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1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6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pv_sel">Masques!$R$5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Models!$BQ$4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Masques!$F$14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>Masques!$W$10</definedName>
    <definedName name="Hobs2">Masques!$W$11</definedName>
    <definedName name="Hobs3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>Masques!$G$8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ta1">Masques!$I$10</definedName>
    <definedName name="Rata2">Masques!$I$11</definedName>
    <definedName name="Rata3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Models!$BQ$3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Masques!$E$14</definedName>
  </definedNames>
  <calcPr calcId="152511"/>
</workbook>
</file>

<file path=xl/calcChain.xml><?xml version="1.0" encoding="utf-8"?>
<calcChain xmlns="http://schemas.openxmlformats.org/spreadsheetml/2006/main">
  <c r="B379" i="25" l="1"/>
  <c r="B378" i="25"/>
  <c r="B377" i="25"/>
  <c r="B376" i="25"/>
  <c r="B375" i="25"/>
  <c r="B374" i="25"/>
  <c r="B373" i="25"/>
  <c r="B372" i="25"/>
  <c r="B371" i="25"/>
  <c r="B370" i="25"/>
  <c r="B369" i="25"/>
  <c r="B368" i="25"/>
  <c r="B367" i="25"/>
  <c r="B366" i="25"/>
  <c r="B365" i="25"/>
  <c r="B364" i="25"/>
  <c r="B363" i="25"/>
  <c r="B362" i="25"/>
  <c r="B361" i="25"/>
  <c r="B360" i="25"/>
  <c r="B359" i="25"/>
  <c r="B358" i="25"/>
  <c r="B357" i="25"/>
  <c r="B356" i="25"/>
  <c r="B355" i="25"/>
  <c r="B354" i="25"/>
  <c r="B353" i="25"/>
  <c r="B352" i="25"/>
  <c r="B351" i="25"/>
  <c r="B350" i="25"/>
  <c r="B349" i="25"/>
  <c r="B348" i="25"/>
  <c r="B347" i="25"/>
  <c r="B346" i="25"/>
  <c r="B345" i="25"/>
  <c r="B344" i="25"/>
  <c r="B343" i="25"/>
  <c r="B342" i="25"/>
  <c r="B341" i="25"/>
  <c r="B340" i="25"/>
  <c r="B339" i="25"/>
  <c r="B338" i="25"/>
  <c r="B337" i="25"/>
  <c r="B336" i="25"/>
  <c r="B335" i="25"/>
  <c r="B334" i="25"/>
  <c r="B333" i="25"/>
  <c r="B332" i="25"/>
  <c r="B331" i="25"/>
  <c r="B330" i="25"/>
  <c r="B329" i="25"/>
  <c r="B328" i="25"/>
  <c r="B327" i="25"/>
  <c r="B326" i="25"/>
  <c r="B325" i="25"/>
  <c r="B324" i="25"/>
  <c r="B323" i="25"/>
  <c r="B322" i="25"/>
  <c r="B321" i="25"/>
  <c r="B320" i="25"/>
  <c r="B319" i="25"/>
  <c r="B318" i="25"/>
  <c r="B317" i="25"/>
  <c r="B316" i="25"/>
  <c r="B315" i="25"/>
  <c r="B314" i="25"/>
  <c r="B313" i="25"/>
  <c r="B312" i="25"/>
  <c r="B311" i="25"/>
  <c r="B310" i="25"/>
  <c r="B309" i="25"/>
  <c r="B308" i="25"/>
  <c r="B307" i="25"/>
  <c r="B306" i="25"/>
  <c r="B305" i="25"/>
  <c r="B304" i="25"/>
  <c r="B303" i="25"/>
  <c r="B302" i="25"/>
  <c r="B301" i="25"/>
  <c r="B300" i="25"/>
  <c r="B299" i="25"/>
  <c r="B298" i="25"/>
  <c r="B297" i="25"/>
  <c r="B296" i="25"/>
  <c r="B295" i="25"/>
  <c r="B294" i="25"/>
  <c r="B293" i="25"/>
  <c r="B292" i="25"/>
  <c r="B291" i="25"/>
  <c r="B290" i="25"/>
  <c r="B289" i="25"/>
  <c r="B288" i="25"/>
  <c r="B287" i="25"/>
  <c r="B286" i="25"/>
  <c r="B285" i="25"/>
  <c r="B284" i="25"/>
  <c r="B283" i="25"/>
  <c r="B282" i="25"/>
  <c r="B281" i="25"/>
  <c r="B280" i="25"/>
  <c r="B279" i="25"/>
  <c r="B278" i="25"/>
  <c r="B277" i="25"/>
  <c r="B276" i="25"/>
  <c r="B275" i="25"/>
  <c r="B274" i="25"/>
  <c r="B273" i="25"/>
  <c r="B272" i="25"/>
  <c r="B271" i="25"/>
  <c r="B270" i="25"/>
  <c r="B269" i="25"/>
  <c r="B268" i="25"/>
  <c r="B267" i="25"/>
  <c r="B266" i="25"/>
  <c r="B265" i="25"/>
  <c r="B264" i="25"/>
  <c r="B263" i="25"/>
  <c r="B262" i="25"/>
  <c r="B261" i="25"/>
  <c r="B260" i="25"/>
  <c r="B259" i="25"/>
  <c r="B258" i="25"/>
  <c r="B257" i="25"/>
  <c r="B256" i="25"/>
  <c r="B255" i="25"/>
  <c r="B254" i="25"/>
  <c r="B253" i="25"/>
  <c r="B252" i="25"/>
  <c r="B251" i="25"/>
  <c r="B250" i="25"/>
  <c r="B249" i="25"/>
  <c r="B248" i="25"/>
  <c r="B247" i="25"/>
  <c r="B246" i="25"/>
  <c r="B245" i="25"/>
  <c r="B244" i="25"/>
  <c r="B243" i="25"/>
  <c r="B242" i="25"/>
  <c r="B241" i="25"/>
  <c r="B240" i="25"/>
  <c r="B239" i="25"/>
  <c r="B238" i="25"/>
  <c r="B237" i="25"/>
  <c r="B236" i="25"/>
  <c r="B235" i="25"/>
  <c r="B234" i="25"/>
  <c r="B233" i="25"/>
  <c r="B232" i="25"/>
  <c r="B231" i="25"/>
  <c r="B230" i="25"/>
  <c r="B229" i="25"/>
  <c r="B228" i="25"/>
  <c r="B227" i="25"/>
  <c r="B226" i="25"/>
  <c r="B225" i="25"/>
  <c r="B224" i="25"/>
  <c r="B223" i="25"/>
  <c r="B222" i="25"/>
  <c r="B221" i="25"/>
  <c r="B220" i="25"/>
  <c r="B219" i="25"/>
  <c r="B218" i="25"/>
  <c r="B217" i="25"/>
  <c r="B216" i="25"/>
  <c r="B215" i="25"/>
  <c r="B214" i="25"/>
  <c r="B213" i="25"/>
  <c r="B212" i="25"/>
  <c r="B211" i="25"/>
  <c r="B210" i="25"/>
  <c r="B209" i="25"/>
  <c r="B208" i="25"/>
  <c r="B207" i="25"/>
  <c r="B206" i="25"/>
  <c r="B205" i="25"/>
  <c r="B204" i="25"/>
  <c r="B203" i="25"/>
  <c r="B202" i="25"/>
  <c r="B201" i="25"/>
  <c r="B200" i="25"/>
  <c r="B199" i="25"/>
  <c r="B198" i="25"/>
  <c r="B197" i="25"/>
  <c r="B196" i="25"/>
  <c r="B195" i="25"/>
  <c r="B194" i="25"/>
  <c r="B193" i="25"/>
  <c r="B192" i="25"/>
  <c r="B191" i="25"/>
  <c r="B190" i="25"/>
  <c r="B189" i="25"/>
  <c r="B188" i="25"/>
  <c r="B187" i="25"/>
  <c r="B186" i="25"/>
  <c r="B185" i="25"/>
  <c r="B184" i="25"/>
  <c r="B183" i="25"/>
  <c r="B182" i="25"/>
  <c r="B181" i="25"/>
  <c r="B180" i="25"/>
  <c r="B179" i="25"/>
  <c r="B178" i="25"/>
  <c r="B177" i="25"/>
  <c r="B176" i="25"/>
  <c r="B175" i="25"/>
  <c r="B174" i="25"/>
  <c r="B173" i="25"/>
  <c r="B172" i="25"/>
  <c r="B171" i="25"/>
  <c r="B170" i="25"/>
  <c r="B169" i="25"/>
  <c r="B168" i="25"/>
  <c r="B167" i="25"/>
  <c r="B166" i="25"/>
  <c r="B165" i="25"/>
  <c r="B164" i="25"/>
  <c r="B163" i="25"/>
  <c r="B162" i="25"/>
  <c r="B161" i="25"/>
  <c r="B160" i="25"/>
  <c r="B159" i="25"/>
  <c r="B158" i="25"/>
  <c r="B157" i="25"/>
  <c r="B156" i="25"/>
  <c r="B155" i="25"/>
  <c r="B154" i="25"/>
  <c r="B153" i="25"/>
  <c r="B152" i="25"/>
  <c r="B151" i="25"/>
  <c r="B150" i="25"/>
  <c r="B149" i="25"/>
  <c r="B148" i="25"/>
  <c r="B147" i="25"/>
  <c r="B146" i="25"/>
  <c r="B145" i="25"/>
  <c r="B144" i="25"/>
  <c r="B143" i="25"/>
  <c r="B142" i="25"/>
  <c r="B141" i="25"/>
  <c r="B140" i="25"/>
  <c r="B139" i="25"/>
  <c r="B138" i="25"/>
  <c r="B137" i="25"/>
  <c r="B136" i="25"/>
  <c r="B135" i="25"/>
  <c r="B134" i="25"/>
  <c r="B133" i="25"/>
  <c r="B132" i="25"/>
  <c r="B131" i="25"/>
  <c r="B130" i="25"/>
  <c r="B129" i="25"/>
  <c r="B128" i="25"/>
  <c r="B127" i="25"/>
  <c r="B126" i="25"/>
  <c r="B125" i="25"/>
  <c r="B124" i="25"/>
  <c r="B123" i="25"/>
  <c r="B122" i="25"/>
  <c r="B121" i="25"/>
  <c r="B120" i="25"/>
  <c r="B119" i="25"/>
  <c r="B118" i="25"/>
  <c r="B117" i="25"/>
  <c r="B116" i="25"/>
  <c r="B115" i="25"/>
  <c r="B114" i="25"/>
  <c r="B113" i="25"/>
  <c r="B112" i="25"/>
  <c r="B111" i="25"/>
  <c r="B110" i="25"/>
  <c r="B109" i="25"/>
  <c r="B108" i="25"/>
  <c r="B107" i="25"/>
  <c r="B106" i="25"/>
  <c r="B105" i="25"/>
  <c r="B104" i="25"/>
  <c r="B103" i="25"/>
  <c r="B102" i="25"/>
  <c r="B101" i="25"/>
  <c r="B100" i="25"/>
  <c r="B99" i="25"/>
  <c r="B98" i="25"/>
  <c r="B97" i="25"/>
  <c r="B96" i="25"/>
  <c r="B95" i="25"/>
  <c r="B94" i="25"/>
  <c r="B93" i="25"/>
  <c r="B92" i="25"/>
  <c r="B91" i="25"/>
  <c r="B90" i="25"/>
  <c r="B89" i="25"/>
  <c r="B88" i="25"/>
  <c r="B87" i="25"/>
  <c r="B86" i="25"/>
  <c r="B85" i="25"/>
  <c r="B84" i="25"/>
  <c r="B83" i="25"/>
  <c r="B82" i="25"/>
  <c r="B81" i="25"/>
  <c r="B80" i="25"/>
  <c r="B79" i="25"/>
  <c r="B78" i="25"/>
  <c r="B77" i="25"/>
  <c r="B76" i="25"/>
  <c r="B75" i="25"/>
  <c r="B74" i="25"/>
  <c r="B73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379" i="24"/>
  <c r="B378" i="24"/>
  <c r="B377" i="24"/>
  <c r="B376" i="24"/>
  <c r="B375" i="24"/>
  <c r="B374" i="24"/>
  <c r="B373" i="24"/>
  <c r="B372" i="24"/>
  <c r="B371" i="24"/>
  <c r="B370" i="24"/>
  <c r="B369" i="24"/>
  <c r="B368" i="24"/>
  <c r="B367" i="24"/>
  <c r="B366" i="24"/>
  <c r="B365" i="24"/>
  <c r="B364" i="24"/>
  <c r="B363" i="24"/>
  <c r="B362" i="24"/>
  <c r="B361" i="24"/>
  <c r="B360" i="24"/>
  <c r="B359" i="24"/>
  <c r="B358" i="24"/>
  <c r="B357" i="24"/>
  <c r="B356" i="24"/>
  <c r="B355" i="24"/>
  <c r="B354" i="24"/>
  <c r="B353" i="24"/>
  <c r="B352" i="24"/>
  <c r="B351" i="24"/>
  <c r="B350" i="24"/>
  <c r="B349" i="24"/>
  <c r="B348" i="24"/>
  <c r="B347" i="24"/>
  <c r="B346" i="24"/>
  <c r="B345" i="24"/>
  <c r="B344" i="24"/>
  <c r="B343" i="24"/>
  <c r="B342" i="24"/>
  <c r="B341" i="24"/>
  <c r="B340" i="24"/>
  <c r="B339" i="24"/>
  <c r="B338" i="24"/>
  <c r="B337" i="24"/>
  <c r="B336" i="24"/>
  <c r="B335" i="24"/>
  <c r="B334" i="24"/>
  <c r="B333" i="24"/>
  <c r="B332" i="24"/>
  <c r="B331" i="24"/>
  <c r="B330" i="24"/>
  <c r="B329" i="24"/>
  <c r="B328" i="24"/>
  <c r="B327" i="24"/>
  <c r="B326" i="24"/>
  <c r="B325" i="24"/>
  <c r="B324" i="24"/>
  <c r="B323" i="24"/>
  <c r="B322" i="24"/>
  <c r="B321" i="24"/>
  <c r="B320" i="24"/>
  <c r="B319" i="24"/>
  <c r="B318" i="24"/>
  <c r="B317" i="24"/>
  <c r="B316" i="24"/>
  <c r="B315" i="24"/>
  <c r="B314" i="24"/>
  <c r="B313" i="24"/>
  <c r="B312" i="24"/>
  <c r="B311" i="24"/>
  <c r="B310" i="24"/>
  <c r="B309" i="24"/>
  <c r="B308" i="24"/>
  <c r="B307" i="24"/>
  <c r="B306" i="24"/>
  <c r="B305" i="24"/>
  <c r="B304" i="24"/>
  <c r="B303" i="24"/>
  <c r="B302" i="24"/>
  <c r="B301" i="24"/>
  <c r="B300" i="24"/>
  <c r="B299" i="24"/>
  <c r="B298" i="24"/>
  <c r="B297" i="24"/>
  <c r="B296" i="24"/>
  <c r="B295" i="24"/>
  <c r="B294" i="24"/>
  <c r="B293" i="24"/>
  <c r="B292" i="24"/>
  <c r="B291" i="24"/>
  <c r="B290" i="24"/>
  <c r="B289" i="24"/>
  <c r="B288" i="24"/>
  <c r="B287" i="24"/>
  <c r="B286" i="24"/>
  <c r="B285" i="24"/>
  <c r="B284" i="24"/>
  <c r="B283" i="24"/>
  <c r="B282" i="24"/>
  <c r="B281" i="24"/>
  <c r="B280" i="24"/>
  <c r="B279" i="24"/>
  <c r="B278" i="24"/>
  <c r="B277" i="24"/>
  <c r="B276" i="24"/>
  <c r="B275" i="24"/>
  <c r="B274" i="24"/>
  <c r="B273" i="24"/>
  <c r="B272" i="24"/>
  <c r="B271" i="24"/>
  <c r="B270" i="24"/>
  <c r="B269" i="24"/>
  <c r="B268" i="24"/>
  <c r="B267" i="24"/>
  <c r="B266" i="24"/>
  <c r="B265" i="24"/>
  <c r="B264" i="24"/>
  <c r="B263" i="24"/>
  <c r="B262" i="24"/>
  <c r="B261" i="24"/>
  <c r="B260" i="24"/>
  <c r="B259" i="24"/>
  <c r="B258" i="24"/>
  <c r="B257" i="24"/>
  <c r="B256" i="24"/>
  <c r="B255" i="24"/>
  <c r="B254" i="24"/>
  <c r="B253" i="24"/>
  <c r="B252" i="24"/>
  <c r="B251" i="24"/>
  <c r="B250" i="24"/>
  <c r="B249" i="24"/>
  <c r="B248" i="24"/>
  <c r="B247" i="24"/>
  <c r="B246" i="24"/>
  <c r="B245" i="24"/>
  <c r="B244" i="24"/>
  <c r="B243" i="24"/>
  <c r="B242" i="24"/>
  <c r="B241" i="24"/>
  <c r="B240" i="24"/>
  <c r="B239" i="24"/>
  <c r="B238" i="24"/>
  <c r="B237" i="24"/>
  <c r="B236" i="24"/>
  <c r="B235" i="24"/>
  <c r="B234" i="24"/>
  <c r="B233" i="24"/>
  <c r="B232" i="24"/>
  <c r="B231" i="24"/>
  <c r="B230" i="24"/>
  <c r="B229" i="24"/>
  <c r="B228" i="24"/>
  <c r="B227" i="24"/>
  <c r="B226" i="24"/>
  <c r="B225" i="24"/>
  <c r="B224" i="24"/>
  <c r="B223" i="24"/>
  <c r="B222" i="24"/>
  <c r="B221" i="24"/>
  <c r="B220" i="24"/>
  <c r="B219" i="24"/>
  <c r="B218" i="24"/>
  <c r="B217" i="24"/>
  <c r="B216" i="24"/>
  <c r="B215" i="24"/>
  <c r="B214" i="24"/>
  <c r="B213" i="24"/>
  <c r="B212" i="24"/>
  <c r="B211" i="24"/>
  <c r="B210" i="24"/>
  <c r="B209" i="24"/>
  <c r="B208" i="24"/>
  <c r="B207" i="24"/>
  <c r="B206" i="24"/>
  <c r="B205" i="24"/>
  <c r="B204" i="24"/>
  <c r="B203" i="24"/>
  <c r="B202" i="24"/>
  <c r="B201" i="24"/>
  <c r="B200" i="24"/>
  <c r="B199" i="24"/>
  <c r="B198" i="24"/>
  <c r="B197" i="24"/>
  <c r="B196" i="24"/>
  <c r="B195" i="24"/>
  <c r="B194" i="24"/>
  <c r="B193" i="24"/>
  <c r="B192" i="24"/>
  <c r="B191" i="24"/>
  <c r="B190" i="24"/>
  <c r="B189" i="24"/>
  <c r="B188" i="24"/>
  <c r="B187" i="24"/>
  <c r="B186" i="24"/>
  <c r="B185" i="24"/>
  <c r="B184" i="24"/>
  <c r="B183" i="24"/>
  <c r="B182" i="24"/>
  <c r="B181" i="24"/>
  <c r="B180" i="24"/>
  <c r="B179" i="24"/>
  <c r="B178" i="24"/>
  <c r="B177" i="24"/>
  <c r="B176" i="24"/>
  <c r="B175" i="24"/>
  <c r="B174" i="24"/>
  <c r="B173" i="24"/>
  <c r="B172" i="24"/>
  <c r="B171" i="24"/>
  <c r="B170" i="24"/>
  <c r="B169" i="24"/>
  <c r="B168" i="24"/>
  <c r="B167" i="24"/>
  <c r="B166" i="24"/>
  <c r="B165" i="24"/>
  <c r="B164" i="24"/>
  <c r="B163" i="24"/>
  <c r="B162" i="24"/>
  <c r="B161" i="24"/>
  <c r="B160" i="24"/>
  <c r="B159" i="24"/>
  <c r="B158" i="24"/>
  <c r="B157" i="24"/>
  <c r="B156" i="24"/>
  <c r="B155" i="24"/>
  <c r="B154" i="24"/>
  <c r="B153" i="24"/>
  <c r="B152" i="24"/>
  <c r="B151" i="24"/>
  <c r="B150" i="24"/>
  <c r="B149" i="24"/>
  <c r="B148" i="24"/>
  <c r="B147" i="24"/>
  <c r="B146" i="24"/>
  <c r="B145" i="24"/>
  <c r="B144" i="24"/>
  <c r="B143" i="24"/>
  <c r="B142" i="24"/>
  <c r="B141" i="24"/>
  <c r="B140" i="24"/>
  <c r="B139" i="24"/>
  <c r="B138" i="24"/>
  <c r="B137" i="24"/>
  <c r="B136" i="24"/>
  <c r="B135" i="24"/>
  <c r="B134" i="24"/>
  <c r="B133" i="24"/>
  <c r="B132" i="24"/>
  <c r="B131" i="24"/>
  <c r="B130" i="24"/>
  <c r="B129" i="24"/>
  <c r="B128" i="24"/>
  <c r="B127" i="24"/>
  <c r="B126" i="24"/>
  <c r="B125" i="24"/>
  <c r="B124" i="24"/>
  <c r="B123" i="24"/>
  <c r="B122" i="24"/>
  <c r="B121" i="24"/>
  <c r="B120" i="24"/>
  <c r="B119" i="24"/>
  <c r="B118" i="24"/>
  <c r="B117" i="24"/>
  <c r="B116" i="24"/>
  <c r="B115" i="24"/>
  <c r="B114" i="24"/>
  <c r="B113" i="24"/>
  <c r="B112" i="24"/>
  <c r="B111" i="24"/>
  <c r="B110" i="24"/>
  <c r="B109" i="24"/>
  <c r="B108" i="24"/>
  <c r="B107" i="24"/>
  <c r="B106" i="24"/>
  <c r="B105" i="24"/>
  <c r="B104" i="24"/>
  <c r="B103" i="24"/>
  <c r="B102" i="24"/>
  <c r="B101" i="24"/>
  <c r="B100" i="24"/>
  <c r="B99" i="24"/>
  <c r="B98" i="24"/>
  <c r="B97" i="24"/>
  <c r="B96" i="24"/>
  <c r="B95" i="24"/>
  <c r="B94" i="24"/>
  <c r="B93" i="24"/>
  <c r="B92" i="24"/>
  <c r="B91" i="24"/>
  <c r="B90" i="24"/>
  <c r="B89" i="24"/>
  <c r="B88" i="24"/>
  <c r="B87" i="24"/>
  <c r="B86" i="24"/>
  <c r="B85" i="24"/>
  <c r="B84" i="24"/>
  <c r="B83" i="24"/>
  <c r="B82" i="24"/>
  <c r="B81" i="24"/>
  <c r="B80" i="24"/>
  <c r="B79" i="24"/>
  <c r="B78" i="24"/>
  <c r="B77" i="24"/>
  <c r="B76" i="24"/>
  <c r="B75" i="24"/>
  <c r="B74" i="24"/>
  <c r="B73" i="24"/>
  <c r="B72" i="24"/>
  <c r="B71" i="24"/>
  <c r="B70" i="24"/>
  <c r="B69" i="24"/>
  <c r="B68" i="24"/>
  <c r="B67" i="24"/>
  <c r="B66" i="24"/>
  <c r="B65" i="24"/>
  <c r="B64" i="24"/>
  <c r="B63" i="24"/>
  <c r="B62" i="24"/>
  <c r="B61" i="24"/>
  <c r="B60" i="24"/>
  <c r="B59" i="24"/>
  <c r="B58" i="24"/>
  <c r="B57" i="24"/>
  <c r="B56" i="24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40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379" i="23"/>
  <c r="B378" i="23"/>
  <c r="B377" i="23"/>
  <c r="B376" i="23"/>
  <c r="B375" i="23"/>
  <c r="B374" i="23"/>
  <c r="B373" i="23"/>
  <c r="B372" i="23"/>
  <c r="B371" i="23"/>
  <c r="B370" i="23"/>
  <c r="B369" i="23"/>
  <c r="B368" i="23"/>
  <c r="B367" i="23"/>
  <c r="B366" i="23"/>
  <c r="B365" i="23"/>
  <c r="B364" i="23"/>
  <c r="B363" i="23"/>
  <c r="B362" i="23"/>
  <c r="B361" i="23"/>
  <c r="B360" i="23"/>
  <c r="B359" i="23"/>
  <c r="B358" i="23"/>
  <c r="B357" i="23"/>
  <c r="B356" i="23"/>
  <c r="B355" i="23"/>
  <c r="B354" i="23"/>
  <c r="B353" i="23"/>
  <c r="B352" i="23"/>
  <c r="B351" i="23"/>
  <c r="B350" i="23"/>
  <c r="B349" i="23"/>
  <c r="B348" i="23"/>
  <c r="B347" i="23"/>
  <c r="B346" i="23"/>
  <c r="B345" i="23"/>
  <c r="B344" i="23"/>
  <c r="B343" i="23"/>
  <c r="B342" i="23"/>
  <c r="B341" i="23"/>
  <c r="B340" i="23"/>
  <c r="B339" i="23"/>
  <c r="B338" i="23"/>
  <c r="B337" i="23"/>
  <c r="B336" i="23"/>
  <c r="B335" i="23"/>
  <c r="B334" i="23"/>
  <c r="B333" i="23"/>
  <c r="B332" i="23"/>
  <c r="B331" i="23"/>
  <c r="B330" i="23"/>
  <c r="B329" i="23"/>
  <c r="B328" i="23"/>
  <c r="B327" i="23"/>
  <c r="B326" i="23"/>
  <c r="B325" i="23"/>
  <c r="B324" i="23"/>
  <c r="B323" i="23"/>
  <c r="B322" i="23"/>
  <c r="B321" i="23"/>
  <c r="B320" i="23"/>
  <c r="B319" i="23"/>
  <c r="B318" i="23"/>
  <c r="B317" i="23"/>
  <c r="B316" i="23"/>
  <c r="B315" i="23"/>
  <c r="B314" i="23"/>
  <c r="B313" i="23"/>
  <c r="B312" i="23"/>
  <c r="B311" i="23"/>
  <c r="B310" i="23"/>
  <c r="B309" i="23"/>
  <c r="B308" i="23"/>
  <c r="B307" i="23"/>
  <c r="B306" i="23"/>
  <c r="B305" i="23"/>
  <c r="B304" i="23"/>
  <c r="B303" i="23"/>
  <c r="B302" i="23"/>
  <c r="B301" i="23"/>
  <c r="B300" i="23"/>
  <c r="B299" i="23"/>
  <c r="B298" i="23"/>
  <c r="B297" i="23"/>
  <c r="B296" i="23"/>
  <c r="B295" i="23"/>
  <c r="B294" i="23"/>
  <c r="B293" i="23"/>
  <c r="B292" i="23"/>
  <c r="B291" i="23"/>
  <c r="B290" i="23"/>
  <c r="B289" i="23"/>
  <c r="B288" i="23"/>
  <c r="B287" i="23"/>
  <c r="B286" i="23"/>
  <c r="B285" i="23"/>
  <c r="B284" i="23"/>
  <c r="B283" i="23"/>
  <c r="B282" i="23"/>
  <c r="B281" i="23"/>
  <c r="B280" i="23"/>
  <c r="B279" i="23"/>
  <c r="B278" i="23"/>
  <c r="B277" i="23"/>
  <c r="B276" i="23"/>
  <c r="B275" i="23"/>
  <c r="B274" i="23"/>
  <c r="B273" i="23"/>
  <c r="B272" i="23"/>
  <c r="B271" i="23"/>
  <c r="B270" i="23"/>
  <c r="B269" i="23"/>
  <c r="B268" i="23"/>
  <c r="B267" i="23"/>
  <c r="B266" i="23"/>
  <c r="B265" i="23"/>
  <c r="B264" i="23"/>
  <c r="B263" i="23"/>
  <c r="B262" i="23"/>
  <c r="B261" i="23"/>
  <c r="B260" i="23"/>
  <c r="B259" i="23"/>
  <c r="B258" i="23"/>
  <c r="B257" i="23"/>
  <c r="B256" i="23"/>
  <c r="B255" i="23"/>
  <c r="B254" i="23"/>
  <c r="B253" i="23"/>
  <c r="B252" i="23"/>
  <c r="B251" i="23"/>
  <c r="B250" i="23"/>
  <c r="B249" i="23"/>
  <c r="B248" i="23"/>
  <c r="B247" i="23"/>
  <c r="B246" i="23"/>
  <c r="B245" i="23"/>
  <c r="B244" i="23"/>
  <c r="B243" i="23"/>
  <c r="B242" i="23"/>
  <c r="B241" i="23"/>
  <c r="B240" i="23"/>
  <c r="B239" i="23"/>
  <c r="B238" i="23"/>
  <c r="B237" i="23"/>
  <c r="B236" i="23"/>
  <c r="B235" i="23"/>
  <c r="B234" i="23"/>
  <c r="B233" i="23"/>
  <c r="B232" i="23"/>
  <c r="B231" i="23"/>
  <c r="B230" i="23"/>
  <c r="B229" i="23"/>
  <c r="B228" i="23"/>
  <c r="B227" i="23"/>
  <c r="B226" i="23"/>
  <c r="B225" i="23"/>
  <c r="B224" i="23"/>
  <c r="B223" i="23"/>
  <c r="B222" i="23"/>
  <c r="B221" i="23"/>
  <c r="B220" i="23"/>
  <c r="B219" i="23"/>
  <c r="B218" i="23"/>
  <c r="B217" i="23"/>
  <c r="B216" i="23"/>
  <c r="B215" i="23"/>
  <c r="B214" i="23"/>
  <c r="B213" i="23"/>
  <c r="B212" i="23"/>
  <c r="B211" i="23"/>
  <c r="B210" i="23"/>
  <c r="B209" i="23"/>
  <c r="B208" i="23"/>
  <c r="B207" i="23"/>
  <c r="B206" i="23"/>
  <c r="B205" i="23"/>
  <c r="B204" i="23"/>
  <c r="B203" i="23"/>
  <c r="B202" i="23"/>
  <c r="B201" i="23"/>
  <c r="B200" i="23"/>
  <c r="B199" i="23"/>
  <c r="B198" i="23"/>
  <c r="B197" i="23"/>
  <c r="B196" i="23"/>
  <c r="B195" i="23"/>
  <c r="B194" i="23"/>
  <c r="B193" i="23"/>
  <c r="B192" i="23"/>
  <c r="B191" i="23"/>
  <c r="B190" i="23"/>
  <c r="B189" i="23"/>
  <c r="B188" i="23"/>
  <c r="B187" i="23"/>
  <c r="B186" i="23"/>
  <c r="B185" i="23"/>
  <c r="B184" i="23"/>
  <c r="B183" i="23"/>
  <c r="B182" i="23"/>
  <c r="B181" i="23"/>
  <c r="B180" i="23"/>
  <c r="B179" i="23"/>
  <c r="B178" i="23"/>
  <c r="B177" i="23"/>
  <c r="B176" i="23"/>
  <c r="B175" i="23"/>
  <c r="B174" i="23"/>
  <c r="B173" i="23"/>
  <c r="B172" i="23"/>
  <c r="B171" i="23"/>
  <c r="B170" i="23"/>
  <c r="B169" i="23"/>
  <c r="B168" i="23"/>
  <c r="B167" i="23"/>
  <c r="B166" i="23"/>
  <c r="B165" i="23"/>
  <c r="B164" i="23"/>
  <c r="B163" i="23"/>
  <c r="B162" i="23"/>
  <c r="B161" i="23"/>
  <c r="B160" i="23"/>
  <c r="B159" i="23"/>
  <c r="B158" i="23"/>
  <c r="B157" i="23"/>
  <c r="B156" i="23"/>
  <c r="B155" i="23"/>
  <c r="B154" i="23"/>
  <c r="B153" i="23"/>
  <c r="B152" i="23"/>
  <c r="B151" i="23"/>
  <c r="B150" i="23"/>
  <c r="B149" i="23"/>
  <c r="B148" i="23"/>
  <c r="B147" i="23"/>
  <c r="B146" i="23"/>
  <c r="B145" i="23"/>
  <c r="B144" i="23"/>
  <c r="B143" i="23"/>
  <c r="B142" i="23"/>
  <c r="B141" i="23"/>
  <c r="B140" i="23"/>
  <c r="B139" i="23"/>
  <c r="B138" i="23"/>
  <c r="B137" i="23"/>
  <c r="B136" i="23"/>
  <c r="B135" i="23"/>
  <c r="B134" i="23"/>
  <c r="B133" i="23"/>
  <c r="B132" i="23"/>
  <c r="B131" i="23"/>
  <c r="B130" i="23"/>
  <c r="B129" i="23"/>
  <c r="B128" i="23"/>
  <c r="B127" i="23"/>
  <c r="B126" i="23"/>
  <c r="B125" i="23"/>
  <c r="B124" i="23"/>
  <c r="B123" i="23"/>
  <c r="B122" i="23"/>
  <c r="B121" i="23"/>
  <c r="B120" i="23"/>
  <c r="B119" i="23"/>
  <c r="B118" i="23"/>
  <c r="B117" i="23"/>
  <c r="B116" i="23"/>
  <c r="B115" i="23"/>
  <c r="B114" i="23"/>
  <c r="B113" i="23"/>
  <c r="B112" i="23"/>
  <c r="B111" i="23"/>
  <c r="B110" i="23"/>
  <c r="B109" i="23"/>
  <c r="B108" i="23"/>
  <c r="B107" i="23"/>
  <c r="B106" i="23"/>
  <c r="B105" i="23"/>
  <c r="B104" i="23"/>
  <c r="B103" i="23"/>
  <c r="B102" i="23"/>
  <c r="B101" i="23"/>
  <c r="B100" i="23"/>
  <c r="B99" i="23"/>
  <c r="B98" i="23"/>
  <c r="B97" i="23"/>
  <c r="B96" i="23"/>
  <c r="B95" i="23"/>
  <c r="B94" i="23"/>
  <c r="B93" i="23"/>
  <c r="B92" i="23"/>
  <c r="B91" i="23"/>
  <c r="B90" i="23"/>
  <c r="B89" i="23"/>
  <c r="B88" i="23"/>
  <c r="B87" i="23"/>
  <c r="B86" i="23"/>
  <c r="B85" i="23"/>
  <c r="B84" i="23"/>
  <c r="B83" i="23"/>
  <c r="B82" i="23"/>
  <c r="B81" i="23"/>
  <c r="B80" i="23"/>
  <c r="B79" i="23"/>
  <c r="B78" i="23"/>
  <c r="B77" i="23"/>
  <c r="B76" i="23"/>
  <c r="B75" i="23"/>
  <c r="B74" i="23"/>
  <c r="B73" i="23"/>
  <c r="B72" i="23"/>
  <c r="B71" i="23"/>
  <c r="B70" i="23"/>
  <c r="B69" i="23"/>
  <c r="B68" i="23"/>
  <c r="B67" i="23"/>
  <c r="B66" i="23"/>
  <c r="B65" i="23"/>
  <c r="B64" i="23"/>
  <c r="B63" i="23"/>
  <c r="B62" i="23"/>
  <c r="B61" i="23"/>
  <c r="B60" i="23"/>
  <c r="B59" i="23"/>
  <c r="B58" i="23"/>
  <c r="B57" i="23"/>
  <c r="B56" i="23"/>
  <c r="B55" i="23"/>
  <c r="B54" i="23"/>
  <c r="B53" i="23"/>
  <c r="B52" i="23"/>
  <c r="B51" i="23"/>
  <c r="B50" i="23"/>
  <c r="B49" i="23"/>
  <c r="B48" i="23"/>
  <c r="B47" i="23"/>
  <c r="B46" i="23"/>
  <c r="B45" i="23"/>
  <c r="B44" i="23"/>
  <c r="B43" i="23"/>
  <c r="B42" i="23"/>
  <c r="B41" i="23"/>
  <c r="B40" i="23"/>
  <c r="B39" i="23"/>
  <c r="B38" i="23"/>
  <c r="B37" i="23"/>
  <c r="B36" i="23"/>
  <c r="B35" i="23"/>
  <c r="B34" i="23"/>
  <c r="B33" i="23"/>
  <c r="B32" i="23"/>
  <c r="B31" i="23"/>
  <c r="B30" i="23"/>
  <c r="B29" i="23"/>
  <c r="B28" i="23"/>
  <c r="B27" i="23"/>
  <c r="B26" i="23"/>
  <c r="B25" i="23"/>
  <c r="B24" i="23"/>
  <c r="B23" i="23"/>
  <c r="B22" i="23"/>
  <c r="B21" i="23"/>
  <c r="B20" i="23"/>
  <c r="B19" i="23"/>
  <c r="B18" i="23"/>
  <c r="B17" i="23"/>
  <c r="B16" i="23"/>
  <c r="B15" i="23"/>
  <c r="B379" i="22"/>
  <c r="B378" i="22"/>
  <c r="B377" i="22"/>
  <c r="B376" i="22"/>
  <c r="B375" i="22"/>
  <c r="B374" i="22"/>
  <c r="B373" i="22"/>
  <c r="B372" i="22"/>
  <c r="B371" i="22"/>
  <c r="B370" i="22"/>
  <c r="B369" i="22"/>
  <c r="B368" i="22"/>
  <c r="B367" i="22"/>
  <c r="B366" i="22"/>
  <c r="B365" i="22"/>
  <c r="B364" i="22"/>
  <c r="B363" i="22"/>
  <c r="B362" i="22"/>
  <c r="B361" i="22"/>
  <c r="B360" i="22"/>
  <c r="B359" i="22"/>
  <c r="B358" i="22"/>
  <c r="B357" i="22"/>
  <c r="B356" i="22"/>
  <c r="B355" i="22"/>
  <c r="B354" i="22"/>
  <c r="B353" i="22"/>
  <c r="B352" i="22"/>
  <c r="B351" i="22"/>
  <c r="B350" i="22"/>
  <c r="B349" i="22"/>
  <c r="B348" i="22"/>
  <c r="B347" i="22"/>
  <c r="B346" i="22"/>
  <c r="B345" i="22"/>
  <c r="B344" i="22"/>
  <c r="B343" i="22"/>
  <c r="B342" i="22"/>
  <c r="B341" i="22"/>
  <c r="B340" i="22"/>
  <c r="B339" i="22"/>
  <c r="B338" i="22"/>
  <c r="B337" i="22"/>
  <c r="B336" i="22"/>
  <c r="B335" i="22"/>
  <c r="B334" i="22"/>
  <c r="B333" i="22"/>
  <c r="B332" i="22"/>
  <c r="B331" i="22"/>
  <c r="B330" i="22"/>
  <c r="B329" i="22"/>
  <c r="B328" i="22"/>
  <c r="B327" i="22"/>
  <c r="B326" i="22"/>
  <c r="B325" i="22"/>
  <c r="B324" i="22"/>
  <c r="B323" i="22"/>
  <c r="B322" i="22"/>
  <c r="B321" i="22"/>
  <c r="B320" i="22"/>
  <c r="B319" i="22"/>
  <c r="B318" i="22"/>
  <c r="B317" i="22"/>
  <c r="B316" i="22"/>
  <c r="B315" i="22"/>
  <c r="B314" i="22"/>
  <c r="B313" i="22"/>
  <c r="B312" i="22"/>
  <c r="B311" i="22"/>
  <c r="B310" i="22"/>
  <c r="B309" i="22"/>
  <c r="B308" i="22"/>
  <c r="B307" i="22"/>
  <c r="B306" i="22"/>
  <c r="B305" i="22"/>
  <c r="B304" i="22"/>
  <c r="B303" i="22"/>
  <c r="B302" i="22"/>
  <c r="B301" i="22"/>
  <c r="B300" i="22"/>
  <c r="B299" i="22"/>
  <c r="B298" i="22"/>
  <c r="B297" i="22"/>
  <c r="B296" i="22"/>
  <c r="B295" i="22"/>
  <c r="B294" i="22"/>
  <c r="B293" i="22"/>
  <c r="B292" i="22"/>
  <c r="B291" i="22"/>
  <c r="B290" i="22"/>
  <c r="B289" i="22"/>
  <c r="B288" i="22"/>
  <c r="B287" i="22"/>
  <c r="B286" i="22"/>
  <c r="B285" i="22"/>
  <c r="B284" i="22"/>
  <c r="B283" i="22"/>
  <c r="B282" i="22"/>
  <c r="B281" i="22"/>
  <c r="B280" i="22"/>
  <c r="B279" i="22"/>
  <c r="B278" i="22"/>
  <c r="B277" i="22"/>
  <c r="B276" i="22"/>
  <c r="B275" i="22"/>
  <c r="B274" i="22"/>
  <c r="B273" i="22"/>
  <c r="B272" i="22"/>
  <c r="B271" i="22"/>
  <c r="B270" i="22"/>
  <c r="B269" i="22"/>
  <c r="B268" i="22"/>
  <c r="B267" i="22"/>
  <c r="B266" i="22"/>
  <c r="B265" i="22"/>
  <c r="B264" i="22"/>
  <c r="B263" i="22"/>
  <c r="B262" i="22"/>
  <c r="B261" i="22"/>
  <c r="B260" i="22"/>
  <c r="B259" i="22"/>
  <c r="B258" i="22"/>
  <c r="B257" i="22"/>
  <c r="B256" i="22"/>
  <c r="B255" i="22"/>
  <c r="B254" i="22"/>
  <c r="B253" i="22"/>
  <c r="B252" i="22"/>
  <c r="B251" i="22"/>
  <c r="B250" i="22"/>
  <c r="B249" i="22"/>
  <c r="B248" i="22"/>
  <c r="B247" i="22"/>
  <c r="B246" i="22"/>
  <c r="B245" i="22"/>
  <c r="B244" i="22"/>
  <c r="B243" i="22"/>
  <c r="B242" i="22"/>
  <c r="B241" i="22"/>
  <c r="B240" i="22"/>
  <c r="B239" i="22"/>
  <c r="B238" i="22"/>
  <c r="B237" i="22"/>
  <c r="B236" i="22"/>
  <c r="B235" i="22"/>
  <c r="B234" i="22"/>
  <c r="B233" i="22"/>
  <c r="B232" i="22"/>
  <c r="B231" i="22"/>
  <c r="B230" i="22"/>
  <c r="B229" i="22"/>
  <c r="B228" i="22"/>
  <c r="B227" i="22"/>
  <c r="B226" i="22"/>
  <c r="B225" i="22"/>
  <c r="B224" i="22"/>
  <c r="B223" i="22"/>
  <c r="B222" i="22"/>
  <c r="B221" i="22"/>
  <c r="B220" i="22"/>
  <c r="B219" i="22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5" i="22"/>
  <c r="B154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B130" i="22"/>
  <c r="B129" i="22"/>
  <c r="B128" i="22"/>
  <c r="B127" i="22"/>
  <c r="B126" i="22"/>
  <c r="B125" i="22"/>
  <c r="B124" i="22"/>
  <c r="B123" i="22"/>
  <c r="B122" i="22"/>
  <c r="B121" i="22"/>
  <c r="B120" i="22"/>
  <c r="B119" i="22"/>
  <c r="B118" i="22"/>
  <c r="B117" i="22"/>
  <c r="B116" i="22"/>
  <c r="B115" i="22"/>
  <c r="B114" i="22"/>
  <c r="B113" i="22"/>
  <c r="B112" i="22"/>
  <c r="B111" i="22"/>
  <c r="B110" i="22"/>
  <c r="B109" i="22"/>
  <c r="B108" i="22"/>
  <c r="B107" i="22"/>
  <c r="B106" i="22"/>
  <c r="B105" i="22"/>
  <c r="B104" i="22"/>
  <c r="B103" i="22"/>
  <c r="B102" i="22"/>
  <c r="B101" i="22"/>
  <c r="B100" i="22"/>
  <c r="B99" i="22"/>
  <c r="B98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B84" i="22"/>
  <c r="B83" i="22"/>
  <c r="B82" i="22"/>
  <c r="B81" i="22"/>
  <c r="B80" i="22"/>
  <c r="B79" i="22"/>
  <c r="B78" i="22"/>
  <c r="B77" i="22"/>
  <c r="B76" i="22"/>
  <c r="B75" i="22"/>
  <c r="B74" i="22"/>
  <c r="B73" i="22"/>
  <c r="B72" i="22"/>
  <c r="B71" i="22"/>
  <c r="B70" i="22"/>
  <c r="B69" i="22"/>
  <c r="B68" i="22"/>
  <c r="B67" i="22"/>
  <c r="B66" i="22"/>
  <c r="B65" i="22"/>
  <c r="B64" i="22"/>
  <c r="B63" i="22"/>
  <c r="B62" i="22"/>
  <c r="B61" i="22"/>
  <c r="B60" i="22"/>
  <c r="B59" i="22"/>
  <c r="B58" i="22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35" i="20"/>
  <c r="B34" i="20"/>
  <c r="B33" i="20"/>
  <c r="B32" i="20"/>
  <c r="B31" i="20"/>
  <c r="B30" i="20"/>
  <c r="B29" i="20"/>
  <c r="B28" i="20"/>
  <c r="B27" i="20"/>
  <c r="B26" i="20"/>
  <c r="B25" i="20"/>
  <c r="B24" i="20"/>
  <c r="B23" i="20"/>
  <c r="B22" i="20"/>
  <c r="B21" i="20"/>
  <c r="B20" i="20"/>
  <c r="B19" i="20"/>
  <c r="B18" i="20"/>
  <c r="B17" i="20"/>
  <c r="B16" i="20"/>
  <c r="B15" i="20"/>
  <c r="L32" i="19" l="1"/>
  <c r="K32" i="19"/>
  <c r="L8" i="19" l="1"/>
  <c r="K8" i="19"/>
  <c r="M7" i="19" l="1"/>
  <c r="F10" i="7" l="1"/>
  <c r="M32" i="19" l="1"/>
  <c r="AD10" i="7"/>
  <c r="AJ10" i="7" s="1"/>
  <c r="AP10" i="7" s="1"/>
  <c r="AV10" i="7" s="1"/>
  <c r="BB10" i="7" s="1"/>
  <c r="BH10" i="7" s="1"/>
  <c r="BN10" i="7" s="1"/>
  <c r="BT10" i="7" s="1"/>
  <c r="BZ10" i="7" s="1"/>
  <c r="Z10" i="7"/>
  <c r="AA10" i="7" s="1"/>
  <c r="X10" i="7"/>
  <c r="T10" i="7"/>
  <c r="N10" i="7"/>
  <c r="P10" i="7" s="1"/>
  <c r="E10" i="7"/>
  <c r="C10" i="7"/>
  <c r="L10" i="7" s="1"/>
  <c r="R10" i="7" s="1"/>
  <c r="B10" i="7"/>
  <c r="D10" i="7" s="1"/>
  <c r="F9" i="7"/>
  <c r="B9" i="7"/>
  <c r="AD9" i="7" l="1"/>
  <c r="AF10" i="7" s="1"/>
  <c r="AJ9" i="7" s="1"/>
  <c r="O10" i="7"/>
  <c r="H9" i="7"/>
  <c r="C9" i="7"/>
  <c r="V10" i="7"/>
  <c r="AB10" i="7" s="1"/>
  <c r="AH5" i="7" s="1"/>
  <c r="X9" i="7"/>
  <c r="U10" i="7"/>
  <c r="AH10" i="7" l="1"/>
  <c r="AN10" i="7" s="1"/>
  <c r="AT10" i="7" s="1"/>
  <c r="AZ10" i="7" s="1"/>
  <c r="BF10" i="7" s="1"/>
  <c r="BL10" i="7" s="1"/>
  <c r="BR10" i="7" s="1"/>
  <c r="BX10" i="7" s="1"/>
  <c r="I9" i="7"/>
  <c r="N9" i="7"/>
  <c r="T9" i="7" l="1"/>
  <c r="O9" i="7"/>
  <c r="Z9" i="7" l="1"/>
  <c r="U9" i="7"/>
  <c r="AF9" i="7" l="1"/>
  <c r="AA9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CF380" i="6" l="1"/>
  <c r="CE380" i="6"/>
  <c r="CD380" i="6"/>
  <c r="CB380" i="6"/>
  <c r="CA380" i="6"/>
  <c r="BZ380" i="6"/>
  <c r="BX380" i="6"/>
  <c r="BW380" i="6"/>
  <c r="BW287" i="6"/>
  <c r="BW286" i="6"/>
  <c r="BW285" i="6"/>
  <c r="BW284" i="6"/>
  <c r="BW283" i="6"/>
  <c r="BW282" i="6"/>
  <c r="BW281" i="6"/>
  <c r="BW280" i="6"/>
  <c r="BW279" i="6"/>
  <c r="BW278" i="6"/>
  <c r="BW277" i="6"/>
  <c r="BW276" i="6"/>
  <c r="BW275" i="6"/>
  <c r="BW274" i="6"/>
  <c r="BW273" i="6"/>
  <c r="BW272" i="6"/>
  <c r="BW271" i="6"/>
  <c r="BW270" i="6"/>
  <c r="BW269" i="6"/>
  <c r="BW268" i="6"/>
  <c r="BW267" i="6"/>
  <c r="BW266" i="6"/>
  <c r="BW265" i="6"/>
  <c r="BW264" i="6"/>
  <c r="BW263" i="6"/>
  <c r="BW262" i="6"/>
  <c r="BW261" i="6"/>
  <c r="BW260" i="6"/>
  <c r="BW259" i="6"/>
  <c r="BW258" i="6"/>
  <c r="BW257" i="6"/>
  <c r="BW256" i="6"/>
  <c r="BW255" i="6"/>
  <c r="BW254" i="6"/>
  <c r="BW253" i="6"/>
  <c r="BW252" i="6"/>
  <c r="BW251" i="6"/>
  <c r="BW250" i="6"/>
  <c r="BW249" i="6"/>
  <c r="BW248" i="6"/>
  <c r="BW247" i="6"/>
  <c r="BW246" i="6"/>
  <c r="BW245" i="6"/>
  <c r="BW244" i="6"/>
  <c r="BW243" i="6"/>
  <c r="BW242" i="6"/>
  <c r="BW241" i="6"/>
  <c r="BW240" i="6"/>
  <c r="BW239" i="6"/>
  <c r="BW238" i="6"/>
  <c r="BW237" i="6"/>
  <c r="BW236" i="6"/>
  <c r="BW235" i="6"/>
  <c r="BW234" i="6"/>
  <c r="BW233" i="6"/>
  <c r="BW232" i="6"/>
  <c r="BW231" i="6"/>
  <c r="BW230" i="6"/>
  <c r="BW229" i="6"/>
  <c r="BW228" i="6"/>
  <c r="BW227" i="6"/>
  <c r="BW226" i="6"/>
  <c r="BW225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380" i="18"/>
  <c r="B274" i="18"/>
  <c r="B71" i="18" l="1"/>
  <c r="BP13" i="6" l="1"/>
  <c r="I5" i="19" l="1"/>
  <c r="I4" i="19"/>
  <c r="L38" i="26"/>
  <c r="N74" i="26"/>
  <c r="L37" i="26"/>
  <c r="N73" i="26"/>
  <c r="L36" i="26"/>
  <c r="N72" i="26"/>
  <c r="L35" i="26"/>
  <c r="N71" i="26"/>
  <c r="E35" i="26"/>
  <c r="L34" i="26"/>
  <c r="N70" i="26"/>
  <c r="E34" i="26"/>
  <c r="L33" i="26"/>
  <c r="E33" i="26"/>
  <c r="L32" i="26"/>
  <c r="N68" i="26"/>
  <c r="E32" i="26"/>
  <c r="L31" i="26"/>
  <c r="N67" i="26"/>
  <c r="E31" i="26"/>
  <c r="L30" i="26"/>
  <c r="N66" i="26"/>
  <c r="E30" i="26"/>
  <c r="L29" i="26"/>
  <c r="N65" i="26"/>
  <c r="E29" i="26"/>
  <c r="L28" i="26"/>
  <c r="N64" i="26"/>
  <c r="E28" i="26"/>
  <c r="L27" i="26"/>
  <c r="N63" i="26"/>
  <c r="E27" i="26"/>
  <c r="L26" i="26"/>
  <c r="N62" i="26"/>
  <c r="E26" i="26"/>
  <c r="L25" i="26"/>
  <c r="N61" i="26"/>
  <c r="E25" i="26"/>
  <c r="L39" i="26"/>
  <c r="N75" i="26"/>
  <c r="L48" i="26"/>
  <c r="L40" i="26"/>
  <c r="N76" i="26"/>
  <c r="L24" i="26"/>
  <c r="N60" i="26"/>
  <c r="E24" i="26"/>
  <c r="L23" i="26"/>
  <c r="N59" i="26"/>
  <c r="E23" i="26"/>
  <c r="L41" i="26"/>
  <c r="N77" i="26"/>
  <c r="L51" i="26"/>
  <c r="AC79" i="26"/>
  <c r="AC78" i="26"/>
  <c r="AC77" i="26"/>
  <c r="AC76" i="26"/>
  <c r="AC75" i="26"/>
  <c r="AC74" i="26"/>
  <c r="AC73" i="26"/>
  <c r="AC72" i="26"/>
  <c r="AC71" i="26"/>
  <c r="AC68" i="26"/>
  <c r="AC67" i="26"/>
  <c r="AC66" i="26"/>
  <c r="AC63" i="26"/>
  <c r="AC62" i="26"/>
  <c r="AC60" i="26"/>
  <c r="AC58" i="26"/>
  <c r="I22" i="26"/>
  <c r="O58" i="26"/>
  <c r="AC57" i="26"/>
  <c r="AC56" i="26"/>
  <c r="M79" i="26"/>
  <c r="Q79" i="26"/>
  <c r="M78" i="26"/>
  <c r="Z78" i="26"/>
  <c r="M76" i="26"/>
  <c r="Y76" i="26"/>
  <c r="E22" i="26"/>
  <c r="Z54" i="26"/>
  <c r="E14" i="26"/>
  <c r="G26" i="26"/>
  <c r="M62" i="26"/>
  <c r="M77" i="26"/>
  <c r="P77" i="26"/>
  <c r="BF16" i="6"/>
  <c r="B54" i="26"/>
  <c r="N54" i="26"/>
  <c r="A69" i="26"/>
  <c r="A68" i="26"/>
  <c r="A78" i="26"/>
  <c r="A77" i="26"/>
  <c r="A76" i="26"/>
  <c r="A75" i="26"/>
  <c r="A79" i="26"/>
  <c r="A74" i="26"/>
  <c r="A73" i="26"/>
  <c r="A72" i="26"/>
  <c r="A71" i="26"/>
  <c r="A70" i="26"/>
  <c r="L43" i="26"/>
  <c r="N79" i="26"/>
  <c r="L42" i="26"/>
  <c r="N78" i="26"/>
  <c r="L22" i="26"/>
  <c r="N58" i="26"/>
  <c r="L21" i="26"/>
  <c r="N57" i="26"/>
  <c r="L20" i="26"/>
  <c r="N56" i="26"/>
  <c r="L19" i="26"/>
  <c r="L18" i="26"/>
  <c r="L17" i="26"/>
  <c r="L16" i="26"/>
  <c r="M57" i="26"/>
  <c r="R5" i="26"/>
  <c r="I40" i="26"/>
  <c r="O76" i="26"/>
  <c r="M56" i="26"/>
  <c r="Y56" i="26"/>
  <c r="L45" i="26"/>
  <c r="L46" i="26"/>
  <c r="L47" i="26"/>
  <c r="L49" i="26"/>
  <c r="W10" i="26"/>
  <c r="B10" i="26"/>
  <c r="F11" i="26"/>
  <c r="F10" i="26"/>
  <c r="G12" i="26"/>
  <c r="F12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E16" i="26"/>
  <c r="L12" i="26"/>
  <c r="A15" i="1"/>
  <c r="A16" i="1"/>
  <c r="A17" i="1"/>
  <c r="L11" i="26"/>
  <c r="L10" i="26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O226" i="1" s="1"/>
  <c r="BF225" i="6"/>
  <c r="BF224" i="6"/>
  <c r="AC224" i="1" s="1"/>
  <c r="BF223" i="6"/>
  <c r="BF222" i="6"/>
  <c r="AC222" i="1" s="1"/>
  <c r="BF221" i="6"/>
  <c r="BF220" i="6"/>
  <c r="AC220" i="1" s="1"/>
  <c r="BF219" i="6"/>
  <c r="BF218" i="6"/>
  <c r="O218" i="1" s="1"/>
  <c r="BF217" i="6"/>
  <c r="BF216" i="6"/>
  <c r="AC216" i="1" s="1"/>
  <c r="BF215" i="6"/>
  <c r="BF214" i="6"/>
  <c r="AC214" i="1" s="1"/>
  <c r="BF213" i="6"/>
  <c r="BF212" i="6"/>
  <c r="O212" i="1" s="1"/>
  <c r="BF211" i="6"/>
  <c r="BF210" i="6"/>
  <c r="O210" i="1" s="1"/>
  <c r="C26" i="7" s="1"/>
  <c r="BF209" i="6"/>
  <c r="BF208" i="6"/>
  <c r="AC208" i="1" s="1"/>
  <c r="BF207" i="6"/>
  <c r="BF206" i="6"/>
  <c r="O206" i="1" s="1"/>
  <c r="BF205" i="6"/>
  <c r="BF204" i="6"/>
  <c r="O204" i="1" s="1"/>
  <c r="BF203" i="6"/>
  <c r="BF202" i="6"/>
  <c r="AC202" i="1" s="1"/>
  <c r="BF201" i="6"/>
  <c r="BF200" i="6"/>
  <c r="AC200" i="1" s="1"/>
  <c r="BF199" i="6"/>
  <c r="BF198" i="6"/>
  <c r="AC198" i="1" s="1"/>
  <c r="BF197" i="6"/>
  <c r="AC197" i="1" s="1"/>
  <c r="BF196" i="6"/>
  <c r="O196" i="1" s="1"/>
  <c r="BF195" i="6"/>
  <c r="AC195" i="1" s="1"/>
  <c r="BF194" i="6"/>
  <c r="AC194" i="1" s="1"/>
  <c r="BF193" i="6"/>
  <c r="BF192" i="6"/>
  <c r="O192" i="1" s="1"/>
  <c r="BF191" i="6"/>
  <c r="BF190" i="6"/>
  <c r="AC190" i="1" s="1"/>
  <c r="BF189" i="6"/>
  <c r="BF188" i="6"/>
  <c r="AC188" i="1" s="1"/>
  <c r="BF187" i="6"/>
  <c r="BF186" i="6"/>
  <c r="O186" i="1" s="1"/>
  <c r="BF185" i="6"/>
  <c r="BF184" i="6"/>
  <c r="O184" i="1" s="1"/>
  <c r="BF183" i="6"/>
  <c r="BF182" i="6"/>
  <c r="AC182" i="1" s="1"/>
  <c r="BF181" i="6"/>
  <c r="BF180" i="6"/>
  <c r="BF179" i="6"/>
  <c r="BF178" i="6"/>
  <c r="AC178" i="1" s="1"/>
  <c r="BF177" i="6"/>
  <c r="BF176" i="6"/>
  <c r="O176" i="1" s="1"/>
  <c r="BF175" i="6"/>
  <c r="BF174" i="6"/>
  <c r="BF173" i="6"/>
  <c r="BF172" i="6"/>
  <c r="AC172" i="1" s="1"/>
  <c r="BF171" i="6"/>
  <c r="BF170" i="6"/>
  <c r="O170" i="1" s="1"/>
  <c r="BF169" i="6"/>
  <c r="BF168" i="6"/>
  <c r="O168" i="1" s="1"/>
  <c r="BF167" i="6"/>
  <c r="BF166" i="6"/>
  <c r="AC166" i="1" s="1"/>
  <c r="BF165" i="6"/>
  <c r="BF164" i="6"/>
  <c r="O164" i="1" s="1"/>
  <c r="BF163" i="6"/>
  <c r="AC163" i="1" s="1"/>
  <c r="BF162" i="6"/>
  <c r="AC162" i="1" s="1"/>
  <c r="BF161" i="6"/>
  <c r="BF160" i="6"/>
  <c r="BF159" i="6"/>
  <c r="BF158" i="6"/>
  <c r="O158" i="1" s="1"/>
  <c r="BF157" i="6"/>
  <c r="BF156" i="6"/>
  <c r="O156" i="1" s="1"/>
  <c r="BF155" i="6"/>
  <c r="BF154" i="6"/>
  <c r="O154" i="1" s="1"/>
  <c r="BF153" i="6"/>
  <c r="BF152" i="6"/>
  <c r="O152" i="1" s="1"/>
  <c r="BF151" i="6"/>
  <c r="BF150" i="6"/>
  <c r="AC150" i="1" s="1"/>
  <c r="BF149" i="6"/>
  <c r="BF148" i="6"/>
  <c r="AC148" i="1" s="1"/>
  <c r="BF147" i="6"/>
  <c r="BF146" i="6"/>
  <c r="AC146" i="1" s="1"/>
  <c r="BF145" i="6"/>
  <c r="BF144" i="6"/>
  <c r="AC144" i="1" s="1"/>
  <c r="BF143" i="6"/>
  <c r="BF142" i="6"/>
  <c r="AC142" i="1" s="1"/>
  <c r="BF141" i="6"/>
  <c r="BF140" i="6"/>
  <c r="AC140" i="1" s="1"/>
  <c r="BF139" i="6"/>
  <c r="BF138" i="6"/>
  <c r="O138" i="1" s="1"/>
  <c r="BF137" i="6"/>
  <c r="BF136" i="6"/>
  <c r="O136" i="1" s="1"/>
  <c r="BF135" i="6"/>
  <c r="BF134" i="6"/>
  <c r="O134" i="1" s="1"/>
  <c r="BF133" i="6"/>
  <c r="BF132" i="6"/>
  <c r="BF131" i="6"/>
  <c r="BF130" i="6"/>
  <c r="O130" i="1" s="1"/>
  <c r="BF129" i="6"/>
  <c r="BF128" i="6"/>
  <c r="BF127" i="6"/>
  <c r="AC127" i="1" s="1"/>
  <c r="BF126" i="6"/>
  <c r="O126" i="1" s="1"/>
  <c r="BF125" i="6"/>
  <c r="AC125" i="1" s="1"/>
  <c r="BF124" i="6"/>
  <c r="BF123" i="6"/>
  <c r="BF122" i="6"/>
  <c r="AC122" i="1" s="1"/>
  <c r="BF121" i="6"/>
  <c r="BF120" i="6"/>
  <c r="AC120" i="1" s="1"/>
  <c r="BF119" i="6"/>
  <c r="BF118" i="6"/>
  <c r="O118" i="1" s="1"/>
  <c r="BF117" i="6"/>
  <c r="BF116" i="6"/>
  <c r="O116" i="1" s="1"/>
  <c r="BF115" i="6"/>
  <c r="BF114" i="6"/>
  <c r="O114" i="1" s="1"/>
  <c r="BF113" i="6"/>
  <c r="BF112" i="6"/>
  <c r="AC112" i="1" s="1"/>
  <c r="BF111" i="6"/>
  <c r="BF110" i="6"/>
  <c r="AC110" i="1" s="1"/>
  <c r="BF109" i="6"/>
  <c r="BF108" i="6"/>
  <c r="O108" i="1" s="1"/>
  <c r="BF107" i="6"/>
  <c r="BF106" i="6"/>
  <c r="BF105" i="6"/>
  <c r="BF104" i="6"/>
  <c r="AC104" i="1" s="1"/>
  <c r="BF103" i="6"/>
  <c r="BF102" i="6"/>
  <c r="BF101" i="6"/>
  <c r="BF100" i="6"/>
  <c r="AC100" i="1" s="1"/>
  <c r="BF99" i="6"/>
  <c r="BF98" i="6"/>
  <c r="AC98" i="1" s="1"/>
  <c r="BF97" i="6"/>
  <c r="BF96" i="6"/>
  <c r="AC96" i="1" s="1"/>
  <c r="BF95" i="6"/>
  <c r="BF94" i="6"/>
  <c r="BF93" i="6"/>
  <c r="BF92" i="6"/>
  <c r="BF91" i="6"/>
  <c r="BF90" i="6"/>
  <c r="BF89" i="6"/>
  <c r="BF88" i="6"/>
  <c r="O88" i="1" s="1"/>
  <c r="C22" i="7" s="1"/>
  <c r="BF87" i="6"/>
  <c r="BF86" i="6"/>
  <c r="O86" i="1" s="1"/>
  <c r="BF85" i="6"/>
  <c r="BF84" i="6"/>
  <c r="AC84" i="1" s="1"/>
  <c r="BF83" i="6"/>
  <c r="BF82" i="6"/>
  <c r="BF81" i="6"/>
  <c r="BF80" i="6"/>
  <c r="O80" i="1" s="1"/>
  <c r="BF79" i="6"/>
  <c r="BF78" i="6"/>
  <c r="O78" i="1" s="1"/>
  <c r="BF77" i="6"/>
  <c r="BF76" i="6"/>
  <c r="AC76" i="1" s="1"/>
  <c r="BF75" i="6"/>
  <c r="BF74" i="6"/>
  <c r="AC74" i="1" s="1"/>
  <c r="BF73" i="6"/>
  <c r="BF72" i="6"/>
  <c r="BF71" i="6"/>
  <c r="BF70" i="6"/>
  <c r="O70" i="1" s="1"/>
  <c r="BF69" i="6"/>
  <c r="BF68" i="6"/>
  <c r="O68" i="1" s="1"/>
  <c r="BF67" i="6"/>
  <c r="BF66" i="6"/>
  <c r="BF65" i="6"/>
  <c r="BF64" i="6"/>
  <c r="BF63" i="6"/>
  <c r="AC63" i="1" s="1"/>
  <c r="BF62" i="6"/>
  <c r="BF61" i="6"/>
  <c r="BF60" i="6"/>
  <c r="O60" i="1" s="1"/>
  <c r="C21" i="7" s="1"/>
  <c r="BF59" i="6"/>
  <c r="O59" i="1" s="1"/>
  <c r="BF58" i="6"/>
  <c r="AC58" i="1" s="1"/>
  <c r="BF57" i="6"/>
  <c r="O57" i="1" s="1"/>
  <c r="BF56" i="6"/>
  <c r="AC56" i="1" s="1"/>
  <c r="BF55" i="6"/>
  <c r="AC55" i="1" s="1"/>
  <c r="BF54" i="6"/>
  <c r="BF53" i="6"/>
  <c r="AC53" i="1" s="1"/>
  <c r="BF52" i="6"/>
  <c r="AC52" i="1" s="1"/>
  <c r="BF51" i="6"/>
  <c r="BF50" i="6"/>
  <c r="BF49" i="6"/>
  <c r="BF48" i="6"/>
  <c r="AC48" i="1" s="1"/>
  <c r="BF47" i="6"/>
  <c r="BF46" i="6"/>
  <c r="AC46" i="1" s="1"/>
  <c r="BF45" i="6"/>
  <c r="AC45" i="1" s="1"/>
  <c r="BF44" i="6"/>
  <c r="AC44" i="1" s="1"/>
  <c r="BF43" i="6"/>
  <c r="BF42" i="6"/>
  <c r="O42" i="1" s="1"/>
  <c r="BF41" i="6"/>
  <c r="BF40" i="6"/>
  <c r="AC40" i="1" s="1"/>
  <c r="BF39" i="6"/>
  <c r="BF38" i="6"/>
  <c r="AC38" i="1" s="1"/>
  <c r="BF37" i="6"/>
  <c r="O37" i="1" s="1"/>
  <c r="BF36" i="6"/>
  <c r="BF35" i="6"/>
  <c r="O35" i="1" s="1"/>
  <c r="BF34" i="6"/>
  <c r="AC34" i="1" s="1"/>
  <c r="BF33" i="6"/>
  <c r="BF32" i="6"/>
  <c r="BF31" i="6"/>
  <c r="BF30" i="6"/>
  <c r="AC30" i="1" s="1"/>
  <c r="BF29" i="6"/>
  <c r="BF28" i="6"/>
  <c r="AC28" i="1" s="1"/>
  <c r="BF27" i="6"/>
  <c r="BF26" i="6"/>
  <c r="BF25" i="6"/>
  <c r="BF24" i="6"/>
  <c r="BF23" i="6"/>
  <c r="O23" i="1" s="1"/>
  <c r="BF22" i="6"/>
  <c r="BF21" i="6"/>
  <c r="BF20" i="6"/>
  <c r="AC20" i="1" s="1"/>
  <c r="BF19" i="6"/>
  <c r="BF18" i="6"/>
  <c r="O18" i="1" s="1"/>
  <c r="BF17" i="6"/>
  <c r="O17" i="1" s="1"/>
  <c r="BF15" i="6"/>
  <c r="BQ4" i="6"/>
  <c r="H12" i="26"/>
  <c r="H11" i="26"/>
  <c r="H10" i="26"/>
  <c r="AO12" i="6"/>
  <c r="AN12" i="6"/>
  <c r="AN17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S43" i="6"/>
  <c r="X12" i="6"/>
  <c r="W12" i="6"/>
  <c r="V12" i="6"/>
  <c r="U12" i="6"/>
  <c r="T12" i="6"/>
  <c r="S12" i="6"/>
  <c r="P43" i="6"/>
  <c r="R12" i="6"/>
  <c r="Q12" i="6"/>
  <c r="Q17" i="6"/>
  <c r="P12" i="6"/>
  <c r="O12" i="6"/>
  <c r="P15" i="6"/>
  <c r="N12" i="6"/>
  <c r="M12" i="6"/>
  <c r="M17" i="6"/>
  <c r="L12" i="6"/>
  <c r="AM13" i="6"/>
  <c r="Z44" i="6" s="1"/>
  <c r="M3" i="6"/>
  <c r="AL13" i="6"/>
  <c r="AK20" i="6" s="1"/>
  <c r="AK13" i="6"/>
  <c r="L44" i="6" s="1"/>
  <c r="M46" i="6" s="1"/>
  <c r="AJ13" i="6"/>
  <c r="E330" i="6" s="1"/>
  <c r="AI13" i="6"/>
  <c r="AJ16" i="6" s="1"/>
  <c r="AH13" i="6"/>
  <c r="E302" i="6" s="1"/>
  <c r="AG13" i="6"/>
  <c r="E288" i="6" s="1"/>
  <c r="AF13" i="6"/>
  <c r="AF18" i="6" s="1"/>
  <c r="AE13" i="6"/>
  <c r="E260" i="6" s="1"/>
  <c r="AD13" i="6"/>
  <c r="V29" i="6" s="1"/>
  <c r="AC13" i="6"/>
  <c r="AB20" i="6" s="1"/>
  <c r="AB13" i="6"/>
  <c r="AA20" i="6" s="1"/>
  <c r="AA13" i="6"/>
  <c r="AB16" i="6" s="1"/>
  <c r="Z13" i="6"/>
  <c r="Z18" i="6" s="1"/>
  <c r="Y13" i="6"/>
  <c r="E176" i="6" s="1"/>
  <c r="X13" i="6"/>
  <c r="S29" i="6" s="1"/>
  <c r="R35" i="6" s="1"/>
  <c r="W13" i="6"/>
  <c r="X16" i="6" s="1"/>
  <c r="V13" i="6"/>
  <c r="R29" i="6" s="1"/>
  <c r="Q35" i="6" s="1"/>
  <c r="U13" i="6"/>
  <c r="Q44" i="6" s="1"/>
  <c r="T13" i="6"/>
  <c r="Q29" i="6" s="1"/>
  <c r="S13" i="6"/>
  <c r="E92" i="6" s="1"/>
  <c r="R13" i="6"/>
  <c r="R18" i="6" s="1"/>
  <c r="Q13" i="6"/>
  <c r="P20" i="6" s="1"/>
  <c r="P13" i="6"/>
  <c r="P18" i="6" s="1"/>
  <c r="O13" i="6"/>
  <c r="O18" i="6" s="1"/>
  <c r="N13" i="6"/>
  <c r="AN13" i="6" s="1"/>
  <c r="L3" i="6"/>
  <c r="AO3" i="6"/>
  <c r="AN3" i="6"/>
  <c r="F55" i="26"/>
  <c r="E55" i="26"/>
  <c r="E73" i="26"/>
  <c r="BO14" i="6"/>
  <c r="BN12" i="6"/>
  <c r="BO12" i="6"/>
  <c r="BO13" i="6"/>
  <c r="A54" i="2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A1" i="26"/>
  <c r="D5" i="26"/>
  <c r="F5" i="26"/>
  <c r="C6" i="19"/>
  <c r="C6" i="26"/>
  <c r="B6" i="26"/>
  <c r="J53" i="26"/>
  <c r="J3" i="26"/>
  <c r="J5" i="26"/>
  <c r="S5" i="26"/>
  <c r="B1" i="26"/>
  <c r="J1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 s="1"/>
  <c r="L11" i="1"/>
  <c r="AE12" i="1"/>
  <c r="I380" i="1"/>
  <c r="H380" i="15"/>
  <c r="I380" i="15"/>
  <c r="H9" i="16"/>
  <c r="B13" i="19"/>
  <c r="H9" i="15"/>
  <c r="B12" i="19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C15" i="7" s="1"/>
  <c r="H9" i="17"/>
  <c r="B14" i="19"/>
  <c r="B383" i="17"/>
  <c r="B381" i="17"/>
  <c r="B382" i="17"/>
  <c r="I154" i="1"/>
  <c r="I147" i="1"/>
  <c r="I79" i="1"/>
  <c r="I24" i="1"/>
  <c r="I109" i="1"/>
  <c r="I159" i="1"/>
  <c r="I163" i="1"/>
  <c r="I51" i="1"/>
  <c r="I31" i="1"/>
  <c r="I69" i="1"/>
  <c r="I21" i="1"/>
  <c r="I124" i="1"/>
  <c r="I101" i="1"/>
  <c r="I108" i="1"/>
  <c r="I141" i="1"/>
  <c r="I148" i="1"/>
  <c r="I63" i="1"/>
  <c r="I74" i="1"/>
  <c r="I113" i="1"/>
  <c r="I168" i="1"/>
  <c r="I62" i="1"/>
  <c r="I77" i="1"/>
  <c r="I155" i="1"/>
  <c r="I19" i="1"/>
  <c r="I80" i="1"/>
  <c r="I84" i="1"/>
  <c r="I58" i="1"/>
  <c r="I130" i="1"/>
  <c r="I76" i="1"/>
  <c r="I57" i="1"/>
  <c r="I158" i="1"/>
  <c r="I107" i="1"/>
  <c r="I156" i="1"/>
  <c r="I123" i="1"/>
  <c r="I30" i="1"/>
  <c r="I86" i="1"/>
  <c r="I146" i="1"/>
  <c r="I96" i="1"/>
  <c r="I70" i="1"/>
  <c r="I164" i="1"/>
  <c r="I88" i="1"/>
  <c r="I105" i="1"/>
  <c r="I121" i="1"/>
  <c r="I151" i="1"/>
  <c r="I85" i="1"/>
  <c r="I71" i="1"/>
  <c r="I89" i="1"/>
  <c r="I72" i="1"/>
  <c r="I33" i="1"/>
  <c r="I61" i="1"/>
  <c r="I149" i="1"/>
  <c r="I132" i="1"/>
  <c r="I36" i="1"/>
  <c r="I35" i="1"/>
  <c r="I100" i="1"/>
  <c r="I78" i="1"/>
  <c r="I97" i="1"/>
  <c r="I26" i="1"/>
  <c r="I41" i="1"/>
  <c r="I111" i="1"/>
  <c r="I46" i="1"/>
  <c r="I52" i="1"/>
  <c r="I48" i="1"/>
  <c r="I23" i="1"/>
  <c r="I98" i="1"/>
  <c r="I59" i="1"/>
  <c r="I43" i="1"/>
  <c r="I49" i="1"/>
  <c r="I134" i="1"/>
  <c r="I25" i="1"/>
  <c r="I32" i="1"/>
  <c r="I135" i="1"/>
  <c r="I94" i="1"/>
  <c r="I128" i="1"/>
  <c r="I40" i="1"/>
  <c r="I91" i="1"/>
  <c r="I102" i="1"/>
  <c r="I50" i="1"/>
  <c r="I125" i="1"/>
  <c r="I104" i="1"/>
  <c r="I60" i="1"/>
  <c r="I68" i="1"/>
  <c r="I106" i="1"/>
  <c r="I44" i="1"/>
  <c r="I67" i="1"/>
  <c r="I126" i="1"/>
  <c r="I160" i="1"/>
  <c r="I37" i="1"/>
  <c r="I83" i="1"/>
  <c r="I55" i="1"/>
  <c r="I29" i="1"/>
  <c r="I34" i="1"/>
  <c r="I17" i="1"/>
  <c r="I165" i="1"/>
  <c r="I116" i="1"/>
  <c r="I81" i="1"/>
  <c r="I16" i="1"/>
  <c r="I75" i="1"/>
  <c r="I110" i="1"/>
  <c r="I93" i="1"/>
  <c r="I90" i="1"/>
  <c r="I82" i="1"/>
  <c r="I92" i="1"/>
  <c r="I142" i="1"/>
  <c r="I114" i="1"/>
  <c r="I56" i="1"/>
  <c r="I122" i="1"/>
  <c r="I133" i="1"/>
  <c r="I95" i="1"/>
  <c r="I120" i="1"/>
  <c r="I73" i="1"/>
  <c r="I127" i="1"/>
  <c r="I118" i="1"/>
  <c r="I161" i="1"/>
  <c r="I39" i="1"/>
  <c r="I119" i="1"/>
  <c r="I42" i="1"/>
  <c r="I87" i="1"/>
  <c r="I112" i="1"/>
  <c r="I162" i="1"/>
  <c r="I140" i="1"/>
  <c r="I22" i="1"/>
  <c r="I64" i="1"/>
  <c r="I157" i="1"/>
  <c r="I153" i="1"/>
  <c r="I38" i="1"/>
  <c r="I150" i="1"/>
  <c r="I143" i="1"/>
  <c r="I145" i="1"/>
  <c r="I20" i="1"/>
  <c r="I65" i="1"/>
  <c r="I152" i="1"/>
  <c r="I54" i="1"/>
  <c r="I47" i="1"/>
  <c r="I115" i="1"/>
  <c r="I138" i="1"/>
  <c r="I117" i="1"/>
  <c r="I27" i="1"/>
  <c r="I144" i="1"/>
  <c r="I103" i="1"/>
  <c r="I45" i="1"/>
  <c r="I137" i="1"/>
  <c r="I66" i="1"/>
  <c r="I129" i="1"/>
  <c r="I28" i="1"/>
  <c r="I53" i="1"/>
  <c r="I139" i="1"/>
  <c r="I99" i="1"/>
  <c r="I136" i="1"/>
  <c r="I166" i="1"/>
  <c r="I167" i="1"/>
  <c r="I18" i="1"/>
  <c r="I131" i="1"/>
  <c r="I15" i="1"/>
  <c r="U55" i="26"/>
  <c r="H55" i="26"/>
  <c r="V55" i="26"/>
  <c r="V14" i="1"/>
  <c r="Y17" i="6"/>
  <c r="V28" i="6"/>
  <c r="AL15" i="6"/>
  <c r="AM17" i="6"/>
  <c r="AM21" i="6"/>
  <c r="P19" i="6"/>
  <c r="O49" i="6"/>
  <c r="W43" i="6"/>
  <c r="W30" i="6"/>
  <c r="M43" i="6"/>
  <c r="N15" i="6"/>
  <c r="T15" i="6"/>
  <c r="V49" i="6"/>
  <c r="Q43" i="6"/>
  <c r="U17" i="6"/>
  <c r="W17" i="6"/>
  <c r="X19" i="6"/>
  <c r="Z15" i="6"/>
  <c r="Z19" i="6"/>
  <c r="T43" i="6"/>
  <c r="AD15" i="6"/>
  <c r="AD19" i="6"/>
  <c r="AE17" i="6"/>
  <c r="AK19" i="6"/>
  <c r="AM15" i="6"/>
  <c r="AM19" i="6"/>
  <c r="AA28" i="6"/>
  <c r="R43" i="6"/>
  <c r="N45" i="6"/>
  <c r="R47" i="6"/>
  <c r="R52" i="6"/>
  <c r="U45" i="6"/>
  <c r="S49" i="6"/>
  <c r="T47" i="6"/>
  <c r="Q47" i="6"/>
  <c r="R45" i="6"/>
  <c r="P49" i="6"/>
  <c r="R49" i="6"/>
  <c r="S47" i="6"/>
  <c r="T45" i="6"/>
  <c r="O17" i="6"/>
  <c r="N19" i="6"/>
  <c r="N43" i="6"/>
  <c r="M49" i="6"/>
  <c r="R15" i="6"/>
  <c r="O43" i="6"/>
  <c r="N49" i="6"/>
  <c r="R19" i="6"/>
  <c r="S17" i="6"/>
  <c r="AH15" i="6"/>
  <c r="AG17" i="6"/>
  <c r="AF19" i="6"/>
  <c r="AH19" i="6"/>
  <c r="AI17" i="6"/>
  <c r="AL19" i="6"/>
  <c r="P45" i="6"/>
  <c r="X45" i="6"/>
  <c r="W47" i="6"/>
  <c r="P47" i="6"/>
  <c r="Q45" i="6"/>
  <c r="Q51" i="6"/>
  <c r="BS8" i="6"/>
  <c r="N47" i="6"/>
  <c r="O45" i="6"/>
  <c r="P52" i="6"/>
  <c r="AV192" i="6"/>
  <c r="AV160" i="6"/>
  <c r="AU131" i="6"/>
  <c r="AW131" i="6"/>
  <c r="AX131" i="6"/>
  <c r="AU128" i="6"/>
  <c r="AW128" i="6"/>
  <c r="AU126" i="6"/>
  <c r="AW126" i="6"/>
  <c r="AU121" i="6"/>
  <c r="AW121" i="6"/>
  <c r="AU108" i="6"/>
  <c r="AW108" i="6"/>
  <c r="AU106" i="6"/>
  <c r="AW106" i="6"/>
  <c r="AU99" i="6"/>
  <c r="AW99" i="6"/>
  <c r="AX99" i="6"/>
  <c r="AU97" i="6"/>
  <c r="AW97" i="6"/>
  <c r="AU96" i="6"/>
  <c r="AW96" i="6"/>
  <c r="AX96" i="6"/>
  <c r="AU95" i="6"/>
  <c r="AW95" i="6"/>
  <c r="AV199" i="6"/>
  <c r="AV167" i="6"/>
  <c r="AV142" i="6"/>
  <c r="AV124" i="6"/>
  <c r="AV110" i="6"/>
  <c r="AV139" i="6"/>
  <c r="AV107" i="6"/>
  <c r="AV101" i="6"/>
  <c r="AV129" i="6"/>
  <c r="AV175" i="6"/>
  <c r="AV159" i="6"/>
  <c r="AU117" i="6"/>
  <c r="AW117" i="6"/>
  <c r="AU102" i="6"/>
  <c r="AW102" i="6"/>
  <c r="AU193" i="6"/>
  <c r="AW193" i="6"/>
  <c r="AU177" i="6"/>
  <c r="AW177" i="6"/>
  <c r="AV140" i="6"/>
  <c r="AV126" i="6"/>
  <c r="AV108" i="6"/>
  <c r="AV94" i="6"/>
  <c r="AV147" i="6"/>
  <c r="AV115" i="6"/>
  <c r="AV157" i="6"/>
  <c r="AV93" i="6"/>
  <c r="AV113" i="6"/>
  <c r="AU146" i="6"/>
  <c r="AW146" i="6"/>
  <c r="AU140" i="6"/>
  <c r="AW140" i="6"/>
  <c r="AU133" i="6"/>
  <c r="AW133" i="6"/>
  <c r="AU130" i="6"/>
  <c r="AW130" i="6"/>
  <c r="AU124" i="6"/>
  <c r="AW124" i="6"/>
  <c r="AX124" i="6"/>
  <c r="AU122" i="6"/>
  <c r="AW122" i="6"/>
  <c r="AU115" i="6"/>
  <c r="AW115" i="6"/>
  <c r="AX115" i="6"/>
  <c r="AU112" i="6"/>
  <c r="AW112" i="6"/>
  <c r="AU110" i="6"/>
  <c r="AW110" i="6"/>
  <c r="AU104" i="6"/>
  <c r="AW104" i="6"/>
  <c r="AV193" i="6"/>
  <c r="AU166" i="6"/>
  <c r="AW166" i="6"/>
  <c r="AV169" i="6"/>
  <c r="AV136" i="6"/>
  <c r="AV104" i="6"/>
  <c r="AV99" i="6"/>
  <c r="AV186" i="6"/>
  <c r="AU153" i="6"/>
  <c r="AW153" i="6"/>
  <c r="AU144" i="6"/>
  <c r="AW144" i="6"/>
  <c r="AU129" i="6"/>
  <c r="AW129" i="6"/>
  <c r="AX129" i="6"/>
  <c r="AU98" i="6"/>
  <c r="AW98" i="6"/>
  <c r="AV203" i="6"/>
  <c r="AV154" i="6"/>
  <c r="AV120" i="6"/>
  <c r="AV184" i="6"/>
  <c r="AV103" i="6"/>
  <c r="AV153" i="6"/>
  <c r="AV172" i="6"/>
  <c r="AU156" i="6"/>
  <c r="AW156" i="6"/>
  <c r="AU152" i="6"/>
  <c r="AW152" i="6"/>
  <c r="AU145" i="6"/>
  <c r="AW145" i="6"/>
  <c r="AU143" i="6"/>
  <c r="AW143" i="6"/>
  <c r="AU134" i="6"/>
  <c r="AW134" i="6"/>
  <c r="AU119" i="6"/>
  <c r="AW119" i="6"/>
  <c r="AU116" i="6"/>
  <c r="AW116" i="6"/>
  <c r="AU94" i="6"/>
  <c r="AW94" i="6"/>
  <c r="AV202" i="6"/>
  <c r="AV171" i="6"/>
  <c r="AV187" i="6"/>
  <c r="AV132" i="6"/>
  <c r="AX132" i="6"/>
  <c r="AV118" i="6"/>
  <c r="AV100" i="6"/>
  <c r="AV119" i="6"/>
  <c r="AV133" i="6"/>
  <c r="AV137" i="6"/>
  <c r="AU203" i="6"/>
  <c r="AW203" i="6"/>
  <c r="AX203" i="6"/>
  <c r="AU199" i="6"/>
  <c r="AW199" i="6"/>
  <c r="AU169" i="6"/>
  <c r="AW169" i="6"/>
  <c r="AU127" i="6"/>
  <c r="AW127" i="6"/>
  <c r="AU120" i="6"/>
  <c r="AW120" i="6"/>
  <c r="AU101" i="6"/>
  <c r="AW101" i="6"/>
  <c r="AX101" i="6"/>
  <c r="AV196" i="6"/>
  <c r="AX196" i="6"/>
  <c r="AV170" i="6"/>
  <c r="AU159" i="6"/>
  <c r="AW159" i="6"/>
  <c r="AX159" i="6"/>
  <c r="AV150" i="6"/>
  <c r="AV134" i="6"/>
  <c r="AV116" i="6"/>
  <c r="AV102" i="6"/>
  <c r="AV180" i="6"/>
  <c r="AV127" i="6"/>
  <c r="AV95" i="6"/>
  <c r="AV125" i="6"/>
  <c r="AV121" i="6"/>
  <c r="AU158" i="6"/>
  <c r="AW158" i="6"/>
  <c r="AU138" i="6"/>
  <c r="AW138" i="6"/>
  <c r="AU136" i="6"/>
  <c r="AW136" i="6"/>
  <c r="AX136" i="6"/>
  <c r="AU202" i="6"/>
  <c r="AW202" i="6"/>
  <c r="AX202" i="6"/>
  <c r="AU198" i="6"/>
  <c r="AW198" i="6"/>
  <c r="AU170" i="6"/>
  <c r="AW170" i="6"/>
  <c r="AV161" i="6"/>
  <c r="AV152" i="6"/>
  <c r="AV122" i="6"/>
  <c r="AX122" i="6"/>
  <c r="AV131" i="6"/>
  <c r="AU178" i="6"/>
  <c r="AW178" i="6"/>
  <c r="AU183" i="6"/>
  <c r="AW183" i="6"/>
  <c r="AV179" i="6"/>
  <c r="AU109" i="6"/>
  <c r="AW109" i="6"/>
  <c r="AU194" i="6"/>
  <c r="AW194" i="6"/>
  <c r="AV168" i="6"/>
  <c r="AV138" i="6"/>
  <c r="AV106" i="6"/>
  <c r="AV135" i="6"/>
  <c r="AV141" i="6"/>
  <c r="AV145" i="6"/>
  <c r="AX145" i="6"/>
  <c r="AV194" i="6"/>
  <c r="AU147" i="6"/>
  <c r="AW147" i="6"/>
  <c r="AX147" i="6"/>
  <c r="AU139" i="6"/>
  <c r="AW139" i="6"/>
  <c r="AX139" i="6"/>
  <c r="AU118" i="6"/>
  <c r="AW118" i="6"/>
  <c r="AU196" i="6"/>
  <c r="AW196" i="6"/>
  <c r="AV200" i="6"/>
  <c r="AV183" i="6"/>
  <c r="AV114" i="6"/>
  <c r="AV111" i="6"/>
  <c r="AU197" i="6"/>
  <c r="AW197" i="6"/>
  <c r="AU155" i="6"/>
  <c r="AW155" i="6"/>
  <c r="AU142" i="6"/>
  <c r="AW142" i="6"/>
  <c r="AX142" i="6"/>
  <c r="AV198" i="6"/>
  <c r="AV164" i="6"/>
  <c r="AV98" i="6"/>
  <c r="AX98" i="6"/>
  <c r="AV109" i="6"/>
  <c r="AX109" i="6"/>
  <c r="AU141" i="6"/>
  <c r="AW141" i="6"/>
  <c r="AU113" i="6"/>
  <c r="AW113" i="6"/>
  <c r="AX113" i="6"/>
  <c r="AV177" i="6"/>
  <c r="AX177" i="6"/>
  <c r="AU181" i="6"/>
  <c r="AW181" i="6"/>
  <c r="AU160" i="6"/>
  <c r="AW160" i="6"/>
  <c r="AX160" i="6"/>
  <c r="AV155" i="6"/>
  <c r="AU137" i="6"/>
  <c r="AW137" i="6"/>
  <c r="AX137" i="6"/>
  <c r="AU105" i="6"/>
  <c r="AW105" i="6"/>
  <c r="AU186" i="6"/>
  <c r="AW186" i="6"/>
  <c r="AU161" i="6"/>
  <c r="AW161" i="6"/>
  <c r="AV143" i="6"/>
  <c r="AV191" i="6"/>
  <c r="AU114" i="6"/>
  <c r="AW114" i="6"/>
  <c r="AV112" i="6"/>
  <c r="AX112" i="6"/>
  <c r="AV162" i="6"/>
  <c r="AU135" i="6"/>
  <c r="AW135" i="6"/>
  <c r="AX135" i="6"/>
  <c r="AU125" i="6"/>
  <c r="AW125" i="6"/>
  <c r="AX125" i="6"/>
  <c r="AU111" i="6"/>
  <c r="AW111" i="6"/>
  <c r="AU103" i="6"/>
  <c r="AW103" i="6"/>
  <c r="AX103" i="6"/>
  <c r="AU182" i="6"/>
  <c r="AW182" i="6"/>
  <c r="AU168" i="6"/>
  <c r="AW168" i="6"/>
  <c r="AX168" i="6"/>
  <c r="AU191" i="6"/>
  <c r="AW191" i="6"/>
  <c r="AV165" i="6"/>
  <c r="AV146" i="6"/>
  <c r="AU172" i="6"/>
  <c r="AW172" i="6"/>
  <c r="AX172" i="6"/>
  <c r="AV117" i="6"/>
  <c r="AU185" i="6"/>
  <c r="AW185" i="6"/>
  <c r="AU171" i="6"/>
  <c r="AW171" i="6"/>
  <c r="AU107" i="6"/>
  <c r="AW107" i="6"/>
  <c r="AU100" i="6"/>
  <c r="AW100" i="6"/>
  <c r="AU190" i="6"/>
  <c r="AW190" i="6"/>
  <c r="AV130" i="6"/>
  <c r="AV123" i="6"/>
  <c r="AV92" i="6"/>
  <c r="AV178" i="6"/>
  <c r="AU132" i="6"/>
  <c r="AW132" i="6"/>
  <c r="AU200" i="6"/>
  <c r="AW200" i="6"/>
  <c r="AX200" i="6"/>
  <c r="AV96" i="6"/>
  <c r="AV163" i="6"/>
  <c r="AV144" i="6"/>
  <c r="AV97" i="6"/>
  <c r="AU149" i="6"/>
  <c r="AW149" i="6"/>
  <c r="AU123" i="6"/>
  <c r="AW123" i="6"/>
  <c r="AX123" i="6"/>
  <c r="AU164" i="6"/>
  <c r="AW164" i="6"/>
  <c r="AV128" i="6"/>
  <c r="AV105" i="6"/>
  <c r="AU151" i="6"/>
  <c r="AW151" i="6"/>
  <c r="AU93" i="6"/>
  <c r="AW93" i="6"/>
  <c r="AV182" i="6"/>
  <c r="AU92" i="6"/>
  <c r="AW92" i="6"/>
  <c r="AX92" i="6"/>
  <c r="P51" i="6"/>
  <c r="N51" i="6"/>
  <c r="N52" i="6"/>
  <c r="AX161" i="6"/>
  <c r="AX170" i="6"/>
  <c r="AX127" i="6"/>
  <c r="AX119" i="6"/>
  <c r="AX146" i="6"/>
  <c r="AX102" i="6"/>
  <c r="AX106" i="6"/>
  <c r="AX14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H9" i="6" s="1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Y14" i="1"/>
  <c r="F14" i="1"/>
  <c r="L1" i="1"/>
  <c r="A11" i="19"/>
  <c r="A35" i="19" s="1"/>
  <c r="J1" i="15"/>
  <c r="A61" i="19"/>
  <c r="A6" i="6"/>
  <c r="A3" i="7"/>
  <c r="X1" i="1"/>
  <c r="K15" i="1"/>
  <c r="A15" i="15"/>
  <c r="O9" i="1"/>
  <c r="AJ380" i="1" s="1"/>
  <c r="L15" i="1"/>
  <c r="A12" i="19"/>
  <c r="A36" i="19" s="1"/>
  <c r="B6" i="6"/>
  <c r="A62" i="19"/>
  <c r="G3" i="7"/>
  <c r="L1" i="15"/>
  <c r="Y14" i="15"/>
  <c r="F14" i="15"/>
  <c r="V14" i="15"/>
  <c r="J380" i="15"/>
  <c r="J1" i="16"/>
  <c r="X1" i="15"/>
  <c r="AB15" i="1"/>
  <c r="X15" i="1"/>
  <c r="L11" i="15"/>
  <c r="A15" i="16"/>
  <c r="A63" i="19"/>
  <c r="J1" i="17"/>
  <c r="M3" i="7"/>
  <c r="V14" i="16"/>
  <c r="L1" i="16"/>
  <c r="AB16" i="1"/>
  <c r="X16" i="1"/>
  <c r="AJ16" i="1"/>
  <c r="L16" i="1"/>
  <c r="K16" i="1"/>
  <c r="E148" i="6"/>
  <c r="O16" i="6"/>
  <c r="Z20" i="6"/>
  <c r="K17" i="1"/>
  <c r="BP13" i="7"/>
  <c r="E7" i="1"/>
  <c r="B13" i="7"/>
  <c r="A18" i="1"/>
  <c r="AB17" i="1"/>
  <c r="X17" i="1"/>
  <c r="L17" i="1"/>
  <c r="A15" i="17"/>
  <c r="X15" i="15"/>
  <c r="L11" i="16"/>
  <c r="Y14" i="16"/>
  <c r="C6" i="6"/>
  <c r="A13" i="19"/>
  <c r="A37" i="19" s="1"/>
  <c r="F14" i="16"/>
  <c r="X1" i="16"/>
  <c r="BS13" i="7"/>
  <c r="AJ18" i="1"/>
  <c r="AC17" i="1"/>
  <c r="BN14" i="6"/>
  <c r="U56" i="26"/>
  <c r="BP14" i="6"/>
  <c r="Q78" i="26"/>
  <c r="Y79" i="26"/>
  <c r="T77" i="26"/>
  <c r="M74" i="26"/>
  <c r="V74" i="26"/>
  <c r="T76" i="26"/>
  <c r="V78" i="26"/>
  <c r="S79" i="26"/>
  <c r="M75" i="26"/>
  <c r="W77" i="26"/>
  <c r="AC64" i="26"/>
  <c r="U74" i="26"/>
  <c r="M73" i="26"/>
  <c r="V73" i="26"/>
  <c r="G24" i="26"/>
  <c r="M60" i="26"/>
  <c r="N69" i="26"/>
  <c r="S75" i="26"/>
  <c r="R75" i="26"/>
  <c r="Z75" i="26"/>
  <c r="U75" i="26"/>
  <c r="P75" i="26"/>
  <c r="Q75" i="26"/>
  <c r="AC61" i="26"/>
  <c r="U34" i="6"/>
  <c r="V32" i="6"/>
  <c r="M15" i="6"/>
  <c r="M21" i="6"/>
  <c r="M28" i="6"/>
  <c r="N17" i="6"/>
  <c r="N28" i="6"/>
  <c r="O15" i="6"/>
  <c r="O21" i="6"/>
  <c r="M19" i="6"/>
  <c r="O28" i="6"/>
  <c r="Q15" i="6"/>
  <c r="Q21" i="6"/>
  <c r="O19" i="6"/>
  <c r="P17" i="6"/>
  <c r="P22" i="6"/>
  <c r="S15" i="6"/>
  <c r="S21" i="6"/>
  <c r="Q19" i="6"/>
  <c r="Q22" i="6"/>
  <c r="R17" i="6"/>
  <c r="P28" i="6"/>
  <c r="Q28" i="6"/>
  <c r="P34" i="6"/>
  <c r="S19" i="6"/>
  <c r="U15" i="6"/>
  <c r="U21" i="6"/>
  <c r="T17" i="6"/>
  <c r="T21" i="6"/>
  <c r="U19" i="6"/>
  <c r="R28" i="6"/>
  <c r="W15" i="6"/>
  <c r="W21" i="6"/>
  <c r="V17" i="6"/>
  <c r="X17" i="6"/>
  <c r="X22" i="6"/>
  <c r="S28" i="6"/>
  <c r="W19" i="6"/>
  <c r="W22" i="6"/>
  <c r="Y15" i="6"/>
  <c r="Y21" i="6"/>
  <c r="T28" i="6"/>
  <c r="Y19" i="6"/>
  <c r="Y22" i="6"/>
  <c r="AA15" i="6"/>
  <c r="Z17" i="6"/>
  <c r="AB17" i="6"/>
  <c r="AA19" i="6"/>
  <c r="U28" i="6"/>
  <c r="AC15" i="6"/>
  <c r="AE15" i="6"/>
  <c r="AE21" i="6"/>
  <c r="AD17" i="6"/>
  <c r="AC19" i="6"/>
  <c r="AE19" i="6"/>
  <c r="W28" i="6"/>
  <c r="AG15" i="6"/>
  <c r="AG21" i="6"/>
  <c r="AF17" i="6"/>
  <c r="AF22" i="6"/>
  <c r="AI15" i="6"/>
  <c r="AI21" i="6"/>
  <c r="AH17" i="6"/>
  <c r="AH22" i="6"/>
  <c r="AG19" i="6"/>
  <c r="X28" i="6"/>
  <c r="AI19" i="6"/>
  <c r="Y28" i="6"/>
  <c r="AK15" i="6"/>
  <c r="AJ17" i="6"/>
  <c r="AX171" i="6"/>
  <c r="AX164" i="6"/>
  <c r="AX100" i="6"/>
  <c r="AX191" i="6"/>
  <c r="AX114" i="6"/>
  <c r="AX198" i="6"/>
  <c r="AX193" i="6"/>
  <c r="AX110" i="6"/>
  <c r="AX133" i="6"/>
  <c r="S52" i="6"/>
  <c r="AV176" i="6"/>
  <c r="AV173" i="6"/>
  <c r="AU192" i="6"/>
  <c r="AW192" i="6"/>
  <c r="AX192" i="6"/>
  <c r="AU179" i="6"/>
  <c r="AW179" i="6"/>
  <c r="AX179" i="6"/>
  <c r="AU175" i="6"/>
  <c r="AW175" i="6"/>
  <c r="AX175" i="6"/>
  <c r="AV158" i="6"/>
  <c r="AX158" i="6"/>
  <c r="AU176" i="6"/>
  <c r="AW176" i="6"/>
  <c r="AV195" i="6"/>
  <c r="AU165" i="6"/>
  <c r="AW165" i="6"/>
  <c r="AX165" i="6"/>
  <c r="AV201" i="6"/>
  <c r="AV166" i="6"/>
  <c r="AX166" i="6"/>
  <c r="AV156" i="6"/>
  <c r="AV174" i="6"/>
  <c r="AU180" i="6"/>
  <c r="AW180" i="6"/>
  <c r="AX180" i="6"/>
  <c r="AV197" i="6"/>
  <c r="AX197" i="6"/>
  <c r="AU167" i="6"/>
  <c r="AW167" i="6"/>
  <c r="AV181" i="6"/>
  <c r="AX181" i="6"/>
  <c r="AV188" i="6"/>
  <c r="AV189" i="6"/>
  <c r="AU154" i="6"/>
  <c r="AW154" i="6"/>
  <c r="AX154" i="6"/>
  <c r="AU150" i="6"/>
  <c r="AW150" i="6"/>
  <c r="AX150" i="6"/>
  <c r="AU195" i="6"/>
  <c r="AW195" i="6"/>
  <c r="AX195" i="6"/>
  <c r="AU162" i="6"/>
  <c r="AW162" i="6"/>
  <c r="AX162" i="6"/>
  <c r="AV148" i="6"/>
  <c r="AV151" i="6"/>
  <c r="AU174" i="6"/>
  <c r="AW174" i="6"/>
  <c r="AX174" i="6"/>
  <c r="AU201" i="6"/>
  <c r="AW201" i="6"/>
  <c r="AX201" i="6"/>
  <c r="AU187" i="6"/>
  <c r="AW187" i="6"/>
  <c r="AX187" i="6"/>
  <c r="AU189" i="6"/>
  <c r="AW189" i="6"/>
  <c r="AU163" i="6"/>
  <c r="AW163" i="6"/>
  <c r="AV185" i="6"/>
  <c r="AX185" i="6"/>
  <c r="AV190" i="6"/>
  <c r="AX190" i="6"/>
  <c r="AU148" i="6"/>
  <c r="AW148" i="6"/>
  <c r="AX148" i="6"/>
  <c r="AU184" i="6"/>
  <c r="AW184" i="6"/>
  <c r="AX184" i="6"/>
  <c r="AU188" i="6"/>
  <c r="AW188" i="6"/>
  <c r="AX188" i="6"/>
  <c r="AV149" i="6"/>
  <c r="AU157" i="6"/>
  <c r="AW157" i="6"/>
  <c r="AX157" i="6"/>
  <c r="AU173" i="6"/>
  <c r="AW173" i="6"/>
  <c r="AX173" i="6"/>
  <c r="AE22" i="6"/>
  <c r="U22" i="6"/>
  <c r="AX130" i="6"/>
  <c r="AX140" i="6"/>
  <c r="AX126" i="6"/>
  <c r="AB28" i="6"/>
  <c r="AA34" i="6"/>
  <c r="AA32" i="6"/>
  <c r="AA37" i="6"/>
  <c r="Z34" i="6"/>
  <c r="AG22" i="6"/>
  <c r="S22" i="6"/>
  <c r="O22" i="6"/>
  <c r="AI22" i="6"/>
  <c r="T51" i="6"/>
  <c r="Y43" i="6"/>
  <c r="AK17" i="6"/>
  <c r="AK22" i="6"/>
  <c r="AJ19" i="6"/>
  <c r="AJ22" i="6"/>
  <c r="Z43" i="6"/>
  <c r="AN15" i="6"/>
  <c r="AN21" i="6"/>
  <c r="AH21" i="6"/>
  <c r="R22" i="6"/>
  <c r="R21" i="6"/>
  <c r="R51" i="6"/>
  <c r="AM22" i="6"/>
  <c r="P21" i="6"/>
  <c r="AX155" i="6"/>
  <c r="AX194" i="6"/>
  <c r="AX178" i="6"/>
  <c r="AX138" i="6"/>
  <c r="AX116" i="6"/>
  <c r="AX134" i="6"/>
  <c r="AX152" i="6"/>
  <c r="AX153" i="6"/>
  <c r="AX93" i="6"/>
  <c r="AX94" i="6"/>
  <c r="AX95" i="6"/>
  <c r="AX97" i="6"/>
  <c r="AX121" i="6"/>
  <c r="AX128" i="6"/>
  <c r="AX144" i="6"/>
  <c r="AX183" i="6"/>
  <c r="BS11" i="6"/>
  <c r="BS4" i="6"/>
  <c r="BS6" i="6"/>
  <c r="BS5" i="6"/>
  <c r="BS9" i="6"/>
  <c r="BS10" i="6"/>
  <c r="BS7" i="6"/>
  <c r="AX151" i="6"/>
  <c r="AX149" i="6"/>
  <c r="AX182" i="6"/>
  <c r="AX186" i="6"/>
  <c r="AX105" i="6"/>
  <c r="AX118" i="6"/>
  <c r="AX169" i="6"/>
  <c r="AX117" i="6"/>
  <c r="AX176" i="6"/>
  <c r="AX107" i="6"/>
  <c r="AX111" i="6"/>
  <c r="AX163" i="6"/>
  <c r="AX189" i="6"/>
  <c r="AX120" i="6"/>
  <c r="AX199" i="6"/>
  <c r="AX143" i="6"/>
  <c r="AX156" i="6"/>
  <c r="AX167" i="6"/>
  <c r="AX104" i="6"/>
  <c r="AX108" i="6"/>
  <c r="F33" i="6"/>
  <c r="H33" i="6"/>
  <c r="G21" i="6"/>
  <c r="F22" i="6"/>
  <c r="G29" i="6"/>
  <c r="F24" i="6"/>
  <c r="H24" i="6"/>
  <c r="F30" i="6"/>
  <c r="H30" i="6"/>
  <c r="O47" i="6"/>
  <c r="V34" i="6"/>
  <c r="V37" i="6"/>
  <c r="S45" i="6"/>
  <c r="S51" i="6"/>
  <c r="Q49" i="6"/>
  <c r="Q52" i="6"/>
  <c r="R30" i="6"/>
  <c r="Q32" i="6"/>
  <c r="L43" i="6"/>
  <c r="M45" i="6"/>
  <c r="M51" i="6"/>
  <c r="M47" i="6"/>
  <c r="M22" i="6"/>
  <c r="V15" i="6"/>
  <c r="V21" i="6"/>
  <c r="T19" i="6"/>
  <c r="T22" i="6"/>
  <c r="X15" i="6"/>
  <c r="X21" i="6"/>
  <c r="V19" i="6"/>
  <c r="V22" i="6"/>
  <c r="AA17" i="6"/>
  <c r="AB15" i="6"/>
  <c r="AB21" i="6"/>
  <c r="AB19" i="6"/>
  <c r="AB22" i="6"/>
  <c r="AC17" i="6"/>
  <c r="U43" i="6"/>
  <c r="AF15" i="6"/>
  <c r="AF21" i="6"/>
  <c r="V43" i="6"/>
  <c r="X43" i="6"/>
  <c r="AJ15" i="6"/>
  <c r="AJ21" i="6"/>
  <c r="Z28" i="6"/>
  <c r="AL17" i="6"/>
  <c r="AN19" i="6"/>
  <c r="AN22" i="6"/>
  <c r="AA43" i="6"/>
  <c r="M72" i="26"/>
  <c r="Q72" i="26"/>
  <c r="G72" i="26"/>
  <c r="R73" i="26"/>
  <c r="Z73" i="26"/>
  <c r="G73" i="26"/>
  <c r="Y73" i="26"/>
  <c r="P73" i="26"/>
  <c r="X73" i="26"/>
  <c r="Y47" i="6"/>
  <c r="Z45" i="6"/>
  <c r="X49" i="6"/>
  <c r="AK21" i="6"/>
  <c r="AD21" i="6"/>
  <c r="AD22" i="6"/>
  <c r="G18" i="6"/>
  <c r="G178" i="6"/>
  <c r="G94" i="6"/>
  <c r="G24" i="6"/>
  <c r="I24" i="6"/>
  <c r="F180" i="6"/>
  <c r="H180" i="6"/>
  <c r="F162" i="6"/>
  <c r="H162" i="6"/>
  <c r="F186" i="6"/>
  <c r="H186" i="6"/>
  <c r="F165" i="6"/>
  <c r="H165" i="6"/>
  <c r="G184" i="6"/>
  <c r="G32" i="6"/>
  <c r="G31" i="6"/>
  <c r="F28" i="6"/>
  <c r="H28" i="6"/>
  <c r="G177" i="6"/>
  <c r="F163" i="6"/>
  <c r="H163" i="6"/>
  <c r="G176" i="6"/>
  <c r="F179" i="6"/>
  <c r="H179" i="6"/>
  <c r="G166" i="6"/>
  <c r="G105" i="6"/>
  <c r="F93" i="6"/>
  <c r="H93" i="6"/>
  <c r="I93" i="6"/>
  <c r="G93" i="6"/>
  <c r="F92" i="6"/>
  <c r="H92" i="6"/>
  <c r="G123" i="6"/>
  <c r="F109" i="6"/>
  <c r="H109" i="6"/>
  <c r="G30" i="6"/>
  <c r="I30" i="6"/>
  <c r="G163" i="6"/>
  <c r="F188" i="6"/>
  <c r="H188" i="6"/>
  <c r="G101" i="6"/>
  <c r="F100" i="6"/>
  <c r="H100" i="6"/>
  <c r="F342" i="6"/>
  <c r="H342" i="6"/>
  <c r="I342" i="6"/>
  <c r="F305" i="6"/>
  <c r="H305" i="6"/>
  <c r="G332" i="6"/>
  <c r="G342" i="6"/>
  <c r="F302" i="6"/>
  <c r="H302" i="6"/>
  <c r="F334" i="6"/>
  <c r="H334" i="6"/>
  <c r="F339" i="6"/>
  <c r="H339" i="6"/>
  <c r="F335" i="6"/>
  <c r="H335" i="6"/>
  <c r="G341" i="6"/>
  <c r="G338" i="6"/>
  <c r="G289" i="6"/>
  <c r="F300" i="6"/>
  <c r="H300" i="6"/>
  <c r="G305" i="6"/>
  <c r="F318" i="6"/>
  <c r="H318" i="6"/>
  <c r="G318" i="6"/>
  <c r="G324" i="6"/>
  <c r="F333" i="6"/>
  <c r="H333" i="6"/>
  <c r="F323" i="6"/>
  <c r="H323" i="6"/>
  <c r="G297" i="6"/>
  <c r="G294" i="6"/>
  <c r="F19" i="6"/>
  <c r="H19" i="6"/>
  <c r="F170" i="6"/>
  <c r="H170" i="6"/>
  <c r="F183" i="6"/>
  <c r="H183" i="6"/>
  <c r="F32" i="6"/>
  <c r="H32" i="6"/>
  <c r="I32" i="6"/>
  <c r="G20" i="6"/>
  <c r="F99" i="6"/>
  <c r="H99" i="6"/>
  <c r="F174" i="6"/>
  <c r="H174" i="6"/>
  <c r="F168" i="6"/>
  <c r="H168" i="6"/>
  <c r="F175" i="6"/>
  <c r="H175" i="6"/>
  <c r="F102" i="6"/>
  <c r="H102" i="6"/>
  <c r="G102" i="6"/>
  <c r="G182" i="6"/>
  <c r="G331" i="6"/>
  <c r="G168" i="6"/>
  <c r="Z21" i="6"/>
  <c r="G335" i="6"/>
  <c r="G337" i="6"/>
  <c r="F320" i="6"/>
  <c r="H320" i="6"/>
  <c r="G336" i="6"/>
  <c r="G291" i="6"/>
  <c r="G326" i="6"/>
  <c r="F317" i="6"/>
  <c r="H317" i="6"/>
  <c r="F328" i="6"/>
  <c r="H328" i="6"/>
  <c r="G304" i="6"/>
  <c r="G340" i="6"/>
  <c r="F65" i="6"/>
  <c r="H65" i="6"/>
  <c r="F150" i="6"/>
  <c r="H150" i="6"/>
  <c r="F135" i="6"/>
  <c r="H135" i="6"/>
  <c r="F105" i="6"/>
  <c r="H105" i="6"/>
  <c r="I105" i="6"/>
  <c r="F166" i="6"/>
  <c r="H166" i="6"/>
  <c r="I166" i="6"/>
  <c r="G53" i="6"/>
  <c r="G120" i="6"/>
  <c r="G145" i="6"/>
  <c r="G15" i="6"/>
  <c r="F149" i="6"/>
  <c r="H149" i="6"/>
  <c r="G165" i="6"/>
  <c r="G104" i="6"/>
  <c r="G140" i="6"/>
  <c r="F20" i="6"/>
  <c r="H20" i="6"/>
  <c r="I20" i="6"/>
  <c r="G172" i="6"/>
  <c r="G131" i="6"/>
  <c r="F84" i="6"/>
  <c r="H84" i="6"/>
  <c r="G56" i="6"/>
  <c r="F127" i="6"/>
  <c r="H127" i="6"/>
  <c r="F126" i="6"/>
  <c r="H126" i="6"/>
  <c r="G139" i="6"/>
  <c r="G74" i="6"/>
  <c r="G180" i="6"/>
  <c r="F88" i="6"/>
  <c r="H88" i="6"/>
  <c r="G90" i="6"/>
  <c r="F26" i="6"/>
  <c r="H26" i="6"/>
  <c r="F98" i="6"/>
  <c r="H98" i="6"/>
  <c r="F129" i="6"/>
  <c r="H129" i="6"/>
  <c r="G162" i="6"/>
  <c r="G19" i="6"/>
  <c r="G169" i="6"/>
  <c r="F173" i="6"/>
  <c r="H173" i="6"/>
  <c r="G185" i="6"/>
  <c r="F321" i="6"/>
  <c r="H321" i="6"/>
  <c r="G315" i="6"/>
  <c r="G333" i="6"/>
  <c r="F316" i="6"/>
  <c r="H316" i="6"/>
  <c r="G299" i="6"/>
  <c r="G339" i="6"/>
  <c r="F304" i="6"/>
  <c r="H304" i="6"/>
  <c r="I304" i="6"/>
  <c r="F292" i="6"/>
  <c r="H292" i="6"/>
  <c r="G306" i="6"/>
  <c r="G34" i="6"/>
  <c r="F29" i="6"/>
  <c r="H29" i="6"/>
  <c r="I29" i="6"/>
  <c r="G158" i="6"/>
  <c r="G170" i="6"/>
  <c r="F128" i="6"/>
  <c r="H128" i="6"/>
  <c r="F114" i="6"/>
  <c r="H114" i="6"/>
  <c r="G155" i="6"/>
  <c r="F57" i="6"/>
  <c r="H57" i="6"/>
  <c r="F184" i="6"/>
  <c r="H184" i="6"/>
  <c r="I184" i="6"/>
  <c r="F21" i="6"/>
  <c r="H21" i="6"/>
  <c r="F87" i="6"/>
  <c r="H87" i="6"/>
  <c r="G175" i="6"/>
  <c r="F96" i="6"/>
  <c r="H96" i="6"/>
  <c r="G171" i="6"/>
  <c r="G73" i="6"/>
  <c r="G116" i="6"/>
  <c r="F39" i="6"/>
  <c r="H39" i="6"/>
  <c r="G144" i="6"/>
  <c r="F181" i="6"/>
  <c r="H181" i="6"/>
  <c r="G22" i="6"/>
  <c r="G81" i="6"/>
  <c r="F85" i="6"/>
  <c r="H85" i="6"/>
  <c r="G89" i="6"/>
  <c r="G52" i="6"/>
  <c r="F95" i="6"/>
  <c r="H95" i="6"/>
  <c r="F375" i="6"/>
  <c r="H375" i="6"/>
  <c r="G378" i="6"/>
  <c r="F167" i="6"/>
  <c r="H167" i="6"/>
  <c r="G96" i="6"/>
  <c r="F301" i="6"/>
  <c r="H301" i="6"/>
  <c r="F331" i="6"/>
  <c r="H331" i="6"/>
  <c r="I331" i="6"/>
  <c r="G319" i="6"/>
  <c r="G310" i="6"/>
  <c r="F296" i="6"/>
  <c r="H296" i="6"/>
  <c r="G322" i="6"/>
  <c r="G307" i="6"/>
  <c r="G320" i="6"/>
  <c r="I320" i="6"/>
  <c r="F313" i="6"/>
  <c r="H313" i="6"/>
  <c r="G95" i="6"/>
  <c r="G84" i="6"/>
  <c r="F61" i="6"/>
  <c r="H61" i="6"/>
  <c r="F143" i="6"/>
  <c r="H143" i="6"/>
  <c r="G183" i="6"/>
  <c r="I183" i="6"/>
  <c r="G78" i="6"/>
  <c r="F161" i="6"/>
  <c r="H161" i="6"/>
  <c r="G173" i="6"/>
  <c r="F60" i="6"/>
  <c r="H60" i="6"/>
  <c r="F160" i="6"/>
  <c r="H160" i="6"/>
  <c r="G68" i="6"/>
  <c r="G35" i="6"/>
  <c r="F25" i="6"/>
  <c r="H25" i="6"/>
  <c r="F48" i="6"/>
  <c r="H48" i="6"/>
  <c r="F115" i="6"/>
  <c r="H115" i="6"/>
  <c r="F122" i="6"/>
  <c r="H122" i="6"/>
  <c r="G174" i="6"/>
  <c r="F134" i="6"/>
  <c r="H134" i="6"/>
  <c r="G51" i="6"/>
  <c r="G167" i="6"/>
  <c r="F45" i="6"/>
  <c r="H45" i="6"/>
  <c r="F35" i="6"/>
  <c r="H35" i="6"/>
  <c r="I35" i="6"/>
  <c r="G149" i="6"/>
  <c r="G97" i="6"/>
  <c r="F136" i="6"/>
  <c r="H136" i="6"/>
  <c r="Z22" i="6"/>
  <c r="F377" i="6"/>
  <c r="H377" i="6"/>
  <c r="G321" i="6"/>
  <c r="F337" i="6"/>
  <c r="H337" i="6"/>
  <c r="I337" i="6"/>
  <c r="F319" i="6"/>
  <c r="H319" i="6"/>
  <c r="I319" i="6"/>
  <c r="F326" i="6"/>
  <c r="H326" i="6"/>
  <c r="I326" i="6"/>
  <c r="F327" i="6"/>
  <c r="H327" i="6"/>
  <c r="G156" i="6"/>
  <c r="G136" i="6"/>
  <c r="F155" i="6"/>
  <c r="H155" i="6"/>
  <c r="I155" i="6"/>
  <c r="F146" i="6"/>
  <c r="H146" i="6"/>
  <c r="I146" i="6"/>
  <c r="G147" i="6"/>
  <c r="G160" i="6"/>
  <c r="G146" i="6"/>
  <c r="F137" i="6"/>
  <c r="H137" i="6"/>
  <c r="G130" i="6"/>
  <c r="F118" i="6"/>
  <c r="H118" i="6"/>
  <c r="G111" i="6"/>
  <c r="F23" i="6"/>
  <c r="H23" i="6"/>
  <c r="G164" i="6"/>
  <c r="G23" i="6"/>
  <c r="I23" i="6"/>
  <c r="F176" i="6"/>
  <c r="H176" i="6"/>
  <c r="I176" i="6"/>
  <c r="G187" i="6"/>
  <c r="F101" i="6"/>
  <c r="H101" i="6"/>
  <c r="I101" i="6"/>
  <c r="F169" i="6"/>
  <c r="H169" i="6"/>
  <c r="F94" i="6"/>
  <c r="H94" i="6"/>
  <c r="I94" i="6"/>
  <c r="G323" i="6"/>
  <c r="F338" i="6"/>
  <c r="H338" i="6"/>
  <c r="I338" i="6"/>
  <c r="F298" i="6"/>
  <c r="H298" i="6"/>
  <c r="F289" i="6"/>
  <c r="H289" i="6"/>
  <c r="I289" i="6"/>
  <c r="F329" i="6"/>
  <c r="H329" i="6"/>
  <c r="F31" i="6"/>
  <c r="H31" i="6"/>
  <c r="I31" i="6"/>
  <c r="F37" i="6"/>
  <c r="H37" i="6"/>
  <c r="G114" i="6"/>
  <c r="F43" i="6"/>
  <c r="H43" i="6"/>
  <c r="I43" i="6"/>
  <c r="G33" i="6"/>
  <c r="I33" i="6"/>
  <c r="F40" i="6"/>
  <c r="H40" i="6"/>
  <c r="F131" i="6"/>
  <c r="H131" i="6"/>
  <c r="I131" i="6"/>
  <c r="G99" i="6"/>
  <c r="F121" i="6"/>
  <c r="H121" i="6"/>
  <c r="F145" i="6"/>
  <c r="H145" i="6"/>
  <c r="I145" i="6"/>
  <c r="G186" i="6"/>
  <c r="F172" i="6"/>
  <c r="H172" i="6"/>
  <c r="I172" i="6"/>
  <c r="F156" i="6"/>
  <c r="H156" i="6"/>
  <c r="I156" i="6"/>
  <c r="G119" i="6"/>
  <c r="G134" i="6"/>
  <c r="G100" i="6"/>
  <c r="F177" i="6"/>
  <c r="H177" i="6"/>
  <c r="I177" i="6"/>
  <c r="G129" i="6"/>
  <c r="G179" i="6"/>
  <c r="G316" i="6"/>
  <c r="G292" i="6"/>
  <c r="G303" i="6"/>
  <c r="F290" i="6"/>
  <c r="H290" i="6"/>
  <c r="G148" i="6"/>
  <c r="G26" i="6"/>
  <c r="G181" i="6"/>
  <c r="G41" i="6"/>
  <c r="G25" i="6"/>
  <c r="G43" i="6"/>
  <c r="F18" i="6"/>
  <c r="H18" i="6"/>
  <c r="I18" i="6"/>
  <c r="G55" i="6"/>
  <c r="F81" i="6"/>
  <c r="H81" i="6"/>
  <c r="I81" i="6"/>
  <c r="G59" i="6"/>
  <c r="G27" i="6"/>
  <c r="G188" i="6"/>
  <c r="F34" i="6"/>
  <c r="H34" i="6"/>
  <c r="I34" i="6"/>
  <c r="G128" i="6"/>
  <c r="F309" i="6"/>
  <c r="H309" i="6"/>
  <c r="F325" i="6"/>
  <c r="H325" i="6"/>
  <c r="F312" i="6"/>
  <c r="H312" i="6"/>
  <c r="F340" i="6"/>
  <c r="H340" i="6"/>
  <c r="I340" i="6"/>
  <c r="G298" i="6"/>
  <c r="G47" i="6"/>
  <c r="G109" i="6"/>
  <c r="F113" i="6"/>
  <c r="H113" i="6"/>
  <c r="G79" i="6"/>
  <c r="G189" i="6"/>
  <c r="F55" i="6"/>
  <c r="H55" i="6"/>
  <c r="I55" i="6"/>
  <c r="G61" i="6"/>
  <c r="G62" i="6"/>
  <c r="F69" i="6"/>
  <c r="H69" i="6"/>
  <c r="F56" i="6"/>
  <c r="H56" i="6"/>
  <c r="I56" i="6"/>
  <c r="F15" i="6"/>
  <c r="H15" i="6"/>
  <c r="I15" i="6"/>
  <c r="F75" i="6"/>
  <c r="H75" i="6"/>
  <c r="F27" i="6"/>
  <c r="H27" i="6"/>
  <c r="G330" i="6"/>
  <c r="G325" i="6"/>
  <c r="G157" i="6"/>
  <c r="F144" i="6"/>
  <c r="H144" i="6"/>
  <c r="I144" i="6"/>
  <c r="G150" i="6"/>
  <c r="I150" i="6"/>
  <c r="F147" i="6"/>
  <c r="H147" i="6"/>
  <c r="I147" i="6"/>
  <c r="F108" i="6"/>
  <c r="H108" i="6"/>
  <c r="G117" i="6"/>
  <c r="G133" i="6"/>
  <c r="F125" i="6"/>
  <c r="H125" i="6"/>
  <c r="F133" i="6"/>
  <c r="H133" i="6"/>
  <c r="I133" i="6"/>
  <c r="G106" i="6"/>
  <c r="F110" i="6"/>
  <c r="H110" i="6"/>
  <c r="F376" i="6"/>
  <c r="H376" i="6"/>
  <c r="G376" i="6"/>
  <c r="G379" i="6"/>
  <c r="F299" i="6"/>
  <c r="H299" i="6"/>
  <c r="I299" i="6"/>
  <c r="G309" i="6"/>
  <c r="F303" i="6"/>
  <c r="H303" i="6"/>
  <c r="I303" i="6"/>
  <c r="F310" i="6"/>
  <c r="H310" i="6"/>
  <c r="I310" i="6"/>
  <c r="G301" i="6"/>
  <c r="G311" i="6"/>
  <c r="G77" i="6"/>
  <c r="F68" i="6"/>
  <c r="H68" i="6"/>
  <c r="I68" i="6"/>
  <c r="F91" i="6"/>
  <c r="H91" i="6"/>
  <c r="F76" i="6"/>
  <c r="H76" i="6"/>
  <c r="G72" i="6"/>
  <c r="G85" i="6"/>
  <c r="F83" i="6"/>
  <c r="H83" i="6"/>
  <c r="G36" i="6"/>
  <c r="G58" i="6"/>
  <c r="G45" i="6"/>
  <c r="F62" i="6"/>
  <c r="H62" i="6"/>
  <c r="I62" i="6"/>
  <c r="F52" i="6"/>
  <c r="H52" i="6"/>
  <c r="I52" i="6"/>
  <c r="F41" i="6"/>
  <c r="H41" i="6"/>
  <c r="I41" i="6"/>
  <c r="F322" i="6"/>
  <c r="H322" i="6"/>
  <c r="I322" i="6"/>
  <c r="G329" i="6"/>
  <c r="G328" i="6"/>
  <c r="G138" i="6"/>
  <c r="F158" i="6"/>
  <c r="H158" i="6"/>
  <c r="I158" i="6"/>
  <c r="F154" i="6"/>
  <c r="H154" i="6"/>
  <c r="G161" i="6"/>
  <c r="F138" i="6"/>
  <c r="H138" i="6"/>
  <c r="I138" i="6"/>
  <c r="G137" i="6"/>
  <c r="I137" i="6"/>
  <c r="F151" i="6"/>
  <c r="H151" i="6"/>
  <c r="G113" i="6"/>
  <c r="I113" i="6"/>
  <c r="F116" i="6"/>
  <c r="H116" i="6"/>
  <c r="I116" i="6"/>
  <c r="G126" i="6"/>
  <c r="F117" i="6"/>
  <c r="H117" i="6"/>
  <c r="I117" i="6"/>
  <c r="G132" i="6"/>
  <c r="F107" i="6"/>
  <c r="H107" i="6"/>
  <c r="G377" i="6"/>
  <c r="F378" i="6"/>
  <c r="H378" i="6"/>
  <c r="I378" i="6"/>
  <c r="G372" i="6"/>
  <c r="G302" i="6"/>
  <c r="F297" i="6"/>
  <c r="H297" i="6"/>
  <c r="I297" i="6"/>
  <c r="G312" i="6"/>
  <c r="F311" i="6"/>
  <c r="H311" i="6"/>
  <c r="I311" i="6"/>
  <c r="F308" i="6"/>
  <c r="H308" i="6"/>
  <c r="G288" i="6"/>
  <c r="G313" i="6"/>
  <c r="G71" i="6"/>
  <c r="F90" i="6"/>
  <c r="H90" i="6"/>
  <c r="I90" i="6"/>
  <c r="G75" i="6"/>
  <c r="F72" i="6"/>
  <c r="H72" i="6"/>
  <c r="I72" i="6"/>
  <c r="F66" i="6"/>
  <c r="H66" i="6"/>
  <c r="G91" i="6"/>
  <c r="G70" i="6"/>
  <c r="F64" i="6"/>
  <c r="H64" i="6"/>
  <c r="G60" i="6"/>
  <c r="G50" i="6"/>
  <c r="F46" i="6"/>
  <c r="H46" i="6"/>
  <c r="F36" i="6"/>
  <c r="H36" i="6"/>
  <c r="I36" i="6"/>
  <c r="F58" i="6"/>
  <c r="H58" i="6"/>
  <c r="I58" i="6"/>
  <c r="F38" i="6"/>
  <c r="H38" i="6"/>
  <c r="I38" i="6"/>
  <c r="F189" i="6"/>
  <c r="H189" i="6"/>
  <c r="F187" i="6"/>
  <c r="H187" i="6"/>
  <c r="I187" i="6"/>
  <c r="G92" i="6"/>
  <c r="F124" i="6"/>
  <c r="H124" i="6"/>
  <c r="G290" i="6"/>
  <c r="F341" i="6"/>
  <c r="H341" i="6"/>
  <c r="I341" i="6"/>
  <c r="G46" i="6"/>
  <c r="F16" i="6"/>
  <c r="H16" i="6"/>
  <c r="G38" i="6"/>
  <c r="G118" i="6"/>
  <c r="F63" i="6"/>
  <c r="H63" i="6"/>
  <c r="G86" i="6"/>
  <c r="G39" i="6"/>
  <c r="G125" i="6"/>
  <c r="F178" i="6"/>
  <c r="H178" i="6"/>
  <c r="I178" i="6"/>
  <c r="G98" i="6"/>
  <c r="F306" i="6"/>
  <c r="H306" i="6"/>
  <c r="I306" i="6"/>
  <c r="G327" i="6"/>
  <c r="G88" i="6"/>
  <c r="F164" i="6"/>
  <c r="H164" i="6"/>
  <c r="I164" i="6"/>
  <c r="G37" i="6"/>
  <c r="F67" i="6"/>
  <c r="H67" i="6"/>
  <c r="F73" i="6"/>
  <c r="H73" i="6"/>
  <c r="I73" i="6"/>
  <c r="F379" i="6"/>
  <c r="H379" i="6"/>
  <c r="I379" i="6"/>
  <c r="F336" i="6"/>
  <c r="H336" i="6"/>
  <c r="I336" i="6"/>
  <c r="G308" i="6"/>
  <c r="G48" i="6"/>
  <c r="F104" i="6"/>
  <c r="H104" i="6"/>
  <c r="I104" i="6"/>
  <c r="G127" i="6"/>
  <c r="G28" i="6"/>
  <c r="G112" i="6"/>
  <c r="F82" i="6"/>
  <c r="H82" i="6"/>
  <c r="F373" i="6"/>
  <c r="H373" i="6"/>
  <c r="F324" i="6"/>
  <c r="H324" i="6"/>
  <c r="I324" i="6"/>
  <c r="G153" i="6"/>
  <c r="G154" i="6"/>
  <c r="F120" i="6"/>
  <c r="H120" i="6"/>
  <c r="I120" i="6"/>
  <c r="G110" i="6"/>
  <c r="F119" i="6"/>
  <c r="H119" i="6"/>
  <c r="I119" i="6"/>
  <c r="G380" i="6"/>
  <c r="G314" i="6"/>
  <c r="F295" i="6"/>
  <c r="H295" i="6"/>
  <c r="G66" i="6"/>
  <c r="F77" i="6"/>
  <c r="H77" i="6"/>
  <c r="I77" i="6"/>
  <c r="F80" i="6"/>
  <c r="H80" i="6"/>
  <c r="G40" i="6"/>
  <c r="I40" i="6"/>
  <c r="G44" i="6"/>
  <c r="F47" i="6"/>
  <c r="H47" i="6"/>
  <c r="I47" i="6"/>
  <c r="G63" i="6"/>
  <c r="G317" i="6"/>
  <c r="G141" i="6"/>
  <c r="G152" i="6"/>
  <c r="G159" i="6"/>
  <c r="F142" i="6"/>
  <c r="H142" i="6"/>
  <c r="G107" i="6"/>
  <c r="G124" i="6"/>
  <c r="G108" i="6"/>
  <c r="G373" i="6"/>
  <c r="G375" i="6"/>
  <c r="F307" i="6"/>
  <c r="H307" i="6"/>
  <c r="I307" i="6"/>
  <c r="G300" i="6"/>
  <c r="F89" i="6"/>
  <c r="H89" i="6"/>
  <c r="I89" i="6"/>
  <c r="G83" i="6"/>
  <c r="G87" i="6"/>
  <c r="G69" i="6"/>
  <c r="I69" i="6"/>
  <c r="F42" i="6"/>
  <c r="H42" i="6"/>
  <c r="I42" i="6"/>
  <c r="G42" i="6"/>
  <c r="F59" i="6"/>
  <c r="H59" i="6"/>
  <c r="I59" i="6"/>
  <c r="F97" i="6"/>
  <c r="H97" i="6"/>
  <c r="I97" i="6"/>
  <c r="F293" i="6"/>
  <c r="H293" i="6"/>
  <c r="G343" i="6"/>
  <c r="F17" i="6"/>
  <c r="H17" i="6"/>
  <c r="F152" i="6"/>
  <c r="H152" i="6"/>
  <c r="G121" i="6"/>
  <c r="F103" i="6"/>
  <c r="H103" i="6"/>
  <c r="F294" i="6"/>
  <c r="H294" i="6"/>
  <c r="I294" i="6"/>
  <c r="F157" i="6"/>
  <c r="H157" i="6"/>
  <c r="I157" i="6"/>
  <c r="F44" i="6"/>
  <c r="H44" i="6"/>
  <c r="I44" i="6"/>
  <c r="G64" i="6"/>
  <c r="F171" i="6"/>
  <c r="H171" i="6"/>
  <c r="I171" i="6"/>
  <c r="F343" i="6"/>
  <c r="H343" i="6"/>
  <c r="I343" i="6"/>
  <c r="G82" i="6"/>
  <c r="F50" i="6"/>
  <c r="H50" i="6"/>
  <c r="F123" i="6"/>
  <c r="H123" i="6"/>
  <c r="I123" i="6"/>
  <c r="G57" i="6"/>
  <c r="G151" i="6"/>
  <c r="G143" i="6"/>
  <c r="F380" i="6"/>
  <c r="H380" i="6"/>
  <c r="I380" i="6"/>
  <c r="F315" i="6"/>
  <c r="H315" i="6"/>
  <c r="I315" i="6"/>
  <c r="F71" i="6"/>
  <c r="H71" i="6"/>
  <c r="I71" i="6"/>
  <c r="G49" i="6"/>
  <c r="G142" i="6"/>
  <c r="G135" i="6"/>
  <c r="F106" i="6"/>
  <c r="H106" i="6"/>
  <c r="I106" i="6"/>
  <c r="F111" i="6"/>
  <c r="H111" i="6"/>
  <c r="I111" i="6"/>
  <c r="G374" i="6"/>
  <c r="F288" i="6"/>
  <c r="H288" i="6"/>
  <c r="I288" i="6"/>
  <c r="F86" i="6"/>
  <c r="H86" i="6"/>
  <c r="I86" i="6"/>
  <c r="F70" i="6"/>
  <c r="H70" i="6"/>
  <c r="I70" i="6"/>
  <c r="F74" i="6"/>
  <c r="H74" i="6"/>
  <c r="I74" i="6"/>
  <c r="F51" i="6"/>
  <c r="H51" i="6"/>
  <c r="I51" i="6"/>
  <c r="G16" i="6"/>
  <c r="F314" i="6"/>
  <c r="H314" i="6"/>
  <c r="F182" i="6"/>
  <c r="H182" i="6"/>
  <c r="I182" i="6"/>
  <c r="F49" i="6"/>
  <c r="H49" i="6"/>
  <c r="I49" i="6"/>
  <c r="F332" i="6"/>
  <c r="H332" i="6"/>
  <c r="I332" i="6"/>
  <c r="G17" i="6"/>
  <c r="G103" i="6"/>
  <c r="F153" i="6"/>
  <c r="H153" i="6"/>
  <c r="I153" i="6"/>
  <c r="F140" i="6"/>
  <c r="H140" i="6"/>
  <c r="I140" i="6"/>
  <c r="F139" i="6"/>
  <c r="H139" i="6"/>
  <c r="I139" i="6"/>
  <c r="G115" i="6"/>
  <c r="G295" i="6"/>
  <c r="F79" i="6"/>
  <c r="H79" i="6"/>
  <c r="I79" i="6"/>
  <c r="F330" i="6"/>
  <c r="H330" i="6"/>
  <c r="I330" i="6"/>
  <c r="F159" i="6"/>
  <c r="H159" i="6"/>
  <c r="I159" i="6"/>
  <c r="F374" i="6"/>
  <c r="H374" i="6"/>
  <c r="G293" i="6"/>
  <c r="I293" i="6"/>
  <c r="G65" i="6"/>
  <c r="G54" i="6"/>
  <c r="F185" i="6"/>
  <c r="H185" i="6"/>
  <c r="I185" i="6"/>
  <c r="F130" i="6"/>
  <c r="H130" i="6"/>
  <c r="I130" i="6"/>
  <c r="F141" i="6"/>
  <c r="H141" i="6"/>
  <c r="I141" i="6"/>
  <c r="F112" i="6"/>
  <c r="H112" i="6"/>
  <c r="I112" i="6"/>
  <c r="G76" i="6"/>
  <c r="F291" i="6"/>
  <c r="H291" i="6"/>
  <c r="I291" i="6"/>
  <c r="F78" i="6"/>
  <c r="H78" i="6"/>
  <c r="I78" i="6"/>
  <c r="G334" i="6"/>
  <c r="F132" i="6"/>
  <c r="H132" i="6"/>
  <c r="I132" i="6"/>
  <c r="F372" i="6"/>
  <c r="H372" i="6"/>
  <c r="I372" i="6"/>
  <c r="G80" i="6"/>
  <c r="F54" i="6"/>
  <c r="H54" i="6"/>
  <c r="I54" i="6"/>
  <c r="F148" i="6"/>
  <c r="H148" i="6"/>
  <c r="I148" i="6"/>
  <c r="G122" i="6"/>
  <c r="G296" i="6"/>
  <c r="G67" i="6"/>
  <c r="F53" i="6"/>
  <c r="H53" i="6"/>
  <c r="I53" i="6"/>
  <c r="T30" i="6"/>
  <c r="R34" i="6"/>
  <c r="S32" i="6"/>
  <c r="R32" i="6"/>
  <c r="R37" i="6"/>
  <c r="Q34" i="6"/>
  <c r="S30" i="6"/>
  <c r="Q30" i="6"/>
  <c r="P32" i="6"/>
  <c r="P37" i="6"/>
  <c r="O34" i="6"/>
  <c r="O30" i="6"/>
  <c r="N32" i="6"/>
  <c r="M34" i="6"/>
  <c r="L28" i="6"/>
  <c r="M30" i="6"/>
  <c r="M36" i="6"/>
  <c r="M32" i="6"/>
  <c r="N30" i="6"/>
  <c r="N36" i="6"/>
  <c r="Y49" i="6"/>
  <c r="AA45" i="6"/>
  <c r="Z47" i="6"/>
  <c r="X34" i="6"/>
  <c r="Y32" i="6"/>
  <c r="Z30" i="6"/>
  <c r="X32" i="6"/>
  <c r="X37" i="6"/>
  <c r="Y30" i="6"/>
  <c r="W34" i="6"/>
  <c r="X30" i="6"/>
  <c r="W32" i="6"/>
  <c r="T34" i="6"/>
  <c r="V30" i="6"/>
  <c r="V36" i="6"/>
  <c r="U32" i="6"/>
  <c r="U37" i="6"/>
  <c r="U30" i="6"/>
  <c r="U36" i="6"/>
  <c r="S34" i="6"/>
  <c r="S37" i="6"/>
  <c r="T32" i="6"/>
  <c r="N34" i="6"/>
  <c r="P30" i="6"/>
  <c r="P36" i="6"/>
  <c r="O32" i="6"/>
  <c r="O37" i="6"/>
  <c r="N21" i="6"/>
  <c r="N22" i="6"/>
  <c r="AA47" i="6"/>
  <c r="Z49" i="6"/>
  <c r="Z52" i="6"/>
  <c r="AB43" i="6"/>
  <c r="AA49" i="6"/>
  <c r="AL21" i="6"/>
  <c r="AL22" i="6"/>
  <c r="F361" i="6"/>
  <c r="H361" i="6"/>
  <c r="G346" i="6"/>
  <c r="F356" i="6"/>
  <c r="H356" i="6"/>
  <c r="F370" i="6"/>
  <c r="H370" i="6"/>
  <c r="F364" i="6"/>
  <c r="H364" i="6"/>
  <c r="F367" i="6"/>
  <c r="H367" i="6"/>
  <c r="G355" i="6"/>
  <c r="F350" i="6"/>
  <c r="H350" i="6"/>
  <c r="F371" i="6"/>
  <c r="H371" i="6"/>
  <c r="F360" i="6"/>
  <c r="H360" i="6"/>
  <c r="F353" i="6"/>
  <c r="H353" i="6"/>
  <c r="F366" i="6"/>
  <c r="H366" i="6"/>
  <c r="G371" i="6"/>
  <c r="G347" i="6"/>
  <c r="F368" i="6"/>
  <c r="H368" i="6"/>
  <c r="G354" i="6"/>
  <c r="G370" i="6"/>
  <c r="G344" i="6"/>
  <c r="G358" i="6"/>
  <c r="G366" i="6"/>
  <c r="F354" i="6"/>
  <c r="H354" i="6"/>
  <c r="F363" i="6"/>
  <c r="H363" i="6"/>
  <c r="F358" i="6"/>
  <c r="H358" i="6"/>
  <c r="I358" i="6"/>
  <c r="F365" i="6"/>
  <c r="H365" i="6"/>
  <c r="G345" i="6"/>
  <c r="F345" i="6"/>
  <c r="H345" i="6"/>
  <c r="G369" i="6"/>
  <c r="G356" i="6"/>
  <c r="F355" i="6"/>
  <c r="H355" i="6"/>
  <c r="I355" i="6"/>
  <c r="F352" i="6"/>
  <c r="H352" i="6"/>
  <c r="G360" i="6"/>
  <c r="G359" i="6"/>
  <c r="F362" i="6"/>
  <c r="H362" i="6"/>
  <c r="G367" i="6"/>
  <c r="G349" i="6"/>
  <c r="G362" i="6"/>
  <c r="F344" i="6"/>
  <c r="H344" i="6"/>
  <c r="G363" i="6"/>
  <c r="G353" i="6"/>
  <c r="G357" i="6"/>
  <c r="G348" i="6"/>
  <c r="F346" i="6"/>
  <c r="H346" i="6"/>
  <c r="I346" i="6"/>
  <c r="G350" i="6"/>
  <c r="G352" i="6"/>
  <c r="F357" i="6"/>
  <c r="H357" i="6"/>
  <c r="G368" i="6"/>
  <c r="F351" i="6"/>
  <c r="H351" i="6"/>
  <c r="F348" i="6"/>
  <c r="H348" i="6"/>
  <c r="F349" i="6"/>
  <c r="H349" i="6"/>
  <c r="I349" i="6"/>
  <c r="G361" i="6"/>
  <c r="G364" i="6"/>
  <c r="F347" i="6"/>
  <c r="H347" i="6"/>
  <c r="I347" i="6"/>
  <c r="G351" i="6"/>
  <c r="F369" i="6"/>
  <c r="H369" i="6"/>
  <c r="F359" i="6"/>
  <c r="H359" i="6"/>
  <c r="G365" i="6"/>
  <c r="U49" i="6"/>
  <c r="V47" i="6"/>
  <c r="V52" i="6"/>
  <c r="W45" i="6"/>
  <c r="W51" i="6"/>
  <c r="V45" i="6"/>
  <c r="V51" i="6"/>
  <c r="U47" i="6"/>
  <c r="T49" i="6"/>
  <c r="T52" i="6"/>
  <c r="AA21" i="6"/>
  <c r="AA22" i="6"/>
  <c r="G190" i="6"/>
  <c r="F190" i="6"/>
  <c r="H190" i="6"/>
  <c r="I21" i="6"/>
  <c r="Z32" i="6"/>
  <c r="Y34" i="6"/>
  <c r="Y37" i="6"/>
  <c r="AA30" i="6"/>
  <c r="AA36" i="6"/>
  <c r="W49" i="6"/>
  <c r="W52" i="6"/>
  <c r="X47" i="6"/>
  <c r="Y45" i="6"/>
  <c r="Y51" i="6"/>
  <c r="AC22" i="6"/>
  <c r="AC21" i="6"/>
  <c r="F258" i="6"/>
  <c r="H258" i="6"/>
  <c r="F263" i="6"/>
  <c r="H263" i="6"/>
  <c r="G270" i="6"/>
  <c r="F254" i="6"/>
  <c r="H254" i="6"/>
  <c r="F236" i="6"/>
  <c r="H236" i="6"/>
  <c r="G200" i="6"/>
  <c r="F281" i="6"/>
  <c r="H281" i="6"/>
  <c r="F253" i="6"/>
  <c r="H253" i="6"/>
  <c r="F260" i="6"/>
  <c r="H260" i="6"/>
  <c r="F237" i="6"/>
  <c r="H237" i="6"/>
  <c r="F196" i="6"/>
  <c r="H196" i="6"/>
  <c r="F264" i="6"/>
  <c r="H264" i="6"/>
  <c r="F280" i="6"/>
  <c r="H280" i="6"/>
  <c r="F195" i="6"/>
  <c r="H195" i="6"/>
  <c r="G258" i="6"/>
  <c r="G192" i="6"/>
  <c r="F285" i="6"/>
  <c r="H285" i="6"/>
  <c r="F249" i="6"/>
  <c r="H249" i="6"/>
  <c r="G191" i="6"/>
  <c r="F261" i="6"/>
  <c r="H261" i="6"/>
  <c r="G285" i="6"/>
  <c r="G199" i="6"/>
  <c r="G241" i="6"/>
  <c r="F201" i="6"/>
  <c r="H201" i="6"/>
  <c r="F265" i="6"/>
  <c r="H265" i="6"/>
  <c r="F238" i="6"/>
  <c r="H238" i="6"/>
  <c r="G261" i="6"/>
  <c r="G263" i="6"/>
  <c r="G287" i="6"/>
  <c r="F271" i="6"/>
  <c r="H271" i="6"/>
  <c r="F279" i="6"/>
  <c r="H279" i="6"/>
  <c r="F276" i="6"/>
  <c r="H276" i="6"/>
  <c r="G196" i="6"/>
  <c r="F197" i="6"/>
  <c r="H197" i="6"/>
  <c r="F247" i="6"/>
  <c r="H247" i="6"/>
  <c r="G243" i="6"/>
  <c r="G201" i="6"/>
  <c r="G238" i="6"/>
  <c r="F192" i="6"/>
  <c r="H192" i="6"/>
  <c r="I192" i="6"/>
  <c r="F199" i="6"/>
  <c r="H199" i="6"/>
  <c r="I199" i="6"/>
  <c r="G254" i="6"/>
  <c r="G275" i="6"/>
  <c r="G235" i="6"/>
  <c r="G203" i="6"/>
  <c r="F234" i="6"/>
  <c r="H234" i="6"/>
  <c r="F256" i="6"/>
  <c r="H256" i="6"/>
  <c r="G280" i="6"/>
  <c r="F286" i="6"/>
  <c r="H286" i="6"/>
  <c r="F272" i="6"/>
  <c r="H272" i="6"/>
  <c r="F193" i="6"/>
  <c r="H193" i="6"/>
  <c r="G244" i="6"/>
  <c r="F235" i="6"/>
  <c r="H235" i="6"/>
  <c r="G256" i="6"/>
  <c r="G236" i="6"/>
  <c r="G251" i="6"/>
  <c r="G253" i="6"/>
  <c r="G284" i="6"/>
  <c r="G246" i="6"/>
  <c r="F242" i="6"/>
  <c r="H242" i="6"/>
  <c r="F246" i="6"/>
  <c r="H246" i="6"/>
  <c r="I246" i="6"/>
  <c r="F287" i="6"/>
  <c r="H287" i="6"/>
  <c r="I287" i="6"/>
  <c r="F250" i="6"/>
  <c r="H250" i="6"/>
  <c r="G257" i="6"/>
  <c r="G262" i="6"/>
  <c r="F245" i="6"/>
  <c r="H245" i="6"/>
  <c r="F241" i="6"/>
  <c r="H241" i="6"/>
  <c r="F243" i="6"/>
  <c r="H243" i="6"/>
  <c r="I243" i="6"/>
  <c r="F283" i="6"/>
  <c r="H283" i="6"/>
  <c r="G271" i="6"/>
  <c r="G259" i="6"/>
  <c r="G282" i="6"/>
  <c r="G269" i="6"/>
  <c r="G277" i="6"/>
  <c r="F259" i="6"/>
  <c r="H259" i="6"/>
  <c r="I259" i="6"/>
  <c r="G233" i="6"/>
  <c r="F278" i="6"/>
  <c r="H278" i="6"/>
  <c r="G237" i="6"/>
  <c r="G239" i="6"/>
  <c r="F269" i="6"/>
  <c r="H269" i="6"/>
  <c r="I269" i="6"/>
  <c r="G276" i="6"/>
  <c r="G266" i="6"/>
  <c r="F244" i="6"/>
  <c r="H244" i="6"/>
  <c r="G194" i="6"/>
  <c r="G264" i="6"/>
  <c r="G218" i="6"/>
  <c r="G212" i="6"/>
  <c r="G215" i="6"/>
  <c r="G208" i="6"/>
  <c r="F228" i="6"/>
  <c r="H228" i="6"/>
  <c r="F222" i="6"/>
  <c r="H222" i="6"/>
  <c r="F248" i="6"/>
  <c r="H248" i="6"/>
  <c r="F200" i="6"/>
  <c r="H200" i="6"/>
  <c r="I200" i="6"/>
  <c r="G207" i="6"/>
  <c r="F206" i="6"/>
  <c r="H206" i="6"/>
  <c r="G210" i="6"/>
  <c r="G278" i="6"/>
  <c r="F216" i="6"/>
  <c r="H216" i="6"/>
  <c r="G222" i="6"/>
  <c r="F194" i="6"/>
  <c r="H194" i="6"/>
  <c r="I194" i="6"/>
  <c r="G225" i="6"/>
  <c r="F209" i="6"/>
  <c r="H209" i="6"/>
  <c r="F225" i="6"/>
  <c r="H225" i="6"/>
  <c r="I225" i="6"/>
  <c r="F273" i="6"/>
  <c r="H273" i="6"/>
  <c r="G245" i="6"/>
  <c r="G193" i="6"/>
  <c r="G232" i="6"/>
  <c r="G255" i="6"/>
  <c r="F203" i="6"/>
  <c r="H203" i="6"/>
  <c r="I203" i="6"/>
  <c r="G286" i="6"/>
  <c r="G272" i="6"/>
  <c r="F255" i="6"/>
  <c r="H255" i="6"/>
  <c r="I255" i="6"/>
  <c r="F232" i="6"/>
  <c r="H232" i="6"/>
  <c r="I232" i="6"/>
  <c r="G252" i="6"/>
  <c r="G223" i="6"/>
  <c r="F233" i="6"/>
  <c r="H233" i="6"/>
  <c r="I233" i="6"/>
  <c r="F275" i="6"/>
  <c r="H275" i="6"/>
  <c r="I275" i="6"/>
  <c r="F204" i="6"/>
  <c r="H204" i="6"/>
  <c r="F223" i="6"/>
  <c r="H223" i="6"/>
  <c r="I223" i="6"/>
  <c r="G229" i="6"/>
  <c r="F230" i="6"/>
  <c r="H230" i="6"/>
  <c r="F208" i="6"/>
  <c r="H208" i="6"/>
  <c r="I208" i="6"/>
  <c r="G213" i="6"/>
  <c r="F218" i="6"/>
  <c r="H218" i="6"/>
  <c r="I218" i="6"/>
  <c r="G220" i="6"/>
  <c r="G281" i="6"/>
  <c r="G205" i="6"/>
  <c r="G228" i="6"/>
  <c r="G230" i="6"/>
  <c r="G216" i="6"/>
  <c r="G209" i="6"/>
  <c r="F239" i="6"/>
  <c r="H239" i="6"/>
  <c r="I239" i="6"/>
  <c r="G273" i="6"/>
  <c r="F215" i="6"/>
  <c r="H215" i="6"/>
  <c r="I215" i="6"/>
  <c r="F202" i="6"/>
  <c r="H202" i="6"/>
  <c r="G260" i="6"/>
  <c r="G202" i="6"/>
  <c r="G274" i="6"/>
  <c r="G197" i="6"/>
  <c r="F191" i="6"/>
  <c r="H191" i="6"/>
  <c r="I191" i="6"/>
  <c r="F270" i="6"/>
  <c r="H270" i="6"/>
  <c r="F277" i="6"/>
  <c r="H277" i="6"/>
  <c r="I277" i="6"/>
  <c r="F266" i="6"/>
  <c r="H266" i="6"/>
  <c r="G195" i="6"/>
  <c r="F251" i="6"/>
  <c r="H251" i="6"/>
  <c r="G250" i="6"/>
  <c r="F282" i="6"/>
  <c r="H282" i="6"/>
  <c r="F212" i="6"/>
  <c r="H212" i="6"/>
  <c r="I212" i="6"/>
  <c r="F221" i="6"/>
  <c r="H221" i="6"/>
  <c r="G227" i="6"/>
  <c r="F207" i="6"/>
  <c r="H207" i="6"/>
  <c r="F226" i="6"/>
  <c r="H226" i="6"/>
  <c r="G219" i="6"/>
  <c r="G224" i="6"/>
  <c r="G226" i="6"/>
  <c r="G211" i="6"/>
  <c r="G249" i="6"/>
  <c r="G217" i="6"/>
  <c r="G231" i="6"/>
  <c r="G268" i="6"/>
  <c r="G204" i="6"/>
  <c r="G234" i="6"/>
  <c r="G247" i="6"/>
  <c r="F198" i="6"/>
  <c r="H198" i="6"/>
  <c r="F240" i="6"/>
  <c r="H240" i="6"/>
  <c r="F262" i="6"/>
  <c r="H262" i="6"/>
  <c r="I262" i="6"/>
  <c r="F284" i="6"/>
  <c r="H284" i="6"/>
  <c r="F257" i="6"/>
  <c r="H257" i="6"/>
  <c r="I257" i="6"/>
  <c r="F267" i="6"/>
  <c r="H267" i="6"/>
  <c r="G242" i="6"/>
  <c r="G267" i="6"/>
  <c r="G240" i="6"/>
  <c r="G198" i="6"/>
  <c r="G279" i="6"/>
  <c r="F268" i="6"/>
  <c r="H268" i="6"/>
  <c r="G283" i="6"/>
  <c r="G248" i="6"/>
  <c r="F211" i="6"/>
  <c r="H211" i="6"/>
  <c r="I211" i="6"/>
  <c r="F217" i="6"/>
  <c r="H217" i="6"/>
  <c r="G206" i="6"/>
  <c r="F227" i="6"/>
  <c r="H227" i="6"/>
  <c r="F214" i="6"/>
  <c r="H214" i="6"/>
  <c r="F220" i="6"/>
  <c r="H220" i="6"/>
  <c r="I220" i="6"/>
  <c r="F229" i="6"/>
  <c r="H229" i="6"/>
  <c r="I229" i="6"/>
  <c r="F219" i="6"/>
  <c r="H219" i="6"/>
  <c r="I219" i="6"/>
  <c r="F252" i="6"/>
  <c r="H252" i="6"/>
  <c r="I252" i="6"/>
  <c r="G221" i="6"/>
  <c r="F231" i="6"/>
  <c r="H231" i="6"/>
  <c r="I231" i="6"/>
  <c r="F224" i="6"/>
  <c r="H224" i="6"/>
  <c r="F213" i="6"/>
  <c r="H213" i="6"/>
  <c r="I213" i="6"/>
  <c r="F205" i="6"/>
  <c r="H205" i="6"/>
  <c r="I205" i="6"/>
  <c r="F274" i="6"/>
  <c r="H274" i="6"/>
  <c r="I274" i="6"/>
  <c r="G265" i="6"/>
  <c r="F210" i="6"/>
  <c r="H210" i="6"/>
  <c r="I210" i="6"/>
  <c r="G214" i="6"/>
  <c r="M52" i="6"/>
  <c r="AU35" i="6"/>
  <c r="AW35" i="6"/>
  <c r="AU34" i="6"/>
  <c r="AW34" i="6"/>
  <c r="AU29" i="6"/>
  <c r="AW29" i="6"/>
  <c r="AU28" i="6"/>
  <c r="AW28" i="6"/>
  <c r="AU27" i="6"/>
  <c r="AW27" i="6"/>
  <c r="AU26" i="6"/>
  <c r="AW26" i="6"/>
  <c r="AV32" i="6"/>
  <c r="AU15" i="6"/>
  <c r="AV28" i="6"/>
  <c r="AU19" i="6"/>
  <c r="AW19" i="6"/>
  <c r="AU18" i="6"/>
  <c r="AW18" i="6"/>
  <c r="AV35" i="6"/>
  <c r="AV19" i="6"/>
  <c r="AV23" i="6"/>
  <c r="AU33" i="6"/>
  <c r="AW33" i="6"/>
  <c r="AU22" i="6"/>
  <c r="AW22" i="6"/>
  <c r="AU16" i="6"/>
  <c r="AW16" i="6"/>
  <c r="AV22" i="6"/>
  <c r="AV34" i="6"/>
  <c r="AV17" i="6"/>
  <c r="AV21" i="6"/>
  <c r="AV15" i="6"/>
  <c r="AV26" i="6"/>
  <c r="AV25" i="6"/>
  <c r="AV18" i="6"/>
  <c r="AV24" i="6"/>
  <c r="AU25" i="6"/>
  <c r="AW25" i="6"/>
  <c r="AU24" i="6"/>
  <c r="AW24" i="6"/>
  <c r="AX24" i="6"/>
  <c r="AV20" i="6"/>
  <c r="AU21" i="6"/>
  <c r="AW21" i="6"/>
  <c r="AU20" i="6"/>
  <c r="AW20" i="6"/>
  <c r="AX20" i="6"/>
  <c r="AV27" i="6"/>
  <c r="AU31" i="6"/>
  <c r="AW31" i="6"/>
  <c r="AU30" i="6"/>
  <c r="AW30" i="6"/>
  <c r="AV31" i="6"/>
  <c r="AV16" i="6"/>
  <c r="AV29" i="6"/>
  <c r="AU32" i="6"/>
  <c r="AW32" i="6"/>
  <c r="AU23" i="6"/>
  <c r="AW23" i="6"/>
  <c r="AV30" i="6"/>
  <c r="AU17" i="6"/>
  <c r="AW17" i="6"/>
  <c r="AV33" i="6"/>
  <c r="Q37" i="6"/>
  <c r="AQ98" i="6"/>
  <c r="AQ125" i="6"/>
  <c r="AP94" i="6"/>
  <c r="AR94" i="6"/>
  <c r="AP82" i="6"/>
  <c r="AR82" i="6"/>
  <c r="AQ128" i="6"/>
  <c r="AP100" i="6"/>
  <c r="AR100" i="6"/>
  <c r="AP127" i="6"/>
  <c r="AR127" i="6"/>
  <c r="AP93" i="6"/>
  <c r="AR93" i="6"/>
  <c r="AP110" i="6"/>
  <c r="AR110" i="6"/>
  <c r="AP80" i="6"/>
  <c r="AR80" i="6"/>
  <c r="AQ95" i="6"/>
  <c r="AQ92" i="6"/>
  <c r="AQ113" i="6"/>
  <c r="AP84" i="6"/>
  <c r="AR84" i="6"/>
  <c r="AP117" i="6"/>
  <c r="AR117" i="6"/>
  <c r="AP101" i="6"/>
  <c r="AR101" i="6"/>
  <c r="AQ83" i="6"/>
  <c r="AQ87" i="6"/>
  <c r="AP116" i="6"/>
  <c r="AR116" i="6"/>
  <c r="AP123" i="6"/>
  <c r="AR123" i="6"/>
  <c r="AQ112" i="6"/>
  <c r="AQ84" i="6"/>
  <c r="AP107" i="6"/>
  <c r="AR107" i="6"/>
  <c r="AP118" i="6"/>
  <c r="AR118" i="6"/>
  <c r="AQ79" i="6"/>
  <c r="AP103" i="6"/>
  <c r="AR103" i="6"/>
  <c r="AQ107" i="6"/>
  <c r="AQ97" i="6"/>
  <c r="AP98" i="6"/>
  <c r="AR98" i="6"/>
  <c r="AS98" i="6"/>
  <c r="AQ115" i="6"/>
  <c r="AQ91" i="6"/>
  <c r="AQ82" i="6"/>
  <c r="AQ111" i="6"/>
  <c r="AQ119" i="6"/>
  <c r="AQ93" i="6"/>
  <c r="AP131" i="6"/>
  <c r="AR131" i="6"/>
  <c r="AQ106" i="6"/>
  <c r="AP105" i="6"/>
  <c r="AR105" i="6"/>
  <c r="AP78" i="6"/>
  <c r="AQ81" i="6"/>
  <c r="AP86" i="6"/>
  <c r="AR86" i="6"/>
  <c r="AQ105" i="6"/>
  <c r="AP109" i="6"/>
  <c r="AR109" i="6"/>
  <c r="AQ96" i="6"/>
  <c r="AQ120" i="6"/>
  <c r="AP121" i="6"/>
  <c r="AR121" i="6"/>
  <c r="AQ100" i="6"/>
  <c r="AQ103" i="6"/>
  <c r="AQ94" i="6"/>
  <c r="AQ110" i="6"/>
  <c r="AP119" i="6"/>
  <c r="AR119" i="6"/>
  <c r="AQ122" i="6"/>
  <c r="AQ133" i="6"/>
  <c r="AP106" i="6"/>
  <c r="AR106" i="6"/>
  <c r="AP88" i="6"/>
  <c r="AR88" i="6"/>
  <c r="AQ124" i="6"/>
  <c r="AP92" i="6"/>
  <c r="AR92" i="6"/>
  <c r="AP79" i="6"/>
  <c r="AR79" i="6"/>
  <c r="AP132" i="6"/>
  <c r="AR132" i="6"/>
  <c r="AP96" i="6"/>
  <c r="AR96" i="6"/>
  <c r="AS96" i="6"/>
  <c r="AP126" i="6"/>
  <c r="AR126" i="6"/>
  <c r="AP85" i="6"/>
  <c r="AR85" i="6"/>
  <c r="AQ131" i="6"/>
  <c r="AP128" i="6"/>
  <c r="AR128" i="6"/>
  <c r="AS128" i="6"/>
  <c r="AP95" i="6"/>
  <c r="AR95" i="6"/>
  <c r="AS95" i="6"/>
  <c r="AQ85" i="6"/>
  <c r="AQ109" i="6"/>
  <c r="AP99" i="6"/>
  <c r="AR99" i="6"/>
  <c r="AQ132" i="6"/>
  <c r="AQ88" i="6"/>
  <c r="AP81" i="6"/>
  <c r="AR81" i="6"/>
  <c r="AQ129" i="6"/>
  <c r="AP130" i="6"/>
  <c r="AR130" i="6"/>
  <c r="AP122" i="6"/>
  <c r="AR122" i="6"/>
  <c r="AS122" i="6"/>
  <c r="AQ117" i="6"/>
  <c r="AP120" i="6"/>
  <c r="AR120" i="6"/>
  <c r="AQ90" i="6"/>
  <c r="AQ78" i="6"/>
  <c r="AP133" i="6"/>
  <c r="AR133" i="6"/>
  <c r="AS133" i="6"/>
  <c r="AP114" i="6"/>
  <c r="AR114" i="6"/>
  <c r="AP91" i="6"/>
  <c r="AR91" i="6"/>
  <c r="AS91" i="6"/>
  <c r="AP113" i="6"/>
  <c r="AR113" i="6"/>
  <c r="AS113" i="6"/>
  <c r="AQ104" i="6"/>
  <c r="AQ89" i="6"/>
  <c r="AQ86" i="6"/>
  <c r="AQ101" i="6"/>
  <c r="AQ114" i="6"/>
  <c r="AP87" i="6"/>
  <c r="AR87" i="6"/>
  <c r="AS87" i="6"/>
  <c r="AQ130" i="6"/>
  <c r="AP89" i="6"/>
  <c r="AR89" i="6"/>
  <c r="AS89" i="6"/>
  <c r="AP104" i="6"/>
  <c r="AR104" i="6"/>
  <c r="AS104" i="6"/>
  <c r="AP97" i="6"/>
  <c r="AR97" i="6"/>
  <c r="AS97" i="6"/>
  <c r="AP102" i="6"/>
  <c r="AR102" i="6"/>
  <c r="AQ121" i="6"/>
  <c r="AQ116" i="6"/>
  <c r="AP83" i="6"/>
  <c r="AR83" i="6"/>
  <c r="AS83" i="6"/>
  <c r="AQ118" i="6"/>
  <c r="AP125" i="6"/>
  <c r="AR125" i="6"/>
  <c r="AS125" i="6"/>
  <c r="AP108" i="6"/>
  <c r="AR108" i="6"/>
  <c r="AQ123" i="6"/>
  <c r="AP112" i="6"/>
  <c r="AR112" i="6"/>
  <c r="AS112" i="6"/>
  <c r="AP111" i="6"/>
  <c r="AR111" i="6"/>
  <c r="AS111" i="6"/>
  <c r="AQ80" i="6"/>
  <c r="AQ99" i="6"/>
  <c r="AQ108" i="6"/>
  <c r="AP115" i="6"/>
  <c r="AR115" i="6"/>
  <c r="AS115" i="6"/>
  <c r="AQ126" i="6"/>
  <c r="AP124" i="6"/>
  <c r="AR124" i="6"/>
  <c r="AS124" i="6"/>
  <c r="AP90" i="6"/>
  <c r="AR90" i="6"/>
  <c r="AS90" i="6"/>
  <c r="AQ127" i="6"/>
  <c r="AQ102" i="6"/>
  <c r="AP129" i="6"/>
  <c r="AR129" i="6"/>
  <c r="AS129" i="6"/>
  <c r="Q36" i="6"/>
  <c r="AV72" i="6"/>
  <c r="AV56" i="6"/>
  <c r="AV40" i="6"/>
  <c r="AU70" i="6"/>
  <c r="AW70" i="6"/>
  <c r="AU65" i="6"/>
  <c r="AW65" i="6"/>
  <c r="AU63" i="6"/>
  <c r="AW63" i="6"/>
  <c r="AU48" i="6"/>
  <c r="AW48" i="6"/>
  <c r="AX48" i="6"/>
  <c r="AV78" i="6"/>
  <c r="AV62" i="6"/>
  <c r="AV46" i="6"/>
  <c r="AV89" i="6"/>
  <c r="AU88" i="6"/>
  <c r="AW88" i="6"/>
  <c r="AU85" i="6"/>
  <c r="AW85" i="6"/>
  <c r="AX85" i="6"/>
  <c r="AU82" i="6"/>
  <c r="AW82" i="6"/>
  <c r="AU69" i="6"/>
  <c r="AW69" i="6"/>
  <c r="AX69" i="6"/>
  <c r="AV61" i="6"/>
  <c r="AU86" i="6"/>
  <c r="AW86" i="6"/>
  <c r="AX86" i="6"/>
  <c r="AV84" i="6"/>
  <c r="AV52" i="6"/>
  <c r="AU89" i="6"/>
  <c r="AW89" i="6"/>
  <c r="AU51" i="6"/>
  <c r="AW51" i="6"/>
  <c r="AX51" i="6"/>
  <c r="AV82" i="6"/>
  <c r="AV50" i="6"/>
  <c r="AU71" i="6"/>
  <c r="AW71" i="6"/>
  <c r="AU56" i="6"/>
  <c r="AW56" i="6"/>
  <c r="AX56" i="6"/>
  <c r="AV79" i="6"/>
  <c r="AV47" i="6"/>
  <c r="AU77" i="6"/>
  <c r="AW77" i="6"/>
  <c r="AU75" i="6"/>
  <c r="AW75" i="6"/>
  <c r="AU74" i="6"/>
  <c r="AW74" i="6"/>
  <c r="AU45" i="6"/>
  <c r="AW45" i="6"/>
  <c r="AX45" i="6"/>
  <c r="AU43" i="6"/>
  <c r="AW43" i="6"/>
  <c r="AU42" i="6"/>
  <c r="AW42" i="6"/>
  <c r="AX42" i="6"/>
  <c r="AV86" i="6"/>
  <c r="AV67" i="6"/>
  <c r="AV51" i="6"/>
  <c r="AV87" i="6"/>
  <c r="AU81" i="6"/>
  <c r="AW81" i="6"/>
  <c r="AU79" i="6"/>
  <c r="AW79" i="6"/>
  <c r="AX79" i="6"/>
  <c r="AU49" i="6"/>
  <c r="AW49" i="6"/>
  <c r="AU47" i="6"/>
  <c r="AW47" i="6"/>
  <c r="AX47" i="6"/>
  <c r="AV73" i="6"/>
  <c r="AV57" i="6"/>
  <c r="AV41" i="6"/>
  <c r="AU52" i="6"/>
  <c r="AW52" i="6"/>
  <c r="AX52" i="6"/>
  <c r="AV69" i="6"/>
  <c r="AV37" i="6"/>
  <c r="AU72" i="6"/>
  <c r="AW72" i="6"/>
  <c r="AU40" i="6"/>
  <c r="AW40" i="6"/>
  <c r="AX40" i="6"/>
  <c r="AV60" i="6"/>
  <c r="AU84" i="6"/>
  <c r="AW84" i="6"/>
  <c r="AX84" i="6"/>
  <c r="AU53" i="6"/>
  <c r="AW53" i="6"/>
  <c r="AV74" i="6"/>
  <c r="AV42" i="6"/>
  <c r="AV71" i="6"/>
  <c r="AV39" i="6"/>
  <c r="O52" i="6"/>
  <c r="AV80" i="6"/>
  <c r="AV64" i="6"/>
  <c r="AV48" i="6"/>
  <c r="AU91" i="6"/>
  <c r="AW91" i="6"/>
  <c r="AX91" i="6"/>
  <c r="AU90" i="6"/>
  <c r="AW90" i="6"/>
  <c r="AU80" i="6"/>
  <c r="AW80" i="6"/>
  <c r="AX80" i="6"/>
  <c r="AU38" i="6"/>
  <c r="AW38" i="6"/>
  <c r="AV88" i="6"/>
  <c r="AV70" i="6"/>
  <c r="AV54" i="6"/>
  <c r="AV38" i="6"/>
  <c r="AU50" i="6"/>
  <c r="AW50" i="6"/>
  <c r="AX50" i="6"/>
  <c r="AU37" i="6"/>
  <c r="AW37" i="6"/>
  <c r="AV77" i="6"/>
  <c r="AV45" i="6"/>
  <c r="AU57" i="6"/>
  <c r="AW57" i="6"/>
  <c r="AX57" i="6"/>
  <c r="AV68" i="6"/>
  <c r="AV36" i="6"/>
  <c r="AU68" i="6"/>
  <c r="AW68" i="6"/>
  <c r="AX68" i="6"/>
  <c r="AV66" i="6"/>
  <c r="AV85" i="6"/>
  <c r="AU62" i="6"/>
  <c r="AW62" i="6"/>
  <c r="AX62" i="6"/>
  <c r="AU39" i="6"/>
  <c r="AW39" i="6"/>
  <c r="AX39" i="6"/>
  <c r="AV63" i="6"/>
  <c r="AV83" i="6"/>
  <c r="AU76" i="6"/>
  <c r="AW76" i="6"/>
  <c r="AU61" i="6"/>
  <c r="AW61" i="6"/>
  <c r="AX61" i="6"/>
  <c r="AU60" i="6"/>
  <c r="AW60" i="6"/>
  <c r="AX60" i="6"/>
  <c r="AU59" i="6"/>
  <c r="AW59" i="6"/>
  <c r="AU58" i="6"/>
  <c r="AW58" i="6"/>
  <c r="AX58" i="6"/>
  <c r="AU44" i="6"/>
  <c r="AW44" i="6"/>
  <c r="AV75" i="6"/>
  <c r="AV59" i="6"/>
  <c r="AV43" i="6"/>
  <c r="AU83" i="6"/>
  <c r="AW83" i="6"/>
  <c r="AX83" i="6"/>
  <c r="AU64" i="6"/>
  <c r="AW64" i="6"/>
  <c r="AX64" i="6"/>
  <c r="AU54" i="6"/>
  <c r="AW54" i="6"/>
  <c r="AV81" i="6"/>
  <c r="AV65" i="6"/>
  <c r="AV49" i="6"/>
  <c r="AV91" i="6"/>
  <c r="AU67" i="6"/>
  <c r="AW67" i="6"/>
  <c r="AX67" i="6"/>
  <c r="AV90" i="6"/>
  <c r="AV53" i="6"/>
  <c r="AU78" i="6"/>
  <c r="AW78" i="6"/>
  <c r="AX78" i="6"/>
  <c r="AU55" i="6"/>
  <c r="AW55" i="6"/>
  <c r="AU46" i="6"/>
  <c r="AW46" i="6"/>
  <c r="AX46" i="6"/>
  <c r="AV76" i="6"/>
  <c r="AV44" i="6"/>
  <c r="AU87" i="6"/>
  <c r="AW87" i="6"/>
  <c r="AX87" i="6"/>
  <c r="AU66" i="6"/>
  <c r="AW66" i="6"/>
  <c r="AU36" i="6"/>
  <c r="AW36" i="6"/>
  <c r="AX36" i="6"/>
  <c r="AV58" i="6"/>
  <c r="AU73" i="6"/>
  <c r="AW73" i="6"/>
  <c r="AX73" i="6"/>
  <c r="AU41" i="6"/>
  <c r="AW41" i="6"/>
  <c r="AX41" i="6"/>
  <c r="AV55" i="6"/>
  <c r="O51" i="6"/>
  <c r="H22" i="6"/>
  <c r="T37" i="6"/>
  <c r="AQ179" i="6"/>
  <c r="AP187" i="6"/>
  <c r="AR187" i="6"/>
  <c r="AQ188" i="6"/>
  <c r="AQ74" i="6"/>
  <c r="AP165" i="6"/>
  <c r="AR165" i="6"/>
  <c r="AQ176" i="6"/>
  <c r="AP58" i="6"/>
  <c r="AR58" i="6"/>
  <c r="AP61" i="6"/>
  <c r="AR61" i="6"/>
  <c r="AP159" i="6"/>
  <c r="AR159" i="6"/>
  <c r="AP148" i="6"/>
  <c r="AR148" i="6"/>
  <c r="AQ148" i="6"/>
  <c r="AP22" i="6"/>
  <c r="AR22" i="6"/>
  <c r="AP33" i="6"/>
  <c r="AR33" i="6"/>
  <c r="AP173" i="6"/>
  <c r="AR173" i="6"/>
  <c r="AP158" i="6"/>
  <c r="AR158" i="6"/>
  <c r="AQ156" i="6"/>
  <c r="AP186" i="6"/>
  <c r="AR186" i="6"/>
  <c r="AS186" i="6"/>
  <c r="AP188" i="6"/>
  <c r="AR188" i="6"/>
  <c r="AQ50" i="6"/>
  <c r="AP77" i="6"/>
  <c r="AR77" i="6"/>
  <c r="AQ31" i="6"/>
  <c r="AP139" i="6"/>
  <c r="AR139" i="6"/>
  <c r="AP189" i="6"/>
  <c r="AR189" i="6"/>
  <c r="AS189" i="6"/>
  <c r="AQ186" i="6"/>
  <c r="AQ134" i="6"/>
  <c r="AQ30" i="6"/>
  <c r="AP74" i="6"/>
  <c r="AR74" i="6"/>
  <c r="AS74" i="6"/>
  <c r="AP62" i="6"/>
  <c r="AR62" i="6"/>
  <c r="AP52" i="6"/>
  <c r="AR52" i="6"/>
  <c r="AP167" i="6"/>
  <c r="AR167" i="6"/>
  <c r="AQ24" i="6"/>
  <c r="AP70" i="6"/>
  <c r="AR70" i="6"/>
  <c r="AQ73" i="6"/>
  <c r="AQ45" i="6"/>
  <c r="AQ164" i="6"/>
  <c r="AP31" i="6"/>
  <c r="AR31" i="6"/>
  <c r="AQ166" i="6"/>
  <c r="AP59" i="6"/>
  <c r="AR59" i="6"/>
  <c r="AQ52" i="6"/>
  <c r="AP39" i="6"/>
  <c r="AR39" i="6"/>
  <c r="AP37" i="6"/>
  <c r="AR37" i="6"/>
  <c r="AP177" i="6"/>
  <c r="AR177" i="6"/>
  <c r="AQ144" i="6"/>
  <c r="AP179" i="6"/>
  <c r="AR179" i="6"/>
  <c r="AP161" i="6"/>
  <c r="AR161" i="6"/>
  <c r="AS161" i="6"/>
  <c r="AQ149" i="6"/>
  <c r="AP150" i="6"/>
  <c r="AR150" i="6"/>
  <c r="AQ67" i="6"/>
  <c r="AP135" i="6"/>
  <c r="AR135" i="6"/>
  <c r="AQ56" i="6"/>
  <c r="AP168" i="6"/>
  <c r="AR168" i="6"/>
  <c r="AP24" i="6"/>
  <c r="AR24" i="6"/>
  <c r="AP73" i="6"/>
  <c r="AR73" i="6"/>
  <c r="AS73" i="6"/>
  <c r="AQ177" i="6"/>
  <c r="AP35" i="6"/>
  <c r="AR35" i="6"/>
  <c r="AQ181" i="6"/>
  <c r="AQ171" i="6"/>
  <c r="AP170" i="6"/>
  <c r="AR170" i="6"/>
  <c r="AP175" i="6"/>
  <c r="AR175" i="6"/>
  <c r="AS175" i="6"/>
  <c r="AP160" i="6"/>
  <c r="AR160" i="6"/>
  <c r="AQ143" i="6"/>
  <c r="AP137" i="6"/>
  <c r="AR137" i="6"/>
  <c r="AQ40" i="6"/>
  <c r="AQ154" i="6"/>
  <c r="AQ150" i="6"/>
  <c r="AQ189" i="6"/>
  <c r="AP48" i="6"/>
  <c r="AR48" i="6"/>
  <c r="AS48" i="6"/>
  <c r="AQ180" i="6"/>
  <c r="AP149" i="6"/>
  <c r="AR149" i="6"/>
  <c r="AS149" i="6"/>
  <c r="AQ175" i="6"/>
  <c r="AP18" i="6"/>
  <c r="AR18" i="6"/>
  <c r="AP17" i="6"/>
  <c r="AR17" i="6"/>
  <c r="AQ138" i="6"/>
  <c r="AQ142" i="6"/>
  <c r="AP69" i="6"/>
  <c r="AR69" i="6"/>
  <c r="AP142" i="6"/>
  <c r="AR142" i="6"/>
  <c r="AS142" i="6"/>
  <c r="AQ59" i="6"/>
  <c r="AQ39" i="6"/>
  <c r="AQ20" i="6"/>
  <c r="AQ183" i="6"/>
  <c r="AP25" i="6"/>
  <c r="AR25" i="6"/>
  <c r="AP38" i="6"/>
  <c r="AR38" i="6"/>
  <c r="AP76" i="6"/>
  <c r="AR76" i="6"/>
  <c r="AS76" i="6"/>
  <c r="AP45" i="6"/>
  <c r="AR45" i="6"/>
  <c r="AS45" i="6"/>
  <c r="AQ44" i="6"/>
  <c r="AP40" i="6"/>
  <c r="AR40" i="6"/>
  <c r="AQ302" i="6"/>
  <c r="AQ48" i="6"/>
  <c r="AQ72" i="6"/>
  <c r="AP36" i="6"/>
  <c r="AR36" i="6"/>
  <c r="AP153" i="6"/>
  <c r="AR153" i="6"/>
  <c r="AP51" i="6"/>
  <c r="AR51" i="6"/>
  <c r="AP164" i="6"/>
  <c r="AR164" i="6"/>
  <c r="AS164" i="6"/>
  <c r="AQ152" i="6"/>
  <c r="AQ32" i="6"/>
  <c r="AQ136" i="6"/>
  <c r="AP182" i="6"/>
  <c r="AR182" i="6"/>
  <c r="AP176" i="6"/>
  <c r="AR176" i="6"/>
  <c r="AS176" i="6"/>
  <c r="AQ27" i="6"/>
  <c r="AQ70" i="6"/>
  <c r="AQ57" i="6"/>
  <c r="AQ161" i="6"/>
  <c r="AP63" i="6"/>
  <c r="AR63" i="6"/>
  <c r="AQ155" i="6"/>
  <c r="AQ151" i="6"/>
  <c r="AQ21" i="6"/>
  <c r="AP185" i="6"/>
  <c r="AR185" i="6"/>
  <c r="AQ137" i="6"/>
  <c r="AS137" i="6"/>
  <c r="AP41" i="6"/>
  <c r="AR41" i="6"/>
  <c r="AQ145" i="6"/>
  <c r="AQ185" i="6"/>
  <c r="AP166" i="6"/>
  <c r="AR166" i="6"/>
  <c r="AP15" i="6"/>
  <c r="AR15" i="6"/>
  <c r="AQ65" i="6"/>
  <c r="AP144" i="6"/>
  <c r="AR144" i="6"/>
  <c r="AS144" i="6"/>
  <c r="AQ51" i="6"/>
  <c r="AP134" i="6"/>
  <c r="AR134" i="6"/>
  <c r="AS134" i="6"/>
  <c r="AQ53" i="6"/>
  <c r="AP47" i="6"/>
  <c r="AR47" i="6"/>
  <c r="AQ147" i="6"/>
  <c r="AQ18" i="6"/>
  <c r="AQ76" i="6"/>
  <c r="AP162" i="6"/>
  <c r="AR162" i="6"/>
  <c r="AP68" i="6"/>
  <c r="AR68" i="6"/>
  <c r="AP60" i="6"/>
  <c r="AR60" i="6"/>
  <c r="AS60" i="6"/>
  <c r="AP50" i="6"/>
  <c r="AR50" i="6"/>
  <c r="AP183" i="6"/>
  <c r="AR183" i="6"/>
  <c r="AP72" i="6"/>
  <c r="AR72" i="6"/>
  <c r="AQ68" i="6"/>
  <c r="AQ22" i="6"/>
  <c r="AQ146" i="6"/>
  <c r="AP75" i="6"/>
  <c r="AR75" i="6"/>
  <c r="AQ140" i="6"/>
  <c r="AP46" i="6"/>
  <c r="AR46" i="6"/>
  <c r="AQ42" i="6"/>
  <c r="AQ23" i="6"/>
  <c r="AP141" i="6"/>
  <c r="AR141" i="6"/>
  <c r="AS141" i="6"/>
  <c r="AQ34" i="6"/>
  <c r="AP56" i="6"/>
  <c r="AR56" i="6"/>
  <c r="AS56" i="6"/>
  <c r="AQ163" i="6"/>
  <c r="AQ153" i="6"/>
  <c r="AQ184" i="6"/>
  <c r="AQ35" i="6"/>
  <c r="AQ174" i="6"/>
  <c r="AQ47" i="6"/>
  <c r="AP29" i="6"/>
  <c r="AR29" i="6"/>
  <c r="AQ54" i="6"/>
  <c r="AQ71" i="6"/>
  <c r="AP26" i="6"/>
  <c r="AR26" i="6"/>
  <c r="AP67" i="6"/>
  <c r="AR67" i="6"/>
  <c r="AS67" i="6"/>
  <c r="AQ38" i="6"/>
  <c r="AP147" i="6"/>
  <c r="AR147" i="6"/>
  <c r="AS147" i="6"/>
  <c r="AQ66" i="6"/>
  <c r="AP57" i="6"/>
  <c r="AR57" i="6"/>
  <c r="AQ139" i="6"/>
  <c r="AP34" i="6"/>
  <c r="AR34" i="6"/>
  <c r="AS34" i="6"/>
  <c r="AQ15" i="6"/>
  <c r="AQ17" i="6"/>
  <c r="AP151" i="6"/>
  <c r="AR151" i="6"/>
  <c r="AS151" i="6"/>
  <c r="AQ157" i="6"/>
  <c r="AP71" i="6"/>
  <c r="AR71" i="6"/>
  <c r="AS71" i="6"/>
  <c r="AP20" i="6"/>
  <c r="AR20" i="6"/>
  <c r="AQ173" i="6"/>
  <c r="AP146" i="6"/>
  <c r="AR146" i="6"/>
  <c r="AP23" i="6"/>
  <c r="AR23" i="6"/>
  <c r="AS23" i="6"/>
  <c r="AQ16" i="6"/>
  <c r="AQ62" i="6"/>
  <c r="AP140" i="6"/>
  <c r="AR140" i="6"/>
  <c r="AQ46" i="6"/>
  <c r="AS46" i="6"/>
  <c r="AQ60" i="6"/>
  <c r="AQ26" i="6"/>
  <c r="AQ169" i="6"/>
  <c r="AQ55" i="6"/>
  <c r="AQ64" i="6"/>
  <c r="AQ168" i="6"/>
  <c r="AP16" i="6"/>
  <c r="AR16" i="6"/>
  <c r="AS16" i="6"/>
  <c r="AP145" i="6"/>
  <c r="AR145" i="6"/>
  <c r="AS145" i="6"/>
  <c r="AP65" i="6"/>
  <c r="AR65" i="6"/>
  <c r="AS65" i="6"/>
  <c r="AQ36" i="6"/>
  <c r="AP163" i="6"/>
  <c r="AR163" i="6"/>
  <c r="AS163" i="6"/>
  <c r="AP152" i="6"/>
  <c r="AR152" i="6"/>
  <c r="AS152" i="6"/>
  <c r="AQ141" i="6"/>
  <c r="AP21" i="6"/>
  <c r="AR21" i="6"/>
  <c r="AS21" i="6"/>
  <c r="AQ190" i="6"/>
  <c r="AP190" i="6"/>
  <c r="AR190" i="6"/>
  <c r="AS190" i="6"/>
  <c r="AQ198" i="6"/>
  <c r="AQ245" i="6"/>
  <c r="AP202" i="6"/>
  <c r="AR202" i="6"/>
  <c r="AQ199" i="6"/>
  <c r="AP238" i="6"/>
  <c r="AR238" i="6"/>
  <c r="AP230" i="6"/>
  <c r="AR230" i="6"/>
  <c r="AQ192" i="6"/>
  <c r="AQ222" i="6"/>
  <c r="AP204" i="6"/>
  <c r="AR204" i="6"/>
  <c r="AQ214" i="6"/>
  <c r="AQ195" i="6"/>
  <c r="AQ239" i="6"/>
  <c r="AQ210" i="6"/>
  <c r="AQ206" i="6"/>
  <c r="AP221" i="6"/>
  <c r="AR221" i="6"/>
  <c r="AP219" i="6"/>
  <c r="AR219" i="6"/>
  <c r="AS219" i="6"/>
  <c r="AQ234" i="6"/>
  <c r="AQ237" i="6"/>
  <c r="AQ194" i="6"/>
  <c r="AQ236" i="6"/>
  <c r="AQ211" i="6"/>
  <c r="AP224" i="6"/>
  <c r="AR224" i="6"/>
  <c r="AP222" i="6"/>
  <c r="AR222" i="6"/>
  <c r="AP205" i="6"/>
  <c r="AR205" i="6"/>
  <c r="AS205" i="6"/>
  <c r="AQ215" i="6"/>
  <c r="AQ230" i="6"/>
  <c r="AQ203" i="6"/>
  <c r="AQ216" i="6"/>
  <c r="AP194" i="6"/>
  <c r="AR194" i="6"/>
  <c r="AS194" i="6"/>
  <c r="AP209" i="6"/>
  <c r="AR209" i="6"/>
  <c r="AP207" i="6"/>
  <c r="AR207" i="6"/>
  <c r="AP211" i="6"/>
  <c r="AR211" i="6"/>
  <c r="AS211" i="6"/>
  <c r="AP216" i="6"/>
  <c r="AR216" i="6"/>
  <c r="AQ197" i="6"/>
  <c r="AQ218" i="6"/>
  <c r="AP236" i="6"/>
  <c r="AR236" i="6"/>
  <c r="AS236" i="6"/>
  <c r="AP203" i="6"/>
  <c r="AR203" i="6"/>
  <c r="AS203" i="6"/>
  <c r="AP192" i="6"/>
  <c r="AR192" i="6"/>
  <c r="AS192" i="6"/>
  <c r="AQ242" i="6"/>
  <c r="AP243" i="6"/>
  <c r="AR243" i="6"/>
  <c r="AS243" i="6"/>
  <c r="AQ225" i="6"/>
  <c r="AP239" i="6"/>
  <c r="AR239" i="6"/>
  <c r="AS239" i="6"/>
  <c r="AP232" i="6"/>
  <c r="AR232" i="6"/>
  <c r="AQ231" i="6"/>
  <c r="AP197" i="6"/>
  <c r="AR197" i="6"/>
  <c r="AQ196" i="6"/>
  <c r="AQ205" i="6"/>
  <c r="AP201" i="6"/>
  <c r="AR201" i="6"/>
  <c r="AQ243" i="6"/>
  <c r="AQ240" i="6"/>
  <c r="AQ219" i="6"/>
  <c r="AP210" i="6"/>
  <c r="AR210" i="6"/>
  <c r="AS210" i="6"/>
  <c r="AQ204" i="6"/>
  <c r="AS204" i="6"/>
  <c r="AQ238" i="6"/>
  <c r="AP258" i="6"/>
  <c r="AR258" i="6"/>
  <c r="AP297" i="6"/>
  <c r="AR297" i="6"/>
  <c r="AQ288" i="6"/>
  <c r="AQ269" i="6"/>
  <c r="AP284" i="6"/>
  <c r="AR284" i="6"/>
  <c r="AQ282" i="6"/>
  <c r="AP270" i="6"/>
  <c r="AR270" i="6"/>
  <c r="AQ279" i="6"/>
  <c r="AP300" i="6"/>
  <c r="AR300" i="6"/>
  <c r="AQ257" i="6"/>
  <c r="AP262" i="6"/>
  <c r="AR262" i="6"/>
  <c r="AQ299" i="6"/>
  <c r="AP271" i="6"/>
  <c r="AR271" i="6"/>
  <c r="AQ263" i="6"/>
  <c r="AQ289" i="6"/>
  <c r="AP266" i="6"/>
  <c r="AR266" i="6"/>
  <c r="AS266" i="6"/>
  <c r="AQ294" i="6"/>
  <c r="AP268" i="6"/>
  <c r="AR268" i="6"/>
  <c r="AS268" i="6"/>
  <c r="AQ268" i="6"/>
  <c r="AQ275" i="6"/>
  <c r="AP256" i="6"/>
  <c r="AR256" i="6"/>
  <c r="AQ264" i="6"/>
  <c r="AP253" i="6"/>
  <c r="AR253" i="6"/>
  <c r="AP301" i="6"/>
  <c r="AR301" i="6"/>
  <c r="AQ267" i="6"/>
  <c r="AQ246" i="6"/>
  <c r="AQ272" i="6"/>
  <c r="AP292" i="6"/>
  <c r="AR292" i="6"/>
  <c r="AQ262" i="6"/>
  <c r="AQ301" i="6"/>
  <c r="AP263" i="6"/>
  <c r="AR263" i="6"/>
  <c r="AP298" i="6"/>
  <c r="AR298" i="6"/>
  <c r="AQ286" i="6"/>
  <c r="AQ248" i="6"/>
  <c r="AP283" i="6"/>
  <c r="AR283" i="6"/>
  <c r="AP287" i="6"/>
  <c r="AR287" i="6"/>
  <c r="AS287" i="6"/>
  <c r="AQ271" i="6"/>
  <c r="AQ254" i="6"/>
  <c r="AP280" i="6"/>
  <c r="AR280" i="6"/>
  <c r="AQ284" i="6"/>
  <c r="AQ255" i="6"/>
  <c r="AP290" i="6"/>
  <c r="AR290" i="6"/>
  <c r="AP293" i="6"/>
  <c r="AR293" i="6"/>
  <c r="AQ261" i="6"/>
  <c r="AQ295" i="6"/>
  <c r="AP291" i="6"/>
  <c r="AR291" i="6"/>
  <c r="AS291" i="6"/>
  <c r="AQ300" i="6"/>
  <c r="AP278" i="6"/>
  <c r="AR278" i="6"/>
  <c r="AP261" i="6"/>
  <c r="AR261" i="6"/>
  <c r="AP265" i="6"/>
  <c r="AR265" i="6"/>
  <c r="AQ291" i="6"/>
  <c r="AP250" i="6"/>
  <c r="AR250" i="6"/>
  <c r="AP281" i="6"/>
  <c r="AR281" i="6"/>
  <c r="AQ258" i="6"/>
  <c r="AP249" i="6"/>
  <c r="AR249" i="6"/>
  <c r="AP171" i="6"/>
  <c r="AR171" i="6"/>
  <c r="AS171" i="6"/>
  <c r="AP64" i="6"/>
  <c r="AR64" i="6"/>
  <c r="AS64" i="6"/>
  <c r="AQ178" i="6"/>
  <c r="AQ158" i="6"/>
  <c r="AP43" i="6"/>
  <c r="AR43" i="6"/>
  <c r="AQ33" i="6"/>
  <c r="AQ41" i="6"/>
  <c r="AQ187" i="6"/>
  <c r="AQ159" i="6"/>
  <c r="AP30" i="6"/>
  <c r="AR30" i="6"/>
  <c r="AS30" i="6"/>
  <c r="AP53" i="6"/>
  <c r="AR53" i="6"/>
  <c r="AS53" i="6"/>
  <c r="AQ69" i="6"/>
  <c r="AP44" i="6"/>
  <c r="AR44" i="6"/>
  <c r="AS44" i="6"/>
  <c r="AP174" i="6"/>
  <c r="AR174" i="6"/>
  <c r="AS174" i="6"/>
  <c r="AQ75" i="6"/>
  <c r="AQ167" i="6"/>
  <c r="AQ19" i="6"/>
  <c r="AP184" i="6"/>
  <c r="AR184" i="6"/>
  <c r="AS184" i="6"/>
  <c r="AQ160" i="6"/>
  <c r="AP55" i="6"/>
  <c r="AR55" i="6"/>
  <c r="AS55" i="6"/>
  <c r="AQ37" i="6"/>
  <c r="AP27" i="6"/>
  <c r="AR27" i="6"/>
  <c r="AS27" i="6"/>
  <c r="AQ162" i="6"/>
  <c r="AQ25" i="6"/>
  <c r="AP156" i="6"/>
  <c r="AR156" i="6"/>
  <c r="AS156" i="6"/>
  <c r="AQ43" i="6"/>
  <c r="AQ49" i="6"/>
  <c r="AP242" i="6"/>
  <c r="AR242" i="6"/>
  <c r="AS242" i="6"/>
  <c r="AP206" i="6"/>
  <c r="AR206" i="6"/>
  <c r="AS206" i="6"/>
  <c r="AQ241" i="6"/>
  <c r="AQ233" i="6"/>
  <c r="AP233" i="6"/>
  <c r="AR233" i="6"/>
  <c r="AP191" i="6"/>
  <c r="AR191" i="6"/>
  <c r="AQ202" i="6"/>
  <c r="AQ212" i="6"/>
  <c r="AQ235" i="6"/>
  <c r="AQ201" i="6"/>
  <c r="AP223" i="6"/>
  <c r="AR223" i="6"/>
  <c r="AP231" i="6"/>
  <c r="AR231" i="6"/>
  <c r="AS231" i="6"/>
  <c r="AP240" i="6"/>
  <c r="AR240" i="6"/>
  <c r="AP215" i="6"/>
  <c r="AR215" i="6"/>
  <c r="AS215" i="6"/>
  <c r="AQ223" i="6"/>
  <c r="AP234" i="6"/>
  <c r="AR234" i="6"/>
  <c r="AS234" i="6"/>
  <c r="AP208" i="6"/>
  <c r="AR208" i="6"/>
  <c r="AQ221" i="6"/>
  <c r="AQ193" i="6"/>
  <c r="AP244" i="6"/>
  <c r="AR244" i="6"/>
  <c r="AP213" i="6"/>
  <c r="AR213" i="6"/>
  <c r="AP241" i="6"/>
  <c r="AR241" i="6"/>
  <c r="AS241" i="6"/>
  <c r="AP193" i="6"/>
  <c r="AR193" i="6"/>
  <c r="AS193" i="6"/>
  <c r="AQ220" i="6"/>
  <c r="AP245" i="6"/>
  <c r="AR245" i="6"/>
  <c r="AS245" i="6"/>
  <c r="AQ228" i="6"/>
  <c r="AP235" i="6"/>
  <c r="AR235" i="6"/>
  <c r="AS235" i="6"/>
  <c r="AP200" i="6"/>
  <c r="AR200" i="6"/>
  <c r="AS200" i="6"/>
  <c r="AQ287" i="6"/>
  <c r="AP252" i="6"/>
  <c r="AR252" i="6"/>
  <c r="AP251" i="6"/>
  <c r="AR251" i="6"/>
  <c r="AP246" i="6"/>
  <c r="AR246" i="6"/>
  <c r="AS246" i="6"/>
  <c r="AP277" i="6"/>
  <c r="AR277" i="6"/>
  <c r="AQ297" i="6"/>
  <c r="AQ293" i="6"/>
  <c r="AQ290" i="6"/>
  <c r="AQ266" i="6"/>
  <c r="AQ251" i="6"/>
  <c r="AP247" i="6"/>
  <c r="AR247" i="6"/>
  <c r="AQ281" i="6"/>
  <c r="AP272" i="6"/>
  <c r="AR272" i="6"/>
  <c r="AS272" i="6"/>
  <c r="AQ252" i="6"/>
  <c r="AQ277" i="6"/>
  <c r="AQ276" i="6"/>
  <c r="AQ296" i="6"/>
  <c r="AP264" i="6"/>
  <c r="AR264" i="6"/>
  <c r="AS264" i="6"/>
  <c r="AQ253" i="6"/>
  <c r="AP276" i="6"/>
  <c r="AR276" i="6"/>
  <c r="AS276" i="6"/>
  <c r="AP248" i="6"/>
  <c r="AR248" i="6"/>
  <c r="AP267" i="6"/>
  <c r="AR267" i="6"/>
  <c r="AS267" i="6"/>
  <c r="AP273" i="6"/>
  <c r="AR273" i="6"/>
  <c r="AP257" i="6"/>
  <c r="AR257" i="6"/>
  <c r="AS257" i="6"/>
  <c r="AP299" i="6"/>
  <c r="AR299" i="6"/>
  <c r="AS299" i="6"/>
  <c r="AQ250" i="6"/>
  <c r="AQ274" i="6"/>
  <c r="AP289" i="6"/>
  <c r="AR289" i="6"/>
  <c r="AS289" i="6"/>
  <c r="AP169" i="6"/>
  <c r="AR169" i="6"/>
  <c r="AQ28" i="6"/>
  <c r="AP143" i="6"/>
  <c r="AR143" i="6"/>
  <c r="AP66" i="6"/>
  <c r="AR66" i="6"/>
  <c r="AS66" i="6"/>
  <c r="AQ170" i="6"/>
  <c r="AQ61" i="6"/>
  <c r="AQ182" i="6"/>
  <c r="AQ29" i="6"/>
  <c r="AP32" i="6"/>
  <c r="AR32" i="6"/>
  <c r="AS32" i="6"/>
  <c r="AQ165" i="6"/>
  <c r="AS165" i="6"/>
  <c r="AP136" i="6"/>
  <c r="AR136" i="6"/>
  <c r="AQ135" i="6"/>
  <c r="AP157" i="6"/>
  <c r="AR157" i="6"/>
  <c r="AS157" i="6"/>
  <c r="AQ58" i="6"/>
  <c r="AP302" i="6"/>
  <c r="AR302" i="6"/>
  <c r="AS302" i="6"/>
  <c r="AP225" i="6"/>
  <c r="AR225" i="6"/>
  <c r="AS225" i="6"/>
  <c r="AP196" i="6"/>
  <c r="AR196" i="6"/>
  <c r="AS196" i="6"/>
  <c r="AP226" i="6"/>
  <c r="AR226" i="6"/>
  <c r="AP227" i="6"/>
  <c r="AR227" i="6"/>
  <c r="AQ209" i="6"/>
  <c r="AQ229" i="6"/>
  <c r="AP229" i="6"/>
  <c r="AR229" i="6"/>
  <c r="AS229" i="6"/>
  <c r="AP218" i="6"/>
  <c r="AR218" i="6"/>
  <c r="AS218" i="6"/>
  <c r="AQ244" i="6"/>
  <c r="AP228" i="6"/>
  <c r="AR228" i="6"/>
  <c r="AQ213" i="6"/>
  <c r="AP212" i="6"/>
  <c r="AR212" i="6"/>
  <c r="AP237" i="6"/>
  <c r="AR237" i="6"/>
  <c r="AS237" i="6"/>
  <c r="AQ208" i="6"/>
  <c r="AP269" i="6"/>
  <c r="AR269" i="6"/>
  <c r="AS269" i="6"/>
  <c r="AP282" i="6"/>
  <c r="AR282" i="6"/>
  <c r="AS282" i="6"/>
  <c r="AQ298" i="6"/>
  <c r="AQ260" i="6"/>
  <c r="AQ273" i="6"/>
  <c r="AP260" i="6"/>
  <c r="AR260" i="6"/>
  <c r="AS260" i="6"/>
  <c r="AQ292" i="6"/>
  <c r="AP296" i="6"/>
  <c r="AR296" i="6"/>
  <c r="AS296" i="6"/>
  <c r="AQ283" i="6"/>
  <c r="AP274" i="6"/>
  <c r="AR274" i="6"/>
  <c r="AS274" i="6"/>
  <c r="AQ280" i="6"/>
  <c r="AS280" i="6"/>
  <c r="AP286" i="6"/>
  <c r="AR286" i="6"/>
  <c r="AS286" i="6"/>
  <c r="AP285" i="6"/>
  <c r="AR285" i="6"/>
  <c r="AP288" i="6"/>
  <c r="AR288" i="6"/>
  <c r="AS288" i="6"/>
  <c r="AQ256" i="6"/>
  <c r="AP181" i="6"/>
  <c r="AR181" i="6"/>
  <c r="AP54" i="6"/>
  <c r="AR54" i="6"/>
  <c r="AS54" i="6"/>
  <c r="AP155" i="6"/>
  <c r="AR155" i="6"/>
  <c r="AS155" i="6"/>
  <c r="AQ77" i="6"/>
  <c r="AP138" i="6"/>
  <c r="AR138" i="6"/>
  <c r="AS138" i="6"/>
  <c r="AQ172" i="6"/>
  <c r="AP154" i="6"/>
  <c r="AR154" i="6"/>
  <c r="AS154" i="6"/>
  <c r="AQ63" i="6"/>
  <c r="AP19" i="6"/>
  <c r="AR19" i="6"/>
  <c r="AS19" i="6"/>
  <c r="AP49" i="6"/>
  <c r="AR49" i="6"/>
  <c r="AS49" i="6"/>
  <c r="AP178" i="6"/>
  <c r="AR178" i="6"/>
  <c r="AS178" i="6"/>
  <c r="AP180" i="6"/>
  <c r="AR180" i="6"/>
  <c r="AS180" i="6"/>
  <c r="AP28" i="6"/>
  <c r="AR28" i="6"/>
  <c r="AP42" i="6"/>
  <c r="AR42" i="6"/>
  <c r="AS42" i="6"/>
  <c r="AP172" i="6"/>
  <c r="AR172" i="6"/>
  <c r="AQ226" i="6"/>
  <c r="AQ200" i="6"/>
  <c r="AQ227" i="6"/>
  <c r="AQ217" i="6"/>
  <c r="AQ207" i="6"/>
  <c r="AQ191" i="6"/>
  <c r="AP217" i="6"/>
  <c r="AR217" i="6"/>
  <c r="AS217" i="6"/>
  <c r="AP198" i="6"/>
  <c r="AR198" i="6"/>
  <c r="AS198" i="6"/>
  <c r="AQ232" i="6"/>
  <c r="AP214" i="6"/>
  <c r="AR214" i="6"/>
  <c r="AS214" i="6"/>
  <c r="AQ224" i="6"/>
  <c r="AP195" i="6"/>
  <c r="AR195" i="6"/>
  <c r="AS195" i="6"/>
  <c r="AP220" i="6"/>
  <c r="AR220" i="6"/>
  <c r="AS220" i="6"/>
  <c r="AP199" i="6"/>
  <c r="AR199" i="6"/>
  <c r="AS199" i="6"/>
  <c r="AQ259" i="6"/>
  <c r="AP275" i="6"/>
  <c r="AR275" i="6"/>
  <c r="AS275" i="6"/>
  <c r="AQ265" i="6"/>
  <c r="AP254" i="6"/>
  <c r="AR254" i="6"/>
  <c r="AS254" i="6"/>
  <c r="AQ270" i="6"/>
  <c r="AP294" i="6"/>
  <c r="AR294" i="6"/>
  <c r="AS294" i="6"/>
  <c r="AQ278" i="6"/>
  <c r="AP255" i="6"/>
  <c r="AR255" i="6"/>
  <c r="AS255" i="6"/>
  <c r="AQ285" i="6"/>
  <c r="AQ249" i="6"/>
  <c r="AP295" i="6"/>
  <c r="AR295" i="6"/>
  <c r="AS295" i="6"/>
  <c r="AP259" i="6"/>
  <c r="AR259" i="6"/>
  <c r="AP279" i="6"/>
  <c r="AR279" i="6"/>
  <c r="AS279" i="6"/>
  <c r="AQ247" i="6"/>
  <c r="W37" i="6"/>
  <c r="W36" i="6"/>
  <c r="N37" i="6"/>
  <c r="T36" i="6"/>
  <c r="I17" i="6"/>
  <c r="I142" i="6"/>
  <c r="I295" i="6"/>
  <c r="I82" i="6"/>
  <c r="I67" i="6"/>
  <c r="I16" i="6"/>
  <c r="I124" i="6"/>
  <c r="I50" i="6"/>
  <c r="I64" i="6"/>
  <c r="I308" i="6"/>
  <c r="I107" i="6"/>
  <c r="I151" i="6"/>
  <c r="I154" i="6"/>
  <c r="I83" i="6"/>
  <c r="I91" i="6"/>
  <c r="I110" i="6"/>
  <c r="I108" i="6"/>
  <c r="I75" i="6"/>
  <c r="I312" i="6"/>
  <c r="I309" i="6"/>
  <c r="I37" i="6"/>
  <c r="I329" i="6"/>
  <c r="I298" i="6"/>
  <c r="I118" i="6"/>
  <c r="I327" i="6"/>
  <c r="I134" i="6"/>
  <c r="I122" i="6"/>
  <c r="I48" i="6"/>
  <c r="I160" i="6"/>
  <c r="I143" i="6"/>
  <c r="I313" i="6"/>
  <c r="I296" i="6"/>
  <c r="I301" i="6"/>
  <c r="I167" i="6"/>
  <c r="I375" i="6"/>
  <c r="I85" i="6"/>
  <c r="I57" i="6"/>
  <c r="I114" i="6"/>
  <c r="I321" i="6"/>
  <c r="I173" i="6"/>
  <c r="I129" i="6"/>
  <c r="I26" i="6"/>
  <c r="I88" i="6"/>
  <c r="I126" i="6"/>
  <c r="I149" i="6"/>
  <c r="I328" i="6"/>
  <c r="I175" i="6"/>
  <c r="I174" i="6"/>
  <c r="I19" i="6"/>
  <c r="I333" i="6"/>
  <c r="I339" i="6"/>
  <c r="I302" i="6"/>
  <c r="I109" i="6"/>
  <c r="I92" i="6"/>
  <c r="I186" i="6"/>
  <c r="I180" i="6"/>
  <c r="Z51" i="6"/>
  <c r="R36" i="6"/>
  <c r="AX65" i="6"/>
  <c r="X36" i="6"/>
  <c r="Y36" i="6"/>
  <c r="M37" i="6"/>
  <c r="O36" i="6"/>
  <c r="S36" i="6"/>
  <c r="I374" i="6"/>
  <c r="I103" i="6"/>
  <c r="I152" i="6"/>
  <c r="I80" i="6"/>
  <c r="I314" i="6"/>
  <c r="I373" i="6"/>
  <c r="I63" i="6"/>
  <c r="I46" i="6"/>
  <c r="I66" i="6"/>
  <c r="I76" i="6"/>
  <c r="I376" i="6"/>
  <c r="I125" i="6"/>
  <c r="I27" i="6"/>
  <c r="I189" i="6"/>
  <c r="I325" i="6"/>
  <c r="I290" i="6"/>
  <c r="I121" i="6"/>
  <c r="I377" i="6"/>
  <c r="I136" i="6"/>
  <c r="I45" i="6"/>
  <c r="I115" i="6"/>
  <c r="I25" i="6"/>
  <c r="I60" i="6"/>
  <c r="I161" i="6"/>
  <c r="I61" i="6"/>
  <c r="I95" i="6"/>
  <c r="I181" i="6"/>
  <c r="I39" i="6"/>
  <c r="I96" i="6"/>
  <c r="I87" i="6"/>
  <c r="I128" i="6"/>
  <c r="I292" i="6"/>
  <c r="I316" i="6"/>
  <c r="I169" i="6"/>
  <c r="I98" i="6"/>
  <c r="I127" i="6"/>
  <c r="I84" i="6"/>
  <c r="I135" i="6"/>
  <c r="I65" i="6"/>
  <c r="I317" i="6"/>
  <c r="I102" i="6"/>
  <c r="I168" i="6"/>
  <c r="I99" i="6"/>
  <c r="I170" i="6"/>
  <c r="I323" i="6"/>
  <c r="I318" i="6"/>
  <c r="I300" i="6"/>
  <c r="I335" i="6"/>
  <c r="I334" i="6"/>
  <c r="I305" i="6"/>
  <c r="I100" i="6"/>
  <c r="I188" i="6"/>
  <c r="I179" i="6"/>
  <c r="I163" i="6"/>
  <c r="I28" i="6"/>
  <c r="I165" i="6"/>
  <c r="I162" i="6"/>
  <c r="Y52" i="6"/>
  <c r="I359" i="6"/>
  <c r="I357" i="6"/>
  <c r="I344" i="6"/>
  <c r="I362" i="6"/>
  <c r="I354" i="6"/>
  <c r="G12" i="6"/>
  <c r="F13" i="6"/>
  <c r="F12" i="6"/>
  <c r="AS81" i="6"/>
  <c r="AS92" i="6"/>
  <c r="AS88" i="6"/>
  <c r="AS119" i="6"/>
  <c r="AS110" i="6"/>
  <c r="AX32" i="6"/>
  <c r="AX21" i="6"/>
  <c r="AX19" i="6"/>
  <c r="AX26" i="6"/>
  <c r="AX28" i="6"/>
  <c r="AX34" i="6"/>
  <c r="I224" i="6"/>
  <c r="I227" i="6"/>
  <c r="I217" i="6"/>
  <c r="I268" i="6"/>
  <c r="I284" i="6"/>
  <c r="I240" i="6"/>
  <c r="I207" i="6"/>
  <c r="I282" i="6"/>
  <c r="I251" i="6"/>
  <c r="I266" i="6"/>
  <c r="I270" i="6"/>
  <c r="I244" i="6"/>
  <c r="I241" i="6"/>
  <c r="I235" i="6"/>
  <c r="I369" i="6"/>
  <c r="I22" i="6"/>
  <c r="H13" i="6"/>
  <c r="H12" i="6"/>
  <c r="AX66" i="6"/>
  <c r="AX54" i="6"/>
  <c r="AX44" i="6"/>
  <c r="AX59" i="6"/>
  <c r="AX37" i="6"/>
  <c r="AX38" i="6"/>
  <c r="AX90" i="6"/>
  <c r="AX53" i="6"/>
  <c r="AX72" i="6"/>
  <c r="AX49" i="6"/>
  <c r="AX81" i="6"/>
  <c r="AX43" i="6"/>
  <c r="AX74" i="6"/>
  <c r="AX77" i="6"/>
  <c r="AX71" i="6"/>
  <c r="AX89" i="6"/>
  <c r="AX82" i="6"/>
  <c r="AX88" i="6"/>
  <c r="AX63" i="6"/>
  <c r="AX70" i="6"/>
  <c r="AS114" i="6"/>
  <c r="AS120" i="6"/>
  <c r="AS99" i="6"/>
  <c r="AS85" i="6"/>
  <c r="AS79" i="6"/>
  <c r="AS106" i="6"/>
  <c r="AS121" i="6"/>
  <c r="AS105" i="6"/>
  <c r="AS131" i="6"/>
  <c r="AS103" i="6"/>
  <c r="AS118" i="6"/>
  <c r="AS123" i="6"/>
  <c r="AS101" i="6"/>
  <c r="AS84" i="6"/>
  <c r="AS80" i="6"/>
  <c r="AS93" i="6"/>
  <c r="AS100" i="6"/>
  <c r="AS82" i="6"/>
  <c r="AX17" i="6"/>
  <c r="AX23" i="6"/>
  <c r="AX31" i="6"/>
  <c r="AX25" i="6"/>
  <c r="AX16" i="6"/>
  <c r="AX33" i="6"/>
  <c r="AX18" i="6"/>
  <c r="AX27" i="6"/>
  <c r="AX29" i="6"/>
  <c r="AX35" i="6"/>
  <c r="I214" i="6"/>
  <c r="I198" i="6"/>
  <c r="I226" i="6"/>
  <c r="I204" i="6"/>
  <c r="I273" i="6"/>
  <c r="I209" i="6"/>
  <c r="I216" i="6"/>
  <c r="I248" i="6"/>
  <c r="I228" i="6"/>
  <c r="I245" i="6"/>
  <c r="I242" i="6"/>
  <c r="I272" i="6"/>
  <c r="I234" i="6"/>
  <c r="I247" i="6"/>
  <c r="I279" i="6"/>
  <c r="I265" i="6"/>
  <c r="I285" i="6"/>
  <c r="I280" i="6"/>
  <c r="I196" i="6"/>
  <c r="I260" i="6"/>
  <c r="I281" i="6"/>
  <c r="I236" i="6"/>
  <c r="I258" i="6"/>
  <c r="AU258" i="6"/>
  <c r="AW258" i="6"/>
  <c r="AV256" i="6"/>
  <c r="AV243" i="6"/>
  <c r="AU235" i="6"/>
  <c r="AW235" i="6"/>
  <c r="AV231" i="6"/>
  <c r="AU223" i="6"/>
  <c r="AW223" i="6"/>
  <c r="AU216" i="6"/>
  <c r="AW216" i="6"/>
  <c r="AV254" i="6"/>
  <c r="AU244" i="6"/>
  <c r="AW244" i="6"/>
  <c r="AV223" i="6"/>
  <c r="AU215" i="6"/>
  <c r="AW215" i="6"/>
  <c r="AV237" i="6"/>
  <c r="AU256" i="6"/>
  <c r="AW256" i="6"/>
  <c r="AU250" i="6"/>
  <c r="AW250" i="6"/>
  <c r="AU237" i="6"/>
  <c r="AW237" i="6"/>
  <c r="AV253" i="6"/>
  <c r="AV218" i="6"/>
  <c r="AV236" i="6"/>
  <c r="AV259" i="6"/>
  <c r="AU211" i="6"/>
  <c r="AW211" i="6"/>
  <c r="AU249" i="6"/>
  <c r="AW249" i="6"/>
  <c r="AU236" i="6"/>
  <c r="AW236" i="6"/>
  <c r="AX236" i="6"/>
  <c r="AV251" i="6"/>
  <c r="AV207" i="6"/>
  <c r="AU226" i="6"/>
  <c r="AW226" i="6"/>
  <c r="AU206" i="6"/>
  <c r="AW206" i="6"/>
  <c r="AU207" i="6"/>
  <c r="AW207" i="6"/>
  <c r="AV229" i="6"/>
  <c r="AV213" i="6"/>
  <c r="AV221" i="6"/>
  <c r="AV238" i="6"/>
  <c r="AU259" i="6"/>
  <c r="AW259" i="6"/>
  <c r="AV247" i="6"/>
  <c r="AU239" i="6"/>
  <c r="AW239" i="6"/>
  <c r="AU234" i="6"/>
  <c r="AW234" i="6"/>
  <c r="AV227" i="6"/>
  <c r="AU218" i="6"/>
  <c r="AW218" i="6"/>
  <c r="AX218" i="6"/>
  <c r="AV215" i="6"/>
  <c r="AV250" i="6"/>
  <c r="AU240" i="6"/>
  <c r="AW240" i="6"/>
  <c r="AV219" i="6"/>
  <c r="AV208" i="6"/>
  <c r="AV234" i="6"/>
  <c r="AU225" i="6"/>
  <c r="AW225" i="6"/>
  <c r="AU227" i="6"/>
  <c r="AW227" i="6"/>
  <c r="AV244" i="6"/>
  <c r="AV224" i="6"/>
  <c r="AU246" i="6"/>
  <c r="AW246" i="6"/>
  <c r="AU243" i="6"/>
  <c r="AW243" i="6"/>
  <c r="AX243" i="6"/>
  <c r="AV205" i="6"/>
  <c r="AV12" i="6"/>
  <c r="AU224" i="6"/>
  <c r="AW224" i="6"/>
  <c r="AX224" i="6"/>
  <c r="AV239" i="6"/>
  <c r="AU251" i="6"/>
  <c r="AW251" i="6"/>
  <c r="AX251" i="6"/>
  <c r="AV242" i="6"/>
  <c r="AV226" i="6"/>
  <c r="AU245" i="6"/>
  <c r="AW245" i="6"/>
  <c r="AV216" i="6"/>
  <c r="AV257" i="6"/>
  <c r="AV233" i="6"/>
  <c r="AU209" i="6"/>
  <c r="AW209" i="6"/>
  <c r="AV241" i="6"/>
  <c r="AU221" i="6"/>
  <c r="AW221" i="6"/>
  <c r="AX221" i="6"/>
  <c r="AU219" i="6"/>
  <c r="AW219" i="6"/>
  <c r="AX219" i="6"/>
  <c r="AV252" i="6"/>
  <c r="AU213" i="6"/>
  <c r="AW213" i="6"/>
  <c r="AX213" i="6"/>
  <c r="AV210" i="6"/>
  <c r="AU231" i="6"/>
  <c r="AW231" i="6"/>
  <c r="AX231" i="6"/>
  <c r="AU252" i="6"/>
  <c r="AW252" i="6"/>
  <c r="AX252" i="6"/>
  <c r="AV214" i="6"/>
  <c r="AV209" i="6"/>
  <c r="AU257" i="6"/>
  <c r="AW257" i="6"/>
  <c r="AV230" i="6"/>
  <c r="AU242" i="6"/>
  <c r="AW242" i="6"/>
  <c r="AU253" i="6"/>
  <c r="AW253" i="6"/>
  <c r="AX253" i="6"/>
  <c r="AU220" i="6"/>
  <c r="AW220" i="6"/>
  <c r="AV258" i="6"/>
  <c r="AV206" i="6"/>
  <c r="AV240" i="6"/>
  <c r="AV249" i="6"/>
  <c r="AU205" i="6"/>
  <c r="AW205" i="6"/>
  <c r="AX205" i="6"/>
  <c r="AU247" i="6"/>
  <c r="AW247" i="6"/>
  <c r="AX247" i="6"/>
  <c r="AV232" i="6"/>
  <c r="AV245" i="6"/>
  <c r="AV248" i="6"/>
  <c r="AU212" i="6"/>
  <c r="AW212" i="6"/>
  <c r="AV235" i="6"/>
  <c r="AU248" i="6"/>
  <c r="AW248" i="6"/>
  <c r="AU208" i="6"/>
  <c r="AW208" i="6"/>
  <c r="AX208" i="6"/>
  <c r="AV246" i="6"/>
  <c r="AV379" i="6"/>
  <c r="AU379" i="6"/>
  <c r="AW379" i="6"/>
  <c r="AU374" i="6"/>
  <c r="AW374" i="6"/>
  <c r="AV377" i="6"/>
  <c r="AU372" i="6"/>
  <c r="AW372" i="6"/>
  <c r="AU375" i="6"/>
  <c r="AW375" i="6"/>
  <c r="AU377" i="6"/>
  <c r="AW377" i="6"/>
  <c r="AV378" i="6"/>
  <c r="AU380" i="6"/>
  <c r="AW380" i="6"/>
  <c r="AV228" i="6"/>
  <c r="AU241" i="6"/>
  <c r="AW241" i="6"/>
  <c r="AU228" i="6"/>
  <c r="AW228" i="6"/>
  <c r="AX228" i="6"/>
  <c r="AU238" i="6"/>
  <c r="AW238" i="6"/>
  <c r="AX238" i="6"/>
  <c r="AV255" i="6"/>
  <c r="AV211" i="6"/>
  <c r="AV225" i="6"/>
  <c r="AU214" i="6"/>
  <c r="AW214" i="6"/>
  <c r="AU230" i="6"/>
  <c r="AW230" i="6"/>
  <c r="AU217" i="6"/>
  <c r="AW217" i="6"/>
  <c r="AV222" i="6"/>
  <c r="AV212" i="6"/>
  <c r="AV220" i="6"/>
  <c r="AU210" i="6"/>
  <c r="AW210" i="6"/>
  <c r="AX210" i="6"/>
  <c r="AU222" i="6"/>
  <c r="AW222" i="6"/>
  <c r="AX222" i="6"/>
  <c r="AV217" i="6"/>
  <c r="AU229" i="6"/>
  <c r="AW229" i="6"/>
  <c r="AU255" i="6"/>
  <c r="AW255" i="6"/>
  <c r="AU232" i="6"/>
  <c r="AW232" i="6"/>
  <c r="AU254" i="6"/>
  <c r="AW254" i="6"/>
  <c r="AX254" i="6"/>
  <c r="AU233" i="6"/>
  <c r="AW233" i="6"/>
  <c r="AX233" i="6"/>
  <c r="X52" i="6"/>
  <c r="AU378" i="6"/>
  <c r="AW378" i="6"/>
  <c r="AX378" i="6"/>
  <c r="AV380" i="6"/>
  <c r="AV373" i="6"/>
  <c r="AV376" i="6"/>
  <c r="AV375" i="6"/>
  <c r="AV372" i="6"/>
  <c r="AU373" i="6"/>
  <c r="AW373" i="6"/>
  <c r="AX373" i="6"/>
  <c r="AU376" i="6"/>
  <c r="AW376" i="6"/>
  <c r="AX376" i="6"/>
  <c r="AV374" i="6"/>
  <c r="AV314" i="6"/>
  <c r="AV282" i="6"/>
  <c r="AU260" i="6"/>
  <c r="AW260" i="6"/>
  <c r="AU303" i="6"/>
  <c r="AW303" i="6"/>
  <c r="AU271" i="6"/>
  <c r="AW271" i="6"/>
  <c r="AU268" i="6"/>
  <c r="AW268" i="6"/>
  <c r="AU306" i="6"/>
  <c r="AW306" i="6"/>
  <c r="AU304" i="6"/>
  <c r="AW304" i="6"/>
  <c r="AU295" i="6"/>
  <c r="AW295" i="6"/>
  <c r="AU290" i="6"/>
  <c r="AW290" i="6"/>
  <c r="AU289" i="6"/>
  <c r="AW289" i="6"/>
  <c r="AV283" i="6"/>
  <c r="AV306" i="6"/>
  <c r="AV274" i="6"/>
  <c r="AU287" i="6"/>
  <c r="AW287" i="6"/>
  <c r="AV290" i="6"/>
  <c r="AU280" i="6"/>
  <c r="AW280" i="6"/>
  <c r="AV302" i="6"/>
  <c r="AV270" i="6"/>
  <c r="AU262" i="6"/>
  <c r="AW262" i="6"/>
  <c r="AU261" i="6"/>
  <c r="AW261" i="6"/>
  <c r="AV307" i="6"/>
  <c r="AU264" i="6"/>
  <c r="AW264" i="6"/>
  <c r="AV315" i="6"/>
  <c r="AV299" i="6"/>
  <c r="AU279" i="6"/>
  <c r="AW279" i="6"/>
  <c r="AV271" i="6"/>
  <c r="AU302" i="6"/>
  <c r="AW302" i="6"/>
  <c r="AX302" i="6"/>
  <c r="AU270" i="6"/>
  <c r="AW270" i="6"/>
  <c r="AX270" i="6"/>
  <c r="AV262" i="6"/>
  <c r="AV291" i="6"/>
  <c r="AV296" i="6"/>
  <c r="AU296" i="6"/>
  <c r="AW296" i="6"/>
  <c r="AV285" i="6"/>
  <c r="AV304" i="6"/>
  <c r="AV293" i="6"/>
  <c r="AU312" i="6"/>
  <c r="AW312" i="6"/>
  <c r="AV284" i="6"/>
  <c r="AU297" i="6"/>
  <c r="AW297" i="6"/>
  <c r="AU282" i="6"/>
  <c r="AW282" i="6"/>
  <c r="AX282" i="6"/>
  <c r="AU307" i="6"/>
  <c r="AW307" i="6"/>
  <c r="AU276" i="6"/>
  <c r="AW276" i="6"/>
  <c r="AV309" i="6"/>
  <c r="AV305" i="6"/>
  <c r="AV301" i="6"/>
  <c r="AV264" i="6"/>
  <c r="AU284" i="6"/>
  <c r="AW284" i="6"/>
  <c r="AU313" i="6"/>
  <c r="AW313" i="6"/>
  <c r="AV298" i="6"/>
  <c r="AV13" i="6"/>
  <c r="AV266" i="6"/>
  <c r="AV310" i="6"/>
  <c r="AU300" i="6"/>
  <c r="AW300" i="6"/>
  <c r="AV279" i="6"/>
  <c r="AU267" i="6"/>
  <c r="AW267" i="6"/>
  <c r="AU311" i="6"/>
  <c r="AW311" i="6"/>
  <c r="AU310" i="6"/>
  <c r="AW310" i="6"/>
  <c r="AU305" i="6"/>
  <c r="AW305" i="6"/>
  <c r="AV303" i="6"/>
  <c r="AU294" i="6"/>
  <c r="AW294" i="6"/>
  <c r="AU273" i="6"/>
  <c r="AW273" i="6"/>
  <c r="AU298" i="6"/>
  <c r="AW298" i="6"/>
  <c r="AU266" i="6"/>
  <c r="AW266" i="6"/>
  <c r="AX266" i="6"/>
  <c r="AV263" i="6"/>
  <c r="AU263" i="6"/>
  <c r="AW263" i="6"/>
  <c r="AV275" i="6"/>
  <c r="AU309" i="6"/>
  <c r="AW309" i="6"/>
  <c r="AU291" i="6"/>
  <c r="AW291" i="6"/>
  <c r="AX291" i="6"/>
  <c r="AV287" i="6"/>
  <c r="AU272" i="6"/>
  <c r="AW272" i="6"/>
  <c r="AV311" i="6"/>
  <c r="AV278" i="6"/>
  <c r="AU314" i="6"/>
  <c r="AW314" i="6"/>
  <c r="AV260" i="6"/>
  <c r="AV261" i="6"/>
  <c r="AU275" i="6"/>
  <c r="AW275" i="6"/>
  <c r="AX275" i="6"/>
  <c r="AV272" i="6"/>
  <c r="AV297" i="6"/>
  <c r="AU265" i="6"/>
  <c r="AW265" i="6"/>
  <c r="AU315" i="6"/>
  <c r="AW315" i="6"/>
  <c r="AV280" i="6"/>
  <c r="AU277" i="6"/>
  <c r="AW277" i="6"/>
  <c r="AU301" i="6"/>
  <c r="AW301" i="6"/>
  <c r="AV295" i="6"/>
  <c r="AU283" i="6"/>
  <c r="AW283" i="6"/>
  <c r="AX283" i="6"/>
  <c r="AV308" i="6"/>
  <c r="AU278" i="6"/>
  <c r="AW278" i="6"/>
  <c r="AU285" i="6"/>
  <c r="AW285" i="6"/>
  <c r="AV269" i="6"/>
  <c r="AV276" i="6"/>
  <c r="AU371" i="6"/>
  <c r="AW371" i="6"/>
  <c r="AV351" i="6"/>
  <c r="AV326" i="6"/>
  <c r="AU331" i="6"/>
  <c r="AW331" i="6"/>
  <c r="AU327" i="6"/>
  <c r="AW327" i="6"/>
  <c r="AV366" i="6"/>
  <c r="AV362" i="6"/>
  <c r="AV333" i="6"/>
  <c r="AU348" i="6"/>
  <c r="AW348" i="6"/>
  <c r="AU324" i="6"/>
  <c r="AW324" i="6"/>
  <c r="AU322" i="6"/>
  <c r="AW322" i="6"/>
  <c r="AU342" i="6"/>
  <c r="AW342" i="6"/>
  <c r="AV323" i="6"/>
  <c r="AU367" i="6"/>
  <c r="AW367" i="6"/>
  <c r="AV365" i="6"/>
  <c r="AU352" i="6"/>
  <c r="AW352" i="6"/>
  <c r="AV347" i="6"/>
  <c r="AU346" i="6"/>
  <c r="AW346" i="6"/>
  <c r="AV367" i="6"/>
  <c r="AU320" i="6"/>
  <c r="AW320" i="6"/>
  <c r="AV318" i="6"/>
  <c r="AU356" i="6"/>
  <c r="AW356" i="6"/>
  <c r="AU353" i="6"/>
  <c r="AW353" i="6"/>
  <c r="AV348" i="6"/>
  <c r="AU325" i="6"/>
  <c r="AW325" i="6"/>
  <c r="AU350" i="6"/>
  <c r="AW350" i="6"/>
  <c r="AV356" i="6"/>
  <c r="AU363" i="6"/>
  <c r="AW363" i="6"/>
  <c r="AV319" i="6"/>
  <c r="AU343" i="6"/>
  <c r="AW343" i="6"/>
  <c r="AU318" i="6"/>
  <c r="AW318" i="6"/>
  <c r="AX318" i="6"/>
  <c r="AU338" i="6"/>
  <c r="AW338" i="6"/>
  <c r="AU359" i="6"/>
  <c r="AW359" i="6"/>
  <c r="AV338" i="6"/>
  <c r="AU355" i="6"/>
  <c r="AW355" i="6"/>
  <c r="AU365" i="6"/>
  <c r="AW365" i="6"/>
  <c r="AV321" i="6"/>
  <c r="AU349" i="6"/>
  <c r="AW349" i="6"/>
  <c r="AV328" i="6"/>
  <c r="AV343" i="6"/>
  <c r="AV352" i="6"/>
  <c r="AU360" i="6"/>
  <c r="AW360" i="6"/>
  <c r="AU334" i="6"/>
  <c r="AW334" i="6"/>
  <c r="AU361" i="6"/>
  <c r="AW361" i="6"/>
  <c r="AV316" i="6"/>
  <c r="AV350" i="6"/>
  <c r="AU317" i="6"/>
  <c r="AW317" i="6"/>
  <c r="AV353" i="6"/>
  <c r="AV325" i="6"/>
  <c r="AV322" i="6"/>
  <c r="AV359" i="6"/>
  <c r="AU364" i="6"/>
  <c r="AW364" i="6"/>
  <c r="AV346" i="6"/>
  <c r="AV341" i="6"/>
  <c r="AV357" i="6"/>
  <c r="AV320" i="6"/>
  <c r="AV324" i="6"/>
  <c r="AU293" i="6"/>
  <c r="AW293" i="6"/>
  <c r="AX293" i="6"/>
  <c r="AU274" i="6"/>
  <c r="AW274" i="6"/>
  <c r="AX274" i="6"/>
  <c r="AV267" i="6"/>
  <c r="AV289" i="6"/>
  <c r="AU286" i="6"/>
  <c r="AW286" i="6"/>
  <c r="AV286" i="6"/>
  <c r="AU308" i="6"/>
  <c r="AW308" i="6"/>
  <c r="AX308" i="6"/>
  <c r="AU292" i="6"/>
  <c r="AW292" i="6"/>
  <c r="AU288" i="6"/>
  <c r="AW288" i="6"/>
  <c r="AU281" i="6"/>
  <c r="AW281" i="6"/>
  <c r="AV288" i="6"/>
  <c r="AV265" i="6"/>
  <c r="AV313" i="6"/>
  <c r="AV294" i="6"/>
  <c r="AU299" i="6"/>
  <c r="AW299" i="6"/>
  <c r="AX299" i="6"/>
  <c r="AV300" i="6"/>
  <c r="AV312" i="6"/>
  <c r="AV277" i="6"/>
  <c r="AU269" i="6"/>
  <c r="AW269" i="6"/>
  <c r="AX269" i="6"/>
  <c r="AV273" i="6"/>
  <c r="AV268" i="6"/>
  <c r="AV281" i="6"/>
  <c r="AV292" i="6"/>
  <c r="AV361" i="6"/>
  <c r="AV342" i="6"/>
  <c r="AV340" i="6"/>
  <c r="AU319" i="6"/>
  <c r="AW319" i="6"/>
  <c r="AU370" i="6"/>
  <c r="AW370" i="6"/>
  <c r="AV354" i="6"/>
  <c r="AU368" i="6"/>
  <c r="AW368" i="6"/>
  <c r="AV360" i="6"/>
  <c r="AU323" i="6"/>
  <c r="AW323" i="6"/>
  <c r="AX323" i="6"/>
  <c r="AU330" i="6"/>
  <c r="AW330" i="6"/>
  <c r="AV339" i="6"/>
  <c r="AU369" i="6"/>
  <c r="AW369" i="6"/>
  <c r="AU357" i="6"/>
  <c r="AW357" i="6"/>
  <c r="AX357" i="6"/>
  <c r="AU354" i="6"/>
  <c r="AW354" i="6"/>
  <c r="AX354" i="6"/>
  <c r="AV355" i="6"/>
  <c r="AU345" i="6"/>
  <c r="AW345" i="6"/>
  <c r="AV330" i="6"/>
  <c r="AV336" i="6"/>
  <c r="AU344" i="6"/>
  <c r="AW344" i="6"/>
  <c r="AU316" i="6"/>
  <c r="AW316" i="6"/>
  <c r="AU362" i="6"/>
  <c r="AW362" i="6"/>
  <c r="AX362" i="6"/>
  <c r="AU347" i="6"/>
  <c r="AW347" i="6"/>
  <c r="AX347" i="6"/>
  <c r="AU340" i="6"/>
  <c r="AW340" i="6"/>
  <c r="AX340" i="6"/>
  <c r="AV331" i="6"/>
  <c r="AV337" i="6"/>
  <c r="AU358" i="6"/>
  <c r="AW358" i="6"/>
  <c r="AU332" i="6"/>
  <c r="AW332" i="6"/>
  <c r="AU321" i="6"/>
  <c r="AW321" i="6"/>
  <c r="AX321" i="6"/>
  <c r="AV317" i="6"/>
  <c r="AV349" i="6"/>
  <c r="AV332" i="6"/>
  <c r="AV370" i="6"/>
  <c r="AU335" i="6"/>
  <c r="AW335" i="6"/>
  <c r="AU333" i="6"/>
  <c r="AW333" i="6"/>
  <c r="AX333" i="6"/>
  <c r="AU329" i="6"/>
  <c r="AW329" i="6"/>
  <c r="AU351" i="6"/>
  <c r="AW351" i="6"/>
  <c r="AX351" i="6"/>
  <c r="AV358" i="6"/>
  <c r="AV364" i="6"/>
  <c r="AU328" i="6"/>
  <c r="AW328" i="6"/>
  <c r="AX328" i="6"/>
  <c r="AV368" i="6"/>
  <c r="AV345" i="6"/>
  <c r="AU366" i="6"/>
  <c r="AW366" i="6"/>
  <c r="AX366" i="6"/>
  <c r="AV369" i="6"/>
  <c r="AV363" i="6"/>
  <c r="AV371" i="6"/>
  <c r="AU339" i="6"/>
  <c r="AW339" i="6"/>
  <c r="AV327" i="6"/>
  <c r="AV335" i="6"/>
  <c r="AV344" i="6"/>
  <c r="AV329" i="6"/>
  <c r="AU337" i="6"/>
  <c r="AW337" i="6"/>
  <c r="AX337" i="6"/>
  <c r="AU326" i="6"/>
  <c r="AW326" i="6"/>
  <c r="AX326" i="6"/>
  <c r="AV334" i="6"/>
  <c r="AU336" i="6"/>
  <c r="AW336" i="6"/>
  <c r="AX336" i="6"/>
  <c r="AU341" i="6"/>
  <c r="AW341" i="6"/>
  <c r="X51" i="6"/>
  <c r="Z37" i="6"/>
  <c r="AQ319" i="6"/>
  <c r="AP329" i="6"/>
  <c r="AR329" i="6"/>
  <c r="AQ348" i="6"/>
  <c r="AP368" i="6"/>
  <c r="AR368" i="6"/>
  <c r="AQ342" i="6"/>
  <c r="AP352" i="6"/>
  <c r="AR352" i="6"/>
  <c r="AQ363" i="6"/>
  <c r="AQ328" i="6"/>
  <c r="AP328" i="6"/>
  <c r="AR328" i="6"/>
  <c r="AP372" i="6"/>
  <c r="AR372" i="6"/>
  <c r="AQ318" i="6"/>
  <c r="AP306" i="6"/>
  <c r="AR306" i="6"/>
  <c r="AQ360" i="6"/>
  <c r="AP313" i="6"/>
  <c r="AR313" i="6"/>
  <c r="AQ326" i="6"/>
  <c r="AQ347" i="6"/>
  <c r="AP340" i="6"/>
  <c r="AR340" i="6"/>
  <c r="AP377" i="6"/>
  <c r="AR377" i="6"/>
  <c r="AP359" i="6"/>
  <c r="AR359" i="6"/>
  <c r="AP323" i="6"/>
  <c r="AR323" i="6"/>
  <c r="AP335" i="6"/>
  <c r="AR335" i="6"/>
  <c r="AP311" i="6"/>
  <c r="AR311" i="6"/>
  <c r="AQ304" i="6"/>
  <c r="AP338" i="6"/>
  <c r="AR338" i="6"/>
  <c r="AQ337" i="6"/>
  <c r="AP331" i="6"/>
  <c r="AR331" i="6"/>
  <c r="AQ346" i="6"/>
  <c r="AQ373" i="6"/>
  <c r="AQ340" i="6"/>
  <c r="AQ308" i="6"/>
  <c r="AQ305" i="6"/>
  <c r="AP353" i="6"/>
  <c r="AR353" i="6"/>
  <c r="AQ320" i="6"/>
  <c r="AP369" i="6"/>
  <c r="AR369" i="6"/>
  <c r="AQ322" i="6"/>
  <c r="AQ367" i="6"/>
  <c r="AP336" i="6"/>
  <c r="AR336" i="6"/>
  <c r="AQ310" i="6"/>
  <c r="AP346" i="6"/>
  <c r="AR346" i="6"/>
  <c r="AS346" i="6"/>
  <c r="AQ338" i="6"/>
  <c r="AP365" i="6"/>
  <c r="AR365" i="6"/>
  <c r="AP308" i="6"/>
  <c r="AR308" i="6"/>
  <c r="AS308" i="6"/>
  <c r="AP321" i="6"/>
  <c r="AR321" i="6"/>
  <c r="AQ378" i="6"/>
  <c r="AP342" i="6"/>
  <c r="AR342" i="6"/>
  <c r="AS342" i="6"/>
  <c r="AQ330" i="6"/>
  <c r="AQ314" i="6"/>
  <c r="AQ352" i="6"/>
  <c r="AQ361" i="6"/>
  <c r="AP367" i="6"/>
  <c r="AR367" i="6"/>
  <c r="AS367" i="6"/>
  <c r="AQ351" i="6"/>
  <c r="AQ312" i="6"/>
  <c r="AP318" i="6"/>
  <c r="AR318" i="6"/>
  <c r="AS318" i="6"/>
  <c r="AQ345" i="6"/>
  <c r="AP341" i="6"/>
  <c r="AR341" i="6"/>
  <c r="AP366" i="6"/>
  <c r="AR366" i="6"/>
  <c r="AP362" i="6"/>
  <c r="AR362" i="6"/>
  <c r="AQ309" i="6"/>
  <c r="AQ306" i="6"/>
  <c r="AP351" i="6"/>
  <c r="AR351" i="6"/>
  <c r="AP373" i="6"/>
  <c r="AR373" i="6"/>
  <c r="AQ325" i="6"/>
  <c r="AQ371" i="6"/>
  <c r="AQ317" i="6"/>
  <c r="AQ354" i="6"/>
  <c r="AQ377" i="6"/>
  <c r="AP357" i="6"/>
  <c r="AR357" i="6"/>
  <c r="AQ369" i="6"/>
  <c r="AQ366" i="6"/>
  <c r="AQ311" i="6"/>
  <c r="AP360" i="6"/>
  <c r="AR360" i="6"/>
  <c r="AS360" i="6"/>
  <c r="AP378" i="6"/>
  <c r="AR378" i="6"/>
  <c r="AS378" i="6"/>
  <c r="AP309" i="6"/>
  <c r="AR309" i="6"/>
  <c r="AP312" i="6"/>
  <c r="AR312" i="6"/>
  <c r="AS312" i="6"/>
  <c r="AQ358" i="6"/>
  <c r="AQ315" i="6"/>
  <c r="AP320" i="6"/>
  <c r="AR320" i="6"/>
  <c r="AS320" i="6"/>
  <c r="AP303" i="6"/>
  <c r="AR303" i="6"/>
  <c r="AQ333" i="6"/>
  <c r="AP327" i="6"/>
  <c r="AR327" i="6"/>
  <c r="AQ350" i="6"/>
  <c r="AQ375" i="6"/>
  <c r="AQ303" i="6"/>
  <c r="AQ316" i="6"/>
  <c r="AQ323" i="6"/>
  <c r="AP364" i="6"/>
  <c r="AR364" i="6"/>
  <c r="AQ331" i="6"/>
  <c r="AP370" i="6"/>
  <c r="AR370" i="6"/>
  <c r="AQ355" i="6"/>
  <c r="AQ313" i="6"/>
  <c r="AP324" i="6"/>
  <c r="AR324" i="6"/>
  <c r="AQ374" i="6"/>
  <c r="AP325" i="6"/>
  <c r="AR325" i="6"/>
  <c r="AP326" i="6"/>
  <c r="AR326" i="6"/>
  <c r="AP349" i="6"/>
  <c r="AR349" i="6"/>
  <c r="AQ379" i="6"/>
  <c r="AQ327" i="6"/>
  <c r="AQ380" i="6"/>
  <c r="AP330" i="6"/>
  <c r="AR330" i="6"/>
  <c r="AQ365" i="6"/>
  <c r="AQ336" i="6"/>
  <c r="AQ376" i="6"/>
  <c r="AQ332" i="6"/>
  <c r="AP315" i="6"/>
  <c r="AR315" i="6"/>
  <c r="AS315" i="6"/>
  <c r="AP354" i="6"/>
  <c r="AR354" i="6"/>
  <c r="AS354" i="6"/>
  <c r="AP348" i="6"/>
  <c r="AR348" i="6"/>
  <c r="AP358" i="6"/>
  <c r="AR358" i="6"/>
  <c r="AS358" i="6"/>
  <c r="AP343" i="6"/>
  <c r="AR343" i="6"/>
  <c r="AQ321" i="6"/>
  <c r="AQ356" i="6"/>
  <c r="AP379" i="6"/>
  <c r="AR379" i="6"/>
  <c r="AP344" i="6"/>
  <c r="AR344" i="6"/>
  <c r="AP355" i="6"/>
  <c r="AR355" i="6"/>
  <c r="AS355" i="6"/>
  <c r="AP305" i="6"/>
  <c r="AR305" i="6"/>
  <c r="AP347" i="6"/>
  <c r="AR347" i="6"/>
  <c r="AS347" i="6"/>
  <c r="AQ368" i="6"/>
  <c r="AP332" i="6"/>
  <c r="AR332" i="6"/>
  <c r="AS332" i="6"/>
  <c r="AP374" i="6"/>
  <c r="AR374" i="6"/>
  <c r="AS374" i="6"/>
  <c r="AQ344" i="6"/>
  <c r="AP361" i="6"/>
  <c r="AR361" i="6"/>
  <c r="AP307" i="6"/>
  <c r="AR307" i="6"/>
  <c r="AP376" i="6"/>
  <c r="AR376" i="6"/>
  <c r="AS376" i="6"/>
  <c r="AP350" i="6"/>
  <c r="AR350" i="6"/>
  <c r="AS350" i="6"/>
  <c r="AQ324" i="6"/>
  <c r="AP333" i="6"/>
  <c r="AR333" i="6"/>
  <c r="AS333" i="6"/>
  <c r="AQ335" i="6"/>
  <c r="AP314" i="6"/>
  <c r="AR314" i="6"/>
  <c r="AS314" i="6"/>
  <c r="AQ339" i="6"/>
  <c r="AP339" i="6"/>
  <c r="AR339" i="6"/>
  <c r="AQ329" i="6"/>
  <c r="AP363" i="6"/>
  <c r="AR363" i="6"/>
  <c r="AS363" i="6"/>
  <c r="AQ349" i="6"/>
  <c r="AP319" i="6"/>
  <c r="AR319" i="6"/>
  <c r="AS319" i="6"/>
  <c r="AP337" i="6"/>
  <c r="AR337" i="6"/>
  <c r="AP334" i="6"/>
  <c r="AR334" i="6"/>
  <c r="AQ307" i="6"/>
  <c r="AP310" i="6"/>
  <c r="AR310" i="6"/>
  <c r="AS310" i="6"/>
  <c r="AQ334" i="6"/>
  <c r="AP316" i="6"/>
  <c r="AR316" i="6"/>
  <c r="AQ370" i="6"/>
  <c r="AQ343" i="6"/>
  <c r="AP304" i="6"/>
  <c r="AR304" i="6"/>
  <c r="AQ357" i="6"/>
  <c r="AQ364" i="6"/>
  <c r="AP317" i="6"/>
  <c r="AR317" i="6"/>
  <c r="AS317" i="6"/>
  <c r="AQ362" i="6"/>
  <c r="AQ359" i="6"/>
  <c r="AQ372" i="6"/>
  <c r="AP380" i="6"/>
  <c r="AR380" i="6"/>
  <c r="AP322" i="6"/>
  <c r="AR322" i="6"/>
  <c r="AQ353" i="6"/>
  <c r="AP371" i="6"/>
  <c r="AR371" i="6"/>
  <c r="AP345" i="6"/>
  <c r="AR345" i="6"/>
  <c r="AS345" i="6"/>
  <c r="AP356" i="6"/>
  <c r="AR356" i="6"/>
  <c r="AS356" i="6"/>
  <c r="AP375" i="6"/>
  <c r="AR375" i="6"/>
  <c r="AS375" i="6"/>
  <c r="AQ341" i="6"/>
  <c r="Z36" i="6"/>
  <c r="G13" i="6"/>
  <c r="AV204" i="6"/>
  <c r="AU204" i="6"/>
  <c r="AW204" i="6"/>
  <c r="AX204" i="6"/>
  <c r="U52" i="6"/>
  <c r="U51" i="6"/>
  <c r="I351" i="6"/>
  <c r="I368" i="6"/>
  <c r="I353" i="6"/>
  <c r="I371" i="6"/>
  <c r="I364" i="6"/>
  <c r="I356" i="6"/>
  <c r="I361" i="6"/>
  <c r="AX55" i="6"/>
  <c r="AX76" i="6"/>
  <c r="AX75" i="6"/>
  <c r="AS108" i="6"/>
  <c r="AS102" i="6"/>
  <c r="AS130" i="6"/>
  <c r="AS126" i="6"/>
  <c r="AS132" i="6"/>
  <c r="AS109" i="6"/>
  <c r="AS86" i="6"/>
  <c r="AR78" i="6"/>
  <c r="AP12" i="6"/>
  <c r="AS107" i="6"/>
  <c r="AS116" i="6"/>
  <c r="AS117" i="6"/>
  <c r="AS127" i="6"/>
  <c r="AS94" i="6"/>
  <c r="AX30" i="6"/>
  <c r="AX22" i="6"/>
  <c r="AW15" i="6"/>
  <c r="AU12" i="6"/>
  <c r="I267" i="6"/>
  <c r="I221" i="6"/>
  <c r="I202" i="6"/>
  <c r="I230" i="6"/>
  <c r="I206" i="6"/>
  <c r="I222" i="6"/>
  <c r="I278" i="6"/>
  <c r="I283" i="6"/>
  <c r="I250" i="6"/>
  <c r="I193" i="6"/>
  <c r="I286" i="6"/>
  <c r="I256" i="6"/>
  <c r="I197" i="6"/>
  <c r="I276" i="6"/>
  <c r="I271" i="6"/>
  <c r="I238" i="6"/>
  <c r="I201" i="6"/>
  <c r="I261" i="6"/>
  <c r="I249" i="6"/>
  <c r="I195" i="6"/>
  <c r="I264" i="6"/>
  <c r="I237" i="6"/>
  <c r="I253" i="6"/>
  <c r="I254" i="6"/>
  <c r="I263" i="6"/>
  <c r="I190" i="6"/>
  <c r="I348" i="6"/>
  <c r="I352" i="6"/>
  <c r="I345" i="6"/>
  <c r="I365" i="6"/>
  <c r="I363" i="6"/>
  <c r="I366" i="6"/>
  <c r="I360" i="6"/>
  <c r="I350" i="6"/>
  <c r="I367" i="6"/>
  <c r="I370" i="6"/>
  <c r="AA52" i="6"/>
  <c r="AA51" i="6"/>
  <c r="AS285" i="6"/>
  <c r="AS226" i="6"/>
  <c r="AS252" i="6"/>
  <c r="AS244" i="6"/>
  <c r="AS191" i="6"/>
  <c r="AS250" i="6"/>
  <c r="AS265" i="6"/>
  <c r="AS278" i="6"/>
  <c r="AS290" i="6"/>
  <c r="AS298" i="6"/>
  <c r="AS292" i="6"/>
  <c r="AS301" i="6"/>
  <c r="AS297" i="6"/>
  <c r="AS201" i="6"/>
  <c r="AS209" i="6"/>
  <c r="AS224" i="6"/>
  <c r="AS230" i="6"/>
  <c r="AS26" i="6"/>
  <c r="AS162" i="6"/>
  <c r="AS47" i="6"/>
  <c r="AS15" i="6"/>
  <c r="AS41" i="6"/>
  <c r="AS185" i="6"/>
  <c r="AS63" i="6"/>
  <c r="AS182" i="6"/>
  <c r="AS153" i="6"/>
  <c r="AS25" i="6"/>
  <c r="AS69" i="6"/>
  <c r="AS18" i="6"/>
  <c r="AS143" i="6"/>
  <c r="AS35" i="6"/>
  <c r="AS168" i="6"/>
  <c r="AS135" i="6"/>
  <c r="AS150" i="6"/>
  <c r="AS37" i="6"/>
  <c r="AS52" i="6"/>
  <c r="AS158" i="6"/>
  <c r="AS33" i="6"/>
  <c r="AS159" i="6"/>
  <c r="AS58" i="6"/>
  <c r="AX298" i="6"/>
  <c r="AU13" i="6"/>
  <c r="AP13" i="6"/>
  <c r="AS371" i="6"/>
  <c r="AS322" i="6"/>
  <c r="AS304" i="6"/>
  <c r="AS337" i="6"/>
  <c r="AS361" i="6"/>
  <c r="AS305" i="6"/>
  <c r="AS348" i="6"/>
  <c r="AS326" i="6"/>
  <c r="AS303" i="6"/>
  <c r="AS351" i="6"/>
  <c r="AX341" i="6"/>
  <c r="AX292" i="6"/>
  <c r="AX348" i="6"/>
  <c r="AX278" i="6"/>
  <c r="AX301" i="6"/>
  <c r="AX314" i="6"/>
  <c r="AX309" i="6"/>
  <c r="AX263" i="6"/>
  <c r="AX310" i="6"/>
  <c r="AX232" i="6"/>
  <c r="AX229" i="6"/>
  <c r="AX230" i="6"/>
  <c r="AX379" i="6"/>
  <c r="AX248" i="6"/>
  <c r="AX242" i="6"/>
  <c r="AX257" i="6"/>
  <c r="AX227" i="6"/>
  <c r="AX207" i="6"/>
  <c r="AX237" i="6"/>
  <c r="AX256" i="6"/>
  <c r="AS259" i="6"/>
  <c r="AS172" i="6"/>
  <c r="AS28" i="6"/>
  <c r="AS212" i="6"/>
  <c r="AS228" i="6"/>
  <c r="AS227" i="6"/>
  <c r="AS273" i="6"/>
  <c r="AS248" i="6"/>
  <c r="AS247" i="6"/>
  <c r="AS277" i="6"/>
  <c r="AS251" i="6"/>
  <c r="AS213" i="6"/>
  <c r="AS208" i="6"/>
  <c r="AS240" i="6"/>
  <c r="AS223" i="6"/>
  <c r="AS233" i="6"/>
  <c r="AS43" i="6"/>
  <c r="AS249" i="6"/>
  <c r="AS281" i="6"/>
  <c r="AS261" i="6"/>
  <c r="AS293" i="6"/>
  <c r="AS283" i="6"/>
  <c r="AS263" i="6"/>
  <c r="AS253" i="6"/>
  <c r="AS256" i="6"/>
  <c r="AS271" i="6"/>
  <c r="AS262" i="6"/>
  <c r="AS300" i="6"/>
  <c r="AS270" i="6"/>
  <c r="AS284" i="6"/>
  <c r="AS258" i="6"/>
  <c r="AS197" i="6"/>
  <c r="AS232" i="6"/>
  <c r="AS216" i="6"/>
  <c r="AS207" i="6"/>
  <c r="AS222" i="6"/>
  <c r="AS221" i="6"/>
  <c r="AS238" i="6"/>
  <c r="AS202" i="6"/>
  <c r="AS169" i="6"/>
  <c r="AS140" i="6"/>
  <c r="AS146" i="6"/>
  <c r="AS20" i="6"/>
  <c r="AS57" i="6"/>
  <c r="AS29" i="6"/>
  <c r="AS75" i="6"/>
  <c r="AS72" i="6"/>
  <c r="AS50" i="6"/>
  <c r="AS68" i="6"/>
  <c r="AS166" i="6"/>
  <c r="AS136" i="6"/>
  <c r="AS51" i="6"/>
  <c r="AS36" i="6"/>
  <c r="AS40" i="6"/>
  <c r="AS38" i="6"/>
  <c r="AS183" i="6"/>
  <c r="AS17" i="6"/>
  <c r="AS160" i="6"/>
  <c r="AS170" i="6"/>
  <c r="AS181" i="6"/>
  <c r="AS24" i="6"/>
  <c r="AS179" i="6"/>
  <c r="AS177" i="6"/>
  <c r="AS39" i="6"/>
  <c r="AS59" i="6"/>
  <c r="AS31" i="6"/>
  <c r="AS70" i="6"/>
  <c r="AS167" i="6"/>
  <c r="AS62" i="6"/>
  <c r="AS139" i="6"/>
  <c r="AS77" i="6"/>
  <c r="AS188" i="6"/>
  <c r="AS173" i="6"/>
  <c r="AS22" i="6"/>
  <c r="AS148" i="6"/>
  <c r="AS61" i="6"/>
  <c r="AS187" i="6"/>
  <c r="AS366" i="6"/>
  <c r="AX329" i="6"/>
  <c r="AX335" i="6"/>
  <c r="AX368" i="6"/>
  <c r="AX370" i="6"/>
  <c r="AX353" i="6"/>
  <c r="AX322" i="6"/>
  <c r="AX279" i="6"/>
  <c r="AX304" i="6"/>
  <c r="AX212" i="6"/>
  <c r="I13" i="6"/>
  <c r="AS344" i="6"/>
  <c r="AS343" i="6"/>
  <c r="AS327" i="6"/>
  <c r="AS331" i="6"/>
  <c r="AS323" i="6"/>
  <c r="AS306" i="6"/>
  <c r="AQ13" i="6"/>
  <c r="AX285" i="6"/>
  <c r="AX315" i="6"/>
  <c r="AX214" i="6"/>
  <c r="AX241" i="6"/>
  <c r="AX15" i="6"/>
  <c r="AW12" i="6"/>
  <c r="AW13" i="6"/>
  <c r="AS380" i="6"/>
  <c r="AS316" i="6"/>
  <c r="AS334" i="6"/>
  <c r="AS339" i="6"/>
  <c r="AS307" i="6"/>
  <c r="AS379" i="6"/>
  <c r="AS330" i="6"/>
  <c r="AS349" i="6"/>
  <c r="AS325" i="6"/>
  <c r="AS324" i="6"/>
  <c r="AS309" i="6"/>
  <c r="AS357" i="6"/>
  <c r="AS373" i="6"/>
  <c r="AS362" i="6"/>
  <c r="AS341" i="6"/>
  <c r="AS321" i="6"/>
  <c r="AS365" i="6"/>
  <c r="AS336" i="6"/>
  <c r="AS335" i="6"/>
  <c r="AS359" i="6"/>
  <c r="AS340" i="6"/>
  <c r="AS328" i="6"/>
  <c r="AX339" i="6"/>
  <c r="AX358" i="6"/>
  <c r="AX316" i="6"/>
  <c r="AX345" i="6"/>
  <c r="AX369" i="6"/>
  <c r="AX330" i="6"/>
  <c r="AX319" i="6"/>
  <c r="AX288" i="6"/>
  <c r="AX286" i="6"/>
  <c r="AX364" i="6"/>
  <c r="AX361" i="6"/>
  <c r="AX360" i="6"/>
  <c r="AX349" i="6"/>
  <c r="AX365" i="6"/>
  <c r="AX338" i="6"/>
  <c r="AX343" i="6"/>
  <c r="AX363" i="6"/>
  <c r="AX350" i="6"/>
  <c r="AX356" i="6"/>
  <c r="AX320" i="6"/>
  <c r="AX346" i="6"/>
  <c r="AX352" i="6"/>
  <c r="AX367" i="6"/>
  <c r="AX342" i="6"/>
  <c r="AX324" i="6"/>
  <c r="AX331" i="6"/>
  <c r="AX277" i="6"/>
  <c r="AX272" i="6"/>
  <c r="AX294" i="6"/>
  <c r="AX305" i="6"/>
  <c r="AX311" i="6"/>
  <c r="AX284" i="6"/>
  <c r="AX307" i="6"/>
  <c r="AX297" i="6"/>
  <c r="AX312" i="6"/>
  <c r="AX296" i="6"/>
  <c r="AX264" i="6"/>
  <c r="AX261" i="6"/>
  <c r="AX280" i="6"/>
  <c r="AX287" i="6"/>
  <c r="AX289" i="6"/>
  <c r="AX295" i="6"/>
  <c r="AX306" i="6"/>
  <c r="AX271" i="6"/>
  <c r="AX260" i="6"/>
  <c r="AX255" i="6"/>
  <c r="AX217" i="6"/>
  <c r="AX380" i="6"/>
  <c r="AX377" i="6"/>
  <c r="AX372" i="6"/>
  <c r="AX374" i="6"/>
  <c r="AX209" i="6"/>
  <c r="AX245" i="6"/>
  <c r="AX246" i="6"/>
  <c r="AX225" i="6"/>
  <c r="AX240" i="6"/>
  <c r="AX239" i="6"/>
  <c r="AX259" i="6"/>
  <c r="AX206" i="6"/>
  <c r="AX211" i="6"/>
  <c r="AX250" i="6"/>
  <c r="AX223" i="6"/>
  <c r="AX235" i="6"/>
  <c r="AQ12" i="6"/>
  <c r="I12" i="6"/>
  <c r="AS78" i="6"/>
  <c r="AR12" i="6"/>
  <c r="AR13" i="6"/>
  <c r="AS370" i="6"/>
  <c r="AS364" i="6"/>
  <c r="AS369" i="6"/>
  <c r="AS353" i="6"/>
  <c r="AS338" i="6"/>
  <c r="AS311" i="6"/>
  <c r="AS377" i="6"/>
  <c r="AS313" i="6"/>
  <c r="AS372" i="6"/>
  <c r="AS352" i="6"/>
  <c r="AS368" i="6"/>
  <c r="AS329" i="6"/>
  <c r="AX332" i="6"/>
  <c r="AX344" i="6"/>
  <c r="AX281" i="6"/>
  <c r="AX317" i="6"/>
  <c r="AX334" i="6"/>
  <c r="AX355" i="6"/>
  <c r="AX359" i="6"/>
  <c r="AX325" i="6"/>
  <c r="AX327" i="6"/>
  <c r="AX371" i="6"/>
  <c r="AX265" i="6"/>
  <c r="AX273" i="6"/>
  <c r="AX267" i="6"/>
  <c r="AX300" i="6"/>
  <c r="AX313" i="6"/>
  <c r="AX276" i="6"/>
  <c r="AX262" i="6"/>
  <c r="AX290" i="6"/>
  <c r="AX268" i="6"/>
  <c r="AX303" i="6"/>
  <c r="AX375" i="6"/>
  <c r="AX220" i="6"/>
  <c r="AX234" i="6"/>
  <c r="AX226" i="6"/>
  <c r="AX249" i="6"/>
  <c r="AX215" i="6"/>
  <c r="AX244" i="6"/>
  <c r="AX216" i="6"/>
  <c r="AX258" i="6"/>
  <c r="AC70" i="26"/>
  <c r="AS12" i="6"/>
  <c r="AS13" i="6"/>
  <c r="AX13" i="6"/>
  <c r="AX12" i="6"/>
  <c r="K15" i="17"/>
  <c r="X15" i="17"/>
  <c r="AB15" i="17"/>
  <c r="A16" i="17"/>
  <c r="X18" i="1"/>
  <c r="AB18" i="1"/>
  <c r="A19" i="1"/>
  <c r="L18" i="1"/>
  <c r="K18" i="1"/>
  <c r="D6" i="6"/>
  <c r="A64" i="19"/>
  <c r="V14" i="17"/>
  <c r="L1" i="17"/>
  <c r="Y14" i="17"/>
  <c r="F14" i="17"/>
  <c r="S3" i="7"/>
  <c r="J1" i="18"/>
  <c r="X1" i="17"/>
  <c r="A14" i="19"/>
  <c r="A38" i="19" s="1"/>
  <c r="A16" i="16"/>
  <c r="K15" i="16"/>
  <c r="AB15" i="16"/>
  <c r="X15" i="16"/>
  <c r="L12" i="1"/>
  <c r="O11" i="1"/>
  <c r="B11" i="7"/>
  <c r="L11" i="17"/>
  <c r="E8" i="1"/>
  <c r="BV13" i="7"/>
  <c r="BJ13" i="7"/>
  <c r="F7" i="1"/>
  <c r="AC9" i="1" s="1"/>
  <c r="AJ15" i="1"/>
  <c r="AJ17" i="1"/>
  <c r="A16" i="15"/>
  <c r="AB15" i="15"/>
  <c r="K15" i="15"/>
  <c r="AB16" i="15"/>
  <c r="K16" i="15"/>
  <c r="X16" i="15"/>
  <c r="A17" i="15"/>
  <c r="K11" i="19"/>
  <c r="K35" i="19" s="1"/>
  <c r="O10" i="1"/>
  <c r="BQ13" i="7" s="1"/>
  <c r="L11" i="18"/>
  <c r="P11" i="1"/>
  <c r="B15" i="7"/>
  <c r="L12" i="15"/>
  <c r="AB16" i="16"/>
  <c r="X16" i="16"/>
  <c r="K16" i="16"/>
  <c r="A17" i="16"/>
  <c r="AC12" i="1"/>
  <c r="X1" i="18"/>
  <c r="F14" i="18"/>
  <c r="A15" i="18"/>
  <c r="L1" i="18"/>
  <c r="V14" i="18"/>
  <c r="J1" i="20"/>
  <c r="Y14" i="18"/>
  <c r="A15" i="19"/>
  <c r="A39" i="19" s="1"/>
  <c r="E6" i="6"/>
  <c r="A65" i="19"/>
  <c r="Y3" i="7"/>
  <c r="AC10" i="1"/>
  <c r="A20" i="1"/>
  <c r="AJ19" i="1"/>
  <c r="AK19" i="1"/>
  <c r="K19" i="1"/>
  <c r="AB19" i="1"/>
  <c r="L19" i="1"/>
  <c r="X19" i="1"/>
  <c r="AB16" i="17"/>
  <c r="X16" i="17"/>
  <c r="A17" i="17"/>
  <c r="K16" i="17"/>
  <c r="L20" i="1"/>
  <c r="K20" i="1"/>
  <c r="AK20" i="1"/>
  <c r="A21" i="1"/>
  <c r="AB20" i="1"/>
  <c r="AJ20" i="1"/>
  <c r="X20" i="1"/>
  <c r="AB15" i="18"/>
  <c r="X15" i="18"/>
  <c r="K15" i="18"/>
  <c r="A16" i="18"/>
  <c r="K17" i="16"/>
  <c r="X17" i="16"/>
  <c r="A18" i="16"/>
  <c r="AB17" i="16"/>
  <c r="L11" i="20"/>
  <c r="L17" i="15"/>
  <c r="D17" i="15" s="1"/>
  <c r="A18" i="15"/>
  <c r="X17" i="15"/>
  <c r="AB17" i="15"/>
  <c r="K17" i="15"/>
  <c r="X17" i="17"/>
  <c r="A18" i="17"/>
  <c r="AB17" i="17"/>
  <c r="K17" i="17"/>
  <c r="F14" i="20"/>
  <c r="A16" i="19"/>
  <c r="A40" i="19" s="1"/>
  <c r="X1" i="20"/>
  <c r="A15" i="20"/>
  <c r="F6" i="6"/>
  <c r="V14" i="20"/>
  <c r="J1" i="22"/>
  <c r="Y14" i="20"/>
  <c r="AE3" i="7"/>
  <c r="L1" i="20"/>
  <c r="L12" i="16"/>
  <c r="L12" i="17"/>
  <c r="L17" i="17" s="1"/>
  <c r="D17" i="17" s="1"/>
  <c r="P12" i="1"/>
  <c r="AK17" i="1"/>
  <c r="F8" i="1"/>
  <c r="AK380" i="1"/>
  <c r="AK16" i="1"/>
  <c r="AK15" i="1"/>
  <c r="AK18" i="1"/>
  <c r="L12" i="18"/>
  <c r="L15" i="18" s="1"/>
  <c r="L16" i="15"/>
  <c r="D16" i="15" s="1"/>
  <c r="L12" i="20"/>
  <c r="AE11" i="1"/>
  <c r="L11" i="19"/>
  <c r="P10" i="1"/>
  <c r="AI11" i="1"/>
  <c r="K15" i="20"/>
  <c r="AB15" i="20"/>
  <c r="X15" i="20"/>
  <c r="A16" i="20"/>
  <c r="X18" i="15"/>
  <c r="AB18" i="15"/>
  <c r="A19" i="15"/>
  <c r="K18" i="15"/>
  <c r="AB18" i="16"/>
  <c r="A19" i="16"/>
  <c r="X18" i="16"/>
  <c r="K18" i="16"/>
  <c r="A22" i="1"/>
  <c r="L21" i="1"/>
  <c r="AJ21" i="1"/>
  <c r="X21" i="1"/>
  <c r="AB21" i="1"/>
  <c r="AK21" i="1"/>
  <c r="K21" i="1"/>
  <c r="A17" i="19"/>
  <c r="A41" i="19" s="1"/>
  <c r="F14" i="22"/>
  <c r="G6" i="6"/>
  <c r="L1" i="22"/>
  <c r="AK3" i="7"/>
  <c r="J1" i="23"/>
  <c r="V14" i="22"/>
  <c r="X1" i="22"/>
  <c r="A15" i="22"/>
  <c r="Y14" i="22"/>
  <c r="X18" i="17"/>
  <c r="K18" i="17"/>
  <c r="A19" i="17"/>
  <c r="AB18" i="17"/>
  <c r="L11" i="22"/>
  <c r="K16" i="18"/>
  <c r="A17" i="18"/>
  <c r="AB16" i="18"/>
  <c r="X16" i="18"/>
  <c r="L11" i="23"/>
  <c r="X19" i="17"/>
  <c r="K19" i="17"/>
  <c r="AB19" i="17"/>
  <c r="A20" i="17"/>
  <c r="H6" i="6"/>
  <c r="L1" i="23"/>
  <c r="Y14" i="23"/>
  <c r="A15" i="23"/>
  <c r="A18" i="19"/>
  <c r="A42" i="19" s="1"/>
  <c r="F14" i="23"/>
  <c r="AQ3" i="7"/>
  <c r="X1" i="23"/>
  <c r="J1" i="24"/>
  <c r="V14" i="23"/>
  <c r="AJ22" i="1"/>
  <c r="L22" i="1"/>
  <c r="AK22" i="1"/>
  <c r="A23" i="1"/>
  <c r="K22" i="1"/>
  <c r="X22" i="1"/>
  <c r="AB22" i="1"/>
  <c r="A20" i="15"/>
  <c r="AB19" i="15"/>
  <c r="K19" i="15"/>
  <c r="X19" i="15"/>
  <c r="A17" i="20"/>
  <c r="X16" i="20"/>
  <c r="AB16" i="20"/>
  <c r="K16" i="20"/>
  <c r="L12" i="22"/>
  <c r="A18" i="18"/>
  <c r="AB17" i="18"/>
  <c r="K17" i="18"/>
  <c r="X17" i="18"/>
  <c r="X15" i="22"/>
  <c r="A16" i="22"/>
  <c r="AB15" i="22"/>
  <c r="K15" i="22"/>
  <c r="K19" i="16"/>
  <c r="A20" i="16"/>
  <c r="AB19" i="16"/>
  <c r="X19" i="16"/>
  <c r="A21" i="16"/>
  <c r="AB20" i="16"/>
  <c r="K20" i="16"/>
  <c r="X20" i="16"/>
  <c r="K18" i="18"/>
  <c r="X18" i="18"/>
  <c r="A19" i="18"/>
  <c r="AB18" i="18"/>
  <c r="A18" i="20"/>
  <c r="AB17" i="20"/>
  <c r="K17" i="20"/>
  <c r="X17" i="20"/>
  <c r="I6" i="6"/>
  <c r="X1" i="24"/>
  <c r="L1" i="24"/>
  <c r="Y14" i="24"/>
  <c r="A15" i="24"/>
  <c r="V14" i="24"/>
  <c r="J1" i="25"/>
  <c r="AW3" i="7"/>
  <c r="F14" i="24"/>
  <c r="A19" i="19"/>
  <c r="A43" i="19" s="1"/>
  <c r="X16" i="22"/>
  <c r="AB16" i="22"/>
  <c r="A17" i="22"/>
  <c r="K16" i="22"/>
  <c r="L12" i="23"/>
  <c r="X20" i="15"/>
  <c r="A21" i="15"/>
  <c r="AB20" i="15"/>
  <c r="K20" i="15"/>
  <c r="A24" i="1"/>
  <c r="AB23" i="1"/>
  <c r="K23" i="1"/>
  <c r="AJ23" i="1"/>
  <c r="X23" i="1"/>
  <c r="L23" i="1"/>
  <c r="AK23" i="1"/>
  <c r="K15" i="23"/>
  <c r="X15" i="23"/>
  <c r="AB15" i="23"/>
  <c r="A16" i="23"/>
  <c r="X20" i="17"/>
  <c r="K20" i="17"/>
  <c r="A21" i="17"/>
  <c r="AB20" i="17"/>
  <c r="L11" i="24"/>
  <c r="K16" i="23"/>
  <c r="A17" i="23"/>
  <c r="X16" i="23"/>
  <c r="AB16" i="23"/>
  <c r="A25" i="1"/>
  <c r="X24" i="1"/>
  <c r="K24" i="1"/>
  <c r="AK24" i="1"/>
  <c r="L24" i="1"/>
  <c r="AB24" i="1"/>
  <c r="AJ24" i="1"/>
  <c r="AB21" i="15"/>
  <c r="A22" i="15"/>
  <c r="X21" i="15"/>
  <c r="K21" i="15"/>
  <c r="AB17" i="22"/>
  <c r="K17" i="22"/>
  <c r="X17" i="22"/>
  <c r="A18" i="22"/>
  <c r="K18" i="20"/>
  <c r="X18" i="20"/>
  <c r="AB18" i="20"/>
  <c r="A19" i="20"/>
  <c r="AB21" i="16"/>
  <c r="K21" i="16"/>
  <c r="X21" i="16"/>
  <c r="A22" i="16"/>
  <c r="K21" i="17"/>
  <c r="A22" i="17"/>
  <c r="X21" i="17"/>
  <c r="AB21" i="17"/>
  <c r="L11" i="25"/>
  <c r="L12" i="24"/>
  <c r="F14" i="25"/>
  <c r="J6" i="6"/>
  <c r="A20" i="19"/>
  <c r="A44" i="19" s="1"/>
  <c r="L1" i="25"/>
  <c r="BC3" i="7"/>
  <c r="Y14" i="25"/>
  <c r="X1" i="25"/>
  <c r="V14" i="25"/>
  <c r="A15" i="25"/>
  <c r="A16" i="24"/>
  <c r="X15" i="24"/>
  <c r="AB15" i="24"/>
  <c r="K15" i="24"/>
  <c r="A20" i="18"/>
  <c r="X19" i="18"/>
  <c r="K19" i="18"/>
  <c r="AB19" i="18"/>
  <c r="A23" i="16"/>
  <c r="X22" i="16"/>
  <c r="AB22" i="16"/>
  <c r="K22" i="16"/>
  <c r="K18" i="22"/>
  <c r="A19" i="22"/>
  <c r="X18" i="22"/>
  <c r="AB18" i="22"/>
  <c r="A17" i="24"/>
  <c r="X16" i="24"/>
  <c r="K16" i="24"/>
  <c r="AB16" i="24"/>
  <c r="AB20" i="18"/>
  <c r="K20" i="18"/>
  <c r="A21" i="18"/>
  <c r="X20" i="18"/>
  <c r="X15" i="25"/>
  <c r="A16" i="25"/>
  <c r="K15" i="25"/>
  <c r="AB15" i="25"/>
  <c r="L12" i="25"/>
  <c r="A23" i="17"/>
  <c r="X22" i="17"/>
  <c r="AB22" i="17"/>
  <c r="K22" i="17"/>
  <c r="K19" i="20"/>
  <c r="X19" i="20"/>
  <c r="A20" i="20"/>
  <c r="AB19" i="20"/>
  <c r="AB22" i="15"/>
  <c r="X22" i="15"/>
  <c r="K22" i="15"/>
  <c r="A23" i="15"/>
  <c r="A26" i="1"/>
  <c r="AB25" i="1"/>
  <c r="K25" i="1"/>
  <c r="X25" i="1"/>
  <c r="AK25" i="1"/>
  <c r="L25" i="1"/>
  <c r="AJ25" i="1"/>
  <c r="X17" i="23"/>
  <c r="K17" i="23"/>
  <c r="A18" i="23"/>
  <c r="AB17" i="23"/>
  <c r="A19" i="23"/>
  <c r="K18" i="23"/>
  <c r="AB18" i="23"/>
  <c r="X18" i="23"/>
  <c r="A21" i="20"/>
  <c r="X20" i="20"/>
  <c r="AB20" i="20"/>
  <c r="K20" i="20"/>
  <c r="K23" i="17"/>
  <c r="AB23" i="17"/>
  <c r="X23" i="17"/>
  <c r="A24" i="17"/>
  <c r="AB16" i="25"/>
  <c r="A17" i="25"/>
  <c r="X16" i="25"/>
  <c r="K16" i="25"/>
  <c r="L21" i="18"/>
  <c r="K21" i="18"/>
  <c r="AB21" i="18"/>
  <c r="A22" i="18"/>
  <c r="X21" i="18"/>
  <c r="AB23" i="16"/>
  <c r="X23" i="16"/>
  <c r="A24" i="16"/>
  <c r="K23" i="16"/>
  <c r="L26" i="1"/>
  <c r="AK26" i="1"/>
  <c r="K26" i="1"/>
  <c r="A27" i="1"/>
  <c r="AJ26" i="1"/>
  <c r="AB26" i="1"/>
  <c r="X26" i="1"/>
  <c r="AB23" i="15"/>
  <c r="K23" i="15"/>
  <c r="A24" i="15"/>
  <c r="X23" i="15"/>
  <c r="K17" i="24"/>
  <c r="X17" i="24"/>
  <c r="L17" i="24"/>
  <c r="AB17" i="24"/>
  <c r="A18" i="24"/>
  <c r="K19" i="22"/>
  <c r="L19" i="22"/>
  <c r="X19" i="22"/>
  <c r="A20" i="22"/>
  <c r="AB19" i="22"/>
  <c r="AB20" i="22"/>
  <c r="A21" i="22"/>
  <c r="K20" i="22"/>
  <c r="X20" i="22"/>
  <c r="X18" i="24"/>
  <c r="K18" i="24"/>
  <c r="AB18" i="24"/>
  <c r="A19" i="24"/>
  <c r="AB24" i="17"/>
  <c r="X24" i="17"/>
  <c r="A25" i="17"/>
  <c r="K24" i="17"/>
  <c r="A20" i="23"/>
  <c r="X19" i="23"/>
  <c r="K19" i="23"/>
  <c r="AB19" i="23"/>
  <c r="X24" i="15"/>
  <c r="A25" i="15"/>
  <c r="AB24" i="15"/>
  <c r="K24" i="15"/>
  <c r="A28" i="1"/>
  <c r="AB27" i="1"/>
  <c r="X27" i="1"/>
  <c r="K27" i="1"/>
  <c r="L27" i="1"/>
  <c r="AJ27" i="1"/>
  <c r="AK27" i="1"/>
  <c r="AB24" i="16"/>
  <c r="A25" i="16"/>
  <c r="X24" i="16"/>
  <c r="K24" i="16"/>
  <c r="A23" i="18"/>
  <c r="AB22" i="18"/>
  <c r="X22" i="18"/>
  <c r="K22" i="18"/>
  <c r="A18" i="25"/>
  <c r="X17" i="25"/>
  <c r="AB17" i="25"/>
  <c r="K17" i="25"/>
  <c r="A22" i="20"/>
  <c r="X21" i="20"/>
  <c r="AB21" i="20"/>
  <c r="K21" i="20"/>
  <c r="AB22" i="20"/>
  <c r="A23" i="20"/>
  <c r="X22" i="20"/>
  <c r="K22" i="20"/>
  <c r="K23" i="18"/>
  <c r="A24" i="18"/>
  <c r="X23" i="18"/>
  <c r="AB23" i="18"/>
  <c r="K25" i="15"/>
  <c r="A26" i="15"/>
  <c r="X25" i="15"/>
  <c r="AB25" i="15"/>
  <c r="A19" i="25"/>
  <c r="X18" i="25"/>
  <c r="K18" i="25"/>
  <c r="AB18" i="25"/>
  <c r="K25" i="16"/>
  <c r="X25" i="16"/>
  <c r="A26" i="16"/>
  <c r="AB25" i="16"/>
  <c r="A29" i="1"/>
  <c r="X28" i="1"/>
  <c r="K28" i="1"/>
  <c r="L28" i="1"/>
  <c r="AK28" i="1"/>
  <c r="AB28" i="1"/>
  <c r="AJ28" i="1"/>
  <c r="AB20" i="23"/>
  <c r="K20" i="23"/>
  <c r="X20" i="23"/>
  <c r="A21" i="23"/>
  <c r="A26" i="17"/>
  <c r="X25" i="17"/>
  <c r="K25" i="17"/>
  <c r="AB25" i="17"/>
  <c r="AB19" i="24"/>
  <c r="X19" i="24"/>
  <c r="K19" i="24"/>
  <c r="A20" i="24"/>
  <c r="A22" i="22"/>
  <c r="K21" i="22"/>
  <c r="AB21" i="22"/>
  <c r="X21" i="22"/>
  <c r="X20" i="24"/>
  <c r="A21" i="24"/>
  <c r="AB20" i="24"/>
  <c r="K20" i="24"/>
  <c r="K26" i="17"/>
  <c r="A27" i="17"/>
  <c r="AB26" i="17"/>
  <c r="X26" i="17"/>
  <c r="AB21" i="23"/>
  <c r="A22" i="23"/>
  <c r="X21" i="23"/>
  <c r="K21" i="23"/>
  <c r="K29" i="1"/>
  <c r="AK29" i="1"/>
  <c r="AJ29" i="1"/>
  <c r="A20" i="7"/>
  <c r="A30" i="1"/>
  <c r="X29" i="1"/>
  <c r="L29" i="1"/>
  <c r="B20" i="7" s="1"/>
  <c r="AB29" i="1"/>
  <c r="X26" i="16"/>
  <c r="AB26" i="16"/>
  <c r="K26" i="16"/>
  <c r="A27" i="16"/>
  <c r="AB26" i="15"/>
  <c r="K26" i="15"/>
  <c r="A27" i="15"/>
  <c r="X26" i="15"/>
  <c r="A23" i="22"/>
  <c r="X22" i="22"/>
  <c r="K22" i="22"/>
  <c r="AB22" i="22"/>
  <c r="A20" i="25"/>
  <c r="K19" i="25"/>
  <c r="AB19" i="25"/>
  <c r="X19" i="25"/>
  <c r="A25" i="18"/>
  <c r="AB24" i="18"/>
  <c r="X24" i="18"/>
  <c r="K24" i="18"/>
  <c r="K23" i="20"/>
  <c r="AB23" i="20"/>
  <c r="X23" i="20"/>
  <c r="A24" i="20"/>
  <c r="K20" i="25"/>
  <c r="AB20" i="25"/>
  <c r="A21" i="25"/>
  <c r="X20" i="25"/>
  <c r="X23" i="22"/>
  <c r="K23" i="22"/>
  <c r="AB23" i="22"/>
  <c r="A24" i="22"/>
  <c r="X27" i="16"/>
  <c r="K27" i="16"/>
  <c r="AB27" i="16"/>
  <c r="A28" i="16"/>
  <c r="L27" i="16"/>
  <c r="D27" i="16" s="1"/>
  <c r="AB27" i="17"/>
  <c r="K27" i="17"/>
  <c r="X27" i="17"/>
  <c r="A28" i="17"/>
  <c r="X21" i="24"/>
  <c r="A22" i="24"/>
  <c r="AB21" i="24"/>
  <c r="K21" i="24"/>
  <c r="AB24" i="20"/>
  <c r="A25" i="20"/>
  <c r="K24" i="20"/>
  <c r="X24" i="20"/>
  <c r="AB25" i="18"/>
  <c r="K25" i="18"/>
  <c r="X25" i="18"/>
  <c r="A26" i="18"/>
  <c r="A28" i="15"/>
  <c r="AB27" i="15"/>
  <c r="K27" i="15"/>
  <c r="X27" i="15"/>
  <c r="L30" i="1"/>
  <c r="K30" i="1"/>
  <c r="AB30" i="1"/>
  <c r="AK30" i="1"/>
  <c r="X30" i="1"/>
  <c r="A31" i="1"/>
  <c r="AJ30" i="1"/>
  <c r="AB22" i="23"/>
  <c r="X22" i="23"/>
  <c r="K22" i="23"/>
  <c r="A23" i="23"/>
  <c r="A29" i="15"/>
  <c r="AB28" i="15"/>
  <c r="K28" i="15"/>
  <c r="X28" i="15"/>
  <c r="L28" i="15"/>
  <c r="D28" i="15" s="1"/>
  <c r="K26" i="18"/>
  <c r="A27" i="18"/>
  <c r="X26" i="18"/>
  <c r="AB26" i="18"/>
  <c r="K25" i="20"/>
  <c r="X25" i="20"/>
  <c r="AB25" i="20"/>
  <c r="A26" i="20"/>
  <c r="A23" i="24"/>
  <c r="AB22" i="24"/>
  <c r="K22" i="24"/>
  <c r="X22" i="24"/>
  <c r="A22" i="25"/>
  <c r="X21" i="25"/>
  <c r="K21" i="25"/>
  <c r="AB21" i="25"/>
  <c r="AB23" i="23"/>
  <c r="A24" i="23"/>
  <c r="K23" i="23"/>
  <c r="X23" i="23"/>
  <c r="A32" i="1"/>
  <c r="AJ31" i="1"/>
  <c r="L31" i="1"/>
  <c r="AK31" i="1"/>
  <c r="K31" i="1"/>
  <c r="X31" i="1"/>
  <c r="AB31" i="1"/>
  <c r="A29" i="17"/>
  <c r="AB28" i="17"/>
  <c r="K28" i="17"/>
  <c r="X28" i="17"/>
  <c r="A29" i="16"/>
  <c r="AB28" i="16"/>
  <c r="X28" i="16"/>
  <c r="K28" i="16"/>
  <c r="K24" i="22"/>
  <c r="AB24" i="22"/>
  <c r="X24" i="22"/>
  <c r="A25" i="22"/>
  <c r="X25" i="22"/>
  <c r="A26" i="22"/>
  <c r="K25" i="22"/>
  <c r="AB25" i="22"/>
  <c r="A33" i="1"/>
  <c r="K32" i="1"/>
  <c r="AJ32" i="1"/>
  <c r="L32" i="1"/>
  <c r="X32" i="1"/>
  <c r="AK32" i="1"/>
  <c r="AB32" i="1"/>
  <c r="A23" i="25"/>
  <c r="L22" i="25"/>
  <c r="X22" i="25"/>
  <c r="AB22" i="25"/>
  <c r="K22" i="25"/>
  <c r="K23" i="24"/>
  <c r="X23" i="24"/>
  <c r="L23" i="24"/>
  <c r="A24" i="24"/>
  <c r="AB23" i="24"/>
  <c r="K26" i="20"/>
  <c r="L26" i="20"/>
  <c r="X26" i="20"/>
  <c r="AB26" i="20"/>
  <c r="A27" i="20"/>
  <c r="X27" i="18"/>
  <c r="A28" i="18"/>
  <c r="K27" i="18"/>
  <c r="AB27" i="18"/>
  <c r="AB29" i="15"/>
  <c r="A32" i="7"/>
  <c r="A30" i="15"/>
  <c r="K29" i="15"/>
  <c r="X29" i="15"/>
  <c r="AB29" i="16"/>
  <c r="A30" i="16"/>
  <c r="K29" i="16"/>
  <c r="X29" i="16"/>
  <c r="A44" i="7"/>
  <c r="A56" i="7"/>
  <c r="K29" i="17"/>
  <c r="AB29" i="17"/>
  <c r="X29" i="17"/>
  <c r="A30" i="17"/>
  <c r="K24" i="23"/>
  <c r="AB24" i="23"/>
  <c r="A25" i="23"/>
  <c r="X24" i="23"/>
  <c r="X25" i="23"/>
  <c r="A26" i="23"/>
  <c r="AB25" i="23"/>
  <c r="K25" i="23"/>
  <c r="AB30" i="16"/>
  <c r="K30" i="16"/>
  <c r="A31" i="16"/>
  <c r="X30" i="16"/>
  <c r="A31" i="15"/>
  <c r="K30" i="15"/>
  <c r="AB30" i="15"/>
  <c r="X30" i="15"/>
  <c r="K24" i="24"/>
  <c r="AB24" i="24"/>
  <c r="A25" i="24"/>
  <c r="X24" i="24"/>
  <c r="X23" i="25"/>
  <c r="AB23" i="25"/>
  <c r="A24" i="25"/>
  <c r="K23" i="25"/>
  <c r="A34" i="1"/>
  <c r="X33" i="1"/>
  <c r="AJ33" i="1"/>
  <c r="AB33" i="1"/>
  <c r="K33" i="1"/>
  <c r="L33" i="1"/>
  <c r="AK33" i="1"/>
  <c r="AB30" i="17"/>
  <c r="X30" i="17"/>
  <c r="K30" i="17"/>
  <c r="A31" i="17"/>
  <c r="L28" i="18"/>
  <c r="AB28" i="18"/>
  <c r="A29" i="18"/>
  <c r="K28" i="18"/>
  <c r="X28" i="18"/>
  <c r="K27" i="20"/>
  <c r="A28" i="20"/>
  <c r="X27" i="20"/>
  <c r="AB27" i="20"/>
  <c r="K26" i="22"/>
  <c r="X26" i="22"/>
  <c r="A27" i="22"/>
  <c r="AB26" i="22"/>
  <c r="A29" i="20"/>
  <c r="K28" i="20"/>
  <c r="AB28" i="20"/>
  <c r="X28" i="20"/>
  <c r="A32" i="17"/>
  <c r="K31" i="17"/>
  <c r="AB31" i="17"/>
  <c r="X31" i="17"/>
  <c r="A35" i="1"/>
  <c r="K34" i="1"/>
  <c r="AJ34" i="1"/>
  <c r="AB34" i="1"/>
  <c r="L34" i="1"/>
  <c r="X34" i="1"/>
  <c r="AK34" i="1"/>
  <c r="AB24" i="25"/>
  <c r="A25" i="25"/>
  <c r="X24" i="25"/>
  <c r="K24" i="25"/>
  <c r="AB25" i="24"/>
  <c r="A26" i="24"/>
  <c r="X25" i="24"/>
  <c r="K25" i="24"/>
  <c r="A32" i="15"/>
  <c r="X31" i="15"/>
  <c r="AB31" i="15"/>
  <c r="K31" i="15"/>
  <c r="X31" i="16"/>
  <c r="A32" i="16"/>
  <c r="K31" i="16"/>
  <c r="AB31" i="16"/>
  <c r="X27" i="22"/>
  <c r="K27" i="22"/>
  <c r="AB27" i="22"/>
  <c r="A28" i="22"/>
  <c r="K29" i="18"/>
  <c r="A68" i="7"/>
  <c r="X29" i="18"/>
  <c r="AB29" i="18"/>
  <c r="A30" i="18"/>
  <c r="K26" i="23"/>
  <c r="A27" i="23"/>
  <c r="AB26" i="23"/>
  <c r="X26" i="23"/>
  <c r="X30" i="18"/>
  <c r="K30" i="18"/>
  <c r="AB30" i="18"/>
  <c r="A31" i="18"/>
  <c r="AB32" i="16"/>
  <c r="A33" i="16"/>
  <c r="K32" i="16"/>
  <c r="X32" i="16"/>
  <c r="A27" i="24"/>
  <c r="X26" i="24"/>
  <c r="K26" i="24"/>
  <c r="AB26" i="24"/>
  <c r="AB32" i="17"/>
  <c r="K32" i="17"/>
  <c r="X32" i="17"/>
  <c r="A33" i="17"/>
  <c r="K29" i="20"/>
  <c r="L29" i="20"/>
  <c r="AF20" i="7" s="1"/>
  <c r="AB29" i="20"/>
  <c r="AE20" i="7"/>
  <c r="A30" i="20"/>
  <c r="X29" i="20"/>
  <c r="A28" i="23"/>
  <c r="L27" i="23"/>
  <c r="AB27" i="23"/>
  <c r="K27" i="23"/>
  <c r="X27" i="23"/>
  <c r="A29" i="22"/>
  <c r="AB28" i="22"/>
  <c r="K28" i="22"/>
  <c r="X28" i="22"/>
  <c r="K32" i="15"/>
  <c r="AB32" i="15"/>
  <c r="X32" i="15"/>
  <c r="A33" i="15"/>
  <c r="A26" i="25"/>
  <c r="X25" i="25"/>
  <c r="K25" i="25"/>
  <c r="AB25" i="25"/>
  <c r="AK35" i="1"/>
  <c r="AJ35" i="1"/>
  <c r="X35" i="1"/>
  <c r="A36" i="1"/>
  <c r="K35" i="1"/>
  <c r="AB35" i="1"/>
  <c r="L35" i="1"/>
  <c r="A34" i="17"/>
  <c r="X33" i="17"/>
  <c r="K33" i="17"/>
  <c r="AB33" i="17"/>
  <c r="X33" i="16"/>
  <c r="A34" i="16"/>
  <c r="K33" i="16"/>
  <c r="AB33" i="16"/>
  <c r="A37" i="1"/>
  <c r="AK36" i="1"/>
  <c r="X36" i="1"/>
  <c r="AJ36" i="1"/>
  <c r="K36" i="1"/>
  <c r="L36" i="1"/>
  <c r="AB36" i="1"/>
  <c r="X26" i="25"/>
  <c r="A27" i="25"/>
  <c r="AB26" i="25"/>
  <c r="K26" i="25"/>
  <c r="K33" i="15"/>
  <c r="AB33" i="15"/>
  <c r="A34" i="15"/>
  <c r="X33" i="15"/>
  <c r="A30" i="22"/>
  <c r="AB29" i="22"/>
  <c r="X29" i="22"/>
  <c r="K29" i="22"/>
  <c r="AE32" i="7"/>
  <c r="X28" i="23"/>
  <c r="A29" i="23"/>
  <c r="AB28" i="23"/>
  <c r="K28" i="23"/>
  <c r="K30" i="20"/>
  <c r="A31" i="20"/>
  <c r="X30" i="20"/>
  <c r="AB30" i="20"/>
  <c r="AB27" i="24"/>
  <c r="A28" i="24"/>
  <c r="K27" i="24"/>
  <c r="X27" i="24"/>
  <c r="A32" i="18"/>
  <c r="X31" i="18"/>
  <c r="AB31" i="18"/>
  <c r="K31" i="18"/>
  <c r="A31" i="22"/>
  <c r="AB30" i="22"/>
  <c r="X30" i="22"/>
  <c r="K30" i="22"/>
  <c r="K34" i="15"/>
  <c r="X34" i="15"/>
  <c r="AB34" i="15"/>
  <c r="A35" i="15"/>
  <c r="AJ37" i="1"/>
  <c r="L37" i="1"/>
  <c r="AB37" i="1"/>
  <c r="A38" i="1"/>
  <c r="X37" i="1"/>
  <c r="AK37" i="1"/>
  <c r="K37" i="1"/>
  <c r="X31" i="20"/>
  <c r="AB31" i="20"/>
  <c r="A32" i="20"/>
  <c r="K31" i="20"/>
  <c r="K32" i="18"/>
  <c r="AB32" i="18"/>
  <c r="A33" i="18"/>
  <c r="X32" i="18"/>
  <c r="K28" i="24"/>
  <c r="AB28" i="24"/>
  <c r="A29" i="24"/>
  <c r="X28" i="24"/>
  <c r="K29" i="23"/>
  <c r="AE44" i="7"/>
  <c r="A30" i="23"/>
  <c r="AB29" i="23"/>
  <c r="X29" i="23"/>
  <c r="X27" i="25"/>
  <c r="K27" i="25"/>
  <c r="A28" i="25"/>
  <c r="AB27" i="25"/>
  <c r="X34" i="16"/>
  <c r="K34" i="16"/>
  <c r="A35" i="16"/>
  <c r="AB34" i="16"/>
  <c r="AB34" i="17"/>
  <c r="K34" i="17"/>
  <c r="A35" i="17"/>
  <c r="X34" i="17"/>
  <c r="X35" i="17"/>
  <c r="AB35" i="17"/>
  <c r="A36" i="17"/>
  <c r="K35" i="17"/>
  <c r="K35" i="16"/>
  <c r="AB35" i="16"/>
  <c r="X35" i="16"/>
  <c r="A36" i="16"/>
  <c r="K28" i="25"/>
  <c r="A29" i="25"/>
  <c r="AB28" i="25"/>
  <c r="X28" i="25"/>
  <c r="AB30" i="23"/>
  <c r="A31" i="23"/>
  <c r="X30" i="23"/>
  <c r="K30" i="23"/>
  <c r="K33" i="18"/>
  <c r="AB33" i="18"/>
  <c r="X33" i="18"/>
  <c r="A34" i="18"/>
  <c r="X32" i="20"/>
  <c r="A33" i="20"/>
  <c r="K32" i="20"/>
  <c r="AB32" i="20"/>
  <c r="A39" i="1"/>
  <c r="L38" i="1"/>
  <c r="AK38" i="1"/>
  <c r="K38" i="1"/>
  <c r="AJ38" i="1"/>
  <c r="AB38" i="1"/>
  <c r="X38" i="1"/>
  <c r="K29" i="24"/>
  <c r="A30" i="24"/>
  <c r="X29" i="24"/>
  <c r="AE56" i="7"/>
  <c r="AB29" i="24"/>
  <c r="AB35" i="15"/>
  <c r="K35" i="15"/>
  <c r="A36" i="15"/>
  <c r="X35" i="15"/>
  <c r="A32" i="22"/>
  <c r="K31" i="22"/>
  <c r="X31" i="22"/>
  <c r="AB31" i="22"/>
  <c r="A31" i="24"/>
  <c r="AB30" i="24"/>
  <c r="K30" i="24"/>
  <c r="X30" i="24"/>
  <c r="A37" i="16"/>
  <c r="X36" i="16"/>
  <c r="K36" i="16"/>
  <c r="AB36" i="16"/>
  <c r="A37" i="17"/>
  <c r="X36" i="17"/>
  <c r="AB36" i="17"/>
  <c r="K36" i="17"/>
  <c r="A33" i="22"/>
  <c r="X32" i="22"/>
  <c r="K32" i="22"/>
  <c r="AB32" i="22"/>
  <c r="AB36" i="15"/>
  <c r="A37" i="15"/>
  <c r="X36" i="15"/>
  <c r="K36" i="15"/>
  <c r="X39" i="1"/>
  <c r="AK39" i="1"/>
  <c r="L39" i="1"/>
  <c r="AJ39" i="1"/>
  <c r="K39" i="1"/>
  <c r="A40" i="1"/>
  <c r="AB39" i="1"/>
  <c r="X33" i="20"/>
  <c r="K33" i="20"/>
  <c r="A34" i="20"/>
  <c r="AB33" i="20"/>
  <c r="X34" i="18"/>
  <c r="K34" i="18"/>
  <c r="AB34" i="18"/>
  <c r="A35" i="18"/>
  <c r="AB31" i="23"/>
  <c r="X31" i="23"/>
  <c r="K31" i="23"/>
  <c r="A32" i="23"/>
  <c r="X29" i="25"/>
  <c r="K29" i="25"/>
  <c r="A30" i="25"/>
  <c r="AB29" i="25"/>
  <c r="AE68" i="7"/>
  <c r="A41" i="1"/>
  <c r="L40" i="1"/>
  <c r="AB40" i="1"/>
  <c r="AK40" i="1"/>
  <c r="K40" i="1"/>
  <c r="X40" i="1"/>
  <c r="AJ40" i="1"/>
  <c r="K37" i="16"/>
  <c r="A38" i="16"/>
  <c r="X37" i="16"/>
  <c r="AB37" i="16"/>
  <c r="A32" i="24"/>
  <c r="K31" i="24"/>
  <c r="X31" i="24"/>
  <c r="AB31" i="24"/>
  <c r="AB30" i="25"/>
  <c r="K30" i="25"/>
  <c r="A31" i="25"/>
  <c r="X30" i="25"/>
  <c r="X35" i="18"/>
  <c r="A36" i="18"/>
  <c r="AB35" i="18"/>
  <c r="K35" i="18"/>
  <c r="K37" i="15"/>
  <c r="AB37" i="15"/>
  <c r="X37" i="15"/>
  <c r="A38" i="15"/>
  <c r="A33" i="23"/>
  <c r="AB32" i="23"/>
  <c r="K32" i="23"/>
  <c r="X32" i="23"/>
  <c r="A35" i="20"/>
  <c r="K34" i="20"/>
  <c r="X34" i="20"/>
  <c r="AB34" i="20"/>
  <c r="AB33" i="22"/>
  <c r="A34" i="22"/>
  <c r="K33" i="22"/>
  <c r="X33" i="22"/>
  <c r="K37" i="17"/>
  <c r="AB37" i="17"/>
  <c r="A38" i="17"/>
  <c r="X37" i="17"/>
  <c r="A36" i="20"/>
  <c r="K35" i="20"/>
  <c r="X35" i="20"/>
  <c r="AB35" i="20"/>
  <c r="K38" i="15"/>
  <c r="A39" i="15"/>
  <c r="X38" i="15"/>
  <c r="AB38" i="15"/>
  <c r="A37" i="18"/>
  <c r="X36" i="18"/>
  <c r="AB36" i="18"/>
  <c r="K36" i="18"/>
  <c r="A33" i="24"/>
  <c r="K32" i="24"/>
  <c r="AB32" i="24"/>
  <c r="X32" i="24"/>
  <c r="A42" i="1"/>
  <c r="L41" i="1"/>
  <c r="AB41" i="1"/>
  <c r="AK41" i="1"/>
  <c r="X41" i="1"/>
  <c r="K41" i="1"/>
  <c r="AJ41" i="1"/>
  <c r="A39" i="17"/>
  <c r="AB38" i="17"/>
  <c r="X38" i="17"/>
  <c r="K38" i="17"/>
  <c r="K34" i="22"/>
  <c r="AB34" i="22"/>
  <c r="A35" i="22"/>
  <c r="X34" i="22"/>
  <c r="A34" i="23"/>
  <c r="X33" i="23"/>
  <c r="K33" i="23"/>
  <c r="AB33" i="23"/>
  <c r="K31" i="25"/>
  <c r="AB31" i="25"/>
  <c r="X31" i="25"/>
  <c r="A32" i="25"/>
  <c r="X38" i="16"/>
  <c r="K38" i="16"/>
  <c r="AB38" i="16"/>
  <c r="A39" i="16"/>
  <c r="A40" i="17"/>
  <c r="X39" i="17"/>
  <c r="AB39" i="17"/>
  <c r="K39" i="17"/>
  <c r="A34" i="24"/>
  <c r="AB33" i="24"/>
  <c r="X33" i="24"/>
  <c r="K33" i="24"/>
  <c r="AB39" i="15"/>
  <c r="A40" i="15"/>
  <c r="X39" i="15"/>
  <c r="K39" i="15"/>
  <c r="A33" i="25"/>
  <c r="X32" i="25"/>
  <c r="K32" i="25"/>
  <c r="AB32" i="25"/>
  <c r="K39" i="16"/>
  <c r="A40" i="16"/>
  <c r="AB39" i="16"/>
  <c r="X39" i="16"/>
  <c r="K34" i="23"/>
  <c r="A35" i="23"/>
  <c r="X34" i="23"/>
  <c r="AB34" i="23"/>
  <c r="A36" i="22"/>
  <c r="AB35" i="22"/>
  <c r="K35" i="22"/>
  <c r="X35" i="22"/>
  <c r="AJ42" i="1"/>
  <c r="AK42" i="1"/>
  <c r="X42" i="1"/>
  <c r="K42" i="1"/>
  <c r="L42" i="1"/>
  <c r="AB42" i="1"/>
  <c r="A43" i="1"/>
  <c r="AB37" i="18"/>
  <c r="K37" i="18"/>
  <c r="X37" i="18"/>
  <c r="A38" i="18"/>
  <c r="A37" i="20"/>
  <c r="AB36" i="20"/>
  <c r="X36" i="20"/>
  <c r="K36" i="20"/>
  <c r="K37" i="20"/>
  <c r="A38" i="20"/>
  <c r="X37" i="20"/>
  <c r="AB37" i="20"/>
  <c r="K36" i="22"/>
  <c r="AB36" i="22"/>
  <c r="A37" i="22"/>
  <c r="X36" i="22"/>
  <c r="K35" i="23"/>
  <c r="AB35" i="23"/>
  <c r="A36" i="23"/>
  <c r="X35" i="23"/>
  <c r="AB33" i="25"/>
  <c r="A34" i="25"/>
  <c r="X33" i="25"/>
  <c r="K33" i="25"/>
  <c r="AB34" i="24"/>
  <c r="X34" i="24"/>
  <c r="K34" i="24"/>
  <c r="A35" i="24"/>
  <c r="A39" i="18"/>
  <c r="K38" i="18"/>
  <c r="AB38" i="18"/>
  <c r="X38" i="18"/>
  <c r="AJ43" i="1"/>
  <c r="L43" i="1"/>
  <c r="AK43" i="1"/>
  <c r="AB43" i="1"/>
  <c r="X43" i="1"/>
  <c r="A44" i="1"/>
  <c r="K43" i="1"/>
  <c r="K40" i="16"/>
  <c r="X40" i="16"/>
  <c r="AB40" i="16"/>
  <c r="A41" i="16"/>
  <c r="AB40" i="15"/>
  <c r="X40" i="15"/>
  <c r="K40" i="15"/>
  <c r="A41" i="15"/>
  <c r="K40" i="17"/>
  <c r="AB40" i="17"/>
  <c r="X40" i="17"/>
  <c r="A41" i="17"/>
  <c r="AB41" i="15"/>
  <c r="X41" i="15"/>
  <c r="A42" i="15"/>
  <c r="K41" i="15"/>
  <c r="X36" i="23"/>
  <c r="AB36" i="23"/>
  <c r="A37" i="23"/>
  <c r="K36" i="23"/>
  <c r="X37" i="22"/>
  <c r="A38" i="22"/>
  <c r="AB37" i="22"/>
  <c r="K37" i="22"/>
  <c r="K38" i="20"/>
  <c r="X38" i="20"/>
  <c r="AB38" i="20"/>
  <c r="A39" i="20"/>
  <c r="A42" i="17"/>
  <c r="X41" i="17"/>
  <c r="AB41" i="17"/>
  <c r="K41" i="17"/>
  <c r="X41" i="16"/>
  <c r="A42" i="16"/>
  <c r="K41" i="16"/>
  <c r="AB41" i="16"/>
  <c r="A45" i="1"/>
  <c r="AB44" i="1"/>
  <c r="K44" i="1"/>
  <c r="AJ44" i="1"/>
  <c r="L44" i="1"/>
  <c r="X44" i="1"/>
  <c r="AK44" i="1"/>
  <c r="A40" i="18"/>
  <c r="K39" i="18"/>
  <c r="X39" i="18"/>
  <c r="AB39" i="18"/>
  <c r="X35" i="24"/>
  <c r="AB35" i="24"/>
  <c r="A36" i="24"/>
  <c r="K35" i="24"/>
  <c r="AB34" i="25"/>
  <c r="A35" i="25"/>
  <c r="K34" i="25"/>
  <c r="X34" i="25"/>
  <c r="X35" i="25"/>
  <c r="AB35" i="25"/>
  <c r="K35" i="25"/>
  <c r="A36" i="25"/>
  <c r="K36" i="24"/>
  <c r="AB36" i="24"/>
  <c r="A37" i="24"/>
  <c r="X36" i="24"/>
  <c r="AB42" i="17"/>
  <c r="K42" i="17"/>
  <c r="A43" i="17"/>
  <c r="X42" i="17"/>
  <c r="A40" i="20"/>
  <c r="X39" i="20"/>
  <c r="AB39" i="20"/>
  <c r="K39" i="20"/>
  <c r="A39" i="22"/>
  <c r="AB38" i="22"/>
  <c r="K38" i="22"/>
  <c r="X38" i="22"/>
  <c r="K42" i="15"/>
  <c r="A43" i="15"/>
  <c r="X42" i="15"/>
  <c r="AB42" i="15"/>
  <c r="A41" i="18"/>
  <c r="AB40" i="18"/>
  <c r="X40" i="18"/>
  <c r="K40" i="18"/>
  <c r="A46" i="1"/>
  <c r="AB45" i="1"/>
  <c r="L45" i="1"/>
  <c r="X45" i="1"/>
  <c r="AK45" i="1"/>
  <c r="AJ45" i="1"/>
  <c r="K45" i="1"/>
  <c r="X42" i="16"/>
  <c r="A43" i="16"/>
  <c r="K42" i="16"/>
  <c r="AB42" i="16"/>
  <c r="AB37" i="23"/>
  <c r="A38" i="23"/>
  <c r="K37" i="23"/>
  <c r="X37" i="23"/>
  <c r="X38" i="23"/>
  <c r="AB38" i="23"/>
  <c r="K38" i="23"/>
  <c r="A39" i="23"/>
  <c r="K43" i="16"/>
  <c r="X43" i="16"/>
  <c r="AB43" i="16"/>
  <c r="A44" i="16"/>
  <c r="A47" i="1"/>
  <c r="X46" i="1"/>
  <c r="K46" i="1"/>
  <c r="AK46" i="1"/>
  <c r="AJ46" i="1"/>
  <c r="L46" i="1"/>
  <c r="AB46" i="1"/>
  <c r="A40" i="22"/>
  <c r="AB39" i="22"/>
  <c r="X39" i="22"/>
  <c r="K39" i="22"/>
  <c r="A37" i="25"/>
  <c r="AB36" i="25"/>
  <c r="K36" i="25"/>
  <c r="X36" i="25"/>
  <c r="A42" i="18"/>
  <c r="AB41" i="18"/>
  <c r="K41" i="18"/>
  <c r="X41" i="18"/>
  <c r="X43" i="15"/>
  <c r="K43" i="15"/>
  <c r="A44" i="15"/>
  <c r="AB43" i="15"/>
  <c r="K40" i="20"/>
  <c r="AB40" i="20"/>
  <c r="A41" i="20"/>
  <c r="X40" i="20"/>
  <c r="K43" i="17"/>
  <c r="X43" i="17"/>
  <c r="AB43" i="17"/>
  <c r="A44" i="17"/>
  <c r="AB37" i="24"/>
  <c r="X37" i="24"/>
  <c r="A38" i="24"/>
  <c r="K37" i="24"/>
  <c r="AB44" i="17"/>
  <c r="X44" i="17"/>
  <c r="K44" i="17"/>
  <c r="A45" i="17"/>
  <c r="X41" i="20"/>
  <c r="A42" i="20"/>
  <c r="AB41" i="20"/>
  <c r="K41" i="20"/>
  <c r="X44" i="15"/>
  <c r="AB44" i="15"/>
  <c r="A45" i="15"/>
  <c r="K44" i="15"/>
  <c r="K40" i="22"/>
  <c r="A41" i="22"/>
  <c r="X40" i="22"/>
  <c r="AB40" i="22"/>
  <c r="AB44" i="16"/>
  <c r="A45" i="16"/>
  <c r="K44" i="16"/>
  <c r="X44" i="16"/>
  <c r="X39" i="23"/>
  <c r="AB39" i="23"/>
  <c r="A40" i="23"/>
  <c r="K39" i="23"/>
  <c r="AB38" i="24"/>
  <c r="X38" i="24"/>
  <c r="K38" i="24"/>
  <c r="A39" i="24"/>
  <c r="K42" i="18"/>
  <c r="X42" i="18"/>
  <c r="A43" i="18"/>
  <c r="AB42" i="18"/>
  <c r="K37" i="25"/>
  <c r="AB37" i="25"/>
  <c r="A38" i="25"/>
  <c r="X37" i="25"/>
  <c r="A48" i="1"/>
  <c r="AB47" i="1"/>
  <c r="L47" i="1"/>
  <c r="K47" i="1"/>
  <c r="X47" i="1"/>
  <c r="AJ47" i="1"/>
  <c r="AK47" i="1"/>
  <c r="AK48" i="1"/>
  <c r="X48" i="1"/>
  <c r="AJ48" i="1"/>
  <c r="A49" i="1"/>
  <c r="AB48" i="1"/>
  <c r="K48" i="1"/>
  <c r="L48" i="1"/>
  <c r="AB45" i="15"/>
  <c r="X45" i="15"/>
  <c r="K45" i="15"/>
  <c r="A46" i="15"/>
  <c r="X45" i="17"/>
  <c r="AB45" i="17"/>
  <c r="K45" i="17"/>
  <c r="A46" i="17"/>
  <c r="K38" i="25"/>
  <c r="X38" i="25"/>
  <c r="AB38" i="25"/>
  <c r="A39" i="25"/>
  <c r="AB43" i="18"/>
  <c r="A44" i="18"/>
  <c r="X43" i="18"/>
  <c r="K43" i="18"/>
  <c r="K39" i="24"/>
  <c r="A40" i="24"/>
  <c r="AB39" i="24"/>
  <c r="X39" i="24"/>
  <c r="X40" i="23"/>
  <c r="AB40" i="23"/>
  <c r="A41" i="23"/>
  <c r="K40" i="23"/>
  <c r="AB45" i="16"/>
  <c r="K45" i="16"/>
  <c r="A46" i="16"/>
  <c r="X45" i="16"/>
  <c r="AB41" i="22"/>
  <c r="K41" i="22"/>
  <c r="X41" i="22"/>
  <c r="A42" i="22"/>
  <c r="A43" i="20"/>
  <c r="X42" i="20"/>
  <c r="K42" i="20"/>
  <c r="AB42" i="20"/>
  <c r="AB43" i="20"/>
  <c r="A44" i="20"/>
  <c r="X43" i="20"/>
  <c r="K43" i="20"/>
  <c r="A41" i="24"/>
  <c r="K40" i="24"/>
  <c r="AB40" i="24"/>
  <c r="X40" i="24"/>
  <c r="AB44" i="18"/>
  <c r="A45" i="18"/>
  <c r="X44" i="18"/>
  <c r="K44" i="18"/>
  <c r="AK49" i="1"/>
  <c r="AB49" i="1"/>
  <c r="AJ49" i="1"/>
  <c r="L49" i="1"/>
  <c r="X49" i="1"/>
  <c r="K49" i="1"/>
  <c r="A50" i="1"/>
  <c r="K42" i="22"/>
  <c r="X42" i="22"/>
  <c r="A43" i="22"/>
  <c r="AB42" i="22"/>
  <c r="X46" i="16"/>
  <c r="K46" i="16"/>
  <c r="AB46" i="16"/>
  <c r="A47" i="16"/>
  <c r="X41" i="23"/>
  <c r="K41" i="23"/>
  <c r="A42" i="23"/>
  <c r="AB41" i="23"/>
  <c r="X39" i="25"/>
  <c r="A40" i="25"/>
  <c r="AB39" i="25"/>
  <c r="K39" i="25"/>
  <c r="AB46" i="17"/>
  <c r="A47" i="17"/>
  <c r="K46" i="17"/>
  <c r="X46" i="17"/>
  <c r="A47" i="15"/>
  <c r="X46" i="15"/>
  <c r="AB46" i="15"/>
  <c r="K46" i="15"/>
  <c r="X47" i="17"/>
  <c r="K47" i="17"/>
  <c r="AB47" i="17"/>
  <c r="A48" i="17"/>
  <c r="K40" i="25"/>
  <c r="AB40" i="25"/>
  <c r="A41" i="25"/>
  <c r="X40" i="25"/>
  <c r="A43" i="23"/>
  <c r="K42" i="23"/>
  <c r="X42" i="23"/>
  <c r="AB42" i="23"/>
  <c r="A48" i="15"/>
  <c r="AB47" i="15"/>
  <c r="K47" i="15"/>
  <c r="X47" i="15"/>
  <c r="AB43" i="22"/>
  <c r="A44" i="22"/>
  <c r="K43" i="22"/>
  <c r="X43" i="22"/>
  <c r="A46" i="18"/>
  <c r="X45" i="18"/>
  <c r="AB45" i="18"/>
  <c r="K45" i="18"/>
  <c r="AB41" i="24"/>
  <c r="X41" i="24"/>
  <c r="K41" i="24"/>
  <c r="A42" i="24"/>
  <c r="K47" i="16"/>
  <c r="X47" i="16"/>
  <c r="AB47" i="16"/>
  <c r="A48" i="16"/>
  <c r="A51" i="1"/>
  <c r="X50" i="1"/>
  <c r="L50" i="1"/>
  <c r="K50" i="1"/>
  <c r="AK50" i="1"/>
  <c r="AJ50" i="1"/>
  <c r="AB50" i="1"/>
  <c r="AB44" i="20"/>
  <c r="K44" i="20"/>
  <c r="A45" i="20"/>
  <c r="X44" i="20"/>
  <c r="K51" i="1"/>
  <c r="X51" i="1"/>
  <c r="L51" i="1"/>
  <c r="AJ51" i="1"/>
  <c r="AB51" i="1"/>
  <c r="AK51" i="1"/>
  <c r="A52" i="1"/>
  <c r="X42" i="24"/>
  <c r="K42" i="24"/>
  <c r="A43" i="24"/>
  <c r="AB42" i="24"/>
  <c r="K46" i="18"/>
  <c r="AB46" i="18"/>
  <c r="A47" i="18"/>
  <c r="X46" i="18"/>
  <c r="A45" i="22"/>
  <c r="AB44" i="22"/>
  <c r="K44" i="22"/>
  <c r="X44" i="22"/>
  <c r="X48" i="15"/>
  <c r="AB48" i="15"/>
  <c r="A49" i="15"/>
  <c r="K48" i="15"/>
  <c r="A46" i="20"/>
  <c r="X45" i="20"/>
  <c r="AB45" i="20"/>
  <c r="K45" i="20"/>
  <c r="X48" i="16"/>
  <c r="A49" i="16"/>
  <c r="AB48" i="16"/>
  <c r="K48" i="16"/>
  <c r="L48" i="16"/>
  <c r="D48" i="16" s="1"/>
  <c r="K43" i="23"/>
  <c r="X43" i="23"/>
  <c r="A44" i="23"/>
  <c r="AB43" i="23"/>
  <c r="AB41" i="25"/>
  <c r="A42" i="25"/>
  <c r="K41" i="25"/>
  <c r="X41" i="25"/>
  <c r="X48" i="17"/>
  <c r="AB48" i="17"/>
  <c r="A49" i="17"/>
  <c r="K48" i="17"/>
  <c r="X52" i="1"/>
  <c r="AJ52" i="1"/>
  <c r="L52" i="1"/>
  <c r="AB52" i="1"/>
  <c r="K52" i="1"/>
  <c r="AK52" i="1"/>
  <c r="A53" i="1"/>
  <c r="X49" i="17"/>
  <c r="A50" i="17"/>
  <c r="AB49" i="17"/>
  <c r="K49" i="17"/>
  <c r="A43" i="25"/>
  <c r="K42" i="25"/>
  <c r="AB42" i="25"/>
  <c r="X42" i="25"/>
  <c r="K44" i="23"/>
  <c r="A45" i="23"/>
  <c r="AB44" i="23"/>
  <c r="X44" i="23"/>
  <c r="K49" i="16"/>
  <c r="AB49" i="16"/>
  <c r="X49" i="16"/>
  <c r="A50" i="16"/>
  <c r="K46" i="20"/>
  <c r="AB46" i="20"/>
  <c r="A47" i="20"/>
  <c r="X46" i="20"/>
  <c r="AB49" i="15"/>
  <c r="X49" i="15"/>
  <c r="A50" i="15"/>
  <c r="K49" i="15"/>
  <c r="AB45" i="22"/>
  <c r="X45" i="22"/>
  <c r="K45" i="22"/>
  <c r="A46" i="22"/>
  <c r="A48" i="18"/>
  <c r="AB47" i="18"/>
  <c r="K47" i="18"/>
  <c r="X47" i="18"/>
  <c r="X43" i="24"/>
  <c r="A44" i="24"/>
  <c r="K43" i="24"/>
  <c r="AB43" i="24"/>
  <c r="L43" i="24"/>
  <c r="X44" i="24"/>
  <c r="K44" i="24"/>
  <c r="AB44" i="24"/>
  <c r="A45" i="24"/>
  <c r="K48" i="18"/>
  <c r="AB48" i="18"/>
  <c r="A49" i="18"/>
  <c r="X48" i="18"/>
  <c r="AB46" i="22"/>
  <c r="L46" i="22"/>
  <c r="X46" i="22"/>
  <c r="A47" i="22"/>
  <c r="K46" i="22"/>
  <c r="X45" i="23"/>
  <c r="K45" i="23"/>
  <c r="A46" i="23"/>
  <c r="AB45" i="23"/>
  <c r="A51" i="17"/>
  <c r="AB50" i="17"/>
  <c r="X50" i="17"/>
  <c r="K50" i="17"/>
  <c r="A54" i="1"/>
  <c r="K53" i="1"/>
  <c r="AJ53" i="1"/>
  <c r="AB53" i="1"/>
  <c r="X53" i="1"/>
  <c r="AK53" i="1"/>
  <c r="L53" i="1"/>
  <c r="AB50" i="15"/>
  <c r="X50" i="15"/>
  <c r="K50" i="15"/>
  <c r="A51" i="15"/>
  <c r="K47" i="20"/>
  <c r="AB47" i="20"/>
  <c r="X47" i="20"/>
  <c r="A48" i="20"/>
  <c r="X50" i="16"/>
  <c r="AB50" i="16"/>
  <c r="K50" i="16"/>
  <c r="A51" i="16"/>
  <c r="A44" i="25"/>
  <c r="AB43" i="25"/>
  <c r="X43" i="25"/>
  <c r="K43" i="25"/>
  <c r="A52" i="15"/>
  <c r="K51" i="15"/>
  <c r="X51" i="15"/>
  <c r="AB51" i="15"/>
  <c r="AB54" i="1"/>
  <c r="AK54" i="1"/>
  <c r="L54" i="1"/>
  <c r="A55" i="1"/>
  <c r="AJ54" i="1"/>
  <c r="K54" i="1"/>
  <c r="X54" i="1"/>
  <c r="AB46" i="23"/>
  <c r="K46" i="23"/>
  <c r="A47" i="23"/>
  <c r="X46" i="23"/>
  <c r="K47" i="22"/>
  <c r="X47" i="22"/>
  <c r="A48" i="22"/>
  <c r="AB47" i="22"/>
  <c r="X49" i="18"/>
  <c r="AB49" i="18"/>
  <c r="K49" i="18"/>
  <c r="A50" i="18"/>
  <c r="X45" i="24"/>
  <c r="AB45" i="24"/>
  <c r="A46" i="24"/>
  <c r="K45" i="24"/>
  <c r="X44" i="25"/>
  <c r="K44" i="25"/>
  <c r="A45" i="25"/>
  <c r="AB44" i="25"/>
  <c r="K51" i="16"/>
  <c r="AB51" i="16"/>
  <c r="X51" i="16"/>
  <c r="A52" i="16"/>
  <c r="X48" i="20"/>
  <c r="AB48" i="20"/>
  <c r="A49" i="20"/>
  <c r="K48" i="20"/>
  <c r="AB51" i="17"/>
  <c r="K51" i="17"/>
  <c r="A52" i="17"/>
  <c r="X51" i="17"/>
  <c r="AB52" i="17"/>
  <c r="A53" i="17"/>
  <c r="X52" i="17"/>
  <c r="K52" i="17"/>
  <c r="X49" i="20"/>
  <c r="K49" i="20"/>
  <c r="AB49" i="20"/>
  <c r="A50" i="20"/>
  <c r="A49" i="22"/>
  <c r="X48" i="22"/>
  <c r="K48" i="22"/>
  <c r="AB48" i="22"/>
  <c r="A48" i="23"/>
  <c r="X47" i="23"/>
  <c r="K47" i="23"/>
  <c r="AB47" i="23"/>
  <c r="A56" i="1"/>
  <c r="AB55" i="1"/>
  <c r="AK55" i="1"/>
  <c r="X55" i="1"/>
  <c r="L55" i="1"/>
  <c r="AJ55" i="1"/>
  <c r="K55" i="1"/>
  <c r="AB52" i="16"/>
  <c r="K52" i="16"/>
  <c r="X52" i="16"/>
  <c r="A53" i="16"/>
  <c r="A46" i="25"/>
  <c r="AB45" i="25"/>
  <c r="X45" i="25"/>
  <c r="K45" i="25"/>
  <c r="AB46" i="24"/>
  <c r="K46" i="24"/>
  <c r="X46" i="24"/>
  <c r="A47" i="24"/>
  <c r="X50" i="18"/>
  <c r="K50" i="18"/>
  <c r="A51" i="18"/>
  <c r="AB50" i="18"/>
  <c r="AB52" i="15"/>
  <c r="A53" i="15"/>
  <c r="K52" i="15"/>
  <c r="X52" i="15"/>
  <c r="X53" i="15"/>
  <c r="AB53" i="15"/>
  <c r="K53" i="15"/>
  <c r="A54" i="15"/>
  <c r="AB51" i="18"/>
  <c r="X51" i="18"/>
  <c r="A52" i="18"/>
  <c r="K51" i="18"/>
  <c r="AB47" i="24"/>
  <c r="K47" i="24"/>
  <c r="A48" i="24"/>
  <c r="X47" i="24"/>
  <c r="X53" i="16"/>
  <c r="K53" i="16"/>
  <c r="AB53" i="16"/>
  <c r="A54" i="16"/>
  <c r="A49" i="23"/>
  <c r="X48" i="23"/>
  <c r="K48" i="23"/>
  <c r="AB48" i="23"/>
  <c r="X53" i="17"/>
  <c r="A54" i="17"/>
  <c r="K53" i="17"/>
  <c r="AB53" i="17"/>
  <c r="K46" i="25"/>
  <c r="AB46" i="25"/>
  <c r="X46" i="25"/>
  <c r="A47" i="25"/>
  <c r="AK56" i="1"/>
  <c r="AJ56" i="1"/>
  <c r="X56" i="1"/>
  <c r="A57" i="1"/>
  <c r="K56" i="1"/>
  <c r="AB56" i="1"/>
  <c r="L56" i="1"/>
  <c r="K49" i="22"/>
  <c r="A50" i="22"/>
  <c r="AB49" i="22"/>
  <c r="X49" i="22"/>
  <c r="X50" i="20"/>
  <c r="A51" i="20"/>
  <c r="K50" i="20"/>
  <c r="AB50" i="20"/>
  <c r="X51" i="20"/>
  <c r="A52" i="20"/>
  <c r="AB51" i="20"/>
  <c r="K51" i="20"/>
  <c r="A58" i="1"/>
  <c r="X57" i="1"/>
  <c r="AB57" i="1"/>
  <c r="K57" i="1"/>
  <c r="AJ57" i="1"/>
  <c r="AK57" i="1"/>
  <c r="L57" i="1"/>
  <c r="AB54" i="17"/>
  <c r="A55" i="17"/>
  <c r="K54" i="17"/>
  <c r="X54" i="17"/>
  <c r="A50" i="23"/>
  <c r="K49" i="23"/>
  <c r="AB49" i="23"/>
  <c r="X49" i="23"/>
  <c r="K52" i="18"/>
  <c r="A53" i="18"/>
  <c r="X52" i="18"/>
  <c r="AB52" i="18"/>
  <c r="AB50" i="22"/>
  <c r="K50" i="22"/>
  <c r="A51" i="22"/>
  <c r="X50" i="22"/>
  <c r="A48" i="25"/>
  <c r="K47" i="25"/>
  <c r="X47" i="25"/>
  <c r="AB47" i="25"/>
  <c r="K54" i="16"/>
  <c r="AB54" i="16"/>
  <c r="X54" i="16"/>
  <c r="A55" i="16"/>
  <c r="K48" i="24"/>
  <c r="AB48" i="24"/>
  <c r="A49" i="24"/>
  <c r="X48" i="24"/>
  <c r="AB54" i="15"/>
  <c r="A55" i="15"/>
  <c r="K54" i="15"/>
  <c r="X54" i="15"/>
  <c r="A56" i="16"/>
  <c r="AB55" i="16"/>
  <c r="X55" i="16"/>
  <c r="K55" i="16"/>
  <c r="X51" i="22"/>
  <c r="K51" i="22"/>
  <c r="AB51" i="22"/>
  <c r="A52" i="22"/>
  <c r="X50" i="23"/>
  <c r="AB50" i="23"/>
  <c r="K50" i="23"/>
  <c r="A51" i="23"/>
  <c r="AB52" i="20"/>
  <c r="A53" i="20"/>
  <c r="K52" i="20"/>
  <c r="X52" i="20"/>
  <c r="AB55" i="15"/>
  <c r="K55" i="15"/>
  <c r="A56" i="15"/>
  <c r="X55" i="15"/>
  <c r="AB49" i="24"/>
  <c r="A50" i="24"/>
  <c r="K49" i="24"/>
  <c r="X49" i="24"/>
  <c r="X48" i="25"/>
  <c r="AB48" i="25"/>
  <c r="K48" i="25"/>
  <c r="A49" i="25"/>
  <c r="AB53" i="18"/>
  <c r="K53" i="18"/>
  <c r="A54" i="18"/>
  <c r="X53" i="18"/>
  <c r="AB55" i="17"/>
  <c r="K55" i="17"/>
  <c r="X55" i="17"/>
  <c r="A56" i="17"/>
  <c r="A59" i="1"/>
  <c r="L58" i="1"/>
  <c r="AK58" i="1"/>
  <c r="AB58" i="1"/>
  <c r="K58" i="1"/>
  <c r="X58" i="1"/>
  <c r="AJ58" i="1"/>
  <c r="A60" i="1"/>
  <c r="AJ59" i="1"/>
  <c r="AK59" i="1"/>
  <c r="L59" i="1"/>
  <c r="X59" i="1"/>
  <c r="AB59" i="1"/>
  <c r="K59" i="1"/>
  <c r="AB54" i="18"/>
  <c r="A55" i="18"/>
  <c r="X54" i="18"/>
  <c r="K54" i="18"/>
  <c r="A50" i="25"/>
  <c r="AB49" i="25"/>
  <c r="X49" i="25"/>
  <c r="K49" i="25"/>
  <c r="AB50" i="24"/>
  <c r="X50" i="24"/>
  <c r="A51" i="24"/>
  <c r="K50" i="24"/>
  <c r="A57" i="15"/>
  <c r="X56" i="15"/>
  <c r="AB56" i="15"/>
  <c r="K56" i="15"/>
  <c r="X51" i="23"/>
  <c r="AB51" i="23"/>
  <c r="A52" i="23"/>
  <c r="K51" i="23"/>
  <c r="A57" i="17"/>
  <c r="AB56" i="17"/>
  <c r="K56" i="17"/>
  <c r="X56" i="17"/>
  <c r="A54" i="20"/>
  <c r="X53" i="20"/>
  <c r="K53" i="20"/>
  <c r="AB53" i="20"/>
  <c r="X52" i="22"/>
  <c r="A53" i="22"/>
  <c r="K52" i="22"/>
  <c r="AB52" i="22"/>
  <c r="K56" i="16"/>
  <c r="A57" i="16"/>
  <c r="X56" i="16"/>
  <c r="AB56" i="16"/>
  <c r="X57" i="16"/>
  <c r="A58" i="16"/>
  <c r="AB57" i="16"/>
  <c r="K57" i="16"/>
  <c r="AB53" i="22"/>
  <c r="K53" i="22"/>
  <c r="X53" i="22"/>
  <c r="A54" i="22"/>
  <c r="A58" i="17"/>
  <c r="AB57" i="17"/>
  <c r="X57" i="17"/>
  <c r="K57" i="17"/>
  <c r="X52" i="23"/>
  <c r="K52" i="23"/>
  <c r="AB52" i="23"/>
  <c r="A53" i="23"/>
  <c r="K57" i="15"/>
  <c r="AB57" i="15"/>
  <c r="X57" i="15"/>
  <c r="A58" i="15"/>
  <c r="A51" i="25"/>
  <c r="X50" i="25"/>
  <c r="AB50" i="25"/>
  <c r="K50" i="25"/>
  <c r="AB55" i="18"/>
  <c r="X55" i="18"/>
  <c r="A56" i="18"/>
  <c r="K55" i="18"/>
  <c r="K54" i="20"/>
  <c r="A55" i="20"/>
  <c r="AB54" i="20"/>
  <c r="X54" i="20"/>
  <c r="A52" i="24"/>
  <c r="X51" i="24"/>
  <c r="K51" i="24"/>
  <c r="AB51" i="24"/>
  <c r="K60" i="1"/>
  <c r="L60" i="1"/>
  <c r="AK60" i="1"/>
  <c r="AB60" i="1"/>
  <c r="A61" i="1"/>
  <c r="AJ60" i="1"/>
  <c r="X60" i="1"/>
  <c r="A21" i="7"/>
  <c r="AJ61" i="1"/>
  <c r="K61" i="1"/>
  <c r="AK61" i="1"/>
  <c r="X61" i="1"/>
  <c r="L61" i="1"/>
  <c r="AB61" i="1"/>
  <c r="A62" i="1"/>
  <c r="X55" i="20"/>
  <c r="K55" i="20"/>
  <c r="AB55" i="20"/>
  <c r="A56" i="20"/>
  <c r="X56" i="18"/>
  <c r="K56" i="18"/>
  <c r="AB56" i="18"/>
  <c r="A57" i="18"/>
  <c r="X51" i="25"/>
  <c r="A52" i="25"/>
  <c r="K51" i="25"/>
  <c r="AB51" i="25"/>
  <c r="K58" i="17"/>
  <c r="X58" i="17"/>
  <c r="A59" i="17"/>
  <c r="AB58" i="17"/>
  <c r="K54" i="22"/>
  <c r="AB54" i="22"/>
  <c r="A55" i="22"/>
  <c r="X54" i="22"/>
  <c r="X58" i="16"/>
  <c r="A59" i="16"/>
  <c r="AB58" i="16"/>
  <c r="K58" i="16"/>
  <c r="B21" i="7"/>
  <c r="A53" i="24"/>
  <c r="AB52" i="24"/>
  <c r="X52" i="24"/>
  <c r="K52" i="24"/>
  <c r="K58" i="15"/>
  <c r="X58" i="15"/>
  <c r="A59" i="15"/>
  <c r="AB58" i="15"/>
  <c r="AB53" i="23"/>
  <c r="X53" i="23"/>
  <c r="K53" i="23"/>
  <c r="A54" i="23"/>
  <c r="K59" i="17"/>
  <c r="X59" i="17"/>
  <c r="AB59" i="17"/>
  <c r="A60" i="17"/>
  <c r="K59" i="16"/>
  <c r="AB59" i="16"/>
  <c r="A60" i="16"/>
  <c r="X59" i="16"/>
  <c r="K55" i="22"/>
  <c r="AB55" i="22"/>
  <c r="A56" i="22"/>
  <c r="X55" i="22"/>
  <c r="AB54" i="23"/>
  <c r="K54" i="23"/>
  <c r="X54" i="23"/>
  <c r="A55" i="23"/>
  <c r="AB59" i="15"/>
  <c r="A60" i="15"/>
  <c r="X59" i="15"/>
  <c r="K59" i="15"/>
  <c r="A54" i="24"/>
  <c r="K53" i="24"/>
  <c r="AB53" i="24"/>
  <c r="X53" i="24"/>
  <c r="AB52" i="25"/>
  <c r="X52" i="25"/>
  <c r="K52" i="25"/>
  <c r="A53" i="25"/>
  <c r="A58" i="18"/>
  <c r="X57" i="18"/>
  <c r="K57" i="18"/>
  <c r="AB57" i="18"/>
  <c r="X56" i="20"/>
  <c r="A57" i="20"/>
  <c r="AB56" i="20"/>
  <c r="K56" i="20"/>
  <c r="A63" i="1"/>
  <c r="X62" i="1"/>
  <c r="AJ62" i="1"/>
  <c r="AB62" i="1"/>
  <c r="AK62" i="1"/>
  <c r="L62" i="1"/>
  <c r="K62" i="1"/>
  <c r="K57" i="20"/>
  <c r="A58" i="20"/>
  <c r="X57" i="20"/>
  <c r="AB57" i="20"/>
  <c r="L57" i="20"/>
  <c r="K58" i="18"/>
  <c r="AB58" i="18"/>
  <c r="X58" i="18"/>
  <c r="A59" i="18"/>
  <c r="AB53" i="25"/>
  <c r="K53" i="25"/>
  <c r="X53" i="25"/>
  <c r="A54" i="25"/>
  <c r="A55" i="24"/>
  <c r="K54" i="24"/>
  <c r="AB54" i="24"/>
  <c r="X54" i="24"/>
  <c r="X60" i="15"/>
  <c r="AB60" i="15"/>
  <c r="A33" i="7"/>
  <c r="K60" i="15"/>
  <c r="A61" i="15"/>
  <c r="A64" i="1"/>
  <c r="AJ63" i="1"/>
  <c r="AK63" i="1"/>
  <c r="AB63" i="1"/>
  <c r="X63" i="1"/>
  <c r="L63" i="1"/>
  <c r="K63" i="1"/>
  <c r="L55" i="23"/>
  <c r="A56" i="23"/>
  <c r="AB55" i="23"/>
  <c r="X55" i="23"/>
  <c r="K55" i="23"/>
  <c r="X56" i="22"/>
  <c r="AB56" i="22"/>
  <c r="K56" i="22"/>
  <c r="A57" i="22"/>
  <c r="A45" i="7"/>
  <c r="K60" i="16"/>
  <c r="AB60" i="16"/>
  <c r="X60" i="16"/>
  <c r="A61" i="16"/>
  <c r="AB60" i="17"/>
  <c r="A61" i="17"/>
  <c r="K60" i="17"/>
  <c r="A57" i="7"/>
  <c r="X60" i="17"/>
  <c r="K61" i="17"/>
  <c r="AB61" i="17"/>
  <c r="A62" i="17"/>
  <c r="X61" i="17"/>
  <c r="AB61" i="16"/>
  <c r="X61" i="16"/>
  <c r="A62" i="16"/>
  <c r="K61" i="16"/>
  <c r="A58" i="22"/>
  <c r="X57" i="22"/>
  <c r="K57" i="22"/>
  <c r="AB57" i="22"/>
  <c r="A57" i="23"/>
  <c r="AB56" i="23"/>
  <c r="X56" i="23"/>
  <c r="K56" i="23"/>
  <c r="K64" i="1"/>
  <c r="AK64" i="1"/>
  <c r="X64" i="1"/>
  <c r="A65" i="1"/>
  <c r="AJ64" i="1"/>
  <c r="AB64" i="1"/>
  <c r="L64" i="1"/>
  <c r="X55" i="24"/>
  <c r="A56" i="24"/>
  <c r="K55" i="24"/>
  <c r="AB55" i="24"/>
  <c r="L55" i="24"/>
  <c r="AB58" i="20"/>
  <c r="X58" i="20"/>
  <c r="A59" i="20"/>
  <c r="K58" i="20"/>
  <c r="X61" i="15"/>
  <c r="K61" i="15"/>
  <c r="AB61" i="15"/>
  <c r="A62" i="15"/>
  <c r="K54" i="25"/>
  <c r="L54" i="25"/>
  <c r="A55" i="25"/>
  <c r="AB54" i="25"/>
  <c r="X54" i="25"/>
  <c r="K59" i="18"/>
  <c r="A60" i="18"/>
  <c r="AB59" i="18"/>
  <c r="X59" i="18"/>
  <c r="X55" i="25"/>
  <c r="A56" i="25"/>
  <c r="K55" i="25"/>
  <c r="AB55" i="25"/>
  <c r="A60" i="20"/>
  <c r="AB59" i="20"/>
  <c r="X59" i="20"/>
  <c r="K59" i="20"/>
  <c r="K56" i="24"/>
  <c r="X56" i="24"/>
  <c r="A57" i="24"/>
  <c r="AB56" i="24"/>
  <c r="A66" i="1"/>
  <c r="K65" i="1"/>
  <c r="AB65" i="1"/>
  <c r="AJ65" i="1"/>
  <c r="AK65" i="1"/>
  <c r="L65" i="1"/>
  <c r="X65" i="1"/>
  <c r="A59" i="22"/>
  <c r="L58" i="22"/>
  <c r="K58" i="22"/>
  <c r="X58" i="22"/>
  <c r="AB58" i="22"/>
  <c r="X62" i="17"/>
  <c r="AB62" i="17"/>
  <c r="K62" i="17"/>
  <c r="A63" i="17"/>
  <c r="L62" i="17"/>
  <c r="D62" i="17" s="1"/>
  <c r="K60" i="18"/>
  <c r="A69" i="7"/>
  <c r="AB60" i="18"/>
  <c r="A61" i="18"/>
  <c r="X60" i="18"/>
  <c r="K62" i="15"/>
  <c r="A63" i="15"/>
  <c r="X62" i="15"/>
  <c r="AB62" i="15"/>
  <c r="AB57" i="23"/>
  <c r="K57" i="23"/>
  <c r="X57" i="23"/>
  <c r="A58" i="23"/>
  <c r="L57" i="23"/>
  <c r="K62" i="16"/>
  <c r="AB62" i="16"/>
  <c r="A63" i="16"/>
  <c r="X62" i="16"/>
  <c r="A64" i="16"/>
  <c r="K63" i="16"/>
  <c r="X63" i="16"/>
  <c r="AB63" i="16"/>
  <c r="A59" i="23"/>
  <c r="AB58" i="23"/>
  <c r="K58" i="23"/>
  <c r="X58" i="23"/>
  <c r="A64" i="17"/>
  <c r="X63" i="17"/>
  <c r="K63" i="17"/>
  <c r="AB63" i="17"/>
  <c r="K56" i="25"/>
  <c r="A57" i="25"/>
  <c r="X56" i="25"/>
  <c r="L56" i="25"/>
  <c r="AB56" i="25"/>
  <c r="AB63" i="15"/>
  <c r="A64" i="15"/>
  <c r="K63" i="15"/>
  <c r="X63" i="15"/>
  <c r="X61" i="18"/>
  <c r="K61" i="18"/>
  <c r="AB61" i="18"/>
  <c r="A62" i="18"/>
  <c r="X59" i="22"/>
  <c r="K59" i="22"/>
  <c r="AB59" i="22"/>
  <c r="A60" i="22"/>
  <c r="K66" i="1"/>
  <c r="X66" i="1"/>
  <c r="AK66" i="1"/>
  <c r="A67" i="1"/>
  <c r="L66" i="1"/>
  <c r="AB66" i="1"/>
  <c r="AJ66" i="1"/>
  <c r="X57" i="24"/>
  <c r="K57" i="24"/>
  <c r="AB57" i="24"/>
  <c r="A58" i="24"/>
  <c r="X60" i="20"/>
  <c r="A61" i="20"/>
  <c r="AB60" i="20"/>
  <c r="AE21" i="7"/>
  <c r="K60" i="20"/>
  <c r="L60" i="20"/>
  <c r="AF21" i="7" s="1"/>
  <c r="K62" i="18"/>
  <c r="A63" i="18"/>
  <c r="AB62" i="18"/>
  <c r="X62" i="18"/>
  <c r="X64" i="15"/>
  <c r="K64" i="15"/>
  <c r="A65" i="15"/>
  <c r="AB64" i="15"/>
  <c r="X61" i="20"/>
  <c r="AB61" i="20"/>
  <c r="K61" i="20"/>
  <c r="A62" i="20"/>
  <c r="X58" i="24"/>
  <c r="AB58" i="24"/>
  <c r="K58" i="24"/>
  <c r="A59" i="24"/>
  <c r="X67" i="1"/>
  <c r="L67" i="1"/>
  <c r="AJ67" i="1"/>
  <c r="A68" i="1"/>
  <c r="K67" i="1"/>
  <c r="AB67" i="1"/>
  <c r="AK67" i="1"/>
  <c r="AB60" i="22"/>
  <c r="AE33" i="7"/>
  <c r="A61" i="22"/>
  <c r="X60" i="22"/>
  <c r="K60" i="22"/>
  <c r="X57" i="25"/>
  <c r="AB57" i="25"/>
  <c r="K57" i="25"/>
  <c r="A58" i="25"/>
  <c r="AB64" i="17"/>
  <c r="K64" i="17"/>
  <c r="X64" i="17"/>
  <c r="A65" i="17"/>
  <c r="AB59" i="23"/>
  <c r="X59" i="23"/>
  <c r="A60" i="23"/>
  <c r="K59" i="23"/>
  <c r="K64" i="16"/>
  <c r="X64" i="16"/>
  <c r="AB64" i="16"/>
  <c r="A65" i="16"/>
  <c r="AB65" i="16"/>
  <c r="X65" i="16"/>
  <c r="A66" i="16"/>
  <c r="K65" i="16"/>
  <c r="L65" i="16"/>
  <c r="D65" i="16" s="1"/>
  <c r="X65" i="17"/>
  <c r="A66" i="17"/>
  <c r="AB65" i="17"/>
  <c r="L65" i="17"/>
  <c r="D65" i="17" s="1"/>
  <c r="K65" i="17"/>
  <c r="A62" i="22"/>
  <c r="X61" i="22"/>
  <c r="L61" i="22"/>
  <c r="AB61" i="22"/>
  <c r="K61" i="22"/>
  <c r="A66" i="15"/>
  <c r="AB65" i="15"/>
  <c r="X65" i="15"/>
  <c r="K65" i="15"/>
  <c r="AB63" i="18"/>
  <c r="X63" i="18"/>
  <c r="K63" i="18"/>
  <c r="A64" i="18"/>
  <c r="K60" i="23"/>
  <c r="AE45" i="7"/>
  <c r="X60" i="23"/>
  <c r="AB60" i="23"/>
  <c r="L60" i="23"/>
  <c r="AF45" i="7" s="1"/>
  <c r="A61" i="23"/>
  <c r="X58" i="25"/>
  <c r="K58" i="25"/>
  <c r="A59" i="25"/>
  <c r="L58" i="25"/>
  <c r="AB58" i="25"/>
  <c r="A69" i="1"/>
  <c r="X68" i="1"/>
  <c r="AJ68" i="1"/>
  <c r="K68" i="1"/>
  <c r="AK68" i="1"/>
  <c r="L68" i="1"/>
  <c r="AB68" i="1"/>
  <c r="X59" i="24"/>
  <c r="L59" i="24"/>
  <c r="A60" i="24"/>
  <c r="AB59" i="24"/>
  <c r="K59" i="24"/>
  <c r="K62" i="20"/>
  <c r="X62" i="20"/>
  <c r="L62" i="20"/>
  <c r="AB62" i="20"/>
  <c r="A63" i="20"/>
  <c r="A60" i="25"/>
  <c r="L59" i="25"/>
  <c r="K59" i="25"/>
  <c r="AB59" i="25"/>
  <c r="X59" i="25"/>
  <c r="X64" i="18"/>
  <c r="K64" i="18"/>
  <c r="L64" i="18"/>
  <c r="A65" i="18"/>
  <c r="AB64" i="18"/>
  <c r="X66" i="15"/>
  <c r="K66" i="15"/>
  <c r="AB66" i="15"/>
  <c r="A67" i="15"/>
  <c r="K66" i="16"/>
  <c r="A67" i="16"/>
  <c r="X66" i="16"/>
  <c r="AB66" i="16"/>
  <c r="AB63" i="20"/>
  <c r="A64" i="20"/>
  <c r="K63" i="20"/>
  <c r="X63" i="20"/>
  <c r="AE57" i="7"/>
  <c r="L60" i="24"/>
  <c r="AF57" i="7" s="1"/>
  <c r="K60" i="24"/>
  <c r="A61" i="24"/>
  <c r="X60" i="24"/>
  <c r="AB60" i="24"/>
  <c r="K69" i="1"/>
  <c r="X69" i="1"/>
  <c r="AJ69" i="1"/>
  <c r="A70" i="1"/>
  <c r="AB69" i="1"/>
  <c r="AK69" i="1"/>
  <c r="L69" i="1"/>
  <c r="AB61" i="23"/>
  <c r="K61" i="23"/>
  <c r="A62" i="23"/>
  <c r="X61" i="23"/>
  <c r="K62" i="22"/>
  <c r="AB62" i="22"/>
  <c r="X62" i="22"/>
  <c r="A63" i="22"/>
  <c r="L66" i="17"/>
  <c r="D66" i="17" s="1"/>
  <c r="AB66" i="17"/>
  <c r="X66" i="17"/>
  <c r="K66" i="17"/>
  <c r="A67" i="17"/>
  <c r="A71" i="1"/>
  <c r="AJ70" i="1"/>
  <c r="K70" i="1"/>
  <c r="AK70" i="1"/>
  <c r="AB70" i="1"/>
  <c r="X70" i="1"/>
  <c r="L70" i="1"/>
  <c r="AB61" i="24"/>
  <c r="K61" i="24"/>
  <c r="A62" i="24"/>
  <c r="X61" i="24"/>
  <c r="L61" i="24"/>
  <c r="K67" i="16"/>
  <c r="A68" i="16"/>
  <c r="AB67" i="16"/>
  <c r="X67" i="16"/>
  <c r="AB67" i="15"/>
  <c r="A68" i="15"/>
  <c r="K67" i="15"/>
  <c r="X67" i="15"/>
  <c r="K65" i="18"/>
  <c r="X65" i="18"/>
  <c r="AB65" i="18"/>
  <c r="A66" i="18"/>
  <c r="L60" i="25"/>
  <c r="AF69" i="7" s="1"/>
  <c r="K60" i="25"/>
  <c r="A61" i="25"/>
  <c r="AB60" i="25"/>
  <c r="X60" i="25"/>
  <c r="AE69" i="7"/>
  <c r="K67" i="17"/>
  <c r="AB67" i="17"/>
  <c r="A68" i="17"/>
  <c r="X67" i="17"/>
  <c r="AB63" i="22"/>
  <c r="K63" i="22"/>
  <c r="X63" i="22"/>
  <c r="A64" i="22"/>
  <c r="AB62" i="23"/>
  <c r="A63" i="23"/>
  <c r="K62" i="23"/>
  <c r="X62" i="23"/>
  <c r="AB64" i="20"/>
  <c r="K64" i="20"/>
  <c r="X64" i="20"/>
  <c r="A65" i="20"/>
  <c r="L65" i="20"/>
  <c r="AB65" i="20"/>
  <c r="X65" i="20"/>
  <c r="K65" i="20"/>
  <c r="A66" i="20"/>
  <c r="AB63" i="23"/>
  <c r="X63" i="23"/>
  <c r="A64" i="23"/>
  <c r="K63" i="23"/>
  <c r="X66" i="18"/>
  <c r="A67" i="18"/>
  <c r="AB66" i="18"/>
  <c r="K66" i="18"/>
  <c r="X68" i="15"/>
  <c r="L68" i="15"/>
  <c r="D68" i="15" s="1"/>
  <c r="K68" i="15"/>
  <c r="AB68" i="15"/>
  <c r="A69" i="15"/>
  <c r="A69" i="16"/>
  <c r="K68" i="16"/>
  <c r="AB68" i="16"/>
  <c r="X68" i="16"/>
  <c r="L68" i="16"/>
  <c r="D68" i="16" s="1"/>
  <c r="L71" i="1"/>
  <c r="X71" i="1"/>
  <c r="K71" i="1"/>
  <c r="AK71" i="1"/>
  <c r="AJ71" i="1"/>
  <c r="AB71" i="1"/>
  <c r="A72" i="1"/>
  <c r="L64" i="22"/>
  <c r="X64" i="22"/>
  <c r="AB64" i="22"/>
  <c r="K64" i="22"/>
  <c r="A65" i="22"/>
  <c r="K68" i="17"/>
  <c r="X68" i="17"/>
  <c r="AB68" i="17"/>
  <c r="L68" i="17"/>
  <c r="D68" i="17" s="1"/>
  <c r="A69" i="17"/>
  <c r="K61" i="25"/>
  <c r="X61" i="25"/>
  <c r="AB61" i="25"/>
  <c r="A62" i="25"/>
  <c r="K62" i="24"/>
  <c r="AB62" i="24"/>
  <c r="A63" i="24"/>
  <c r="X62" i="24"/>
  <c r="AB63" i="24"/>
  <c r="K63" i="24"/>
  <c r="A64" i="24"/>
  <c r="X63" i="24"/>
  <c r="A63" i="25"/>
  <c r="X62" i="25"/>
  <c r="K62" i="25"/>
  <c r="AB62" i="25"/>
  <c r="K69" i="17"/>
  <c r="A70" i="17"/>
  <c r="L69" i="17"/>
  <c r="D69" i="17" s="1"/>
  <c r="X69" i="17"/>
  <c r="AB69" i="17"/>
  <c r="A66" i="22"/>
  <c r="AB65" i="22"/>
  <c r="K65" i="22"/>
  <c r="X65" i="22"/>
  <c r="A73" i="1"/>
  <c r="AK72" i="1"/>
  <c r="L72" i="1"/>
  <c r="X72" i="1"/>
  <c r="K72" i="1"/>
  <c r="AJ72" i="1"/>
  <c r="AB72" i="1"/>
  <c r="A70" i="15"/>
  <c r="K69" i="15"/>
  <c r="AB69" i="15"/>
  <c r="X69" i="15"/>
  <c r="A70" i="16"/>
  <c r="L69" i="16"/>
  <c r="D69" i="16" s="1"/>
  <c r="AB69" i="16"/>
  <c r="K69" i="16"/>
  <c r="X69" i="16"/>
  <c r="K67" i="18"/>
  <c r="A68" i="18"/>
  <c r="AB67" i="18"/>
  <c r="X67" i="18"/>
  <c r="K64" i="23"/>
  <c r="AB64" i="23"/>
  <c r="A65" i="23"/>
  <c r="X64" i="23"/>
  <c r="A67" i="20"/>
  <c r="X66" i="20"/>
  <c r="L66" i="20"/>
  <c r="K66" i="20"/>
  <c r="AB66" i="20"/>
  <c r="X67" i="20"/>
  <c r="AB67" i="20"/>
  <c r="K67" i="20"/>
  <c r="L67" i="20"/>
  <c r="A68" i="20"/>
  <c r="L66" i="22"/>
  <c r="X66" i="22"/>
  <c r="K66" i="22"/>
  <c r="A67" i="22"/>
  <c r="AB66" i="22"/>
  <c r="K64" i="24"/>
  <c r="L64" i="24"/>
  <c r="A65" i="24"/>
  <c r="AB64" i="24"/>
  <c r="X64" i="24"/>
  <c r="K65" i="23"/>
  <c r="X65" i="23"/>
  <c r="AB65" i="23"/>
  <c r="A66" i="23"/>
  <c r="A69" i="18"/>
  <c r="X68" i="18"/>
  <c r="AB68" i="18"/>
  <c r="K68" i="18"/>
  <c r="X70" i="16"/>
  <c r="A71" i="16"/>
  <c r="K70" i="16"/>
  <c r="AB70" i="16"/>
  <c r="X70" i="15"/>
  <c r="L70" i="15"/>
  <c r="K70" i="15"/>
  <c r="AB70" i="15"/>
  <c r="A71" i="15"/>
  <c r="AJ73" i="1"/>
  <c r="K73" i="1"/>
  <c r="AK73" i="1"/>
  <c r="L73" i="1"/>
  <c r="AB73" i="1"/>
  <c r="A74" i="1"/>
  <c r="X73" i="1"/>
  <c r="X70" i="17"/>
  <c r="K70" i="17"/>
  <c r="A71" i="17"/>
  <c r="AB70" i="17"/>
  <c r="L63" i="25"/>
  <c r="A64" i="25"/>
  <c r="AB63" i="25"/>
  <c r="K63" i="25"/>
  <c r="X63" i="25"/>
  <c r="AB64" i="25"/>
  <c r="X64" i="25"/>
  <c r="K64" i="25"/>
  <c r="A65" i="25"/>
  <c r="A72" i="15"/>
  <c r="AB71" i="15"/>
  <c r="L71" i="15"/>
  <c r="D71" i="15" s="1"/>
  <c r="X71" i="15"/>
  <c r="K71" i="15"/>
  <c r="AB71" i="16"/>
  <c r="L71" i="16"/>
  <c r="A72" i="16"/>
  <c r="X71" i="16"/>
  <c r="K71" i="16"/>
  <c r="L67" i="22"/>
  <c r="X67" i="22"/>
  <c r="K67" i="22"/>
  <c r="AB67" i="22"/>
  <c r="A68" i="22"/>
  <c r="AB68" i="20"/>
  <c r="X68" i="20"/>
  <c r="K68" i="20"/>
  <c r="L68" i="20"/>
  <c r="A69" i="20"/>
  <c r="X71" i="17"/>
  <c r="A72" i="17"/>
  <c r="AB71" i="17"/>
  <c r="K71" i="17"/>
  <c r="L71" i="17"/>
  <c r="D71" i="17" s="1"/>
  <c r="AK74" i="1"/>
  <c r="AJ74" i="1"/>
  <c r="X74" i="1"/>
  <c r="A75" i="1"/>
  <c r="AB74" i="1"/>
  <c r="L74" i="1"/>
  <c r="K74" i="1"/>
  <c r="D70" i="15"/>
  <c r="A70" i="18"/>
  <c r="K69" i="18"/>
  <c r="AB69" i="18"/>
  <c r="X69" i="18"/>
  <c r="A67" i="23"/>
  <c r="X66" i="23"/>
  <c r="AB66" i="23"/>
  <c r="K66" i="23"/>
  <c r="A66" i="24"/>
  <c r="X65" i="24"/>
  <c r="K65" i="24"/>
  <c r="AB65" i="24"/>
  <c r="AK75" i="1"/>
  <c r="AJ75" i="1"/>
  <c r="AB75" i="1"/>
  <c r="A76" i="1"/>
  <c r="L75" i="1"/>
  <c r="X75" i="1"/>
  <c r="K75" i="1"/>
  <c r="X69" i="20"/>
  <c r="AB69" i="20"/>
  <c r="A70" i="20"/>
  <c r="K69" i="20"/>
  <c r="D71" i="16"/>
  <c r="K72" i="15"/>
  <c r="A73" i="15"/>
  <c r="X72" i="15"/>
  <c r="AB72" i="15"/>
  <c r="L66" i="24"/>
  <c r="A67" i="24"/>
  <c r="X66" i="24"/>
  <c r="K66" i="24"/>
  <c r="AB66" i="24"/>
  <c r="A68" i="23"/>
  <c r="K67" i="23"/>
  <c r="X67" i="23"/>
  <c r="L67" i="23"/>
  <c r="AB67" i="23"/>
  <c r="L70" i="18"/>
  <c r="X70" i="18"/>
  <c r="AB70" i="18"/>
  <c r="K70" i="18"/>
  <c r="A71" i="18"/>
  <c r="L72" i="17"/>
  <c r="D72" i="17" s="1"/>
  <c r="AB72" i="17"/>
  <c r="A73" i="17"/>
  <c r="K72" i="17"/>
  <c r="X72" i="17"/>
  <c r="AB68" i="22"/>
  <c r="K68" i="22"/>
  <c r="A69" i="22"/>
  <c r="X68" i="22"/>
  <c r="L72" i="16"/>
  <c r="D72" i="16" s="1"/>
  <c r="A73" i="16"/>
  <c r="AB72" i="16"/>
  <c r="X72" i="16"/>
  <c r="K72" i="16"/>
  <c r="AB65" i="25"/>
  <c r="A66" i="25"/>
  <c r="K65" i="25"/>
  <c r="X65" i="25"/>
  <c r="A67" i="25"/>
  <c r="X66" i="25"/>
  <c r="K66" i="25"/>
  <c r="AB66" i="25"/>
  <c r="K73" i="16"/>
  <c r="A74" i="16"/>
  <c r="AB73" i="16"/>
  <c r="X73" i="16"/>
  <c r="K69" i="22"/>
  <c r="A70" i="22"/>
  <c r="L69" i="22"/>
  <c r="X69" i="22"/>
  <c r="AB69" i="22"/>
  <c r="X68" i="23"/>
  <c r="L68" i="23"/>
  <c r="AB68" i="23"/>
  <c r="K68" i="23"/>
  <c r="A69" i="23"/>
  <c r="AB67" i="24"/>
  <c r="K67" i="24"/>
  <c r="A68" i="24"/>
  <c r="X67" i="24"/>
  <c r="A77" i="1"/>
  <c r="K76" i="1"/>
  <c r="AK76" i="1"/>
  <c r="X76" i="1"/>
  <c r="L76" i="1"/>
  <c r="AB76" i="1"/>
  <c r="AJ76" i="1"/>
  <c r="X73" i="17"/>
  <c r="K73" i="17"/>
  <c r="AB73" i="17"/>
  <c r="A74" i="17"/>
  <c r="K71" i="18"/>
  <c r="X71" i="18"/>
  <c r="AB71" i="18"/>
  <c r="A72" i="18"/>
  <c r="AB73" i="15"/>
  <c r="A74" i="15"/>
  <c r="K73" i="15"/>
  <c r="X73" i="15"/>
  <c r="A71" i="20"/>
  <c r="X70" i="20"/>
  <c r="K70" i="20"/>
  <c r="L70" i="20"/>
  <c r="AB70" i="20"/>
  <c r="AB74" i="15"/>
  <c r="X74" i="15"/>
  <c r="K74" i="15"/>
  <c r="A75" i="15"/>
  <c r="L74" i="15"/>
  <c r="D74" i="15" s="1"/>
  <c r="AB72" i="18"/>
  <c r="A73" i="18"/>
  <c r="X72" i="18"/>
  <c r="L72" i="18"/>
  <c r="K72" i="18"/>
  <c r="AB69" i="23"/>
  <c r="K69" i="23"/>
  <c r="A70" i="23"/>
  <c r="X69" i="23"/>
  <c r="A71" i="22"/>
  <c r="X70" i="22"/>
  <c r="AB70" i="22"/>
  <c r="K70" i="22"/>
  <c r="AB71" i="20"/>
  <c r="K71" i="20"/>
  <c r="A72" i="20"/>
  <c r="X71" i="20"/>
  <c r="AB74" i="17"/>
  <c r="X74" i="17"/>
  <c r="A75" i="17"/>
  <c r="K74" i="17"/>
  <c r="A78" i="1"/>
  <c r="L77" i="1"/>
  <c r="AJ77" i="1"/>
  <c r="AK77" i="1"/>
  <c r="K77" i="1"/>
  <c r="AB77" i="1"/>
  <c r="X77" i="1"/>
  <c r="AB68" i="24"/>
  <c r="X68" i="24"/>
  <c r="A69" i="24"/>
  <c r="L68" i="24"/>
  <c r="K68" i="24"/>
  <c r="L74" i="16"/>
  <c r="D74" i="16" s="1"/>
  <c r="K74" i="16"/>
  <c r="A75" i="16"/>
  <c r="AB74" i="16"/>
  <c r="X74" i="16"/>
  <c r="AB67" i="25"/>
  <c r="K67" i="25"/>
  <c r="X67" i="25"/>
  <c r="A68" i="25"/>
  <c r="X68" i="25"/>
  <c r="K68" i="25"/>
  <c r="AB68" i="25"/>
  <c r="A69" i="25"/>
  <c r="K69" i="24"/>
  <c r="AB69" i="24"/>
  <c r="X69" i="24"/>
  <c r="A70" i="24"/>
  <c r="AB72" i="20"/>
  <c r="A73" i="20"/>
  <c r="L72" i="20"/>
  <c r="X72" i="20"/>
  <c r="K72" i="20"/>
  <c r="K70" i="23"/>
  <c r="A71" i="23"/>
  <c r="X70" i="23"/>
  <c r="AB70" i="23"/>
  <c r="AB73" i="18"/>
  <c r="A74" i="18"/>
  <c r="X73" i="18"/>
  <c r="K73" i="18"/>
  <c r="L73" i="18"/>
  <c r="AB75" i="16"/>
  <c r="A76" i="16"/>
  <c r="X75" i="16"/>
  <c r="K75" i="16"/>
  <c r="A79" i="1"/>
  <c r="K78" i="1"/>
  <c r="L78" i="1"/>
  <c r="AJ78" i="1"/>
  <c r="X78" i="1"/>
  <c r="AK78" i="1"/>
  <c r="AB78" i="1"/>
  <c r="A76" i="17"/>
  <c r="AB75" i="17"/>
  <c r="X75" i="17"/>
  <c r="K75" i="17"/>
  <c r="A72" i="22"/>
  <c r="AB71" i="22"/>
  <c r="K71" i="22"/>
  <c r="X71" i="22"/>
  <c r="K75" i="15"/>
  <c r="X75" i="15"/>
  <c r="AB75" i="15"/>
  <c r="A76" i="15"/>
  <c r="K76" i="15"/>
  <c r="A77" i="15"/>
  <c r="L76" i="15"/>
  <c r="D76" i="15" s="1"/>
  <c r="AB76" i="15"/>
  <c r="X76" i="15"/>
  <c r="L72" i="22"/>
  <c r="A73" i="22"/>
  <c r="K72" i="22"/>
  <c r="AB72" i="22"/>
  <c r="X72" i="22"/>
  <c r="AB76" i="17"/>
  <c r="A77" i="17"/>
  <c r="X76" i="17"/>
  <c r="L76" i="17"/>
  <c r="D76" i="17" s="1"/>
  <c r="K76" i="17"/>
  <c r="X73" i="20"/>
  <c r="AB73" i="20"/>
  <c r="K73" i="20"/>
  <c r="A74" i="20"/>
  <c r="X79" i="1"/>
  <c r="L79" i="1"/>
  <c r="AJ79" i="1"/>
  <c r="AK79" i="1"/>
  <c r="K79" i="1"/>
  <c r="AB79" i="1"/>
  <c r="A80" i="1"/>
  <c r="AB76" i="16"/>
  <c r="K76" i="16"/>
  <c r="X76" i="16"/>
  <c r="A77" i="16"/>
  <c r="AB74" i="18"/>
  <c r="A75" i="18"/>
  <c r="X74" i="18"/>
  <c r="K74" i="18"/>
  <c r="AB71" i="23"/>
  <c r="A72" i="23"/>
  <c r="X71" i="23"/>
  <c r="K71" i="23"/>
  <c r="AB70" i="24"/>
  <c r="X70" i="24"/>
  <c r="A71" i="24"/>
  <c r="K70" i="24"/>
  <c r="K69" i="25"/>
  <c r="A70" i="25"/>
  <c r="AB69" i="25"/>
  <c r="X69" i="25"/>
  <c r="L69" i="25"/>
  <c r="K71" i="24"/>
  <c r="L71" i="24"/>
  <c r="AB71" i="24"/>
  <c r="A72" i="24"/>
  <c r="X71" i="24"/>
  <c r="K75" i="18"/>
  <c r="AB75" i="18"/>
  <c r="X75" i="18"/>
  <c r="A76" i="18"/>
  <c r="L75" i="18"/>
  <c r="X77" i="15"/>
  <c r="A78" i="15"/>
  <c r="AB77" i="15"/>
  <c r="K77" i="15"/>
  <c r="K70" i="25"/>
  <c r="X70" i="25"/>
  <c r="AB70" i="25"/>
  <c r="A71" i="25"/>
  <c r="L70" i="25"/>
  <c r="A73" i="23"/>
  <c r="K72" i="23"/>
  <c r="AB72" i="23"/>
  <c r="X72" i="23"/>
  <c r="AB77" i="16"/>
  <c r="A78" i="16"/>
  <c r="L77" i="16"/>
  <c r="D77" i="16" s="1"/>
  <c r="K77" i="16"/>
  <c r="X77" i="16"/>
  <c r="AJ80" i="1"/>
  <c r="AK80" i="1"/>
  <c r="K80" i="1"/>
  <c r="L80" i="1"/>
  <c r="X80" i="1"/>
  <c r="AB80" i="1"/>
  <c r="A81" i="1"/>
  <c r="K74" i="20"/>
  <c r="AB74" i="20"/>
  <c r="X74" i="20"/>
  <c r="A75" i="20"/>
  <c r="L74" i="20"/>
  <c r="A78" i="17"/>
  <c r="AB77" i="17"/>
  <c r="K77" i="17"/>
  <c r="X77" i="17"/>
  <c r="AB73" i="22"/>
  <c r="X73" i="22"/>
  <c r="A74" i="22"/>
  <c r="K73" i="22"/>
  <c r="X81" i="1"/>
  <c r="AB81" i="1"/>
  <c r="K81" i="1"/>
  <c r="AJ81" i="1"/>
  <c r="L81" i="1"/>
  <c r="AK81" i="1"/>
  <c r="A82" i="1"/>
  <c r="K73" i="23"/>
  <c r="A74" i="23"/>
  <c r="X73" i="23"/>
  <c r="AB73" i="23"/>
  <c r="L73" i="23"/>
  <c r="A72" i="25"/>
  <c r="AB71" i="25"/>
  <c r="X71" i="25"/>
  <c r="K71" i="25"/>
  <c r="AB72" i="24"/>
  <c r="K72" i="24"/>
  <c r="L72" i="24"/>
  <c r="X72" i="24"/>
  <c r="A73" i="24"/>
  <c r="K74" i="22"/>
  <c r="A75" i="22"/>
  <c r="X74" i="22"/>
  <c r="AB74" i="22"/>
  <c r="L78" i="17"/>
  <c r="X78" i="17"/>
  <c r="AB78" i="17"/>
  <c r="K78" i="17"/>
  <c r="A79" i="17"/>
  <c r="K75" i="20"/>
  <c r="AB75" i="20"/>
  <c r="A76" i="20"/>
  <c r="L75" i="20"/>
  <c r="X75" i="20"/>
  <c r="X78" i="16"/>
  <c r="AB78" i="16"/>
  <c r="A79" i="16"/>
  <c r="K78" i="16"/>
  <c r="L78" i="16"/>
  <c r="K78" i="15"/>
  <c r="A79" i="15"/>
  <c r="AB78" i="15"/>
  <c r="L78" i="15"/>
  <c r="D78" i="15" s="1"/>
  <c r="X78" i="15"/>
  <c r="L76" i="18"/>
  <c r="K76" i="18"/>
  <c r="A77" i="18"/>
  <c r="X76" i="18"/>
  <c r="AB76" i="18"/>
  <c r="X77" i="18"/>
  <c r="A78" i="18"/>
  <c r="K77" i="18"/>
  <c r="AB77" i="18"/>
  <c r="AB79" i="15"/>
  <c r="K79" i="15"/>
  <c r="A80" i="15"/>
  <c r="L79" i="15"/>
  <c r="D79" i="15" s="1"/>
  <c r="X79" i="15"/>
  <c r="D78" i="16"/>
  <c r="X79" i="16"/>
  <c r="L79" i="16"/>
  <c r="D79" i="16" s="1"/>
  <c r="AB79" i="16"/>
  <c r="A80" i="16"/>
  <c r="K79" i="16"/>
  <c r="A77" i="20"/>
  <c r="AB76" i="20"/>
  <c r="K76" i="20"/>
  <c r="X76" i="20"/>
  <c r="AB79" i="17"/>
  <c r="K79" i="17"/>
  <c r="A80" i="17"/>
  <c r="X79" i="17"/>
  <c r="D78" i="17"/>
  <c r="K73" i="24"/>
  <c r="L73" i="24"/>
  <c r="X73" i="24"/>
  <c r="A74" i="24"/>
  <c r="AB73" i="24"/>
  <c r="A75" i="23"/>
  <c r="X74" i="23"/>
  <c r="L74" i="23"/>
  <c r="AB74" i="23"/>
  <c r="K74" i="23"/>
  <c r="K75" i="22"/>
  <c r="AB75" i="22"/>
  <c r="X75" i="22"/>
  <c r="L75" i="22"/>
  <c r="A76" i="22"/>
  <c r="K72" i="25"/>
  <c r="AB72" i="25"/>
  <c r="L72" i="25"/>
  <c r="X72" i="25"/>
  <c r="A73" i="25"/>
  <c r="A83" i="1"/>
  <c r="L82" i="1"/>
  <c r="X82" i="1"/>
  <c r="AJ82" i="1"/>
  <c r="AB82" i="1"/>
  <c r="AK82" i="1"/>
  <c r="K82" i="1"/>
  <c r="A84" i="1"/>
  <c r="K83" i="1"/>
  <c r="X83" i="1"/>
  <c r="AB83" i="1"/>
  <c r="AJ83" i="1"/>
  <c r="AK83" i="1"/>
  <c r="L83" i="1"/>
  <c r="A74" i="25"/>
  <c r="K73" i="25"/>
  <c r="X73" i="25"/>
  <c r="AB73" i="25"/>
  <c r="K75" i="23"/>
  <c r="A76" i="23"/>
  <c r="AB75" i="23"/>
  <c r="X75" i="23"/>
  <c r="A81" i="17"/>
  <c r="AB80" i="17"/>
  <c r="X80" i="17"/>
  <c r="K80" i="17"/>
  <c r="AB77" i="20"/>
  <c r="A78" i="20"/>
  <c r="X77" i="20"/>
  <c r="K77" i="20"/>
  <c r="K80" i="16"/>
  <c r="AB80" i="16"/>
  <c r="X80" i="16"/>
  <c r="A81" i="16"/>
  <c r="AB80" i="15"/>
  <c r="L80" i="15"/>
  <c r="D80" i="15" s="1"/>
  <c r="X80" i="15"/>
  <c r="K80" i="15"/>
  <c r="A81" i="15"/>
  <c r="L78" i="18"/>
  <c r="AB78" i="18"/>
  <c r="X78" i="18"/>
  <c r="K78" i="18"/>
  <c r="A79" i="18"/>
  <c r="A77" i="22"/>
  <c r="X76" i="22"/>
  <c r="AB76" i="22"/>
  <c r="K76" i="22"/>
  <c r="X74" i="24"/>
  <c r="K74" i="24"/>
  <c r="A75" i="24"/>
  <c r="AB74" i="24"/>
  <c r="L74" i="24"/>
  <c r="AB75" i="24"/>
  <c r="X75" i="24"/>
  <c r="A76" i="24"/>
  <c r="K75" i="24"/>
  <c r="X79" i="18"/>
  <c r="K79" i="18"/>
  <c r="L79" i="18"/>
  <c r="AB79" i="18"/>
  <c r="A80" i="18"/>
  <c r="L81" i="17"/>
  <c r="D81" i="17" s="1"/>
  <c r="A82" i="17"/>
  <c r="K81" i="17"/>
  <c r="X81" i="17"/>
  <c r="AB81" i="17"/>
  <c r="A78" i="22"/>
  <c r="AB77" i="22"/>
  <c r="X77" i="22"/>
  <c r="K77" i="22"/>
  <c r="AB81" i="15"/>
  <c r="X81" i="15"/>
  <c r="A82" i="15"/>
  <c r="K81" i="15"/>
  <c r="L81" i="15"/>
  <c r="D81" i="15" s="1"/>
  <c r="A82" i="16"/>
  <c r="X81" i="16"/>
  <c r="AB81" i="16"/>
  <c r="K81" i="16"/>
  <c r="A79" i="20"/>
  <c r="K78" i="20"/>
  <c r="AB78" i="20"/>
  <c r="X78" i="20"/>
  <c r="K76" i="23"/>
  <c r="AB76" i="23"/>
  <c r="A77" i="23"/>
  <c r="L76" i="23"/>
  <c r="X76" i="23"/>
  <c r="X74" i="25"/>
  <c r="K74" i="25"/>
  <c r="AB74" i="25"/>
  <c r="A75" i="25"/>
  <c r="L74" i="25"/>
  <c r="L84" i="1"/>
  <c r="K84" i="1"/>
  <c r="AJ84" i="1"/>
  <c r="A85" i="1"/>
  <c r="AB84" i="1"/>
  <c r="X84" i="1"/>
  <c r="AK84" i="1"/>
  <c r="A78" i="23"/>
  <c r="X77" i="23"/>
  <c r="K77" i="23"/>
  <c r="AB77" i="23"/>
  <c r="L79" i="20"/>
  <c r="K79" i="20"/>
  <c r="AB79" i="20"/>
  <c r="A80" i="20"/>
  <c r="X79" i="20"/>
  <c r="AB80" i="18"/>
  <c r="K80" i="18"/>
  <c r="X80" i="18"/>
  <c r="A81" i="18"/>
  <c r="L76" i="24"/>
  <c r="X76" i="24"/>
  <c r="AB76" i="24"/>
  <c r="A77" i="24"/>
  <c r="K76" i="24"/>
  <c r="A86" i="1"/>
  <c r="K85" i="1"/>
  <c r="X85" i="1"/>
  <c r="L85" i="1"/>
  <c r="AK85" i="1"/>
  <c r="AB85" i="1"/>
  <c r="AJ85" i="1"/>
  <c r="K75" i="25"/>
  <c r="AB75" i="25"/>
  <c r="A76" i="25"/>
  <c r="X75" i="25"/>
  <c r="K82" i="16"/>
  <c r="A83" i="16"/>
  <c r="AB82" i="16"/>
  <c r="X82" i="16"/>
  <c r="X82" i="15"/>
  <c r="K82" i="15"/>
  <c r="L82" i="15"/>
  <c r="D82" i="15" s="1"/>
  <c r="AB82" i="15"/>
  <c r="A83" i="15"/>
  <c r="K78" i="22"/>
  <c r="AB78" i="22"/>
  <c r="A79" i="22"/>
  <c r="X78" i="22"/>
  <c r="K82" i="17"/>
  <c r="X82" i="17"/>
  <c r="A83" i="17"/>
  <c r="AB82" i="17"/>
  <c r="X83" i="16"/>
  <c r="A84" i="16"/>
  <c r="AB83" i="16"/>
  <c r="K83" i="16"/>
  <c r="A77" i="25"/>
  <c r="L76" i="25"/>
  <c r="X76" i="25"/>
  <c r="AB76" i="25"/>
  <c r="K76" i="25"/>
  <c r="AK86" i="1"/>
  <c r="AJ86" i="1"/>
  <c r="AB86" i="1"/>
  <c r="X86" i="1"/>
  <c r="L86" i="1"/>
  <c r="K86" i="1"/>
  <c r="A87" i="1"/>
  <c r="K77" i="24"/>
  <c r="A78" i="24"/>
  <c r="X77" i="24"/>
  <c r="L77" i="24"/>
  <c r="AB77" i="24"/>
  <c r="A79" i="23"/>
  <c r="AB78" i="23"/>
  <c r="X78" i="23"/>
  <c r="K78" i="23"/>
  <c r="AB83" i="17"/>
  <c r="K83" i="17"/>
  <c r="X83" i="17"/>
  <c r="A84" i="17"/>
  <c r="K79" i="22"/>
  <c r="X79" i="22"/>
  <c r="L79" i="22"/>
  <c r="AB79" i="22"/>
  <c r="A80" i="22"/>
  <c r="AB83" i="15"/>
  <c r="L83" i="15"/>
  <c r="D83" i="15" s="1"/>
  <c r="A84" i="15"/>
  <c r="K83" i="15"/>
  <c r="X83" i="15"/>
  <c r="AB81" i="18"/>
  <c r="A82" i="18"/>
  <c r="K81" i="18"/>
  <c r="X81" i="18"/>
  <c r="A81" i="20"/>
  <c r="AB80" i="20"/>
  <c r="K80" i="20"/>
  <c r="X80" i="20"/>
  <c r="A83" i="18"/>
  <c r="AB82" i="18"/>
  <c r="X82" i="18"/>
  <c r="K82" i="18"/>
  <c r="X80" i="22"/>
  <c r="AB80" i="22"/>
  <c r="K80" i="22"/>
  <c r="A81" i="22"/>
  <c r="AB79" i="23"/>
  <c r="X79" i="23"/>
  <c r="K79" i="23"/>
  <c r="A80" i="23"/>
  <c r="L79" i="23"/>
  <c r="A79" i="24"/>
  <c r="X78" i="24"/>
  <c r="K78" i="24"/>
  <c r="L78" i="24"/>
  <c r="AB78" i="24"/>
  <c r="X77" i="25"/>
  <c r="A78" i="25"/>
  <c r="AB77" i="25"/>
  <c r="K77" i="25"/>
  <c r="AB81" i="20"/>
  <c r="A82" i="20"/>
  <c r="X81" i="20"/>
  <c r="K81" i="20"/>
  <c r="K84" i="15"/>
  <c r="AB84" i="15"/>
  <c r="A85" i="15"/>
  <c r="X84" i="15"/>
  <c r="AB84" i="17"/>
  <c r="K84" i="17"/>
  <c r="X84" i="17"/>
  <c r="A85" i="17"/>
  <c r="AK87" i="1"/>
  <c r="X87" i="1"/>
  <c r="K87" i="1"/>
  <c r="A88" i="1"/>
  <c r="L87" i="1"/>
  <c r="AJ87" i="1"/>
  <c r="AB87" i="1"/>
  <c r="L84" i="16"/>
  <c r="D84" i="16" s="1"/>
  <c r="X84" i="16"/>
  <c r="AB84" i="16"/>
  <c r="A85" i="16"/>
  <c r="K84" i="16"/>
  <c r="AB85" i="16"/>
  <c r="L85" i="16"/>
  <c r="D85" i="16" s="1"/>
  <c r="K85" i="16"/>
  <c r="X85" i="16"/>
  <c r="A86" i="16"/>
  <c r="X85" i="15"/>
  <c r="AB85" i="15"/>
  <c r="A86" i="15"/>
  <c r="K85" i="15"/>
  <c r="X82" i="20"/>
  <c r="L82" i="20"/>
  <c r="A83" i="20"/>
  <c r="K82" i="20"/>
  <c r="AB82" i="20"/>
  <c r="X78" i="25"/>
  <c r="K78" i="25"/>
  <c r="A79" i="25"/>
  <c r="AB78" i="25"/>
  <c r="A80" i="24"/>
  <c r="AB79" i="24"/>
  <c r="X79" i="24"/>
  <c r="K79" i="24"/>
  <c r="K83" i="18"/>
  <c r="AB83" i="18"/>
  <c r="A84" i="18"/>
  <c r="X83" i="18"/>
  <c r="L83" i="18"/>
  <c r="A89" i="1"/>
  <c r="K88" i="1"/>
  <c r="X88" i="1"/>
  <c r="AK88" i="1"/>
  <c r="AB88" i="1"/>
  <c r="L88" i="1"/>
  <c r="B22" i="7" s="1"/>
  <c r="AJ88" i="1"/>
  <c r="A22" i="7"/>
  <c r="K85" i="17"/>
  <c r="X85" i="17"/>
  <c r="AB85" i="17"/>
  <c r="A86" i="17"/>
  <c r="L80" i="23"/>
  <c r="K80" i="23"/>
  <c r="AB80" i="23"/>
  <c r="A81" i="23"/>
  <c r="X80" i="23"/>
  <c r="K81" i="22"/>
  <c r="A82" i="22"/>
  <c r="AB81" i="22"/>
  <c r="X81" i="22"/>
  <c r="A82" i="23"/>
  <c r="X81" i="23"/>
  <c r="AB81" i="23"/>
  <c r="K81" i="23"/>
  <c r="A80" i="25"/>
  <c r="X79" i="25"/>
  <c r="K79" i="25"/>
  <c r="L79" i="25"/>
  <c r="AB79" i="25"/>
  <c r="L83" i="20"/>
  <c r="X83" i="20"/>
  <c r="K83" i="20"/>
  <c r="A84" i="20"/>
  <c r="AB83" i="20"/>
  <c r="K82" i="22"/>
  <c r="A83" i="22"/>
  <c r="X82" i="22"/>
  <c r="L82" i="22"/>
  <c r="AB82" i="22"/>
  <c r="AB86" i="17"/>
  <c r="X86" i="17"/>
  <c r="L86" i="17"/>
  <c r="D86" i="17" s="1"/>
  <c r="A87" i="17"/>
  <c r="K86" i="17"/>
  <c r="AK89" i="1"/>
  <c r="AJ89" i="1"/>
  <c r="K89" i="1"/>
  <c r="L89" i="1"/>
  <c r="X89" i="1"/>
  <c r="AB89" i="1"/>
  <c r="A90" i="1"/>
  <c r="X84" i="18"/>
  <c r="A85" i="18"/>
  <c r="AB84" i="18"/>
  <c r="K84" i="18"/>
  <c r="L84" i="18"/>
  <c r="K80" i="24"/>
  <c r="AB80" i="24"/>
  <c r="X80" i="24"/>
  <c r="A81" i="24"/>
  <c r="L86" i="15"/>
  <c r="D86" i="15" s="1"/>
  <c r="AB86" i="15"/>
  <c r="A87" i="15"/>
  <c r="X86" i="15"/>
  <c r="K86" i="15"/>
  <c r="A87" i="16"/>
  <c r="AB86" i="16"/>
  <c r="X86" i="16"/>
  <c r="K86" i="16"/>
  <c r="A91" i="1"/>
  <c r="X90" i="1"/>
  <c r="AK90" i="1"/>
  <c r="K90" i="1"/>
  <c r="AJ90" i="1"/>
  <c r="L90" i="1"/>
  <c r="AB90" i="1"/>
  <c r="K82" i="23"/>
  <c r="X82" i="23"/>
  <c r="A83" i="23"/>
  <c r="AB82" i="23"/>
  <c r="AB87" i="16"/>
  <c r="A88" i="16"/>
  <c r="K87" i="16"/>
  <c r="X87" i="16"/>
  <c r="L87" i="16"/>
  <c r="D87" i="16" s="1"/>
  <c r="A88" i="15"/>
  <c r="K87" i="15"/>
  <c r="X87" i="15"/>
  <c r="AB87" i="15"/>
  <c r="L81" i="24"/>
  <c r="X81" i="24"/>
  <c r="K81" i="24"/>
  <c r="AB81" i="24"/>
  <c r="A82" i="24"/>
  <c r="X85" i="18"/>
  <c r="A86" i="18"/>
  <c r="AB85" i="18"/>
  <c r="K85" i="18"/>
  <c r="A88" i="17"/>
  <c r="K87" i="17"/>
  <c r="AB87" i="17"/>
  <c r="X87" i="17"/>
  <c r="A84" i="22"/>
  <c r="K83" i="22"/>
  <c r="AB83" i="22"/>
  <c r="X83" i="22"/>
  <c r="A85" i="20"/>
  <c r="K84" i="20"/>
  <c r="AB84" i="20"/>
  <c r="X84" i="20"/>
  <c r="A81" i="25"/>
  <c r="K80" i="25"/>
  <c r="X80" i="25"/>
  <c r="AB80" i="25"/>
  <c r="K85" i="20"/>
  <c r="X85" i="20"/>
  <c r="A86" i="20"/>
  <c r="AB85" i="20"/>
  <c r="L85" i="20"/>
  <c r="AB84" i="22"/>
  <c r="L84" i="22"/>
  <c r="K84" i="22"/>
  <c r="A85" i="22"/>
  <c r="X84" i="22"/>
  <c r="K86" i="18"/>
  <c r="X86" i="18"/>
  <c r="A87" i="18"/>
  <c r="AB86" i="18"/>
  <c r="K88" i="15"/>
  <c r="A34" i="7"/>
  <c r="A89" i="15"/>
  <c r="L88" i="15"/>
  <c r="D88" i="15" s="1"/>
  <c r="AB88" i="15"/>
  <c r="X88" i="15"/>
  <c r="AB83" i="23"/>
  <c r="K83" i="23"/>
  <c r="A84" i="23"/>
  <c r="X83" i="23"/>
  <c r="L81" i="25"/>
  <c r="K81" i="25"/>
  <c r="A82" i="25"/>
  <c r="AB81" i="25"/>
  <c r="X81" i="25"/>
  <c r="AB88" i="17"/>
  <c r="L88" i="17"/>
  <c r="D88" i="17" s="1"/>
  <c r="X88" i="17"/>
  <c r="K88" i="17"/>
  <c r="A58" i="7"/>
  <c r="A89" i="17"/>
  <c r="AB82" i="24"/>
  <c r="K82" i="24"/>
  <c r="A83" i="24"/>
  <c r="X82" i="24"/>
  <c r="L88" i="16"/>
  <c r="B46" i="7" s="1"/>
  <c r="AB88" i="16"/>
  <c r="A89" i="16"/>
  <c r="A46" i="7"/>
  <c r="K88" i="16"/>
  <c r="X88" i="16"/>
  <c r="A92" i="1"/>
  <c r="K91" i="1"/>
  <c r="AJ91" i="1"/>
  <c r="AB91" i="1"/>
  <c r="X91" i="1"/>
  <c r="L91" i="1"/>
  <c r="AK91" i="1"/>
  <c r="K89" i="16"/>
  <c r="A90" i="16"/>
  <c r="X89" i="16"/>
  <c r="AB89" i="16"/>
  <c r="A84" i="24"/>
  <c r="L83" i="24"/>
  <c r="X83" i="24"/>
  <c r="AB83" i="24"/>
  <c r="K83" i="24"/>
  <c r="AB89" i="17"/>
  <c r="X89" i="17"/>
  <c r="L89" i="17"/>
  <c r="D89" i="17" s="1"/>
  <c r="A90" i="17"/>
  <c r="K89" i="17"/>
  <c r="A86" i="22"/>
  <c r="K85" i="22"/>
  <c r="AB85" i="22"/>
  <c r="L85" i="22"/>
  <c r="X85" i="22"/>
  <c r="L86" i="20"/>
  <c r="X86" i="20"/>
  <c r="A87" i="20"/>
  <c r="AB86" i="20"/>
  <c r="K86" i="20"/>
  <c r="A93" i="1"/>
  <c r="L92" i="1"/>
  <c r="AB92" i="1"/>
  <c r="X92" i="1"/>
  <c r="K92" i="1"/>
  <c r="AJ92" i="1"/>
  <c r="AK92" i="1"/>
  <c r="K82" i="25"/>
  <c r="AB82" i="25"/>
  <c r="A83" i="25"/>
  <c r="X82" i="25"/>
  <c r="K84" i="23"/>
  <c r="X84" i="23"/>
  <c r="A85" i="23"/>
  <c r="AB84" i="23"/>
  <c r="L89" i="15"/>
  <c r="D89" i="15" s="1"/>
  <c r="X89" i="15"/>
  <c r="K89" i="15"/>
  <c r="AB89" i="15"/>
  <c r="A90" i="15"/>
  <c r="K87" i="18"/>
  <c r="AB87" i="18"/>
  <c r="X87" i="18"/>
  <c r="A88" i="18"/>
  <c r="K85" i="23"/>
  <c r="A86" i="23"/>
  <c r="X85" i="23"/>
  <c r="AB85" i="23"/>
  <c r="K83" i="25"/>
  <c r="A84" i="25"/>
  <c r="X83" i="25"/>
  <c r="AB83" i="25"/>
  <c r="AK93" i="1"/>
  <c r="AB93" i="1"/>
  <c r="AJ93" i="1"/>
  <c r="A94" i="1"/>
  <c r="L93" i="1"/>
  <c r="K93" i="1"/>
  <c r="X93" i="1"/>
  <c r="K90" i="17"/>
  <c r="X90" i="17"/>
  <c r="AB90" i="17"/>
  <c r="L90" i="17"/>
  <c r="D90" i="17" s="1"/>
  <c r="A91" i="17"/>
  <c r="K84" i="24"/>
  <c r="A85" i="24"/>
  <c r="X84" i="24"/>
  <c r="AB84" i="24"/>
  <c r="L84" i="24"/>
  <c r="K90" i="15"/>
  <c r="X90" i="15"/>
  <c r="A91" i="15"/>
  <c r="AB90" i="15"/>
  <c r="L90" i="15"/>
  <c r="D90" i="15" s="1"/>
  <c r="AB88" i="18"/>
  <c r="A89" i="18"/>
  <c r="X88" i="18"/>
  <c r="A70" i="7"/>
  <c r="K88" i="18"/>
  <c r="K87" i="20"/>
  <c r="A88" i="20"/>
  <c r="AB87" i="20"/>
  <c r="X87" i="20"/>
  <c r="X86" i="22"/>
  <c r="AB86" i="22"/>
  <c r="K86" i="22"/>
  <c r="A87" i="22"/>
  <c r="L86" i="22"/>
  <c r="AB90" i="16"/>
  <c r="A91" i="16"/>
  <c r="K90" i="16"/>
  <c r="X90" i="16"/>
  <c r="AB91" i="16"/>
  <c r="K91" i="16"/>
  <c r="A92" i="16"/>
  <c r="X91" i="16"/>
  <c r="A88" i="22"/>
  <c r="L87" i="22"/>
  <c r="X87" i="22"/>
  <c r="AB87" i="22"/>
  <c r="K87" i="22"/>
  <c r="K89" i="18"/>
  <c r="X89" i="18"/>
  <c r="AB89" i="18"/>
  <c r="A90" i="18"/>
  <c r="AB91" i="15"/>
  <c r="A92" i="15"/>
  <c r="X91" i="15"/>
  <c r="K91" i="15"/>
  <c r="X85" i="24"/>
  <c r="A86" i="24"/>
  <c r="K85" i="24"/>
  <c r="AB85" i="24"/>
  <c r="K91" i="17"/>
  <c r="AB91" i="17"/>
  <c r="A92" i="17"/>
  <c r="L91" i="17"/>
  <c r="D91" i="17" s="1"/>
  <c r="X91" i="17"/>
  <c r="X84" i="25"/>
  <c r="K84" i="25"/>
  <c r="L84" i="25"/>
  <c r="AB84" i="25"/>
  <c r="A85" i="25"/>
  <c r="A87" i="23"/>
  <c r="AB86" i="23"/>
  <c r="X86" i="23"/>
  <c r="K86" i="23"/>
  <c r="A89" i="20"/>
  <c r="X88" i="20"/>
  <c r="L88" i="20"/>
  <c r="AF22" i="7" s="1"/>
  <c r="K88" i="20"/>
  <c r="AB88" i="20"/>
  <c r="AE22" i="7"/>
  <c r="A95" i="1"/>
  <c r="X94" i="1"/>
  <c r="AJ94" i="1"/>
  <c r="AB94" i="1"/>
  <c r="L94" i="1"/>
  <c r="K94" i="1"/>
  <c r="AK94" i="1"/>
  <c r="X89" i="20"/>
  <c r="AB89" i="20"/>
  <c r="A90" i="20"/>
  <c r="K89" i="20"/>
  <c r="L87" i="23"/>
  <c r="AB87" i="23"/>
  <c r="X87" i="23"/>
  <c r="A88" i="23"/>
  <c r="K87" i="23"/>
  <c r="K92" i="17"/>
  <c r="AB92" i="17"/>
  <c r="X92" i="17"/>
  <c r="L92" i="17"/>
  <c r="D92" i="17" s="1"/>
  <c r="A93" i="17"/>
  <c r="L86" i="24"/>
  <c r="X86" i="24"/>
  <c r="K86" i="24"/>
  <c r="AB86" i="24"/>
  <c r="A87" i="24"/>
  <c r="K88" i="22"/>
  <c r="A89" i="22"/>
  <c r="AB88" i="22"/>
  <c r="X88" i="22"/>
  <c r="AE34" i="7"/>
  <c r="L88" i="22"/>
  <c r="AF34" i="7" s="1"/>
  <c r="AB95" i="1"/>
  <c r="AK95" i="1"/>
  <c r="L95" i="1"/>
  <c r="X95" i="1"/>
  <c r="K95" i="1"/>
  <c r="A96" i="1"/>
  <c r="AJ95" i="1"/>
  <c r="X85" i="25"/>
  <c r="A86" i="25"/>
  <c r="L85" i="25"/>
  <c r="K85" i="25"/>
  <c r="AB85" i="25"/>
  <c r="K92" i="15"/>
  <c r="AB92" i="15"/>
  <c r="X92" i="15"/>
  <c r="A93" i="15"/>
  <c r="A91" i="18"/>
  <c r="K90" i="18"/>
  <c r="X90" i="18"/>
  <c r="AB90" i="18"/>
  <c r="L90" i="18"/>
  <c r="K92" i="16"/>
  <c r="X92" i="16"/>
  <c r="AB92" i="16"/>
  <c r="A93" i="16"/>
  <c r="AB91" i="18"/>
  <c r="X91" i="18"/>
  <c r="L91" i="18"/>
  <c r="K91" i="18"/>
  <c r="A92" i="18"/>
  <c r="AK96" i="1"/>
  <c r="X96" i="1"/>
  <c r="AB96" i="1"/>
  <c r="A97" i="1"/>
  <c r="AJ96" i="1"/>
  <c r="K96" i="1"/>
  <c r="L96" i="1"/>
  <c r="A88" i="24"/>
  <c r="AB87" i="24"/>
  <c r="L87" i="24"/>
  <c r="K87" i="24"/>
  <c r="X87" i="24"/>
  <c r="A94" i="16"/>
  <c r="X93" i="16"/>
  <c r="K93" i="16"/>
  <c r="L93" i="16"/>
  <c r="D93" i="16" s="1"/>
  <c r="AB93" i="16"/>
  <c r="A94" i="15"/>
  <c r="AB93" i="15"/>
  <c r="L93" i="15"/>
  <c r="D93" i="15" s="1"/>
  <c r="K93" i="15"/>
  <c r="X93" i="15"/>
  <c r="L86" i="25"/>
  <c r="K86" i="25"/>
  <c r="X86" i="25"/>
  <c r="AB86" i="25"/>
  <c r="A87" i="25"/>
  <c r="AB89" i="22"/>
  <c r="L89" i="22"/>
  <c r="K89" i="22"/>
  <c r="A90" i="22"/>
  <c r="X89" i="22"/>
  <c r="AB93" i="17"/>
  <c r="A94" i="17"/>
  <c r="X93" i="17"/>
  <c r="K93" i="17"/>
  <c r="A89" i="23"/>
  <c r="AE46" i="7"/>
  <c r="K88" i="23"/>
  <c r="AB88" i="23"/>
  <c r="X88" i="23"/>
  <c r="X90" i="20"/>
  <c r="AB90" i="20"/>
  <c r="K90" i="20"/>
  <c r="A91" i="20"/>
  <c r="K91" i="20"/>
  <c r="AB91" i="20"/>
  <c r="X91" i="20"/>
  <c r="A92" i="20"/>
  <c r="L91" i="20"/>
  <c r="AB89" i="23"/>
  <c r="A90" i="23"/>
  <c r="L89" i="23"/>
  <c r="K89" i="23"/>
  <c r="X89" i="23"/>
  <c r="K94" i="17"/>
  <c r="A95" i="17"/>
  <c r="X94" i="17"/>
  <c r="L94" i="17"/>
  <c r="D94" i="17" s="1"/>
  <c r="AB94" i="17"/>
  <c r="X90" i="22"/>
  <c r="AB90" i="22"/>
  <c r="L90" i="22"/>
  <c r="K90" i="22"/>
  <c r="A91" i="22"/>
  <c r="A98" i="1"/>
  <c r="AB97" i="1"/>
  <c r="X97" i="1"/>
  <c r="L97" i="1"/>
  <c r="AJ97" i="1"/>
  <c r="K97" i="1"/>
  <c r="AK97" i="1"/>
  <c r="AB87" i="25"/>
  <c r="K87" i="25"/>
  <c r="X87" i="25"/>
  <c r="A88" i="25"/>
  <c r="K94" i="15"/>
  <c r="AB94" i="15"/>
  <c r="A95" i="15"/>
  <c r="X94" i="15"/>
  <c r="K94" i="16"/>
  <c r="AB94" i="16"/>
  <c r="X94" i="16"/>
  <c r="A95" i="16"/>
  <c r="L94" i="16"/>
  <c r="D94" i="16" s="1"/>
  <c r="K88" i="24"/>
  <c r="AE58" i="7"/>
  <c r="A89" i="24"/>
  <c r="X88" i="24"/>
  <c r="AB88" i="24"/>
  <c r="AB92" i="18"/>
  <c r="L92" i="18"/>
  <c r="A93" i="18"/>
  <c r="X92" i="18"/>
  <c r="K92" i="18"/>
  <c r="X89" i="24"/>
  <c r="A90" i="24"/>
  <c r="AB89" i="24"/>
  <c r="K89" i="24"/>
  <c r="X95" i="15"/>
  <c r="AB95" i="15"/>
  <c r="A96" i="15"/>
  <c r="K95" i="15"/>
  <c r="A92" i="22"/>
  <c r="X91" i="22"/>
  <c r="AB91" i="22"/>
  <c r="K91" i="22"/>
  <c r="X95" i="17"/>
  <c r="AB95" i="17"/>
  <c r="K95" i="17"/>
  <c r="A96" i="17"/>
  <c r="L95" i="17"/>
  <c r="D95" i="17" s="1"/>
  <c r="X90" i="23"/>
  <c r="L90" i="23"/>
  <c r="AB90" i="23"/>
  <c r="A91" i="23"/>
  <c r="K90" i="23"/>
  <c r="A93" i="20"/>
  <c r="X92" i="20"/>
  <c r="K92" i="20"/>
  <c r="AB92" i="20"/>
  <c r="L92" i="20"/>
  <c r="X93" i="18"/>
  <c r="L93" i="18"/>
  <c r="AB93" i="18"/>
  <c r="A94" i="18"/>
  <c r="K93" i="18"/>
  <c r="K95" i="16"/>
  <c r="X95" i="16"/>
  <c r="A96" i="16"/>
  <c r="AB95" i="16"/>
  <c r="A89" i="25"/>
  <c r="K88" i="25"/>
  <c r="L88" i="25"/>
  <c r="AF70" i="7" s="1"/>
  <c r="AE70" i="7"/>
  <c r="AB88" i="25"/>
  <c r="X88" i="25"/>
  <c r="L98" i="1"/>
  <c r="AK98" i="1"/>
  <c r="X98" i="1"/>
  <c r="AB98" i="1"/>
  <c r="AJ98" i="1"/>
  <c r="K98" i="1"/>
  <c r="A99" i="1"/>
  <c r="A100" i="1"/>
  <c r="X99" i="1"/>
  <c r="AK99" i="1"/>
  <c r="AJ99" i="1"/>
  <c r="L99" i="1"/>
  <c r="AB99" i="1"/>
  <c r="K99" i="1"/>
  <c r="A97" i="16"/>
  <c r="K96" i="16"/>
  <c r="AB96" i="16"/>
  <c r="X96" i="16"/>
  <c r="X91" i="23"/>
  <c r="L91" i="23"/>
  <c r="A92" i="23"/>
  <c r="AB91" i="23"/>
  <c r="K91" i="23"/>
  <c r="K92" i="22"/>
  <c r="AB92" i="22"/>
  <c r="X92" i="22"/>
  <c r="A93" i="22"/>
  <c r="X96" i="15"/>
  <c r="K96" i="15"/>
  <c r="A97" i="15"/>
  <c r="AB96" i="15"/>
  <c r="K89" i="25"/>
  <c r="X89" i="25"/>
  <c r="AB89" i="25"/>
  <c r="L89" i="25"/>
  <c r="A90" i="25"/>
  <c r="K94" i="18"/>
  <c r="A95" i="18"/>
  <c r="X94" i="18"/>
  <c r="AB94" i="18"/>
  <c r="K93" i="20"/>
  <c r="AB93" i="20"/>
  <c r="A94" i="20"/>
  <c r="X93" i="20"/>
  <c r="X96" i="17"/>
  <c r="AB96" i="17"/>
  <c r="K96" i="17"/>
  <c r="A97" i="17"/>
  <c r="X90" i="24"/>
  <c r="AB90" i="24"/>
  <c r="L90" i="24"/>
  <c r="K90" i="24"/>
  <c r="A91" i="24"/>
  <c r="X91" i="24"/>
  <c r="AB91" i="24"/>
  <c r="K91" i="24"/>
  <c r="L91" i="24"/>
  <c r="A92" i="24"/>
  <c r="X97" i="17"/>
  <c r="L97" i="17"/>
  <c r="D97" i="17" s="1"/>
  <c r="A98" i="17"/>
  <c r="AB97" i="17"/>
  <c r="K97" i="17"/>
  <c r="A96" i="18"/>
  <c r="K95" i="18"/>
  <c r="L95" i="18"/>
  <c r="X95" i="18"/>
  <c r="AB95" i="18"/>
  <c r="K90" i="25"/>
  <c r="X90" i="25"/>
  <c r="A91" i="25"/>
  <c r="L90" i="25"/>
  <c r="AB90" i="25"/>
  <c r="AB93" i="22"/>
  <c r="X93" i="22"/>
  <c r="K93" i="22"/>
  <c r="A94" i="22"/>
  <c r="L93" i="22"/>
  <c r="K92" i="23"/>
  <c r="A93" i="23"/>
  <c r="X92" i="23"/>
  <c r="L92" i="23"/>
  <c r="AB92" i="23"/>
  <c r="L94" i="20"/>
  <c r="A95" i="20"/>
  <c r="K94" i="20"/>
  <c r="X94" i="20"/>
  <c r="AB94" i="20"/>
  <c r="A98" i="15"/>
  <c r="X97" i="15"/>
  <c r="K97" i="15"/>
  <c r="AB97" i="15"/>
  <c r="L97" i="15"/>
  <c r="D97" i="15" s="1"/>
  <c r="L97" i="16"/>
  <c r="D97" i="16" s="1"/>
  <c r="A98" i="16"/>
  <c r="AB97" i="16"/>
  <c r="X97" i="16"/>
  <c r="K97" i="16"/>
  <c r="AB100" i="1"/>
  <c r="AK100" i="1"/>
  <c r="L100" i="1"/>
  <c r="A101" i="1"/>
  <c r="AJ100" i="1"/>
  <c r="K100" i="1"/>
  <c r="X100" i="1"/>
  <c r="L95" i="20"/>
  <c r="X95" i="20"/>
  <c r="K95" i="20"/>
  <c r="A96" i="20"/>
  <c r="AB95" i="20"/>
  <c r="L93" i="23"/>
  <c r="X93" i="23"/>
  <c r="K93" i="23"/>
  <c r="AB93" i="23"/>
  <c r="A94" i="23"/>
  <c r="L94" i="22"/>
  <c r="A95" i="22"/>
  <c r="K94" i="22"/>
  <c r="AB94" i="22"/>
  <c r="X94" i="22"/>
  <c r="L91" i="25"/>
  <c r="A92" i="25"/>
  <c r="K91" i="25"/>
  <c r="AB91" i="25"/>
  <c r="X91" i="25"/>
  <c r="A102" i="1"/>
  <c r="K101" i="1"/>
  <c r="AK101" i="1"/>
  <c r="AB101" i="1"/>
  <c r="X101" i="1"/>
  <c r="AJ101" i="1"/>
  <c r="L101" i="1"/>
  <c r="K98" i="16"/>
  <c r="A99" i="16"/>
  <c r="X98" i="16"/>
  <c r="L98" i="16"/>
  <c r="D98" i="16" s="1"/>
  <c r="AB98" i="16"/>
  <c r="K98" i="15"/>
  <c r="X98" i="15"/>
  <c r="AB98" i="15"/>
  <c r="A99" i="15"/>
  <c r="L98" i="15"/>
  <c r="D98" i="15" s="1"/>
  <c r="K96" i="18"/>
  <c r="L96" i="18"/>
  <c r="X96" i="18"/>
  <c r="AB96" i="18"/>
  <c r="A97" i="18"/>
  <c r="L98" i="17"/>
  <c r="X98" i="17"/>
  <c r="AB98" i="17"/>
  <c r="K98" i="17"/>
  <c r="A99" i="17"/>
  <c r="X92" i="24"/>
  <c r="AB92" i="24"/>
  <c r="L92" i="24"/>
  <c r="A93" i="24"/>
  <c r="K92" i="24"/>
  <c r="X99" i="17"/>
  <c r="L99" i="17"/>
  <c r="D99" i="17" s="1"/>
  <c r="K99" i="17"/>
  <c r="A100" i="17"/>
  <c r="AB99" i="17"/>
  <c r="A98" i="18"/>
  <c r="K97" i="18"/>
  <c r="AB97" i="18"/>
  <c r="X97" i="18"/>
  <c r="L97" i="18"/>
  <c r="K99" i="16"/>
  <c r="L99" i="16"/>
  <c r="D99" i="16" s="1"/>
  <c r="AB99" i="16"/>
  <c r="X99" i="16"/>
  <c r="A100" i="16"/>
  <c r="A103" i="1"/>
  <c r="AB102" i="1"/>
  <c r="AJ102" i="1"/>
  <c r="K102" i="1"/>
  <c r="AK102" i="1"/>
  <c r="L102" i="1"/>
  <c r="X102" i="1"/>
  <c r="X92" i="25"/>
  <c r="K92" i="25"/>
  <c r="L92" i="25"/>
  <c r="A93" i="25"/>
  <c r="AB92" i="25"/>
  <c r="A94" i="24"/>
  <c r="L93" i="24"/>
  <c r="AB93" i="24"/>
  <c r="X93" i="24"/>
  <c r="K93" i="24"/>
  <c r="D98" i="17"/>
  <c r="L99" i="15"/>
  <c r="D99" i="15" s="1"/>
  <c r="AB99" i="15"/>
  <c r="X99" i="15"/>
  <c r="K99" i="15"/>
  <c r="A100" i="15"/>
  <c r="L95" i="22"/>
  <c r="A96" i="22"/>
  <c r="X95" i="22"/>
  <c r="K95" i="22"/>
  <c r="AB95" i="22"/>
  <c r="A95" i="23"/>
  <c r="K94" i="23"/>
  <c r="L94" i="23"/>
  <c r="AB94" i="23"/>
  <c r="X94" i="23"/>
  <c r="A97" i="20"/>
  <c r="K96" i="20"/>
  <c r="AB96" i="20"/>
  <c r="L96" i="20"/>
  <c r="X96" i="20"/>
  <c r="K97" i="20"/>
  <c r="AB97" i="20"/>
  <c r="X97" i="20"/>
  <c r="A98" i="20"/>
  <c r="L97" i="20"/>
  <c r="X95" i="23"/>
  <c r="K95" i="23"/>
  <c r="L95" i="23"/>
  <c r="A96" i="23"/>
  <c r="AB95" i="23"/>
  <c r="K96" i="22"/>
  <c r="L96" i="22"/>
  <c r="X96" i="22"/>
  <c r="A97" i="22"/>
  <c r="AB96" i="22"/>
  <c r="A104" i="1"/>
  <c r="AJ103" i="1"/>
  <c r="X103" i="1"/>
  <c r="AK103" i="1"/>
  <c r="AB103" i="1"/>
  <c r="K103" i="1"/>
  <c r="L103" i="1"/>
  <c r="X100" i="16"/>
  <c r="A101" i="16"/>
  <c r="K100" i="16"/>
  <c r="AB100" i="16"/>
  <c r="L100" i="16"/>
  <c r="D100" i="16" s="1"/>
  <c r="AB98" i="18"/>
  <c r="L98" i="18"/>
  <c r="K98" i="18"/>
  <c r="A99" i="18"/>
  <c r="X98" i="18"/>
  <c r="K100" i="17"/>
  <c r="L100" i="17"/>
  <c r="D100" i="17" s="1"/>
  <c r="AB100" i="17"/>
  <c r="A101" i="17"/>
  <c r="X100" i="17"/>
  <c r="X100" i="15"/>
  <c r="K100" i="15"/>
  <c r="L100" i="15"/>
  <c r="D100" i="15" s="1"/>
  <c r="AB100" i="15"/>
  <c r="A101" i="15"/>
  <c r="AB94" i="24"/>
  <c r="A95" i="24"/>
  <c r="K94" i="24"/>
  <c r="L94" i="24"/>
  <c r="X94" i="24"/>
  <c r="A94" i="25"/>
  <c r="K93" i="25"/>
  <c r="X93" i="25"/>
  <c r="L93" i="25"/>
  <c r="AB93" i="25"/>
  <c r="L97" i="22"/>
  <c r="X97" i="22"/>
  <c r="K97" i="22"/>
  <c r="AB97" i="22"/>
  <c r="A98" i="22"/>
  <c r="AB94" i="25"/>
  <c r="L94" i="25"/>
  <c r="X94" i="25"/>
  <c r="K94" i="25"/>
  <c r="A95" i="25"/>
  <c r="AB95" i="24"/>
  <c r="K95" i="24"/>
  <c r="L95" i="24"/>
  <c r="X95" i="24"/>
  <c r="A96" i="24"/>
  <c r="X101" i="15"/>
  <c r="L101" i="15"/>
  <c r="D101" i="15" s="1"/>
  <c r="AB101" i="15"/>
  <c r="A102" i="15"/>
  <c r="K101" i="15"/>
  <c r="L99" i="18"/>
  <c r="AB99" i="18"/>
  <c r="A100" i="18"/>
  <c r="K99" i="18"/>
  <c r="X99" i="18"/>
  <c r="X101" i="16"/>
  <c r="A102" i="16"/>
  <c r="L101" i="16"/>
  <c r="AB101" i="16"/>
  <c r="K101" i="16"/>
  <c r="A105" i="1"/>
  <c r="K104" i="1"/>
  <c r="AJ104" i="1"/>
  <c r="L104" i="1"/>
  <c r="X104" i="1"/>
  <c r="AB104" i="1"/>
  <c r="AK104" i="1"/>
  <c r="X96" i="23"/>
  <c r="L96" i="23"/>
  <c r="AB96" i="23"/>
  <c r="A97" i="23"/>
  <c r="K96" i="23"/>
  <c r="X98" i="20"/>
  <c r="L98" i="20"/>
  <c r="A99" i="20"/>
  <c r="AB98" i="20"/>
  <c r="K98" i="20"/>
  <c r="A102" i="17"/>
  <c r="L101" i="17"/>
  <c r="X101" i="17"/>
  <c r="K101" i="17"/>
  <c r="AB101" i="17"/>
  <c r="K102" i="17"/>
  <c r="A103" i="17"/>
  <c r="X102" i="17"/>
  <c r="AB102" i="17"/>
  <c r="L102" i="17"/>
  <c r="D102" i="17" s="1"/>
  <c r="A100" i="20"/>
  <c r="K99" i="20"/>
  <c r="AB99" i="20"/>
  <c r="X99" i="20"/>
  <c r="L99" i="20"/>
  <c r="A103" i="16"/>
  <c r="L102" i="16"/>
  <c r="D102" i="16" s="1"/>
  <c r="K102" i="16"/>
  <c r="X102" i="16"/>
  <c r="AB102" i="16"/>
  <c r="X98" i="22"/>
  <c r="L98" i="22"/>
  <c r="AB98" i="22"/>
  <c r="K98" i="22"/>
  <c r="A99" i="22"/>
  <c r="D101" i="17"/>
  <c r="K97" i="23"/>
  <c r="L97" i="23"/>
  <c r="A98" i="23"/>
  <c r="X97" i="23"/>
  <c r="AB97" i="23"/>
  <c r="K105" i="1"/>
  <c r="X105" i="1"/>
  <c r="AJ105" i="1"/>
  <c r="AB105" i="1"/>
  <c r="AK105" i="1"/>
  <c r="A106" i="1"/>
  <c r="L105" i="1"/>
  <c r="D101" i="16"/>
  <c r="X100" i="18"/>
  <c r="L100" i="18"/>
  <c r="A101" i="18"/>
  <c r="K100" i="18"/>
  <c r="AB100" i="18"/>
  <c r="K102" i="15"/>
  <c r="AB102" i="15"/>
  <c r="X102" i="15"/>
  <c r="A103" i="15"/>
  <c r="L102" i="15"/>
  <c r="D102" i="15" s="1"/>
  <c r="AB96" i="24"/>
  <c r="L96" i="24"/>
  <c r="X96" i="24"/>
  <c r="A97" i="24"/>
  <c r="K96" i="24"/>
  <c r="K95" i="25"/>
  <c r="X95" i="25"/>
  <c r="A96" i="25"/>
  <c r="L95" i="25"/>
  <c r="AB95" i="25"/>
  <c r="K96" i="25"/>
  <c r="AB96" i="25"/>
  <c r="L96" i="25"/>
  <c r="X96" i="25"/>
  <c r="A97" i="25"/>
  <c r="AB103" i="15"/>
  <c r="X103" i="15"/>
  <c r="A104" i="15"/>
  <c r="K103" i="15"/>
  <c r="L103" i="15"/>
  <c r="D103" i="15" s="1"/>
  <c r="A104" i="16"/>
  <c r="L103" i="16"/>
  <c r="D103" i="16" s="1"/>
  <c r="AB103" i="16"/>
  <c r="K103" i="16"/>
  <c r="X103" i="16"/>
  <c r="X100" i="20"/>
  <c r="AB100" i="20"/>
  <c r="L100" i="20"/>
  <c r="K100" i="20"/>
  <c r="A101" i="20"/>
  <c r="A104" i="17"/>
  <c r="X103" i="17"/>
  <c r="L103" i="17"/>
  <c r="D103" i="17" s="1"/>
  <c r="K103" i="17"/>
  <c r="AB103" i="17"/>
  <c r="A98" i="24"/>
  <c r="K97" i="24"/>
  <c r="AB97" i="24"/>
  <c r="L97" i="24"/>
  <c r="X97" i="24"/>
  <c r="A102" i="18"/>
  <c r="L101" i="18"/>
  <c r="AB101" i="18"/>
  <c r="X101" i="18"/>
  <c r="K101" i="18"/>
  <c r="X106" i="1"/>
  <c r="AK106" i="1"/>
  <c r="L106" i="1"/>
  <c r="K106" i="1"/>
  <c r="AB106" i="1"/>
  <c r="AJ106" i="1"/>
  <c r="A107" i="1"/>
  <c r="AB98" i="23"/>
  <c r="K98" i="23"/>
  <c r="A99" i="23"/>
  <c r="L98" i="23"/>
  <c r="X98" i="23"/>
  <c r="AB99" i="22"/>
  <c r="A100" i="22"/>
  <c r="K99" i="22"/>
  <c r="L99" i="22"/>
  <c r="X99" i="22"/>
  <c r="X107" i="1"/>
  <c r="AJ107" i="1"/>
  <c r="AK107" i="1"/>
  <c r="AB107" i="1"/>
  <c r="L107" i="1"/>
  <c r="A108" i="1"/>
  <c r="K107" i="1"/>
  <c r="A103" i="18"/>
  <c r="K102" i="18"/>
  <c r="X102" i="18"/>
  <c r="L102" i="18"/>
  <c r="AB102" i="18"/>
  <c r="K98" i="24"/>
  <c r="X98" i="24"/>
  <c r="A99" i="24"/>
  <c r="L98" i="24"/>
  <c r="AB98" i="24"/>
  <c r="A102" i="20"/>
  <c r="X101" i="20"/>
  <c r="K101" i="20"/>
  <c r="AB101" i="20"/>
  <c r="L101" i="20"/>
  <c r="AB104" i="15"/>
  <c r="A105" i="15"/>
  <c r="X104" i="15"/>
  <c r="K104" i="15"/>
  <c r="L104" i="15"/>
  <c r="D104" i="15" s="1"/>
  <c r="X100" i="22"/>
  <c r="AB100" i="22"/>
  <c r="K100" i="22"/>
  <c r="L100" i="22"/>
  <c r="A101" i="22"/>
  <c r="A100" i="23"/>
  <c r="X99" i="23"/>
  <c r="K99" i="23"/>
  <c r="L99" i="23"/>
  <c r="AB99" i="23"/>
  <c r="A105" i="17"/>
  <c r="L104" i="17"/>
  <c r="D104" i="17" s="1"/>
  <c r="X104" i="17"/>
  <c r="AB104" i="17"/>
  <c r="K104" i="17"/>
  <c r="AB104" i="16"/>
  <c r="K104" i="16"/>
  <c r="L104" i="16"/>
  <c r="D104" i="16" s="1"/>
  <c r="A105" i="16"/>
  <c r="X104" i="16"/>
  <c r="L97" i="25"/>
  <c r="K97" i="25"/>
  <c r="AB97" i="25"/>
  <c r="A98" i="25"/>
  <c r="X97" i="25"/>
  <c r="X100" i="23"/>
  <c r="L100" i="23"/>
  <c r="AB100" i="23"/>
  <c r="K100" i="23"/>
  <c r="A101" i="23"/>
  <c r="L102" i="20"/>
  <c r="A103" i="20"/>
  <c r="X102" i="20"/>
  <c r="AB102" i="20"/>
  <c r="K102" i="20"/>
  <c r="AK108" i="1"/>
  <c r="AB108" i="1"/>
  <c r="K108" i="1"/>
  <c r="X108" i="1"/>
  <c r="L108" i="1"/>
  <c r="A109" i="1"/>
  <c r="AJ108" i="1"/>
  <c r="AB98" i="25"/>
  <c r="L98" i="25"/>
  <c r="X98" i="25"/>
  <c r="K98" i="25"/>
  <c r="A99" i="25"/>
  <c r="X105" i="16"/>
  <c r="L105" i="16"/>
  <c r="D105" i="16" s="1"/>
  <c r="K105" i="16"/>
  <c r="AB105" i="16"/>
  <c r="A106" i="16"/>
  <c r="AB105" i="17"/>
  <c r="A106" i="17"/>
  <c r="L105" i="17"/>
  <c r="K105" i="17"/>
  <c r="X105" i="17"/>
  <c r="K101" i="22"/>
  <c r="A102" i="22"/>
  <c r="X101" i="22"/>
  <c r="L101" i="22"/>
  <c r="AB101" i="22"/>
  <c r="AB105" i="15"/>
  <c r="L105" i="15"/>
  <c r="D105" i="15" s="1"/>
  <c r="K105" i="15"/>
  <c r="A106" i="15"/>
  <c r="X105" i="15"/>
  <c r="AB99" i="24"/>
  <c r="X99" i="24"/>
  <c r="K99" i="24"/>
  <c r="L99" i="24"/>
  <c r="A100" i="24"/>
  <c r="K103" i="18"/>
  <c r="A104" i="18"/>
  <c r="AB103" i="18"/>
  <c r="L103" i="18"/>
  <c r="X103" i="18"/>
  <c r="K104" i="18"/>
  <c r="AB104" i="18"/>
  <c r="A105" i="18"/>
  <c r="X104" i="18"/>
  <c r="L104" i="18"/>
  <c r="A101" i="24"/>
  <c r="X100" i="24"/>
  <c r="AB100" i="24"/>
  <c r="K100" i="24"/>
  <c r="L100" i="24"/>
  <c r="K106" i="15"/>
  <c r="A107" i="15"/>
  <c r="L106" i="15"/>
  <c r="D106" i="15" s="1"/>
  <c r="AB106" i="15"/>
  <c r="X106" i="15"/>
  <c r="X106" i="17"/>
  <c r="AB106" i="17"/>
  <c r="L106" i="17"/>
  <c r="D106" i="17" s="1"/>
  <c r="A107" i="17"/>
  <c r="K106" i="17"/>
  <c r="AB106" i="16"/>
  <c r="A107" i="16"/>
  <c r="L106" i="16"/>
  <c r="K106" i="16"/>
  <c r="X106" i="16"/>
  <c r="A100" i="25"/>
  <c r="X99" i="25"/>
  <c r="K99" i="25"/>
  <c r="AB99" i="25"/>
  <c r="L99" i="25"/>
  <c r="X103" i="20"/>
  <c r="AB103" i="20"/>
  <c r="K103" i="20"/>
  <c r="A104" i="20"/>
  <c r="L103" i="20"/>
  <c r="K101" i="23"/>
  <c r="A102" i="23"/>
  <c r="X101" i="23"/>
  <c r="AB101" i="23"/>
  <c r="L101" i="23"/>
  <c r="X102" i="22"/>
  <c r="AB102" i="22"/>
  <c r="A103" i="22"/>
  <c r="L102" i="22"/>
  <c r="K102" i="22"/>
  <c r="D105" i="17"/>
  <c r="A110" i="1"/>
  <c r="L109" i="1"/>
  <c r="X109" i="1"/>
  <c r="AB109" i="1"/>
  <c r="AJ109" i="1"/>
  <c r="K109" i="1"/>
  <c r="AK109" i="1"/>
  <c r="X102" i="23"/>
  <c r="A103" i="23"/>
  <c r="K102" i="23"/>
  <c r="L102" i="23"/>
  <c r="AB102" i="23"/>
  <c r="D106" i="16"/>
  <c r="AB107" i="17"/>
  <c r="X107" i="17"/>
  <c r="A108" i="17"/>
  <c r="K107" i="17"/>
  <c r="L107" i="17"/>
  <c r="A106" i="18"/>
  <c r="L105" i="18"/>
  <c r="X105" i="18"/>
  <c r="K105" i="18"/>
  <c r="AB105" i="18"/>
  <c r="A111" i="1"/>
  <c r="L110" i="1"/>
  <c r="X110" i="1"/>
  <c r="K110" i="1"/>
  <c r="AJ110" i="1"/>
  <c r="AB110" i="1"/>
  <c r="AK110" i="1"/>
  <c r="AB103" i="22"/>
  <c r="L103" i="22"/>
  <c r="X103" i="22"/>
  <c r="A104" i="22"/>
  <c r="K103" i="22"/>
  <c r="AB104" i="20"/>
  <c r="L104" i="20"/>
  <c r="X104" i="20"/>
  <c r="K104" i="20"/>
  <c r="A105" i="20"/>
  <c r="A101" i="25"/>
  <c r="AB100" i="25"/>
  <c r="X100" i="25"/>
  <c r="L100" i="25"/>
  <c r="K100" i="25"/>
  <c r="AB107" i="16"/>
  <c r="X107" i="16"/>
  <c r="L107" i="16"/>
  <c r="D107" i="16" s="1"/>
  <c r="K107" i="16"/>
  <c r="A108" i="16"/>
  <c r="L107" i="15"/>
  <c r="D107" i="15" s="1"/>
  <c r="K107" i="15"/>
  <c r="X107" i="15"/>
  <c r="A108" i="15"/>
  <c r="AB107" i="15"/>
  <c r="X101" i="24"/>
  <c r="A102" i="24"/>
  <c r="L101" i="24"/>
  <c r="AB101" i="24"/>
  <c r="K101" i="24"/>
  <c r="K108" i="15"/>
  <c r="AB108" i="15"/>
  <c r="L108" i="15"/>
  <c r="D108" i="15" s="1"/>
  <c r="A109" i="15"/>
  <c r="X108" i="15"/>
  <c r="AB101" i="25"/>
  <c r="K101" i="25"/>
  <c r="L101" i="25"/>
  <c r="A102" i="25"/>
  <c r="X101" i="25"/>
  <c r="A112" i="1"/>
  <c r="L111" i="1"/>
  <c r="K111" i="1"/>
  <c r="X111" i="1"/>
  <c r="AJ111" i="1"/>
  <c r="AB111" i="1"/>
  <c r="AK111" i="1"/>
  <c r="D107" i="17"/>
  <c r="L108" i="17"/>
  <c r="D108" i="17" s="1"/>
  <c r="A109" i="17"/>
  <c r="X108" i="17"/>
  <c r="K108" i="17"/>
  <c r="AB108" i="17"/>
  <c r="L102" i="24"/>
  <c r="K102" i="24"/>
  <c r="AB102" i="24"/>
  <c r="A103" i="24"/>
  <c r="X102" i="24"/>
  <c r="A109" i="16"/>
  <c r="L108" i="16"/>
  <c r="D108" i="16" s="1"/>
  <c r="AB108" i="16"/>
  <c r="K108" i="16"/>
  <c r="X108" i="16"/>
  <c r="AB105" i="20"/>
  <c r="X105" i="20"/>
  <c r="A106" i="20"/>
  <c r="K105" i="20"/>
  <c r="L105" i="20"/>
  <c r="X104" i="22"/>
  <c r="AB104" i="22"/>
  <c r="A105" i="22"/>
  <c r="K104" i="22"/>
  <c r="L104" i="22"/>
  <c r="X106" i="18"/>
  <c r="A107" i="18"/>
  <c r="K106" i="18"/>
  <c r="AB106" i="18"/>
  <c r="L106" i="18"/>
  <c r="K103" i="23"/>
  <c r="X103" i="23"/>
  <c r="L103" i="23"/>
  <c r="A104" i="23"/>
  <c r="AB103" i="23"/>
  <c r="L107" i="18"/>
  <c r="AB107" i="18"/>
  <c r="X107" i="18"/>
  <c r="A108" i="18"/>
  <c r="K107" i="18"/>
  <c r="K105" i="22"/>
  <c r="X105" i="22"/>
  <c r="A106" i="22"/>
  <c r="L105" i="22"/>
  <c r="AB105" i="22"/>
  <c r="X106" i="20"/>
  <c r="L106" i="20"/>
  <c r="K106" i="20"/>
  <c r="AB106" i="20"/>
  <c r="A107" i="20"/>
  <c r="X109" i="16"/>
  <c r="A110" i="16"/>
  <c r="AB109" i="16"/>
  <c r="L109" i="16"/>
  <c r="D109" i="16" s="1"/>
  <c r="K109" i="16"/>
  <c r="AB103" i="24"/>
  <c r="X103" i="24"/>
  <c r="L103" i="24"/>
  <c r="A104" i="24"/>
  <c r="K103" i="24"/>
  <c r="L109" i="17"/>
  <c r="D109" i="17" s="1"/>
  <c r="X109" i="17"/>
  <c r="K109" i="17"/>
  <c r="AB109" i="17"/>
  <c r="A110" i="17"/>
  <c r="K104" i="23"/>
  <c r="A105" i="23"/>
  <c r="X104" i="23"/>
  <c r="AB104" i="23"/>
  <c r="L104" i="23"/>
  <c r="L112" i="1"/>
  <c r="AK112" i="1"/>
  <c r="X112" i="1"/>
  <c r="A113" i="1"/>
  <c r="AJ112" i="1"/>
  <c r="K112" i="1"/>
  <c r="AB112" i="1"/>
  <c r="L102" i="25"/>
  <c r="K102" i="25"/>
  <c r="A103" i="25"/>
  <c r="X102" i="25"/>
  <c r="AB102" i="25"/>
  <c r="X109" i="15"/>
  <c r="A110" i="15"/>
  <c r="L109" i="15"/>
  <c r="D109" i="15" s="1"/>
  <c r="AB109" i="15"/>
  <c r="K109" i="15"/>
  <c r="K113" i="1"/>
  <c r="AJ113" i="1"/>
  <c r="AK113" i="1"/>
  <c r="A114" i="1"/>
  <c r="AB113" i="1"/>
  <c r="L113" i="1"/>
  <c r="X113" i="1"/>
  <c r="K105" i="23"/>
  <c r="X105" i="23"/>
  <c r="AB105" i="23"/>
  <c r="A106" i="23"/>
  <c r="L105" i="23"/>
  <c r="AB108" i="18"/>
  <c r="L108" i="18"/>
  <c r="A109" i="18"/>
  <c r="X108" i="18"/>
  <c r="K108" i="18"/>
  <c r="X110" i="15"/>
  <c r="A111" i="15"/>
  <c r="AB110" i="15"/>
  <c r="K110" i="15"/>
  <c r="L110" i="15"/>
  <c r="D110" i="15" s="1"/>
  <c r="K103" i="25"/>
  <c r="X103" i="25"/>
  <c r="AB103" i="25"/>
  <c r="A104" i="25"/>
  <c r="L103" i="25"/>
  <c r="A111" i="17"/>
  <c r="AB110" i="17"/>
  <c r="K110" i="17"/>
  <c r="L110" i="17"/>
  <c r="D110" i="17" s="1"/>
  <c r="X110" i="17"/>
  <c r="K104" i="24"/>
  <c r="X104" i="24"/>
  <c r="AB104" i="24"/>
  <c r="A105" i="24"/>
  <c r="L104" i="24"/>
  <c r="X110" i="16"/>
  <c r="L110" i="16"/>
  <c r="AB110" i="16"/>
  <c r="K110" i="16"/>
  <c r="A111" i="16"/>
  <c r="L107" i="20"/>
  <c r="A108" i="20"/>
  <c r="K107" i="20"/>
  <c r="AB107" i="20"/>
  <c r="X107" i="20"/>
  <c r="AB106" i="22"/>
  <c r="A107" i="22"/>
  <c r="X106" i="22"/>
  <c r="L106" i="22"/>
  <c r="K106" i="22"/>
  <c r="D110" i="16"/>
  <c r="K111" i="15"/>
  <c r="A112" i="15"/>
  <c r="AB111" i="15"/>
  <c r="L111" i="15"/>
  <c r="D111" i="15" s="1"/>
  <c r="X111" i="15"/>
  <c r="X109" i="18"/>
  <c r="A110" i="18"/>
  <c r="AB109" i="18"/>
  <c r="L109" i="18"/>
  <c r="K109" i="18"/>
  <c r="L106" i="23"/>
  <c r="X106" i="23"/>
  <c r="AB106" i="23"/>
  <c r="K106" i="23"/>
  <c r="A107" i="23"/>
  <c r="A115" i="1"/>
  <c r="K114" i="1"/>
  <c r="AB114" i="1"/>
  <c r="X114" i="1"/>
  <c r="AJ114" i="1"/>
  <c r="L114" i="1"/>
  <c r="AK114" i="1"/>
  <c r="A108" i="22"/>
  <c r="K107" i="22"/>
  <c r="X107" i="22"/>
  <c r="AB107" i="22"/>
  <c r="L107" i="22"/>
  <c r="AB108" i="20"/>
  <c r="L108" i="20"/>
  <c r="X108" i="20"/>
  <c r="K108" i="20"/>
  <c r="A109" i="20"/>
  <c r="AB111" i="16"/>
  <c r="K111" i="16"/>
  <c r="A112" i="16"/>
  <c r="X111" i="16"/>
  <c r="L111" i="16"/>
  <c r="D111" i="16" s="1"/>
  <c r="X105" i="24"/>
  <c r="A106" i="24"/>
  <c r="K105" i="24"/>
  <c r="L105" i="24"/>
  <c r="AB105" i="24"/>
  <c r="L111" i="17"/>
  <c r="AB111" i="17"/>
  <c r="A112" i="17"/>
  <c r="K111" i="17"/>
  <c r="X111" i="17"/>
  <c r="AB104" i="25"/>
  <c r="K104" i="25"/>
  <c r="L104" i="25"/>
  <c r="A105" i="25"/>
  <c r="X104" i="25"/>
  <c r="D111" i="17"/>
  <c r="L112" i="16"/>
  <c r="D112" i="16" s="1"/>
  <c r="K112" i="16"/>
  <c r="AB112" i="16"/>
  <c r="X112" i="16"/>
  <c r="A113" i="16"/>
  <c r="K112" i="15"/>
  <c r="AB112" i="15"/>
  <c r="L112" i="15"/>
  <c r="X112" i="15"/>
  <c r="A113" i="15"/>
  <c r="X105" i="25"/>
  <c r="K105" i="25"/>
  <c r="AB105" i="25"/>
  <c r="A106" i="25"/>
  <c r="L105" i="25"/>
  <c r="AB109" i="20"/>
  <c r="A110" i="20"/>
  <c r="K109" i="20"/>
  <c r="L109" i="20"/>
  <c r="X109" i="20"/>
  <c r="X108" i="22"/>
  <c r="AB108" i="22"/>
  <c r="K108" i="22"/>
  <c r="L108" i="22"/>
  <c r="A109" i="22"/>
  <c r="A116" i="1"/>
  <c r="K115" i="1"/>
  <c r="AK115" i="1"/>
  <c r="AB115" i="1"/>
  <c r="X115" i="1"/>
  <c r="AJ115" i="1"/>
  <c r="L115" i="1"/>
  <c r="A108" i="23"/>
  <c r="L107" i="23"/>
  <c r="K107" i="23"/>
  <c r="X107" i="23"/>
  <c r="AB107" i="23"/>
  <c r="A111" i="18"/>
  <c r="X110" i="18"/>
  <c r="L110" i="18"/>
  <c r="AB110" i="18"/>
  <c r="K110" i="18"/>
  <c r="X112" i="17"/>
  <c r="K112" i="17"/>
  <c r="L112" i="17"/>
  <c r="AB112" i="17"/>
  <c r="A113" i="17"/>
  <c r="AB106" i="24"/>
  <c r="K106" i="24"/>
  <c r="X106" i="24"/>
  <c r="L106" i="24"/>
  <c r="A107" i="24"/>
  <c r="A108" i="24"/>
  <c r="AB107" i="24"/>
  <c r="L107" i="24"/>
  <c r="K107" i="24"/>
  <c r="X107" i="24"/>
  <c r="AB113" i="17"/>
  <c r="X113" i="17"/>
  <c r="A114" i="17"/>
  <c r="K113" i="17"/>
  <c r="L113" i="17"/>
  <c r="D113" i="17" s="1"/>
  <c r="K111" i="18"/>
  <c r="AB111" i="18"/>
  <c r="X111" i="18"/>
  <c r="A112" i="18"/>
  <c r="L111" i="18"/>
  <c r="A117" i="1"/>
  <c r="K116" i="1"/>
  <c r="AB116" i="1"/>
  <c r="X116" i="1"/>
  <c r="AK116" i="1"/>
  <c r="L116" i="1"/>
  <c r="AJ116" i="1"/>
  <c r="A110" i="22"/>
  <c r="X109" i="22"/>
  <c r="L109" i="22"/>
  <c r="AB109" i="22"/>
  <c r="K109" i="22"/>
  <c r="A111" i="20"/>
  <c r="AB110" i="20"/>
  <c r="K110" i="20"/>
  <c r="L110" i="20"/>
  <c r="X110" i="20"/>
  <c r="A114" i="15"/>
  <c r="AB113" i="15"/>
  <c r="X113" i="15"/>
  <c r="K113" i="15"/>
  <c r="L113" i="15"/>
  <c r="D113" i="15" s="1"/>
  <c r="D112" i="15"/>
  <c r="D112" i="17"/>
  <c r="AB108" i="23"/>
  <c r="X108" i="23"/>
  <c r="L108" i="23"/>
  <c r="K108" i="23"/>
  <c r="A109" i="23"/>
  <c r="AB106" i="25"/>
  <c r="L106" i="25"/>
  <c r="A107" i="25"/>
  <c r="K106" i="25"/>
  <c r="X106" i="25"/>
  <c r="AB113" i="16"/>
  <c r="L113" i="16"/>
  <c r="D113" i="16" s="1"/>
  <c r="X113" i="16"/>
  <c r="A114" i="16"/>
  <c r="K113" i="16"/>
  <c r="A115" i="16"/>
  <c r="AB114" i="16"/>
  <c r="X114" i="16"/>
  <c r="L114" i="16"/>
  <c r="D114" i="16" s="1"/>
  <c r="K114" i="16"/>
  <c r="K107" i="25"/>
  <c r="L107" i="25"/>
  <c r="X107" i="25"/>
  <c r="A108" i="25"/>
  <c r="AB107" i="25"/>
  <c r="X109" i="23"/>
  <c r="L109" i="23"/>
  <c r="K109" i="23"/>
  <c r="AB109" i="23"/>
  <c r="A110" i="23"/>
  <c r="AB110" i="22"/>
  <c r="L110" i="22"/>
  <c r="A111" i="22"/>
  <c r="X110" i="22"/>
  <c r="K110" i="22"/>
  <c r="AB114" i="17"/>
  <c r="L114" i="17"/>
  <c r="D114" i="17" s="1"/>
  <c r="A115" i="17"/>
  <c r="X114" i="17"/>
  <c r="K114" i="17"/>
  <c r="L114" i="15"/>
  <c r="X114" i="15"/>
  <c r="K114" i="15"/>
  <c r="AB114" i="15"/>
  <c r="A115" i="15"/>
  <c r="L111" i="20"/>
  <c r="A112" i="20"/>
  <c r="K111" i="20"/>
  <c r="AB111" i="20"/>
  <c r="X111" i="20"/>
  <c r="AK117" i="1"/>
  <c r="AJ117" i="1"/>
  <c r="K117" i="1"/>
  <c r="X117" i="1"/>
  <c r="L117" i="1"/>
  <c r="AB117" i="1"/>
  <c r="A118" i="1"/>
  <c r="K112" i="18"/>
  <c r="AB112" i="18"/>
  <c r="A113" i="18"/>
  <c r="L112" i="18"/>
  <c r="X112" i="18"/>
  <c r="L108" i="24"/>
  <c r="AB108" i="24"/>
  <c r="K108" i="24"/>
  <c r="X108" i="24"/>
  <c r="A109" i="24"/>
  <c r="A114" i="18"/>
  <c r="K113" i="18"/>
  <c r="AB113" i="18"/>
  <c r="X113" i="18"/>
  <c r="L113" i="18"/>
  <c r="A112" i="22"/>
  <c r="X111" i="22"/>
  <c r="L111" i="22"/>
  <c r="K111" i="22"/>
  <c r="AB111" i="22"/>
  <c r="L110" i="23"/>
  <c r="A111" i="23"/>
  <c r="AB110" i="23"/>
  <c r="K110" i="23"/>
  <c r="X110" i="23"/>
  <c r="AB108" i="25"/>
  <c r="X108" i="25"/>
  <c r="L108" i="25"/>
  <c r="A109" i="25"/>
  <c r="K108" i="25"/>
  <c r="L115" i="16"/>
  <c r="D115" i="16" s="1"/>
  <c r="A116" i="16"/>
  <c r="X115" i="16"/>
  <c r="K115" i="16"/>
  <c r="AB115" i="16"/>
  <c r="K109" i="24"/>
  <c r="AB109" i="24"/>
  <c r="A110" i="24"/>
  <c r="X109" i="24"/>
  <c r="L109" i="24"/>
  <c r="AK118" i="1"/>
  <c r="AB118" i="1"/>
  <c r="K118" i="1"/>
  <c r="AJ118" i="1"/>
  <c r="X118" i="1"/>
  <c r="A119" i="1"/>
  <c r="L118" i="1"/>
  <c r="L112" i="20"/>
  <c r="AB112" i="20"/>
  <c r="A113" i="20"/>
  <c r="X112" i="20"/>
  <c r="K112" i="20"/>
  <c r="A116" i="15"/>
  <c r="X115" i="15"/>
  <c r="L115" i="15"/>
  <c r="D115" i="15" s="1"/>
  <c r="K115" i="15"/>
  <c r="AB115" i="15"/>
  <c r="D114" i="15"/>
  <c r="A116" i="17"/>
  <c r="AB115" i="17"/>
  <c r="X115" i="17"/>
  <c r="K115" i="17"/>
  <c r="L115" i="17"/>
  <c r="D115" i="17" s="1"/>
  <c r="L116" i="17"/>
  <c r="D116" i="17" s="1"/>
  <c r="K116" i="17"/>
  <c r="AB116" i="17"/>
  <c r="X116" i="17"/>
  <c r="A117" i="17"/>
  <c r="X116" i="15"/>
  <c r="A117" i="15"/>
  <c r="AB116" i="15"/>
  <c r="K116" i="15"/>
  <c r="L116" i="15"/>
  <c r="D116" i="15" s="1"/>
  <c r="A120" i="1"/>
  <c r="K119" i="1"/>
  <c r="X119" i="1"/>
  <c r="AB119" i="1"/>
  <c r="A23" i="7"/>
  <c r="L119" i="1"/>
  <c r="B23" i="7" s="1"/>
  <c r="AK119" i="1"/>
  <c r="AJ119" i="1"/>
  <c r="K110" i="24"/>
  <c r="A111" i="24"/>
  <c r="X110" i="24"/>
  <c r="AB110" i="24"/>
  <c r="L110" i="24"/>
  <c r="AB116" i="16"/>
  <c r="X116" i="16"/>
  <c r="L116" i="16"/>
  <c r="D116" i="16" s="1"/>
  <c r="A117" i="16"/>
  <c r="K116" i="16"/>
  <c r="A110" i="25"/>
  <c r="AB109" i="25"/>
  <c r="K109" i="25"/>
  <c r="L109" i="25"/>
  <c r="X109" i="25"/>
  <c r="AB113" i="20"/>
  <c r="X113" i="20"/>
  <c r="L113" i="20"/>
  <c r="K113" i="20"/>
  <c r="A114" i="20"/>
  <c r="K111" i="23"/>
  <c r="X111" i="23"/>
  <c r="L111" i="23"/>
  <c r="A112" i="23"/>
  <c r="AB111" i="23"/>
  <c r="K112" i="22"/>
  <c r="AB112" i="22"/>
  <c r="X112" i="22"/>
  <c r="A113" i="22"/>
  <c r="L112" i="22"/>
  <c r="K114" i="18"/>
  <c r="X114" i="18"/>
  <c r="AB114" i="18"/>
  <c r="L114" i="18"/>
  <c r="A115" i="18"/>
  <c r="L115" i="18"/>
  <c r="K115" i="18"/>
  <c r="X115" i="18"/>
  <c r="A116" i="18"/>
  <c r="AB115" i="18"/>
  <c r="A115" i="20"/>
  <c r="K114" i="20"/>
  <c r="X114" i="20"/>
  <c r="AB114" i="20"/>
  <c r="L114" i="20"/>
  <c r="A111" i="25"/>
  <c r="AB110" i="25"/>
  <c r="L110" i="25"/>
  <c r="X110" i="25"/>
  <c r="K110" i="25"/>
  <c r="X117" i="16"/>
  <c r="AB117" i="16"/>
  <c r="L117" i="16"/>
  <c r="D117" i="16" s="1"/>
  <c r="K117" i="16"/>
  <c r="A118" i="16"/>
  <c r="AB117" i="17"/>
  <c r="X117" i="17"/>
  <c r="L117" i="17"/>
  <c r="D117" i="17" s="1"/>
  <c r="K117" i="17"/>
  <c r="A118" i="17"/>
  <c r="L113" i="22"/>
  <c r="K113" i="22"/>
  <c r="A114" i="22"/>
  <c r="AB113" i="22"/>
  <c r="X113" i="22"/>
  <c r="K112" i="23"/>
  <c r="AB112" i="23"/>
  <c r="A113" i="23"/>
  <c r="X112" i="23"/>
  <c r="L112" i="23"/>
  <c r="L111" i="24"/>
  <c r="A112" i="24"/>
  <c r="X111" i="24"/>
  <c r="AB111" i="24"/>
  <c r="K111" i="24"/>
  <c r="A121" i="1"/>
  <c r="X120" i="1"/>
  <c r="AJ120" i="1"/>
  <c r="AB120" i="1"/>
  <c r="K120" i="1"/>
  <c r="L120" i="1"/>
  <c r="AK120" i="1"/>
  <c r="A118" i="15"/>
  <c r="K117" i="15"/>
  <c r="AB117" i="15"/>
  <c r="L117" i="15"/>
  <c r="D117" i="15" s="1"/>
  <c r="X117" i="15"/>
  <c r="A119" i="15"/>
  <c r="X118" i="15"/>
  <c r="AB118" i="15"/>
  <c r="K118" i="15"/>
  <c r="L118" i="15"/>
  <c r="D118" i="15" s="1"/>
  <c r="K114" i="22"/>
  <c r="L114" i="22"/>
  <c r="X114" i="22"/>
  <c r="AB114" i="22"/>
  <c r="A115" i="22"/>
  <c r="X118" i="17"/>
  <c r="A119" i="17"/>
  <c r="AB118" i="17"/>
  <c r="L118" i="17"/>
  <c r="D118" i="17" s="1"/>
  <c r="K118" i="17"/>
  <c r="AB118" i="16"/>
  <c r="L118" i="16"/>
  <c r="D118" i="16" s="1"/>
  <c r="A119" i="16"/>
  <c r="X118" i="16"/>
  <c r="K118" i="16"/>
  <c r="A117" i="18"/>
  <c r="AB116" i="18"/>
  <c r="K116" i="18"/>
  <c r="L116" i="18"/>
  <c r="X116" i="18"/>
  <c r="L121" i="1"/>
  <c r="AK121" i="1"/>
  <c r="AB121" i="1"/>
  <c r="A122" i="1"/>
  <c r="AJ121" i="1"/>
  <c r="K121" i="1"/>
  <c r="X121" i="1"/>
  <c r="L112" i="24"/>
  <c r="A113" i="24"/>
  <c r="K112" i="24"/>
  <c r="X112" i="24"/>
  <c r="AB112" i="24"/>
  <c r="AB113" i="23"/>
  <c r="A114" i="23"/>
  <c r="K113" i="23"/>
  <c r="L113" i="23"/>
  <c r="X113" i="23"/>
  <c r="K111" i="25"/>
  <c r="X111" i="25"/>
  <c r="AB111" i="25"/>
  <c r="L111" i="25"/>
  <c r="A112" i="25"/>
  <c r="K115" i="20"/>
  <c r="X115" i="20"/>
  <c r="AB115" i="20"/>
  <c r="A116" i="20"/>
  <c r="L115" i="20"/>
  <c r="AB116" i="20"/>
  <c r="L116" i="20"/>
  <c r="K116" i="20"/>
  <c r="X116" i="20"/>
  <c r="A117" i="20"/>
  <c r="AB114" i="23"/>
  <c r="X114" i="23"/>
  <c r="A115" i="23"/>
  <c r="K114" i="23"/>
  <c r="L114" i="23"/>
  <c r="A114" i="24"/>
  <c r="K113" i="24"/>
  <c r="X113" i="24"/>
  <c r="L113" i="24"/>
  <c r="AB113" i="24"/>
  <c r="AB117" i="18"/>
  <c r="X117" i="18"/>
  <c r="L117" i="18"/>
  <c r="K117" i="18"/>
  <c r="A118" i="18"/>
  <c r="X119" i="17"/>
  <c r="A120" i="17"/>
  <c r="AB119" i="17"/>
  <c r="K119" i="17"/>
  <c r="A59" i="7"/>
  <c r="L119" i="17"/>
  <c r="D119" i="17" s="1"/>
  <c r="A116" i="22"/>
  <c r="K115" i="22"/>
  <c r="AB115" i="22"/>
  <c r="L115" i="22"/>
  <c r="X115" i="22"/>
  <c r="K112" i="25"/>
  <c r="X112" i="25"/>
  <c r="A113" i="25"/>
  <c r="AB112" i="25"/>
  <c r="L112" i="25"/>
  <c r="A123" i="1"/>
  <c r="AB122" i="1"/>
  <c r="X122" i="1"/>
  <c r="AJ122" i="1"/>
  <c r="L122" i="1"/>
  <c r="K122" i="1"/>
  <c r="AK122" i="1"/>
  <c r="X119" i="16"/>
  <c r="K119" i="16"/>
  <c r="AB119" i="16"/>
  <c r="A120" i="16"/>
  <c r="A47" i="7"/>
  <c r="L119" i="16"/>
  <c r="B47" i="7" s="1"/>
  <c r="K119" i="15"/>
  <c r="L119" i="15"/>
  <c r="AB119" i="15"/>
  <c r="A35" i="7"/>
  <c r="A120" i="15"/>
  <c r="X119" i="15"/>
  <c r="AB120" i="16"/>
  <c r="K120" i="16"/>
  <c r="L120" i="16"/>
  <c r="D120" i="16" s="1"/>
  <c r="A121" i="16"/>
  <c r="X120" i="16"/>
  <c r="A124" i="1"/>
  <c r="AJ123" i="1"/>
  <c r="L123" i="1"/>
  <c r="K123" i="1"/>
  <c r="AK123" i="1"/>
  <c r="X123" i="1"/>
  <c r="AB123" i="1"/>
  <c r="L116" i="22"/>
  <c r="A117" i="22"/>
  <c r="K116" i="22"/>
  <c r="AB116" i="22"/>
  <c r="X116" i="22"/>
  <c r="B59" i="7"/>
  <c r="X114" i="24"/>
  <c r="A115" i="24"/>
  <c r="L114" i="24"/>
  <c r="AB114" i="24"/>
  <c r="K114" i="24"/>
  <c r="A121" i="15"/>
  <c r="AB120" i="15"/>
  <c r="K120" i="15"/>
  <c r="L120" i="15"/>
  <c r="D120" i="15" s="1"/>
  <c r="X120" i="15"/>
  <c r="L113" i="25"/>
  <c r="AB113" i="25"/>
  <c r="A114" i="25"/>
  <c r="K113" i="25"/>
  <c r="X113" i="25"/>
  <c r="L120" i="17"/>
  <c r="D120" i="17" s="1"/>
  <c r="X120" i="17"/>
  <c r="K120" i="17"/>
  <c r="AB120" i="17"/>
  <c r="A121" i="17"/>
  <c r="K118" i="18"/>
  <c r="A119" i="18"/>
  <c r="AB118" i="18"/>
  <c r="L118" i="18"/>
  <c r="X118" i="18"/>
  <c r="X115" i="23"/>
  <c r="L115" i="23"/>
  <c r="K115" i="23"/>
  <c r="AB115" i="23"/>
  <c r="A116" i="23"/>
  <c r="X117" i="20"/>
  <c r="K117" i="20"/>
  <c r="L117" i="20"/>
  <c r="AB117" i="20"/>
  <c r="A118" i="20"/>
  <c r="A119" i="20"/>
  <c r="AB118" i="20"/>
  <c r="L118" i="20"/>
  <c r="K118" i="20"/>
  <c r="X118" i="20"/>
  <c r="AB116" i="23"/>
  <c r="A117" i="23"/>
  <c r="L116" i="23"/>
  <c r="K116" i="23"/>
  <c r="X116" i="23"/>
  <c r="L119" i="18"/>
  <c r="B71" i="7" s="1"/>
  <c r="A71" i="7"/>
  <c r="A120" i="18"/>
  <c r="K119" i="18"/>
  <c r="X119" i="18"/>
  <c r="AB119" i="18"/>
  <c r="X121" i="17"/>
  <c r="L121" i="17"/>
  <c r="D121" i="17" s="1"/>
  <c r="A122" i="17"/>
  <c r="K121" i="17"/>
  <c r="AB121" i="17"/>
  <c r="AB114" i="25"/>
  <c r="L114" i="25"/>
  <c r="X114" i="25"/>
  <c r="K114" i="25"/>
  <c r="A115" i="25"/>
  <c r="K121" i="15"/>
  <c r="AB121" i="15"/>
  <c r="A122" i="15"/>
  <c r="X121" i="15"/>
  <c r="L121" i="15"/>
  <c r="D121" i="15" s="1"/>
  <c r="AB115" i="24"/>
  <c r="L115" i="24"/>
  <c r="X115" i="24"/>
  <c r="K115" i="24"/>
  <c r="A116" i="24"/>
  <c r="K117" i="22"/>
  <c r="A118" i="22"/>
  <c r="AB117" i="22"/>
  <c r="L117" i="22"/>
  <c r="X117" i="22"/>
  <c r="A125" i="1"/>
  <c r="X124" i="1"/>
  <c r="L124" i="1"/>
  <c r="AB124" i="1"/>
  <c r="AK124" i="1"/>
  <c r="K124" i="1"/>
  <c r="AJ124" i="1"/>
  <c r="A122" i="16"/>
  <c r="AB121" i="16"/>
  <c r="K121" i="16"/>
  <c r="X121" i="16"/>
  <c r="L121" i="16"/>
  <c r="D121" i="16" s="1"/>
  <c r="X122" i="16"/>
  <c r="K122" i="16"/>
  <c r="AB122" i="16"/>
  <c r="A123" i="16"/>
  <c r="L122" i="16"/>
  <c r="D122" i="16" s="1"/>
  <c r="X125" i="1"/>
  <c r="AJ125" i="1"/>
  <c r="AB125" i="1"/>
  <c r="AK125" i="1"/>
  <c r="K125" i="1"/>
  <c r="L125" i="1"/>
  <c r="A126" i="1"/>
  <c r="A117" i="24"/>
  <c r="L116" i="24"/>
  <c r="X116" i="24"/>
  <c r="AB116" i="24"/>
  <c r="K116" i="24"/>
  <c r="AB122" i="17"/>
  <c r="X122" i="17"/>
  <c r="K122" i="17"/>
  <c r="A123" i="17"/>
  <c r="L122" i="17"/>
  <c r="D122" i="17" s="1"/>
  <c r="L120" i="18"/>
  <c r="A121" i="18"/>
  <c r="AB120" i="18"/>
  <c r="X120" i="18"/>
  <c r="K120" i="18"/>
  <c r="X118" i="22"/>
  <c r="L118" i="22"/>
  <c r="K118" i="22"/>
  <c r="A119" i="22"/>
  <c r="AB118" i="22"/>
  <c r="A123" i="15"/>
  <c r="X122" i="15"/>
  <c r="K122" i="15"/>
  <c r="L122" i="15"/>
  <c r="AB122" i="15"/>
  <c r="L115" i="25"/>
  <c r="AB115" i="25"/>
  <c r="K115" i="25"/>
  <c r="X115" i="25"/>
  <c r="A116" i="25"/>
  <c r="K117" i="23"/>
  <c r="L117" i="23"/>
  <c r="A118" i="23"/>
  <c r="AB117" i="23"/>
  <c r="X117" i="23"/>
  <c r="A120" i="20"/>
  <c r="AB119" i="20"/>
  <c r="L119" i="20"/>
  <c r="AE23" i="7"/>
  <c r="X119" i="20"/>
  <c r="K119" i="20"/>
  <c r="AB123" i="15"/>
  <c r="A124" i="15"/>
  <c r="L123" i="15"/>
  <c r="K123" i="15"/>
  <c r="X123" i="15"/>
  <c r="X119" i="22"/>
  <c r="AE35" i="7"/>
  <c r="A120" i="22"/>
  <c r="AB119" i="22"/>
  <c r="K119" i="22"/>
  <c r="L119" i="22"/>
  <c r="AF35" i="7" s="1"/>
  <c r="K123" i="17"/>
  <c r="A124" i="17"/>
  <c r="L123" i="17"/>
  <c r="D123" i="17" s="1"/>
  <c r="AB123" i="17"/>
  <c r="X123" i="17"/>
  <c r="AB126" i="1"/>
  <c r="X126" i="1"/>
  <c r="AK126" i="1"/>
  <c r="A127" i="1"/>
  <c r="AJ126" i="1"/>
  <c r="L126" i="1"/>
  <c r="K126" i="1"/>
  <c r="A124" i="16"/>
  <c r="L123" i="16"/>
  <c r="AB123" i="16"/>
  <c r="X123" i="16"/>
  <c r="K123" i="16"/>
  <c r="AF23" i="7"/>
  <c r="K120" i="20"/>
  <c r="A121" i="20"/>
  <c r="AB120" i="20"/>
  <c r="L120" i="20"/>
  <c r="X120" i="20"/>
  <c r="K118" i="23"/>
  <c r="X118" i="23"/>
  <c r="L118" i="23"/>
  <c r="A119" i="23"/>
  <c r="AB118" i="23"/>
  <c r="A117" i="25"/>
  <c r="X116" i="25"/>
  <c r="L116" i="25"/>
  <c r="AB116" i="25"/>
  <c r="K116" i="25"/>
  <c r="D122" i="15"/>
  <c r="A122" i="18"/>
  <c r="K121" i="18"/>
  <c r="AB121" i="18"/>
  <c r="L121" i="18"/>
  <c r="X121" i="18"/>
  <c r="AB117" i="24"/>
  <c r="X117" i="24"/>
  <c r="A118" i="24"/>
  <c r="K117" i="24"/>
  <c r="L117" i="24"/>
  <c r="K118" i="24"/>
  <c r="L118" i="24"/>
  <c r="X118" i="24"/>
  <c r="A119" i="24"/>
  <c r="AB118" i="24"/>
  <c r="L119" i="23"/>
  <c r="AF47" i="7" s="1"/>
  <c r="A120" i="23"/>
  <c r="AB119" i="23"/>
  <c r="X119" i="23"/>
  <c r="AE47" i="7"/>
  <c r="K119" i="23"/>
  <c r="D123" i="16"/>
  <c r="AB120" i="22"/>
  <c r="A121" i="22"/>
  <c r="L120" i="22"/>
  <c r="K120" i="22"/>
  <c r="X120" i="22"/>
  <c r="D123" i="15"/>
  <c r="A123" i="18"/>
  <c r="L122" i="18"/>
  <c r="K122" i="18"/>
  <c r="AB122" i="18"/>
  <c r="X122" i="18"/>
  <c r="A118" i="25"/>
  <c r="X117" i="25"/>
  <c r="AB117" i="25"/>
  <c r="L117" i="25"/>
  <c r="K117" i="25"/>
  <c r="X121" i="20"/>
  <c r="K121" i="20"/>
  <c r="L121" i="20"/>
  <c r="AB121" i="20"/>
  <c r="A122" i="20"/>
  <c r="L124" i="16"/>
  <c r="D124" i="16" s="1"/>
  <c r="K124" i="16"/>
  <c r="X124" i="16"/>
  <c r="AB124" i="16"/>
  <c r="A125" i="16"/>
  <c r="A128" i="1"/>
  <c r="AK127" i="1"/>
  <c r="AJ127" i="1"/>
  <c r="AB127" i="1"/>
  <c r="X127" i="1"/>
  <c r="L127" i="1"/>
  <c r="K127" i="1"/>
  <c r="L124" i="17"/>
  <c r="D124" i="17" s="1"/>
  <c r="X124" i="17"/>
  <c r="K124" i="17"/>
  <c r="AB124" i="17"/>
  <c r="A125" i="17"/>
  <c r="X124" i="15"/>
  <c r="K124" i="15"/>
  <c r="L124" i="15"/>
  <c r="D124" i="15" s="1"/>
  <c r="A125" i="15"/>
  <c r="AB124" i="15"/>
  <c r="A126" i="16"/>
  <c r="AB125" i="16"/>
  <c r="L125" i="16"/>
  <c r="D125" i="16" s="1"/>
  <c r="K125" i="16"/>
  <c r="X125" i="16"/>
  <c r="AB118" i="25"/>
  <c r="L118" i="25"/>
  <c r="K118" i="25"/>
  <c r="X118" i="25"/>
  <c r="A119" i="25"/>
  <c r="AE59" i="7"/>
  <c r="K119" i="24"/>
  <c r="X119" i="24"/>
  <c r="AB119" i="24"/>
  <c r="L119" i="24"/>
  <c r="AF59" i="7" s="1"/>
  <c r="A120" i="24"/>
  <c r="AB125" i="17"/>
  <c r="K125" i="17"/>
  <c r="A126" i="17"/>
  <c r="X125" i="17"/>
  <c r="L125" i="17"/>
  <c r="D125" i="17" s="1"/>
  <c r="AB125" i="15"/>
  <c r="A126" i="15"/>
  <c r="L125" i="15"/>
  <c r="D125" i="15" s="1"/>
  <c r="K125" i="15"/>
  <c r="X125" i="15"/>
  <c r="AK128" i="1"/>
  <c r="AJ128" i="1"/>
  <c r="K128" i="1"/>
  <c r="A129" i="1"/>
  <c r="L128" i="1"/>
  <c r="AB128" i="1"/>
  <c r="X128" i="1"/>
  <c r="L122" i="20"/>
  <c r="K122" i="20"/>
  <c r="AB122" i="20"/>
  <c r="X122" i="20"/>
  <c r="A123" i="20"/>
  <c r="L123" i="18"/>
  <c r="AB123" i="18"/>
  <c r="K123" i="18"/>
  <c r="A124" i="18"/>
  <c r="X123" i="18"/>
  <c r="K121" i="22"/>
  <c r="A122" i="22"/>
  <c r="X121" i="22"/>
  <c r="AB121" i="22"/>
  <c r="L121" i="22"/>
  <c r="X120" i="23"/>
  <c r="L120" i="23"/>
  <c r="A121" i="23"/>
  <c r="K120" i="23"/>
  <c r="AB120" i="23"/>
  <c r="AB121" i="23"/>
  <c r="K121" i="23"/>
  <c r="X121" i="23"/>
  <c r="L121" i="23"/>
  <c r="A122" i="23"/>
  <c r="A123" i="22"/>
  <c r="K122" i="22"/>
  <c r="AB122" i="22"/>
  <c r="X122" i="22"/>
  <c r="L122" i="22"/>
  <c r="K124" i="18"/>
  <c r="AB124" i="18"/>
  <c r="L124" i="18"/>
  <c r="X124" i="18"/>
  <c r="A125" i="18"/>
  <c r="A130" i="1"/>
  <c r="AJ129" i="1"/>
  <c r="AB129" i="1"/>
  <c r="L129" i="1"/>
  <c r="AK129" i="1"/>
  <c r="K129" i="1"/>
  <c r="X129" i="1"/>
  <c r="A127" i="17"/>
  <c r="L126" i="17"/>
  <c r="D126" i="17" s="1"/>
  <c r="X126" i="17"/>
  <c r="K126" i="17"/>
  <c r="AB126" i="17"/>
  <c r="AE71" i="7"/>
  <c r="X119" i="25"/>
  <c r="AB119" i="25"/>
  <c r="K119" i="25"/>
  <c r="L119" i="25"/>
  <c r="A120" i="25"/>
  <c r="AB123" i="20"/>
  <c r="L123" i="20"/>
  <c r="K123" i="20"/>
  <c r="A124" i="20"/>
  <c r="X123" i="20"/>
  <c r="L126" i="15"/>
  <c r="A127" i="15"/>
  <c r="AB126" i="15"/>
  <c r="K126" i="15"/>
  <c r="X126" i="15"/>
  <c r="K120" i="24"/>
  <c r="X120" i="24"/>
  <c r="L120" i="24"/>
  <c r="A121" i="24"/>
  <c r="AB120" i="24"/>
  <c r="L126" i="16"/>
  <c r="X126" i="16"/>
  <c r="AB126" i="16"/>
  <c r="K126" i="16"/>
  <c r="A127" i="16"/>
  <c r="X121" i="24"/>
  <c r="AB121" i="24"/>
  <c r="A122" i="24"/>
  <c r="L121" i="24"/>
  <c r="K121" i="24"/>
  <c r="D126" i="15"/>
  <c r="AB124" i="20"/>
  <c r="A125" i="20"/>
  <c r="X124" i="20"/>
  <c r="L124" i="20"/>
  <c r="K124" i="20"/>
  <c r="AB127" i="17"/>
  <c r="L127" i="17"/>
  <c r="D127" i="17" s="1"/>
  <c r="A128" i="17"/>
  <c r="K127" i="17"/>
  <c r="X127" i="17"/>
  <c r="K123" i="22"/>
  <c r="L123" i="22"/>
  <c r="AB123" i="22"/>
  <c r="X123" i="22"/>
  <c r="A124" i="22"/>
  <c r="A123" i="23"/>
  <c r="L122" i="23"/>
  <c r="X122" i="23"/>
  <c r="AB122" i="23"/>
  <c r="K122" i="23"/>
  <c r="A128" i="16"/>
  <c r="K127" i="16"/>
  <c r="AB127" i="16"/>
  <c r="X127" i="16"/>
  <c r="L127" i="16"/>
  <c r="D127" i="16" s="1"/>
  <c r="D126" i="16"/>
  <c r="X127" i="15"/>
  <c r="A128" i="15"/>
  <c r="AB127" i="15"/>
  <c r="K127" i="15"/>
  <c r="L127" i="15"/>
  <c r="D127" i="15" s="1"/>
  <c r="A121" i="25"/>
  <c r="K120" i="25"/>
  <c r="AB120" i="25"/>
  <c r="X120" i="25"/>
  <c r="L120" i="25"/>
  <c r="AF71" i="7"/>
  <c r="AK130" i="1"/>
  <c r="X130" i="1"/>
  <c r="K130" i="1"/>
  <c r="A131" i="1"/>
  <c r="L130" i="1"/>
  <c r="AJ130" i="1"/>
  <c r="AB130" i="1"/>
  <c r="K125" i="18"/>
  <c r="A126" i="18"/>
  <c r="L125" i="18"/>
  <c r="X125" i="18"/>
  <c r="AB125" i="18"/>
  <c r="A122" i="25"/>
  <c r="L121" i="25"/>
  <c r="X121" i="25"/>
  <c r="AB121" i="25"/>
  <c r="K121" i="25"/>
  <c r="AB128" i="15"/>
  <c r="L128" i="15"/>
  <c r="D128" i="15" s="1"/>
  <c r="X128" i="15"/>
  <c r="K128" i="15"/>
  <c r="A129" i="15"/>
  <c r="AB128" i="16"/>
  <c r="A129" i="16"/>
  <c r="X128" i="16"/>
  <c r="L128" i="16"/>
  <c r="D128" i="16" s="1"/>
  <c r="K128" i="16"/>
  <c r="A124" i="23"/>
  <c r="X123" i="23"/>
  <c r="L123" i="23"/>
  <c r="K123" i="23"/>
  <c r="AB123" i="23"/>
  <c r="L124" i="22"/>
  <c r="A125" i="22"/>
  <c r="X124" i="22"/>
  <c r="K124" i="22"/>
  <c r="AB124" i="22"/>
  <c r="K128" i="17"/>
  <c r="A129" i="17"/>
  <c r="X128" i="17"/>
  <c r="AB128" i="17"/>
  <c r="L128" i="17"/>
  <c r="D128" i="17" s="1"/>
  <c r="K126" i="18"/>
  <c r="A127" i="18"/>
  <c r="L126" i="18"/>
  <c r="AB126" i="18"/>
  <c r="X126" i="18"/>
  <c r="K131" i="1"/>
  <c r="AB131" i="1"/>
  <c r="L131" i="1"/>
  <c r="A132" i="1"/>
  <c r="AJ131" i="1"/>
  <c r="AK131" i="1"/>
  <c r="X131" i="1"/>
  <c r="L125" i="20"/>
  <c r="AB125" i="20"/>
  <c r="A126" i="20"/>
  <c r="K125" i="20"/>
  <c r="X125" i="20"/>
  <c r="X122" i="24"/>
  <c r="K122" i="24"/>
  <c r="A123" i="24"/>
  <c r="L122" i="24"/>
  <c r="AB122" i="24"/>
  <c r="K123" i="24"/>
  <c r="X123" i="24"/>
  <c r="A124" i="24"/>
  <c r="L123" i="24"/>
  <c r="AB123" i="24"/>
  <c r="X127" i="18"/>
  <c r="AB127" i="18"/>
  <c r="L127" i="18"/>
  <c r="K127" i="18"/>
  <c r="A128" i="18"/>
  <c r="AB122" i="25"/>
  <c r="L122" i="25"/>
  <c r="X122" i="25"/>
  <c r="K122" i="25"/>
  <c r="A123" i="25"/>
  <c r="L126" i="20"/>
  <c r="X126" i="20"/>
  <c r="A127" i="20"/>
  <c r="K126" i="20"/>
  <c r="AB126" i="20"/>
  <c r="AB132" i="1"/>
  <c r="X132" i="1"/>
  <c r="K132" i="1"/>
  <c r="A133" i="1"/>
  <c r="AK132" i="1"/>
  <c r="L132" i="1"/>
  <c r="AJ132" i="1"/>
  <c r="X129" i="17"/>
  <c r="L129" i="17"/>
  <c r="D129" i="17" s="1"/>
  <c r="K129" i="17"/>
  <c r="A130" i="17"/>
  <c r="AB129" i="17"/>
  <c r="A126" i="22"/>
  <c r="AB125" i="22"/>
  <c r="L125" i="22"/>
  <c r="X125" i="22"/>
  <c r="K125" i="22"/>
  <c r="L124" i="23"/>
  <c r="A125" i="23"/>
  <c r="AB124" i="23"/>
  <c r="K124" i="23"/>
  <c r="X124" i="23"/>
  <c r="A130" i="16"/>
  <c r="X129" i="16"/>
  <c r="K129" i="16"/>
  <c r="AB129" i="16"/>
  <c r="L129" i="16"/>
  <c r="AB129" i="15"/>
  <c r="X129" i="15"/>
  <c r="L129" i="15"/>
  <c r="D129" i="15" s="1"/>
  <c r="K129" i="15"/>
  <c r="A130" i="15"/>
  <c r="D129" i="16"/>
  <c r="AB130" i="16"/>
  <c r="X130" i="16"/>
  <c r="A131" i="16"/>
  <c r="K130" i="16"/>
  <c r="L130" i="16"/>
  <c r="D130" i="16" s="1"/>
  <c r="AB125" i="23"/>
  <c r="L125" i="23"/>
  <c r="X125" i="23"/>
  <c r="A126" i="23"/>
  <c r="K125" i="23"/>
  <c r="AB133" i="1"/>
  <c r="K133" i="1"/>
  <c r="L133" i="1"/>
  <c r="AJ133" i="1"/>
  <c r="AK133" i="1"/>
  <c r="X133" i="1"/>
  <c r="A134" i="1"/>
  <c r="X127" i="20"/>
  <c r="A128" i="20"/>
  <c r="K127" i="20"/>
  <c r="L127" i="20"/>
  <c r="AB127" i="20"/>
  <c r="A124" i="25"/>
  <c r="X123" i="25"/>
  <c r="L123" i="25"/>
  <c r="K123" i="25"/>
  <c r="AB123" i="25"/>
  <c r="X128" i="18"/>
  <c r="L128" i="18"/>
  <c r="K128" i="18"/>
  <c r="AB128" i="18"/>
  <c r="A129" i="18"/>
  <c r="L130" i="15"/>
  <c r="D130" i="15" s="1"/>
  <c r="X130" i="15"/>
  <c r="AB130" i="15"/>
  <c r="K130" i="15"/>
  <c r="A131" i="15"/>
  <c r="X126" i="22"/>
  <c r="L126" i="22"/>
  <c r="K126" i="22"/>
  <c r="AB126" i="22"/>
  <c r="A127" i="22"/>
  <c r="K130" i="17"/>
  <c r="L130" i="17"/>
  <c r="D130" i="17" s="1"/>
  <c r="A131" i="17"/>
  <c r="X130" i="17"/>
  <c r="AB130" i="17"/>
  <c r="A125" i="24"/>
  <c r="L124" i="24"/>
  <c r="K124" i="24"/>
  <c r="AB124" i="24"/>
  <c r="X124" i="24"/>
  <c r="AB125" i="24"/>
  <c r="K125" i="24"/>
  <c r="A126" i="24"/>
  <c r="X125" i="24"/>
  <c r="L125" i="24"/>
  <c r="X127" i="22"/>
  <c r="A128" i="22"/>
  <c r="L127" i="22"/>
  <c r="K127" i="22"/>
  <c r="AB127" i="22"/>
  <c r="A125" i="25"/>
  <c r="AB124" i="25"/>
  <c r="L124" i="25"/>
  <c r="K124" i="25"/>
  <c r="X124" i="25"/>
  <c r="A127" i="23"/>
  <c r="X126" i="23"/>
  <c r="AB126" i="23"/>
  <c r="L126" i="23"/>
  <c r="K126" i="23"/>
  <c r="L131" i="17"/>
  <c r="D131" i="17" s="1"/>
  <c r="A132" i="17"/>
  <c r="AB131" i="17"/>
  <c r="K131" i="17"/>
  <c r="X131" i="17"/>
  <c r="AB131" i="15"/>
  <c r="A132" i="15"/>
  <c r="K131" i="15"/>
  <c r="L131" i="15"/>
  <c r="X131" i="15"/>
  <c r="A130" i="18"/>
  <c r="L129" i="18"/>
  <c r="X129" i="18"/>
  <c r="K129" i="18"/>
  <c r="AB129" i="18"/>
  <c r="K128" i="20"/>
  <c r="L128" i="20"/>
  <c r="AB128" i="20"/>
  <c r="X128" i="20"/>
  <c r="A129" i="20"/>
  <c r="X134" i="1"/>
  <c r="K134" i="1"/>
  <c r="L134" i="1"/>
  <c r="AB134" i="1"/>
  <c r="AJ134" i="1"/>
  <c r="AK134" i="1"/>
  <c r="A135" i="1"/>
  <c r="AB131" i="16"/>
  <c r="X131" i="16"/>
  <c r="K131" i="16"/>
  <c r="L131" i="16"/>
  <c r="D131" i="16" s="1"/>
  <c r="A132" i="16"/>
  <c r="A136" i="1"/>
  <c r="AJ135" i="1"/>
  <c r="L135" i="1"/>
  <c r="X135" i="1"/>
  <c r="AK135" i="1"/>
  <c r="AB135" i="1"/>
  <c r="K135" i="1"/>
  <c r="X127" i="23"/>
  <c r="K127" i="23"/>
  <c r="L127" i="23"/>
  <c r="AB127" i="23"/>
  <c r="A128" i="23"/>
  <c r="AB126" i="24"/>
  <c r="A127" i="24"/>
  <c r="L126" i="24"/>
  <c r="X126" i="24"/>
  <c r="K126" i="24"/>
  <c r="AB132" i="16"/>
  <c r="K132" i="16"/>
  <c r="L132" i="16"/>
  <c r="D132" i="16" s="1"/>
  <c r="X132" i="16"/>
  <c r="A133" i="16"/>
  <c r="AB129" i="20"/>
  <c r="L129" i="20"/>
  <c r="A130" i="20"/>
  <c r="K129" i="20"/>
  <c r="X129" i="20"/>
  <c r="AB130" i="18"/>
  <c r="X130" i="18"/>
  <c r="L130" i="18"/>
  <c r="A131" i="18"/>
  <c r="K130" i="18"/>
  <c r="D131" i="15"/>
  <c r="L132" i="15"/>
  <c r="D132" i="15" s="1"/>
  <c r="X132" i="15"/>
  <c r="A133" i="15"/>
  <c r="AB132" i="15"/>
  <c r="K132" i="15"/>
  <c r="A133" i="17"/>
  <c r="K132" i="17"/>
  <c r="X132" i="17"/>
  <c r="AB132" i="17"/>
  <c r="L132" i="17"/>
  <c r="D132" i="17" s="1"/>
  <c r="L125" i="25"/>
  <c r="A126" i="25"/>
  <c r="K125" i="25"/>
  <c r="AB125" i="25"/>
  <c r="X125" i="25"/>
  <c r="X128" i="22"/>
  <c r="K128" i="22"/>
  <c r="A129" i="22"/>
  <c r="L128" i="22"/>
  <c r="AB128" i="22"/>
  <c r="L129" i="22"/>
  <c r="X129" i="22"/>
  <c r="K129" i="22"/>
  <c r="A130" i="22"/>
  <c r="AB129" i="22"/>
  <c r="L126" i="25"/>
  <c r="AB126" i="25"/>
  <c r="K126" i="25"/>
  <c r="A127" i="25"/>
  <c r="X126" i="25"/>
  <c r="K133" i="17"/>
  <c r="A134" i="17"/>
  <c r="L133" i="17"/>
  <c r="D133" i="17" s="1"/>
  <c r="X133" i="17"/>
  <c r="AB133" i="17"/>
  <c r="X131" i="18"/>
  <c r="L131" i="18"/>
  <c r="A132" i="18"/>
  <c r="K131" i="18"/>
  <c r="AB131" i="18"/>
  <c r="K130" i="20"/>
  <c r="L130" i="20"/>
  <c r="X130" i="20"/>
  <c r="AB130" i="20"/>
  <c r="A131" i="20"/>
  <c r="K133" i="15"/>
  <c r="AB133" i="15"/>
  <c r="A134" i="15"/>
  <c r="L133" i="15"/>
  <c r="D133" i="15" s="1"/>
  <c r="X133" i="15"/>
  <c r="AB133" i="16"/>
  <c r="K133" i="16"/>
  <c r="A134" i="16"/>
  <c r="X133" i="16"/>
  <c r="L133" i="16"/>
  <c r="D133" i="16" s="1"/>
  <c r="X127" i="24"/>
  <c r="A128" i="24"/>
  <c r="K127" i="24"/>
  <c r="L127" i="24"/>
  <c r="AB127" i="24"/>
  <c r="A129" i="23"/>
  <c r="X128" i="23"/>
  <c r="L128" i="23"/>
  <c r="K128" i="23"/>
  <c r="AB128" i="23"/>
  <c r="A137" i="1"/>
  <c r="X136" i="1"/>
  <c r="AB136" i="1"/>
  <c r="L136" i="1"/>
  <c r="AJ136" i="1"/>
  <c r="K136" i="1"/>
  <c r="AK136" i="1"/>
  <c r="X129" i="23"/>
  <c r="AB129" i="23"/>
  <c r="L129" i="23"/>
  <c r="A130" i="23"/>
  <c r="K129" i="23"/>
  <c r="K128" i="24"/>
  <c r="X128" i="24"/>
  <c r="AB128" i="24"/>
  <c r="L128" i="24"/>
  <c r="A129" i="24"/>
  <c r="X134" i="16"/>
  <c r="L134" i="16"/>
  <c r="D134" i="16" s="1"/>
  <c r="AB134" i="16"/>
  <c r="A135" i="16"/>
  <c r="K134" i="16"/>
  <c r="A135" i="15"/>
  <c r="K134" i="15"/>
  <c r="L134" i="15"/>
  <c r="D134" i="15" s="1"/>
  <c r="AB134" i="15"/>
  <c r="X134" i="15"/>
  <c r="AB132" i="18"/>
  <c r="K132" i="18"/>
  <c r="X132" i="18"/>
  <c r="L132" i="18"/>
  <c r="A133" i="18"/>
  <c r="L134" i="17"/>
  <c r="D134" i="17" s="1"/>
  <c r="X134" i="17"/>
  <c r="K134" i="17"/>
  <c r="A135" i="17"/>
  <c r="AB134" i="17"/>
  <c r="AB130" i="22"/>
  <c r="A131" i="22"/>
  <c r="L130" i="22"/>
  <c r="K130" i="22"/>
  <c r="X130" i="22"/>
  <c r="AB137" i="1"/>
  <c r="AJ137" i="1"/>
  <c r="K137" i="1"/>
  <c r="A138" i="1"/>
  <c r="L137" i="1"/>
  <c r="X137" i="1"/>
  <c r="AK137" i="1"/>
  <c r="K131" i="20"/>
  <c r="AB131" i="20"/>
  <c r="L131" i="20"/>
  <c r="X131" i="20"/>
  <c r="A132" i="20"/>
  <c r="X127" i="25"/>
  <c r="A128" i="25"/>
  <c r="AB127" i="25"/>
  <c r="K127" i="25"/>
  <c r="L127" i="25"/>
  <c r="A129" i="25"/>
  <c r="L128" i="25"/>
  <c r="AB128" i="25"/>
  <c r="X128" i="25"/>
  <c r="K128" i="25"/>
  <c r="AB132" i="20"/>
  <c r="X132" i="20"/>
  <c r="L132" i="20"/>
  <c r="K132" i="20"/>
  <c r="A133" i="20"/>
  <c r="L133" i="18"/>
  <c r="AB133" i="18"/>
  <c r="A134" i="18"/>
  <c r="X133" i="18"/>
  <c r="K133" i="18"/>
  <c r="A131" i="23"/>
  <c r="AB130" i="23"/>
  <c r="L130" i="23"/>
  <c r="X130" i="23"/>
  <c r="K130" i="23"/>
  <c r="X138" i="1"/>
  <c r="L138" i="1"/>
  <c r="AJ138" i="1"/>
  <c r="K138" i="1"/>
  <c r="AB138" i="1"/>
  <c r="A139" i="1"/>
  <c r="AK138" i="1"/>
  <c r="X131" i="22"/>
  <c r="AB131" i="22"/>
  <c r="K131" i="22"/>
  <c r="A132" i="22"/>
  <c r="L131" i="22"/>
  <c r="A136" i="17"/>
  <c r="AB135" i="17"/>
  <c r="K135" i="17"/>
  <c r="L135" i="17"/>
  <c r="D135" i="17" s="1"/>
  <c r="X135" i="17"/>
  <c r="L135" i="15"/>
  <c r="D135" i="15" s="1"/>
  <c r="X135" i="15"/>
  <c r="K135" i="15"/>
  <c r="A136" i="15"/>
  <c r="AB135" i="15"/>
  <c r="AB135" i="16"/>
  <c r="A136" i="16"/>
  <c r="X135" i="16"/>
  <c r="K135" i="16"/>
  <c r="L135" i="16"/>
  <c r="AB129" i="24"/>
  <c r="L129" i="24"/>
  <c r="K129" i="24"/>
  <c r="A130" i="24"/>
  <c r="X129" i="24"/>
  <c r="AB130" i="24"/>
  <c r="X130" i="24"/>
  <c r="A131" i="24"/>
  <c r="K130" i="24"/>
  <c r="L130" i="24"/>
  <c r="L136" i="15"/>
  <c r="D136" i="15" s="1"/>
  <c r="AB136" i="15"/>
  <c r="K136" i="15"/>
  <c r="X136" i="15"/>
  <c r="A137" i="15"/>
  <c r="K136" i="17"/>
  <c r="AB136" i="17"/>
  <c r="X136" i="17"/>
  <c r="L136" i="17"/>
  <c r="D136" i="17" s="1"/>
  <c r="A137" i="17"/>
  <c r="A133" i="22"/>
  <c r="X132" i="22"/>
  <c r="L132" i="22"/>
  <c r="AB132" i="22"/>
  <c r="K132" i="22"/>
  <c r="A140" i="1"/>
  <c r="X139" i="1"/>
  <c r="L139" i="1"/>
  <c r="AJ139" i="1"/>
  <c r="AB139" i="1"/>
  <c r="AK139" i="1"/>
  <c r="K139" i="1"/>
  <c r="X134" i="18"/>
  <c r="L134" i="18"/>
  <c r="AB134" i="18"/>
  <c r="A135" i="18"/>
  <c r="K134" i="18"/>
  <c r="D135" i="16"/>
  <c r="L136" i="16"/>
  <c r="D136" i="16" s="1"/>
  <c r="K136" i="16"/>
  <c r="A137" i="16"/>
  <c r="X136" i="16"/>
  <c r="AB136" i="16"/>
  <c r="K131" i="23"/>
  <c r="AB131" i="23"/>
  <c r="L131" i="23"/>
  <c r="A132" i="23"/>
  <c r="X131" i="23"/>
  <c r="A134" i="20"/>
  <c r="K133" i="20"/>
  <c r="X133" i="20"/>
  <c r="L133" i="20"/>
  <c r="AB133" i="20"/>
  <c r="K129" i="25"/>
  <c r="AB129" i="25"/>
  <c r="A130" i="25"/>
  <c r="X129" i="25"/>
  <c r="L129" i="25"/>
  <c r="X130" i="25"/>
  <c r="L130" i="25"/>
  <c r="A131" i="25"/>
  <c r="AB130" i="25"/>
  <c r="K130" i="25"/>
  <c r="K134" i="20"/>
  <c r="L134" i="20"/>
  <c r="A135" i="20"/>
  <c r="AB134" i="20"/>
  <c r="X134" i="20"/>
  <c r="X132" i="23"/>
  <c r="A133" i="23"/>
  <c r="AB132" i="23"/>
  <c r="K132" i="23"/>
  <c r="L132" i="23"/>
  <c r="L135" i="18"/>
  <c r="X135" i="18"/>
  <c r="AB135" i="18"/>
  <c r="K135" i="18"/>
  <c r="A136" i="18"/>
  <c r="AB133" i="22"/>
  <c r="L133" i="22"/>
  <c r="A134" i="22"/>
  <c r="X133" i="22"/>
  <c r="K133" i="22"/>
  <c r="A138" i="15"/>
  <c r="X137" i="15"/>
  <c r="K137" i="15"/>
  <c r="L137" i="15"/>
  <c r="D137" i="15" s="1"/>
  <c r="AB137" i="15"/>
  <c r="L137" i="16"/>
  <c r="D137" i="16" s="1"/>
  <c r="K137" i="16"/>
  <c r="AB137" i="16"/>
  <c r="A138" i="16"/>
  <c r="X137" i="16"/>
  <c r="A141" i="1"/>
  <c r="AK140" i="1"/>
  <c r="L140" i="1"/>
  <c r="K140" i="1"/>
  <c r="AJ140" i="1"/>
  <c r="X140" i="1"/>
  <c r="AB140" i="1"/>
  <c r="AB137" i="17"/>
  <c r="L137" i="17"/>
  <c r="K137" i="17"/>
  <c r="X137" i="17"/>
  <c r="A138" i="17"/>
  <c r="X131" i="24"/>
  <c r="K131" i="24"/>
  <c r="A132" i="24"/>
  <c r="AB131" i="24"/>
  <c r="L131" i="24"/>
  <c r="K132" i="24"/>
  <c r="AB132" i="24"/>
  <c r="X132" i="24"/>
  <c r="A133" i="24"/>
  <c r="L132" i="24"/>
  <c r="D137" i="17"/>
  <c r="AB138" i="16"/>
  <c r="L138" i="16"/>
  <c r="D138" i="16" s="1"/>
  <c r="K138" i="16"/>
  <c r="X138" i="16"/>
  <c r="A139" i="16"/>
  <c r="A135" i="22"/>
  <c r="X134" i="22"/>
  <c r="K134" i="22"/>
  <c r="L134" i="22"/>
  <c r="AB134" i="22"/>
  <c r="K136" i="18"/>
  <c r="A137" i="18"/>
  <c r="AB136" i="18"/>
  <c r="X136" i="18"/>
  <c r="L136" i="18"/>
  <c r="K133" i="23"/>
  <c r="AB133" i="23"/>
  <c r="X133" i="23"/>
  <c r="L133" i="23"/>
  <c r="A134" i="23"/>
  <c r="L135" i="20"/>
  <c r="K135" i="20"/>
  <c r="X135" i="20"/>
  <c r="A136" i="20"/>
  <c r="AB135" i="20"/>
  <c r="A139" i="17"/>
  <c r="L138" i="17"/>
  <c r="D138" i="17" s="1"/>
  <c r="K138" i="17"/>
  <c r="AB138" i="17"/>
  <c r="X138" i="17"/>
  <c r="AJ141" i="1"/>
  <c r="K141" i="1"/>
  <c r="AB141" i="1"/>
  <c r="A142" i="1"/>
  <c r="L141" i="1"/>
  <c r="AK141" i="1"/>
  <c r="X141" i="1"/>
  <c r="L138" i="15"/>
  <c r="D138" i="15" s="1"/>
  <c r="X138" i="15"/>
  <c r="A139" i="15"/>
  <c r="K138" i="15"/>
  <c r="AB138" i="15"/>
  <c r="X131" i="25"/>
  <c r="A132" i="25"/>
  <c r="K131" i="25"/>
  <c r="L131" i="25"/>
  <c r="AB131" i="25"/>
  <c r="L139" i="15"/>
  <c r="D139" i="15" s="1"/>
  <c r="K139" i="15"/>
  <c r="X139" i="15"/>
  <c r="A140" i="15"/>
  <c r="AB139" i="15"/>
  <c r="A143" i="1"/>
  <c r="AB142" i="1"/>
  <c r="AK142" i="1"/>
  <c r="X142" i="1"/>
  <c r="K142" i="1"/>
  <c r="AJ142" i="1"/>
  <c r="L142" i="1"/>
  <c r="L136" i="20"/>
  <c r="AB136" i="20"/>
  <c r="A137" i="20"/>
  <c r="X136" i="20"/>
  <c r="K136" i="20"/>
  <c r="K137" i="18"/>
  <c r="X137" i="18"/>
  <c r="A138" i="18"/>
  <c r="L137" i="18"/>
  <c r="AB137" i="18"/>
  <c r="AB135" i="22"/>
  <c r="X135" i="22"/>
  <c r="K135" i="22"/>
  <c r="L135" i="22"/>
  <c r="A136" i="22"/>
  <c r="L139" i="16"/>
  <c r="D139" i="16" s="1"/>
  <c r="X139" i="16"/>
  <c r="A140" i="16"/>
  <c r="K139" i="16"/>
  <c r="AB139" i="16"/>
  <c r="X132" i="25"/>
  <c r="AB132" i="25"/>
  <c r="A133" i="25"/>
  <c r="L132" i="25"/>
  <c r="K132" i="25"/>
  <c r="K139" i="17"/>
  <c r="X139" i="17"/>
  <c r="L139" i="17"/>
  <c r="D139" i="17" s="1"/>
  <c r="AB139" i="17"/>
  <c r="A140" i="17"/>
  <c r="K134" i="23"/>
  <c r="L134" i="23"/>
  <c r="X134" i="23"/>
  <c r="A135" i="23"/>
  <c r="AB134" i="23"/>
  <c r="K133" i="24"/>
  <c r="A134" i="24"/>
  <c r="AB133" i="24"/>
  <c r="X133" i="24"/>
  <c r="L133" i="24"/>
  <c r="K133" i="25"/>
  <c r="X133" i="25"/>
  <c r="A134" i="25"/>
  <c r="L133" i="25"/>
  <c r="AB133" i="25"/>
  <c r="K140" i="16"/>
  <c r="L140" i="16"/>
  <c r="D140" i="16" s="1"/>
  <c r="X140" i="16"/>
  <c r="AB140" i="16"/>
  <c r="A141" i="16"/>
  <c r="X136" i="22"/>
  <c r="A137" i="22"/>
  <c r="L136" i="22"/>
  <c r="AB136" i="22"/>
  <c r="K136" i="22"/>
  <c r="K134" i="24"/>
  <c r="A135" i="24"/>
  <c r="AB134" i="24"/>
  <c r="X134" i="24"/>
  <c r="L134" i="24"/>
  <c r="AB135" i="23"/>
  <c r="K135" i="23"/>
  <c r="L135" i="23"/>
  <c r="X135" i="23"/>
  <c r="A136" i="23"/>
  <c r="L140" i="17"/>
  <c r="A141" i="17"/>
  <c r="X140" i="17"/>
  <c r="AB140" i="17"/>
  <c r="K140" i="17"/>
  <c r="A139" i="18"/>
  <c r="X138" i="18"/>
  <c r="K138" i="18"/>
  <c r="L138" i="18"/>
  <c r="AB138" i="18"/>
  <c r="L137" i="20"/>
  <c r="AB137" i="20"/>
  <c r="K137" i="20"/>
  <c r="X137" i="20"/>
  <c r="A138" i="20"/>
  <c r="AB143" i="1"/>
  <c r="AJ143" i="1"/>
  <c r="L143" i="1"/>
  <c r="K143" i="1"/>
  <c r="X143" i="1"/>
  <c r="AK143" i="1"/>
  <c r="A144" i="1"/>
  <c r="X140" i="15"/>
  <c r="L140" i="15"/>
  <c r="D140" i="15" s="1"/>
  <c r="AB140" i="15"/>
  <c r="K140" i="15"/>
  <c r="A141" i="15"/>
  <c r="A142" i="15"/>
  <c r="X141" i="15"/>
  <c r="AB141" i="15"/>
  <c r="L141" i="15"/>
  <c r="D141" i="15" s="1"/>
  <c r="K141" i="15"/>
  <c r="L144" i="1"/>
  <c r="AK144" i="1"/>
  <c r="X144" i="1"/>
  <c r="AB144" i="1"/>
  <c r="AJ144" i="1"/>
  <c r="A145" i="1"/>
  <c r="K144" i="1"/>
  <c r="K138" i="20"/>
  <c r="X138" i="20"/>
  <c r="AB138" i="20"/>
  <c r="L138" i="20"/>
  <c r="A139" i="20"/>
  <c r="D140" i="17"/>
  <c r="K136" i="23"/>
  <c r="AB136" i="23"/>
  <c r="L136" i="23"/>
  <c r="X136" i="23"/>
  <c r="A137" i="23"/>
  <c r="L137" i="22"/>
  <c r="AB137" i="22"/>
  <c r="K137" i="22"/>
  <c r="A138" i="22"/>
  <c r="X137" i="22"/>
  <c r="AB141" i="16"/>
  <c r="L141" i="16"/>
  <c r="D141" i="16" s="1"/>
  <c r="K141" i="16"/>
  <c r="A142" i="16"/>
  <c r="X141" i="16"/>
  <c r="AB139" i="18"/>
  <c r="K139" i="18"/>
  <c r="L139" i="18"/>
  <c r="A140" i="18"/>
  <c r="X139" i="18"/>
  <c r="L141" i="17"/>
  <c r="D141" i="17" s="1"/>
  <c r="A142" i="17"/>
  <c r="AB141" i="17"/>
  <c r="K141" i="17"/>
  <c r="X141" i="17"/>
  <c r="L135" i="24"/>
  <c r="AB135" i="24"/>
  <c r="X135" i="24"/>
  <c r="A136" i="24"/>
  <c r="K135" i="24"/>
  <c r="AB134" i="25"/>
  <c r="X134" i="25"/>
  <c r="A135" i="25"/>
  <c r="K134" i="25"/>
  <c r="L134" i="25"/>
  <c r="X136" i="24"/>
  <c r="A137" i="24"/>
  <c r="K136" i="24"/>
  <c r="L136" i="24"/>
  <c r="AB136" i="24"/>
  <c r="K140" i="18"/>
  <c r="A141" i="18"/>
  <c r="AB140" i="18"/>
  <c r="X140" i="18"/>
  <c r="L140" i="18"/>
  <c r="L138" i="22"/>
  <c r="A139" i="22"/>
  <c r="AB138" i="22"/>
  <c r="X138" i="22"/>
  <c r="K138" i="22"/>
  <c r="K137" i="23"/>
  <c r="X137" i="23"/>
  <c r="L137" i="23"/>
  <c r="A138" i="23"/>
  <c r="AB137" i="23"/>
  <c r="A146" i="1"/>
  <c r="AJ145" i="1"/>
  <c r="AK145" i="1"/>
  <c r="AB145" i="1"/>
  <c r="X145" i="1"/>
  <c r="K145" i="1"/>
  <c r="L145" i="1"/>
  <c r="AB135" i="25"/>
  <c r="L135" i="25"/>
  <c r="A136" i="25"/>
  <c r="K135" i="25"/>
  <c r="X135" i="25"/>
  <c r="AB142" i="17"/>
  <c r="L142" i="17"/>
  <c r="D142" i="17" s="1"/>
  <c r="A143" i="17"/>
  <c r="K142" i="17"/>
  <c r="X142" i="17"/>
  <c r="A143" i="16"/>
  <c r="K142" i="16"/>
  <c r="L142" i="16"/>
  <c r="D142" i="16" s="1"/>
  <c r="X142" i="16"/>
  <c r="AB142" i="16"/>
  <c r="A140" i="20"/>
  <c r="L139" i="20"/>
  <c r="X139" i="20"/>
  <c r="K139" i="20"/>
  <c r="AB139" i="20"/>
  <c r="L142" i="15"/>
  <c r="D142" i="15" s="1"/>
  <c r="A143" i="15"/>
  <c r="AB142" i="15"/>
  <c r="K142" i="15"/>
  <c r="X142" i="15"/>
  <c r="K140" i="20"/>
  <c r="AB140" i="20"/>
  <c r="L140" i="20"/>
  <c r="X140" i="20"/>
  <c r="A141" i="20"/>
  <c r="AB143" i="16"/>
  <c r="L143" i="16"/>
  <c r="D143" i="16" s="1"/>
  <c r="K143" i="16"/>
  <c r="A144" i="16"/>
  <c r="X143" i="16"/>
  <c r="A144" i="17"/>
  <c r="AB143" i="17"/>
  <c r="K143" i="17"/>
  <c r="L143" i="17"/>
  <c r="D143" i="17" s="1"/>
  <c r="X143" i="17"/>
  <c r="K138" i="23"/>
  <c r="A139" i="23"/>
  <c r="L138" i="23"/>
  <c r="AB138" i="23"/>
  <c r="X138" i="23"/>
  <c r="AB137" i="24"/>
  <c r="K137" i="24"/>
  <c r="L137" i="24"/>
  <c r="A138" i="24"/>
  <c r="X137" i="24"/>
  <c r="L143" i="15"/>
  <c r="D143" i="15" s="1"/>
  <c r="K143" i="15"/>
  <c r="AB143" i="15"/>
  <c r="X143" i="15"/>
  <c r="A144" i="15"/>
  <c r="AB136" i="25"/>
  <c r="A137" i="25"/>
  <c r="K136" i="25"/>
  <c r="L136" i="25"/>
  <c r="X136" i="25"/>
  <c r="AB146" i="1"/>
  <c r="K146" i="1"/>
  <c r="AK146" i="1"/>
  <c r="AJ146" i="1"/>
  <c r="X146" i="1"/>
  <c r="L146" i="1"/>
  <c r="A147" i="1"/>
  <c r="A140" i="22"/>
  <c r="AB139" i="22"/>
  <c r="X139" i="22"/>
  <c r="K139" i="22"/>
  <c r="L139" i="22"/>
  <c r="K141" i="18"/>
  <c r="L141" i="18"/>
  <c r="AB141" i="18"/>
  <c r="A142" i="18"/>
  <c r="X141" i="18"/>
  <c r="X147" i="1"/>
  <c r="AB147" i="1"/>
  <c r="L147" i="1"/>
  <c r="A148" i="1"/>
  <c r="AK147" i="1"/>
  <c r="AJ147" i="1"/>
  <c r="K147" i="1"/>
  <c r="K137" i="25"/>
  <c r="X137" i="25"/>
  <c r="AB137" i="25"/>
  <c r="A138" i="25"/>
  <c r="L137" i="25"/>
  <c r="K144" i="15"/>
  <c r="AB144" i="15"/>
  <c r="L144" i="15"/>
  <c r="D144" i="15" s="1"/>
  <c r="X144" i="15"/>
  <c r="A145" i="15"/>
  <c r="K138" i="24"/>
  <c r="L138" i="24"/>
  <c r="X138" i="24"/>
  <c r="AB138" i="24"/>
  <c r="A139" i="24"/>
  <c r="AB142" i="18"/>
  <c r="K142" i="18"/>
  <c r="A143" i="18"/>
  <c r="L142" i="18"/>
  <c r="X142" i="18"/>
  <c r="L140" i="22"/>
  <c r="AB140" i="22"/>
  <c r="X140" i="22"/>
  <c r="A141" i="22"/>
  <c r="K140" i="22"/>
  <c r="L139" i="23"/>
  <c r="X139" i="23"/>
  <c r="K139" i="23"/>
  <c r="AB139" i="23"/>
  <c r="A140" i="23"/>
  <c r="K144" i="17"/>
  <c r="AB144" i="17"/>
  <c r="L144" i="17"/>
  <c r="D144" i="17" s="1"/>
  <c r="A145" i="17"/>
  <c r="X144" i="17"/>
  <c r="X144" i="16"/>
  <c r="L144" i="16"/>
  <c r="D144" i="16" s="1"/>
  <c r="K144" i="16"/>
  <c r="A145" i="16"/>
  <c r="AB144" i="16"/>
  <c r="AB141" i="20"/>
  <c r="X141" i="20"/>
  <c r="L141" i="20"/>
  <c r="A142" i="20"/>
  <c r="K141" i="20"/>
  <c r="L145" i="16"/>
  <c r="D145" i="16" s="1"/>
  <c r="AB145" i="16"/>
  <c r="X145" i="16"/>
  <c r="K145" i="16"/>
  <c r="A146" i="16"/>
  <c r="L140" i="23"/>
  <c r="AB140" i="23"/>
  <c r="X140" i="23"/>
  <c r="K140" i="23"/>
  <c r="A141" i="23"/>
  <c r="X141" i="22"/>
  <c r="AB141" i="22"/>
  <c r="A142" i="22"/>
  <c r="L141" i="22"/>
  <c r="K141" i="22"/>
  <c r="X142" i="20"/>
  <c r="AB142" i="20"/>
  <c r="A143" i="20"/>
  <c r="K142" i="20"/>
  <c r="L142" i="20"/>
  <c r="A146" i="17"/>
  <c r="L145" i="17"/>
  <c r="D145" i="17" s="1"/>
  <c r="X145" i="17"/>
  <c r="K145" i="17"/>
  <c r="AB145" i="17"/>
  <c r="X143" i="18"/>
  <c r="L143" i="18"/>
  <c r="AB143" i="18"/>
  <c r="K143" i="18"/>
  <c r="A144" i="18"/>
  <c r="X139" i="24"/>
  <c r="K139" i="24"/>
  <c r="A140" i="24"/>
  <c r="L139" i="24"/>
  <c r="AB139" i="24"/>
  <c r="A146" i="15"/>
  <c r="X145" i="15"/>
  <c r="AB145" i="15"/>
  <c r="L145" i="15"/>
  <c r="D145" i="15" s="1"/>
  <c r="K145" i="15"/>
  <c r="L138" i="25"/>
  <c r="A139" i="25"/>
  <c r="X138" i="25"/>
  <c r="K138" i="25"/>
  <c r="AB138" i="25"/>
  <c r="A149" i="1"/>
  <c r="AJ148" i="1"/>
  <c r="K148" i="1"/>
  <c r="L148" i="1"/>
  <c r="AB148" i="1"/>
  <c r="AK148" i="1"/>
  <c r="X148" i="1"/>
  <c r="A140" i="25"/>
  <c r="L139" i="25"/>
  <c r="X139" i="25"/>
  <c r="K139" i="25"/>
  <c r="AB139" i="25"/>
  <c r="K144" i="18"/>
  <c r="AB144" i="18"/>
  <c r="L144" i="18"/>
  <c r="A145" i="18"/>
  <c r="X144" i="18"/>
  <c r="X143" i="20"/>
  <c r="L143" i="20"/>
  <c r="K143" i="20"/>
  <c r="AB143" i="20"/>
  <c r="A144" i="20"/>
  <c r="AB141" i="23"/>
  <c r="A142" i="23"/>
  <c r="K141" i="23"/>
  <c r="L141" i="23"/>
  <c r="X141" i="23"/>
  <c r="K146" i="16"/>
  <c r="AB146" i="16"/>
  <c r="X146" i="16"/>
  <c r="L146" i="16"/>
  <c r="D146" i="16" s="1"/>
  <c r="A147" i="16"/>
  <c r="A150" i="1"/>
  <c r="AB149" i="1"/>
  <c r="K149" i="1"/>
  <c r="AK149" i="1"/>
  <c r="X149" i="1"/>
  <c r="A24" i="7"/>
  <c r="L149" i="1"/>
  <c r="B24" i="7" s="1"/>
  <c r="AJ149" i="1"/>
  <c r="X146" i="15"/>
  <c r="A147" i="15"/>
  <c r="K146" i="15"/>
  <c r="L146" i="15"/>
  <c r="D146" i="15" s="1"/>
  <c r="AB146" i="15"/>
  <c r="AB140" i="24"/>
  <c r="A141" i="24"/>
  <c r="X140" i="24"/>
  <c r="K140" i="24"/>
  <c r="L140" i="24"/>
  <c r="A147" i="17"/>
  <c r="K146" i="17"/>
  <c r="L146" i="17"/>
  <c r="D146" i="17" s="1"/>
  <c r="AB146" i="17"/>
  <c r="X146" i="17"/>
  <c r="K142" i="22"/>
  <c r="A143" i="22"/>
  <c r="X142" i="22"/>
  <c r="AB142" i="22"/>
  <c r="L142" i="22"/>
  <c r="X143" i="22"/>
  <c r="AB143" i="22"/>
  <c r="L143" i="22"/>
  <c r="K143" i="22"/>
  <c r="A144" i="22"/>
  <c r="K147" i="17"/>
  <c r="L147" i="17"/>
  <c r="D147" i="17" s="1"/>
  <c r="X147" i="17"/>
  <c r="A148" i="17"/>
  <c r="AB147" i="17"/>
  <c r="X147" i="15"/>
  <c r="K147" i="15"/>
  <c r="A148" i="15"/>
  <c r="L147" i="15"/>
  <c r="D147" i="15" s="1"/>
  <c r="AB147" i="15"/>
  <c r="X150" i="1"/>
  <c r="AJ150" i="1"/>
  <c r="K150" i="1"/>
  <c r="AK150" i="1"/>
  <c r="AB150" i="1"/>
  <c r="A151" i="1"/>
  <c r="L150" i="1"/>
  <c r="A145" i="20"/>
  <c r="X144" i="20"/>
  <c r="K144" i="20"/>
  <c r="AB144" i="20"/>
  <c r="L144" i="20"/>
  <c r="A142" i="24"/>
  <c r="AB141" i="24"/>
  <c r="L141" i="24"/>
  <c r="X141" i="24"/>
  <c r="K141" i="24"/>
  <c r="X147" i="16"/>
  <c r="AB147" i="16"/>
  <c r="K147" i="16"/>
  <c r="A148" i="16"/>
  <c r="L147" i="16"/>
  <c r="D147" i="16" s="1"/>
  <c r="A143" i="23"/>
  <c r="L142" i="23"/>
  <c r="AB142" i="23"/>
  <c r="X142" i="23"/>
  <c r="K142" i="23"/>
  <c r="X145" i="18"/>
  <c r="L145" i="18"/>
  <c r="AB145" i="18"/>
  <c r="A146" i="18"/>
  <c r="K145" i="18"/>
  <c r="K140" i="25"/>
  <c r="A141" i="25"/>
  <c r="L140" i="25"/>
  <c r="AB140" i="25"/>
  <c r="X140" i="25"/>
  <c r="K141" i="25"/>
  <c r="AB141" i="25"/>
  <c r="L141" i="25"/>
  <c r="A142" i="25"/>
  <c r="X141" i="25"/>
  <c r="A147" i="18"/>
  <c r="X146" i="18"/>
  <c r="L146" i="18"/>
  <c r="AB146" i="18"/>
  <c r="K146" i="18"/>
  <c r="K143" i="23"/>
  <c r="X143" i="23"/>
  <c r="AB143" i="23"/>
  <c r="L143" i="23"/>
  <c r="A144" i="23"/>
  <c r="X151" i="1"/>
  <c r="AK151" i="1"/>
  <c r="AJ151" i="1"/>
  <c r="K151" i="1"/>
  <c r="L151" i="1"/>
  <c r="AB151" i="1"/>
  <c r="A152" i="1"/>
  <c r="K148" i="17"/>
  <c r="A149" i="17"/>
  <c r="L148" i="17"/>
  <c r="D148" i="17" s="1"/>
  <c r="X148" i="17"/>
  <c r="AB148" i="17"/>
  <c r="K144" i="22"/>
  <c r="A145" i="22"/>
  <c r="L144" i="22"/>
  <c r="AB144" i="22"/>
  <c r="X144" i="22"/>
  <c r="K148" i="16"/>
  <c r="L148" i="16"/>
  <c r="D148" i="16" s="1"/>
  <c r="AB148" i="16"/>
  <c r="X148" i="16"/>
  <c r="A149" i="16"/>
  <c r="K142" i="24"/>
  <c r="L142" i="24"/>
  <c r="X142" i="24"/>
  <c r="AB142" i="24"/>
  <c r="A143" i="24"/>
  <c r="X145" i="20"/>
  <c r="K145" i="20"/>
  <c r="A146" i="20"/>
  <c r="L145" i="20"/>
  <c r="AB145" i="20"/>
  <c r="X148" i="15"/>
  <c r="K148" i="15"/>
  <c r="AB148" i="15"/>
  <c r="A149" i="15"/>
  <c r="L148" i="15"/>
  <c r="D148" i="15" s="1"/>
  <c r="A36" i="7"/>
  <c r="A150" i="15"/>
  <c r="L149" i="15"/>
  <c r="B36" i="7" s="1"/>
  <c r="K149" i="15"/>
  <c r="AB149" i="15"/>
  <c r="X149" i="15"/>
  <c r="X143" i="24"/>
  <c r="A144" i="24"/>
  <c r="AB143" i="24"/>
  <c r="L143" i="24"/>
  <c r="K143" i="24"/>
  <c r="AB145" i="22"/>
  <c r="A146" i="22"/>
  <c r="K145" i="22"/>
  <c r="X145" i="22"/>
  <c r="L145" i="22"/>
  <c r="A153" i="1"/>
  <c r="L152" i="1"/>
  <c r="AB152" i="1"/>
  <c r="AK152" i="1"/>
  <c r="K152" i="1"/>
  <c r="X152" i="1"/>
  <c r="AJ152" i="1"/>
  <c r="L144" i="23"/>
  <c r="K144" i="23"/>
  <c r="AB144" i="23"/>
  <c r="X144" i="23"/>
  <c r="A145" i="23"/>
  <c r="K147" i="18"/>
  <c r="A148" i="18"/>
  <c r="L147" i="18"/>
  <c r="X147" i="18"/>
  <c r="AB147" i="18"/>
  <c r="AB142" i="25"/>
  <c r="A143" i="25"/>
  <c r="K142" i="25"/>
  <c r="L142" i="25"/>
  <c r="X142" i="25"/>
  <c r="L146" i="20"/>
  <c r="K146" i="20"/>
  <c r="A147" i="20"/>
  <c r="AB146" i="20"/>
  <c r="X146" i="20"/>
  <c r="A48" i="7"/>
  <c r="X149" i="16"/>
  <c r="L149" i="16"/>
  <c r="D149" i="16" s="1"/>
  <c r="A150" i="16"/>
  <c r="AB149" i="16"/>
  <c r="K149" i="16"/>
  <c r="A60" i="7"/>
  <c r="L149" i="17"/>
  <c r="X149" i="17"/>
  <c r="A150" i="17"/>
  <c r="AB149" i="17"/>
  <c r="K149" i="17"/>
  <c r="K150" i="17"/>
  <c r="AB150" i="17"/>
  <c r="X150" i="17"/>
  <c r="L150" i="17"/>
  <c r="D150" i="17" s="1"/>
  <c r="A151" i="17"/>
  <c r="K147" i="20"/>
  <c r="AB147" i="20"/>
  <c r="X147" i="20"/>
  <c r="L147" i="20"/>
  <c r="A148" i="20"/>
  <c r="X143" i="25"/>
  <c r="A144" i="25"/>
  <c r="L143" i="25"/>
  <c r="AB143" i="25"/>
  <c r="K143" i="25"/>
  <c r="L145" i="23"/>
  <c r="K145" i="23"/>
  <c r="A146" i="23"/>
  <c r="AB145" i="23"/>
  <c r="X145" i="23"/>
  <c r="X153" i="1"/>
  <c r="K153" i="1"/>
  <c r="AK153" i="1"/>
  <c r="A154" i="1"/>
  <c r="AB153" i="1"/>
  <c r="AJ153" i="1"/>
  <c r="L153" i="1"/>
  <c r="X146" i="22"/>
  <c r="L146" i="22"/>
  <c r="A147" i="22"/>
  <c r="K146" i="22"/>
  <c r="AB146" i="22"/>
  <c r="K150" i="15"/>
  <c r="AB150" i="15"/>
  <c r="X150" i="15"/>
  <c r="L150" i="15"/>
  <c r="D150" i="15" s="1"/>
  <c r="A151" i="15"/>
  <c r="K150" i="16"/>
  <c r="L150" i="16"/>
  <c r="D150" i="16" s="1"/>
  <c r="X150" i="16"/>
  <c r="AB150" i="16"/>
  <c r="A151" i="16"/>
  <c r="A149" i="18"/>
  <c r="K148" i="18"/>
  <c r="X148" i="18"/>
  <c r="AB148" i="18"/>
  <c r="L148" i="18"/>
  <c r="AB144" i="24"/>
  <c r="K144" i="24"/>
  <c r="A145" i="24"/>
  <c r="X144" i="24"/>
  <c r="L144" i="24"/>
  <c r="K151" i="16"/>
  <c r="X151" i="16"/>
  <c r="A152" i="16"/>
  <c r="AB151" i="16"/>
  <c r="L151" i="16"/>
  <c r="D151" i="16" s="1"/>
  <c r="AJ154" i="1"/>
  <c r="AK154" i="1"/>
  <c r="K154" i="1"/>
  <c r="A155" i="1"/>
  <c r="L154" i="1"/>
  <c r="X154" i="1"/>
  <c r="AB154" i="1"/>
  <c r="L144" i="25"/>
  <c r="AB144" i="25"/>
  <c r="K144" i="25"/>
  <c r="X144" i="25"/>
  <c r="A145" i="25"/>
  <c r="K148" i="20"/>
  <c r="A149" i="20"/>
  <c r="X148" i="20"/>
  <c r="AB148" i="20"/>
  <c r="L148" i="20"/>
  <c r="L145" i="24"/>
  <c r="K145" i="24"/>
  <c r="A146" i="24"/>
  <c r="X145" i="24"/>
  <c r="AB145" i="24"/>
  <c r="X149" i="18"/>
  <c r="K149" i="18"/>
  <c r="A72" i="7"/>
  <c r="L149" i="18"/>
  <c r="B72" i="7" s="1"/>
  <c r="AB149" i="18"/>
  <c r="A150" i="18"/>
  <c r="AB151" i="15"/>
  <c r="L151" i="15"/>
  <c r="D151" i="15" s="1"/>
  <c r="X151" i="15"/>
  <c r="K151" i="15"/>
  <c r="A152" i="15"/>
  <c r="K147" i="22"/>
  <c r="L147" i="22"/>
  <c r="X147" i="22"/>
  <c r="A148" i="22"/>
  <c r="AB147" i="22"/>
  <c r="X146" i="23"/>
  <c r="K146" i="23"/>
  <c r="AB146" i="23"/>
  <c r="L146" i="23"/>
  <c r="A147" i="23"/>
  <c r="X151" i="17"/>
  <c r="AB151" i="17"/>
  <c r="A152" i="17"/>
  <c r="K151" i="17"/>
  <c r="L151" i="17"/>
  <c r="D151" i="17" s="1"/>
  <c r="K147" i="23"/>
  <c r="AB147" i="23"/>
  <c r="X147" i="23"/>
  <c r="A148" i="23"/>
  <c r="L147" i="23"/>
  <c r="AB148" i="22"/>
  <c r="A149" i="22"/>
  <c r="L148" i="22"/>
  <c r="K148" i="22"/>
  <c r="X148" i="22"/>
  <c r="L152" i="15"/>
  <c r="D152" i="15" s="1"/>
  <c r="X152" i="15"/>
  <c r="A153" i="15"/>
  <c r="AB152" i="15"/>
  <c r="K152" i="15"/>
  <c r="A151" i="18"/>
  <c r="K150" i="18"/>
  <c r="L150" i="18"/>
  <c r="AB150" i="18"/>
  <c r="X150" i="18"/>
  <c r="AE24" i="7"/>
  <c r="K149" i="20"/>
  <c r="X149" i="20"/>
  <c r="AB149" i="20"/>
  <c r="L149" i="20"/>
  <c r="AF24" i="7" s="1"/>
  <c r="A150" i="20"/>
  <c r="L152" i="16"/>
  <c r="D152" i="16" s="1"/>
  <c r="X152" i="16"/>
  <c r="K152" i="16"/>
  <c r="AB152" i="16"/>
  <c r="A153" i="16"/>
  <c r="X152" i="17"/>
  <c r="L152" i="17"/>
  <c r="D152" i="17" s="1"/>
  <c r="K152" i="17"/>
  <c r="AB152" i="17"/>
  <c r="A153" i="17"/>
  <c r="A147" i="24"/>
  <c r="AB146" i="24"/>
  <c r="K146" i="24"/>
  <c r="X146" i="24"/>
  <c r="L146" i="24"/>
  <c r="L145" i="25"/>
  <c r="K145" i="25"/>
  <c r="AB145" i="25"/>
  <c r="X145" i="25"/>
  <c r="A146" i="25"/>
  <c r="A156" i="1"/>
  <c r="AJ155" i="1"/>
  <c r="L155" i="1"/>
  <c r="K155" i="1"/>
  <c r="AK155" i="1"/>
  <c r="X155" i="1"/>
  <c r="AB155" i="1"/>
  <c r="A157" i="1"/>
  <c r="K156" i="1"/>
  <c r="AK156" i="1"/>
  <c r="L156" i="1"/>
  <c r="AB156" i="1"/>
  <c r="AJ156" i="1"/>
  <c r="X156" i="1"/>
  <c r="L153" i="16"/>
  <c r="D153" i="16" s="1"/>
  <c r="K153" i="16"/>
  <c r="AB153" i="16"/>
  <c r="A154" i="16"/>
  <c r="X153" i="16"/>
  <c r="AB149" i="22"/>
  <c r="A150" i="22"/>
  <c r="AE36" i="7"/>
  <c r="K149" i="22"/>
  <c r="X149" i="22"/>
  <c r="L149" i="22"/>
  <c r="AF36" i="7" s="1"/>
  <c r="AB148" i="23"/>
  <c r="K148" i="23"/>
  <c r="X148" i="23"/>
  <c r="A149" i="23"/>
  <c r="L148" i="23"/>
  <c r="L146" i="25"/>
  <c r="X146" i="25"/>
  <c r="K146" i="25"/>
  <c r="A147" i="25"/>
  <c r="AB146" i="25"/>
  <c r="L147" i="24"/>
  <c r="X147" i="24"/>
  <c r="A148" i="24"/>
  <c r="K147" i="24"/>
  <c r="AB147" i="24"/>
  <c r="AB153" i="17"/>
  <c r="A154" i="17"/>
  <c r="K153" i="17"/>
  <c r="L153" i="17"/>
  <c r="D153" i="17" s="1"/>
  <c r="X153" i="17"/>
  <c r="AB150" i="20"/>
  <c r="X150" i="20"/>
  <c r="K150" i="20"/>
  <c r="A151" i="20"/>
  <c r="L150" i="20"/>
  <c r="L151" i="18"/>
  <c r="AB151" i="18"/>
  <c r="X151" i="18"/>
  <c r="K151" i="18"/>
  <c r="A152" i="18"/>
  <c r="K153" i="15"/>
  <c r="X153" i="15"/>
  <c r="L153" i="15"/>
  <c r="D153" i="15" s="1"/>
  <c r="AB153" i="15"/>
  <c r="A154" i="15"/>
  <c r="AB154" i="15"/>
  <c r="K154" i="15"/>
  <c r="L154" i="15"/>
  <c r="D154" i="15" s="1"/>
  <c r="X154" i="15"/>
  <c r="A155" i="15"/>
  <c r="A153" i="18"/>
  <c r="X152" i="18"/>
  <c r="AB152" i="18"/>
  <c r="L152" i="18"/>
  <c r="K152" i="18"/>
  <c r="AB151" i="20"/>
  <c r="A152" i="20"/>
  <c r="X151" i="20"/>
  <c r="L151" i="20"/>
  <c r="K151" i="20"/>
  <c r="L148" i="24"/>
  <c r="X148" i="24"/>
  <c r="A149" i="24"/>
  <c r="AB148" i="24"/>
  <c r="K148" i="24"/>
  <c r="L147" i="25"/>
  <c r="A148" i="25"/>
  <c r="K147" i="25"/>
  <c r="AB147" i="25"/>
  <c r="X147" i="25"/>
  <c r="L149" i="23"/>
  <c r="AF48" i="7" s="1"/>
  <c r="AE48" i="7"/>
  <c r="AB149" i="23"/>
  <c r="X149" i="23"/>
  <c r="K149" i="23"/>
  <c r="A150" i="23"/>
  <c r="AB154" i="17"/>
  <c r="X154" i="17"/>
  <c r="A155" i="17"/>
  <c r="L154" i="17"/>
  <c r="D154" i="17" s="1"/>
  <c r="K154" i="17"/>
  <c r="L150" i="22"/>
  <c r="A151" i="22"/>
  <c r="X150" i="22"/>
  <c r="AB150" i="22"/>
  <c r="K150" i="22"/>
  <c r="AB154" i="16"/>
  <c r="K154" i="16"/>
  <c r="L154" i="16"/>
  <c r="A155" i="16"/>
  <c r="X154" i="16"/>
  <c r="K157" i="1"/>
  <c r="AK157" i="1"/>
  <c r="AJ157" i="1"/>
  <c r="L157" i="1"/>
  <c r="AB157" i="1"/>
  <c r="X157" i="1"/>
  <c r="A158" i="1"/>
  <c r="D154" i="16"/>
  <c r="X158" i="1"/>
  <c r="AB158" i="1"/>
  <c r="K158" i="1"/>
  <c r="L158" i="1"/>
  <c r="AK158" i="1"/>
  <c r="A159" i="1"/>
  <c r="AJ158" i="1"/>
  <c r="X155" i="16"/>
  <c r="AB155" i="16"/>
  <c r="A156" i="16"/>
  <c r="L155" i="16"/>
  <c r="D155" i="16" s="1"/>
  <c r="K155" i="16"/>
  <c r="X151" i="22"/>
  <c r="A152" i="22"/>
  <c r="L151" i="22"/>
  <c r="AB151" i="22"/>
  <c r="K151" i="22"/>
  <c r="L155" i="17"/>
  <c r="D155" i="17" s="1"/>
  <c r="X155" i="17"/>
  <c r="AB155" i="17"/>
  <c r="K155" i="17"/>
  <c r="A156" i="17"/>
  <c r="A151" i="23"/>
  <c r="X150" i="23"/>
  <c r="AB150" i="23"/>
  <c r="L150" i="23"/>
  <c r="K150" i="23"/>
  <c r="AB148" i="25"/>
  <c r="K148" i="25"/>
  <c r="A149" i="25"/>
  <c r="L148" i="25"/>
  <c r="X148" i="25"/>
  <c r="X153" i="18"/>
  <c r="AB153" i="18"/>
  <c r="A154" i="18"/>
  <c r="K153" i="18"/>
  <c r="L153" i="18"/>
  <c r="L149" i="24"/>
  <c r="AF60" i="7" s="1"/>
  <c r="AB149" i="24"/>
  <c r="X149" i="24"/>
  <c r="AE60" i="7"/>
  <c r="A150" i="24"/>
  <c r="K149" i="24"/>
  <c r="AB152" i="20"/>
  <c r="K152" i="20"/>
  <c r="X152" i="20"/>
  <c r="L152" i="20"/>
  <c r="A153" i="20"/>
  <c r="K155" i="15"/>
  <c r="X155" i="15"/>
  <c r="A156" i="15"/>
  <c r="AB155" i="15"/>
  <c r="L155" i="15"/>
  <c r="D155" i="15" s="1"/>
  <c r="X156" i="15"/>
  <c r="AB156" i="15"/>
  <c r="K156" i="15"/>
  <c r="A157" i="15"/>
  <c r="L156" i="15"/>
  <c r="A151" i="24"/>
  <c r="AB150" i="24"/>
  <c r="K150" i="24"/>
  <c r="X150" i="24"/>
  <c r="L150" i="24"/>
  <c r="AE72" i="7"/>
  <c r="L149" i="25"/>
  <c r="AB149" i="25"/>
  <c r="K149" i="25"/>
  <c r="X149" i="25"/>
  <c r="A150" i="25"/>
  <c r="K156" i="17"/>
  <c r="A157" i="17"/>
  <c r="L156" i="17"/>
  <c r="D156" i="17" s="1"/>
  <c r="X156" i="17"/>
  <c r="AB156" i="17"/>
  <c r="AJ159" i="1"/>
  <c r="K159" i="1"/>
  <c r="L159" i="1"/>
  <c r="AB159" i="1"/>
  <c r="AK159" i="1"/>
  <c r="X159" i="1"/>
  <c r="A160" i="1"/>
  <c r="K153" i="20"/>
  <c r="L153" i="20"/>
  <c r="X153" i="20"/>
  <c r="A154" i="20"/>
  <c r="AB153" i="20"/>
  <c r="X154" i="18"/>
  <c r="L154" i="18"/>
  <c r="AB154" i="18"/>
  <c r="A155" i="18"/>
  <c r="K154" i="18"/>
  <c r="K151" i="23"/>
  <c r="X151" i="23"/>
  <c r="AB151" i="23"/>
  <c r="A152" i="23"/>
  <c r="L151" i="23"/>
  <c r="X152" i="22"/>
  <c r="K152" i="22"/>
  <c r="L152" i="22"/>
  <c r="A153" i="22"/>
  <c r="AB152" i="22"/>
  <c r="X156" i="16"/>
  <c r="A157" i="16"/>
  <c r="L156" i="16"/>
  <c r="D156" i="16" s="1"/>
  <c r="AB156" i="16"/>
  <c r="K156" i="16"/>
  <c r="X157" i="16"/>
  <c r="K157" i="16"/>
  <c r="A158" i="16"/>
  <c r="AB157" i="16"/>
  <c r="L157" i="16"/>
  <c r="D157" i="16" s="1"/>
  <c r="X152" i="23"/>
  <c r="AB152" i="23"/>
  <c r="K152" i="23"/>
  <c r="A153" i="23"/>
  <c r="L152" i="23"/>
  <c r="AB155" i="18"/>
  <c r="K155" i="18"/>
  <c r="A156" i="18"/>
  <c r="L155" i="18"/>
  <c r="X155" i="18"/>
  <c r="K154" i="20"/>
  <c r="AB154" i="20"/>
  <c r="A155" i="20"/>
  <c r="L154" i="20"/>
  <c r="X154" i="20"/>
  <c r="AF72" i="7"/>
  <c r="L151" i="24"/>
  <c r="A152" i="24"/>
  <c r="X151" i="24"/>
  <c r="AB151" i="24"/>
  <c r="K151" i="24"/>
  <c r="A158" i="15"/>
  <c r="AB157" i="15"/>
  <c r="L157" i="15"/>
  <c r="X157" i="15"/>
  <c r="K157" i="15"/>
  <c r="AB153" i="22"/>
  <c r="L153" i="22"/>
  <c r="X153" i="22"/>
  <c r="A154" i="22"/>
  <c r="K153" i="22"/>
  <c r="A161" i="1"/>
  <c r="AK160" i="1"/>
  <c r="K160" i="1"/>
  <c r="AB160" i="1"/>
  <c r="AJ160" i="1"/>
  <c r="L160" i="1"/>
  <c r="X160" i="1"/>
  <c r="L157" i="17"/>
  <c r="D157" i="17" s="1"/>
  <c r="K157" i="17"/>
  <c r="A158" i="17"/>
  <c r="AB157" i="17"/>
  <c r="X157" i="17"/>
  <c r="X150" i="25"/>
  <c r="L150" i="25"/>
  <c r="A151" i="25"/>
  <c r="AB150" i="25"/>
  <c r="K150" i="25"/>
  <c r="D156" i="15"/>
  <c r="A152" i="25"/>
  <c r="K151" i="25"/>
  <c r="AB151" i="25"/>
  <c r="X151" i="25"/>
  <c r="L151" i="25"/>
  <c r="L158" i="17"/>
  <c r="D158" i="17" s="1"/>
  <c r="AB158" i="17"/>
  <c r="A159" i="17"/>
  <c r="X158" i="17"/>
  <c r="K158" i="17"/>
  <c r="A162" i="1"/>
  <c r="AK161" i="1"/>
  <c r="K161" i="1"/>
  <c r="AJ161" i="1"/>
  <c r="X161" i="1"/>
  <c r="AB161" i="1"/>
  <c r="L161" i="1"/>
  <c r="K154" i="22"/>
  <c r="A155" i="22"/>
  <c r="L154" i="22"/>
  <c r="AB154" i="22"/>
  <c r="X154" i="22"/>
  <c r="D157" i="15"/>
  <c r="K158" i="15"/>
  <c r="X158" i="15"/>
  <c r="L158" i="15"/>
  <c r="D158" i="15" s="1"/>
  <c r="A159" i="15"/>
  <c r="AB158" i="15"/>
  <c r="AB152" i="24"/>
  <c r="K152" i="24"/>
  <c r="X152" i="24"/>
  <c r="A153" i="24"/>
  <c r="L152" i="24"/>
  <c r="K155" i="20"/>
  <c r="AB155" i="20"/>
  <c r="A156" i="20"/>
  <c r="X155" i="20"/>
  <c r="L155" i="20"/>
  <c r="A157" i="18"/>
  <c r="K156" i="18"/>
  <c r="X156" i="18"/>
  <c r="AB156" i="18"/>
  <c r="L156" i="18"/>
  <c r="L153" i="23"/>
  <c r="AB153" i="23"/>
  <c r="K153" i="23"/>
  <c r="A154" i="23"/>
  <c r="X153" i="23"/>
  <c r="A159" i="16"/>
  <c r="K158" i="16"/>
  <c r="AB158" i="16"/>
  <c r="L158" i="16"/>
  <c r="X158" i="16"/>
  <c r="A160" i="16"/>
  <c r="AB159" i="16"/>
  <c r="K159" i="16"/>
  <c r="L159" i="16"/>
  <c r="D159" i="16" s="1"/>
  <c r="X159" i="16"/>
  <c r="L154" i="23"/>
  <c r="A155" i="23"/>
  <c r="K154" i="23"/>
  <c r="X154" i="23"/>
  <c r="AB154" i="23"/>
  <c r="K157" i="18"/>
  <c r="A158" i="18"/>
  <c r="X157" i="18"/>
  <c r="L157" i="18"/>
  <c r="AB157" i="18"/>
  <c r="A160" i="15"/>
  <c r="X159" i="15"/>
  <c r="AB159" i="15"/>
  <c r="K159" i="15"/>
  <c r="L159" i="15"/>
  <c r="D159" i="15" s="1"/>
  <c r="L155" i="22"/>
  <c r="X155" i="22"/>
  <c r="A156" i="22"/>
  <c r="K155" i="22"/>
  <c r="AB155" i="22"/>
  <c r="A163" i="1"/>
  <c r="X162" i="1"/>
  <c r="K162" i="1"/>
  <c r="L162" i="1"/>
  <c r="AJ162" i="1"/>
  <c r="AK162" i="1"/>
  <c r="AB162" i="1"/>
  <c r="D158" i="16"/>
  <c r="X156" i="20"/>
  <c r="A157" i="20"/>
  <c r="AB156" i="20"/>
  <c r="L156" i="20"/>
  <c r="K156" i="20"/>
  <c r="X153" i="24"/>
  <c r="L153" i="24"/>
  <c r="K153" i="24"/>
  <c r="A154" i="24"/>
  <c r="AB153" i="24"/>
  <c r="A160" i="17"/>
  <c r="L159" i="17"/>
  <c r="D159" i="17" s="1"/>
  <c r="K159" i="17"/>
  <c r="X159" i="17"/>
  <c r="AB159" i="17"/>
  <c r="A153" i="25"/>
  <c r="L152" i="25"/>
  <c r="AB152" i="25"/>
  <c r="K152" i="25"/>
  <c r="X152" i="25"/>
  <c r="K153" i="25"/>
  <c r="A154" i="25"/>
  <c r="L153" i="25"/>
  <c r="AB153" i="25"/>
  <c r="X153" i="25"/>
  <c r="L160" i="17"/>
  <c r="D160" i="17" s="1"/>
  <c r="A161" i="17"/>
  <c r="K160" i="17"/>
  <c r="AB160" i="17"/>
  <c r="X160" i="17"/>
  <c r="AB154" i="24"/>
  <c r="X154" i="24"/>
  <c r="L154" i="24"/>
  <c r="K154" i="24"/>
  <c r="A155" i="24"/>
  <c r="K160" i="15"/>
  <c r="AB160" i="15"/>
  <c r="X160" i="15"/>
  <c r="A161" i="15"/>
  <c r="L160" i="15"/>
  <c r="D160" i="15" s="1"/>
  <c r="X155" i="23"/>
  <c r="A156" i="23"/>
  <c r="L155" i="23"/>
  <c r="AB155" i="23"/>
  <c r="K155" i="23"/>
  <c r="K157" i="20"/>
  <c r="A158" i="20"/>
  <c r="AB157" i="20"/>
  <c r="X157" i="20"/>
  <c r="L157" i="20"/>
  <c r="AK163" i="1"/>
  <c r="AB163" i="1"/>
  <c r="X163" i="1"/>
  <c r="A164" i="1"/>
  <c r="AJ163" i="1"/>
  <c r="L163" i="1"/>
  <c r="K163" i="1"/>
  <c r="A157" i="22"/>
  <c r="X156" i="22"/>
  <c r="K156" i="22"/>
  <c r="AB156" i="22"/>
  <c r="L156" i="22"/>
  <c r="X158" i="18"/>
  <c r="A159" i="18"/>
  <c r="L158" i="18"/>
  <c r="K158" i="18"/>
  <c r="AB158" i="18"/>
  <c r="X160" i="16"/>
  <c r="AB160" i="16"/>
  <c r="K160" i="16"/>
  <c r="L160" i="16"/>
  <c r="D160" i="16" s="1"/>
  <c r="A161" i="16"/>
  <c r="X161" i="16"/>
  <c r="AB161" i="16"/>
  <c r="A162" i="16"/>
  <c r="K161" i="16"/>
  <c r="L161" i="16"/>
  <c r="D161" i="16" s="1"/>
  <c r="AB161" i="15"/>
  <c r="K161" i="15"/>
  <c r="X161" i="15"/>
  <c r="A162" i="15"/>
  <c r="L161" i="15"/>
  <c r="D161" i="15" s="1"/>
  <c r="X154" i="25"/>
  <c r="AB154" i="25"/>
  <c r="K154" i="25"/>
  <c r="A155" i="25"/>
  <c r="L154" i="25"/>
  <c r="L159" i="18"/>
  <c r="AB159" i="18"/>
  <c r="A160" i="18"/>
  <c r="K159" i="18"/>
  <c r="X159" i="18"/>
  <c r="A158" i="22"/>
  <c r="X157" i="22"/>
  <c r="L157" i="22"/>
  <c r="K157" i="22"/>
  <c r="AB157" i="22"/>
  <c r="AK164" i="1"/>
  <c r="L164" i="1"/>
  <c r="K164" i="1"/>
  <c r="AJ164" i="1"/>
  <c r="X164" i="1"/>
  <c r="AB164" i="1"/>
  <c r="A165" i="1"/>
  <c r="L158" i="20"/>
  <c r="X158" i="20"/>
  <c r="K158" i="20"/>
  <c r="AB158" i="20"/>
  <c r="A159" i="20"/>
  <c r="A157" i="23"/>
  <c r="AB156" i="23"/>
  <c r="X156" i="23"/>
  <c r="K156" i="23"/>
  <c r="L156" i="23"/>
  <c r="AB155" i="24"/>
  <c r="A156" i="24"/>
  <c r="K155" i="24"/>
  <c r="L155" i="24"/>
  <c r="X155" i="24"/>
  <c r="K161" i="17"/>
  <c r="A162" i="17"/>
  <c r="X161" i="17"/>
  <c r="L161" i="17"/>
  <c r="AB161" i="17"/>
  <c r="D161" i="17"/>
  <c r="X156" i="24"/>
  <c r="K156" i="24"/>
  <c r="A157" i="24"/>
  <c r="L156" i="24"/>
  <c r="AB156" i="24"/>
  <c r="AB157" i="23"/>
  <c r="K157" i="23"/>
  <c r="L157" i="23"/>
  <c r="X157" i="23"/>
  <c r="A158" i="23"/>
  <c r="L159" i="20"/>
  <c r="A160" i="20"/>
  <c r="AB159" i="20"/>
  <c r="K159" i="20"/>
  <c r="X159" i="20"/>
  <c r="A166" i="1"/>
  <c r="AB165" i="1"/>
  <c r="AK165" i="1"/>
  <c r="L165" i="1"/>
  <c r="AJ165" i="1"/>
  <c r="K165" i="1"/>
  <c r="X165" i="1"/>
  <c r="AB160" i="18"/>
  <c r="X160" i="18"/>
  <c r="A161" i="18"/>
  <c r="L160" i="18"/>
  <c r="K160" i="18"/>
  <c r="A156" i="25"/>
  <c r="L155" i="25"/>
  <c r="K155" i="25"/>
  <c r="X155" i="25"/>
  <c r="AB155" i="25"/>
  <c r="L162" i="15"/>
  <c r="D162" i="15" s="1"/>
  <c r="AB162" i="15"/>
  <c r="X162" i="15"/>
  <c r="K162" i="15"/>
  <c r="A163" i="15"/>
  <c r="A163" i="17"/>
  <c r="X162" i="17"/>
  <c r="L162" i="17"/>
  <c r="D162" i="17" s="1"/>
  <c r="AB162" i="17"/>
  <c r="K162" i="17"/>
  <c r="K158" i="22"/>
  <c r="A159" i="22"/>
  <c r="AB158" i="22"/>
  <c r="X158" i="22"/>
  <c r="L158" i="22"/>
  <c r="K162" i="16"/>
  <c r="X162" i="16"/>
  <c r="L162" i="16"/>
  <c r="A163" i="16"/>
  <c r="AB162" i="16"/>
  <c r="L159" i="22"/>
  <c r="AB159" i="22"/>
  <c r="K159" i="22"/>
  <c r="A160" i="22"/>
  <c r="X159" i="22"/>
  <c r="K161" i="18"/>
  <c r="X161" i="18"/>
  <c r="L161" i="18"/>
  <c r="AB161" i="18"/>
  <c r="A162" i="18"/>
  <c r="A167" i="1"/>
  <c r="AK166" i="1"/>
  <c r="AB166" i="1"/>
  <c r="L166" i="1"/>
  <c r="AJ166" i="1"/>
  <c r="X166" i="1"/>
  <c r="K166" i="1"/>
  <c r="AB157" i="24"/>
  <c r="A158" i="24"/>
  <c r="K157" i="24"/>
  <c r="X157" i="24"/>
  <c r="L157" i="24"/>
  <c r="X163" i="16"/>
  <c r="AB163" i="16"/>
  <c r="K163" i="16"/>
  <c r="A164" i="16"/>
  <c r="L163" i="16"/>
  <c r="D163" i="16" s="1"/>
  <c r="D162" i="16"/>
  <c r="A164" i="17"/>
  <c r="L163" i="17"/>
  <c r="D163" i="17" s="1"/>
  <c r="K163" i="17"/>
  <c r="X163" i="17"/>
  <c r="AB163" i="17"/>
  <c r="L163" i="15"/>
  <c r="D163" i="15" s="1"/>
  <c r="X163" i="15"/>
  <c r="K163" i="15"/>
  <c r="AB163" i="15"/>
  <c r="A164" i="15"/>
  <c r="AB156" i="25"/>
  <c r="X156" i="25"/>
  <c r="A157" i="25"/>
  <c r="L156" i="25"/>
  <c r="K156" i="25"/>
  <c r="K160" i="20"/>
  <c r="A161" i="20"/>
  <c r="AB160" i="20"/>
  <c r="L160" i="20"/>
  <c r="X160" i="20"/>
  <c r="X158" i="23"/>
  <c r="K158" i="23"/>
  <c r="A159" i="23"/>
  <c r="L158" i="23"/>
  <c r="AB158" i="23"/>
  <c r="K164" i="15"/>
  <c r="L164" i="15"/>
  <c r="D164" i="15" s="1"/>
  <c r="X164" i="15"/>
  <c r="A165" i="15"/>
  <c r="AB164" i="15"/>
  <c r="L158" i="24"/>
  <c r="AB158" i="24"/>
  <c r="A159" i="24"/>
  <c r="K158" i="24"/>
  <c r="X158" i="24"/>
  <c r="A168" i="1"/>
  <c r="X167" i="1"/>
  <c r="AK167" i="1"/>
  <c r="AB167" i="1"/>
  <c r="K167" i="1"/>
  <c r="AJ167" i="1"/>
  <c r="L167" i="1"/>
  <c r="X159" i="23"/>
  <c r="K159" i="23"/>
  <c r="AB159" i="23"/>
  <c r="L159" i="23"/>
  <c r="A160" i="23"/>
  <c r="X161" i="20"/>
  <c r="AB161" i="20"/>
  <c r="A162" i="20"/>
  <c r="K161" i="20"/>
  <c r="L161" i="20"/>
  <c r="L157" i="25"/>
  <c r="X157" i="25"/>
  <c r="K157" i="25"/>
  <c r="A158" i="25"/>
  <c r="AB157" i="25"/>
  <c r="AB164" i="17"/>
  <c r="X164" i="17"/>
  <c r="A165" i="17"/>
  <c r="K164" i="17"/>
  <c r="L164" i="17"/>
  <c r="D164" i="17" s="1"/>
  <c r="K164" i="16"/>
  <c r="AB164" i="16"/>
  <c r="L164" i="16"/>
  <c r="A165" i="16"/>
  <c r="X164" i="16"/>
  <c r="X162" i="18"/>
  <c r="K162" i="18"/>
  <c r="A163" i="18"/>
  <c r="L162" i="18"/>
  <c r="AB162" i="18"/>
  <c r="K160" i="22"/>
  <c r="AB160" i="22"/>
  <c r="A161" i="22"/>
  <c r="L160" i="22"/>
  <c r="X160" i="22"/>
  <c r="X163" i="18"/>
  <c r="AB163" i="18"/>
  <c r="K163" i="18"/>
  <c r="L163" i="18"/>
  <c r="A164" i="18"/>
  <c r="D164" i="16"/>
  <c r="AB160" i="23"/>
  <c r="L160" i="23"/>
  <c r="A161" i="23"/>
  <c r="K160" i="23"/>
  <c r="X160" i="23"/>
  <c r="AJ168" i="1"/>
  <c r="X168" i="1"/>
  <c r="AK168" i="1"/>
  <c r="AB168" i="1"/>
  <c r="K168" i="1"/>
  <c r="L168" i="1"/>
  <c r="A169" i="1"/>
  <c r="A162" i="22"/>
  <c r="K161" i="22"/>
  <c r="L161" i="22"/>
  <c r="AB161" i="22"/>
  <c r="X161" i="22"/>
  <c r="X165" i="16"/>
  <c r="A166" i="16"/>
  <c r="K165" i="16"/>
  <c r="L165" i="16"/>
  <c r="D165" i="16" s="1"/>
  <c r="AB165" i="16"/>
  <c r="K165" i="17"/>
  <c r="X165" i="17"/>
  <c r="A166" i="17"/>
  <c r="L165" i="17"/>
  <c r="D165" i="17" s="1"/>
  <c r="AB165" i="17"/>
  <c r="AB158" i="25"/>
  <c r="L158" i="25"/>
  <c r="K158" i="25"/>
  <c r="X158" i="25"/>
  <c r="A159" i="25"/>
  <c r="K162" i="20"/>
  <c r="A163" i="20"/>
  <c r="AB162" i="20"/>
  <c r="L162" i="20"/>
  <c r="X162" i="20"/>
  <c r="AB159" i="24"/>
  <c r="A160" i="24"/>
  <c r="K159" i="24"/>
  <c r="X159" i="24"/>
  <c r="L159" i="24"/>
  <c r="X165" i="15"/>
  <c r="A166" i="15"/>
  <c r="AB165" i="15"/>
  <c r="L165" i="15"/>
  <c r="K165" i="15"/>
  <c r="D165" i="15"/>
  <c r="A163" i="22"/>
  <c r="K162" i="22"/>
  <c r="AB162" i="22"/>
  <c r="L162" i="22"/>
  <c r="X162" i="22"/>
  <c r="X161" i="23"/>
  <c r="AB161" i="23"/>
  <c r="A162" i="23"/>
  <c r="K161" i="23"/>
  <c r="L161" i="23"/>
  <c r="K166" i="15"/>
  <c r="L166" i="15"/>
  <c r="D166" i="15" s="1"/>
  <c r="X166" i="15"/>
  <c r="AB166" i="15"/>
  <c r="A167" i="15"/>
  <c r="L160" i="24"/>
  <c r="X160" i="24"/>
  <c r="AB160" i="24"/>
  <c r="A161" i="24"/>
  <c r="K160" i="24"/>
  <c r="AB163" i="20"/>
  <c r="A164" i="20"/>
  <c r="K163" i="20"/>
  <c r="L163" i="20"/>
  <c r="X163" i="20"/>
  <c r="A160" i="25"/>
  <c r="X159" i="25"/>
  <c r="AB159" i="25"/>
  <c r="K159" i="25"/>
  <c r="L159" i="25"/>
  <c r="K166" i="17"/>
  <c r="L166" i="17"/>
  <c r="D166" i="17" s="1"/>
  <c r="A167" i="17"/>
  <c r="X166" i="17"/>
  <c r="AB166" i="17"/>
  <c r="AB166" i="16"/>
  <c r="K166" i="16"/>
  <c r="L166" i="16"/>
  <c r="D166" i="16" s="1"/>
  <c r="X166" i="16"/>
  <c r="A167" i="16"/>
  <c r="AK169" i="1"/>
  <c r="X169" i="1"/>
  <c r="K169" i="1"/>
  <c r="AJ169" i="1"/>
  <c r="L169" i="1"/>
  <c r="AB169" i="1"/>
  <c r="A170" i="1"/>
  <c r="AB164" i="18"/>
  <c r="L164" i="18"/>
  <c r="A165" i="18"/>
  <c r="K164" i="18"/>
  <c r="X164" i="18"/>
  <c r="X167" i="17"/>
  <c r="AB167" i="17"/>
  <c r="L167" i="17"/>
  <c r="D167" i="17" s="1"/>
  <c r="A168" i="17"/>
  <c r="K167" i="17"/>
  <c r="K160" i="25"/>
  <c r="AB160" i="25"/>
  <c r="X160" i="25"/>
  <c r="L160" i="25"/>
  <c r="A161" i="25"/>
  <c r="A165" i="20"/>
  <c r="K164" i="20"/>
  <c r="L164" i="20"/>
  <c r="AB164" i="20"/>
  <c r="X164" i="20"/>
  <c r="AB161" i="24"/>
  <c r="X161" i="24"/>
  <c r="K161" i="24"/>
  <c r="A162" i="24"/>
  <c r="L161" i="24"/>
  <c r="K167" i="15"/>
  <c r="AB167" i="15"/>
  <c r="X167" i="15"/>
  <c r="L167" i="15"/>
  <c r="D167" i="15" s="1"/>
  <c r="A168" i="15"/>
  <c r="X165" i="18"/>
  <c r="L165" i="18"/>
  <c r="K165" i="18"/>
  <c r="A166" i="18"/>
  <c r="AB165" i="18"/>
  <c r="X170" i="1"/>
  <c r="L170" i="1"/>
  <c r="AJ170" i="1"/>
  <c r="A171" i="1"/>
  <c r="K170" i="1"/>
  <c r="AB170" i="1"/>
  <c r="AK170" i="1"/>
  <c r="A168" i="16"/>
  <c r="X167" i="16"/>
  <c r="L167" i="16"/>
  <c r="D167" i="16" s="1"/>
  <c r="AB167" i="16"/>
  <c r="K167" i="16"/>
  <c r="AB162" i="23"/>
  <c r="K162" i="23"/>
  <c r="A163" i="23"/>
  <c r="L162" i="23"/>
  <c r="X162" i="23"/>
  <c r="X163" i="22"/>
  <c r="AB163" i="22"/>
  <c r="L163" i="22"/>
  <c r="A164" i="22"/>
  <c r="K163" i="22"/>
  <c r="L166" i="18"/>
  <c r="A167" i="18"/>
  <c r="K166" i="18"/>
  <c r="X166" i="18"/>
  <c r="AB166" i="18"/>
  <c r="X161" i="25"/>
  <c r="AB161" i="25"/>
  <c r="K161" i="25"/>
  <c r="A162" i="25"/>
  <c r="L161" i="25"/>
  <c r="L164" i="22"/>
  <c r="K164" i="22"/>
  <c r="AB164" i="22"/>
  <c r="X164" i="22"/>
  <c r="A165" i="22"/>
  <c r="L163" i="23"/>
  <c r="AB163" i="23"/>
  <c r="X163" i="23"/>
  <c r="K163" i="23"/>
  <c r="A164" i="23"/>
  <c r="A169" i="16"/>
  <c r="K168" i="16"/>
  <c r="L168" i="16"/>
  <c r="D168" i="16" s="1"/>
  <c r="AB168" i="16"/>
  <c r="X168" i="16"/>
  <c r="AK171" i="1"/>
  <c r="L171" i="1"/>
  <c r="AB171" i="1"/>
  <c r="A172" i="1"/>
  <c r="X171" i="1"/>
  <c r="K171" i="1"/>
  <c r="AJ171" i="1"/>
  <c r="A169" i="15"/>
  <c r="K168" i="15"/>
  <c r="AB168" i="15"/>
  <c r="X168" i="15"/>
  <c r="L168" i="15"/>
  <c r="D168" i="15" s="1"/>
  <c r="K162" i="24"/>
  <c r="AB162" i="24"/>
  <c r="L162" i="24"/>
  <c r="A163" i="24"/>
  <c r="X162" i="24"/>
  <c r="X165" i="20"/>
  <c r="A166" i="20"/>
  <c r="L165" i="20"/>
  <c r="K165" i="20"/>
  <c r="AB165" i="20"/>
  <c r="L168" i="17"/>
  <c r="D168" i="17" s="1"/>
  <c r="K168" i="17"/>
  <c r="X168" i="17"/>
  <c r="A169" i="17"/>
  <c r="AB168" i="17"/>
  <c r="K169" i="17"/>
  <c r="L169" i="17"/>
  <c r="D169" i="17" s="1"/>
  <c r="X169" i="17"/>
  <c r="AB169" i="17"/>
  <c r="A170" i="17"/>
  <c r="A167" i="20"/>
  <c r="X166" i="20"/>
  <c r="AB166" i="20"/>
  <c r="K166" i="20"/>
  <c r="L166" i="20"/>
  <c r="K163" i="24"/>
  <c r="AB163" i="24"/>
  <c r="A164" i="24"/>
  <c r="X163" i="24"/>
  <c r="L163" i="24"/>
  <c r="L169" i="15"/>
  <c r="D169" i="15" s="1"/>
  <c r="A170" i="15"/>
  <c r="AB169" i="15"/>
  <c r="X169" i="15"/>
  <c r="K169" i="15"/>
  <c r="A166" i="22"/>
  <c r="X165" i="22"/>
  <c r="AB165" i="22"/>
  <c r="K165" i="22"/>
  <c r="L165" i="22"/>
  <c r="AB167" i="18"/>
  <c r="A168" i="18"/>
  <c r="L167" i="18"/>
  <c r="X167" i="18"/>
  <c r="K167" i="18"/>
  <c r="A173" i="1"/>
  <c r="L172" i="1"/>
  <c r="AB172" i="1"/>
  <c r="AJ172" i="1"/>
  <c r="K172" i="1"/>
  <c r="AK172" i="1"/>
  <c r="X172" i="1"/>
  <c r="A170" i="16"/>
  <c r="K169" i="16"/>
  <c r="X169" i="16"/>
  <c r="AB169" i="16"/>
  <c r="L169" i="16"/>
  <c r="A165" i="23"/>
  <c r="L164" i="23"/>
  <c r="AB164" i="23"/>
  <c r="K164" i="23"/>
  <c r="X164" i="23"/>
  <c r="K162" i="25"/>
  <c r="L162" i="25"/>
  <c r="AB162" i="25"/>
  <c r="X162" i="25"/>
  <c r="A163" i="25"/>
  <c r="K165" i="23"/>
  <c r="L165" i="23"/>
  <c r="A166" i="23"/>
  <c r="AB165" i="23"/>
  <c r="X165" i="23"/>
  <c r="D169" i="16"/>
  <c r="K168" i="18"/>
  <c r="L168" i="18"/>
  <c r="A169" i="18"/>
  <c r="AB168" i="18"/>
  <c r="X168" i="18"/>
  <c r="A167" i="22"/>
  <c r="K166" i="22"/>
  <c r="X166" i="22"/>
  <c r="AB166" i="22"/>
  <c r="L166" i="22"/>
  <c r="K170" i="15"/>
  <c r="AB170" i="15"/>
  <c r="A171" i="15"/>
  <c r="X170" i="15"/>
  <c r="L170" i="15"/>
  <c r="K164" i="24"/>
  <c r="A165" i="24"/>
  <c r="X164" i="24"/>
  <c r="L164" i="24"/>
  <c r="AB164" i="24"/>
  <c r="L163" i="25"/>
  <c r="A164" i="25"/>
  <c r="K163" i="25"/>
  <c r="X163" i="25"/>
  <c r="AB163" i="25"/>
  <c r="L170" i="16"/>
  <c r="D170" i="16" s="1"/>
  <c r="K170" i="16"/>
  <c r="X170" i="16"/>
  <c r="A171" i="16"/>
  <c r="AB170" i="16"/>
  <c r="A174" i="1"/>
  <c r="K173" i="1"/>
  <c r="AK173" i="1"/>
  <c r="L173" i="1"/>
  <c r="AJ173" i="1"/>
  <c r="AB173" i="1"/>
  <c r="X173" i="1"/>
  <c r="I169" i="1"/>
  <c r="K167" i="20"/>
  <c r="X167" i="20"/>
  <c r="A168" i="20"/>
  <c r="AB167" i="20"/>
  <c r="L167" i="20"/>
  <c r="AB170" i="17"/>
  <c r="A171" i="17"/>
  <c r="K170" i="17"/>
  <c r="L170" i="17"/>
  <c r="D170" i="17" s="1"/>
  <c r="X170" i="17"/>
  <c r="I170" i="1"/>
  <c r="A175" i="1"/>
  <c r="AB174" i="1"/>
  <c r="K174" i="1"/>
  <c r="X174" i="1"/>
  <c r="L174" i="1"/>
  <c r="AJ174" i="1"/>
  <c r="AK174" i="1"/>
  <c r="L171" i="16"/>
  <c r="D171" i="16" s="1"/>
  <c r="AB171" i="16"/>
  <c r="A172" i="16"/>
  <c r="K171" i="16"/>
  <c r="X171" i="16"/>
  <c r="K165" i="24"/>
  <c r="AB165" i="24"/>
  <c r="A166" i="24"/>
  <c r="L165" i="24"/>
  <c r="X165" i="24"/>
  <c r="D170" i="15"/>
  <c r="A168" i="22"/>
  <c r="K167" i="22"/>
  <c r="X167" i="22"/>
  <c r="L167" i="22"/>
  <c r="AB167" i="22"/>
  <c r="X169" i="18"/>
  <c r="L169" i="18"/>
  <c r="K169" i="18"/>
  <c r="A170" i="18"/>
  <c r="AB169" i="18"/>
  <c r="L171" i="17"/>
  <c r="D171" i="17" s="1"/>
  <c r="AB171" i="17"/>
  <c r="K171" i="17"/>
  <c r="X171" i="17"/>
  <c r="A172" i="17"/>
  <c r="AB168" i="20"/>
  <c r="A169" i="20"/>
  <c r="L168" i="20"/>
  <c r="X168" i="20"/>
  <c r="K168" i="20"/>
  <c r="A165" i="25"/>
  <c r="K164" i="25"/>
  <c r="AB164" i="25"/>
  <c r="L164" i="25"/>
  <c r="X164" i="25"/>
  <c r="L171" i="15"/>
  <c r="X171" i="15"/>
  <c r="K171" i="15"/>
  <c r="AB171" i="15"/>
  <c r="A172" i="15"/>
  <c r="AB166" i="23"/>
  <c r="A167" i="23"/>
  <c r="X166" i="23"/>
  <c r="K166" i="23"/>
  <c r="L166" i="23"/>
  <c r="D171" i="15"/>
  <c r="I171" i="1"/>
  <c r="A171" i="18"/>
  <c r="L170" i="18"/>
  <c r="AB170" i="18"/>
  <c r="K170" i="18"/>
  <c r="X170" i="18"/>
  <c r="AB168" i="22"/>
  <c r="A169" i="22"/>
  <c r="X168" i="22"/>
  <c r="K168" i="22"/>
  <c r="L168" i="22"/>
  <c r="A167" i="24"/>
  <c r="K166" i="24"/>
  <c r="L166" i="24"/>
  <c r="X166" i="24"/>
  <c r="AB166" i="24"/>
  <c r="L167" i="23"/>
  <c r="K167" i="23"/>
  <c r="AB167" i="23"/>
  <c r="A168" i="23"/>
  <c r="X167" i="23"/>
  <c r="K172" i="15"/>
  <c r="X172" i="15"/>
  <c r="L172" i="15"/>
  <c r="D172" i="15" s="1"/>
  <c r="A173" i="15"/>
  <c r="AB172" i="15"/>
  <c r="K165" i="25"/>
  <c r="A166" i="25"/>
  <c r="X165" i="25"/>
  <c r="AB165" i="25"/>
  <c r="L165" i="25"/>
  <c r="AB169" i="20"/>
  <c r="L169" i="20"/>
  <c r="A170" i="20"/>
  <c r="K169" i="20"/>
  <c r="X169" i="20"/>
  <c r="K172" i="17"/>
  <c r="A173" i="17"/>
  <c r="L172" i="17"/>
  <c r="D172" i="17" s="1"/>
  <c r="AB172" i="17"/>
  <c r="X172" i="17"/>
  <c r="L172" i="16"/>
  <c r="D172" i="16" s="1"/>
  <c r="AB172" i="16"/>
  <c r="K172" i="16"/>
  <c r="A173" i="16"/>
  <c r="X172" i="16"/>
  <c r="AJ175" i="1"/>
  <c r="AK175" i="1"/>
  <c r="K175" i="1"/>
  <c r="A176" i="1"/>
  <c r="AB175" i="1"/>
  <c r="X175" i="1"/>
  <c r="L175" i="1"/>
  <c r="A174" i="17"/>
  <c r="K173" i="17"/>
  <c r="AB173" i="17"/>
  <c r="L173" i="17"/>
  <c r="D173" i="17" s="1"/>
  <c r="X173" i="17"/>
  <c r="X170" i="20"/>
  <c r="K170" i="20"/>
  <c r="A171" i="20"/>
  <c r="L170" i="20"/>
  <c r="AB170" i="20"/>
  <c r="X173" i="15"/>
  <c r="A174" i="15"/>
  <c r="AB173" i="15"/>
  <c r="L173" i="15"/>
  <c r="D173" i="15" s="1"/>
  <c r="K173" i="15"/>
  <c r="X167" i="24"/>
  <c r="A168" i="24"/>
  <c r="K167" i="24"/>
  <c r="L167" i="24"/>
  <c r="AB167" i="24"/>
  <c r="AB169" i="22"/>
  <c r="X169" i="22"/>
  <c r="K169" i="22"/>
  <c r="A170" i="22"/>
  <c r="L169" i="22"/>
  <c r="I172" i="1"/>
  <c r="A177" i="1"/>
  <c r="AB176" i="1"/>
  <c r="AJ176" i="1"/>
  <c r="X176" i="1"/>
  <c r="K176" i="1"/>
  <c r="AK176" i="1"/>
  <c r="L176" i="1"/>
  <c r="X173" i="16"/>
  <c r="L173" i="16"/>
  <c r="D173" i="16" s="1"/>
  <c r="AB173" i="16"/>
  <c r="K173" i="16"/>
  <c r="A174" i="16"/>
  <c r="L166" i="25"/>
  <c r="X166" i="25"/>
  <c r="K166" i="25"/>
  <c r="AB166" i="25"/>
  <c r="A167" i="25"/>
  <c r="K168" i="23"/>
  <c r="X168" i="23"/>
  <c r="L168" i="23"/>
  <c r="A169" i="23"/>
  <c r="AB168" i="23"/>
  <c r="L171" i="18"/>
  <c r="X171" i="18"/>
  <c r="A172" i="18"/>
  <c r="K171" i="18"/>
  <c r="AB171" i="18"/>
  <c r="I173" i="1"/>
  <c r="X167" i="25"/>
  <c r="K167" i="25"/>
  <c r="AB167" i="25"/>
  <c r="L167" i="25"/>
  <c r="A168" i="25"/>
  <c r="L174" i="16"/>
  <c r="X174" i="16"/>
  <c r="K174" i="16"/>
  <c r="A175" i="16"/>
  <c r="AB174" i="16"/>
  <c r="AJ177" i="1"/>
  <c r="K177" i="1"/>
  <c r="AB177" i="1"/>
  <c r="A178" i="1"/>
  <c r="AK177" i="1"/>
  <c r="L177" i="1"/>
  <c r="X177" i="1"/>
  <c r="AB174" i="15"/>
  <c r="X174" i="15"/>
  <c r="A175" i="15"/>
  <c r="K174" i="15"/>
  <c r="L174" i="15"/>
  <c r="D174" i="15" s="1"/>
  <c r="K171" i="20"/>
  <c r="L171" i="20"/>
  <c r="A172" i="20"/>
  <c r="X171" i="20"/>
  <c r="AB171" i="20"/>
  <c r="AB172" i="18"/>
  <c r="K172" i="18"/>
  <c r="L172" i="18"/>
  <c r="X172" i="18"/>
  <c r="A173" i="18"/>
  <c r="K169" i="23"/>
  <c r="X169" i="23"/>
  <c r="AB169" i="23"/>
  <c r="L169" i="23"/>
  <c r="A170" i="23"/>
  <c r="X170" i="22"/>
  <c r="L170" i="22"/>
  <c r="A171" i="22"/>
  <c r="K170" i="22"/>
  <c r="AB170" i="22"/>
  <c r="K168" i="24"/>
  <c r="AB168" i="24"/>
  <c r="X168" i="24"/>
  <c r="L168" i="24"/>
  <c r="A169" i="24"/>
  <c r="L174" i="17"/>
  <c r="D174" i="17" s="1"/>
  <c r="AB174" i="17"/>
  <c r="K174" i="17"/>
  <c r="A175" i="17"/>
  <c r="X174" i="17"/>
  <c r="AB169" i="24"/>
  <c r="L169" i="24"/>
  <c r="X169" i="24"/>
  <c r="A170" i="24"/>
  <c r="K169" i="24"/>
  <c r="A174" i="18"/>
  <c r="L173" i="18"/>
  <c r="AB173" i="18"/>
  <c r="K173" i="18"/>
  <c r="X173" i="18"/>
  <c r="X172" i="20"/>
  <c r="A173" i="20"/>
  <c r="K172" i="20"/>
  <c r="L172" i="20"/>
  <c r="AB172" i="20"/>
  <c r="K175" i="15"/>
  <c r="X175" i="15"/>
  <c r="L175" i="15"/>
  <c r="D175" i="15" s="1"/>
  <c r="AB175" i="15"/>
  <c r="A176" i="15"/>
  <c r="X178" i="1"/>
  <c r="AK178" i="1"/>
  <c r="L178" i="1"/>
  <c r="A179" i="1"/>
  <c r="AJ178" i="1"/>
  <c r="K178" i="1"/>
  <c r="AB178" i="1"/>
  <c r="L175" i="16"/>
  <c r="X175" i="16"/>
  <c r="A176" i="16"/>
  <c r="K175" i="16"/>
  <c r="AB175" i="16"/>
  <c r="K168" i="25"/>
  <c r="X168" i="25"/>
  <c r="AB168" i="25"/>
  <c r="A169" i="25"/>
  <c r="L168" i="25"/>
  <c r="K175" i="17"/>
  <c r="X175" i="17"/>
  <c r="AB175" i="17"/>
  <c r="L175" i="17"/>
  <c r="D175" i="17" s="1"/>
  <c r="A176" i="17"/>
  <c r="X171" i="22"/>
  <c r="A172" i="22"/>
  <c r="K171" i="22"/>
  <c r="L171" i="22"/>
  <c r="AB171" i="22"/>
  <c r="I174" i="1"/>
  <c r="X170" i="23"/>
  <c r="L170" i="23"/>
  <c r="A171" i="23"/>
  <c r="K170" i="23"/>
  <c r="AB170" i="23"/>
  <c r="D174" i="16"/>
  <c r="X172" i="22"/>
  <c r="L172" i="22"/>
  <c r="K172" i="22"/>
  <c r="AB172" i="22"/>
  <c r="A173" i="22"/>
  <c r="L179" i="1"/>
  <c r="K179" i="1"/>
  <c r="X179" i="1"/>
  <c r="AB179" i="1"/>
  <c r="AK179" i="1"/>
  <c r="A180" i="1"/>
  <c r="AJ179" i="1"/>
  <c r="K173" i="20"/>
  <c r="A174" i="20"/>
  <c r="L173" i="20"/>
  <c r="AB173" i="20"/>
  <c r="X173" i="20"/>
  <c r="AB171" i="23"/>
  <c r="X171" i="23"/>
  <c r="A172" i="23"/>
  <c r="K171" i="23"/>
  <c r="L171" i="23"/>
  <c r="AB176" i="17"/>
  <c r="X176" i="17"/>
  <c r="A177" i="17"/>
  <c r="K176" i="17"/>
  <c r="L176" i="17"/>
  <c r="D176" i="17" s="1"/>
  <c r="A170" i="25"/>
  <c r="K169" i="25"/>
  <c r="X169" i="25"/>
  <c r="AB169" i="25"/>
  <c r="L169" i="25"/>
  <c r="A177" i="16"/>
  <c r="AB176" i="16"/>
  <c r="K176" i="16"/>
  <c r="X176" i="16"/>
  <c r="L176" i="16"/>
  <c r="D175" i="16"/>
  <c r="AB176" i="15"/>
  <c r="K176" i="15"/>
  <c r="L176" i="15"/>
  <c r="A177" i="15"/>
  <c r="X176" i="15"/>
  <c r="L174" i="18"/>
  <c r="K174" i="18"/>
  <c r="A175" i="18"/>
  <c r="AB174" i="18"/>
  <c r="X174" i="18"/>
  <c r="A171" i="24"/>
  <c r="AB170" i="24"/>
  <c r="X170" i="24"/>
  <c r="L170" i="24"/>
  <c r="K170" i="24"/>
  <c r="I175" i="1"/>
  <c r="I176" i="1"/>
  <c r="L171" i="24"/>
  <c r="K171" i="24"/>
  <c r="A172" i="24"/>
  <c r="AB171" i="24"/>
  <c r="X171" i="24"/>
  <c r="D176" i="15"/>
  <c r="AB170" i="25"/>
  <c r="K170" i="25"/>
  <c r="A171" i="25"/>
  <c r="L170" i="25"/>
  <c r="X170" i="25"/>
  <c r="K177" i="17"/>
  <c r="L177" i="17"/>
  <c r="AB177" i="17"/>
  <c r="X177" i="17"/>
  <c r="A178" i="17"/>
  <c r="K174" i="20"/>
  <c r="L174" i="20"/>
  <c r="AB174" i="20"/>
  <c r="X174" i="20"/>
  <c r="A175" i="20"/>
  <c r="L175" i="18"/>
  <c r="A176" i="18"/>
  <c r="AB175" i="18"/>
  <c r="X175" i="18"/>
  <c r="K175" i="18"/>
  <c r="K177" i="15"/>
  <c r="A178" i="15"/>
  <c r="X177" i="15"/>
  <c r="AB177" i="15"/>
  <c r="L177" i="15"/>
  <c r="D176" i="16"/>
  <c r="L177" i="16"/>
  <c r="D177" i="16" s="1"/>
  <c r="X177" i="16"/>
  <c r="A178" i="16"/>
  <c r="K177" i="16"/>
  <c r="AB177" i="16"/>
  <c r="AB172" i="23"/>
  <c r="L172" i="23"/>
  <c r="K172" i="23"/>
  <c r="X172" i="23"/>
  <c r="A173" i="23"/>
  <c r="AJ180" i="1"/>
  <c r="AK180" i="1"/>
  <c r="A25" i="7"/>
  <c r="X180" i="1"/>
  <c r="AB180" i="1"/>
  <c r="K180" i="1"/>
  <c r="A181" i="1"/>
  <c r="L180" i="1"/>
  <c r="B25" i="7" s="1"/>
  <c r="K173" i="22"/>
  <c r="X173" i="22"/>
  <c r="L173" i="22"/>
  <c r="AB173" i="22"/>
  <c r="A174" i="22"/>
  <c r="I177" i="1"/>
  <c r="A182" i="1"/>
  <c r="L181" i="1"/>
  <c r="AJ181" i="1"/>
  <c r="K181" i="1"/>
  <c r="X181" i="1"/>
  <c r="AK181" i="1"/>
  <c r="AB181" i="1"/>
  <c r="L178" i="16"/>
  <c r="D178" i="16" s="1"/>
  <c r="AB178" i="16"/>
  <c r="A179" i="16"/>
  <c r="K178" i="16"/>
  <c r="X178" i="16"/>
  <c r="L178" i="15"/>
  <c r="D178" i="15" s="1"/>
  <c r="AB178" i="15"/>
  <c r="X178" i="15"/>
  <c r="A179" i="15"/>
  <c r="K178" i="15"/>
  <c r="X176" i="18"/>
  <c r="L176" i="18"/>
  <c r="AB176" i="18"/>
  <c r="K176" i="18"/>
  <c r="A177" i="18"/>
  <c r="A179" i="17"/>
  <c r="K178" i="17"/>
  <c r="AB178" i="17"/>
  <c r="L178" i="17"/>
  <c r="D178" i="17" s="1"/>
  <c r="X178" i="17"/>
  <c r="AB172" i="24"/>
  <c r="A173" i="24"/>
  <c r="K172" i="24"/>
  <c r="X172" i="24"/>
  <c r="L172" i="24"/>
  <c r="A175" i="22"/>
  <c r="AB174" i="22"/>
  <c r="X174" i="22"/>
  <c r="L174" i="22"/>
  <c r="K174" i="22"/>
  <c r="L173" i="23"/>
  <c r="A174" i="23"/>
  <c r="K173" i="23"/>
  <c r="AB173" i="23"/>
  <c r="X173" i="23"/>
  <c r="D177" i="15"/>
  <c r="A176" i="20"/>
  <c r="L175" i="20"/>
  <c r="X175" i="20"/>
  <c r="K175" i="20"/>
  <c r="AB175" i="20"/>
  <c r="D177" i="17"/>
  <c r="K171" i="25"/>
  <c r="X171" i="25"/>
  <c r="L171" i="25"/>
  <c r="AB171" i="25"/>
  <c r="A172" i="25"/>
  <c r="I178" i="1"/>
  <c r="X173" i="24"/>
  <c r="AB173" i="24"/>
  <c r="A174" i="24"/>
  <c r="K173" i="24"/>
  <c r="L173" i="24"/>
  <c r="L177" i="18"/>
  <c r="X177" i="18"/>
  <c r="AB177" i="18"/>
  <c r="A178" i="18"/>
  <c r="K177" i="18"/>
  <c r="A180" i="15"/>
  <c r="X179" i="15"/>
  <c r="AB179" i="15"/>
  <c r="K179" i="15"/>
  <c r="L179" i="15"/>
  <c r="D179" i="15" s="1"/>
  <c r="L172" i="25"/>
  <c r="A173" i="25"/>
  <c r="X172" i="25"/>
  <c r="AB172" i="25"/>
  <c r="K172" i="25"/>
  <c r="L176" i="20"/>
  <c r="A177" i="20"/>
  <c r="AB176" i="20"/>
  <c r="X176" i="20"/>
  <c r="K176" i="20"/>
  <c r="AB174" i="23"/>
  <c r="A175" i="23"/>
  <c r="K174" i="23"/>
  <c r="X174" i="23"/>
  <c r="L174" i="23"/>
  <c r="X175" i="22"/>
  <c r="AB175" i="22"/>
  <c r="K175" i="22"/>
  <c r="A176" i="22"/>
  <c r="L175" i="22"/>
  <c r="X179" i="17"/>
  <c r="A180" i="17"/>
  <c r="AB179" i="17"/>
  <c r="L179" i="17"/>
  <c r="D179" i="17" s="1"/>
  <c r="K179" i="17"/>
  <c r="K179" i="16"/>
  <c r="X179" i="16"/>
  <c r="A180" i="16"/>
  <c r="L179" i="16"/>
  <c r="D179" i="16" s="1"/>
  <c r="AB179" i="16"/>
  <c r="A183" i="1"/>
  <c r="L182" i="1"/>
  <c r="AJ182" i="1"/>
  <c r="AB182" i="1"/>
  <c r="X182" i="1"/>
  <c r="K182" i="1"/>
  <c r="AK182" i="1"/>
  <c r="I179" i="1"/>
  <c r="AJ183" i="1"/>
  <c r="AK183" i="1"/>
  <c r="L183" i="1"/>
  <c r="A184" i="1"/>
  <c r="K183" i="1"/>
  <c r="X183" i="1"/>
  <c r="AB183" i="1"/>
  <c r="L180" i="16"/>
  <c r="B49" i="7" s="1"/>
  <c r="A181" i="16"/>
  <c r="AB180" i="16"/>
  <c r="A49" i="7"/>
  <c r="K180" i="16"/>
  <c r="X180" i="16"/>
  <c r="X176" i="22"/>
  <c r="AB176" i="22"/>
  <c r="A177" i="22"/>
  <c r="L176" i="22"/>
  <c r="K176" i="22"/>
  <c r="AB177" i="20"/>
  <c r="L177" i="20"/>
  <c r="A178" i="20"/>
  <c r="X177" i="20"/>
  <c r="K177" i="20"/>
  <c r="A61" i="7"/>
  <c r="L180" i="17"/>
  <c r="B61" i="7" s="1"/>
  <c r="A181" i="17"/>
  <c r="X180" i="17"/>
  <c r="AB180" i="17"/>
  <c r="K180" i="17"/>
  <c r="K175" i="23"/>
  <c r="X175" i="23"/>
  <c r="AB175" i="23"/>
  <c r="L175" i="23"/>
  <c r="A176" i="23"/>
  <c r="X173" i="25"/>
  <c r="A174" i="25"/>
  <c r="AB173" i="25"/>
  <c r="K173" i="25"/>
  <c r="L173" i="25"/>
  <c r="A37" i="7"/>
  <c r="L180" i="15"/>
  <c r="D180" i="15" s="1"/>
  <c r="K180" i="15"/>
  <c r="A181" i="15"/>
  <c r="X180" i="15"/>
  <c r="AB180" i="15"/>
  <c r="AB178" i="18"/>
  <c r="A179" i="18"/>
  <c r="K178" i="18"/>
  <c r="L178" i="18"/>
  <c r="X178" i="18"/>
  <c r="K174" i="24"/>
  <c r="L174" i="24"/>
  <c r="X174" i="24"/>
  <c r="A175" i="24"/>
  <c r="AB174" i="24"/>
  <c r="AB175" i="24"/>
  <c r="K175" i="24"/>
  <c r="L175" i="24"/>
  <c r="A176" i="24"/>
  <c r="X175" i="24"/>
  <c r="L181" i="17"/>
  <c r="D181" i="17" s="1"/>
  <c r="AB181" i="17"/>
  <c r="X181" i="17"/>
  <c r="A182" i="17"/>
  <c r="K181" i="17"/>
  <c r="I180" i="1"/>
  <c r="K177" i="22"/>
  <c r="L177" i="22"/>
  <c r="A178" i="22"/>
  <c r="X177" i="22"/>
  <c r="AB177" i="22"/>
  <c r="AB181" i="16"/>
  <c r="K181" i="16"/>
  <c r="X181" i="16"/>
  <c r="A182" i="16"/>
  <c r="L181" i="16"/>
  <c r="D181" i="16" s="1"/>
  <c r="A185" i="1"/>
  <c r="L184" i="1"/>
  <c r="AJ184" i="1"/>
  <c r="AB184" i="1"/>
  <c r="K184" i="1"/>
  <c r="X184" i="1"/>
  <c r="AK184" i="1"/>
  <c r="K179" i="18"/>
  <c r="X179" i="18"/>
  <c r="L179" i="18"/>
  <c r="A180" i="18"/>
  <c r="AB179" i="18"/>
  <c r="L181" i="15"/>
  <c r="D181" i="15" s="1"/>
  <c r="K181" i="15"/>
  <c r="X181" i="15"/>
  <c r="AB181" i="15"/>
  <c r="A182" i="15"/>
  <c r="AB174" i="25"/>
  <c r="A175" i="25"/>
  <c r="K174" i="25"/>
  <c r="X174" i="25"/>
  <c r="L174" i="25"/>
  <c r="L176" i="23"/>
  <c r="X176" i="23"/>
  <c r="K176" i="23"/>
  <c r="AB176" i="23"/>
  <c r="A177" i="23"/>
  <c r="AB178" i="20"/>
  <c r="K178" i="20"/>
  <c r="L178" i="20"/>
  <c r="X178" i="20"/>
  <c r="A179" i="20"/>
  <c r="I181" i="1"/>
  <c r="K179" i="20"/>
  <c r="X179" i="20"/>
  <c r="AB179" i="20"/>
  <c r="A180" i="20"/>
  <c r="L179" i="20"/>
  <c r="X175" i="25"/>
  <c r="A176" i="25"/>
  <c r="K175" i="25"/>
  <c r="AB175" i="25"/>
  <c r="L175" i="25"/>
  <c r="A181" i="18"/>
  <c r="X180" i="18"/>
  <c r="L180" i="18"/>
  <c r="B73" i="7" s="1"/>
  <c r="A73" i="7"/>
  <c r="K180" i="18"/>
  <c r="AB180" i="18"/>
  <c r="A186" i="1"/>
  <c r="L185" i="1"/>
  <c r="AJ185" i="1"/>
  <c r="AK185" i="1"/>
  <c r="AB185" i="1"/>
  <c r="X185" i="1"/>
  <c r="K185" i="1"/>
  <c r="AB182" i="17"/>
  <c r="A183" i="17"/>
  <c r="K182" i="17"/>
  <c r="L182" i="17"/>
  <c r="D182" i="17" s="1"/>
  <c r="X182" i="17"/>
  <c r="X176" i="24"/>
  <c r="K176" i="24"/>
  <c r="L176" i="24"/>
  <c r="AB176" i="24"/>
  <c r="A177" i="24"/>
  <c r="AB177" i="23"/>
  <c r="L177" i="23"/>
  <c r="A178" i="23"/>
  <c r="K177" i="23"/>
  <c r="X177" i="23"/>
  <c r="L182" i="15"/>
  <c r="D182" i="15" s="1"/>
  <c r="A183" i="15"/>
  <c r="AB182" i="15"/>
  <c r="K182" i="15"/>
  <c r="X182" i="15"/>
  <c r="K182" i="16"/>
  <c r="AB182" i="16"/>
  <c r="L182" i="16"/>
  <c r="D182" i="16" s="1"/>
  <c r="X182" i="16"/>
  <c r="A183" i="16"/>
  <c r="L178" i="22"/>
  <c r="K178" i="22"/>
  <c r="AB178" i="22"/>
  <c r="X178" i="22"/>
  <c r="A179" i="22"/>
  <c r="I182" i="1"/>
  <c r="A180" i="22"/>
  <c r="X179" i="22"/>
  <c r="AB179" i="22"/>
  <c r="L179" i="22"/>
  <c r="K179" i="22"/>
  <c r="AB183" i="16"/>
  <c r="A184" i="16"/>
  <c r="K183" i="16"/>
  <c r="X183" i="16"/>
  <c r="L183" i="16"/>
  <c r="D183" i="16" s="1"/>
  <c r="AK186" i="1"/>
  <c r="X186" i="1"/>
  <c r="K186" i="1"/>
  <c r="A187" i="1"/>
  <c r="L186" i="1"/>
  <c r="AB186" i="1"/>
  <c r="AJ186" i="1"/>
  <c r="AE25" i="7"/>
  <c r="A181" i="20"/>
  <c r="L180" i="20"/>
  <c r="AF25" i="7" s="1"/>
  <c r="X180" i="20"/>
  <c r="AB180" i="20"/>
  <c r="K180" i="20"/>
  <c r="K183" i="15"/>
  <c r="AB183" i="15"/>
  <c r="A184" i="15"/>
  <c r="L183" i="15"/>
  <c r="D183" i="15" s="1"/>
  <c r="X183" i="15"/>
  <c r="AB178" i="23"/>
  <c r="L178" i="23"/>
  <c r="X178" i="23"/>
  <c r="A179" i="23"/>
  <c r="K178" i="23"/>
  <c r="K177" i="24"/>
  <c r="AB177" i="24"/>
  <c r="A178" i="24"/>
  <c r="L177" i="24"/>
  <c r="X177" i="24"/>
  <c r="AB183" i="17"/>
  <c r="K183" i="17"/>
  <c r="X183" i="17"/>
  <c r="L183" i="17"/>
  <c r="D183" i="17" s="1"/>
  <c r="A184" i="17"/>
  <c r="X181" i="18"/>
  <c r="A182" i="18"/>
  <c r="AB181" i="18"/>
  <c r="L181" i="18"/>
  <c r="K181" i="18"/>
  <c r="L176" i="25"/>
  <c r="K176" i="25"/>
  <c r="X176" i="25"/>
  <c r="AB176" i="25"/>
  <c r="A177" i="25"/>
  <c r="I183" i="1"/>
  <c r="A178" i="25"/>
  <c r="L177" i="25"/>
  <c r="X177" i="25"/>
  <c r="K177" i="25"/>
  <c r="AB177" i="25"/>
  <c r="L184" i="17"/>
  <c r="D184" i="17" s="1"/>
  <c r="X184" i="17"/>
  <c r="AB184" i="17"/>
  <c r="A185" i="17"/>
  <c r="K184" i="17"/>
  <c r="L179" i="23"/>
  <c r="AB179" i="23"/>
  <c r="A180" i="23"/>
  <c r="K179" i="23"/>
  <c r="X179" i="23"/>
  <c r="L181" i="20"/>
  <c r="K181" i="20"/>
  <c r="AB181" i="20"/>
  <c r="X181" i="20"/>
  <c r="A182" i="20"/>
  <c r="AE37" i="7"/>
  <c r="AB180" i="22"/>
  <c r="X180" i="22"/>
  <c r="A181" i="22"/>
  <c r="K180" i="22"/>
  <c r="L180" i="22"/>
  <c r="AF37" i="7" s="1"/>
  <c r="A183" i="18"/>
  <c r="X182" i="18"/>
  <c r="AB182" i="18"/>
  <c r="L182" i="18"/>
  <c r="K182" i="18"/>
  <c r="AB178" i="24"/>
  <c r="X178" i="24"/>
  <c r="A179" i="24"/>
  <c r="L178" i="24"/>
  <c r="K178" i="24"/>
  <c r="A185" i="15"/>
  <c r="L184" i="15"/>
  <c r="D184" i="15" s="1"/>
  <c r="AB184" i="15"/>
  <c r="K184" i="15"/>
  <c r="X184" i="15"/>
  <c r="A188" i="1"/>
  <c r="L187" i="1"/>
  <c r="AB187" i="1"/>
  <c r="AK187" i="1"/>
  <c r="K187" i="1"/>
  <c r="AJ187" i="1"/>
  <c r="X187" i="1"/>
  <c r="L184" i="16"/>
  <c r="D184" i="16" s="1"/>
  <c r="X184" i="16"/>
  <c r="K184" i="16"/>
  <c r="A185" i="16"/>
  <c r="AB184" i="16"/>
  <c r="I184" i="1"/>
  <c r="AB188" i="1"/>
  <c r="L188" i="1"/>
  <c r="X188" i="1"/>
  <c r="K188" i="1"/>
  <c r="AJ188" i="1"/>
  <c r="AK188" i="1"/>
  <c r="A189" i="1"/>
  <c r="A182" i="22"/>
  <c r="X181" i="22"/>
  <c r="AB181" i="22"/>
  <c r="K181" i="22"/>
  <c r="L181" i="22"/>
  <c r="AB182" i="20"/>
  <c r="A183" i="20"/>
  <c r="L182" i="20"/>
  <c r="K182" i="20"/>
  <c r="X182" i="20"/>
  <c r="L180" i="23"/>
  <c r="AF49" i="7" s="1"/>
  <c r="AE49" i="7"/>
  <c r="AB180" i="23"/>
  <c r="A181" i="23"/>
  <c r="K180" i="23"/>
  <c r="X180" i="23"/>
  <c r="K178" i="25"/>
  <c r="AB178" i="25"/>
  <c r="X178" i="25"/>
  <c r="A179" i="25"/>
  <c r="L178" i="25"/>
  <c r="AB185" i="16"/>
  <c r="A186" i="16"/>
  <c r="K185" i="16"/>
  <c r="L185" i="16"/>
  <c r="X185" i="16"/>
  <c r="A186" i="15"/>
  <c r="L185" i="15"/>
  <c r="D185" i="15" s="1"/>
  <c r="K185" i="15"/>
  <c r="X185" i="15"/>
  <c r="AB185" i="15"/>
  <c r="AB179" i="24"/>
  <c r="A180" i="24"/>
  <c r="L179" i="24"/>
  <c r="X179" i="24"/>
  <c r="K179" i="24"/>
  <c r="AB183" i="18"/>
  <c r="L183" i="18"/>
  <c r="K183" i="18"/>
  <c r="A184" i="18"/>
  <c r="X183" i="18"/>
  <c r="X185" i="17"/>
  <c r="A186" i="17"/>
  <c r="K185" i="17"/>
  <c r="AB185" i="17"/>
  <c r="L185" i="17"/>
  <c r="D185" i="17" s="1"/>
  <c r="I185" i="1"/>
  <c r="A181" i="24"/>
  <c r="AB180" i="24"/>
  <c r="K180" i="24"/>
  <c r="L180" i="24"/>
  <c r="AF61" i="7" s="1"/>
  <c r="AE61" i="7"/>
  <c r="X180" i="24"/>
  <c r="AB186" i="15"/>
  <c r="K186" i="15"/>
  <c r="X186" i="15"/>
  <c r="A187" i="15"/>
  <c r="L186" i="15"/>
  <c r="D185" i="16"/>
  <c r="K186" i="16"/>
  <c r="A187" i="16"/>
  <c r="AB186" i="16"/>
  <c r="X186" i="16"/>
  <c r="L186" i="16"/>
  <c r="D186" i="16" s="1"/>
  <c r="K181" i="23"/>
  <c r="A182" i="23"/>
  <c r="AB181" i="23"/>
  <c r="X181" i="23"/>
  <c r="L181" i="23"/>
  <c r="K183" i="20"/>
  <c r="L183" i="20"/>
  <c r="X183" i="20"/>
  <c r="AB183" i="20"/>
  <c r="A184" i="20"/>
  <c r="X182" i="22"/>
  <c r="L182" i="22"/>
  <c r="A183" i="22"/>
  <c r="K182" i="22"/>
  <c r="AB182" i="22"/>
  <c r="X189" i="1"/>
  <c r="AJ189" i="1"/>
  <c r="AK189" i="1"/>
  <c r="A190" i="1"/>
  <c r="K189" i="1"/>
  <c r="AB189" i="1"/>
  <c r="L189" i="1"/>
  <c r="X186" i="17"/>
  <c r="K186" i="17"/>
  <c r="AB186" i="17"/>
  <c r="A187" i="17"/>
  <c r="L186" i="17"/>
  <c r="D186" i="17" s="1"/>
  <c r="K184" i="18"/>
  <c r="L184" i="18"/>
  <c r="A185" i="18"/>
  <c r="AB184" i="18"/>
  <c r="X184" i="18"/>
  <c r="L179" i="25"/>
  <c r="X179" i="25"/>
  <c r="A180" i="25"/>
  <c r="K179" i="25"/>
  <c r="AB179" i="25"/>
  <c r="I186" i="1"/>
  <c r="X185" i="18"/>
  <c r="K185" i="18"/>
  <c r="AB185" i="18"/>
  <c r="L185" i="18"/>
  <c r="A186" i="18"/>
  <c r="X187" i="17"/>
  <c r="AB187" i="17"/>
  <c r="K187" i="17"/>
  <c r="L187" i="17"/>
  <c r="D187" i="17" s="1"/>
  <c r="A188" i="17"/>
  <c r="AJ190" i="1"/>
  <c r="L190" i="1"/>
  <c r="AB190" i="1"/>
  <c r="AK190" i="1"/>
  <c r="A191" i="1"/>
  <c r="K190" i="1"/>
  <c r="X190" i="1"/>
  <c r="AB187" i="16"/>
  <c r="L187" i="16"/>
  <c r="D187" i="16" s="1"/>
  <c r="X187" i="16"/>
  <c r="A188" i="16"/>
  <c r="K187" i="16"/>
  <c r="AE73" i="7"/>
  <c r="AB180" i="25"/>
  <c r="K180" i="25"/>
  <c r="L180" i="25"/>
  <c r="A181" i="25"/>
  <c r="X180" i="25"/>
  <c r="K183" i="22"/>
  <c r="AB183" i="22"/>
  <c r="X183" i="22"/>
  <c r="L183" i="22"/>
  <c r="A184" i="22"/>
  <c r="K184" i="20"/>
  <c r="AB184" i="20"/>
  <c r="X184" i="20"/>
  <c r="L184" i="20"/>
  <c r="A185" i="20"/>
  <c r="K182" i="23"/>
  <c r="AB182" i="23"/>
  <c r="L182" i="23"/>
  <c r="X182" i="23"/>
  <c r="A183" i="23"/>
  <c r="D186" i="15"/>
  <c r="A188" i="15"/>
  <c r="K187" i="15"/>
  <c r="X187" i="15"/>
  <c r="AB187" i="15"/>
  <c r="L187" i="15"/>
  <c r="D187" i="15" s="1"/>
  <c r="L181" i="24"/>
  <c r="A182" i="24"/>
  <c r="K181" i="24"/>
  <c r="AB181" i="24"/>
  <c r="X181" i="24"/>
  <c r="AB188" i="15"/>
  <c r="L188" i="15"/>
  <c r="D188" i="15" s="1"/>
  <c r="X188" i="15"/>
  <c r="K188" i="15"/>
  <c r="A189" i="15"/>
  <c r="A184" i="23"/>
  <c r="AB183" i="23"/>
  <c r="X183" i="23"/>
  <c r="K183" i="23"/>
  <c r="L183" i="23"/>
  <c r="A185" i="22"/>
  <c r="K184" i="22"/>
  <c r="X184" i="22"/>
  <c r="AB184" i="22"/>
  <c r="L184" i="22"/>
  <c r="AF73" i="7"/>
  <c r="I187" i="1"/>
  <c r="L185" i="20"/>
  <c r="AB185" i="20"/>
  <c r="K185" i="20"/>
  <c r="X185" i="20"/>
  <c r="A186" i="20"/>
  <c r="AB181" i="25"/>
  <c r="A182" i="25"/>
  <c r="X181" i="25"/>
  <c r="K181" i="25"/>
  <c r="L181" i="25"/>
  <c r="L186" i="18"/>
  <c r="X186" i="18"/>
  <c r="A187" i="18"/>
  <c r="AB186" i="18"/>
  <c r="K186" i="18"/>
  <c r="AB182" i="24"/>
  <c r="X182" i="24"/>
  <c r="A183" i="24"/>
  <c r="L182" i="24"/>
  <c r="K182" i="24"/>
  <c r="A189" i="16"/>
  <c r="AB188" i="16"/>
  <c r="X188" i="16"/>
  <c r="K188" i="16"/>
  <c r="L188" i="16"/>
  <c r="A192" i="1"/>
  <c r="AJ191" i="1"/>
  <c r="L191" i="1"/>
  <c r="X191" i="1"/>
  <c r="K191" i="1"/>
  <c r="AB191" i="1"/>
  <c r="AK191" i="1"/>
  <c r="AB188" i="17"/>
  <c r="X188" i="17"/>
  <c r="A189" i="17"/>
  <c r="K188" i="17"/>
  <c r="L188" i="17"/>
  <c r="D188" i="17" s="1"/>
  <c r="X189" i="17"/>
  <c r="AB189" i="17"/>
  <c r="A190" i="17"/>
  <c r="K189" i="17"/>
  <c r="L189" i="17"/>
  <c r="D189" i="17" s="1"/>
  <c r="D188" i="16"/>
  <c r="X189" i="16"/>
  <c r="L189" i="16"/>
  <c r="D189" i="16" s="1"/>
  <c r="K189" i="16"/>
  <c r="AB189" i="16"/>
  <c r="A190" i="16"/>
  <c r="L183" i="24"/>
  <c r="A184" i="24"/>
  <c r="X183" i="24"/>
  <c r="K183" i="24"/>
  <c r="AB183" i="24"/>
  <c r="I188" i="1"/>
  <c r="X184" i="23"/>
  <c r="L184" i="23"/>
  <c r="K184" i="23"/>
  <c r="A185" i="23"/>
  <c r="AB184" i="23"/>
  <c r="A193" i="1"/>
  <c r="X192" i="1"/>
  <c r="AJ192" i="1"/>
  <c r="AB192" i="1"/>
  <c r="K192" i="1"/>
  <c r="L192" i="1"/>
  <c r="AK192" i="1"/>
  <c r="K187" i="18"/>
  <c r="L187" i="18"/>
  <c r="AB187" i="18"/>
  <c r="A188" i="18"/>
  <c r="X187" i="18"/>
  <c r="L182" i="25"/>
  <c r="AB182" i="25"/>
  <c r="X182" i="25"/>
  <c r="K182" i="25"/>
  <c r="A183" i="25"/>
  <c r="X186" i="20"/>
  <c r="A187" i="20"/>
  <c r="K186" i="20"/>
  <c r="AB186" i="20"/>
  <c r="L186" i="20"/>
  <c r="X185" i="22"/>
  <c r="L185" i="22"/>
  <c r="AB185" i="22"/>
  <c r="K185" i="22"/>
  <c r="A186" i="22"/>
  <c r="AB189" i="15"/>
  <c r="X189" i="15"/>
  <c r="A190" i="15"/>
  <c r="L189" i="15"/>
  <c r="D189" i="15" s="1"/>
  <c r="K189" i="15"/>
  <c r="A191" i="15"/>
  <c r="AB190" i="15"/>
  <c r="K190" i="15"/>
  <c r="L190" i="15"/>
  <c r="D190" i="15" s="1"/>
  <c r="X190" i="15"/>
  <c r="X186" i="22"/>
  <c r="A187" i="22"/>
  <c r="K186" i="22"/>
  <c r="L186" i="22"/>
  <c r="AB186" i="22"/>
  <c r="K187" i="20"/>
  <c r="A188" i="20"/>
  <c r="X187" i="20"/>
  <c r="L187" i="20"/>
  <c r="AB187" i="20"/>
  <c r="A189" i="18"/>
  <c r="L188" i="18"/>
  <c r="X188" i="18"/>
  <c r="AB188" i="18"/>
  <c r="K188" i="18"/>
  <c r="A194" i="1"/>
  <c r="AJ193" i="1"/>
  <c r="AB193" i="1"/>
  <c r="L193" i="1"/>
  <c r="X193" i="1"/>
  <c r="K193" i="1"/>
  <c r="AK193" i="1"/>
  <c r="X185" i="23"/>
  <c r="AB185" i="23"/>
  <c r="K185" i="23"/>
  <c r="L185" i="23"/>
  <c r="A186" i="23"/>
  <c r="K184" i="24"/>
  <c r="AB184" i="24"/>
  <c r="A185" i="24"/>
  <c r="L184" i="24"/>
  <c r="X184" i="24"/>
  <c r="I189" i="1"/>
  <c r="AB183" i="25"/>
  <c r="X183" i="25"/>
  <c r="K183" i="25"/>
  <c r="L183" i="25"/>
  <c r="A184" i="25"/>
  <c r="K190" i="16"/>
  <c r="A191" i="16"/>
  <c r="AB190" i="16"/>
  <c r="L190" i="16"/>
  <c r="D190" i="16" s="1"/>
  <c r="X190" i="16"/>
  <c r="AB190" i="17"/>
  <c r="A191" i="17"/>
  <c r="K190" i="17"/>
  <c r="X190" i="17"/>
  <c r="L190" i="17"/>
  <c r="D190" i="17" s="1"/>
  <c r="K191" i="17"/>
  <c r="A192" i="17"/>
  <c r="AB191" i="17"/>
  <c r="L191" i="17"/>
  <c r="D191" i="17" s="1"/>
  <c r="X191" i="17"/>
  <c r="I190" i="1"/>
  <c r="K184" i="25"/>
  <c r="A185" i="25"/>
  <c r="AB184" i="25"/>
  <c r="X184" i="25"/>
  <c r="L184" i="25"/>
  <c r="A189" i="20"/>
  <c r="AB188" i="20"/>
  <c r="X188" i="20"/>
  <c r="K188" i="20"/>
  <c r="L188" i="20"/>
  <c r="X191" i="16"/>
  <c r="AB191" i="16"/>
  <c r="K191" i="16"/>
  <c r="L191" i="16"/>
  <c r="A192" i="16"/>
  <c r="X185" i="24"/>
  <c r="AB185" i="24"/>
  <c r="L185" i="24"/>
  <c r="K185" i="24"/>
  <c r="A186" i="24"/>
  <c r="A187" i="23"/>
  <c r="X186" i="23"/>
  <c r="AB186" i="23"/>
  <c r="L186" i="23"/>
  <c r="K186" i="23"/>
  <c r="A195" i="1"/>
  <c r="X194" i="1"/>
  <c r="L194" i="1"/>
  <c r="AB194" i="1"/>
  <c r="AK194" i="1"/>
  <c r="AJ194" i="1"/>
  <c r="K194" i="1"/>
  <c r="K189" i="18"/>
  <c r="A190" i="18"/>
  <c r="AB189" i="18"/>
  <c r="L189" i="18"/>
  <c r="X189" i="18"/>
  <c r="X187" i="22"/>
  <c r="AB187" i="22"/>
  <c r="K187" i="22"/>
  <c r="L187" i="22"/>
  <c r="A188" i="22"/>
  <c r="AB191" i="15"/>
  <c r="L191" i="15"/>
  <c r="A192" i="15"/>
  <c r="K191" i="15"/>
  <c r="X191" i="15"/>
  <c r="L188" i="22"/>
  <c r="A189" i="22"/>
  <c r="K188" i="22"/>
  <c r="X188" i="22"/>
  <c r="AB188" i="22"/>
  <c r="A191" i="18"/>
  <c r="K190" i="18"/>
  <c r="AB190" i="18"/>
  <c r="X190" i="18"/>
  <c r="L190" i="18"/>
  <c r="I191" i="1"/>
  <c r="AB192" i="16"/>
  <c r="L192" i="16"/>
  <c r="D192" i="16" s="1"/>
  <c r="X192" i="16"/>
  <c r="K192" i="16"/>
  <c r="A193" i="16"/>
  <c r="D191" i="16"/>
  <c r="L192" i="15"/>
  <c r="AB192" i="15"/>
  <c r="K192" i="15"/>
  <c r="A193" i="15"/>
  <c r="X192" i="15"/>
  <c r="D191" i="15"/>
  <c r="AJ195" i="1"/>
  <c r="X195" i="1"/>
  <c r="AK195" i="1"/>
  <c r="A196" i="1"/>
  <c r="AB195" i="1"/>
  <c r="L195" i="1"/>
  <c r="K195" i="1"/>
  <c r="X187" i="23"/>
  <c r="AB187" i="23"/>
  <c r="A188" i="23"/>
  <c r="K187" i="23"/>
  <c r="L187" i="23"/>
  <c r="K186" i="24"/>
  <c r="A187" i="24"/>
  <c r="X186" i="24"/>
  <c r="AB186" i="24"/>
  <c r="L186" i="24"/>
  <c r="AB189" i="20"/>
  <c r="X189" i="20"/>
  <c r="K189" i="20"/>
  <c r="L189" i="20"/>
  <c r="A190" i="20"/>
  <c r="L185" i="25"/>
  <c r="K185" i="25"/>
  <c r="A186" i="25"/>
  <c r="X185" i="25"/>
  <c r="AB185" i="25"/>
  <c r="A193" i="17"/>
  <c r="L192" i="17"/>
  <c r="D192" i="17" s="1"/>
  <c r="X192" i="17"/>
  <c r="AB192" i="17"/>
  <c r="K192" i="17"/>
  <c r="I192" i="1"/>
  <c r="AB193" i="17"/>
  <c r="X193" i="17"/>
  <c r="L193" i="17"/>
  <c r="D193" i="17" s="1"/>
  <c r="K193" i="17"/>
  <c r="A194" i="17"/>
  <c r="A191" i="20"/>
  <c r="AB190" i="20"/>
  <c r="K190" i="20"/>
  <c r="L190" i="20"/>
  <c r="X190" i="20"/>
  <c r="A188" i="24"/>
  <c r="X187" i="24"/>
  <c r="L187" i="24"/>
  <c r="K187" i="24"/>
  <c r="AB187" i="24"/>
  <c r="L188" i="23"/>
  <c r="A189" i="23"/>
  <c r="X188" i="23"/>
  <c r="AB188" i="23"/>
  <c r="K188" i="23"/>
  <c r="A197" i="1"/>
  <c r="K196" i="1"/>
  <c r="L196" i="1"/>
  <c r="AK196" i="1"/>
  <c r="AJ196" i="1"/>
  <c r="AB196" i="1"/>
  <c r="X196" i="1"/>
  <c r="D192" i="15"/>
  <c r="AB193" i="16"/>
  <c r="L193" i="16"/>
  <c r="D193" i="16" s="1"/>
  <c r="K193" i="16"/>
  <c r="A194" i="16"/>
  <c r="X193" i="16"/>
  <c r="X191" i="18"/>
  <c r="A192" i="18"/>
  <c r="AB191" i="18"/>
  <c r="K191" i="18"/>
  <c r="L191" i="18"/>
  <c r="AB189" i="22"/>
  <c r="X189" i="22"/>
  <c r="L189" i="22"/>
  <c r="K189" i="22"/>
  <c r="A190" i="22"/>
  <c r="X186" i="25"/>
  <c r="L186" i="25"/>
  <c r="K186" i="25"/>
  <c r="A187" i="25"/>
  <c r="AB186" i="25"/>
  <c r="L193" i="15"/>
  <c r="D193" i="15" s="1"/>
  <c r="K193" i="15"/>
  <c r="A194" i="15"/>
  <c r="X193" i="15"/>
  <c r="AB193" i="15"/>
  <c r="I193" i="1"/>
  <c r="A195" i="15"/>
  <c r="K194" i="15"/>
  <c r="X194" i="15"/>
  <c r="AB194" i="15"/>
  <c r="L194" i="15"/>
  <c r="A195" i="17"/>
  <c r="X194" i="17"/>
  <c r="AB194" i="17"/>
  <c r="L194" i="17"/>
  <c r="D194" i="17" s="1"/>
  <c r="K194" i="17"/>
  <c r="X187" i="25"/>
  <c r="A188" i="25"/>
  <c r="AB187" i="25"/>
  <c r="K187" i="25"/>
  <c r="L187" i="25"/>
  <c r="AB190" i="22"/>
  <c r="L190" i="22"/>
  <c r="K190" i="22"/>
  <c r="X190" i="22"/>
  <c r="A191" i="22"/>
  <c r="X192" i="18"/>
  <c r="AB192" i="18"/>
  <c r="K192" i="18"/>
  <c r="L192" i="18"/>
  <c r="A193" i="18"/>
  <c r="X194" i="16"/>
  <c r="K194" i="16"/>
  <c r="A195" i="16"/>
  <c r="L194" i="16"/>
  <c r="D194" i="16" s="1"/>
  <c r="AB194" i="16"/>
  <c r="A198" i="1"/>
  <c r="AB197" i="1"/>
  <c r="L197" i="1"/>
  <c r="AK197" i="1"/>
  <c r="AJ197" i="1"/>
  <c r="K197" i="1"/>
  <c r="X197" i="1"/>
  <c r="X189" i="23"/>
  <c r="K189" i="23"/>
  <c r="AB189" i="23"/>
  <c r="L189" i="23"/>
  <c r="A190" i="23"/>
  <c r="AB188" i="24"/>
  <c r="L188" i="24"/>
  <c r="X188" i="24"/>
  <c r="K188" i="24"/>
  <c r="A189" i="24"/>
  <c r="AB191" i="20"/>
  <c r="X191" i="20"/>
  <c r="K191" i="20"/>
  <c r="L191" i="20"/>
  <c r="A192" i="20"/>
  <c r="I194" i="1"/>
  <c r="A193" i="20"/>
  <c r="X192" i="20"/>
  <c r="K192" i="20"/>
  <c r="AB192" i="20"/>
  <c r="L192" i="20"/>
  <c r="K190" i="23"/>
  <c r="X190" i="23"/>
  <c r="A191" i="23"/>
  <c r="AB190" i="23"/>
  <c r="L190" i="23"/>
  <c r="K198" i="1"/>
  <c r="AB198" i="1"/>
  <c r="AK198" i="1"/>
  <c r="AJ198" i="1"/>
  <c r="A199" i="1"/>
  <c r="L198" i="1"/>
  <c r="X198" i="1"/>
  <c r="K195" i="16"/>
  <c r="AB195" i="16"/>
  <c r="A196" i="16"/>
  <c r="L195" i="16"/>
  <c r="D195" i="16" s="1"/>
  <c r="X195" i="16"/>
  <c r="K195" i="17"/>
  <c r="L195" i="17"/>
  <c r="D195" i="17" s="1"/>
  <c r="AB195" i="17"/>
  <c r="X195" i="17"/>
  <c r="A196" i="17"/>
  <c r="A196" i="15"/>
  <c r="X195" i="15"/>
  <c r="K195" i="15"/>
  <c r="L195" i="15"/>
  <c r="D195" i="15" s="1"/>
  <c r="AB195" i="15"/>
  <c r="K189" i="24"/>
  <c r="L189" i="24"/>
  <c r="A190" i="24"/>
  <c r="AB189" i="24"/>
  <c r="X189" i="24"/>
  <c r="L193" i="18"/>
  <c r="K193" i="18"/>
  <c r="X193" i="18"/>
  <c r="A194" i="18"/>
  <c r="AB193" i="18"/>
  <c r="L191" i="22"/>
  <c r="A192" i="22"/>
  <c r="K191" i="22"/>
  <c r="X191" i="22"/>
  <c r="AB191" i="22"/>
  <c r="A189" i="25"/>
  <c r="AB188" i="25"/>
  <c r="X188" i="25"/>
  <c r="K188" i="25"/>
  <c r="L188" i="25"/>
  <c r="D194" i="15"/>
  <c r="X189" i="25"/>
  <c r="L189" i="25"/>
  <c r="A190" i="25"/>
  <c r="AB189" i="25"/>
  <c r="K189" i="25"/>
  <c r="L194" i="18"/>
  <c r="X194" i="18"/>
  <c r="K194" i="18"/>
  <c r="AB194" i="18"/>
  <c r="A195" i="18"/>
  <c r="L192" i="22"/>
  <c r="K192" i="22"/>
  <c r="A193" i="22"/>
  <c r="AB192" i="22"/>
  <c r="X192" i="22"/>
  <c r="A191" i="24"/>
  <c r="X190" i="24"/>
  <c r="K190" i="24"/>
  <c r="L190" i="24"/>
  <c r="AB190" i="24"/>
  <c r="X196" i="15"/>
  <c r="K196" i="15"/>
  <c r="AB196" i="15"/>
  <c r="L196" i="15"/>
  <c r="D196" i="15" s="1"/>
  <c r="A197" i="15"/>
  <c r="K196" i="17"/>
  <c r="X196" i="17"/>
  <c r="AB196" i="17"/>
  <c r="L196" i="17"/>
  <c r="D196" i="17" s="1"/>
  <c r="A197" i="17"/>
  <c r="K196" i="16"/>
  <c r="X196" i="16"/>
  <c r="L196" i="16"/>
  <c r="D196" i="16" s="1"/>
  <c r="AB196" i="16"/>
  <c r="A197" i="16"/>
  <c r="A200" i="1"/>
  <c r="X199" i="1"/>
  <c r="L199" i="1"/>
  <c r="AB199" i="1"/>
  <c r="K199" i="1"/>
  <c r="AK199" i="1"/>
  <c r="AJ199" i="1"/>
  <c r="K191" i="23"/>
  <c r="AB191" i="23"/>
  <c r="L191" i="23"/>
  <c r="X191" i="23"/>
  <c r="A192" i="23"/>
  <c r="K193" i="20"/>
  <c r="X193" i="20"/>
  <c r="L193" i="20"/>
  <c r="AB193" i="20"/>
  <c r="A194" i="20"/>
  <c r="I196" i="1"/>
  <c r="A193" i="23"/>
  <c r="AB192" i="23"/>
  <c r="L192" i="23"/>
  <c r="X192" i="23"/>
  <c r="K192" i="23"/>
  <c r="AB200" i="1"/>
  <c r="AK200" i="1"/>
  <c r="K200" i="1"/>
  <c r="L200" i="1"/>
  <c r="AJ200" i="1"/>
  <c r="X200" i="1"/>
  <c r="A201" i="1"/>
  <c r="AB197" i="16"/>
  <c r="A198" i="16"/>
  <c r="K197" i="16"/>
  <c r="X197" i="16"/>
  <c r="L197" i="16"/>
  <c r="D197" i="16" s="1"/>
  <c r="A198" i="17"/>
  <c r="L197" i="17"/>
  <c r="D197" i="17" s="1"/>
  <c r="X197" i="17"/>
  <c r="K197" i="17"/>
  <c r="AB197" i="17"/>
  <c r="L191" i="24"/>
  <c r="AB191" i="24"/>
  <c r="X191" i="24"/>
  <c r="A192" i="24"/>
  <c r="K191" i="24"/>
  <c r="I195" i="1"/>
  <c r="AB195" i="18"/>
  <c r="L195" i="18"/>
  <c r="K195" i="18"/>
  <c r="X195" i="18"/>
  <c r="A196" i="18"/>
  <c r="X190" i="25"/>
  <c r="L190" i="25"/>
  <c r="A191" i="25"/>
  <c r="AB190" i="25"/>
  <c r="K190" i="25"/>
  <c r="X194" i="20"/>
  <c r="L194" i="20"/>
  <c r="A195" i="20"/>
  <c r="K194" i="20"/>
  <c r="AB194" i="20"/>
  <c r="K197" i="15"/>
  <c r="L197" i="15"/>
  <c r="D197" i="15" s="1"/>
  <c r="A198" i="15"/>
  <c r="X197" i="15"/>
  <c r="AB197" i="15"/>
  <c r="AB193" i="22"/>
  <c r="L193" i="22"/>
  <c r="A194" i="22"/>
  <c r="K193" i="22"/>
  <c r="X193" i="22"/>
  <c r="I197" i="1"/>
  <c r="L198" i="15"/>
  <c r="D198" i="15" s="1"/>
  <c r="A199" i="15"/>
  <c r="AB198" i="15"/>
  <c r="X198" i="15"/>
  <c r="K198" i="15"/>
  <c r="A192" i="25"/>
  <c r="K191" i="25"/>
  <c r="AB191" i="25"/>
  <c r="X191" i="25"/>
  <c r="L191" i="25"/>
  <c r="AB194" i="22"/>
  <c r="L194" i="22"/>
  <c r="A195" i="22"/>
  <c r="K194" i="22"/>
  <c r="X194" i="22"/>
  <c r="X195" i="20"/>
  <c r="AB195" i="20"/>
  <c r="A196" i="20"/>
  <c r="K195" i="20"/>
  <c r="L195" i="20"/>
  <c r="AB198" i="17"/>
  <c r="X198" i="17"/>
  <c r="A199" i="17"/>
  <c r="K198" i="17"/>
  <c r="L198" i="17"/>
  <c r="D198" i="17" s="1"/>
  <c r="K198" i="16"/>
  <c r="X198" i="16"/>
  <c r="AB198" i="16"/>
  <c r="A199" i="16"/>
  <c r="L198" i="16"/>
  <c r="D198" i="16" s="1"/>
  <c r="AB193" i="23"/>
  <c r="X193" i="23"/>
  <c r="K193" i="23"/>
  <c r="A194" i="23"/>
  <c r="L193" i="23"/>
  <c r="K196" i="18"/>
  <c r="X196" i="18"/>
  <c r="A197" i="18"/>
  <c r="AB196" i="18"/>
  <c r="L196" i="18"/>
  <c r="K192" i="24"/>
  <c r="A193" i="24"/>
  <c r="L192" i="24"/>
  <c r="AB192" i="24"/>
  <c r="X192" i="24"/>
  <c r="A202" i="1"/>
  <c r="L201" i="1"/>
  <c r="X201" i="1"/>
  <c r="AK201" i="1"/>
  <c r="K201" i="1"/>
  <c r="AJ201" i="1"/>
  <c r="AB201" i="1"/>
  <c r="A203" i="1"/>
  <c r="X202" i="1"/>
  <c r="L202" i="1"/>
  <c r="AJ202" i="1"/>
  <c r="AB202" i="1"/>
  <c r="AK202" i="1"/>
  <c r="K202" i="1"/>
  <c r="A194" i="24"/>
  <c r="AB193" i="24"/>
  <c r="L193" i="24"/>
  <c r="X193" i="24"/>
  <c r="K193" i="24"/>
  <c r="AB197" i="18"/>
  <c r="A198" i="18"/>
  <c r="L197" i="18"/>
  <c r="K197" i="18"/>
  <c r="X197" i="18"/>
  <c r="K194" i="23"/>
  <c r="AB194" i="23"/>
  <c r="A195" i="23"/>
  <c r="X194" i="23"/>
  <c r="L194" i="23"/>
  <c r="K196" i="20"/>
  <c r="L196" i="20"/>
  <c r="A197" i="20"/>
  <c r="AB196" i="20"/>
  <c r="X196" i="20"/>
  <c r="X195" i="22"/>
  <c r="L195" i="22"/>
  <c r="K195" i="22"/>
  <c r="AB195" i="22"/>
  <c r="A196" i="22"/>
  <c r="AB199" i="16"/>
  <c r="X199" i="16"/>
  <c r="L199" i="16"/>
  <c r="D199" i="16" s="1"/>
  <c r="K199" i="16"/>
  <c r="A200" i="16"/>
  <c r="X199" i="17"/>
  <c r="AB199" i="17"/>
  <c r="K199" i="17"/>
  <c r="L199" i="17"/>
  <c r="A200" i="17"/>
  <c r="I198" i="1"/>
  <c r="A193" i="25"/>
  <c r="X192" i="25"/>
  <c r="L192" i="25"/>
  <c r="AB192" i="25"/>
  <c r="K192" i="25"/>
  <c r="X199" i="15"/>
  <c r="L199" i="15"/>
  <c r="D199" i="15" s="1"/>
  <c r="K199" i="15"/>
  <c r="A200" i="15"/>
  <c r="AB199" i="15"/>
  <c r="X200" i="15"/>
  <c r="A201" i="15"/>
  <c r="K200" i="15"/>
  <c r="AB200" i="15"/>
  <c r="L200" i="15"/>
  <c r="D200" i="15" s="1"/>
  <c r="D199" i="17"/>
  <c r="X200" i="16"/>
  <c r="AB200" i="16"/>
  <c r="A201" i="16"/>
  <c r="K200" i="16"/>
  <c r="L200" i="16"/>
  <c r="D200" i="16" s="1"/>
  <c r="K195" i="23"/>
  <c r="A196" i="23"/>
  <c r="AB195" i="23"/>
  <c r="X195" i="23"/>
  <c r="L195" i="23"/>
  <c r="K198" i="18"/>
  <c r="X198" i="18"/>
  <c r="L198" i="18"/>
  <c r="AB198" i="18"/>
  <c r="A199" i="18"/>
  <c r="AB203" i="1"/>
  <c r="AK203" i="1"/>
  <c r="L203" i="1"/>
  <c r="X203" i="1"/>
  <c r="K203" i="1"/>
  <c r="A204" i="1"/>
  <c r="AJ203" i="1"/>
  <c r="I199" i="1"/>
  <c r="X193" i="25"/>
  <c r="L193" i="25"/>
  <c r="A194" i="25"/>
  <c r="AB193" i="25"/>
  <c r="K193" i="25"/>
  <c r="AB200" i="17"/>
  <c r="L200" i="17"/>
  <c r="D200" i="17" s="1"/>
  <c r="A201" i="17"/>
  <c r="K200" i="17"/>
  <c r="X200" i="17"/>
  <c r="AB196" i="22"/>
  <c r="L196" i="22"/>
  <c r="A197" i="22"/>
  <c r="K196" i="22"/>
  <c r="X196" i="22"/>
  <c r="A198" i="20"/>
  <c r="X197" i="20"/>
  <c r="AB197" i="20"/>
  <c r="K197" i="20"/>
  <c r="L197" i="20"/>
  <c r="A195" i="24"/>
  <c r="L194" i="24"/>
  <c r="K194" i="24"/>
  <c r="X194" i="24"/>
  <c r="AB194" i="24"/>
  <c r="L194" i="25"/>
  <c r="K194" i="25"/>
  <c r="X194" i="25"/>
  <c r="A195" i="25"/>
  <c r="AB194" i="25"/>
  <c r="A205" i="1"/>
  <c r="L204" i="1"/>
  <c r="K204" i="1"/>
  <c r="AB204" i="1"/>
  <c r="AK204" i="1"/>
  <c r="AJ204" i="1"/>
  <c r="X204" i="1"/>
  <c r="X199" i="18"/>
  <c r="K199" i="18"/>
  <c r="L199" i="18"/>
  <c r="A200" i="18"/>
  <c r="AB199" i="18"/>
  <c r="A197" i="23"/>
  <c r="AB196" i="23"/>
  <c r="X196" i="23"/>
  <c r="L196" i="23"/>
  <c r="K196" i="23"/>
  <c r="L201" i="16"/>
  <c r="D201" i="16" s="1"/>
  <c r="K201" i="16"/>
  <c r="X201" i="16"/>
  <c r="AB201" i="16"/>
  <c r="A202" i="16"/>
  <c r="X201" i="15"/>
  <c r="AB201" i="15"/>
  <c r="A202" i="15"/>
  <c r="L201" i="15"/>
  <c r="D201" i="15" s="1"/>
  <c r="K201" i="15"/>
  <c r="I200" i="1"/>
  <c r="K195" i="24"/>
  <c r="A196" i="24"/>
  <c r="L195" i="24"/>
  <c r="AB195" i="24"/>
  <c r="X195" i="24"/>
  <c r="AB198" i="20"/>
  <c r="K198" i="20"/>
  <c r="L198" i="20"/>
  <c r="X198" i="20"/>
  <c r="A199" i="20"/>
  <c r="AB197" i="22"/>
  <c r="K197" i="22"/>
  <c r="X197" i="22"/>
  <c r="L197" i="22"/>
  <c r="A198" i="22"/>
  <c r="A202" i="17"/>
  <c r="X201" i="17"/>
  <c r="L201" i="17"/>
  <c r="D201" i="17" s="1"/>
  <c r="K201" i="17"/>
  <c r="AB201" i="17"/>
  <c r="AB202" i="17"/>
  <c r="X202" i="17"/>
  <c r="K202" i="17"/>
  <c r="L202" i="17"/>
  <c r="D202" i="17" s="1"/>
  <c r="A203" i="17"/>
  <c r="AB198" i="22"/>
  <c r="A199" i="22"/>
  <c r="L198" i="22"/>
  <c r="X198" i="22"/>
  <c r="K198" i="22"/>
  <c r="X199" i="20"/>
  <c r="L199" i="20"/>
  <c r="AB199" i="20"/>
  <c r="A200" i="20"/>
  <c r="K199" i="20"/>
  <c r="K196" i="24"/>
  <c r="X196" i="24"/>
  <c r="L196" i="24"/>
  <c r="AB196" i="24"/>
  <c r="A197" i="24"/>
  <c r="X202" i="16"/>
  <c r="AB202" i="16"/>
  <c r="L202" i="16"/>
  <c r="D202" i="16" s="1"/>
  <c r="A203" i="16"/>
  <c r="K202" i="16"/>
  <c r="AB197" i="23"/>
  <c r="X197" i="23"/>
  <c r="K197" i="23"/>
  <c r="A198" i="23"/>
  <c r="L197" i="23"/>
  <c r="AK205" i="1"/>
  <c r="L205" i="1"/>
  <c r="AB205" i="1"/>
  <c r="K205" i="1"/>
  <c r="X205" i="1"/>
  <c r="AJ205" i="1"/>
  <c r="A206" i="1"/>
  <c r="I201" i="1"/>
  <c r="X202" i="15"/>
  <c r="A203" i="15"/>
  <c r="K202" i="15"/>
  <c r="AB202" i="15"/>
  <c r="L202" i="15"/>
  <c r="D202" i="15" s="1"/>
  <c r="K200" i="18"/>
  <c r="L200" i="18"/>
  <c r="A201" i="18"/>
  <c r="X200" i="18"/>
  <c r="AB200" i="18"/>
  <c r="A196" i="25"/>
  <c r="L195" i="25"/>
  <c r="AB195" i="25"/>
  <c r="K195" i="25"/>
  <c r="X195" i="25"/>
  <c r="L201" i="18"/>
  <c r="K201" i="18"/>
  <c r="X201" i="18"/>
  <c r="AB201" i="18"/>
  <c r="A202" i="18"/>
  <c r="A204" i="15"/>
  <c r="X203" i="15"/>
  <c r="AB203" i="15"/>
  <c r="K203" i="15"/>
  <c r="L203" i="15"/>
  <c r="D203" i="15" s="1"/>
  <c r="A207" i="1"/>
  <c r="K206" i="1"/>
  <c r="AK206" i="1"/>
  <c r="AB206" i="1"/>
  <c r="AJ206" i="1"/>
  <c r="X206" i="1"/>
  <c r="L206" i="1"/>
  <c r="AB198" i="23"/>
  <c r="L198" i="23"/>
  <c r="A199" i="23"/>
  <c r="K198" i="23"/>
  <c r="X198" i="23"/>
  <c r="L197" i="24"/>
  <c r="K197" i="24"/>
  <c r="AB197" i="24"/>
  <c r="X197" i="24"/>
  <c r="A198" i="24"/>
  <c r="X200" i="20"/>
  <c r="A201" i="20"/>
  <c r="AB200" i="20"/>
  <c r="L200" i="20"/>
  <c r="K200" i="20"/>
  <c r="AB199" i="22"/>
  <c r="K199" i="22"/>
  <c r="A200" i="22"/>
  <c r="X199" i="22"/>
  <c r="L199" i="22"/>
  <c r="AB203" i="17"/>
  <c r="K203" i="17"/>
  <c r="A204" i="17"/>
  <c r="L203" i="17"/>
  <c r="D203" i="17" s="1"/>
  <c r="X203" i="17"/>
  <c r="I202" i="1"/>
  <c r="L196" i="25"/>
  <c r="K196" i="25"/>
  <c r="A197" i="25"/>
  <c r="AB196" i="25"/>
  <c r="X196" i="25"/>
  <c r="L203" i="16"/>
  <c r="D203" i="16" s="1"/>
  <c r="X203" i="16"/>
  <c r="K203" i="16"/>
  <c r="A204" i="16"/>
  <c r="AB203" i="16"/>
  <c r="I203" i="1"/>
  <c r="A198" i="25"/>
  <c r="L197" i="25"/>
  <c r="AB197" i="25"/>
  <c r="X197" i="25"/>
  <c r="K197" i="25"/>
  <c r="L200" i="22"/>
  <c r="X200" i="22"/>
  <c r="A201" i="22"/>
  <c r="K200" i="22"/>
  <c r="AB200" i="22"/>
  <c r="L198" i="24"/>
  <c r="X198" i="24"/>
  <c r="AB198" i="24"/>
  <c r="A199" i="24"/>
  <c r="K198" i="24"/>
  <c r="AB202" i="18"/>
  <c r="A203" i="18"/>
  <c r="X202" i="18"/>
  <c r="L202" i="18"/>
  <c r="K202" i="18"/>
  <c r="L204" i="16"/>
  <c r="D204" i="16" s="1"/>
  <c r="K204" i="16"/>
  <c r="A205" i="16"/>
  <c r="X204" i="16"/>
  <c r="AB204" i="16"/>
  <c r="X204" i="17"/>
  <c r="AB204" i="17"/>
  <c r="K204" i="17"/>
  <c r="A205" i="17"/>
  <c r="L204" i="17"/>
  <c r="D204" i="17" s="1"/>
  <c r="L201" i="20"/>
  <c r="AB201" i="20"/>
  <c r="X201" i="20"/>
  <c r="K201" i="20"/>
  <c r="A202" i="20"/>
  <c r="A200" i="23"/>
  <c r="AB199" i="23"/>
  <c r="K199" i="23"/>
  <c r="L199" i="23"/>
  <c r="X199" i="23"/>
  <c r="X207" i="1"/>
  <c r="K207" i="1"/>
  <c r="AK207" i="1"/>
  <c r="A208" i="1"/>
  <c r="AJ207" i="1"/>
  <c r="AB207" i="1"/>
  <c r="L207" i="1"/>
  <c r="X204" i="15"/>
  <c r="L204" i="15"/>
  <c r="D204" i="15" s="1"/>
  <c r="A205" i="15"/>
  <c r="K204" i="15"/>
  <c r="AB204" i="15"/>
  <c r="K205" i="15"/>
  <c r="AB205" i="15"/>
  <c r="L205" i="15"/>
  <c r="A206" i="15"/>
  <c r="X205" i="15"/>
  <c r="K208" i="1"/>
  <c r="X208" i="1"/>
  <c r="L208" i="1"/>
  <c r="AK208" i="1"/>
  <c r="AJ208" i="1"/>
  <c r="A209" i="1"/>
  <c r="AB208" i="1"/>
  <c r="AB200" i="23"/>
  <c r="A201" i="23"/>
  <c r="X200" i="23"/>
  <c r="K200" i="23"/>
  <c r="L200" i="23"/>
  <c r="A203" i="20"/>
  <c r="K202" i="20"/>
  <c r="L202" i="20"/>
  <c r="X202" i="20"/>
  <c r="AB202" i="20"/>
  <c r="A206" i="17"/>
  <c r="X205" i="17"/>
  <c r="AB205" i="17"/>
  <c r="L205" i="17"/>
  <c r="K205" i="17"/>
  <c r="I204" i="1"/>
  <c r="A206" i="16"/>
  <c r="AB205" i="16"/>
  <c r="L205" i="16"/>
  <c r="K205" i="16"/>
  <c r="X205" i="16"/>
  <c r="K203" i="18"/>
  <c r="A204" i="18"/>
  <c r="AB203" i="18"/>
  <c r="L203" i="18"/>
  <c r="X203" i="18"/>
  <c r="AB199" i="24"/>
  <c r="K199" i="24"/>
  <c r="X199" i="24"/>
  <c r="A200" i="24"/>
  <c r="L199" i="24"/>
  <c r="K201" i="22"/>
  <c r="AB201" i="22"/>
  <c r="A202" i="22"/>
  <c r="X201" i="22"/>
  <c r="L201" i="22"/>
  <c r="A199" i="25"/>
  <c r="L198" i="25"/>
  <c r="AB198" i="25"/>
  <c r="K198" i="25"/>
  <c r="X198" i="25"/>
  <c r="A200" i="25"/>
  <c r="X199" i="25"/>
  <c r="L199" i="25"/>
  <c r="K199" i="25"/>
  <c r="AB199" i="25"/>
  <c r="AB202" i="22"/>
  <c r="X202" i="22"/>
  <c r="L202" i="22"/>
  <c r="K202" i="22"/>
  <c r="A203" i="22"/>
  <c r="AB200" i="24"/>
  <c r="A201" i="24"/>
  <c r="L200" i="24"/>
  <c r="K200" i="24"/>
  <c r="X200" i="24"/>
  <c r="AB204" i="18"/>
  <c r="K204" i="18"/>
  <c r="A205" i="18"/>
  <c r="X204" i="18"/>
  <c r="L204" i="18"/>
  <c r="D205" i="17"/>
  <c r="K206" i="15"/>
  <c r="AB206" i="15"/>
  <c r="A207" i="15"/>
  <c r="L206" i="15"/>
  <c r="D206" i="15" s="1"/>
  <c r="X206" i="15"/>
  <c r="I205" i="1"/>
  <c r="D205" i="16"/>
  <c r="X206" i="16"/>
  <c r="K206" i="16"/>
  <c r="A207" i="16"/>
  <c r="AB206" i="16"/>
  <c r="L206" i="16"/>
  <c r="D206" i="16" s="1"/>
  <c r="L206" i="17"/>
  <c r="D206" i="17" s="1"/>
  <c r="X206" i="17"/>
  <c r="AB206" i="17"/>
  <c r="K206" i="17"/>
  <c r="A207" i="17"/>
  <c r="K203" i="20"/>
  <c r="L203" i="20"/>
  <c r="AB203" i="20"/>
  <c r="X203" i="20"/>
  <c r="A204" i="20"/>
  <c r="L201" i="23"/>
  <c r="K201" i="23"/>
  <c r="AB201" i="23"/>
  <c r="X201" i="23"/>
  <c r="A202" i="23"/>
  <c r="AK209" i="1"/>
  <c r="L209" i="1"/>
  <c r="AJ209" i="1"/>
  <c r="X209" i="1"/>
  <c r="K209" i="1"/>
  <c r="A210" i="1"/>
  <c r="AB209" i="1"/>
  <c r="D205" i="15"/>
  <c r="A211" i="1"/>
  <c r="L210" i="1"/>
  <c r="B26" i="7" s="1"/>
  <c r="X210" i="1"/>
  <c r="AB210" i="1"/>
  <c r="AK210" i="1"/>
  <c r="A26" i="7"/>
  <c r="K210" i="1"/>
  <c r="AJ210" i="1"/>
  <c r="X204" i="20"/>
  <c r="K204" i="20"/>
  <c r="L204" i="20"/>
  <c r="A205" i="20"/>
  <c r="AB204" i="20"/>
  <c r="K207" i="17"/>
  <c r="X207" i="17"/>
  <c r="L207" i="17"/>
  <c r="D207" i="17" s="1"/>
  <c r="AB207" i="17"/>
  <c r="A208" i="17"/>
  <c r="A208" i="15"/>
  <c r="AB207" i="15"/>
  <c r="L207" i="15"/>
  <c r="K207" i="15"/>
  <c r="X207" i="15"/>
  <c r="AB205" i="18"/>
  <c r="K205" i="18"/>
  <c r="X205" i="18"/>
  <c r="L205" i="18"/>
  <c r="A206" i="18"/>
  <c r="L202" i="23"/>
  <c r="K202" i="23"/>
  <c r="X202" i="23"/>
  <c r="A203" i="23"/>
  <c r="AB202" i="23"/>
  <c r="A208" i="16"/>
  <c r="AB207" i="16"/>
  <c r="L207" i="16"/>
  <c r="D207" i="16" s="1"/>
  <c r="K207" i="16"/>
  <c r="X207" i="16"/>
  <c r="I206" i="1"/>
  <c r="K201" i="24"/>
  <c r="L201" i="24"/>
  <c r="X201" i="24"/>
  <c r="AB201" i="24"/>
  <c r="A202" i="24"/>
  <c r="L203" i="22"/>
  <c r="AB203" i="22"/>
  <c r="A204" i="22"/>
  <c r="K203" i="22"/>
  <c r="X203" i="22"/>
  <c r="A201" i="25"/>
  <c r="X200" i="25"/>
  <c r="K200" i="25"/>
  <c r="AB200" i="25"/>
  <c r="L200" i="25"/>
  <c r="AB201" i="25"/>
  <c r="X201" i="25"/>
  <c r="K201" i="25"/>
  <c r="A202" i="25"/>
  <c r="L201" i="25"/>
  <c r="X204" i="22"/>
  <c r="L204" i="22"/>
  <c r="A205" i="22"/>
  <c r="K204" i="22"/>
  <c r="AB204" i="22"/>
  <c r="A209" i="16"/>
  <c r="AB208" i="16"/>
  <c r="L208" i="16"/>
  <c r="D208" i="16" s="1"/>
  <c r="X208" i="16"/>
  <c r="K208" i="16"/>
  <c r="AB206" i="18"/>
  <c r="K206" i="18"/>
  <c r="X206" i="18"/>
  <c r="A207" i="18"/>
  <c r="L206" i="18"/>
  <c r="D207" i="15"/>
  <c r="K208" i="15"/>
  <c r="A209" i="15"/>
  <c r="L208" i="15"/>
  <c r="D208" i="15" s="1"/>
  <c r="AB208" i="15"/>
  <c r="X208" i="15"/>
  <c r="I207" i="1"/>
  <c r="AB202" i="24"/>
  <c r="L202" i="24"/>
  <c r="A203" i="24"/>
  <c r="X202" i="24"/>
  <c r="K202" i="24"/>
  <c r="AB203" i="23"/>
  <c r="X203" i="23"/>
  <c r="K203" i="23"/>
  <c r="A204" i="23"/>
  <c r="L203" i="23"/>
  <c r="X208" i="17"/>
  <c r="A209" i="17"/>
  <c r="AB208" i="17"/>
  <c r="K208" i="17"/>
  <c r="L208" i="17"/>
  <c r="D208" i="17" s="1"/>
  <c r="X205" i="20"/>
  <c r="K205" i="20"/>
  <c r="L205" i="20"/>
  <c r="AB205" i="20"/>
  <c r="A206" i="20"/>
  <c r="K211" i="1"/>
  <c r="AB211" i="1"/>
  <c r="L211" i="1"/>
  <c r="AK211" i="1"/>
  <c r="A212" i="1"/>
  <c r="AJ211" i="1"/>
  <c r="X211" i="1"/>
  <c r="X206" i="20"/>
  <c r="AB206" i="20"/>
  <c r="A207" i="20"/>
  <c r="K206" i="20"/>
  <c r="L206" i="20"/>
  <c r="A210" i="17"/>
  <c r="X209" i="17"/>
  <c r="L209" i="17"/>
  <c r="D209" i="17" s="1"/>
  <c r="K209" i="17"/>
  <c r="AB209" i="17"/>
  <c r="L204" i="23"/>
  <c r="X204" i="23"/>
  <c r="A205" i="23"/>
  <c r="AB204" i="23"/>
  <c r="K204" i="23"/>
  <c r="K203" i="24"/>
  <c r="L203" i="24"/>
  <c r="AB203" i="24"/>
  <c r="X203" i="24"/>
  <c r="A204" i="24"/>
  <c r="X209" i="15"/>
  <c r="A210" i="15"/>
  <c r="L209" i="15"/>
  <c r="D209" i="15" s="1"/>
  <c r="K209" i="15"/>
  <c r="AB209" i="15"/>
  <c r="I208" i="1"/>
  <c r="AB212" i="1"/>
  <c r="K212" i="1"/>
  <c r="AK212" i="1"/>
  <c r="A213" i="1"/>
  <c r="AJ212" i="1"/>
  <c r="L212" i="1"/>
  <c r="X212" i="1"/>
  <c r="K207" i="18"/>
  <c r="L207" i="18"/>
  <c r="AB207" i="18"/>
  <c r="A208" i="18"/>
  <c r="X207" i="18"/>
  <c r="K209" i="16"/>
  <c r="X209" i="16"/>
  <c r="AB209" i="16"/>
  <c r="L209" i="16"/>
  <c r="D209" i="16" s="1"/>
  <c r="A210" i="16"/>
  <c r="X205" i="22"/>
  <c r="A206" i="22"/>
  <c r="K205" i="22"/>
  <c r="L205" i="22"/>
  <c r="AB205" i="22"/>
  <c r="A203" i="25"/>
  <c r="AB202" i="25"/>
  <c r="L202" i="25"/>
  <c r="K202" i="25"/>
  <c r="X202" i="25"/>
  <c r="AB206" i="22"/>
  <c r="X206" i="22"/>
  <c r="L206" i="22"/>
  <c r="A207" i="22"/>
  <c r="K206" i="22"/>
  <c r="A214" i="1"/>
  <c r="K213" i="1"/>
  <c r="L213" i="1"/>
  <c r="X213" i="1"/>
  <c r="AJ213" i="1"/>
  <c r="AK213" i="1"/>
  <c r="AB213" i="1"/>
  <c r="AB210" i="17"/>
  <c r="K210" i="17"/>
  <c r="L210" i="17"/>
  <c r="D210" i="17" s="1"/>
  <c r="X210" i="17"/>
  <c r="A211" i="17"/>
  <c r="A62" i="7"/>
  <c r="I209" i="1"/>
  <c r="X203" i="25"/>
  <c r="A204" i="25"/>
  <c r="AB203" i="25"/>
  <c r="K203" i="25"/>
  <c r="L203" i="25"/>
  <c r="L210" i="16"/>
  <c r="B50" i="7" s="1"/>
  <c r="A50" i="7"/>
  <c r="K210" i="16"/>
  <c r="X210" i="16"/>
  <c r="AB210" i="16"/>
  <c r="A211" i="16"/>
  <c r="A209" i="18"/>
  <c r="AB208" i="18"/>
  <c r="X208" i="18"/>
  <c r="K208" i="18"/>
  <c r="L208" i="18"/>
  <c r="A211" i="15"/>
  <c r="L210" i="15"/>
  <c r="D210" i="15" s="1"/>
  <c r="X210" i="15"/>
  <c r="K210" i="15"/>
  <c r="A38" i="7"/>
  <c r="AB210" i="15"/>
  <c r="L204" i="24"/>
  <c r="A205" i="24"/>
  <c r="X204" i="24"/>
  <c r="K204" i="24"/>
  <c r="AB204" i="24"/>
  <c r="A206" i="23"/>
  <c r="AB205" i="23"/>
  <c r="L205" i="23"/>
  <c r="K205" i="23"/>
  <c r="X205" i="23"/>
  <c r="L207" i="20"/>
  <c r="AB207" i="20"/>
  <c r="A208" i="20"/>
  <c r="X207" i="20"/>
  <c r="K207" i="20"/>
  <c r="I210" i="1"/>
  <c r="K205" i="24"/>
  <c r="AB205" i="24"/>
  <c r="L205" i="24"/>
  <c r="A206" i="24"/>
  <c r="X205" i="24"/>
  <c r="B38" i="7"/>
  <c r="L211" i="16"/>
  <c r="D211" i="16" s="1"/>
  <c r="AB211" i="16"/>
  <c r="K211" i="16"/>
  <c r="X211" i="16"/>
  <c r="A212" i="16"/>
  <c r="D210" i="16"/>
  <c r="A212" i="17"/>
  <c r="K211" i="17"/>
  <c r="AB211" i="17"/>
  <c r="L211" i="17"/>
  <c r="D211" i="17" s="1"/>
  <c r="X211" i="17"/>
  <c r="B62" i="7"/>
  <c r="AB208" i="20"/>
  <c r="K208" i="20"/>
  <c r="X208" i="20"/>
  <c r="A209" i="20"/>
  <c r="L208" i="20"/>
  <c r="A207" i="23"/>
  <c r="AB206" i="23"/>
  <c r="X206" i="23"/>
  <c r="L206" i="23"/>
  <c r="K206" i="23"/>
  <c r="A212" i="15"/>
  <c r="X211" i="15"/>
  <c r="L211" i="15"/>
  <c r="D211" i="15" s="1"/>
  <c r="AB211" i="15"/>
  <c r="K211" i="15"/>
  <c r="X209" i="18"/>
  <c r="AB209" i="18"/>
  <c r="A210" i="18"/>
  <c r="K209" i="18"/>
  <c r="L209" i="18"/>
  <c r="A205" i="25"/>
  <c r="AB204" i="25"/>
  <c r="L204" i="25"/>
  <c r="K204" i="25"/>
  <c r="X204" i="25"/>
  <c r="A215" i="1"/>
  <c r="K214" i="1"/>
  <c r="X214" i="1"/>
  <c r="AB214" i="1"/>
  <c r="AJ214" i="1"/>
  <c r="AK214" i="1"/>
  <c r="L214" i="1"/>
  <c r="AB207" i="22"/>
  <c r="L207" i="22"/>
  <c r="A208" i="22"/>
  <c r="K207" i="22"/>
  <c r="X207" i="22"/>
  <c r="K208" i="22"/>
  <c r="X208" i="22"/>
  <c r="L208" i="22"/>
  <c r="A209" i="22"/>
  <c r="AB208" i="22"/>
  <c r="K210" i="18"/>
  <c r="A211" i="18"/>
  <c r="L210" i="18"/>
  <c r="B74" i="7" s="1"/>
  <c r="X210" i="18"/>
  <c r="AB210" i="18"/>
  <c r="A74" i="7"/>
  <c r="AB209" i="20"/>
  <c r="X209" i="20"/>
  <c r="L209" i="20"/>
  <c r="A210" i="20"/>
  <c r="K209" i="20"/>
  <c r="A213" i="17"/>
  <c r="X212" i="17"/>
  <c r="L212" i="17"/>
  <c r="D212" i="17" s="1"/>
  <c r="AB212" i="17"/>
  <c r="K212" i="17"/>
  <c r="L206" i="24"/>
  <c r="A207" i="24"/>
  <c r="X206" i="24"/>
  <c r="K206" i="24"/>
  <c r="AB206" i="24"/>
  <c r="K215" i="1"/>
  <c r="AB215" i="1"/>
  <c r="L215" i="1"/>
  <c r="X215" i="1"/>
  <c r="A216" i="1"/>
  <c r="AK215" i="1"/>
  <c r="AJ215" i="1"/>
  <c r="K205" i="25"/>
  <c r="AB205" i="25"/>
  <c r="X205" i="25"/>
  <c r="A206" i="25"/>
  <c r="L205" i="25"/>
  <c r="X212" i="15"/>
  <c r="AB212" i="15"/>
  <c r="A213" i="15"/>
  <c r="L212" i="15"/>
  <c r="D212" i="15" s="1"/>
  <c r="K212" i="15"/>
  <c r="L207" i="23"/>
  <c r="X207" i="23"/>
  <c r="A208" i="23"/>
  <c r="AB207" i="23"/>
  <c r="K207" i="23"/>
  <c r="K212" i="16"/>
  <c r="A213" i="16"/>
  <c r="X212" i="16"/>
  <c r="AB212" i="16"/>
  <c r="L212" i="16"/>
  <c r="D212" i="16" s="1"/>
  <c r="I211" i="1"/>
  <c r="I212" i="1"/>
  <c r="L213" i="16"/>
  <c r="A214" i="16"/>
  <c r="X213" i="16"/>
  <c r="AB213" i="16"/>
  <c r="K213" i="16"/>
  <c r="X208" i="23"/>
  <c r="L208" i="23"/>
  <c r="AB208" i="23"/>
  <c r="K208" i="23"/>
  <c r="A209" i="23"/>
  <c r="K216" i="1"/>
  <c r="AB216" i="1"/>
  <c r="AK216" i="1"/>
  <c r="X216" i="1"/>
  <c r="L216" i="1"/>
  <c r="AJ216" i="1"/>
  <c r="A217" i="1"/>
  <c r="AB207" i="24"/>
  <c r="X207" i="24"/>
  <c r="K207" i="24"/>
  <c r="A208" i="24"/>
  <c r="L207" i="24"/>
  <c r="A214" i="17"/>
  <c r="K213" i="17"/>
  <c r="X213" i="17"/>
  <c r="AB213" i="17"/>
  <c r="L213" i="17"/>
  <c r="D213" i="17" s="1"/>
  <c r="L211" i="18"/>
  <c r="A212" i="18"/>
  <c r="K211" i="18"/>
  <c r="AB211" i="18"/>
  <c r="X211" i="18"/>
  <c r="A210" i="22"/>
  <c r="AB209" i="22"/>
  <c r="X209" i="22"/>
  <c r="K209" i="22"/>
  <c r="L209" i="22"/>
  <c r="L213" i="15"/>
  <c r="D213" i="15" s="1"/>
  <c r="AB213" i="15"/>
  <c r="X213" i="15"/>
  <c r="A214" i="15"/>
  <c r="K213" i="15"/>
  <c r="A207" i="25"/>
  <c r="L206" i="25"/>
  <c r="X206" i="25"/>
  <c r="K206" i="25"/>
  <c r="AB206" i="25"/>
  <c r="A211" i="20"/>
  <c r="AB210" i="20"/>
  <c r="K210" i="20"/>
  <c r="L210" i="20"/>
  <c r="AF26" i="7" s="1"/>
  <c r="AE26" i="7"/>
  <c r="X210" i="20"/>
  <c r="I213" i="1"/>
  <c r="A212" i="20"/>
  <c r="X211" i="20"/>
  <c r="K211" i="20"/>
  <c r="AB211" i="20"/>
  <c r="L211" i="20"/>
  <c r="X207" i="25"/>
  <c r="A208" i="25"/>
  <c r="L207" i="25"/>
  <c r="AB207" i="25"/>
  <c r="K207" i="25"/>
  <c r="K214" i="15"/>
  <c r="L214" i="15"/>
  <c r="D214" i="15" s="1"/>
  <c r="AB214" i="15"/>
  <c r="A215" i="15"/>
  <c r="X214" i="15"/>
  <c r="L212" i="18"/>
  <c r="AB212" i="18"/>
  <c r="A213" i="18"/>
  <c r="X212" i="18"/>
  <c r="K212" i="18"/>
  <c r="D213" i="16"/>
  <c r="AE38" i="7"/>
  <c r="L210" i="22"/>
  <c r="K210" i="22"/>
  <c r="AB210" i="22"/>
  <c r="X210" i="22"/>
  <c r="A211" i="22"/>
  <c r="K214" i="17"/>
  <c r="X214" i="17"/>
  <c r="AB214" i="17"/>
  <c r="A215" i="17"/>
  <c r="L214" i="17"/>
  <c r="D214" i="17" s="1"/>
  <c r="AB208" i="24"/>
  <c r="X208" i="24"/>
  <c r="K208" i="24"/>
  <c r="L208" i="24"/>
  <c r="A209" i="24"/>
  <c r="AK217" i="1"/>
  <c r="AB217" i="1"/>
  <c r="X217" i="1"/>
  <c r="A218" i="1"/>
  <c r="L217" i="1"/>
  <c r="AJ217" i="1"/>
  <c r="K217" i="1"/>
  <c r="AB209" i="23"/>
  <c r="X209" i="23"/>
  <c r="A210" i="23"/>
  <c r="K209" i="23"/>
  <c r="L209" i="23"/>
  <c r="A215" i="16"/>
  <c r="AB214" i="16"/>
  <c r="L214" i="16"/>
  <c r="D214" i="16" s="1"/>
  <c r="X214" i="16"/>
  <c r="K214" i="16"/>
  <c r="A216" i="16"/>
  <c r="L215" i="16"/>
  <c r="K215" i="16"/>
  <c r="AB215" i="16"/>
  <c r="X215" i="16"/>
  <c r="AB211" i="22"/>
  <c r="K211" i="22"/>
  <c r="A212" i="22"/>
  <c r="L211" i="22"/>
  <c r="X211" i="22"/>
  <c r="AF38" i="7"/>
  <c r="I214" i="1"/>
  <c r="X208" i="25"/>
  <c r="L208" i="25"/>
  <c r="K208" i="25"/>
  <c r="A209" i="25"/>
  <c r="AB208" i="25"/>
  <c r="X212" i="20"/>
  <c r="A213" i="20"/>
  <c r="L212" i="20"/>
  <c r="K212" i="20"/>
  <c r="AB212" i="20"/>
  <c r="X210" i="23"/>
  <c r="A211" i="23"/>
  <c r="K210" i="23"/>
  <c r="L210" i="23"/>
  <c r="AE50" i="7"/>
  <c r="AB210" i="23"/>
  <c r="A219" i="1"/>
  <c r="K218" i="1"/>
  <c r="L218" i="1"/>
  <c r="X218" i="1"/>
  <c r="AJ218" i="1"/>
  <c r="AB218" i="1"/>
  <c r="AK218" i="1"/>
  <c r="A210" i="24"/>
  <c r="X209" i="24"/>
  <c r="K209" i="24"/>
  <c r="AB209" i="24"/>
  <c r="L209" i="24"/>
  <c r="AB215" i="17"/>
  <c r="L215" i="17"/>
  <c r="D215" i="17" s="1"/>
  <c r="X215" i="17"/>
  <c r="A216" i="17"/>
  <c r="K215" i="17"/>
  <c r="K213" i="18"/>
  <c r="AB213" i="18"/>
  <c r="L213" i="18"/>
  <c r="X213" i="18"/>
  <c r="A214" i="18"/>
  <c r="K215" i="15"/>
  <c r="X215" i="15"/>
  <c r="L215" i="15"/>
  <c r="D215" i="15" s="1"/>
  <c r="A216" i="15"/>
  <c r="AB215" i="15"/>
  <c r="X210" i="24"/>
  <c r="AB210" i="24"/>
  <c r="AE62" i="7"/>
  <c r="K210" i="24"/>
  <c r="L210" i="24"/>
  <c r="AF62" i="7" s="1"/>
  <c r="A211" i="24"/>
  <c r="AF50" i="7"/>
  <c r="L211" i="23"/>
  <c r="AB211" i="23"/>
  <c r="K211" i="23"/>
  <c r="A212" i="23"/>
  <c r="X211" i="23"/>
  <c r="X213" i="20"/>
  <c r="K213" i="20"/>
  <c r="AB213" i="20"/>
  <c r="L213" i="20"/>
  <c r="A214" i="20"/>
  <c r="A210" i="25"/>
  <c r="AB209" i="25"/>
  <c r="X209" i="25"/>
  <c r="K209" i="25"/>
  <c r="L209" i="25"/>
  <c r="D215" i="16"/>
  <c r="I215" i="1"/>
  <c r="K216" i="15"/>
  <c r="AB216" i="15"/>
  <c r="A217" i="15"/>
  <c r="L216" i="15"/>
  <c r="D216" i="15" s="1"/>
  <c r="X216" i="15"/>
  <c r="L214" i="18"/>
  <c r="A215" i="18"/>
  <c r="K214" i="18"/>
  <c r="X214" i="18"/>
  <c r="AB214" i="18"/>
  <c r="L216" i="17"/>
  <c r="D216" i="17" s="1"/>
  <c r="K216" i="17"/>
  <c r="X216" i="17"/>
  <c r="A217" i="17"/>
  <c r="AB216" i="17"/>
  <c r="A220" i="1"/>
  <c r="K219" i="1"/>
  <c r="X219" i="1"/>
  <c r="AB219" i="1"/>
  <c r="AK219" i="1"/>
  <c r="L219" i="1"/>
  <c r="AJ219" i="1"/>
  <c r="AB212" i="22"/>
  <c r="X212" i="22"/>
  <c r="A213" i="22"/>
  <c r="L212" i="22"/>
  <c r="K212" i="22"/>
  <c r="L216" i="16"/>
  <c r="D216" i="16" s="1"/>
  <c r="X216" i="16"/>
  <c r="AB216" i="16"/>
  <c r="K216" i="16"/>
  <c r="A217" i="16"/>
  <c r="X213" i="22"/>
  <c r="A214" i="22"/>
  <c r="K213" i="22"/>
  <c r="AB213" i="22"/>
  <c r="L213" i="22"/>
  <c r="K217" i="17"/>
  <c r="AB217" i="17"/>
  <c r="A218" i="17"/>
  <c r="L217" i="17"/>
  <c r="D217" i="17" s="1"/>
  <c r="X217" i="17"/>
  <c r="AB210" i="25"/>
  <c r="L210" i="25"/>
  <c r="AF74" i="7" s="1"/>
  <c r="A211" i="25"/>
  <c r="K210" i="25"/>
  <c r="X210" i="25"/>
  <c r="AE74" i="7"/>
  <c r="L214" i="20"/>
  <c r="AB214" i="20"/>
  <c r="X214" i="20"/>
  <c r="K214" i="20"/>
  <c r="A215" i="20"/>
  <c r="X211" i="24"/>
  <c r="K211" i="24"/>
  <c r="A212" i="24"/>
  <c r="AB211" i="24"/>
  <c r="L211" i="24"/>
  <c r="I216" i="1"/>
  <c r="K217" i="16"/>
  <c r="AB217" i="16"/>
  <c r="X217" i="16"/>
  <c r="A218" i="16"/>
  <c r="L217" i="16"/>
  <c r="D217" i="16" s="1"/>
  <c r="A221" i="1"/>
  <c r="AB220" i="1"/>
  <c r="L220" i="1"/>
  <c r="X220" i="1"/>
  <c r="AK220" i="1"/>
  <c r="K220" i="1"/>
  <c r="AJ220" i="1"/>
  <c r="X215" i="18"/>
  <c r="AB215" i="18"/>
  <c r="L215" i="18"/>
  <c r="K215" i="18"/>
  <c r="A216" i="18"/>
  <c r="A218" i="15"/>
  <c r="K217" i="15"/>
  <c r="AB217" i="15"/>
  <c r="L217" i="15"/>
  <c r="D217" i="15" s="1"/>
  <c r="X217" i="15"/>
  <c r="AB212" i="23"/>
  <c r="A213" i="23"/>
  <c r="K212" i="23"/>
  <c r="L212" i="23"/>
  <c r="X212" i="23"/>
  <c r="K216" i="18"/>
  <c r="A217" i="18"/>
  <c r="L216" i="18"/>
  <c r="X216" i="18"/>
  <c r="AB216" i="18"/>
  <c r="A222" i="1"/>
  <c r="L221" i="1"/>
  <c r="AK221" i="1"/>
  <c r="AB221" i="1"/>
  <c r="X221" i="1"/>
  <c r="K221" i="1"/>
  <c r="AJ221" i="1"/>
  <c r="L215" i="20"/>
  <c r="A216" i="20"/>
  <c r="K215" i="20"/>
  <c r="AB215" i="20"/>
  <c r="X215" i="20"/>
  <c r="A219" i="17"/>
  <c r="L218" i="17"/>
  <c r="K218" i="17"/>
  <c r="X218" i="17"/>
  <c r="AB218" i="17"/>
  <c r="X214" i="22"/>
  <c r="K214" i="22"/>
  <c r="L214" i="22"/>
  <c r="AB214" i="22"/>
  <c r="A215" i="22"/>
  <c r="I217" i="1"/>
  <c r="X213" i="23"/>
  <c r="L213" i="23"/>
  <c r="K213" i="23"/>
  <c r="AB213" i="23"/>
  <c r="A214" i="23"/>
  <c r="X218" i="15"/>
  <c r="L218" i="15"/>
  <c r="D218" i="15" s="1"/>
  <c r="A219" i="15"/>
  <c r="K218" i="15"/>
  <c r="AB218" i="15"/>
  <c r="L218" i="16"/>
  <c r="D218" i="16" s="1"/>
  <c r="AB218" i="16"/>
  <c r="A219" i="16"/>
  <c r="X218" i="16"/>
  <c r="K218" i="16"/>
  <c r="AB212" i="24"/>
  <c r="K212" i="24"/>
  <c r="X212" i="24"/>
  <c r="L212" i="24"/>
  <c r="A213" i="24"/>
  <c r="A212" i="25"/>
  <c r="X211" i="25"/>
  <c r="AB211" i="25"/>
  <c r="K211" i="25"/>
  <c r="L211" i="25"/>
  <c r="L213" i="24"/>
  <c r="AB213" i="24"/>
  <c r="K213" i="24"/>
  <c r="X213" i="24"/>
  <c r="A214" i="24"/>
  <c r="L215" i="22"/>
  <c r="K215" i="22"/>
  <c r="A216" i="22"/>
  <c r="AB215" i="22"/>
  <c r="X215" i="22"/>
  <c r="I218" i="1"/>
  <c r="D218" i="17"/>
  <c r="A217" i="20"/>
  <c r="L216" i="20"/>
  <c r="X216" i="20"/>
  <c r="K216" i="20"/>
  <c r="AB216" i="20"/>
  <c r="AK222" i="1"/>
  <c r="AJ222" i="1"/>
  <c r="AB222" i="1"/>
  <c r="A223" i="1"/>
  <c r="X222" i="1"/>
  <c r="K222" i="1"/>
  <c r="L222" i="1"/>
  <c r="L217" i="18"/>
  <c r="X217" i="18"/>
  <c r="K217" i="18"/>
  <c r="A218" i="18"/>
  <c r="AB217" i="18"/>
  <c r="L212" i="25"/>
  <c r="X212" i="25"/>
  <c r="K212" i="25"/>
  <c r="A213" i="25"/>
  <c r="AB212" i="25"/>
  <c r="X219" i="16"/>
  <c r="AB219" i="16"/>
  <c r="K219" i="16"/>
  <c r="A220" i="16"/>
  <c r="L219" i="16"/>
  <c r="AB219" i="15"/>
  <c r="X219" i="15"/>
  <c r="A220" i="15"/>
  <c r="L219" i="15"/>
  <c r="D219" i="15" s="1"/>
  <c r="K219" i="15"/>
  <c r="A215" i="23"/>
  <c r="AB214" i="23"/>
  <c r="L214" i="23"/>
  <c r="K214" i="23"/>
  <c r="X214" i="23"/>
  <c r="AB219" i="17"/>
  <c r="L219" i="17"/>
  <c r="D219" i="17" s="1"/>
  <c r="A220" i="17"/>
  <c r="X219" i="17"/>
  <c r="K219" i="17"/>
  <c r="I219" i="1"/>
  <c r="AB215" i="23"/>
  <c r="L215" i="23"/>
  <c r="X215" i="23"/>
  <c r="A216" i="23"/>
  <c r="K215" i="23"/>
  <c r="AB220" i="16"/>
  <c r="X220" i="16"/>
  <c r="K220" i="16"/>
  <c r="A221" i="16"/>
  <c r="L220" i="16"/>
  <c r="K213" i="25"/>
  <c r="L213" i="25"/>
  <c r="AB213" i="25"/>
  <c r="A214" i="25"/>
  <c r="X213" i="25"/>
  <c r="A224" i="1"/>
  <c r="X223" i="1"/>
  <c r="AJ223" i="1"/>
  <c r="K223" i="1"/>
  <c r="AK223" i="1"/>
  <c r="AB223" i="1"/>
  <c r="L223" i="1"/>
  <c r="K214" i="24"/>
  <c r="X214" i="24"/>
  <c r="L214" i="24"/>
  <c r="AB214" i="24"/>
  <c r="A215" i="24"/>
  <c r="X220" i="17"/>
  <c r="A221" i="17"/>
  <c r="K220" i="17"/>
  <c r="L220" i="17"/>
  <c r="D220" i="17" s="1"/>
  <c r="AB220" i="17"/>
  <c r="K220" i="15"/>
  <c r="AB220" i="15"/>
  <c r="A221" i="15"/>
  <c r="L220" i="15"/>
  <c r="D220" i="15" s="1"/>
  <c r="X220" i="15"/>
  <c r="D219" i="16"/>
  <c r="K218" i="18"/>
  <c r="L218" i="18"/>
  <c r="A219" i="18"/>
  <c r="AB218" i="18"/>
  <c r="X218" i="18"/>
  <c r="K217" i="20"/>
  <c r="L217" i="20"/>
  <c r="A218" i="20"/>
  <c r="X217" i="20"/>
  <c r="AB217" i="20"/>
  <c r="A217" i="22"/>
  <c r="X216" i="22"/>
  <c r="L216" i="22"/>
  <c r="K216" i="22"/>
  <c r="AB216" i="22"/>
  <c r="I220" i="1"/>
  <c r="L217" i="22"/>
  <c r="X217" i="22"/>
  <c r="K217" i="22"/>
  <c r="AB217" i="22"/>
  <c r="A218" i="22"/>
  <c r="K218" i="20"/>
  <c r="X218" i="20"/>
  <c r="A219" i="20"/>
  <c r="AB218" i="20"/>
  <c r="L218" i="20"/>
  <c r="X221" i="15"/>
  <c r="AB221" i="15"/>
  <c r="K221" i="15"/>
  <c r="A222" i="15"/>
  <c r="L221" i="15"/>
  <c r="D221" i="15" s="1"/>
  <c r="AB221" i="17"/>
  <c r="K221" i="17"/>
  <c r="X221" i="17"/>
  <c r="A222" i="17"/>
  <c r="L221" i="17"/>
  <c r="D221" i="17" s="1"/>
  <c r="A225" i="1"/>
  <c r="L224" i="1"/>
  <c r="AB224" i="1"/>
  <c r="AK224" i="1"/>
  <c r="AJ224" i="1"/>
  <c r="X224" i="1"/>
  <c r="K224" i="1"/>
  <c r="D220" i="16"/>
  <c r="L221" i="16"/>
  <c r="X221" i="16"/>
  <c r="AB221" i="16"/>
  <c r="K221" i="16"/>
  <c r="A222" i="16"/>
  <c r="A220" i="18"/>
  <c r="X219" i="18"/>
  <c r="K219" i="18"/>
  <c r="L219" i="18"/>
  <c r="AB219" i="18"/>
  <c r="A216" i="24"/>
  <c r="AB215" i="24"/>
  <c r="X215" i="24"/>
  <c r="K215" i="24"/>
  <c r="L215" i="24"/>
  <c r="X214" i="25"/>
  <c r="A215" i="25"/>
  <c r="AB214" i="25"/>
  <c r="K214" i="25"/>
  <c r="L214" i="25"/>
  <c r="X216" i="23"/>
  <c r="L216" i="23"/>
  <c r="A217" i="23"/>
  <c r="AB216" i="23"/>
  <c r="K216" i="23"/>
  <c r="I221" i="1"/>
  <c r="K220" i="18"/>
  <c r="L220" i="18"/>
  <c r="A221" i="18"/>
  <c r="X220" i="18"/>
  <c r="AB220" i="18"/>
  <c r="X222" i="16"/>
  <c r="L222" i="16"/>
  <c r="D222" i="16" s="1"/>
  <c r="K222" i="16"/>
  <c r="AB222" i="16"/>
  <c r="A223" i="16"/>
  <c r="D221" i="16"/>
  <c r="A223" i="15"/>
  <c r="K222" i="15"/>
  <c r="L222" i="15"/>
  <c r="D222" i="15" s="1"/>
  <c r="AB222" i="15"/>
  <c r="X222" i="15"/>
  <c r="L219" i="20"/>
  <c r="A220" i="20"/>
  <c r="AB219" i="20"/>
  <c r="X219" i="20"/>
  <c r="K219" i="20"/>
  <c r="L218" i="22"/>
  <c r="X218" i="22"/>
  <c r="K218" i="22"/>
  <c r="AB218" i="22"/>
  <c r="A219" i="22"/>
  <c r="K217" i="23"/>
  <c r="A218" i="23"/>
  <c r="L217" i="23"/>
  <c r="AB217" i="23"/>
  <c r="X217" i="23"/>
  <c r="AB215" i="25"/>
  <c r="X215" i="25"/>
  <c r="L215" i="25"/>
  <c r="A216" i="25"/>
  <c r="K215" i="25"/>
  <c r="X216" i="24"/>
  <c r="A217" i="24"/>
  <c r="AB216" i="24"/>
  <c r="K216" i="24"/>
  <c r="L216" i="24"/>
  <c r="L225" i="1"/>
  <c r="AB225" i="1"/>
  <c r="AK225" i="1"/>
  <c r="A226" i="1"/>
  <c r="K225" i="1"/>
  <c r="AJ225" i="1"/>
  <c r="X225" i="1"/>
  <c r="AB222" i="17"/>
  <c r="K222" i="17"/>
  <c r="A223" i="17"/>
  <c r="X222" i="17"/>
  <c r="L222" i="17"/>
  <c r="D222" i="17" s="1"/>
  <c r="I222" i="1"/>
  <c r="X226" i="1"/>
  <c r="K226" i="1"/>
  <c r="AK226" i="1"/>
  <c r="L226" i="1"/>
  <c r="AB226" i="1"/>
  <c r="A227" i="1"/>
  <c r="AJ226" i="1"/>
  <c r="AB216" i="25"/>
  <c r="L216" i="25"/>
  <c r="X216" i="25"/>
  <c r="K216" i="25"/>
  <c r="A217" i="25"/>
  <c r="K219" i="22"/>
  <c r="A220" i="22"/>
  <c r="L219" i="22"/>
  <c r="X219" i="22"/>
  <c r="AB219" i="22"/>
  <c r="K220" i="20"/>
  <c r="A221" i="20"/>
  <c r="L220" i="20"/>
  <c r="X220" i="20"/>
  <c r="AB220" i="20"/>
  <c r="A224" i="15"/>
  <c r="AB223" i="15"/>
  <c r="K223" i="15"/>
  <c r="X223" i="15"/>
  <c r="L223" i="15"/>
  <c r="D223" i="15" s="1"/>
  <c r="AB223" i="16"/>
  <c r="A224" i="16"/>
  <c r="L223" i="16"/>
  <c r="D223" i="16" s="1"/>
  <c r="K223" i="16"/>
  <c r="X223" i="16"/>
  <c r="A222" i="18"/>
  <c r="AB221" i="18"/>
  <c r="K221" i="18"/>
  <c r="X221" i="18"/>
  <c r="L221" i="18"/>
  <c r="K223" i="17"/>
  <c r="AB223" i="17"/>
  <c r="A224" i="17"/>
  <c r="L223" i="17"/>
  <c r="D223" i="17" s="1"/>
  <c r="X223" i="17"/>
  <c r="A218" i="24"/>
  <c r="AB217" i="24"/>
  <c r="X217" i="24"/>
  <c r="K217" i="24"/>
  <c r="L217" i="24"/>
  <c r="AB218" i="23"/>
  <c r="A219" i="23"/>
  <c r="X218" i="23"/>
  <c r="K218" i="23"/>
  <c r="L218" i="23"/>
  <c r="I223" i="1"/>
  <c r="L218" i="24"/>
  <c r="A219" i="24"/>
  <c r="AB218" i="24"/>
  <c r="X218" i="24"/>
  <c r="K218" i="24"/>
  <c r="X224" i="17"/>
  <c r="A225" i="17"/>
  <c r="L224" i="17"/>
  <c r="D224" i="17" s="1"/>
  <c r="K224" i="17"/>
  <c r="AB224" i="17"/>
  <c r="A225" i="15"/>
  <c r="L224" i="15"/>
  <c r="D224" i="15" s="1"/>
  <c r="AB224" i="15"/>
  <c r="X224" i="15"/>
  <c r="K224" i="15"/>
  <c r="A222" i="20"/>
  <c r="L221" i="20"/>
  <c r="AB221" i="20"/>
  <c r="K221" i="20"/>
  <c r="X221" i="20"/>
  <c r="A221" i="22"/>
  <c r="X220" i="22"/>
  <c r="L220" i="22"/>
  <c r="AB220" i="22"/>
  <c r="K220" i="22"/>
  <c r="L219" i="23"/>
  <c r="K219" i="23"/>
  <c r="A220" i="23"/>
  <c r="X219" i="23"/>
  <c r="AB219" i="23"/>
  <c r="K222" i="18"/>
  <c r="A223" i="18"/>
  <c r="L222" i="18"/>
  <c r="X222" i="18"/>
  <c r="AB222" i="18"/>
  <c r="L224" i="16"/>
  <c r="D224" i="16" s="1"/>
  <c r="K224" i="16"/>
  <c r="X224" i="16"/>
  <c r="AB224" i="16"/>
  <c r="A225" i="16"/>
  <c r="L217" i="25"/>
  <c r="A218" i="25"/>
  <c r="AB217" i="25"/>
  <c r="K217" i="25"/>
  <c r="X217" i="25"/>
  <c r="A228" i="1"/>
  <c r="AB227" i="1"/>
  <c r="AK227" i="1"/>
  <c r="L227" i="1"/>
  <c r="AJ227" i="1"/>
  <c r="X227" i="1"/>
  <c r="K227" i="1"/>
  <c r="A229" i="1"/>
  <c r="AK228" i="1"/>
  <c r="AJ228" i="1"/>
  <c r="K228" i="1"/>
  <c r="L228" i="1"/>
  <c r="AB228" i="1"/>
  <c r="X228" i="1"/>
  <c r="A219" i="25"/>
  <c r="X218" i="25"/>
  <c r="AB218" i="25"/>
  <c r="K218" i="25"/>
  <c r="L218" i="25"/>
  <c r="I224" i="1"/>
  <c r="K221" i="22"/>
  <c r="X221" i="22"/>
  <c r="A222" i="22"/>
  <c r="AB221" i="22"/>
  <c r="L221" i="22"/>
  <c r="K219" i="24"/>
  <c r="A220" i="24"/>
  <c r="AB219" i="24"/>
  <c r="L219" i="24"/>
  <c r="X219" i="24"/>
  <c r="X225" i="16"/>
  <c r="A226" i="16"/>
  <c r="L225" i="16"/>
  <c r="D225" i="16" s="1"/>
  <c r="K225" i="16"/>
  <c r="AB225" i="16"/>
  <c r="X223" i="18"/>
  <c r="L223" i="18"/>
  <c r="K223" i="18"/>
  <c r="AB223" i="18"/>
  <c r="A224" i="18"/>
  <c r="K220" i="23"/>
  <c r="AB220" i="23"/>
  <c r="X220" i="23"/>
  <c r="A221" i="23"/>
  <c r="L220" i="23"/>
  <c r="L222" i="20"/>
  <c r="X222" i="20"/>
  <c r="A223" i="20"/>
  <c r="K222" i="20"/>
  <c r="AB222" i="20"/>
  <c r="K225" i="15"/>
  <c r="L225" i="15"/>
  <c r="AB225" i="15"/>
  <c r="X225" i="15"/>
  <c r="A226" i="15"/>
  <c r="A226" i="17"/>
  <c r="X225" i="17"/>
  <c r="K225" i="17"/>
  <c r="L225" i="17"/>
  <c r="AB225" i="17"/>
  <c r="I225" i="1"/>
  <c r="A227" i="16"/>
  <c r="K226" i="16"/>
  <c r="AB226" i="16"/>
  <c r="X226" i="16"/>
  <c r="L226" i="16"/>
  <c r="D226" i="16" s="1"/>
  <c r="L222" i="22"/>
  <c r="X222" i="22"/>
  <c r="K222" i="22"/>
  <c r="AB222" i="22"/>
  <c r="A223" i="22"/>
  <c r="X219" i="25"/>
  <c r="AB219" i="25"/>
  <c r="A220" i="25"/>
  <c r="K219" i="25"/>
  <c r="L219" i="25"/>
  <c r="D225" i="17"/>
  <c r="X226" i="17"/>
  <c r="L226" i="17"/>
  <c r="D226" i="17" s="1"/>
  <c r="K226" i="17"/>
  <c r="A227" i="17"/>
  <c r="AB226" i="17"/>
  <c r="A227" i="15"/>
  <c r="L226" i="15"/>
  <c r="D226" i="15" s="1"/>
  <c r="K226" i="15"/>
  <c r="X226" i="15"/>
  <c r="AB226" i="15"/>
  <c r="D225" i="15"/>
  <c r="L223" i="20"/>
  <c r="X223" i="20"/>
  <c r="AB223" i="20"/>
  <c r="A224" i="20"/>
  <c r="K223" i="20"/>
  <c r="X221" i="23"/>
  <c r="K221" i="23"/>
  <c r="L221" i="23"/>
  <c r="AB221" i="23"/>
  <c r="A222" i="23"/>
  <c r="L224" i="18"/>
  <c r="K224" i="18"/>
  <c r="AB224" i="18"/>
  <c r="A225" i="18"/>
  <c r="X224" i="18"/>
  <c r="L220" i="24"/>
  <c r="A221" i="24"/>
  <c r="AB220" i="24"/>
  <c r="X220" i="24"/>
  <c r="K220" i="24"/>
  <c r="A230" i="1"/>
  <c r="X229" i="1"/>
  <c r="AB229" i="1"/>
  <c r="AK229" i="1"/>
  <c r="AJ229" i="1"/>
  <c r="K229" i="1"/>
  <c r="L229" i="1"/>
  <c r="AK230" i="1"/>
  <c r="AJ230" i="1"/>
  <c r="AB230" i="1"/>
  <c r="K230" i="1"/>
  <c r="L230" i="1"/>
  <c r="X230" i="1"/>
  <c r="A231" i="1"/>
  <c r="AB222" i="23"/>
  <c r="A223" i="23"/>
  <c r="K222" i="23"/>
  <c r="L222" i="23"/>
  <c r="X222" i="23"/>
  <c r="L224" i="20"/>
  <c r="K224" i="20"/>
  <c r="A225" i="20"/>
  <c r="X224" i="20"/>
  <c r="AB224" i="20"/>
  <c r="A228" i="15"/>
  <c r="X227" i="15"/>
  <c r="K227" i="15"/>
  <c r="L227" i="15"/>
  <c r="AB227" i="15"/>
  <c r="A221" i="25"/>
  <c r="K220" i="25"/>
  <c r="X220" i="25"/>
  <c r="AB220" i="25"/>
  <c r="L220" i="25"/>
  <c r="A224" i="22"/>
  <c r="L223" i="22"/>
  <c r="AB223" i="22"/>
  <c r="K223" i="22"/>
  <c r="X223" i="22"/>
  <c r="K221" i="24"/>
  <c r="A222" i="24"/>
  <c r="AB221" i="24"/>
  <c r="L221" i="24"/>
  <c r="X221" i="24"/>
  <c r="A226" i="18"/>
  <c r="X225" i="18"/>
  <c r="L225" i="18"/>
  <c r="AB225" i="18"/>
  <c r="K225" i="18"/>
  <c r="K227" i="17"/>
  <c r="AB227" i="17"/>
  <c r="L227" i="17"/>
  <c r="D227" i="17" s="1"/>
  <c r="A228" i="17"/>
  <c r="X227" i="17"/>
  <c r="AB227" i="16"/>
  <c r="X227" i="16"/>
  <c r="K227" i="16"/>
  <c r="L227" i="16"/>
  <c r="D227" i="16" s="1"/>
  <c r="A228" i="16"/>
  <c r="A229" i="16"/>
  <c r="AB228" i="16"/>
  <c r="L228" i="16"/>
  <c r="D228" i="16" s="1"/>
  <c r="K228" i="16"/>
  <c r="X228" i="16"/>
  <c r="X228" i="17"/>
  <c r="AB228" i="17"/>
  <c r="L228" i="17"/>
  <c r="A229" i="17"/>
  <c r="K228" i="17"/>
  <c r="K221" i="25"/>
  <c r="A222" i="25"/>
  <c r="X221" i="25"/>
  <c r="L221" i="25"/>
  <c r="AB221" i="25"/>
  <c r="X228" i="15"/>
  <c r="L228" i="15"/>
  <c r="D228" i="15" s="1"/>
  <c r="AB228" i="15"/>
  <c r="K228" i="15"/>
  <c r="A229" i="15"/>
  <c r="A232" i="1"/>
  <c r="K231" i="1"/>
  <c r="AB231" i="1"/>
  <c r="AJ231" i="1"/>
  <c r="AK231" i="1"/>
  <c r="L231" i="1"/>
  <c r="X231" i="1"/>
  <c r="I227" i="1"/>
  <c r="K226" i="18"/>
  <c r="AB226" i="18"/>
  <c r="X226" i="18"/>
  <c r="L226" i="18"/>
  <c r="A227" i="18"/>
  <c r="A223" i="24"/>
  <c r="L222" i="24"/>
  <c r="AB222" i="24"/>
  <c r="K222" i="24"/>
  <c r="X222" i="24"/>
  <c r="I226" i="1"/>
  <c r="K224" i="22"/>
  <c r="AB224" i="22"/>
  <c r="X224" i="22"/>
  <c r="A225" i="22"/>
  <c r="L224" i="22"/>
  <c r="D227" i="15"/>
  <c r="L225" i="20"/>
  <c r="K225" i="20"/>
  <c r="X225" i="20"/>
  <c r="A226" i="20"/>
  <c r="AB225" i="20"/>
  <c r="L223" i="23"/>
  <c r="K223" i="23"/>
  <c r="A224" i="23"/>
  <c r="X223" i="23"/>
  <c r="AB223" i="23"/>
  <c r="I228" i="1"/>
  <c r="AB224" i="23"/>
  <c r="A225" i="23"/>
  <c r="K224" i="23"/>
  <c r="L224" i="23"/>
  <c r="X224" i="23"/>
  <c r="K226" i="20"/>
  <c r="A227" i="20"/>
  <c r="L226" i="20"/>
  <c r="X226" i="20"/>
  <c r="AB226" i="20"/>
  <c r="AB232" i="1"/>
  <c r="K232" i="1"/>
  <c r="AJ232" i="1"/>
  <c r="A233" i="1"/>
  <c r="AK232" i="1"/>
  <c r="L232" i="1"/>
  <c r="X232" i="1"/>
  <c r="D228" i="17"/>
  <c r="AB225" i="22"/>
  <c r="K225" i="22"/>
  <c r="X225" i="22"/>
  <c r="L225" i="22"/>
  <c r="A226" i="22"/>
  <c r="A224" i="24"/>
  <c r="AB223" i="24"/>
  <c r="X223" i="24"/>
  <c r="L223" i="24"/>
  <c r="K223" i="24"/>
  <c r="AB227" i="18"/>
  <c r="A228" i="18"/>
  <c r="L227" i="18"/>
  <c r="X227" i="18"/>
  <c r="K227" i="18"/>
  <c r="X229" i="15"/>
  <c r="K229" i="15"/>
  <c r="L229" i="15"/>
  <c r="D229" i="15" s="1"/>
  <c r="AB229" i="15"/>
  <c r="A230" i="15"/>
  <c r="K222" i="25"/>
  <c r="AB222" i="25"/>
  <c r="A223" i="25"/>
  <c r="L222" i="25"/>
  <c r="X222" i="25"/>
  <c r="X229" i="17"/>
  <c r="AB229" i="17"/>
  <c r="A230" i="17"/>
  <c r="L229" i="17"/>
  <c r="D229" i="17" s="1"/>
  <c r="K229" i="17"/>
  <c r="A230" i="16"/>
  <c r="AB229" i="16"/>
  <c r="K229" i="16"/>
  <c r="L229" i="16"/>
  <c r="D229" i="16" s="1"/>
  <c r="X229" i="16"/>
  <c r="AB230" i="16"/>
  <c r="L230" i="16"/>
  <c r="D230" i="16" s="1"/>
  <c r="X230" i="16"/>
  <c r="A231" i="16"/>
  <c r="K230" i="16"/>
  <c r="AB230" i="17"/>
  <c r="X230" i="17"/>
  <c r="L230" i="17"/>
  <c r="D230" i="17" s="1"/>
  <c r="A231" i="17"/>
  <c r="K230" i="17"/>
  <c r="L228" i="18"/>
  <c r="K228" i="18"/>
  <c r="A229" i="18"/>
  <c r="AB228" i="18"/>
  <c r="X228" i="18"/>
  <c r="L224" i="24"/>
  <c r="AB224" i="24"/>
  <c r="K224" i="24"/>
  <c r="A225" i="24"/>
  <c r="X224" i="24"/>
  <c r="L226" i="22"/>
  <c r="K226" i="22"/>
  <c r="A227" i="22"/>
  <c r="AB226" i="22"/>
  <c r="X226" i="22"/>
  <c r="I229" i="1"/>
  <c r="K223" i="25"/>
  <c r="AB223" i="25"/>
  <c r="A224" i="25"/>
  <c r="L223" i="25"/>
  <c r="X223" i="25"/>
  <c r="A231" i="15"/>
  <c r="L230" i="15"/>
  <c r="D230" i="15" s="1"/>
  <c r="AB230" i="15"/>
  <c r="X230" i="15"/>
  <c r="K230" i="15"/>
  <c r="K233" i="1"/>
  <c r="X233" i="1"/>
  <c r="L233" i="1"/>
  <c r="AK233" i="1"/>
  <c r="AB233" i="1"/>
  <c r="AJ233" i="1"/>
  <c r="A234" i="1"/>
  <c r="AB227" i="20"/>
  <c r="K227" i="20"/>
  <c r="L227" i="20"/>
  <c r="X227" i="20"/>
  <c r="A228" i="20"/>
  <c r="X225" i="23"/>
  <c r="K225" i="23"/>
  <c r="AB225" i="23"/>
  <c r="A226" i="23"/>
  <c r="L225" i="23"/>
  <c r="I230" i="1"/>
  <c r="AB234" i="1"/>
  <c r="AJ234" i="1"/>
  <c r="AK234" i="1"/>
  <c r="K234" i="1"/>
  <c r="L234" i="1"/>
  <c r="X234" i="1"/>
  <c r="A235" i="1"/>
  <c r="X224" i="25"/>
  <c r="AB224" i="25"/>
  <c r="K224" i="25"/>
  <c r="A225" i="25"/>
  <c r="L224" i="25"/>
  <c r="K227" i="22"/>
  <c r="AB227" i="22"/>
  <c r="X227" i="22"/>
  <c r="L227" i="22"/>
  <c r="A228" i="22"/>
  <c r="AB225" i="24"/>
  <c r="A226" i="24"/>
  <c r="K225" i="24"/>
  <c r="L225" i="24"/>
  <c r="X225" i="24"/>
  <c r="X229" i="18"/>
  <c r="L229" i="18"/>
  <c r="A230" i="18"/>
  <c r="K229" i="18"/>
  <c r="AB229" i="18"/>
  <c r="A232" i="16"/>
  <c r="L231" i="16"/>
  <c r="D231" i="16" s="1"/>
  <c r="K231" i="16"/>
  <c r="AB231" i="16"/>
  <c r="X231" i="16"/>
  <c r="AB226" i="23"/>
  <c r="X226" i="23"/>
  <c r="A227" i="23"/>
  <c r="K226" i="23"/>
  <c r="L226" i="23"/>
  <c r="L228" i="20"/>
  <c r="X228" i="20"/>
  <c r="A229" i="20"/>
  <c r="AB228" i="20"/>
  <c r="K228" i="20"/>
  <c r="X231" i="15"/>
  <c r="AB231" i="15"/>
  <c r="K231" i="15"/>
  <c r="A232" i="15"/>
  <c r="L231" i="15"/>
  <c r="D231" i="15" s="1"/>
  <c r="AB231" i="17"/>
  <c r="A232" i="17"/>
  <c r="K231" i="17"/>
  <c r="L231" i="17"/>
  <c r="D231" i="17" s="1"/>
  <c r="X231" i="17"/>
  <c r="I231" i="1"/>
  <c r="L232" i="17"/>
  <c r="D232" i="17" s="1"/>
  <c r="K232" i="17"/>
  <c r="A233" i="17"/>
  <c r="X232" i="17"/>
  <c r="AB232" i="17"/>
  <c r="A233" i="15"/>
  <c r="X232" i="15"/>
  <c r="AB232" i="15"/>
  <c r="K232" i="15"/>
  <c r="L232" i="15"/>
  <c r="D232" i="15" s="1"/>
  <c r="X227" i="23"/>
  <c r="L227" i="23"/>
  <c r="A228" i="23"/>
  <c r="AB227" i="23"/>
  <c r="K227" i="23"/>
  <c r="K225" i="25"/>
  <c r="A226" i="25"/>
  <c r="AB225" i="25"/>
  <c r="L225" i="25"/>
  <c r="X225" i="25"/>
  <c r="AJ235" i="1"/>
  <c r="L235" i="1"/>
  <c r="K235" i="1"/>
  <c r="X235" i="1"/>
  <c r="AB235" i="1"/>
  <c r="AK235" i="1"/>
  <c r="A236" i="1"/>
  <c r="AB229" i="20"/>
  <c r="A230" i="20"/>
  <c r="K229" i="20"/>
  <c r="L229" i="20"/>
  <c r="X229" i="20"/>
  <c r="L232" i="16"/>
  <c r="D232" i="16" s="1"/>
  <c r="A233" i="16"/>
  <c r="K232" i="16"/>
  <c r="X232" i="16"/>
  <c r="AB232" i="16"/>
  <c r="K230" i="18"/>
  <c r="A231" i="18"/>
  <c r="L230" i="18"/>
  <c r="AB230" i="18"/>
  <c r="X230" i="18"/>
  <c r="X226" i="24"/>
  <c r="L226" i="24"/>
  <c r="AB226" i="24"/>
  <c r="K226" i="24"/>
  <c r="A227" i="24"/>
  <c r="X228" i="22"/>
  <c r="K228" i="22"/>
  <c r="A229" i="22"/>
  <c r="AB228" i="22"/>
  <c r="L228" i="22"/>
  <c r="I232" i="1"/>
  <c r="K229" i="22"/>
  <c r="AB229" i="22"/>
  <c r="X229" i="22"/>
  <c r="L229" i="22"/>
  <c r="A230" i="22"/>
  <c r="X227" i="24"/>
  <c r="K227" i="24"/>
  <c r="L227" i="24"/>
  <c r="AB227" i="24"/>
  <c r="A228" i="24"/>
  <c r="A232" i="18"/>
  <c r="L231" i="18"/>
  <c r="AB231" i="18"/>
  <c r="X231" i="18"/>
  <c r="K231" i="18"/>
  <c r="A234" i="16"/>
  <c r="AB233" i="16"/>
  <c r="L233" i="16"/>
  <c r="D233" i="16" s="1"/>
  <c r="K233" i="16"/>
  <c r="X233" i="16"/>
  <c r="K226" i="25"/>
  <c r="A227" i="25"/>
  <c r="AB226" i="25"/>
  <c r="X226" i="25"/>
  <c r="L226" i="25"/>
  <c r="X233" i="15"/>
  <c r="L233" i="15"/>
  <c r="D233" i="15" s="1"/>
  <c r="AB233" i="15"/>
  <c r="A234" i="15"/>
  <c r="K233" i="15"/>
  <c r="K230" i="20"/>
  <c r="A231" i="20"/>
  <c r="AB230" i="20"/>
  <c r="L230" i="20"/>
  <c r="X230" i="20"/>
  <c r="A237" i="1"/>
  <c r="AB236" i="1"/>
  <c r="AJ236" i="1"/>
  <c r="X236" i="1"/>
  <c r="AK236" i="1"/>
  <c r="L236" i="1"/>
  <c r="K236" i="1"/>
  <c r="L228" i="23"/>
  <c r="A229" i="23"/>
  <c r="K228" i="23"/>
  <c r="AB228" i="23"/>
  <c r="X228" i="23"/>
  <c r="AB233" i="17"/>
  <c r="L233" i="17"/>
  <c r="D233" i="17" s="1"/>
  <c r="X233" i="17"/>
  <c r="K233" i="17"/>
  <c r="A234" i="17"/>
  <c r="I233" i="1"/>
  <c r="I234" i="1"/>
  <c r="K231" i="20"/>
  <c r="A232" i="20"/>
  <c r="L231" i="20"/>
  <c r="AB231" i="20"/>
  <c r="X231" i="20"/>
  <c r="AB234" i="15"/>
  <c r="K234" i="15"/>
  <c r="L234" i="15"/>
  <c r="D234" i="15" s="1"/>
  <c r="A235" i="15"/>
  <c r="X234" i="15"/>
  <c r="A233" i="18"/>
  <c r="L232" i="18"/>
  <c r="AB232" i="18"/>
  <c r="K232" i="18"/>
  <c r="X232" i="18"/>
  <c r="X228" i="24"/>
  <c r="AB228" i="24"/>
  <c r="A229" i="24"/>
  <c r="L228" i="24"/>
  <c r="K228" i="24"/>
  <c r="K234" i="17"/>
  <c r="L234" i="17"/>
  <c r="D234" i="17" s="1"/>
  <c r="X234" i="17"/>
  <c r="A235" i="17"/>
  <c r="AB234" i="17"/>
  <c r="AB229" i="23"/>
  <c r="L229" i="23"/>
  <c r="K229" i="23"/>
  <c r="A230" i="23"/>
  <c r="X229" i="23"/>
  <c r="A238" i="1"/>
  <c r="L237" i="1"/>
  <c r="AB237" i="1"/>
  <c r="AK237" i="1"/>
  <c r="X237" i="1"/>
  <c r="K237" i="1"/>
  <c r="AJ237" i="1"/>
  <c r="A228" i="25"/>
  <c r="X227" i="25"/>
  <c r="AB227" i="25"/>
  <c r="K227" i="25"/>
  <c r="L227" i="25"/>
  <c r="K234" i="16"/>
  <c r="A235" i="16"/>
  <c r="L234" i="16"/>
  <c r="D234" i="16" s="1"/>
  <c r="AB234" i="16"/>
  <c r="X234" i="16"/>
  <c r="A231" i="22"/>
  <c r="AB230" i="22"/>
  <c r="X230" i="22"/>
  <c r="K230" i="22"/>
  <c r="L230" i="22"/>
  <c r="A232" i="22"/>
  <c r="K231" i="22"/>
  <c r="L231" i="22"/>
  <c r="X231" i="22"/>
  <c r="AB231" i="22"/>
  <c r="A234" i="18"/>
  <c r="AB233" i="18"/>
  <c r="L233" i="18"/>
  <c r="K233" i="18"/>
  <c r="X233" i="18"/>
  <c r="K235" i="16"/>
  <c r="A236" i="16"/>
  <c r="X235" i="16"/>
  <c r="L235" i="16"/>
  <c r="D235" i="16" s="1"/>
  <c r="AB235" i="16"/>
  <c r="A229" i="25"/>
  <c r="AB228" i="25"/>
  <c r="L228" i="25"/>
  <c r="X228" i="25"/>
  <c r="K228" i="25"/>
  <c r="AK238" i="1"/>
  <c r="AJ238" i="1"/>
  <c r="K238" i="1"/>
  <c r="A239" i="1"/>
  <c r="AB238" i="1"/>
  <c r="L238" i="1"/>
  <c r="X238" i="1"/>
  <c r="X230" i="23"/>
  <c r="L230" i="23"/>
  <c r="AB230" i="23"/>
  <c r="A231" i="23"/>
  <c r="K230" i="23"/>
  <c r="AB235" i="17"/>
  <c r="A236" i="17"/>
  <c r="K235" i="17"/>
  <c r="X235" i="17"/>
  <c r="L235" i="17"/>
  <c r="D235" i="17" s="1"/>
  <c r="L229" i="24"/>
  <c r="K229" i="24"/>
  <c r="AB229" i="24"/>
  <c r="A230" i="24"/>
  <c r="X229" i="24"/>
  <c r="L235" i="15"/>
  <c r="D235" i="15" s="1"/>
  <c r="X235" i="15"/>
  <c r="AB235" i="15"/>
  <c r="A236" i="15"/>
  <c r="K235" i="15"/>
  <c r="AB232" i="20"/>
  <c r="A233" i="20"/>
  <c r="X232" i="20"/>
  <c r="K232" i="20"/>
  <c r="L232" i="20"/>
  <c r="I235" i="1"/>
  <c r="X236" i="17"/>
  <c r="A237" i="17"/>
  <c r="L236" i="17"/>
  <c r="D236" i="17" s="1"/>
  <c r="K236" i="17"/>
  <c r="AB236" i="17"/>
  <c r="X231" i="23"/>
  <c r="AB231" i="23"/>
  <c r="L231" i="23"/>
  <c r="K231" i="23"/>
  <c r="A232" i="23"/>
  <c r="A240" i="1"/>
  <c r="K239" i="1"/>
  <c r="AB239" i="1"/>
  <c r="AJ239" i="1"/>
  <c r="X239" i="1"/>
  <c r="AK239" i="1"/>
  <c r="L239" i="1"/>
  <c r="X236" i="16"/>
  <c r="A237" i="16"/>
  <c r="K236" i="16"/>
  <c r="L236" i="16"/>
  <c r="D236" i="16" s="1"/>
  <c r="AB236" i="16"/>
  <c r="L234" i="18"/>
  <c r="K234" i="18"/>
  <c r="A235" i="18"/>
  <c r="X234" i="18"/>
  <c r="AB234" i="18"/>
  <c r="L232" i="22"/>
  <c r="X232" i="22"/>
  <c r="AB232" i="22"/>
  <c r="K232" i="22"/>
  <c r="A233" i="22"/>
  <c r="K236" i="15"/>
  <c r="A237" i="15"/>
  <c r="X236" i="15"/>
  <c r="AB236" i="15"/>
  <c r="L236" i="15"/>
  <c r="D236" i="15" s="1"/>
  <c r="L233" i="20"/>
  <c r="A234" i="20"/>
  <c r="X233" i="20"/>
  <c r="K233" i="20"/>
  <c r="AB233" i="20"/>
  <c r="A231" i="24"/>
  <c r="X230" i="24"/>
  <c r="K230" i="24"/>
  <c r="L230" i="24"/>
  <c r="AB230" i="24"/>
  <c r="X229" i="25"/>
  <c r="K229" i="25"/>
  <c r="L229" i="25"/>
  <c r="AB229" i="25"/>
  <c r="A230" i="25"/>
  <c r="A232" i="24"/>
  <c r="X231" i="24"/>
  <c r="L231" i="24"/>
  <c r="AB231" i="24"/>
  <c r="K231" i="24"/>
  <c r="A235" i="20"/>
  <c r="X234" i="20"/>
  <c r="AB234" i="20"/>
  <c r="L234" i="20"/>
  <c r="K234" i="20"/>
  <c r="K230" i="25"/>
  <c r="L230" i="25"/>
  <c r="A231" i="25"/>
  <c r="X230" i="25"/>
  <c r="AB230" i="25"/>
  <c r="K237" i="15"/>
  <c r="L237" i="15"/>
  <c r="D237" i="15" s="1"/>
  <c r="A238" i="15"/>
  <c r="X237" i="15"/>
  <c r="AB237" i="15"/>
  <c r="X233" i="22"/>
  <c r="A234" i="22"/>
  <c r="K233" i="22"/>
  <c r="L233" i="22"/>
  <c r="AB233" i="22"/>
  <c r="I237" i="1"/>
  <c r="X235" i="18"/>
  <c r="K235" i="18"/>
  <c r="AB235" i="18"/>
  <c r="A236" i="18"/>
  <c r="L235" i="18"/>
  <c r="I236" i="1"/>
  <c r="K237" i="16"/>
  <c r="L237" i="16"/>
  <c r="D237" i="16" s="1"/>
  <c r="AB237" i="16"/>
  <c r="A238" i="16"/>
  <c r="X237" i="16"/>
  <c r="A241" i="1"/>
  <c r="X240" i="1"/>
  <c r="AK240" i="1"/>
  <c r="K240" i="1"/>
  <c r="AJ240" i="1"/>
  <c r="L240" i="1"/>
  <c r="AB240" i="1"/>
  <c r="AB232" i="23"/>
  <c r="K232" i="23"/>
  <c r="L232" i="23"/>
  <c r="X232" i="23"/>
  <c r="A233" i="23"/>
  <c r="L237" i="17"/>
  <c r="X237" i="17"/>
  <c r="A238" i="17"/>
  <c r="K237" i="17"/>
  <c r="AB237" i="17"/>
  <c r="AB238" i="17"/>
  <c r="L238" i="17"/>
  <c r="D238" i="17" s="1"/>
  <c r="K238" i="17"/>
  <c r="X238" i="17"/>
  <c r="A239" i="17"/>
  <c r="D237" i="17"/>
  <c r="AB233" i="23"/>
  <c r="A234" i="23"/>
  <c r="L233" i="23"/>
  <c r="X233" i="23"/>
  <c r="K233" i="23"/>
  <c r="AB238" i="16"/>
  <c r="L238" i="16"/>
  <c r="D238" i="16" s="1"/>
  <c r="A239" i="16"/>
  <c r="K238" i="16"/>
  <c r="X238" i="16"/>
  <c r="A235" i="22"/>
  <c r="AB234" i="22"/>
  <c r="K234" i="22"/>
  <c r="X234" i="22"/>
  <c r="L234" i="22"/>
  <c r="K238" i="15"/>
  <c r="AB238" i="15"/>
  <c r="A239" i="15"/>
  <c r="X238" i="15"/>
  <c r="L238" i="15"/>
  <c r="D238" i="15" s="1"/>
  <c r="K231" i="25"/>
  <c r="L231" i="25"/>
  <c r="AB231" i="25"/>
  <c r="A232" i="25"/>
  <c r="X231" i="25"/>
  <c r="K232" i="24"/>
  <c r="L232" i="24"/>
  <c r="A233" i="24"/>
  <c r="X232" i="24"/>
  <c r="AB232" i="24"/>
  <c r="A242" i="1"/>
  <c r="A27" i="7"/>
  <c r="X241" i="1"/>
  <c r="L241" i="1"/>
  <c r="B27" i="7" s="1"/>
  <c r="K241" i="1"/>
  <c r="AJ241" i="1"/>
  <c r="AK241" i="1"/>
  <c r="AB241" i="1"/>
  <c r="K236" i="18"/>
  <c r="AB236" i="18"/>
  <c r="A237" i="18"/>
  <c r="L236" i="18"/>
  <c r="X236" i="18"/>
  <c r="A236" i="20"/>
  <c r="AB235" i="20"/>
  <c r="L235" i="20"/>
  <c r="X235" i="20"/>
  <c r="K235" i="20"/>
  <c r="I238" i="1"/>
  <c r="AB237" i="18"/>
  <c r="A238" i="18"/>
  <c r="L237" i="18"/>
  <c r="X237" i="18"/>
  <c r="K237" i="18"/>
  <c r="A243" i="1"/>
  <c r="K242" i="1"/>
  <c r="AB242" i="1"/>
  <c r="L242" i="1"/>
  <c r="AJ242" i="1"/>
  <c r="X242" i="1"/>
  <c r="AK242" i="1"/>
  <c r="AB235" i="22"/>
  <c r="X235" i="22"/>
  <c r="A236" i="22"/>
  <c r="L235" i="22"/>
  <c r="K235" i="22"/>
  <c r="X239" i="16"/>
  <c r="L239" i="16"/>
  <c r="D239" i="16" s="1"/>
  <c r="A240" i="16"/>
  <c r="AB239" i="16"/>
  <c r="K239" i="16"/>
  <c r="K236" i="20"/>
  <c r="L236" i="20"/>
  <c r="A237" i="20"/>
  <c r="X236" i="20"/>
  <c r="AB236" i="20"/>
  <c r="A234" i="24"/>
  <c r="AB233" i="24"/>
  <c r="L233" i="24"/>
  <c r="X233" i="24"/>
  <c r="K233" i="24"/>
  <c r="X232" i="25"/>
  <c r="A233" i="25"/>
  <c r="L232" i="25"/>
  <c r="AB232" i="25"/>
  <c r="K232" i="25"/>
  <c r="K239" i="15"/>
  <c r="AB239" i="15"/>
  <c r="A240" i="15"/>
  <c r="X239" i="15"/>
  <c r="L239" i="15"/>
  <c r="D239" i="15" s="1"/>
  <c r="X234" i="23"/>
  <c r="AB234" i="23"/>
  <c r="A235" i="23"/>
  <c r="L234" i="23"/>
  <c r="K234" i="23"/>
  <c r="A240" i="17"/>
  <c r="K239" i="17"/>
  <c r="AB239" i="17"/>
  <c r="L239" i="17"/>
  <c r="D239" i="17" s="1"/>
  <c r="X239" i="17"/>
  <c r="I239" i="1"/>
  <c r="A241" i="17"/>
  <c r="AB240" i="17"/>
  <c r="X240" i="17"/>
  <c r="K240" i="17"/>
  <c r="L240" i="17"/>
  <c r="D240" i="17" s="1"/>
  <c r="X235" i="23"/>
  <c r="K235" i="23"/>
  <c r="AB235" i="23"/>
  <c r="L235" i="23"/>
  <c r="A236" i="23"/>
  <c r="AB237" i="20"/>
  <c r="K237" i="20"/>
  <c r="X237" i="20"/>
  <c r="L237" i="20"/>
  <c r="A238" i="20"/>
  <c r="AB240" i="16"/>
  <c r="X240" i="16"/>
  <c r="A241" i="16"/>
  <c r="K240" i="16"/>
  <c r="L240" i="16"/>
  <c r="D240" i="16" s="1"/>
  <c r="AB243" i="1"/>
  <c r="X243" i="1"/>
  <c r="AK243" i="1"/>
  <c r="A244" i="1"/>
  <c r="AJ243" i="1"/>
  <c r="L243" i="1"/>
  <c r="K243" i="1"/>
  <c r="X238" i="18"/>
  <c r="L238" i="18"/>
  <c r="K238" i="18"/>
  <c r="AB238" i="18"/>
  <c r="A239" i="18"/>
  <c r="A241" i="15"/>
  <c r="AB240" i="15"/>
  <c r="K240" i="15"/>
  <c r="L240" i="15"/>
  <c r="D240" i="15" s="1"/>
  <c r="X240" i="15"/>
  <c r="X233" i="25"/>
  <c r="AB233" i="25"/>
  <c r="K233" i="25"/>
  <c r="A234" i="25"/>
  <c r="L233" i="25"/>
  <c r="L234" i="24"/>
  <c r="A235" i="24"/>
  <c r="AB234" i="24"/>
  <c r="X234" i="24"/>
  <c r="K234" i="24"/>
  <c r="A237" i="22"/>
  <c r="K236" i="22"/>
  <c r="AB236" i="22"/>
  <c r="X236" i="22"/>
  <c r="L236" i="22"/>
  <c r="K237" i="22"/>
  <c r="A238" i="22"/>
  <c r="L237" i="22"/>
  <c r="X237" i="22"/>
  <c r="AB237" i="22"/>
  <c r="X235" i="24"/>
  <c r="AB235" i="24"/>
  <c r="L235" i="24"/>
  <c r="A236" i="24"/>
  <c r="K235" i="24"/>
  <c r="K234" i="25"/>
  <c r="AB234" i="25"/>
  <c r="A235" i="25"/>
  <c r="X234" i="25"/>
  <c r="L234" i="25"/>
  <c r="K241" i="15"/>
  <c r="A39" i="7"/>
  <c r="X241" i="15"/>
  <c r="L241" i="15"/>
  <c r="D241" i="15" s="1"/>
  <c r="A242" i="15"/>
  <c r="AB241" i="15"/>
  <c r="X244" i="1"/>
  <c r="AK244" i="1"/>
  <c r="K244" i="1"/>
  <c r="A245" i="1"/>
  <c r="AJ244" i="1"/>
  <c r="AB244" i="1"/>
  <c r="L244" i="1"/>
  <c r="X238" i="20"/>
  <c r="AB238" i="20"/>
  <c r="K238" i="20"/>
  <c r="L238" i="20"/>
  <c r="A239" i="20"/>
  <c r="I240" i="1"/>
  <c r="A240" i="18"/>
  <c r="L239" i="18"/>
  <c r="X239" i="18"/>
  <c r="AB239" i="18"/>
  <c r="K239" i="18"/>
  <c r="X241" i="16"/>
  <c r="AB241" i="16"/>
  <c r="L241" i="16"/>
  <c r="D241" i="16" s="1"/>
  <c r="A242" i="16"/>
  <c r="K241" i="16"/>
  <c r="A51" i="7"/>
  <c r="X236" i="23"/>
  <c r="L236" i="23"/>
  <c r="A237" i="23"/>
  <c r="AB236" i="23"/>
  <c r="K236" i="23"/>
  <c r="X241" i="17"/>
  <c r="AB241" i="17"/>
  <c r="A63" i="7"/>
  <c r="K241" i="17"/>
  <c r="L241" i="17"/>
  <c r="B63" i="7" s="1"/>
  <c r="A242" i="17"/>
  <c r="I241" i="1"/>
  <c r="A238" i="23"/>
  <c r="X237" i="23"/>
  <c r="K237" i="23"/>
  <c r="AB237" i="23"/>
  <c r="L237" i="23"/>
  <c r="AB242" i="16"/>
  <c r="X242" i="16"/>
  <c r="A243" i="16"/>
  <c r="L242" i="16"/>
  <c r="D242" i="16" s="1"/>
  <c r="K242" i="16"/>
  <c r="A240" i="20"/>
  <c r="X239" i="20"/>
  <c r="L239" i="20"/>
  <c r="AB239" i="20"/>
  <c r="K239" i="20"/>
  <c r="L242" i="15"/>
  <c r="D242" i="15" s="1"/>
  <c r="A243" i="15"/>
  <c r="K242" i="15"/>
  <c r="X242" i="15"/>
  <c r="AB242" i="15"/>
  <c r="A237" i="24"/>
  <c r="X236" i="24"/>
  <c r="K236" i="24"/>
  <c r="L236" i="24"/>
  <c r="AB236" i="24"/>
  <c r="A239" i="22"/>
  <c r="K238" i="22"/>
  <c r="X238" i="22"/>
  <c r="L238" i="22"/>
  <c r="AB238" i="22"/>
  <c r="L242" i="17"/>
  <c r="D242" i="17" s="1"/>
  <c r="AB242" i="17"/>
  <c r="A243" i="17"/>
  <c r="X242" i="17"/>
  <c r="K242" i="17"/>
  <c r="X240" i="18"/>
  <c r="L240" i="18"/>
  <c r="K240" i="18"/>
  <c r="A241" i="18"/>
  <c r="AB240" i="18"/>
  <c r="L245" i="1"/>
  <c r="AB245" i="1"/>
  <c r="AJ245" i="1"/>
  <c r="X245" i="1"/>
  <c r="AK245" i="1"/>
  <c r="A246" i="1"/>
  <c r="K245" i="1"/>
  <c r="X235" i="25"/>
  <c r="K235" i="25"/>
  <c r="AB235" i="25"/>
  <c r="L235" i="25"/>
  <c r="A236" i="25"/>
  <c r="AB236" i="25"/>
  <c r="A237" i="25"/>
  <c r="K236" i="25"/>
  <c r="L236" i="25"/>
  <c r="X236" i="25"/>
  <c r="AJ246" i="1"/>
  <c r="L246" i="1"/>
  <c r="X246" i="1"/>
  <c r="K246" i="1"/>
  <c r="AB246" i="1"/>
  <c r="AK246" i="1"/>
  <c r="A247" i="1"/>
  <c r="A75" i="7"/>
  <c r="AB241" i="18"/>
  <c r="X241" i="18"/>
  <c r="L241" i="18"/>
  <c r="B75" i="7" s="1"/>
  <c r="A242" i="18"/>
  <c r="K241" i="18"/>
  <c r="A240" i="22"/>
  <c r="K239" i="22"/>
  <c r="AB239" i="22"/>
  <c r="L239" i="22"/>
  <c r="X239" i="22"/>
  <c r="L243" i="15"/>
  <c r="D243" i="15" s="1"/>
  <c r="K243" i="15"/>
  <c r="A244" i="15"/>
  <c r="X243" i="15"/>
  <c r="AB243" i="15"/>
  <c r="X238" i="23"/>
  <c r="K238" i="23"/>
  <c r="A239" i="23"/>
  <c r="AB238" i="23"/>
  <c r="L238" i="23"/>
  <c r="X243" i="17"/>
  <c r="K243" i="17"/>
  <c r="AB243" i="17"/>
  <c r="L243" i="17"/>
  <c r="D243" i="17" s="1"/>
  <c r="A244" i="17"/>
  <c r="AB237" i="24"/>
  <c r="L237" i="24"/>
  <c r="A238" i="24"/>
  <c r="K237" i="24"/>
  <c r="X237" i="24"/>
  <c r="X240" i="20"/>
  <c r="K240" i="20"/>
  <c r="AB240" i="20"/>
  <c r="L240" i="20"/>
  <c r="A241" i="20"/>
  <c r="A244" i="16"/>
  <c r="AB243" i="16"/>
  <c r="X243" i="16"/>
  <c r="K243" i="16"/>
  <c r="L243" i="16"/>
  <c r="D243" i="16" s="1"/>
  <c r="I242" i="1"/>
  <c r="I243" i="1"/>
  <c r="X241" i="20"/>
  <c r="AB241" i="20"/>
  <c r="K241" i="20"/>
  <c r="AE27" i="7"/>
  <c r="L241" i="20"/>
  <c r="AF27" i="7" s="1"/>
  <c r="A242" i="20"/>
  <c r="X238" i="24"/>
  <c r="AB238" i="24"/>
  <c r="A239" i="24"/>
  <c r="L238" i="24"/>
  <c r="K238" i="24"/>
  <c r="L244" i="17"/>
  <c r="D244" i="17" s="1"/>
  <c r="AB244" i="17"/>
  <c r="K244" i="17"/>
  <c r="X244" i="17"/>
  <c r="A245" i="17"/>
  <c r="AB239" i="23"/>
  <c r="A240" i="23"/>
  <c r="K239" i="23"/>
  <c r="X239" i="23"/>
  <c r="L239" i="23"/>
  <c r="X247" i="1"/>
  <c r="L247" i="1"/>
  <c r="AJ247" i="1"/>
  <c r="AB247" i="1"/>
  <c r="A248" i="1"/>
  <c r="K247" i="1"/>
  <c r="AK247" i="1"/>
  <c r="L244" i="16"/>
  <c r="D244" i="16" s="1"/>
  <c r="X244" i="16"/>
  <c r="A245" i="16"/>
  <c r="AB244" i="16"/>
  <c r="K244" i="16"/>
  <c r="K244" i="15"/>
  <c r="L244" i="15"/>
  <c r="D244" i="15" s="1"/>
  <c r="AB244" i="15"/>
  <c r="A245" i="15"/>
  <c r="X244" i="15"/>
  <c r="L240" i="22"/>
  <c r="X240" i="22"/>
  <c r="AB240" i="22"/>
  <c r="A241" i="22"/>
  <c r="K240" i="22"/>
  <c r="A243" i="18"/>
  <c r="K242" i="18"/>
  <c r="L242" i="18"/>
  <c r="X242" i="18"/>
  <c r="AB242" i="18"/>
  <c r="AB237" i="25"/>
  <c r="L237" i="25"/>
  <c r="A238" i="25"/>
  <c r="X237" i="25"/>
  <c r="K237" i="25"/>
  <c r="I244" i="1"/>
  <c r="A239" i="25"/>
  <c r="K238" i="25"/>
  <c r="AB238" i="25"/>
  <c r="L238" i="25"/>
  <c r="X238" i="25"/>
  <c r="A246" i="16"/>
  <c r="X245" i="16"/>
  <c r="L245" i="16"/>
  <c r="D245" i="16" s="1"/>
  <c r="AB245" i="16"/>
  <c r="K245" i="16"/>
  <c r="A249" i="1"/>
  <c r="K248" i="1"/>
  <c r="X248" i="1"/>
  <c r="L248" i="1"/>
  <c r="AJ248" i="1"/>
  <c r="AK248" i="1"/>
  <c r="AB248" i="1"/>
  <c r="K239" i="24"/>
  <c r="X239" i="24"/>
  <c r="AB239" i="24"/>
  <c r="A240" i="24"/>
  <c r="L239" i="24"/>
  <c r="A243" i="20"/>
  <c r="X242" i="20"/>
  <c r="K242" i="20"/>
  <c r="AB242" i="20"/>
  <c r="L242" i="20"/>
  <c r="AB243" i="18"/>
  <c r="X243" i="18"/>
  <c r="A244" i="18"/>
  <c r="L243" i="18"/>
  <c r="K243" i="18"/>
  <c r="K241" i="22"/>
  <c r="A242" i="22"/>
  <c r="X241" i="22"/>
  <c r="L241" i="22"/>
  <c r="AF39" i="7" s="1"/>
  <c r="AB241" i="22"/>
  <c r="AE39" i="7"/>
  <c r="L245" i="15"/>
  <c r="D245" i="15" s="1"/>
  <c r="K245" i="15"/>
  <c r="A246" i="15"/>
  <c r="AB245" i="15"/>
  <c r="X245" i="15"/>
  <c r="K240" i="23"/>
  <c r="A241" i="23"/>
  <c r="AB240" i="23"/>
  <c r="L240" i="23"/>
  <c r="X240" i="23"/>
  <c r="AB245" i="17"/>
  <c r="L245" i="17"/>
  <c r="D245" i="17" s="1"/>
  <c r="X245" i="17"/>
  <c r="A246" i="17"/>
  <c r="K245" i="17"/>
  <c r="AB246" i="17"/>
  <c r="K246" i="17"/>
  <c r="A247" i="17"/>
  <c r="X246" i="17"/>
  <c r="L246" i="17"/>
  <c r="D246" i="17" s="1"/>
  <c r="K246" i="15"/>
  <c r="L246" i="15"/>
  <c r="D246" i="15" s="1"/>
  <c r="AB246" i="15"/>
  <c r="X246" i="15"/>
  <c r="A247" i="15"/>
  <c r="X242" i="22"/>
  <c r="A243" i="22"/>
  <c r="AB242" i="22"/>
  <c r="L242" i="22"/>
  <c r="K242" i="22"/>
  <c r="AB244" i="18"/>
  <c r="K244" i="18"/>
  <c r="A245" i="18"/>
  <c r="X244" i="18"/>
  <c r="L244" i="18"/>
  <c r="AB243" i="20"/>
  <c r="K243" i="20"/>
  <c r="X243" i="20"/>
  <c r="A244" i="20"/>
  <c r="L243" i="20"/>
  <c r="K240" i="24"/>
  <c r="X240" i="24"/>
  <c r="L240" i="24"/>
  <c r="A241" i="24"/>
  <c r="AB240" i="24"/>
  <c r="K249" i="1"/>
  <c r="AJ249" i="1"/>
  <c r="X249" i="1"/>
  <c r="AK249" i="1"/>
  <c r="AB249" i="1"/>
  <c r="A250" i="1"/>
  <c r="L249" i="1"/>
  <c r="A240" i="25"/>
  <c r="X239" i="25"/>
  <c r="L239" i="25"/>
  <c r="AB239" i="25"/>
  <c r="K239" i="25"/>
  <c r="AB241" i="23"/>
  <c r="K241" i="23"/>
  <c r="L241" i="23"/>
  <c r="AF51" i="7" s="1"/>
  <c r="AE51" i="7"/>
  <c r="A242" i="23"/>
  <c r="X241" i="23"/>
  <c r="I245" i="1"/>
  <c r="A247" i="16"/>
  <c r="K246" i="16"/>
  <c r="X246" i="16"/>
  <c r="L246" i="16"/>
  <c r="D246" i="16" s="1"/>
  <c r="AB246" i="16"/>
  <c r="X242" i="23"/>
  <c r="AB242" i="23"/>
  <c r="A243" i="23"/>
  <c r="L242" i="23"/>
  <c r="K242" i="23"/>
  <c r="K240" i="25"/>
  <c r="A241" i="25"/>
  <c r="X240" i="25"/>
  <c r="AB240" i="25"/>
  <c r="L240" i="25"/>
  <c r="AB241" i="24"/>
  <c r="A242" i="24"/>
  <c r="K241" i="24"/>
  <c r="AE63" i="7"/>
  <c r="X241" i="24"/>
  <c r="L241" i="24"/>
  <c r="AF63" i="7" s="1"/>
  <c r="A245" i="20"/>
  <c r="K244" i="20"/>
  <c r="AB244" i="20"/>
  <c r="L244" i="20"/>
  <c r="X244" i="20"/>
  <c r="AB245" i="18"/>
  <c r="X245" i="18"/>
  <c r="K245" i="18"/>
  <c r="A246" i="18"/>
  <c r="L245" i="18"/>
  <c r="X243" i="22"/>
  <c r="A244" i="22"/>
  <c r="AB243" i="22"/>
  <c r="K243" i="22"/>
  <c r="L243" i="22"/>
  <c r="X247" i="17"/>
  <c r="AB247" i="17"/>
  <c r="L247" i="17"/>
  <c r="D247" i="17" s="1"/>
  <c r="K247" i="17"/>
  <c r="A248" i="17"/>
  <c r="I246" i="1"/>
  <c r="AB247" i="16"/>
  <c r="X247" i="16"/>
  <c r="K247" i="16"/>
  <c r="L247" i="16"/>
  <c r="D247" i="16" s="1"/>
  <c r="A248" i="16"/>
  <c r="A251" i="1"/>
  <c r="AJ250" i="1"/>
  <c r="L250" i="1"/>
  <c r="AB250" i="1"/>
  <c r="AK250" i="1"/>
  <c r="X250" i="1"/>
  <c r="K250" i="1"/>
  <c r="X247" i="15"/>
  <c r="K247" i="15"/>
  <c r="L247" i="15"/>
  <c r="D247" i="15" s="1"/>
  <c r="A248" i="15"/>
  <c r="AB247" i="15"/>
  <c r="I247" i="1"/>
  <c r="K248" i="15"/>
  <c r="L248" i="15"/>
  <c r="D248" i="15" s="1"/>
  <c r="X248" i="15"/>
  <c r="AB248" i="15"/>
  <c r="A249" i="15"/>
  <c r="X251" i="1"/>
  <c r="AB251" i="1"/>
  <c r="L251" i="1"/>
  <c r="AJ251" i="1"/>
  <c r="AK251" i="1"/>
  <c r="K251" i="1"/>
  <c r="A252" i="1"/>
  <c r="X248" i="16"/>
  <c r="A249" i="16"/>
  <c r="AB248" i="16"/>
  <c r="K248" i="16"/>
  <c r="L248" i="16"/>
  <c r="D248" i="16" s="1"/>
  <c r="K248" i="17"/>
  <c r="X248" i="17"/>
  <c r="A249" i="17"/>
  <c r="AB248" i="17"/>
  <c r="L248" i="17"/>
  <c r="D248" i="17" s="1"/>
  <c r="X244" i="22"/>
  <c r="L244" i="22"/>
  <c r="AB244" i="22"/>
  <c r="K244" i="22"/>
  <c r="A245" i="22"/>
  <c r="L245" i="20"/>
  <c r="K245" i="20"/>
  <c r="AB245" i="20"/>
  <c r="X245" i="20"/>
  <c r="A246" i="20"/>
  <c r="K242" i="24"/>
  <c r="X242" i="24"/>
  <c r="AB242" i="24"/>
  <c r="L242" i="24"/>
  <c r="A243" i="24"/>
  <c r="K243" i="23"/>
  <c r="L243" i="23"/>
  <c r="AB243" i="23"/>
  <c r="A244" i="23"/>
  <c r="X243" i="23"/>
  <c r="A247" i="18"/>
  <c r="AB246" i="18"/>
  <c r="K246" i="18"/>
  <c r="L246" i="18"/>
  <c r="X246" i="18"/>
  <c r="L241" i="25"/>
  <c r="AF75" i="7" s="1"/>
  <c r="AB241" i="25"/>
  <c r="K241" i="25"/>
  <c r="AE75" i="7"/>
  <c r="X241" i="25"/>
  <c r="A242" i="25"/>
  <c r="I248" i="1"/>
  <c r="AB242" i="25"/>
  <c r="X242" i="25"/>
  <c r="K242" i="25"/>
  <c r="A243" i="25"/>
  <c r="L242" i="25"/>
  <c r="AB247" i="18"/>
  <c r="X247" i="18"/>
  <c r="K247" i="18"/>
  <c r="A248" i="18"/>
  <c r="L247" i="18"/>
  <c r="L243" i="24"/>
  <c r="A244" i="24"/>
  <c r="K243" i="24"/>
  <c r="AB243" i="24"/>
  <c r="X243" i="24"/>
  <c r="L245" i="22"/>
  <c r="A246" i="22"/>
  <c r="X245" i="22"/>
  <c r="AB245" i="22"/>
  <c r="K245" i="22"/>
  <c r="X249" i="15"/>
  <c r="K249" i="15"/>
  <c r="A250" i="15"/>
  <c r="L249" i="15"/>
  <c r="D249" i="15" s="1"/>
  <c r="AB249" i="15"/>
  <c r="X244" i="23"/>
  <c r="K244" i="23"/>
  <c r="AB244" i="23"/>
  <c r="A245" i="23"/>
  <c r="L244" i="23"/>
  <c r="L246" i="20"/>
  <c r="AB246" i="20"/>
  <c r="A247" i="20"/>
  <c r="X246" i="20"/>
  <c r="K246" i="20"/>
  <c r="X249" i="17"/>
  <c r="AB249" i="17"/>
  <c r="L249" i="17"/>
  <c r="D249" i="17" s="1"/>
  <c r="K249" i="17"/>
  <c r="A250" i="17"/>
  <c r="L249" i="16"/>
  <c r="X249" i="16"/>
  <c r="A250" i="16"/>
  <c r="AB249" i="16"/>
  <c r="K249" i="16"/>
  <c r="A253" i="1"/>
  <c r="AJ252" i="1"/>
  <c r="X252" i="1"/>
  <c r="L252" i="1"/>
  <c r="K252" i="1"/>
  <c r="AB252" i="1"/>
  <c r="AK252" i="1"/>
  <c r="A247" i="22"/>
  <c r="L246" i="22"/>
  <c r="X246" i="22"/>
  <c r="AB246" i="22"/>
  <c r="K246" i="22"/>
  <c r="AB244" i="24"/>
  <c r="A245" i="24"/>
  <c r="X244" i="24"/>
  <c r="L244" i="24"/>
  <c r="K244" i="24"/>
  <c r="L248" i="18"/>
  <c r="AB248" i="18"/>
  <c r="A249" i="18"/>
  <c r="X248" i="18"/>
  <c r="K248" i="18"/>
  <c r="L243" i="25"/>
  <c r="X243" i="25"/>
  <c r="AB243" i="25"/>
  <c r="K243" i="25"/>
  <c r="A244" i="25"/>
  <c r="AB253" i="1"/>
  <c r="AJ253" i="1"/>
  <c r="X253" i="1"/>
  <c r="A254" i="1"/>
  <c r="AK253" i="1"/>
  <c r="K253" i="1"/>
  <c r="L253" i="1"/>
  <c r="K250" i="16"/>
  <c r="L250" i="16"/>
  <c r="A251" i="16"/>
  <c r="X250" i="16"/>
  <c r="AB250" i="16"/>
  <c r="D249" i="16"/>
  <c r="K250" i="17"/>
  <c r="X250" i="17"/>
  <c r="L250" i="17"/>
  <c r="D250" i="17" s="1"/>
  <c r="A251" i="17"/>
  <c r="AB250" i="17"/>
  <c r="X247" i="20"/>
  <c r="L247" i="20"/>
  <c r="AB247" i="20"/>
  <c r="A248" i="20"/>
  <c r="K247" i="20"/>
  <c r="K245" i="23"/>
  <c r="A246" i="23"/>
  <c r="X245" i="23"/>
  <c r="L245" i="23"/>
  <c r="AB245" i="23"/>
  <c r="I249" i="1"/>
  <c r="A251" i="15"/>
  <c r="X250" i="15"/>
  <c r="L250" i="15"/>
  <c r="D250" i="15" s="1"/>
  <c r="AB250" i="15"/>
  <c r="K250" i="15"/>
  <c r="I250" i="1"/>
  <c r="X251" i="15"/>
  <c r="AB251" i="15"/>
  <c r="A252" i="15"/>
  <c r="L251" i="15"/>
  <c r="D251" i="15" s="1"/>
  <c r="K251" i="15"/>
  <c r="D250" i="16"/>
  <c r="A245" i="25"/>
  <c r="L244" i="25"/>
  <c r="X244" i="25"/>
  <c r="AB244" i="25"/>
  <c r="K244" i="25"/>
  <c r="A250" i="18"/>
  <c r="AB249" i="18"/>
  <c r="L249" i="18"/>
  <c r="K249" i="18"/>
  <c r="X249" i="18"/>
  <c r="A247" i="23"/>
  <c r="K246" i="23"/>
  <c r="AB246" i="23"/>
  <c r="X246" i="23"/>
  <c r="L246" i="23"/>
  <c r="X248" i="20"/>
  <c r="K248" i="20"/>
  <c r="L248" i="20"/>
  <c r="A249" i="20"/>
  <c r="AB248" i="20"/>
  <c r="AB251" i="17"/>
  <c r="L251" i="17"/>
  <c r="D251" i="17" s="1"/>
  <c r="K251" i="17"/>
  <c r="X251" i="17"/>
  <c r="A252" i="17"/>
  <c r="X251" i="16"/>
  <c r="AB251" i="16"/>
  <c r="L251" i="16"/>
  <c r="D251" i="16" s="1"/>
  <c r="K251" i="16"/>
  <c r="A252" i="16"/>
  <c r="A255" i="1"/>
  <c r="AB254" i="1"/>
  <c r="K254" i="1"/>
  <c r="AJ254" i="1"/>
  <c r="X254" i="1"/>
  <c r="AK254" i="1"/>
  <c r="L254" i="1"/>
  <c r="A246" i="24"/>
  <c r="K245" i="24"/>
  <c r="L245" i="24"/>
  <c r="AB245" i="24"/>
  <c r="X245" i="24"/>
  <c r="K247" i="22"/>
  <c r="A248" i="22"/>
  <c r="X247" i="22"/>
  <c r="AB247" i="22"/>
  <c r="L247" i="22"/>
  <c r="K249" i="20"/>
  <c r="L249" i="20"/>
  <c r="X249" i="20"/>
  <c r="AB249" i="20"/>
  <c r="A250" i="20"/>
  <c r="L247" i="23"/>
  <c r="A248" i="23"/>
  <c r="AB247" i="23"/>
  <c r="X247" i="23"/>
  <c r="K247" i="23"/>
  <c r="I251" i="1"/>
  <c r="K245" i="25"/>
  <c r="L245" i="25"/>
  <c r="A246" i="25"/>
  <c r="X245" i="25"/>
  <c r="AB245" i="25"/>
  <c r="X252" i="15"/>
  <c r="AB252" i="15"/>
  <c r="L252" i="15"/>
  <c r="D252" i="15" s="1"/>
  <c r="A253" i="15"/>
  <c r="K252" i="15"/>
  <c r="A249" i="22"/>
  <c r="X248" i="22"/>
  <c r="L248" i="22"/>
  <c r="AB248" i="22"/>
  <c r="K248" i="22"/>
  <c r="K246" i="24"/>
  <c r="A247" i="24"/>
  <c r="X246" i="24"/>
  <c r="AB246" i="24"/>
  <c r="L246" i="24"/>
  <c r="AK255" i="1"/>
  <c r="L255" i="1"/>
  <c r="K255" i="1"/>
  <c r="A256" i="1"/>
  <c r="AJ255" i="1"/>
  <c r="X255" i="1"/>
  <c r="AB255" i="1"/>
  <c r="K252" i="16"/>
  <c r="X252" i="16"/>
  <c r="AB252" i="16"/>
  <c r="A253" i="16"/>
  <c r="L252" i="16"/>
  <c r="D252" i="16" s="1"/>
  <c r="X252" i="17"/>
  <c r="A253" i="17"/>
  <c r="K252" i="17"/>
  <c r="AB252" i="17"/>
  <c r="L252" i="17"/>
  <c r="D252" i="17" s="1"/>
  <c r="X250" i="18"/>
  <c r="K250" i="18"/>
  <c r="L250" i="18"/>
  <c r="A251" i="18"/>
  <c r="AB250" i="18"/>
  <c r="I252" i="1"/>
  <c r="X253" i="16"/>
  <c r="AB253" i="16"/>
  <c r="A254" i="16"/>
  <c r="L253" i="16"/>
  <c r="K253" i="16"/>
  <c r="X256" i="1"/>
  <c r="AK256" i="1"/>
  <c r="L256" i="1"/>
  <c r="K256" i="1"/>
  <c r="AB256" i="1"/>
  <c r="AJ256" i="1"/>
  <c r="A257" i="1"/>
  <c r="L247" i="24"/>
  <c r="AB247" i="24"/>
  <c r="X247" i="24"/>
  <c r="A248" i="24"/>
  <c r="K247" i="24"/>
  <c r="A247" i="25"/>
  <c r="K246" i="25"/>
  <c r="L246" i="25"/>
  <c r="AB246" i="25"/>
  <c r="X246" i="25"/>
  <c r="AB250" i="20"/>
  <c r="X250" i="20"/>
  <c r="A251" i="20"/>
  <c r="L250" i="20"/>
  <c r="K250" i="20"/>
  <c r="X251" i="18"/>
  <c r="A252" i="18"/>
  <c r="AB251" i="18"/>
  <c r="K251" i="18"/>
  <c r="L251" i="18"/>
  <c r="X253" i="17"/>
  <c r="AB253" i="17"/>
  <c r="K253" i="17"/>
  <c r="L253" i="17"/>
  <c r="A254" i="17"/>
  <c r="K249" i="22"/>
  <c r="AB249" i="22"/>
  <c r="A250" i="22"/>
  <c r="L249" i="22"/>
  <c r="X249" i="22"/>
  <c r="AB253" i="15"/>
  <c r="K253" i="15"/>
  <c r="X253" i="15"/>
  <c r="A254" i="15"/>
  <c r="L253" i="15"/>
  <c r="D253" i="15" s="1"/>
  <c r="A249" i="23"/>
  <c r="L248" i="23"/>
  <c r="K248" i="23"/>
  <c r="AB248" i="23"/>
  <c r="X248" i="23"/>
  <c r="I253" i="1"/>
  <c r="X249" i="23"/>
  <c r="A250" i="23"/>
  <c r="AB249" i="23"/>
  <c r="K249" i="23"/>
  <c r="L249" i="23"/>
  <c r="X254" i="15"/>
  <c r="K254" i="15"/>
  <c r="AB254" i="15"/>
  <c r="L254" i="15"/>
  <c r="D254" i="15" s="1"/>
  <c r="A255" i="15"/>
  <c r="D253" i="17"/>
  <c r="AB252" i="18"/>
  <c r="X252" i="18"/>
  <c r="A253" i="18"/>
  <c r="L252" i="18"/>
  <c r="K252" i="18"/>
  <c r="AB251" i="20"/>
  <c r="K251" i="20"/>
  <c r="X251" i="20"/>
  <c r="A252" i="20"/>
  <c r="L251" i="20"/>
  <c r="K247" i="25"/>
  <c r="L247" i="25"/>
  <c r="AB247" i="25"/>
  <c r="X247" i="25"/>
  <c r="A248" i="25"/>
  <c r="X248" i="24"/>
  <c r="L248" i="24"/>
  <c r="A249" i="24"/>
  <c r="K248" i="24"/>
  <c r="AB248" i="24"/>
  <c r="AB254" i="16"/>
  <c r="A255" i="16"/>
  <c r="K254" i="16"/>
  <c r="X254" i="16"/>
  <c r="L254" i="16"/>
  <c r="D254" i="16" s="1"/>
  <c r="L250" i="22"/>
  <c r="X250" i="22"/>
  <c r="K250" i="22"/>
  <c r="AB250" i="22"/>
  <c r="A251" i="22"/>
  <c r="A255" i="17"/>
  <c r="X254" i="17"/>
  <c r="L254" i="17"/>
  <c r="K254" i="17"/>
  <c r="AB254" i="17"/>
  <c r="AK257" i="1"/>
  <c r="L257" i="1"/>
  <c r="AJ257" i="1"/>
  <c r="A258" i="1"/>
  <c r="X257" i="1"/>
  <c r="K257" i="1"/>
  <c r="AB257" i="1"/>
  <c r="D253" i="16"/>
  <c r="I254" i="1"/>
  <c r="K251" i="22"/>
  <c r="AB251" i="22"/>
  <c r="L251" i="22"/>
  <c r="X251" i="22"/>
  <c r="A252" i="22"/>
  <c r="X255" i="16"/>
  <c r="A256" i="16"/>
  <c r="L255" i="16"/>
  <c r="D255" i="16" s="1"/>
  <c r="K255" i="16"/>
  <c r="AB255" i="16"/>
  <c r="AB248" i="25"/>
  <c r="A249" i="25"/>
  <c r="X248" i="25"/>
  <c r="L248" i="25"/>
  <c r="K248" i="25"/>
  <c r="K252" i="20"/>
  <c r="X252" i="20"/>
  <c r="L252" i="20"/>
  <c r="A253" i="20"/>
  <c r="AB252" i="20"/>
  <c r="X253" i="18"/>
  <c r="AB253" i="18"/>
  <c r="K253" i="18"/>
  <c r="L253" i="18"/>
  <c r="A254" i="18"/>
  <c r="A259" i="1"/>
  <c r="K258" i="1"/>
  <c r="AJ258" i="1"/>
  <c r="AB258" i="1"/>
  <c r="L258" i="1"/>
  <c r="AK258" i="1"/>
  <c r="X258" i="1"/>
  <c r="D254" i="17"/>
  <c r="L255" i="17"/>
  <c r="D255" i="17" s="1"/>
  <c r="A256" i="17"/>
  <c r="X255" i="17"/>
  <c r="K255" i="17"/>
  <c r="AB255" i="17"/>
  <c r="AB249" i="24"/>
  <c r="K249" i="24"/>
  <c r="L249" i="24"/>
  <c r="X249" i="24"/>
  <c r="A250" i="24"/>
  <c r="AB255" i="15"/>
  <c r="X255" i="15"/>
  <c r="L255" i="15"/>
  <c r="D255" i="15" s="1"/>
  <c r="K255" i="15"/>
  <c r="A256" i="15"/>
  <c r="L250" i="23"/>
  <c r="A251" i="23"/>
  <c r="K250" i="23"/>
  <c r="X250" i="23"/>
  <c r="AB250" i="23"/>
  <c r="I255" i="1"/>
  <c r="L251" i="23"/>
  <c r="A252" i="23"/>
  <c r="AB251" i="23"/>
  <c r="X251" i="23"/>
  <c r="K251" i="23"/>
  <c r="A251" i="24"/>
  <c r="AB250" i="24"/>
  <c r="L250" i="24"/>
  <c r="K250" i="24"/>
  <c r="X250" i="24"/>
  <c r="X249" i="25"/>
  <c r="A250" i="25"/>
  <c r="AB249" i="25"/>
  <c r="L249" i="25"/>
  <c r="K249" i="25"/>
  <c r="A257" i="16"/>
  <c r="K256" i="16"/>
  <c r="AB256" i="16"/>
  <c r="X256" i="16"/>
  <c r="L256" i="16"/>
  <c r="D256" i="16" s="1"/>
  <c r="L252" i="22"/>
  <c r="A253" i="22"/>
  <c r="X252" i="22"/>
  <c r="AB252" i="22"/>
  <c r="K252" i="22"/>
  <c r="X256" i="15"/>
  <c r="A257" i="15"/>
  <c r="K256" i="15"/>
  <c r="L256" i="15"/>
  <c r="D256" i="15" s="1"/>
  <c r="AB256" i="15"/>
  <c r="K256" i="17"/>
  <c r="A257" i="17"/>
  <c r="L256" i="17"/>
  <c r="D256" i="17" s="1"/>
  <c r="AB256" i="17"/>
  <c r="X256" i="17"/>
  <c r="A260" i="1"/>
  <c r="AJ259" i="1"/>
  <c r="AB259" i="1"/>
  <c r="AK259" i="1"/>
  <c r="X259" i="1"/>
  <c r="L259" i="1"/>
  <c r="K259" i="1"/>
  <c r="A255" i="18"/>
  <c r="L254" i="18"/>
  <c r="AB254" i="18"/>
  <c r="X254" i="18"/>
  <c r="K254" i="18"/>
  <c r="A254" i="20"/>
  <c r="X253" i="20"/>
  <c r="K253" i="20"/>
  <c r="L253" i="20"/>
  <c r="AB253" i="20"/>
  <c r="I256" i="1"/>
  <c r="X254" i="20"/>
  <c r="A255" i="20"/>
  <c r="AB254" i="20"/>
  <c r="L254" i="20"/>
  <c r="K254" i="20"/>
  <c r="A261" i="1"/>
  <c r="AJ260" i="1"/>
  <c r="L260" i="1"/>
  <c r="X260" i="1"/>
  <c r="AB260" i="1"/>
  <c r="K260" i="1"/>
  <c r="AK260" i="1"/>
  <c r="AB257" i="17"/>
  <c r="K257" i="17"/>
  <c r="L257" i="17"/>
  <c r="D257" i="17" s="1"/>
  <c r="A258" i="17"/>
  <c r="X257" i="17"/>
  <c r="AB257" i="15"/>
  <c r="A258" i="15"/>
  <c r="X257" i="15"/>
  <c r="L257" i="15"/>
  <c r="D257" i="15" s="1"/>
  <c r="K257" i="15"/>
  <c r="AB255" i="18"/>
  <c r="L255" i="18"/>
  <c r="A256" i="18"/>
  <c r="X255" i="18"/>
  <c r="K255" i="18"/>
  <c r="AB253" i="22"/>
  <c r="A254" i="22"/>
  <c r="L253" i="22"/>
  <c r="X253" i="22"/>
  <c r="K253" i="22"/>
  <c r="L257" i="16"/>
  <c r="D257" i="16" s="1"/>
  <c r="K257" i="16"/>
  <c r="AB257" i="16"/>
  <c r="X257" i="16"/>
  <c r="A258" i="16"/>
  <c r="L250" i="25"/>
  <c r="K250" i="25"/>
  <c r="A251" i="25"/>
  <c r="X250" i="25"/>
  <c r="AB250" i="25"/>
  <c r="A252" i="24"/>
  <c r="X251" i="24"/>
  <c r="K251" i="24"/>
  <c r="AB251" i="24"/>
  <c r="L251" i="24"/>
  <c r="K252" i="23"/>
  <c r="AB252" i="23"/>
  <c r="X252" i="23"/>
  <c r="A253" i="23"/>
  <c r="L252" i="23"/>
  <c r="AB252" i="24"/>
  <c r="K252" i="24"/>
  <c r="X252" i="24"/>
  <c r="L252" i="24"/>
  <c r="A253" i="24"/>
  <c r="I257" i="1"/>
  <c r="AB258" i="16"/>
  <c r="X258" i="16"/>
  <c r="L258" i="16"/>
  <c r="A259" i="16"/>
  <c r="K258" i="16"/>
  <c r="L258" i="15"/>
  <c r="D258" i="15" s="1"/>
  <c r="K258" i="15"/>
  <c r="AB258" i="15"/>
  <c r="X258" i="15"/>
  <c r="A259" i="15"/>
  <c r="K261" i="1"/>
  <c r="AB261" i="1"/>
  <c r="AK261" i="1"/>
  <c r="AJ261" i="1"/>
  <c r="A262" i="1"/>
  <c r="X261" i="1"/>
  <c r="L261" i="1"/>
  <c r="AB253" i="23"/>
  <c r="K253" i="23"/>
  <c r="A254" i="23"/>
  <c r="L253" i="23"/>
  <c r="X253" i="23"/>
  <c r="K251" i="25"/>
  <c r="X251" i="25"/>
  <c r="AB251" i="25"/>
  <c r="L251" i="25"/>
  <c r="A252" i="25"/>
  <c r="L254" i="22"/>
  <c r="A255" i="22"/>
  <c r="X254" i="22"/>
  <c r="K254" i="22"/>
  <c r="AB254" i="22"/>
  <c r="X256" i="18"/>
  <c r="AB256" i="18"/>
  <c r="A257" i="18"/>
  <c r="K256" i="18"/>
  <c r="L256" i="18"/>
  <c r="K258" i="17"/>
  <c r="L258" i="17"/>
  <c r="X258" i="17"/>
  <c r="A259" i="17"/>
  <c r="AB258" i="17"/>
  <c r="A256" i="20"/>
  <c r="L255" i="20"/>
  <c r="X255" i="20"/>
  <c r="K255" i="20"/>
  <c r="AB255" i="20"/>
  <c r="AB259" i="17"/>
  <c r="A260" i="17"/>
  <c r="L259" i="17"/>
  <c r="D259" i="17" s="1"/>
  <c r="X259" i="17"/>
  <c r="K259" i="17"/>
  <c r="D258" i="17"/>
  <c r="X257" i="18"/>
  <c r="L257" i="18"/>
  <c r="K257" i="18"/>
  <c r="AB257" i="18"/>
  <c r="A258" i="18"/>
  <c r="X255" i="22"/>
  <c r="K255" i="22"/>
  <c r="AB255" i="22"/>
  <c r="L255" i="22"/>
  <c r="A256" i="22"/>
  <c r="K254" i="23"/>
  <c r="X254" i="23"/>
  <c r="A255" i="23"/>
  <c r="AB254" i="23"/>
  <c r="L254" i="23"/>
  <c r="A263" i="1"/>
  <c r="AB262" i="1"/>
  <c r="AJ262" i="1"/>
  <c r="AK262" i="1"/>
  <c r="K262" i="1"/>
  <c r="X262" i="1"/>
  <c r="L262" i="1"/>
  <c r="AB259" i="15"/>
  <c r="A260" i="15"/>
  <c r="X259" i="15"/>
  <c r="L259" i="15"/>
  <c r="D259" i="15" s="1"/>
  <c r="K259" i="15"/>
  <c r="AB259" i="16"/>
  <c r="L259" i="16"/>
  <c r="D259" i="16" s="1"/>
  <c r="A260" i="16"/>
  <c r="X259" i="16"/>
  <c r="K259" i="16"/>
  <c r="K256" i="20"/>
  <c r="A257" i="20"/>
  <c r="L256" i="20"/>
  <c r="AB256" i="20"/>
  <c r="X256" i="20"/>
  <c r="I258" i="1"/>
  <c r="X252" i="25"/>
  <c r="A253" i="25"/>
  <c r="L252" i="25"/>
  <c r="K252" i="25"/>
  <c r="AB252" i="25"/>
  <c r="D258" i="16"/>
  <c r="L253" i="24"/>
  <c r="X253" i="24"/>
  <c r="K253" i="24"/>
  <c r="AB253" i="24"/>
  <c r="A254" i="24"/>
  <c r="X260" i="16"/>
  <c r="K260" i="16"/>
  <c r="A261" i="16"/>
  <c r="AB260" i="16"/>
  <c r="L260" i="16"/>
  <c r="D260" i="16" s="1"/>
  <c r="A261" i="15"/>
  <c r="K260" i="15"/>
  <c r="AB260" i="15"/>
  <c r="X260" i="15"/>
  <c r="L260" i="15"/>
  <c r="D260" i="15" s="1"/>
  <c r="L263" i="1"/>
  <c r="AJ263" i="1"/>
  <c r="X263" i="1"/>
  <c r="K263" i="1"/>
  <c r="AK263" i="1"/>
  <c r="A264" i="1"/>
  <c r="AB263" i="1"/>
  <c r="X254" i="24"/>
  <c r="K254" i="24"/>
  <c r="A255" i="24"/>
  <c r="L254" i="24"/>
  <c r="AB254" i="24"/>
  <c r="K253" i="25"/>
  <c r="X253" i="25"/>
  <c r="A254" i="25"/>
  <c r="L253" i="25"/>
  <c r="AB253" i="25"/>
  <c r="A258" i="20"/>
  <c r="X257" i="20"/>
  <c r="L257" i="20"/>
  <c r="AB257" i="20"/>
  <c r="K257" i="20"/>
  <c r="I259" i="1"/>
  <c r="X255" i="23"/>
  <c r="AB255" i="23"/>
  <c r="L255" i="23"/>
  <c r="K255" i="23"/>
  <c r="A256" i="23"/>
  <c r="A257" i="22"/>
  <c r="L256" i="22"/>
  <c r="K256" i="22"/>
  <c r="AB256" i="22"/>
  <c r="X256" i="22"/>
  <c r="L258" i="18"/>
  <c r="K258" i="18"/>
  <c r="A259" i="18"/>
  <c r="X258" i="18"/>
  <c r="AB258" i="18"/>
  <c r="A261" i="17"/>
  <c r="AB260" i="17"/>
  <c r="X260" i="17"/>
  <c r="L260" i="17"/>
  <c r="D260" i="17" s="1"/>
  <c r="K260" i="17"/>
  <c r="I260" i="1"/>
  <c r="L259" i="18"/>
  <c r="K259" i="18"/>
  <c r="X259" i="18"/>
  <c r="A260" i="18"/>
  <c r="AB259" i="18"/>
  <c r="A255" i="25"/>
  <c r="L254" i="25"/>
  <c r="X254" i="25"/>
  <c r="K254" i="25"/>
  <c r="AB254" i="25"/>
  <c r="A265" i="1"/>
  <c r="L264" i="1"/>
  <c r="K264" i="1"/>
  <c r="AJ264" i="1"/>
  <c r="AK264" i="1"/>
  <c r="AB264" i="1"/>
  <c r="X264" i="1"/>
  <c r="X261" i="17"/>
  <c r="L261" i="17"/>
  <c r="D261" i="17" s="1"/>
  <c r="K261" i="17"/>
  <c r="A262" i="17"/>
  <c r="AB261" i="17"/>
  <c r="K257" i="22"/>
  <c r="X257" i="22"/>
  <c r="AB257" i="22"/>
  <c r="A258" i="22"/>
  <c r="L257" i="22"/>
  <c r="K256" i="23"/>
  <c r="X256" i="23"/>
  <c r="A257" i="23"/>
  <c r="L256" i="23"/>
  <c r="AB256" i="23"/>
  <c r="AB258" i="20"/>
  <c r="L258" i="20"/>
  <c r="K258" i="20"/>
  <c r="X258" i="20"/>
  <c r="A259" i="20"/>
  <c r="K255" i="24"/>
  <c r="X255" i="24"/>
  <c r="L255" i="24"/>
  <c r="A256" i="24"/>
  <c r="AB255" i="24"/>
  <c r="L261" i="15"/>
  <c r="D261" i="15" s="1"/>
  <c r="A262" i="15"/>
  <c r="K261" i="15"/>
  <c r="AB261" i="15"/>
  <c r="X261" i="15"/>
  <c r="A262" i="16"/>
  <c r="X261" i="16"/>
  <c r="AB261" i="16"/>
  <c r="L261" i="16"/>
  <c r="K261" i="16"/>
  <c r="I261" i="1"/>
  <c r="L265" i="1"/>
  <c r="AB265" i="1"/>
  <c r="K265" i="1"/>
  <c r="A266" i="1"/>
  <c r="X265" i="1"/>
  <c r="AK265" i="1"/>
  <c r="AJ265" i="1"/>
  <c r="D261" i="16"/>
  <c r="K262" i="15"/>
  <c r="L262" i="15"/>
  <c r="D262" i="15" s="1"/>
  <c r="AB262" i="15"/>
  <c r="A263" i="15"/>
  <c r="X262" i="15"/>
  <c r="X256" i="24"/>
  <c r="A257" i="24"/>
  <c r="AB256" i="24"/>
  <c r="K256" i="24"/>
  <c r="L256" i="24"/>
  <c r="K262" i="17"/>
  <c r="A263" i="17"/>
  <c r="AB262" i="17"/>
  <c r="L262" i="17"/>
  <c r="X262" i="17"/>
  <c r="AB262" i="16"/>
  <c r="K262" i="16"/>
  <c r="L262" i="16"/>
  <c r="D262" i="16" s="1"/>
  <c r="A263" i="16"/>
  <c r="X262" i="16"/>
  <c r="L259" i="20"/>
  <c r="X259" i="20"/>
  <c r="K259" i="20"/>
  <c r="AB259" i="20"/>
  <c r="A260" i="20"/>
  <c r="X257" i="23"/>
  <c r="AB257" i="23"/>
  <c r="L257" i="23"/>
  <c r="K257" i="23"/>
  <c r="A258" i="23"/>
  <c r="X258" i="22"/>
  <c r="K258" i="22"/>
  <c r="A259" i="22"/>
  <c r="AB258" i="22"/>
  <c r="L258" i="22"/>
  <c r="AB255" i="25"/>
  <c r="L255" i="25"/>
  <c r="K255" i="25"/>
  <c r="A256" i="25"/>
  <c r="X255" i="25"/>
  <c r="X260" i="18"/>
  <c r="K260" i="18"/>
  <c r="A261" i="18"/>
  <c r="L260" i="18"/>
  <c r="AB260" i="18"/>
  <c r="X260" i="20"/>
  <c r="K260" i="20"/>
  <c r="AB260" i="20"/>
  <c r="A261" i="20"/>
  <c r="L260" i="20"/>
  <c r="A264" i="16"/>
  <c r="K263" i="16"/>
  <c r="L263" i="16"/>
  <c r="D263" i="16" s="1"/>
  <c r="AB263" i="16"/>
  <c r="X263" i="16"/>
  <c r="D262" i="17"/>
  <c r="A264" i="17"/>
  <c r="L263" i="17"/>
  <c r="X263" i="17"/>
  <c r="AB263" i="17"/>
  <c r="K263" i="17"/>
  <c r="A264" i="15"/>
  <c r="AB263" i="15"/>
  <c r="X263" i="15"/>
  <c r="L263" i="15"/>
  <c r="D263" i="15" s="1"/>
  <c r="K263" i="15"/>
  <c r="A267" i="1"/>
  <c r="AK266" i="1"/>
  <c r="X266" i="1"/>
  <c r="AB266" i="1"/>
  <c r="AJ266" i="1"/>
  <c r="K266" i="1"/>
  <c r="L266" i="1"/>
  <c r="I262" i="1"/>
  <c r="K261" i="18"/>
  <c r="A262" i="18"/>
  <c r="X261" i="18"/>
  <c r="L261" i="18"/>
  <c r="AB261" i="18"/>
  <c r="A257" i="25"/>
  <c r="L256" i="25"/>
  <c r="K256" i="25"/>
  <c r="X256" i="25"/>
  <c r="AB256" i="25"/>
  <c r="X259" i="22"/>
  <c r="A260" i="22"/>
  <c r="K259" i="22"/>
  <c r="AB259" i="22"/>
  <c r="L259" i="22"/>
  <c r="AB258" i="23"/>
  <c r="K258" i="23"/>
  <c r="X258" i="23"/>
  <c r="A259" i="23"/>
  <c r="L258" i="23"/>
  <c r="X257" i="24"/>
  <c r="L257" i="24"/>
  <c r="AB257" i="24"/>
  <c r="K257" i="24"/>
  <c r="A258" i="24"/>
  <c r="L258" i="24"/>
  <c r="A259" i="24"/>
  <c r="AB258" i="24"/>
  <c r="X258" i="24"/>
  <c r="K258" i="24"/>
  <c r="A261" i="22"/>
  <c r="K260" i="22"/>
  <c r="AB260" i="22"/>
  <c r="L260" i="22"/>
  <c r="X260" i="22"/>
  <c r="AB264" i="15"/>
  <c r="X264" i="15"/>
  <c r="K264" i="15"/>
  <c r="L264" i="15"/>
  <c r="D264" i="15" s="1"/>
  <c r="A265" i="15"/>
  <c r="AB264" i="17"/>
  <c r="X264" i="17"/>
  <c r="L264" i="17"/>
  <c r="A265" i="17"/>
  <c r="K264" i="17"/>
  <c r="AB261" i="20"/>
  <c r="A262" i="20"/>
  <c r="X261" i="20"/>
  <c r="L261" i="20"/>
  <c r="K261" i="20"/>
  <c r="I263" i="1"/>
  <c r="A260" i="23"/>
  <c r="L259" i="23"/>
  <c r="AB259" i="23"/>
  <c r="K259" i="23"/>
  <c r="X259" i="23"/>
  <c r="X257" i="25"/>
  <c r="A258" i="25"/>
  <c r="L257" i="25"/>
  <c r="K257" i="25"/>
  <c r="AB257" i="25"/>
  <c r="K262" i="18"/>
  <c r="X262" i="18"/>
  <c r="L262" i="18"/>
  <c r="AB262" i="18"/>
  <c r="A263" i="18"/>
  <c r="A268" i="1"/>
  <c r="X267" i="1"/>
  <c r="K267" i="1"/>
  <c r="AK267" i="1"/>
  <c r="AB267" i="1"/>
  <c r="L267" i="1"/>
  <c r="AJ267" i="1"/>
  <c r="D263" i="17"/>
  <c r="K264" i="16"/>
  <c r="A265" i="16"/>
  <c r="AB264" i="16"/>
  <c r="X264" i="16"/>
  <c r="L264" i="16"/>
  <c r="D264" i="16" s="1"/>
  <c r="I264" i="1"/>
  <c r="A266" i="16"/>
  <c r="AB265" i="16"/>
  <c r="K265" i="16"/>
  <c r="X265" i="16"/>
  <c r="L265" i="16"/>
  <c r="D265" i="16" s="1"/>
  <c r="A269" i="1"/>
  <c r="AK268" i="1"/>
  <c r="X268" i="1"/>
  <c r="K268" i="1"/>
  <c r="AB268" i="1"/>
  <c r="AJ268" i="1"/>
  <c r="L268" i="1"/>
  <c r="A264" i="18"/>
  <c r="K263" i="18"/>
  <c r="L263" i="18"/>
  <c r="AB263" i="18"/>
  <c r="X263" i="18"/>
  <c r="L258" i="25"/>
  <c r="A259" i="25"/>
  <c r="AB258" i="25"/>
  <c r="X258" i="25"/>
  <c r="K258" i="25"/>
  <c r="L260" i="23"/>
  <c r="K260" i="23"/>
  <c r="AB260" i="23"/>
  <c r="A261" i="23"/>
  <c r="X260" i="23"/>
  <c r="K265" i="17"/>
  <c r="X265" i="17"/>
  <c r="AB265" i="17"/>
  <c r="A266" i="17"/>
  <c r="L265" i="17"/>
  <c r="D265" i="17" s="1"/>
  <c r="X265" i="15"/>
  <c r="A266" i="15"/>
  <c r="L265" i="15"/>
  <c r="D265" i="15" s="1"/>
  <c r="K265" i="15"/>
  <c r="AB265" i="15"/>
  <c r="A262" i="22"/>
  <c r="AB261" i="22"/>
  <c r="K261" i="22"/>
  <c r="L261" i="22"/>
  <c r="X261" i="22"/>
  <c r="AB259" i="24"/>
  <c r="L259" i="24"/>
  <c r="X259" i="24"/>
  <c r="K259" i="24"/>
  <c r="A260" i="24"/>
  <c r="A263" i="20"/>
  <c r="X262" i="20"/>
  <c r="L262" i="20"/>
  <c r="K262" i="20"/>
  <c r="AB262" i="20"/>
  <c r="D264" i="17"/>
  <c r="I265" i="1"/>
  <c r="A264" i="20"/>
  <c r="K263" i="20"/>
  <c r="L263" i="20"/>
  <c r="AB263" i="20"/>
  <c r="X263" i="20"/>
  <c r="X262" i="22"/>
  <c r="K262" i="22"/>
  <c r="L262" i="22"/>
  <c r="A263" i="22"/>
  <c r="AB262" i="22"/>
  <c r="AB266" i="17"/>
  <c r="X266" i="17"/>
  <c r="K266" i="17"/>
  <c r="L266" i="17"/>
  <c r="D266" i="17" s="1"/>
  <c r="A267" i="17"/>
  <c r="A260" i="25"/>
  <c r="X259" i="25"/>
  <c r="AB259" i="25"/>
  <c r="L259" i="25"/>
  <c r="K259" i="25"/>
  <c r="A265" i="18"/>
  <c r="AB264" i="18"/>
  <c r="K264" i="18"/>
  <c r="L264" i="18"/>
  <c r="X264" i="18"/>
  <c r="AB266" i="16"/>
  <c r="X266" i="16"/>
  <c r="K266" i="16"/>
  <c r="A267" i="16"/>
  <c r="L266" i="16"/>
  <c r="D266" i="16" s="1"/>
  <c r="AB260" i="24"/>
  <c r="A261" i="24"/>
  <c r="K260" i="24"/>
  <c r="L260" i="24"/>
  <c r="X260" i="24"/>
  <c r="A267" i="15"/>
  <c r="AB266" i="15"/>
  <c r="X266" i="15"/>
  <c r="K266" i="15"/>
  <c r="L266" i="15"/>
  <c r="D266" i="15" s="1"/>
  <c r="A262" i="23"/>
  <c r="L261" i="23"/>
  <c r="AB261" i="23"/>
  <c r="K261" i="23"/>
  <c r="X261" i="23"/>
  <c r="AJ269" i="1"/>
  <c r="L269" i="1"/>
  <c r="X269" i="1"/>
  <c r="K269" i="1"/>
  <c r="AB269" i="1"/>
  <c r="AK269" i="1"/>
  <c r="A270" i="1"/>
  <c r="I266" i="1"/>
  <c r="L262" i="23"/>
  <c r="X262" i="23"/>
  <c r="K262" i="23"/>
  <c r="AB262" i="23"/>
  <c r="A263" i="23"/>
  <c r="AB261" i="24"/>
  <c r="X261" i="24"/>
  <c r="A262" i="24"/>
  <c r="L261" i="24"/>
  <c r="K261" i="24"/>
  <c r="K265" i="18"/>
  <c r="X265" i="18"/>
  <c r="AB265" i="18"/>
  <c r="L265" i="18"/>
  <c r="A266" i="18"/>
  <c r="L260" i="25"/>
  <c r="K260" i="25"/>
  <c r="A261" i="25"/>
  <c r="AB260" i="25"/>
  <c r="X260" i="25"/>
  <c r="K267" i="17"/>
  <c r="A268" i="17"/>
  <c r="AB267" i="17"/>
  <c r="X267" i="17"/>
  <c r="L267" i="17"/>
  <c r="D267" i="17" s="1"/>
  <c r="X263" i="22"/>
  <c r="A264" i="22"/>
  <c r="AB263" i="22"/>
  <c r="K263" i="22"/>
  <c r="L263" i="22"/>
  <c r="A271" i="1"/>
  <c r="X270" i="1"/>
  <c r="K270" i="1"/>
  <c r="AB270" i="1"/>
  <c r="L270" i="1"/>
  <c r="AK270" i="1"/>
  <c r="AJ270" i="1"/>
  <c r="AB267" i="15"/>
  <c r="A268" i="15"/>
  <c r="K267" i="15"/>
  <c r="L267" i="15"/>
  <c r="D267" i="15" s="1"/>
  <c r="X267" i="15"/>
  <c r="K267" i="16"/>
  <c r="A268" i="16"/>
  <c r="X267" i="16"/>
  <c r="L267" i="16"/>
  <c r="D267" i="16" s="1"/>
  <c r="AB267" i="16"/>
  <c r="A265" i="20"/>
  <c r="K264" i="20"/>
  <c r="X264" i="20"/>
  <c r="AB264" i="20"/>
  <c r="L264" i="20"/>
  <c r="I267" i="1"/>
  <c r="A272" i="1"/>
  <c r="K271" i="1"/>
  <c r="X271" i="1"/>
  <c r="L271" i="1"/>
  <c r="AK271" i="1"/>
  <c r="AJ271" i="1"/>
  <c r="AB271" i="1"/>
  <c r="L264" i="22"/>
  <c r="A265" i="22"/>
  <c r="K264" i="22"/>
  <c r="X264" i="22"/>
  <c r="AB264" i="22"/>
  <c r="A269" i="17"/>
  <c r="AB268" i="17"/>
  <c r="K268" i="17"/>
  <c r="L268" i="17"/>
  <c r="D268" i="17" s="1"/>
  <c r="X268" i="17"/>
  <c r="X261" i="25"/>
  <c r="A262" i="25"/>
  <c r="AB261" i="25"/>
  <c r="K261" i="25"/>
  <c r="L261" i="25"/>
  <c r="L268" i="16"/>
  <c r="D268" i="16" s="1"/>
  <c r="X268" i="16"/>
  <c r="K268" i="16"/>
  <c r="A269" i="16"/>
  <c r="AB268" i="16"/>
  <c r="AB265" i="20"/>
  <c r="K265" i="20"/>
  <c r="L265" i="20"/>
  <c r="X265" i="20"/>
  <c r="A266" i="20"/>
  <c r="A269" i="15"/>
  <c r="K268" i="15"/>
  <c r="L268" i="15"/>
  <c r="X268" i="15"/>
  <c r="AB268" i="15"/>
  <c r="X266" i="18"/>
  <c r="AB266" i="18"/>
  <c r="L266" i="18"/>
  <c r="K266" i="18"/>
  <c r="A267" i="18"/>
  <c r="X262" i="24"/>
  <c r="AB262" i="24"/>
  <c r="A263" i="24"/>
  <c r="K262" i="24"/>
  <c r="L262" i="24"/>
  <c r="AB263" i="23"/>
  <c r="L263" i="23"/>
  <c r="A264" i="23"/>
  <c r="X263" i="23"/>
  <c r="K263" i="23"/>
  <c r="I268" i="1"/>
  <c r="A265" i="23"/>
  <c r="X264" i="23"/>
  <c r="L264" i="23"/>
  <c r="K264" i="23"/>
  <c r="AB264" i="23"/>
  <c r="AB263" i="24"/>
  <c r="L263" i="24"/>
  <c r="A264" i="24"/>
  <c r="X263" i="24"/>
  <c r="K263" i="24"/>
  <c r="A270" i="16"/>
  <c r="L269" i="16"/>
  <c r="D269" i="16" s="1"/>
  <c r="K269" i="16"/>
  <c r="AB269" i="16"/>
  <c r="X269" i="16"/>
  <c r="K265" i="22"/>
  <c r="AB265" i="22"/>
  <c r="L265" i="22"/>
  <c r="X265" i="22"/>
  <c r="A266" i="22"/>
  <c r="L267" i="18"/>
  <c r="X267" i="18"/>
  <c r="A268" i="18"/>
  <c r="AB267" i="18"/>
  <c r="K267" i="18"/>
  <c r="D268" i="15"/>
  <c r="A270" i="15"/>
  <c r="AB269" i="15"/>
  <c r="L269" i="15"/>
  <c r="K269" i="15"/>
  <c r="X269" i="15"/>
  <c r="A267" i="20"/>
  <c r="X266" i="20"/>
  <c r="K266" i="20"/>
  <c r="AB266" i="20"/>
  <c r="L266" i="20"/>
  <c r="A263" i="25"/>
  <c r="X262" i="25"/>
  <c r="AB262" i="25"/>
  <c r="L262" i="25"/>
  <c r="K262" i="25"/>
  <c r="X269" i="17"/>
  <c r="A270" i="17"/>
  <c r="K269" i="17"/>
  <c r="AB269" i="17"/>
  <c r="L269" i="17"/>
  <c r="D269" i="17" s="1"/>
  <c r="A273" i="1"/>
  <c r="A28" i="7"/>
  <c r="K272" i="1"/>
  <c r="AB272" i="1"/>
  <c r="AK272" i="1"/>
  <c r="L272" i="1"/>
  <c r="B28" i="7" s="1"/>
  <c r="AJ272" i="1"/>
  <c r="X272" i="1"/>
  <c r="I269" i="1"/>
  <c r="L270" i="17"/>
  <c r="D270" i="17" s="1"/>
  <c r="AB270" i="17"/>
  <c r="K270" i="17"/>
  <c r="A271" i="17"/>
  <c r="X270" i="17"/>
  <c r="A269" i="18"/>
  <c r="K268" i="18"/>
  <c r="AB268" i="18"/>
  <c r="L268" i="18"/>
  <c r="X268" i="18"/>
  <c r="AB264" i="24"/>
  <c r="K264" i="24"/>
  <c r="X264" i="24"/>
  <c r="L264" i="24"/>
  <c r="A265" i="24"/>
  <c r="A266" i="23"/>
  <c r="AB265" i="23"/>
  <c r="L265" i="23"/>
  <c r="K265" i="23"/>
  <c r="X265" i="23"/>
  <c r="X273" i="1"/>
  <c r="K273" i="1"/>
  <c r="L273" i="1"/>
  <c r="A274" i="1"/>
  <c r="AJ273" i="1"/>
  <c r="AK273" i="1"/>
  <c r="AB273" i="1"/>
  <c r="AB263" i="25"/>
  <c r="X263" i="25"/>
  <c r="A264" i="25"/>
  <c r="L263" i="25"/>
  <c r="K263" i="25"/>
  <c r="L267" i="20"/>
  <c r="A268" i="20"/>
  <c r="K267" i="20"/>
  <c r="X267" i="20"/>
  <c r="AB267" i="20"/>
  <c r="D269" i="15"/>
  <c r="A271" i="15"/>
  <c r="L270" i="15"/>
  <c r="K270" i="15"/>
  <c r="X270" i="15"/>
  <c r="AB270" i="15"/>
  <c r="K266" i="22"/>
  <c r="A267" i="22"/>
  <c r="AB266" i="22"/>
  <c r="X266" i="22"/>
  <c r="L266" i="22"/>
  <c r="A271" i="16"/>
  <c r="K270" i="16"/>
  <c r="L270" i="16"/>
  <c r="AB270" i="16"/>
  <c r="X270" i="16"/>
  <c r="I270" i="1"/>
  <c r="X271" i="15"/>
  <c r="A272" i="15"/>
  <c r="AB271" i="15"/>
  <c r="L271" i="15"/>
  <c r="D271" i="15" s="1"/>
  <c r="K271" i="15"/>
  <c r="X268" i="20"/>
  <c r="L268" i="20"/>
  <c r="AB268" i="20"/>
  <c r="K268" i="20"/>
  <c r="A269" i="20"/>
  <c r="K266" i="23"/>
  <c r="L266" i="23"/>
  <c r="AB266" i="23"/>
  <c r="A267" i="23"/>
  <c r="X266" i="23"/>
  <c r="AB269" i="18"/>
  <c r="K269" i="18"/>
  <c r="X269" i="18"/>
  <c r="L269" i="18"/>
  <c r="A270" i="18"/>
  <c r="D270" i="16"/>
  <c r="K271" i="16"/>
  <c r="AB271" i="16"/>
  <c r="X271" i="16"/>
  <c r="A272" i="16"/>
  <c r="L271" i="16"/>
  <c r="D271" i="16" s="1"/>
  <c r="K267" i="22"/>
  <c r="X267" i="22"/>
  <c r="AB267" i="22"/>
  <c r="L267" i="22"/>
  <c r="A268" i="22"/>
  <c r="D270" i="15"/>
  <c r="K264" i="25"/>
  <c r="AB264" i="25"/>
  <c r="A265" i="25"/>
  <c r="X264" i="25"/>
  <c r="L264" i="25"/>
  <c r="AJ274" i="1"/>
  <c r="L274" i="1"/>
  <c r="X274" i="1"/>
  <c r="AB274" i="1"/>
  <c r="AK274" i="1"/>
  <c r="A275" i="1"/>
  <c r="K274" i="1"/>
  <c r="A266" i="24"/>
  <c r="X265" i="24"/>
  <c r="AB265" i="24"/>
  <c r="L265" i="24"/>
  <c r="K265" i="24"/>
  <c r="K271" i="17"/>
  <c r="A272" i="17"/>
  <c r="AB271" i="17"/>
  <c r="X271" i="17"/>
  <c r="L271" i="17"/>
  <c r="D271" i="17" s="1"/>
  <c r="I271" i="1"/>
  <c r="A64" i="7"/>
  <c r="L272" i="17"/>
  <c r="D272" i="17" s="1"/>
  <c r="K272" i="17"/>
  <c r="A273" i="17"/>
  <c r="X272" i="17"/>
  <c r="AB272" i="17"/>
  <c r="AB268" i="22"/>
  <c r="X268" i="22"/>
  <c r="L268" i="22"/>
  <c r="K268" i="22"/>
  <c r="A269" i="22"/>
  <c r="A273" i="16"/>
  <c r="L272" i="16"/>
  <c r="B52" i="7" s="1"/>
  <c r="AB272" i="16"/>
  <c r="X272" i="16"/>
  <c r="K272" i="16"/>
  <c r="A52" i="7"/>
  <c r="L270" i="18"/>
  <c r="K270" i="18"/>
  <c r="X270" i="18"/>
  <c r="A271" i="18"/>
  <c r="AB270" i="18"/>
  <c r="K267" i="23"/>
  <c r="X267" i="23"/>
  <c r="A268" i="23"/>
  <c r="L267" i="23"/>
  <c r="AB267" i="23"/>
  <c r="L266" i="24"/>
  <c r="X266" i="24"/>
  <c r="A267" i="24"/>
  <c r="AB266" i="24"/>
  <c r="K266" i="24"/>
  <c r="AJ275" i="1"/>
  <c r="AK275" i="1"/>
  <c r="K275" i="1"/>
  <c r="AB275" i="1"/>
  <c r="A276" i="1"/>
  <c r="X275" i="1"/>
  <c r="L275" i="1"/>
  <c r="L265" i="25"/>
  <c r="X265" i="25"/>
  <c r="K265" i="25"/>
  <c r="AB265" i="25"/>
  <c r="A266" i="25"/>
  <c r="A270" i="20"/>
  <c r="L269" i="20"/>
  <c r="K269" i="20"/>
  <c r="AB269" i="20"/>
  <c r="X269" i="20"/>
  <c r="X272" i="15"/>
  <c r="A273" i="15"/>
  <c r="L272" i="15"/>
  <c r="D272" i="15" s="1"/>
  <c r="AB272" i="15"/>
  <c r="K272" i="15"/>
  <c r="A40" i="7"/>
  <c r="X270" i="20"/>
  <c r="A271" i="20"/>
  <c r="AB270" i="20"/>
  <c r="L270" i="20"/>
  <c r="K270" i="20"/>
  <c r="AB267" i="24"/>
  <c r="L267" i="24"/>
  <c r="K267" i="24"/>
  <c r="A268" i="24"/>
  <c r="X267" i="24"/>
  <c r="AB271" i="18"/>
  <c r="L271" i="18"/>
  <c r="K271" i="18"/>
  <c r="A272" i="18"/>
  <c r="X271" i="18"/>
  <c r="D272" i="16"/>
  <c r="AB269" i="22"/>
  <c r="A270" i="22"/>
  <c r="L269" i="22"/>
  <c r="X269" i="22"/>
  <c r="K269" i="22"/>
  <c r="K273" i="15"/>
  <c r="L273" i="15"/>
  <c r="D273" i="15" s="1"/>
  <c r="A274" i="15"/>
  <c r="X273" i="15"/>
  <c r="AB273" i="15"/>
  <c r="AB266" i="25"/>
  <c r="A267" i="25"/>
  <c r="K266" i="25"/>
  <c r="X266" i="25"/>
  <c r="L266" i="25"/>
  <c r="X276" i="1"/>
  <c r="L276" i="1"/>
  <c r="AK276" i="1"/>
  <c r="AJ276" i="1"/>
  <c r="K276" i="1"/>
  <c r="A277" i="1"/>
  <c r="AB276" i="1"/>
  <c r="A269" i="23"/>
  <c r="X268" i="23"/>
  <c r="AB268" i="23"/>
  <c r="L268" i="23"/>
  <c r="K268" i="23"/>
  <c r="L273" i="16"/>
  <c r="D273" i="16" s="1"/>
  <c r="A274" i="16"/>
  <c r="K273" i="16"/>
  <c r="AB273" i="16"/>
  <c r="X273" i="16"/>
  <c r="X273" i="17"/>
  <c r="K273" i="17"/>
  <c r="AB273" i="17"/>
  <c r="L273" i="17"/>
  <c r="D273" i="17" s="1"/>
  <c r="A274" i="17"/>
  <c r="I272" i="1"/>
  <c r="I273" i="1"/>
  <c r="AB274" i="17"/>
  <c r="K274" i="17"/>
  <c r="A275" i="17"/>
  <c r="X274" i="17"/>
  <c r="L274" i="17"/>
  <c r="D274" i="17" s="1"/>
  <c r="L269" i="23"/>
  <c r="K269" i="23"/>
  <c r="AB269" i="23"/>
  <c r="A270" i="23"/>
  <c r="X269" i="23"/>
  <c r="AB277" i="1"/>
  <c r="AJ277" i="1"/>
  <c r="X277" i="1"/>
  <c r="A278" i="1"/>
  <c r="L277" i="1"/>
  <c r="AK277" i="1"/>
  <c r="K277" i="1"/>
  <c r="AB267" i="25"/>
  <c r="A268" i="25"/>
  <c r="L267" i="25"/>
  <c r="K267" i="25"/>
  <c r="X267" i="25"/>
  <c r="A269" i="24"/>
  <c r="AB268" i="24"/>
  <c r="K268" i="24"/>
  <c r="X268" i="24"/>
  <c r="L268" i="24"/>
  <c r="K271" i="20"/>
  <c r="X271" i="20"/>
  <c r="AB271" i="20"/>
  <c r="A272" i="20"/>
  <c r="L271" i="20"/>
  <c r="A275" i="16"/>
  <c r="AB274" i="16"/>
  <c r="K274" i="16"/>
  <c r="X274" i="16"/>
  <c r="L274" i="16"/>
  <c r="D274" i="16" s="1"/>
  <c r="L274" i="15"/>
  <c r="D274" i="15" s="1"/>
  <c r="K274" i="15"/>
  <c r="AB274" i="15"/>
  <c r="X274" i="15"/>
  <c r="A275" i="15"/>
  <c r="A271" i="22"/>
  <c r="K270" i="22"/>
  <c r="L270" i="22"/>
  <c r="AB270" i="22"/>
  <c r="X270" i="22"/>
  <c r="L272" i="18"/>
  <c r="K272" i="18"/>
  <c r="A273" i="18"/>
  <c r="X272" i="18"/>
  <c r="AB272" i="18"/>
  <c r="A76" i="7"/>
  <c r="I274" i="1"/>
  <c r="K273" i="18"/>
  <c r="X273" i="18"/>
  <c r="A274" i="18"/>
  <c r="AB273" i="18"/>
  <c r="L273" i="18"/>
  <c r="B76" i="7"/>
  <c r="A272" i="22"/>
  <c r="AB271" i="22"/>
  <c r="K271" i="22"/>
  <c r="L271" i="22"/>
  <c r="X271" i="22"/>
  <c r="X275" i="15"/>
  <c r="A276" i="15"/>
  <c r="K275" i="15"/>
  <c r="L275" i="15"/>
  <c r="D275" i="15" s="1"/>
  <c r="AB275" i="15"/>
  <c r="X275" i="16"/>
  <c r="A276" i="16"/>
  <c r="AB275" i="16"/>
  <c r="L275" i="16"/>
  <c r="D275" i="16" s="1"/>
  <c r="K275" i="16"/>
  <c r="X272" i="20"/>
  <c r="AE28" i="7"/>
  <c r="A273" i="20"/>
  <c r="K272" i="20"/>
  <c r="AB272" i="20"/>
  <c r="L272" i="20"/>
  <c r="AF28" i="7" s="1"/>
  <c r="AB269" i="24"/>
  <c r="A270" i="24"/>
  <c r="K269" i="24"/>
  <c r="L269" i="24"/>
  <c r="X269" i="24"/>
  <c r="X270" i="23"/>
  <c r="AB270" i="23"/>
  <c r="A271" i="23"/>
  <c r="K270" i="23"/>
  <c r="L270" i="23"/>
  <c r="A276" i="17"/>
  <c r="X275" i="17"/>
  <c r="K275" i="17"/>
  <c r="L275" i="17"/>
  <c r="D275" i="17" s="1"/>
  <c r="AB275" i="17"/>
  <c r="K268" i="25"/>
  <c r="AB268" i="25"/>
  <c r="A269" i="25"/>
  <c r="X268" i="25"/>
  <c r="L268" i="25"/>
  <c r="A279" i="1"/>
  <c r="AB278" i="1"/>
  <c r="K278" i="1"/>
  <c r="X278" i="1"/>
  <c r="AJ278" i="1"/>
  <c r="AK278" i="1"/>
  <c r="L278" i="1"/>
  <c r="I275" i="1"/>
  <c r="A277" i="17"/>
  <c r="L276" i="17"/>
  <c r="D276" i="17" s="1"/>
  <c r="AB276" i="17"/>
  <c r="K276" i="17"/>
  <c r="X276" i="17"/>
  <c r="K270" i="24"/>
  <c r="A271" i="24"/>
  <c r="X270" i="24"/>
  <c r="L270" i="24"/>
  <c r="AB270" i="24"/>
  <c r="AB273" i="20"/>
  <c r="A274" i="20"/>
  <c r="L273" i="20"/>
  <c r="X273" i="20"/>
  <c r="K273" i="20"/>
  <c r="X276" i="15"/>
  <c r="AB276" i="15"/>
  <c r="A277" i="15"/>
  <c r="K276" i="15"/>
  <c r="L276" i="15"/>
  <c r="D276" i="15" s="1"/>
  <c r="L272" i="22"/>
  <c r="AF40" i="7" s="1"/>
  <c r="AE40" i="7"/>
  <c r="X272" i="22"/>
  <c r="AB272" i="22"/>
  <c r="A273" i="22"/>
  <c r="K272" i="22"/>
  <c r="K274" i="18"/>
  <c r="X274" i="18"/>
  <c r="L274" i="18"/>
  <c r="A275" i="18"/>
  <c r="AB274" i="18"/>
  <c r="AJ279" i="1"/>
  <c r="AB279" i="1"/>
  <c r="L279" i="1"/>
  <c r="AK279" i="1"/>
  <c r="X279" i="1"/>
  <c r="A280" i="1"/>
  <c r="K279" i="1"/>
  <c r="L269" i="25"/>
  <c r="X269" i="25"/>
  <c r="K269" i="25"/>
  <c r="AB269" i="25"/>
  <c r="A270" i="25"/>
  <c r="L271" i="23"/>
  <c r="AB271" i="23"/>
  <c r="K271" i="23"/>
  <c r="X271" i="23"/>
  <c r="A272" i="23"/>
  <c r="L276" i="16"/>
  <c r="AB276" i="16"/>
  <c r="K276" i="16"/>
  <c r="X276" i="16"/>
  <c r="A277" i="16"/>
  <c r="I276" i="1"/>
  <c r="D276" i="16"/>
  <c r="L272" i="23"/>
  <c r="X272" i="23"/>
  <c r="AE52" i="7"/>
  <c r="AB272" i="23"/>
  <c r="K272" i="23"/>
  <c r="A273" i="23"/>
  <c r="AB270" i="25"/>
  <c r="L270" i="25"/>
  <c r="A271" i="25"/>
  <c r="K270" i="25"/>
  <c r="X270" i="25"/>
  <c r="AJ280" i="1"/>
  <c r="K280" i="1"/>
  <c r="AK280" i="1"/>
  <c r="A281" i="1"/>
  <c r="L280" i="1"/>
  <c r="X280" i="1"/>
  <c r="AB280" i="1"/>
  <c r="X275" i="18"/>
  <c r="L275" i="18"/>
  <c r="AB275" i="18"/>
  <c r="A276" i="18"/>
  <c r="K275" i="18"/>
  <c r="L271" i="24"/>
  <c r="A272" i="24"/>
  <c r="X271" i="24"/>
  <c r="K271" i="24"/>
  <c r="AB271" i="24"/>
  <c r="K277" i="16"/>
  <c r="A278" i="16"/>
  <c r="L277" i="16"/>
  <c r="D277" i="16" s="1"/>
  <c r="X277" i="16"/>
  <c r="AB277" i="16"/>
  <c r="A274" i="22"/>
  <c r="K273" i="22"/>
  <c r="L273" i="22"/>
  <c r="X273" i="22"/>
  <c r="AB273" i="22"/>
  <c r="X277" i="15"/>
  <c r="L277" i="15"/>
  <c r="D277" i="15" s="1"/>
  <c r="A278" i="15"/>
  <c r="AB277" i="15"/>
  <c r="K277" i="15"/>
  <c r="A275" i="20"/>
  <c r="K274" i="20"/>
  <c r="L274" i="20"/>
  <c r="AB274" i="20"/>
  <c r="X274" i="20"/>
  <c r="K277" i="17"/>
  <c r="A278" i="17"/>
  <c r="AB277" i="17"/>
  <c r="X277" i="17"/>
  <c r="L277" i="17"/>
  <c r="D277" i="17" s="1"/>
  <c r="I277" i="1"/>
  <c r="L278" i="17"/>
  <c r="D278" i="17" s="1"/>
  <c r="X278" i="17"/>
  <c r="A279" i="17"/>
  <c r="K278" i="17"/>
  <c r="AB278" i="17"/>
  <c r="K275" i="20"/>
  <c r="L275" i="20"/>
  <c r="A276" i="20"/>
  <c r="AB275" i="20"/>
  <c r="X275" i="20"/>
  <c r="L274" i="22"/>
  <c r="A275" i="22"/>
  <c r="X274" i="22"/>
  <c r="AB274" i="22"/>
  <c r="K274" i="22"/>
  <c r="AE64" i="7"/>
  <c r="A273" i="24"/>
  <c r="AB272" i="24"/>
  <c r="K272" i="24"/>
  <c r="L272" i="24"/>
  <c r="AF64" i="7" s="1"/>
  <c r="X272" i="24"/>
  <c r="L271" i="25"/>
  <c r="X271" i="25"/>
  <c r="AB271" i="25"/>
  <c r="K271" i="25"/>
  <c r="A272" i="25"/>
  <c r="AF52" i="7"/>
  <c r="X278" i="15"/>
  <c r="K278" i="15"/>
  <c r="L278" i="15"/>
  <c r="D278" i="15" s="1"/>
  <c r="A279" i="15"/>
  <c r="AB278" i="15"/>
  <c r="L278" i="16"/>
  <c r="D278" i="16" s="1"/>
  <c r="A279" i="16"/>
  <c r="X278" i="16"/>
  <c r="K278" i="16"/>
  <c r="AB278" i="16"/>
  <c r="L276" i="18"/>
  <c r="A277" i="18"/>
  <c r="K276" i="18"/>
  <c r="AB276" i="18"/>
  <c r="X276" i="18"/>
  <c r="AK281" i="1"/>
  <c r="AB281" i="1"/>
  <c r="L281" i="1"/>
  <c r="AJ281" i="1"/>
  <c r="A282" i="1"/>
  <c r="X281" i="1"/>
  <c r="K281" i="1"/>
  <c r="L273" i="23"/>
  <c r="X273" i="23"/>
  <c r="AB273" i="23"/>
  <c r="A274" i="23"/>
  <c r="K273" i="23"/>
  <c r="K274" i="23"/>
  <c r="L274" i="23"/>
  <c r="X274" i="23"/>
  <c r="AB274" i="23"/>
  <c r="A275" i="23"/>
  <c r="X277" i="18"/>
  <c r="L277" i="18"/>
  <c r="AB277" i="18"/>
  <c r="K277" i="18"/>
  <c r="A278" i="18"/>
  <c r="A280" i="15"/>
  <c r="X279" i="15"/>
  <c r="L279" i="15"/>
  <c r="D279" i="15" s="1"/>
  <c r="AB279" i="15"/>
  <c r="K279" i="15"/>
  <c r="AE76" i="7"/>
  <c r="AB272" i="25"/>
  <c r="X272" i="25"/>
  <c r="A273" i="25"/>
  <c r="L272" i="25"/>
  <c r="AF76" i="7" s="1"/>
  <c r="K272" i="25"/>
  <c r="L276" i="20"/>
  <c r="AB276" i="20"/>
  <c r="X276" i="20"/>
  <c r="A277" i="20"/>
  <c r="K276" i="20"/>
  <c r="AB279" i="17"/>
  <c r="L279" i="17"/>
  <c r="D279" i="17" s="1"/>
  <c r="X279" i="17"/>
  <c r="A280" i="17"/>
  <c r="K279" i="17"/>
  <c r="A283" i="1"/>
  <c r="AB282" i="1"/>
  <c r="L282" i="1"/>
  <c r="AJ282" i="1"/>
  <c r="X282" i="1"/>
  <c r="AK282" i="1"/>
  <c r="K282" i="1"/>
  <c r="I278" i="1"/>
  <c r="AB279" i="16"/>
  <c r="K279" i="16"/>
  <c r="A280" i="16"/>
  <c r="L279" i="16"/>
  <c r="D279" i="16" s="1"/>
  <c r="X279" i="16"/>
  <c r="X273" i="24"/>
  <c r="A274" i="24"/>
  <c r="AB273" i="24"/>
  <c r="L273" i="24"/>
  <c r="K273" i="24"/>
  <c r="AB275" i="22"/>
  <c r="X275" i="22"/>
  <c r="L275" i="22"/>
  <c r="K275" i="22"/>
  <c r="A276" i="22"/>
  <c r="A275" i="24"/>
  <c r="AB274" i="24"/>
  <c r="K274" i="24"/>
  <c r="X274" i="24"/>
  <c r="L274" i="24"/>
  <c r="AB283" i="1"/>
  <c r="AK283" i="1"/>
  <c r="L283" i="1"/>
  <c r="K283" i="1"/>
  <c r="X283" i="1"/>
  <c r="A284" i="1"/>
  <c r="AJ283" i="1"/>
  <c r="X280" i="17"/>
  <c r="AB280" i="17"/>
  <c r="A281" i="17"/>
  <c r="L280" i="17"/>
  <c r="D280" i="17" s="1"/>
  <c r="K280" i="17"/>
  <c r="X273" i="25"/>
  <c r="AB273" i="25"/>
  <c r="A274" i="25"/>
  <c r="L273" i="25"/>
  <c r="K273" i="25"/>
  <c r="K280" i="15"/>
  <c r="AB280" i="15"/>
  <c r="L280" i="15"/>
  <c r="D280" i="15" s="1"/>
  <c r="X280" i="15"/>
  <c r="A281" i="15"/>
  <c r="I279" i="1"/>
  <c r="K276" i="22"/>
  <c r="AB276" i="22"/>
  <c r="L276" i="22"/>
  <c r="X276" i="22"/>
  <c r="A277" i="22"/>
  <c r="K280" i="16"/>
  <c r="A281" i="16"/>
  <c r="L280" i="16"/>
  <c r="X280" i="16"/>
  <c r="AB280" i="16"/>
  <c r="X277" i="20"/>
  <c r="AB277" i="20"/>
  <c r="L277" i="20"/>
  <c r="A278" i="20"/>
  <c r="K277" i="20"/>
  <c r="AB278" i="18"/>
  <c r="L278" i="18"/>
  <c r="X278" i="18"/>
  <c r="K278" i="18"/>
  <c r="A279" i="18"/>
  <c r="A276" i="23"/>
  <c r="L275" i="23"/>
  <c r="AB275" i="23"/>
  <c r="K275" i="23"/>
  <c r="X275" i="23"/>
  <c r="AB276" i="23"/>
  <c r="X276" i="23"/>
  <c r="L276" i="23"/>
  <c r="K276" i="23"/>
  <c r="A277" i="23"/>
  <c r="L279" i="18"/>
  <c r="X279" i="18"/>
  <c r="A280" i="18"/>
  <c r="AB279" i="18"/>
  <c r="K279" i="18"/>
  <c r="D280" i="16"/>
  <c r="L277" i="22"/>
  <c r="A278" i="22"/>
  <c r="X277" i="22"/>
  <c r="AB277" i="22"/>
  <c r="K277" i="22"/>
  <c r="I280" i="1"/>
  <c r="L281" i="17"/>
  <c r="D281" i="17" s="1"/>
  <c r="A282" i="17"/>
  <c r="X281" i="17"/>
  <c r="AB281" i="17"/>
  <c r="K281" i="17"/>
  <c r="K275" i="24"/>
  <c r="L275" i="24"/>
  <c r="X275" i="24"/>
  <c r="A276" i="24"/>
  <c r="AB275" i="24"/>
  <c r="X278" i="20"/>
  <c r="K278" i="20"/>
  <c r="A279" i="20"/>
  <c r="L278" i="20"/>
  <c r="AB278" i="20"/>
  <c r="X281" i="16"/>
  <c r="L281" i="16"/>
  <c r="D281" i="16" s="1"/>
  <c r="K281" i="16"/>
  <c r="A282" i="16"/>
  <c r="AB281" i="16"/>
  <c r="L281" i="15"/>
  <c r="D281" i="15" s="1"/>
  <c r="A282" i="15"/>
  <c r="K281" i="15"/>
  <c r="X281" i="15"/>
  <c r="AB281" i="15"/>
  <c r="AB274" i="25"/>
  <c r="K274" i="25"/>
  <c r="X274" i="25"/>
  <c r="A275" i="25"/>
  <c r="L274" i="25"/>
  <c r="AJ284" i="1"/>
  <c r="AK284" i="1"/>
  <c r="K284" i="1"/>
  <c r="A285" i="1"/>
  <c r="L284" i="1"/>
  <c r="AB284" i="1"/>
  <c r="X284" i="1"/>
  <c r="X282" i="15"/>
  <c r="A283" i="15"/>
  <c r="L282" i="15"/>
  <c r="K282" i="15"/>
  <c r="AB282" i="15"/>
  <c r="K282" i="17"/>
  <c r="X282" i="17"/>
  <c r="AB282" i="17"/>
  <c r="A283" i="17"/>
  <c r="L282" i="17"/>
  <c r="D282" i="17" s="1"/>
  <c r="K280" i="18"/>
  <c r="AB280" i="18"/>
  <c r="X280" i="18"/>
  <c r="A281" i="18"/>
  <c r="L280" i="18"/>
  <c r="I281" i="1"/>
  <c r="X285" i="1"/>
  <c r="AK285" i="1"/>
  <c r="AJ285" i="1"/>
  <c r="A286" i="1"/>
  <c r="L285" i="1"/>
  <c r="AB285" i="1"/>
  <c r="K285" i="1"/>
  <c r="K275" i="25"/>
  <c r="AB275" i="25"/>
  <c r="L275" i="25"/>
  <c r="A276" i="25"/>
  <c r="X275" i="25"/>
  <c r="AB282" i="16"/>
  <c r="L282" i="16"/>
  <c r="D282" i="16" s="1"/>
  <c r="A283" i="16"/>
  <c r="X282" i="16"/>
  <c r="K282" i="16"/>
  <c r="K279" i="20"/>
  <c r="X279" i="20"/>
  <c r="AB279" i="20"/>
  <c r="L279" i="20"/>
  <c r="A280" i="20"/>
  <c r="L276" i="24"/>
  <c r="K276" i="24"/>
  <c r="A277" i="24"/>
  <c r="X276" i="24"/>
  <c r="AB276" i="24"/>
  <c r="A279" i="22"/>
  <c r="L278" i="22"/>
  <c r="K278" i="22"/>
  <c r="AB278" i="22"/>
  <c r="X278" i="22"/>
  <c r="A278" i="23"/>
  <c r="L277" i="23"/>
  <c r="K277" i="23"/>
  <c r="X277" i="23"/>
  <c r="AB277" i="23"/>
  <c r="AB279" i="22"/>
  <c r="A280" i="22"/>
  <c r="X279" i="22"/>
  <c r="K279" i="22"/>
  <c r="L279" i="22"/>
  <c r="L277" i="24"/>
  <c r="K277" i="24"/>
  <c r="X277" i="24"/>
  <c r="AB277" i="24"/>
  <c r="A278" i="24"/>
  <c r="L280" i="20"/>
  <c r="K280" i="20"/>
  <c r="AB280" i="20"/>
  <c r="A281" i="20"/>
  <c r="X280" i="20"/>
  <c r="AB283" i="16"/>
  <c r="L283" i="16"/>
  <c r="D283" i="16" s="1"/>
  <c r="A284" i="16"/>
  <c r="K283" i="16"/>
  <c r="X283" i="16"/>
  <c r="L276" i="25"/>
  <c r="K276" i="25"/>
  <c r="A277" i="25"/>
  <c r="X276" i="25"/>
  <c r="AB276" i="25"/>
  <c r="X283" i="15"/>
  <c r="A284" i="15"/>
  <c r="K283" i="15"/>
  <c r="L283" i="15"/>
  <c r="AB283" i="15"/>
  <c r="X278" i="23"/>
  <c r="K278" i="23"/>
  <c r="L278" i="23"/>
  <c r="AB278" i="23"/>
  <c r="A279" i="23"/>
  <c r="A287" i="1"/>
  <c r="X286" i="1"/>
  <c r="L286" i="1"/>
  <c r="AK286" i="1"/>
  <c r="AJ286" i="1"/>
  <c r="AB286" i="1"/>
  <c r="K286" i="1"/>
  <c r="K281" i="18"/>
  <c r="L281" i="18"/>
  <c r="A282" i="18"/>
  <c r="X281" i="18"/>
  <c r="AB281" i="18"/>
  <c r="AB283" i="17"/>
  <c r="L283" i="17"/>
  <c r="D283" i="17" s="1"/>
  <c r="K283" i="17"/>
  <c r="A284" i="17"/>
  <c r="X283" i="17"/>
  <c r="I282" i="1"/>
  <c r="D282" i="15"/>
  <c r="I283" i="1"/>
  <c r="A288" i="1"/>
  <c r="AB287" i="1"/>
  <c r="X287" i="1"/>
  <c r="L287" i="1"/>
  <c r="AK287" i="1"/>
  <c r="AJ287" i="1"/>
  <c r="K287" i="1"/>
  <c r="D283" i="15"/>
  <c r="X284" i="15"/>
  <c r="AB284" i="15"/>
  <c r="K284" i="15"/>
  <c r="L284" i="15"/>
  <c r="D284" i="15" s="1"/>
  <c r="A285" i="15"/>
  <c r="X277" i="25"/>
  <c r="K277" i="25"/>
  <c r="L277" i="25"/>
  <c r="AB277" i="25"/>
  <c r="A278" i="25"/>
  <c r="A285" i="16"/>
  <c r="AB284" i="16"/>
  <c r="L284" i="16"/>
  <c r="X284" i="16"/>
  <c r="K284" i="16"/>
  <c r="L284" i="17"/>
  <c r="D284" i="17" s="1"/>
  <c r="X284" i="17"/>
  <c r="A285" i="17"/>
  <c r="AB284" i="17"/>
  <c r="K284" i="17"/>
  <c r="AB282" i="18"/>
  <c r="X282" i="18"/>
  <c r="K282" i="18"/>
  <c r="A283" i="18"/>
  <c r="L282" i="18"/>
  <c r="L279" i="23"/>
  <c r="X279" i="23"/>
  <c r="K279" i="23"/>
  <c r="A280" i="23"/>
  <c r="AB279" i="23"/>
  <c r="A282" i="20"/>
  <c r="AB281" i="20"/>
  <c r="X281" i="20"/>
  <c r="L281" i="20"/>
  <c r="K281" i="20"/>
  <c r="X278" i="24"/>
  <c r="L278" i="24"/>
  <c r="K278" i="24"/>
  <c r="AB278" i="24"/>
  <c r="A279" i="24"/>
  <c r="X280" i="22"/>
  <c r="A281" i="22"/>
  <c r="K280" i="22"/>
  <c r="AB280" i="22"/>
  <c r="L280" i="22"/>
  <c r="AB280" i="23"/>
  <c r="X280" i="23"/>
  <c r="K280" i="23"/>
  <c r="L280" i="23"/>
  <c r="A281" i="23"/>
  <c r="L283" i="18"/>
  <c r="X283" i="18"/>
  <c r="AB283" i="18"/>
  <c r="A284" i="18"/>
  <c r="K283" i="18"/>
  <c r="X285" i="17"/>
  <c r="A286" i="17"/>
  <c r="L285" i="17"/>
  <c r="D285" i="17" s="1"/>
  <c r="K285" i="17"/>
  <c r="AB285" i="17"/>
  <c r="AB278" i="25"/>
  <c r="K278" i="25"/>
  <c r="A279" i="25"/>
  <c r="X278" i="25"/>
  <c r="L278" i="25"/>
  <c r="L285" i="15"/>
  <c r="D285" i="15" s="1"/>
  <c r="AB285" i="15"/>
  <c r="K285" i="15"/>
  <c r="A286" i="15"/>
  <c r="X285" i="15"/>
  <c r="I284" i="1"/>
  <c r="AB279" i="24"/>
  <c r="X279" i="24"/>
  <c r="A280" i="24"/>
  <c r="L279" i="24"/>
  <c r="K279" i="24"/>
  <c r="AB281" i="22"/>
  <c r="A282" i="22"/>
  <c r="L281" i="22"/>
  <c r="X281" i="22"/>
  <c r="K281" i="22"/>
  <c r="K282" i="20"/>
  <c r="L282" i="20"/>
  <c r="A283" i="20"/>
  <c r="X282" i="20"/>
  <c r="AB282" i="20"/>
  <c r="D284" i="16"/>
  <c r="AB285" i="16"/>
  <c r="K285" i="16"/>
  <c r="L285" i="16"/>
  <c r="X285" i="16"/>
  <c r="A286" i="16"/>
  <c r="A289" i="1"/>
  <c r="L288" i="1"/>
  <c r="D288" i="1" s="1"/>
  <c r="AJ288" i="1"/>
  <c r="X288" i="1"/>
  <c r="AB288" i="1"/>
  <c r="AK288" i="1"/>
  <c r="K288" i="1"/>
  <c r="I285" i="1"/>
  <c r="A290" i="1"/>
  <c r="L289" i="1"/>
  <c r="D289" i="1" s="1"/>
  <c r="X289" i="1"/>
  <c r="K289" i="1"/>
  <c r="AK289" i="1"/>
  <c r="AB289" i="1"/>
  <c r="AJ289" i="1"/>
  <c r="D285" i="16"/>
  <c r="K283" i="20"/>
  <c r="AB283" i="20"/>
  <c r="L283" i="20"/>
  <c r="A284" i="20"/>
  <c r="X283" i="20"/>
  <c r="A281" i="24"/>
  <c r="X280" i="24"/>
  <c r="AB280" i="24"/>
  <c r="K280" i="24"/>
  <c r="L280" i="24"/>
  <c r="X286" i="15"/>
  <c r="L286" i="15"/>
  <c r="D286" i="15" s="1"/>
  <c r="K286" i="15"/>
  <c r="AB286" i="15"/>
  <c r="A287" i="15"/>
  <c r="AB279" i="25"/>
  <c r="K279" i="25"/>
  <c r="A280" i="25"/>
  <c r="X279" i="25"/>
  <c r="L279" i="25"/>
  <c r="K286" i="17"/>
  <c r="X286" i="17"/>
  <c r="A287" i="17"/>
  <c r="AB286" i="17"/>
  <c r="L286" i="17"/>
  <c r="D286" i="17" s="1"/>
  <c r="K281" i="23"/>
  <c r="X281" i="23"/>
  <c r="AB281" i="23"/>
  <c r="L281" i="23"/>
  <c r="A282" i="23"/>
  <c r="A287" i="16"/>
  <c r="K286" i="16"/>
  <c r="L286" i="16"/>
  <c r="D286" i="16" s="1"/>
  <c r="AB286" i="16"/>
  <c r="X286" i="16"/>
  <c r="AB282" i="22"/>
  <c r="L282" i="22"/>
  <c r="K282" i="22"/>
  <c r="A283" i="22"/>
  <c r="X282" i="22"/>
  <c r="L284" i="18"/>
  <c r="K284" i="18"/>
  <c r="A285" i="18"/>
  <c r="X284" i="18"/>
  <c r="AB284" i="18"/>
  <c r="I286" i="1"/>
  <c r="X285" i="18"/>
  <c r="A286" i="18"/>
  <c r="K285" i="18"/>
  <c r="L285" i="18"/>
  <c r="AB285" i="18"/>
  <c r="L283" i="22"/>
  <c r="X283" i="22"/>
  <c r="AB283" i="22"/>
  <c r="K283" i="22"/>
  <c r="A284" i="22"/>
  <c r="X287" i="15"/>
  <c r="L287" i="15"/>
  <c r="D287" i="15" s="1"/>
  <c r="AB287" i="15"/>
  <c r="K287" i="15"/>
  <c r="A288" i="15"/>
  <c r="A291" i="1"/>
  <c r="X290" i="1"/>
  <c r="AB290" i="1"/>
  <c r="AJ290" i="1"/>
  <c r="K290" i="1"/>
  <c r="L290" i="1"/>
  <c r="D290" i="1" s="1"/>
  <c r="AK290" i="1"/>
  <c r="X287" i="16"/>
  <c r="K287" i="16"/>
  <c r="AB287" i="16"/>
  <c r="L287" i="16"/>
  <c r="D287" i="16" s="1"/>
  <c r="A288" i="16"/>
  <c r="L282" i="23"/>
  <c r="A283" i="23"/>
  <c r="K282" i="23"/>
  <c r="AB282" i="23"/>
  <c r="X282" i="23"/>
  <c r="L287" i="17"/>
  <c r="D287" i="17" s="1"/>
  <c r="K287" i="17"/>
  <c r="X287" i="17"/>
  <c r="A288" i="17"/>
  <c r="AB287" i="17"/>
  <c r="L280" i="25"/>
  <c r="A281" i="25"/>
  <c r="AB280" i="25"/>
  <c r="X280" i="25"/>
  <c r="K280" i="25"/>
  <c r="X281" i="24"/>
  <c r="K281" i="24"/>
  <c r="AB281" i="24"/>
  <c r="L281" i="24"/>
  <c r="A282" i="24"/>
  <c r="X284" i="20"/>
  <c r="AB284" i="20"/>
  <c r="A285" i="20"/>
  <c r="K284" i="20"/>
  <c r="L284" i="20"/>
  <c r="X285" i="20"/>
  <c r="K285" i="20"/>
  <c r="A286" i="20"/>
  <c r="AB285" i="20"/>
  <c r="L285" i="20"/>
  <c r="X283" i="23"/>
  <c r="AB283" i="23"/>
  <c r="K283" i="23"/>
  <c r="A284" i="23"/>
  <c r="L283" i="23"/>
  <c r="X288" i="16"/>
  <c r="K288" i="16"/>
  <c r="L288" i="16"/>
  <c r="D288" i="16" s="1"/>
  <c r="A289" i="16"/>
  <c r="AB288" i="16"/>
  <c r="A292" i="1"/>
  <c r="AB291" i="1"/>
  <c r="AJ291" i="1"/>
  <c r="K291" i="1"/>
  <c r="AK291" i="1"/>
  <c r="X291" i="1"/>
  <c r="L291" i="1"/>
  <c r="D291" i="1" s="1"/>
  <c r="K288" i="15"/>
  <c r="X288" i="15"/>
  <c r="L288" i="15"/>
  <c r="D288" i="15" s="1"/>
  <c r="AB288" i="15"/>
  <c r="A289" i="15"/>
  <c r="L282" i="24"/>
  <c r="K282" i="24"/>
  <c r="AB282" i="24"/>
  <c r="A283" i="24"/>
  <c r="X282" i="24"/>
  <c r="X281" i="25"/>
  <c r="L281" i="25"/>
  <c r="AB281" i="25"/>
  <c r="A282" i="25"/>
  <c r="K281" i="25"/>
  <c r="K288" i="17"/>
  <c r="L288" i="17"/>
  <c r="D288" i="17" s="1"/>
  <c r="AB288" i="17"/>
  <c r="X288" i="17"/>
  <c r="A289" i="17"/>
  <c r="I287" i="1"/>
  <c r="L284" i="22"/>
  <c r="K284" i="22"/>
  <c r="X284" i="22"/>
  <c r="A285" i="22"/>
  <c r="AB284" i="22"/>
  <c r="L286" i="18"/>
  <c r="K286" i="18"/>
  <c r="A287" i="18"/>
  <c r="AB286" i="18"/>
  <c r="X286" i="18"/>
  <c r="A284" i="24"/>
  <c r="X283" i="24"/>
  <c r="K283" i="24"/>
  <c r="L283" i="24"/>
  <c r="AB283" i="24"/>
  <c r="L287" i="18"/>
  <c r="X287" i="18"/>
  <c r="K287" i="18"/>
  <c r="AB287" i="18"/>
  <c r="A288" i="18"/>
  <c r="K285" i="22"/>
  <c r="X285" i="22"/>
  <c r="L285" i="22"/>
  <c r="AB285" i="22"/>
  <c r="A286" i="22"/>
  <c r="K289" i="17"/>
  <c r="X289" i="17"/>
  <c r="AB289" i="17"/>
  <c r="A290" i="17"/>
  <c r="L289" i="17"/>
  <c r="X282" i="25"/>
  <c r="K282" i="25"/>
  <c r="AB282" i="25"/>
  <c r="A283" i="25"/>
  <c r="L282" i="25"/>
  <c r="AB289" i="15"/>
  <c r="L289" i="15"/>
  <c r="D289" i="15" s="1"/>
  <c r="A290" i="15"/>
  <c r="X289" i="15"/>
  <c r="K289" i="15"/>
  <c r="K292" i="1"/>
  <c r="AB292" i="1"/>
  <c r="X292" i="1"/>
  <c r="AK292" i="1"/>
  <c r="L292" i="1"/>
  <c r="D292" i="1" s="1"/>
  <c r="AJ292" i="1"/>
  <c r="A293" i="1"/>
  <c r="X289" i="16"/>
  <c r="L289" i="16"/>
  <c r="AB289" i="16"/>
  <c r="A290" i="16"/>
  <c r="K289" i="16"/>
  <c r="A285" i="23"/>
  <c r="K284" i="23"/>
  <c r="L284" i="23"/>
  <c r="X284" i="23"/>
  <c r="AB284" i="23"/>
  <c r="A287" i="20"/>
  <c r="L286" i="20"/>
  <c r="AB286" i="20"/>
  <c r="X286" i="20"/>
  <c r="K286" i="20"/>
  <c r="L287" i="20"/>
  <c r="K287" i="20"/>
  <c r="AB287" i="20"/>
  <c r="A288" i="20"/>
  <c r="X287" i="20"/>
  <c r="K293" i="1"/>
  <c r="AB293" i="1"/>
  <c r="AJ293" i="1"/>
  <c r="A294" i="1"/>
  <c r="X293" i="1"/>
  <c r="L293" i="1"/>
  <c r="D293" i="1" s="1"/>
  <c r="AK293" i="1"/>
  <c r="A291" i="15"/>
  <c r="AB290" i="15"/>
  <c r="K290" i="15"/>
  <c r="L290" i="15"/>
  <c r="D290" i="15" s="1"/>
  <c r="X290" i="15"/>
  <c r="D289" i="17"/>
  <c r="X290" i="17"/>
  <c r="A291" i="17"/>
  <c r="AB290" i="17"/>
  <c r="L290" i="17"/>
  <c r="D290" i="17" s="1"/>
  <c r="K290" i="17"/>
  <c r="A287" i="22"/>
  <c r="K286" i="22"/>
  <c r="X286" i="22"/>
  <c r="L286" i="22"/>
  <c r="AB286" i="22"/>
  <c r="L288" i="18"/>
  <c r="K288" i="18"/>
  <c r="A289" i="18"/>
  <c r="X288" i="18"/>
  <c r="AB288" i="18"/>
  <c r="X284" i="24"/>
  <c r="K284" i="24"/>
  <c r="L284" i="24"/>
  <c r="A285" i="24"/>
  <c r="AB284" i="24"/>
  <c r="K285" i="23"/>
  <c r="AB285" i="23"/>
  <c r="L285" i="23"/>
  <c r="X285" i="23"/>
  <c r="A286" i="23"/>
  <c r="X290" i="16"/>
  <c r="K290" i="16"/>
  <c r="AB290" i="16"/>
  <c r="A291" i="16"/>
  <c r="L290" i="16"/>
  <c r="D290" i="16" s="1"/>
  <c r="D289" i="16"/>
  <c r="A284" i="25"/>
  <c r="AB283" i="25"/>
  <c r="X283" i="25"/>
  <c r="K283" i="25"/>
  <c r="L283" i="25"/>
  <c r="A292" i="16"/>
  <c r="AB291" i="16"/>
  <c r="X291" i="16"/>
  <c r="K291" i="16"/>
  <c r="L291" i="16"/>
  <c r="D291" i="16" s="1"/>
  <c r="A286" i="24"/>
  <c r="X285" i="24"/>
  <c r="L285" i="24"/>
  <c r="K285" i="24"/>
  <c r="AB285" i="24"/>
  <c r="L289" i="18"/>
  <c r="K289" i="18"/>
  <c r="X289" i="18"/>
  <c r="A290" i="18"/>
  <c r="AB289" i="18"/>
  <c r="L291" i="15"/>
  <c r="D291" i="15" s="1"/>
  <c r="K291" i="15"/>
  <c r="X291" i="15"/>
  <c r="A292" i="15"/>
  <c r="AB291" i="15"/>
  <c r="A295" i="1"/>
  <c r="K294" i="1"/>
  <c r="L294" i="1"/>
  <c r="D294" i="1" s="1"/>
  <c r="AK294" i="1"/>
  <c r="AB294" i="1"/>
  <c r="X294" i="1"/>
  <c r="AJ294" i="1"/>
  <c r="A285" i="25"/>
  <c r="L284" i="25"/>
  <c r="K284" i="25"/>
  <c r="X284" i="25"/>
  <c r="AB284" i="25"/>
  <c r="X286" i="23"/>
  <c r="K286" i="23"/>
  <c r="A287" i="23"/>
  <c r="AB286" i="23"/>
  <c r="L286" i="23"/>
  <c r="X287" i="22"/>
  <c r="AB287" i="22"/>
  <c r="L287" i="22"/>
  <c r="K287" i="22"/>
  <c r="A288" i="22"/>
  <c r="X291" i="17"/>
  <c r="K291" i="17"/>
  <c r="A292" i="17"/>
  <c r="AB291" i="17"/>
  <c r="L291" i="17"/>
  <c r="D291" i="17" s="1"/>
  <c r="X288" i="20"/>
  <c r="K288" i="20"/>
  <c r="L288" i="20"/>
  <c r="AB288" i="20"/>
  <c r="A289" i="20"/>
  <c r="AB292" i="17"/>
  <c r="A293" i="17"/>
  <c r="L292" i="17"/>
  <c r="D292" i="17" s="1"/>
  <c r="K292" i="17"/>
  <c r="X292" i="17"/>
  <c r="AB288" i="22"/>
  <c r="K288" i="22"/>
  <c r="L288" i="22"/>
  <c r="X288" i="22"/>
  <c r="A289" i="22"/>
  <c r="AB287" i="23"/>
  <c r="X287" i="23"/>
  <c r="L287" i="23"/>
  <c r="K287" i="23"/>
  <c r="A288" i="23"/>
  <c r="A296" i="1"/>
  <c r="AB295" i="1"/>
  <c r="K295" i="1"/>
  <c r="X295" i="1"/>
  <c r="L295" i="1"/>
  <c r="D295" i="1" s="1"/>
  <c r="AJ295" i="1"/>
  <c r="AK295" i="1"/>
  <c r="X292" i="15"/>
  <c r="L292" i="15"/>
  <c r="D292" i="15" s="1"/>
  <c r="K292" i="15"/>
  <c r="A293" i="15"/>
  <c r="AB292" i="15"/>
  <c r="K290" i="18"/>
  <c r="AB290" i="18"/>
  <c r="A291" i="18"/>
  <c r="L290" i="18"/>
  <c r="X290" i="18"/>
  <c r="A290" i="20"/>
  <c r="K289" i="20"/>
  <c r="L289" i="20"/>
  <c r="X289" i="20"/>
  <c r="AB289" i="20"/>
  <c r="A286" i="25"/>
  <c r="L285" i="25"/>
  <c r="K285" i="25"/>
  <c r="X285" i="25"/>
  <c r="AB285" i="25"/>
  <c r="L286" i="24"/>
  <c r="K286" i="24"/>
  <c r="A287" i="24"/>
  <c r="X286" i="24"/>
  <c r="AB286" i="24"/>
  <c r="A293" i="16"/>
  <c r="K292" i="16"/>
  <c r="AB292" i="16"/>
  <c r="L292" i="16"/>
  <c r="D292" i="16" s="1"/>
  <c r="X292" i="16"/>
  <c r="L293" i="16"/>
  <c r="D293" i="16" s="1"/>
  <c r="X293" i="16"/>
  <c r="A294" i="16"/>
  <c r="AB293" i="16"/>
  <c r="K293" i="16"/>
  <c r="AB290" i="20"/>
  <c r="X290" i="20"/>
  <c r="L290" i="20"/>
  <c r="A291" i="20"/>
  <c r="K290" i="20"/>
  <c r="K288" i="23"/>
  <c r="L288" i="23"/>
  <c r="X288" i="23"/>
  <c r="AB288" i="23"/>
  <c r="A289" i="23"/>
  <c r="A288" i="24"/>
  <c r="AB287" i="24"/>
  <c r="X287" i="24"/>
  <c r="K287" i="24"/>
  <c r="L287" i="24"/>
  <c r="X286" i="25"/>
  <c r="A287" i="25"/>
  <c r="L286" i="25"/>
  <c r="K286" i="25"/>
  <c r="AB286" i="25"/>
  <c r="L291" i="18"/>
  <c r="X291" i="18"/>
  <c r="A292" i="18"/>
  <c r="K291" i="18"/>
  <c r="AB291" i="18"/>
  <c r="L293" i="15"/>
  <c r="D293" i="15" s="1"/>
  <c r="AB293" i="15"/>
  <c r="X293" i="15"/>
  <c r="A294" i="15"/>
  <c r="K293" i="15"/>
  <c r="A297" i="1"/>
  <c r="K296" i="1"/>
  <c r="L296" i="1"/>
  <c r="D296" i="1" s="1"/>
  <c r="AK296" i="1"/>
  <c r="AJ296" i="1"/>
  <c r="AB296" i="1"/>
  <c r="X296" i="1"/>
  <c r="X289" i="22"/>
  <c r="K289" i="22"/>
  <c r="A290" i="22"/>
  <c r="L289" i="22"/>
  <c r="AB289" i="22"/>
  <c r="K293" i="17"/>
  <c r="AB293" i="17"/>
  <c r="X293" i="17"/>
  <c r="A294" i="17"/>
  <c r="L293" i="17"/>
  <c r="D293" i="17" s="1"/>
  <c r="X294" i="17"/>
  <c r="AB294" i="17"/>
  <c r="L294" i="17"/>
  <c r="D294" i="17" s="1"/>
  <c r="A295" i="17"/>
  <c r="K294" i="17"/>
  <c r="L290" i="22"/>
  <c r="A291" i="22"/>
  <c r="AB290" i="22"/>
  <c r="K290" i="22"/>
  <c r="X290" i="22"/>
  <c r="L288" i="24"/>
  <c r="K288" i="24"/>
  <c r="A289" i="24"/>
  <c r="X288" i="24"/>
  <c r="AB288" i="24"/>
  <c r="AB289" i="23"/>
  <c r="L289" i="23"/>
  <c r="K289" i="23"/>
  <c r="X289" i="23"/>
  <c r="A290" i="23"/>
  <c r="AB291" i="20"/>
  <c r="X291" i="20"/>
  <c r="L291" i="20"/>
  <c r="A292" i="20"/>
  <c r="K291" i="20"/>
  <c r="X294" i="16"/>
  <c r="L294" i="16"/>
  <c r="D294" i="16" s="1"/>
  <c r="AB294" i="16"/>
  <c r="K294" i="16"/>
  <c r="A295" i="16"/>
  <c r="AK297" i="1"/>
  <c r="K297" i="1"/>
  <c r="AB297" i="1"/>
  <c r="A298" i="1"/>
  <c r="AJ297" i="1"/>
  <c r="X297" i="1"/>
  <c r="L297" i="1"/>
  <c r="D297" i="1" s="1"/>
  <c r="X294" i="15"/>
  <c r="AB294" i="15"/>
  <c r="L294" i="15"/>
  <c r="D294" i="15" s="1"/>
  <c r="A295" i="15"/>
  <c r="K294" i="15"/>
  <c r="A293" i="18"/>
  <c r="L292" i="18"/>
  <c r="K292" i="18"/>
  <c r="X292" i="18"/>
  <c r="AB292" i="18"/>
  <c r="K287" i="25"/>
  <c r="AB287" i="25"/>
  <c r="L287" i="25"/>
  <c r="X287" i="25"/>
  <c r="A288" i="25"/>
  <c r="AB293" i="18"/>
  <c r="K293" i="18"/>
  <c r="L293" i="18"/>
  <c r="X293" i="18"/>
  <c r="A294" i="18"/>
  <c r="A296" i="15"/>
  <c r="K295" i="15"/>
  <c r="L295" i="15"/>
  <c r="D295" i="15" s="1"/>
  <c r="X295" i="15"/>
  <c r="AB295" i="15"/>
  <c r="K295" i="16"/>
  <c r="AB295" i="16"/>
  <c r="L295" i="16"/>
  <c r="D295" i="16" s="1"/>
  <c r="X295" i="16"/>
  <c r="A296" i="16"/>
  <c r="K290" i="23"/>
  <c r="X290" i="23"/>
  <c r="A291" i="23"/>
  <c r="AB290" i="23"/>
  <c r="L290" i="23"/>
  <c r="AB289" i="24"/>
  <c r="X289" i="24"/>
  <c r="L289" i="24"/>
  <c r="A290" i="24"/>
  <c r="K289" i="24"/>
  <c r="AB291" i="22"/>
  <c r="K291" i="22"/>
  <c r="L291" i="22"/>
  <c r="A292" i="22"/>
  <c r="X291" i="22"/>
  <c r="X288" i="25"/>
  <c r="AB288" i="25"/>
  <c r="L288" i="25"/>
  <c r="A289" i="25"/>
  <c r="K288" i="25"/>
  <c r="AK298" i="1"/>
  <c r="K298" i="1"/>
  <c r="X298" i="1"/>
  <c r="AB298" i="1"/>
  <c r="L298" i="1"/>
  <c r="D298" i="1" s="1"/>
  <c r="AJ298" i="1"/>
  <c r="A299" i="1"/>
  <c r="L292" i="20"/>
  <c r="AB292" i="20"/>
  <c r="X292" i="20"/>
  <c r="A293" i="20"/>
  <c r="K292" i="20"/>
  <c r="AB295" i="17"/>
  <c r="L295" i="17"/>
  <c r="D295" i="17" s="1"/>
  <c r="X295" i="17"/>
  <c r="K295" i="17"/>
  <c r="A296" i="17"/>
  <c r="AB290" i="24"/>
  <c r="L290" i="24"/>
  <c r="X290" i="24"/>
  <c r="K290" i="24"/>
  <c r="A291" i="24"/>
  <c r="AB291" i="23"/>
  <c r="K291" i="23"/>
  <c r="L291" i="23"/>
  <c r="X291" i="23"/>
  <c r="A292" i="23"/>
  <c r="A297" i="16"/>
  <c r="X296" i="16"/>
  <c r="L296" i="16"/>
  <c r="D296" i="16" s="1"/>
  <c r="K296" i="16"/>
  <c r="AB296" i="16"/>
  <c r="AB296" i="15"/>
  <c r="X296" i="15"/>
  <c r="A297" i="15"/>
  <c r="K296" i="15"/>
  <c r="L296" i="15"/>
  <c r="D296" i="15" s="1"/>
  <c r="K294" i="18"/>
  <c r="L294" i="18"/>
  <c r="A295" i="18"/>
  <c r="AB294" i="18"/>
  <c r="X294" i="18"/>
  <c r="A297" i="17"/>
  <c r="X296" i="17"/>
  <c r="K296" i="17"/>
  <c r="AB296" i="17"/>
  <c r="L296" i="17"/>
  <c r="D296" i="17" s="1"/>
  <c r="X293" i="20"/>
  <c r="AB293" i="20"/>
  <c r="L293" i="20"/>
  <c r="K293" i="20"/>
  <c r="A294" i="20"/>
  <c r="A300" i="1"/>
  <c r="X299" i="1"/>
  <c r="AB299" i="1"/>
  <c r="AK299" i="1"/>
  <c r="K299" i="1"/>
  <c r="L299" i="1"/>
  <c r="D299" i="1" s="1"/>
  <c r="AJ299" i="1"/>
  <c r="A290" i="25"/>
  <c r="L289" i="25"/>
  <c r="K289" i="25"/>
  <c r="X289" i="25"/>
  <c r="AB289" i="25"/>
  <c r="K292" i="22"/>
  <c r="AB292" i="22"/>
  <c r="A293" i="22"/>
  <c r="X292" i="22"/>
  <c r="L292" i="22"/>
  <c r="A301" i="1"/>
  <c r="K300" i="1"/>
  <c r="L300" i="1"/>
  <c r="D300" i="1" s="1"/>
  <c r="X300" i="1"/>
  <c r="AB300" i="1"/>
  <c r="AK300" i="1"/>
  <c r="AJ300" i="1"/>
  <c r="A298" i="17"/>
  <c r="K297" i="17"/>
  <c r="AB297" i="17"/>
  <c r="L297" i="17"/>
  <c r="D297" i="17" s="1"/>
  <c r="X297" i="17"/>
  <c r="X297" i="15"/>
  <c r="K297" i="15"/>
  <c r="AB297" i="15"/>
  <c r="A298" i="15"/>
  <c r="L297" i="15"/>
  <c r="D297" i="15" s="1"/>
  <c r="L292" i="23"/>
  <c r="X292" i="23"/>
  <c r="AB292" i="23"/>
  <c r="A293" i="23"/>
  <c r="K292" i="23"/>
  <c r="A292" i="24"/>
  <c r="X291" i="24"/>
  <c r="K291" i="24"/>
  <c r="AB291" i="24"/>
  <c r="L291" i="24"/>
  <c r="A294" i="22"/>
  <c r="K293" i="22"/>
  <c r="AB293" i="22"/>
  <c r="X293" i="22"/>
  <c r="L293" i="22"/>
  <c r="K290" i="25"/>
  <c r="X290" i="25"/>
  <c r="A291" i="25"/>
  <c r="L290" i="25"/>
  <c r="AB290" i="25"/>
  <c r="X294" i="20"/>
  <c r="K294" i="20"/>
  <c r="L294" i="20"/>
  <c r="A295" i="20"/>
  <c r="AB294" i="20"/>
  <c r="K295" i="18"/>
  <c r="X295" i="18"/>
  <c r="L295" i="18"/>
  <c r="A296" i="18"/>
  <c r="AB295" i="18"/>
  <c r="X297" i="16"/>
  <c r="L297" i="16"/>
  <c r="D297" i="16" s="1"/>
  <c r="AB297" i="16"/>
  <c r="A298" i="16"/>
  <c r="K297" i="16"/>
  <c r="X298" i="16"/>
  <c r="A299" i="16"/>
  <c r="K298" i="16"/>
  <c r="AB298" i="16"/>
  <c r="L298" i="16"/>
  <c r="D298" i="16" s="1"/>
  <c r="A292" i="25"/>
  <c r="K291" i="25"/>
  <c r="X291" i="25"/>
  <c r="L291" i="25"/>
  <c r="AB291" i="25"/>
  <c r="A294" i="23"/>
  <c r="AB293" i="23"/>
  <c r="K293" i="23"/>
  <c r="L293" i="23"/>
  <c r="X293" i="23"/>
  <c r="A299" i="17"/>
  <c r="AB298" i="17"/>
  <c r="K298" i="17"/>
  <c r="L298" i="17"/>
  <c r="D298" i="17" s="1"/>
  <c r="X298" i="17"/>
  <c r="A297" i="18"/>
  <c r="X296" i="18"/>
  <c r="K296" i="18"/>
  <c r="L296" i="18"/>
  <c r="AB296" i="18"/>
  <c r="AB295" i="20"/>
  <c r="A296" i="20"/>
  <c r="L295" i="20"/>
  <c r="X295" i="20"/>
  <c r="K295" i="20"/>
  <c r="L294" i="22"/>
  <c r="X294" i="22"/>
  <c r="K294" i="22"/>
  <c r="A295" i="22"/>
  <c r="AB294" i="22"/>
  <c r="K292" i="24"/>
  <c r="A293" i="24"/>
  <c r="L292" i="24"/>
  <c r="AB292" i="24"/>
  <c r="X292" i="24"/>
  <c r="X298" i="15"/>
  <c r="A299" i="15"/>
  <c r="L298" i="15"/>
  <c r="D298" i="15" s="1"/>
  <c r="K298" i="15"/>
  <c r="AB298" i="15"/>
  <c r="AJ301" i="1"/>
  <c r="AK301" i="1"/>
  <c r="L301" i="1"/>
  <c r="D301" i="1" s="1"/>
  <c r="X301" i="1"/>
  <c r="AB301" i="1"/>
  <c r="K301" i="1"/>
  <c r="A302" i="1"/>
  <c r="A303" i="1"/>
  <c r="K302" i="1"/>
  <c r="A29" i="7"/>
  <c r="AB302" i="1"/>
  <c r="AK302" i="1"/>
  <c r="L302" i="1"/>
  <c r="D302" i="1" s="1"/>
  <c r="AJ302" i="1"/>
  <c r="X302" i="1"/>
  <c r="A300" i="15"/>
  <c r="X299" i="15"/>
  <c r="AB299" i="15"/>
  <c r="L299" i="15"/>
  <c r="D299" i="15" s="1"/>
  <c r="K299" i="15"/>
  <c r="L293" i="24"/>
  <c r="AB293" i="24"/>
  <c r="K293" i="24"/>
  <c r="X293" i="24"/>
  <c r="A294" i="24"/>
  <c r="X295" i="22"/>
  <c r="L295" i="22"/>
  <c r="K295" i="22"/>
  <c r="A296" i="22"/>
  <c r="AB295" i="22"/>
  <c r="A297" i="20"/>
  <c r="K296" i="20"/>
  <c r="L296" i="20"/>
  <c r="AB296" i="20"/>
  <c r="X296" i="20"/>
  <c r="X297" i="18"/>
  <c r="K297" i="18"/>
  <c r="AB297" i="18"/>
  <c r="A298" i="18"/>
  <c r="L297" i="18"/>
  <c r="A293" i="25"/>
  <c r="L292" i="25"/>
  <c r="X292" i="25"/>
  <c r="AB292" i="25"/>
  <c r="K292" i="25"/>
  <c r="L299" i="17"/>
  <c r="D299" i="17" s="1"/>
  <c r="X299" i="17"/>
  <c r="K299" i="17"/>
  <c r="AB299" i="17"/>
  <c r="A300" i="17"/>
  <c r="AB294" i="23"/>
  <c r="L294" i="23"/>
  <c r="X294" i="23"/>
  <c r="K294" i="23"/>
  <c r="A295" i="23"/>
  <c r="L299" i="16"/>
  <c r="D299" i="16" s="1"/>
  <c r="K299" i="16"/>
  <c r="X299" i="16"/>
  <c r="A300" i="16"/>
  <c r="AB299" i="16"/>
  <c r="AB297" i="20"/>
  <c r="K297" i="20"/>
  <c r="L297" i="20"/>
  <c r="X297" i="20"/>
  <c r="A298" i="20"/>
  <c r="X296" i="22"/>
  <c r="L296" i="22"/>
  <c r="A297" i="22"/>
  <c r="AB296" i="22"/>
  <c r="K296" i="22"/>
  <c r="K300" i="16"/>
  <c r="L300" i="16"/>
  <c r="AB300" i="16"/>
  <c r="X300" i="16"/>
  <c r="A301" i="16"/>
  <c r="A296" i="23"/>
  <c r="AB295" i="23"/>
  <c r="K295" i="23"/>
  <c r="L295" i="23"/>
  <c r="X295" i="23"/>
  <c r="K300" i="17"/>
  <c r="A301" i="17"/>
  <c r="L300" i="17"/>
  <c r="D300" i="17" s="1"/>
  <c r="AB300" i="17"/>
  <c r="X300" i="17"/>
  <c r="A294" i="25"/>
  <c r="X293" i="25"/>
  <c r="L293" i="25"/>
  <c r="K293" i="25"/>
  <c r="AB293" i="25"/>
  <c r="A299" i="18"/>
  <c r="X298" i="18"/>
  <c r="K298" i="18"/>
  <c r="AB298" i="18"/>
  <c r="L298" i="18"/>
  <c r="A295" i="24"/>
  <c r="X294" i="24"/>
  <c r="L294" i="24"/>
  <c r="AB294" i="24"/>
  <c r="K294" i="24"/>
  <c r="A301" i="15"/>
  <c r="K300" i="15"/>
  <c r="AB300" i="15"/>
  <c r="L300" i="15"/>
  <c r="X300" i="15"/>
  <c r="X303" i="1"/>
  <c r="K303" i="1"/>
  <c r="AJ303" i="1"/>
  <c r="AB303" i="1"/>
  <c r="AK303" i="1"/>
  <c r="L303" i="1"/>
  <c r="D303" i="1" s="1"/>
  <c r="A304" i="1"/>
  <c r="AJ304" i="1"/>
  <c r="X304" i="1"/>
  <c r="AB304" i="1"/>
  <c r="K304" i="1"/>
  <c r="AK304" i="1"/>
  <c r="A305" i="1"/>
  <c r="L304" i="1"/>
  <c r="D304" i="1" s="1"/>
  <c r="D300" i="15"/>
  <c r="X295" i="24"/>
  <c r="L295" i="24"/>
  <c r="A296" i="24"/>
  <c r="K295" i="24"/>
  <c r="AB295" i="24"/>
  <c r="A295" i="25"/>
  <c r="X294" i="25"/>
  <c r="L294" i="25"/>
  <c r="K294" i="25"/>
  <c r="AB294" i="25"/>
  <c r="AB301" i="17"/>
  <c r="X301" i="17"/>
  <c r="K301" i="17"/>
  <c r="A302" i="17"/>
  <c r="L301" i="17"/>
  <c r="D301" i="17" s="1"/>
  <c r="K296" i="23"/>
  <c r="A297" i="23"/>
  <c r="AB296" i="23"/>
  <c r="X296" i="23"/>
  <c r="L296" i="23"/>
  <c r="X301" i="16"/>
  <c r="AB301" i="16"/>
  <c r="L301" i="16"/>
  <c r="D301" i="16" s="1"/>
  <c r="A302" i="16"/>
  <c r="K301" i="16"/>
  <c r="D300" i="16"/>
  <c r="X298" i="20"/>
  <c r="AB298" i="20"/>
  <c r="L298" i="20"/>
  <c r="A299" i="20"/>
  <c r="K298" i="20"/>
  <c r="L301" i="15"/>
  <c r="D301" i="15" s="1"/>
  <c r="AB301" i="15"/>
  <c r="K301" i="15"/>
  <c r="A302" i="15"/>
  <c r="X301" i="15"/>
  <c r="A300" i="18"/>
  <c r="K299" i="18"/>
  <c r="X299" i="18"/>
  <c r="L299" i="18"/>
  <c r="AB299" i="18"/>
  <c r="K297" i="22"/>
  <c r="L297" i="22"/>
  <c r="AB297" i="22"/>
  <c r="A298" i="22"/>
  <c r="X297" i="22"/>
  <c r="K298" i="22"/>
  <c r="X298" i="22"/>
  <c r="L298" i="22"/>
  <c r="AB298" i="22"/>
  <c r="A299" i="22"/>
  <c r="K302" i="15"/>
  <c r="L302" i="15"/>
  <c r="B41" i="7" s="1"/>
  <c r="AB302" i="15"/>
  <c r="A303" i="15"/>
  <c r="A41" i="7"/>
  <c r="X302" i="15"/>
  <c r="L302" i="16"/>
  <c r="D302" i="16" s="1"/>
  <c r="X302" i="16"/>
  <c r="K302" i="16"/>
  <c r="AB302" i="16"/>
  <c r="A303" i="16"/>
  <c r="A53" i="7"/>
  <c r="X302" i="17"/>
  <c r="L302" i="17"/>
  <c r="B65" i="7" s="1"/>
  <c r="K302" i="17"/>
  <c r="AB302" i="17"/>
  <c r="A303" i="17"/>
  <c r="A65" i="7"/>
  <c r="K295" i="25"/>
  <c r="L295" i="25"/>
  <c r="AB295" i="25"/>
  <c r="X295" i="25"/>
  <c r="A296" i="25"/>
  <c r="X296" i="24"/>
  <c r="L296" i="24"/>
  <c r="K296" i="24"/>
  <c r="A297" i="24"/>
  <c r="AB296" i="24"/>
  <c r="A301" i="18"/>
  <c r="L300" i="18"/>
  <c r="K300" i="18"/>
  <c r="AB300" i="18"/>
  <c r="X300" i="18"/>
  <c r="L299" i="20"/>
  <c r="X299" i="20"/>
  <c r="A300" i="20"/>
  <c r="AB299" i="20"/>
  <c r="K299" i="20"/>
  <c r="A298" i="23"/>
  <c r="AB297" i="23"/>
  <c r="X297" i="23"/>
  <c r="L297" i="23"/>
  <c r="K297" i="23"/>
  <c r="A306" i="1"/>
  <c r="L305" i="1"/>
  <c r="D305" i="1" s="1"/>
  <c r="K305" i="1"/>
  <c r="AK305" i="1"/>
  <c r="AB305" i="1"/>
  <c r="X305" i="1"/>
  <c r="AJ305" i="1"/>
  <c r="A299" i="23"/>
  <c r="AB298" i="23"/>
  <c r="K298" i="23"/>
  <c r="X298" i="23"/>
  <c r="L298" i="23"/>
  <c r="A297" i="25"/>
  <c r="AB296" i="25"/>
  <c r="L296" i="25"/>
  <c r="K296" i="25"/>
  <c r="X296" i="25"/>
  <c r="L303" i="17"/>
  <c r="D303" i="17" s="1"/>
  <c r="K303" i="17"/>
  <c r="A304" i="17"/>
  <c r="X303" i="17"/>
  <c r="AB303" i="17"/>
  <c r="A304" i="15"/>
  <c r="K303" i="15"/>
  <c r="AB303" i="15"/>
  <c r="L303" i="15"/>
  <c r="D303" i="15" s="1"/>
  <c r="X303" i="15"/>
  <c r="AJ306" i="1"/>
  <c r="AK306" i="1"/>
  <c r="K306" i="1"/>
  <c r="AB306" i="1"/>
  <c r="X306" i="1"/>
  <c r="A307" i="1"/>
  <c r="L306" i="1"/>
  <c r="D306" i="1" s="1"/>
  <c r="K300" i="20"/>
  <c r="L300" i="20"/>
  <c r="A301" i="20"/>
  <c r="X300" i="20"/>
  <c r="AB300" i="20"/>
  <c r="A302" i="18"/>
  <c r="X301" i="18"/>
  <c r="L301" i="18"/>
  <c r="K301" i="18"/>
  <c r="AB301" i="18"/>
  <c r="L297" i="24"/>
  <c r="K297" i="24"/>
  <c r="X297" i="24"/>
  <c r="AB297" i="24"/>
  <c r="A298" i="24"/>
  <c r="A304" i="16"/>
  <c r="K303" i="16"/>
  <c r="L303" i="16"/>
  <c r="D303" i="16" s="1"/>
  <c r="X303" i="16"/>
  <c r="AB303" i="16"/>
  <c r="K299" i="22"/>
  <c r="L299" i="22"/>
  <c r="AB299" i="22"/>
  <c r="X299" i="22"/>
  <c r="A300" i="22"/>
  <c r="L300" i="22"/>
  <c r="K300" i="22"/>
  <c r="A301" i="22"/>
  <c r="X300" i="22"/>
  <c r="AB300" i="22"/>
  <c r="K302" i="18"/>
  <c r="A303" i="18"/>
  <c r="L302" i="18"/>
  <c r="B77" i="7" s="1"/>
  <c r="A77" i="7"/>
  <c r="AB302" i="18"/>
  <c r="X302" i="18"/>
  <c r="L301" i="20"/>
  <c r="AB301" i="20"/>
  <c r="A302" i="20"/>
  <c r="K301" i="20"/>
  <c r="X301" i="20"/>
  <c r="K304" i="15"/>
  <c r="X304" i="15"/>
  <c r="AB304" i="15"/>
  <c r="A305" i="15"/>
  <c r="L304" i="15"/>
  <c r="D304" i="15" s="1"/>
  <c r="K299" i="23"/>
  <c r="X299" i="23"/>
  <c r="L299" i="23"/>
  <c r="A300" i="23"/>
  <c r="AB299" i="23"/>
  <c r="AB304" i="16"/>
  <c r="L304" i="16"/>
  <c r="X304" i="16"/>
  <c r="A305" i="16"/>
  <c r="K304" i="16"/>
  <c r="A299" i="24"/>
  <c r="X298" i="24"/>
  <c r="AB298" i="24"/>
  <c r="K298" i="24"/>
  <c r="L298" i="24"/>
  <c r="A308" i="1"/>
  <c r="AB307" i="1"/>
  <c r="X307" i="1"/>
  <c r="L307" i="1"/>
  <c r="AK307" i="1"/>
  <c r="K307" i="1"/>
  <c r="AJ307" i="1"/>
  <c r="L304" i="17"/>
  <c r="D304" i="17" s="1"/>
  <c r="A305" i="17"/>
  <c r="AB304" i="17"/>
  <c r="X304" i="17"/>
  <c r="K304" i="17"/>
  <c r="K297" i="25"/>
  <c r="X297" i="25"/>
  <c r="AB297" i="25"/>
  <c r="L297" i="25"/>
  <c r="A298" i="25"/>
  <c r="A299" i="25"/>
  <c r="K298" i="25"/>
  <c r="L298" i="25"/>
  <c r="AB298" i="25"/>
  <c r="X298" i="25"/>
  <c r="A306" i="17"/>
  <c r="K305" i="17"/>
  <c r="AB305" i="17"/>
  <c r="X305" i="17"/>
  <c r="L305" i="17"/>
  <c r="D305" i="17" s="1"/>
  <c r="D307" i="1"/>
  <c r="X305" i="16"/>
  <c r="K305" i="16"/>
  <c r="A306" i="16"/>
  <c r="AB305" i="16"/>
  <c r="L305" i="16"/>
  <c r="D305" i="16" s="1"/>
  <c r="D304" i="16"/>
  <c r="L300" i="23"/>
  <c r="AB300" i="23"/>
  <c r="K300" i="23"/>
  <c r="A301" i="23"/>
  <c r="X300" i="23"/>
  <c r="A303" i="20"/>
  <c r="L302" i="20"/>
  <c r="AF29" i="7" s="1"/>
  <c r="K302" i="20"/>
  <c r="AE29" i="7"/>
  <c r="X302" i="20"/>
  <c r="AB302" i="20"/>
  <c r="X308" i="1"/>
  <c r="AJ308" i="1"/>
  <c r="L308" i="1"/>
  <c r="K308" i="1"/>
  <c r="AK308" i="1"/>
  <c r="AB308" i="1"/>
  <c r="A309" i="1"/>
  <c r="AB299" i="24"/>
  <c r="X299" i="24"/>
  <c r="K299" i="24"/>
  <c r="A300" i="24"/>
  <c r="L299" i="24"/>
  <c r="L305" i="15"/>
  <c r="D305" i="15" s="1"/>
  <c r="X305" i="15"/>
  <c r="A306" i="15"/>
  <c r="K305" i="15"/>
  <c r="AB305" i="15"/>
  <c r="A304" i="18"/>
  <c r="K303" i="18"/>
  <c r="L303" i="18"/>
  <c r="X303" i="18"/>
  <c r="AB303" i="18"/>
  <c r="AB301" i="22"/>
  <c r="K301" i="22"/>
  <c r="A302" i="22"/>
  <c r="L301" i="22"/>
  <c r="X301" i="22"/>
  <c r="AB302" i="22"/>
  <c r="AE41" i="7"/>
  <c r="K302" i="22"/>
  <c r="X302" i="22"/>
  <c r="A303" i="22"/>
  <c r="L302" i="22"/>
  <c r="AF41" i="7" s="1"/>
  <c r="K304" i="18"/>
  <c r="A305" i="18"/>
  <c r="AB304" i="18"/>
  <c r="L304" i="18"/>
  <c r="X304" i="18"/>
  <c r="A307" i="15"/>
  <c r="K306" i="15"/>
  <c r="AB306" i="15"/>
  <c r="X306" i="15"/>
  <c r="L306" i="15"/>
  <c r="D306" i="15" s="1"/>
  <c r="AB300" i="24"/>
  <c r="A301" i="24"/>
  <c r="L300" i="24"/>
  <c r="X300" i="24"/>
  <c r="K300" i="24"/>
  <c r="AJ309" i="1"/>
  <c r="AK309" i="1"/>
  <c r="AB309" i="1"/>
  <c r="K309" i="1"/>
  <c r="L309" i="1"/>
  <c r="D309" i="1" s="1"/>
  <c r="X309" i="1"/>
  <c r="A310" i="1"/>
  <c r="AB303" i="20"/>
  <c r="X303" i="20"/>
  <c r="L303" i="20"/>
  <c r="K303" i="20"/>
  <c r="A304" i="20"/>
  <c r="X306" i="16"/>
  <c r="L306" i="16"/>
  <c r="D306" i="16" s="1"/>
  <c r="AB306" i="16"/>
  <c r="K306" i="16"/>
  <c r="A307" i="16"/>
  <c r="A307" i="17"/>
  <c r="AB306" i="17"/>
  <c r="X306" i="17"/>
  <c r="K306" i="17"/>
  <c r="L306" i="17"/>
  <c r="D306" i="17" s="1"/>
  <c r="D308" i="1"/>
  <c r="AB301" i="23"/>
  <c r="X301" i="23"/>
  <c r="K301" i="23"/>
  <c r="L301" i="23"/>
  <c r="A302" i="23"/>
  <c r="AB299" i="25"/>
  <c r="K299" i="25"/>
  <c r="X299" i="25"/>
  <c r="A300" i="25"/>
  <c r="L299" i="25"/>
  <c r="AB304" i="20"/>
  <c r="X304" i="20"/>
  <c r="A305" i="20"/>
  <c r="K304" i="20"/>
  <c r="L304" i="20"/>
  <c r="AB310" i="1"/>
  <c r="AJ310" i="1"/>
  <c r="X310" i="1"/>
  <c r="A311" i="1"/>
  <c r="AK310" i="1"/>
  <c r="K310" i="1"/>
  <c r="L310" i="1"/>
  <c r="D310" i="1" s="1"/>
  <c r="AB301" i="24"/>
  <c r="K301" i="24"/>
  <c r="X301" i="24"/>
  <c r="A302" i="24"/>
  <c r="L301" i="24"/>
  <c r="K307" i="15"/>
  <c r="A308" i="15"/>
  <c r="L307" i="15"/>
  <c r="D307" i="15" s="1"/>
  <c r="AB307" i="15"/>
  <c r="X307" i="15"/>
  <c r="AB305" i="18"/>
  <c r="A306" i="18"/>
  <c r="X305" i="18"/>
  <c r="K305" i="18"/>
  <c r="L305" i="18"/>
  <c r="X303" i="22"/>
  <c r="A304" i="22"/>
  <c r="K303" i="22"/>
  <c r="AB303" i="22"/>
  <c r="L303" i="22"/>
  <c r="X300" i="25"/>
  <c r="A301" i="25"/>
  <c r="K300" i="25"/>
  <c r="L300" i="25"/>
  <c r="AB300" i="25"/>
  <c r="L302" i="23"/>
  <c r="AE53" i="7"/>
  <c r="A303" i="23"/>
  <c r="X302" i="23"/>
  <c r="AB302" i="23"/>
  <c r="K302" i="23"/>
  <c r="AB307" i="17"/>
  <c r="A308" i="17"/>
  <c r="K307" i="17"/>
  <c r="L307" i="17"/>
  <c r="D307" i="17" s="1"/>
  <c r="X307" i="17"/>
  <c r="A308" i="16"/>
  <c r="X307" i="16"/>
  <c r="K307" i="16"/>
  <c r="L307" i="16"/>
  <c r="AB307" i="16"/>
  <c r="AB308" i="17"/>
  <c r="K308" i="17"/>
  <c r="L308" i="17"/>
  <c r="D308" i="17" s="1"/>
  <c r="X308" i="17"/>
  <c r="A309" i="17"/>
  <c r="K303" i="23"/>
  <c r="X303" i="23"/>
  <c r="A304" i="23"/>
  <c r="AB303" i="23"/>
  <c r="L303" i="23"/>
  <c r="AF53" i="7"/>
  <c r="L301" i="25"/>
  <c r="AB301" i="25"/>
  <c r="K301" i="25"/>
  <c r="X301" i="25"/>
  <c r="A302" i="25"/>
  <c r="K304" i="22"/>
  <c r="X304" i="22"/>
  <c r="A305" i="22"/>
  <c r="AB304" i="22"/>
  <c r="L304" i="22"/>
  <c r="X308" i="15"/>
  <c r="L308" i="15"/>
  <c r="D308" i="15" s="1"/>
  <c r="A309" i="15"/>
  <c r="AB308" i="15"/>
  <c r="K308" i="15"/>
  <c r="AB302" i="24"/>
  <c r="AE65" i="7"/>
  <c r="A303" i="24"/>
  <c r="L302" i="24"/>
  <c r="AF65" i="7" s="1"/>
  <c r="X302" i="24"/>
  <c r="K302" i="24"/>
  <c r="AK311" i="1"/>
  <c r="K311" i="1"/>
  <c r="AB311" i="1"/>
  <c r="AJ311" i="1"/>
  <c r="X311" i="1"/>
  <c r="A312" i="1"/>
  <c r="L311" i="1"/>
  <c r="D311" i="1" s="1"/>
  <c r="A306" i="20"/>
  <c r="X305" i="20"/>
  <c r="AB305" i="20"/>
  <c r="L305" i="20"/>
  <c r="K305" i="20"/>
  <c r="D307" i="16"/>
  <c r="A309" i="16"/>
  <c r="L308" i="16"/>
  <c r="D308" i="16" s="1"/>
  <c r="K308" i="16"/>
  <c r="X308" i="16"/>
  <c r="AB308" i="16"/>
  <c r="X306" i="18"/>
  <c r="K306" i="18"/>
  <c r="AB306" i="18"/>
  <c r="A307" i="18"/>
  <c r="L306" i="18"/>
  <c r="X307" i="18"/>
  <c r="A308" i="18"/>
  <c r="K307" i="18"/>
  <c r="AB307" i="18"/>
  <c r="L307" i="18"/>
  <c r="X309" i="16"/>
  <c r="L309" i="16"/>
  <c r="D309" i="16" s="1"/>
  <c r="A310" i="16"/>
  <c r="K309" i="16"/>
  <c r="AB309" i="16"/>
  <c r="L306" i="20"/>
  <c r="X306" i="20"/>
  <c r="K306" i="20"/>
  <c r="AB306" i="20"/>
  <c r="A307" i="20"/>
  <c r="K302" i="25"/>
  <c r="AE77" i="7"/>
  <c r="A303" i="25"/>
  <c r="AB302" i="25"/>
  <c r="L302" i="25"/>
  <c r="AF77" i="7" s="1"/>
  <c r="X302" i="25"/>
  <c r="A313" i="1"/>
  <c r="K312" i="1"/>
  <c r="AB312" i="1"/>
  <c r="AK312" i="1"/>
  <c r="L312" i="1"/>
  <c r="X312" i="1"/>
  <c r="AJ312" i="1"/>
  <c r="X303" i="24"/>
  <c r="A304" i="24"/>
  <c r="K303" i="24"/>
  <c r="AB303" i="24"/>
  <c r="L303" i="24"/>
  <c r="L309" i="15"/>
  <c r="D309" i="15" s="1"/>
  <c r="K309" i="15"/>
  <c r="X309" i="15"/>
  <c r="AB309" i="15"/>
  <c r="A310" i="15"/>
  <c r="A306" i="22"/>
  <c r="K305" i="22"/>
  <c r="L305" i="22"/>
  <c r="X305" i="22"/>
  <c r="AB305" i="22"/>
  <c r="K304" i="23"/>
  <c r="L304" i="23"/>
  <c r="AB304" i="23"/>
  <c r="A305" i="23"/>
  <c r="X304" i="23"/>
  <c r="X309" i="17"/>
  <c r="A310" i="17"/>
  <c r="AB309" i="17"/>
  <c r="L309" i="17"/>
  <c r="D309" i="17" s="1"/>
  <c r="K309" i="17"/>
  <c r="L310" i="17"/>
  <c r="D310" i="17" s="1"/>
  <c r="AB310" i="17"/>
  <c r="K310" i="17"/>
  <c r="X310" i="17"/>
  <c r="A311" i="17"/>
  <c r="AB304" i="24"/>
  <c r="L304" i="24"/>
  <c r="X304" i="24"/>
  <c r="A305" i="24"/>
  <c r="K304" i="24"/>
  <c r="AB307" i="20"/>
  <c r="L307" i="20"/>
  <c r="X307" i="20"/>
  <c r="A308" i="20"/>
  <c r="K307" i="20"/>
  <c r="L310" i="16"/>
  <c r="X310" i="16"/>
  <c r="AB310" i="16"/>
  <c r="A311" i="16"/>
  <c r="K310" i="16"/>
  <c r="K308" i="18"/>
  <c r="AB308" i="18"/>
  <c r="L308" i="18"/>
  <c r="A309" i="18"/>
  <c r="X308" i="18"/>
  <c r="X305" i="23"/>
  <c r="A306" i="23"/>
  <c r="AB305" i="23"/>
  <c r="K305" i="23"/>
  <c r="L305" i="23"/>
  <c r="X306" i="22"/>
  <c r="A307" i="22"/>
  <c r="L306" i="22"/>
  <c r="AB306" i="22"/>
  <c r="K306" i="22"/>
  <c r="AB310" i="15"/>
  <c r="X310" i="15"/>
  <c r="K310" i="15"/>
  <c r="A311" i="15"/>
  <c r="L310" i="15"/>
  <c r="D312" i="1"/>
  <c r="AJ313" i="1"/>
  <c r="X313" i="1"/>
  <c r="AB313" i="1"/>
  <c r="A314" i="1"/>
  <c r="AK313" i="1"/>
  <c r="L313" i="1"/>
  <c r="D313" i="1" s="1"/>
  <c r="K313" i="1"/>
  <c r="AB303" i="25"/>
  <c r="A304" i="25"/>
  <c r="L303" i="25"/>
  <c r="X303" i="25"/>
  <c r="K303" i="25"/>
  <c r="D310" i="15"/>
  <c r="AB311" i="15"/>
  <c r="K311" i="15"/>
  <c r="A312" i="15"/>
  <c r="L311" i="15"/>
  <c r="D311" i="15" s="1"/>
  <c r="X311" i="15"/>
  <c r="A308" i="22"/>
  <c r="AB307" i="22"/>
  <c r="L307" i="22"/>
  <c r="K307" i="22"/>
  <c r="X307" i="22"/>
  <c r="L309" i="18"/>
  <c r="K309" i="18"/>
  <c r="AB309" i="18"/>
  <c r="X309" i="18"/>
  <c r="A310" i="18"/>
  <c r="D310" i="16"/>
  <c r="X304" i="25"/>
  <c r="K304" i="25"/>
  <c r="L304" i="25"/>
  <c r="A305" i="25"/>
  <c r="AB304" i="25"/>
  <c r="A315" i="1"/>
  <c r="AK314" i="1"/>
  <c r="L314" i="1"/>
  <c r="D314" i="1" s="1"/>
  <c r="X314" i="1"/>
  <c r="AJ314" i="1"/>
  <c r="K314" i="1"/>
  <c r="AB314" i="1"/>
  <c r="X306" i="23"/>
  <c r="A307" i="23"/>
  <c r="K306" i="23"/>
  <c r="L306" i="23"/>
  <c r="AB306" i="23"/>
  <c r="K311" i="16"/>
  <c r="L311" i="16"/>
  <c r="A312" i="16"/>
  <c r="AB311" i="16"/>
  <c r="X311" i="16"/>
  <c r="A309" i="20"/>
  <c r="L308" i="20"/>
  <c r="X308" i="20"/>
  <c r="AB308" i="20"/>
  <c r="K308" i="20"/>
  <c r="L305" i="24"/>
  <c r="K305" i="24"/>
  <c r="X305" i="24"/>
  <c r="A306" i="24"/>
  <c r="AB305" i="24"/>
  <c r="A312" i="17"/>
  <c r="AB311" i="17"/>
  <c r="L311" i="17"/>
  <c r="D311" i="17" s="1"/>
  <c r="K311" i="17"/>
  <c r="X311" i="17"/>
  <c r="X312" i="17"/>
  <c r="AB312" i="17"/>
  <c r="A313" i="17"/>
  <c r="K312" i="17"/>
  <c r="L312" i="17"/>
  <c r="D312" i="17" s="1"/>
  <c r="K312" i="16"/>
  <c r="X312" i="16"/>
  <c r="A313" i="16"/>
  <c r="AB312" i="16"/>
  <c r="L312" i="16"/>
  <c r="D312" i="16" s="1"/>
  <c r="A316" i="1"/>
  <c r="K315" i="1"/>
  <c r="X315" i="1"/>
  <c r="L315" i="1"/>
  <c r="AJ315" i="1"/>
  <c r="AK315" i="1"/>
  <c r="AB315" i="1"/>
  <c r="K310" i="18"/>
  <c r="X310" i="18"/>
  <c r="L310" i="18"/>
  <c r="A311" i="18"/>
  <c r="AB310" i="18"/>
  <c r="K308" i="22"/>
  <c r="AB308" i="22"/>
  <c r="X308" i="22"/>
  <c r="L308" i="22"/>
  <c r="A309" i="22"/>
  <c r="AB306" i="24"/>
  <c r="K306" i="24"/>
  <c r="X306" i="24"/>
  <c r="L306" i="24"/>
  <c r="A307" i="24"/>
  <c r="X309" i="20"/>
  <c r="K309" i="20"/>
  <c r="L309" i="20"/>
  <c r="A310" i="20"/>
  <c r="AB309" i="20"/>
  <c r="D311" i="16"/>
  <c r="L307" i="23"/>
  <c r="K307" i="23"/>
  <c r="X307" i="23"/>
  <c r="AB307" i="23"/>
  <c r="A308" i="23"/>
  <c r="X305" i="25"/>
  <c r="K305" i="25"/>
  <c r="L305" i="25"/>
  <c r="A306" i="25"/>
  <c r="AB305" i="25"/>
  <c r="X312" i="15"/>
  <c r="K312" i="15"/>
  <c r="A313" i="15"/>
  <c r="AB312" i="15"/>
  <c r="L312" i="15"/>
  <c r="D312" i="15" s="1"/>
  <c r="L309" i="22"/>
  <c r="X309" i="22"/>
  <c r="A310" i="22"/>
  <c r="AB309" i="22"/>
  <c r="K309" i="22"/>
  <c r="X311" i="18"/>
  <c r="K311" i="18"/>
  <c r="L311" i="18"/>
  <c r="A312" i="18"/>
  <c r="AB311" i="18"/>
  <c r="L316" i="1"/>
  <c r="D316" i="1" s="1"/>
  <c r="AB316" i="1"/>
  <c r="AK316" i="1"/>
  <c r="X316" i="1"/>
  <c r="AJ316" i="1"/>
  <c r="A317" i="1"/>
  <c r="K316" i="1"/>
  <c r="X313" i="15"/>
  <c r="AB313" i="15"/>
  <c r="A314" i="15"/>
  <c r="L313" i="15"/>
  <c r="D313" i="15" s="1"/>
  <c r="K313" i="15"/>
  <c r="K306" i="25"/>
  <c r="L306" i="25"/>
  <c r="AB306" i="25"/>
  <c r="A307" i="25"/>
  <c r="X306" i="25"/>
  <c r="K308" i="23"/>
  <c r="A309" i="23"/>
  <c r="L308" i="23"/>
  <c r="AB308" i="23"/>
  <c r="X308" i="23"/>
  <c r="L310" i="20"/>
  <c r="K310" i="20"/>
  <c r="AB310" i="20"/>
  <c r="A311" i="20"/>
  <c r="X310" i="20"/>
  <c r="AB307" i="24"/>
  <c r="A308" i="24"/>
  <c r="X307" i="24"/>
  <c r="K307" i="24"/>
  <c r="L307" i="24"/>
  <c r="D315" i="1"/>
  <c r="X313" i="16"/>
  <c r="A314" i="16"/>
  <c r="L313" i="16"/>
  <c r="D313" i="16" s="1"/>
  <c r="AB313" i="16"/>
  <c r="K313" i="16"/>
  <c r="K313" i="17"/>
  <c r="X313" i="17"/>
  <c r="AB313" i="17"/>
  <c r="L313" i="17"/>
  <c r="D313" i="17" s="1"/>
  <c r="A314" i="17"/>
  <c r="A315" i="16"/>
  <c r="L314" i="16"/>
  <c r="D314" i="16" s="1"/>
  <c r="K314" i="16"/>
  <c r="X314" i="16"/>
  <c r="AB314" i="16"/>
  <c r="A312" i="20"/>
  <c r="L311" i="20"/>
  <c r="K311" i="20"/>
  <c r="X311" i="20"/>
  <c r="AB311" i="20"/>
  <c r="X307" i="25"/>
  <c r="AB307" i="25"/>
  <c r="K307" i="25"/>
  <c r="A308" i="25"/>
  <c r="L307" i="25"/>
  <c r="A318" i="1"/>
  <c r="X317" i="1"/>
  <c r="AJ317" i="1"/>
  <c r="L317" i="1"/>
  <c r="D317" i="1" s="1"/>
  <c r="AK317" i="1"/>
  <c r="K317" i="1"/>
  <c r="AB317" i="1"/>
  <c r="X310" i="22"/>
  <c r="AB310" i="22"/>
  <c r="A311" i="22"/>
  <c r="L310" i="22"/>
  <c r="K310" i="22"/>
  <c r="L314" i="17"/>
  <c r="D314" i="17" s="1"/>
  <c r="K314" i="17"/>
  <c r="X314" i="17"/>
  <c r="AB314" i="17"/>
  <c r="A315" i="17"/>
  <c r="AB308" i="24"/>
  <c r="X308" i="24"/>
  <c r="K308" i="24"/>
  <c r="L308" i="24"/>
  <c r="A309" i="24"/>
  <c r="X309" i="23"/>
  <c r="K309" i="23"/>
  <c r="AB309" i="23"/>
  <c r="L309" i="23"/>
  <c r="A310" i="23"/>
  <c r="A315" i="15"/>
  <c r="L314" i="15"/>
  <c r="D314" i="15" s="1"/>
  <c r="AB314" i="15"/>
  <c r="K314" i="15"/>
  <c r="X314" i="15"/>
  <c r="AB312" i="18"/>
  <c r="A313" i="18"/>
  <c r="X312" i="18"/>
  <c r="K312" i="18"/>
  <c r="L312" i="18"/>
  <c r="X313" i="18"/>
  <c r="A314" i="18"/>
  <c r="L313" i="18"/>
  <c r="AB313" i="18"/>
  <c r="K313" i="18"/>
  <c r="K310" i="23"/>
  <c r="A311" i="23"/>
  <c r="L310" i="23"/>
  <c r="AB310" i="23"/>
  <c r="X310" i="23"/>
  <c r="L315" i="17"/>
  <c r="D315" i="17" s="1"/>
  <c r="A316" i="17"/>
  <c r="AB315" i="17"/>
  <c r="X315" i="17"/>
  <c r="K315" i="17"/>
  <c r="AB312" i="20"/>
  <c r="A313" i="20"/>
  <c r="X312" i="20"/>
  <c r="K312" i="20"/>
  <c r="L312" i="20"/>
  <c r="K315" i="16"/>
  <c r="X315" i="16"/>
  <c r="L315" i="16"/>
  <c r="D315" i="16" s="1"/>
  <c r="AB315" i="16"/>
  <c r="A316" i="16"/>
  <c r="AB315" i="15"/>
  <c r="A316" i="15"/>
  <c r="K315" i="15"/>
  <c r="X315" i="15"/>
  <c r="L315" i="15"/>
  <c r="D315" i="15" s="1"/>
  <c r="AB309" i="24"/>
  <c r="A310" i="24"/>
  <c r="L309" i="24"/>
  <c r="K309" i="24"/>
  <c r="X309" i="24"/>
  <c r="L311" i="22"/>
  <c r="K311" i="22"/>
  <c r="A312" i="22"/>
  <c r="X311" i="22"/>
  <c r="AB311" i="22"/>
  <c r="AB318" i="1"/>
  <c r="X318" i="1"/>
  <c r="K318" i="1"/>
  <c r="A319" i="1"/>
  <c r="AJ318" i="1"/>
  <c r="L318" i="1"/>
  <c r="D318" i="1" s="1"/>
  <c r="AK318" i="1"/>
  <c r="X308" i="25"/>
  <c r="AB308" i="25"/>
  <c r="A309" i="25"/>
  <c r="L308" i="25"/>
  <c r="K308" i="25"/>
  <c r="X309" i="25"/>
  <c r="A310" i="25"/>
  <c r="AB309" i="25"/>
  <c r="K309" i="25"/>
  <c r="L309" i="25"/>
  <c r="AK319" i="1"/>
  <c r="AJ319" i="1"/>
  <c r="K319" i="1"/>
  <c r="AB319" i="1"/>
  <c r="L319" i="1"/>
  <c r="D319" i="1" s="1"/>
  <c r="A320" i="1"/>
  <c r="X319" i="1"/>
  <c r="A313" i="22"/>
  <c r="K312" i="22"/>
  <c r="AB312" i="22"/>
  <c r="L312" i="22"/>
  <c r="X312" i="22"/>
  <c r="X316" i="16"/>
  <c r="L316" i="16"/>
  <c r="D316" i="16" s="1"/>
  <c r="A317" i="16"/>
  <c r="K316" i="16"/>
  <c r="AB316" i="16"/>
  <c r="X311" i="23"/>
  <c r="AB311" i="23"/>
  <c r="L311" i="23"/>
  <c r="K311" i="23"/>
  <c r="A312" i="23"/>
  <c r="A311" i="24"/>
  <c r="X310" i="24"/>
  <c r="AB310" i="24"/>
  <c r="L310" i="24"/>
  <c r="K310" i="24"/>
  <c r="K316" i="15"/>
  <c r="A317" i="15"/>
  <c r="X316" i="15"/>
  <c r="L316" i="15"/>
  <c r="D316" i="15" s="1"/>
  <c r="AB316" i="15"/>
  <c r="AB313" i="20"/>
  <c r="X313" i="20"/>
  <c r="L313" i="20"/>
  <c r="K313" i="20"/>
  <c r="A314" i="20"/>
  <c r="K316" i="17"/>
  <c r="X316" i="17"/>
  <c r="L316" i="17"/>
  <c r="D316" i="17" s="1"/>
  <c r="A317" i="17"/>
  <c r="AB316" i="17"/>
  <c r="AB314" i="18"/>
  <c r="A315" i="18"/>
  <c r="K314" i="18"/>
  <c r="X314" i="18"/>
  <c r="L314" i="18"/>
  <c r="L317" i="17"/>
  <c r="D317" i="17" s="1"/>
  <c r="X317" i="17"/>
  <c r="AB317" i="17"/>
  <c r="K317" i="17"/>
  <c r="A318" i="17"/>
  <c r="A318" i="15"/>
  <c r="AB317" i="15"/>
  <c r="L317" i="15"/>
  <c r="D317" i="15" s="1"/>
  <c r="X317" i="15"/>
  <c r="K317" i="15"/>
  <c r="A312" i="24"/>
  <c r="L311" i="24"/>
  <c r="X311" i="24"/>
  <c r="AB311" i="24"/>
  <c r="K311" i="24"/>
  <c r="A321" i="1"/>
  <c r="AB320" i="1"/>
  <c r="AK320" i="1"/>
  <c r="K320" i="1"/>
  <c r="AJ320" i="1"/>
  <c r="L320" i="1"/>
  <c r="D320" i="1" s="1"/>
  <c r="X320" i="1"/>
  <c r="L310" i="25"/>
  <c r="A311" i="25"/>
  <c r="AB310" i="25"/>
  <c r="X310" i="25"/>
  <c r="K310" i="25"/>
  <c r="L315" i="18"/>
  <c r="X315" i="18"/>
  <c r="K315" i="18"/>
  <c r="A316" i="18"/>
  <c r="AB315" i="18"/>
  <c r="AB314" i="20"/>
  <c r="A315" i="20"/>
  <c r="K314" i="20"/>
  <c r="X314" i="20"/>
  <c r="L314" i="20"/>
  <c r="AB312" i="23"/>
  <c r="L312" i="23"/>
  <c r="X312" i="23"/>
  <c r="A313" i="23"/>
  <c r="K312" i="23"/>
  <c r="X317" i="16"/>
  <c r="K317" i="16"/>
  <c r="AB317" i="16"/>
  <c r="A318" i="16"/>
  <c r="L317" i="16"/>
  <c r="D317" i="16" s="1"/>
  <c r="X313" i="22"/>
  <c r="L313" i="22"/>
  <c r="K313" i="22"/>
  <c r="A314" i="22"/>
  <c r="AB313" i="22"/>
  <c r="AB314" i="22"/>
  <c r="A315" i="22"/>
  <c r="K314" i="22"/>
  <c r="X314" i="22"/>
  <c r="L314" i="22"/>
  <c r="L318" i="16"/>
  <c r="D318" i="16" s="1"/>
  <c r="K318" i="16"/>
  <c r="X318" i="16"/>
  <c r="AB318" i="16"/>
  <c r="A319" i="16"/>
  <c r="K313" i="23"/>
  <c r="L313" i="23"/>
  <c r="A314" i="23"/>
  <c r="AB313" i="23"/>
  <c r="X313" i="23"/>
  <c r="AB315" i="20"/>
  <c r="L315" i="20"/>
  <c r="X315" i="20"/>
  <c r="A316" i="20"/>
  <c r="K315" i="20"/>
  <c r="L311" i="25"/>
  <c r="A312" i="25"/>
  <c r="AB311" i="25"/>
  <c r="K311" i="25"/>
  <c r="X311" i="25"/>
  <c r="A322" i="1"/>
  <c r="AB321" i="1"/>
  <c r="AK321" i="1"/>
  <c r="L321" i="1"/>
  <c r="D321" i="1" s="1"/>
  <c r="K321" i="1"/>
  <c r="X321" i="1"/>
  <c r="AJ321" i="1"/>
  <c r="K318" i="15"/>
  <c r="L318" i="15"/>
  <c r="D318" i="15" s="1"/>
  <c r="AB318" i="15"/>
  <c r="A319" i="15"/>
  <c r="X318" i="15"/>
  <c r="AB316" i="18"/>
  <c r="L316" i="18"/>
  <c r="X316" i="18"/>
  <c r="A317" i="18"/>
  <c r="K316" i="18"/>
  <c r="K312" i="24"/>
  <c r="X312" i="24"/>
  <c r="A313" i="24"/>
  <c r="L312" i="24"/>
  <c r="AB312" i="24"/>
  <c r="L318" i="17"/>
  <c r="D318" i="17" s="1"/>
  <c r="X318" i="17"/>
  <c r="K318" i="17"/>
  <c r="AB318" i="17"/>
  <c r="A319" i="17"/>
  <c r="K313" i="24"/>
  <c r="L313" i="24"/>
  <c r="A314" i="24"/>
  <c r="X313" i="24"/>
  <c r="AB313" i="24"/>
  <c r="K319" i="15"/>
  <c r="L319" i="15"/>
  <c r="D319" i="15" s="1"/>
  <c r="X319" i="15"/>
  <c r="A320" i="15"/>
  <c r="AB319" i="15"/>
  <c r="A323" i="1"/>
  <c r="X322" i="1"/>
  <c r="AK322" i="1"/>
  <c r="K322" i="1"/>
  <c r="AJ322" i="1"/>
  <c r="AB322" i="1"/>
  <c r="L322" i="1"/>
  <c r="D322" i="1" s="1"/>
  <c r="A313" i="25"/>
  <c r="X312" i="25"/>
  <c r="K312" i="25"/>
  <c r="AB312" i="25"/>
  <c r="L312" i="25"/>
  <c r="L319" i="16"/>
  <c r="D319" i="16" s="1"/>
  <c r="X319" i="16"/>
  <c r="A320" i="16"/>
  <c r="K319" i="16"/>
  <c r="AB319" i="16"/>
  <c r="AB315" i="22"/>
  <c r="A316" i="22"/>
  <c r="X315" i="22"/>
  <c r="L315" i="22"/>
  <c r="K315" i="22"/>
  <c r="X319" i="17"/>
  <c r="A320" i="17"/>
  <c r="L319" i="17"/>
  <c r="D319" i="17" s="1"/>
  <c r="AB319" i="17"/>
  <c r="K319" i="17"/>
  <c r="AB317" i="18"/>
  <c r="L317" i="18"/>
  <c r="K317" i="18"/>
  <c r="X317" i="18"/>
  <c r="A318" i="18"/>
  <c r="X316" i="20"/>
  <c r="L316" i="20"/>
  <c r="A317" i="20"/>
  <c r="AB316" i="20"/>
  <c r="K316" i="20"/>
  <c r="K314" i="23"/>
  <c r="L314" i="23"/>
  <c r="AB314" i="23"/>
  <c r="A315" i="23"/>
  <c r="X314" i="23"/>
  <c r="AB315" i="23"/>
  <c r="A316" i="23"/>
  <c r="X315" i="23"/>
  <c r="L315" i="23"/>
  <c r="K315" i="23"/>
  <c r="K317" i="20"/>
  <c r="X317" i="20"/>
  <c r="L317" i="20"/>
  <c r="A318" i="20"/>
  <c r="AB317" i="20"/>
  <c r="K318" i="18"/>
  <c r="A319" i="18"/>
  <c r="AB318" i="18"/>
  <c r="X318" i="18"/>
  <c r="L318" i="18"/>
  <c r="X320" i="17"/>
  <c r="AB320" i="17"/>
  <c r="K320" i="17"/>
  <c r="A321" i="17"/>
  <c r="L320" i="17"/>
  <c r="D320" i="17" s="1"/>
  <c r="K320" i="16"/>
  <c r="AB320" i="16"/>
  <c r="L320" i="16"/>
  <c r="D320" i="16" s="1"/>
  <c r="A321" i="16"/>
  <c r="X320" i="16"/>
  <c r="A324" i="1"/>
  <c r="K323" i="1"/>
  <c r="L323" i="1"/>
  <c r="D323" i="1" s="1"/>
  <c r="X323" i="1"/>
  <c r="AJ323" i="1"/>
  <c r="AB323" i="1"/>
  <c r="AK323" i="1"/>
  <c r="K316" i="22"/>
  <c r="AB316" i="22"/>
  <c r="A317" i="22"/>
  <c r="L316" i="22"/>
  <c r="X316" i="22"/>
  <c r="A314" i="25"/>
  <c r="K313" i="25"/>
  <c r="L313" i="25"/>
  <c r="AB313" i="25"/>
  <c r="X313" i="25"/>
  <c r="L320" i="15"/>
  <c r="X320" i="15"/>
  <c r="A321" i="15"/>
  <c r="K320" i="15"/>
  <c r="AB320" i="15"/>
  <c r="X314" i="24"/>
  <c r="AB314" i="24"/>
  <c r="K314" i="24"/>
  <c r="A315" i="24"/>
  <c r="L314" i="24"/>
  <c r="AB315" i="24"/>
  <c r="X315" i="24"/>
  <c r="A316" i="24"/>
  <c r="L315" i="24"/>
  <c r="K315" i="24"/>
  <c r="AB321" i="15"/>
  <c r="L321" i="15"/>
  <c r="D321" i="15" s="1"/>
  <c r="X321" i="15"/>
  <c r="K321" i="15"/>
  <c r="A322" i="15"/>
  <c r="AK324" i="1"/>
  <c r="AB324" i="1"/>
  <c r="L324" i="1"/>
  <c r="D324" i="1" s="1"/>
  <c r="AJ324" i="1"/>
  <c r="A325" i="1"/>
  <c r="X324" i="1"/>
  <c r="K324" i="1"/>
  <c r="AB321" i="17"/>
  <c r="A322" i="17"/>
  <c r="L321" i="17"/>
  <c r="K321" i="17"/>
  <c r="X321" i="17"/>
  <c r="A317" i="23"/>
  <c r="AB316" i="23"/>
  <c r="L316" i="23"/>
  <c r="K316" i="23"/>
  <c r="X316" i="23"/>
  <c r="D320" i="15"/>
  <c r="A315" i="25"/>
  <c r="AB314" i="25"/>
  <c r="K314" i="25"/>
  <c r="X314" i="25"/>
  <c r="L314" i="25"/>
  <c r="A318" i="22"/>
  <c r="L317" i="22"/>
  <c r="AB317" i="22"/>
  <c r="K317" i="22"/>
  <c r="X317" i="22"/>
  <c r="AB321" i="16"/>
  <c r="A322" i="16"/>
  <c r="L321" i="16"/>
  <c r="D321" i="16" s="1"/>
  <c r="K321" i="16"/>
  <c r="X321" i="16"/>
  <c r="K319" i="18"/>
  <c r="AB319" i="18"/>
  <c r="A320" i="18"/>
  <c r="X319" i="18"/>
  <c r="L319" i="18"/>
  <c r="X318" i="20"/>
  <c r="L318" i="20"/>
  <c r="A319" i="20"/>
  <c r="AB318" i="20"/>
  <c r="K318" i="20"/>
  <c r="K320" i="18"/>
  <c r="X320" i="18"/>
  <c r="AB320" i="18"/>
  <c r="L320" i="18"/>
  <c r="A321" i="18"/>
  <c r="L315" i="25"/>
  <c r="K315" i="25"/>
  <c r="X315" i="25"/>
  <c r="A316" i="25"/>
  <c r="AB315" i="25"/>
  <c r="D321" i="17"/>
  <c r="A326" i="1"/>
  <c r="X325" i="1"/>
  <c r="AB325" i="1"/>
  <c r="L325" i="1"/>
  <c r="D325" i="1" s="1"/>
  <c r="AK325" i="1"/>
  <c r="K325" i="1"/>
  <c r="AJ325" i="1"/>
  <c r="X322" i="15"/>
  <c r="L322" i="15"/>
  <c r="D322" i="15" s="1"/>
  <c r="A323" i="15"/>
  <c r="K322" i="15"/>
  <c r="AB322" i="15"/>
  <c r="AB319" i="20"/>
  <c r="A320" i="20"/>
  <c r="L319" i="20"/>
  <c r="X319" i="20"/>
  <c r="K319" i="20"/>
  <c r="L322" i="16"/>
  <c r="K322" i="16"/>
  <c r="X322" i="16"/>
  <c r="AB322" i="16"/>
  <c r="A323" i="16"/>
  <c r="X318" i="22"/>
  <c r="L318" i="22"/>
  <c r="AB318" i="22"/>
  <c r="K318" i="22"/>
  <c r="A319" i="22"/>
  <c r="L317" i="23"/>
  <c r="X317" i="23"/>
  <c r="AB317" i="23"/>
  <c r="K317" i="23"/>
  <c r="A318" i="23"/>
  <c r="K322" i="17"/>
  <c r="L322" i="17"/>
  <c r="D322" i="17" s="1"/>
  <c r="AB322" i="17"/>
  <c r="X322" i="17"/>
  <c r="A323" i="17"/>
  <c r="L316" i="24"/>
  <c r="AB316" i="24"/>
  <c r="X316" i="24"/>
  <c r="K316" i="24"/>
  <c r="A317" i="24"/>
  <c r="A318" i="24"/>
  <c r="K317" i="24"/>
  <c r="X317" i="24"/>
  <c r="L317" i="24"/>
  <c r="AB317" i="24"/>
  <c r="X323" i="17"/>
  <c r="L323" i="17"/>
  <c r="D323" i="17" s="1"/>
  <c r="K323" i="17"/>
  <c r="A324" i="17"/>
  <c r="AB323" i="17"/>
  <c r="AB318" i="23"/>
  <c r="A319" i="23"/>
  <c r="K318" i="23"/>
  <c r="L318" i="23"/>
  <c r="X318" i="23"/>
  <c r="L319" i="22"/>
  <c r="A320" i="22"/>
  <c r="AB319" i="22"/>
  <c r="X319" i="22"/>
  <c r="K319" i="22"/>
  <c r="A324" i="16"/>
  <c r="L323" i="16"/>
  <c r="D323" i="16" s="1"/>
  <c r="K323" i="16"/>
  <c r="AB323" i="16"/>
  <c r="X323" i="16"/>
  <c r="D322" i="16"/>
  <c r="AB323" i="15"/>
  <c r="X323" i="15"/>
  <c r="L323" i="15"/>
  <c r="D323" i="15" s="1"/>
  <c r="K323" i="15"/>
  <c r="A324" i="15"/>
  <c r="A327" i="1"/>
  <c r="AB326" i="1"/>
  <c r="AK326" i="1"/>
  <c r="K326" i="1"/>
  <c r="L326" i="1"/>
  <c r="D326" i="1" s="1"/>
  <c r="X326" i="1"/>
  <c r="AJ326" i="1"/>
  <c r="A321" i="20"/>
  <c r="X320" i="20"/>
  <c r="L320" i="20"/>
  <c r="K320" i="20"/>
  <c r="AB320" i="20"/>
  <c r="K316" i="25"/>
  <c r="L316" i="25"/>
  <c r="A317" i="25"/>
  <c r="X316" i="25"/>
  <c r="AB316" i="25"/>
  <c r="A322" i="18"/>
  <c r="K321" i="18"/>
  <c r="L321" i="18"/>
  <c r="AB321" i="18"/>
  <c r="X321" i="18"/>
  <c r="A322" i="20"/>
  <c r="L321" i="20"/>
  <c r="AB321" i="20"/>
  <c r="X321" i="20"/>
  <c r="K321" i="20"/>
  <c r="X324" i="16"/>
  <c r="K324" i="16"/>
  <c r="L324" i="16"/>
  <c r="D324" i="16" s="1"/>
  <c r="AB324" i="16"/>
  <c r="A325" i="16"/>
  <c r="K319" i="23"/>
  <c r="L319" i="23"/>
  <c r="AB319" i="23"/>
  <c r="A320" i="23"/>
  <c r="X319" i="23"/>
  <c r="A319" i="24"/>
  <c r="AB318" i="24"/>
  <c r="K318" i="24"/>
  <c r="X318" i="24"/>
  <c r="L318" i="24"/>
  <c r="L322" i="18"/>
  <c r="X322" i="18"/>
  <c r="K322" i="18"/>
  <c r="AB322" i="18"/>
  <c r="A323" i="18"/>
  <c r="K317" i="25"/>
  <c r="AB317" i="25"/>
  <c r="X317" i="25"/>
  <c r="A318" i="25"/>
  <c r="L317" i="25"/>
  <c r="AK327" i="1"/>
  <c r="X327" i="1"/>
  <c r="AJ327" i="1"/>
  <c r="A328" i="1"/>
  <c r="K327" i="1"/>
  <c r="AB327" i="1"/>
  <c r="L327" i="1"/>
  <c r="D327" i="1" s="1"/>
  <c r="X324" i="15"/>
  <c r="L324" i="15"/>
  <c r="D324" i="15" s="1"/>
  <c r="A325" i="15"/>
  <c r="AB324" i="15"/>
  <c r="K324" i="15"/>
  <c r="AB320" i="22"/>
  <c r="K320" i="22"/>
  <c r="L320" i="22"/>
  <c r="X320" i="22"/>
  <c r="A321" i="22"/>
  <c r="A325" i="17"/>
  <c r="X324" i="17"/>
  <c r="L324" i="17"/>
  <c r="AB324" i="17"/>
  <c r="K324" i="17"/>
  <c r="AB325" i="17"/>
  <c r="A326" i="17"/>
  <c r="K325" i="17"/>
  <c r="X325" i="17"/>
  <c r="L325" i="17"/>
  <c r="D325" i="17" s="1"/>
  <c r="A322" i="22"/>
  <c r="AB321" i="22"/>
  <c r="K321" i="22"/>
  <c r="L321" i="22"/>
  <c r="X321" i="22"/>
  <c r="L325" i="15"/>
  <c r="D325" i="15" s="1"/>
  <c r="K325" i="15"/>
  <c r="A326" i="15"/>
  <c r="AB325" i="15"/>
  <c r="X325" i="15"/>
  <c r="L318" i="25"/>
  <c r="K318" i="25"/>
  <c r="A319" i="25"/>
  <c r="X318" i="25"/>
  <c r="AB318" i="25"/>
  <c r="A324" i="18"/>
  <c r="L323" i="18"/>
  <c r="AB323" i="18"/>
  <c r="X323" i="18"/>
  <c r="K323" i="18"/>
  <c r="AB319" i="24"/>
  <c r="K319" i="24"/>
  <c r="X319" i="24"/>
  <c r="A320" i="24"/>
  <c r="L319" i="24"/>
  <c r="L322" i="20"/>
  <c r="AB322" i="20"/>
  <c r="X322" i="20"/>
  <c r="A323" i="20"/>
  <c r="K322" i="20"/>
  <c r="D324" i="17"/>
  <c r="A329" i="1"/>
  <c r="AK328" i="1"/>
  <c r="X328" i="1"/>
  <c r="L328" i="1"/>
  <c r="D328" i="1" s="1"/>
  <c r="AB328" i="1"/>
  <c r="AJ328" i="1"/>
  <c r="K328" i="1"/>
  <c r="L320" i="23"/>
  <c r="X320" i="23"/>
  <c r="AB320" i="23"/>
  <c r="K320" i="23"/>
  <c r="A321" i="23"/>
  <c r="AB325" i="16"/>
  <c r="A326" i="16"/>
  <c r="K325" i="16"/>
  <c r="L325" i="16"/>
  <c r="X325" i="16"/>
  <c r="AB329" i="1"/>
  <c r="X329" i="1"/>
  <c r="L329" i="1"/>
  <c r="D329" i="1" s="1"/>
  <c r="AJ329" i="1"/>
  <c r="K329" i="1"/>
  <c r="A330" i="1"/>
  <c r="AK329" i="1"/>
  <c r="K320" i="24"/>
  <c r="L320" i="24"/>
  <c r="A321" i="24"/>
  <c r="AB320" i="24"/>
  <c r="X320" i="24"/>
  <c r="L319" i="25"/>
  <c r="K319" i="25"/>
  <c r="X319" i="25"/>
  <c r="AB319" i="25"/>
  <c r="A320" i="25"/>
  <c r="L326" i="15"/>
  <c r="A327" i="15"/>
  <c r="K326" i="15"/>
  <c r="AB326" i="15"/>
  <c r="X326" i="15"/>
  <c r="D325" i="16"/>
  <c r="L326" i="16"/>
  <c r="D326" i="16" s="1"/>
  <c r="AB326" i="16"/>
  <c r="K326" i="16"/>
  <c r="A327" i="16"/>
  <c r="X326" i="16"/>
  <c r="A322" i="23"/>
  <c r="X321" i="23"/>
  <c r="AB321" i="23"/>
  <c r="L321" i="23"/>
  <c r="K321" i="23"/>
  <c r="L323" i="20"/>
  <c r="K323" i="20"/>
  <c r="A324" i="20"/>
  <c r="AB323" i="20"/>
  <c r="X323" i="20"/>
  <c r="K324" i="18"/>
  <c r="AB324" i="18"/>
  <c r="X324" i="18"/>
  <c r="A325" i="18"/>
  <c r="L324" i="18"/>
  <c r="AB322" i="22"/>
  <c r="A323" i="22"/>
  <c r="K322" i="22"/>
  <c r="L322" i="22"/>
  <c r="X322" i="22"/>
  <c r="L326" i="17"/>
  <c r="D326" i="17" s="1"/>
  <c r="K326" i="17"/>
  <c r="X326" i="17"/>
  <c r="AB326" i="17"/>
  <c r="A327" i="17"/>
  <c r="K323" i="22"/>
  <c r="X323" i="22"/>
  <c r="L323" i="22"/>
  <c r="A324" i="22"/>
  <c r="AB323" i="22"/>
  <c r="A326" i="18"/>
  <c r="K325" i="18"/>
  <c r="AB325" i="18"/>
  <c r="X325" i="18"/>
  <c r="L325" i="18"/>
  <c r="D326" i="15"/>
  <c r="X320" i="25"/>
  <c r="A321" i="25"/>
  <c r="K320" i="25"/>
  <c r="L320" i="25"/>
  <c r="AB320" i="25"/>
  <c r="AB321" i="24"/>
  <c r="L321" i="24"/>
  <c r="A322" i="24"/>
  <c r="K321" i="24"/>
  <c r="X321" i="24"/>
  <c r="AK330" i="1"/>
  <c r="L330" i="1"/>
  <c r="D330" i="1" s="1"/>
  <c r="AJ330" i="1"/>
  <c r="X330" i="1"/>
  <c r="AB330" i="1"/>
  <c r="A331" i="1"/>
  <c r="K330" i="1"/>
  <c r="X327" i="17"/>
  <c r="L327" i="17"/>
  <c r="D327" i="17" s="1"/>
  <c r="AB327" i="17"/>
  <c r="K327" i="17"/>
  <c r="A328" i="17"/>
  <c r="L324" i="20"/>
  <c r="X324" i="20"/>
  <c r="A325" i="20"/>
  <c r="K324" i="20"/>
  <c r="AB324" i="20"/>
  <c r="X322" i="23"/>
  <c r="K322" i="23"/>
  <c r="L322" i="23"/>
  <c r="AB322" i="23"/>
  <c r="A323" i="23"/>
  <c r="X327" i="16"/>
  <c r="A328" i="16"/>
  <c r="K327" i="16"/>
  <c r="AB327" i="16"/>
  <c r="L327" i="16"/>
  <c r="D327" i="16" s="1"/>
  <c r="X327" i="15"/>
  <c r="AB327" i="15"/>
  <c r="L327" i="15"/>
  <c r="D327" i="15" s="1"/>
  <c r="A328" i="15"/>
  <c r="K327" i="15"/>
  <c r="A329" i="15"/>
  <c r="AB328" i="15"/>
  <c r="L328" i="15"/>
  <c r="D328" i="15" s="1"/>
  <c r="X328" i="15"/>
  <c r="K328" i="15"/>
  <c r="A324" i="23"/>
  <c r="K323" i="23"/>
  <c r="X323" i="23"/>
  <c r="L323" i="23"/>
  <c r="AB323" i="23"/>
  <c r="A326" i="20"/>
  <c r="L325" i="20"/>
  <c r="X325" i="20"/>
  <c r="AB325" i="20"/>
  <c r="K325" i="20"/>
  <c r="X331" i="1"/>
  <c r="K331" i="1"/>
  <c r="L331" i="1"/>
  <c r="AJ331" i="1"/>
  <c r="A332" i="1"/>
  <c r="AK331" i="1"/>
  <c r="AB331" i="1"/>
  <c r="AB322" i="24"/>
  <c r="K322" i="24"/>
  <c r="A323" i="24"/>
  <c r="L322" i="24"/>
  <c r="X322" i="24"/>
  <c r="AB321" i="25"/>
  <c r="A322" i="25"/>
  <c r="L321" i="25"/>
  <c r="X321" i="25"/>
  <c r="K321" i="25"/>
  <c r="A327" i="18"/>
  <c r="AB326" i="18"/>
  <c r="K326" i="18"/>
  <c r="L326" i="18"/>
  <c r="X326" i="18"/>
  <c r="X324" i="22"/>
  <c r="K324" i="22"/>
  <c r="AB324" i="22"/>
  <c r="A325" i="22"/>
  <c r="L324" i="22"/>
  <c r="L328" i="16"/>
  <c r="D328" i="16" s="1"/>
  <c r="K328" i="16"/>
  <c r="AB328" i="16"/>
  <c r="A329" i="16"/>
  <c r="X328" i="16"/>
  <c r="A329" i="17"/>
  <c r="X328" i="17"/>
  <c r="K328" i="17"/>
  <c r="L328" i="17"/>
  <c r="D328" i="17" s="1"/>
  <c r="AB328" i="17"/>
  <c r="A330" i="17"/>
  <c r="K329" i="17"/>
  <c r="L329" i="17"/>
  <c r="D329" i="17" s="1"/>
  <c r="X329" i="17"/>
  <c r="AB329" i="17"/>
  <c r="AB329" i="16"/>
  <c r="L329" i="16"/>
  <c r="X329" i="16"/>
  <c r="K329" i="16"/>
  <c r="A330" i="16"/>
  <c r="K325" i="22"/>
  <c r="AB325" i="22"/>
  <c r="A326" i="22"/>
  <c r="X325" i="22"/>
  <c r="L325" i="22"/>
  <c r="K327" i="18"/>
  <c r="X327" i="18"/>
  <c r="AB327" i="18"/>
  <c r="L327" i="18"/>
  <c r="A328" i="18"/>
  <c r="K322" i="25"/>
  <c r="AB322" i="25"/>
  <c r="L322" i="25"/>
  <c r="X322" i="25"/>
  <c r="A323" i="25"/>
  <c r="X323" i="24"/>
  <c r="K323" i="24"/>
  <c r="L323" i="24"/>
  <c r="A324" i="24"/>
  <c r="AB323" i="24"/>
  <c r="K332" i="1"/>
  <c r="L332" i="1"/>
  <c r="AB332" i="1"/>
  <c r="A333" i="1"/>
  <c r="AJ332" i="1"/>
  <c r="X332" i="1"/>
  <c r="AK332" i="1"/>
  <c r="AB324" i="23"/>
  <c r="K324" i="23"/>
  <c r="X324" i="23"/>
  <c r="A325" i="23"/>
  <c r="L324" i="23"/>
  <c r="A327" i="20"/>
  <c r="L326" i="20"/>
  <c r="K326" i="20"/>
  <c r="AB326" i="20"/>
  <c r="X326" i="20"/>
  <c r="A330" i="15"/>
  <c r="AB329" i="15"/>
  <c r="K329" i="15"/>
  <c r="L329" i="15"/>
  <c r="D329" i="15" s="1"/>
  <c r="X329" i="15"/>
  <c r="K330" i="15"/>
  <c r="AB330" i="15"/>
  <c r="X330" i="15"/>
  <c r="L330" i="15"/>
  <c r="A331" i="15"/>
  <c r="D332" i="1"/>
  <c r="X324" i="24"/>
  <c r="A325" i="24"/>
  <c r="K324" i="24"/>
  <c r="L324" i="24"/>
  <c r="AB324" i="24"/>
  <c r="AB328" i="18"/>
  <c r="L328" i="18"/>
  <c r="X328" i="18"/>
  <c r="A329" i="18"/>
  <c r="K328" i="18"/>
  <c r="X327" i="20"/>
  <c r="AB327" i="20"/>
  <c r="L327" i="20"/>
  <c r="K327" i="20"/>
  <c r="A328" i="20"/>
  <c r="AB325" i="23"/>
  <c r="X325" i="23"/>
  <c r="A326" i="23"/>
  <c r="L325" i="23"/>
  <c r="K325" i="23"/>
  <c r="A30" i="7"/>
  <c r="AJ333" i="1"/>
  <c r="K333" i="1"/>
  <c r="AB333" i="1"/>
  <c r="L333" i="1"/>
  <c r="D333" i="1" s="1"/>
  <c r="A334" i="1"/>
  <c r="AK333" i="1"/>
  <c r="X333" i="1"/>
  <c r="K323" i="25"/>
  <c r="A324" i="25"/>
  <c r="AB323" i="25"/>
  <c r="L323" i="25"/>
  <c r="X323" i="25"/>
  <c r="L326" i="22"/>
  <c r="AB326" i="22"/>
  <c r="K326" i="22"/>
  <c r="A327" i="22"/>
  <c r="X326" i="22"/>
  <c r="L330" i="16"/>
  <c r="D330" i="16" s="1"/>
  <c r="K330" i="16"/>
  <c r="X330" i="16"/>
  <c r="A331" i="16"/>
  <c r="AB330" i="16"/>
  <c r="X330" i="17"/>
  <c r="L330" i="17"/>
  <c r="D330" i="17" s="1"/>
  <c r="A331" i="17"/>
  <c r="AB330" i="17"/>
  <c r="K330" i="17"/>
  <c r="A332" i="17"/>
  <c r="X331" i="17"/>
  <c r="K331" i="17"/>
  <c r="L331" i="17"/>
  <c r="D331" i="17" s="1"/>
  <c r="AB331" i="17"/>
  <c r="AB331" i="16"/>
  <c r="A332" i="16"/>
  <c r="X331" i="16"/>
  <c r="L331" i="16"/>
  <c r="K331" i="16"/>
  <c r="K327" i="22"/>
  <c r="X327" i="22"/>
  <c r="A328" i="22"/>
  <c r="AB327" i="22"/>
  <c r="L327" i="22"/>
  <c r="A335" i="1"/>
  <c r="AK334" i="1"/>
  <c r="L334" i="1"/>
  <c r="D334" i="1" s="1"/>
  <c r="AB334" i="1"/>
  <c r="X334" i="1"/>
  <c r="AJ334" i="1"/>
  <c r="K334" i="1"/>
  <c r="L328" i="20"/>
  <c r="AB328" i="20"/>
  <c r="X328" i="20"/>
  <c r="A329" i="20"/>
  <c r="K328" i="20"/>
  <c r="X329" i="18"/>
  <c r="K329" i="18"/>
  <c r="AB329" i="18"/>
  <c r="A330" i="18"/>
  <c r="L329" i="18"/>
  <c r="A326" i="24"/>
  <c r="K325" i="24"/>
  <c r="L325" i="24"/>
  <c r="AB325" i="24"/>
  <c r="X325" i="24"/>
  <c r="D330" i="15"/>
  <c r="K324" i="25"/>
  <c r="A325" i="25"/>
  <c r="X324" i="25"/>
  <c r="L324" i="25"/>
  <c r="AB324" i="25"/>
  <c r="X326" i="23"/>
  <c r="AB326" i="23"/>
  <c r="A327" i="23"/>
  <c r="L326" i="23"/>
  <c r="K326" i="23"/>
  <c r="X331" i="15"/>
  <c r="A332" i="15"/>
  <c r="AB331" i="15"/>
  <c r="L331" i="15"/>
  <c r="D331" i="15" s="1"/>
  <c r="K331" i="15"/>
  <c r="L332" i="15"/>
  <c r="D332" i="15" s="1"/>
  <c r="A333" i="15"/>
  <c r="K332" i="15"/>
  <c r="X332" i="15"/>
  <c r="AB332" i="15"/>
  <c r="A328" i="23"/>
  <c r="AB327" i="23"/>
  <c r="L327" i="23"/>
  <c r="K327" i="23"/>
  <c r="X327" i="23"/>
  <c r="K330" i="18"/>
  <c r="AB330" i="18"/>
  <c r="L330" i="18"/>
  <c r="X330" i="18"/>
  <c r="A331" i="18"/>
  <c r="A336" i="1"/>
  <c r="X335" i="1"/>
  <c r="AK335" i="1"/>
  <c r="AB335" i="1"/>
  <c r="L335" i="1"/>
  <c r="D335" i="1" s="1"/>
  <c r="K335" i="1"/>
  <c r="AJ335" i="1"/>
  <c r="K328" i="22"/>
  <c r="AB328" i="22"/>
  <c r="A329" i="22"/>
  <c r="X328" i="22"/>
  <c r="L328" i="22"/>
  <c r="D331" i="16"/>
  <c r="L332" i="16"/>
  <c r="D332" i="16" s="1"/>
  <c r="A333" i="16"/>
  <c r="AB332" i="16"/>
  <c r="X332" i="16"/>
  <c r="K332" i="16"/>
  <c r="L325" i="25"/>
  <c r="K325" i="25"/>
  <c r="X325" i="25"/>
  <c r="A326" i="25"/>
  <c r="AB325" i="25"/>
  <c r="L326" i="24"/>
  <c r="X326" i="24"/>
  <c r="K326" i="24"/>
  <c r="A327" i="24"/>
  <c r="AB326" i="24"/>
  <c r="A330" i="20"/>
  <c r="AB329" i="20"/>
  <c r="K329" i="20"/>
  <c r="L329" i="20"/>
  <c r="X329" i="20"/>
  <c r="A333" i="17"/>
  <c r="AB332" i="17"/>
  <c r="K332" i="17"/>
  <c r="X332" i="17"/>
  <c r="L332" i="17"/>
  <c r="D332" i="17" s="1"/>
  <c r="K333" i="17"/>
  <c r="L333" i="17"/>
  <c r="B66" i="7" s="1"/>
  <c r="A66" i="7"/>
  <c r="A334" i="17"/>
  <c r="AB333" i="17"/>
  <c r="X333" i="17"/>
  <c r="K330" i="20"/>
  <c r="A331" i="20"/>
  <c r="AB330" i="20"/>
  <c r="L330" i="20"/>
  <c r="X330" i="20"/>
  <c r="K327" i="24"/>
  <c r="AB327" i="24"/>
  <c r="A328" i="24"/>
  <c r="L327" i="24"/>
  <c r="X327" i="24"/>
  <c r="A334" i="16"/>
  <c r="AB333" i="16"/>
  <c r="X333" i="16"/>
  <c r="L333" i="16"/>
  <c r="B54" i="7" s="1"/>
  <c r="K333" i="16"/>
  <c r="A54" i="7"/>
  <c r="A330" i="22"/>
  <c r="AB329" i="22"/>
  <c r="K329" i="22"/>
  <c r="L329" i="22"/>
  <c r="X329" i="22"/>
  <c r="AK336" i="1"/>
  <c r="L336" i="1"/>
  <c r="D336" i="1" s="1"/>
  <c r="AB336" i="1"/>
  <c r="X336" i="1"/>
  <c r="A337" i="1"/>
  <c r="AJ336" i="1"/>
  <c r="K336" i="1"/>
  <c r="X331" i="18"/>
  <c r="L331" i="18"/>
  <c r="AB331" i="18"/>
  <c r="K331" i="18"/>
  <c r="A332" i="18"/>
  <c r="A329" i="23"/>
  <c r="K328" i="23"/>
  <c r="AB328" i="23"/>
  <c r="L328" i="23"/>
  <c r="X328" i="23"/>
  <c r="X326" i="25"/>
  <c r="L326" i="25"/>
  <c r="AB326" i="25"/>
  <c r="K326" i="25"/>
  <c r="A327" i="25"/>
  <c r="AB333" i="15"/>
  <c r="A334" i="15"/>
  <c r="K333" i="15"/>
  <c r="A42" i="7"/>
  <c r="L333" i="15"/>
  <c r="B42" i="7" s="1"/>
  <c r="X333" i="15"/>
  <c r="K334" i="15"/>
  <c r="AB334" i="15"/>
  <c r="L334" i="15"/>
  <c r="D334" i="15" s="1"/>
  <c r="A335" i="15"/>
  <c r="X334" i="15"/>
  <c r="AB327" i="25"/>
  <c r="L327" i="25"/>
  <c r="A328" i="25"/>
  <c r="K327" i="25"/>
  <c r="X327" i="25"/>
  <c r="L329" i="23"/>
  <c r="X329" i="23"/>
  <c r="A330" i="23"/>
  <c r="AB329" i="23"/>
  <c r="K329" i="23"/>
  <c r="X332" i="18"/>
  <c r="A333" i="18"/>
  <c r="K332" i="18"/>
  <c r="L332" i="18"/>
  <c r="AB332" i="18"/>
  <c r="A338" i="1"/>
  <c r="AB337" i="1"/>
  <c r="K337" i="1"/>
  <c r="L337" i="1"/>
  <c r="D337" i="1" s="1"/>
  <c r="AK337" i="1"/>
  <c r="AJ337" i="1"/>
  <c r="X337" i="1"/>
  <c r="X330" i="22"/>
  <c r="A331" i="22"/>
  <c r="K330" i="22"/>
  <c r="L330" i="22"/>
  <c r="AB330" i="22"/>
  <c r="A335" i="17"/>
  <c r="AB334" i="17"/>
  <c r="K334" i="17"/>
  <c r="L334" i="17"/>
  <c r="X334" i="17"/>
  <c r="A335" i="16"/>
  <c r="K334" i="16"/>
  <c r="L334" i="16"/>
  <c r="AB334" i="16"/>
  <c r="X334" i="16"/>
  <c r="A329" i="24"/>
  <c r="K328" i="24"/>
  <c r="L328" i="24"/>
  <c r="X328" i="24"/>
  <c r="AB328" i="24"/>
  <c r="L331" i="20"/>
  <c r="AB331" i="20"/>
  <c r="X331" i="20"/>
  <c r="A332" i="20"/>
  <c r="K331" i="20"/>
  <c r="K329" i="24"/>
  <c r="AB329" i="24"/>
  <c r="L329" i="24"/>
  <c r="X329" i="24"/>
  <c r="A330" i="24"/>
  <c r="D334" i="16"/>
  <c r="X335" i="16"/>
  <c r="A336" i="16"/>
  <c r="AB335" i="16"/>
  <c r="L335" i="16"/>
  <c r="D335" i="16" s="1"/>
  <c r="K335" i="16"/>
  <c r="D334" i="17"/>
  <c r="AJ338" i="1"/>
  <c r="AK338" i="1"/>
  <c r="L338" i="1"/>
  <c r="D338" i="1" s="1"/>
  <c r="A339" i="1"/>
  <c r="X338" i="1"/>
  <c r="K338" i="1"/>
  <c r="AB338" i="1"/>
  <c r="K333" i="18"/>
  <c r="L333" i="18"/>
  <c r="AB333" i="18"/>
  <c r="X333" i="18"/>
  <c r="A334" i="18"/>
  <c r="A78" i="7"/>
  <c r="K328" i="25"/>
  <c r="X328" i="25"/>
  <c r="AB328" i="25"/>
  <c r="L328" i="25"/>
  <c r="A329" i="25"/>
  <c r="X332" i="20"/>
  <c r="A333" i="20"/>
  <c r="AB332" i="20"/>
  <c r="K332" i="20"/>
  <c r="L332" i="20"/>
  <c r="A336" i="17"/>
  <c r="K335" i="17"/>
  <c r="AB335" i="17"/>
  <c r="X335" i="17"/>
  <c r="L335" i="17"/>
  <c r="D335" i="17" s="1"/>
  <c r="A332" i="22"/>
  <c r="L331" i="22"/>
  <c r="X331" i="22"/>
  <c r="K331" i="22"/>
  <c r="AB331" i="22"/>
  <c r="X330" i="23"/>
  <c r="AB330" i="23"/>
  <c r="A331" i="23"/>
  <c r="K330" i="23"/>
  <c r="L330" i="23"/>
  <c r="L335" i="15"/>
  <c r="D335" i="15" s="1"/>
  <c r="X335" i="15"/>
  <c r="A336" i="15"/>
  <c r="K335" i="15"/>
  <c r="AB335" i="15"/>
  <c r="L336" i="15"/>
  <c r="D336" i="15" s="1"/>
  <c r="A337" i="15"/>
  <c r="K336" i="15"/>
  <c r="X336" i="15"/>
  <c r="AB336" i="15"/>
  <c r="X331" i="23"/>
  <c r="K331" i="23"/>
  <c r="AB331" i="23"/>
  <c r="L331" i="23"/>
  <c r="A332" i="23"/>
  <c r="L329" i="25"/>
  <c r="K329" i="25"/>
  <c r="A330" i="25"/>
  <c r="X329" i="25"/>
  <c r="AB329" i="25"/>
  <c r="A331" i="24"/>
  <c r="AB330" i="24"/>
  <c r="X330" i="24"/>
  <c r="K330" i="24"/>
  <c r="L330" i="24"/>
  <c r="X332" i="22"/>
  <c r="K332" i="22"/>
  <c r="A333" i="22"/>
  <c r="L332" i="22"/>
  <c r="AB332" i="22"/>
  <c r="K336" i="17"/>
  <c r="A337" i="17"/>
  <c r="L336" i="17"/>
  <c r="D336" i="17" s="1"/>
  <c r="AB336" i="17"/>
  <c r="X336" i="17"/>
  <c r="AB333" i="20"/>
  <c r="K333" i="20"/>
  <c r="AE30" i="7"/>
  <c r="A334" i="20"/>
  <c r="X333" i="20"/>
  <c r="L333" i="20"/>
  <c r="AF30" i="7" s="1"/>
  <c r="K334" i="18"/>
  <c r="AB334" i="18"/>
  <c r="A335" i="18"/>
  <c r="L334" i="18"/>
  <c r="X334" i="18"/>
  <c r="B78" i="7"/>
  <c r="A340" i="1"/>
  <c r="X339" i="1"/>
  <c r="K339" i="1"/>
  <c r="AB339" i="1"/>
  <c r="AJ339" i="1"/>
  <c r="L339" i="1"/>
  <c r="D339" i="1" s="1"/>
  <c r="AK339" i="1"/>
  <c r="A337" i="16"/>
  <c r="L336" i="16"/>
  <c r="D336" i="16" s="1"/>
  <c r="K336" i="16"/>
  <c r="X336" i="16"/>
  <c r="AB336" i="16"/>
  <c r="X337" i="17"/>
  <c r="K337" i="17"/>
  <c r="A338" i="17"/>
  <c r="L337" i="17"/>
  <c r="D337" i="17" s="1"/>
  <c r="AB337" i="17"/>
  <c r="L333" i="22"/>
  <c r="X333" i="22"/>
  <c r="K333" i="22"/>
  <c r="AB333" i="22"/>
  <c r="AE42" i="7"/>
  <c r="A334" i="22"/>
  <c r="A332" i="24"/>
  <c r="K331" i="24"/>
  <c r="L331" i="24"/>
  <c r="X331" i="24"/>
  <c r="AB331" i="24"/>
  <c r="K330" i="25"/>
  <c r="A331" i="25"/>
  <c r="X330" i="25"/>
  <c r="L330" i="25"/>
  <c r="AB330" i="25"/>
  <c r="K332" i="23"/>
  <c r="X332" i="23"/>
  <c r="L332" i="23"/>
  <c r="AB332" i="23"/>
  <c r="A333" i="23"/>
  <c r="X337" i="16"/>
  <c r="AB337" i="16"/>
  <c r="L337" i="16"/>
  <c r="D337" i="16" s="1"/>
  <c r="K337" i="16"/>
  <c r="A338" i="16"/>
  <c r="AJ340" i="1"/>
  <c r="AK340" i="1"/>
  <c r="X340" i="1"/>
  <c r="AB340" i="1"/>
  <c r="L340" i="1"/>
  <c r="D340" i="1" s="1"/>
  <c r="K340" i="1"/>
  <c r="A341" i="1"/>
  <c r="X335" i="18"/>
  <c r="AB335" i="18"/>
  <c r="K335" i="18"/>
  <c r="A336" i="18"/>
  <c r="L335" i="18"/>
  <c r="X334" i="20"/>
  <c r="AB334" i="20"/>
  <c r="A335" i="20"/>
  <c r="L334" i="20"/>
  <c r="K334" i="20"/>
  <c r="A338" i="15"/>
  <c r="K337" i="15"/>
  <c r="L337" i="15"/>
  <c r="D337" i="15" s="1"/>
  <c r="X337" i="15"/>
  <c r="AB337" i="15"/>
  <c r="K338" i="15"/>
  <c r="L338" i="15"/>
  <c r="D338" i="15" s="1"/>
  <c r="A339" i="15"/>
  <c r="X338" i="15"/>
  <c r="AB338" i="15"/>
  <c r="K336" i="18"/>
  <c r="AB336" i="18"/>
  <c r="A337" i="18"/>
  <c r="X336" i="18"/>
  <c r="L336" i="18"/>
  <c r="A342" i="1"/>
  <c r="L341" i="1"/>
  <c r="D341" i="1" s="1"/>
  <c r="K341" i="1"/>
  <c r="X341" i="1"/>
  <c r="AJ341" i="1"/>
  <c r="AB341" i="1"/>
  <c r="AK341" i="1"/>
  <c r="AB335" i="20"/>
  <c r="L335" i="20"/>
  <c r="X335" i="20"/>
  <c r="A336" i="20"/>
  <c r="K335" i="20"/>
  <c r="L338" i="16"/>
  <c r="D338" i="16" s="1"/>
  <c r="A339" i="16"/>
  <c r="K338" i="16"/>
  <c r="AB338" i="16"/>
  <c r="X338" i="16"/>
  <c r="K333" i="23"/>
  <c r="AB333" i="23"/>
  <c r="X333" i="23"/>
  <c r="L333" i="23"/>
  <c r="A334" i="23"/>
  <c r="AE54" i="7"/>
  <c r="AB331" i="25"/>
  <c r="X331" i="25"/>
  <c r="L331" i="25"/>
  <c r="K331" i="25"/>
  <c r="A332" i="25"/>
  <c r="AB332" i="24"/>
  <c r="K332" i="24"/>
  <c r="X332" i="24"/>
  <c r="L332" i="24"/>
  <c r="A333" i="24"/>
  <c r="AB334" i="22"/>
  <c r="L334" i="22"/>
  <c r="K334" i="22"/>
  <c r="X334" i="22"/>
  <c r="A335" i="22"/>
  <c r="AF42" i="7"/>
  <c r="A339" i="17"/>
  <c r="AB338" i="17"/>
  <c r="K338" i="17"/>
  <c r="X338" i="17"/>
  <c r="L338" i="17"/>
  <c r="D338" i="17" s="1"/>
  <c r="L333" i="24"/>
  <c r="AF66" i="7" s="1"/>
  <c r="X333" i="24"/>
  <c r="AE66" i="7"/>
  <c r="AB333" i="24"/>
  <c r="A334" i="24"/>
  <c r="K333" i="24"/>
  <c r="AF54" i="7"/>
  <c r="L339" i="16"/>
  <c r="D339" i="16" s="1"/>
  <c r="K339" i="16"/>
  <c r="A340" i="16"/>
  <c r="X339" i="16"/>
  <c r="AB339" i="16"/>
  <c r="K337" i="18"/>
  <c r="X337" i="18"/>
  <c r="AB337" i="18"/>
  <c r="L337" i="18"/>
  <c r="A338" i="18"/>
  <c r="K339" i="17"/>
  <c r="L339" i="17"/>
  <c r="D339" i="17" s="1"/>
  <c r="A340" i="17"/>
  <c r="X339" i="17"/>
  <c r="AB339" i="17"/>
  <c r="K335" i="22"/>
  <c r="AB335" i="22"/>
  <c r="L335" i="22"/>
  <c r="X335" i="22"/>
  <c r="A336" i="22"/>
  <c r="X332" i="25"/>
  <c r="A333" i="25"/>
  <c r="AB332" i="25"/>
  <c r="K332" i="25"/>
  <c r="L332" i="25"/>
  <c r="K334" i="23"/>
  <c r="L334" i="23"/>
  <c r="A335" i="23"/>
  <c r="AB334" i="23"/>
  <c r="X334" i="23"/>
  <c r="K336" i="20"/>
  <c r="AB336" i="20"/>
  <c r="A337" i="20"/>
  <c r="L336" i="20"/>
  <c r="X336" i="20"/>
  <c r="A343" i="1"/>
  <c r="AB342" i="1"/>
  <c r="AK342" i="1"/>
  <c r="L342" i="1"/>
  <c r="D342" i="1" s="1"/>
  <c r="K342" i="1"/>
  <c r="X342" i="1"/>
  <c r="AJ342" i="1"/>
  <c r="L339" i="15"/>
  <c r="X339" i="15"/>
  <c r="A340" i="15"/>
  <c r="K339" i="15"/>
  <c r="AB339" i="15"/>
  <c r="L340" i="15"/>
  <c r="D340" i="15" s="1"/>
  <c r="X340" i="15"/>
  <c r="AB340" i="15"/>
  <c r="K340" i="15"/>
  <c r="A341" i="15"/>
  <c r="A344" i="1"/>
  <c r="AB343" i="1"/>
  <c r="K343" i="1"/>
  <c r="L343" i="1"/>
  <c r="D343" i="1" s="1"/>
  <c r="AK343" i="1"/>
  <c r="AJ343" i="1"/>
  <c r="X343" i="1"/>
  <c r="A334" i="25"/>
  <c r="AB333" i="25"/>
  <c r="K333" i="25"/>
  <c r="X333" i="25"/>
  <c r="AE78" i="7"/>
  <c r="L333" i="25"/>
  <c r="AF78" i="7" s="1"/>
  <c r="L336" i="22"/>
  <c r="A337" i="22"/>
  <c r="K336" i="22"/>
  <c r="X336" i="22"/>
  <c r="AB336" i="22"/>
  <c r="D339" i="15"/>
  <c r="X337" i="20"/>
  <c r="K337" i="20"/>
  <c r="AB337" i="20"/>
  <c r="A338" i="20"/>
  <c r="L337" i="20"/>
  <c r="A336" i="23"/>
  <c r="L335" i="23"/>
  <c r="AB335" i="23"/>
  <c r="X335" i="23"/>
  <c r="K335" i="23"/>
  <c r="A341" i="17"/>
  <c r="K340" i="17"/>
  <c r="AB340" i="17"/>
  <c r="X340" i="17"/>
  <c r="L340" i="17"/>
  <c r="D340" i="17" s="1"/>
  <c r="A339" i="18"/>
  <c r="AB338" i="18"/>
  <c r="K338" i="18"/>
  <c r="L338" i="18"/>
  <c r="X338" i="18"/>
  <c r="A341" i="16"/>
  <c r="L340" i="16"/>
  <c r="D340" i="16" s="1"/>
  <c r="AB340" i="16"/>
  <c r="X340" i="16"/>
  <c r="K340" i="16"/>
  <c r="L334" i="24"/>
  <c r="X334" i="24"/>
  <c r="A335" i="24"/>
  <c r="K334" i="24"/>
  <c r="AB334" i="24"/>
  <c r="X341" i="17"/>
  <c r="A342" i="17"/>
  <c r="K341" i="17"/>
  <c r="AB341" i="17"/>
  <c r="L341" i="17"/>
  <c r="D341" i="17" s="1"/>
  <c r="AB336" i="23"/>
  <c r="L336" i="23"/>
  <c r="K336" i="23"/>
  <c r="X336" i="23"/>
  <c r="A337" i="23"/>
  <c r="L337" i="22"/>
  <c r="K337" i="22"/>
  <c r="A338" i="22"/>
  <c r="X337" i="22"/>
  <c r="AB337" i="22"/>
  <c r="A345" i="1"/>
  <c r="AK344" i="1"/>
  <c r="AB344" i="1"/>
  <c r="K344" i="1"/>
  <c r="X344" i="1"/>
  <c r="AJ344" i="1"/>
  <c r="L344" i="1"/>
  <c r="D344" i="1" s="1"/>
  <c r="A336" i="24"/>
  <c r="L335" i="24"/>
  <c r="AB335" i="24"/>
  <c r="X335" i="24"/>
  <c r="K335" i="24"/>
  <c r="AB341" i="16"/>
  <c r="A342" i="16"/>
  <c r="L341" i="16"/>
  <c r="D341" i="16" s="1"/>
  <c r="X341" i="16"/>
  <c r="K341" i="16"/>
  <c r="AB339" i="18"/>
  <c r="A340" i="18"/>
  <c r="X339" i="18"/>
  <c r="L339" i="18"/>
  <c r="K339" i="18"/>
  <c r="AB338" i="20"/>
  <c r="L338" i="20"/>
  <c r="X338" i="20"/>
  <c r="K338" i="20"/>
  <c r="A339" i="20"/>
  <c r="AB334" i="25"/>
  <c r="A335" i="25"/>
  <c r="L334" i="25"/>
  <c r="X334" i="25"/>
  <c r="K334" i="25"/>
  <c r="A342" i="15"/>
  <c r="L341" i="15"/>
  <c r="D341" i="15" s="1"/>
  <c r="AB341" i="15"/>
  <c r="X341" i="15"/>
  <c r="K341" i="15"/>
  <c r="X342" i="16"/>
  <c r="A343" i="16"/>
  <c r="K342" i="16"/>
  <c r="L342" i="16"/>
  <c r="D342" i="16" s="1"/>
  <c r="AB342" i="16"/>
  <c r="AB336" i="24"/>
  <c r="K336" i="24"/>
  <c r="X336" i="24"/>
  <c r="A337" i="24"/>
  <c r="L336" i="24"/>
  <c r="X337" i="23"/>
  <c r="AB337" i="23"/>
  <c r="A338" i="23"/>
  <c r="K337" i="23"/>
  <c r="L337" i="23"/>
  <c r="K342" i="17"/>
  <c r="X342" i="17"/>
  <c r="L342" i="17"/>
  <c r="D342" i="17" s="1"/>
  <c r="AB342" i="17"/>
  <c r="A343" i="17"/>
  <c r="L340" i="18"/>
  <c r="X340" i="18"/>
  <c r="K340" i="18"/>
  <c r="A341" i="18"/>
  <c r="AB340" i="18"/>
  <c r="AB342" i="15"/>
  <c r="K342" i="15"/>
  <c r="X342" i="15"/>
  <c r="L342" i="15"/>
  <c r="D342" i="15" s="1"/>
  <c r="A343" i="15"/>
  <c r="A336" i="25"/>
  <c r="X335" i="25"/>
  <c r="K335" i="25"/>
  <c r="L335" i="25"/>
  <c r="AB335" i="25"/>
  <c r="A340" i="20"/>
  <c r="X339" i="20"/>
  <c r="AB339" i="20"/>
  <c r="K339" i="20"/>
  <c r="L339" i="20"/>
  <c r="X345" i="1"/>
  <c r="L345" i="1"/>
  <c r="D345" i="1" s="1"/>
  <c r="AB345" i="1"/>
  <c r="AK345" i="1"/>
  <c r="A346" i="1"/>
  <c r="AJ345" i="1"/>
  <c r="K345" i="1"/>
  <c r="AB338" i="22"/>
  <c r="A339" i="22"/>
  <c r="L338" i="22"/>
  <c r="K338" i="22"/>
  <c r="X338" i="22"/>
  <c r="K339" i="22"/>
  <c r="AB339" i="22"/>
  <c r="L339" i="22"/>
  <c r="X339" i="22"/>
  <c r="A340" i="22"/>
  <c r="A347" i="1"/>
  <c r="AB346" i="1"/>
  <c r="K346" i="1"/>
  <c r="AJ346" i="1"/>
  <c r="L346" i="1"/>
  <c r="D346" i="1" s="1"/>
  <c r="X346" i="1"/>
  <c r="AK346" i="1"/>
  <c r="X336" i="25"/>
  <c r="A337" i="25"/>
  <c r="K336" i="25"/>
  <c r="AB336" i="25"/>
  <c r="L336" i="25"/>
  <c r="AB343" i="15"/>
  <c r="L343" i="15"/>
  <c r="D343" i="15" s="1"/>
  <c r="K343" i="15"/>
  <c r="A344" i="15"/>
  <c r="X343" i="15"/>
  <c r="X343" i="17"/>
  <c r="K343" i="17"/>
  <c r="AB343" i="17"/>
  <c r="L343" i="17"/>
  <c r="D343" i="17" s="1"/>
  <c r="A344" i="17"/>
  <c r="L338" i="23"/>
  <c r="A339" i="23"/>
  <c r="K338" i="23"/>
  <c r="AB338" i="23"/>
  <c r="X338" i="23"/>
  <c r="X340" i="20"/>
  <c r="AB340" i="20"/>
  <c r="A341" i="20"/>
  <c r="K340" i="20"/>
  <c r="L340" i="20"/>
  <c r="L341" i="18"/>
  <c r="AB341" i="18"/>
  <c r="K341" i="18"/>
  <c r="A342" i="18"/>
  <c r="X341" i="18"/>
  <c r="AB337" i="24"/>
  <c r="K337" i="24"/>
  <c r="X337" i="24"/>
  <c r="L337" i="24"/>
  <c r="A338" i="24"/>
  <c r="A344" i="16"/>
  <c r="X343" i="16"/>
  <c r="L343" i="16"/>
  <c r="D343" i="16" s="1"/>
  <c r="K343" i="16"/>
  <c r="AB343" i="16"/>
  <c r="X344" i="16"/>
  <c r="AB344" i="16"/>
  <c r="A345" i="16"/>
  <c r="K344" i="16"/>
  <c r="L344" i="16"/>
  <c r="D344" i="16" s="1"/>
  <c r="A339" i="24"/>
  <c r="L338" i="24"/>
  <c r="AB338" i="24"/>
  <c r="X338" i="24"/>
  <c r="K338" i="24"/>
  <c r="A342" i="20"/>
  <c r="L341" i="20"/>
  <c r="K341" i="20"/>
  <c r="X341" i="20"/>
  <c r="AB341" i="20"/>
  <c r="A340" i="23"/>
  <c r="X339" i="23"/>
  <c r="AB339" i="23"/>
  <c r="L339" i="23"/>
  <c r="K339" i="23"/>
  <c r="A345" i="15"/>
  <c r="X344" i="15"/>
  <c r="L344" i="15"/>
  <c r="D344" i="15" s="1"/>
  <c r="AB344" i="15"/>
  <c r="K344" i="15"/>
  <c r="AB337" i="25"/>
  <c r="K337" i="25"/>
  <c r="A338" i="25"/>
  <c r="L337" i="25"/>
  <c r="X337" i="25"/>
  <c r="A341" i="22"/>
  <c r="X340" i="22"/>
  <c r="L340" i="22"/>
  <c r="AB340" i="22"/>
  <c r="K340" i="22"/>
  <c r="K342" i="18"/>
  <c r="A343" i="18"/>
  <c r="AB342" i="18"/>
  <c r="L342" i="18"/>
  <c r="X342" i="18"/>
  <c r="K344" i="17"/>
  <c r="A345" i="17"/>
  <c r="X344" i="17"/>
  <c r="L344" i="17"/>
  <c r="D344" i="17" s="1"/>
  <c r="AB344" i="17"/>
  <c r="L347" i="1"/>
  <c r="K347" i="1"/>
  <c r="AJ347" i="1"/>
  <c r="X347" i="1"/>
  <c r="AK347" i="1"/>
  <c r="A348" i="1"/>
  <c r="AB347" i="1"/>
  <c r="A349" i="1"/>
  <c r="AB348" i="1"/>
  <c r="AK348" i="1"/>
  <c r="K348" i="1"/>
  <c r="L348" i="1"/>
  <c r="D348" i="1" s="1"/>
  <c r="X348" i="1"/>
  <c r="AJ348" i="1"/>
  <c r="D347" i="1"/>
  <c r="K345" i="17"/>
  <c r="X345" i="17"/>
  <c r="A346" i="17"/>
  <c r="AB345" i="17"/>
  <c r="L345" i="17"/>
  <c r="D345" i="17" s="1"/>
  <c r="L343" i="18"/>
  <c r="X343" i="18"/>
  <c r="K343" i="18"/>
  <c r="A344" i="18"/>
  <c r="AB343" i="18"/>
  <c r="L340" i="23"/>
  <c r="X340" i="23"/>
  <c r="A341" i="23"/>
  <c r="K340" i="23"/>
  <c r="AB340" i="23"/>
  <c r="AB345" i="16"/>
  <c r="X345" i="16"/>
  <c r="K345" i="16"/>
  <c r="A346" i="16"/>
  <c r="L345" i="16"/>
  <c r="D345" i="16" s="1"/>
  <c r="K341" i="22"/>
  <c r="L341" i="22"/>
  <c r="AB341" i="22"/>
  <c r="X341" i="22"/>
  <c r="A342" i="22"/>
  <c r="L338" i="25"/>
  <c r="X338" i="25"/>
  <c r="A339" i="25"/>
  <c r="AB338" i="25"/>
  <c r="K338" i="25"/>
  <c r="X345" i="15"/>
  <c r="L345" i="15"/>
  <c r="D345" i="15" s="1"/>
  <c r="K345" i="15"/>
  <c r="AB345" i="15"/>
  <c r="A346" i="15"/>
  <c r="L342" i="20"/>
  <c r="AB342" i="20"/>
  <c r="K342" i="20"/>
  <c r="X342" i="20"/>
  <c r="A343" i="20"/>
  <c r="X339" i="24"/>
  <c r="K339" i="24"/>
  <c r="L339" i="24"/>
  <c r="AB339" i="24"/>
  <c r="A340" i="24"/>
  <c r="A344" i="20"/>
  <c r="AB343" i="20"/>
  <c r="K343" i="20"/>
  <c r="L343" i="20"/>
  <c r="X343" i="20"/>
  <c r="X342" i="22"/>
  <c r="A343" i="22"/>
  <c r="L342" i="22"/>
  <c r="K342" i="22"/>
  <c r="AB342" i="22"/>
  <c r="X346" i="17"/>
  <c r="L346" i="17"/>
  <c r="K346" i="17"/>
  <c r="AB346" i="17"/>
  <c r="A347" i="17"/>
  <c r="AK349" i="1"/>
  <c r="K349" i="1"/>
  <c r="AJ349" i="1"/>
  <c r="AB349" i="1"/>
  <c r="X349" i="1"/>
  <c r="A350" i="1"/>
  <c r="L349" i="1"/>
  <c r="D349" i="1" s="1"/>
  <c r="K340" i="24"/>
  <c r="L340" i="24"/>
  <c r="X340" i="24"/>
  <c r="A341" i="24"/>
  <c r="AB340" i="24"/>
  <c r="K346" i="15"/>
  <c r="X346" i="15"/>
  <c r="AB346" i="15"/>
  <c r="L346" i="15"/>
  <c r="A347" i="15"/>
  <c r="L339" i="25"/>
  <c r="X339" i="25"/>
  <c r="A340" i="25"/>
  <c r="AB339" i="25"/>
  <c r="K339" i="25"/>
  <c r="K346" i="16"/>
  <c r="AB346" i="16"/>
  <c r="L346" i="16"/>
  <c r="D346" i="16" s="1"/>
  <c r="X346" i="16"/>
  <c r="A347" i="16"/>
  <c r="X341" i="23"/>
  <c r="K341" i="23"/>
  <c r="L341" i="23"/>
  <c r="A342" i="23"/>
  <c r="AB341" i="23"/>
  <c r="AB344" i="18"/>
  <c r="A345" i="18"/>
  <c r="X344" i="18"/>
  <c r="K344" i="18"/>
  <c r="L344" i="18"/>
  <c r="L340" i="25"/>
  <c r="X340" i="25"/>
  <c r="K340" i="25"/>
  <c r="AB340" i="25"/>
  <c r="A341" i="25"/>
  <c r="A348" i="15"/>
  <c r="X347" i="15"/>
  <c r="L347" i="15"/>
  <c r="D347" i="15" s="1"/>
  <c r="AB347" i="15"/>
  <c r="K347" i="15"/>
  <c r="D346" i="15"/>
  <c r="L350" i="1"/>
  <c r="D350" i="1" s="1"/>
  <c r="AB350" i="1"/>
  <c r="AK350" i="1"/>
  <c r="A351" i="1"/>
  <c r="AJ350" i="1"/>
  <c r="X350" i="1"/>
  <c r="K350" i="1"/>
  <c r="X345" i="18"/>
  <c r="A346" i="18"/>
  <c r="AB345" i="18"/>
  <c r="K345" i="18"/>
  <c r="L345" i="18"/>
  <c r="A343" i="23"/>
  <c r="L342" i="23"/>
  <c r="AB342" i="23"/>
  <c r="K342" i="23"/>
  <c r="X342" i="23"/>
  <c r="A348" i="16"/>
  <c r="L347" i="16"/>
  <c r="D347" i="16" s="1"/>
  <c r="X347" i="16"/>
  <c r="K347" i="16"/>
  <c r="AB347" i="16"/>
  <c r="K341" i="24"/>
  <c r="L341" i="24"/>
  <c r="A342" i="24"/>
  <c r="AB341" i="24"/>
  <c r="X341" i="24"/>
  <c r="X347" i="17"/>
  <c r="AB347" i="17"/>
  <c r="L347" i="17"/>
  <c r="K347" i="17"/>
  <c r="A348" i="17"/>
  <c r="D346" i="17"/>
  <c r="L343" i="22"/>
  <c r="A344" i="22"/>
  <c r="K343" i="22"/>
  <c r="X343" i="22"/>
  <c r="AB343" i="22"/>
  <c r="L344" i="20"/>
  <c r="X344" i="20"/>
  <c r="K344" i="20"/>
  <c r="A345" i="20"/>
  <c r="AB344" i="20"/>
  <c r="AB345" i="20"/>
  <c r="K345" i="20"/>
  <c r="A346" i="20"/>
  <c r="X345" i="20"/>
  <c r="L345" i="20"/>
  <c r="K348" i="17"/>
  <c r="A349" i="17"/>
  <c r="AB348" i="17"/>
  <c r="X348" i="17"/>
  <c r="L348" i="17"/>
  <c r="D348" i="17" s="1"/>
  <c r="D347" i="17"/>
  <c r="A343" i="24"/>
  <c r="K342" i="24"/>
  <c r="X342" i="24"/>
  <c r="L342" i="24"/>
  <c r="AB342" i="24"/>
  <c r="AB343" i="23"/>
  <c r="A344" i="23"/>
  <c r="K343" i="23"/>
  <c r="L343" i="23"/>
  <c r="X343" i="23"/>
  <c r="L346" i="18"/>
  <c r="AB346" i="18"/>
  <c r="K346" i="18"/>
  <c r="A347" i="18"/>
  <c r="X346" i="18"/>
  <c r="L341" i="25"/>
  <c r="A342" i="25"/>
  <c r="X341" i="25"/>
  <c r="K341" i="25"/>
  <c r="AB341" i="25"/>
  <c r="AB344" i="22"/>
  <c r="L344" i="22"/>
  <c r="X344" i="22"/>
  <c r="A345" i="22"/>
  <c r="K344" i="22"/>
  <c r="A349" i="16"/>
  <c r="AB348" i="16"/>
  <c r="X348" i="16"/>
  <c r="L348" i="16"/>
  <c r="K348" i="16"/>
  <c r="K351" i="1"/>
  <c r="L351" i="1"/>
  <c r="D351" i="1" s="1"/>
  <c r="X351" i="1"/>
  <c r="AB351" i="1"/>
  <c r="AJ351" i="1"/>
  <c r="A352" i="1"/>
  <c r="AK351" i="1"/>
  <c r="L348" i="15"/>
  <c r="D348" i="15" s="1"/>
  <c r="AB348" i="15"/>
  <c r="A349" i="15"/>
  <c r="K348" i="15"/>
  <c r="X348" i="15"/>
  <c r="K349" i="15"/>
  <c r="AB349" i="15"/>
  <c r="X349" i="15"/>
  <c r="L349" i="15"/>
  <c r="D349" i="15" s="1"/>
  <c r="A350" i="15"/>
  <c r="A353" i="1"/>
  <c r="AK352" i="1"/>
  <c r="K352" i="1"/>
  <c r="L352" i="1"/>
  <c r="D352" i="1" s="1"/>
  <c r="X352" i="1"/>
  <c r="AJ352" i="1"/>
  <c r="AB352" i="1"/>
  <c r="L345" i="22"/>
  <c r="A346" i="22"/>
  <c r="X345" i="22"/>
  <c r="K345" i="22"/>
  <c r="AB345" i="22"/>
  <c r="X342" i="25"/>
  <c r="L342" i="25"/>
  <c r="A343" i="25"/>
  <c r="K342" i="25"/>
  <c r="AB342" i="25"/>
  <c r="AB343" i="24"/>
  <c r="X343" i="24"/>
  <c r="A344" i="24"/>
  <c r="L343" i="24"/>
  <c r="K343" i="24"/>
  <c r="K349" i="17"/>
  <c r="L349" i="17"/>
  <c r="D349" i="17" s="1"/>
  <c r="AB349" i="17"/>
  <c r="X349" i="17"/>
  <c r="A350" i="17"/>
  <c r="D348" i="16"/>
  <c r="L349" i="16"/>
  <c r="K349" i="16"/>
  <c r="A350" i="16"/>
  <c r="AB349" i="16"/>
  <c r="X349" i="16"/>
  <c r="A348" i="18"/>
  <c r="X347" i="18"/>
  <c r="AB347" i="18"/>
  <c r="L347" i="18"/>
  <c r="K347" i="18"/>
  <c r="A345" i="23"/>
  <c r="AB344" i="23"/>
  <c r="K344" i="23"/>
  <c r="L344" i="23"/>
  <c r="X344" i="23"/>
  <c r="L346" i="20"/>
  <c r="A347" i="20"/>
  <c r="X346" i="20"/>
  <c r="K346" i="20"/>
  <c r="AB346" i="20"/>
  <c r="A346" i="23"/>
  <c r="AB345" i="23"/>
  <c r="L345" i="23"/>
  <c r="X345" i="23"/>
  <c r="K345" i="23"/>
  <c r="A351" i="16"/>
  <c r="L350" i="16"/>
  <c r="D350" i="16" s="1"/>
  <c r="X350" i="16"/>
  <c r="AB350" i="16"/>
  <c r="K350" i="16"/>
  <c r="D349" i="16"/>
  <c r="X350" i="17"/>
  <c r="AB350" i="17"/>
  <c r="A351" i="17"/>
  <c r="L350" i="17"/>
  <c r="D350" i="17" s="1"/>
  <c r="K350" i="17"/>
  <c r="AB347" i="20"/>
  <c r="L347" i="20"/>
  <c r="A348" i="20"/>
  <c r="X347" i="20"/>
  <c r="K347" i="20"/>
  <c r="X348" i="18"/>
  <c r="A349" i="18"/>
  <c r="AB348" i="18"/>
  <c r="K348" i="18"/>
  <c r="L348" i="18"/>
  <c r="X350" i="15"/>
  <c r="L350" i="15"/>
  <c r="D350" i="15" s="1"/>
  <c r="A351" i="15"/>
  <c r="AB350" i="15"/>
  <c r="K350" i="15"/>
  <c r="A345" i="24"/>
  <c r="K344" i="24"/>
  <c r="X344" i="24"/>
  <c r="AB344" i="24"/>
  <c r="L344" i="24"/>
  <c r="A344" i="25"/>
  <c r="L343" i="25"/>
  <c r="AB343" i="25"/>
  <c r="K343" i="25"/>
  <c r="X343" i="25"/>
  <c r="L346" i="22"/>
  <c r="K346" i="22"/>
  <c r="A347" i="22"/>
  <c r="AB346" i="22"/>
  <c r="X346" i="22"/>
  <c r="AJ353" i="1"/>
  <c r="AK353" i="1"/>
  <c r="X353" i="1"/>
  <c r="K353" i="1"/>
  <c r="AB353" i="1"/>
  <c r="A354" i="1"/>
  <c r="L353" i="1"/>
  <c r="D353" i="1" s="1"/>
  <c r="A355" i="1"/>
  <c r="L354" i="1"/>
  <c r="D354" i="1" s="1"/>
  <c r="AJ354" i="1"/>
  <c r="AB354" i="1"/>
  <c r="X354" i="1"/>
  <c r="K354" i="1"/>
  <c r="AK354" i="1"/>
  <c r="K345" i="24"/>
  <c r="X345" i="24"/>
  <c r="L345" i="24"/>
  <c r="A346" i="24"/>
  <c r="AB345" i="24"/>
  <c r="K351" i="16"/>
  <c r="X351" i="16"/>
  <c r="L351" i="16"/>
  <c r="D351" i="16" s="1"/>
  <c r="A352" i="16"/>
  <c r="AB351" i="16"/>
  <c r="X344" i="25"/>
  <c r="L344" i="25"/>
  <c r="AB344" i="25"/>
  <c r="A345" i="25"/>
  <c r="K344" i="25"/>
  <c r="K351" i="15"/>
  <c r="X351" i="15"/>
  <c r="AB351" i="15"/>
  <c r="A352" i="15"/>
  <c r="L351" i="15"/>
  <c r="D351" i="15" s="1"/>
  <c r="L349" i="18"/>
  <c r="AB349" i="18"/>
  <c r="A350" i="18"/>
  <c r="K349" i="18"/>
  <c r="X349" i="18"/>
  <c r="K351" i="17"/>
  <c r="AB351" i="17"/>
  <c r="X351" i="17"/>
  <c r="A352" i="17"/>
  <c r="L351" i="17"/>
  <c r="D351" i="17" s="1"/>
  <c r="AB346" i="23"/>
  <c r="K346" i="23"/>
  <c r="A347" i="23"/>
  <c r="L346" i="23"/>
  <c r="X346" i="23"/>
  <c r="A348" i="22"/>
  <c r="K347" i="22"/>
  <c r="X347" i="22"/>
  <c r="AB347" i="22"/>
  <c r="L347" i="22"/>
  <c r="K348" i="20"/>
  <c r="L348" i="20"/>
  <c r="X348" i="20"/>
  <c r="A349" i="20"/>
  <c r="AB348" i="20"/>
  <c r="X349" i="20"/>
  <c r="L349" i="20"/>
  <c r="AB349" i="20"/>
  <c r="K349" i="20"/>
  <c r="A350" i="20"/>
  <c r="AB347" i="23"/>
  <c r="L347" i="23"/>
  <c r="X347" i="23"/>
  <c r="K347" i="23"/>
  <c r="A348" i="23"/>
  <c r="K352" i="15"/>
  <c r="AB352" i="15"/>
  <c r="A353" i="15"/>
  <c r="L352" i="15"/>
  <c r="X352" i="15"/>
  <c r="X346" i="24"/>
  <c r="A347" i="24"/>
  <c r="L346" i="24"/>
  <c r="K346" i="24"/>
  <c r="AB346" i="24"/>
  <c r="AK355" i="1"/>
  <c r="X355" i="1"/>
  <c r="AB355" i="1"/>
  <c r="A356" i="1"/>
  <c r="L355" i="1"/>
  <c r="D355" i="1" s="1"/>
  <c r="AJ355" i="1"/>
  <c r="K355" i="1"/>
  <c r="L348" i="22"/>
  <c r="X348" i="22"/>
  <c r="AB348" i="22"/>
  <c r="A349" i="22"/>
  <c r="K348" i="22"/>
  <c r="L352" i="17"/>
  <c r="D352" i="17" s="1"/>
  <c r="X352" i="17"/>
  <c r="AB352" i="17"/>
  <c r="A353" i="17"/>
  <c r="K352" i="17"/>
  <c r="X350" i="18"/>
  <c r="A351" i="18"/>
  <c r="L350" i="18"/>
  <c r="AB350" i="18"/>
  <c r="K350" i="18"/>
  <c r="K345" i="25"/>
  <c r="L345" i="25"/>
  <c r="X345" i="25"/>
  <c r="A346" i="25"/>
  <c r="AB345" i="25"/>
  <c r="K352" i="16"/>
  <c r="AB352" i="16"/>
  <c r="A353" i="16"/>
  <c r="X352" i="16"/>
  <c r="L352" i="16"/>
  <c r="D352" i="16" s="1"/>
  <c r="A354" i="16"/>
  <c r="K353" i="16"/>
  <c r="L353" i="16"/>
  <c r="D353" i="16" s="1"/>
  <c r="AB353" i="16"/>
  <c r="X353" i="16"/>
  <c r="K351" i="18"/>
  <c r="X351" i="18"/>
  <c r="A352" i="18"/>
  <c r="AB351" i="18"/>
  <c r="L351" i="18"/>
  <c r="AB349" i="22"/>
  <c r="L349" i="22"/>
  <c r="A350" i="22"/>
  <c r="X349" i="22"/>
  <c r="K349" i="22"/>
  <c r="A357" i="1"/>
  <c r="AB356" i="1"/>
  <c r="L356" i="1"/>
  <c r="D356" i="1" s="1"/>
  <c r="K356" i="1"/>
  <c r="AK356" i="1"/>
  <c r="AJ356" i="1"/>
  <c r="X356" i="1"/>
  <c r="K347" i="24"/>
  <c r="AB347" i="24"/>
  <c r="X347" i="24"/>
  <c r="A348" i="24"/>
  <c r="L347" i="24"/>
  <c r="AB348" i="23"/>
  <c r="K348" i="23"/>
  <c r="X348" i="23"/>
  <c r="L348" i="23"/>
  <c r="A349" i="23"/>
  <c r="AB350" i="20"/>
  <c r="L350" i="20"/>
  <c r="X350" i="20"/>
  <c r="K350" i="20"/>
  <c r="A351" i="20"/>
  <c r="X346" i="25"/>
  <c r="L346" i="25"/>
  <c r="AB346" i="25"/>
  <c r="A347" i="25"/>
  <c r="K346" i="25"/>
  <c r="L353" i="17"/>
  <c r="AB353" i="17"/>
  <c r="A354" i="17"/>
  <c r="K353" i="17"/>
  <c r="X353" i="17"/>
  <c r="D352" i="15"/>
  <c r="L353" i="15"/>
  <c r="X353" i="15"/>
  <c r="A354" i="15"/>
  <c r="K353" i="15"/>
  <c r="AB353" i="15"/>
  <c r="K354" i="15"/>
  <c r="L354" i="15"/>
  <c r="A355" i="15"/>
  <c r="AB354" i="15"/>
  <c r="X354" i="15"/>
  <c r="D353" i="15"/>
  <c r="L351" i="20"/>
  <c r="K351" i="20"/>
  <c r="AB351" i="20"/>
  <c r="A352" i="20"/>
  <c r="X351" i="20"/>
  <c r="A358" i="1"/>
  <c r="L357" i="1"/>
  <c r="K357" i="1"/>
  <c r="AK357" i="1"/>
  <c r="AJ357" i="1"/>
  <c r="X357" i="1"/>
  <c r="AB357" i="1"/>
  <c r="AB350" i="22"/>
  <c r="K350" i="22"/>
  <c r="L350" i="22"/>
  <c r="X350" i="22"/>
  <c r="A351" i="22"/>
  <c r="X354" i="16"/>
  <c r="A355" i="16"/>
  <c r="L354" i="16"/>
  <c r="D354" i="16" s="1"/>
  <c r="AB354" i="16"/>
  <c r="K354" i="16"/>
  <c r="A355" i="17"/>
  <c r="K354" i="17"/>
  <c r="L354" i="17"/>
  <c r="D354" i="17" s="1"/>
  <c r="AB354" i="17"/>
  <c r="X354" i="17"/>
  <c r="D353" i="17"/>
  <c r="A348" i="25"/>
  <c r="X347" i="25"/>
  <c r="K347" i="25"/>
  <c r="AB347" i="25"/>
  <c r="L347" i="25"/>
  <c r="AB349" i="23"/>
  <c r="X349" i="23"/>
  <c r="A350" i="23"/>
  <c r="L349" i="23"/>
  <c r="K349" i="23"/>
  <c r="A349" i="24"/>
  <c r="AB348" i="24"/>
  <c r="K348" i="24"/>
  <c r="L348" i="24"/>
  <c r="X348" i="24"/>
  <c r="A353" i="18"/>
  <c r="L352" i="18"/>
  <c r="X352" i="18"/>
  <c r="K352" i="18"/>
  <c r="AB352" i="18"/>
  <c r="X349" i="24"/>
  <c r="A350" i="24"/>
  <c r="AB349" i="24"/>
  <c r="K349" i="24"/>
  <c r="L349" i="24"/>
  <c r="K355" i="17"/>
  <c r="AB355" i="17"/>
  <c r="A356" i="17"/>
  <c r="L355" i="17"/>
  <c r="D355" i="17" s="1"/>
  <c r="X355" i="17"/>
  <c r="A356" i="16"/>
  <c r="AB355" i="16"/>
  <c r="L355" i="16"/>
  <c r="D355" i="16" s="1"/>
  <c r="K355" i="16"/>
  <c r="X355" i="16"/>
  <c r="A352" i="22"/>
  <c r="AB351" i="22"/>
  <c r="X351" i="22"/>
  <c r="L351" i="22"/>
  <c r="K351" i="22"/>
  <c r="D357" i="1"/>
  <c r="D354" i="15"/>
  <c r="A354" i="18"/>
  <c r="AB353" i="18"/>
  <c r="X353" i="18"/>
  <c r="L353" i="18"/>
  <c r="K353" i="18"/>
  <c r="K350" i="23"/>
  <c r="X350" i="23"/>
  <c r="AB350" i="23"/>
  <c r="A351" i="23"/>
  <c r="L350" i="23"/>
  <c r="A349" i="25"/>
  <c r="K348" i="25"/>
  <c r="X348" i="25"/>
  <c r="L348" i="25"/>
  <c r="AB348" i="25"/>
  <c r="AB358" i="1"/>
  <c r="L358" i="1"/>
  <c r="D358" i="1" s="1"/>
  <c r="AJ358" i="1"/>
  <c r="A359" i="1"/>
  <c r="K358" i="1"/>
  <c r="AK358" i="1"/>
  <c r="X358" i="1"/>
  <c r="A353" i="20"/>
  <c r="AB352" i="20"/>
  <c r="K352" i="20"/>
  <c r="X352" i="20"/>
  <c r="L352" i="20"/>
  <c r="L355" i="15"/>
  <c r="D355" i="15" s="1"/>
  <c r="AB355" i="15"/>
  <c r="K355" i="15"/>
  <c r="X355" i="15"/>
  <c r="A356" i="15"/>
  <c r="X349" i="25"/>
  <c r="A350" i="25"/>
  <c r="L349" i="25"/>
  <c r="K349" i="25"/>
  <c r="AB349" i="25"/>
  <c r="A357" i="16"/>
  <c r="X356" i="16"/>
  <c r="L356" i="16"/>
  <c r="D356" i="16" s="1"/>
  <c r="K356" i="16"/>
  <c r="AB356" i="16"/>
  <c r="K356" i="17"/>
  <c r="AB356" i="17"/>
  <c r="L356" i="17"/>
  <c r="D356" i="17" s="1"/>
  <c r="A357" i="17"/>
  <c r="X356" i="17"/>
  <c r="L350" i="24"/>
  <c r="AB350" i="24"/>
  <c r="K350" i="24"/>
  <c r="X350" i="24"/>
  <c r="A351" i="24"/>
  <c r="K356" i="15"/>
  <c r="A357" i="15"/>
  <c r="AB356" i="15"/>
  <c r="X356" i="15"/>
  <c r="L356" i="15"/>
  <c r="L353" i="20"/>
  <c r="A354" i="20"/>
  <c r="AB353" i="20"/>
  <c r="K353" i="20"/>
  <c r="X353" i="20"/>
  <c r="A360" i="1"/>
  <c r="K359" i="1"/>
  <c r="L359" i="1"/>
  <c r="D359" i="1" s="1"/>
  <c r="X359" i="1"/>
  <c r="AK359" i="1"/>
  <c r="AB359" i="1"/>
  <c r="AJ359" i="1"/>
  <c r="K351" i="23"/>
  <c r="L351" i="23"/>
  <c r="AB351" i="23"/>
  <c r="X351" i="23"/>
  <c r="A352" i="23"/>
  <c r="AB354" i="18"/>
  <c r="L354" i="18"/>
  <c r="A355" i="18"/>
  <c r="K354" i="18"/>
  <c r="X354" i="18"/>
  <c r="A353" i="22"/>
  <c r="AB352" i="22"/>
  <c r="K352" i="22"/>
  <c r="L352" i="22"/>
  <c r="X352" i="22"/>
  <c r="D356" i="15"/>
  <c r="AB357" i="15"/>
  <c r="A358" i="15"/>
  <c r="K357" i="15"/>
  <c r="L357" i="15"/>
  <c r="D357" i="15" s="1"/>
  <c r="X357" i="15"/>
  <c r="AB351" i="24"/>
  <c r="K351" i="24"/>
  <c r="A352" i="24"/>
  <c r="X351" i="24"/>
  <c r="L351" i="24"/>
  <c r="K357" i="16"/>
  <c r="L357" i="16"/>
  <c r="D357" i="16" s="1"/>
  <c r="X357" i="16"/>
  <c r="A358" i="16"/>
  <c r="AB357" i="16"/>
  <c r="L353" i="22"/>
  <c r="X353" i="22"/>
  <c r="AB353" i="22"/>
  <c r="A354" i="22"/>
  <c r="K353" i="22"/>
  <c r="AB355" i="18"/>
  <c r="L355" i="18"/>
  <c r="A356" i="18"/>
  <c r="K355" i="18"/>
  <c r="X355" i="18"/>
  <c r="AB352" i="23"/>
  <c r="A353" i="23"/>
  <c r="X352" i="23"/>
  <c r="K352" i="23"/>
  <c r="L352" i="23"/>
  <c r="AJ360" i="1"/>
  <c r="AK360" i="1"/>
  <c r="K360" i="1"/>
  <c r="X360" i="1"/>
  <c r="AB360" i="1"/>
  <c r="L360" i="1"/>
  <c r="D360" i="1" s="1"/>
  <c r="A361" i="1"/>
  <c r="X354" i="20"/>
  <c r="L354" i="20"/>
  <c r="K354" i="20"/>
  <c r="A355" i="20"/>
  <c r="AB354" i="20"/>
  <c r="AB357" i="17"/>
  <c r="K357" i="17"/>
  <c r="X357" i="17"/>
  <c r="A358" i="17"/>
  <c r="L357" i="17"/>
  <c r="D357" i="17" s="1"/>
  <c r="A351" i="25"/>
  <c r="X350" i="25"/>
  <c r="AB350" i="25"/>
  <c r="L350" i="25"/>
  <c r="K350" i="25"/>
  <c r="X351" i="25"/>
  <c r="L351" i="25"/>
  <c r="AB351" i="25"/>
  <c r="A352" i="25"/>
  <c r="K351" i="25"/>
  <c r="L355" i="20"/>
  <c r="AB355" i="20"/>
  <c r="X355" i="20"/>
  <c r="A356" i="20"/>
  <c r="K355" i="20"/>
  <c r="AB353" i="23"/>
  <c r="K353" i="23"/>
  <c r="L353" i="23"/>
  <c r="X353" i="23"/>
  <c r="A354" i="23"/>
  <c r="K356" i="18"/>
  <c r="A357" i="18"/>
  <c r="L356" i="18"/>
  <c r="AB356" i="18"/>
  <c r="X356" i="18"/>
  <c r="A355" i="22"/>
  <c r="L354" i="22"/>
  <c r="K354" i="22"/>
  <c r="AB354" i="22"/>
  <c r="X354" i="22"/>
  <c r="K358" i="17"/>
  <c r="X358" i="17"/>
  <c r="A359" i="17"/>
  <c r="L358" i="17"/>
  <c r="D358" i="17" s="1"/>
  <c r="AB358" i="17"/>
  <c r="A362" i="1"/>
  <c r="AB361" i="1"/>
  <c r="AK361" i="1"/>
  <c r="X361" i="1"/>
  <c r="AJ361" i="1"/>
  <c r="K361" i="1"/>
  <c r="L361" i="1"/>
  <c r="D361" i="1" s="1"/>
  <c r="A359" i="16"/>
  <c r="X358" i="16"/>
  <c r="L358" i="16"/>
  <c r="D358" i="16" s="1"/>
  <c r="AB358" i="16"/>
  <c r="K358" i="16"/>
  <c r="AB352" i="24"/>
  <c r="K352" i="24"/>
  <c r="A353" i="24"/>
  <c r="L352" i="24"/>
  <c r="X352" i="24"/>
  <c r="AB358" i="15"/>
  <c r="A359" i="15"/>
  <c r="L358" i="15"/>
  <c r="K358" i="15"/>
  <c r="X358" i="15"/>
  <c r="X359" i="15"/>
  <c r="AB359" i="15"/>
  <c r="A360" i="15"/>
  <c r="K359" i="15"/>
  <c r="L359" i="15"/>
  <c r="L353" i="24"/>
  <c r="A354" i="24"/>
  <c r="X353" i="24"/>
  <c r="K353" i="24"/>
  <c r="AB353" i="24"/>
  <c r="X359" i="16"/>
  <c r="L359" i="16"/>
  <c r="D359" i="16" s="1"/>
  <c r="AB359" i="16"/>
  <c r="K359" i="16"/>
  <c r="A360" i="16"/>
  <c r="A363" i="1"/>
  <c r="X362" i="1"/>
  <c r="L362" i="1"/>
  <c r="D362" i="1" s="1"/>
  <c r="AJ362" i="1"/>
  <c r="AK362" i="1"/>
  <c r="K362" i="1"/>
  <c r="AB362" i="1"/>
  <c r="AB359" i="17"/>
  <c r="X359" i="17"/>
  <c r="L359" i="17"/>
  <c r="D359" i="17" s="1"/>
  <c r="A360" i="17"/>
  <c r="K359" i="17"/>
  <c r="L354" i="23"/>
  <c r="K354" i="23"/>
  <c r="AB354" i="23"/>
  <c r="A355" i="23"/>
  <c r="X354" i="23"/>
  <c r="K352" i="25"/>
  <c r="AB352" i="25"/>
  <c r="A353" i="25"/>
  <c r="L352" i="25"/>
  <c r="X352" i="25"/>
  <c r="D358" i="15"/>
  <c r="AB355" i="22"/>
  <c r="X355" i="22"/>
  <c r="L355" i="22"/>
  <c r="A356" i="22"/>
  <c r="K355" i="22"/>
  <c r="K357" i="18"/>
  <c r="L357" i="18"/>
  <c r="AB357" i="18"/>
  <c r="A358" i="18"/>
  <c r="X357" i="18"/>
  <c r="K356" i="20"/>
  <c r="X356" i="20"/>
  <c r="L356" i="20"/>
  <c r="AB356" i="20"/>
  <c r="A357" i="20"/>
  <c r="AB357" i="20"/>
  <c r="X357" i="20"/>
  <c r="K357" i="20"/>
  <c r="A358" i="20"/>
  <c r="L357" i="20"/>
  <c r="K358" i="18"/>
  <c r="X358" i="18"/>
  <c r="L358" i="18"/>
  <c r="A359" i="18"/>
  <c r="AB358" i="18"/>
  <c r="X356" i="22"/>
  <c r="L356" i="22"/>
  <c r="K356" i="22"/>
  <c r="A357" i="22"/>
  <c r="AB356" i="22"/>
  <c r="K353" i="25"/>
  <c r="L353" i="25"/>
  <c r="AB353" i="25"/>
  <c r="X353" i="25"/>
  <c r="A354" i="25"/>
  <c r="A355" i="24"/>
  <c r="K354" i="24"/>
  <c r="X354" i="24"/>
  <c r="AB354" i="24"/>
  <c r="L354" i="24"/>
  <c r="X360" i="15"/>
  <c r="K360" i="15"/>
  <c r="L360" i="15"/>
  <c r="AB360" i="15"/>
  <c r="A361" i="15"/>
  <c r="L355" i="23"/>
  <c r="A356" i="23"/>
  <c r="AB355" i="23"/>
  <c r="K355" i="23"/>
  <c r="X355" i="23"/>
  <c r="X360" i="17"/>
  <c r="K360" i="17"/>
  <c r="AB360" i="17"/>
  <c r="L360" i="17"/>
  <c r="D360" i="17" s="1"/>
  <c r="A361" i="17"/>
  <c r="AB363" i="1"/>
  <c r="A31" i="7"/>
  <c r="AJ363" i="1"/>
  <c r="AK363" i="1"/>
  <c r="A364" i="1"/>
  <c r="X363" i="1"/>
  <c r="K363" i="1"/>
  <c r="L363" i="1"/>
  <c r="D363" i="1" s="1"/>
  <c r="K360" i="16"/>
  <c r="X360" i="16"/>
  <c r="AB360" i="16"/>
  <c r="L360" i="16"/>
  <c r="D360" i="16" s="1"/>
  <c r="A361" i="16"/>
  <c r="D359" i="15"/>
  <c r="K361" i="16"/>
  <c r="AB361" i="16"/>
  <c r="A362" i="16"/>
  <c r="X361" i="16"/>
  <c r="L361" i="16"/>
  <c r="A365" i="1"/>
  <c r="AB364" i="1"/>
  <c r="K364" i="1"/>
  <c r="X364" i="1"/>
  <c r="AJ364" i="1"/>
  <c r="AK364" i="1"/>
  <c r="L364" i="1"/>
  <c r="D364" i="1" s="1"/>
  <c r="L361" i="15"/>
  <c r="D361" i="15" s="1"/>
  <c r="X361" i="15"/>
  <c r="AB361" i="15"/>
  <c r="K361" i="15"/>
  <c r="A362" i="15"/>
  <c r="D360" i="15"/>
  <c r="AB354" i="25"/>
  <c r="X354" i="25"/>
  <c r="A355" i="25"/>
  <c r="L354" i="25"/>
  <c r="K354" i="25"/>
  <c r="X358" i="20"/>
  <c r="K358" i="20"/>
  <c r="A359" i="20"/>
  <c r="AB358" i="20"/>
  <c r="L358" i="20"/>
  <c r="A362" i="17"/>
  <c r="X361" i="17"/>
  <c r="AB361" i="17"/>
  <c r="L361" i="17"/>
  <c r="K361" i="17"/>
  <c r="AB356" i="23"/>
  <c r="L356" i="23"/>
  <c r="K356" i="23"/>
  <c r="X356" i="23"/>
  <c r="A357" i="23"/>
  <c r="A356" i="24"/>
  <c r="K355" i="24"/>
  <c r="X355" i="24"/>
  <c r="AB355" i="24"/>
  <c r="L355" i="24"/>
  <c r="L357" i="22"/>
  <c r="AB357" i="22"/>
  <c r="X357" i="22"/>
  <c r="A358" i="22"/>
  <c r="K357" i="22"/>
  <c r="X359" i="18"/>
  <c r="AB359" i="18"/>
  <c r="K359" i="18"/>
  <c r="A360" i="18"/>
  <c r="L359" i="18"/>
  <c r="X360" i="18"/>
  <c r="A361" i="18"/>
  <c r="AB360" i="18"/>
  <c r="L360" i="18"/>
  <c r="K360" i="18"/>
  <c r="A359" i="22"/>
  <c r="K358" i="22"/>
  <c r="X358" i="22"/>
  <c r="L358" i="22"/>
  <c r="AB358" i="22"/>
  <c r="X359" i="20"/>
  <c r="K359" i="20"/>
  <c r="AB359" i="20"/>
  <c r="L359" i="20"/>
  <c r="A360" i="20"/>
  <c r="X362" i="15"/>
  <c r="AB362" i="15"/>
  <c r="L362" i="15"/>
  <c r="D362" i="15" s="1"/>
  <c r="A363" i="15"/>
  <c r="K362" i="15"/>
  <c r="AK365" i="1"/>
  <c r="AJ365" i="1"/>
  <c r="AB365" i="1"/>
  <c r="A366" i="1"/>
  <c r="L365" i="1"/>
  <c r="D365" i="1" s="1"/>
  <c r="K365" i="1"/>
  <c r="X365" i="1"/>
  <c r="D361" i="16"/>
  <c r="X356" i="24"/>
  <c r="L356" i="24"/>
  <c r="K356" i="24"/>
  <c r="A357" i="24"/>
  <c r="AB356" i="24"/>
  <c r="A358" i="23"/>
  <c r="L357" i="23"/>
  <c r="X357" i="23"/>
  <c r="K357" i="23"/>
  <c r="AB357" i="23"/>
  <c r="D361" i="17"/>
  <c r="A363" i="17"/>
  <c r="K362" i="17"/>
  <c r="L362" i="17"/>
  <c r="D362" i="17" s="1"/>
  <c r="AB362" i="17"/>
  <c r="X362" i="17"/>
  <c r="X355" i="25"/>
  <c r="A356" i="25"/>
  <c r="AB355" i="25"/>
  <c r="K355" i="25"/>
  <c r="L355" i="25"/>
  <c r="X362" i="16"/>
  <c r="AB362" i="16"/>
  <c r="L362" i="16"/>
  <c r="A363" i="16"/>
  <c r="K362" i="16"/>
  <c r="A358" i="24"/>
  <c r="K357" i="24"/>
  <c r="X357" i="24"/>
  <c r="AB357" i="24"/>
  <c r="L357" i="24"/>
  <c r="L359" i="22"/>
  <c r="X359" i="22"/>
  <c r="AB359" i="22"/>
  <c r="K359" i="22"/>
  <c r="A360" i="22"/>
  <c r="X361" i="18"/>
  <c r="K361" i="18"/>
  <c r="L361" i="18"/>
  <c r="AB361" i="18"/>
  <c r="A362" i="18"/>
  <c r="AB363" i="16"/>
  <c r="L363" i="16"/>
  <c r="D363" i="16" s="1"/>
  <c r="A364" i="16"/>
  <c r="A55" i="7"/>
  <c r="X363" i="16"/>
  <c r="K363" i="16"/>
  <c r="D362" i="16"/>
  <c r="AB356" i="25"/>
  <c r="L356" i="25"/>
  <c r="X356" i="25"/>
  <c r="K356" i="25"/>
  <c r="A357" i="25"/>
  <c r="AB363" i="17"/>
  <c r="L363" i="17"/>
  <c r="B67" i="7" s="1"/>
  <c r="X363" i="17"/>
  <c r="A67" i="7"/>
  <c r="K363" i="17"/>
  <c r="A364" i="17"/>
  <c r="X358" i="23"/>
  <c r="L358" i="23"/>
  <c r="A359" i="23"/>
  <c r="K358" i="23"/>
  <c r="AB358" i="23"/>
  <c r="A367" i="1"/>
  <c r="AB366" i="1"/>
  <c r="X366" i="1"/>
  <c r="AJ366" i="1"/>
  <c r="AK366" i="1"/>
  <c r="L366" i="1"/>
  <c r="D366" i="1" s="1"/>
  <c r="K366" i="1"/>
  <c r="A364" i="15"/>
  <c r="AB363" i="15"/>
  <c r="X363" i="15"/>
  <c r="A43" i="7"/>
  <c r="K363" i="15"/>
  <c r="L363" i="15"/>
  <c r="D363" i="15" s="1"/>
  <c r="L360" i="20"/>
  <c r="A361" i="20"/>
  <c r="X360" i="20"/>
  <c r="K360" i="20"/>
  <c r="AB360" i="20"/>
  <c r="X367" i="1"/>
  <c r="AK367" i="1"/>
  <c r="AB367" i="1"/>
  <c r="A368" i="1"/>
  <c r="K367" i="1"/>
  <c r="L367" i="1"/>
  <c r="D367" i="1" s="1"/>
  <c r="AJ367" i="1"/>
  <c r="L357" i="25"/>
  <c r="A358" i="25"/>
  <c r="AB357" i="25"/>
  <c r="X357" i="25"/>
  <c r="K357" i="25"/>
  <c r="B55" i="7"/>
  <c r="K364" i="15"/>
  <c r="A365" i="15"/>
  <c r="AB364" i="15"/>
  <c r="L364" i="15"/>
  <c r="D364" i="15" s="1"/>
  <c r="X364" i="15"/>
  <c r="L361" i="20"/>
  <c r="AB361" i="20"/>
  <c r="A362" i="20"/>
  <c r="K361" i="20"/>
  <c r="X361" i="20"/>
  <c r="L359" i="23"/>
  <c r="AB359" i="23"/>
  <c r="X359" i="23"/>
  <c r="A360" i="23"/>
  <c r="K359" i="23"/>
  <c r="L364" i="17"/>
  <c r="D364" i="17" s="1"/>
  <c r="K364" i="17"/>
  <c r="A365" i="17"/>
  <c r="AB364" i="17"/>
  <c r="X364" i="17"/>
  <c r="A365" i="16"/>
  <c r="X364" i="16"/>
  <c r="K364" i="16"/>
  <c r="AB364" i="16"/>
  <c r="L364" i="16"/>
  <c r="D364" i="16" s="1"/>
  <c r="X362" i="18"/>
  <c r="L362" i="18"/>
  <c r="A363" i="18"/>
  <c r="K362" i="18"/>
  <c r="AB362" i="18"/>
  <c r="AB360" i="22"/>
  <c r="K360" i="22"/>
  <c r="L360" i="22"/>
  <c r="X360" i="22"/>
  <c r="A361" i="22"/>
  <c r="AB358" i="24"/>
  <c r="A359" i="24"/>
  <c r="X358" i="24"/>
  <c r="K358" i="24"/>
  <c r="L358" i="24"/>
  <c r="L361" i="22"/>
  <c r="A362" i="22"/>
  <c r="AB361" i="22"/>
  <c r="X361" i="22"/>
  <c r="K361" i="22"/>
  <c r="A366" i="17"/>
  <c r="X365" i="17"/>
  <c r="L365" i="17"/>
  <c r="D365" i="17" s="1"/>
  <c r="AB365" i="17"/>
  <c r="K365" i="17"/>
  <c r="K358" i="25"/>
  <c r="L358" i="25"/>
  <c r="X358" i="25"/>
  <c r="AB358" i="25"/>
  <c r="A359" i="25"/>
  <c r="L359" i="24"/>
  <c r="AB359" i="24"/>
  <c r="X359" i="24"/>
  <c r="K359" i="24"/>
  <c r="A360" i="24"/>
  <c r="A364" i="18"/>
  <c r="A79" i="7"/>
  <c r="X363" i="18"/>
  <c r="AB363" i="18"/>
  <c r="L363" i="18"/>
  <c r="B79" i="7" s="1"/>
  <c r="K363" i="18"/>
  <c r="K365" i="16"/>
  <c r="AB365" i="16"/>
  <c r="L365" i="16"/>
  <c r="A366" i="16"/>
  <c r="X365" i="16"/>
  <c r="A361" i="23"/>
  <c r="K360" i="23"/>
  <c r="X360" i="23"/>
  <c r="L360" i="23"/>
  <c r="AB360" i="23"/>
  <c r="A363" i="20"/>
  <c r="L362" i="20"/>
  <c r="AB362" i="20"/>
  <c r="K362" i="20"/>
  <c r="X362" i="20"/>
  <c r="X365" i="15"/>
  <c r="L365" i="15"/>
  <c r="D365" i="15" s="1"/>
  <c r="K365" i="15"/>
  <c r="A366" i="15"/>
  <c r="AB365" i="15"/>
  <c r="A369" i="1"/>
  <c r="K368" i="1"/>
  <c r="AJ368" i="1"/>
  <c r="L368" i="1"/>
  <c r="D368" i="1" s="1"/>
  <c r="AK368" i="1"/>
  <c r="X368" i="1"/>
  <c r="AB368" i="1"/>
  <c r="A365" i="18"/>
  <c r="L364" i="18"/>
  <c r="K364" i="18"/>
  <c r="AB364" i="18"/>
  <c r="X364" i="18"/>
  <c r="AB366" i="17"/>
  <c r="L366" i="17"/>
  <c r="D366" i="17" s="1"/>
  <c r="A367" i="17"/>
  <c r="X366" i="17"/>
  <c r="K366" i="17"/>
  <c r="A363" i="22"/>
  <c r="K362" i="22"/>
  <c r="X362" i="22"/>
  <c r="AB362" i="22"/>
  <c r="L362" i="22"/>
  <c r="A370" i="1"/>
  <c r="X369" i="1"/>
  <c r="AJ369" i="1"/>
  <c r="AB369" i="1"/>
  <c r="AK369" i="1"/>
  <c r="L369" i="1"/>
  <c r="D369" i="1" s="1"/>
  <c r="K369" i="1"/>
  <c r="X366" i="15"/>
  <c r="A367" i="15"/>
  <c r="K366" i="15"/>
  <c r="AB366" i="15"/>
  <c r="L366" i="15"/>
  <c r="D366" i="15" s="1"/>
  <c r="X363" i="20"/>
  <c r="AB363" i="20"/>
  <c r="A364" i="20"/>
  <c r="L363" i="20"/>
  <c r="AF31" i="7" s="1"/>
  <c r="K363" i="20"/>
  <c r="AE31" i="7"/>
  <c r="X361" i="23"/>
  <c r="A362" i="23"/>
  <c r="L361" i="23"/>
  <c r="K361" i="23"/>
  <c r="AB361" i="23"/>
  <c r="A367" i="16"/>
  <c r="X366" i="16"/>
  <c r="K366" i="16"/>
  <c r="L366" i="16"/>
  <c r="D366" i="16" s="1"/>
  <c r="AB366" i="16"/>
  <c r="D365" i="16"/>
  <c r="K360" i="24"/>
  <c r="L360" i="24"/>
  <c r="A361" i="24"/>
  <c r="AB360" i="24"/>
  <c r="X360" i="24"/>
  <c r="L359" i="25"/>
  <c r="A360" i="25"/>
  <c r="K359" i="25"/>
  <c r="AB359" i="25"/>
  <c r="X359" i="25"/>
  <c r="K360" i="25"/>
  <c r="A361" i="25"/>
  <c r="L360" i="25"/>
  <c r="AB360" i="25"/>
  <c r="X360" i="25"/>
  <c r="AB367" i="16"/>
  <c r="K367" i="16"/>
  <c r="X367" i="16"/>
  <c r="L367" i="16"/>
  <c r="D367" i="16" s="1"/>
  <c r="A368" i="16"/>
  <c r="AB362" i="23"/>
  <c r="X362" i="23"/>
  <c r="A363" i="23"/>
  <c r="K362" i="23"/>
  <c r="L362" i="23"/>
  <c r="A364" i="22"/>
  <c r="X363" i="22"/>
  <c r="K363" i="22"/>
  <c r="AE43" i="7"/>
  <c r="AB363" i="22"/>
  <c r="L363" i="22"/>
  <c r="AF43" i="7" s="1"/>
  <c r="A368" i="17"/>
  <c r="K367" i="17"/>
  <c r="X367" i="17"/>
  <c r="AB367" i="17"/>
  <c r="L367" i="17"/>
  <c r="X361" i="24"/>
  <c r="K361" i="24"/>
  <c r="L361" i="24"/>
  <c r="AB361" i="24"/>
  <c r="A362" i="24"/>
  <c r="AB364" i="20"/>
  <c r="X364" i="20"/>
  <c r="L364" i="20"/>
  <c r="A365" i="20"/>
  <c r="K364" i="20"/>
  <c r="A368" i="15"/>
  <c r="K367" i="15"/>
  <c r="AB367" i="15"/>
  <c r="X367" i="15"/>
  <c r="L367" i="15"/>
  <c r="D367" i="15" s="1"/>
  <c r="AJ370" i="1"/>
  <c r="X370" i="1"/>
  <c r="AB370" i="1"/>
  <c r="A371" i="1"/>
  <c r="AK370" i="1"/>
  <c r="L370" i="1"/>
  <c r="D370" i="1" s="1"/>
  <c r="K370" i="1"/>
  <c r="A366" i="18"/>
  <c r="K365" i="18"/>
  <c r="AB365" i="18"/>
  <c r="L365" i="18"/>
  <c r="X365" i="18"/>
  <c r="A372" i="1"/>
  <c r="K371" i="1"/>
  <c r="AJ371" i="1"/>
  <c r="X371" i="1"/>
  <c r="L371" i="1"/>
  <c r="D371" i="1" s="1"/>
  <c r="AK371" i="1"/>
  <c r="AB371" i="1"/>
  <c r="AB365" i="20"/>
  <c r="K365" i="20"/>
  <c r="L365" i="20"/>
  <c r="X365" i="20"/>
  <c r="A366" i="20"/>
  <c r="D367" i="17"/>
  <c r="K368" i="16"/>
  <c r="AB368" i="16"/>
  <c r="L368" i="16"/>
  <c r="D368" i="16" s="1"/>
  <c r="A369" i="16"/>
  <c r="X368" i="16"/>
  <c r="K366" i="18"/>
  <c r="L366" i="18"/>
  <c r="AB366" i="18"/>
  <c r="X366" i="18"/>
  <c r="A367" i="18"/>
  <c r="X368" i="15"/>
  <c r="K368" i="15"/>
  <c r="L368" i="15"/>
  <c r="D368" i="15" s="1"/>
  <c r="A369" i="15"/>
  <c r="AB368" i="15"/>
  <c r="X362" i="24"/>
  <c r="AB362" i="24"/>
  <c r="A363" i="24"/>
  <c r="K362" i="24"/>
  <c r="L362" i="24"/>
  <c r="L368" i="17"/>
  <c r="AB368" i="17"/>
  <c r="A369" i="17"/>
  <c r="K368" i="17"/>
  <c r="X368" i="17"/>
  <c r="AB364" i="22"/>
  <c r="X364" i="22"/>
  <c r="A365" i="22"/>
  <c r="L364" i="22"/>
  <c r="K364" i="22"/>
  <c r="K363" i="23"/>
  <c r="L363" i="23"/>
  <c r="AF55" i="7" s="1"/>
  <c r="X363" i="23"/>
  <c r="AB363" i="23"/>
  <c r="AE55" i="7"/>
  <c r="A364" i="23"/>
  <c r="X361" i="25"/>
  <c r="K361" i="25"/>
  <c r="L361" i="25"/>
  <c r="AB361" i="25"/>
  <c r="A362" i="25"/>
  <c r="X364" i="23"/>
  <c r="K364" i="23"/>
  <c r="AB364" i="23"/>
  <c r="A365" i="23"/>
  <c r="L364" i="23"/>
  <c r="L365" i="22"/>
  <c r="A366" i="22"/>
  <c r="AB365" i="22"/>
  <c r="X365" i="22"/>
  <c r="K365" i="22"/>
  <c r="AB369" i="17"/>
  <c r="L369" i="17"/>
  <c r="D369" i="17" s="1"/>
  <c r="A370" i="17"/>
  <c r="K369" i="17"/>
  <c r="X369" i="17"/>
  <c r="D368" i="17"/>
  <c r="AB363" i="24"/>
  <c r="X363" i="24"/>
  <c r="AE67" i="7"/>
  <c r="L363" i="24"/>
  <c r="AF67" i="7" s="1"/>
  <c r="A364" i="24"/>
  <c r="K363" i="24"/>
  <c r="AB366" i="20"/>
  <c r="X366" i="20"/>
  <c r="L366" i="20"/>
  <c r="K366" i="20"/>
  <c r="A367" i="20"/>
  <c r="AB372" i="1"/>
  <c r="AJ372" i="1"/>
  <c r="AK372" i="1"/>
  <c r="L372" i="1"/>
  <c r="D372" i="1" s="1"/>
  <c r="K372" i="1"/>
  <c r="X372" i="1"/>
  <c r="A373" i="1"/>
  <c r="A363" i="25"/>
  <c r="X362" i="25"/>
  <c r="AB362" i="25"/>
  <c r="K362" i="25"/>
  <c r="L362" i="25"/>
  <c r="A370" i="15"/>
  <c r="AB369" i="15"/>
  <c r="L369" i="15"/>
  <c r="D369" i="15" s="1"/>
  <c r="X369" i="15"/>
  <c r="K369" i="15"/>
  <c r="X367" i="18"/>
  <c r="A368" i="18"/>
  <c r="L367" i="18"/>
  <c r="K367" i="18"/>
  <c r="AB367" i="18"/>
  <c r="X369" i="16"/>
  <c r="L369" i="16"/>
  <c r="D369" i="16" s="1"/>
  <c r="A370" i="16"/>
  <c r="AB369" i="16"/>
  <c r="K369" i="16"/>
  <c r="AB368" i="18"/>
  <c r="K368" i="18"/>
  <c r="A369" i="18"/>
  <c r="X368" i="18"/>
  <c r="L368" i="18"/>
  <c r="K370" i="15"/>
  <c r="L370" i="15"/>
  <c r="A371" i="15"/>
  <c r="X370" i="15"/>
  <c r="AB370" i="15"/>
  <c r="L363" i="25"/>
  <c r="AF79" i="7" s="1"/>
  <c r="AE79" i="7"/>
  <c r="K363" i="25"/>
  <c r="A364" i="25"/>
  <c r="X363" i="25"/>
  <c r="AB363" i="25"/>
  <c r="K367" i="20"/>
  <c r="X367" i="20"/>
  <c r="L367" i="20"/>
  <c r="AB367" i="20"/>
  <c r="A368" i="20"/>
  <c r="K370" i="17"/>
  <c r="A371" i="17"/>
  <c r="L370" i="17"/>
  <c r="D370" i="17" s="1"/>
  <c r="AB370" i="17"/>
  <c r="X370" i="17"/>
  <c r="X370" i="16"/>
  <c r="L370" i="16"/>
  <c r="D370" i="16" s="1"/>
  <c r="A371" i="16"/>
  <c r="K370" i="16"/>
  <c r="AB370" i="16"/>
  <c r="A374" i="1"/>
  <c r="L373" i="1"/>
  <c r="D373" i="1" s="1"/>
  <c r="K373" i="1"/>
  <c r="X373" i="1"/>
  <c r="AJ373" i="1"/>
  <c r="AK373" i="1"/>
  <c r="AB373" i="1"/>
  <c r="A365" i="24"/>
  <c r="AB364" i="24"/>
  <c r="X364" i="24"/>
  <c r="K364" i="24"/>
  <c r="L364" i="24"/>
  <c r="AB366" i="22"/>
  <c r="L366" i="22"/>
  <c r="K366" i="22"/>
  <c r="X366" i="22"/>
  <c r="A367" i="22"/>
  <c r="X365" i="23"/>
  <c r="L365" i="23"/>
  <c r="AB365" i="23"/>
  <c r="A366" i="23"/>
  <c r="K365" i="23"/>
  <c r="K366" i="23"/>
  <c r="A367" i="23"/>
  <c r="AB366" i="23"/>
  <c r="X366" i="23"/>
  <c r="L366" i="23"/>
  <c r="K367" i="22"/>
  <c r="A368" i="22"/>
  <c r="AB367" i="22"/>
  <c r="X367" i="22"/>
  <c r="L367" i="22"/>
  <c r="L365" i="24"/>
  <c r="AB365" i="24"/>
  <c r="K365" i="24"/>
  <c r="A366" i="24"/>
  <c r="X365" i="24"/>
  <c r="AB371" i="16"/>
  <c r="X371" i="16"/>
  <c r="L371" i="16"/>
  <c r="D371" i="16" s="1"/>
  <c r="A372" i="16"/>
  <c r="K371" i="16"/>
  <c r="AB371" i="17"/>
  <c r="A372" i="17"/>
  <c r="X371" i="17"/>
  <c r="L371" i="17"/>
  <c r="D371" i="17" s="1"/>
  <c r="K371" i="17"/>
  <c r="A369" i="20"/>
  <c r="L368" i="20"/>
  <c r="K368" i="20"/>
  <c r="X368" i="20"/>
  <c r="AB368" i="20"/>
  <c r="L364" i="25"/>
  <c r="A365" i="25"/>
  <c r="X364" i="25"/>
  <c r="K364" i="25"/>
  <c r="AB364" i="25"/>
  <c r="L371" i="15"/>
  <c r="D371" i="15" s="1"/>
  <c r="K371" i="15"/>
  <c r="AB371" i="15"/>
  <c r="X371" i="15"/>
  <c r="A372" i="15"/>
  <c r="A375" i="1"/>
  <c r="AB374" i="1"/>
  <c r="AJ374" i="1"/>
  <c r="L374" i="1"/>
  <c r="D374" i="1" s="1"/>
  <c r="K374" i="1"/>
  <c r="AK374" i="1"/>
  <c r="X374" i="1"/>
  <c r="D370" i="15"/>
  <c r="L369" i="18"/>
  <c r="A370" i="18"/>
  <c r="X369" i="18"/>
  <c r="AB369" i="18"/>
  <c r="K369" i="18"/>
  <c r="AB375" i="1"/>
  <c r="AJ375" i="1"/>
  <c r="AK375" i="1"/>
  <c r="L375" i="1"/>
  <c r="D375" i="1" s="1"/>
  <c r="A376" i="1"/>
  <c r="X375" i="1"/>
  <c r="K375" i="1"/>
  <c r="K365" i="25"/>
  <c r="L365" i="25"/>
  <c r="A366" i="25"/>
  <c r="AB365" i="25"/>
  <c r="X365" i="25"/>
  <c r="K369" i="20"/>
  <c r="L369" i="20"/>
  <c r="AB369" i="20"/>
  <c r="X369" i="20"/>
  <c r="A370" i="20"/>
  <c r="L372" i="17"/>
  <c r="D372" i="17" s="1"/>
  <c r="K372" i="17"/>
  <c r="X372" i="17"/>
  <c r="AB372" i="17"/>
  <c r="A373" i="17"/>
  <c r="A373" i="16"/>
  <c r="K372" i="16"/>
  <c r="X372" i="16"/>
  <c r="L372" i="16"/>
  <c r="D372" i="16" s="1"/>
  <c r="AB372" i="16"/>
  <c r="K366" i="24"/>
  <c r="A367" i="24"/>
  <c r="X366" i="24"/>
  <c r="L366" i="24"/>
  <c r="AB366" i="24"/>
  <c r="X367" i="23"/>
  <c r="A368" i="23"/>
  <c r="L367" i="23"/>
  <c r="AB367" i="23"/>
  <c r="K367" i="23"/>
  <c r="A371" i="18"/>
  <c r="AB370" i="18"/>
  <c r="K370" i="18"/>
  <c r="L370" i="18"/>
  <c r="X370" i="18"/>
  <c r="A373" i="15"/>
  <c r="K372" i="15"/>
  <c r="X372" i="15"/>
  <c r="AB372" i="15"/>
  <c r="L372" i="15"/>
  <c r="D372" i="15" s="1"/>
  <c r="A369" i="22"/>
  <c r="L368" i="22"/>
  <c r="K368" i="22"/>
  <c r="AB368" i="22"/>
  <c r="X368" i="22"/>
  <c r="L369" i="22"/>
  <c r="AB369" i="22"/>
  <c r="X369" i="22"/>
  <c r="K369" i="22"/>
  <c r="A370" i="22"/>
  <c r="X367" i="24"/>
  <c r="L367" i="24"/>
  <c r="AB367" i="24"/>
  <c r="A368" i="24"/>
  <c r="K367" i="24"/>
  <c r="L373" i="16"/>
  <c r="D373" i="16" s="1"/>
  <c r="K373" i="16"/>
  <c r="A374" i="16"/>
  <c r="AB373" i="16"/>
  <c r="X373" i="16"/>
  <c r="X370" i="20"/>
  <c r="L370" i="20"/>
  <c r="AB370" i="20"/>
  <c r="K370" i="20"/>
  <c r="A371" i="20"/>
  <c r="L366" i="25"/>
  <c r="AB366" i="25"/>
  <c r="K366" i="25"/>
  <c r="X366" i="25"/>
  <c r="A367" i="25"/>
  <c r="K376" i="1"/>
  <c r="AJ376" i="1"/>
  <c r="AB376" i="1"/>
  <c r="X376" i="1"/>
  <c r="AK376" i="1"/>
  <c r="L376" i="1"/>
  <c r="D376" i="1" s="1"/>
  <c r="A377" i="1"/>
  <c r="X373" i="15"/>
  <c r="AB373" i="15"/>
  <c r="L373" i="15"/>
  <c r="D373" i="15" s="1"/>
  <c r="A374" i="15"/>
  <c r="K373" i="15"/>
  <c r="AB371" i="18"/>
  <c r="X371" i="18"/>
  <c r="A372" i="18"/>
  <c r="L371" i="18"/>
  <c r="K371" i="18"/>
  <c r="X368" i="23"/>
  <c r="A369" i="23"/>
  <c r="L368" i="23"/>
  <c r="AB368" i="23"/>
  <c r="K368" i="23"/>
  <c r="A374" i="17"/>
  <c r="X373" i="17"/>
  <c r="L373" i="17"/>
  <c r="D373" i="17" s="1"/>
  <c r="K373" i="17"/>
  <c r="AB373" i="17"/>
  <c r="L372" i="18"/>
  <c r="A373" i="18"/>
  <c r="AB372" i="18"/>
  <c r="X372" i="18"/>
  <c r="K372" i="18"/>
  <c r="A368" i="25"/>
  <c r="K367" i="25"/>
  <c r="X367" i="25"/>
  <c r="AB367" i="25"/>
  <c r="L367" i="25"/>
  <c r="L371" i="20"/>
  <c r="X371" i="20"/>
  <c r="AB371" i="20"/>
  <c r="A372" i="20"/>
  <c r="K371" i="20"/>
  <c r="AB368" i="24"/>
  <c r="X368" i="24"/>
  <c r="K368" i="24"/>
  <c r="A369" i="24"/>
  <c r="L368" i="24"/>
  <c r="L374" i="17"/>
  <c r="D374" i="17" s="1"/>
  <c r="K374" i="17"/>
  <c r="AB374" i="17"/>
  <c r="X374" i="17"/>
  <c r="A375" i="17"/>
  <c r="X369" i="23"/>
  <c r="K369" i="23"/>
  <c r="L369" i="23"/>
  <c r="AB369" i="23"/>
  <c r="A370" i="23"/>
  <c r="X374" i="15"/>
  <c r="L374" i="15"/>
  <c r="D374" i="15" s="1"/>
  <c r="K374" i="15"/>
  <c r="AB374" i="15"/>
  <c r="A375" i="15"/>
  <c r="AJ377" i="1"/>
  <c r="AK377" i="1"/>
  <c r="K377" i="1"/>
  <c r="AB377" i="1"/>
  <c r="X377" i="1"/>
  <c r="A378" i="1"/>
  <c r="L377" i="1"/>
  <c r="D377" i="1" s="1"/>
  <c r="AB374" i="16"/>
  <c r="L374" i="16"/>
  <c r="D374" i="16" s="1"/>
  <c r="K374" i="16"/>
  <c r="A375" i="16"/>
  <c r="X374" i="16"/>
  <c r="AB370" i="22"/>
  <c r="L370" i="22"/>
  <c r="K370" i="22"/>
  <c r="X370" i="22"/>
  <c r="A371" i="22"/>
  <c r="X375" i="16"/>
  <c r="AB375" i="16"/>
  <c r="L375" i="16"/>
  <c r="D375" i="16" s="1"/>
  <c r="K375" i="16"/>
  <c r="A376" i="16"/>
  <c r="K375" i="15"/>
  <c r="X375" i="15"/>
  <c r="L375" i="15"/>
  <c r="D375" i="15" s="1"/>
  <c r="A376" i="15"/>
  <c r="AB375" i="15"/>
  <c r="L370" i="23"/>
  <c r="K370" i="23"/>
  <c r="AB370" i="23"/>
  <c r="X370" i="23"/>
  <c r="A371" i="23"/>
  <c r="AB375" i="17"/>
  <c r="X375" i="17"/>
  <c r="K375" i="17"/>
  <c r="L375" i="17"/>
  <c r="D375" i="17" s="1"/>
  <c r="A376" i="17"/>
  <c r="X369" i="24"/>
  <c r="K369" i="24"/>
  <c r="A370" i="24"/>
  <c r="L369" i="24"/>
  <c r="AB369" i="24"/>
  <c r="AB368" i="25"/>
  <c r="L368" i="25"/>
  <c r="K368" i="25"/>
  <c r="X368" i="25"/>
  <c r="A369" i="25"/>
  <c r="L371" i="22"/>
  <c r="AB371" i="22"/>
  <c r="A372" i="22"/>
  <c r="K371" i="22"/>
  <c r="X371" i="22"/>
  <c r="A379" i="1"/>
  <c r="AK378" i="1"/>
  <c r="AJ378" i="1"/>
  <c r="AB378" i="1"/>
  <c r="L378" i="1"/>
  <c r="D378" i="1" s="1"/>
  <c r="X378" i="1"/>
  <c r="K378" i="1"/>
  <c r="K372" i="20"/>
  <c r="X372" i="20"/>
  <c r="AB372" i="20"/>
  <c r="L372" i="20"/>
  <c r="A373" i="20"/>
  <c r="A374" i="18"/>
  <c r="L373" i="18"/>
  <c r="X373" i="18"/>
  <c r="AB373" i="18"/>
  <c r="K373" i="18"/>
  <c r="K372" i="22"/>
  <c r="X372" i="22"/>
  <c r="AB372" i="22"/>
  <c r="A373" i="22"/>
  <c r="L372" i="22"/>
  <c r="A370" i="25"/>
  <c r="X369" i="25"/>
  <c r="L369" i="25"/>
  <c r="AB369" i="25"/>
  <c r="K369" i="25"/>
  <c r="A377" i="17"/>
  <c r="AB376" i="17"/>
  <c r="X376" i="17"/>
  <c r="K376" i="17"/>
  <c r="L376" i="17"/>
  <c r="D376" i="17" s="1"/>
  <c r="K374" i="18"/>
  <c r="A375" i="18"/>
  <c r="X374" i="18"/>
  <c r="AB374" i="18"/>
  <c r="L374" i="18"/>
  <c r="K373" i="20"/>
  <c r="AB373" i="20"/>
  <c r="A374" i="20"/>
  <c r="L373" i="20"/>
  <c r="X373" i="20"/>
  <c r="K379" i="1"/>
  <c r="AJ379" i="1"/>
  <c r="AB379" i="1"/>
  <c r="AK379" i="1"/>
  <c r="L379" i="1"/>
  <c r="X379" i="1"/>
  <c r="AB370" i="24"/>
  <c r="A371" i="24"/>
  <c r="K370" i="24"/>
  <c r="X370" i="24"/>
  <c r="L370" i="24"/>
  <c r="X371" i="23"/>
  <c r="L371" i="23"/>
  <c r="A372" i="23"/>
  <c r="K371" i="23"/>
  <c r="AB371" i="23"/>
  <c r="A377" i="15"/>
  <c r="X376" i="15"/>
  <c r="AB376" i="15"/>
  <c r="K376" i="15"/>
  <c r="L376" i="15"/>
  <c r="A377" i="16"/>
  <c r="AB376" i="16"/>
  <c r="L376" i="16"/>
  <c r="D376" i="16" s="1"/>
  <c r="K376" i="16"/>
  <c r="X376" i="16"/>
  <c r="A378" i="16"/>
  <c r="AB377" i="16"/>
  <c r="L377" i="16"/>
  <c r="K377" i="16"/>
  <c r="X377" i="16"/>
  <c r="A373" i="23"/>
  <c r="AB372" i="23"/>
  <c r="L372" i="23"/>
  <c r="K372" i="23"/>
  <c r="X372" i="23"/>
  <c r="L370" i="25"/>
  <c r="K370" i="25"/>
  <c r="A371" i="25"/>
  <c r="X370" i="25"/>
  <c r="AB370" i="25"/>
  <c r="X373" i="22"/>
  <c r="K373" i="22"/>
  <c r="L373" i="22"/>
  <c r="A374" i="22"/>
  <c r="AB373" i="22"/>
  <c r="D376" i="15"/>
  <c r="L377" i="15"/>
  <c r="D377" i="15" s="1"/>
  <c r="K377" i="15"/>
  <c r="X377" i="15"/>
  <c r="A378" i="15"/>
  <c r="AB377" i="15"/>
  <c r="X371" i="24"/>
  <c r="A372" i="24"/>
  <c r="K371" i="24"/>
  <c r="AB371" i="24"/>
  <c r="L371" i="24"/>
  <c r="AK5" i="1"/>
  <c r="AM9" i="1"/>
  <c r="AM5" i="1"/>
  <c r="AM7" i="1"/>
  <c r="AM11" i="1" s="1"/>
  <c r="AK7" i="1"/>
  <c r="AK11" i="1" s="1"/>
  <c r="AK9" i="1"/>
  <c r="AK6" i="1"/>
  <c r="L374" i="20"/>
  <c r="X374" i="20"/>
  <c r="K374" i="20"/>
  <c r="A375" i="20"/>
  <c r="AB374" i="20"/>
  <c r="AB375" i="18"/>
  <c r="A376" i="18"/>
  <c r="X375" i="18"/>
  <c r="K375" i="18"/>
  <c r="L375" i="18"/>
  <c r="A378" i="17"/>
  <c r="L377" i="17"/>
  <c r="K377" i="17"/>
  <c r="AB377" i="17"/>
  <c r="X377" i="17"/>
  <c r="D377" i="17"/>
  <c r="K375" i="20"/>
  <c r="X375" i="20"/>
  <c r="AB375" i="20"/>
  <c r="A376" i="20"/>
  <c r="L375" i="20"/>
  <c r="AB378" i="17"/>
  <c r="K378" i="17"/>
  <c r="A379" i="17"/>
  <c r="L378" i="17"/>
  <c r="D378" i="17" s="1"/>
  <c r="X378" i="17"/>
  <c r="X376" i="18"/>
  <c r="K376" i="18"/>
  <c r="L376" i="18"/>
  <c r="A377" i="18"/>
  <c r="AB376" i="18"/>
  <c r="L372" i="24"/>
  <c r="X372" i="24"/>
  <c r="A373" i="24"/>
  <c r="K372" i="24"/>
  <c r="AB372" i="24"/>
  <c r="AB378" i="15"/>
  <c r="A379" i="15"/>
  <c r="X378" i="15"/>
  <c r="K378" i="15"/>
  <c r="L378" i="15"/>
  <c r="D378" i="15" s="1"/>
  <c r="K374" i="22"/>
  <c r="L374" i="22"/>
  <c r="X374" i="22"/>
  <c r="AB374" i="22"/>
  <c r="A375" i="22"/>
  <c r="X371" i="25"/>
  <c r="AB371" i="25"/>
  <c r="A372" i="25"/>
  <c r="L371" i="25"/>
  <c r="K371" i="25"/>
  <c r="K373" i="23"/>
  <c r="L373" i="23"/>
  <c r="AB373" i="23"/>
  <c r="X373" i="23"/>
  <c r="A374" i="23"/>
  <c r="D377" i="16"/>
  <c r="A379" i="16"/>
  <c r="L378" i="16"/>
  <c r="D378" i="16" s="1"/>
  <c r="K378" i="16"/>
  <c r="X378" i="16"/>
  <c r="AB378" i="16"/>
  <c r="A373" i="25"/>
  <c r="AB372" i="25"/>
  <c r="X372" i="25"/>
  <c r="L372" i="25"/>
  <c r="K372" i="25"/>
  <c r="L379" i="15"/>
  <c r="K379" i="15"/>
  <c r="AB379" i="15"/>
  <c r="X379" i="15"/>
  <c r="AB376" i="20"/>
  <c r="L376" i="20"/>
  <c r="X376" i="20"/>
  <c r="K376" i="20"/>
  <c r="A377" i="20"/>
  <c r="AB379" i="16"/>
  <c r="X379" i="16"/>
  <c r="L379" i="16"/>
  <c r="A380" i="16"/>
  <c r="K379" i="16"/>
  <c r="L374" i="23"/>
  <c r="K374" i="23"/>
  <c r="A375" i="23"/>
  <c r="AB374" i="23"/>
  <c r="X374" i="23"/>
  <c r="L375" i="22"/>
  <c r="X375" i="22"/>
  <c r="A376" i="22"/>
  <c r="K375" i="22"/>
  <c r="AB375" i="22"/>
  <c r="L373" i="24"/>
  <c r="AB373" i="24"/>
  <c r="K373" i="24"/>
  <c r="A374" i="24"/>
  <c r="X373" i="24"/>
  <c r="A378" i="18"/>
  <c r="L377" i="18"/>
  <c r="X377" i="18"/>
  <c r="AB377" i="18"/>
  <c r="K377" i="18"/>
  <c r="X379" i="17"/>
  <c r="K379" i="17"/>
  <c r="AB379" i="17"/>
  <c r="L379" i="17"/>
  <c r="X374" i="24"/>
  <c r="K374" i="24"/>
  <c r="L374" i="24"/>
  <c r="A375" i="24"/>
  <c r="AB374" i="24"/>
  <c r="AB373" i="25"/>
  <c r="A374" i="25"/>
  <c r="L373" i="25"/>
  <c r="K373" i="25"/>
  <c r="X373" i="25"/>
  <c r="AB378" i="18"/>
  <c r="L378" i="18"/>
  <c r="A379" i="18"/>
  <c r="X378" i="18"/>
  <c r="K378" i="18"/>
  <c r="K376" i="22"/>
  <c r="AB376" i="22"/>
  <c r="X376" i="22"/>
  <c r="A377" i="22"/>
  <c r="L376" i="22"/>
  <c r="K375" i="23"/>
  <c r="A376" i="23"/>
  <c r="AB375" i="23"/>
  <c r="X375" i="23"/>
  <c r="L375" i="23"/>
  <c r="X380" i="16"/>
  <c r="K380" i="16"/>
  <c r="L380" i="16"/>
  <c r="D380" i="16" s="1"/>
  <c r="AB380" i="16"/>
  <c r="AB377" i="20"/>
  <c r="L377" i="20"/>
  <c r="K377" i="20"/>
  <c r="A378" i="20"/>
  <c r="X377" i="20"/>
  <c r="L378" i="20"/>
  <c r="A379" i="20"/>
  <c r="X378" i="20"/>
  <c r="AB378" i="20"/>
  <c r="K378" i="20"/>
  <c r="AB375" i="24"/>
  <c r="A376" i="24"/>
  <c r="L375" i="24"/>
  <c r="K375" i="24"/>
  <c r="X375" i="24"/>
  <c r="AB379" i="18"/>
  <c r="L379" i="18"/>
  <c r="B39" i="19" s="1"/>
  <c r="X379" i="18"/>
  <c r="K379" i="18"/>
  <c r="K376" i="23"/>
  <c r="AB376" i="23"/>
  <c r="A377" i="23"/>
  <c r="X376" i="23"/>
  <c r="L376" i="23"/>
  <c r="L377" i="22"/>
  <c r="AB377" i="22"/>
  <c r="X377" i="22"/>
  <c r="A378" i="22"/>
  <c r="K377" i="22"/>
  <c r="L374" i="25"/>
  <c r="AB374" i="25"/>
  <c r="K374" i="25"/>
  <c r="X374" i="25"/>
  <c r="A375" i="25"/>
  <c r="AB375" i="25"/>
  <c r="K375" i="25"/>
  <c r="A376" i="25"/>
  <c r="L375" i="25"/>
  <c r="X375" i="25"/>
  <c r="X378" i="22"/>
  <c r="L378" i="22"/>
  <c r="AB378" i="22"/>
  <c r="K378" i="22"/>
  <c r="A379" i="22"/>
  <c r="X377" i="23"/>
  <c r="L377" i="23"/>
  <c r="AB377" i="23"/>
  <c r="A378" i="23"/>
  <c r="K377" i="23"/>
  <c r="X376" i="24"/>
  <c r="A377" i="24"/>
  <c r="AB376" i="24"/>
  <c r="L376" i="24"/>
  <c r="K376" i="24"/>
  <c r="X379" i="20"/>
  <c r="K379" i="20"/>
  <c r="AB379" i="20"/>
  <c r="L379" i="20"/>
  <c r="B40" i="19" s="1"/>
  <c r="X378" i="23"/>
  <c r="AB378" i="23"/>
  <c r="A379" i="23"/>
  <c r="K378" i="23"/>
  <c r="L378" i="23"/>
  <c r="AB377" i="24"/>
  <c r="A378" i="24"/>
  <c r="X377" i="24"/>
  <c r="L377" i="24"/>
  <c r="K377" i="24"/>
  <c r="AB379" i="22"/>
  <c r="X379" i="22"/>
  <c r="A380" i="22"/>
  <c r="K379" i="22"/>
  <c r="L379" i="22"/>
  <c r="B41" i="19" s="1"/>
  <c r="L376" i="25"/>
  <c r="A377" i="25"/>
  <c r="AB376" i="25"/>
  <c r="X376" i="25"/>
  <c r="K376" i="25"/>
  <c r="A379" i="24"/>
  <c r="AB378" i="24"/>
  <c r="L378" i="24"/>
  <c r="K378" i="24"/>
  <c r="X378" i="24"/>
  <c r="K379" i="23"/>
  <c r="AB379" i="23"/>
  <c r="X379" i="23"/>
  <c r="L379" i="23"/>
  <c r="B42" i="19" s="1"/>
  <c r="K377" i="25"/>
  <c r="L377" i="25"/>
  <c r="AB377" i="25"/>
  <c r="A378" i="25"/>
  <c r="X377" i="25"/>
  <c r="AB380" i="22"/>
  <c r="L380" i="22"/>
  <c r="K380" i="22"/>
  <c r="X380" i="22"/>
  <c r="X378" i="25"/>
  <c r="AB378" i="25"/>
  <c r="K378" i="25"/>
  <c r="L378" i="25"/>
  <c r="A379" i="25"/>
  <c r="AB379" i="24"/>
  <c r="K379" i="24"/>
  <c r="L379" i="24"/>
  <c r="B43" i="19" s="1"/>
  <c r="X379" i="24"/>
  <c r="K379" i="25"/>
  <c r="AB379" i="25"/>
  <c r="L379" i="25"/>
  <c r="B44" i="19" s="1"/>
  <c r="X379" i="25"/>
  <c r="H72" i="26"/>
  <c r="S77" i="26"/>
  <c r="I55" i="26"/>
  <c r="I42" i="26"/>
  <c r="O78" i="26"/>
  <c r="V72" i="26"/>
  <c r="T73" i="26"/>
  <c r="S73" i="26"/>
  <c r="T72" i="26"/>
  <c r="U73" i="26"/>
  <c r="W73" i="26"/>
  <c r="Q73" i="26"/>
  <c r="R76" i="26"/>
  <c r="Z56" i="26"/>
  <c r="X56" i="26"/>
  <c r="X72" i="26"/>
  <c r="Z72" i="26"/>
  <c r="AF72" i="26"/>
  <c r="R72" i="26"/>
  <c r="S72" i="26"/>
  <c r="Z74" i="26"/>
  <c r="AF73" i="26"/>
  <c r="P74" i="26"/>
  <c r="Y77" i="26"/>
  <c r="T78" i="26"/>
  <c r="W78" i="26"/>
  <c r="Y72" i="26"/>
  <c r="P72" i="26"/>
  <c r="U72" i="26"/>
  <c r="F73" i="26"/>
  <c r="H73" i="26"/>
  <c r="W72" i="26"/>
  <c r="F72" i="26"/>
  <c r="X74" i="26"/>
  <c r="G23" i="26"/>
  <c r="M59" i="26"/>
  <c r="I28" i="26"/>
  <c r="O64" i="26"/>
  <c r="P79" i="26"/>
  <c r="X76" i="26"/>
  <c r="Z76" i="26"/>
  <c r="AB75" i="26"/>
  <c r="AA75" i="26"/>
  <c r="W79" i="26"/>
  <c r="T55" i="26"/>
  <c r="P56" i="26"/>
  <c r="R56" i="26"/>
  <c r="G32" i="26"/>
  <c r="M68" i="26"/>
  <c r="AF75" i="26"/>
  <c r="D55" i="26"/>
  <c r="R55" i="26"/>
  <c r="BM14" i="6"/>
  <c r="S55" i="26"/>
  <c r="E72" i="26"/>
  <c r="E11" i="26"/>
  <c r="D11" i="26"/>
  <c r="W55" i="26"/>
  <c r="J55" i="26"/>
  <c r="I73" i="26"/>
  <c r="BQ14" i="6"/>
  <c r="I72" i="26"/>
  <c r="X75" i="26"/>
  <c r="Y75" i="26"/>
  <c r="T75" i="26"/>
  <c r="V75" i="26"/>
  <c r="W75" i="26"/>
  <c r="Y74" i="26"/>
  <c r="R74" i="26"/>
  <c r="S74" i="26"/>
  <c r="T74" i="26"/>
  <c r="W74" i="26"/>
  <c r="Q74" i="26"/>
  <c r="S56" i="26"/>
  <c r="W56" i="26"/>
  <c r="V56" i="26"/>
  <c r="Q56" i="26"/>
  <c r="T56" i="26"/>
  <c r="G31" i="26"/>
  <c r="M67" i="26"/>
  <c r="G35" i="26"/>
  <c r="M71" i="26"/>
  <c r="G33" i="26"/>
  <c r="M69" i="26"/>
  <c r="I31" i="26"/>
  <c r="I30" i="26"/>
  <c r="O66" i="26"/>
  <c r="I27" i="26"/>
  <c r="O63" i="26"/>
  <c r="P54" i="26"/>
  <c r="G22" i="26"/>
  <c r="M58" i="26"/>
  <c r="N55" i="26"/>
  <c r="I25" i="26"/>
  <c r="U76" i="26"/>
  <c r="V76" i="26"/>
  <c r="W76" i="26"/>
  <c r="S76" i="26"/>
  <c r="P76" i="26"/>
  <c r="Q76" i="26"/>
  <c r="V79" i="26"/>
  <c r="Z79" i="26"/>
  <c r="T79" i="26"/>
  <c r="X79" i="26"/>
  <c r="R79" i="26"/>
  <c r="U79" i="26"/>
  <c r="I24" i="26"/>
  <c r="O60" i="26"/>
  <c r="G28" i="26"/>
  <c r="M64" i="26"/>
  <c r="G34" i="26"/>
  <c r="M70" i="26"/>
  <c r="I34" i="26"/>
  <c r="O70" i="26"/>
  <c r="N5" i="26"/>
  <c r="H21" i="26"/>
  <c r="T57" i="26"/>
  <c r="E10" i="26"/>
  <c r="D10" i="26"/>
  <c r="E12" i="26"/>
  <c r="D12" i="26"/>
  <c r="I20" i="26"/>
  <c r="O56" i="26"/>
  <c r="O54" i="26"/>
  <c r="I21" i="26"/>
  <c r="U77" i="26"/>
  <c r="Q77" i="26"/>
  <c r="Z77" i="26"/>
  <c r="X77" i="26"/>
  <c r="R77" i="26"/>
  <c r="V77" i="26"/>
  <c r="S78" i="26"/>
  <c r="R78" i="26"/>
  <c r="X78" i="26"/>
  <c r="Y78" i="26"/>
  <c r="P78" i="26"/>
  <c r="U78" i="26"/>
  <c r="I41" i="26"/>
  <c r="O77" i="26"/>
  <c r="C55" i="26"/>
  <c r="W57" i="26"/>
  <c r="I36" i="26"/>
  <c r="I37" i="26"/>
  <c r="O73" i="26"/>
  <c r="I38" i="26"/>
  <c r="O74" i="26"/>
  <c r="I39" i="26"/>
  <c r="O75" i="26"/>
  <c r="I43" i="26"/>
  <c r="O79" i="26"/>
  <c r="I32" i="26"/>
  <c r="I35" i="26"/>
  <c r="G25" i="26"/>
  <c r="I26" i="26"/>
  <c r="G27" i="26"/>
  <c r="G29" i="26"/>
  <c r="G30" i="26"/>
  <c r="AB72" i="26"/>
  <c r="AA72" i="26"/>
  <c r="AB73" i="26"/>
  <c r="AA73" i="26"/>
  <c r="AF74" i="26"/>
  <c r="AB74" i="26"/>
  <c r="AA74" i="26"/>
  <c r="AF78" i="26"/>
  <c r="AB79" i="26"/>
  <c r="AA79" i="26"/>
  <c r="AF79" i="26"/>
  <c r="AB78" i="26"/>
  <c r="AA78" i="26"/>
  <c r="O61" i="26"/>
  <c r="J24" i="26"/>
  <c r="J30" i="26"/>
  <c r="O67" i="26"/>
  <c r="D72" i="26"/>
  <c r="D73" i="26"/>
  <c r="BL14" i="6"/>
  <c r="K55" i="26"/>
  <c r="BR14" i="6"/>
  <c r="J72" i="26"/>
  <c r="J73" i="26"/>
  <c r="X55" i="26"/>
  <c r="I11" i="26"/>
  <c r="J27" i="26"/>
  <c r="M65" i="26"/>
  <c r="O62" i="26"/>
  <c r="J25" i="26"/>
  <c r="O71" i="26"/>
  <c r="J34" i="26"/>
  <c r="J35" i="26"/>
  <c r="O72" i="26"/>
  <c r="Q55" i="26"/>
  <c r="B55" i="26"/>
  <c r="BK14" i="6"/>
  <c r="C72" i="26"/>
  <c r="C73" i="26"/>
  <c r="J26" i="26"/>
  <c r="O57" i="26"/>
  <c r="J21" i="26"/>
  <c r="J20" i="26"/>
  <c r="M66" i="26"/>
  <c r="M63" i="26"/>
  <c r="M61" i="26"/>
  <c r="J31" i="26"/>
  <c r="O68" i="26"/>
  <c r="AB77" i="26"/>
  <c r="AA77" i="26"/>
  <c r="AF76" i="26"/>
  <c r="AF77" i="26"/>
  <c r="AB76" i="26"/>
  <c r="AA76" i="26"/>
  <c r="I12" i="26"/>
  <c r="D16" i="26"/>
  <c r="F16" i="26"/>
  <c r="I10" i="26"/>
  <c r="U57" i="26"/>
  <c r="X57" i="26"/>
  <c r="P57" i="26"/>
  <c r="S57" i="26"/>
  <c r="V57" i="26"/>
  <c r="Y57" i="26"/>
  <c r="Q57" i="26"/>
  <c r="Z57" i="26"/>
  <c r="R57" i="26"/>
  <c r="L55" i="26"/>
  <c r="K73" i="26"/>
  <c r="BS14" i="6"/>
  <c r="K72" i="26"/>
  <c r="Y55" i="26"/>
  <c r="D35" i="26"/>
  <c r="F35" i="26"/>
  <c r="D25" i="26"/>
  <c r="F25" i="26"/>
  <c r="D33" i="26"/>
  <c r="F33" i="26"/>
  <c r="D31" i="26"/>
  <c r="F31" i="26"/>
  <c r="D32" i="26"/>
  <c r="F32" i="26"/>
  <c r="D34" i="26"/>
  <c r="F34" i="26"/>
  <c r="F17" i="26"/>
  <c r="F18" i="26"/>
  <c r="F19" i="26"/>
  <c r="F14" i="26"/>
  <c r="BJ14" i="6"/>
  <c r="P55" i="26"/>
  <c r="B73" i="26"/>
  <c r="B72" i="26"/>
  <c r="B71" i="26"/>
  <c r="AB56" i="26"/>
  <c r="AA56" i="26"/>
  <c r="AF56" i="26"/>
  <c r="D30" i="26"/>
  <c r="F30" i="26"/>
  <c r="D27" i="26"/>
  <c r="F27" i="26"/>
  <c r="D26" i="26"/>
  <c r="F26" i="26"/>
  <c r="D22" i="26"/>
  <c r="F22" i="26"/>
  <c r="D24" i="26"/>
  <c r="F24" i="26"/>
  <c r="D23" i="26"/>
  <c r="F23" i="26"/>
  <c r="D29" i="26"/>
  <c r="F29" i="26"/>
  <c r="D28" i="26"/>
  <c r="F28" i="26"/>
  <c r="B69" i="26"/>
  <c r="P69" i="26"/>
  <c r="P71" i="26"/>
  <c r="G70" i="26"/>
  <c r="U70" i="26"/>
  <c r="B70" i="26"/>
  <c r="P70" i="26"/>
  <c r="F70" i="26"/>
  <c r="T70" i="26"/>
  <c r="D70" i="26"/>
  <c r="R70" i="26"/>
  <c r="K70" i="26"/>
  <c r="Y70" i="26"/>
  <c r="H70" i="26"/>
  <c r="V70" i="26"/>
  <c r="L70" i="26"/>
  <c r="Z70" i="26"/>
  <c r="E70" i="26"/>
  <c r="S70" i="26"/>
  <c r="C70" i="26"/>
  <c r="Q70" i="26"/>
  <c r="J70" i="26"/>
  <c r="X70" i="26"/>
  <c r="I70" i="26"/>
  <c r="W70" i="26"/>
  <c r="I69" i="26"/>
  <c r="W69" i="26"/>
  <c r="J69" i="26"/>
  <c r="X69" i="26"/>
  <c r="D69" i="26"/>
  <c r="R69" i="26"/>
  <c r="K69" i="26"/>
  <c r="Y69" i="26"/>
  <c r="C69" i="26"/>
  <c r="Q69" i="26"/>
  <c r="L69" i="26"/>
  <c r="Z69" i="26"/>
  <c r="AF69" i="26"/>
  <c r="G69" i="26"/>
  <c r="U69" i="26"/>
  <c r="F69" i="26"/>
  <c r="T69" i="26"/>
  <c r="E69" i="26"/>
  <c r="S69" i="26"/>
  <c r="H69" i="26"/>
  <c r="V69" i="26"/>
  <c r="J71" i="26"/>
  <c r="X71" i="26"/>
  <c r="I71" i="26"/>
  <c r="W71" i="26"/>
  <c r="D71" i="26"/>
  <c r="R71" i="26"/>
  <c r="K71" i="26"/>
  <c r="Y71" i="26"/>
  <c r="F71" i="26"/>
  <c r="T71" i="26"/>
  <c r="L71" i="26"/>
  <c r="Z71" i="26"/>
  <c r="AF71" i="26"/>
  <c r="H71" i="26"/>
  <c r="V71" i="26"/>
  <c r="C71" i="26"/>
  <c r="Q71" i="26"/>
  <c r="G71" i="26"/>
  <c r="U71" i="26"/>
  <c r="E71" i="26"/>
  <c r="S71" i="26"/>
  <c r="F68" i="26"/>
  <c r="T68" i="26"/>
  <c r="B68" i="26"/>
  <c r="P68" i="26"/>
  <c r="J68" i="26"/>
  <c r="X68" i="26"/>
  <c r="G68" i="26"/>
  <c r="U68" i="26"/>
  <c r="I68" i="26"/>
  <c r="W68" i="26"/>
  <c r="D68" i="26"/>
  <c r="R68" i="26"/>
  <c r="C68" i="26"/>
  <c r="Q68" i="26"/>
  <c r="E68" i="26"/>
  <c r="S68" i="26"/>
  <c r="K68" i="26"/>
  <c r="Y68" i="26"/>
  <c r="L68" i="26"/>
  <c r="Z68" i="26"/>
  <c r="AB68" i="26"/>
  <c r="H68" i="26"/>
  <c r="V68" i="26"/>
  <c r="D67" i="26"/>
  <c r="R67" i="26"/>
  <c r="J67" i="26"/>
  <c r="X67" i="26"/>
  <c r="F67" i="26"/>
  <c r="T67" i="26"/>
  <c r="H67" i="26"/>
  <c r="V67" i="26"/>
  <c r="L67" i="26"/>
  <c r="Z67" i="26"/>
  <c r="AF67" i="26"/>
  <c r="C67" i="26"/>
  <c r="Q67" i="26"/>
  <c r="E67" i="26"/>
  <c r="S67" i="26"/>
  <c r="I67" i="26"/>
  <c r="W67" i="26"/>
  <c r="K67" i="26"/>
  <c r="Y67" i="26"/>
  <c r="G67" i="26"/>
  <c r="U67" i="26"/>
  <c r="B67" i="26"/>
  <c r="P67" i="26"/>
  <c r="I61" i="26"/>
  <c r="W61" i="26"/>
  <c r="G61" i="26"/>
  <c r="U61" i="26"/>
  <c r="K61" i="26"/>
  <c r="Y61" i="26"/>
  <c r="F61" i="26"/>
  <c r="T61" i="26"/>
  <c r="L61" i="26"/>
  <c r="Z61" i="26"/>
  <c r="H61" i="26"/>
  <c r="V61" i="26"/>
  <c r="J61" i="26"/>
  <c r="X61" i="26"/>
  <c r="E61" i="26"/>
  <c r="S61" i="26"/>
  <c r="D61" i="26"/>
  <c r="R61" i="26"/>
  <c r="C61" i="26"/>
  <c r="Q61" i="26"/>
  <c r="B61" i="26"/>
  <c r="P61" i="26"/>
  <c r="Z55" i="26"/>
  <c r="BT14" i="6"/>
  <c r="L72" i="26"/>
  <c r="L73" i="26"/>
  <c r="H64" i="26"/>
  <c r="V64" i="26"/>
  <c r="I64" i="26"/>
  <c r="W64" i="26"/>
  <c r="C64" i="26"/>
  <c r="Q64" i="26"/>
  <c r="K64" i="26"/>
  <c r="Y64" i="26"/>
  <c r="F64" i="26"/>
  <c r="T64" i="26"/>
  <c r="E64" i="26"/>
  <c r="S64" i="26"/>
  <c r="D64" i="26"/>
  <c r="R64" i="26"/>
  <c r="J64" i="26"/>
  <c r="X64" i="26"/>
  <c r="B64" i="26"/>
  <c r="P64" i="26"/>
  <c r="L64" i="26"/>
  <c r="Z64" i="26"/>
  <c r="G64" i="26"/>
  <c r="U64" i="26"/>
  <c r="H28" i="26"/>
  <c r="I60" i="26"/>
  <c r="W60" i="26"/>
  <c r="K60" i="26"/>
  <c r="Y60" i="26"/>
  <c r="L60" i="26"/>
  <c r="Z60" i="26"/>
  <c r="B60" i="26"/>
  <c r="P60" i="26"/>
  <c r="J60" i="26"/>
  <c r="X60" i="26"/>
  <c r="E60" i="26"/>
  <c r="S60" i="26"/>
  <c r="D60" i="26"/>
  <c r="R60" i="26"/>
  <c r="F60" i="26"/>
  <c r="T60" i="26"/>
  <c r="H60" i="26"/>
  <c r="V60" i="26"/>
  <c r="H24" i="26"/>
  <c r="C60" i="26"/>
  <c r="Q60" i="26"/>
  <c r="G60" i="26"/>
  <c r="U60" i="26"/>
  <c r="I63" i="26"/>
  <c r="W63" i="26"/>
  <c r="K63" i="26"/>
  <c r="Y63" i="26"/>
  <c r="L63" i="26"/>
  <c r="Z63" i="26"/>
  <c r="J63" i="26"/>
  <c r="X63" i="26"/>
  <c r="G63" i="26"/>
  <c r="U63" i="26"/>
  <c r="D63" i="26"/>
  <c r="R63" i="26"/>
  <c r="C63" i="26"/>
  <c r="Q63" i="26"/>
  <c r="E63" i="26"/>
  <c r="S63" i="26"/>
  <c r="B63" i="26"/>
  <c r="P63" i="26"/>
  <c r="F63" i="26"/>
  <c r="T63" i="26"/>
  <c r="H63" i="26"/>
  <c r="V63" i="26"/>
  <c r="H27" i="26"/>
  <c r="R3" i="26"/>
  <c r="H35" i="26"/>
  <c r="H34" i="26"/>
  <c r="H32" i="26"/>
  <c r="H33" i="26"/>
  <c r="H31" i="26"/>
  <c r="H25" i="26"/>
  <c r="G65" i="26"/>
  <c r="U65" i="26"/>
  <c r="I65" i="26"/>
  <c r="W65" i="26"/>
  <c r="C65" i="26"/>
  <c r="Q65" i="26"/>
  <c r="D65" i="26"/>
  <c r="R65" i="26"/>
  <c r="B65" i="26"/>
  <c r="P65" i="26"/>
  <c r="E65" i="26"/>
  <c r="S65" i="26"/>
  <c r="L65" i="26"/>
  <c r="Z65" i="26"/>
  <c r="H65" i="26"/>
  <c r="V65" i="26"/>
  <c r="F65" i="26"/>
  <c r="T65" i="26"/>
  <c r="J65" i="26"/>
  <c r="X65" i="26"/>
  <c r="K65" i="26"/>
  <c r="Y65" i="26"/>
  <c r="H29" i="26"/>
  <c r="F59" i="26"/>
  <c r="T59" i="26"/>
  <c r="L59" i="26"/>
  <c r="Z59" i="26"/>
  <c r="H59" i="26"/>
  <c r="V59" i="26"/>
  <c r="K59" i="26"/>
  <c r="Y59" i="26"/>
  <c r="G59" i="26"/>
  <c r="U59" i="26"/>
  <c r="H23" i="26"/>
  <c r="I59" i="26"/>
  <c r="W59" i="26"/>
  <c r="C59" i="26"/>
  <c r="Q59" i="26"/>
  <c r="D59" i="26"/>
  <c r="R59" i="26"/>
  <c r="B59" i="26"/>
  <c r="P59" i="26"/>
  <c r="E59" i="26"/>
  <c r="S59" i="26"/>
  <c r="J59" i="26"/>
  <c r="X59" i="26"/>
  <c r="D58" i="26"/>
  <c r="R58" i="26"/>
  <c r="G58" i="26"/>
  <c r="U58" i="26"/>
  <c r="H22" i="26"/>
  <c r="J58" i="26"/>
  <c r="X58" i="26"/>
  <c r="F58" i="26"/>
  <c r="T58" i="26"/>
  <c r="E58" i="26"/>
  <c r="S58" i="26"/>
  <c r="C58" i="26"/>
  <c r="Q58" i="26"/>
  <c r="B58" i="26"/>
  <c r="P58" i="26"/>
  <c r="K58" i="26"/>
  <c r="Y58" i="26"/>
  <c r="I58" i="26"/>
  <c r="W58" i="26"/>
  <c r="H58" i="26"/>
  <c r="V58" i="26"/>
  <c r="L58" i="26"/>
  <c r="Z58" i="26"/>
  <c r="H26" i="26"/>
  <c r="C62" i="26"/>
  <c r="Q62" i="26"/>
  <c r="G62" i="26"/>
  <c r="U62" i="26"/>
  <c r="D62" i="26"/>
  <c r="R62" i="26"/>
  <c r="J62" i="26"/>
  <c r="X62" i="26"/>
  <c r="L62" i="26"/>
  <c r="Z62" i="26"/>
  <c r="AB61" i="26"/>
  <c r="AA61" i="26"/>
  <c r="B62" i="26"/>
  <c r="P62" i="26"/>
  <c r="H62" i="26"/>
  <c r="V62" i="26"/>
  <c r="K62" i="26"/>
  <c r="Y62" i="26"/>
  <c r="F62" i="26"/>
  <c r="T62" i="26"/>
  <c r="I62" i="26"/>
  <c r="W62" i="26"/>
  <c r="E62" i="26"/>
  <c r="S62" i="26"/>
  <c r="D66" i="26"/>
  <c r="R66" i="26"/>
  <c r="C66" i="26"/>
  <c r="Q66" i="26"/>
  <c r="I66" i="26"/>
  <c r="W66" i="26"/>
  <c r="E66" i="26"/>
  <c r="S66" i="26"/>
  <c r="G66" i="26"/>
  <c r="U66" i="26"/>
  <c r="J66" i="26"/>
  <c r="X66" i="26"/>
  <c r="K66" i="26"/>
  <c r="Y66" i="26"/>
  <c r="F66" i="26"/>
  <c r="T66" i="26"/>
  <c r="L66" i="26"/>
  <c r="Z66" i="26"/>
  <c r="B66" i="26"/>
  <c r="P66" i="26"/>
  <c r="H66" i="26"/>
  <c r="V66" i="26"/>
  <c r="H30" i="26"/>
  <c r="AB71" i="26"/>
  <c r="AA71" i="26"/>
  <c r="AB70" i="26"/>
  <c r="AA70" i="26"/>
  <c r="AF70" i="26"/>
  <c r="AB67" i="26"/>
  <c r="AA67" i="26"/>
  <c r="AF68" i="26"/>
  <c r="AB69" i="26"/>
  <c r="AC69" i="26"/>
  <c r="I33" i="26"/>
  <c r="O69" i="26"/>
  <c r="AF66" i="26"/>
  <c r="AB66" i="26"/>
  <c r="AA66" i="26"/>
  <c r="AB65" i="26"/>
  <c r="AC65" i="26"/>
  <c r="I29" i="26"/>
  <c r="AF65" i="26"/>
  <c r="AB64" i="26"/>
  <c r="AF64" i="26"/>
  <c r="J32" i="26"/>
  <c r="AA68" i="26"/>
  <c r="AF62" i="26"/>
  <c r="AB62" i="26"/>
  <c r="AA62" i="26"/>
  <c r="AB58" i="26"/>
  <c r="AF58" i="26"/>
  <c r="AB57" i="26"/>
  <c r="AA57" i="26"/>
  <c r="AF57" i="26"/>
  <c r="AB59" i="26"/>
  <c r="AF59" i="26"/>
  <c r="AB63" i="26"/>
  <c r="AA63" i="26"/>
  <c r="AF63" i="26"/>
  <c r="AB60" i="26"/>
  <c r="AF60" i="26"/>
  <c r="AF61" i="26"/>
  <c r="J33" i="26"/>
  <c r="AA69" i="26"/>
  <c r="AC59" i="26"/>
  <c r="I23" i="26"/>
  <c r="AA60" i="26"/>
  <c r="J28" i="26"/>
  <c r="AA64" i="26"/>
  <c r="J29" i="26"/>
  <c r="AA65" i="26"/>
  <c r="O65" i="26"/>
  <c r="J23" i="26"/>
  <c r="AA59" i="26"/>
  <c r="J22" i="26"/>
  <c r="AA58" i="26"/>
  <c r="O59" i="26"/>
  <c r="A82" i="26" a="1"/>
  <c r="A85" i="26"/>
  <c r="C91" i="26"/>
  <c r="V89" i="26"/>
  <c r="P94" i="26"/>
  <c r="U85" i="26"/>
  <c r="A83" i="26"/>
  <c r="G87" i="26"/>
  <c r="R94" i="26"/>
  <c r="G90" i="26"/>
  <c r="C88" i="26"/>
  <c r="U93" i="26"/>
  <c r="K87" i="26"/>
  <c r="X84" i="26"/>
  <c r="Q85" i="26"/>
  <c r="D84" i="26"/>
  <c r="U88" i="26"/>
  <c r="S89" i="26"/>
  <c r="E92" i="26"/>
  <c r="L89" i="26"/>
  <c r="O89" i="26"/>
  <c r="J87" i="26"/>
  <c r="C89" i="26"/>
  <c r="F89" i="26"/>
  <c r="P86" i="26"/>
  <c r="C85" i="26"/>
  <c r="E83" i="26"/>
  <c r="U90" i="26"/>
  <c r="Q90" i="26"/>
  <c r="R90" i="26"/>
  <c r="M92" i="26"/>
  <c r="B88" i="26"/>
  <c r="Y83" i="26"/>
  <c r="O85" i="26"/>
  <c r="C82" i="26"/>
  <c r="R93" i="26"/>
  <c r="A92" i="26"/>
  <c r="Z85" i="26"/>
  <c r="B87" i="26"/>
  <c r="B84" i="26"/>
  <c r="Y84" i="26"/>
  <c r="K82" i="26"/>
  <c r="C83" i="26"/>
  <c r="A94" i="26"/>
  <c r="I88" i="26"/>
  <c r="H87" i="26"/>
  <c r="M83" i="26"/>
  <c r="J94" i="26"/>
  <c r="Q87" i="26"/>
  <c r="N92" i="26"/>
  <c r="I94" i="26"/>
  <c r="E91" i="26"/>
  <c r="S92" i="26"/>
  <c r="Z84" i="26"/>
  <c r="Q92" i="26"/>
  <c r="P90" i="26"/>
  <c r="S88" i="26"/>
  <c r="E90" i="26"/>
  <c r="U82" i="26"/>
  <c r="T83" i="26"/>
  <c r="Y82" i="26"/>
  <c r="M84" i="26"/>
  <c r="U84" i="26"/>
  <c r="X86" i="26"/>
  <c r="L88" i="26"/>
  <c r="A84" i="26"/>
  <c r="K83" i="26"/>
  <c r="A87" i="26"/>
  <c r="X89" i="26"/>
  <c r="E87" i="26"/>
  <c r="L93" i="26"/>
  <c r="I87" i="26"/>
  <c r="G92" i="26"/>
  <c r="G84" i="26"/>
  <c r="O90" i="26"/>
  <c r="A89" i="26"/>
  <c r="U92" i="26"/>
  <c r="M94" i="26"/>
  <c r="I82" i="26"/>
  <c r="F87" i="26"/>
  <c r="L87" i="26"/>
  <c r="Y86" i="26"/>
  <c r="E89" i="26"/>
  <c r="W86" i="26"/>
  <c r="Q91" i="26"/>
  <c r="H82" i="26"/>
  <c r="H88" i="26"/>
  <c r="B89" i="26"/>
  <c r="B93" i="26"/>
  <c r="Q82" i="26"/>
  <c r="N94" i="26"/>
  <c r="G86" i="26"/>
  <c r="E93" i="26"/>
  <c r="I83" i="26"/>
  <c r="Q84" i="26"/>
  <c r="I92" i="26"/>
  <c r="S87" i="26"/>
  <c r="T82" i="26"/>
  <c r="R87" i="26"/>
  <c r="X91" i="26"/>
  <c r="S94" i="26"/>
  <c r="V92" i="26"/>
  <c r="M82" i="26"/>
  <c r="R85" i="26"/>
  <c r="V88" i="26"/>
  <c r="F83" i="26"/>
  <c r="Z90" i="26"/>
  <c r="R84" i="26"/>
  <c r="K90" i="26"/>
  <c r="O94" i="26"/>
  <c r="P84" i="26"/>
  <c r="Y85" i="26"/>
  <c r="X94" i="26"/>
  <c r="Y89" i="26"/>
  <c r="X83" i="26"/>
  <c r="L92" i="26"/>
  <c r="U89" i="26"/>
  <c r="E88" i="26"/>
  <c r="H94" i="26"/>
  <c r="H93" i="26"/>
  <c r="Z82" i="26"/>
  <c r="E82" i="26"/>
  <c r="O84" i="26"/>
  <c r="E86" i="26"/>
  <c r="Z92" i="26"/>
  <c r="V83" i="26"/>
  <c r="Z86" i="26"/>
  <c r="N88" i="26"/>
  <c r="T89" i="26"/>
  <c r="H91" i="26"/>
  <c r="J91" i="26"/>
  <c r="D88" i="26"/>
  <c r="G82" i="26"/>
  <c r="M86" i="26"/>
  <c r="J85" i="26"/>
  <c r="T93" i="26"/>
  <c r="X90" i="26"/>
  <c r="J92" i="26"/>
  <c r="W92" i="26"/>
  <c r="W94" i="26"/>
  <c r="P82" i="26"/>
  <c r="W83" i="26"/>
  <c r="U87" i="26"/>
  <c r="W90" i="26"/>
  <c r="L94" i="26"/>
  <c r="Z93" i="26"/>
  <c r="I93" i="26"/>
  <c r="S90" i="26"/>
  <c r="G91" i="26"/>
  <c r="M89" i="26"/>
  <c r="Q89" i="26"/>
  <c r="M87" i="26"/>
  <c r="S85" i="26"/>
  <c r="Y93" i="26"/>
  <c r="X85" i="26"/>
  <c r="K93" i="26"/>
  <c r="N91" i="26"/>
  <c r="K84" i="26"/>
  <c r="N90" i="26"/>
  <c r="D85" i="26"/>
  <c r="M88" i="26"/>
  <c r="W91" i="26"/>
  <c r="P92" i="26"/>
  <c r="L84" i="26"/>
  <c r="T91" i="26"/>
  <c r="X88" i="26"/>
  <c r="F84" i="26"/>
  <c r="G88" i="26"/>
  <c r="B94" i="26"/>
  <c r="M93" i="26"/>
  <c r="V86" i="26"/>
  <c r="D83" i="26"/>
  <c r="W88" i="26"/>
  <c r="D91" i="26"/>
  <c r="J88" i="26"/>
  <c r="K88" i="26"/>
  <c r="A86" i="26"/>
  <c r="B92" i="26"/>
  <c r="Y94" i="26"/>
  <c r="W93" i="26"/>
  <c r="U94" i="26"/>
  <c r="N85" i="26"/>
  <c r="J84" i="26"/>
  <c r="D93" i="26"/>
  <c r="O93" i="26"/>
  <c r="V94" i="26"/>
  <c r="D94" i="26"/>
  <c r="F90" i="26"/>
  <c r="V85" i="26"/>
  <c r="F88" i="26"/>
  <c r="P87" i="26"/>
  <c r="Z94" i="26"/>
  <c r="P91" i="26"/>
  <c r="M90" i="26"/>
  <c r="I90" i="26"/>
  <c r="C87" i="26"/>
  <c r="O83" i="26"/>
  <c r="D89" i="26"/>
  <c r="Y87" i="26"/>
  <c r="R91" i="26"/>
  <c r="N84" i="26"/>
  <c r="C90" i="26"/>
  <c r="Y88" i="26"/>
  <c r="F82" i="26"/>
  <c r="T90" i="26"/>
  <c r="B86" i="26"/>
  <c r="T85" i="26"/>
  <c r="A91" i="26"/>
  <c r="K91" i="26"/>
  <c r="W82" i="26"/>
  <c r="Q88" i="26"/>
  <c r="Y90" i="26"/>
  <c r="Y91" i="26"/>
  <c r="H84" i="26"/>
  <c r="W87" i="26"/>
  <c r="J83" i="26"/>
  <c r="L91" i="26"/>
  <c r="N86" i="26"/>
  <c r="O86" i="26"/>
  <c r="N83" i="26"/>
  <c r="K85" i="26"/>
  <c r="V90" i="26"/>
  <c r="H90" i="26"/>
  <c r="P93" i="26"/>
  <c r="H85" i="26"/>
  <c r="G83" i="26"/>
  <c r="D92" i="26"/>
  <c r="C93" i="26"/>
  <c r="P85" i="26"/>
  <c r="D86" i="26"/>
  <c r="N82" i="26"/>
  <c r="F94" i="26"/>
  <c r="X93" i="26"/>
  <c r="D87" i="26"/>
  <c r="U86" i="26"/>
  <c r="K92" i="26"/>
  <c r="T84" i="26"/>
  <c r="A88" i="26"/>
  <c r="V82" i="26"/>
  <c r="V87" i="26"/>
  <c r="A82" i="26"/>
  <c r="O88" i="26"/>
  <c r="I89" i="26"/>
  <c r="O82" i="26"/>
  <c r="S93" i="26"/>
  <c r="W89" i="26"/>
  <c r="I86" i="26"/>
  <c r="R82" i="26"/>
  <c r="Q93" i="26"/>
  <c r="F92" i="26"/>
  <c r="I84" i="26"/>
  <c r="K86" i="26"/>
  <c r="H83" i="26"/>
  <c r="O91" i="26"/>
  <c r="T86" i="26"/>
  <c r="A93" i="26"/>
  <c r="G93" i="26"/>
  <c r="L90" i="26"/>
  <c r="G94" i="26"/>
  <c r="Z91" i="26"/>
  <c r="S84" i="26"/>
  <c r="H89" i="26"/>
  <c r="F93" i="26"/>
  <c r="I85" i="26"/>
  <c r="E94" i="26"/>
  <c r="Q94" i="26"/>
  <c r="X87" i="26"/>
  <c r="Z83" i="26"/>
  <c r="K94" i="26"/>
  <c r="P83" i="26"/>
  <c r="B82" i="26"/>
  <c r="T92" i="26"/>
  <c r="L85" i="26"/>
  <c r="E85" i="26"/>
  <c r="B91" i="26"/>
  <c r="S91" i="26"/>
  <c r="O87" i="26"/>
  <c r="J86" i="26"/>
  <c r="D82" i="26"/>
  <c r="M91" i="26"/>
  <c r="T87" i="26"/>
  <c r="V84" i="26"/>
  <c r="H92" i="26"/>
  <c r="R83" i="26"/>
  <c r="M85" i="26"/>
  <c r="J93" i="26"/>
  <c r="G85" i="26"/>
  <c r="B90" i="26"/>
  <c r="R89" i="26"/>
  <c r="B83" i="26"/>
  <c r="L83" i="26"/>
  <c r="B85" i="26"/>
  <c r="C86" i="26"/>
  <c r="S82" i="26"/>
  <c r="H86" i="26"/>
  <c r="S86" i="26"/>
  <c r="Z87" i="26"/>
  <c r="O92" i="26"/>
  <c r="J90" i="26"/>
  <c r="F91" i="26"/>
  <c r="P88" i="26"/>
  <c r="L82" i="26"/>
  <c r="E84" i="26"/>
  <c r="N93" i="26"/>
  <c r="U91" i="26"/>
  <c r="V93" i="26"/>
  <c r="L86" i="26"/>
  <c r="T88" i="26"/>
  <c r="W84" i="26"/>
  <c r="I91" i="26"/>
  <c r="K89" i="26"/>
  <c r="Y92" i="26"/>
  <c r="C84" i="26"/>
  <c r="W85" i="26"/>
  <c r="R88" i="26"/>
  <c r="D90" i="26"/>
  <c r="P89" i="26"/>
  <c r="X82" i="26"/>
  <c r="Q86" i="26"/>
  <c r="R92" i="26"/>
  <c r="C92" i="26"/>
  <c r="J82" i="26"/>
  <c r="Z88" i="26"/>
  <c r="X92" i="26"/>
  <c r="F86" i="26"/>
  <c r="S83" i="26"/>
  <c r="A90" i="26"/>
  <c r="F85" i="26"/>
  <c r="J89" i="26"/>
  <c r="T94" i="26"/>
  <c r="C94" i="26"/>
  <c r="V91" i="26"/>
  <c r="Z89" i="26"/>
  <c r="R86" i="26"/>
  <c r="N87" i="26"/>
  <c r="U83" i="26"/>
  <c r="N89" i="26"/>
  <c r="Q83" i="26"/>
  <c r="G89" i="26"/>
  <c r="H10" i="7" l="1"/>
  <c r="AL10" i="7"/>
  <c r="AP9" i="7" s="1"/>
  <c r="AR10" i="7" s="1"/>
  <c r="AV9" i="7" s="1"/>
  <c r="AX10" i="7" s="1"/>
  <c r="BB9" i="7" s="1"/>
  <c r="BD10" i="7" s="1"/>
  <c r="BH9" i="7" s="1"/>
  <c r="BJ10" i="7" s="1"/>
  <c r="O30" i="1"/>
  <c r="O163" i="1"/>
  <c r="O127" i="1"/>
  <c r="O125" i="1"/>
  <c r="O63" i="1"/>
  <c r="AC59" i="1"/>
  <c r="O53" i="1"/>
  <c r="AC23" i="1"/>
  <c r="AJ6" i="1"/>
  <c r="AJ5" i="1"/>
  <c r="AJ7" i="1"/>
  <c r="AJ11" i="1" s="1"/>
  <c r="AC210" i="1"/>
  <c r="O188" i="1"/>
  <c r="O140" i="1"/>
  <c r="AC138" i="1"/>
  <c r="O122" i="1"/>
  <c r="AC108" i="1"/>
  <c r="AC88" i="1"/>
  <c r="AC86" i="1"/>
  <c r="O84" i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F16" i="6"/>
  <c r="AJ9" i="1"/>
  <c r="O197" i="1"/>
  <c r="O195" i="1"/>
  <c r="E316" i="6"/>
  <c r="B29" i="7"/>
  <c r="D379" i="17"/>
  <c r="B38" i="19"/>
  <c r="D379" i="16"/>
  <c r="B37" i="19"/>
  <c r="D379" i="1"/>
  <c r="B35" i="19"/>
  <c r="D379" i="15"/>
  <c r="B36" i="19"/>
  <c r="D88" i="16"/>
  <c r="AE20" i="6"/>
  <c r="AC20" i="6"/>
  <c r="Y18" i="6"/>
  <c r="N18" i="6"/>
  <c r="B53" i="7"/>
  <c r="AC18" i="1"/>
  <c r="O224" i="1"/>
  <c r="O214" i="1"/>
  <c r="O208" i="1"/>
  <c r="AC186" i="1"/>
  <c r="AC80" i="1"/>
  <c r="AC68" i="1"/>
  <c r="D302" i="17"/>
  <c r="C13" i="7"/>
  <c r="I10" i="7" s="1"/>
  <c r="O9" i="17"/>
  <c r="AJ46" i="17" s="1"/>
  <c r="Q20" i="6"/>
  <c r="L27" i="24"/>
  <c r="L30" i="22"/>
  <c r="L34" i="15"/>
  <c r="D34" i="15" s="1"/>
  <c r="L31" i="20"/>
  <c r="L32" i="18"/>
  <c r="L28" i="24"/>
  <c r="L34" i="16"/>
  <c r="D34" i="16" s="1"/>
  <c r="L33" i="22"/>
  <c r="L37" i="17"/>
  <c r="D37" i="17" s="1"/>
  <c r="L39" i="15"/>
  <c r="D39" i="15" s="1"/>
  <c r="L41" i="16"/>
  <c r="D41" i="16" s="1"/>
  <c r="L39" i="18"/>
  <c r="L39" i="22"/>
  <c r="L45" i="18"/>
  <c r="L45" i="23"/>
  <c r="L50" i="15"/>
  <c r="D50" i="15" s="1"/>
  <c r="L47" i="20"/>
  <c r="L50" i="16"/>
  <c r="D50" i="16" s="1"/>
  <c r="L43" i="25"/>
  <c r="L51" i="15"/>
  <c r="D51" i="15" s="1"/>
  <c r="L47" i="22"/>
  <c r="L44" i="25"/>
  <c r="L51" i="16"/>
  <c r="D51" i="16" s="1"/>
  <c r="L52" i="16"/>
  <c r="D52" i="16" s="1"/>
  <c r="L48" i="23"/>
  <c r="L46" i="25"/>
  <c r="L54" i="18"/>
  <c r="L57" i="15"/>
  <c r="D57" i="15" s="1"/>
  <c r="L51" i="24"/>
  <c r="L56" i="18"/>
  <c r="L58" i="17"/>
  <c r="D58" i="17" s="1"/>
  <c r="L54" i="22"/>
  <c r="L58" i="16"/>
  <c r="D58" i="16" s="1"/>
  <c r="L59" i="17"/>
  <c r="D59" i="17" s="1"/>
  <c r="L59" i="16"/>
  <c r="D59" i="16" s="1"/>
  <c r="L56" i="20"/>
  <c r="L58" i="18"/>
  <c r="L60" i="15"/>
  <c r="L56" i="22"/>
  <c r="L60" i="16"/>
  <c r="D60" i="16" s="1"/>
  <c r="L60" i="17"/>
  <c r="B57" i="7" s="1"/>
  <c r="L61" i="17"/>
  <c r="D61" i="17" s="1"/>
  <c r="L61" i="16"/>
  <c r="D61" i="16" s="1"/>
  <c r="L57" i="22"/>
  <c r="L56" i="23"/>
  <c r="L58" i="20"/>
  <c r="L61" i="15"/>
  <c r="D61" i="15" s="1"/>
  <c r="L59" i="18"/>
  <c r="L55" i="25"/>
  <c r="L59" i="20"/>
  <c r="L56" i="24"/>
  <c r="L60" i="18"/>
  <c r="B69" i="7" s="1"/>
  <c r="L62" i="15"/>
  <c r="D62" i="15" s="1"/>
  <c r="L62" i="16"/>
  <c r="D62" i="16" s="1"/>
  <c r="L63" i="16"/>
  <c r="D63" i="16" s="1"/>
  <c r="L58" i="23"/>
  <c r="L63" i="17"/>
  <c r="D63" i="17" s="1"/>
  <c r="L63" i="15"/>
  <c r="D63" i="15" s="1"/>
  <c r="L61" i="18"/>
  <c r="L59" i="22"/>
  <c r="L57" i="24"/>
  <c r="L62" i="18"/>
  <c r="L64" i="15"/>
  <c r="D64" i="15" s="1"/>
  <c r="L61" i="20"/>
  <c r="L64" i="16"/>
  <c r="D64" i="16" s="1"/>
  <c r="L65" i="15"/>
  <c r="D65" i="15" s="1"/>
  <c r="L66" i="15"/>
  <c r="D66" i="15" s="1"/>
  <c r="L66" i="16"/>
  <c r="D66" i="16" s="1"/>
  <c r="L63" i="20"/>
  <c r="L61" i="23"/>
  <c r="L62" i="22"/>
  <c r="L67" i="16"/>
  <c r="D67" i="16" s="1"/>
  <c r="L65" i="18"/>
  <c r="L67" i="17"/>
  <c r="D67" i="17" s="1"/>
  <c r="L63" i="22"/>
  <c r="L62" i="23"/>
  <c r="L64" i="20"/>
  <c r="L63" i="23"/>
  <c r="L66" i="18"/>
  <c r="L61" i="25"/>
  <c r="L62" i="25"/>
  <c r="L65" i="22"/>
  <c r="L35" i="20"/>
  <c r="L38" i="15"/>
  <c r="D38" i="15" s="1"/>
  <c r="L34" i="22"/>
  <c r="L40" i="20"/>
  <c r="L43" i="17"/>
  <c r="D43" i="17" s="1"/>
  <c r="L37" i="24"/>
  <c r="L44" i="16"/>
  <c r="D44" i="16" s="1"/>
  <c r="L38" i="25"/>
  <c r="L40" i="23"/>
  <c r="L46" i="17"/>
  <c r="D46" i="17" s="1"/>
  <c r="L46" i="15"/>
  <c r="D46" i="15" s="1"/>
  <c r="L47" i="17"/>
  <c r="D47" i="17" s="1"/>
  <c r="L40" i="25"/>
  <c r="L49" i="20"/>
  <c r="L48" i="22"/>
  <c r="L47" i="23"/>
  <c r="L58" i="15"/>
  <c r="D58" i="15" s="1"/>
  <c r="L53" i="23"/>
  <c r="L54" i="23"/>
  <c r="L59" i="15"/>
  <c r="D59" i="15" s="1"/>
  <c r="L53" i="25"/>
  <c r="L54" i="24"/>
  <c r="L58" i="24"/>
  <c r="L60" i="22"/>
  <c r="AF33" i="7" s="1"/>
  <c r="L57" i="25"/>
  <c r="L64" i="17"/>
  <c r="D64" i="17" s="1"/>
  <c r="L59" i="23"/>
  <c r="L63" i="18"/>
  <c r="L67" i="15"/>
  <c r="D67" i="15" s="1"/>
  <c r="L62" i="24"/>
  <c r="L63" i="24"/>
  <c r="L69" i="15"/>
  <c r="D69" i="15" s="1"/>
  <c r="L67" i="18"/>
  <c r="L64" i="23"/>
  <c r="L65" i="23"/>
  <c r="L68" i="18"/>
  <c r="L70" i="16"/>
  <c r="D70" i="16" s="1"/>
  <c r="L70" i="17"/>
  <c r="D70" i="17" s="1"/>
  <c r="L64" i="25"/>
  <c r="L69" i="18"/>
  <c r="L66" i="23"/>
  <c r="L65" i="24"/>
  <c r="L69" i="20"/>
  <c r="L72" i="15"/>
  <c r="D72" i="15" s="1"/>
  <c r="L68" i="22"/>
  <c r="L65" i="25"/>
  <c r="L66" i="25"/>
  <c r="L73" i="16"/>
  <c r="D73" i="16" s="1"/>
  <c r="L67" i="24"/>
  <c r="L73" i="17"/>
  <c r="D73" i="17" s="1"/>
  <c r="L71" i="18"/>
  <c r="L73" i="15"/>
  <c r="D73" i="15" s="1"/>
  <c r="L69" i="23"/>
  <c r="L70" i="22"/>
  <c r="L71" i="20"/>
  <c r="L74" i="17"/>
  <c r="D74" i="17" s="1"/>
  <c r="L67" i="25"/>
  <c r="L68" i="25"/>
  <c r="L69" i="24"/>
  <c r="L70" i="23"/>
  <c r="L75" i="16"/>
  <c r="D75" i="16" s="1"/>
  <c r="L75" i="17"/>
  <c r="D75" i="17" s="1"/>
  <c r="L71" i="22"/>
  <c r="L75" i="15"/>
  <c r="D75" i="15" s="1"/>
  <c r="L73" i="20"/>
  <c r="L76" i="16"/>
  <c r="D76" i="16" s="1"/>
  <c r="L74" i="18"/>
  <c r="L71" i="23"/>
  <c r="L70" i="24"/>
  <c r="L77" i="15"/>
  <c r="D77" i="15" s="1"/>
  <c r="L72" i="23"/>
  <c r="L77" i="17"/>
  <c r="D77" i="17" s="1"/>
  <c r="L73" i="22"/>
  <c r="L71" i="25"/>
  <c r="L74" i="22"/>
  <c r="L77" i="18"/>
  <c r="L76" i="20"/>
  <c r="L79" i="17"/>
  <c r="D79" i="17" s="1"/>
  <c r="L73" i="25"/>
  <c r="L75" i="23"/>
  <c r="L80" i="17"/>
  <c r="D80" i="17" s="1"/>
  <c r="L77" i="20"/>
  <c r="L80" i="16"/>
  <c r="D80" i="16" s="1"/>
  <c r="L76" i="22"/>
  <c r="L75" i="24"/>
  <c r="L77" i="22"/>
  <c r="L81" i="16"/>
  <c r="D81" i="16" s="1"/>
  <c r="L78" i="20"/>
  <c r="L77" i="23"/>
  <c r="L80" i="18"/>
  <c r="L75" i="25"/>
  <c r="L82" i="16"/>
  <c r="D82" i="16" s="1"/>
  <c r="L78" i="22"/>
  <c r="L82" i="17"/>
  <c r="D82" i="17" s="1"/>
  <c r="L83" i="16"/>
  <c r="D83" i="16" s="1"/>
  <c r="L78" i="23"/>
  <c r="L83" i="17"/>
  <c r="D83" i="17" s="1"/>
  <c r="L81" i="18"/>
  <c r="L80" i="20"/>
  <c r="L82" i="18"/>
  <c r="L80" i="22"/>
  <c r="L77" i="25"/>
  <c r="L81" i="20"/>
  <c r="L84" i="15"/>
  <c r="D84" i="15" s="1"/>
  <c r="L84" i="17"/>
  <c r="D84" i="17" s="1"/>
  <c r="L85" i="15"/>
  <c r="D85" i="15" s="1"/>
  <c r="L78" i="25"/>
  <c r="L79" i="24"/>
  <c r="L85" i="17"/>
  <c r="D85" i="17" s="1"/>
  <c r="L81" i="22"/>
  <c r="L81" i="23"/>
  <c r="L80" i="24"/>
  <c r="L86" i="16"/>
  <c r="D86" i="16" s="1"/>
  <c r="L82" i="23"/>
  <c r="L87" i="15"/>
  <c r="D87" i="15" s="1"/>
  <c r="L85" i="18"/>
  <c r="L87" i="17"/>
  <c r="D87" i="17" s="1"/>
  <c r="L83" i="22"/>
  <c r="L84" i="20"/>
  <c r="L80" i="25"/>
  <c r="L86" i="18"/>
  <c r="L83" i="23"/>
  <c r="L82" i="24"/>
  <c r="L89" i="16"/>
  <c r="D89" i="16" s="1"/>
  <c r="L82" i="25"/>
  <c r="L84" i="23"/>
  <c r="L87" i="18"/>
  <c r="L85" i="23"/>
  <c r="L83" i="25"/>
  <c r="L88" i="18"/>
  <c r="B70" i="7" s="1"/>
  <c r="L87" i="20"/>
  <c r="L90" i="16"/>
  <c r="D90" i="16" s="1"/>
  <c r="L91" i="16"/>
  <c r="D91" i="16" s="1"/>
  <c r="L89" i="18"/>
  <c r="L91" i="15"/>
  <c r="D91" i="15" s="1"/>
  <c r="L85" i="24"/>
  <c r="L86" i="23"/>
  <c r="L89" i="20"/>
  <c r="L92" i="15"/>
  <c r="D92" i="15" s="1"/>
  <c r="L92" i="16"/>
  <c r="D92" i="16" s="1"/>
  <c r="L93" i="17"/>
  <c r="D93" i="17" s="1"/>
  <c r="L88" i="23"/>
  <c r="AF46" i="7" s="1"/>
  <c r="L90" i="20"/>
  <c r="L87" i="25"/>
  <c r="L94" i="15"/>
  <c r="D94" i="15" s="1"/>
  <c r="L88" i="24"/>
  <c r="AF58" i="7" s="1"/>
  <c r="L89" i="24"/>
  <c r="L95" i="15"/>
  <c r="D95" i="15" s="1"/>
  <c r="L91" i="22"/>
  <c r="L95" i="16"/>
  <c r="D95" i="16" s="1"/>
  <c r="L96" i="16"/>
  <c r="D96" i="16" s="1"/>
  <c r="L92" i="22"/>
  <c r="L96" i="15"/>
  <c r="D96" i="15" s="1"/>
  <c r="L94" i="18"/>
  <c r="L93" i="20"/>
  <c r="L96" i="17"/>
  <c r="D96" i="17" s="1"/>
  <c r="L50" i="23"/>
  <c r="L51" i="22"/>
  <c r="L55" i="16"/>
  <c r="D55" i="16" s="1"/>
  <c r="L54" i="16"/>
  <c r="D54" i="16" s="1"/>
  <c r="L47" i="25"/>
  <c r="L50" i="18"/>
  <c r="L36" i="24"/>
  <c r="L34" i="24"/>
  <c r="L33" i="25"/>
  <c r="L35" i="22"/>
  <c r="L34" i="23"/>
  <c r="B40" i="7"/>
  <c r="D363" i="17"/>
  <c r="D180" i="17"/>
  <c r="D149" i="15"/>
  <c r="AC57" i="1"/>
  <c r="O55" i="1"/>
  <c r="O20" i="1"/>
  <c r="AC212" i="1"/>
  <c r="O200" i="1"/>
  <c r="AC152" i="1"/>
  <c r="AC136" i="1"/>
  <c r="AC134" i="1"/>
  <c r="O100" i="1"/>
  <c r="AC78" i="1"/>
  <c r="O76" i="1"/>
  <c r="O74" i="1"/>
  <c r="AC60" i="1"/>
  <c r="O40" i="1"/>
  <c r="O34" i="1"/>
  <c r="T18" i="6"/>
  <c r="N29" i="6"/>
  <c r="O31" i="6" s="1"/>
  <c r="B39" i="7"/>
  <c r="B37" i="7"/>
  <c r="B48" i="7"/>
  <c r="T44" i="6"/>
  <c r="U46" i="6" s="1"/>
  <c r="L15" i="15"/>
  <c r="L15" i="16"/>
  <c r="L15" i="20"/>
  <c r="L18" i="15"/>
  <c r="D18" i="15" s="1"/>
  <c r="L18" i="16"/>
  <c r="D18" i="16" s="1"/>
  <c r="L16" i="17"/>
  <c r="D16" i="17" s="1"/>
  <c r="L18" i="17"/>
  <c r="D18" i="17" s="1"/>
  <c r="L17" i="16"/>
  <c r="D17" i="16" s="1"/>
  <c r="L16" i="18"/>
  <c r="L19" i="15"/>
  <c r="D19" i="15" s="1"/>
  <c r="L16" i="20"/>
  <c r="L17" i="18"/>
  <c r="L20" i="16"/>
  <c r="D20" i="16" s="1"/>
  <c r="L17" i="20"/>
  <c r="L20" i="17"/>
  <c r="D20" i="17" s="1"/>
  <c r="L21" i="16"/>
  <c r="D21" i="16" s="1"/>
  <c r="L22" i="16"/>
  <c r="D22" i="16" s="1"/>
  <c r="L18" i="22"/>
  <c r="L22" i="17"/>
  <c r="D22" i="17" s="1"/>
  <c r="L19" i="20"/>
  <c r="L18" i="23"/>
  <c r="L20" i="20"/>
  <c r="L16" i="25"/>
  <c r="L23" i="16"/>
  <c r="D23" i="16" s="1"/>
  <c r="L23" i="15"/>
  <c r="D23" i="15" s="1"/>
  <c r="L20" i="22"/>
  <c r="L24" i="17"/>
  <c r="D24" i="17" s="1"/>
  <c r="L19" i="23"/>
  <c r="L22" i="18"/>
  <c r="L21" i="20"/>
  <c r="L23" i="18"/>
  <c r="L18" i="25"/>
  <c r="L25" i="16"/>
  <c r="D25" i="16" s="1"/>
  <c r="L20" i="23"/>
  <c r="L19" i="24"/>
  <c r="L20" i="24"/>
  <c r="L26" i="17"/>
  <c r="D26" i="17" s="1"/>
  <c r="L21" i="23"/>
  <c r="L26" i="15"/>
  <c r="D26" i="15" s="1"/>
  <c r="L22" i="22"/>
  <c r="L19" i="25"/>
  <c r="L24" i="18"/>
  <c r="L23" i="22"/>
  <c r="L27" i="17"/>
  <c r="D27" i="17" s="1"/>
  <c r="L21" i="24"/>
  <c r="L24" i="20"/>
  <c r="L25" i="18"/>
  <c r="L27" i="15"/>
  <c r="D27" i="15" s="1"/>
  <c r="L22" i="23"/>
  <c r="L26" i="18"/>
  <c r="L21" i="25"/>
  <c r="L28" i="16"/>
  <c r="D28" i="16" s="1"/>
  <c r="L24" i="22"/>
  <c r="L27" i="18"/>
  <c r="L29" i="15"/>
  <c r="L29" i="16"/>
  <c r="L29" i="17"/>
  <c r="B56" i="7" s="1"/>
  <c r="L24" i="23"/>
  <c r="L25" i="23"/>
  <c r="L30" i="15"/>
  <c r="D30" i="15" s="1"/>
  <c r="L24" i="24"/>
  <c r="L23" i="25"/>
  <c r="L27" i="20"/>
  <c r="L31" i="17"/>
  <c r="D31" i="17" s="1"/>
  <c r="L24" i="25"/>
  <c r="L16" i="16"/>
  <c r="D16" i="16" s="1"/>
  <c r="L15" i="17"/>
  <c r="L19" i="16"/>
  <c r="D19" i="16" s="1"/>
  <c r="L18" i="18"/>
  <c r="L21" i="17"/>
  <c r="D21" i="17" s="1"/>
  <c r="L15" i="24"/>
  <c r="L19" i="18"/>
  <c r="L16" i="24"/>
  <c r="L20" i="18"/>
  <c r="L15" i="25"/>
  <c r="L22" i="15"/>
  <c r="D22" i="15" s="1"/>
  <c r="L17" i="23"/>
  <c r="L23" i="17"/>
  <c r="D23" i="17" s="1"/>
  <c r="L18" i="24"/>
  <c r="L17" i="25"/>
  <c r="L25" i="15"/>
  <c r="D25" i="15" s="1"/>
  <c r="L25" i="17"/>
  <c r="D25" i="17" s="1"/>
  <c r="L26" i="16"/>
  <c r="D26" i="16" s="1"/>
  <c r="L23" i="20"/>
  <c r="L20" i="25"/>
  <c r="L25" i="20"/>
  <c r="L22" i="24"/>
  <c r="L25" i="22"/>
  <c r="L30" i="16"/>
  <c r="D30" i="16" s="1"/>
  <c r="L30" i="17"/>
  <c r="D30" i="17" s="1"/>
  <c r="L26" i="22"/>
  <c r="L28" i="20"/>
  <c r="L25" i="24"/>
  <c r="L31" i="16"/>
  <c r="D31" i="16" s="1"/>
  <c r="L29" i="18"/>
  <c r="B68" i="7" s="1"/>
  <c r="L26" i="23"/>
  <c r="L30" i="18"/>
  <c r="L32" i="17"/>
  <c r="D32" i="17" s="1"/>
  <c r="L28" i="22"/>
  <c r="L32" i="15"/>
  <c r="D32" i="15" s="1"/>
  <c r="L33" i="15"/>
  <c r="D33" i="15" s="1"/>
  <c r="L29" i="22"/>
  <c r="AF32" i="7" s="1"/>
  <c r="L30" i="20"/>
  <c r="L31" i="18"/>
  <c r="L29" i="23"/>
  <c r="AF44" i="7" s="1"/>
  <c r="L27" i="25"/>
  <c r="L34" i="17"/>
  <c r="D34" i="17" s="1"/>
  <c r="L35" i="16"/>
  <c r="D35" i="16" s="1"/>
  <c r="L28" i="25"/>
  <c r="L30" i="23"/>
  <c r="L33" i="18"/>
  <c r="L32" i="20"/>
  <c r="L29" i="24"/>
  <c r="AF56" i="7" s="1"/>
  <c r="L35" i="15"/>
  <c r="D35" i="15" s="1"/>
  <c r="L31" i="22"/>
  <c r="L36" i="15"/>
  <c r="D36" i="15" s="1"/>
  <c r="L33" i="20"/>
  <c r="L34" i="18"/>
  <c r="L31" i="23"/>
  <c r="L31" i="24"/>
  <c r="L30" i="25"/>
  <c r="L34" i="20"/>
  <c r="L36" i="18"/>
  <c r="L32" i="24"/>
  <c r="L38" i="17"/>
  <c r="D38" i="17" s="1"/>
  <c r="L33" i="23"/>
  <c r="L31" i="25"/>
  <c r="L38" i="16"/>
  <c r="D38" i="16" s="1"/>
  <c r="L33" i="24"/>
  <c r="L32" i="25"/>
  <c r="L37" i="18"/>
  <c r="L36" i="20"/>
  <c r="L37" i="20"/>
  <c r="L35" i="23"/>
  <c r="L38" i="18"/>
  <c r="L40" i="15"/>
  <c r="D40" i="15" s="1"/>
  <c r="L40" i="17"/>
  <c r="D40" i="17" s="1"/>
  <c r="L36" i="23"/>
  <c r="L41" i="17"/>
  <c r="D41" i="17" s="1"/>
  <c r="L35" i="24"/>
  <c r="L35" i="25"/>
  <c r="L42" i="17"/>
  <c r="D42" i="17" s="1"/>
  <c r="L39" i="20"/>
  <c r="L38" i="22"/>
  <c r="L37" i="23"/>
  <c r="L38" i="23"/>
  <c r="L43" i="16"/>
  <c r="D43" i="16" s="1"/>
  <c r="L36" i="25"/>
  <c r="L43" i="15"/>
  <c r="D43" i="15" s="1"/>
  <c r="L44" i="17"/>
  <c r="D44" i="17" s="1"/>
  <c r="L41" i="20"/>
  <c r="L44" i="15"/>
  <c r="D44" i="15" s="1"/>
  <c r="L40" i="22"/>
  <c r="L39" i="23"/>
  <c r="L38" i="24"/>
  <c r="L37" i="25"/>
  <c r="L45" i="15"/>
  <c r="D45" i="15" s="1"/>
  <c r="L45" i="17"/>
  <c r="D45" i="17" s="1"/>
  <c r="L43" i="18"/>
  <c r="L39" i="24"/>
  <c r="L45" i="16"/>
  <c r="D45" i="16" s="1"/>
  <c r="L43" i="20"/>
  <c r="L40" i="24"/>
  <c r="L44" i="18"/>
  <c r="L42" i="22"/>
  <c r="L46" i="16"/>
  <c r="D46" i="16" s="1"/>
  <c r="L41" i="23"/>
  <c r="L39" i="25"/>
  <c r="L42" i="23"/>
  <c r="L43" i="22"/>
  <c r="L41" i="24"/>
  <c r="L44" i="20"/>
  <c r="L46" i="18"/>
  <c r="L44" i="22"/>
  <c r="L45" i="20"/>
  <c r="L43" i="23"/>
  <c r="L44" i="23"/>
  <c r="L49" i="16"/>
  <c r="D49" i="16" s="1"/>
  <c r="L46" i="20"/>
  <c r="L49" i="15"/>
  <c r="D49" i="15" s="1"/>
  <c r="L47" i="18"/>
  <c r="L44" i="24"/>
  <c r="L48" i="18"/>
  <c r="L50" i="17"/>
  <c r="D50" i="17" s="1"/>
  <c r="L46" i="23"/>
  <c r="L49" i="18"/>
  <c r="L45" i="24"/>
  <c r="L48" i="20"/>
  <c r="L52" i="17"/>
  <c r="D52" i="17" s="1"/>
  <c r="L45" i="25"/>
  <c r="L46" i="24"/>
  <c r="L52" i="15"/>
  <c r="D52" i="15" s="1"/>
  <c r="L53" i="16"/>
  <c r="D53" i="16" s="1"/>
  <c r="L53" i="17"/>
  <c r="D53" i="17" s="1"/>
  <c r="L50" i="20"/>
  <c r="L51" i="20"/>
  <c r="L49" i="23"/>
  <c r="L52" i="18"/>
  <c r="L50" i="22"/>
  <c r="L48" i="24"/>
  <c r="L54" i="15"/>
  <c r="D54" i="15" s="1"/>
  <c r="L49" i="24"/>
  <c r="L48" i="25"/>
  <c r="L55" i="17"/>
  <c r="D55" i="17" s="1"/>
  <c r="L49" i="25"/>
  <c r="L56" i="15"/>
  <c r="D56" i="15" s="1"/>
  <c r="L51" i="23"/>
  <c r="L56" i="16"/>
  <c r="D56" i="16" s="1"/>
  <c r="L57" i="16"/>
  <c r="D57" i="16" s="1"/>
  <c r="L53" i="22"/>
  <c r="L57" i="17"/>
  <c r="D57" i="17" s="1"/>
  <c r="L52" i="23"/>
  <c r="L50" i="25"/>
  <c r="L54" i="20"/>
  <c r="L383" i="1"/>
  <c r="B43" i="7"/>
  <c r="B51" i="7"/>
  <c r="B58" i="7"/>
  <c r="B34" i="7"/>
  <c r="L57" i="18"/>
  <c r="L52" i="25"/>
  <c r="L53" i="24"/>
  <c r="L55" i="22"/>
  <c r="L52" i="24"/>
  <c r="L51" i="25"/>
  <c r="L55" i="20"/>
  <c r="L55" i="18"/>
  <c r="L52" i="22"/>
  <c r="L53" i="20"/>
  <c r="L56" i="17"/>
  <c r="D56" i="17" s="1"/>
  <c r="L50" i="24"/>
  <c r="L53" i="18"/>
  <c r="L55" i="15"/>
  <c r="D55" i="15" s="1"/>
  <c r="L52" i="20"/>
  <c r="L54" i="17"/>
  <c r="D54" i="17" s="1"/>
  <c r="L49" i="22"/>
  <c r="L47" i="24"/>
  <c r="L51" i="18"/>
  <c r="L53" i="15"/>
  <c r="D53" i="15" s="1"/>
  <c r="L51" i="17"/>
  <c r="D51" i="17" s="1"/>
  <c r="L45" i="22"/>
  <c r="L42" i="25"/>
  <c r="L49" i="17"/>
  <c r="D49" i="17" s="1"/>
  <c r="L48" i="17"/>
  <c r="D48" i="17" s="1"/>
  <c r="L41" i="25"/>
  <c r="L48" i="15"/>
  <c r="D48" i="15" s="1"/>
  <c r="L42" i="24"/>
  <c r="L47" i="16"/>
  <c r="D47" i="16" s="1"/>
  <c r="L47" i="15"/>
  <c r="D47" i="15" s="1"/>
  <c r="L42" i="20"/>
  <c r="L41" i="22"/>
  <c r="L42" i="18"/>
  <c r="L41" i="18"/>
  <c r="L42" i="16"/>
  <c r="D42" i="16" s="1"/>
  <c r="L40" i="18"/>
  <c r="L42" i="15"/>
  <c r="D42" i="15" s="1"/>
  <c r="L34" i="25"/>
  <c r="L38" i="20"/>
  <c r="L37" i="22"/>
  <c r="L41" i="15"/>
  <c r="D41" i="15" s="1"/>
  <c r="L40" i="16"/>
  <c r="D40" i="16" s="1"/>
  <c r="L36" i="22"/>
  <c r="L39" i="16"/>
  <c r="D39" i="16" s="1"/>
  <c r="L39" i="17"/>
  <c r="D39" i="17" s="1"/>
  <c r="L32" i="23"/>
  <c r="L37" i="15"/>
  <c r="D37" i="15" s="1"/>
  <c r="L35" i="18"/>
  <c r="L37" i="16"/>
  <c r="D37" i="16" s="1"/>
  <c r="L29" i="25"/>
  <c r="AF68" i="7" s="1"/>
  <c r="L32" i="22"/>
  <c r="L36" i="17"/>
  <c r="D36" i="17" s="1"/>
  <c r="L36" i="16"/>
  <c r="D36" i="16" s="1"/>
  <c r="L30" i="24"/>
  <c r="L35" i="17"/>
  <c r="D35" i="17" s="1"/>
  <c r="L28" i="23"/>
  <c r="L26" i="25"/>
  <c r="L33" i="16"/>
  <c r="D33" i="16" s="1"/>
  <c r="L33" i="17"/>
  <c r="D33" i="17" s="1"/>
  <c r="L25" i="25"/>
  <c r="L26" i="24"/>
  <c r="L32" i="16"/>
  <c r="D32" i="16" s="1"/>
  <c r="L27" i="22"/>
  <c r="L31" i="15"/>
  <c r="D31" i="15" s="1"/>
  <c r="L28" i="17"/>
  <c r="D28" i="17" s="1"/>
  <c r="L23" i="23"/>
  <c r="L21" i="22"/>
  <c r="L22" i="20"/>
  <c r="L24" i="16"/>
  <c r="D24" i="16" s="1"/>
  <c r="L24" i="15"/>
  <c r="D24" i="15" s="1"/>
  <c r="L18" i="20"/>
  <c r="L17" i="22"/>
  <c r="L21" i="15"/>
  <c r="D21" i="15" s="1"/>
  <c r="L16" i="23"/>
  <c r="L15" i="23"/>
  <c r="L20" i="15"/>
  <c r="D20" i="15" s="1"/>
  <c r="L16" i="22"/>
  <c r="L15" i="22"/>
  <c r="L19" i="17"/>
  <c r="D19" i="17" s="1"/>
  <c r="B30" i="7"/>
  <c r="D302" i="15"/>
  <c r="B60" i="7"/>
  <c r="D149" i="17"/>
  <c r="L381" i="1"/>
  <c r="L382" i="1"/>
  <c r="D333" i="17"/>
  <c r="D333" i="16"/>
  <c r="D329" i="16"/>
  <c r="D331" i="1"/>
  <c r="D381" i="1" s="1"/>
  <c r="D60" i="17"/>
  <c r="D119" i="15"/>
  <c r="B35" i="7"/>
  <c r="AC18" i="6"/>
  <c r="E358" i="6"/>
  <c r="BH10" i="6"/>
  <c r="U12" i="1"/>
  <c r="BW16" i="7" s="1"/>
  <c r="AI12" i="1"/>
  <c r="AT2" i="7"/>
  <c r="D11" i="7"/>
  <c r="O19" i="1"/>
  <c r="AC19" i="1"/>
  <c r="O21" i="1"/>
  <c r="AC21" i="1"/>
  <c r="AC25" i="1"/>
  <c r="O25" i="1"/>
  <c r="AC27" i="1"/>
  <c r="O27" i="1"/>
  <c r="O29" i="1"/>
  <c r="C20" i="7" s="1"/>
  <c r="AC29" i="1"/>
  <c r="O31" i="1"/>
  <c r="AC31" i="1"/>
  <c r="O33" i="1"/>
  <c r="AC33" i="1"/>
  <c r="O39" i="1"/>
  <c r="AC39" i="1"/>
  <c r="AC41" i="1"/>
  <c r="O41" i="1"/>
  <c r="AC43" i="1"/>
  <c r="O43" i="1"/>
  <c r="AC47" i="1"/>
  <c r="O47" i="1"/>
  <c r="O49" i="1"/>
  <c r="AC49" i="1"/>
  <c r="AC51" i="1"/>
  <c r="O51" i="1"/>
  <c r="O61" i="1"/>
  <c r="AC61" i="1"/>
  <c r="AC65" i="1"/>
  <c r="O65" i="1"/>
  <c r="O67" i="1"/>
  <c r="AC67" i="1"/>
  <c r="O69" i="1"/>
  <c r="AC69" i="1"/>
  <c r="O71" i="1"/>
  <c r="AC71" i="1"/>
  <c r="O73" i="1"/>
  <c r="AC73" i="1"/>
  <c r="AC75" i="1"/>
  <c r="O75" i="1"/>
  <c r="AC77" i="1"/>
  <c r="O77" i="1"/>
  <c r="O79" i="1"/>
  <c r="AC79" i="1"/>
  <c r="AC81" i="1"/>
  <c r="O81" i="1"/>
  <c r="O83" i="1"/>
  <c r="AC83" i="1"/>
  <c r="O85" i="1"/>
  <c r="AC85" i="1"/>
  <c r="O87" i="1"/>
  <c r="AC87" i="1"/>
  <c r="AC89" i="1"/>
  <c r="O89" i="1"/>
  <c r="AC91" i="1"/>
  <c r="O91" i="1"/>
  <c r="AC93" i="1"/>
  <c r="O93" i="1"/>
  <c r="AC95" i="1"/>
  <c r="O95" i="1"/>
  <c r="AC97" i="1"/>
  <c r="O97" i="1"/>
  <c r="AC99" i="1"/>
  <c r="O99" i="1"/>
  <c r="AC101" i="1"/>
  <c r="O101" i="1"/>
  <c r="O103" i="1"/>
  <c r="AC103" i="1"/>
  <c r="O105" i="1"/>
  <c r="AC105" i="1"/>
  <c r="AC107" i="1"/>
  <c r="O107" i="1"/>
  <c r="O109" i="1"/>
  <c r="AC109" i="1"/>
  <c r="AC111" i="1"/>
  <c r="O111" i="1"/>
  <c r="AC113" i="1"/>
  <c r="O113" i="1"/>
  <c r="O115" i="1"/>
  <c r="AC115" i="1"/>
  <c r="AC117" i="1"/>
  <c r="O117" i="1"/>
  <c r="O119" i="1"/>
  <c r="C23" i="7" s="1"/>
  <c r="AC119" i="1"/>
  <c r="O121" i="1"/>
  <c r="AC121" i="1"/>
  <c r="AC123" i="1"/>
  <c r="O123" i="1"/>
  <c r="AC129" i="1"/>
  <c r="O129" i="1"/>
  <c r="O131" i="1"/>
  <c r="AC131" i="1"/>
  <c r="O133" i="1"/>
  <c r="AC133" i="1"/>
  <c r="O135" i="1"/>
  <c r="AC135" i="1"/>
  <c r="O137" i="1"/>
  <c r="AC137" i="1"/>
  <c r="O139" i="1"/>
  <c r="AC139" i="1"/>
  <c r="O141" i="1"/>
  <c r="AC141" i="1"/>
  <c r="AC143" i="1"/>
  <c r="O143" i="1"/>
  <c r="AC145" i="1"/>
  <c r="O145" i="1"/>
  <c r="O147" i="1"/>
  <c r="AC147" i="1"/>
  <c r="O149" i="1"/>
  <c r="C24" i="7" s="1"/>
  <c r="AC149" i="1"/>
  <c r="O151" i="1"/>
  <c r="AC151" i="1"/>
  <c r="AC153" i="1"/>
  <c r="O153" i="1"/>
  <c r="AC155" i="1"/>
  <c r="O155" i="1"/>
  <c r="O157" i="1"/>
  <c r="AC157" i="1"/>
  <c r="O159" i="1"/>
  <c r="AC159" i="1"/>
  <c r="O161" i="1"/>
  <c r="AC161" i="1"/>
  <c r="O165" i="1"/>
  <c r="AC165" i="1"/>
  <c r="AC167" i="1"/>
  <c r="O167" i="1"/>
  <c r="O169" i="1"/>
  <c r="AC169" i="1"/>
  <c r="AC171" i="1"/>
  <c r="O171" i="1"/>
  <c r="O173" i="1"/>
  <c r="AC173" i="1"/>
  <c r="O175" i="1"/>
  <c r="AC175" i="1"/>
  <c r="AC177" i="1"/>
  <c r="O177" i="1"/>
  <c r="AC179" i="1"/>
  <c r="O179" i="1"/>
  <c r="O181" i="1"/>
  <c r="AC181" i="1"/>
  <c r="O183" i="1"/>
  <c r="AC183" i="1"/>
  <c r="AC185" i="1"/>
  <c r="O185" i="1"/>
  <c r="O187" i="1"/>
  <c r="AC187" i="1"/>
  <c r="AC189" i="1"/>
  <c r="O189" i="1"/>
  <c r="O191" i="1"/>
  <c r="AC191" i="1"/>
  <c r="AC193" i="1"/>
  <c r="O193" i="1"/>
  <c r="AC199" i="1"/>
  <c r="O199" i="1"/>
  <c r="O201" i="1"/>
  <c r="AC201" i="1"/>
  <c r="AC203" i="1"/>
  <c r="O203" i="1"/>
  <c r="AC205" i="1"/>
  <c r="O205" i="1"/>
  <c r="O207" i="1"/>
  <c r="AC207" i="1"/>
  <c r="O209" i="1"/>
  <c r="AC209" i="1"/>
  <c r="O211" i="1"/>
  <c r="AC211" i="1"/>
  <c r="AC213" i="1"/>
  <c r="O213" i="1"/>
  <c r="AC215" i="1"/>
  <c r="O215" i="1"/>
  <c r="AC217" i="1"/>
  <c r="O217" i="1"/>
  <c r="O219" i="1"/>
  <c r="AC219" i="1"/>
  <c r="O221" i="1"/>
  <c r="AC221" i="1"/>
  <c r="O223" i="1"/>
  <c r="AC223" i="1"/>
  <c r="AC225" i="1"/>
  <c r="O225" i="1"/>
  <c r="H15" i="7"/>
  <c r="AC16" i="1"/>
  <c r="O16" i="1"/>
  <c r="Z16" i="6"/>
  <c r="Z24" i="6" s="1"/>
  <c r="Z23" i="6" s="1"/>
  <c r="Z25" i="6" s="1"/>
  <c r="Q18" i="6"/>
  <c r="W44" i="6"/>
  <c r="X46" i="6" s="1"/>
  <c r="AH20" i="6"/>
  <c r="E204" i="6"/>
  <c r="S44" i="6"/>
  <c r="S48" i="6" s="1"/>
  <c r="T16" i="6"/>
  <c r="E36" i="6"/>
  <c r="Q10" i="1"/>
  <c r="AE142" i="1" s="1"/>
  <c r="AE88" i="1"/>
  <c r="AE178" i="1"/>
  <c r="AE61" i="1"/>
  <c r="AE160" i="1"/>
  <c r="AE105" i="1"/>
  <c r="AE229" i="1"/>
  <c r="AE173" i="1"/>
  <c r="AE188" i="1"/>
  <c r="AE364" i="1"/>
  <c r="AE182" i="1"/>
  <c r="Q19" i="1"/>
  <c r="Q30" i="1"/>
  <c r="Q45" i="1"/>
  <c r="Q53" i="1"/>
  <c r="Q60" i="1"/>
  <c r="Q69" i="1"/>
  <c r="AE236" i="1"/>
  <c r="AE205" i="1"/>
  <c r="AE280" i="1"/>
  <c r="AE54" i="1"/>
  <c r="AE298" i="1"/>
  <c r="AE240" i="1"/>
  <c r="AE249" i="1"/>
  <c r="AE82" i="1"/>
  <c r="AE159" i="1"/>
  <c r="AE73" i="1"/>
  <c r="AE308" i="1"/>
  <c r="AE322" i="1"/>
  <c r="AE102" i="1"/>
  <c r="AE151" i="1"/>
  <c r="AE293" i="1"/>
  <c r="AE42" i="1"/>
  <c r="Q23" i="1"/>
  <c r="Q36" i="1"/>
  <c r="Q43" i="1"/>
  <c r="AE232" i="1"/>
  <c r="BK15" i="7"/>
  <c r="AE336" i="1"/>
  <c r="AE248" i="1"/>
  <c r="AE212" i="1"/>
  <c r="AE158" i="1"/>
  <c r="AE96" i="1"/>
  <c r="AE64" i="1"/>
  <c r="AE30" i="1"/>
  <c r="BQ15" i="7"/>
  <c r="AE342" i="1"/>
  <c r="AE313" i="1"/>
  <c r="AE338" i="1"/>
  <c r="AE306" i="1"/>
  <c r="AE274" i="1"/>
  <c r="AE215" i="1"/>
  <c r="AE193" i="1"/>
  <c r="AE153" i="1"/>
  <c r="AE136" i="1"/>
  <c r="AE130" i="1"/>
  <c r="AE95" i="1"/>
  <c r="AE27" i="1"/>
  <c r="AE18" i="1"/>
  <c r="AE349" i="1"/>
  <c r="AE256" i="1"/>
  <c r="AE209" i="1"/>
  <c r="AE127" i="1"/>
  <c r="AE91" i="1"/>
  <c r="AE29" i="1"/>
  <c r="AE251" i="1"/>
  <c r="AE55" i="1"/>
  <c r="AE45" i="1"/>
  <c r="AE345" i="1"/>
  <c r="AE311" i="1"/>
  <c r="AE262" i="1"/>
  <c r="AE166" i="1"/>
  <c r="AE74" i="1"/>
  <c r="AE379" i="1"/>
  <c r="AE12" i="15" s="1"/>
  <c r="BW15" i="7"/>
  <c r="AE343" i="1"/>
  <c r="AE339" i="1"/>
  <c r="AE289" i="1"/>
  <c r="AE198" i="1"/>
  <c r="AE146" i="1"/>
  <c r="AE131" i="1"/>
  <c r="AE109" i="1"/>
  <c r="AE39" i="1"/>
  <c r="AE19" i="1"/>
  <c r="AE350" i="1"/>
  <c r="AE257" i="1"/>
  <c r="AE211" i="1"/>
  <c r="AE128" i="1"/>
  <c r="AE106" i="1"/>
  <c r="AE31" i="1"/>
  <c r="AE378" i="1"/>
  <c r="AE330" i="1"/>
  <c r="AE60" i="1"/>
  <c r="AE47" i="1"/>
  <c r="AE75" i="1"/>
  <c r="AE169" i="1"/>
  <c r="AE221" i="1"/>
  <c r="AE253" i="1"/>
  <c r="AE295" i="1"/>
  <c r="AE321" i="1"/>
  <c r="AE51" i="1"/>
  <c r="AE67" i="1"/>
  <c r="AE79" i="1"/>
  <c r="AE37" i="1"/>
  <c r="AE177" i="1"/>
  <c r="AE185" i="1"/>
  <c r="AE222" i="1"/>
  <c r="AE301" i="1"/>
  <c r="AE317" i="1"/>
  <c r="AE323" i="1"/>
  <c r="AE363" i="1"/>
  <c r="AE41" i="1"/>
  <c r="AE156" i="1"/>
  <c r="AE194" i="1"/>
  <c r="AE239" i="1"/>
  <c r="AE152" i="1"/>
  <c r="AE123" i="1"/>
  <c r="AE250" i="1"/>
  <c r="AE111" i="1"/>
  <c r="AE217" i="1"/>
  <c r="AE267" i="1"/>
  <c r="AE275" i="1"/>
  <c r="AE36" i="1"/>
  <c r="AE85" i="1"/>
  <c r="AE139" i="1"/>
  <c r="AE325" i="1"/>
  <c r="AE361" i="1"/>
  <c r="AE57" i="1"/>
  <c r="AE207" i="1"/>
  <c r="AE294" i="1"/>
  <c r="AE90" i="1"/>
  <c r="AE355" i="1"/>
  <c r="AE48" i="1"/>
  <c r="AE163" i="1"/>
  <c r="AE175" i="1"/>
  <c r="AE226" i="1"/>
  <c r="AE297" i="1"/>
  <c r="AE334" i="1"/>
  <c r="AE366" i="1"/>
  <c r="AE89" i="1"/>
  <c r="AE120" i="1"/>
  <c r="AE23" i="1"/>
  <c r="AE53" i="1"/>
  <c r="AE101" i="1"/>
  <c r="AE241" i="1"/>
  <c r="AE368" i="1"/>
  <c r="AE358" i="1"/>
  <c r="AE56" i="1"/>
  <c r="AE87" i="1"/>
  <c r="AE115" i="1"/>
  <c r="AE135" i="1"/>
  <c r="AE202" i="1"/>
  <c r="AE259" i="1"/>
  <c r="AE277" i="1"/>
  <c r="AE314" i="1"/>
  <c r="AE335" i="1"/>
  <c r="AE348" i="1"/>
  <c r="AE204" i="1"/>
  <c r="AE17" i="1"/>
  <c r="AE161" i="1"/>
  <c r="AE192" i="1"/>
  <c r="AE303" i="1"/>
  <c r="AE122" i="1"/>
  <c r="AE124" i="1"/>
  <c r="AE28" i="1"/>
  <c r="AE129" i="1"/>
  <c r="AE252" i="1"/>
  <c r="AE196" i="1"/>
  <c r="AE352" i="1"/>
  <c r="AE66" i="1"/>
  <c r="AE117" i="1"/>
  <c r="AE231" i="1"/>
  <c r="AE279" i="1"/>
  <c r="AE333" i="1"/>
  <c r="AE83" i="1"/>
  <c r="AE230" i="1"/>
  <c r="AE373" i="1"/>
  <c r="AE165" i="1"/>
  <c r="AE228" i="1"/>
  <c r="AE359" i="1"/>
  <c r="AE110" i="1"/>
  <c r="AE108" i="1"/>
  <c r="AE21" i="1"/>
  <c r="AE100" i="1"/>
  <c r="AE186" i="1"/>
  <c r="AE372" i="1"/>
  <c r="AE356" i="1"/>
  <c r="AE58" i="1"/>
  <c r="AE125" i="1"/>
  <c r="AE225" i="1"/>
  <c r="AE269" i="1"/>
  <c r="AE340" i="1"/>
  <c r="Q16" i="1"/>
  <c r="Q17" i="1"/>
  <c r="Q18" i="1"/>
  <c r="Q27" i="1"/>
  <c r="Q32" i="1"/>
  <c r="Q33" i="1"/>
  <c r="Q35" i="1"/>
  <c r="Q38" i="1"/>
  <c r="Q40" i="1"/>
  <c r="Q44" i="1"/>
  <c r="Q46" i="1"/>
  <c r="Q47" i="1"/>
  <c r="Q51" i="1"/>
  <c r="Q52" i="1"/>
  <c r="Q55" i="1"/>
  <c r="Q57" i="1"/>
  <c r="Q61" i="1"/>
  <c r="Q63" i="1"/>
  <c r="Q67" i="1"/>
  <c r="Q68" i="1"/>
  <c r="Q71" i="1"/>
  <c r="Q72" i="1"/>
  <c r="Q73" i="1"/>
  <c r="Q74" i="1"/>
  <c r="Q75" i="1"/>
  <c r="Q76" i="1"/>
  <c r="Q81" i="1"/>
  <c r="Q83" i="1"/>
  <c r="BM15" i="7"/>
  <c r="BY15" i="7"/>
  <c r="BS15" i="7"/>
  <c r="E15" i="7"/>
  <c r="AE24" i="1"/>
  <c r="AE86" i="1"/>
  <c r="AE92" i="1"/>
  <c r="AE180" i="1"/>
  <c r="AE190" i="1"/>
  <c r="AE191" i="1"/>
  <c r="AE206" i="1"/>
  <c r="AE208" i="1"/>
  <c r="AE270" i="1"/>
  <c r="AE272" i="1"/>
  <c r="AE273" i="1"/>
  <c r="AE282" i="1"/>
  <c r="AE285" i="1"/>
  <c r="AE288" i="1"/>
  <c r="AE32" i="1"/>
  <c r="AE72" i="1"/>
  <c r="AE104" i="1"/>
  <c r="AE162" i="1"/>
  <c r="AE214" i="1"/>
  <c r="AE260" i="1"/>
  <c r="AE296" i="1"/>
  <c r="AE307" i="1"/>
  <c r="AE377" i="1"/>
  <c r="AE26" i="1"/>
  <c r="AE38" i="1"/>
  <c r="AE62" i="1"/>
  <c r="AE80" i="1"/>
  <c r="AE94" i="1"/>
  <c r="AE114" i="1"/>
  <c r="AE148" i="1"/>
  <c r="AE172" i="1"/>
  <c r="AE203" i="1"/>
  <c r="AE210" i="1"/>
  <c r="AE218" i="1"/>
  <c r="AE244" i="1"/>
  <c r="AE264" i="1"/>
  <c r="AE290" i="1"/>
  <c r="AE304" i="1"/>
  <c r="AE326" i="1"/>
  <c r="AE360" i="1"/>
  <c r="AC226" i="1"/>
  <c r="O220" i="1"/>
  <c r="AC218" i="1"/>
  <c r="O216" i="1"/>
  <c r="AC204" i="1"/>
  <c r="O198" i="1"/>
  <c r="AC196" i="1"/>
  <c r="O194" i="1"/>
  <c r="AC192" i="1"/>
  <c r="O178" i="1"/>
  <c r="AC176" i="1"/>
  <c r="O172" i="1"/>
  <c r="AC164" i="1"/>
  <c r="O148" i="1"/>
  <c r="O146" i="1"/>
  <c r="O144" i="1"/>
  <c r="AC116" i="1"/>
  <c r="O48" i="1"/>
  <c r="AC42" i="1"/>
  <c r="O28" i="1"/>
  <c r="O45" i="1"/>
  <c r="AC37" i="1"/>
  <c r="AC35" i="1"/>
  <c r="E106" i="6"/>
  <c r="E50" i="6"/>
  <c r="AM18" i="6"/>
  <c r="L29" i="6"/>
  <c r="M31" i="6" s="1"/>
  <c r="W29" i="6"/>
  <c r="X31" i="6" s="1"/>
  <c r="W16" i="6"/>
  <c r="S20" i="6"/>
  <c r="S16" i="6"/>
  <c r="E22" i="6"/>
  <c r="AN16" i="6"/>
  <c r="M13" i="6"/>
  <c r="M44" i="6" s="1"/>
  <c r="N46" i="6" s="1"/>
  <c r="AK16" i="6"/>
  <c r="AH18" i="6"/>
  <c r="Y20" i="6"/>
  <c r="Q16" i="6"/>
  <c r="E274" i="6"/>
  <c r="AE16" i="6"/>
  <c r="X44" i="6"/>
  <c r="AI18" i="6"/>
  <c r="AA18" i="6"/>
  <c r="X20" i="6"/>
  <c r="N20" i="6"/>
  <c r="O222" i="1"/>
  <c r="AC206" i="1"/>
  <c r="O202" i="1"/>
  <c r="O190" i="1"/>
  <c r="AC184" i="1"/>
  <c r="O182" i="1"/>
  <c r="AC170" i="1"/>
  <c r="AC168" i="1"/>
  <c r="O166" i="1"/>
  <c r="O162" i="1"/>
  <c r="AC158" i="1"/>
  <c r="AC156" i="1"/>
  <c r="AC154" i="1"/>
  <c r="O150" i="1"/>
  <c r="O142" i="1"/>
  <c r="AC130" i="1"/>
  <c r="AC126" i="1"/>
  <c r="O120" i="1"/>
  <c r="AC118" i="1"/>
  <c r="AC114" i="1"/>
  <c r="O112" i="1"/>
  <c r="O110" i="1"/>
  <c r="O104" i="1"/>
  <c r="O98" i="1"/>
  <c r="O96" i="1"/>
  <c r="AC70" i="1"/>
  <c r="O58" i="1"/>
  <c r="O56" i="1"/>
  <c r="O52" i="1"/>
  <c r="O46" i="1"/>
  <c r="O44" i="1"/>
  <c r="O38" i="1"/>
  <c r="B31" i="7"/>
  <c r="D333" i="15"/>
  <c r="D241" i="17"/>
  <c r="B64" i="7"/>
  <c r="AA16" i="6"/>
  <c r="AC15" i="1"/>
  <c r="O15" i="1"/>
  <c r="O22" i="1"/>
  <c r="AC22" i="1"/>
  <c r="O24" i="1"/>
  <c r="AC24" i="1"/>
  <c r="O26" i="1"/>
  <c r="AC26" i="1"/>
  <c r="O32" i="1"/>
  <c r="AC32" i="1"/>
  <c r="O36" i="1"/>
  <c r="AC36" i="1"/>
  <c r="O50" i="1"/>
  <c r="AC50" i="1"/>
  <c r="O54" i="1"/>
  <c r="AC54" i="1"/>
  <c r="O62" i="1"/>
  <c r="AC62" i="1"/>
  <c r="O64" i="1"/>
  <c r="AC64" i="1"/>
  <c r="O66" i="1"/>
  <c r="AC66" i="1"/>
  <c r="O72" i="1"/>
  <c r="AC72" i="1"/>
  <c r="AC82" i="1"/>
  <c r="O82" i="1"/>
  <c r="AC90" i="1"/>
  <c r="O90" i="1"/>
  <c r="AC92" i="1"/>
  <c r="O92" i="1"/>
  <c r="O94" i="1"/>
  <c r="AC94" i="1"/>
  <c r="O102" i="1"/>
  <c r="AC102" i="1"/>
  <c r="AC106" i="1"/>
  <c r="O106" i="1"/>
  <c r="AC124" i="1"/>
  <c r="O124" i="1"/>
  <c r="O128" i="1"/>
  <c r="AC128" i="1"/>
  <c r="O132" i="1"/>
  <c r="AC132" i="1"/>
  <c r="AC160" i="1"/>
  <c r="O160" i="1"/>
  <c r="O174" i="1"/>
  <c r="AC174" i="1"/>
  <c r="AC180" i="1"/>
  <c r="O180" i="1"/>
  <c r="C25" i="7" s="1"/>
  <c r="D180" i="16"/>
  <c r="D119" i="16"/>
  <c r="AA46" i="6"/>
  <c r="Z48" i="6"/>
  <c r="E134" i="6"/>
  <c r="U20" i="6"/>
  <c r="U16" i="6"/>
  <c r="E78" i="6"/>
  <c r="P29" i="6"/>
  <c r="P33" i="6" s="1"/>
  <c r="O29" i="6"/>
  <c r="O33" i="6" s="1"/>
  <c r="O20" i="6"/>
  <c r="O24" i="6" s="1"/>
  <c r="O23" i="6" s="1"/>
  <c r="O25" i="6" s="1"/>
  <c r="E372" i="6"/>
  <c r="AL20" i="6"/>
  <c r="AM16" i="6"/>
  <c r="L13" i="6"/>
  <c r="AI20" i="6"/>
  <c r="V18" i="6"/>
  <c r="AB29" i="6"/>
  <c r="AA35" i="6" s="1"/>
  <c r="AG16" i="6"/>
  <c r="AD18" i="6"/>
  <c r="E246" i="6"/>
  <c r="AG18" i="6"/>
  <c r="AF20" i="6"/>
  <c r="AH16" i="6"/>
  <c r="M20" i="6"/>
  <c r="Y50" i="6"/>
  <c r="AL18" i="6"/>
  <c r="Z29" i="6"/>
  <c r="AA31" i="6" s="1"/>
  <c r="BL13" i="7"/>
  <c r="D13" i="7"/>
  <c r="O227" i="1"/>
  <c r="AC229" i="1"/>
  <c r="O248" i="1"/>
  <c r="O249" i="1"/>
  <c r="AC249" i="1"/>
  <c r="AC250" i="1"/>
  <c r="O251" i="1"/>
  <c r="AC255" i="1"/>
  <c r="O264" i="1"/>
  <c r="AC264" i="1"/>
  <c r="O266" i="1"/>
  <c r="AC266" i="1"/>
  <c r="O267" i="1"/>
  <c r="AC267" i="1"/>
  <c r="AC279" i="1"/>
  <c r="O280" i="1"/>
  <c r="AC281" i="1"/>
  <c r="AC282" i="1"/>
  <c r="O282" i="1"/>
  <c r="O300" i="1"/>
  <c r="E300" i="1" s="1"/>
  <c r="AC300" i="1"/>
  <c r="O302" i="1"/>
  <c r="AC302" i="1"/>
  <c r="O303" i="1"/>
  <c r="E303" i="1" s="1"/>
  <c r="O305" i="1"/>
  <c r="E305" i="1" s="1"/>
  <c r="AC308" i="1"/>
  <c r="O309" i="1"/>
  <c r="E309" i="1" s="1"/>
  <c r="AC309" i="1"/>
  <c r="O312" i="1"/>
  <c r="AC313" i="1"/>
  <c r="AC314" i="1"/>
  <c r="AC315" i="1"/>
  <c r="O315" i="1"/>
  <c r="E315" i="1" s="1"/>
  <c r="AC319" i="1"/>
  <c r="O320" i="1"/>
  <c r="AC321" i="1"/>
  <c r="O322" i="1"/>
  <c r="E322" i="1" s="1"/>
  <c r="O324" i="1"/>
  <c r="E324" i="1" s="1"/>
  <c r="AC325" i="1"/>
  <c r="O326" i="1"/>
  <c r="AC329" i="1"/>
  <c r="AC331" i="1"/>
  <c r="AC332" i="1"/>
  <c r="AC333" i="1"/>
  <c r="O334" i="1"/>
  <c r="E334" i="1" s="1"/>
  <c r="O337" i="1"/>
  <c r="E337" i="1" s="1"/>
  <c r="AC338" i="1"/>
  <c r="O338" i="1"/>
  <c r="E338" i="1" s="1"/>
  <c r="AC339" i="1"/>
  <c r="O339" i="1"/>
  <c r="E339" i="1" s="1"/>
  <c r="O340" i="1"/>
  <c r="E340" i="1" s="1"/>
  <c r="O343" i="1"/>
  <c r="E343" i="1" s="1"/>
  <c r="AC346" i="1"/>
  <c r="O347" i="1"/>
  <c r="E347" i="1" s="1"/>
  <c r="AC347" i="1"/>
  <c r="AC349" i="1"/>
  <c r="O350" i="1"/>
  <c r="E350" i="1" s="1"/>
  <c r="AC352" i="1"/>
  <c r="AC354" i="1"/>
  <c r="O357" i="1"/>
  <c r="E357" i="1" s="1"/>
  <c r="O358" i="1"/>
  <c r="E358" i="1" s="1"/>
  <c r="AC358" i="1"/>
  <c r="BR13" i="7"/>
  <c r="BX13" i="7"/>
  <c r="AC231" i="1"/>
  <c r="AC233" i="1"/>
  <c r="O233" i="1"/>
  <c r="AC240" i="1"/>
  <c r="AC243" i="1"/>
  <c r="AC244" i="1"/>
  <c r="O244" i="1"/>
  <c r="O245" i="1"/>
  <c r="AC245" i="1"/>
  <c r="O246" i="1"/>
  <c r="AC246" i="1"/>
  <c r="AC253" i="1"/>
  <c r="O270" i="1"/>
  <c r="AC271" i="1"/>
  <c r="O273" i="1"/>
  <c r="O274" i="1"/>
  <c r="AC275" i="1"/>
  <c r="O287" i="1"/>
  <c r="O288" i="1"/>
  <c r="E288" i="1" s="1"/>
  <c r="AC290" i="1"/>
  <c r="O304" i="1"/>
  <c r="E304" i="1" s="1"/>
  <c r="AC306" i="1"/>
  <c r="O306" i="1"/>
  <c r="E306" i="1" s="1"/>
  <c r="AC307" i="1"/>
  <c r="AC310" i="1"/>
  <c r="O310" i="1"/>
  <c r="E310" i="1" s="1"/>
  <c r="AC311" i="1"/>
  <c r="O316" i="1"/>
  <c r="E316" i="1" s="1"/>
  <c r="O317" i="1"/>
  <c r="E317" i="1" s="1"/>
  <c r="AC318" i="1"/>
  <c r="AC323" i="1"/>
  <c r="O328" i="1"/>
  <c r="E328" i="1" s="1"/>
  <c r="AC328" i="1"/>
  <c r="O330" i="1"/>
  <c r="E330" i="1" s="1"/>
  <c r="O335" i="1"/>
  <c r="E335" i="1" s="1"/>
  <c r="AC335" i="1"/>
  <c r="AC336" i="1"/>
  <c r="O336" i="1"/>
  <c r="E336" i="1" s="1"/>
  <c r="O341" i="1"/>
  <c r="E341" i="1" s="1"/>
  <c r="AC341" i="1"/>
  <c r="AC344" i="1"/>
  <c r="O348" i="1"/>
  <c r="E348" i="1" s="1"/>
  <c r="AC351" i="1"/>
  <c r="O351" i="1"/>
  <c r="E351" i="1" s="1"/>
  <c r="O355" i="1"/>
  <c r="E355" i="1" s="1"/>
  <c r="AC356" i="1"/>
  <c r="AC362" i="1"/>
  <c r="O362" i="1"/>
  <c r="E362" i="1" s="1"/>
  <c r="AC363" i="1"/>
  <c r="O365" i="1"/>
  <c r="E365" i="1" s="1"/>
  <c r="O367" i="1"/>
  <c r="E367" i="1" s="1"/>
  <c r="O368" i="1"/>
  <c r="E368" i="1" s="1"/>
  <c r="O370" i="1"/>
  <c r="E370" i="1" s="1"/>
  <c r="O373" i="1"/>
  <c r="E373" i="1" s="1"/>
  <c r="AC373" i="1"/>
  <c r="AC374" i="1"/>
  <c r="AC375" i="1"/>
  <c r="O376" i="1"/>
  <c r="E376" i="1" s="1"/>
  <c r="AC376" i="1"/>
  <c r="AC359" i="1"/>
  <c r="AC364" i="1"/>
  <c r="O364" i="1"/>
  <c r="E364" i="1" s="1"/>
  <c r="AC366" i="1"/>
  <c r="AC369" i="1"/>
  <c r="AC371" i="1"/>
  <c r="O377" i="1"/>
  <c r="E377" i="1" s="1"/>
  <c r="O378" i="1"/>
  <c r="E378" i="1" s="1"/>
  <c r="AC378" i="1"/>
  <c r="E312" i="1"/>
  <c r="E326" i="1"/>
  <c r="E320" i="1"/>
  <c r="BY13" i="7"/>
  <c r="BM13" i="7"/>
  <c r="O379" i="1"/>
  <c r="AC379" i="1"/>
  <c r="AC377" i="1"/>
  <c r="O375" i="1"/>
  <c r="E375" i="1" s="1"/>
  <c r="O374" i="1"/>
  <c r="E374" i="1" s="1"/>
  <c r="AC372" i="1"/>
  <c r="O372" i="1"/>
  <c r="E372" i="1" s="1"/>
  <c r="O371" i="1"/>
  <c r="E371" i="1" s="1"/>
  <c r="AC370" i="1"/>
  <c r="O369" i="1"/>
  <c r="E369" i="1" s="1"/>
  <c r="AC368" i="1"/>
  <c r="AC367" i="1"/>
  <c r="O366" i="1"/>
  <c r="E366" i="1" s="1"/>
  <c r="AC365" i="1"/>
  <c r="O363" i="1"/>
  <c r="C31" i="7" s="1"/>
  <c r="AC361" i="1"/>
  <c r="O361" i="1"/>
  <c r="E361" i="1" s="1"/>
  <c r="O360" i="1"/>
  <c r="E360" i="1" s="1"/>
  <c r="AC360" i="1"/>
  <c r="O359" i="1"/>
  <c r="E359" i="1" s="1"/>
  <c r="AC357" i="1"/>
  <c r="O356" i="1"/>
  <c r="E356" i="1" s="1"/>
  <c r="AC355" i="1"/>
  <c r="O354" i="1"/>
  <c r="E354" i="1" s="1"/>
  <c r="O353" i="1"/>
  <c r="E353" i="1" s="1"/>
  <c r="AC353" i="1"/>
  <c r="O352" i="1"/>
  <c r="E352" i="1" s="1"/>
  <c r="AC350" i="1"/>
  <c r="O349" i="1"/>
  <c r="E349" i="1" s="1"/>
  <c r="AC348" i="1"/>
  <c r="O346" i="1"/>
  <c r="E346" i="1" s="1"/>
  <c r="O345" i="1"/>
  <c r="E345" i="1" s="1"/>
  <c r="AC345" i="1"/>
  <c r="O344" i="1"/>
  <c r="E344" i="1" s="1"/>
  <c r="AC343" i="1"/>
  <c r="O342" i="1"/>
  <c r="E342" i="1" s="1"/>
  <c r="AC342" i="1"/>
  <c r="AC340" i="1"/>
  <c r="AC337" i="1"/>
  <c r="AC334" i="1"/>
  <c r="O333" i="1"/>
  <c r="C30" i="7" s="1"/>
  <c r="O332" i="1"/>
  <c r="E332" i="1" s="1"/>
  <c r="O331" i="1"/>
  <c r="AC330" i="1"/>
  <c r="O329" i="1"/>
  <c r="E329" i="1" s="1"/>
  <c r="AC327" i="1"/>
  <c r="O327" i="1"/>
  <c r="E327" i="1" s="1"/>
  <c r="AC326" i="1"/>
  <c r="O325" i="1"/>
  <c r="E325" i="1" s="1"/>
  <c r="AC324" i="1"/>
  <c r="O323" i="1"/>
  <c r="E323" i="1" s="1"/>
  <c r="AC322" i="1"/>
  <c r="O321" i="1"/>
  <c r="E321" i="1" s="1"/>
  <c r="AC320" i="1"/>
  <c r="O319" i="1"/>
  <c r="E319" i="1" s="1"/>
  <c r="O318" i="1"/>
  <c r="E318" i="1" s="1"/>
  <c r="AC317" i="1"/>
  <c r="AC316" i="1"/>
  <c r="O314" i="1"/>
  <c r="E314" i="1" s="1"/>
  <c r="O313" i="1"/>
  <c r="E313" i="1" s="1"/>
  <c r="AC312" i="1"/>
  <c r="O311" i="1"/>
  <c r="E311" i="1" s="1"/>
  <c r="O308" i="1"/>
  <c r="E308" i="1" s="1"/>
  <c r="O307" i="1"/>
  <c r="E307" i="1" s="1"/>
  <c r="AC305" i="1"/>
  <c r="AC304" i="1"/>
  <c r="AC303" i="1"/>
  <c r="O301" i="1"/>
  <c r="E301" i="1" s="1"/>
  <c r="AC301" i="1"/>
  <c r="O299" i="1"/>
  <c r="E299" i="1" s="1"/>
  <c r="AC299" i="1"/>
  <c r="O298" i="1"/>
  <c r="E298" i="1" s="1"/>
  <c r="AC298" i="1"/>
  <c r="AC296" i="1"/>
  <c r="O296" i="1"/>
  <c r="E296" i="1" s="1"/>
  <c r="O295" i="1"/>
  <c r="E295" i="1" s="1"/>
  <c r="AC295" i="1"/>
  <c r="AC294" i="1"/>
  <c r="O293" i="1"/>
  <c r="E293" i="1" s="1"/>
  <c r="O289" i="1"/>
  <c r="E289" i="1" s="1"/>
  <c r="AC289" i="1"/>
  <c r="O286" i="1"/>
  <c r="AC285" i="1"/>
  <c r="O283" i="1"/>
  <c r="AC278" i="1"/>
  <c r="O278" i="1"/>
  <c r="AC277" i="1"/>
  <c r="O269" i="1"/>
  <c r="AC269" i="1"/>
  <c r="O268" i="1"/>
  <c r="O263" i="1"/>
  <c r="AC262" i="1"/>
  <c r="AC261" i="1"/>
  <c r="O258" i="1"/>
  <c r="AC258" i="1"/>
  <c r="AC256" i="1"/>
  <c r="AC254" i="1"/>
  <c r="O252" i="1"/>
  <c r="AC247" i="1"/>
  <c r="O242" i="1"/>
  <c r="AC242" i="1"/>
  <c r="O230" i="1"/>
  <c r="AC227" i="1"/>
  <c r="AC228" i="1"/>
  <c r="AC230" i="1"/>
  <c r="AC232" i="1"/>
  <c r="AC234" i="1"/>
  <c r="AC235" i="1"/>
  <c r="AC236" i="1"/>
  <c r="AC237" i="1"/>
  <c r="AC238" i="1"/>
  <c r="AC239" i="1"/>
  <c r="AC241" i="1"/>
  <c r="AC248" i="1"/>
  <c r="AC251" i="1"/>
  <c r="AC252" i="1"/>
  <c r="AC257" i="1"/>
  <c r="AC259" i="1"/>
  <c r="AC260" i="1"/>
  <c r="AC263" i="1"/>
  <c r="AC265" i="1"/>
  <c r="AC268" i="1"/>
  <c r="AC270" i="1"/>
  <c r="AC272" i="1"/>
  <c r="AC273" i="1"/>
  <c r="AC274" i="1"/>
  <c r="AC276" i="1"/>
  <c r="AC280" i="1"/>
  <c r="AC283" i="1"/>
  <c r="AC284" i="1"/>
  <c r="AC286" i="1"/>
  <c r="AC287" i="1"/>
  <c r="AC288" i="1"/>
  <c r="AC291" i="1"/>
  <c r="AC292" i="1"/>
  <c r="AC293" i="1"/>
  <c r="AC297" i="1"/>
  <c r="BW13" i="7"/>
  <c r="BK13" i="7"/>
  <c r="O228" i="1"/>
  <c r="O229" i="1"/>
  <c r="O231" i="1"/>
  <c r="O232" i="1"/>
  <c r="O234" i="1"/>
  <c r="O235" i="1"/>
  <c r="O236" i="1"/>
  <c r="O237" i="1"/>
  <c r="O238" i="1"/>
  <c r="O239" i="1"/>
  <c r="O240" i="1"/>
  <c r="O241" i="1"/>
  <c r="C27" i="7" s="1"/>
  <c r="O243" i="1"/>
  <c r="O247" i="1"/>
  <c r="O250" i="1"/>
  <c r="O253" i="1"/>
  <c r="O254" i="1"/>
  <c r="O255" i="1"/>
  <c r="O256" i="1"/>
  <c r="O257" i="1"/>
  <c r="O259" i="1"/>
  <c r="O260" i="1"/>
  <c r="O261" i="1"/>
  <c r="O262" i="1"/>
  <c r="O265" i="1"/>
  <c r="O271" i="1"/>
  <c r="O272" i="1"/>
  <c r="C28" i="7" s="1"/>
  <c r="O275" i="1"/>
  <c r="O276" i="1"/>
  <c r="O277" i="1"/>
  <c r="O279" i="1"/>
  <c r="O281" i="1"/>
  <c r="O284" i="1"/>
  <c r="O285" i="1"/>
  <c r="O290" i="1"/>
  <c r="E290" i="1" s="1"/>
  <c r="O291" i="1"/>
  <c r="E291" i="1" s="1"/>
  <c r="O292" i="1"/>
  <c r="E292" i="1" s="1"/>
  <c r="O294" i="1"/>
  <c r="E294" i="1" s="1"/>
  <c r="O297" i="1"/>
  <c r="E297" i="1" s="1"/>
  <c r="E13" i="7"/>
  <c r="O9" i="16"/>
  <c r="AJ8" i="1"/>
  <c r="T31" i="6"/>
  <c r="S33" i="6"/>
  <c r="R46" i="6"/>
  <c r="Q48" i="6"/>
  <c r="V33" i="6"/>
  <c r="W31" i="6"/>
  <c r="Q33" i="6"/>
  <c r="P35" i="6"/>
  <c r="V16" i="6"/>
  <c r="U18" i="6"/>
  <c r="W18" i="6"/>
  <c r="R44" i="6"/>
  <c r="U29" i="6"/>
  <c r="AB18" i="6"/>
  <c r="AC16" i="6"/>
  <c r="AL16" i="6"/>
  <c r="Y44" i="6"/>
  <c r="E344" i="6"/>
  <c r="AK18" i="6"/>
  <c r="AB24" i="6"/>
  <c r="R31" i="6"/>
  <c r="U35" i="6"/>
  <c r="AJ20" i="6"/>
  <c r="P50" i="6"/>
  <c r="V20" i="6"/>
  <c r="T20" i="6"/>
  <c r="E120" i="6"/>
  <c r="E218" i="6"/>
  <c r="AO13" i="6"/>
  <c r="N44" i="6"/>
  <c r="P16" i="6"/>
  <c r="P24" i="6" s="1"/>
  <c r="P23" i="6" s="1"/>
  <c r="P25" i="6" s="1"/>
  <c r="AB44" i="6"/>
  <c r="AA50" i="6" s="1"/>
  <c r="O44" i="6"/>
  <c r="E64" i="6"/>
  <c r="R16" i="6"/>
  <c r="P44" i="6"/>
  <c r="R20" i="6"/>
  <c r="R24" i="6" s="1"/>
  <c r="R23" i="6" s="1"/>
  <c r="S18" i="6"/>
  <c r="Y16" i="6"/>
  <c r="W20" i="6"/>
  <c r="X18" i="6"/>
  <c r="E162" i="6"/>
  <c r="T29" i="6"/>
  <c r="S35" i="6" s="1"/>
  <c r="E190" i="6"/>
  <c r="U44" i="6"/>
  <c r="E232" i="6"/>
  <c r="AD16" i="6"/>
  <c r="V44" i="6"/>
  <c r="V48" i="6" s="1"/>
  <c r="AE18" i="6"/>
  <c r="AD20" i="6"/>
  <c r="X29" i="6"/>
  <c r="AG20" i="6"/>
  <c r="AI16" i="6"/>
  <c r="Y29" i="6"/>
  <c r="Y33" i="6" s="1"/>
  <c r="AJ18" i="6"/>
  <c r="AN18" i="6"/>
  <c r="AM20" i="6"/>
  <c r="AA29" i="6"/>
  <c r="R33" i="6"/>
  <c r="S31" i="6"/>
  <c r="AK3" i="1"/>
  <c r="Q11" i="19" s="1"/>
  <c r="BK10" i="7" l="1"/>
  <c r="BN9" i="7"/>
  <c r="BP10" i="7" s="1"/>
  <c r="L9" i="7"/>
  <c r="R9" i="7" s="1"/>
  <c r="K10" i="7"/>
  <c r="Q10" i="7" s="1"/>
  <c r="W10" i="7" s="1"/>
  <c r="AC10" i="7" s="1"/>
  <c r="AI5" i="7" s="1"/>
  <c r="AI10" i="7" s="1"/>
  <c r="AO10" i="7" s="1"/>
  <c r="AU10" i="7" s="1"/>
  <c r="BA10" i="7" s="1"/>
  <c r="BG10" i="7" s="1"/>
  <c r="BM10" i="7" s="1"/>
  <c r="BS10" i="7" s="1"/>
  <c r="BY10" i="7" s="1"/>
  <c r="J10" i="7"/>
  <c r="AE291" i="1"/>
  <c r="AE265" i="1"/>
  <c r="AE167" i="1"/>
  <c r="AE374" i="1"/>
  <c r="AE337" i="1"/>
  <c r="BK16" i="7"/>
  <c r="P11" i="15"/>
  <c r="AK21" i="15" s="1"/>
  <c r="I11" i="7"/>
  <c r="Q11" i="15" s="1"/>
  <c r="AF24" i="6"/>
  <c r="AF23" i="6" s="1"/>
  <c r="AF25" i="6" s="1"/>
  <c r="AJ271" i="17"/>
  <c r="AJ180" i="17"/>
  <c r="AJ356" i="17"/>
  <c r="AJ134" i="17"/>
  <c r="AJ34" i="17"/>
  <c r="AJ339" i="17"/>
  <c r="AJ190" i="17"/>
  <c r="AJ28" i="17"/>
  <c r="AJ104" i="17"/>
  <c r="AJ320" i="17"/>
  <c r="AJ366" i="17"/>
  <c r="AJ305" i="17"/>
  <c r="AJ245" i="17"/>
  <c r="AJ246" i="17"/>
  <c r="AJ123" i="17"/>
  <c r="AJ193" i="17"/>
  <c r="AJ117" i="17"/>
  <c r="AJ41" i="17"/>
  <c r="AJ369" i="17"/>
  <c r="AJ322" i="17"/>
  <c r="AJ321" i="17"/>
  <c r="AJ353" i="17"/>
  <c r="AJ325" i="17"/>
  <c r="AJ285" i="17"/>
  <c r="AJ261" i="17"/>
  <c r="AJ226" i="17"/>
  <c r="AJ286" i="17"/>
  <c r="AJ208" i="17"/>
  <c r="AJ138" i="17"/>
  <c r="AJ62" i="17"/>
  <c r="AJ222" i="17"/>
  <c r="AJ153" i="17"/>
  <c r="AJ146" i="17"/>
  <c r="AJ75" i="17"/>
  <c r="AJ77" i="17"/>
  <c r="N33" i="6"/>
  <c r="B45" i="7"/>
  <c r="B33" i="19"/>
  <c r="Q24" i="6"/>
  <c r="Q23" i="6" s="1"/>
  <c r="Q25" i="6" s="1"/>
  <c r="U50" i="6"/>
  <c r="T48" i="6"/>
  <c r="E379" i="1"/>
  <c r="C35" i="19"/>
  <c r="M48" i="6"/>
  <c r="AA24" i="6"/>
  <c r="AA23" i="6" s="1"/>
  <c r="AA25" i="6" s="1"/>
  <c r="L382" i="24"/>
  <c r="L383" i="18"/>
  <c r="Z33" i="6"/>
  <c r="T33" i="6"/>
  <c r="N16" i="6"/>
  <c r="N24" i="6" s="1"/>
  <c r="N23" i="6" s="1"/>
  <c r="M35" i="6"/>
  <c r="S50" i="6"/>
  <c r="L381" i="22"/>
  <c r="L381" i="23"/>
  <c r="L382" i="20"/>
  <c r="L382" i="25"/>
  <c r="L383" i="24"/>
  <c r="L382" i="18"/>
  <c r="AJ15" i="17"/>
  <c r="AJ30" i="17"/>
  <c r="AJ24" i="17"/>
  <c r="AJ42" i="17"/>
  <c r="AJ55" i="17"/>
  <c r="AJ39" i="17"/>
  <c r="AJ59" i="17"/>
  <c r="AJ74" i="17"/>
  <c r="AJ92" i="17"/>
  <c r="AJ103" i="17"/>
  <c r="AJ115" i="17"/>
  <c r="AJ72" i="17"/>
  <c r="AJ86" i="17"/>
  <c r="AJ116" i="17"/>
  <c r="AJ135" i="17"/>
  <c r="AJ145" i="17"/>
  <c r="AJ165" i="17"/>
  <c r="AJ179" i="17"/>
  <c r="AJ125" i="17"/>
  <c r="AJ152" i="17"/>
  <c r="AJ163" i="17"/>
  <c r="AJ184" i="17"/>
  <c r="AJ206" i="17"/>
  <c r="AJ221" i="17"/>
  <c r="AJ232" i="17"/>
  <c r="AJ240" i="17"/>
  <c r="AJ244" i="17"/>
  <c r="AJ255" i="17"/>
  <c r="AJ259" i="17"/>
  <c r="AJ273" i="17"/>
  <c r="AJ284" i="17"/>
  <c r="AJ293" i="17"/>
  <c r="AJ299" i="17"/>
  <c r="AJ185" i="17"/>
  <c r="AJ189" i="17"/>
  <c r="AJ194" i="17"/>
  <c r="AJ203" i="17"/>
  <c r="AJ213" i="17"/>
  <c r="AJ220" i="17"/>
  <c r="AJ230" i="17"/>
  <c r="AJ239" i="17"/>
  <c r="AJ249" i="17"/>
  <c r="AJ260" i="17"/>
  <c r="AJ264" i="17"/>
  <c r="AJ270" i="17"/>
  <c r="AJ278" i="17"/>
  <c r="AJ283" i="17"/>
  <c r="AJ291" i="17"/>
  <c r="AJ300" i="17"/>
  <c r="AJ311" i="17"/>
  <c r="AJ319" i="17"/>
  <c r="AJ331" i="17"/>
  <c r="AJ337" i="17"/>
  <c r="AJ342" i="17"/>
  <c r="AJ349" i="17"/>
  <c r="AJ359" i="17"/>
  <c r="AJ365" i="17"/>
  <c r="AJ307" i="17"/>
  <c r="AJ318" i="17"/>
  <c r="AJ330" i="17"/>
  <c r="AJ354" i="17"/>
  <c r="AJ372" i="17"/>
  <c r="AJ315" i="17"/>
  <c r="AJ351" i="17"/>
  <c r="AJ302" i="17"/>
  <c r="AJ333" i="17"/>
  <c r="AJ363" i="17"/>
  <c r="AJ374" i="17"/>
  <c r="AJ21" i="17"/>
  <c r="AJ33" i="17"/>
  <c r="AJ64" i="17"/>
  <c r="AJ65" i="17"/>
  <c r="AJ97" i="17"/>
  <c r="AJ129" i="17"/>
  <c r="AJ101" i="17"/>
  <c r="AJ140" i="17"/>
  <c r="AJ171" i="17"/>
  <c r="AJ142" i="17"/>
  <c r="AJ175" i="17"/>
  <c r="AJ211" i="17"/>
  <c r="AJ234" i="17"/>
  <c r="AJ250" i="17"/>
  <c r="AJ268" i="17"/>
  <c r="AJ287" i="17"/>
  <c r="AJ303" i="17"/>
  <c r="AJ191" i="17"/>
  <c r="AJ209" i="17"/>
  <c r="AJ227" i="17"/>
  <c r="AJ247" i="17"/>
  <c r="AJ262" i="17"/>
  <c r="AJ274" i="17"/>
  <c r="AJ288" i="17"/>
  <c r="AJ306" i="17"/>
  <c r="AJ327" i="17"/>
  <c r="AJ340" i="17"/>
  <c r="AJ355" i="17"/>
  <c r="AJ367" i="17"/>
  <c r="AJ324" i="17"/>
  <c r="AJ368" i="17"/>
  <c r="AJ344" i="17"/>
  <c r="AJ323" i="17"/>
  <c r="AJ370" i="17"/>
  <c r="AJ380" i="17"/>
  <c r="AJ31" i="17"/>
  <c r="AJ50" i="17"/>
  <c r="AJ45" i="17"/>
  <c r="AJ84" i="17"/>
  <c r="AJ107" i="17"/>
  <c r="AJ79" i="17"/>
  <c r="AJ124" i="17"/>
  <c r="AJ154" i="17"/>
  <c r="AJ111" i="17"/>
  <c r="AJ158" i="17"/>
  <c r="AJ198" i="17"/>
  <c r="AJ225" i="17"/>
  <c r="AJ242" i="17"/>
  <c r="AJ257" i="17"/>
  <c r="AJ277" i="17"/>
  <c r="AJ297" i="17"/>
  <c r="AJ187" i="17"/>
  <c r="AJ200" i="17"/>
  <c r="AJ217" i="17"/>
  <c r="AJ237" i="17"/>
  <c r="AJ253" i="17"/>
  <c r="AJ266" i="17"/>
  <c r="AJ281" i="17"/>
  <c r="AJ294" i="17"/>
  <c r="AJ314" i="17"/>
  <c r="AJ335" i="17"/>
  <c r="AJ347" i="17"/>
  <c r="AJ361" i="17"/>
  <c r="AJ313" i="17"/>
  <c r="AJ345" i="17"/>
  <c r="AJ377" i="17"/>
  <c r="AJ378" i="17"/>
  <c r="AJ352" i="17"/>
  <c r="F7" i="17"/>
  <c r="AC9" i="17" s="1"/>
  <c r="E8" i="17"/>
  <c r="K14" i="19" s="1"/>
  <c r="K38" i="19" s="1"/>
  <c r="T13" i="7"/>
  <c r="AJ27" i="17"/>
  <c r="AJ29" i="17"/>
  <c r="AJ22" i="17"/>
  <c r="AJ32" i="17"/>
  <c r="AJ40" i="17"/>
  <c r="AJ49" i="17"/>
  <c r="AJ54" i="17"/>
  <c r="AJ60" i="17"/>
  <c r="AJ70" i="17"/>
  <c r="AJ44" i="17"/>
  <c r="AJ58" i="17"/>
  <c r="AJ63" i="17"/>
  <c r="AJ73" i="17"/>
  <c r="AJ81" i="17"/>
  <c r="AJ91" i="17"/>
  <c r="AJ96" i="17"/>
  <c r="AJ100" i="17"/>
  <c r="AJ106" i="17"/>
  <c r="AJ113" i="17"/>
  <c r="AJ128" i="17"/>
  <c r="AJ71" i="17"/>
  <c r="AJ78" i="17"/>
  <c r="AJ85" i="17"/>
  <c r="AJ94" i="17"/>
  <c r="AJ109" i="17"/>
  <c r="AJ120" i="17"/>
  <c r="AJ133" i="17"/>
  <c r="AJ139" i="17"/>
  <c r="AJ144" i="17"/>
  <c r="AJ151" i="17"/>
  <c r="AJ164" i="17"/>
  <c r="AJ170" i="17"/>
  <c r="AJ177" i="17"/>
  <c r="AJ183" i="17"/>
  <c r="AJ122" i="17"/>
  <c r="AJ136" i="17"/>
  <c r="AJ149" i="17"/>
  <c r="AJ157" i="17"/>
  <c r="AJ162" i="17"/>
  <c r="AJ173" i="17"/>
  <c r="AJ181" i="17"/>
  <c r="AJ197" i="17"/>
  <c r="AJ204" i="17"/>
  <c r="AJ210" i="17"/>
  <c r="AJ218" i="17"/>
  <c r="AJ224" i="17"/>
  <c r="AJ19" i="17"/>
  <c r="AJ26" i="17"/>
  <c r="AJ37" i="17"/>
  <c r="AJ38" i="17"/>
  <c r="AJ53" i="17"/>
  <c r="AJ69" i="17"/>
  <c r="AJ51" i="17"/>
  <c r="AJ68" i="17"/>
  <c r="AJ90" i="17"/>
  <c r="AJ99" i="17"/>
  <c r="AJ112" i="17"/>
  <c r="AJ131" i="17"/>
  <c r="AJ83" i="17"/>
  <c r="AJ108" i="17"/>
  <c r="AJ127" i="17"/>
  <c r="AJ143" i="17"/>
  <c r="AJ160" i="17"/>
  <c r="AJ174" i="17"/>
  <c r="AJ119" i="17"/>
  <c r="AJ148" i="17"/>
  <c r="AJ161" i="17"/>
  <c r="AJ178" i="17"/>
  <c r="AJ202" i="17"/>
  <c r="AJ216" i="17"/>
  <c r="AJ231" i="17"/>
  <c r="AJ236" i="17"/>
  <c r="AJ243" i="17"/>
  <c r="AJ252" i="17"/>
  <c r="AJ258" i="17"/>
  <c r="AJ272" i="17"/>
  <c r="AJ280" i="17"/>
  <c r="AJ290" i="17"/>
  <c r="AJ298" i="17"/>
  <c r="AJ304" i="17"/>
  <c r="AJ188" i="17"/>
  <c r="AJ192" i="17"/>
  <c r="AJ201" i="17"/>
  <c r="AJ212" i="17"/>
  <c r="AJ219" i="17"/>
  <c r="AJ18" i="17"/>
  <c r="AJ23" i="17"/>
  <c r="AJ35" i="17"/>
  <c r="AJ36" i="17"/>
  <c r="AJ52" i="17"/>
  <c r="AJ67" i="17"/>
  <c r="AJ47" i="17"/>
  <c r="AJ66" i="17"/>
  <c r="AJ87" i="17"/>
  <c r="AJ98" i="17"/>
  <c r="AJ110" i="17"/>
  <c r="AJ130" i="17"/>
  <c r="AJ82" i="17"/>
  <c r="AJ102" i="17"/>
  <c r="AJ126" i="17"/>
  <c r="AJ141" i="17"/>
  <c r="AJ155" i="17"/>
  <c r="AJ172" i="17"/>
  <c r="AJ114" i="17"/>
  <c r="AJ147" i="17"/>
  <c r="AJ159" i="17"/>
  <c r="AJ176" i="17"/>
  <c r="AJ199" i="17"/>
  <c r="AJ215" i="17"/>
  <c r="AJ228" i="17"/>
  <c r="AJ20" i="17"/>
  <c r="AJ48" i="17"/>
  <c r="AJ43" i="17"/>
  <c r="AJ80" i="17"/>
  <c r="AJ105" i="17"/>
  <c r="AJ76" i="17"/>
  <c r="AJ118" i="17"/>
  <c r="AJ150" i="17"/>
  <c r="AJ182" i="17"/>
  <c r="AJ156" i="17"/>
  <c r="AJ196" i="17"/>
  <c r="AJ223" i="17"/>
  <c r="AJ241" i="17"/>
  <c r="AJ256" i="17"/>
  <c r="AJ276" i="17"/>
  <c r="AJ296" i="17"/>
  <c r="AJ186" i="17"/>
  <c r="AJ195" i="17"/>
  <c r="AJ214" i="17"/>
  <c r="AJ229" i="17"/>
  <c r="AJ238" i="17"/>
  <c r="AJ248" i="17"/>
  <c r="AJ254" i="17"/>
  <c r="AJ263" i="17"/>
  <c r="AJ269" i="17"/>
  <c r="AJ275" i="17"/>
  <c r="AJ282" i="17"/>
  <c r="AJ289" i="17"/>
  <c r="AJ295" i="17"/>
  <c r="AJ309" i="17"/>
  <c r="AJ316" i="17"/>
  <c r="AJ329" i="17"/>
  <c r="AJ336" i="17"/>
  <c r="AJ341" i="17"/>
  <c r="AJ348" i="17"/>
  <c r="AJ358" i="17"/>
  <c r="AJ364" i="17"/>
  <c r="AJ376" i="17"/>
  <c r="AJ317" i="17"/>
  <c r="AJ326" i="17"/>
  <c r="AJ350" i="17"/>
  <c r="AJ371" i="17"/>
  <c r="AJ310" i="17"/>
  <c r="AJ346" i="17"/>
  <c r="AJ379" i="17"/>
  <c r="AJ328" i="17"/>
  <c r="AJ362" i="17"/>
  <c r="AJ373" i="17"/>
  <c r="O9" i="15"/>
  <c r="AJ318" i="15" s="1"/>
  <c r="E7" i="17"/>
  <c r="O10" i="17" s="1"/>
  <c r="U13" i="7" s="1"/>
  <c r="AJ334" i="17"/>
  <c r="AJ357" i="17"/>
  <c r="AJ375" i="17"/>
  <c r="AJ338" i="17"/>
  <c r="AJ308" i="17"/>
  <c r="AJ360" i="17"/>
  <c r="AJ343" i="17"/>
  <c r="AJ332" i="17"/>
  <c r="AJ312" i="17"/>
  <c r="AJ292" i="17"/>
  <c r="AJ279" i="17"/>
  <c r="AJ265" i="17"/>
  <c r="AJ251" i="17"/>
  <c r="AJ235" i="17"/>
  <c r="AJ205" i="17"/>
  <c r="AJ301" i="17"/>
  <c r="AJ267" i="17"/>
  <c r="AJ233" i="17"/>
  <c r="AJ168" i="17"/>
  <c r="AJ169" i="17"/>
  <c r="AJ89" i="17"/>
  <c r="AJ95" i="17"/>
  <c r="AJ57" i="17"/>
  <c r="AJ17" i="17"/>
  <c r="AJ207" i="17"/>
  <c r="AJ167" i="17"/>
  <c r="AJ132" i="17"/>
  <c r="AJ166" i="17"/>
  <c r="AJ137" i="17"/>
  <c r="AJ88" i="17"/>
  <c r="AJ121" i="17"/>
  <c r="AJ93" i="17"/>
  <c r="AJ61" i="17"/>
  <c r="AJ56" i="17"/>
  <c r="AJ25" i="17"/>
  <c r="AJ16" i="17"/>
  <c r="O9" i="18"/>
  <c r="AC24" i="6"/>
  <c r="AC23" i="6" s="1"/>
  <c r="AC25" i="6" s="1"/>
  <c r="B33" i="7"/>
  <c r="D60" i="15"/>
  <c r="L383" i="20"/>
  <c r="L382" i="15"/>
  <c r="D382" i="1"/>
  <c r="D9" i="1"/>
  <c r="D11" i="1" s="1"/>
  <c r="E35" i="19" s="1"/>
  <c r="D29" i="17"/>
  <c r="R50" i="6"/>
  <c r="L383" i="15"/>
  <c r="L382" i="16"/>
  <c r="L381" i="25"/>
  <c r="L381" i="17"/>
  <c r="L381" i="24"/>
  <c r="L383" i="23"/>
  <c r="L382" i="22"/>
  <c r="L383" i="22"/>
  <c r="L383" i="16"/>
  <c r="L383" i="25"/>
  <c r="D15" i="17"/>
  <c r="D382" i="17" s="1"/>
  <c r="L382" i="17"/>
  <c r="B32" i="7"/>
  <c r="D29" i="15"/>
  <c r="L381" i="18"/>
  <c r="L381" i="20"/>
  <c r="D15" i="15"/>
  <c r="L381" i="15"/>
  <c r="L383" i="17"/>
  <c r="L382" i="23"/>
  <c r="D29" i="16"/>
  <c r="B44" i="7"/>
  <c r="D15" i="16"/>
  <c r="D383" i="16" s="1"/>
  <c r="L381" i="16"/>
  <c r="D382" i="16"/>
  <c r="D383" i="1"/>
  <c r="E331" i="1"/>
  <c r="AJ24" i="6"/>
  <c r="AJ23" i="6" s="1"/>
  <c r="AJ25" i="6" s="1"/>
  <c r="Y24" i="6"/>
  <c r="Y23" i="6" s="1"/>
  <c r="Y25" i="6" s="1"/>
  <c r="T46" i="6"/>
  <c r="P11" i="16"/>
  <c r="N15" i="7"/>
  <c r="AJ55" i="15"/>
  <c r="BQ16" i="7"/>
  <c r="C16" i="7"/>
  <c r="O11" i="7"/>
  <c r="AK16" i="15"/>
  <c r="AK155" i="15"/>
  <c r="AK223" i="15"/>
  <c r="AK75" i="15"/>
  <c r="AK281" i="15"/>
  <c r="AK324" i="15"/>
  <c r="AK138" i="15"/>
  <c r="AK353" i="15"/>
  <c r="F8" i="15"/>
  <c r="U11" i="1"/>
  <c r="U10" i="1"/>
  <c r="AI27" i="1" s="1"/>
  <c r="AH27" i="1" s="1"/>
  <c r="AG27" i="1" s="1"/>
  <c r="AF27" i="1" s="1"/>
  <c r="BH11" i="6"/>
  <c r="BH12" i="6" s="1"/>
  <c r="BH15" i="6" s="1"/>
  <c r="BH371" i="6"/>
  <c r="E12" i="6"/>
  <c r="T24" i="6"/>
  <c r="T23" i="6" s="1"/>
  <c r="T25" i="6" s="1"/>
  <c r="AK24" i="6"/>
  <c r="AK23" i="6" s="1"/>
  <c r="AK25" i="6" s="1"/>
  <c r="V50" i="6"/>
  <c r="W48" i="6"/>
  <c r="AE154" i="1"/>
  <c r="AE233" i="1"/>
  <c r="AE309" i="1"/>
  <c r="AE318" i="1"/>
  <c r="AE34" i="1"/>
  <c r="AE112" i="1"/>
  <c r="AE216" i="1"/>
  <c r="AE300" i="1"/>
  <c r="AE312" i="1"/>
  <c r="AE219" i="1"/>
  <c r="AE49" i="1"/>
  <c r="AE184" i="1"/>
  <c r="AE376" i="1"/>
  <c r="AE33" i="1"/>
  <c r="AE107" i="1"/>
  <c r="AE170" i="1"/>
  <c r="AE224" i="1"/>
  <c r="AE258" i="1"/>
  <c r="AE367" i="1"/>
  <c r="AE20" i="1"/>
  <c r="AE78" i="1"/>
  <c r="AE118" i="1"/>
  <c r="AE132" i="1"/>
  <c r="AE147" i="1"/>
  <c r="AE168" i="1"/>
  <c r="AE199" i="1"/>
  <c r="AE242" i="1"/>
  <c r="AE299" i="1"/>
  <c r="AE324" i="1"/>
  <c r="AE278" i="1"/>
  <c r="AE328" i="1"/>
  <c r="AE362" i="1"/>
  <c r="AE375" i="1"/>
  <c r="AE40" i="1"/>
  <c r="AE84" i="1"/>
  <c r="AE126" i="1"/>
  <c r="AE174" i="1"/>
  <c r="AE220" i="1"/>
  <c r="AE266" i="1"/>
  <c r="Q62" i="1"/>
  <c r="Q41" i="1"/>
  <c r="Q25" i="1"/>
  <c r="AE283" i="1"/>
  <c r="AE200" i="1"/>
  <c r="AE157" i="1"/>
  <c r="AE103" i="1"/>
  <c r="AE43" i="1"/>
  <c r="AE149" i="1"/>
  <c r="AE138" i="1"/>
  <c r="AE183" i="1"/>
  <c r="AE371" i="1"/>
  <c r="AE213" i="1"/>
  <c r="AE97" i="1"/>
  <c r="AE35" i="1"/>
  <c r="AE98" i="1"/>
  <c r="AE68" i="1"/>
  <c r="AE121" i="1"/>
  <c r="AE286" i="1"/>
  <c r="AE238" i="1"/>
  <c r="Q65" i="1"/>
  <c r="Q58" i="1"/>
  <c r="Q49" i="1"/>
  <c r="Q34" i="1"/>
  <c r="Q28" i="1"/>
  <c r="AE113" i="1"/>
  <c r="AE71" i="1"/>
  <c r="AE261" i="1"/>
  <c r="AE164" i="1"/>
  <c r="AE344" i="1"/>
  <c r="AE70" i="1"/>
  <c r="AE144" i="1"/>
  <c r="AE15" i="1"/>
  <c r="AE93" i="1"/>
  <c r="AE77" i="1"/>
  <c r="AE305" i="1"/>
  <c r="AE332" i="1"/>
  <c r="AE44" i="1"/>
  <c r="AE227" i="1"/>
  <c r="AE176" i="1"/>
  <c r="Q82" i="1"/>
  <c r="Q84" i="1"/>
  <c r="Q85" i="1"/>
  <c r="Q86" i="1"/>
  <c r="Q87" i="1"/>
  <c r="Q88" i="1"/>
  <c r="Q91" i="1"/>
  <c r="Q93" i="1"/>
  <c r="Q96" i="1"/>
  <c r="Q98" i="1"/>
  <c r="Q99" i="1"/>
  <c r="Q102" i="1"/>
  <c r="Q104" i="1"/>
  <c r="Q106" i="1"/>
  <c r="Q107" i="1"/>
  <c r="Q108" i="1"/>
  <c r="Q110" i="1"/>
  <c r="Q112" i="1"/>
  <c r="Q115" i="1"/>
  <c r="Q117" i="1"/>
  <c r="Q120" i="1"/>
  <c r="Q124" i="1"/>
  <c r="Q125" i="1"/>
  <c r="Q127" i="1"/>
  <c r="Q128" i="1"/>
  <c r="Q130" i="1"/>
  <c r="Q131" i="1"/>
  <c r="Q132" i="1"/>
  <c r="Q133" i="1"/>
  <c r="Q140" i="1"/>
  <c r="Q142" i="1"/>
  <c r="Q145" i="1"/>
  <c r="Q147" i="1"/>
  <c r="Q150" i="1"/>
  <c r="Q151" i="1"/>
  <c r="Q152" i="1"/>
  <c r="Q154" i="1"/>
  <c r="Q155" i="1"/>
  <c r="Q156" i="1"/>
  <c r="Q158" i="1"/>
  <c r="Q159" i="1"/>
  <c r="Q163" i="1"/>
  <c r="Q165" i="1"/>
  <c r="Q166" i="1"/>
  <c r="Q167" i="1"/>
  <c r="Q168" i="1"/>
  <c r="Q169" i="1"/>
  <c r="Q171" i="1"/>
  <c r="Q172" i="1"/>
  <c r="Q175" i="1"/>
  <c r="Q176" i="1"/>
  <c r="Q178" i="1"/>
  <c r="Q179" i="1"/>
  <c r="Q182" i="1"/>
  <c r="Q184" i="1"/>
  <c r="Q185" i="1"/>
  <c r="Q186" i="1"/>
  <c r="Q187" i="1"/>
  <c r="Q188" i="1"/>
  <c r="Q189" i="1"/>
  <c r="Q194" i="1"/>
  <c r="Q197" i="1"/>
  <c r="Q201" i="1"/>
  <c r="Q202" i="1"/>
  <c r="Q207" i="1"/>
  <c r="Q209" i="1"/>
  <c r="Q210" i="1"/>
  <c r="Q212" i="1"/>
  <c r="Q218" i="1"/>
  <c r="Q219" i="1"/>
  <c r="Q222" i="1"/>
  <c r="Q223" i="1"/>
  <c r="Q224" i="1"/>
  <c r="Q225" i="1"/>
  <c r="Q226" i="1"/>
  <c r="Q227" i="1"/>
  <c r="Q228" i="1"/>
  <c r="Q229" i="1"/>
  <c r="Q232" i="1"/>
  <c r="Q233" i="1"/>
  <c r="Q236" i="1"/>
  <c r="Q239" i="1"/>
  <c r="Q240" i="1"/>
  <c r="Q242" i="1"/>
  <c r="Q77" i="1"/>
  <c r="Q78" i="1"/>
  <c r="Q79" i="1"/>
  <c r="Q80" i="1"/>
  <c r="Q89" i="1"/>
  <c r="Q90" i="1"/>
  <c r="Q92" i="1"/>
  <c r="Q94" i="1"/>
  <c r="Q95" i="1"/>
  <c r="Q97" i="1"/>
  <c r="Q100" i="1"/>
  <c r="Q101" i="1"/>
  <c r="Q103" i="1"/>
  <c r="Q105" i="1"/>
  <c r="Q109" i="1"/>
  <c r="Q111" i="1"/>
  <c r="Q113" i="1"/>
  <c r="Q114" i="1"/>
  <c r="Q116" i="1"/>
  <c r="Q118" i="1"/>
  <c r="Q119" i="1"/>
  <c r="Q121" i="1"/>
  <c r="Q122" i="1"/>
  <c r="Q123" i="1"/>
  <c r="Q126" i="1"/>
  <c r="Q129" i="1"/>
  <c r="Q134" i="1"/>
  <c r="Q135" i="1"/>
  <c r="Q136" i="1"/>
  <c r="Q137" i="1"/>
  <c r="Q138" i="1"/>
  <c r="Q139" i="1"/>
  <c r="Q141" i="1"/>
  <c r="Q143" i="1"/>
  <c r="Q144" i="1"/>
  <c r="Q146" i="1"/>
  <c r="Q148" i="1"/>
  <c r="Q149" i="1"/>
  <c r="Q153" i="1"/>
  <c r="Q157" i="1"/>
  <c r="Q160" i="1"/>
  <c r="Q161" i="1"/>
  <c r="Q162" i="1"/>
  <c r="Q164" i="1"/>
  <c r="Q170" i="1"/>
  <c r="Q173" i="1"/>
  <c r="Q174" i="1"/>
  <c r="Q177" i="1"/>
  <c r="Q180" i="1"/>
  <c r="Q181" i="1"/>
  <c r="Q183" i="1"/>
  <c r="Q190" i="1"/>
  <c r="Q191" i="1"/>
  <c r="Q192" i="1"/>
  <c r="Q193" i="1"/>
  <c r="Q195" i="1"/>
  <c r="Q196" i="1"/>
  <c r="Q198" i="1"/>
  <c r="Q199" i="1"/>
  <c r="Q200" i="1"/>
  <c r="Q203" i="1"/>
  <c r="Q204" i="1"/>
  <c r="Q205" i="1"/>
  <c r="Q206" i="1"/>
  <c r="Q208" i="1"/>
  <c r="Q211" i="1"/>
  <c r="Q213" i="1"/>
  <c r="Q214" i="1"/>
  <c r="Q215" i="1"/>
  <c r="Q216" i="1"/>
  <c r="Q217" i="1"/>
  <c r="Q220" i="1"/>
  <c r="Q221" i="1"/>
  <c r="Q230" i="1"/>
  <c r="Q231" i="1"/>
  <c r="Q234" i="1"/>
  <c r="Q235" i="1"/>
  <c r="Q237" i="1"/>
  <c r="Q238" i="1"/>
  <c r="Q241" i="1"/>
  <c r="Q243" i="1"/>
  <c r="Q244" i="1"/>
  <c r="Q247" i="1"/>
  <c r="Q249" i="1"/>
  <c r="Q251" i="1"/>
  <c r="Q253" i="1"/>
  <c r="Q254" i="1"/>
  <c r="Q255" i="1"/>
  <c r="Q256" i="1"/>
  <c r="Q257" i="1"/>
  <c r="Q258" i="1"/>
  <c r="Q259" i="1"/>
  <c r="Q262" i="1"/>
  <c r="Q263" i="1"/>
  <c r="Q265" i="1"/>
  <c r="Q267" i="1"/>
  <c r="Q268" i="1"/>
  <c r="Q269" i="1"/>
  <c r="Q272" i="1"/>
  <c r="Q273" i="1"/>
  <c r="Q275" i="1"/>
  <c r="Q276" i="1"/>
  <c r="Q278" i="1"/>
  <c r="Q284" i="1"/>
  <c r="Q285" i="1"/>
  <c r="Q288" i="1"/>
  <c r="Q289" i="1"/>
  <c r="Q290" i="1"/>
  <c r="Q291" i="1"/>
  <c r="Q293" i="1"/>
  <c r="Q298" i="1"/>
  <c r="Q299" i="1"/>
  <c r="Q300" i="1"/>
  <c r="Q301" i="1"/>
  <c r="Q304" i="1"/>
  <c r="Q305" i="1"/>
  <c r="Q306" i="1"/>
  <c r="Q309" i="1"/>
  <c r="Q310" i="1"/>
  <c r="Q311" i="1"/>
  <c r="Q313" i="1"/>
  <c r="Q315" i="1"/>
  <c r="Q321" i="1"/>
  <c r="Q324" i="1"/>
  <c r="Q325" i="1"/>
  <c r="Q327" i="1"/>
  <c r="Q328" i="1"/>
  <c r="Q329" i="1"/>
  <c r="Q331" i="1"/>
  <c r="Q332" i="1"/>
  <c r="Q336" i="1"/>
  <c r="Q338" i="1"/>
  <c r="Q340" i="1"/>
  <c r="Q341" i="1"/>
  <c r="Q344" i="1"/>
  <c r="Q346" i="1"/>
  <c r="Q347" i="1"/>
  <c r="Q349" i="1"/>
  <c r="Q355" i="1"/>
  <c r="Q356" i="1"/>
  <c r="Q357" i="1"/>
  <c r="Q359" i="1"/>
  <c r="Q360" i="1"/>
  <c r="Q362" i="1"/>
  <c r="Q363" i="1"/>
  <c r="Q366" i="1"/>
  <c r="Q368" i="1"/>
  <c r="Q372" i="1"/>
  <c r="Q373" i="1"/>
  <c r="Q374" i="1"/>
  <c r="Q22" i="1"/>
  <c r="Q245" i="1"/>
  <c r="Q246" i="1"/>
  <c r="Q248" i="1"/>
  <c r="Q250" i="1"/>
  <c r="Q252" i="1"/>
  <c r="Q260" i="1"/>
  <c r="Q261" i="1"/>
  <c r="Q264" i="1"/>
  <c r="Q266" i="1"/>
  <c r="Q270" i="1"/>
  <c r="Q271" i="1"/>
  <c r="Q274" i="1"/>
  <c r="Q277" i="1"/>
  <c r="Q279" i="1"/>
  <c r="Q280" i="1"/>
  <c r="Q281" i="1"/>
  <c r="Q282" i="1"/>
  <c r="Q283" i="1"/>
  <c r="Q286" i="1"/>
  <c r="Q287" i="1"/>
  <c r="Q292" i="1"/>
  <c r="Q294" i="1"/>
  <c r="Q295" i="1"/>
  <c r="Q296" i="1"/>
  <c r="Q297" i="1"/>
  <c r="Q302" i="1"/>
  <c r="Q303" i="1"/>
  <c r="Q307" i="1"/>
  <c r="Q308" i="1"/>
  <c r="Q312" i="1"/>
  <c r="Q314" i="1"/>
  <c r="Q316" i="1"/>
  <c r="Q317" i="1"/>
  <c r="Q318" i="1"/>
  <c r="Q319" i="1"/>
  <c r="Q320" i="1"/>
  <c r="Q322" i="1"/>
  <c r="Q323" i="1"/>
  <c r="Q326" i="1"/>
  <c r="Q330" i="1"/>
  <c r="Q333" i="1"/>
  <c r="Q334" i="1"/>
  <c r="Q335" i="1"/>
  <c r="Q337" i="1"/>
  <c r="Q339" i="1"/>
  <c r="Q342" i="1"/>
  <c r="Q343" i="1"/>
  <c r="Q345" i="1"/>
  <c r="Q348" i="1"/>
  <c r="Q350" i="1"/>
  <c r="Q351" i="1"/>
  <c r="Q352" i="1"/>
  <c r="Q353" i="1"/>
  <c r="Q354" i="1"/>
  <c r="Q358" i="1"/>
  <c r="Q361" i="1"/>
  <c r="Q364" i="1"/>
  <c r="Q365" i="1"/>
  <c r="Q367" i="1"/>
  <c r="Q369" i="1"/>
  <c r="Q370" i="1"/>
  <c r="Q371" i="1"/>
  <c r="Q375" i="1"/>
  <c r="Q376" i="1"/>
  <c r="Q377" i="1"/>
  <c r="Q378" i="1"/>
  <c r="Q379" i="1"/>
  <c r="AE22" i="1"/>
  <c r="Q21" i="1"/>
  <c r="AE354" i="1"/>
  <c r="AE341" i="1"/>
  <c r="AE268" i="1"/>
  <c r="AE133" i="1"/>
  <c r="AE370" i="1"/>
  <c r="AE116" i="1"/>
  <c r="AE245" i="1"/>
  <c r="AE16" i="1"/>
  <c r="AE276" i="1"/>
  <c r="AE69" i="1"/>
  <c r="AE197" i="1"/>
  <c r="AE327" i="1"/>
  <c r="AE223" i="1"/>
  <c r="AE331" i="1"/>
  <c r="AE287" i="1"/>
  <c r="AE329" i="1"/>
  <c r="AE347" i="1"/>
  <c r="AE171" i="1"/>
  <c r="AE357" i="1"/>
  <c r="AE65" i="1"/>
  <c r="AE316" i="1"/>
  <c r="AE119" i="1"/>
  <c r="AE281" i="1"/>
  <c r="AE353" i="1"/>
  <c r="AE81" i="1"/>
  <c r="AE235" i="1"/>
  <c r="AE76" i="1"/>
  <c r="AE346" i="1"/>
  <c r="AE179" i="1"/>
  <c r="AE137" i="1"/>
  <c r="AE310" i="1"/>
  <c r="AE246" i="1"/>
  <c r="Q15" i="1"/>
  <c r="Q29" i="1"/>
  <c r="Q31" i="1"/>
  <c r="Q39" i="1"/>
  <c r="Q48" i="1"/>
  <c r="Q50" i="1"/>
  <c r="Q54" i="1"/>
  <c r="Q59" i="1"/>
  <c r="Q64" i="1"/>
  <c r="Q66" i="1"/>
  <c r="Q70" i="1"/>
  <c r="AE237" i="1"/>
  <c r="AE50" i="1"/>
  <c r="AE302" i="1"/>
  <c r="AE150" i="1"/>
  <c r="AE25" i="1"/>
  <c r="AE201" i="1"/>
  <c r="AE351" i="1"/>
  <c r="AE195" i="1"/>
  <c r="AE243" i="1"/>
  <c r="AE63" i="1"/>
  <c r="AE181" i="1"/>
  <c r="AE319" i="1"/>
  <c r="AE187" i="1"/>
  <c r="AE254" i="1"/>
  <c r="AE271" i="1"/>
  <c r="AE141" i="1"/>
  <c r="AE284" i="1"/>
  <c r="AE155" i="1"/>
  <c r="AE315" i="1"/>
  <c r="AE189" i="1"/>
  <c r="AE255" i="1"/>
  <c r="AE99" i="1"/>
  <c r="AE263" i="1"/>
  <c r="AE365" i="1"/>
  <c r="AE234" i="1"/>
  <c r="AE134" i="1"/>
  <c r="AE52" i="1"/>
  <c r="AE320" i="1"/>
  <c r="AE143" i="1"/>
  <c r="AE59" i="1"/>
  <c r="AE247" i="1"/>
  <c r="AE145" i="1"/>
  <c r="Q20" i="1"/>
  <c r="Q24" i="1"/>
  <c r="Q26" i="1"/>
  <c r="Q37" i="1"/>
  <c r="Q42" i="1"/>
  <c r="Q56" i="1"/>
  <c r="AE46" i="1"/>
  <c r="AE140" i="1"/>
  <c r="AE369" i="1"/>
  <c r="AE292" i="1"/>
  <c r="Q31" i="6"/>
  <c r="Q39" i="6" s="1"/>
  <c r="Q38" i="6" s="1"/>
  <c r="Q40" i="6" s="1"/>
  <c r="V35" i="6"/>
  <c r="W33" i="6"/>
  <c r="X35" i="6"/>
  <c r="Y35" i="6"/>
  <c r="M18" i="6"/>
  <c r="AI24" i="6"/>
  <c r="AI23" i="6" s="1"/>
  <c r="AI25" i="6" s="1"/>
  <c r="X24" i="6"/>
  <c r="X23" i="6" s="1"/>
  <c r="R25" i="6"/>
  <c r="V24" i="6"/>
  <c r="V23" i="6" s="1"/>
  <c r="V25" i="6" s="1"/>
  <c r="O35" i="6"/>
  <c r="O39" i="6" s="1"/>
  <c r="O38" i="6" s="1"/>
  <c r="AH24" i="6"/>
  <c r="AH23" i="6" s="1"/>
  <c r="AH25" i="6" s="1"/>
  <c r="Y46" i="6"/>
  <c r="X48" i="6"/>
  <c r="W50" i="6"/>
  <c r="N35" i="6"/>
  <c r="D383" i="17"/>
  <c r="D9" i="16"/>
  <c r="D11" i="16" s="1"/>
  <c r="E37" i="19" s="1"/>
  <c r="AC382" i="1"/>
  <c r="U31" i="6"/>
  <c r="P31" i="6"/>
  <c r="P39" i="6" s="1"/>
  <c r="P38" i="6" s="1"/>
  <c r="AM24" i="6"/>
  <c r="AM23" i="6" s="1"/>
  <c r="AM25" i="6" s="1"/>
  <c r="AG24" i="6"/>
  <c r="AG23" i="6" s="1"/>
  <c r="AG25" i="6" s="1"/>
  <c r="AL24" i="6"/>
  <c r="AL23" i="6" s="1"/>
  <c r="AL25" i="6" s="1"/>
  <c r="M16" i="6"/>
  <c r="M29" i="6"/>
  <c r="AC383" i="1"/>
  <c r="AC381" i="1"/>
  <c r="C29" i="7"/>
  <c r="E302" i="1"/>
  <c r="E363" i="1"/>
  <c r="O382" i="1"/>
  <c r="O381" i="1"/>
  <c r="E333" i="1"/>
  <c r="O383" i="1"/>
  <c r="L35" i="19" s="1"/>
  <c r="E8" i="16"/>
  <c r="K13" i="19" s="1"/>
  <c r="K37" i="19" s="1"/>
  <c r="E7" i="16"/>
  <c r="AJ21" i="16"/>
  <c r="AJ22" i="16"/>
  <c r="AJ24" i="16"/>
  <c r="AJ25" i="16"/>
  <c r="AJ26" i="16"/>
  <c r="AJ27" i="16"/>
  <c r="AJ28" i="16"/>
  <c r="AJ30" i="16"/>
  <c r="AJ31" i="16"/>
  <c r="AJ34" i="16"/>
  <c r="AJ35" i="16"/>
  <c r="AJ38" i="16"/>
  <c r="AJ41" i="16"/>
  <c r="AJ42" i="16"/>
  <c r="AJ44" i="16"/>
  <c r="AJ45" i="16"/>
  <c r="AJ46" i="16"/>
  <c r="AJ47" i="16"/>
  <c r="AJ50" i="16"/>
  <c r="AJ53" i="16"/>
  <c r="AJ57" i="16"/>
  <c r="AJ58" i="16"/>
  <c r="AJ60" i="16"/>
  <c r="AJ62" i="16"/>
  <c r="AJ63" i="16"/>
  <c r="AJ64" i="16"/>
  <c r="AJ67" i="16"/>
  <c r="AJ68" i="16"/>
  <c r="AJ71" i="16"/>
  <c r="AJ73" i="16"/>
  <c r="AJ74" i="16"/>
  <c r="AJ77" i="16"/>
  <c r="AJ80" i="16"/>
  <c r="AJ82" i="16"/>
  <c r="AJ84" i="16"/>
  <c r="AJ88" i="16"/>
  <c r="AJ90" i="16"/>
  <c r="AJ91" i="16"/>
  <c r="AJ93" i="16"/>
  <c r="AJ94" i="16"/>
  <c r="AJ95" i="16"/>
  <c r="AJ98" i="16"/>
  <c r="AJ99" i="16"/>
  <c r="AJ100" i="16"/>
  <c r="AJ102" i="16"/>
  <c r="AJ106" i="16"/>
  <c r="AJ108" i="16"/>
  <c r="AJ109" i="16"/>
  <c r="AJ110" i="16"/>
  <c r="AJ111" i="16"/>
  <c r="AJ116" i="16"/>
  <c r="AJ117" i="16"/>
  <c r="AJ118" i="16"/>
  <c r="AJ123" i="16"/>
  <c r="AJ125" i="16"/>
  <c r="AJ127" i="16"/>
  <c r="AJ128" i="16"/>
  <c r="AJ129" i="16"/>
  <c r="AJ130" i="16"/>
  <c r="AJ131" i="16"/>
  <c r="AJ134" i="16"/>
  <c r="AJ135" i="16"/>
  <c r="AJ136" i="16"/>
  <c r="AJ138" i="16"/>
  <c r="AJ139" i="16"/>
  <c r="AJ140" i="16"/>
  <c r="AJ141" i="16"/>
  <c r="AJ142" i="16"/>
  <c r="AJ143" i="16"/>
  <c r="AJ146" i="16"/>
  <c r="AJ147" i="16"/>
  <c r="AJ148" i="16"/>
  <c r="AJ150" i="16"/>
  <c r="AJ151" i="16"/>
  <c r="AJ154" i="16"/>
  <c r="AJ155" i="16"/>
  <c r="AJ156" i="16"/>
  <c r="AJ157" i="16"/>
  <c r="AJ161" i="16"/>
  <c r="AJ162" i="16"/>
  <c r="AJ29" i="16"/>
  <c r="AJ32" i="16"/>
  <c r="AJ33" i="16"/>
  <c r="AJ36" i="16"/>
  <c r="AJ37" i="16"/>
  <c r="AJ51" i="16"/>
  <c r="AJ52" i="16"/>
  <c r="AJ61" i="16"/>
  <c r="AJ72" i="16"/>
  <c r="AJ75" i="16"/>
  <c r="AJ76" i="16"/>
  <c r="AJ81" i="16"/>
  <c r="AJ85" i="16"/>
  <c r="AJ86" i="16"/>
  <c r="AJ87" i="16"/>
  <c r="AJ96" i="16"/>
  <c r="AJ97" i="16"/>
  <c r="AJ103" i="16"/>
  <c r="AJ104" i="16"/>
  <c r="AJ105" i="16"/>
  <c r="AJ119" i="16"/>
  <c r="AJ120" i="16"/>
  <c r="AJ121" i="16"/>
  <c r="AJ122" i="16"/>
  <c r="AJ126" i="16"/>
  <c r="AJ137" i="16"/>
  <c r="AJ144" i="16"/>
  <c r="AJ145" i="16"/>
  <c r="AJ165" i="16"/>
  <c r="AJ166" i="16"/>
  <c r="AJ168" i="16"/>
  <c r="AJ169" i="16"/>
  <c r="AJ171" i="16"/>
  <c r="AJ175" i="16"/>
  <c r="AJ176" i="16"/>
  <c r="AJ180" i="16"/>
  <c r="AJ181" i="16"/>
  <c r="AJ182" i="16"/>
  <c r="AJ186" i="16"/>
  <c r="AJ189" i="16"/>
  <c r="AJ191" i="16"/>
  <c r="AJ196" i="16"/>
  <c r="AJ199" i="16"/>
  <c r="AJ202" i="16"/>
  <c r="AJ204" i="16"/>
  <c r="AJ205" i="16"/>
  <c r="AJ206" i="16"/>
  <c r="AJ207" i="16"/>
  <c r="AJ209" i="16"/>
  <c r="AJ210" i="16"/>
  <c r="AJ214" i="16"/>
  <c r="AJ216" i="16"/>
  <c r="AJ217" i="16"/>
  <c r="AJ220" i="16"/>
  <c r="AJ226" i="16"/>
  <c r="AJ228" i="16"/>
  <c r="AJ230" i="16"/>
  <c r="AJ231" i="16"/>
  <c r="AJ234" i="16"/>
  <c r="AJ236" i="16"/>
  <c r="AJ237" i="16"/>
  <c r="AJ240" i="16"/>
  <c r="AJ242" i="16"/>
  <c r="AJ244" i="16"/>
  <c r="AJ245" i="16"/>
  <c r="AJ246" i="16"/>
  <c r="AJ247" i="16"/>
  <c r="AJ251" i="16"/>
  <c r="AJ253" i="16"/>
  <c r="AJ255" i="16"/>
  <c r="AJ256" i="16"/>
  <c r="AJ257" i="16"/>
  <c r="AJ261" i="16"/>
  <c r="AJ263" i="16"/>
  <c r="AJ264" i="16"/>
  <c r="AJ265" i="16"/>
  <c r="AJ266" i="16"/>
  <c r="AJ268" i="16"/>
  <c r="AJ269" i="16"/>
  <c r="AJ270" i="16"/>
  <c r="AJ272" i="16"/>
  <c r="AJ273" i="16"/>
  <c r="AJ275" i="16"/>
  <c r="AJ282" i="16"/>
  <c r="AJ39" i="16"/>
  <c r="AJ40" i="16"/>
  <c r="AJ43" i="16"/>
  <c r="AJ48" i="16"/>
  <c r="AJ49" i="16"/>
  <c r="AJ54" i="16"/>
  <c r="AJ55" i="16"/>
  <c r="AJ56" i="16"/>
  <c r="AJ59" i="16"/>
  <c r="AJ78" i="16"/>
  <c r="AJ79" i="16"/>
  <c r="AJ89" i="16"/>
  <c r="AJ92" i="16"/>
  <c r="AJ101" i="16"/>
  <c r="AJ132" i="16"/>
  <c r="AJ133" i="16"/>
  <c r="AJ172" i="16"/>
  <c r="AJ173" i="16"/>
  <c r="AJ174" i="16"/>
  <c r="AJ177" i="16"/>
  <c r="AJ178" i="16"/>
  <c r="AJ179" i="16"/>
  <c r="AJ187" i="16"/>
  <c r="AJ188" i="16"/>
  <c r="AJ192" i="16"/>
  <c r="AJ193" i="16"/>
  <c r="AJ194" i="16"/>
  <c r="AJ195" i="16"/>
  <c r="AJ200" i="16"/>
  <c r="AJ201" i="16"/>
  <c r="AJ215" i="16"/>
  <c r="AJ218" i="16"/>
  <c r="AJ219" i="16"/>
  <c r="AJ227" i="16"/>
  <c r="AJ235" i="16"/>
  <c r="AJ238" i="16"/>
  <c r="AJ239" i="16"/>
  <c r="AJ243" i="16"/>
  <c r="AJ248" i="16"/>
  <c r="AJ249" i="16"/>
  <c r="AJ250" i="16"/>
  <c r="AJ254" i="16"/>
  <c r="AJ262" i="16"/>
  <c r="AJ267" i="16"/>
  <c r="AJ276" i="16"/>
  <c r="AJ277" i="16"/>
  <c r="AJ278" i="16"/>
  <c r="AJ279" i="16"/>
  <c r="AJ280" i="16"/>
  <c r="AJ281" i="16"/>
  <c r="AJ285" i="16"/>
  <c r="AJ288" i="16"/>
  <c r="AJ289" i="16"/>
  <c r="AJ291" i="16"/>
  <c r="AJ293" i="16"/>
  <c r="AJ300" i="16"/>
  <c r="AJ301" i="16"/>
  <c r="AJ302" i="16"/>
  <c r="AJ303" i="16"/>
  <c r="AJ304" i="16"/>
  <c r="AJ308" i="16"/>
  <c r="AJ309" i="16"/>
  <c r="AJ311" i="16"/>
  <c r="AJ312" i="16"/>
  <c r="AJ315" i="16"/>
  <c r="AJ318" i="16"/>
  <c r="AJ320" i="16"/>
  <c r="AJ321" i="16"/>
  <c r="AJ322" i="16"/>
  <c r="AJ323" i="16"/>
  <c r="AJ325" i="16"/>
  <c r="AJ326" i="16"/>
  <c r="AJ327" i="16"/>
  <c r="AJ329" i="16"/>
  <c r="AJ330" i="16"/>
  <c r="AJ331" i="16"/>
  <c r="AJ332" i="16"/>
  <c r="AJ333" i="16"/>
  <c r="AJ334" i="16"/>
  <c r="AJ336" i="16"/>
  <c r="AJ337" i="16"/>
  <c r="AJ338" i="16"/>
  <c r="AJ339" i="16"/>
  <c r="AJ340" i="16"/>
  <c r="AJ342" i="16"/>
  <c r="AJ343" i="16"/>
  <c r="AJ346" i="16"/>
  <c r="AJ347" i="16"/>
  <c r="AJ350" i="16"/>
  <c r="AJ351" i="16"/>
  <c r="AJ352" i="16"/>
  <c r="AJ353" i="16"/>
  <c r="AJ356" i="16"/>
  <c r="AJ361" i="16"/>
  <c r="AJ363" i="16"/>
  <c r="AJ364" i="16"/>
  <c r="AJ366" i="16"/>
  <c r="AJ368" i="16"/>
  <c r="AJ369" i="16"/>
  <c r="AJ372" i="16"/>
  <c r="AJ373" i="16"/>
  <c r="AJ374" i="16"/>
  <c r="AJ376" i="16"/>
  <c r="AJ377" i="16"/>
  <c r="AJ378" i="16"/>
  <c r="AJ380" i="16"/>
  <c r="N13" i="7"/>
  <c r="AJ16" i="16"/>
  <c r="F7" i="16"/>
  <c r="AJ20" i="16"/>
  <c r="AJ23" i="16"/>
  <c r="AJ107" i="16"/>
  <c r="AJ112" i="16"/>
  <c r="AJ113" i="16"/>
  <c r="AJ114" i="16"/>
  <c r="AJ115" i="16"/>
  <c r="AJ124" i="16"/>
  <c r="AJ149" i="16"/>
  <c r="AJ152" i="16"/>
  <c r="AJ153" i="16"/>
  <c r="AJ158" i="16"/>
  <c r="AJ159" i="16"/>
  <c r="AJ160" i="16"/>
  <c r="AJ163" i="16"/>
  <c r="AJ164" i="16"/>
  <c r="AJ167" i="16"/>
  <c r="AJ170" i="16"/>
  <c r="AJ183" i="16"/>
  <c r="AJ184" i="16"/>
  <c r="AJ185" i="16"/>
  <c r="AJ190" i="16"/>
  <c r="AJ197" i="16"/>
  <c r="AJ198" i="16"/>
  <c r="AJ203" i="16"/>
  <c r="AJ208" i="16"/>
  <c r="AJ211" i="16"/>
  <c r="AJ212" i="16"/>
  <c r="AJ213" i="16"/>
  <c r="AJ229" i="16"/>
  <c r="AJ232" i="16"/>
  <c r="AJ233" i="16"/>
  <c r="AJ258" i="16"/>
  <c r="AJ259" i="16"/>
  <c r="AJ260" i="16"/>
  <c r="AJ271" i="16"/>
  <c r="AJ274" i="16"/>
  <c r="AJ283" i="16"/>
  <c r="AJ284" i="16"/>
  <c r="AJ292" i="16"/>
  <c r="AJ305" i="16"/>
  <c r="AJ306" i="16"/>
  <c r="AJ307" i="16"/>
  <c r="AJ310" i="16"/>
  <c r="AJ313" i="16"/>
  <c r="AJ314" i="16"/>
  <c r="AJ319" i="16"/>
  <c r="AJ324" i="16"/>
  <c r="AJ341" i="16"/>
  <c r="AJ344" i="16"/>
  <c r="AJ345" i="16"/>
  <c r="AJ348" i="16"/>
  <c r="AJ349" i="16"/>
  <c r="AJ354" i="16"/>
  <c r="AJ355" i="16"/>
  <c r="AJ362" i="16"/>
  <c r="AJ365" i="16"/>
  <c r="AJ375" i="16"/>
  <c r="AJ15" i="16"/>
  <c r="AJ19" i="16"/>
  <c r="AJ221" i="16"/>
  <c r="AJ222" i="16"/>
  <c r="AJ223" i="16"/>
  <c r="AJ224" i="16"/>
  <c r="AJ225" i="16"/>
  <c r="AJ286" i="16"/>
  <c r="AJ287" i="16"/>
  <c r="AJ290" i="16"/>
  <c r="AJ357" i="16"/>
  <c r="AJ358" i="16"/>
  <c r="AJ359" i="16"/>
  <c r="AJ360" i="16"/>
  <c r="AJ367" i="16"/>
  <c r="AJ370" i="16"/>
  <c r="AJ371" i="16"/>
  <c r="AJ18" i="16"/>
  <c r="AJ65" i="16"/>
  <c r="AJ66" i="16"/>
  <c r="AJ69" i="16"/>
  <c r="AJ70" i="16"/>
  <c r="AJ83" i="16"/>
  <c r="AJ294" i="16"/>
  <c r="AJ295" i="16"/>
  <c r="AJ296" i="16"/>
  <c r="AJ297" i="16"/>
  <c r="AJ298" i="16"/>
  <c r="AJ299" i="16"/>
  <c r="AJ316" i="16"/>
  <c r="AJ317" i="16"/>
  <c r="AJ328" i="16"/>
  <c r="AJ335" i="16"/>
  <c r="AJ241" i="16"/>
  <c r="AJ252" i="16"/>
  <c r="AJ379" i="16"/>
  <c r="AJ17" i="16"/>
  <c r="Q11" i="16"/>
  <c r="E13" i="6"/>
  <c r="AB23" i="6"/>
  <c r="W46" i="6"/>
  <c r="Z31" i="6"/>
  <c r="Y31" i="6"/>
  <c r="X33" i="6"/>
  <c r="W35" i="6"/>
  <c r="AE24" i="6"/>
  <c r="AE23" i="6" s="1"/>
  <c r="U48" i="6"/>
  <c r="V46" i="6"/>
  <c r="T50" i="6"/>
  <c r="N50" i="6"/>
  <c r="O48" i="6"/>
  <c r="P46" i="6"/>
  <c r="AN20" i="6"/>
  <c r="AN24" i="6" s="1"/>
  <c r="AN23" i="6" s="1"/>
  <c r="AN25" i="6" s="1"/>
  <c r="AA44" i="6"/>
  <c r="Q50" i="6"/>
  <c r="S46" i="6"/>
  <c r="R48" i="6"/>
  <c r="U24" i="6"/>
  <c r="U23" i="6" s="1"/>
  <c r="AD24" i="6"/>
  <c r="AD23" i="6" s="1"/>
  <c r="AD25" i="6" s="1"/>
  <c r="S24" i="6"/>
  <c r="S23" i="6" s="1"/>
  <c r="Q46" i="6"/>
  <c r="P48" i="6"/>
  <c r="O50" i="6"/>
  <c r="M50" i="6"/>
  <c r="O46" i="6"/>
  <c r="N48" i="6"/>
  <c r="N54" i="6" s="1"/>
  <c r="N53" i="6" s="1"/>
  <c r="Y48" i="6"/>
  <c r="Z46" i="6"/>
  <c r="X50" i="6"/>
  <c r="U33" i="6"/>
  <c r="T35" i="6"/>
  <c r="V31" i="6"/>
  <c r="W24" i="6"/>
  <c r="W23" i="6" s="1"/>
  <c r="J47" i="6"/>
  <c r="J41" i="6"/>
  <c r="J44" i="6"/>
  <c r="J45" i="6"/>
  <c r="J40" i="6"/>
  <c r="J36" i="6"/>
  <c r="J42" i="6"/>
  <c r="J38" i="6"/>
  <c r="J49" i="6"/>
  <c r="J46" i="6"/>
  <c r="J43" i="6"/>
  <c r="J48" i="6"/>
  <c r="J39" i="6"/>
  <c r="J37" i="6"/>
  <c r="R39" i="6"/>
  <c r="R38" i="6" s="1"/>
  <c r="S39" i="6"/>
  <c r="S38" i="6" s="1"/>
  <c r="S40" i="6" s="1"/>
  <c r="AA33" i="6"/>
  <c r="Z35" i="6"/>
  <c r="BQ10" i="7" l="1"/>
  <c r="BT9" i="7"/>
  <c r="BV10" i="7" s="1"/>
  <c r="BH174" i="6"/>
  <c r="BH365" i="6"/>
  <c r="BH212" i="6"/>
  <c r="BH296" i="6"/>
  <c r="BH348" i="6"/>
  <c r="AK227" i="15"/>
  <c r="AK176" i="15"/>
  <c r="AK204" i="15"/>
  <c r="AK341" i="15"/>
  <c r="AK296" i="15"/>
  <c r="AK157" i="15"/>
  <c r="AK28" i="15"/>
  <c r="AK218" i="15"/>
  <c r="AK81" i="15"/>
  <c r="AK368" i="15"/>
  <c r="AK161" i="15"/>
  <c r="AK327" i="15"/>
  <c r="AK66" i="15"/>
  <c r="AK350" i="15"/>
  <c r="AK202" i="15"/>
  <c r="AK58" i="15"/>
  <c r="AK367" i="15"/>
  <c r="AK364" i="15"/>
  <c r="AK224" i="15"/>
  <c r="AK219" i="15"/>
  <c r="AK156" i="15"/>
  <c r="AK82" i="15"/>
  <c r="AK295" i="15"/>
  <c r="AK279" i="15"/>
  <c r="AK153" i="15"/>
  <c r="AK72" i="15"/>
  <c r="AK48" i="15"/>
  <c r="AK370" i="15"/>
  <c r="AK230" i="15"/>
  <c r="AK85" i="15"/>
  <c r="AK332" i="15"/>
  <c r="AK300" i="15"/>
  <c r="AK100" i="15"/>
  <c r="AK371" i="15"/>
  <c r="AK312" i="15"/>
  <c r="AK265" i="15"/>
  <c r="AK268" i="15"/>
  <c r="AK135" i="15"/>
  <c r="AK117" i="15"/>
  <c r="AK30" i="15"/>
  <c r="AK363" i="15"/>
  <c r="AK342" i="15"/>
  <c r="AK303" i="15"/>
  <c r="AK338" i="15"/>
  <c r="AK252" i="15"/>
  <c r="AK194" i="15"/>
  <c r="AK260" i="15"/>
  <c r="AK190" i="15"/>
  <c r="AK184" i="15"/>
  <c r="AK109" i="15"/>
  <c r="AK111" i="15"/>
  <c r="AK70" i="15"/>
  <c r="AK337" i="15"/>
  <c r="AK251" i="15"/>
  <c r="AK191" i="15"/>
  <c r="AK259" i="15"/>
  <c r="AK189" i="15"/>
  <c r="AK183" i="15"/>
  <c r="AK108" i="15"/>
  <c r="AK110" i="15"/>
  <c r="AK43" i="15"/>
  <c r="AK34" i="15"/>
  <c r="BH155" i="6"/>
  <c r="BH362" i="6"/>
  <c r="BH231" i="6"/>
  <c r="BH172" i="6"/>
  <c r="BH331" i="6"/>
  <c r="BH152" i="6"/>
  <c r="AK365" i="15"/>
  <c r="AK325" i="15"/>
  <c r="AK301" i="15"/>
  <c r="AK284" i="15"/>
  <c r="AK159" i="15"/>
  <c r="AK79" i="15"/>
  <c r="AK55" i="15"/>
  <c r="AK346" i="15"/>
  <c r="AK376" i="15"/>
  <c r="AK240" i="15"/>
  <c r="AK245" i="15"/>
  <c r="AK177" i="15"/>
  <c r="AK98" i="15"/>
  <c r="AK26" i="15"/>
  <c r="AK309" i="15"/>
  <c r="AK328" i="15"/>
  <c r="AK373" i="15"/>
  <c r="AK316" i="15"/>
  <c r="AK232" i="15"/>
  <c r="AK291" i="15"/>
  <c r="AK237" i="15"/>
  <c r="AK167" i="15"/>
  <c r="AK169" i="15"/>
  <c r="AK88" i="15"/>
  <c r="AK92" i="15"/>
  <c r="AK60" i="15"/>
  <c r="AK18" i="15"/>
  <c r="AK377" i="15"/>
  <c r="AK344" i="15"/>
  <c r="AK355" i="15"/>
  <c r="AK329" i="15"/>
  <c r="AK315" i="15"/>
  <c r="AK374" i="15"/>
  <c r="AK354" i="15"/>
  <c r="AK319" i="15"/>
  <c r="AK276" i="15"/>
  <c r="AK238" i="15"/>
  <c r="AK207" i="15"/>
  <c r="AK294" i="15"/>
  <c r="AK270" i="15"/>
  <c r="AK242" i="15"/>
  <c r="AK209" i="15"/>
  <c r="AK172" i="15"/>
  <c r="AK139" i="15"/>
  <c r="AK173" i="15"/>
  <c r="AK143" i="15"/>
  <c r="AK94" i="15"/>
  <c r="AK123" i="15"/>
  <c r="AK95" i="15"/>
  <c r="AK63" i="15"/>
  <c r="AK42" i="15"/>
  <c r="AK351" i="15"/>
  <c r="AK318" i="15"/>
  <c r="AK274" i="15"/>
  <c r="AK236" i="15"/>
  <c r="AK205" i="15"/>
  <c r="AK293" i="15"/>
  <c r="AK269" i="15"/>
  <c r="AK241" i="15"/>
  <c r="AK206" i="15"/>
  <c r="AK171" i="15"/>
  <c r="AK137" i="15"/>
  <c r="AK170" i="15"/>
  <c r="AK141" i="15"/>
  <c r="AK89" i="15"/>
  <c r="AK122" i="15"/>
  <c r="AK93" i="15"/>
  <c r="AK62" i="15"/>
  <c r="AK61" i="15"/>
  <c r="AK22" i="15"/>
  <c r="P12" i="15"/>
  <c r="AK15" i="15"/>
  <c r="AK25" i="15"/>
  <c r="AK31" i="15"/>
  <c r="AK36" i="15"/>
  <c r="AK29" i="15"/>
  <c r="AK40" i="15"/>
  <c r="AK45" i="15"/>
  <c r="AK54" i="15"/>
  <c r="AK59" i="15"/>
  <c r="AK65" i="15"/>
  <c r="AK71" i="15"/>
  <c r="AK47" i="15"/>
  <c r="AK53" i="15"/>
  <c r="AK67" i="15"/>
  <c r="AK77" i="15"/>
  <c r="AK84" i="15"/>
  <c r="AK91" i="15"/>
  <c r="AK96" i="15"/>
  <c r="AK105" i="15"/>
  <c r="AK112" i="15"/>
  <c r="AK116" i="15"/>
  <c r="AK124" i="15"/>
  <c r="AK129" i="15"/>
  <c r="AK76" i="15"/>
  <c r="AK87" i="15"/>
  <c r="AK97" i="15"/>
  <c r="AK104" i="15"/>
  <c r="AK118" i="15"/>
  <c r="AK136" i="15"/>
  <c r="AK147" i="15"/>
  <c r="AK151" i="15"/>
  <c r="AK160" i="15"/>
  <c r="AK168" i="15"/>
  <c r="AK175" i="15"/>
  <c r="AK180" i="15"/>
  <c r="AK119" i="15"/>
  <c r="AK132" i="15"/>
  <c r="AK140" i="15"/>
  <c r="AK146" i="15"/>
  <c r="AK158" i="15"/>
  <c r="AK166" i="15"/>
  <c r="AK174" i="15"/>
  <c r="AK187" i="15"/>
  <c r="AK192" i="15"/>
  <c r="AK200" i="15"/>
  <c r="AK210" i="15"/>
  <c r="AK216" i="15"/>
  <c r="AK226" i="15"/>
  <c r="AK235" i="15"/>
  <c r="AK244" i="15"/>
  <c r="AK254" i="15"/>
  <c r="AK262" i="15"/>
  <c r="AK267" i="15"/>
  <c r="AK271" i="15"/>
  <c r="AK277" i="15"/>
  <c r="AK283" i="15"/>
  <c r="AK290" i="15"/>
  <c r="AK297" i="15"/>
  <c r="AK307" i="15"/>
  <c r="AK195" i="15"/>
  <c r="AK203" i="15"/>
  <c r="AK208" i="15"/>
  <c r="AK221" i="15"/>
  <c r="AK225" i="15"/>
  <c r="AK231" i="15"/>
  <c r="AK239" i="15"/>
  <c r="AK249" i="15"/>
  <c r="AK253" i="15"/>
  <c r="AK261" i="15"/>
  <c r="AK280" i="15"/>
  <c r="AK288" i="15"/>
  <c r="AK299" i="15"/>
  <c r="AK314" i="15"/>
  <c r="AK320" i="15"/>
  <c r="AK334" i="15"/>
  <c r="AK339" i="15"/>
  <c r="AK348" i="15"/>
  <c r="AK17" i="15"/>
  <c r="AK20" i="15"/>
  <c r="AK35" i="15"/>
  <c r="AK32" i="15"/>
  <c r="AK50" i="15"/>
  <c r="AK64" i="15"/>
  <c r="AK44" i="15"/>
  <c r="AK366" i="15"/>
  <c r="AK347" i="15"/>
  <c r="AK305" i="15"/>
  <c r="AK340" i="15"/>
  <c r="AK255" i="15"/>
  <c r="AK198" i="15"/>
  <c r="AK263" i="15"/>
  <c r="AK193" i="15"/>
  <c r="AK121" i="15"/>
  <c r="AK120" i="15"/>
  <c r="AK113" i="15"/>
  <c r="AK49" i="15"/>
  <c r="AK37" i="15"/>
  <c r="AK310" i="15"/>
  <c r="AK356" i="15"/>
  <c r="AK317" i="15"/>
  <c r="AK360" i="15"/>
  <c r="AK282" i="15"/>
  <c r="AK212" i="15"/>
  <c r="AK272" i="15"/>
  <c r="AK211" i="15"/>
  <c r="AK142" i="15"/>
  <c r="AK148" i="15"/>
  <c r="AK125" i="15"/>
  <c r="AK69" i="15"/>
  <c r="AK41" i="15"/>
  <c r="AK321" i="15"/>
  <c r="AK358" i="15"/>
  <c r="AK359" i="15"/>
  <c r="AK335" i="15"/>
  <c r="AK323" i="15"/>
  <c r="AK298" i="15"/>
  <c r="AK362" i="15"/>
  <c r="AK336" i="15"/>
  <c r="AK292" i="15"/>
  <c r="AK250" i="15"/>
  <c r="AK222" i="15"/>
  <c r="AK185" i="15"/>
  <c r="AK278" i="15"/>
  <c r="AK258" i="15"/>
  <c r="AK217" i="15"/>
  <c r="AK188" i="15"/>
  <c r="AK152" i="15"/>
  <c r="AK181" i="15"/>
  <c r="AK154" i="15"/>
  <c r="AK106" i="15"/>
  <c r="AK131" i="15"/>
  <c r="AK107" i="15"/>
  <c r="AK78" i="15"/>
  <c r="AK39" i="15"/>
  <c r="AK46" i="15"/>
  <c r="AK33" i="15"/>
  <c r="AK379" i="15"/>
  <c r="AK311" i="15"/>
  <c r="AK369" i="15"/>
  <c r="AK352" i="15"/>
  <c r="AK375" i="15"/>
  <c r="AK357" i="15"/>
  <c r="AK349" i="15"/>
  <c r="AK333" i="15"/>
  <c r="AK326" i="15"/>
  <c r="AK322" i="15"/>
  <c r="AK308" i="15"/>
  <c r="AK378" i="15"/>
  <c r="AK372" i="15"/>
  <c r="AK361" i="15"/>
  <c r="AK345" i="15"/>
  <c r="AK331" i="15"/>
  <c r="AK313" i="15"/>
  <c r="AK287" i="15"/>
  <c r="AK257" i="15"/>
  <c r="AK246" i="15"/>
  <c r="AK229" i="15"/>
  <c r="AK220" i="15"/>
  <c r="AK201" i="15"/>
  <c r="AK304" i="15"/>
  <c r="AK289" i="15"/>
  <c r="AK275" i="15"/>
  <c r="AK266" i="15"/>
  <c r="AK248" i="15"/>
  <c r="AK234" i="15"/>
  <c r="AK215" i="15"/>
  <c r="AK197" i="15"/>
  <c r="AK186" i="15"/>
  <c r="AK165" i="15"/>
  <c r="AK145" i="15"/>
  <c r="AK130" i="15"/>
  <c r="AK179" i="15"/>
  <c r="AK164" i="15"/>
  <c r="AK150" i="15"/>
  <c r="AK134" i="15"/>
  <c r="AK103" i="15"/>
  <c r="AK83" i="15"/>
  <c r="AK128" i="15"/>
  <c r="AK115" i="15"/>
  <c r="AK102" i="15"/>
  <c r="AK90" i="15"/>
  <c r="AK74" i="15"/>
  <c r="AK52" i="15"/>
  <c r="AK57" i="15"/>
  <c r="AK24" i="15"/>
  <c r="AK380" i="15"/>
  <c r="AK343" i="15"/>
  <c r="AK330" i="15"/>
  <c r="AK306" i="15"/>
  <c r="AK286" i="15"/>
  <c r="AK256" i="15"/>
  <c r="AK243" i="15"/>
  <c r="AK228" i="15"/>
  <c r="AK213" i="15"/>
  <c r="AK199" i="15"/>
  <c r="AK302" i="15"/>
  <c r="AK285" i="15"/>
  <c r="AK273" i="15"/>
  <c r="AK264" i="15"/>
  <c r="AK247" i="15"/>
  <c r="AK233" i="15"/>
  <c r="AK214" i="15"/>
  <c r="AK196" i="15"/>
  <c r="AK182" i="15"/>
  <c r="AK162" i="15"/>
  <c r="AK144" i="15"/>
  <c r="AK127" i="15"/>
  <c r="AK178" i="15"/>
  <c r="AK163" i="15"/>
  <c r="AK149" i="15"/>
  <c r="AK133" i="15"/>
  <c r="AK101" i="15"/>
  <c r="AK80" i="15"/>
  <c r="AK126" i="15"/>
  <c r="AK114" i="15"/>
  <c r="AK99" i="15"/>
  <c r="AK86" i="15"/>
  <c r="AK73" i="15"/>
  <c r="AK51" i="15"/>
  <c r="AK68" i="15"/>
  <c r="AK56" i="15"/>
  <c r="AK38" i="15"/>
  <c r="AK23" i="15"/>
  <c r="AK27" i="15"/>
  <c r="AK19" i="15"/>
  <c r="BH146" i="6"/>
  <c r="BH240" i="6"/>
  <c r="BH220" i="6"/>
  <c r="BH267" i="6"/>
  <c r="BH359" i="6"/>
  <c r="BH49" i="6"/>
  <c r="BH154" i="6"/>
  <c r="BH223" i="6"/>
  <c r="BH78" i="6"/>
  <c r="BH243" i="6"/>
  <c r="BH133" i="6"/>
  <c r="BH91" i="6"/>
  <c r="AJ180" i="15"/>
  <c r="AJ207" i="15"/>
  <c r="AJ32" i="15"/>
  <c r="AJ372" i="15"/>
  <c r="AJ21" i="15"/>
  <c r="AJ99" i="15"/>
  <c r="AJ353" i="15"/>
  <c r="AJ361" i="15"/>
  <c r="AJ94" i="15"/>
  <c r="AJ164" i="15"/>
  <c r="AJ307" i="15"/>
  <c r="AJ271" i="15"/>
  <c r="AJ31" i="15"/>
  <c r="AJ253" i="15"/>
  <c r="AJ344" i="15"/>
  <c r="AJ60" i="15"/>
  <c r="AJ124" i="15"/>
  <c r="AJ40" i="15"/>
  <c r="AJ116" i="15"/>
  <c r="AJ233" i="15"/>
  <c r="AJ249" i="15"/>
  <c r="AJ149" i="15"/>
  <c r="AJ289" i="15"/>
  <c r="AJ300" i="15"/>
  <c r="AJ228" i="15"/>
  <c r="AJ369" i="15"/>
  <c r="AJ227" i="15"/>
  <c r="AE381" i="1"/>
  <c r="AJ241" i="15"/>
  <c r="AJ177" i="15"/>
  <c r="AJ85" i="15"/>
  <c r="H13" i="7"/>
  <c r="AJ46" i="15"/>
  <c r="AJ79" i="15"/>
  <c r="AJ109" i="15"/>
  <c r="AJ142" i="15"/>
  <c r="AJ64" i="15"/>
  <c r="AJ104" i="15"/>
  <c r="AJ80" i="15"/>
  <c r="AJ150" i="15"/>
  <c r="AJ204" i="15"/>
  <c r="AJ272" i="15"/>
  <c r="AJ174" i="15"/>
  <c r="AJ294" i="15"/>
  <c r="AJ78" i="15"/>
  <c r="AJ203" i="15"/>
  <c r="AJ173" i="15"/>
  <c r="AJ342" i="15"/>
  <c r="AJ240" i="15"/>
  <c r="AJ360" i="15"/>
  <c r="AJ108" i="15"/>
  <c r="AJ234" i="15"/>
  <c r="AJ255" i="15"/>
  <c r="AJ185" i="15"/>
  <c r="AJ100" i="15"/>
  <c r="BH18" i="6"/>
  <c r="BH63" i="6"/>
  <c r="BH180" i="6"/>
  <c r="BH251" i="6"/>
  <c r="BH32" i="6"/>
  <c r="BH178" i="6"/>
  <c r="BH270" i="6"/>
  <c r="BH329" i="6"/>
  <c r="BH159" i="6"/>
  <c r="BH235" i="6"/>
  <c r="BH105" i="6"/>
  <c r="BH79" i="6"/>
  <c r="BH367" i="6"/>
  <c r="BH366" i="6"/>
  <c r="BH378" i="6"/>
  <c r="BH197" i="6"/>
  <c r="BH301" i="6"/>
  <c r="BH214" i="6"/>
  <c r="BH340" i="6"/>
  <c r="BH249" i="6"/>
  <c r="BH361" i="6"/>
  <c r="BH353" i="6"/>
  <c r="BH61" i="6"/>
  <c r="BH153" i="6"/>
  <c r="BH59" i="6"/>
  <c r="BH344" i="6"/>
  <c r="BH118" i="6"/>
  <c r="BH221" i="6"/>
  <c r="BH69" i="6"/>
  <c r="BH168" i="6"/>
  <c r="BH232" i="6"/>
  <c r="BH158" i="6"/>
  <c r="BH162" i="6"/>
  <c r="BH76" i="6"/>
  <c r="BH111" i="6"/>
  <c r="BH127" i="6"/>
  <c r="BH374" i="6"/>
  <c r="BH281" i="6"/>
  <c r="BH27" i="6"/>
  <c r="BH39" i="6"/>
  <c r="BH194" i="6"/>
  <c r="BH370" i="6"/>
  <c r="BH275" i="6"/>
  <c r="BH47" i="6"/>
  <c r="BH373" i="6"/>
  <c r="BH245" i="6"/>
  <c r="BH314" i="6"/>
  <c r="BH326" i="6"/>
  <c r="BH139" i="6"/>
  <c r="BH100" i="6"/>
  <c r="BH22" i="6"/>
  <c r="BH261" i="6"/>
  <c r="BH375" i="6"/>
  <c r="BH210" i="6"/>
  <c r="BH256" i="6"/>
  <c r="BH66" i="6"/>
  <c r="BH323" i="6"/>
  <c r="BH248" i="6"/>
  <c r="BH335" i="6"/>
  <c r="BH87" i="6"/>
  <c r="BH293" i="6"/>
  <c r="BH173" i="6"/>
  <c r="BH35" i="6"/>
  <c r="BH140" i="6"/>
  <c r="BH58" i="6"/>
  <c r="BH37" i="6"/>
  <c r="BH205" i="6"/>
  <c r="BH179" i="6"/>
  <c r="BH23" i="6"/>
  <c r="BH316" i="6"/>
  <c r="BH80" i="6"/>
  <c r="BH244" i="6"/>
  <c r="BH222" i="6"/>
  <c r="BH77" i="6"/>
  <c r="BH257" i="6"/>
  <c r="BH185" i="6"/>
  <c r="BH224" i="6"/>
  <c r="BH163" i="6"/>
  <c r="BH53" i="6"/>
  <c r="BH134" i="6"/>
  <c r="BH211" i="6"/>
  <c r="BH269" i="6"/>
  <c r="BH350" i="6"/>
  <c r="BH143" i="6"/>
  <c r="BH88" i="6"/>
  <c r="BH42" i="6"/>
  <c r="BH169" i="6"/>
  <c r="BH358" i="6"/>
  <c r="BH50" i="6"/>
  <c r="BH137" i="6"/>
  <c r="BH83" i="6"/>
  <c r="BH142" i="6"/>
  <c r="BH110" i="6"/>
  <c r="BH55" i="6"/>
  <c r="BH149" i="6"/>
  <c r="BH26" i="6"/>
  <c r="BH198" i="6"/>
  <c r="BH338" i="6"/>
  <c r="BH328" i="6"/>
  <c r="BH272" i="6"/>
  <c r="BH351" i="6"/>
  <c r="BH115" i="6"/>
  <c r="BH33" i="6"/>
  <c r="BH109" i="6"/>
  <c r="BH352" i="6"/>
  <c r="BH369" i="6"/>
  <c r="BH355" i="6"/>
  <c r="BH379" i="6"/>
  <c r="BH357" i="6"/>
  <c r="BH60" i="6"/>
  <c r="BH201" i="6"/>
  <c r="BH193" i="6"/>
  <c r="BH294" i="6"/>
  <c r="BH282" i="6"/>
  <c r="BH43" i="6"/>
  <c r="BH247" i="6"/>
  <c r="BH229" i="6"/>
  <c r="BH306" i="6"/>
  <c r="BH101" i="6"/>
  <c r="BH380" i="6"/>
  <c r="BH176" i="6"/>
  <c r="BH258" i="6"/>
  <c r="BH325" i="6"/>
  <c r="BH188" i="6"/>
  <c r="BH255" i="6"/>
  <c r="BH103" i="6"/>
  <c r="BH160" i="6"/>
  <c r="BH332" i="6"/>
  <c r="BH203" i="6"/>
  <c r="BH315" i="6"/>
  <c r="BH166" i="6"/>
  <c r="BH236" i="6"/>
  <c r="BH324" i="6"/>
  <c r="BH377" i="6"/>
  <c r="BH189" i="6"/>
  <c r="BH309" i="6"/>
  <c r="BH123" i="6"/>
  <c r="BH241" i="6"/>
  <c r="BH44" i="6"/>
  <c r="BH264" i="6"/>
  <c r="BH70" i="6"/>
  <c r="BH125" i="6"/>
  <c r="BH187" i="6"/>
  <c r="BH128" i="6"/>
  <c r="BH72" i="6"/>
  <c r="BH376" i="6"/>
  <c r="BH305" i="6"/>
  <c r="BH99" i="6"/>
  <c r="BH21" i="6"/>
  <c r="BH90" i="6"/>
  <c r="BH299" i="6"/>
  <c r="BH268" i="6"/>
  <c r="BH343" i="6"/>
  <c r="BH192" i="6"/>
  <c r="BH34" i="6"/>
  <c r="BH112" i="6"/>
  <c r="BH252" i="6"/>
  <c r="BH57" i="6"/>
  <c r="BH46" i="6"/>
  <c r="J61" i="6"/>
  <c r="M54" i="6"/>
  <c r="M53" i="6" s="1"/>
  <c r="M55" i="6" s="1"/>
  <c r="J53" i="6"/>
  <c r="J50" i="6"/>
  <c r="J59" i="6"/>
  <c r="J186" i="6"/>
  <c r="J52" i="6"/>
  <c r="J54" i="6"/>
  <c r="J58" i="6"/>
  <c r="J189" i="6"/>
  <c r="J55" i="6"/>
  <c r="J56" i="6"/>
  <c r="J60" i="6"/>
  <c r="J51" i="6"/>
  <c r="J62" i="6"/>
  <c r="J63" i="6"/>
  <c r="J57" i="6"/>
  <c r="J68" i="6"/>
  <c r="D381" i="16"/>
  <c r="J179" i="6"/>
  <c r="J178" i="6"/>
  <c r="U54" i="6"/>
  <c r="U53" i="6" s="1"/>
  <c r="U55" i="6" s="1"/>
  <c r="J202" i="6"/>
  <c r="J200" i="6"/>
  <c r="J201" i="6"/>
  <c r="J196" i="6"/>
  <c r="J197" i="6"/>
  <c r="J198" i="6"/>
  <c r="J194" i="6"/>
  <c r="J203" i="6"/>
  <c r="J191" i="6"/>
  <c r="J199" i="6"/>
  <c r="J195" i="6"/>
  <c r="J190" i="6"/>
  <c r="J193" i="6"/>
  <c r="J192" i="6"/>
  <c r="AJ77" i="15"/>
  <c r="AJ133" i="15"/>
  <c r="AJ257" i="15"/>
  <c r="AJ277" i="15"/>
  <c r="AJ363" i="15"/>
  <c r="AJ283" i="15"/>
  <c r="AJ18" i="15"/>
  <c r="AJ221" i="15"/>
  <c r="AJ350" i="15"/>
  <c r="AJ367" i="15"/>
  <c r="AJ293" i="15"/>
  <c r="AJ167" i="15"/>
  <c r="AJ316" i="15"/>
  <c r="AJ354" i="15"/>
  <c r="AJ296" i="15"/>
  <c r="AJ239" i="15"/>
  <c r="AJ370" i="15"/>
  <c r="AJ340" i="15"/>
  <c r="AJ286" i="15"/>
  <c r="AJ169" i="15"/>
  <c r="AJ269" i="15"/>
  <c r="AJ200" i="15"/>
  <c r="AJ140" i="15"/>
  <c r="AJ74" i="15"/>
  <c r="AJ93" i="15"/>
  <c r="AJ379" i="15"/>
  <c r="AJ365" i="15"/>
  <c r="AJ346" i="15"/>
  <c r="AJ326" i="15"/>
  <c r="AJ276" i="15"/>
  <c r="AJ248" i="15"/>
  <c r="AJ223" i="15"/>
  <c r="AJ176" i="15"/>
  <c r="AJ359" i="15"/>
  <c r="AJ349" i="15"/>
  <c r="AJ336" i="15"/>
  <c r="AJ310" i="15"/>
  <c r="AJ273" i="15"/>
  <c r="AJ196" i="15"/>
  <c r="AJ315" i="15"/>
  <c r="AJ290" i="15"/>
  <c r="AJ252" i="15"/>
  <c r="AJ219" i="15"/>
  <c r="AJ193" i="15"/>
  <c r="AJ163" i="15"/>
  <c r="AJ131" i="15"/>
  <c r="AJ95" i="15"/>
  <c r="AJ50" i="15"/>
  <c r="AJ129" i="15"/>
  <c r="AJ63" i="15"/>
  <c r="AJ380" i="15"/>
  <c r="AJ285" i="15"/>
  <c r="AJ265" i="15"/>
  <c r="AJ229" i="15"/>
  <c r="AJ187" i="15"/>
  <c r="AJ324" i="15"/>
  <c r="AJ312" i="15"/>
  <c r="AJ302" i="15"/>
  <c r="AJ281" i="15"/>
  <c r="AJ268" i="15"/>
  <c r="AJ238" i="15"/>
  <c r="AJ226" i="15"/>
  <c r="AJ212" i="15"/>
  <c r="AJ199" i="15"/>
  <c r="AJ189" i="15"/>
  <c r="AJ171" i="15"/>
  <c r="AJ160" i="15"/>
  <c r="AJ137" i="15"/>
  <c r="AJ123" i="15"/>
  <c r="AJ105" i="15"/>
  <c r="AJ90" i="15"/>
  <c r="AJ72" i="15"/>
  <c r="AJ35" i="15"/>
  <c r="AJ147" i="15"/>
  <c r="AJ117" i="15"/>
  <c r="AJ86" i="15"/>
  <c r="AJ57" i="15"/>
  <c r="AJ29" i="15"/>
  <c r="AJ71" i="15"/>
  <c r="AJ52" i="15"/>
  <c r="AJ33" i="15"/>
  <c r="AJ159" i="15"/>
  <c r="AJ146" i="15"/>
  <c r="O11" i="17"/>
  <c r="AC12" i="17"/>
  <c r="AJ321" i="15"/>
  <c r="AJ375" i="15"/>
  <c r="AJ295" i="15"/>
  <c r="AJ275" i="15"/>
  <c r="AJ152" i="15"/>
  <c r="AJ107" i="15"/>
  <c r="AJ15" i="15"/>
  <c r="AJ27" i="15"/>
  <c r="AJ39" i="15"/>
  <c r="AJ56" i="15"/>
  <c r="AJ65" i="15"/>
  <c r="AJ84" i="15"/>
  <c r="AJ103" i="15"/>
  <c r="AJ114" i="15"/>
  <c r="AJ130" i="15"/>
  <c r="AJ153" i="15"/>
  <c r="AJ42" i="15"/>
  <c r="AJ75" i="15"/>
  <c r="AJ67" i="15"/>
  <c r="AJ136" i="15"/>
  <c r="AJ53" i="15"/>
  <c r="AJ98" i="15"/>
  <c r="AJ132" i="15"/>
  <c r="AJ166" i="15"/>
  <c r="AJ194" i="15"/>
  <c r="AJ220" i="15"/>
  <c r="AJ256" i="15"/>
  <c r="AJ292" i="15"/>
  <c r="AJ317" i="15"/>
  <c r="AJ206" i="15"/>
  <c r="AJ274" i="15"/>
  <c r="AJ38" i="15"/>
  <c r="AJ158" i="15"/>
  <c r="AJ115" i="15"/>
  <c r="AJ179" i="15"/>
  <c r="AJ231" i="15"/>
  <c r="AJ305" i="15"/>
  <c r="AJ243" i="15"/>
  <c r="AJ329" i="15"/>
  <c r="AJ355" i="15"/>
  <c r="AJ208" i="15"/>
  <c r="AJ259" i="15"/>
  <c r="AJ335" i="15"/>
  <c r="AJ371" i="15"/>
  <c r="AJ151" i="15"/>
  <c r="AJ175" i="15"/>
  <c r="AJ303" i="15"/>
  <c r="AJ327" i="15"/>
  <c r="AJ205" i="15"/>
  <c r="AJ333" i="15"/>
  <c r="AJ328" i="15"/>
  <c r="AJ139" i="15"/>
  <c r="AJ213" i="15"/>
  <c r="AJ347" i="15"/>
  <c r="AJ337" i="15"/>
  <c r="AJ195" i="15"/>
  <c r="AJ45" i="15"/>
  <c r="E8" i="15"/>
  <c r="K12" i="19" s="1"/>
  <c r="K36" i="19" s="1"/>
  <c r="AJ5" i="17"/>
  <c r="AJ8" i="17"/>
  <c r="O40" i="6"/>
  <c r="X39" i="6"/>
  <c r="X38" i="6" s="1"/>
  <c r="X40" i="6" s="1"/>
  <c r="J182" i="6"/>
  <c r="J185" i="6"/>
  <c r="J188" i="6"/>
  <c r="J71" i="6"/>
  <c r="U39" i="6"/>
  <c r="U38" i="6" s="1"/>
  <c r="U40" i="6" s="1"/>
  <c r="AB25" i="6"/>
  <c r="J215" i="6" s="1"/>
  <c r="Z39" i="6"/>
  <c r="Z38" i="6" s="1"/>
  <c r="Z40" i="6" s="1"/>
  <c r="T39" i="6"/>
  <c r="T38" i="6" s="1"/>
  <c r="T40" i="6" s="1"/>
  <c r="T54" i="6"/>
  <c r="T53" i="6" s="1"/>
  <c r="T55" i="6" s="1"/>
  <c r="Y39" i="6"/>
  <c r="Y38" i="6" s="1"/>
  <c r="Y40" i="6" s="1"/>
  <c r="D381" i="17"/>
  <c r="D9" i="17"/>
  <c r="D11" i="17" s="1"/>
  <c r="E38" i="19" s="1"/>
  <c r="O9" i="20"/>
  <c r="AJ7" i="17"/>
  <c r="E7" i="15"/>
  <c r="O12" i="17"/>
  <c r="AJ380" i="18"/>
  <c r="AJ21" i="18"/>
  <c r="AJ38" i="18"/>
  <c r="AJ41" i="18"/>
  <c r="AJ69" i="18"/>
  <c r="AJ102" i="18"/>
  <c r="AJ74" i="18"/>
  <c r="AJ105" i="18"/>
  <c r="AJ144" i="18"/>
  <c r="AJ178" i="18"/>
  <c r="AJ150" i="18"/>
  <c r="AJ179" i="18"/>
  <c r="AJ204" i="18"/>
  <c r="AJ235" i="18"/>
  <c r="AJ30" i="18"/>
  <c r="AJ58" i="18"/>
  <c r="AJ115" i="18"/>
  <c r="AJ121" i="18"/>
  <c r="AJ133" i="18"/>
  <c r="AJ193" i="18"/>
  <c r="AJ249" i="18"/>
  <c r="AJ271" i="18"/>
  <c r="AJ303" i="18"/>
  <c r="AJ220" i="18"/>
  <c r="AJ259" i="18"/>
  <c r="AJ309" i="18"/>
  <c r="AJ342" i="18"/>
  <c r="AJ370" i="18"/>
  <c r="AJ329" i="18"/>
  <c r="AJ366" i="18"/>
  <c r="Z13" i="7"/>
  <c r="AJ54" i="18"/>
  <c r="AJ87" i="18"/>
  <c r="AJ89" i="18"/>
  <c r="AJ157" i="18"/>
  <c r="AJ168" i="18"/>
  <c r="AJ221" i="18"/>
  <c r="AJ262" i="18"/>
  <c r="AJ288" i="18"/>
  <c r="AJ205" i="18"/>
  <c r="AJ241" i="18"/>
  <c r="AJ284" i="18"/>
  <c r="AJ326" i="18"/>
  <c r="AJ353" i="18"/>
  <c r="AJ307" i="18"/>
  <c r="AJ361" i="18"/>
  <c r="AJ343" i="18"/>
  <c r="AJ368" i="18"/>
  <c r="AJ379" i="18"/>
  <c r="AJ322" i="18"/>
  <c r="AJ362" i="18"/>
  <c r="AJ337" i="18"/>
  <c r="AJ291" i="18"/>
  <c r="AJ247" i="18"/>
  <c r="AJ213" i="18"/>
  <c r="AJ293" i="18"/>
  <c r="AJ267" i="18"/>
  <c r="AJ240" i="18"/>
  <c r="AJ210" i="18"/>
  <c r="AJ186" i="18"/>
  <c r="AJ160" i="18"/>
  <c r="AJ128" i="18"/>
  <c r="AJ152" i="18"/>
  <c r="AJ117" i="18"/>
  <c r="AJ79" i="18"/>
  <c r="AJ108" i="18"/>
  <c r="AJ80" i="18"/>
  <c r="AJ48" i="18"/>
  <c r="AJ47" i="18"/>
  <c r="AJ26" i="18"/>
  <c r="AJ15" i="18"/>
  <c r="AJ18" i="18"/>
  <c r="AJ23" i="18"/>
  <c r="AJ27" i="18"/>
  <c r="AJ33" i="18"/>
  <c r="AJ32" i="18"/>
  <c r="AJ37" i="18"/>
  <c r="AJ49" i="18"/>
  <c r="AJ55" i="18"/>
  <c r="AJ68" i="18"/>
  <c r="AJ42" i="18"/>
  <c r="AJ50" i="18"/>
  <c r="AJ59" i="18"/>
  <c r="AJ65" i="18"/>
  <c r="AJ70" i="18"/>
  <c r="AJ82" i="18"/>
  <c r="AJ88" i="18"/>
  <c r="AJ94" i="18"/>
  <c r="AJ104" i="18"/>
  <c r="AJ111" i="18"/>
  <c r="AJ116" i="18"/>
  <c r="AJ127" i="18"/>
  <c r="AJ75" i="18"/>
  <c r="AJ81" i="18"/>
  <c r="AJ93" i="18"/>
  <c r="AJ100" i="18"/>
  <c r="AJ109" i="18"/>
  <c r="AJ118" i="18"/>
  <c r="AJ123" i="18"/>
  <c r="AJ137" i="18"/>
  <c r="AJ145" i="18"/>
  <c r="AJ154" i="18"/>
  <c r="AJ158" i="18"/>
  <c r="AJ167" i="18"/>
  <c r="AJ181" i="18"/>
  <c r="AJ129" i="18"/>
  <c r="AJ135" i="18"/>
  <c r="AJ143" i="18"/>
  <c r="AJ151" i="18"/>
  <c r="AJ161" i="18"/>
  <c r="AJ169" i="18"/>
  <c r="AJ174" i="18"/>
  <c r="AJ180" i="18"/>
  <c r="AJ187" i="18"/>
  <c r="AJ195" i="18"/>
  <c r="AJ200" i="18"/>
  <c r="AJ206" i="18"/>
  <c r="AJ214" i="18"/>
  <c r="AJ222" i="18"/>
  <c r="AJ228" i="18"/>
  <c r="AJ236" i="18"/>
  <c r="AJ245" i="18"/>
  <c r="AJ250" i="18"/>
  <c r="AJ255" i="18"/>
  <c r="AJ264" i="18"/>
  <c r="AJ268" i="18"/>
  <c r="AJ274" i="18"/>
  <c r="AJ280" i="18"/>
  <c r="AJ289" i="18"/>
  <c r="AJ294" i="18"/>
  <c r="AJ183" i="18"/>
  <c r="AJ194" i="18"/>
  <c r="AJ209" i="18"/>
  <c r="AJ215" i="18"/>
  <c r="AJ225" i="18"/>
  <c r="AJ231" i="18"/>
  <c r="AJ242" i="18"/>
  <c r="AJ251" i="18"/>
  <c r="AJ260" i="18"/>
  <c r="AJ275" i="18"/>
  <c r="AJ285" i="18"/>
  <c r="AJ296" i="18"/>
  <c r="AJ310" i="18"/>
  <c r="AJ321" i="18"/>
  <c r="AJ330" i="18"/>
  <c r="AJ338" i="18"/>
  <c r="AJ344" i="18"/>
  <c r="AJ350" i="18"/>
  <c r="AJ354" i="18"/>
  <c r="AJ363" i="18"/>
  <c r="AJ371" i="18"/>
  <c r="AJ300" i="18"/>
  <c r="AJ314" i="18"/>
  <c r="AJ324" i="18"/>
  <c r="AJ331" i="18"/>
  <c r="AJ349" i="18"/>
  <c r="AJ365" i="18"/>
  <c r="AJ305" i="18"/>
  <c r="AJ378" i="18"/>
  <c r="AJ318" i="18"/>
  <c r="AJ347" i="18"/>
  <c r="AJ373" i="18"/>
  <c r="AJ19" i="18"/>
  <c r="AJ28" i="18"/>
  <c r="AJ22" i="18"/>
  <c r="AJ51" i="18"/>
  <c r="AJ39" i="18"/>
  <c r="AJ52" i="18"/>
  <c r="AJ66" i="18"/>
  <c r="AJ84" i="18"/>
  <c r="AJ96" i="18"/>
  <c r="AJ112" i="18"/>
  <c r="AJ71" i="18"/>
  <c r="AJ83" i="18"/>
  <c r="AJ341" i="18"/>
  <c r="AJ348" i="18"/>
  <c r="AJ273" i="18"/>
  <c r="AJ192" i="18"/>
  <c r="AJ254" i="18"/>
  <c r="AJ199" i="18"/>
  <c r="AJ142" i="18"/>
  <c r="AJ136" i="18"/>
  <c r="AJ126" i="18"/>
  <c r="AJ63" i="18"/>
  <c r="AJ31" i="18"/>
  <c r="AJ16" i="18"/>
  <c r="AJ20" i="18"/>
  <c r="AJ29" i="18"/>
  <c r="AJ36" i="18"/>
  <c r="AJ53" i="18"/>
  <c r="AJ40" i="18"/>
  <c r="AJ56" i="18"/>
  <c r="AJ67" i="18"/>
  <c r="AJ86" i="18"/>
  <c r="AJ98" i="18"/>
  <c r="AJ113" i="18"/>
  <c r="AJ73" i="18"/>
  <c r="AJ85" i="18"/>
  <c r="AJ103" i="18"/>
  <c r="AJ120" i="18"/>
  <c r="AJ140" i="18"/>
  <c r="AJ156" i="18"/>
  <c r="AJ176" i="18"/>
  <c r="AJ131" i="18"/>
  <c r="AJ149" i="18"/>
  <c r="AJ166" i="18"/>
  <c r="AJ177" i="18"/>
  <c r="AJ190" i="18"/>
  <c r="AJ202" i="18"/>
  <c r="AJ219" i="18"/>
  <c r="AJ233" i="18"/>
  <c r="AJ248" i="18"/>
  <c r="AJ261" i="18"/>
  <c r="AJ270" i="18"/>
  <c r="AJ283" i="18"/>
  <c r="AJ302" i="18"/>
  <c r="AJ203" i="18"/>
  <c r="AJ218" i="18"/>
  <c r="AJ237" i="18"/>
  <c r="AJ257" i="18"/>
  <c r="AJ282" i="18"/>
  <c r="AJ301" i="18"/>
  <c r="AJ325" i="18"/>
  <c r="AJ340" i="18"/>
  <c r="AJ352" i="18"/>
  <c r="AJ369" i="18"/>
  <c r="AJ306" i="18"/>
  <c r="AJ328" i="18"/>
  <c r="AJ357" i="18"/>
  <c r="AJ359" i="18"/>
  <c r="AJ336" i="18"/>
  <c r="F7" i="18"/>
  <c r="AJ34" i="18"/>
  <c r="AJ57" i="18"/>
  <c r="AJ60" i="18"/>
  <c r="AJ90" i="18"/>
  <c r="AJ124" i="18"/>
  <c r="AJ95" i="18"/>
  <c r="AJ110" i="18"/>
  <c r="AJ132" i="18"/>
  <c r="AJ146" i="18"/>
  <c r="AJ162" i="18"/>
  <c r="AJ182" i="18"/>
  <c r="AJ139" i="18"/>
  <c r="AJ153" i="18"/>
  <c r="AJ170" i="18"/>
  <c r="AJ184" i="18"/>
  <c r="AJ196" i="18"/>
  <c r="AJ207" i="18"/>
  <c r="AJ223" i="18"/>
  <c r="AJ238" i="18"/>
  <c r="AJ252" i="18"/>
  <c r="AJ265" i="18"/>
  <c r="AJ276" i="18"/>
  <c r="AJ290" i="18"/>
  <c r="AJ189" i="18"/>
  <c r="AJ211" i="18"/>
  <c r="AJ227" i="18"/>
  <c r="AJ243" i="18"/>
  <c r="AJ263" i="18"/>
  <c r="AJ286" i="18"/>
  <c r="AJ312" i="18"/>
  <c r="AJ332" i="18"/>
  <c r="AJ345" i="18"/>
  <c r="AJ358" i="18"/>
  <c r="AJ372" i="18"/>
  <c r="AJ315" i="18"/>
  <c r="AJ334" i="18"/>
  <c r="AJ374" i="18"/>
  <c r="AJ298" i="18"/>
  <c r="AJ356" i="18"/>
  <c r="AJ311" i="18"/>
  <c r="AJ299" i="18"/>
  <c r="AJ320" i="18"/>
  <c r="AJ230" i="18"/>
  <c r="AJ279" i="18"/>
  <c r="AJ226" i="18"/>
  <c r="AJ172" i="18"/>
  <c r="AJ165" i="18"/>
  <c r="AJ99" i="18"/>
  <c r="AJ92" i="18"/>
  <c r="AJ64" i="18"/>
  <c r="AJ17" i="18"/>
  <c r="AJ25" i="18"/>
  <c r="AJ35" i="18"/>
  <c r="AJ45" i="18"/>
  <c r="AJ62" i="18"/>
  <c r="AJ46" i="18"/>
  <c r="AJ61" i="18"/>
  <c r="AJ76" i="18"/>
  <c r="AJ91" i="18"/>
  <c r="AJ107" i="18"/>
  <c r="AJ125" i="18"/>
  <c r="AJ78" i="18"/>
  <c r="AJ97" i="18"/>
  <c r="AJ114" i="18"/>
  <c r="AJ134" i="18"/>
  <c r="AJ147" i="18"/>
  <c r="AJ164" i="18"/>
  <c r="AJ122" i="18"/>
  <c r="AJ141" i="18"/>
  <c r="AJ159" i="18"/>
  <c r="AJ171" i="18"/>
  <c r="AJ185" i="18"/>
  <c r="AJ197" i="18"/>
  <c r="AJ208" i="18"/>
  <c r="AJ224" i="18"/>
  <c r="AJ239" i="18"/>
  <c r="AJ253" i="18"/>
  <c r="AJ266" i="18"/>
  <c r="AJ277" i="18"/>
  <c r="AJ292" i="18"/>
  <c r="AJ191" i="18"/>
  <c r="AJ212" i="18"/>
  <c r="AJ229" i="18"/>
  <c r="AJ244" i="18"/>
  <c r="AJ272" i="18"/>
  <c r="AJ287" i="18"/>
  <c r="AJ313" i="18"/>
  <c r="AJ333" i="18"/>
  <c r="AJ346" i="18"/>
  <c r="AJ360" i="18"/>
  <c r="AJ376" i="18"/>
  <c r="AJ317" i="18"/>
  <c r="AJ335" i="18"/>
  <c r="AJ377" i="18"/>
  <c r="AJ308" i="18"/>
  <c r="AJ367" i="18"/>
  <c r="AJ24" i="18"/>
  <c r="AJ44" i="18"/>
  <c r="AJ43" i="18"/>
  <c r="AJ72" i="18"/>
  <c r="AJ106" i="18"/>
  <c r="AJ77" i="18"/>
  <c r="AJ101" i="18"/>
  <c r="AJ119" i="18"/>
  <c r="AJ138" i="18"/>
  <c r="AJ155" i="18"/>
  <c r="AJ173" i="18"/>
  <c r="AJ130" i="18"/>
  <c r="AJ148" i="18"/>
  <c r="AJ163" i="18"/>
  <c r="AJ175" i="18"/>
  <c r="AJ188" i="18"/>
  <c r="AJ201" i="18"/>
  <c r="AJ217" i="18"/>
  <c r="AJ232" i="18"/>
  <c r="AJ246" i="18"/>
  <c r="AJ258" i="18"/>
  <c r="AJ269" i="18"/>
  <c r="AJ281" i="18"/>
  <c r="AJ295" i="18"/>
  <c r="AJ198" i="18"/>
  <c r="AJ216" i="18"/>
  <c r="AJ234" i="18"/>
  <c r="AJ256" i="18"/>
  <c r="AJ278" i="18"/>
  <c r="AJ297" i="18"/>
  <c r="AJ323" i="18"/>
  <c r="AJ339" i="18"/>
  <c r="AJ351" i="18"/>
  <c r="AJ364" i="18"/>
  <c r="AJ304" i="18"/>
  <c r="AJ327" i="18"/>
  <c r="AJ355" i="18"/>
  <c r="AJ316" i="18"/>
  <c r="AJ319" i="18"/>
  <c r="AJ375" i="18"/>
  <c r="AJ338" i="15"/>
  <c r="AJ210" i="15"/>
  <c r="AJ331" i="15"/>
  <c r="AJ308" i="15"/>
  <c r="AJ181" i="15"/>
  <c r="AJ20" i="15"/>
  <c r="AJ260" i="15"/>
  <c r="AJ250" i="15"/>
  <c r="AJ120" i="15"/>
  <c r="AJ16" i="15"/>
  <c r="AJ24" i="15"/>
  <c r="AJ36" i="15"/>
  <c r="AJ49" i="15"/>
  <c r="AJ62" i="15"/>
  <c r="AJ82" i="15"/>
  <c r="AJ97" i="15"/>
  <c r="AJ111" i="15"/>
  <c r="AJ127" i="15"/>
  <c r="AJ144" i="15"/>
  <c r="AJ155" i="15"/>
  <c r="AJ26" i="15"/>
  <c r="AJ48" i="15"/>
  <c r="AJ68" i="15"/>
  <c r="AJ17" i="15"/>
  <c r="AJ34" i="15"/>
  <c r="AJ61" i="15"/>
  <c r="AJ96" i="15"/>
  <c r="AJ126" i="15"/>
  <c r="AJ154" i="15"/>
  <c r="AJ44" i="15"/>
  <c r="AJ76" i="15"/>
  <c r="AJ92" i="15"/>
  <c r="AJ113" i="15"/>
  <c r="AJ128" i="15"/>
  <c r="AJ141" i="15"/>
  <c r="AJ162" i="15"/>
  <c r="AJ178" i="15"/>
  <c r="AJ192" i="15"/>
  <c r="AJ201" i="15"/>
  <c r="AJ217" i="15"/>
  <c r="AJ230" i="15"/>
  <c r="AJ245" i="15"/>
  <c r="AJ270" i="15"/>
  <c r="AJ288" i="15"/>
  <c r="AJ304" i="15"/>
  <c r="AJ314" i="15"/>
  <c r="AJ172" i="15"/>
  <c r="AJ191" i="15"/>
  <c r="AJ242" i="15"/>
  <c r="AJ267" i="15"/>
  <c r="AJ287" i="15"/>
  <c r="AJ25" i="15"/>
  <c r="AJ83" i="15"/>
  <c r="AJ145" i="15"/>
  <c r="AJ70" i="15"/>
  <c r="AJ102" i="15"/>
  <c r="AJ135" i="15"/>
  <c r="AJ170" i="15"/>
  <c r="AJ198" i="15"/>
  <c r="AJ225" i="15"/>
  <c r="AJ264" i="15"/>
  <c r="AJ301" i="15"/>
  <c r="AJ322" i="15"/>
  <c r="AJ218" i="15"/>
  <c r="AJ284" i="15"/>
  <c r="AJ319" i="15"/>
  <c r="AJ339" i="15"/>
  <c r="AJ352" i="15"/>
  <c r="AJ366" i="15"/>
  <c r="AJ202" i="15"/>
  <c r="AJ232" i="15"/>
  <c r="AJ254" i="15"/>
  <c r="AJ291" i="15"/>
  <c r="AJ330" i="15"/>
  <c r="AJ351" i="15"/>
  <c r="AJ368" i="15"/>
  <c r="F7" i="15"/>
  <c r="AJ119" i="15"/>
  <c r="AJ91" i="15"/>
  <c r="AJ161" i="15"/>
  <c r="AJ216" i="15"/>
  <c r="AJ282" i="15"/>
  <c r="AJ188" i="15"/>
  <c r="AJ306" i="15"/>
  <c r="AJ348" i="15"/>
  <c r="AJ378" i="15"/>
  <c r="AJ247" i="15"/>
  <c r="AJ325" i="15"/>
  <c r="AJ364" i="15"/>
  <c r="AJ373" i="15"/>
  <c r="AJ356" i="15"/>
  <c r="AJ235" i="15"/>
  <c r="AJ19" i="15"/>
  <c r="AJ30" i="15"/>
  <c r="AJ43" i="15"/>
  <c r="AJ58" i="15"/>
  <c r="AJ69" i="15"/>
  <c r="AJ89" i="15"/>
  <c r="AJ106" i="15"/>
  <c r="AJ118" i="15"/>
  <c r="AJ138" i="15"/>
  <c r="AJ148" i="15"/>
  <c r="AJ165" i="15"/>
  <c r="AJ37" i="15"/>
  <c r="AJ54" i="15"/>
  <c r="AJ73" i="15"/>
  <c r="AJ23" i="15"/>
  <c r="AJ47" i="15"/>
  <c r="AJ81" i="15"/>
  <c r="AJ110" i="15"/>
  <c r="AJ143" i="15"/>
  <c r="AJ22" i="15"/>
  <c r="AJ66" i="15"/>
  <c r="AJ87" i="15"/>
  <c r="AJ101" i="15"/>
  <c r="AJ121" i="15"/>
  <c r="AJ134" i="15"/>
  <c r="AJ156" i="15"/>
  <c r="AJ168" i="15"/>
  <c r="AJ184" i="15"/>
  <c r="AJ197" i="15"/>
  <c r="AJ209" i="15"/>
  <c r="AJ224" i="15"/>
  <c r="AJ236" i="15"/>
  <c r="AJ258" i="15"/>
  <c r="AJ278" i="15"/>
  <c r="AJ298" i="15"/>
  <c r="AJ309" i="15"/>
  <c r="AJ320" i="15"/>
  <c r="AJ182" i="15"/>
  <c r="AJ215" i="15"/>
  <c r="AJ251" i="15"/>
  <c r="AJ280" i="15"/>
  <c r="AJ297" i="15"/>
  <c r="AJ51" i="15"/>
  <c r="AJ112" i="15"/>
  <c r="AJ28" i="15"/>
  <c r="AJ88" i="15"/>
  <c r="AJ122" i="15"/>
  <c r="AJ157" i="15"/>
  <c r="AJ186" i="15"/>
  <c r="AJ211" i="15"/>
  <c r="AJ237" i="15"/>
  <c r="AJ279" i="15"/>
  <c r="AJ311" i="15"/>
  <c r="AJ183" i="15"/>
  <c r="AJ263" i="15"/>
  <c r="AJ299" i="15"/>
  <c r="AJ332" i="15"/>
  <c r="AJ345" i="15"/>
  <c r="AJ357" i="15"/>
  <c r="AJ376" i="15"/>
  <c r="AJ214" i="15"/>
  <c r="AJ246" i="15"/>
  <c r="AJ261" i="15"/>
  <c r="AJ323" i="15"/>
  <c r="AJ341" i="15"/>
  <c r="AJ362" i="15"/>
  <c r="AJ374" i="15"/>
  <c r="AJ59" i="15"/>
  <c r="AJ41" i="15"/>
  <c r="AJ125" i="15"/>
  <c r="AJ190" i="15"/>
  <c r="AJ244" i="15"/>
  <c r="AJ313" i="15"/>
  <c r="AJ266" i="15"/>
  <c r="AJ334" i="15"/>
  <c r="AJ358" i="15"/>
  <c r="AJ222" i="15"/>
  <c r="AJ262" i="15"/>
  <c r="AJ343" i="15"/>
  <c r="AJ377" i="15"/>
  <c r="AJ6" i="17"/>
  <c r="J305" i="6"/>
  <c r="D382" i="15"/>
  <c r="D9" i="15"/>
  <c r="D11" i="15" s="1"/>
  <c r="E36" i="19" s="1"/>
  <c r="D383" i="15"/>
  <c r="D381" i="15"/>
  <c r="J176" i="6"/>
  <c r="J187" i="6"/>
  <c r="J184" i="6"/>
  <c r="J180" i="6"/>
  <c r="J183" i="6"/>
  <c r="J181" i="6"/>
  <c r="J177" i="6"/>
  <c r="J332" i="6"/>
  <c r="J295" i="6"/>
  <c r="J340" i="6"/>
  <c r="J323" i="6"/>
  <c r="J315" i="6"/>
  <c r="J337" i="6"/>
  <c r="J339" i="6"/>
  <c r="J334" i="6"/>
  <c r="J72" i="6"/>
  <c r="J65" i="6"/>
  <c r="J303" i="6"/>
  <c r="J318" i="6"/>
  <c r="J294" i="6"/>
  <c r="J288" i="6"/>
  <c r="Q382" i="1"/>
  <c r="AI95" i="1"/>
  <c r="AH95" i="1" s="1"/>
  <c r="AG95" i="1" s="1"/>
  <c r="AF95" i="1" s="1"/>
  <c r="AI363" i="1"/>
  <c r="AH363" i="1" s="1"/>
  <c r="AG363" i="1" s="1"/>
  <c r="AF363" i="1" s="1"/>
  <c r="AI34" i="1"/>
  <c r="AH34" i="1" s="1"/>
  <c r="AG34" i="1" s="1"/>
  <c r="AF34" i="1" s="1"/>
  <c r="U52" i="1"/>
  <c r="T52" i="1" s="1"/>
  <c r="S52" i="1" s="1"/>
  <c r="R52" i="1" s="1"/>
  <c r="U112" i="1"/>
  <c r="T112" i="1" s="1"/>
  <c r="S112" i="1" s="1"/>
  <c r="R112" i="1" s="1"/>
  <c r="U176" i="1"/>
  <c r="T176" i="1" s="1"/>
  <c r="S176" i="1" s="1"/>
  <c r="R176" i="1" s="1"/>
  <c r="AI183" i="1"/>
  <c r="AH183" i="1" s="1"/>
  <c r="AG183" i="1" s="1"/>
  <c r="AF183" i="1" s="1"/>
  <c r="U79" i="1"/>
  <c r="T79" i="1" s="1"/>
  <c r="S79" i="1" s="1"/>
  <c r="R79" i="1" s="1"/>
  <c r="U151" i="1"/>
  <c r="T151" i="1" s="1"/>
  <c r="S151" i="1" s="1"/>
  <c r="R151" i="1" s="1"/>
  <c r="U205" i="1"/>
  <c r="T205" i="1" s="1"/>
  <c r="S205" i="1" s="1"/>
  <c r="R205" i="1" s="1"/>
  <c r="AI168" i="1"/>
  <c r="AH168" i="1" s="1"/>
  <c r="AG168" i="1" s="1"/>
  <c r="AF168" i="1" s="1"/>
  <c r="AI36" i="1"/>
  <c r="AH36" i="1" s="1"/>
  <c r="AG36" i="1" s="1"/>
  <c r="AF36" i="1" s="1"/>
  <c r="U123" i="1"/>
  <c r="T123" i="1" s="1"/>
  <c r="S123" i="1" s="1"/>
  <c r="R123" i="1" s="1"/>
  <c r="U27" i="1"/>
  <c r="T27" i="1" s="1"/>
  <c r="S27" i="1" s="1"/>
  <c r="R27" i="1" s="1"/>
  <c r="U162" i="1"/>
  <c r="T162" i="1" s="1"/>
  <c r="S162" i="1" s="1"/>
  <c r="R162" i="1" s="1"/>
  <c r="U249" i="1"/>
  <c r="T249" i="1" s="1"/>
  <c r="S249" i="1" s="1"/>
  <c r="R249" i="1" s="1"/>
  <c r="U271" i="1"/>
  <c r="T271" i="1" s="1"/>
  <c r="S271" i="1" s="1"/>
  <c r="R271" i="1" s="1"/>
  <c r="U292" i="1"/>
  <c r="T292" i="1" s="1"/>
  <c r="S292" i="1" s="1"/>
  <c r="R292" i="1" s="1"/>
  <c r="U319" i="1"/>
  <c r="T319" i="1" s="1"/>
  <c r="S319" i="1" s="1"/>
  <c r="R319" i="1" s="1"/>
  <c r="U353" i="1"/>
  <c r="T353" i="1" s="1"/>
  <c r="S353" i="1" s="1"/>
  <c r="R353" i="1" s="1"/>
  <c r="U379" i="1"/>
  <c r="BX16" i="7" s="1"/>
  <c r="AI235" i="1"/>
  <c r="AH235" i="1" s="1"/>
  <c r="AG235" i="1" s="1"/>
  <c r="AF235" i="1" s="1"/>
  <c r="AI94" i="1"/>
  <c r="AH94" i="1" s="1"/>
  <c r="AG94" i="1" s="1"/>
  <c r="AF94" i="1" s="1"/>
  <c r="AI26" i="1"/>
  <c r="AH26" i="1" s="1"/>
  <c r="AG26" i="1" s="1"/>
  <c r="AF26" i="1" s="1"/>
  <c r="AI107" i="1"/>
  <c r="AH107" i="1" s="1"/>
  <c r="AG107" i="1" s="1"/>
  <c r="AF107" i="1" s="1"/>
  <c r="AI326" i="1"/>
  <c r="AH326" i="1" s="1"/>
  <c r="AG326" i="1" s="1"/>
  <c r="AF326" i="1" s="1"/>
  <c r="AI82" i="1"/>
  <c r="AH82" i="1" s="1"/>
  <c r="AG82" i="1" s="1"/>
  <c r="AF82" i="1" s="1"/>
  <c r="AI306" i="1"/>
  <c r="AH306" i="1" s="1"/>
  <c r="AG306" i="1" s="1"/>
  <c r="AF306" i="1" s="1"/>
  <c r="AI55" i="1"/>
  <c r="AH55" i="1" s="1"/>
  <c r="AG55" i="1" s="1"/>
  <c r="AF55" i="1" s="1"/>
  <c r="AI161" i="1"/>
  <c r="AH161" i="1" s="1"/>
  <c r="AG161" i="1" s="1"/>
  <c r="AF161" i="1" s="1"/>
  <c r="AI162" i="1"/>
  <c r="AH162" i="1" s="1"/>
  <c r="AG162" i="1" s="1"/>
  <c r="AF162" i="1" s="1"/>
  <c r="AI179" i="1"/>
  <c r="AH179" i="1" s="1"/>
  <c r="AG179" i="1" s="1"/>
  <c r="AF179" i="1" s="1"/>
  <c r="AI319" i="1"/>
  <c r="AH319" i="1" s="1"/>
  <c r="AG319" i="1" s="1"/>
  <c r="AF319" i="1" s="1"/>
  <c r="AI85" i="1"/>
  <c r="AH85" i="1" s="1"/>
  <c r="AG85" i="1" s="1"/>
  <c r="AF85" i="1" s="1"/>
  <c r="AI145" i="1"/>
  <c r="AH145" i="1" s="1"/>
  <c r="AG145" i="1" s="1"/>
  <c r="AF145" i="1" s="1"/>
  <c r="AI63" i="1"/>
  <c r="AH63" i="1" s="1"/>
  <c r="AG63" i="1" s="1"/>
  <c r="AF63" i="1" s="1"/>
  <c r="AI295" i="1"/>
  <c r="AH295" i="1" s="1"/>
  <c r="AG295" i="1" s="1"/>
  <c r="AF295" i="1" s="1"/>
  <c r="AI378" i="1"/>
  <c r="AH378" i="1" s="1"/>
  <c r="AG378" i="1" s="1"/>
  <c r="AF378" i="1" s="1"/>
  <c r="AI144" i="1"/>
  <c r="AH144" i="1" s="1"/>
  <c r="AG144" i="1" s="1"/>
  <c r="AF144" i="1" s="1"/>
  <c r="U47" i="1"/>
  <c r="T47" i="1" s="1"/>
  <c r="S47" i="1" s="1"/>
  <c r="R47" i="1" s="1"/>
  <c r="U77" i="1"/>
  <c r="T77" i="1" s="1"/>
  <c r="S77" i="1" s="1"/>
  <c r="R77" i="1" s="1"/>
  <c r="U109" i="1"/>
  <c r="T109" i="1" s="1"/>
  <c r="S109" i="1" s="1"/>
  <c r="R109" i="1" s="1"/>
  <c r="U131" i="1"/>
  <c r="T131" i="1" s="1"/>
  <c r="S131" i="1" s="1"/>
  <c r="R131" i="1" s="1"/>
  <c r="U174" i="1"/>
  <c r="T174" i="1" s="1"/>
  <c r="S174" i="1" s="1"/>
  <c r="R174" i="1" s="1"/>
  <c r="U207" i="1"/>
  <c r="T207" i="1" s="1"/>
  <c r="S207" i="1" s="1"/>
  <c r="R207" i="1" s="1"/>
  <c r="AI128" i="1"/>
  <c r="AH128" i="1" s="1"/>
  <c r="AG128" i="1" s="1"/>
  <c r="AF128" i="1" s="1"/>
  <c r="U44" i="1"/>
  <c r="T44" i="1" s="1"/>
  <c r="S44" i="1" s="1"/>
  <c r="R44" i="1" s="1"/>
  <c r="U74" i="1"/>
  <c r="T74" i="1" s="1"/>
  <c r="S74" i="1" s="1"/>
  <c r="R74" i="1" s="1"/>
  <c r="U107" i="1"/>
  <c r="T107" i="1" s="1"/>
  <c r="S107" i="1" s="1"/>
  <c r="R107" i="1" s="1"/>
  <c r="U150" i="1"/>
  <c r="T150" i="1" s="1"/>
  <c r="S150" i="1" s="1"/>
  <c r="R150" i="1" s="1"/>
  <c r="U171" i="1"/>
  <c r="T171" i="1" s="1"/>
  <c r="S171" i="1" s="1"/>
  <c r="R171" i="1" s="1"/>
  <c r="U204" i="1"/>
  <c r="T204" i="1" s="1"/>
  <c r="S204" i="1" s="1"/>
  <c r="R204" i="1" s="1"/>
  <c r="AI274" i="1"/>
  <c r="AH274" i="1" s="1"/>
  <c r="AG274" i="1" s="1"/>
  <c r="AF274" i="1" s="1"/>
  <c r="AI329" i="1"/>
  <c r="AH329" i="1" s="1"/>
  <c r="AG329" i="1" s="1"/>
  <c r="AF329" i="1" s="1"/>
  <c r="AI124" i="1"/>
  <c r="AH124" i="1" s="1"/>
  <c r="AG124" i="1" s="1"/>
  <c r="AF124" i="1" s="1"/>
  <c r="AI229" i="1"/>
  <c r="AH229" i="1" s="1"/>
  <c r="AG229" i="1" s="1"/>
  <c r="AF229" i="1" s="1"/>
  <c r="AI285" i="1"/>
  <c r="AH285" i="1" s="1"/>
  <c r="AG285" i="1" s="1"/>
  <c r="AF285" i="1" s="1"/>
  <c r="AI57" i="1"/>
  <c r="AH57" i="1" s="1"/>
  <c r="AG57" i="1" s="1"/>
  <c r="AF57" i="1" s="1"/>
  <c r="U328" i="1"/>
  <c r="T328" i="1" s="1"/>
  <c r="S328" i="1" s="1"/>
  <c r="R328" i="1" s="1"/>
  <c r="U268" i="1"/>
  <c r="T268" i="1" s="1"/>
  <c r="S268" i="1" s="1"/>
  <c r="R268" i="1" s="1"/>
  <c r="U347" i="1"/>
  <c r="T347" i="1" s="1"/>
  <c r="S347" i="1" s="1"/>
  <c r="R347" i="1" s="1"/>
  <c r="U90" i="1"/>
  <c r="T90" i="1" s="1"/>
  <c r="S90" i="1" s="1"/>
  <c r="R90" i="1" s="1"/>
  <c r="AI80" i="1"/>
  <c r="AH80" i="1" s="1"/>
  <c r="AG80" i="1" s="1"/>
  <c r="AF80" i="1" s="1"/>
  <c r="AI243" i="1"/>
  <c r="AH243" i="1" s="1"/>
  <c r="AG243" i="1" s="1"/>
  <c r="AF243" i="1" s="1"/>
  <c r="AI195" i="1"/>
  <c r="AH195" i="1" s="1"/>
  <c r="AG195" i="1" s="1"/>
  <c r="AF195" i="1" s="1"/>
  <c r="AI96" i="1"/>
  <c r="AH96" i="1" s="1"/>
  <c r="AG96" i="1" s="1"/>
  <c r="AF96" i="1" s="1"/>
  <c r="AI342" i="1"/>
  <c r="AH342" i="1" s="1"/>
  <c r="AG342" i="1" s="1"/>
  <c r="AF342" i="1" s="1"/>
  <c r="AI228" i="1"/>
  <c r="AH228" i="1" s="1"/>
  <c r="AG228" i="1" s="1"/>
  <c r="AF228" i="1" s="1"/>
  <c r="U323" i="1"/>
  <c r="T323" i="1" s="1"/>
  <c r="S323" i="1" s="1"/>
  <c r="R323" i="1" s="1"/>
  <c r="U256" i="1"/>
  <c r="T256" i="1" s="1"/>
  <c r="S256" i="1" s="1"/>
  <c r="R256" i="1" s="1"/>
  <c r="U332" i="1"/>
  <c r="T332" i="1" s="1"/>
  <c r="S332" i="1" s="1"/>
  <c r="R332" i="1" s="1"/>
  <c r="U20" i="1"/>
  <c r="T20" i="1" s="1"/>
  <c r="S20" i="1" s="1"/>
  <c r="R20" i="1" s="1"/>
  <c r="AI122" i="1"/>
  <c r="AH122" i="1" s="1"/>
  <c r="AG122" i="1" s="1"/>
  <c r="AF122" i="1" s="1"/>
  <c r="AI199" i="1"/>
  <c r="AH199" i="1" s="1"/>
  <c r="AG199" i="1" s="1"/>
  <c r="AF199" i="1" s="1"/>
  <c r="AI273" i="1"/>
  <c r="AH273" i="1" s="1"/>
  <c r="AG273" i="1" s="1"/>
  <c r="AF273" i="1" s="1"/>
  <c r="AI275" i="1"/>
  <c r="AH275" i="1" s="1"/>
  <c r="AG275" i="1" s="1"/>
  <c r="AF275" i="1" s="1"/>
  <c r="AI66" i="1"/>
  <c r="AH66" i="1" s="1"/>
  <c r="AG66" i="1" s="1"/>
  <c r="AF66" i="1" s="1"/>
  <c r="AI351" i="1"/>
  <c r="AH351" i="1" s="1"/>
  <c r="AG351" i="1" s="1"/>
  <c r="AF351" i="1" s="1"/>
  <c r="AI16" i="1"/>
  <c r="AH16" i="1" s="1"/>
  <c r="AG16" i="1" s="1"/>
  <c r="AF16" i="1" s="1"/>
  <c r="AI375" i="1"/>
  <c r="AH375" i="1" s="1"/>
  <c r="AG375" i="1" s="1"/>
  <c r="AF375" i="1" s="1"/>
  <c r="AI371" i="1"/>
  <c r="AH371" i="1" s="1"/>
  <c r="AG371" i="1" s="1"/>
  <c r="AF371" i="1" s="1"/>
  <c r="AI292" i="1"/>
  <c r="AH292" i="1" s="1"/>
  <c r="AG292" i="1" s="1"/>
  <c r="AF292" i="1" s="1"/>
  <c r="AI140" i="1"/>
  <c r="AH140" i="1" s="1"/>
  <c r="AG140" i="1" s="1"/>
  <c r="AF140" i="1" s="1"/>
  <c r="U361" i="1"/>
  <c r="T361" i="1" s="1"/>
  <c r="S361" i="1" s="1"/>
  <c r="R361" i="1" s="1"/>
  <c r="U326" i="1"/>
  <c r="T326" i="1" s="1"/>
  <c r="S326" i="1" s="1"/>
  <c r="R326" i="1" s="1"/>
  <c r="U299" i="1"/>
  <c r="T299" i="1" s="1"/>
  <c r="S299" i="1" s="1"/>
  <c r="R299" i="1" s="1"/>
  <c r="U262" i="1"/>
  <c r="T262" i="1" s="1"/>
  <c r="S262" i="1" s="1"/>
  <c r="R262" i="1" s="1"/>
  <c r="U228" i="1"/>
  <c r="T228" i="1" s="1"/>
  <c r="S228" i="1" s="1"/>
  <c r="R228" i="1" s="1"/>
  <c r="U340" i="1"/>
  <c r="T340" i="1" s="1"/>
  <c r="S340" i="1" s="1"/>
  <c r="R340" i="1" s="1"/>
  <c r="U257" i="1"/>
  <c r="T257" i="1" s="1"/>
  <c r="S257" i="1" s="1"/>
  <c r="R257" i="1" s="1"/>
  <c r="U53" i="1"/>
  <c r="T53" i="1" s="1"/>
  <c r="S53" i="1" s="1"/>
  <c r="R53" i="1" s="1"/>
  <c r="U31" i="1"/>
  <c r="T31" i="1" s="1"/>
  <c r="S31" i="1" s="1"/>
  <c r="R31" i="1" s="1"/>
  <c r="AI213" i="1"/>
  <c r="AH213" i="1" s="1"/>
  <c r="AG213" i="1" s="1"/>
  <c r="AF213" i="1" s="1"/>
  <c r="AI366" i="1"/>
  <c r="AH366" i="1" s="1"/>
  <c r="AG366" i="1" s="1"/>
  <c r="AF366" i="1" s="1"/>
  <c r="AI288" i="1"/>
  <c r="AH288" i="1" s="1"/>
  <c r="AG288" i="1" s="1"/>
  <c r="AF288" i="1" s="1"/>
  <c r="AI142" i="1"/>
  <c r="AH142" i="1" s="1"/>
  <c r="AG142" i="1" s="1"/>
  <c r="AF142" i="1" s="1"/>
  <c r="AI353" i="1"/>
  <c r="AH353" i="1" s="1"/>
  <c r="AG353" i="1" s="1"/>
  <c r="AF353" i="1" s="1"/>
  <c r="AI133" i="1"/>
  <c r="AH133" i="1" s="1"/>
  <c r="AG133" i="1" s="1"/>
  <c r="AF133" i="1" s="1"/>
  <c r="AI81" i="1"/>
  <c r="AH81" i="1" s="1"/>
  <c r="AG81" i="1" s="1"/>
  <c r="AF81" i="1" s="1"/>
  <c r="AI250" i="1"/>
  <c r="AH250" i="1" s="1"/>
  <c r="AG250" i="1" s="1"/>
  <c r="AF250" i="1" s="1"/>
  <c r="AI317" i="1"/>
  <c r="AH317" i="1" s="1"/>
  <c r="AG317" i="1" s="1"/>
  <c r="AF317" i="1" s="1"/>
  <c r="AI372" i="1"/>
  <c r="AH372" i="1" s="1"/>
  <c r="AG372" i="1" s="1"/>
  <c r="AF372" i="1" s="1"/>
  <c r="AI268" i="1"/>
  <c r="AH268" i="1" s="1"/>
  <c r="AG268" i="1" s="1"/>
  <c r="AF268" i="1" s="1"/>
  <c r="AI340" i="1"/>
  <c r="AH340" i="1" s="1"/>
  <c r="AG340" i="1" s="1"/>
  <c r="AF340" i="1" s="1"/>
  <c r="AI156" i="1"/>
  <c r="AH156" i="1" s="1"/>
  <c r="AG156" i="1" s="1"/>
  <c r="AF156" i="1" s="1"/>
  <c r="AI42" i="1"/>
  <c r="AH42" i="1" s="1"/>
  <c r="AG42" i="1" s="1"/>
  <c r="AF42" i="1" s="1"/>
  <c r="AI215" i="1"/>
  <c r="AH215" i="1" s="1"/>
  <c r="AG215" i="1" s="1"/>
  <c r="AF215" i="1" s="1"/>
  <c r="AI20" i="1"/>
  <c r="AH20" i="1" s="1"/>
  <c r="AG20" i="1" s="1"/>
  <c r="AF20" i="1" s="1"/>
  <c r="AI277" i="1"/>
  <c r="AH277" i="1" s="1"/>
  <c r="AG277" i="1" s="1"/>
  <c r="AF277" i="1" s="1"/>
  <c r="AI293" i="1"/>
  <c r="AH293" i="1" s="1"/>
  <c r="AG293" i="1" s="1"/>
  <c r="AF293" i="1" s="1"/>
  <c r="AI186" i="1"/>
  <c r="AH186" i="1" s="1"/>
  <c r="AG186" i="1" s="1"/>
  <c r="AF186" i="1" s="1"/>
  <c r="AI44" i="1"/>
  <c r="AH44" i="1" s="1"/>
  <c r="AG44" i="1" s="1"/>
  <c r="AF44" i="1" s="1"/>
  <c r="AI245" i="1"/>
  <c r="AH245" i="1" s="1"/>
  <c r="AG245" i="1" s="1"/>
  <c r="AF245" i="1" s="1"/>
  <c r="AI304" i="1"/>
  <c r="AH304" i="1" s="1"/>
  <c r="AG304" i="1" s="1"/>
  <c r="AF304" i="1" s="1"/>
  <c r="U365" i="1"/>
  <c r="T365" i="1" s="1"/>
  <c r="S365" i="1" s="1"/>
  <c r="R365" i="1" s="1"/>
  <c r="U348" i="1"/>
  <c r="T348" i="1" s="1"/>
  <c r="S348" i="1" s="1"/>
  <c r="R348" i="1" s="1"/>
  <c r="U330" i="1"/>
  <c r="T330" i="1" s="1"/>
  <c r="S330" i="1" s="1"/>
  <c r="R330" i="1" s="1"/>
  <c r="U314" i="1"/>
  <c r="T314" i="1" s="1"/>
  <c r="S314" i="1" s="1"/>
  <c r="R314" i="1" s="1"/>
  <c r="U304" i="1"/>
  <c r="T304" i="1" s="1"/>
  <c r="S304" i="1" s="1"/>
  <c r="R304" i="1" s="1"/>
  <c r="U285" i="1"/>
  <c r="T285" i="1" s="1"/>
  <c r="S285" i="1" s="1"/>
  <c r="R285" i="1" s="1"/>
  <c r="U269" i="1"/>
  <c r="T269" i="1" s="1"/>
  <c r="S269" i="1" s="1"/>
  <c r="R269" i="1" s="1"/>
  <c r="U250" i="1"/>
  <c r="T250" i="1" s="1"/>
  <c r="S250" i="1" s="1"/>
  <c r="R250" i="1" s="1"/>
  <c r="U232" i="1"/>
  <c r="T232" i="1" s="1"/>
  <c r="S232" i="1" s="1"/>
  <c r="R232" i="1" s="1"/>
  <c r="U378" i="1"/>
  <c r="T378" i="1" s="1"/>
  <c r="S378" i="1" s="1"/>
  <c r="R378" i="1" s="1"/>
  <c r="U352" i="1"/>
  <c r="T352" i="1" s="1"/>
  <c r="S352" i="1" s="1"/>
  <c r="R352" i="1" s="1"/>
  <c r="U318" i="1"/>
  <c r="T318" i="1" s="1"/>
  <c r="S318" i="1" s="1"/>
  <c r="R318" i="1" s="1"/>
  <c r="U273" i="1"/>
  <c r="T273" i="1" s="1"/>
  <c r="S273" i="1" s="1"/>
  <c r="R273" i="1" s="1"/>
  <c r="U229" i="1"/>
  <c r="T229" i="1" s="1"/>
  <c r="S229" i="1" s="1"/>
  <c r="R229" i="1" s="1"/>
  <c r="U105" i="1"/>
  <c r="T105" i="1" s="1"/>
  <c r="S105" i="1" s="1"/>
  <c r="R105" i="1" s="1"/>
  <c r="U201" i="1"/>
  <c r="T201" i="1" s="1"/>
  <c r="S201" i="1" s="1"/>
  <c r="R201" i="1" s="1"/>
  <c r="U76" i="1"/>
  <c r="T76" i="1" s="1"/>
  <c r="S76" i="1" s="1"/>
  <c r="R76" i="1" s="1"/>
  <c r="AI18" i="1"/>
  <c r="AH18" i="1" s="1"/>
  <c r="AG18" i="1" s="1"/>
  <c r="AF18" i="1" s="1"/>
  <c r="AI238" i="1"/>
  <c r="AH238" i="1" s="1"/>
  <c r="AG238" i="1" s="1"/>
  <c r="AF238" i="1" s="1"/>
  <c r="Q383" i="1"/>
  <c r="AI164" i="1"/>
  <c r="AH164" i="1" s="1"/>
  <c r="AG164" i="1" s="1"/>
  <c r="AF164" i="1" s="1"/>
  <c r="AI226" i="1"/>
  <c r="U17" i="1"/>
  <c r="T17" i="1" s="1"/>
  <c r="S17" i="1" s="1"/>
  <c r="R17" i="1" s="1"/>
  <c r="U78" i="1"/>
  <c r="T78" i="1" s="1"/>
  <c r="S78" i="1" s="1"/>
  <c r="R78" i="1" s="1"/>
  <c r="U132" i="1"/>
  <c r="T132" i="1" s="1"/>
  <c r="S132" i="1" s="1"/>
  <c r="R132" i="1" s="1"/>
  <c r="U210" i="1"/>
  <c r="T210" i="1" s="1"/>
  <c r="S210" i="1" s="1"/>
  <c r="R210" i="1" s="1"/>
  <c r="U45" i="1"/>
  <c r="T45" i="1" s="1"/>
  <c r="S45" i="1" s="1"/>
  <c r="R45" i="1" s="1"/>
  <c r="U110" i="1"/>
  <c r="T110" i="1" s="1"/>
  <c r="S110" i="1" s="1"/>
  <c r="R110" i="1" s="1"/>
  <c r="U172" i="1"/>
  <c r="T172" i="1" s="1"/>
  <c r="S172" i="1" s="1"/>
  <c r="R172" i="1" s="1"/>
  <c r="U234" i="1"/>
  <c r="T234" i="1" s="1"/>
  <c r="S234" i="1" s="1"/>
  <c r="R234" i="1" s="1"/>
  <c r="AI359" i="1"/>
  <c r="AH359" i="1" s="1"/>
  <c r="AG359" i="1" s="1"/>
  <c r="AF359" i="1" s="1"/>
  <c r="U71" i="1"/>
  <c r="T71" i="1" s="1"/>
  <c r="S71" i="1" s="1"/>
  <c r="R71" i="1" s="1"/>
  <c r="U189" i="1"/>
  <c r="T189" i="1" s="1"/>
  <c r="S189" i="1" s="1"/>
  <c r="R189" i="1" s="1"/>
  <c r="U96" i="1"/>
  <c r="T96" i="1" s="1"/>
  <c r="S96" i="1" s="1"/>
  <c r="R96" i="1" s="1"/>
  <c r="U222" i="1"/>
  <c r="T222" i="1" s="1"/>
  <c r="S222" i="1" s="1"/>
  <c r="R222" i="1" s="1"/>
  <c r="U259" i="1"/>
  <c r="T259" i="1" s="1"/>
  <c r="S259" i="1" s="1"/>
  <c r="R259" i="1" s="1"/>
  <c r="U282" i="1"/>
  <c r="T282" i="1" s="1"/>
  <c r="S282" i="1" s="1"/>
  <c r="R282" i="1" s="1"/>
  <c r="U300" i="1"/>
  <c r="T300" i="1" s="1"/>
  <c r="S300" i="1" s="1"/>
  <c r="R300" i="1" s="1"/>
  <c r="U338" i="1"/>
  <c r="T338" i="1" s="1"/>
  <c r="S338" i="1" s="1"/>
  <c r="R338" i="1" s="1"/>
  <c r="U367" i="1"/>
  <c r="T367" i="1" s="1"/>
  <c r="S367" i="1" s="1"/>
  <c r="R367" i="1" s="1"/>
  <c r="AI318" i="1"/>
  <c r="AH318" i="1" s="1"/>
  <c r="AG318" i="1" s="1"/>
  <c r="AF318" i="1" s="1"/>
  <c r="AI244" i="1"/>
  <c r="AH244" i="1" s="1"/>
  <c r="AG244" i="1" s="1"/>
  <c r="AF244" i="1" s="1"/>
  <c r="AI119" i="1"/>
  <c r="AH119" i="1" s="1"/>
  <c r="AG119" i="1" s="1"/>
  <c r="AF119" i="1" s="1"/>
  <c r="AI259" i="1"/>
  <c r="AI114" i="1"/>
  <c r="AH114" i="1" s="1"/>
  <c r="AG114" i="1" s="1"/>
  <c r="AF114" i="1" s="1"/>
  <c r="AI276" i="1"/>
  <c r="AH276" i="1" s="1"/>
  <c r="AG276" i="1" s="1"/>
  <c r="AF276" i="1" s="1"/>
  <c r="AI345" i="1"/>
  <c r="AH345" i="1" s="1"/>
  <c r="AG345" i="1" s="1"/>
  <c r="AF345" i="1" s="1"/>
  <c r="AI346" i="1"/>
  <c r="AH346" i="1" s="1"/>
  <c r="AG346" i="1" s="1"/>
  <c r="AF346" i="1" s="1"/>
  <c r="AI365" i="1"/>
  <c r="AH365" i="1" s="1"/>
  <c r="AG365" i="1" s="1"/>
  <c r="AF365" i="1" s="1"/>
  <c r="AI184" i="1"/>
  <c r="AH184" i="1" s="1"/>
  <c r="AG184" i="1" s="1"/>
  <c r="AF184" i="1" s="1"/>
  <c r="AI202" i="1"/>
  <c r="AH202" i="1" s="1"/>
  <c r="AG202" i="1" s="1"/>
  <c r="AI217" i="1"/>
  <c r="AH217" i="1" s="1"/>
  <c r="AG217" i="1" s="1"/>
  <c r="AF217" i="1" s="1"/>
  <c r="AI21" i="1"/>
  <c r="AH21" i="1" s="1"/>
  <c r="AG21" i="1" s="1"/>
  <c r="AF21" i="1" s="1"/>
  <c r="AI339" i="1"/>
  <c r="AH339" i="1" s="1"/>
  <c r="AG339" i="1" s="1"/>
  <c r="AF339" i="1" s="1"/>
  <c r="AI41" i="1"/>
  <c r="AH41" i="1" s="1"/>
  <c r="AG41" i="1" s="1"/>
  <c r="AF41" i="1" s="1"/>
  <c r="AI223" i="1"/>
  <c r="U32" i="1"/>
  <c r="T32" i="1" s="1"/>
  <c r="S32" i="1" s="1"/>
  <c r="R32" i="1" s="1"/>
  <c r="U68" i="1"/>
  <c r="T68" i="1" s="1"/>
  <c r="S68" i="1" s="1"/>
  <c r="R68" i="1" s="1"/>
  <c r="U95" i="1"/>
  <c r="T95" i="1" s="1"/>
  <c r="S95" i="1" s="1"/>
  <c r="R95" i="1" s="1"/>
  <c r="U119" i="1"/>
  <c r="T119" i="1" s="1"/>
  <c r="S119" i="1" s="1"/>
  <c r="R119" i="1" s="1"/>
  <c r="U148" i="1"/>
  <c r="T148" i="1" s="1"/>
  <c r="S148" i="1" s="1"/>
  <c r="R148" i="1" s="1"/>
  <c r="U183" i="1"/>
  <c r="T183" i="1" s="1"/>
  <c r="S183" i="1" s="1"/>
  <c r="R183" i="1" s="1"/>
  <c r="AI74" i="1"/>
  <c r="AH74" i="1" s="1"/>
  <c r="AG74" i="1" s="1"/>
  <c r="AF74" i="1" s="1"/>
  <c r="U23" i="1"/>
  <c r="T23" i="1" s="1"/>
  <c r="S23" i="1" s="1"/>
  <c r="R23" i="1" s="1"/>
  <c r="U55" i="1"/>
  <c r="T55" i="1" s="1"/>
  <c r="S55" i="1" s="1"/>
  <c r="R55" i="1" s="1"/>
  <c r="U91" i="1"/>
  <c r="T91" i="1" s="1"/>
  <c r="S91" i="1" s="1"/>
  <c r="R91" i="1" s="1"/>
  <c r="U134" i="1"/>
  <c r="T134" i="1" s="1"/>
  <c r="S134" i="1" s="1"/>
  <c r="R134" i="1" s="1"/>
  <c r="U158" i="1"/>
  <c r="T158" i="1" s="1"/>
  <c r="S158" i="1" s="1"/>
  <c r="R158" i="1" s="1"/>
  <c r="U194" i="1"/>
  <c r="T194" i="1" s="1"/>
  <c r="S194" i="1" s="1"/>
  <c r="R194" i="1" s="1"/>
  <c r="U220" i="1"/>
  <c r="T220" i="1" s="1"/>
  <c r="S220" i="1" s="1"/>
  <c r="R220" i="1" s="1"/>
  <c r="AI127" i="1"/>
  <c r="AH127" i="1" s="1"/>
  <c r="AG127" i="1" s="1"/>
  <c r="AF127" i="1" s="1"/>
  <c r="AI205" i="1"/>
  <c r="AH205" i="1" s="1"/>
  <c r="AG205" i="1" s="1"/>
  <c r="AF205" i="1" s="1"/>
  <c r="AI247" i="1"/>
  <c r="AH247" i="1" s="1"/>
  <c r="AG247" i="1" s="1"/>
  <c r="AF247" i="1" s="1"/>
  <c r="AI364" i="1"/>
  <c r="AH364" i="1" s="1"/>
  <c r="AG364" i="1" s="1"/>
  <c r="AF364" i="1" s="1"/>
  <c r="AI224" i="1"/>
  <c r="AH224" i="1" s="1"/>
  <c r="AG224" i="1" s="1"/>
  <c r="AF224" i="1" s="1"/>
  <c r="U364" i="1"/>
  <c r="T364" i="1" s="1"/>
  <c r="S364" i="1" s="1"/>
  <c r="R364" i="1" s="1"/>
  <c r="U302" i="1"/>
  <c r="T302" i="1" s="1"/>
  <c r="S302" i="1" s="1"/>
  <c r="R302" i="1" s="1"/>
  <c r="U231" i="1"/>
  <c r="T231" i="1" s="1"/>
  <c r="S231" i="1" s="1"/>
  <c r="R231" i="1" s="1"/>
  <c r="U266" i="1"/>
  <c r="T266" i="1" s="1"/>
  <c r="S266" i="1" s="1"/>
  <c r="R266" i="1" s="1"/>
  <c r="U66" i="1"/>
  <c r="T66" i="1" s="1"/>
  <c r="S66" i="1" s="1"/>
  <c r="R66" i="1" s="1"/>
  <c r="AI177" i="1"/>
  <c r="AH177" i="1" s="1"/>
  <c r="AG177" i="1" s="1"/>
  <c r="AF177" i="1" s="1"/>
  <c r="AI62" i="1"/>
  <c r="AH62" i="1" s="1"/>
  <c r="AG62" i="1" s="1"/>
  <c r="AF62" i="1" s="1"/>
  <c r="AI83" i="1"/>
  <c r="AH83" i="1" s="1"/>
  <c r="AG83" i="1" s="1"/>
  <c r="AF83" i="1" s="1"/>
  <c r="AI323" i="1"/>
  <c r="AH323" i="1" s="1"/>
  <c r="AG323" i="1" s="1"/>
  <c r="AF323" i="1" s="1"/>
  <c r="AI294" i="1"/>
  <c r="AH294" i="1" s="1"/>
  <c r="AG294" i="1" s="1"/>
  <c r="AF294" i="1" s="1"/>
  <c r="U356" i="1"/>
  <c r="T356" i="1" s="1"/>
  <c r="S356" i="1" s="1"/>
  <c r="R356" i="1" s="1"/>
  <c r="U297" i="1"/>
  <c r="T297" i="1" s="1"/>
  <c r="S297" i="1" s="1"/>
  <c r="R297" i="1" s="1"/>
  <c r="U224" i="1"/>
  <c r="T224" i="1" s="1"/>
  <c r="S224" i="1" s="1"/>
  <c r="R224" i="1" s="1"/>
  <c r="U248" i="1"/>
  <c r="T248" i="1" s="1"/>
  <c r="S248" i="1" s="1"/>
  <c r="R248" i="1" s="1"/>
  <c r="AI153" i="1"/>
  <c r="AH153" i="1" s="1"/>
  <c r="AG153" i="1" s="1"/>
  <c r="AF153" i="1" s="1"/>
  <c r="AI91" i="1"/>
  <c r="AH91" i="1" s="1"/>
  <c r="AG91" i="1" s="1"/>
  <c r="AF91" i="1" s="1"/>
  <c r="AI196" i="1"/>
  <c r="AH196" i="1" s="1"/>
  <c r="AG196" i="1" s="1"/>
  <c r="AF196" i="1" s="1"/>
  <c r="AI333" i="1"/>
  <c r="AH333" i="1" s="1"/>
  <c r="AG333" i="1" s="1"/>
  <c r="AF333" i="1" s="1"/>
  <c r="AI289" i="1"/>
  <c r="AI328" i="1"/>
  <c r="AH328" i="1" s="1"/>
  <c r="AG328" i="1" s="1"/>
  <c r="AF328" i="1" s="1"/>
  <c r="AI159" i="1"/>
  <c r="AH159" i="1" s="1"/>
  <c r="AG159" i="1" s="1"/>
  <c r="AF159" i="1" s="1"/>
  <c r="AI377" i="1"/>
  <c r="AH377" i="1" s="1"/>
  <c r="AG377" i="1" s="1"/>
  <c r="AF377" i="1" s="1"/>
  <c r="AI60" i="1"/>
  <c r="AH60" i="1" s="1"/>
  <c r="AG60" i="1" s="1"/>
  <c r="AF60" i="1" s="1"/>
  <c r="AI15" i="1"/>
  <c r="AH15" i="1" s="1"/>
  <c r="AG15" i="1" s="1"/>
  <c r="AF15" i="1" s="1"/>
  <c r="AI75" i="1"/>
  <c r="AH75" i="1" s="1"/>
  <c r="AG75" i="1" s="1"/>
  <c r="AF75" i="1" s="1"/>
  <c r="AI137" i="1"/>
  <c r="AH137" i="1" s="1"/>
  <c r="AG137" i="1" s="1"/>
  <c r="AF137" i="1" s="1"/>
  <c r="U342" i="1"/>
  <c r="T342" i="1" s="1"/>
  <c r="S342" i="1" s="1"/>
  <c r="R342" i="1" s="1"/>
  <c r="U310" i="1"/>
  <c r="T310" i="1" s="1"/>
  <c r="S310" i="1" s="1"/>
  <c r="R310" i="1" s="1"/>
  <c r="U281" i="1"/>
  <c r="T281" i="1" s="1"/>
  <c r="S281" i="1" s="1"/>
  <c r="R281" i="1" s="1"/>
  <c r="U242" i="1"/>
  <c r="T242" i="1" s="1"/>
  <c r="S242" i="1" s="1"/>
  <c r="R242" i="1" s="1"/>
  <c r="U370" i="1"/>
  <c r="T370" i="1" s="1"/>
  <c r="S370" i="1" s="1"/>
  <c r="R370" i="1" s="1"/>
  <c r="U303" i="1"/>
  <c r="T303" i="1" s="1"/>
  <c r="S303" i="1" s="1"/>
  <c r="R303" i="1" s="1"/>
  <c r="U192" i="1"/>
  <c r="T192" i="1" s="1"/>
  <c r="S192" i="1" s="1"/>
  <c r="R192" i="1" s="1"/>
  <c r="U146" i="1"/>
  <c r="T146" i="1" s="1"/>
  <c r="S146" i="1" s="1"/>
  <c r="R146" i="1" s="1"/>
  <c r="AI204" i="1"/>
  <c r="AH204" i="1" s="1"/>
  <c r="AG204" i="1" s="1"/>
  <c r="AF204" i="1" s="1"/>
  <c r="AI56" i="1"/>
  <c r="AH56" i="1" s="1"/>
  <c r="AG56" i="1" s="1"/>
  <c r="AF56" i="1" s="1"/>
  <c r="AI232" i="1"/>
  <c r="AH232" i="1" s="1"/>
  <c r="AG232" i="1" s="1"/>
  <c r="AF232" i="1" s="1"/>
  <c r="AI280" i="1"/>
  <c r="AH280" i="1" s="1"/>
  <c r="AG280" i="1" s="1"/>
  <c r="AF280" i="1" s="1"/>
  <c r="AI116" i="1"/>
  <c r="AH116" i="1" s="1"/>
  <c r="AG116" i="1" s="1"/>
  <c r="AF116" i="1" s="1"/>
  <c r="AI231" i="1"/>
  <c r="AH231" i="1" s="1"/>
  <c r="AG231" i="1" s="1"/>
  <c r="AF231" i="1" s="1"/>
  <c r="AI212" i="1"/>
  <c r="AH212" i="1" s="1"/>
  <c r="AG212" i="1" s="1"/>
  <c r="AF212" i="1" s="1"/>
  <c r="AI349" i="1"/>
  <c r="AH349" i="1" s="1"/>
  <c r="AG349" i="1" s="1"/>
  <c r="AF349" i="1" s="1"/>
  <c r="AI208" i="1"/>
  <c r="AH208" i="1" s="1"/>
  <c r="AG208" i="1" s="1"/>
  <c r="AF208" i="1" s="1"/>
  <c r="AI313" i="1"/>
  <c r="AH313" i="1" s="1"/>
  <c r="AG313" i="1" s="1"/>
  <c r="AF313" i="1" s="1"/>
  <c r="AI248" i="1"/>
  <c r="AH248" i="1" s="1"/>
  <c r="AG248" i="1" s="1"/>
  <c r="AF248" i="1" s="1"/>
  <c r="AI113" i="1"/>
  <c r="AH113" i="1" s="1"/>
  <c r="AG113" i="1" s="1"/>
  <c r="AF113" i="1" s="1"/>
  <c r="AI178" i="1"/>
  <c r="AH178" i="1" s="1"/>
  <c r="AG178" i="1" s="1"/>
  <c r="AF178" i="1" s="1"/>
  <c r="AI136" i="1"/>
  <c r="AH136" i="1" s="1"/>
  <c r="AG136" i="1" s="1"/>
  <c r="AF136" i="1" s="1"/>
  <c r="AI37" i="1"/>
  <c r="AH37" i="1" s="1"/>
  <c r="AG37" i="1" s="1"/>
  <c r="AF37" i="1" s="1"/>
  <c r="AI358" i="1"/>
  <c r="AH358" i="1" s="1"/>
  <c r="AG358" i="1" s="1"/>
  <c r="AF358" i="1" s="1"/>
  <c r="AI198" i="1"/>
  <c r="AH198" i="1" s="1"/>
  <c r="AG198" i="1" s="1"/>
  <c r="AF198" i="1" s="1"/>
  <c r="AI158" i="1"/>
  <c r="AH158" i="1" s="1"/>
  <c r="AG158" i="1" s="1"/>
  <c r="AF158" i="1" s="1"/>
  <c r="AI264" i="1"/>
  <c r="AH264" i="1" s="1"/>
  <c r="AG264" i="1" s="1"/>
  <c r="AF264" i="1" s="1"/>
  <c r="AI103" i="1"/>
  <c r="AH103" i="1" s="1"/>
  <c r="AG103" i="1" s="1"/>
  <c r="AF103" i="1" s="1"/>
  <c r="AI143" i="1"/>
  <c r="AH143" i="1" s="1"/>
  <c r="AG143" i="1" s="1"/>
  <c r="AF143" i="1" s="1"/>
  <c r="AI303" i="1"/>
  <c r="AH303" i="1" s="1"/>
  <c r="AG303" i="1" s="1"/>
  <c r="AF303" i="1" s="1"/>
  <c r="U374" i="1"/>
  <c r="T374" i="1" s="1"/>
  <c r="S374" i="1" s="1"/>
  <c r="R374" i="1" s="1"/>
  <c r="U360" i="1"/>
  <c r="T360" i="1" s="1"/>
  <c r="S360" i="1" s="1"/>
  <c r="R360" i="1" s="1"/>
  <c r="U339" i="1"/>
  <c r="T339" i="1" s="1"/>
  <c r="S339" i="1" s="1"/>
  <c r="R339" i="1" s="1"/>
  <c r="U324" i="1"/>
  <c r="T324" i="1" s="1"/>
  <c r="S324" i="1" s="1"/>
  <c r="R324" i="1" s="1"/>
  <c r="U309" i="1"/>
  <c r="T309" i="1" s="1"/>
  <c r="S309" i="1" s="1"/>
  <c r="R309" i="1" s="1"/>
  <c r="U298" i="1"/>
  <c r="T298" i="1" s="1"/>
  <c r="S298" i="1" s="1"/>
  <c r="R298" i="1" s="1"/>
  <c r="U280" i="1"/>
  <c r="T280" i="1" s="1"/>
  <c r="S280" i="1" s="1"/>
  <c r="R280" i="1" s="1"/>
  <c r="U261" i="1"/>
  <c r="T261" i="1" s="1"/>
  <c r="S261" i="1" s="1"/>
  <c r="R261" i="1" s="1"/>
  <c r="U241" i="1"/>
  <c r="T241" i="1" s="1"/>
  <c r="S241" i="1" s="1"/>
  <c r="R241" i="1" s="1"/>
  <c r="U227" i="1"/>
  <c r="T227" i="1" s="1"/>
  <c r="S227" i="1" s="1"/>
  <c r="R227" i="1" s="1"/>
  <c r="U366" i="1"/>
  <c r="T366" i="1" s="1"/>
  <c r="S366" i="1" s="1"/>
  <c r="R366" i="1" s="1"/>
  <c r="U335" i="1"/>
  <c r="T335" i="1" s="1"/>
  <c r="S335" i="1" s="1"/>
  <c r="R335" i="1" s="1"/>
  <c r="U294" i="1"/>
  <c r="T294" i="1" s="1"/>
  <c r="S294" i="1" s="1"/>
  <c r="R294" i="1" s="1"/>
  <c r="U251" i="1"/>
  <c r="T251" i="1" s="1"/>
  <c r="S251" i="1" s="1"/>
  <c r="R251" i="1" s="1"/>
  <c r="U169" i="1"/>
  <c r="T169" i="1" s="1"/>
  <c r="S169" i="1" s="1"/>
  <c r="R169" i="1" s="1"/>
  <c r="U43" i="1"/>
  <c r="T43" i="1" s="1"/>
  <c r="S43" i="1" s="1"/>
  <c r="R43" i="1" s="1"/>
  <c r="U130" i="1"/>
  <c r="T130" i="1" s="1"/>
  <c r="S130" i="1" s="1"/>
  <c r="R130" i="1" s="1"/>
  <c r="AI314" i="1"/>
  <c r="AH314" i="1" s="1"/>
  <c r="AG314" i="1" s="1"/>
  <c r="AF314" i="1" s="1"/>
  <c r="AH226" i="1"/>
  <c r="AG226" i="1" s="1"/>
  <c r="AF226" i="1" s="1"/>
  <c r="AH289" i="1"/>
  <c r="AG289" i="1" s="1"/>
  <c r="AF289" i="1" s="1"/>
  <c r="P11" i="17"/>
  <c r="T15" i="7"/>
  <c r="U11" i="7"/>
  <c r="AA11" i="7" s="1"/>
  <c r="Q381" i="1"/>
  <c r="BH138" i="6"/>
  <c r="BH228" i="6"/>
  <c r="BH276" i="6"/>
  <c r="BH71" i="6"/>
  <c r="BH107" i="6"/>
  <c r="BH132" i="6"/>
  <c r="BH104" i="6"/>
  <c r="BH130" i="6"/>
  <c r="BH234" i="6"/>
  <c r="BH339" i="6"/>
  <c r="BH260" i="6"/>
  <c r="BH298" i="6"/>
  <c r="BH119" i="6"/>
  <c r="BH320" i="6"/>
  <c r="BH337" i="6"/>
  <c r="BH24" i="6"/>
  <c r="BH30" i="6"/>
  <c r="BH265" i="6"/>
  <c r="BH271" i="6"/>
  <c r="BH19" i="6"/>
  <c r="BH217" i="6"/>
  <c r="BH354" i="6"/>
  <c r="BH167" i="6"/>
  <c r="BH17" i="6"/>
  <c r="BH266" i="6"/>
  <c r="BH48" i="6"/>
  <c r="BH322" i="6"/>
  <c r="BH177" i="6"/>
  <c r="BH286" i="6"/>
  <c r="BH253" i="6"/>
  <c r="BH196" i="6"/>
  <c r="BH308" i="6"/>
  <c r="BH208" i="6"/>
  <c r="BH51" i="6"/>
  <c r="BH16" i="6"/>
  <c r="BH321" i="6"/>
  <c r="BH336" i="6"/>
  <c r="BH341" i="6"/>
  <c r="BH131" i="6"/>
  <c r="BH97" i="6"/>
  <c r="BH126" i="6"/>
  <c r="BH254" i="6"/>
  <c r="BH280" i="6"/>
  <c r="BH239" i="6"/>
  <c r="BH36" i="6"/>
  <c r="AD36" i="1" s="1"/>
  <c r="BH300" i="6"/>
  <c r="BH74" i="6"/>
  <c r="BH94" i="6"/>
  <c r="BH135" i="6"/>
  <c r="BH191" i="6"/>
  <c r="BH175" i="6"/>
  <c r="BH345" i="6"/>
  <c r="BH121" i="6"/>
  <c r="BH95" i="6"/>
  <c r="BH302" i="6"/>
  <c r="BH287" i="6"/>
  <c r="BH114" i="6"/>
  <c r="BH67" i="6"/>
  <c r="BH313" i="6"/>
  <c r="BH40" i="6"/>
  <c r="BH54" i="6"/>
  <c r="BH122" i="6"/>
  <c r="BH171" i="6"/>
  <c r="BH277" i="6"/>
  <c r="BH75" i="6"/>
  <c r="BH184" i="6"/>
  <c r="BH230" i="6"/>
  <c r="BH356" i="6"/>
  <c r="BH102" i="6"/>
  <c r="BH120" i="6"/>
  <c r="BH318" i="6"/>
  <c r="BH89" i="6"/>
  <c r="BH86" i="6"/>
  <c r="BH195" i="6"/>
  <c r="BH98" i="6"/>
  <c r="BH209" i="6"/>
  <c r="BH307" i="6"/>
  <c r="BH156" i="6"/>
  <c r="BH207" i="6"/>
  <c r="BH202" i="6"/>
  <c r="BH327" i="6"/>
  <c r="BH144" i="6"/>
  <c r="BH368" i="6"/>
  <c r="BH150" i="6"/>
  <c r="BH181" i="6"/>
  <c r="BH278" i="6"/>
  <c r="BH190" i="6"/>
  <c r="BH129" i="6"/>
  <c r="BH52" i="6"/>
  <c r="BH349" i="6"/>
  <c r="BH310" i="6"/>
  <c r="BH289" i="6"/>
  <c r="BH106" i="6"/>
  <c r="BH151" i="6"/>
  <c r="BH225" i="6"/>
  <c r="BH113" i="6"/>
  <c r="BH28" i="6"/>
  <c r="BH116" i="6"/>
  <c r="BH319" i="6"/>
  <c r="BH108" i="6"/>
  <c r="BH141" i="6"/>
  <c r="BH145" i="6"/>
  <c r="BH56" i="6"/>
  <c r="BH347" i="6"/>
  <c r="BH233" i="6"/>
  <c r="BH147" i="6"/>
  <c r="BH279" i="6"/>
  <c r="BH317" i="6"/>
  <c r="BH263" i="6"/>
  <c r="BH274" i="6"/>
  <c r="BH199" i="6"/>
  <c r="BH170" i="6"/>
  <c r="BH148" i="6"/>
  <c r="BH273" i="6"/>
  <c r="BH164" i="6"/>
  <c r="BH204" i="6"/>
  <c r="BH288" i="6"/>
  <c r="BH124" i="6"/>
  <c r="BH219" i="6"/>
  <c r="BH45" i="6"/>
  <c r="BH165" i="6"/>
  <c r="BH73" i="6"/>
  <c r="BH29" i="6"/>
  <c r="BH215" i="6"/>
  <c r="BH20" i="6"/>
  <c r="BH330" i="6"/>
  <c r="BH360" i="6"/>
  <c r="BH290" i="6"/>
  <c r="BH284" i="6"/>
  <c r="BH303" i="6"/>
  <c r="BH334" i="6"/>
  <c r="BH218" i="6"/>
  <c r="BH295" i="6"/>
  <c r="BH85" i="6"/>
  <c r="BH246" i="6"/>
  <c r="BH31" i="6"/>
  <c r="BH81" i="6"/>
  <c r="BH262" i="6"/>
  <c r="BH92" i="6"/>
  <c r="BH216" i="6"/>
  <c r="BH311" i="6"/>
  <c r="BH304" i="6"/>
  <c r="BH333" i="6"/>
  <c r="BH41" i="6"/>
  <c r="BH291" i="6"/>
  <c r="BH297" i="6"/>
  <c r="BH372" i="6"/>
  <c r="BH238" i="6"/>
  <c r="BH237" i="6"/>
  <c r="BH285" i="6"/>
  <c r="BH157" i="6"/>
  <c r="BH161" i="6"/>
  <c r="BH250" i="6"/>
  <c r="BH226" i="6"/>
  <c r="BH364" i="6"/>
  <c r="BH25" i="6"/>
  <c r="BH312" i="6"/>
  <c r="BH84" i="6"/>
  <c r="BH183" i="6"/>
  <c r="BH65" i="6"/>
  <c r="BH242" i="6"/>
  <c r="BH38" i="6"/>
  <c r="BH206" i="6"/>
  <c r="BH96" i="6"/>
  <c r="BH213" i="6"/>
  <c r="BH62" i="6"/>
  <c r="BH117" i="6"/>
  <c r="BH200" i="6"/>
  <c r="BH93" i="6"/>
  <c r="BH363" i="6"/>
  <c r="BH64" i="6"/>
  <c r="BH82" i="6"/>
  <c r="BH292" i="6"/>
  <c r="BH342" i="6"/>
  <c r="BH68" i="6"/>
  <c r="BH259" i="6"/>
  <c r="BH186" i="6"/>
  <c r="BH136" i="6"/>
  <c r="BH182" i="6"/>
  <c r="BH283" i="6"/>
  <c r="BH346" i="6"/>
  <c r="BH227" i="6"/>
  <c r="BM16" i="7"/>
  <c r="E16" i="7"/>
  <c r="BY16" i="7"/>
  <c r="BS16" i="7"/>
  <c r="AI230" i="1"/>
  <c r="AI126" i="1"/>
  <c r="AH126" i="1" s="1"/>
  <c r="AG126" i="1" s="1"/>
  <c r="AF126" i="1" s="1"/>
  <c r="AI98" i="1"/>
  <c r="AH98" i="1" s="1"/>
  <c r="AG98" i="1" s="1"/>
  <c r="AF98" i="1" s="1"/>
  <c r="AI241" i="1"/>
  <c r="AI219" i="1"/>
  <c r="AH219" i="1" s="1"/>
  <c r="AG219" i="1" s="1"/>
  <c r="AF219" i="1" s="1"/>
  <c r="AI131" i="1"/>
  <c r="AH131" i="1" s="1"/>
  <c r="AG131" i="1" s="1"/>
  <c r="AF131" i="1" s="1"/>
  <c r="AI367" i="1"/>
  <c r="AI155" i="1"/>
  <c r="AH155" i="1" s="1"/>
  <c r="AG155" i="1" s="1"/>
  <c r="AF155" i="1" s="1"/>
  <c r="AI249" i="1"/>
  <c r="AH249" i="1" s="1"/>
  <c r="AG249" i="1" s="1"/>
  <c r="AF249" i="1" s="1"/>
  <c r="AI53" i="1"/>
  <c r="AH53" i="1" s="1"/>
  <c r="AG53" i="1" s="1"/>
  <c r="AF53" i="1" s="1"/>
  <c r="AI361" i="1"/>
  <c r="AH361" i="1" s="1"/>
  <c r="AG361" i="1" s="1"/>
  <c r="AF361" i="1" s="1"/>
  <c r="AI320" i="1"/>
  <c r="AI216" i="1"/>
  <c r="U29" i="1"/>
  <c r="T29" i="1" s="1"/>
  <c r="S29" i="1" s="1"/>
  <c r="R29" i="1" s="1"/>
  <c r="U39" i="1"/>
  <c r="T39" i="1" s="1"/>
  <c r="S39" i="1" s="1"/>
  <c r="R39" i="1" s="1"/>
  <c r="U62" i="1"/>
  <c r="T62" i="1" s="1"/>
  <c r="S62" i="1" s="1"/>
  <c r="R62" i="1" s="1"/>
  <c r="U73" i="1"/>
  <c r="T73" i="1" s="1"/>
  <c r="S73" i="1" s="1"/>
  <c r="R73" i="1" s="1"/>
  <c r="U86" i="1"/>
  <c r="T86" i="1" s="1"/>
  <c r="S86" i="1" s="1"/>
  <c r="R86" i="1" s="1"/>
  <c r="U104" i="1"/>
  <c r="T104" i="1" s="1"/>
  <c r="S104" i="1" s="1"/>
  <c r="R104" i="1" s="1"/>
  <c r="U116" i="1"/>
  <c r="T116" i="1" s="1"/>
  <c r="S116" i="1" s="1"/>
  <c r="R116" i="1" s="1"/>
  <c r="U127" i="1"/>
  <c r="T127" i="1" s="1"/>
  <c r="S127" i="1" s="1"/>
  <c r="R127" i="1" s="1"/>
  <c r="U140" i="1"/>
  <c r="T140" i="1" s="1"/>
  <c r="S140" i="1" s="1"/>
  <c r="R140" i="1" s="1"/>
  <c r="U168" i="1"/>
  <c r="T168" i="1" s="1"/>
  <c r="S168" i="1" s="1"/>
  <c r="R168" i="1" s="1"/>
  <c r="U180" i="1"/>
  <c r="T180" i="1" s="1"/>
  <c r="S180" i="1" s="1"/>
  <c r="R180" i="1" s="1"/>
  <c r="U193" i="1"/>
  <c r="T193" i="1" s="1"/>
  <c r="S193" i="1" s="1"/>
  <c r="R193" i="1" s="1"/>
  <c r="U217" i="1"/>
  <c r="T217" i="1" s="1"/>
  <c r="S217" i="1" s="1"/>
  <c r="R217" i="1" s="1"/>
  <c r="AI47" i="1"/>
  <c r="AH47" i="1" s="1"/>
  <c r="AG47" i="1" s="1"/>
  <c r="AF47" i="1" s="1"/>
  <c r="U18" i="1"/>
  <c r="T18" i="1" s="1"/>
  <c r="S18" i="1" s="1"/>
  <c r="R18" i="1" s="1"/>
  <c r="U36" i="1"/>
  <c r="T36" i="1" s="1"/>
  <c r="S36" i="1" s="1"/>
  <c r="R36" i="1" s="1"/>
  <c r="U50" i="1"/>
  <c r="T50" i="1" s="1"/>
  <c r="S50" i="1" s="1"/>
  <c r="R50" i="1" s="1"/>
  <c r="U63" i="1"/>
  <c r="T63" i="1" s="1"/>
  <c r="S63" i="1" s="1"/>
  <c r="R63" i="1" s="1"/>
  <c r="U87" i="1"/>
  <c r="T87" i="1" s="1"/>
  <c r="S87" i="1" s="1"/>
  <c r="R87" i="1" s="1"/>
  <c r="U98" i="1"/>
  <c r="T98" i="1" s="1"/>
  <c r="S98" i="1" s="1"/>
  <c r="R98" i="1" s="1"/>
  <c r="U125" i="1"/>
  <c r="T125" i="1" s="1"/>
  <c r="S125" i="1" s="1"/>
  <c r="R125" i="1" s="1"/>
  <c r="U143" i="1"/>
  <c r="T143" i="1" s="1"/>
  <c r="S143" i="1" s="1"/>
  <c r="R143" i="1" s="1"/>
  <c r="U155" i="1"/>
  <c r="T155" i="1" s="1"/>
  <c r="S155" i="1" s="1"/>
  <c r="R155" i="1" s="1"/>
  <c r="U164" i="1"/>
  <c r="T164" i="1" s="1"/>
  <c r="S164" i="1" s="1"/>
  <c r="R164" i="1" s="1"/>
  <c r="U188" i="1"/>
  <c r="T188" i="1" s="1"/>
  <c r="S188" i="1" s="1"/>
  <c r="R188" i="1" s="1"/>
  <c r="U200" i="1"/>
  <c r="T200" i="1" s="1"/>
  <c r="S200" i="1" s="1"/>
  <c r="R200" i="1" s="1"/>
  <c r="U213" i="1"/>
  <c r="T213" i="1" s="1"/>
  <c r="S213" i="1" s="1"/>
  <c r="R213" i="1" s="1"/>
  <c r="U225" i="1"/>
  <c r="T225" i="1" s="1"/>
  <c r="S225" i="1" s="1"/>
  <c r="R225" i="1" s="1"/>
  <c r="U238" i="1"/>
  <c r="T238" i="1" s="1"/>
  <c r="S238" i="1" s="1"/>
  <c r="R238" i="1" s="1"/>
  <c r="AI173" i="1"/>
  <c r="AH173" i="1" s="1"/>
  <c r="AG173" i="1" s="1"/>
  <c r="AF173" i="1" s="1"/>
  <c r="AI352" i="1"/>
  <c r="AH352" i="1" s="1"/>
  <c r="AG352" i="1" s="1"/>
  <c r="AF352" i="1" s="1"/>
  <c r="AI338" i="1"/>
  <c r="AI32" i="1"/>
  <c r="AH32" i="1" s="1"/>
  <c r="AG32" i="1" s="1"/>
  <c r="AF32" i="1" s="1"/>
  <c r="AI321" i="1"/>
  <c r="AH321" i="1" s="1"/>
  <c r="AG321" i="1" s="1"/>
  <c r="AF321" i="1" s="1"/>
  <c r="AI197" i="1"/>
  <c r="AH197" i="1" s="1"/>
  <c r="AG197" i="1" s="1"/>
  <c r="AF197" i="1" s="1"/>
  <c r="U26" i="1"/>
  <c r="T26" i="1" s="1"/>
  <c r="S26" i="1" s="1"/>
  <c r="R26" i="1" s="1"/>
  <c r="U57" i="1"/>
  <c r="T57" i="1" s="1"/>
  <c r="S57" i="1" s="1"/>
  <c r="R57" i="1" s="1"/>
  <c r="U82" i="1"/>
  <c r="T82" i="1" s="1"/>
  <c r="S82" i="1" s="1"/>
  <c r="R82" i="1" s="1"/>
  <c r="U114" i="1"/>
  <c r="T114" i="1" s="1"/>
  <c r="S114" i="1" s="1"/>
  <c r="R114" i="1" s="1"/>
  <c r="U137" i="1"/>
  <c r="T137" i="1" s="1"/>
  <c r="S137" i="1" s="1"/>
  <c r="R137" i="1" s="1"/>
  <c r="U178" i="1"/>
  <c r="T178" i="1" s="1"/>
  <c r="S178" i="1" s="1"/>
  <c r="R178" i="1" s="1"/>
  <c r="U212" i="1"/>
  <c r="T212" i="1" s="1"/>
  <c r="S212" i="1" s="1"/>
  <c r="R212" i="1" s="1"/>
  <c r="AI191" i="1"/>
  <c r="AH191" i="1" s="1"/>
  <c r="AG191" i="1" s="1"/>
  <c r="AF191" i="1" s="1"/>
  <c r="U48" i="1"/>
  <c r="T48" i="1" s="1"/>
  <c r="S48" i="1" s="1"/>
  <c r="R48" i="1" s="1"/>
  <c r="U83" i="1"/>
  <c r="T83" i="1" s="1"/>
  <c r="S83" i="1" s="1"/>
  <c r="R83" i="1" s="1"/>
  <c r="U121" i="1"/>
  <c r="T121" i="1" s="1"/>
  <c r="S121" i="1" s="1"/>
  <c r="R121" i="1" s="1"/>
  <c r="U153" i="1"/>
  <c r="T153" i="1" s="1"/>
  <c r="S153" i="1" s="1"/>
  <c r="R153" i="1" s="1"/>
  <c r="U184" i="1"/>
  <c r="T184" i="1" s="1"/>
  <c r="S184" i="1" s="1"/>
  <c r="R184" i="1" s="1"/>
  <c r="U208" i="1"/>
  <c r="T208" i="1" s="1"/>
  <c r="S208" i="1" s="1"/>
  <c r="R208" i="1" s="1"/>
  <c r="U235" i="1"/>
  <c r="T235" i="1" s="1"/>
  <c r="S235" i="1" s="1"/>
  <c r="R235" i="1" s="1"/>
  <c r="U247" i="1"/>
  <c r="T247" i="1" s="1"/>
  <c r="S247" i="1" s="1"/>
  <c r="R247" i="1" s="1"/>
  <c r="U253" i="1"/>
  <c r="T253" i="1" s="1"/>
  <c r="S253" i="1" s="1"/>
  <c r="R253" i="1" s="1"/>
  <c r="U258" i="1"/>
  <c r="T258" i="1" s="1"/>
  <c r="S258" i="1" s="1"/>
  <c r="R258" i="1" s="1"/>
  <c r="U260" i="1"/>
  <c r="T260" i="1" s="1"/>
  <c r="S260" i="1" s="1"/>
  <c r="R260" i="1" s="1"/>
  <c r="U267" i="1"/>
  <c r="T267" i="1" s="1"/>
  <c r="S267" i="1" s="1"/>
  <c r="R267" i="1" s="1"/>
  <c r="U272" i="1"/>
  <c r="T272" i="1" s="1"/>
  <c r="S272" i="1" s="1"/>
  <c r="R272" i="1" s="1"/>
  <c r="U278" i="1"/>
  <c r="T278" i="1" s="1"/>
  <c r="S278" i="1" s="1"/>
  <c r="R278" i="1" s="1"/>
  <c r="U286" i="1"/>
  <c r="T286" i="1" s="1"/>
  <c r="S286" i="1" s="1"/>
  <c r="R286" i="1" s="1"/>
  <c r="U291" i="1"/>
  <c r="T291" i="1" s="1"/>
  <c r="S291" i="1" s="1"/>
  <c r="R291" i="1" s="1"/>
  <c r="U293" i="1"/>
  <c r="T293" i="1" s="1"/>
  <c r="S293" i="1" s="1"/>
  <c r="R293" i="1" s="1"/>
  <c r="U296" i="1"/>
  <c r="T296" i="1" s="1"/>
  <c r="S296" i="1" s="1"/>
  <c r="R296" i="1" s="1"/>
  <c r="U306" i="1"/>
  <c r="T306" i="1" s="1"/>
  <c r="S306" i="1" s="1"/>
  <c r="R306" i="1" s="1"/>
  <c r="U317" i="1"/>
  <c r="T317" i="1" s="1"/>
  <c r="S317" i="1" s="1"/>
  <c r="R317" i="1" s="1"/>
  <c r="U325" i="1"/>
  <c r="T325" i="1" s="1"/>
  <c r="S325" i="1" s="1"/>
  <c r="R325" i="1" s="1"/>
  <c r="U333" i="1"/>
  <c r="T333" i="1" s="1"/>
  <c r="S333" i="1" s="1"/>
  <c r="R333" i="1" s="1"/>
  <c r="U341" i="1"/>
  <c r="T341" i="1" s="1"/>
  <c r="S341" i="1" s="1"/>
  <c r="R341" i="1" s="1"/>
  <c r="U349" i="1"/>
  <c r="T349" i="1" s="1"/>
  <c r="S349" i="1" s="1"/>
  <c r="R349" i="1" s="1"/>
  <c r="U355" i="1"/>
  <c r="T355" i="1" s="1"/>
  <c r="S355" i="1" s="1"/>
  <c r="R355" i="1" s="1"/>
  <c r="U362" i="1"/>
  <c r="T362" i="1" s="1"/>
  <c r="S362" i="1" s="1"/>
  <c r="R362" i="1" s="1"/>
  <c r="U371" i="1"/>
  <c r="T371" i="1" s="1"/>
  <c r="S371" i="1" s="1"/>
  <c r="R371" i="1" s="1"/>
  <c r="U377" i="1"/>
  <c r="AI141" i="1"/>
  <c r="AH141" i="1" s="1"/>
  <c r="AG141" i="1" s="1"/>
  <c r="AF141" i="1" s="1"/>
  <c r="AI315" i="1"/>
  <c r="AH315" i="1" s="1"/>
  <c r="AG315" i="1" s="1"/>
  <c r="AF315" i="1" s="1"/>
  <c r="AI234" i="1"/>
  <c r="AI170" i="1"/>
  <c r="AH170" i="1" s="1"/>
  <c r="AG170" i="1" s="1"/>
  <c r="AF170" i="1" s="1"/>
  <c r="AI210" i="1"/>
  <c r="AH210" i="1" s="1"/>
  <c r="AG210" i="1" s="1"/>
  <c r="AF210" i="1" s="1"/>
  <c r="AI356" i="1"/>
  <c r="AH356" i="1" s="1"/>
  <c r="AG356" i="1" s="1"/>
  <c r="AF356" i="1" s="1"/>
  <c r="AI302" i="1"/>
  <c r="AI266" i="1"/>
  <c r="AH266" i="1" s="1"/>
  <c r="AG266" i="1" s="1"/>
  <c r="AF266" i="1" s="1"/>
  <c r="AI354" i="1"/>
  <c r="AI102" i="1"/>
  <c r="AH102" i="1" s="1"/>
  <c r="AG102" i="1" s="1"/>
  <c r="AF102" i="1" s="1"/>
  <c r="AI23" i="1"/>
  <c r="AH23" i="1" s="1"/>
  <c r="AG23" i="1" s="1"/>
  <c r="AF23" i="1" s="1"/>
  <c r="AI379" i="1"/>
  <c r="AI166" i="1"/>
  <c r="AH166" i="1" s="1"/>
  <c r="AG166" i="1" s="1"/>
  <c r="AF166" i="1" s="1"/>
  <c r="AI251" i="1"/>
  <c r="AI117" i="1"/>
  <c r="AH117" i="1" s="1"/>
  <c r="AG117" i="1" s="1"/>
  <c r="AF117" i="1" s="1"/>
  <c r="AI185" i="1"/>
  <c r="AH185" i="1" s="1"/>
  <c r="AG185" i="1" s="1"/>
  <c r="AF185" i="1" s="1"/>
  <c r="AI227" i="1"/>
  <c r="AH227" i="1" s="1"/>
  <c r="AG227" i="1" s="1"/>
  <c r="AF227" i="1" s="1"/>
  <c r="AI362" i="1"/>
  <c r="AI330" i="1"/>
  <c r="AH330" i="1" s="1"/>
  <c r="AG330" i="1" s="1"/>
  <c r="AF330" i="1" s="1"/>
  <c r="AI135" i="1"/>
  <c r="AH135" i="1" s="1"/>
  <c r="AG135" i="1" s="1"/>
  <c r="AF135" i="1" s="1"/>
  <c r="AI343" i="1"/>
  <c r="AI260" i="1"/>
  <c r="AH260" i="1" s="1"/>
  <c r="AG260" i="1" s="1"/>
  <c r="AF260" i="1" s="1"/>
  <c r="AI263" i="1"/>
  <c r="AI45" i="1"/>
  <c r="AH45" i="1" s="1"/>
  <c r="AG45" i="1" s="1"/>
  <c r="AF45" i="1" s="1"/>
  <c r="AI347" i="1"/>
  <c r="AI233" i="1"/>
  <c r="AI368" i="1"/>
  <c r="AI281" i="1"/>
  <c r="AH281" i="1" s="1"/>
  <c r="AG281" i="1" s="1"/>
  <c r="AF281" i="1" s="1"/>
  <c r="AI287" i="1"/>
  <c r="AH287" i="1" s="1"/>
  <c r="AG287" i="1" s="1"/>
  <c r="AF287" i="1" s="1"/>
  <c r="AI146" i="1"/>
  <c r="AH146" i="1" s="1"/>
  <c r="AG146" i="1" s="1"/>
  <c r="AF146" i="1" s="1"/>
  <c r="AI59" i="1"/>
  <c r="AH59" i="1" s="1"/>
  <c r="AG59" i="1" s="1"/>
  <c r="AF59" i="1" s="1"/>
  <c r="AI376" i="1"/>
  <c r="AH376" i="1" s="1"/>
  <c r="AG376" i="1" s="1"/>
  <c r="AF376" i="1" s="1"/>
  <c r="AI181" i="1"/>
  <c r="AH181" i="1" s="1"/>
  <c r="AG181" i="1" s="1"/>
  <c r="AF181" i="1" s="1"/>
  <c r="AI300" i="1"/>
  <c r="AH300" i="1" s="1"/>
  <c r="AG300" i="1" s="1"/>
  <c r="AF300" i="1" s="1"/>
  <c r="AI211" i="1"/>
  <c r="AH211" i="1" s="1"/>
  <c r="AG211" i="1" s="1"/>
  <c r="AF211" i="1" s="1"/>
  <c r="AI255" i="1"/>
  <c r="AH255" i="1" s="1"/>
  <c r="AG255" i="1" s="1"/>
  <c r="AF255" i="1" s="1"/>
  <c r="AI167" i="1"/>
  <c r="AH167" i="1" s="1"/>
  <c r="AG167" i="1" s="1"/>
  <c r="AF167" i="1" s="1"/>
  <c r="AI67" i="1"/>
  <c r="AH67" i="1" s="1"/>
  <c r="AG67" i="1" s="1"/>
  <c r="AF67" i="1" s="1"/>
  <c r="AI149" i="1"/>
  <c r="AH149" i="1" s="1"/>
  <c r="AG149" i="1" s="1"/>
  <c r="AF149" i="1" s="1"/>
  <c r="AI188" i="1"/>
  <c r="AH188" i="1" s="1"/>
  <c r="AG188" i="1" s="1"/>
  <c r="AF188" i="1" s="1"/>
  <c r="AI252" i="1"/>
  <c r="AH252" i="1" s="1"/>
  <c r="AG252" i="1" s="1"/>
  <c r="AF252" i="1" s="1"/>
  <c r="AI296" i="1"/>
  <c r="AH296" i="1" s="1"/>
  <c r="AG296" i="1" s="1"/>
  <c r="AF296" i="1" s="1"/>
  <c r="AI337" i="1"/>
  <c r="AH337" i="1" s="1"/>
  <c r="AG337" i="1" s="1"/>
  <c r="AF337" i="1" s="1"/>
  <c r="AI28" i="1"/>
  <c r="AH28" i="1" s="1"/>
  <c r="AG28" i="1" s="1"/>
  <c r="AF28" i="1" s="1"/>
  <c r="AI240" i="1"/>
  <c r="AI86" i="1"/>
  <c r="AH86" i="1" s="1"/>
  <c r="AG86" i="1" s="1"/>
  <c r="AF86" i="1" s="1"/>
  <c r="AI272" i="1"/>
  <c r="AH272" i="1" s="1"/>
  <c r="AG272" i="1" s="1"/>
  <c r="AF272" i="1" s="1"/>
  <c r="AI282" i="1"/>
  <c r="AI374" i="1"/>
  <c r="AH374" i="1" s="1"/>
  <c r="AG374" i="1" s="1"/>
  <c r="AF374" i="1" s="1"/>
  <c r="AI369" i="1"/>
  <c r="AH369" i="1" s="1"/>
  <c r="AG369" i="1" s="1"/>
  <c r="AF369" i="1" s="1"/>
  <c r="AI118" i="1"/>
  <c r="AH118" i="1" s="1"/>
  <c r="AG118" i="1" s="1"/>
  <c r="AF118" i="1" s="1"/>
  <c r="AI301" i="1"/>
  <c r="AI239" i="1"/>
  <c r="AH239" i="1" s="1"/>
  <c r="AG239" i="1" s="1"/>
  <c r="AF239" i="1" s="1"/>
  <c r="AI99" i="1"/>
  <c r="AH99" i="1" s="1"/>
  <c r="AG99" i="1" s="1"/>
  <c r="AF99" i="1" s="1"/>
  <c r="AI87" i="1"/>
  <c r="AH87" i="1" s="1"/>
  <c r="AG87" i="1" s="1"/>
  <c r="AF87" i="1" s="1"/>
  <c r="AI261" i="1"/>
  <c r="AH261" i="1" s="1"/>
  <c r="AG261" i="1" s="1"/>
  <c r="AF261" i="1" s="1"/>
  <c r="AI130" i="1"/>
  <c r="AH130" i="1" s="1"/>
  <c r="AG130" i="1" s="1"/>
  <c r="AF130" i="1" s="1"/>
  <c r="AI176" i="1"/>
  <c r="AH176" i="1" s="1"/>
  <c r="AG176" i="1" s="1"/>
  <c r="AF176" i="1" s="1"/>
  <c r="AI311" i="1"/>
  <c r="AH311" i="1" s="1"/>
  <c r="AG311" i="1" s="1"/>
  <c r="AF311" i="1" s="1"/>
  <c r="AI373" i="1"/>
  <c r="AI308" i="1"/>
  <c r="AI344" i="1"/>
  <c r="AI218" i="1"/>
  <c r="AH218" i="1" s="1"/>
  <c r="AG218" i="1" s="1"/>
  <c r="AF218" i="1" s="1"/>
  <c r="AI108" i="1"/>
  <c r="AH108" i="1" s="1"/>
  <c r="AG108" i="1" s="1"/>
  <c r="AF108" i="1" s="1"/>
  <c r="AI237" i="1"/>
  <c r="AH237" i="1" s="1"/>
  <c r="AG237" i="1" s="1"/>
  <c r="AF237" i="1" s="1"/>
  <c r="AI242" i="1"/>
  <c r="U15" i="1"/>
  <c r="U30" i="1"/>
  <c r="T30" i="1" s="1"/>
  <c r="S30" i="1" s="1"/>
  <c r="R30" i="1" s="1"/>
  <c r="U35" i="1"/>
  <c r="T35" i="1" s="1"/>
  <c r="S35" i="1" s="1"/>
  <c r="R35" i="1" s="1"/>
  <c r="U40" i="1"/>
  <c r="T40" i="1" s="1"/>
  <c r="S40" i="1" s="1"/>
  <c r="R40" i="1" s="1"/>
  <c r="U54" i="1"/>
  <c r="T54" i="1" s="1"/>
  <c r="S54" i="1" s="1"/>
  <c r="R54" i="1" s="1"/>
  <c r="U65" i="1"/>
  <c r="T65" i="1" s="1"/>
  <c r="S65" i="1" s="1"/>
  <c r="R65" i="1" s="1"/>
  <c r="U70" i="1"/>
  <c r="T70" i="1" s="1"/>
  <c r="S70" i="1" s="1"/>
  <c r="R70" i="1" s="1"/>
  <c r="U75" i="1"/>
  <c r="T75" i="1" s="1"/>
  <c r="S75" i="1" s="1"/>
  <c r="R75" i="1" s="1"/>
  <c r="U81" i="1"/>
  <c r="T81" i="1" s="1"/>
  <c r="S81" i="1" s="1"/>
  <c r="R81" i="1" s="1"/>
  <c r="U88" i="1"/>
  <c r="T88" i="1" s="1"/>
  <c r="S88" i="1" s="1"/>
  <c r="R88" i="1" s="1"/>
  <c r="U100" i="1"/>
  <c r="T100" i="1" s="1"/>
  <c r="S100" i="1" s="1"/>
  <c r="R100" i="1" s="1"/>
  <c r="U106" i="1"/>
  <c r="T106" i="1" s="1"/>
  <c r="S106" i="1" s="1"/>
  <c r="R106" i="1" s="1"/>
  <c r="U113" i="1"/>
  <c r="T113" i="1" s="1"/>
  <c r="S113" i="1" s="1"/>
  <c r="R113" i="1" s="1"/>
  <c r="U117" i="1"/>
  <c r="T117" i="1" s="1"/>
  <c r="S117" i="1" s="1"/>
  <c r="R117" i="1" s="1"/>
  <c r="U122" i="1"/>
  <c r="T122" i="1" s="1"/>
  <c r="S122" i="1" s="1"/>
  <c r="R122" i="1" s="1"/>
  <c r="U129" i="1"/>
  <c r="T129" i="1" s="1"/>
  <c r="S129" i="1" s="1"/>
  <c r="R129" i="1" s="1"/>
  <c r="U135" i="1"/>
  <c r="T135" i="1" s="1"/>
  <c r="S135" i="1" s="1"/>
  <c r="R135" i="1" s="1"/>
  <c r="U145" i="1"/>
  <c r="T145" i="1" s="1"/>
  <c r="S145" i="1" s="1"/>
  <c r="R145" i="1" s="1"/>
  <c r="U161" i="1"/>
  <c r="T161" i="1" s="1"/>
  <c r="S161" i="1" s="1"/>
  <c r="R161" i="1" s="1"/>
  <c r="U170" i="1"/>
  <c r="T170" i="1" s="1"/>
  <c r="S170" i="1" s="1"/>
  <c r="R170" i="1" s="1"/>
  <c r="U177" i="1"/>
  <c r="T177" i="1" s="1"/>
  <c r="S177" i="1" s="1"/>
  <c r="R177" i="1" s="1"/>
  <c r="U181" i="1"/>
  <c r="T181" i="1" s="1"/>
  <c r="S181" i="1" s="1"/>
  <c r="R181" i="1" s="1"/>
  <c r="U186" i="1"/>
  <c r="T186" i="1" s="1"/>
  <c r="S186" i="1" s="1"/>
  <c r="R186" i="1" s="1"/>
  <c r="U196" i="1"/>
  <c r="T196" i="1" s="1"/>
  <c r="S196" i="1" s="1"/>
  <c r="R196" i="1" s="1"/>
  <c r="U211" i="1"/>
  <c r="T211" i="1" s="1"/>
  <c r="S211" i="1" s="1"/>
  <c r="R211" i="1" s="1"/>
  <c r="AI214" i="1"/>
  <c r="AH214" i="1" s="1"/>
  <c r="AG214" i="1" s="1"/>
  <c r="AF214" i="1" s="1"/>
  <c r="AI279" i="1"/>
  <c r="AH279" i="1" s="1"/>
  <c r="AG279" i="1" s="1"/>
  <c r="AF279" i="1" s="1"/>
  <c r="AI312" i="1"/>
  <c r="AI111" i="1"/>
  <c r="AH111" i="1" s="1"/>
  <c r="AG111" i="1" s="1"/>
  <c r="AF111" i="1" s="1"/>
  <c r="U16" i="1"/>
  <c r="T16" i="1" s="1"/>
  <c r="S16" i="1" s="1"/>
  <c r="R16" i="1" s="1"/>
  <c r="U25" i="1"/>
  <c r="T25" i="1" s="1"/>
  <c r="S25" i="1" s="1"/>
  <c r="R25" i="1" s="1"/>
  <c r="U41" i="1"/>
  <c r="T41" i="1" s="1"/>
  <c r="S41" i="1" s="1"/>
  <c r="R41" i="1" s="1"/>
  <c r="U46" i="1"/>
  <c r="T46" i="1" s="1"/>
  <c r="S46" i="1" s="1"/>
  <c r="R46" i="1" s="1"/>
  <c r="U51" i="1"/>
  <c r="T51" i="1" s="1"/>
  <c r="S51" i="1" s="1"/>
  <c r="R51" i="1" s="1"/>
  <c r="U59" i="1"/>
  <c r="T59" i="1" s="1"/>
  <c r="S59" i="1" s="1"/>
  <c r="R59" i="1" s="1"/>
  <c r="U64" i="1"/>
  <c r="T64" i="1" s="1"/>
  <c r="S64" i="1" s="1"/>
  <c r="R64" i="1" s="1"/>
  <c r="U80" i="1"/>
  <c r="T80" i="1" s="1"/>
  <c r="S80" i="1" s="1"/>
  <c r="R80" i="1" s="1"/>
  <c r="U89" i="1"/>
  <c r="T89" i="1" s="1"/>
  <c r="S89" i="1" s="1"/>
  <c r="R89" i="1" s="1"/>
  <c r="U94" i="1"/>
  <c r="T94" i="1" s="1"/>
  <c r="S94" i="1" s="1"/>
  <c r="R94" i="1" s="1"/>
  <c r="U101" i="1"/>
  <c r="T101" i="1" s="1"/>
  <c r="S101" i="1" s="1"/>
  <c r="R101" i="1" s="1"/>
  <c r="U111" i="1"/>
  <c r="T111" i="1" s="1"/>
  <c r="S111" i="1" s="1"/>
  <c r="R111" i="1" s="1"/>
  <c r="U128" i="1"/>
  <c r="T128" i="1" s="1"/>
  <c r="S128" i="1" s="1"/>
  <c r="R128" i="1" s="1"/>
  <c r="U139" i="1"/>
  <c r="T139" i="1" s="1"/>
  <c r="S139" i="1" s="1"/>
  <c r="R139" i="1" s="1"/>
  <c r="U144" i="1"/>
  <c r="T144" i="1" s="1"/>
  <c r="S144" i="1" s="1"/>
  <c r="R144" i="1" s="1"/>
  <c r="U152" i="1"/>
  <c r="T152" i="1" s="1"/>
  <c r="S152" i="1" s="1"/>
  <c r="R152" i="1" s="1"/>
  <c r="U156" i="1"/>
  <c r="T156" i="1" s="1"/>
  <c r="S156" i="1" s="1"/>
  <c r="R156" i="1" s="1"/>
  <c r="U160" i="1"/>
  <c r="T160" i="1" s="1"/>
  <c r="S160" i="1" s="1"/>
  <c r="R160" i="1" s="1"/>
  <c r="U166" i="1"/>
  <c r="T166" i="1" s="1"/>
  <c r="S166" i="1" s="1"/>
  <c r="R166" i="1" s="1"/>
  <c r="U175" i="1"/>
  <c r="T175" i="1" s="1"/>
  <c r="S175" i="1" s="1"/>
  <c r="R175" i="1" s="1"/>
  <c r="U190" i="1"/>
  <c r="T190" i="1" s="1"/>
  <c r="S190" i="1" s="1"/>
  <c r="R190" i="1" s="1"/>
  <c r="U197" i="1"/>
  <c r="T197" i="1" s="1"/>
  <c r="S197" i="1" s="1"/>
  <c r="R197" i="1" s="1"/>
  <c r="U202" i="1"/>
  <c r="T202" i="1" s="1"/>
  <c r="S202" i="1" s="1"/>
  <c r="R202" i="1" s="1"/>
  <c r="U206" i="1"/>
  <c r="T206" i="1" s="1"/>
  <c r="S206" i="1" s="1"/>
  <c r="R206" i="1" s="1"/>
  <c r="U216" i="1"/>
  <c r="T216" i="1" s="1"/>
  <c r="S216" i="1" s="1"/>
  <c r="R216" i="1" s="1"/>
  <c r="U223" i="1"/>
  <c r="T223" i="1" s="1"/>
  <c r="S223" i="1" s="1"/>
  <c r="R223" i="1" s="1"/>
  <c r="U233" i="1"/>
  <c r="T233" i="1" s="1"/>
  <c r="S233" i="1" s="1"/>
  <c r="R233" i="1" s="1"/>
  <c r="P10" i="15"/>
  <c r="AE11" i="15"/>
  <c r="AI11" i="15"/>
  <c r="L12" i="19"/>
  <c r="AM7" i="15"/>
  <c r="AM11" i="15" s="1"/>
  <c r="E7" i="18"/>
  <c r="E8" i="18"/>
  <c r="K15" i="19" s="1"/>
  <c r="K39" i="19" s="1"/>
  <c r="AI22" i="1"/>
  <c r="AH22" i="1" s="1"/>
  <c r="AG22" i="1" s="1"/>
  <c r="AF22" i="1" s="1"/>
  <c r="AI69" i="1"/>
  <c r="AH69" i="1" s="1"/>
  <c r="AG69" i="1" s="1"/>
  <c r="AF69" i="1" s="1"/>
  <c r="AI92" i="1"/>
  <c r="AH92" i="1" s="1"/>
  <c r="AG92" i="1" s="1"/>
  <c r="AF92" i="1" s="1"/>
  <c r="AI324" i="1"/>
  <c r="AH324" i="1" s="1"/>
  <c r="AG324" i="1" s="1"/>
  <c r="AF324" i="1" s="1"/>
  <c r="AI206" i="1"/>
  <c r="AH206" i="1" s="1"/>
  <c r="AG206" i="1" s="1"/>
  <c r="AF206" i="1" s="1"/>
  <c r="AI257" i="1"/>
  <c r="AH257" i="1" s="1"/>
  <c r="AG257" i="1" s="1"/>
  <c r="AF257" i="1" s="1"/>
  <c r="U34" i="1"/>
  <c r="T34" i="1" s="1"/>
  <c r="S34" i="1" s="1"/>
  <c r="R34" i="1" s="1"/>
  <c r="U69" i="1"/>
  <c r="T69" i="1" s="1"/>
  <c r="S69" i="1" s="1"/>
  <c r="R69" i="1" s="1"/>
  <c r="U99" i="1"/>
  <c r="T99" i="1" s="1"/>
  <c r="S99" i="1" s="1"/>
  <c r="R99" i="1" s="1"/>
  <c r="U120" i="1"/>
  <c r="T120" i="1" s="1"/>
  <c r="S120" i="1" s="1"/>
  <c r="R120" i="1" s="1"/>
  <c r="U149" i="1"/>
  <c r="T149" i="1" s="1"/>
  <c r="S149" i="1" s="1"/>
  <c r="R149" i="1" s="1"/>
  <c r="U185" i="1"/>
  <c r="T185" i="1" s="1"/>
  <c r="S185" i="1" s="1"/>
  <c r="R185" i="1" s="1"/>
  <c r="AI64" i="1"/>
  <c r="AH64" i="1" s="1"/>
  <c r="AG64" i="1" s="1"/>
  <c r="AF64" i="1" s="1"/>
  <c r="U24" i="1"/>
  <c r="T24" i="1" s="1"/>
  <c r="S24" i="1" s="1"/>
  <c r="R24" i="1" s="1"/>
  <c r="U56" i="1"/>
  <c r="T56" i="1" s="1"/>
  <c r="S56" i="1" s="1"/>
  <c r="R56" i="1" s="1"/>
  <c r="U93" i="1"/>
  <c r="T93" i="1" s="1"/>
  <c r="S93" i="1" s="1"/>
  <c r="R93" i="1" s="1"/>
  <c r="U136" i="1"/>
  <c r="T136" i="1" s="1"/>
  <c r="S136" i="1" s="1"/>
  <c r="R136" i="1" s="1"/>
  <c r="U159" i="1"/>
  <c r="T159" i="1" s="1"/>
  <c r="S159" i="1" s="1"/>
  <c r="R159" i="1" s="1"/>
  <c r="U195" i="1"/>
  <c r="T195" i="1" s="1"/>
  <c r="S195" i="1" s="1"/>
  <c r="R195" i="1" s="1"/>
  <c r="U219" i="1"/>
  <c r="T219" i="1" s="1"/>
  <c r="S219" i="1" s="1"/>
  <c r="R219" i="1" s="1"/>
  <c r="AI291" i="1"/>
  <c r="AI298" i="1"/>
  <c r="AI322" i="1"/>
  <c r="U37" i="1"/>
  <c r="T37" i="1" s="1"/>
  <c r="S37" i="1" s="1"/>
  <c r="R37" i="1" s="1"/>
  <c r="U102" i="1"/>
  <c r="T102" i="1" s="1"/>
  <c r="S102" i="1" s="1"/>
  <c r="R102" i="1" s="1"/>
  <c r="U165" i="1"/>
  <c r="T165" i="1" s="1"/>
  <c r="S165" i="1" s="1"/>
  <c r="R165" i="1" s="1"/>
  <c r="AI38" i="1"/>
  <c r="AH38" i="1" s="1"/>
  <c r="AG38" i="1" s="1"/>
  <c r="AF38" i="1" s="1"/>
  <c r="U60" i="1"/>
  <c r="T60" i="1" s="1"/>
  <c r="S60" i="1" s="1"/>
  <c r="R60" i="1" s="1"/>
  <c r="U141" i="1"/>
  <c r="T141" i="1" s="1"/>
  <c r="S141" i="1" s="1"/>
  <c r="R141" i="1" s="1"/>
  <c r="U198" i="1"/>
  <c r="T198" i="1" s="1"/>
  <c r="S198" i="1" s="1"/>
  <c r="U243" i="1"/>
  <c r="T243" i="1" s="1"/>
  <c r="S243" i="1" s="1"/>
  <c r="R243" i="1" s="1"/>
  <c r="U255" i="1"/>
  <c r="T255" i="1" s="1"/>
  <c r="S255" i="1" s="1"/>
  <c r="R255" i="1" s="1"/>
  <c r="U264" i="1"/>
  <c r="T264" i="1" s="1"/>
  <c r="S264" i="1" s="1"/>
  <c r="R264" i="1" s="1"/>
  <c r="U275" i="1"/>
  <c r="T275" i="1" s="1"/>
  <c r="S275" i="1" s="1"/>
  <c r="R275" i="1" s="1"/>
  <c r="U288" i="1"/>
  <c r="T288" i="1" s="1"/>
  <c r="S288" i="1" s="1"/>
  <c r="R288" i="1" s="1"/>
  <c r="U295" i="1"/>
  <c r="T295" i="1" s="1"/>
  <c r="S295" i="1" s="1"/>
  <c r="R295" i="1" s="1"/>
  <c r="U315" i="1"/>
  <c r="T315" i="1" s="1"/>
  <c r="S315" i="1" s="1"/>
  <c r="R315" i="1" s="1"/>
  <c r="U331" i="1"/>
  <c r="T331" i="1" s="1"/>
  <c r="S331" i="1" s="1"/>
  <c r="R331" i="1" s="1"/>
  <c r="U344" i="1"/>
  <c r="T344" i="1" s="1"/>
  <c r="S344" i="1" s="1"/>
  <c r="R344" i="1" s="1"/>
  <c r="U358" i="1"/>
  <c r="T358" i="1" s="1"/>
  <c r="S358" i="1" s="1"/>
  <c r="R358" i="1" s="1"/>
  <c r="U375" i="1"/>
  <c r="T375" i="1" s="1"/>
  <c r="S375" i="1" s="1"/>
  <c r="R375" i="1" s="1"/>
  <c r="AI297" i="1"/>
  <c r="AH297" i="1" s="1"/>
  <c r="AG297" i="1" s="1"/>
  <c r="AF297" i="1" s="1"/>
  <c r="AI171" i="1"/>
  <c r="AH171" i="1" s="1"/>
  <c r="AG171" i="1" s="1"/>
  <c r="AF171" i="1" s="1"/>
  <c r="AI169" i="1"/>
  <c r="AH169" i="1" s="1"/>
  <c r="AG169" i="1" s="1"/>
  <c r="AF169" i="1" s="1"/>
  <c r="AI72" i="1"/>
  <c r="AH72" i="1" s="1"/>
  <c r="AG72" i="1" s="1"/>
  <c r="AF72" i="1" s="1"/>
  <c r="AI269" i="1"/>
  <c r="AH269" i="1" s="1"/>
  <c r="AG269" i="1" s="1"/>
  <c r="AF269" i="1" s="1"/>
  <c r="AI70" i="1"/>
  <c r="AH70" i="1" s="1"/>
  <c r="AG70" i="1" s="1"/>
  <c r="AF70" i="1" s="1"/>
  <c r="AI309" i="1"/>
  <c r="AH309" i="1" s="1"/>
  <c r="AG309" i="1" s="1"/>
  <c r="AF309" i="1" s="1"/>
  <c r="AI207" i="1"/>
  <c r="AI90" i="1"/>
  <c r="AH90" i="1" s="1"/>
  <c r="AG90" i="1" s="1"/>
  <c r="AF90" i="1" s="1"/>
  <c r="AI151" i="1"/>
  <c r="AH151" i="1" s="1"/>
  <c r="AG151" i="1" s="1"/>
  <c r="AF151" i="1" s="1"/>
  <c r="AI58" i="1"/>
  <c r="AH58" i="1" s="1"/>
  <c r="AG58" i="1" s="1"/>
  <c r="AF58" i="1" s="1"/>
  <c r="AI89" i="1"/>
  <c r="AH89" i="1" s="1"/>
  <c r="AG89" i="1" s="1"/>
  <c r="AF89" i="1" s="1"/>
  <c r="AI192" i="1"/>
  <c r="AH192" i="1" s="1"/>
  <c r="AG192" i="1" s="1"/>
  <c r="AF192" i="1" s="1"/>
  <c r="AI334" i="1"/>
  <c r="AH334" i="1" s="1"/>
  <c r="AG334" i="1" s="1"/>
  <c r="AF334" i="1" s="1"/>
  <c r="AI148" i="1"/>
  <c r="AH148" i="1" s="1"/>
  <c r="AG148" i="1" s="1"/>
  <c r="AF148" i="1" s="1"/>
  <c r="AI350" i="1"/>
  <c r="AH350" i="1" s="1"/>
  <c r="AG350" i="1" s="1"/>
  <c r="AF350" i="1" s="1"/>
  <c r="AI134" i="1"/>
  <c r="AH134" i="1" s="1"/>
  <c r="AG134" i="1" s="1"/>
  <c r="AF134" i="1" s="1"/>
  <c r="AI341" i="1"/>
  <c r="AH341" i="1" s="1"/>
  <c r="AG341" i="1" s="1"/>
  <c r="AF341" i="1" s="1"/>
  <c r="AI152" i="1"/>
  <c r="AH152" i="1" s="1"/>
  <c r="AG152" i="1" s="1"/>
  <c r="AF152" i="1" s="1"/>
  <c r="AI290" i="1"/>
  <c r="AH290" i="1" s="1"/>
  <c r="AG290" i="1" s="1"/>
  <c r="AF290" i="1" s="1"/>
  <c r="AI97" i="1"/>
  <c r="AH97" i="1" s="1"/>
  <c r="AG97" i="1" s="1"/>
  <c r="AF97" i="1" s="1"/>
  <c r="AI256" i="1"/>
  <c r="AH256" i="1" s="1"/>
  <c r="AG256" i="1" s="1"/>
  <c r="AF256" i="1" s="1"/>
  <c r="AI138" i="1"/>
  <c r="AH138" i="1" s="1"/>
  <c r="AG138" i="1" s="1"/>
  <c r="AF138" i="1" s="1"/>
  <c r="AI123" i="1"/>
  <c r="AH123" i="1" s="1"/>
  <c r="AG123" i="1" s="1"/>
  <c r="AF123" i="1" s="1"/>
  <c r="AI165" i="1"/>
  <c r="AH165" i="1" s="1"/>
  <c r="AG165" i="1" s="1"/>
  <c r="AF165" i="1" s="1"/>
  <c r="AI355" i="1"/>
  <c r="AH355" i="1" s="1"/>
  <c r="AG355" i="1" s="1"/>
  <c r="AF355" i="1" s="1"/>
  <c r="AI190" i="1"/>
  <c r="AH190" i="1" s="1"/>
  <c r="AG190" i="1" s="1"/>
  <c r="AF190" i="1" s="1"/>
  <c r="AI160" i="1"/>
  <c r="AH160" i="1" s="1"/>
  <c r="AG160" i="1" s="1"/>
  <c r="AF160" i="1" s="1"/>
  <c r="AI77" i="1"/>
  <c r="AH77" i="1" s="1"/>
  <c r="AG77" i="1" s="1"/>
  <c r="AF77" i="1" s="1"/>
  <c r="AI105" i="1"/>
  <c r="AH105" i="1" s="1"/>
  <c r="AG105" i="1" s="1"/>
  <c r="AF105" i="1" s="1"/>
  <c r="AI132" i="1"/>
  <c r="AH132" i="1" s="1"/>
  <c r="AG132" i="1" s="1"/>
  <c r="AF132" i="1" s="1"/>
  <c r="AI46" i="1"/>
  <c r="AH46" i="1" s="1"/>
  <c r="AG46" i="1" s="1"/>
  <c r="AF46" i="1" s="1"/>
  <c r="U28" i="1"/>
  <c r="T28" i="1" s="1"/>
  <c r="S28" i="1" s="1"/>
  <c r="R28" i="1" s="1"/>
  <c r="U38" i="1"/>
  <c r="T38" i="1" s="1"/>
  <c r="S38" i="1" s="1"/>
  <c r="R38" i="1" s="1"/>
  <c r="U58" i="1"/>
  <c r="T58" i="1" s="1"/>
  <c r="S58" i="1" s="1"/>
  <c r="R58" i="1" s="1"/>
  <c r="U72" i="1"/>
  <c r="T72" i="1" s="1"/>
  <c r="S72" i="1" s="1"/>
  <c r="R72" i="1" s="1"/>
  <c r="U85" i="1"/>
  <c r="T85" i="1" s="1"/>
  <c r="S85" i="1" s="1"/>
  <c r="R85" i="1" s="1"/>
  <c r="U103" i="1"/>
  <c r="T103" i="1" s="1"/>
  <c r="S103" i="1" s="1"/>
  <c r="R103" i="1" s="1"/>
  <c r="U115" i="1"/>
  <c r="T115" i="1" s="1"/>
  <c r="S115" i="1" s="1"/>
  <c r="R115" i="1" s="1"/>
  <c r="U126" i="1"/>
  <c r="T126" i="1" s="1"/>
  <c r="S126" i="1" s="1"/>
  <c r="R126" i="1" s="1"/>
  <c r="U138" i="1"/>
  <c r="T138" i="1" s="1"/>
  <c r="S138" i="1" s="1"/>
  <c r="R138" i="1" s="1"/>
  <c r="U167" i="1"/>
  <c r="T167" i="1" s="1"/>
  <c r="S167" i="1" s="1"/>
  <c r="R167" i="1" s="1"/>
  <c r="U179" i="1"/>
  <c r="T179" i="1" s="1"/>
  <c r="S179" i="1" s="1"/>
  <c r="R179" i="1" s="1"/>
  <c r="U191" i="1"/>
  <c r="T191" i="1" s="1"/>
  <c r="S191" i="1" s="1"/>
  <c r="R191" i="1" s="1"/>
  <c r="U215" i="1"/>
  <c r="T215" i="1" s="1"/>
  <c r="S215" i="1" s="1"/>
  <c r="R215" i="1" s="1"/>
  <c r="AI78" i="1"/>
  <c r="AH78" i="1" s="1"/>
  <c r="AG78" i="1" s="1"/>
  <c r="AF78" i="1" s="1"/>
  <c r="U19" i="1"/>
  <c r="T19" i="1" s="1"/>
  <c r="S19" i="1" s="1"/>
  <c r="R19" i="1" s="1"/>
  <c r="U33" i="1"/>
  <c r="T33" i="1" s="1"/>
  <c r="S33" i="1" s="1"/>
  <c r="R33" i="1" s="1"/>
  <c r="U49" i="1"/>
  <c r="T49" i="1" s="1"/>
  <c r="S49" i="1" s="1"/>
  <c r="R49" i="1" s="1"/>
  <c r="U61" i="1"/>
  <c r="T61" i="1" s="1"/>
  <c r="U84" i="1"/>
  <c r="T84" i="1" s="1"/>
  <c r="S84" i="1" s="1"/>
  <c r="R84" i="1" s="1"/>
  <c r="U97" i="1"/>
  <c r="T97" i="1" s="1"/>
  <c r="S97" i="1" s="1"/>
  <c r="R97" i="1" s="1"/>
  <c r="U124" i="1"/>
  <c r="T124" i="1" s="1"/>
  <c r="S124" i="1" s="1"/>
  <c r="R124" i="1" s="1"/>
  <c r="U142" i="1"/>
  <c r="T142" i="1" s="1"/>
  <c r="S142" i="1" s="1"/>
  <c r="R142" i="1" s="1"/>
  <c r="U154" i="1"/>
  <c r="T154" i="1" s="1"/>
  <c r="S154" i="1" s="1"/>
  <c r="R154" i="1" s="1"/>
  <c r="U163" i="1"/>
  <c r="T163" i="1" s="1"/>
  <c r="S163" i="1" s="1"/>
  <c r="R163" i="1" s="1"/>
  <c r="U187" i="1"/>
  <c r="T187" i="1" s="1"/>
  <c r="S187" i="1" s="1"/>
  <c r="R187" i="1" s="1"/>
  <c r="U199" i="1"/>
  <c r="T199" i="1" s="1"/>
  <c r="S199" i="1" s="1"/>
  <c r="R199" i="1" s="1"/>
  <c r="U209" i="1"/>
  <c r="T209" i="1" s="1"/>
  <c r="S209" i="1" s="1"/>
  <c r="R209" i="1" s="1"/>
  <c r="U226" i="1"/>
  <c r="T226" i="1" s="1"/>
  <c r="S226" i="1" s="1"/>
  <c r="R226" i="1" s="1"/>
  <c r="AI93" i="1"/>
  <c r="AH93" i="1" s="1"/>
  <c r="AG93" i="1" s="1"/>
  <c r="AF93" i="1" s="1"/>
  <c r="AI163" i="1"/>
  <c r="AH163" i="1" s="1"/>
  <c r="AG163" i="1" s="1"/>
  <c r="AF163" i="1" s="1"/>
  <c r="AI31" i="1"/>
  <c r="AH31" i="1" s="1"/>
  <c r="AG31" i="1" s="1"/>
  <c r="AF31" i="1" s="1"/>
  <c r="AI271" i="1"/>
  <c r="AH271" i="1" s="1"/>
  <c r="AG271" i="1" s="1"/>
  <c r="AF271" i="1" s="1"/>
  <c r="AI325" i="1"/>
  <c r="AH325" i="1" s="1"/>
  <c r="AG325" i="1" s="1"/>
  <c r="AF325" i="1" s="1"/>
  <c r="AI121" i="1"/>
  <c r="AH121" i="1" s="1"/>
  <c r="AG121" i="1" s="1"/>
  <c r="AF121" i="1" s="1"/>
  <c r="AI258" i="1"/>
  <c r="AI193" i="1"/>
  <c r="AH193" i="1" s="1"/>
  <c r="AG193" i="1" s="1"/>
  <c r="AF193" i="1" s="1"/>
  <c r="AI194" i="1"/>
  <c r="AH194" i="1" s="1"/>
  <c r="AG194" i="1" s="1"/>
  <c r="AF194" i="1" s="1"/>
  <c r="AI209" i="1"/>
  <c r="AH209" i="1" s="1"/>
  <c r="AG209" i="1" s="1"/>
  <c r="AI79" i="1"/>
  <c r="AH79" i="1" s="1"/>
  <c r="AG79" i="1" s="1"/>
  <c r="AF79" i="1" s="1"/>
  <c r="U346" i="1"/>
  <c r="T346" i="1" s="1"/>
  <c r="S346" i="1" s="1"/>
  <c r="R346" i="1" s="1"/>
  <c r="U312" i="1"/>
  <c r="U284" i="1"/>
  <c r="U245" i="1"/>
  <c r="T245" i="1" s="1"/>
  <c r="S245" i="1" s="1"/>
  <c r="R245" i="1" s="1"/>
  <c r="U376" i="1"/>
  <c r="T376" i="1" s="1"/>
  <c r="S376" i="1" s="1"/>
  <c r="R376" i="1" s="1"/>
  <c r="U316" i="1"/>
  <c r="T316" i="1" s="1"/>
  <c r="S316" i="1" s="1"/>
  <c r="R316" i="1" s="1"/>
  <c r="U214" i="1"/>
  <c r="T214" i="1" s="1"/>
  <c r="S214" i="1" s="1"/>
  <c r="R214" i="1" s="1"/>
  <c r="U182" i="1"/>
  <c r="T182" i="1" s="1"/>
  <c r="S182" i="1" s="1"/>
  <c r="R182" i="1" s="1"/>
  <c r="AI336" i="1"/>
  <c r="AH336" i="1" s="1"/>
  <c r="AG336" i="1" s="1"/>
  <c r="AF336" i="1" s="1"/>
  <c r="AI246" i="1"/>
  <c r="AI189" i="1"/>
  <c r="AH189" i="1" s="1"/>
  <c r="AG189" i="1" s="1"/>
  <c r="AF189" i="1" s="1"/>
  <c r="AI106" i="1"/>
  <c r="AH106" i="1" s="1"/>
  <c r="AG106" i="1" s="1"/>
  <c r="AF106" i="1" s="1"/>
  <c r="AI71" i="1"/>
  <c r="AH71" i="1" s="1"/>
  <c r="AG71" i="1" s="1"/>
  <c r="AF71" i="1" s="1"/>
  <c r="AI203" i="1"/>
  <c r="AH203" i="1" s="1"/>
  <c r="AG203" i="1" s="1"/>
  <c r="AF203" i="1" s="1"/>
  <c r="AI112" i="1"/>
  <c r="AH112" i="1" s="1"/>
  <c r="AG112" i="1" s="1"/>
  <c r="AF112" i="1" s="1"/>
  <c r="AI316" i="1"/>
  <c r="AI331" i="1"/>
  <c r="AI73" i="1"/>
  <c r="AH73" i="1" s="1"/>
  <c r="AG73" i="1" s="1"/>
  <c r="AF73" i="1" s="1"/>
  <c r="AI225" i="1"/>
  <c r="AH225" i="1" s="1"/>
  <c r="AG225" i="1" s="1"/>
  <c r="AF225" i="1" s="1"/>
  <c r="U372" i="1"/>
  <c r="T372" i="1" s="1"/>
  <c r="S372" i="1" s="1"/>
  <c r="R372" i="1" s="1"/>
  <c r="U337" i="1"/>
  <c r="T337" i="1" s="1"/>
  <c r="S337" i="1" s="1"/>
  <c r="R337" i="1" s="1"/>
  <c r="U308" i="1"/>
  <c r="U277" i="1"/>
  <c r="U240" i="1"/>
  <c r="T240" i="1" s="1"/>
  <c r="S240" i="1" s="1"/>
  <c r="R240" i="1" s="1"/>
  <c r="U359" i="1"/>
  <c r="T359" i="1" s="1"/>
  <c r="S359" i="1" s="1"/>
  <c r="R359" i="1" s="1"/>
  <c r="U290" i="1"/>
  <c r="T290" i="1" s="1"/>
  <c r="S290" i="1" s="1"/>
  <c r="R290" i="1" s="1"/>
  <c r="U157" i="1"/>
  <c r="T157" i="1" s="1"/>
  <c r="S157" i="1" s="1"/>
  <c r="R157" i="1" s="1"/>
  <c r="U118" i="1"/>
  <c r="T118" i="1" s="1"/>
  <c r="S118" i="1" s="1"/>
  <c r="R118" i="1" s="1"/>
  <c r="AI305" i="1"/>
  <c r="AH305" i="1" s="1"/>
  <c r="AG305" i="1" s="1"/>
  <c r="AF305" i="1" s="1"/>
  <c r="AI154" i="1"/>
  <c r="AH154" i="1" s="1"/>
  <c r="AG154" i="1" s="1"/>
  <c r="AF154" i="1" s="1"/>
  <c r="AI76" i="1"/>
  <c r="AH76" i="1" s="1"/>
  <c r="AG76" i="1" s="1"/>
  <c r="AF76" i="1" s="1"/>
  <c r="AI284" i="1"/>
  <c r="AH284" i="1" s="1"/>
  <c r="AG284" i="1" s="1"/>
  <c r="AF284" i="1" s="1"/>
  <c r="AI283" i="1"/>
  <c r="AI310" i="1"/>
  <c r="AI84" i="1"/>
  <c r="AH84" i="1" s="1"/>
  <c r="AG84" i="1" s="1"/>
  <c r="AF84" i="1" s="1"/>
  <c r="AI68" i="1"/>
  <c r="AH68" i="1" s="1"/>
  <c r="AG68" i="1" s="1"/>
  <c r="AF68" i="1" s="1"/>
  <c r="AI187" i="1"/>
  <c r="AH187" i="1" s="1"/>
  <c r="AG187" i="1" s="1"/>
  <c r="AF187" i="1" s="1"/>
  <c r="AI360" i="1"/>
  <c r="AH360" i="1" s="1"/>
  <c r="AG360" i="1" s="1"/>
  <c r="AF360" i="1" s="1"/>
  <c r="AI147" i="1"/>
  <c r="AH147" i="1" s="1"/>
  <c r="AG147" i="1" s="1"/>
  <c r="AF147" i="1" s="1"/>
  <c r="U22" i="1"/>
  <c r="T22" i="1" s="1"/>
  <c r="S22" i="1" s="1"/>
  <c r="R22" i="1" s="1"/>
  <c r="AI286" i="1"/>
  <c r="AI267" i="1"/>
  <c r="AH267" i="1" s="1"/>
  <c r="AG267" i="1" s="1"/>
  <c r="AF267" i="1" s="1"/>
  <c r="AI24" i="1"/>
  <c r="AH24" i="1" s="1"/>
  <c r="AG24" i="1" s="1"/>
  <c r="AF24" i="1" s="1"/>
  <c r="AI65" i="1"/>
  <c r="AH65" i="1" s="1"/>
  <c r="AG65" i="1" s="1"/>
  <c r="AF65" i="1" s="1"/>
  <c r="AI101" i="1"/>
  <c r="AH101" i="1" s="1"/>
  <c r="AG101" i="1" s="1"/>
  <c r="AF101" i="1" s="1"/>
  <c r="AI48" i="1"/>
  <c r="AH48" i="1" s="1"/>
  <c r="AG48" i="1" s="1"/>
  <c r="AF48" i="1" s="1"/>
  <c r="AI236" i="1"/>
  <c r="AH236" i="1" s="1"/>
  <c r="AG236" i="1" s="1"/>
  <c r="AF236" i="1" s="1"/>
  <c r="AI254" i="1"/>
  <c r="AH254" i="1" s="1"/>
  <c r="AG254" i="1" s="1"/>
  <c r="AF254" i="1" s="1"/>
  <c r="AI61" i="1"/>
  <c r="AH61" i="1" s="1"/>
  <c r="AG61" i="1" s="1"/>
  <c r="AF61" i="1" s="1"/>
  <c r="AI33" i="1"/>
  <c r="AH33" i="1" s="1"/>
  <c r="AG33" i="1" s="1"/>
  <c r="AF33" i="1" s="1"/>
  <c r="U368" i="1"/>
  <c r="T368" i="1" s="1"/>
  <c r="S368" i="1" s="1"/>
  <c r="R368" i="1" s="1"/>
  <c r="U350" i="1"/>
  <c r="T350" i="1" s="1"/>
  <c r="S350" i="1" s="1"/>
  <c r="R350" i="1" s="1"/>
  <c r="U334" i="1"/>
  <c r="T334" i="1" s="1"/>
  <c r="S334" i="1" s="1"/>
  <c r="R334" i="1" s="1"/>
  <c r="U320" i="1"/>
  <c r="U305" i="1"/>
  <c r="U287" i="1"/>
  <c r="U270" i="1"/>
  <c r="T270" i="1" s="1"/>
  <c r="S270" i="1" s="1"/>
  <c r="R270" i="1" s="1"/>
  <c r="U252" i="1"/>
  <c r="T252" i="1" s="1"/>
  <c r="S252" i="1" s="1"/>
  <c r="R252" i="1" s="1"/>
  <c r="U236" i="1"/>
  <c r="U218" i="1"/>
  <c r="T218" i="1" s="1"/>
  <c r="S218" i="1" s="1"/>
  <c r="R218" i="1" s="1"/>
  <c r="U354" i="1"/>
  <c r="T354" i="1" s="1"/>
  <c r="S354" i="1" s="1"/>
  <c r="R354" i="1" s="1"/>
  <c r="U321" i="1"/>
  <c r="T321" i="1" s="1"/>
  <c r="S321" i="1" s="1"/>
  <c r="R321" i="1" s="1"/>
  <c r="U276" i="1"/>
  <c r="T276" i="1" s="1"/>
  <c r="S276" i="1" s="1"/>
  <c r="R276" i="1" s="1"/>
  <c r="U239" i="1"/>
  <c r="T239" i="1" s="1"/>
  <c r="S239" i="1" s="1"/>
  <c r="R239" i="1" s="1"/>
  <c r="U133" i="1"/>
  <c r="T133" i="1" s="1"/>
  <c r="S133" i="1" s="1"/>
  <c r="R133" i="1" s="1"/>
  <c r="AI220" i="1"/>
  <c r="AH220" i="1" s="1"/>
  <c r="AG220" i="1" s="1"/>
  <c r="AF220" i="1" s="1"/>
  <c r="U92" i="1"/>
  <c r="T92" i="1" s="1"/>
  <c r="S92" i="1" s="1"/>
  <c r="R92" i="1" s="1"/>
  <c r="AI50" i="1"/>
  <c r="AH50" i="1" s="1"/>
  <c r="AG50" i="1" s="1"/>
  <c r="AF50" i="1" s="1"/>
  <c r="AI262" i="1"/>
  <c r="AI40" i="1"/>
  <c r="AH40" i="1" s="1"/>
  <c r="AG40" i="1" s="1"/>
  <c r="AF40" i="1" s="1"/>
  <c r="AI109" i="1"/>
  <c r="AH109" i="1" s="1"/>
  <c r="AG109" i="1" s="1"/>
  <c r="AF109" i="1" s="1"/>
  <c r="AI129" i="1"/>
  <c r="AH129" i="1" s="1"/>
  <c r="AG129" i="1" s="1"/>
  <c r="AF129" i="1" s="1"/>
  <c r="AI307" i="1"/>
  <c r="AI299" i="1"/>
  <c r="AI253" i="1"/>
  <c r="AH253" i="1" s="1"/>
  <c r="AG253" i="1" s="1"/>
  <c r="AF253" i="1" s="1"/>
  <c r="AI51" i="1"/>
  <c r="AH51" i="1" s="1"/>
  <c r="AG51" i="1" s="1"/>
  <c r="AF51" i="1" s="1"/>
  <c r="AI19" i="1"/>
  <c r="AH19" i="1" s="1"/>
  <c r="AG19" i="1" s="1"/>
  <c r="AF19" i="1" s="1"/>
  <c r="AI370" i="1"/>
  <c r="AI348" i="1"/>
  <c r="AI222" i="1"/>
  <c r="AI120" i="1"/>
  <c r="AH120" i="1" s="1"/>
  <c r="AG120" i="1" s="1"/>
  <c r="AF120" i="1" s="1"/>
  <c r="AI357" i="1"/>
  <c r="AI29" i="1"/>
  <c r="AH29" i="1" s="1"/>
  <c r="AG29" i="1" s="1"/>
  <c r="AF29" i="1" s="1"/>
  <c r="AI104" i="1"/>
  <c r="AH104" i="1" s="1"/>
  <c r="AG104" i="1" s="1"/>
  <c r="AF104" i="1" s="1"/>
  <c r="AI200" i="1"/>
  <c r="AH200" i="1" s="1"/>
  <c r="AG200" i="1" s="1"/>
  <c r="AF200" i="1" s="1"/>
  <c r="AI157" i="1"/>
  <c r="AH157" i="1" s="1"/>
  <c r="AG157" i="1" s="1"/>
  <c r="AF157" i="1" s="1"/>
  <c r="AI54" i="1"/>
  <c r="AH54" i="1" s="1"/>
  <c r="AG54" i="1" s="1"/>
  <c r="AF54" i="1" s="1"/>
  <c r="AI335" i="1"/>
  <c r="AH335" i="1" s="1"/>
  <c r="AG335" i="1" s="1"/>
  <c r="AF335" i="1" s="1"/>
  <c r="AI39" i="1"/>
  <c r="AH39" i="1" s="1"/>
  <c r="AG39" i="1" s="1"/>
  <c r="AF39" i="1" s="1"/>
  <c r="AI43" i="1"/>
  <c r="AH43" i="1" s="1"/>
  <c r="AG43" i="1" s="1"/>
  <c r="AF43" i="1" s="1"/>
  <c r="U21" i="1"/>
  <c r="T21" i="1" s="1"/>
  <c r="S21" i="1" s="1"/>
  <c r="R21" i="1" s="1"/>
  <c r="AI139" i="1"/>
  <c r="AH139" i="1" s="1"/>
  <c r="AG139" i="1" s="1"/>
  <c r="AF139" i="1" s="1"/>
  <c r="AI25" i="1"/>
  <c r="AH25" i="1" s="1"/>
  <c r="AG25" i="1" s="1"/>
  <c r="AF25" i="1" s="1"/>
  <c r="AI201" i="1"/>
  <c r="AH201" i="1" s="1"/>
  <c r="AG201" i="1" s="1"/>
  <c r="AF201" i="1" s="1"/>
  <c r="AI172" i="1"/>
  <c r="AH172" i="1" s="1"/>
  <c r="AG172" i="1" s="1"/>
  <c r="AF172" i="1" s="1"/>
  <c r="AI125" i="1"/>
  <c r="AH125" i="1" s="1"/>
  <c r="AG125" i="1" s="1"/>
  <c r="AF125" i="1" s="1"/>
  <c r="AI180" i="1"/>
  <c r="AH180" i="1" s="1"/>
  <c r="AG180" i="1" s="1"/>
  <c r="AF180" i="1" s="1"/>
  <c r="AI327" i="1"/>
  <c r="AI174" i="1"/>
  <c r="AH174" i="1" s="1"/>
  <c r="AG174" i="1" s="1"/>
  <c r="AF174" i="1" s="1"/>
  <c r="AI270" i="1"/>
  <c r="AH270" i="1" s="1"/>
  <c r="AG270" i="1" s="1"/>
  <c r="AF270" i="1" s="1"/>
  <c r="AI115" i="1"/>
  <c r="AH115" i="1" s="1"/>
  <c r="AG115" i="1" s="1"/>
  <c r="AF115" i="1" s="1"/>
  <c r="AI150" i="1"/>
  <c r="AH150" i="1" s="1"/>
  <c r="AG150" i="1" s="1"/>
  <c r="AF150" i="1" s="1"/>
  <c r="AI52" i="1"/>
  <c r="AH52" i="1" s="1"/>
  <c r="AG52" i="1" s="1"/>
  <c r="AF52" i="1" s="1"/>
  <c r="AI49" i="1"/>
  <c r="AH49" i="1" s="1"/>
  <c r="AG49" i="1" s="1"/>
  <c r="AF49" i="1" s="1"/>
  <c r="AI332" i="1"/>
  <c r="AH332" i="1" s="1"/>
  <c r="AG332" i="1" s="1"/>
  <c r="AF332" i="1" s="1"/>
  <c r="AI265" i="1"/>
  <c r="AH265" i="1" s="1"/>
  <c r="AG265" i="1" s="1"/>
  <c r="AF265" i="1" s="1"/>
  <c r="AI278" i="1"/>
  <c r="AH278" i="1" s="1"/>
  <c r="AG278" i="1" s="1"/>
  <c r="AF278" i="1" s="1"/>
  <c r="AI35" i="1"/>
  <c r="AH35" i="1" s="1"/>
  <c r="AG35" i="1" s="1"/>
  <c r="AF35" i="1" s="1"/>
  <c r="AI182" i="1"/>
  <c r="AH182" i="1" s="1"/>
  <c r="AG182" i="1" s="1"/>
  <c r="AF182" i="1" s="1"/>
  <c r="AI30" i="1"/>
  <c r="AH30" i="1" s="1"/>
  <c r="AG30" i="1" s="1"/>
  <c r="AF30" i="1" s="1"/>
  <c r="AI175" i="1"/>
  <c r="AH175" i="1" s="1"/>
  <c r="AG175" i="1" s="1"/>
  <c r="AF175" i="1" s="1"/>
  <c r="AI110" i="1"/>
  <c r="AH110" i="1" s="1"/>
  <c r="AG110" i="1" s="1"/>
  <c r="AF110" i="1" s="1"/>
  <c r="U369" i="1"/>
  <c r="T369" i="1" s="1"/>
  <c r="S369" i="1" s="1"/>
  <c r="R369" i="1" s="1"/>
  <c r="U363" i="1"/>
  <c r="T363" i="1" s="1"/>
  <c r="S363" i="1" s="1"/>
  <c r="R363" i="1" s="1"/>
  <c r="U351" i="1"/>
  <c r="T351" i="1" s="1"/>
  <c r="S351" i="1" s="1"/>
  <c r="R351" i="1" s="1"/>
  <c r="U345" i="1"/>
  <c r="T345" i="1" s="1"/>
  <c r="S345" i="1" s="1"/>
  <c r="R345" i="1" s="1"/>
  <c r="U336" i="1"/>
  <c r="T336" i="1" s="1"/>
  <c r="S336" i="1" s="1"/>
  <c r="R336" i="1" s="1"/>
  <c r="U327" i="1"/>
  <c r="T327" i="1" s="1"/>
  <c r="S327" i="1" s="1"/>
  <c r="R327" i="1" s="1"/>
  <c r="U322" i="1"/>
  <c r="U311" i="1"/>
  <c r="U307" i="1"/>
  <c r="U301" i="1"/>
  <c r="U289" i="1"/>
  <c r="U283" i="1"/>
  <c r="T283" i="1" s="1"/>
  <c r="S283" i="1" s="1"/>
  <c r="R283" i="1" s="1"/>
  <c r="U274" i="1"/>
  <c r="T274" i="1" s="1"/>
  <c r="S274" i="1" s="1"/>
  <c r="R274" i="1" s="1"/>
  <c r="U265" i="1"/>
  <c r="T265" i="1" s="1"/>
  <c r="S265" i="1" s="1"/>
  <c r="R265" i="1" s="1"/>
  <c r="U254" i="1"/>
  <c r="T254" i="1" s="1"/>
  <c r="S254" i="1" s="1"/>
  <c r="R254" i="1" s="1"/>
  <c r="U244" i="1"/>
  <c r="T244" i="1" s="1"/>
  <c r="S244" i="1" s="1"/>
  <c r="R244" i="1" s="1"/>
  <c r="U237" i="1"/>
  <c r="T237" i="1" s="1"/>
  <c r="S237" i="1" s="1"/>
  <c r="R237" i="1" s="1"/>
  <c r="U230" i="1"/>
  <c r="U221" i="1"/>
  <c r="U373" i="1"/>
  <c r="T373" i="1" s="1"/>
  <c r="S373" i="1" s="1"/>
  <c r="R373" i="1" s="1"/>
  <c r="U357" i="1"/>
  <c r="T357" i="1" s="1"/>
  <c r="S357" i="1" s="1"/>
  <c r="R357" i="1" s="1"/>
  <c r="U343" i="1"/>
  <c r="T343" i="1" s="1"/>
  <c r="S343" i="1" s="1"/>
  <c r="R343" i="1" s="1"/>
  <c r="U329" i="1"/>
  <c r="T329" i="1" s="1"/>
  <c r="S329" i="1" s="1"/>
  <c r="R329" i="1" s="1"/>
  <c r="U313" i="1"/>
  <c r="T313" i="1" s="1"/>
  <c r="S313" i="1" s="1"/>
  <c r="R313" i="1" s="1"/>
  <c r="U279" i="1"/>
  <c r="T279" i="1" s="1"/>
  <c r="S279" i="1" s="1"/>
  <c r="R279" i="1" s="1"/>
  <c r="U263" i="1"/>
  <c r="T263" i="1" s="1"/>
  <c r="S263" i="1" s="1"/>
  <c r="R263" i="1" s="1"/>
  <c r="U246" i="1"/>
  <c r="T246" i="1" s="1"/>
  <c r="S246" i="1" s="1"/>
  <c r="R246" i="1" s="1"/>
  <c r="U203" i="1"/>
  <c r="T203" i="1" s="1"/>
  <c r="S203" i="1" s="1"/>
  <c r="R203" i="1" s="1"/>
  <c r="U147" i="1"/>
  <c r="T147" i="1" s="1"/>
  <c r="S147" i="1" s="1"/>
  <c r="R147" i="1" s="1"/>
  <c r="U67" i="1"/>
  <c r="T67" i="1" s="1"/>
  <c r="S67" i="1" s="1"/>
  <c r="R67" i="1" s="1"/>
  <c r="AI88" i="1"/>
  <c r="AH88" i="1" s="1"/>
  <c r="AG88" i="1" s="1"/>
  <c r="AF88" i="1" s="1"/>
  <c r="U173" i="1"/>
  <c r="T173" i="1" s="1"/>
  <c r="S173" i="1" s="1"/>
  <c r="R173" i="1" s="1"/>
  <c r="U108" i="1"/>
  <c r="T108" i="1" s="1"/>
  <c r="S108" i="1" s="1"/>
  <c r="R108" i="1" s="1"/>
  <c r="U42" i="1"/>
  <c r="T42" i="1" s="1"/>
  <c r="S42" i="1" s="1"/>
  <c r="R42" i="1" s="1"/>
  <c r="AI221" i="1"/>
  <c r="AI17" i="1"/>
  <c r="AI100" i="1"/>
  <c r="AH100" i="1" s="1"/>
  <c r="AG100" i="1" s="1"/>
  <c r="AF100" i="1" s="1"/>
  <c r="P12" i="16"/>
  <c r="AK32" i="16"/>
  <c r="AK47" i="16"/>
  <c r="AK42" i="16"/>
  <c r="AK78" i="16"/>
  <c r="AK98" i="16"/>
  <c r="AK113" i="16"/>
  <c r="AK125" i="16"/>
  <c r="AK79" i="16"/>
  <c r="AK95" i="16"/>
  <c r="AK112" i="16"/>
  <c r="AK137" i="16"/>
  <c r="AK153" i="16"/>
  <c r="AK167" i="16"/>
  <c r="AK184" i="16"/>
  <c r="AK147" i="16"/>
  <c r="AK163" i="16"/>
  <c r="AK180" i="16"/>
  <c r="AK191" i="16"/>
  <c r="AK205" i="16"/>
  <c r="AK217" i="16"/>
  <c r="AK232" i="16"/>
  <c r="AK244" i="16"/>
  <c r="AK263" i="16"/>
  <c r="AK277" i="16"/>
  <c r="AK288" i="16"/>
  <c r="AK304" i="16"/>
  <c r="AK197" i="16"/>
  <c r="AK222" i="16"/>
  <c r="AK240" i="16"/>
  <c r="AK254" i="16"/>
  <c r="AK273" i="16"/>
  <c r="AK295" i="16"/>
  <c r="AK313" i="16"/>
  <c r="AK330" i="16"/>
  <c r="AK345" i="16"/>
  <c r="AK363" i="16"/>
  <c r="AK379" i="16"/>
  <c r="AK334" i="16"/>
  <c r="AK368" i="16"/>
  <c r="AK325" i="16"/>
  <c r="AK339" i="16"/>
  <c r="AK20" i="16"/>
  <c r="AK59" i="16"/>
  <c r="AK91" i="16"/>
  <c r="AK118" i="16"/>
  <c r="AK86" i="16"/>
  <c r="AK133" i="16"/>
  <c r="AK161" i="16"/>
  <c r="AK138" i="16"/>
  <c r="AK171" i="16"/>
  <c r="AK201" i="16"/>
  <c r="AK226" i="16"/>
  <c r="AK256" i="16"/>
  <c r="AK281" i="16"/>
  <c r="AK193" i="16"/>
  <c r="AK231" i="16"/>
  <c r="AK266" i="16"/>
  <c r="AK307" i="16"/>
  <c r="AK337" i="16"/>
  <c r="AK374" i="16"/>
  <c r="AK351" i="16"/>
  <c r="AK320" i="16"/>
  <c r="AK37" i="16"/>
  <c r="AK105" i="16"/>
  <c r="AK103" i="16"/>
  <c r="AK175" i="16"/>
  <c r="AK187" i="16"/>
  <c r="AK238" i="16"/>
  <c r="AK298" i="16"/>
  <c r="AK250" i="16"/>
  <c r="AK324" i="16"/>
  <c r="AK317" i="16"/>
  <c r="AK353" i="16"/>
  <c r="AK63" i="16"/>
  <c r="AK131" i="16"/>
  <c r="AK144" i="16"/>
  <c r="AK154" i="16"/>
  <c r="AK211" i="16"/>
  <c r="AK268" i="16"/>
  <c r="AK213" i="16"/>
  <c r="AK286" i="16"/>
  <c r="AK357" i="16"/>
  <c r="AK375" i="16"/>
  <c r="AK348" i="16"/>
  <c r="AK350" i="16"/>
  <c r="AK372" i="16"/>
  <c r="AK342" i="16"/>
  <c r="AK308" i="16"/>
  <c r="AK367" i="16"/>
  <c r="AK354" i="16"/>
  <c r="AK332" i="16"/>
  <c r="AK319" i="16"/>
  <c r="AK297" i="16"/>
  <c r="AK282" i="16"/>
  <c r="AK259" i="16"/>
  <c r="AK248" i="16"/>
  <c r="AK224" i="16"/>
  <c r="AK207" i="16"/>
  <c r="AK306" i="16"/>
  <c r="AK293" i="16"/>
  <c r="AK279" i="16"/>
  <c r="AK265" i="16"/>
  <c r="AK247" i="16"/>
  <c r="AK236" i="16"/>
  <c r="AK221" i="16"/>
  <c r="AK208" i="16"/>
  <c r="AK199" i="16"/>
  <c r="AK183" i="16"/>
  <c r="AK168" i="16"/>
  <c r="AK151" i="16"/>
  <c r="AK120" i="16"/>
  <c r="AK172" i="16"/>
  <c r="AK159" i="16"/>
  <c r="AK141" i="16"/>
  <c r="AK123" i="16"/>
  <c r="AK101" i="16"/>
  <c r="AK82" i="16"/>
  <c r="AK127" i="16"/>
  <c r="AK115" i="16"/>
  <c r="AK100" i="16"/>
  <c r="AK87" i="16"/>
  <c r="AK52" i="16"/>
  <c r="AK55" i="16"/>
  <c r="AK33" i="16"/>
  <c r="AK18" i="16"/>
  <c r="AK15" i="16"/>
  <c r="AK25" i="16"/>
  <c r="AK31" i="16"/>
  <c r="AK30" i="16"/>
  <c r="AK36" i="16"/>
  <c r="AK40" i="16"/>
  <c r="AK46" i="16"/>
  <c r="AK53" i="16"/>
  <c r="AK58" i="16"/>
  <c r="AK67" i="16"/>
  <c r="AK41" i="16"/>
  <c r="AK51" i="16"/>
  <c r="AK62" i="16"/>
  <c r="AK71" i="16"/>
  <c r="AK77" i="16"/>
  <c r="AK84" i="16"/>
  <c r="AK17" i="16"/>
  <c r="AK29" i="16"/>
  <c r="AK35" i="16"/>
  <c r="AK45" i="16"/>
  <c r="AK57" i="16"/>
  <c r="AK70" i="16"/>
  <c r="AK61" i="16"/>
  <c r="AK75" i="16"/>
  <c r="AK89" i="16"/>
  <c r="AK97" i="16"/>
  <c r="AK104" i="16"/>
  <c r="AK110" i="16"/>
  <c r="AK117" i="16"/>
  <c r="AK124" i="16"/>
  <c r="AK130" i="16"/>
  <c r="AK76" i="16"/>
  <c r="AK85" i="16"/>
  <c r="AK92" i="16"/>
  <c r="AK102" i="16"/>
  <c r="AK111" i="16"/>
  <c r="AK129" i="16"/>
  <c r="AK136" i="16"/>
  <c r="AK143" i="16"/>
  <c r="AK149" i="16"/>
  <c r="AK160" i="16"/>
  <c r="AK166" i="16"/>
  <c r="AK174" i="16"/>
  <c r="AK182" i="16"/>
  <c r="AK128" i="16"/>
  <c r="AK146" i="16"/>
  <c r="AK152" i="16"/>
  <c r="AK157" i="16"/>
  <c r="AK170" i="16"/>
  <c r="AK179" i="16"/>
  <c r="AK186" i="16"/>
  <c r="AK190" i="16"/>
  <c r="AK200" i="16"/>
  <c r="AK204" i="16"/>
  <c r="AK209" i="16"/>
  <c r="AK215" i="16"/>
  <c r="AK225" i="16"/>
  <c r="AK230" i="16"/>
  <c r="AK237" i="16"/>
  <c r="AK243" i="16"/>
  <c r="AK255" i="16"/>
  <c r="AK262" i="16"/>
  <c r="AK267" i="16"/>
  <c r="AK276" i="16"/>
  <c r="AK280" i="16"/>
  <c r="AK287" i="16"/>
  <c r="AK294" i="16"/>
  <c r="AK302" i="16"/>
  <c r="AK185" i="16"/>
  <c r="AK196" i="16"/>
  <c r="AK210" i="16"/>
  <c r="AK220" i="16"/>
  <c r="AK229" i="16"/>
  <c r="AK239" i="16"/>
  <c r="AK249" i="16"/>
  <c r="AK253" i="16"/>
  <c r="AK260" i="16"/>
  <c r="AK272" i="16"/>
  <c r="AK285" i="16"/>
  <c r="AK291" i="16"/>
  <c r="AK303" i="16"/>
  <c r="AK312" i="16"/>
  <c r="AK323" i="16"/>
  <c r="AK328" i="16"/>
  <c r="AK336" i="16"/>
  <c r="AK344" i="16"/>
  <c r="AK356" i="16"/>
  <c r="AK362" i="16"/>
  <c r="AK369" i="16"/>
  <c r="AK378" i="16"/>
  <c r="AK315" i="16"/>
  <c r="AK333" i="16"/>
  <c r="AK346" i="16"/>
  <c r="AK366" i="16"/>
  <c r="AK373" i="16"/>
  <c r="AK316" i="16"/>
  <c r="AK370" i="16"/>
  <c r="AK338" i="16"/>
  <c r="AK349" i="16"/>
  <c r="AK361" i="16"/>
  <c r="AK322" i="16"/>
  <c r="AK311" i="16"/>
  <c r="AK365" i="16"/>
  <c r="AK329" i="16"/>
  <c r="AK377" i="16"/>
  <c r="AK360" i="16"/>
  <c r="AK341" i="16"/>
  <c r="AK327" i="16"/>
  <c r="AK310" i="16"/>
  <c r="AK290" i="16"/>
  <c r="AK271" i="16"/>
  <c r="AK252" i="16"/>
  <c r="AK235" i="16"/>
  <c r="AK218" i="16"/>
  <c r="AK195" i="16"/>
  <c r="AK301" i="16"/>
  <c r="AK284" i="16"/>
  <c r="AK275" i="16"/>
  <c r="AK261" i="16"/>
  <c r="AK242" i="16"/>
  <c r="AK228" i="16"/>
  <c r="AK214" i="16"/>
  <c r="AK203" i="16"/>
  <c r="AK189" i="16"/>
  <c r="AK178" i="16"/>
  <c r="AK156" i="16"/>
  <c r="AK142" i="16"/>
  <c r="AK177" i="16"/>
  <c r="AK164" i="16"/>
  <c r="AK148" i="16"/>
  <c r="AK135" i="16"/>
  <c r="AK108" i="16"/>
  <c r="AK90" i="16"/>
  <c r="AK73" i="16"/>
  <c r="AK122" i="16"/>
  <c r="AK109" i="16"/>
  <c r="AK94" i="16"/>
  <c r="AK72" i="16"/>
  <c r="AK68" i="16"/>
  <c r="AK39" i="16"/>
  <c r="AK27" i="16"/>
  <c r="F8" i="16"/>
  <c r="AK19" i="16"/>
  <c r="AK21" i="16"/>
  <c r="AK28" i="16"/>
  <c r="AK22" i="16"/>
  <c r="AK34" i="16"/>
  <c r="AK23" i="16"/>
  <c r="AK44" i="16"/>
  <c r="AK48" i="16"/>
  <c r="AK56" i="16"/>
  <c r="AK60" i="16"/>
  <c r="AK69" i="16"/>
  <c r="AK43" i="16"/>
  <c r="AK54" i="16"/>
  <c r="AK64" i="16"/>
  <c r="AK74" i="16"/>
  <c r="AK81" i="16"/>
  <c r="AK16" i="16"/>
  <c r="AK24" i="16"/>
  <c r="AK26" i="16"/>
  <c r="AK38" i="16"/>
  <c r="AK50" i="16"/>
  <c r="AK66" i="16"/>
  <c r="AK49" i="16"/>
  <c r="AK65" i="16"/>
  <c r="AK83" i="16"/>
  <c r="AK93" i="16"/>
  <c r="AK99" i="16"/>
  <c r="AK107" i="16"/>
  <c r="AK114" i="16"/>
  <c r="AK119" i="16"/>
  <c r="AK126" i="16"/>
  <c r="AK132" i="16"/>
  <c r="AK80" i="16"/>
  <c r="AK88" i="16"/>
  <c r="AK96" i="16"/>
  <c r="AK106" i="16"/>
  <c r="AK121" i="16"/>
  <c r="AK134" i="16"/>
  <c r="AK140" i="16"/>
  <c r="AK145" i="16"/>
  <c r="AK158" i="16"/>
  <c r="AK162" i="16"/>
  <c r="AK169" i="16"/>
  <c r="AK176" i="16"/>
  <c r="AK116" i="16"/>
  <c r="AK139" i="16"/>
  <c r="AK150" i="16"/>
  <c r="AK155" i="16"/>
  <c r="AK165" i="16"/>
  <c r="AK173" i="16"/>
  <c r="AK181" i="16"/>
  <c r="AK188" i="16"/>
  <c r="AK192" i="16"/>
  <c r="AK202" i="16"/>
  <c r="AK206" i="16"/>
  <c r="AK212" i="16"/>
  <c r="AK219" i="16"/>
  <c r="AK227" i="16"/>
  <c r="AK233" i="16"/>
  <c r="AK241" i="16"/>
  <c r="AK246" i="16"/>
  <c r="AK257" i="16"/>
  <c r="AK264" i="16"/>
  <c r="AK270" i="16"/>
  <c r="AK278" i="16"/>
  <c r="AK283" i="16"/>
  <c r="AK292" i="16"/>
  <c r="AK300" i="16"/>
  <c r="AK305" i="16"/>
  <c r="AK194" i="16"/>
  <c r="AK198" i="16"/>
  <c r="AK216" i="16"/>
  <c r="AK223" i="16"/>
  <c r="AK234" i="16"/>
  <c r="AK245" i="16"/>
  <c r="AK251" i="16"/>
  <c r="AK258" i="16"/>
  <c r="AK269" i="16"/>
  <c r="AK274" i="16"/>
  <c r="AK289" i="16"/>
  <c r="AK296" i="16"/>
  <c r="AK309" i="16"/>
  <c r="AK314" i="16"/>
  <c r="AK326" i="16"/>
  <c r="AK331" i="16"/>
  <c r="AK340" i="16"/>
  <c r="AK352" i="16"/>
  <c r="AK359" i="16"/>
  <c r="AK364" i="16"/>
  <c r="AK376" i="16"/>
  <c r="AK299" i="16"/>
  <c r="AK318" i="16"/>
  <c r="AK335" i="16"/>
  <c r="AK355" i="16"/>
  <c r="AK371" i="16"/>
  <c r="AK380" i="16"/>
  <c r="AK343" i="16"/>
  <c r="AK321" i="16"/>
  <c r="AK347" i="16"/>
  <c r="AK358" i="16"/>
  <c r="J357" i="6"/>
  <c r="J350" i="6"/>
  <c r="J70" i="6"/>
  <c r="J75" i="6"/>
  <c r="J310" i="6"/>
  <c r="J302" i="6"/>
  <c r="J306" i="6"/>
  <c r="J314" i="6"/>
  <c r="J321" i="6"/>
  <c r="J317" i="6"/>
  <c r="P317" i="1" s="1"/>
  <c r="J275" i="6"/>
  <c r="J274" i="6"/>
  <c r="J284" i="6"/>
  <c r="AD284" i="1" s="1"/>
  <c r="V54" i="6"/>
  <c r="V53" i="6" s="1"/>
  <c r="J69" i="6"/>
  <c r="J66" i="6"/>
  <c r="W54" i="6"/>
  <c r="W53" i="6" s="1"/>
  <c r="W55" i="6" s="1"/>
  <c r="Q12" i="15"/>
  <c r="D15" i="7"/>
  <c r="BX15" i="7"/>
  <c r="BR15" i="7"/>
  <c r="BL15" i="7"/>
  <c r="AE383" i="1"/>
  <c r="AE382" i="1"/>
  <c r="X25" i="6"/>
  <c r="J173" i="6" s="1"/>
  <c r="J333" i="6"/>
  <c r="J336" i="6"/>
  <c r="J354" i="6"/>
  <c r="P354" i="1" s="1"/>
  <c r="V354" i="1" s="1"/>
  <c r="F354" i="1" s="1"/>
  <c r="J351" i="6"/>
  <c r="J344" i="6"/>
  <c r="J330" i="6"/>
  <c r="J348" i="6"/>
  <c r="J316" i="6"/>
  <c r="J322" i="6"/>
  <c r="J329" i="6"/>
  <c r="M24" i="6"/>
  <c r="M23" i="6" s="1"/>
  <c r="M25" i="6" s="1"/>
  <c r="J352" i="6"/>
  <c r="J345" i="6"/>
  <c r="J353" i="6"/>
  <c r="J331" i="6"/>
  <c r="J338" i="6"/>
  <c r="J341" i="6"/>
  <c r="J349" i="6"/>
  <c r="J347" i="6"/>
  <c r="J356" i="6"/>
  <c r="J346" i="6"/>
  <c r="J355" i="6"/>
  <c r="J342" i="6"/>
  <c r="J343" i="6"/>
  <c r="J335" i="6"/>
  <c r="J67" i="6"/>
  <c r="J77" i="6"/>
  <c r="J76" i="6"/>
  <c r="J73" i="6"/>
  <c r="J64" i="6"/>
  <c r="J307" i="6"/>
  <c r="J328" i="6"/>
  <c r="J327" i="6"/>
  <c r="J304" i="6"/>
  <c r="J309" i="6"/>
  <c r="J324" i="6"/>
  <c r="J312" i="6"/>
  <c r="J320" i="6"/>
  <c r="J326" i="6"/>
  <c r="J308" i="6"/>
  <c r="J325" i="6"/>
  <c r="J319" i="6"/>
  <c r="J311" i="6"/>
  <c r="J313" i="6"/>
  <c r="J292" i="6"/>
  <c r="J74" i="6"/>
  <c r="J290" i="6"/>
  <c r="J285" i="6"/>
  <c r="J276" i="6"/>
  <c r="J286" i="6"/>
  <c r="J282" i="6"/>
  <c r="J289" i="6"/>
  <c r="J280" i="6"/>
  <c r="X54" i="6"/>
  <c r="X53" i="6" s="1"/>
  <c r="X55" i="6" s="1"/>
  <c r="E383" i="1"/>
  <c r="J174" i="6"/>
  <c r="P174" i="1" s="1"/>
  <c r="V174" i="1" s="1"/>
  <c r="J301" i="6"/>
  <c r="J296" i="6"/>
  <c r="J279" i="6"/>
  <c r="J298" i="6"/>
  <c r="J293" i="6"/>
  <c r="J283" i="6"/>
  <c r="J299" i="6"/>
  <c r="J287" i="6"/>
  <c r="J278" i="6"/>
  <c r="P278" i="1" s="1"/>
  <c r="V278" i="1" s="1"/>
  <c r="J281" i="6"/>
  <c r="J277" i="6"/>
  <c r="J300" i="6"/>
  <c r="J291" i="6"/>
  <c r="J297" i="6"/>
  <c r="M33" i="6"/>
  <c r="N31" i="6"/>
  <c r="N39" i="6" s="1"/>
  <c r="N38" i="6" s="1"/>
  <c r="AJ10" i="1"/>
  <c r="AJ12" i="1" s="1"/>
  <c r="AJ13" i="1" s="1"/>
  <c r="E9" i="1"/>
  <c r="E11" i="1" s="1"/>
  <c r="E381" i="1"/>
  <c r="AK8" i="1"/>
  <c r="E382" i="1"/>
  <c r="AJ5" i="16"/>
  <c r="AJ6" i="16"/>
  <c r="AJ7" i="16"/>
  <c r="AJ8" i="16"/>
  <c r="AC12" i="16"/>
  <c r="O11" i="16"/>
  <c r="O12" i="16"/>
  <c r="AC9" i="16"/>
  <c r="P54" i="6"/>
  <c r="P53" i="6" s="1"/>
  <c r="P55" i="6" s="1"/>
  <c r="J243" i="6"/>
  <c r="J242" i="6"/>
  <c r="J244" i="6"/>
  <c r="J236" i="6"/>
  <c r="J232" i="6"/>
  <c r="J235" i="6"/>
  <c r="J245" i="6"/>
  <c r="J240" i="6"/>
  <c r="J241" i="6"/>
  <c r="J238" i="6"/>
  <c r="J239" i="6"/>
  <c r="J234" i="6"/>
  <c r="J233" i="6"/>
  <c r="J237" i="6"/>
  <c r="S25" i="6"/>
  <c r="J81" i="6" s="1"/>
  <c r="U25" i="6"/>
  <c r="J126" i="6" s="1"/>
  <c r="W25" i="6"/>
  <c r="J146" i="6" s="1"/>
  <c r="Y54" i="6"/>
  <c r="Y53" i="6" s="1"/>
  <c r="Q54" i="6"/>
  <c r="Q53" i="6" s="1"/>
  <c r="Q55" i="6" s="1"/>
  <c r="R54" i="6"/>
  <c r="R53" i="6" s="1"/>
  <c r="R55" i="6" s="1"/>
  <c r="O54" i="6"/>
  <c r="O53" i="6" s="1"/>
  <c r="O55" i="6" s="1"/>
  <c r="W39" i="6"/>
  <c r="W38" i="6" s="1"/>
  <c r="W40" i="6" s="1"/>
  <c r="V39" i="6"/>
  <c r="V38" i="6" s="1"/>
  <c r="V40" i="6" s="1"/>
  <c r="S54" i="6"/>
  <c r="S53" i="6" s="1"/>
  <c r="S55" i="6" s="1"/>
  <c r="AA48" i="6"/>
  <c r="Z50" i="6"/>
  <c r="Z54" i="6" s="1"/>
  <c r="Z53" i="6" s="1"/>
  <c r="Z55" i="6" s="1"/>
  <c r="AE25" i="6"/>
  <c r="J262" i="6" s="1"/>
  <c r="N55" i="6"/>
  <c r="J378" i="6"/>
  <c r="P40" i="6"/>
  <c r="AT99" i="6" s="1"/>
  <c r="R40" i="6"/>
  <c r="AT131" i="6" s="1"/>
  <c r="N25" i="6"/>
  <c r="J29" i="6" s="1"/>
  <c r="AA39" i="6"/>
  <c r="AA38" i="6" s="1"/>
  <c r="AD44" i="1"/>
  <c r="J368" i="6"/>
  <c r="J375" i="6"/>
  <c r="J358" i="6"/>
  <c r="J373" i="6"/>
  <c r="J376" i="6"/>
  <c r="J367" i="6"/>
  <c r="J359" i="6"/>
  <c r="J360" i="6"/>
  <c r="J370" i="6"/>
  <c r="J364" i="6"/>
  <c r="J363" i="6"/>
  <c r="J377" i="6"/>
  <c r="AD38" i="1"/>
  <c r="AD45" i="1"/>
  <c r="J371" i="6"/>
  <c r="J361" i="6"/>
  <c r="J362" i="6"/>
  <c r="J365" i="6"/>
  <c r="J366" i="6"/>
  <c r="J380" i="6"/>
  <c r="J379" i="6"/>
  <c r="J369" i="6"/>
  <c r="J372" i="6"/>
  <c r="J374" i="6"/>
  <c r="BW10" i="7" l="1"/>
  <c r="BZ9" i="7"/>
  <c r="P47" i="1"/>
  <c r="V47" i="1" s="1"/>
  <c r="AD326" i="1"/>
  <c r="P342" i="1"/>
  <c r="V342" i="1" s="1"/>
  <c r="F342" i="1" s="1"/>
  <c r="G342" i="1" s="1"/>
  <c r="BW342" i="6" s="1"/>
  <c r="P348" i="1"/>
  <c r="V348" i="1" s="1"/>
  <c r="F348" i="1" s="1"/>
  <c r="G348" i="1" s="1"/>
  <c r="BW348" i="6" s="1"/>
  <c r="AM9" i="15"/>
  <c r="AK7" i="15"/>
  <c r="AK11" i="15" s="1"/>
  <c r="AK3" i="15" s="1"/>
  <c r="Q12" i="19" s="1"/>
  <c r="P282" i="1"/>
  <c r="V282" i="1" s="1"/>
  <c r="AD276" i="1"/>
  <c r="AK5" i="15"/>
  <c r="BL16" i="7"/>
  <c r="P367" i="1"/>
  <c r="V367" i="1" s="1"/>
  <c r="F367" i="1" s="1"/>
  <c r="G367" i="1" s="1"/>
  <c r="BW367" i="6" s="1"/>
  <c r="P40" i="1"/>
  <c r="V40" i="1" s="1"/>
  <c r="P343" i="1"/>
  <c r="V343" i="1" s="1"/>
  <c r="F343" i="1" s="1"/>
  <c r="G343" i="1" s="1"/>
  <c r="BW343" i="6" s="1"/>
  <c r="P355" i="1"/>
  <c r="V355" i="1" s="1"/>
  <c r="F355" i="1" s="1"/>
  <c r="I355" i="1" s="1"/>
  <c r="P69" i="1"/>
  <c r="V69" i="1" s="1"/>
  <c r="P275" i="1"/>
  <c r="V275" i="1" s="1"/>
  <c r="AK9" i="15"/>
  <c r="AK6" i="15"/>
  <c r="AM5" i="15"/>
  <c r="P13" i="7"/>
  <c r="Q13" i="7"/>
  <c r="P41" i="1"/>
  <c r="V41" i="1" s="1"/>
  <c r="AD39" i="1"/>
  <c r="P370" i="1"/>
  <c r="V370" i="1" s="1"/>
  <c r="F370" i="1" s="1"/>
  <c r="I370" i="1" s="1"/>
  <c r="P43" i="1"/>
  <c r="V43" i="1" s="1"/>
  <c r="AD235" i="1"/>
  <c r="P353" i="1"/>
  <c r="V353" i="1" s="1"/>
  <c r="F353" i="1" s="1"/>
  <c r="P373" i="1"/>
  <c r="V373" i="1" s="1"/>
  <c r="F373" i="1" s="1"/>
  <c r="I373" i="1" s="1"/>
  <c r="P239" i="1"/>
  <c r="V239" i="1" s="1"/>
  <c r="P245" i="1"/>
  <c r="V245" i="1" s="1"/>
  <c r="P290" i="1"/>
  <c r="V290" i="1" s="1"/>
  <c r="F290" i="1" s="1"/>
  <c r="G290" i="1" s="1"/>
  <c r="BW290" i="6" s="1"/>
  <c r="P192" i="1"/>
  <c r="V192" i="1" s="1"/>
  <c r="P179" i="1"/>
  <c r="V179" i="1" s="1"/>
  <c r="AD63" i="1"/>
  <c r="P54" i="1"/>
  <c r="V54" i="1" s="1"/>
  <c r="AD50" i="1"/>
  <c r="AD42" i="1"/>
  <c r="AD37" i="1"/>
  <c r="AD47" i="1"/>
  <c r="AA47" i="1" s="1"/>
  <c r="Z47" i="1" s="1"/>
  <c r="Y47" i="1" s="1"/>
  <c r="P188" i="1"/>
  <c r="V188" i="1" s="1"/>
  <c r="AD200" i="1"/>
  <c r="P51" i="1"/>
  <c r="V51" i="1" s="1"/>
  <c r="AD189" i="1"/>
  <c r="AD41" i="1"/>
  <c r="P45" i="1"/>
  <c r="V45" i="1" s="1"/>
  <c r="AA45" i="1" s="1"/>
  <c r="Z45" i="1" s="1"/>
  <c r="Y45" i="1" s="1"/>
  <c r="AD46" i="1"/>
  <c r="P375" i="1"/>
  <c r="V375" i="1" s="1"/>
  <c r="F375" i="1" s="1"/>
  <c r="I375" i="1" s="1"/>
  <c r="AD297" i="1"/>
  <c r="AD300" i="1"/>
  <c r="AD281" i="1"/>
  <c r="AD287" i="1"/>
  <c r="P296" i="1"/>
  <c r="V296" i="1" s="1"/>
  <c r="F296" i="1" s="1"/>
  <c r="I296" i="1" s="1"/>
  <c r="AD313" i="1"/>
  <c r="AD319" i="1"/>
  <c r="P324" i="1"/>
  <c r="V324" i="1" s="1"/>
  <c r="F324" i="1" s="1"/>
  <c r="I324" i="1" s="1"/>
  <c r="AD304" i="1"/>
  <c r="P328" i="1"/>
  <c r="V328" i="1" s="1"/>
  <c r="F328" i="1" s="1"/>
  <c r="I328" i="1" s="1"/>
  <c r="AD64" i="1"/>
  <c r="P76" i="1"/>
  <c r="V76" i="1" s="1"/>
  <c r="P67" i="1"/>
  <c r="V67" i="1" s="1"/>
  <c r="AD356" i="1"/>
  <c r="P349" i="1"/>
  <c r="V349" i="1" s="1"/>
  <c r="F349" i="1" s="1"/>
  <c r="G349" i="1" s="1"/>
  <c r="BW349" i="6" s="1"/>
  <c r="P338" i="1"/>
  <c r="V338" i="1" s="1"/>
  <c r="F338" i="1" s="1"/>
  <c r="G338" i="1" s="1"/>
  <c r="BW338" i="6" s="1"/>
  <c r="P352" i="1"/>
  <c r="V352" i="1" s="1"/>
  <c r="F352" i="1" s="1"/>
  <c r="I352" i="1" s="1"/>
  <c r="P316" i="1"/>
  <c r="V316" i="1" s="1"/>
  <c r="P330" i="1"/>
  <c r="V330" i="1" s="1"/>
  <c r="F330" i="1" s="1"/>
  <c r="G330" i="1" s="1"/>
  <c r="BW330" i="6" s="1"/>
  <c r="AD336" i="1"/>
  <c r="AD321" i="1"/>
  <c r="AD306" i="1"/>
  <c r="AD70" i="1"/>
  <c r="AF202" i="1"/>
  <c r="AD202" i="1" s="1"/>
  <c r="P178" i="1"/>
  <c r="V178" i="1" s="1"/>
  <c r="P57" i="1"/>
  <c r="V57" i="1" s="1"/>
  <c r="AD62" i="1"/>
  <c r="AD60" i="1"/>
  <c r="AD55" i="1"/>
  <c r="P58" i="1"/>
  <c r="V58" i="1" s="1"/>
  <c r="AD53" i="1"/>
  <c r="O148" i="17"/>
  <c r="E148" i="17" s="1"/>
  <c r="O247" i="17"/>
  <c r="E247" i="17" s="1"/>
  <c r="AC10" i="15"/>
  <c r="J206" i="6"/>
  <c r="P206" i="1" s="1"/>
  <c r="V206" i="1" s="1"/>
  <c r="J225" i="6"/>
  <c r="AD225" i="1" s="1"/>
  <c r="J216" i="6"/>
  <c r="P216" i="1" s="1"/>
  <c r="V216" i="1" s="1"/>
  <c r="J218" i="6"/>
  <c r="P218" i="1" s="1"/>
  <c r="V218" i="1" s="1"/>
  <c r="J229" i="6"/>
  <c r="P229" i="1" s="1"/>
  <c r="V229" i="1" s="1"/>
  <c r="J224" i="6"/>
  <c r="AD224" i="1" s="1"/>
  <c r="O141" i="17"/>
  <c r="E141" i="17" s="1"/>
  <c r="O152" i="17"/>
  <c r="E152" i="17" s="1"/>
  <c r="O373" i="17"/>
  <c r="E373" i="17" s="1"/>
  <c r="O256" i="17"/>
  <c r="E256" i="17" s="1"/>
  <c r="O288" i="17"/>
  <c r="E288" i="17" s="1"/>
  <c r="P53" i="1"/>
  <c r="V53" i="1" s="1"/>
  <c r="P50" i="1"/>
  <c r="V50" i="1" s="1"/>
  <c r="AA50" i="1" s="1"/>
  <c r="Z50" i="1" s="1"/>
  <c r="Y50" i="1" s="1"/>
  <c r="P189" i="1"/>
  <c r="V189" i="1" s="1"/>
  <c r="AD186" i="1"/>
  <c r="P68" i="1"/>
  <c r="V68" i="1" s="1"/>
  <c r="AD56" i="1"/>
  <c r="AL9" i="15"/>
  <c r="O264" i="17"/>
  <c r="E264" i="17" s="1"/>
  <c r="O372" i="17"/>
  <c r="E372" i="17" s="1"/>
  <c r="O225" i="17"/>
  <c r="E225" i="17" s="1"/>
  <c r="O340" i="17"/>
  <c r="E340" i="17" s="1"/>
  <c r="O355" i="17"/>
  <c r="E355" i="17" s="1"/>
  <c r="AJ9" i="15"/>
  <c r="AL5" i="15"/>
  <c r="O222" i="17"/>
  <c r="E222" i="17" s="1"/>
  <c r="O200" i="17"/>
  <c r="E200" i="17" s="1"/>
  <c r="O131" i="17"/>
  <c r="E131" i="17" s="1"/>
  <c r="O317" i="17"/>
  <c r="E317" i="17" s="1"/>
  <c r="O287" i="17"/>
  <c r="E287" i="17" s="1"/>
  <c r="O186" i="17"/>
  <c r="E186" i="17" s="1"/>
  <c r="O342" i="17"/>
  <c r="E342" i="17" s="1"/>
  <c r="O267" i="17"/>
  <c r="E267" i="17" s="1"/>
  <c r="O163" i="17"/>
  <c r="E163" i="17" s="1"/>
  <c r="O268" i="17"/>
  <c r="E268" i="17" s="1"/>
  <c r="O140" i="17"/>
  <c r="E140" i="17" s="1"/>
  <c r="P62" i="1"/>
  <c r="V62" i="1" s="1"/>
  <c r="AA62" i="1" s="1"/>
  <c r="Z62" i="1" s="1"/>
  <c r="Y62" i="1" s="1"/>
  <c r="AD57" i="1"/>
  <c r="P52" i="1"/>
  <c r="V52" i="1" s="1"/>
  <c r="O244" i="17"/>
  <c r="E244" i="17" s="1"/>
  <c r="O187" i="17"/>
  <c r="E187" i="17" s="1"/>
  <c r="O239" i="17"/>
  <c r="E239" i="17" s="1"/>
  <c r="O174" i="17"/>
  <c r="E174" i="17" s="1"/>
  <c r="O165" i="17"/>
  <c r="E165" i="17" s="1"/>
  <c r="O376" i="17"/>
  <c r="E376" i="17" s="1"/>
  <c r="O345" i="17"/>
  <c r="E345" i="17" s="1"/>
  <c r="O273" i="17"/>
  <c r="E273" i="17" s="1"/>
  <c r="O213" i="17"/>
  <c r="E213" i="17" s="1"/>
  <c r="O261" i="17"/>
  <c r="E261" i="17" s="1"/>
  <c r="O205" i="17"/>
  <c r="E205" i="17" s="1"/>
  <c r="O149" i="17"/>
  <c r="E149" i="17" s="1"/>
  <c r="O338" i="17"/>
  <c r="E338" i="17" s="1"/>
  <c r="O367" i="17"/>
  <c r="E367" i="17" s="1"/>
  <c r="O312" i="17"/>
  <c r="E312" i="17" s="1"/>
  <c r="O208" i="17"/>
  <c r="E208" i="17" s="1"/>
  <c r="O219" i="17"/>
  <c r="E219" i="17" s="1"/>
  <c r="O153" i="17"/>
  <c r="E153" i="17" s="1"/>
  <c r="O335" i="17"/>
  <c r="E335" i="17" s="1"/>
  <c r="O297" i="17"/>
  <c r="E297" i="17" s="1"/>
  <c r="O197" i="17"/>
  <c r="E197" i="17" s="1"/>
  <c r="AD178" i="1"/>
  <c r="AA178" i="1" s="1"/>
  <c r="Z178" i="1" s="1"/>
  <c r="Y178" i="1" s="1"/>
  <c r="J212" i="6"/>
  <c r="P212" i="1" s="1"/>
  <c r="V212" i="1" s="1"/>
  <c r="J230" i="6"/>
  <c r="O125" i="17"/>
  <c r="E125" i="17" s="1"/>
  <c r="J214" i="6"/>
  <c r="P214" i="1" s="1"/>
  <c r="V214" i="1" s="1"/>
  <c r="J211" i="6"/>
  <c r="AD211" i="1" s="1"/>
  <c r="J231" i="6"/>
  <c r="P231" i="1" s="1"/>
  <c r="V231" i="1" s="1"/>
  <c r="AT187" i="6"/>
  <c r="AT180" i="6"/>
  <c r="AT166" i="6"/>
  <c r="AT169" i="6"/>
  <c r="AD179" i="1"/>
  <c r="AD198" i="1"/>
  <c r="P190" i="1"/>
  <c r="V190" i="1" s="1"/>
  <c r="P199" i="1"/>
  <c r="V199" i="1" s="1"/>
  <c r="AD196" i="1"/>
  <c r="P56" i="1"/>
  <c r="V56" i="1" s="1"/>
  <c r="AA56" i="1" s="1"/>
  <c r="Z56" i="1" s="1"/>
  <c r="Y56" i="1" s="1"/>
  <c r="P55" i="1"/>
  <c r="V55" i="1" s="1"/>
  <c r="P44" i="1"/>
  <c r="V44" i="1" s="1"/>
  <c r="AA44" i="1" s="1"/>
  <c r="Z44" i="1" s="1"/>
  <c r="Y44" i="1" s="1"/>
  <c r="AD40" i="1"/>
  <c r="P49" i="1"/>
  <c r="V49" i="1" s="1"/>
  <c r="AD43" i="1"/>
  <c r="AA43" i="1" s="1"/>
  <c r="Z43" i="1" s="1"/>
  <c r="Y43" i="1" s="1"/>
  <c r="P37" i="1"/>
  <c r="V37" i="1" s="1"/>
  <c r="AA37" i="1" s="1"/>
  <c r="Z37" i="1" s="1"/>
  <c r="Y37" i="1" s="1"/>
  <c r="AD59" i="1"/>
  <c r="P186" i="1"/>
  <c r="V186" i="1" s="1"/>
  <c r="AA186" i="1" s="1"/>
  <c r="Z186" i="1" s="1"/>
  <c r="Y186" i="1" s="1"/>
  <c r="P234" i="1"/>
  <c r="V234" i="1" s="1"/>
  <c r="AD238" i="1"/>
  <c r="P242" i="1"/>
  <c r="V242" i="1" s="1"/>
  <c r="P292" i="1"/>
  <c r="V292" i="1" s="1"/>
  <c r="F292" i="1" s="1"/>
  <c r="G292" i="1" s="1"/>
  <c r="BW292" i="6" s="1"/>
  <c r="AD311" i="1"/>
  <c r="P325" i="1"/>
  <c r="V325" i="1" s="1"/>
  <c r="F325" i="1" s="1"/>
  <c r="G325" i="1" s="1"/>
  <c r="BW325" i="6" s="1"/>
  <c r="P73" i="1"/>
  <c r="V73" i="1" s="1"/>
  <c r="P77" i="1"/>
  <c r="V77" i="1" s="1"/>
  <c r="P335" i="1"/>
  <c r="V335" i="1" s="1"/>
  <c r="F335" i="1" s="1"/>
  <c r="G335" i="1" s="1"/>
  <c r="BW335" i="6" s="1"/>
  <c r="AD346" i="1"/>
  <c r="P341" i="1"/>
  <c r="V341" i="1" s="1"/>
  <c r="F341" i="1" s="1"/>
  <c r="I341" i="1" s="1"/>
  <c r="AD66" i="1"/>
  <c r="AD274" i="1"/>
  <c r="AD75" i="1"/>
  <c r="P215" i="1"/>
  <c r="V215" i="1" s="1"/>
  <c r="P71" i="1"/>
  <c r="V71" i="1" s="1"/>
  <c r="AD185" i="1"/>
  <c r="AD193" i="1"/>
  <c r="AD195" i="1"/>
  <c r="AD191" i="1"/>
  <c r="AD194" i="1"/>
  <c r="AD197" i="1"/>
  <c r="AD201" i="1"/>
  <c r="P202" i="1"/>
  <c r="V202" i="1" s="1"/>
  <c r="O258" i="17"/>
  <c r="E258" i="17" s="1"/>
  <c r="O234" i="17"/>
  <c r="E234" i="17" s="1"/>
  <c r="O206" i="17"/>
  <c r="E206" i="17" s="1"/>
  <c r="O284" i="17"/>
  <c r="E284" i="17" s="1"/>
  <c r="O248" i="17"/>
  <c r="E248" i="17" s="1"/>
  <c r="O216" i="17"/>
  <c r="E216" i="17" s="1"/>
  <c r="O181" i="17"/>
  <c r="E181" i="17" s="1"/>
  <c r="O158" i="17"/>
  <c r="E158" i="17" s="1"/>
  <c r="O130" i="17"/>
  <c r="E130" i="17" s="1"/>
  <c r="O150" i="17"/>
  <c r="E150" i="17" s="1"/>
  <c r="O375" i="17"/>
  <c r="E375" i="17" s="1"/>
  <c r="O324" i="17"/>
  <c r="E324" i="17" s="1"/>
  <c r="O358" i="17"/>
  <c r="E358" i="17" s="1"/>
  <c r="O331" i="17"/>
  <c r="E331" i="17" s="1"/>
  <c r="O301" i="17"/>
  <c r="E301" i="17" s="1"/>
  <c r="O266" i="17"/>
  <c r="E266" i="17" s="1"/>
  <c r="O231" i="17"/>
  <c r="E231" i="17" s="1"/>
  <c r="O296" i="17"/>
  <c r="E296" i="17" s="1"/>
  <c r="O281" i="17"/>
  <c r="E281" i="17" s="1"/>
  <c r="O242" i="17"/>
  <c r="E242" i="17" s="1"/>
  <c r="O214" i="17"/>
  <c r="E214" i="17" s="1"/>
  <c r="O195" i="17"/>
  <c r="E195" i="17" s="1"/>
  <c r="O172" i="17"/>
  <c r="E172" i="17" s="1"/>
  <c r="O126" i="17"/>
  <c r="E126" i="17" s="1"/>
  <c r="O363" i="17"/>
  <c r="C67" i="7" s="1"/>
  <c r="O364" i="17"/>
  <c r="E364" i="17" s="1"/>
  <c r="O314" i="17"/>
  <c r="E314" i="17" s="1"/>
  <c r="O350" i="17"/>
  <c r="E350" i="17" s="1"/>
  <c r="O323" i="17"/>
  <c r="E323" i="17" s="1"/>
  <c r="O290" i="17"/>
  <c r="E290" i="17" s="1"/>
  <c r="O236" i="17"/>
  <c r="E236" i="17" s="1"/>
  <c r="O302" i="17"/>
  <c r="E302" i="17" s="1"/>
  <c r="O251" i="17"/>
  <c r="E251" i="17" s="1"/>
  <c r="O183" i="17"/>
  <c r="E183" i="17" s="1"/>
  <c r="O135" i="17"/>
  <c r="E135" i="17" s="1"/>
  <c r="O332" i="17"/>
  <c r="E332" i="17" s="1"/>
  <c r="O359" i="17"/>
  <c r="E359" i="17" s="1"/>
  <c r="O310" i="17"/>
  <c r="E310" i="17" s="1"/>
  <c r="O243" i="17"/>
  <c r="E243" i="17" s="1"/>
  <c r="O283" i="17"/>
  <c r="E283" i="17" s="1"/>
  <c r="O215" i="17"/>
  <c r="E215" i="17" s="1"/>
  <c r="O173" i="17"/>
  <c r="E173" i="17" s="1"/>
  <c r="O175" i="17"/>
  <c r="E175" i="17" s="1"/>
  <c r="V13" i="7"/>
  <c r="AT340" i="6"/>
  <c r="J208" i="6"/>
  <c r="AD208" i="1" s="1"/>
  <c r="J207" i="6"/>
  <c r="P207" i="1" s="1"/>
  <c r="V207" i="1" s="1"/>
  <c r="J222" i="6"/>
  <c r="P222" i="1" s="1"/>
  <c r="V222" i="1" s="1"/>
  <c r="J228" i="6"/>
  <c r="P228" i="1" s="1"/>
  <c r="V228" i="1" s="1"/>
  <c r="J226" i="6"/>
  <c r="AD226" i="1" s="1"/>
  <c r="P201" i="1"/>
  <c r="V201" i="1" s="1"/>
  <c r="AT183" i="6"/>
  <c r="AT189" i="6"/>
  <c r="AT172" i="6"/>
  <c r="J213" i="6"/>
  <c r="AD213" i="1" s="1"/>
  <c r="J210" i="6"/>
  <c r="P210" i="1" s="1"/>
  <c r="J204" i="6"/>
  <c r="AD204" i="1" s="1"/>
  <c r="J205" i="6"/>
  <c r="P205" i="1" s="1"/>
  <c r="V205" i="1" s="1"/>
  <c r="J227" i="6"/>
  <c r="P227" i="1" s="1"/>
  <c r="V227" i="1" s="1"/>
  <c r="J221" i="6"/>
  <c r="J223" i="6"/>
  <c r="P223" i="1" s="1"/>
  <c r="V223" i="1" s="1"/>
  <c r="J209" i="6"/>
  <c r="J217" i="6"/>
  <c r="AD217" i="1" s="1"/>
  <c r="J220" i="6"/>
  <c r="P220" i="1" s="1"/>
  <c r="V220" i="1" s="1"/>
  <c r="AY221" i="6"/>
  <c r="P200" i="1"/>
  <c r="V200" i="1" s="1"/>
  <c r="AT170" i="6"/>
  <c r="AT184" i="6"/>
  <c r="AT165" i="6"/>
  <c r="AT162" i="6"/>
  <c r="AT175" i="6"/>
  <c r="AT174" i="6"/>
  <c r="AT176" i="6"/>
  <c r="J171" i="6"/>
  <c r="AD171" i="1" s="1"/>
  <c r="AT173" i="6"/>
  <c r="AT167" i="6"/>
  <c r="AT181" i="6"/>
  <c r="AT186" i="6"/>
  <c r="AT164" i="6"/>
  <c r="AT182" i="6"/>
  <c r="AT163" i="6"/>
  <c r="AT171" i="6"/>
  <c r="AT185" i="6"/>
  <c r="AT177" i="6"/>
  <c r="AT188" i="6"/>
  <c r="AT168" i="6"/>
  <c r="AT178" i="6"/>
  <c r="AT179" i="6"/>
  <c r="P191" i="1"/>
  <c r="V191" i="1" s="1"/>
  <c r="AD192" i="1"/>
  <c r="J162" i="6"/>
  <c r="P162" i="1" s="1"/>
  <c r="V162" i="1" s="1"/>
  <c r="J175" i="6"/>
  <c r="AD175" i="1" s="1"/>
  <c r="P194" i="1"/>
  <c r="V194" i="1" s="1"/>
  <c r="AD71" i="1"/>
  <c r="C11" i="19"/>
  <c r="F35" i="19"/>
  <c r="AY215" i="6"/>
  <c r="AT331" i="6"/>
  <c r="Q11" i="17"/>
  <c r="O272" i="17"/>
  <c r="C64" i="7" s="1"/>
  <c r="O253" i="17"/>
  <c r="E253" i="17" s="1"/>
  <c r="O237" i="17"/>
  <c r="E237" i="17" s="1"/>
  <c r="O227" i="17"/>
  <c r="E227" i="17" s="1"/>
  <c r="O209" i="17"/>
  <c r="E209" i="17" s="1"/>
  <c r="O192" i="17"/>
  <c r="E192" i="17" s="1"/>
  <c r="O304" i="17"/>
  <c r="E304" i="17" s="1"/>
  <c r="O279" i="17"/>
  <c r="E279" i="17" s="1"/>
  <c r="O252" i="17"/>
  <c r="E252" i="17" s="1"/>
  <c r="O241" i="17"/>
  <c r="C63" i="7" s="1"/>
  <c r="O229" i="17"/>
  <c r="E229" i="17" s="1"/>
  <c r="O204" i="17"/>
  <c r="E204" i="17" s="1"/>
  <c r="O194" i="17"/>
  <c r="E194" i="17" s="1"/>
  <c r="O178" i="17"/>
  <c r="E178" i="17" s="1"/>
  <c r="O166" i="17"/>
  <c r="E166" i="17" s="1"/>
  <c r="O146" i="17"/>
  <c r="E146" i="17" s="1"/>
  <c r="O136" i="17"/>
  <c r="E136" i="17" s="1"/>
  <c r="O184" i="17"/>
  <c r="E184" i="17" s="1"/>
  <c r="O156" i="17"/>
  <c r="E156" i="17" s="1"/>
  <c r="O144" i="17"/>
  <c r="E144" i="17" s="1"/>
  <c r="O333" i="17"/>
  <c r="E333" i="17" s="1"/>
  <c r="O379" i="17"/>
  <c r="O360" i="17"/>
  <c r="E360" i="17" s="1"/>
  <c r="O307" i="17"/>
  <c r="E307" i="17" s="1"/>
  <c r="O366" i="17"/>
  <c r="E366" i="17" s="1"/>
  <c r="O354" i="17"/>
  <c r="E354" i="17" s="1"/>
  <c r="O337" i="17"/>
  <c r="E337" i="17" s="1"/>
  <c r="O322" i="17"/>
  <c r="E322" i="17" s="1"/>
  <c r="O311" i="17"/>
  <c r="E311" i="17" s="1"/>
  <c r="O292" i="17"/>
  <c r="E292" i="17" s="1"/>
  <c r="O269" i="17"/>
  <c r="E269" i="17" s="1"/>
  <c r="O262" i="17"/>
  <c r="E262" i="17" s="1"/>
  <c r="O246" i="17"/>
  <c r="E246" i="17" s="1"/>
  <c r="O223" i="17"/>
  <c r="E223" i="17" s="1"/>
  <c r="O193" i="17"/>
  <c r="E193" i="17" s="1"/>
  <c r="O293" i="17"/>
  <c r="E293" i="17" s="1"/>
  <c r="O285" i="17"/>
  <c r="E285" i="17" s="1"/>
  <c r="O271" i="17"/>
  <c r="E271" i="17" s="1"/>
  <c r="O249" i="17"/>
  <c r="E249" i="17" s="1"/>
  <c r="O230" i="17"/>
  <c r="E230" i="17" s="1"/>
  <c r="O218" i="17"/>
  <c r="E218" i="17" s="1"/>
  <c r="O210" i="17"/>
  <c r="C62" i="7" s="1"/>
  <c r="O198" i="17"/>
  <c r="E198" i="17" s="1"/>
  <c r="O189" i="17"/>
  <c r="E189" i="17" s="1"/>
  <c r="O177" i="17"/>
  <c r="E177" i="17" s="1"/>
  <c r="O168" i="17"/>
  <c r="E168" i="17" s="1"/>
  <c r="O137" i="17"/>
  <c r="E137" i="17" s="1"/>
  <c r="O162" i="17"/>
  <c r="E162" i="17" s="1"/>
  <c r="O128" i="17"/>
  <c r="E128" i="17" s="1"/>
  <c r="O349" i="17"/>
  <c r="E349" i="17" s="1"/>
  <c r="O329" i="17"/>
  <c r="E329" i="17" s="1"/>
  <c r="O351" i="17"/>
  <c r="E351" i="17" s="1"/>
  <c r="O325" i="17"/>
  <c r="E325" i="17" s="1"/>
  <c r="O378" i="17"/>
  <c r="E378" i="17" s="1"/>
  <c r="O357" i="17"/>
  <c r="E357" i="17" s="1"/>
  <c r="O344" i="17"/>
  <c r="E344" i="17" s="1"/>
  <c r="O328" i="17"/>
  <c r="E328" i="17" s="1"/>
  <c r="O316" i="17"/>
  <c r="E316" i="17" s="1"/>
  <c r="O308" i="17"/>
  <c r="E308" i="17" s="1"/>
  <c r="O277" i="17"/>
  <c r="E277" i="17" s="1"/>
  <c r="O250" i="17"/>
  <c r="E250" i="17" s="1"/>
  <c r="O224" i="17"/>
  <c r="E224" i="17" s="1"/>
  <c r="O191" i="17"/>
  <c r="E191" i="17" s="1"/>
  <c r="O294" i="17"/>
  <c r="E294" i="17" s="1"/>
  <c r="O276" i="17"/>
  <c r="E276" i="17" s="1"/>
  <c r="O240" i="17"/>
  <c r="E240" i="17" s="1"/>
  <c r="O203" i="17"/>
  <c r="E203" i="17" s="1"/>
  <c r="O176" i="17"/>
  <c r="E176" i="17" s="1"/>
  <c r="O142" i="17"/>
  <c r="E142" i="17" s="1"/>
  <c r="O180" i="17"/>
  <c r="E180" i="17" s="1"/>
  <c r="O132" i="17"/>
  <c r="E132" i="17" s="1"/>
  <c r="O377" i="17"/>
  <c r="E377" i="17" s="1"/>
  <c r="O306" i="17"/>
  <c r="E306" i="17" s="1"/>
  <c r="O348" i="17"/>
  <c r="E348" i="17" s="1"/>
  <c r="O320" i="17"/>
  <c r="E320" i="17" s="1"/>
  <c r="O274" i="17"/>
  <c r="E274" i="17" s="1"/>
  <c r="O257" i="17"/>
  <c r="E257" i="17" s="1"/>
  <c r="O217" i="17"/>
  <c r="E217" i="17" s="1"/>
  <c r="O289" i="17"/>
  <c r="E289" i="17" s="1"/>
  <c r="O263" i="17"/>
  <c r="E263" i="17" s="1"/>
  <c r="O228" i="17"/>
  <c r="E228" i="17" s="1"/>
  <c r="O207" i="17"/>
  <c r="E207" i="17" s="1"/>
  <c r="O188" i="17"/>
  <c r="E188" i="17" s="1"/>
  <c r="O161" i="17"/>
  <c r="E161" i="17" s="1"/>
  <c r="O133" i="17"/>
  <c r="E133" i="17" s="1"/>
  <c r="O159" i="17"/>
  <c r="E159" i="17" s="1"/>
  <c r="AJ6" i="15"/>
  <c r="AJ8" i="15"/>
  <c r="W13" i="7"/>
  <c r="O134" i="17"/>
  <c r="E134" i="17" s="1"/>
  <c r="O155" i="17"/>
  <c r="E155" i="17" s="1"/>
  <c r="O167" i="17"/>
  <c r="E167" i="17" s="1"/>
  <c r="O127" i="17"/>
  <c r="E127" i="17" s="1"/>
  <c r="O143" i="17"/>
  <c r="E143" i="17" s="1"/>
  <c r="O151" i="17"/>
  <c r="E151" i="17" s="1"/>
  <c r="O170" i="17"/>
  <c r="E170" i="17" s="1"/>
  <c r="O182" i="17"/>
  <c r="E182" i="17" s="1"/>
  <c r="O190" i="17"/>
  <c r="E190" i="17" s="1"/>
  <c r="O201" i="17"/>
  <c r="E201" i="17" s="1"/>
  <c r="O212" i="17"/>
  <c r="E212" i="17" s="1"/>
  <c r="O221" i="17"/>
  <c r="E221" i="17" s="1"/>
  <c r="O233" i="17"/>
  <c r="E233" i="17" s="1"/>
  <c r="O259" i="17"/>
  <c r="E259" i="17" s="1"/>
  <c r="O280" i="17"/>
  <c r="E280" i="17" s="1"/>
  <c r="O286" i="17"/>
  <c r="E286" i="17" s="1"/>
  <c r="O295" i="17"/>
  <c r="E295" i="17" s="1"/>
  <c r="O199" i="17"/>
  <c r="E199" i="17" s="1"/>
  <c r="O226" i="17"/>
  <c r="E226" i="17" s="1"/>
  <c r="O254" i="17"/>
  <c r="E254" i="17" s="1"/>
  <c r="O265" i="17"/>
  <c r="E265" i="17" s="1"/>
  <c r="O270" i="17"/>
  <c r="E270" i="17" s="1"/>
  <c r="O299" i="17"/>
  <c r="E299" i="17" s="1"/>
  <c r="O315" i="17"/>
  <c r="E315" i="17" s="1"/>
  <c r="O330" i="17"/>
  <c r="E330" i="17" s="1"/>
  <c r="O343" i="17"/>
  <c r="E343" i="17" s="1"/>
  <c r="O356" i="17"/>
  <c r="E356" i="17" s="1"/>
  <c r="O370" i="17"/>
  <c r="E370" i="17" s="1"/>
  <c r="O319" i="17"/>
  <c r="E319" i="17" s="1"/>
  <c r="O371" i="17"/>
  <c r="E371" i="17" s="1"/>
  <c r="O365" i="17"/>
  <c r="E365" i="17" s="1"/>
  <c r="O339" i="17"/>
  <c r="E339" i="17" s="1"/>
  <c r="O147" i="17"/>
  <c r="E147" i="17" s="1"/>
  <c r="O164" i="17"/>
  <c r="E164" i="17" s="1"/>
  <c r="O124" i="17"/>
  <c r="E124" i="17" s="1"/>
  <c r="O138" i="17"/>
  <c r="E138" i="17" s="1"/>
  <c r="O154" i="17"/>
  <c r="E154" i="17" s="1"/>
  <c r="O169" i="17"/>
  <c r="E169" i="17" s="1"/>
  <c r="O179" i="17"/>
  <c r="E179" i="17" s="1"/>
  <c r="O196" i="17"/>
  <c r="E196" i="17" s="1"/>
  <c r="O211" i="17"/>
  <c r="E211" i="17" s="1"/>
  <c r="O235" i="17"/>
  <c r="E235" i="17" s="1"/>
  <c r="O245" i="17"/>
  <c r="E245" i="17" s="1"/>
  <c r="O260" i="17"/>
  <c r="E260" i="17" s="1"/>
  <c r="O282" i="17"/>
  <c r="E282" i="17" s="1"/>
  <c r="O291" i="17"/>
  <c r="E291" i="17" s="1"/>
  <c r="O300" i="17"/>
  <c r="E300" i="17" s="1"/>
  <c r="O185" i="17"/>
  <c r="E185" i="17" s="1"/>
  <c r="O202" i="17"/>
  <c r="E202" i="17" s="1"/>
  <c r="O220" i="17"/>
  <c r="E220" i="17" s="1"/>
  <c r="O232" i="17"/>
  <c r="E232" i="17" s="1"/>
  <c r="O238" i="17"/>
  <c r="E238" i="17" s="1"/>
  <c r="O255" i="17"/>
  <c r="E255" i="17" s="1"/>
  <c r="O275" i="17"/>
  <c r="E275" i="17" s="1"/>
  <c r="O278" i="17"/>
  <c r="E278" i="17" s="1"/>
  <c r="O298" i="17"/>
  <c r="E298" i="17" s="1"/>
  <c r="O309" i="17"/>
  <c r="E309" i="17" s="1"/>
  <c r="O313" i="17"/>
  <c r="E313" i="17" s="1"/>
  <c r="O318" i="17"/>
  <c r="E318" i="17" s="1"/>
  <c r="O326" i="17"/>
  <c r="E326" i="17" s="1"/>
  <c r="O334" i="17"/>
  <c r="E334" i="17" s="1"/>
  <c r="O341" i="17"/>
  <c r="E341" i="17" s="1"/>
  <c r="O346" i="17"/>
  <c r="E346" i="17" s="1"/>
  <c r="O353" i="17"/>
  <c r="E353" i="17" s="1"/>
  <c r="O361" i="17"/>
  <c r="E361" i="17" s="1"/>
  <c r="O369" i="17"/>
  <c r="E369" i="17" s="1"/>
  <c r="O303" i="17"/>
  <c r="E303" i="17" s="1"/>
  <c r="O321" i="17"/>
  <c r="E321" i="17" s="1"/>
  <c r="O327" i="17"/>
  <c r="E327" i="17" s="1"/>
  <c r="O347" i="17"/>
  <c r="E347" i="17" s="1"/>
  <c r="O362" i="17"/>
  <c r="E362" i="17" s="1"/>
  <c r="O305" i="17"/>
  <c r="E305" i="17" s="1"/>
  <c r="O336" i="17"/>
  <c r="E336" i="17" s="1"/>
  <c r="O368" i="17"/>
  <c r="E368" i="17" s="1"/>
  <c r="O352" i="17"/>
  <c r="E352" i="17" s="1"/>
  <c r="O374" i="17"/>
  <c r="E374" i="17" s="1"/>
  <c r="O139" i="17"/>
  <c r="E139" i="17" s="1"/>
  <c r="O157" i="17"/>
  <c r="E157" i="17" s="1"/>
  <c r="O171" i="17"/>
  <c r="E171" i="17" s="1"/>
  <c r="O129" i="17"/>
  <c r="E129" i="17" s="1"/>
  <c r="O145" i="17"/>
  <c r="E145" i="17" s="1"/>
  <c r="O160" i="17"/>
  <c r="E160" i="17" s="1"/>
  <c r="O10" i="18"/>
  <c r="AA13" i="7" s="1"/>
  <c r="AG10" i="7" s="1"/>
  <c r="AD215" i="1"/>
  <c r="P294" i="1"/>
  <c r="V294" i="1" s="1"/>
  <c r="F294" i="1" s="1"/>
  <c r="G294" i="1" s="1"/>
  <c r="BW294" i="6" s="1"/>
  <c r="AD303" i="1"/>
  <c r="P72" i="1"/>
  <c r="V72" i="1" s="1"/>
  <c r="AD339" i="1"/>
  <c r="P315" i="1"/>
  <c r="V315" i="1" s="1"/>
  <c r="F315" i="1" s="1"/>
  <c r="P340" i="1"/>
  <c r="V340" i="1" s="1"/>
  <c r="F340" i="1" s="1"/>
  <c r="I340" i="1" s="1"/>
  <c r="P332" i="1"/>
  <c r="V332" i="1" s="1"/>
  <c r="F332" i="1" s="1"/>
  <c r="I332" i="1" s="1"/>
  <c r="AD181" i="1"/>
  <c r="AD180" i="1"/>
  <c r="P187" i="1"/>
  <c r="V187" i="1" s="1"/>
  <c r="R198" i="1"/>
  <c r="P198" i="1" s="1"/>
  <c r="AD48" i="1"/>
  <c r="AD51" i="1"/>
  <c r="P60" i="1"/>
  <c r="D21" i="7" s="1"/>
  <c r="AD203" i="1"/>
  <c r="P42" i="1"/>
  <c r="V42" i="1" s="1"/>
  <c r="AD49" i="1"/>
  <c r="AD58" i="1"/>
  <c r="P185" i="1"/>
  <c r="V185" i="1" s="1"/>
  <c r="P209" i="1"/>
  <c r="V209" i="1" s="1"/>
  <c r="P203" i="1"/>
  <c r="V203" i="1" s="1"/>
  <c r="P331" i="1"/>
  <c r="V331" i="1" s="1"/>
  <c r="F331" i="1" s="1"/>
  <c r="G331" i="1" s="1"/>
  <c r="BW331" i="6" s="1"/>
  <c r="P345" i="1"/>
  <c r="V345" i="1" s="1"/>
  <c r="F345" i="1" s="1"/>
  <c r="G345" i="1" s="1"/>
  <c r="BW345" i="6" s="1"/>
  <c r="P302" i="1"/>
  <c r="D29" i="7" s="1"/>
  <c r="P350" i="1"/>
  <c r="V350" i="1" s="1"/>
  <c r="F350" i="1" s="1"/>
  <c r="AD199" i="1"/>
  <c r="AD288" i="1"/>
  <c r="AD318" i="1"/>
  <c r="AD65" i="1"/>
  <c r="P334" i="1"/>
  <c r="V334" i="1" s="1"/>
  <c r="F334" i="1" s="1"/>
  <c r="G334" i="1" s="1"/>
  <c r="BW334" i="6" s="1"/>
  <c r="AD323" i="1"/>
  <c r="P295" i="1"/>
  <c r="V295" i="1" s="1"/>
  <c r="F295" i="1" s="1"/>
  <c r="G295" i="1" s="1"/>
  <c r="BW295" i="6" s="1"/>
  <c r="AD177" i="1"/>
  <c r="P183" i="1"/>
  <c r="V183" i="1" s="1"/>
  <c r="P184" i="1"/>
  <c r="V184" i="1" s="1"/>
  <c r="AD176" i="1"/>
  <c r="AD188" i="1"/>
  <c r="AD182" i="1"/>
  <c r="AT330" i="6"/>
  <c r="AY212" i="6"/>
  <c r="AY209" i="6"/>
  <c r="AT335" i="6"/>
  <c r="AT343" i="6"/>
  <c r="AY204" i="6"/>
  <c r="AY210" i="6"/>
  <c r="AY214" i="6"/>
  <c r="AT334" i="6"/>
  <c r="AT349" i="6"/>
  <c r="AT342" i="6"/>
  <c r="AT350" i="6"/>
  <c r="AT332" i="6"/>
  <c r="AY205" i="6"/>
  <c r="AY211" i="6"/>
  <c r="AY227" i="6"/>
  <c r="AY231" i="6"/>
  <c r="AY217" i="6"/>
  <c r="AY207" i="6"/>
  <c r="AY213" i="6"/>
  <c r="AT348" i="6"/>
  <c r="AT356" i="6"/>
  <c r="AT354" i="6"/>
  <c r="AY24" i="6"/>
  <c r="J219" i="6"/>
  <c r="P219" i="1" s="1"/>
  <c r="V219" i="1" s="1"/>
  <c r="AT341" i="6"/>
  <c r="AT337" i="6"/>
  <c r="AT338" i="6"/>
  <c r="AT353" i="6"/>
  <c r="AT345" i="6"/>
  <c r="AT346" i="6"/>
  <c r="AT336" i="6"/>
  <c r="AT344" i="6"/>
  <c r="AY218" i="6"/>
  <c r="AY228" i="6"/>
  <c r="AY224" i="6"/>
  <c r="AY208" i="6"/>
  <c r="AY219" i="6"/>
  <c r="AY222" i="6"/>
  <c r="AY206" i="6"/>
  <c r="AY225" i="6"/>
  <c r="AY229" i="6"/>
  <c r="AY216" i="6"/>
  <c r="AY220" i="6"/>
  <c r="AY226" i="6"/>
  <c r="AY223" i="6"/>
  <c r="AY230" i="6"/>
  <c r="AT144" i="6"/>
  <c r="AT142" i="6"/>
  <c r="AD184" i="1"/>
  <c r="P176" i="1"/>
  <c r="V176" i="1" s="1"/>
  <c r="AT355" i="6"/>
  <c r="AT347" i="6"/>
  <c r="AT357" i="6"/>
  <c r="AT339" i="6"/>
  <c r="AT351" i="6"/>
  <c r="AT352" i="6"/>
  <c r="P177" i="1"/>
  <c r="V177" i="1" s="1"/>
  <c r="AT333" i="6"/>
  <c r="AY179" i="6"/>
  <c r="P323" i="1"/>
  <c r="V323" i="1" s="1"/>
  <c r="F323" i="1" s="1"/>
  <c r="I323" i="1" s="1"/>
  <c r="AJ7" i="15"/>
  <c r="AJ11" i="15" s="1"/>
  <c r="AJ5" i="15"/>
  <c r="AC9" i="18"/>
  <c r="AC12" i="18"/>
  <c r="O12" i="18"/>
  <c r="AJ26" i="20"/>
  <c r="AJ61" i="20"/>
  <c r="AJ121" i="20"/>
  <c r="AJ133" i="20"/>
  <c r="AJ120" i="20"/>
  <c r="AJ200" i="20"/>
  <c r="AJ255" i="20"/>
  <c r="AJ196" i="20"/>
  <c r="AJ267" i="20"/>
  <c r="AJ339" i="20"/>
  <c r="AJ336" i="20"/>
  <c r="F7" i="20"/>
  <c r="AJ63" i="20"/>
  <c r="AJ87" i="20"/>
  <c r="AJ90" i="20"/>
  <c r="AJ161" i="20"/>
  <c r="AJ167" i="20"/>
  <c r="AJ230" i="20"/>
  <c r="AJ286" i="20"/>
  <c r="AJ232" i="20"/>
  <c r="AJ306" i="20"/>
  <c r="AJ364" i="20"/>
  <c r="AJ356" i="20"/>
  <c r="AF13" i="7"/>
  <c r="AJ15" i="20"/>
  <c r="AJ32" i="20"/>
  <c r="AJ21" i="20"/>
  <c r="AJ52" i="20"/>
  <c r="AJ35" i="20"/>
  <c r="AJ49" i="20"/>
  <c r="AJ64" i="20"/>
  <c r="AJ74" i="20"/>
  <c r="AJ92" i="20"/>
  <c r="AJ110" i="20"/>
  <c r="AJ124" i="20"/>
  <c r="AJ81" i="20"/>
  <c r="AJ93" i="20"/>
  <c r="AJ106" i="20"/>
  <c r="AJ136" i="20"/>
  <c r="AJ149" i="20"/>
  <c r="AJ163" i="20"/>
  <c r="AJ179" i="20"/>
  <c r="AJ134" i="20"/>
  <c r="AJ154" i="20"/>
  <c r="AJ174" i="20"/>
  <c r="AJ186" i="20"/>
  <c r="AJ206" i="20"/>
  <c r="AJ223" i="20"/>
  <c r="AJ233" i="20"/>
  <c r="AJ246" i="20"/>
  <c r="AJ259" i="20"/>
  <c r="AJ276" i="20"/>
  <c r="AJ292" i="20"/>
  <c r="AJ188" i="20"/>
  <c r="AJ201" i="20"/>
  <c r="AJ212" i="20"/>
  <c r="AJ235" i="20"/>
  <c r="AJ258" i="20"/>
  <c r="AJ273" i="20"/>
  <c r="AJ290" i="20"/>
  <c r="AJ309" i="20"/>
  <c r="AJ322" i="20"/>
  <c r="AJ341" i="20"/>
  <c r="AJ352" i="20"/>
  <c r="AJ366" i="20"/>
  <c r="AJ308" i="20"/>
  <c r="AJ346" i="20"/>
  <c r="AJ310" i="20"/>
  <c r="AJ367" i="20"/>
  <c r="AJ355" i="20"/>
  <c r="AJ34" i="20"/>
  <c r="AJ57" i="20"/>
  <c r="AJ51" i="20"/>
  <c r="AJ77" i="20"/>
  <c r="AJ113" i="20"/>
  <c r="AJ84" i="20"/>
  <c r="AJ122" i="20"/>
  <c r="AJ153" i="20"/>
  <c r="AJ112" i="20"/>
  <c r="AJ158" i="20"/>
  <c r="AJ189" i="20"/>
  <c r="AJ226" i="20"/>
  <c r="AJ249" i="20"/>
  <c r="AJ278" i="20"/>
  <c r="AJ191" i="20"/>
  <c r="AJ216" i="20"/>
  <c r="AJ262" i="20"/>
  <c r="AJ294" i="20"/>
  <c r="AJ330" i="20"/>
  <c r="AJ357" i="20"/>
  <c r="AJ319" i="20"/>
  <c r="AJ316" i="20"/>
  <c r="AJ379" i="20"/>
  <c r="AJ374" i="20"/>
  <c r="AJ349" i="20"/>
  <c r="AJ287" i="20"/>
  <c r="AJ210" i="20"/>
  <c r="AJ272" i="20"/>
  <c r="AJ221" i="20"/>
  <c r="AJ151" i="20"/>
  <c r="AJ146" i="20"/>
  <c r="AJ75" i="20"/>
  <c r="AJ71" i="20"/>
  <c r="AJ43" i="20"/>
  <c r="AJ380" i="20"/>
  <c r="AJ20" i="20"/>
  <c r="AJ59" i="20"/>
  <c r="AJ55" i="20"/>
  <c r="AJ80" i="20"/>
  <c r="AJ116" i="20"/>
  <c r="AJ86" i="20"/>
  <c r="AJ131" i="20"/>
  <c r="AJ157" i="20"/>
  <c r="AJ117" i="20"/>
  <c r="AJ164" i="20"/>
  <c r="AJ197" i="20"/>
  <c r="AJ228" i="20"/>
  <c r="AJ251" i="20"/>
  <c r="AJ283" i="20"/>
  <c r="AJ194" i="20"/>
  <c r="AJ219" i="20"/>
  <c r="AJ265" i="20"/>
  <c r="AJ299" i="20"/>
  <c r="AJ332" i="20"/>
  <c r="AJ361" i="20"/>
  <c r="AJ329" i="20"/>
  <c r="AJ327" i="20"/>
  <c r="AJ22" i="20"/>
  <c r="AJ40" i="20"/>
  <c r="AJ97" i="20"/>
  <c r="AJ96" i="20"/>
  <c r="AJ168" i="20"/>
  <c r="AJ176" i="20"/>
  <c r="AJ237" i="20"/>
  <c r="AJ298" i="20"/>
  <c r="AJ244" i="20"/>
  <c r="AJ314" i="20"/>
  <c r="AJ372" i="20"/>
  <c r="AJ369" i="20"/>
  <c r="AJ325" i="20"/>
  <c r="AJ320" i="20"/>
  <c r="AJ303" i="20"/>
  <c r="AJ184" i="20"/>
  <c r="AJ102" i="20"/>
  <c r="AJ46" i="20"/>
  <c r="AJ335" i="20"/>
  <c r="AJ378" i="20"/>
  <c r="AJ360" i="20"/>
  <c r="AJ323" i="20"/>
  <c r="AJ377" i="20"/>
  <c r="AJ353" i="20"/>
  <c r="AJ338" i="20"/>
  <c r="AJ326" i="20"/>
  <c r="AJ297" i="20"/>
  <c r="AJ373" i="20"/>
  <c r="AJ365" i="20"/>
  <c r="AJ358" i="20"/>
  <c r="AJ351" i="20"/>
  <c r="AJ344" i="20"/>
  <c r="AJ340" i="20"/>
  <c r="AJ331" i="20"/>
  <c r="AJ321" i="20"/>
  <c r="AJ315" i="20"/>
  <c r="AJ307" i="20"/>
  <c r="AJ295" i="20"/>
  <c r="AJ288" i="20"/>
  <c r="AJ280" i="20"/>
  <c r="AJ270" i="20"/>
  <c r="AJ263" i="20"/>
  <c r="AJ256" i="20"/>
  <c r="AJ245" i="20"/>
  <c r="AJ234" i="20"/>
  <c r="AJ217" i="20"/>
  <c r="AJ211" i="20"/>
  <c r="AJ205" i="20"/>
  <c r="AJ198" i="20"/>
  <c r="AJ192" i="20"/>
  <c r="AJ183" i="20"/>
  <c r="AJ300" i="20"/>
  <c r="AJ289" i="20"/>
  <c r="AJ281" i="20"/>
  <c r="AJ275" i="20"/>
  <c r="AJ268" i="20"/>
  <c r="AJ257" i="20"/>
  <c r="AJ250" i="20"/>
  <c r="AJ242" i="20"/>
  <c r="AJ238" i="20"/>
  <c r="AJ231" i="20"/>
  <c r="AJ227" i="20"/>
  <c r="AJ222" i="20"/>
  <c r="AJ215" i="20"/>
  <c r="AJ204" i="20"/>
  <c r="AJ193" i="20"/>
  <c r="AJ185" i="20"/>
  <c r="AJ178" i="20"/>
  <c r="AJ173" i="20"/>
  <c r="AJ160" i="20"/>
  <c r="AJ152" i="20"/>
  <c r="AJ143" i="20"/>
  <c r="AJ129" i="20"/>
  <c r="AJ114" i="20"/>
  <c r="AJ177" i="20"/>
  <c r="AJ169" i="20"/>
  <c r="AJ162" i="20"/>
  <c r="AJ155" i="20"/>
  <c r="AJ148" i="20"/>
  <c r="AJ140" i="20"/>
  <c r="AJ135" i="20"/>
  <c r="AJ130" i="20"/>
  <c r="AJ103" i="20"/>
  <c r="AJ98" i="20"/>
  <c r="AJ91" i="20"/>
  <c r="AJ85" i="20"/>
  <c r="AJ78" i="20"/>
  <c r="AJ127" i="20"/>
  <c r="AJ123" i="20"/>
  <c r="AJ115" i="20"/>
  <c r="AJ109" i="20"/>
  <c r="AJ100" i="20"/>
  <c r="AJ89" i="20"/>
  <c r="AJ79" i="20"/>
  <c r="AJ73" i="20"/>
  <c r="AJ68" i="20"/>
  <c r="AJ62" i="20"/>
  <c r="AJ54" i="20"/>
  <c r="AJ48" i="20"/>
  <c r="AJ41" i="20"/>
  <c r="AJ66" i="20"/>
  <c r="AJ58" i="20"/>
  <c r="AJ47" i="20"/>
  <c r="AJ37" i="20"/>
  <c r="AJ28" i="20"/>
  <c r="AJ19" i="20"/>
  <c r="AJ31" i="20"/>
  <c r="AJ23" i="20"/>
  <c r="AJ17" i="20"/>
  <c r="AJ25" i="20"/>
  <c r="AJ44" i="20"/>
  <c r="AJ104" i="20"/>
  <c r="AJ99" i="20"/>
  <c r="AJ170" i="20"/>
  <c r="AJ181" i="20"/>
  <c r="AJ239" i="20"/>
  <c r="AJ301" i="20"/>
  <c r="AJ247" i="20"/>
  <c r="AJ317" i="20"/>
  <c r="AJ375" i="20"/>
  <c r="AJ305" i="20"/>
  <c r="AJ67" i="20"/>
  <c r="AJ139" i="20"/>
  <c r="AJ214" i="20"/>
  <c r="AJ203" i="20"/>
  <c r="AJ343" i="20"/>
  <c r="AJ296" i="20"/>
  <c r="AJ241" i="20"/>
  <c r="AJ107" i="20"/>
  <c r="AJ324" i="20"/>
  <c r="AJ337" i="20"/>
  <c r="AJ370" i="20"/>
  <c r="AJ333" i="20"/>
  <c r="AJ376" i="20"/>
  <c r="AJ362" i="20"/>
  <c r="AJ348" i="20"/>
  <c r="AJ334" i="20"/>
  <c r="AJ318" i="20"/>
  <c r="AJ304" i="20"/>
  <c r="AJ284" i="20"/>
  <c r="AJ266" i="20"/>
  <c r="AJ253" i="20"/>
  <c r="AJ225" i="20"/>
  <c r="AJ209" i="20"/>
  <c r="AJ195" i="20"/>
  <c r="AJ302" i="20"/>
  <c r="AJ285" i="20"/>
  <c r="AJ271" i="20"/>
  <c r="AJ252" i="20"/>
  <c r="AJ240" i="20"/>
  <c r="AJ229" i="20"/>
  <c r="AJ220" i="20"/>
  <c r="AJ199" i="20"/>
  <c r="AJ182" i="20"/>
  <c r="AJ165" i="20"/>
  <c r="AJ147" i="20"/>
  <c r="AJ118" i="20"/>
  <c r="AJ171" i="20"/>
  <c r="AJ159" i="20"/>
  <c r="AJ145" i="20"/>
  <c r="AJ132" i="20"/>
  <c r="AJ101" i="20"/>
  <c r="AJ88" i="20"/>
  <c r="AJ72" i="20"/>
  <c r="AJ119" i="20"/>
  <c r="AJ105" i="20"/>
  <c r="AJ82" i="20"/>
  <c r="AJ70" i="20"/>
  <c r="AJ56" i="20"/>
  <c r="AJ45" i="20"/>
  <c r="AJ60" i="20"/>
  <c r="AJ42" i="20"/>
  <c r="AJ24" i="20"/>
  <c r="AJ29" i="20"/>
  <c r="AJ16" i="20"/>
  <c r="AJ39" i="20"/>
  <c r="AJ69" i="20"/>
  <c r="AJ128" i="20"/>
  <c r="AJ141" i="20"/>
  <c r="AJ144" i="20"/>
  <c r="AJ218" i="20"/>
  <c r="AJ269" i="20"/>
  <c r="AJ208" i="20"/>
  <c r="AJ282" i="20"/>
  <c r="AJ345" i="20"/>
  <c r="AJ359" i="20"/>
  <c r="AJ36" i="20"/>
  <c r="AJ126" i="20"/>
  <c r="AJ142" i="20"/>
  <c r="AJ264" i="20"/>
  <c r="AJ279" i="20"/>
  <c r="AJ350" i="20"/>
  <c r="AJ254" i="20"/>
  <c r="AJ172" i="20"/>
  <c r="AJ30" i="20"/>
  <c r="AJ363" i="20"/>
  <c r="AJ368" i="20"/>
  <c r="AJ312" i="20"/>
  <c r="AJ347" i="20"/>
  <c r="AJ311" i="20"/>
  <c r="AJ371" i="20"/>
  <c r="AJ354" i="20"/>
  <c r="AJ342" i="20"/>
  <c r="AJ328" i="20"/>
  <c r="AJ313" i="20"/>
  <c r="AJ291" i="20"/>
  <c r="AJ274" i="20"/>
  <c r="AJ260" i="20"/>
  <c r="AJ243" i="20"/>
  <c r="AJ213" i="20"/>
  <c r="AJ202" i="20"/>
  <c r="AJ190" i="20"/>
  <c r="AJ293" i="20"/>
  <c r="AJ277" i="20"/>
  <c r="AJ261" i="20"/>
  <c r="AJ248" i="20"/>
  <c r="AJ236" i="20"/>
  <c r="AJ224" i="20"/>
  <c r="AJ207" i="20"/>
  <c r="AJ187" i="20"/>
  <c r="AJ175" i="20"/>
  <c r="AJ156" i="20"/>
  <c r="AJ137" i="20"/>
  <c r="AJ180" i="20"/>
  <c r="AJ166" i="20"/>
  <c r="AJ150" i="20"/>
  <c r="AJ138" i="20"/>
  <c r="AJ108" i="20"/>
  <c r="AJ95" i="20"/>
  <c r="AJ83" i="20"/>
  <c r="AJ125" i="20"/>
  <c r="AJ111" i="20"/>
  <c r="AJ94" i="20"/>
  <c r="AJ76" i="20"/>
  <c r="AJ65" i="20"/>
  <c r="AJ50" i="20"/>
  <c r="AJ38" i="20"/>
  <c r="AJ53" i="20"/>
  <c r="AJ27" i="20"/>
  <c r="AJ33" i="20"/>
  <c r="AJ18" i="20"/>
  <c r="O11" i="15"/>
  <c r="AC12" i="15"/>
  <c r="AC9" i="15"/>
  <c r="O12" i="15"/>
  <c r="AJ5" i="18"/>
  <c r="O10" i="15"/>
  <c r="O11" i="18"/>
  <c r="O9" i="22"/>
  <c r="AL7" i="15"/>
  <c r="AL11" i="15" s="1"/>
  <c r="J168" i="6"/>
  <c r="AD168" i="1" s="1"/>
  <c r="P180" i="1"/>
  <c r="D25" i="7" s="1"/>
  <c r="J163" i="6"/>
  <c r="P163" i="1" s="1"/>
  <c r="V163" i="1" s="1"/>
  <c r="AD315" i="1"/>
  <c r="AD350" i="1"/>
  <c r="AT161" i="6"/>
  <c r="AD187" i="1"/>
  <c r="AD183" i="1"/>
  <c r="AD295" i="1"/>
  <c r="AT139" i="6"/>
  <c r="AD296" i="1"/>
  <c r="J169" i="6"/>
  <c r="P169" i="1" s="1"/>
  <c r="V169" i="1" s="1"/>
  <c r="AD294" i="1"/>
  <c r="J122" i="6"/>
  <c r="AD122" i="1" s="1"/>
  <c r="P303" i="1"/>
  <c r="V303" i="1" s="1"/>
  <c r="F303" i="1" s="1"/>
  <c r="AD76" i="1"/>
  <c r="AT149" i="6"/>
  <c r="AT145" i="6"/>
  <c r="AT141" i="6"/>
  <c r="AD352" i="1"/>
  <c r="P339" i="1"/>
  <c r="V339" i="1" s="1"/>
  <c r="F339" i="1" s="1"/>
  <c r="AD73" i="1"/>
  <c r="AD325" i="1"/>
  <c r="P321" i="1"/>
  <c r="V321" i="1" s="1"/>
  <c r="F321" i="1" s="1"/>
  <c r="I321" i="1" s="1"/>
  <c r="AD67" i="1"/>
  <c r="P65" i="1"/>
  <c r="V65" i="1" s="1"/>
  <c r="P356" i="1"/>
  <c r="V356" i="1" s="1"/>
  <c r="F356" i="1" s="1"/>
  <c r="G356" i="1" s="1"/>
  <c r="BW356" i="6" s="1"/>
  <c r="AD324" i="1"/>
  <c r="AD69" i="1"/>
  <c r="AD330" i="1"/>
  <c r="P336" i="1"/>
  <c r="V336" i="1" s="1"/>
  <c r="F336" i="1" s="1"/>
  <c r="I336" i="1" s="1"/>
  <c r="P66" i="1"/>
  <c r="V66" i="1" s="1"/>
  <c r="AD317" i="1"/>
  <c r="P173" i="1"/>
  <c r="V173" i="1" s="1"/>
  <c r="AD173" i="1"/>
  <c r="AD349" i="1"/>
  <c r="AD275" i="1"/>
  <c r="AT321" i="6"/>
  <c r="AD245" i="1"/>
  <c r="AD328" i="1"/>
  <c r="J117" i="6"/>
  <c r="J119" i="6"/>
  <c r="AD119" i="1" s="1"/>
  <c r="J164" i="6"/>
  <c r="P164" i="1" s="1"/>
  <c r="V164" i="1" s="1"/>
  <c r="J165" i="6"/>
  <c r="AD165" i="1" s="1"/>
  <c r="J166" i="6"/>
  <c r="AD166" i="1" s="1"/>
  <c r="J170" i="6"/>
  <c r="P170" i="1" s="1"/>
  <c r="V170" i="1" s="1"/>
  <c r="J167" i="6"/>
  <c r="AD167" i="1" s="1"/>
  <c r="J172" i="6"/>
  <c r="AD172" i="1" s="1"/>
  <c r="P319" i="1"/>
  <c r="V319" i="1" s="1"/>
  <c r="P318" i="1"/>
  <c r="V318" i="1" s="1"/>
  <c r="F318" i="1" s="1"/>
  <c r="I318" i="1" s="1"/>
  <c r="P280" i="1"/>
  <c r="V280" i="1" s="1"/>
  <c r="AD353" i="1"/>
  <c r="P310" i="1"/>
  <c r="V310" i="1" s="1"/>
  <c r="F310" i="1" s="1"/>
  <c r="AD289" i="1"/>
  <c r="P285" i="1"/>
  <c r="V285" i="1" s="1"/>
  <c r="P309" i="1"/>
  <c r="V309" i="1" s="1"/>
  <c r="F309" i="1" s="1"/>
  <c r="I309" i="1" s="1"/>
  <c r="AD333" i="1"/>
  <c r="P314" i="1"/>
  <c r="V314" i="1" s="1"/>
  <c r="F314" i="1" s="1"/>
  <c r="I314" i="1" s="1"/>
  <c r="P182" i="1"/>
  <c r="V182" i="1" s="1"/>
  <c r="P64" i="1"/>
  <c r="V64" i="1" s="1"/>
  <c r="P291" i="1"/>
  <c r="V291" i="1" s="1"/>
  <c r="F291" i="1" s="1"/>
  <c r="G291" i="1" s="1"/>
  <c r="BW291" i="6" s="1"/>
  <c r="AD190" i="1"/>
  <c r="P181" i="1"/>
  <c r="V181" i="1" s="1"/>
  <c r="P75" i="1"/>
  <c r="V75" i="1" s="1"/>
  <c r="P313" i="1"/>
  <c r="V313" i="1" s="1"/>
  <c r="F313" i="1" s="1"/>
  <c r="P196" i="1"/>
  <c r="V196" i="1" s="1"/>
  <c r="AH223" i="1"/>
  <c r="AG223" i="1" s="1"/>
  <c r="AF223" i="1" s="1"/>
  <c r="AH259" i="1"/>
  <c r="AG259" i="1" s="1"/>
  <c r="AF259" i="1" s="1"/>
  <c r="D16" i="7"/>
  <c r="T379" i="1"/>
  <c r="S379" i="1" s="1"/>
  <c r="R379" i="1" s="1"/>
  <c r="BR16" i="7"/>
  <c r="U12" i="15"/>
  <c r="I16" i="7" s="1"/>
  <c r="J11" i="7"/>
  <c r="U11" i="15" s="1"/>
  <c r="AD340" i="1"/>
  <c r="L13" i="19"/>
  <c r="AI11" i="16"/>
  <c r="AE11" i="16"/>
  <c r="P10" i="16"/>
  <c r="AH221" i="1"/>
  <c r="AG221" i="1" s="1"/>
  <c r="AF221" i="1" s="1"/>
  <c r="T221" i="1"/>
  <c r="S221" i="1" s="1"/>
  <c r="R221" i="1" s="1"/>
  <c r="T289" i="1"/>
  <c r="S289" i="1" s="1"/>
  <c r="R289" i="1" s="1"/>
  <c r="P289" i="1" s="1"/>
  <c r="V289" i="1" s="1"/>
  <c r="F289" i="1" s="1"/>
  <c r="T307" i="1"/>
  <c r="S307" i="1" s="1"/>
  <c r="R307" i="1" s="1"/>
  <c r="T322" i="1"/>
  <c r="S322" i="1" s="1"/>
  <c r="R322" i="1" s="1"/>
  <c r="P322" i="1" s="1"/>
  <c r="V322" i="1" s="1"/>
  <c r="F322" i="1" s="1"/>
  <c r="I322" i="1" s="1"/>
  <c r="AH348" i="1"/>
  <c r="AG348" i="1" s="1"/>
  <c r="AF348" i="1" s="1"/>
  <c r="AD348" i="1" s="1"/>
  <c r="AH307" i="1"/>
  <c r="AG307" i="1" s="1"/>
  <c r="AF307" i="1" s="1"/>
  <c r="AH262" i="1"/>
  <c r="AG262" i="1" s="1"/>
  <c r="AF262" i="1" s="1"/>
  <c r="T236" i="1"/>
  <c r="S236" i="1" s="1"/>
  <c r="R236" i="1" s="1"/>
  <c r="T305" i="1"/>
  <c r="AH286" i="1"/>
  <c r="AG286" i="1" s="1"/>
  <c r="AF286" i="1" s="1"/>
  <c r="AH283" i="1"/>
  <c r="AG283" i="1" s="1"/>
  <c r="AF283" i="1" s="1"/>
  <c r="T277" i="1"/>
  <c r="S277" i="1" s="1"/>
  <c r="R277" i="1" s="1"/>
  <c r="P277" i="1" s="1"/>
  <c r="V277" i="1" s="1"/>
  <c r="AH331" i="1"/>
  <c r="AG331" i="1" s="1"/>
  <c r="AF331" i="1" s="1"/>
  <c r="T284" i="1"/>
  <c r="S61" i="1"/>
  <c r="R61" i="1" s="1"/>
  <c r="P61" i="1" s="1"/>
  <c r="V61" i="1" s="1"/>
  <c r="AH207" i="1"/>
  <c r="AG207" i="1" s="1"/>
  <c r="AF207" i="1" s="1"/>
  <c r="AH322" i="1"/>
  <c r="AG322" i="1" s="1"/>
  <c r="AF322" i="1" s="1"/>
  <c r="AH291" i="1"/>
  <c r="AG291" i="1" s="1"/>
  <c r="AF291" i="1" s="1"/>
  <c r="AD291" i="1" s="1"/>
  <c r="U381" i="1"/>
  <c r="T15" i="1"/>
  <c r="U382" i="1"/>
  <c r="U383" i="1"/>
  <c r="AH308" i="1"/>
  <c r="AH240" i="1"/>
  <c r="AG240" i="1" s="1"/>
  <c r="AF240" i="1" s="1"/>
  <c r="AH368" i="1"/>
  <c r="AG368" i="1" s="1"/>
  <c r="AF368" i="1" s="1"/>
  <c r="AD368" i="1" s="1"/>
  <c r="AH347" i="1"/>
  <c r="AG347" i="1" s="1"/>
  <c r="AF347" i="1" s="1"/>
  <c r="AH263" i="1"/>
  <c r="AG263" i="1" s="1"/>
  <c r="AF263" i="1" s="1"/>
  <c r="AH343" i="1"/>
  <c r="AH354" i="1"/>
  <c r="AG354" i="1" s="1"/>
  <c r="AF354" i="1" s="1"/>
  <c r="AH302" i="1"/>
  <c r="AG302" i="1" s="1"/>
  <c r="AF302" i="1" s="1"/>
  <c r="AD302" i="1" s="1"/>
  <c r="AH234" i="1"/>
  <c r="AG234" i="1" s="1"/>
  <c r="AF234" i="1" s="1"/>
  <c r="AH338" i="1"/>
  <c r="AH216" i="1"/>
  <c r="AG216" i="1" s="1"/>
  <c r="AF216" i="1" s="1"/>
  <c r="AH367" i="1"/>
  <c r="AG367" i="1" s="1"/>
  <c r="AF367" i="1" s="1"/>
  <c r="AH230" i="1"/>
  <c r="AG230" i="1" s="1"/>
  <c r="AF230" i="1" s="1"/>
  <c r="AD230" i="1" s="1"/>
  <c r="AD61" i="1"/>
  <c r="AI381" i="1"/>
  <c r="AK17" i="17"/>
  <c r="F8" i="17"/>
  <c r="AK16" i="17"/>
  <c r="AK20" i="17"/>
  <c r="AK18" i="17"/>
  <c r="AK22" i="17"/>
  <c r="AK25" i="17"/>
  <c r="AK31" i="17"/>
  <c r="AK34" i="17"/>
  <c r="AK36" i="17"/>
  <c r="AK23" i="17"/>
  <c r="AK28" i="17"/>
  <c r="AK27" i="17"/>
  <c r="AK39" i="17"/>
  <c r="AK40" i="17"/>
  <c r="AK44" i="17"/>
  <c r="AK49" i="17"/>
  <c r="AK56" i="17"/>
  <c r="AK59" i="17"/>
  <c r="AK62" i="17"/>
  <c r="AK65" i="17"/>
  <c r="AK67" i="17"/>
  <c r="AK42" i="17"/>
  <c r="AK45" i="17"/>
  <c r="AK48" i="17"/>
  <c r="AK52" i="17"/>
  <c r="AK54" i="17"/>
  <c r="AK57" i="17"/>
  <c r="AK64" i="17"/>
  <c r="AK70" i="17"/>
  <c r="AK75" i="17"/>
  <c r="AK77" i="17"/>
  <c r="AK86" i="17"/>
  <c r="AK91" i="17"/>
  <c r="AK94" i="17"/>
  <c r="AK102" i="17"/>
  <c r="AK108" i="17"/>
  <c r="AK112" i="17"/>
  <c r="AK115" i="17"/>
  <c r="AK117" i="17"/>
  <c r="AK119" i="17"/>
  <c r="AK122" i="17"/>
  <c r="AK126" i="17"/>
  <c r="AK129" i="17"/>
  <c r="AK73" i="17"/>
  <c r="AK78" i="17"/>
  <c r="AK80" i="17"/>
  <c r="AK82" i="17"/>
  <c r="AK85" i="17"/>
  <c r="AK89" i="17"/>
  <c r="AK92" i="17"/>
  <c r="AK96" i="17"/>
  <c r="AK98" i="17"/>
  <c r="AK100" i="17"/>
  <c r="AK105" i="17"/>
  <c r="AK107" i="17"/>
  <c r="AK111" i="17"/>
  <c r="AK128" i="17"/>
  <c r="AK131" i="17"/>
  <c r="AK136" i="17"/>
  <c r="AK140" i="17"/>
  <c r="AK145" i="17"/>
  <c r="AK148" i="17"/>
  <c r="AK151" i="17"/>
  <c r="AK153" i="17"/>
  <c r="AK158" i="17"/>
  <c r="AK162" i="17"/>
  <c r="AK164" i="17"/>
  <c r="AK169" i="17"/>
  <c r="AK173" i="17"/>
  <c r="AK181" i="17"/>
  <c r="AK183" i="17"/>
  <c r="AK113" i="17"/>
  <c r="AK123" i="17"/>
  <c r="AK134" i="17"/>
  <c r="AK137" i="17"/>
  <c r="AK141" i="17"/>
  <c r="AK144" i="17"/>
  <c r="AK150" i="17"/>
  <c r="AK155" i="17"/>
  <c r="AK160" i="17"/>
  <c r="AK165" i="17"/>
  <c r="AK167" i="17"/>
  <c r="AK171" i="17"/>
  <c r="AK175" i="17"/>
  <c r="AK177" i="17"/>
  <c r="AK180" i="17"/>
  <c r="AK187" i="17"/>
  <c r="AK190" i="17"/>
  <c r="AK192" i="17"/>
  <c r="AK201" i="17"/>
  <c r="AK205" i="17"/>
  <c r="AK209" i="17"/>
  <c r="AK213" i="17"/>
  <c r="AK218" i="17"/>
  <c r="AK222" i="17"/>
  <c r="AK224" i="17"/>
  <c r="AK229" i="17"/>
  <c r="AK235" i="17"/>
  <c r="AK237" i="17"/>
  <c r="AK242" i="17"/>
  <c r="AK247" i="17"/>
  <c r="AK258" i="17"/>
  <c r="AK262" i="17"/>
  <c r="AK267" i="17"/>
  <c r="AK270" i="17"/>
  <c r="AK273" i="17"/>
  <c r="AK275" i="17"/>
  <c r="AK279" i="17"/>
  <c r="AK283" i="17"/>
  <c r="AK291" i="17"/>
  <c r="AK294" i="17"/>
  <c r="AK299" i="17"/>
  <c r="AK303" i="17"/>
  <c r="AK306" i="17"/>
  <c r="AK186" i="17"/>
  <c r="AK193" i="17"/>
  <c r="AK195" i="17"/>
  <c r="AK198" i="17"/>
  <c r="AK200" i="17"/>
  <c r="AK204" i="17"/>
  <c r="AK208" i="17"/>
  <c r="AK212" i="17"/>
  <c r="AK215" i="17"/>
  <c r="AK219" i="17"/>
  <c r="AK225" i="17"/>
  <c r="AK228" i="17"/>
  <c r="AK232" i="17"/>
  <c r="AK234" i="17"/>
  <c r="AK240" i="17"/>
  <c r="AK243" i="17"/>
  <c r="AK246" i="17"/>
  <c r="AK249" i="17"/>
  <c r="AK251" i="17"/>
  <c r="AK254" i="17"/>
  <c r="AK256" i="17"/>
  <c r="AK259" i="17"/>
  <c r="AK263" i="17"/>
  <c r="AK266" i="17"/>
  <c r="AK272" i="17"/>
  <c r="AK277" i="17"/>
  <c r="AK282" i="17"/>
  <c r="AK285" i="17"/>
  <c r="AK287" i="17"/>
  <c r="AK290" i="17"/>
  <c r="AK296" i="17"/>
  <c r="AK298" i="17"/>
  <c r="AK302" i="17"/>
  <c r="AK312" i="17"/>
  <c r="AK320" i="17"/>
  <c r="AK322" i="17"/>
  <c r="AK326" i="17"/>
  <c r="AK330" i="17"/>
  <c r="AK337" i="17"/>
  <c r="AK340" i="17"/>
  <c r="AK344" i="17"/>
  <c r="AK351" i="17"/>
  <c r="AK356" i="17"/>
  <c r="AK362" i="17"/>
  <c r="AK364" i="17"/>
  <c r="AK367" i="17"/>
  <c r="AK370" i="17"/>
  <c r="AK372" i="17"/>
  <c r="AK375" i="17"/>
  <c r="AK308" i="17"/>
  <c r="AK317" i="17"/>
  <c r="AK319" i="17"/>
  <c r="AK327" i="17"/>
  <c r="AK334" i="17"/>
  <c r="AK341" i="17"/>
  <c r="AK350" i="17"/>
  <c r="AK357" i="17"/>
  <c r="AK377" i="17"/>
  <c r="AK309" i="17"/>
  <c r="AK315" i="17"/>
  <c r="AK346" i="17"/>
  <c r="AK304" i="17"/>
  <c r="AK323" i="17"/>
  <c r="AK333" i="17"/>
  <c r="AK342" i="17"/>
  <c r="AK349" i="17"/>
  <c r="AK353" i="17"/>
  <c r="AK361" i="17"/>
  <c r="AK369" i="17"/>
  <c r="AK380" i="17"/>
  <c r="P12" i="17"/>
  <c r="AK24" i="17"/>
  <c r="AK33" i="17"/>
  <c r="AK37" i="17"/>
  <c r="AK32" i="17"/>
  <c r="AK38" i="17"/>
  <c r="AK47" i="17"/>
  <c r="AK58" i="17"/>
  <c r="AK63" i="17"/>
  <c r="AK69" i="17"/>
  <c r="AK46" i="17"/>
  <c r="AK53" i="17"/>
  <c r="AK60" i="17"/>
  <c r="AK72" i="17"/>
  <c r="AK83" i="17"/>
  <c r="AK93" i="17"/>
  <c r="AK104" i="17"/>
  <c r="AK114" i="17"/>
  <c r="AK118" i="17"/>
  <c r="AK124" i="17"/>
  <c r="AK71" i="17"/>
  <c r="AK79" i="17"/>
  <c r="AK84" i="17"/>
  <c r="AK90" i="17"/>
  <c r="AK97" i="17"/>
  <c r="AK103" i="17"/>
  <c r="AK110" i="17"/>
  <c r="AK130" i="17"/>
  <c r="AK139" i="17"/>
  <c r="AK146" i="17"/>
  <c r="AK152" i="17"/>
  <c r="AK159" i="17"/>
  <c r="AK168" i="17"/>
  <c r="AK178" i="17"/>
  <c r="AK184" i="17"/>
  <c r="AK133" i="17"/>
  <c r="AK138" i="17"/>
  <c r="AK147" i="17"/>
  <c r="AK156" i="17"/>
  <c r="AK166" i="17"/>
  <c r="AK174" i="17"/>
  <c r="AK179" i="17"/>
  <c r="AK189" i="17"/>
  <c r="AK197" i="17"/>
  <c r="AK207" i="17"/>
  <c r="AK217" i="17"/>
  <c r="AK223" i="17"/>
  <c r="AK231" i="17"/>
  <c r="AK238" i="17"/>
  <c r="AK253" i="17"/>
  <c r="AK265" i="17"/>
  <c r="AK271" i="17"/>
  <c r="AK278" i="17"/>
  <c r="AK288" i="17"/>
  <c r="AK295" i="17"/>
  <c r="AK305" i="17"/>
  <c r="AK188" i="17"/>
  <c r="AK196" i="17"/>
  <c r="AK202" i="17"/>
  <c r="AK211" i="17"/>
  <c r="AK216" i="17"/>
  <c r="AK226" i="17"/>
  <c r="AK233" i="17"/>
  <c r="AK241" i="17"/>
  <c r="AK248" i="17"/>
  <c r="AK252" i="17"/>
  <c r="AK257" i="17"/>
  <c r="AK264" i="17"/>
  <c r="AK276" i="17"/>
  <c r="AK284" i="17"/>
  <c r="AK289" i="17"/>
  <c r="AK297" i="17"/>
  <c r="AK310" i="17"/>
  <c r="AK321" i="17"/>
  <c r="AK329" i="17"/>
  <c r="AK338" i="17"/>
  <c r="AK347" i="17"/>
  <c r="AK358" i="17"/>
  <c r="AK365" i="17"/>
  <c r="AK371" i="17"/>
  <c r="AK379" i="17"/>
  <c r="AK318" i="17"/>
  <c r="AK331" i="17"/>
  <c r="AK345" i="17"/>
  <c r="AK376" i="17"/>
  <c r="AK313" i="17"/>
  <c r="AK360" i="17"/>
  <c r="AK328" i="17"/>
  <c r="AK348" i="17"/>
  <c r="AK359" i="17"/>
  <c r="AK374" i="17"/>
  <c r="AK19" i="17"/>
  <c r="AK29" i="17"/>
  <c r="AK26" i="17"/>
  <c r="AK41" i="17"/>
  <c r="AK61" i="17"/>
  <c r="AK43" i="17"/>
  <c r="AK55" i="17"/>
  <c r="AK76" i="17"/>
  <c r="AK101" i="17"/>
  <c r="AK116" i="17"/>
  <c r="AK127" i="17"/>
  <c r="AK81" i="17"/>
  <c r="AK95" i="17"/>
  <c r="AK106" i="17"/>
  <c r="AK132" i="17"/>
  <c r="AK149" i="17"/>
  <c r="AK163" i="17"/>
  <c r="AK182" i="17"/>
  <c r="AK135" i="17"/>
  <c r="AK154" i="17"/>
  <c r="AK170" i="17"/>
  <c r="AK185" i="17"/>
  <c r="AK203" i="17"/>
  <c r="AK220" i="17"/>
  <c r="AK236" i="17"/>
  <c r="AK261" i="17"/>
  <c r="AK274" i="17"/>
  <c r="AK292" i="17"/>
  <c r="AK307" i="17"/>
  <c r="AK199" i="17"/>
  <c r="AK214" i="17"/>
  <c r="AK230" i="17"/>
  <c r="AK244" i="17"/>
  <c r="AK255" i="17"/>
  <c r="AK268" i="17"/>
  <c r="AK286" i="17"/>
  <c r="AK301" i="17"/>
  <c r="AK325" i="17"/>
  <c r="AK343" i="17"/>
  <c r="AK363" i="17"/>
  <c r="AK373" i="17"/>
  <c r="AK324" i="17"/>
  <c r="AK354" i="17"/>
  <c r="AK336" i="17"/>
  <c r="AK339" i="17"/>
  <c r="AK366" i="17"/>
  <c r="AK15" i="17"/>
  <c r="AK21" i="17"/>
  <c r="AK35" i="17"/>
  <c r="AK30" i="17"/>
  <c r="AK51" i="17"/>
  <c r="AK66" i="17"/>
  <c r="AK50" i="17"/>
  <c r="AK68" i="17"/>
  <c r="AK88" i="17"/>
  <c r="AK109" i="17"/>
  <c r="AK120" i="17"/>
  <c r="AK74" i="17"/>
  <c r="AK87" i="17"/>
  <c r="AK99" i="17"/>
  <c r="AK125" i="17"/>
  <c r="AK142" i="17"/>
  <c r="AK157" i="17"/>
  <c r="AK172" i="17"/>
  <c r="AK121" i="17"/>
  <c r="AK143" i="17"/>
  <c r="AK161" i="17"/>
  <c r="AK176" i="17"/>
  <c r="AK191" i="17"/>
  <c r="AK210" i="17"/>
  <c r="AK227" i="17"/>
  <c r="AK245" i="17"/>
  <c r="AK269" i="17"/>
  <c r="AK281" i="17"/>
  <c r="AK300" i="17"/>
  <c r="AK194" i="17"/>
  <c r="AK206" i="17"/>
  <c r="AK221" i="17"/>
  <c r="AK239" i="17"/>
  <c r="AK250" i="17"/>
  <c r="AK260" i="17"/>
  <c r="AK280" i="17"/>
  <c r="AK293" i="17"/>
  <c r="AK314" i="17"/>
  <c r="AK332" i="17"/>
  <c r="AK355" i="17"/>
  <c r="AK368" i="17"/>
  <c r="AK316" i="17"/>
  <c r="AK335" i="17"/>
  <c r="AK378" i="17"/>
  <c r="AK311" i="17"/>
  <c r="AK352" i="17"/>
  <c r="AD68" i="1"/>
  <c r="AF209" i="1"/>
  <c r="P197" i="1"/>
  <c r="V197" i="1" s="1"/>
  <c r="P288" i="1"/>
  <c r="V288" i="1" s="1"/>
  <c r="F288" i="1" s="1"/>
  <c r="P274" i="1"/>
  <c r="V274" i="1" s="1"/>
  <c r="AD290" i="1"/>
  <c r="AD305" i="1"/>
  <c r="P306" i="1"/>
  <c r="V306" i="1" s="1"/>
  <c r="F306" i="1" s="1"/>
  <c r="I306" i="1" s="1"/>
  <c r="P36" i="1"/>
  <c r="V36" i="1" s="1"/>
  <c r="AA36" i="1" s="1"/>
  <c r="Z36" i="1" s="1"/>
  <c r="Y36" i="1" s="1"/>
  <c r="P38" i="1"/>
  <c r="V38" i="1" s="1"/>
  <c r="AA38" i="1" s="1"/>
  <c r="Z38" i="1" s="1"/>
  <c r="Y38" i="1" s="1"/>
  <c r="P46" i="1"/>
  <c r="V46" i="1" s="1"/>
  <c r="P48" i="1"/>
  <c r="V48" i="1" s="1"/>
  <c r="P39" i="1"/>
  <c r="V39" i="1" s="1"/>
  <c r="P63" i="1"/>
  <c r="V63" i="1" s="1"/>
  <c r="AD72" i="1"/>
  <c r="AD334" i="1"/>
  <c r="AD332" i="1"/>
  <c r="P351" i="1"/>
  <c r="V351" i="1" s="1"/>
  <c r="F351" i="1" s="1"/>
  <c r="G351" i="1" s="1"/>
  <c r="BW351" i="6" s="1"/>
  <c r="P357" i="1"/>
  <c r="V357" i="1" s="1"/>
  <c r="F357" i="1" s="1"/>
  <c r="AD337" i="1"/>
  <c r="P368" i="1"/>
  <c r="V368" i="1" s="1"/>
  <c r="F368" i="1" s="1"/>
  <c r="G368" i="1" s="1"/>
  <c r="BW368" i="6" s="1"/>
  <c r="P193" i="1"/>
  <c r="V193" i="1" s="1"/>
  <c r="P195" i="1"/>
  <c r="V195" i="1" s="1"/>
  <c r="P59" i="1"/>
  <c r="V59" i="1" s="1"/>
  <c r="AD54" i="1"/>
  <c r="AD52" i="1"/>
  <c r="P70" i="1"/>
  <c r="V70" i="1" s="1"/>
  <c r="AD355" i="1"/>
  <c r="AD174" i="1"/>
  <c r="AA174" i="1" s="1"/>
  <c r="Z174" i="1" s="1"/>
  <c r="Y174" i="1" s="1"/>
  <c r="AD206" i="1"/>
  <c r="AD232" i="1"/>
  <c r="P243" i="1"/>
  <c r="V243" i="1" s="1"/>
  <c r="P329" i="1"/>
  <c r="V329" i="1" s="1"/>
  <c r="F329" i="1" s="1"/>
  <c r="I329" i="1" s="1"/>
  <c r="P293" i="1"/>
  <c r="V293" i="1" s="1"/>
  <c r="F293" i="1" s="1"/>
  <c r="AD279" i="1"/>
  <c r="P337" i="1"/>
  <c r="V337" i="1" s="1"/>
  <c r="F337" i="1" s="1"/>
  <c r="P276" i="1"/>
  <c r="V276" i="1" s="1"/>
  <c r="AA276" i="1" s="1"/>
  <c r="Z276" i="1" s="1"/>
  <c r="Y276" i="1" s="1"/>
  <c r="AD280" i="1"/>
  <c r="P304" i="1"/>
  <c r="V304" i="1" s="1"/>
  <c r="F304" i="1" s="1"/>
  <c r="AD329" i="1"/>
  <c r="AD351" i="1"/>
  <c r="AM7" i="16"/>
  <c r="AM11" i="16" s="1"/>
  <c r="AM9" i="16"/>
  <c r="AK6" i="16"/>
  <c r="AK5" i="16"/>
  <c r="AK7" i="16"/>
  <c r="AK11" i="16" s="1"/>
  <c r="AK9" i="16"/>
  <c r="AM5" i="16"/>
  <c r="AH17" i="1"/>
  <c r="AI383" i="1"/>
  <c r="AI382" i="1"/>
  <c r="T230" i="1"/>
  <c r="S230" i="1" s="1"/>
  <c r="R230" i="1" s="1"/>
  <c r="T301" i="1"/>
  <c r="S301" i="1" s="1"/>
  <c r="R301" i="1" s="1"/>
  <c r="T311" i="1"/>
  <c r="S311" i="1" s="1"/>
  <c r="R311" i="1" s="1"/>
  <c r="P311" i="1" s="1"/>
  <c r="V311" i="1" s="1"/>
  <c r="F311" i="1" s="1"/>
  <c r="G311" i="1" s="1"/>
  <c r="BW311" i="6" s="1"/>
  <c r="AH327" i="1"/>
  <c r="AG327" i="1" s="1"/>
  <c r="AF327" i="1" s="1"/>
  <c r="AH357" i="1"/>
  <c r="AH222" i="1"/>
  <c r="AG222" i="1" s="1"/>
  <c r="AF222" i="1" s="1"/>
  <c r="AH370" i="1"/>
  <c r="AG370" i="1" s="1"/>
  <c r="AF370" i="1" s="1"/>
  <c r="AH299" i="1"/>
  <c r="AG299" i="1" s="1"/>
  <c r="AF299" i="1" s="1"/>
  <c r="T287" i="1"/>
  <c r="T320" i="1"/>
  <c r="AH310" i="1"/>
  <c r="AG310" i="1" s="1"/>
  <c r="AF310" i="1" s="1"/>
  <c r="T308" i="1"/>
  <c r="AH316" i="1"/>
  <c r="AG316" i="1" s="1"/>
  <c r="AF316" i="1" s="1"/>
  <c r="AH246" i="1"/>
  <c r="AG246" i="1" s="1"/>
  <c r="AF246" i="1" s="1"/>
  <c r="T312" i="1"/>
  <c r="S312" i="1" s="1"/>
  <c r="R312" i="1" s="1"/>
  <c r="P312" i="1" s="1"/>
  <c r="V312" i="1" s="1"/>
  <c r="F312" i="1" s="1"/>
  <c r="I312" i="1" s="1"/>
  <c r="AH258" i="1"/>
  <c r="AG258" i="1" s="1"/>
  <c r="AF258" i="1" s="1"/>
  <c r="AH298" i="1"/>
  <c r="AG298" i="1" s="1"/>
  <c r="AF298" i="1" s="1"/>
  <c r="AD298" i="1" s="1"/>
  <c r="AH312" i="1"/>
  <c r="AG312" i="1" s="1"/>
  <c r="AF312" i="1" s="1"/>
  <c r="AH242" i="1"/>
  <c r="AG242" i="1" s="1"/>
  <c r="AF242" i="1" s="1"/>
  <c r="AD242" i="1" s="1"/>
  <c r="AH344" i="1"/>
  <c r="AG344" i="1" s="1"/>
  <c r="AF344" i="1" s="1"/>
  <c r="AH373" i="1"/>
  <c r="AG373" i="1" s="1"/>
  <c r="AF373" i="1" s="1"/>
  <c r="AD373" i="1" s="1"/>
  <c r="AH301" i="1"/>
  <c r="AG301" i="1" s="1"/>
  <c r="AF301" i="1" s="1"/>
  <c r="AD301" i="1" s="1"/>
  <c r="AH282" i="1"/>
  <c r="AH233" i="1"/>
  <c r="AG233" i="1" s="1"/>
  <c r="AF233" i="1" s="1"/>
  <c r="AH362" i="1"/>
  <c r="AG362" i="1" s="1"/>
  <c r="AF362" i="1" s="1"/>
  <c r="AH251" i="1"/>
  <c r="AG251" i="1" s="1"/>
  <c r="AF251" i="1" s="1"/>
  <c r="AH379" i="1"/>
  <c r="AG379" i="1" s="1"/>
  <c r="AF379" i="1" s="1"/>
  <c r="AI12" i="15"/>
  <c r="T377" i="1"/>
  <c r="S377" i="1" s="1"/>
  <c r="R377" i="1" s="1"/>
  <c r="P377" i="1" s="1"/>
  <c r="AH320" i="1"/>
  <c r="AH241" i="1"/>
  <c r="AG241" i="1" s="1"/>
  <c r="AF241" i="1" s="1"/>
  <c r="AD241" i="1" s="1"/>
  <c r="P11" i="18"/>
  <c r="Z15" i="7"/>
  <c r="V55" i="6"/>
  <c r="AY240" i="6" s="1"/>
  <c r="AT327" i="6"/>
  <c r="AD314" i="1"/>
  <c r="P286" i="1"/>
  <c r="V286" i="1" s="1"/>
  <c r="AT303" i="6"/>
  <c r="AT318" i="6"/>
  <c r="AT304" i="6"/>
  <c r="AT325" i="6"/>
  <c r="AT71" i="6"/>
  <c r="P281" i="1"/>
  <c r="V281" i="1" s="1"/>
  <c r="P283" i="1"/>
  <c r="V283" i="1" s="1"/>
  <c r="AD335" i="1"/>
  <c r="J136" i="6"/>
  <c r="AD136" i="1" s="1"/>
  <c r="J125" i="6"/>
  <c r="P125" i="1" s="1"/>
  <c r="V125" i="1" s="1"/>
  <c r="J108" i="6"/>
  <c r="AD108" i="1" s="1"/>
  <c r="J124" i="6"/>
  <c r="AD124" i="1" s="1"/>
  <c r="J121" i="6"/>
  <c r="P121" i="1" s="1"/>
  <c r="V121" i="1" s="1"/>
  <c r="P238" i="1"/>
  <c r="V238" i="1" s="1"/>
  <c r="AD292" i="1"/>
  <c r="P347" i="1"/>
  <c r="V347" i="1" s="1"/>
  <c r="F347" i="1" s="1"/>
  <c r="P333" i="1"/>
  <c r="D30" i="7" s="1"/>
  <c r="I15" i="7"/>
  <c r="Q10" i="15"/>
  <c r="Q27" i="15" s="1"/>
  <c r="N40" i="6"/>
  <c r="AT23" i="6" s="1"/>
  <c r="P241" i="1"/>
  <c r="D27" i="7" s="1"/>
  <c r="AD77" i="1"/>
  <c r="AT136" i="6"/>
  <c r="AT154" i="6"/>
  <c r="AT152" i="6"/>
  <c r="AT157" i="6"/>
  <c r="AT143" i="6"/>
  <c r="AT138" i="6"/>
  <c r="AT156" i="6"/>
  <c r="AT148" i="6"/>
  <c r="P244" i="1"/>
  <c r="V244" i="1" s="1"/>
  <c r="P279" i="1"/>
  <c r="V279" i="1" s="1"/>
  <c r="AD309" i="1"/>
  <c r="P346" i="1"/>
  <c r="V346" i="1" s="1"/>
  <c r="F346" i="1" s="1"/>
  <c r="AD341" i="1"/>
  <c r="J143" i="6"/>
  <c r="AD143" i="1" s="1"/>
  <c r="J153" i="6"/>
  <c r="J131" i="6"/>
  <c r="P131" i="1" s="1"/>
  <c r="V131" i="1" s="1"/>
  <c r="J111" i="6"/>
  <c r="AD111" i="1" s="1"/>
  <c r="J127" i="6"/>
  <c r="AD127" i="1" s="1"/>
  <c r="J110" i="6"/>
  <c r="P110" i="1" s="1"/>
  <c r="V110" i="1" s="1"/>
  <c r="J118" i="6"/>
  <c r="J106" i="6"/>
  <c r="AD106" i="1" s="1"/>
  <c r="J128" i="6"/>
  <c r="J133" i="6"/>
  <c r="P133" i="1" s="1"/>
  <c r="V133" i="1" s="1"/>
  <c r="P326" i="1"/>
  <c r="V326" i="1" s="1"/>
  <c r="F326" i="1" s="1"/>
  <c r="I326" i="1" s="1"/>
  <c r="P327" i="1"/>
  <c r="V327" i="1" s="1"/>
  <c r="F327" i="1" s="1"/>
  <c r="G327" i="1" s="1"/>
  <c r="BW327" i="6" s="1"/>
  <c r="P344" i="1"/>
  <c r="V344" i="1" s="1"/>
  <c r="F344" i="1" s="1"/>
  <c r="AT155" i="6"/>
  <c r="AT146" i="6"/>
  <c r="AT151" i="6"/>
  <c r="AT159" i="6"/>
  <c r="AT158" i="6"/>
  <c r="AT137" i="6"/>
  <c r="AT150" i="6"/>
  <c r="AT135" i="6"/>
  <c r="AT160" i="6"/>
  <c r="AT134" i="6"/>
  <c r="AT147" i="6"/>
  <c r="AT153" i="6"/>
  <c r="AT140" i="6"/>
  <c r="P299" i="1"/>
  <c r="V299" i="1" s="1"/>
  <c r="F299" i="1" s="1"/>
  <c r="AD293" i="1"/>
  <c r="AD342" i="1"/>
  <c r="AD345" i="1"/>
  <c r="P74" i="1"/>
  <c r="V74" i="1" s="1"/>
  <c r="AD74" i="1"/>
  <c r="AT317" i="6"/>
  <c r="AT313" i="6"/>
  <c r="AT307" i="6"/>
  <c r="AD285" i="1"/>
  <c r="AT314" i="6"/>
  <c r="AT329" i="6"/>
  <c r="AT310" i="6"/>
  <c r="AT322" i="6"/>
  <c r="AT75" i="6"/>
  <c r="AD278" i="1"/>
  <c r="AA278" i="1" s="1"/>
  <c r="Z278" i="1" s="1"/>
  <c r="Y278" i="1" s="1"/>
  <c r="AT76" i="6"/>
  <c r="AT68" i="6"/>
  <c r="J161" i="6"/>
  <c r="AD161" i="1" s="1"/>
  <c r="J156" i="6"/>
  <c r="P156" i="1" s="1"/>
  <c r="V156" i="1" s="1"/>
  <c r="J155" i="6"/>
  <c r="AD155" i="1" s="1"/>
  <c r="J120" i="6"/>
  <c r="AD120" i="1" s="1"/>
  <c r="J129" i="6"/>
  <c r="J109" i="6"/>
  <c r="AD109" i="1" s="1"/>
  <c r="J114" i="6"/>
  <c r="J130" i="6"/>
  <c r="J123" i="6"/>
  <c r="AD123" i="1" s="1"/>
  <c r="J132" i="6"/>
  <c r="P132" i="1" s="1"/>
  <c r="V132" i="1" s="1"/>
  <c r="M39" i="6"/>
  <c r="M38" i="6" s="1"/>
  <c r="P298" i="1"/>
  <c r="V298" i="1" s="1"/>
  <c r="F298" i="1" s="1"/>
  <c r="P297" i="1"/>
  <c r="V297" i="1" s="1"/>
  <c r="F297" i="1" s="1"/>
  <c r="G297" i="1" s="1"/>
  <c r="BW297" i="6" s="1"/>
  <c r="AT60" i="6"/>
  <c r="AD244" i="1"/>
  <c r="P300" i="1"/>
  <c r="V300" i="1" s="1"/>
  <c r="F300" i="1" s="1"/>
  <c r="J35" i="6"/>
  <c r="AT70" i="6"/>
  <c r="AD277" i="1"/>
  <c r="AD239" i="1"/>
  <c r="AD243" i="1"/>
  <c r="AT306" i="6"/>
  <c r="AT328" i="6"/>
  <c r="AT302" i="6"/>
  <c r="AT324" i="6"/>
  <c r="AT326" i="6"/>
  <c r="AT320" i="6"/>
  <c r="AT311" i="6"/>
  <c r="AT319" i="6"/>
  <c r="AT312" i="6"/>
  <c r="AT323" i="6"/>
  <c r="AT308" i="6"/>
  <c r="AT309" i="6"/>
  <c r="AT315" i="6"/>
  <c r="AT305" i="6"/>
  <c r="AT316" i="6"/>
  <c r="AD237" i="1"/>
  <c r="AD236" i="1"/>
  <c r="J32" i="6"/>
  <c r="AD32" i="1" s="1"/>
  <c r="J22" i="6"/>
  <c r="P22" i="1" s="1"/>
  <c r="V22" i="1" s="1"/>
  <c r="P237" i="1"/>
  <c r="V237" i="1" s="1"/>
  <c r="J20" i="6"/>
  <c r="AD20" i="1" s="1"/>
  <c r="P240" i="1"/>
  <c r="V240" i="1" s="1"/>
  <c r="J28" i="6"/>
  <c r="P28" i="1" s="1"/>
  <c r="V28" i="1" s="1"/>
  <c r="J34" i="6"/>
  <c r="P34" i="1" s="1"/>
  <c r="V34" i="1" s="1"/>
  <c r="J23" i="6"/>
  <c r="P23" i="1" s="1"/>
  <c r="V23" i="1" s="1"/>
  <c r="Q11" i="18"/>
  <c r="AG11" i="7"/>
  <c r="AT65" i="6"/>
  <c r="AT63" i="6"/>
  <c r="AT51" i="6"/>
  <c r="AY39" i="6"/>
  <c r="Y55" i="6"/>
  <c r="AY347" i="6" s="1"/>
  <c r="P81" i="1"/>
  <c r="V81" i="1" s="1"/>
  <c r="AD81" i="1"/>
  <c r="AT230" i="6"/>
  <c r="J30" i="6"/>
  <c r="P30" i="1" s="1"/>
  <c r="V30" i="1" s="1"/>
  <c r="J246" i="6"/>
  <c r="J265" i="6"/>
  <c r="J268" i="6"/>
  <c r="J264" i="6"/>
  <c r="J251" i="6"/>
  <c r="J256" i="6"/>
  <c r="J263" i="6"/>
  <c r="J247" i="6"/>
  <c r="J255" i="6"/>
  <c r="J249" i="6"/>
  <c r="J250" i="6"/>
  <c r="J270" i="6"/>
  <c r="J261" i="6"/>
  <c r="J266" i="6"/>
  <c r="J253" i="6"/>
  <c r="J273" i="6"/>
  <c r="J252" i="6"/>
  <c r="J257" i="6"/>
  <c r="J271" i="6"/>
  <c r="J259" i="6"/>
  <c r="J258" i="6"/>
  <c r="J254" i="6"/>
  <c r="J272" i="6"/>
  <c r="J269" i="6"/>
  <c r="J267" i="6"/>
  <c r="J260" i="6"/>
  <c r="J248" i="6"/>
  <c r="AA54" i="6"/>
  <c r="AA53" i="6" s="1"/>
  <c r="AY160" i="6"/>
  <c r="AY175" i="6"/>
  <c r="AY202" i="6"/>
  <c r="AY163" i="6"/>
  <c r="AY168" i="6"/>
  <c r="AY161" i="6"/>
  <c r="AY172" i="6"/>
  <c r="AY156" i="6"/>
  <c r="AY180" i="6"/>
  <c r="AY193" i="6"/>
  <c r="AY154" i="6"/>
  <c r="AY170" i="6"/>
  <c r="AY152" i="6"/>
  <c r="AY159" i="6"/>
  <c r="AY164" i="6"/>
  <c r="AY198" i="6"/>
  <c r="AY165" i="6"/>
  <c r="AY192" i="6"/>
  <c r="AY178" i="6"/>
  <c r="AY177" i="6"/>
  <c r="AY158" i="6"/>
  <c r="AY157" i="6"/>
  <c r="AY196" i="6"/>
  <c r="AY149" i="6"/>
  <c r="AY182" i="6"/>
  <c r="AY184" i="6"/>
  <c r="AY162" i="6"/>
  <c r="AY201" i="6"/>
  <c r="AY150" i="6"/>
  <c r="AY189" i="6"/>
  <c r="AY191" i="6"/>
  <c r="AY203" i="6"/>
  <c r="AY167" i="6"/>
  <c r="AY194" i="6"/>
  <c r="AY199" i="6"/>
  <c r="AY166" i="6"/>
  <c r="AY173" i="6"/>
  <c r="AY186" i="6"/>
  <c r="AY176" i="6"/>
  <c r="AY169" i="6"/>
  <c r="AY174" i="6"/>
  <c r="AY200" i="6"/>
  <c r="AY181" i="6"/>
  <c r="AY153" i="6"/>
  <c r="AY148" i="6"/>
  <c r="AY155" i="6"/>
  <c r="AY151" i="6"/>
  <c r="AY183" i="6"/>
  <c r="AY195" i="6"/>
  <c r="AY197" i="6"/>
  <c r="AY190" i="6"/>
  <c r="AY188" i="6"/>
  <c r="AY171" i="6"/>
  <c r="AY187" i="6"/>
  <c r="AY185" i="6"/>
  <c r="AY76" i="6"/>
  <c r="AY87" i="6"/>
  <c r="AY82" i="6"/>
  <c r="AY72" i="6"/>
  <c r="AY86" i="6"/>
  <c r="AY64" i="6"/>
  <c r="AY77" i="6"/>
  <c r="AY78" i="6"/>
  <c r="AY74" i="6"/>
  <c r="AY69" i="6"/>
  <c r="AY91" i="6"/>
  <c r="AY70" i="6"/>
  <c r="AY79" i="6"/>
  <c r="AY71" i="6"/>
  <c r="AY90" i="6"/>
  <c r="AY83" i="6"/>
  <c r="AY66" i="6"/>
  <c r="AY88" i="6"/>
  <c r="AY80" i="6"/>
  <c r="AY89" i="6"/>
  <c r="AY85" i="6"/>
  <c r="AY84" i="6"/>
  <c r="AY81" i="6"/>
  <c r="AY65" i="6"/>
  <c r="AY67" i="6"/>
  <c r="AY73" i="6"/>
  <c r="AY68" i="6"/>
  <c r="AY75" i="6"/>
  <c r="J158" i="6"/>
  <c r="J138" i="6"/>
  <c r="J141" i="6"/>
  <c r="J139" i="6"/>
  <c r="J152" i="6"/>
  <c r="J157" i="6"/>
  <c r="J160" i="6"/>
  <c r="J151" i="6"/>
  <c r="J142" i="6"/>
  <c r="J137" i="6"/>
  <c r="J154" i="6"/>
  <c r="J150" i="6"/>
  <c r="J134" i="6"/>
  <c r="J145" i="6"/>
  <c r="J159" i="6"/>
  <c r="J149" i="6"/>
  <c r="J147" i="6"/>
  <c r="J140" i="6"/>
  <c r="J135" i="6"/>
  <c r="J148" i="6"/>
  <c r="J144" i="6"/>
  <c r="J113" i="6"/>
  <c r="J115" i="6"/>
  <c r="J116" i="6"/>
  <c r="J112" i="6"/>
  <c r="J107" i="6"/>
  <c r="P232" i="1"/>
  <c r="V232" i="1" s="1"/>
  <c r="P233" i="1"/>
  <c r="V233" i="1" s="1"/>
  <c r="P262" i="1"/>
  <c r="V262" i="1" s="1"/>
  <c r="AT258" i="6"/>
  <c r="AT273" i="6"/>
  <c r="AT270" i="6"/>
  <c r="AT259" i="6"/>
  <c r="AT286" i="6"/>
  <c r="AT287" i="6"/>
  <c r="AT291" i="6"/>
  <c r="AT246" i="6"/>
  <c r="AT300" i="6"/>
  <c r="AT261" i="6"/>
  <c r="AT272" i="6"/>
  <c r="AT297" i="6"/>
  <c r="AT250" i="6"/>
  <c r="AT288" i="6"/>
  <c r="AT252" i="6"/>
  <c r="AT251" i="6"/>
  <c r="AT254" i="6"/>
  <c r="AT247" i="6"/>
  <c r="AT276" i="6"/>
  <c r="AT280" i="6"/>
  <c r="AT279" i="6"/>
  <c r="AT294" i="6"/>
  <c r="AT249" i="6"/>
  <c r="AT301" i="6"/>
  <c r="AT295" i="6"/>
  <c r="AT284" i="6"/>
  <c r="AT282" i="6"/>
  <c r="AT278" i="6"/>
  <c r="AT263" i="6"/>
  <c r="AT267" i="6"/>
  <c r="AT255" i="6"/>
  <c r="AT269" i="6"/>
  <c r="AT281" i="6"/>
  <c r="AT290" i="6"/>
  <c r="AT289" i="6"/>
  <c r="AT260" i="6"/>
  <c r="AT253" i="6"/>
  <c r="AT257" i="6"/>
  <c r="AT248" i="6"/>
  <c r="AT298" i="6"/>
  <c r="AT274" i="6"/>
  <c r="AT264" i="6"/>
  <c r="AT262" i="6"/>
  <c r="AT266" i="6"/>
  <c r="AT256" i="6"/>
  <c r="AT265" i="6"/>
  <c r="AT293" i="6"/>
  <c r="AT292" i="6"/>
  <c r="AT299" i="6"/>
  <c r="AT271" i="6"/>
  <c r="AT277" i="6"/>
  <c r="AT285" i="6"/>
  <c r="AT268" i="6"/>
  <c r="AT283" i="6"/>
  <c r="AT275" i="6"/>
  <c r="AT296" i="6"/>
  <c r="AY107" i="6"/>
  <c r="AY114" i="6"/>
  <c r="AY105" i="6"/>
  <c r="AY116" i="6"/>
  <c r="AY100" i="6"/>
  <c r="AY103" i="6"/>
  <c r="AY92" i="6"/>
  <c r="AY119" i="6"/>
  <c r="AY106" i="6"/>
  <c r="AY110" i="6"/>
  <c r="AY117" i="6"/>
  <c r="AY95" i="6"/>
  <c r="AY104" i="6"/>
  <c r="AY94" i="6"/>
  <c r="AY96" i="6"/>
  <c r="AY102" i="6"/>
  <c r="AY112" i="6"/>
  <c r="AY113" i="6"/>
  <c r="AY97" i="6"/>
  <c r="AY111" i="6"/>
  <c r="AY109" i="6"/>
  <c r="AY108" i="6"/>
  <c r="AY118" i="6"/>
  <c r="AY99" i="6"/>
  <c r="AZ99" i="6" s="1"/>
  <c r="AY115" i="6"/>
  <c r="AY98" i="6"/>
  <c r="AY93" i="6"/>
  <c r="AY101" i="6"/>
  <c r="AY138" i="6"/>
  <c r="AY131" i="6"/>
  <c r="AZ131" i="6" s="1"/>
  <c r="AY121" i="6"/>
  <c r="AY132" i="6"/>
  <c r="AY141" i="6"/>
  <c r="AY142" i="6"/>
  <c r="AY127" i="6"/>
  <c r="AY139" i="6"/>
  <c r="AY123" i="6"/>
  <c r="AY128" i="6"/>
  <c r="AY140" i="6"/>
  <c r="AY129" i="6"/>
  <c r="AY135" i="6"/>
  <c r="AY126" i="6"/>
  <c r="AY122" i="6"/>
  <c r="AY125" i="6"/>
  <c r="AY120" i="6"/>
  <c r="AY124" i="6"/>
  <c r="AY137" i="6"/>
  <c r="AY147" i="6"/>
  <c r="AY145" i="6"/>
  <c r="AY146" i="6"/>
  <c r="AY136" i="6"/>
  <c r="AY133" i="6"/>
  <c r="AY143" i="6"/>
  <c r="AY134" i="6"/>
  <c r="AY144" i="6"/>
  <c r="AY130" i="6"/>
  <c r="AD146" i="1"/>
  <c r="P146" i="1"/>
  <c r="V146" i="1" s="1"/>
  <c r="P126" i="1"/>
  <c r="V126" i="1" s="1"/>
  <c r="AD126" i="1"/>
  <c r="J83" i="6"/>
  <c r="J84" i="6"/>
  <c r="J89" i="6"/>
  <c r="J79" i="6"/>
  <c r="J87" i="6"/>
  <c r="J78" i="6"/>
  <c r="J86" i="6"/>
  <c r="J80" i="6"/>
  <c r="J93" i="6"/>
  <c r="J100" i="6"/>
  <c r="J96" i="6"/>
  <c r="J102" i="6"/>
  <c r="J101" i="6"/>
  <c r="J94" i="6"/>
  <c r="J92" i="6"/>
  <c r="J82" i="6"/>
  <c r="J90" i="6"/>
  <c r="J88" i="6"/>
  <c r="J91" i="6"/>
  <c r="J85" i="6"/>
  <c r="J95" i="6"/>
  <c r="J98" i="6"/>
  <c r="J104" i="6"/>
  <c r="J105" i="6"/>
  <c r="J103" i="6"/>
  <c r="J99" i="6"/>
  <c r="J97" i="6"/>
  <c r="P235" i="1"/>
  <c r="V235" i="1" s="1"/>
  <c r="P29" i="1"/>
  <c r="D20" i="7" s="1"/>
  <c r="AD29" i="1"/>
  <c r="AD372" i="1"/>
  <c r="P379" i="1"/>
  <c r="AD366" i="1"/>
  <c r="AD371" i="1"/>
  <c r="I348" i="1"/>
  <c r="G354" i="1"/>
  <c r="BW354" i="6" s="1"/>
  <c r="I354" i="1"/>
  <c r="P363" i="1"/>
  <c r="D31" i="7" s="1"/>
  <c r="AD363" i="1"/>
  <c r="AD359" i="1"/>
  <c r="P359" i="1"/>
  <c r="V359" i="1" s="1"/>
  <c r="P376" i="1"/>
  <c r="V376" i="1" s="1"/>
  <c r="F376" i="1" s="1"/>
  <c r="AD376" i="1"/>
  <c r="P358" i="1"/>
  <c r="V358" i="1" s="1"/>
  <c r="F358" i="1" s="1"/>
  <c r="AD358" i="1"/>
  <c r="AT212" i="6"/>
  <c r="AT205" i="6"/>
  <c r="AT195" i="6"/>
  <c r="AT213" i="6"/>
  <c r="AT193" i="6"/>
  <c r="AT191" i="6"/>
  <c r="AT210" i="6"/>
  <c r="AT201" i="6"/>
  <c r="AT207" i="6"/>
  <c r="AT199" i="6"/>
  <c r="AT209" i="6"/>
  <c r="AT211" i="6"/>
  <c r="AT198" i="6"/>
  <c r="AT200" i="6"/>
  <c r="AT241" i="6"/>
  <c r="AT229" i="6"/>
  <c r="AT234" i="6"/>
  <c r="AT222" i="6"/>
  <c r="AT224" i="6"/>
  <c r="AT221" i="6"/>
  <c r="AT228" i="6"/>
  <c r="AT236" i="6"/>
  <c r="AT220" i="6"/>
  <c r="AT226" i="6"/>
  <c r="AT232" i="6"/>
  <c r="AT242" i="6"/>
  <c r="AT218" i="6"/>
  <c r="AT233" i="6"/>
  <c r="J18" i="6"/>
  <c r="J16" i="6"/>
  <c r="J19" i="6"/>
  <c r="J17" i="6"/>
  <c r="P362" i="1"/>
  <c r="AT125" i="6"/>
  <c r="AT116" i="6"/>
  <c r="AT120" i="6"/>
  <c r="AT126" i="6"/>
  <c r="AT133" i="6"/>
  <c r="AT129" i="6"/>
  <c r="AT121" i="6"/>
  <c r="AT127" i="6"/>
  <c r="AT115" i="6"/>
  <c r="AT119" i="6"/>
  <c r="AT109" i="6"/>
  <c r="AT110" i="6"/>
  <c r="AT123" i="6"/>
  <c r="AT124" i="6"/>
  <c r="AT72" i="6"/>
  <c r="AT77" i="6"/>
  <c r="AT53" i="6"/>
  <c r="AT66" i="6"/>
  <c r="AT56" i="6"/>
  <c r="AT67" i="6"/>
  <c r="AT62" i="6"/>
  <c r="AT91" i="6"/>
  <c r="AT83" i="6"/>
  <c r="AT88" i="6"/>
  <c r="AT98" i="6"/>
  <c r="AT84" i="6"/>
  <c r="AT85" i="6"/>
  <c r="AT103" i="6"/>
  <c r="AT89" i="6"/>
  <c r="AT105" i="6"/>
  <c r="AT81" i="6"/>
  <c r="AT93" i="6"/>
  <c r="AT100" i="6"/>
  <c r="AT79" i="6"/>
  <c r="AT104" i="6"/>
  <c r="AY304" i="6"/>
  <c r="AY309" i="6"/>
  <c r="AY300" i="6"/>
  <c r="AY313" i="6"/>
  <c r="AY289" i="6"/>
  <c r="AY298" i="6"/>
  <c r="AY299" i="6"/>
  <c r="AY291" i="6"/>
  <c r="AY292" i="6"/>
  <c r="AY295" i="6"/>
  <c r="AY306" i="6"/>
  <c r="AY315" i="6"/>
  <c r="AY294" i="6"/>
  <c r="AY19" i="6"/>
  <c r="AY17" i="6"/>
  <c r="AY16" i="6"/>
  <c r="AY29" i="6"/>
  <c r="AY15" i="6"/>
  <c r="AY21" i="6"/>
  <c r="AY34" i="6"/>
  <c r="AY25" i="6"/>
  <c r="AY27" i="6"/>
  <c r="AY22" i="6"/>
  <c r="AY40" i="6"/>
  <c r="AY48" i="6"/>
  <c r="AY58" i="6"/>
  <c r="AY60" i="6"/>
  <c r="AY45" i="6"/>
  <c r="AY36" i="6"/>
  <c r="AY62" i="6"/>
  <c r="AY61" i="6"/>
  <c r="AY59" i="6"/>
  <c r="AY50" i="6"/>
  <c r="AY43" i="6"/>
  <c r="AY38" i="6"/>
  <c r="AY56" i="6"/>
  <c r="AY46" i="6"/>
  <c r="AD374" i="1"/>
  <c r="P374" i="1"/>
  <c r="V374" i="1" s="1"/>
  <c r="F374" i="1" s="1"/>
  <c r="AD369" i="1"/>
  <c r="P365" i="1"/>
  <c r="V365" i="1" s="1"/>
  <c r="F365" i="1" s="1"/>
  <c r="AD365" i="1"/>
  <c r="AD361" i="1"/>
  <c r="P361" i="1"/>
  <c r="V361" i="1" s="1"/>
  <c r="F361" i="1" s="1"/>
  <c r="V317" i="1"/>
  <c r="F317" i="1" s="1"/>
  <c r="P372" i="1"/>
  <c r="V372" i="1" s="1"/>
  <c r="F372" i="1" s="1"/>
  <c r="P366" i="1"/>
  <c r="V366" i="1" s="1"/>
  <c r="F366" i="1" s="1"/>
  <c r="I366" i="1" s="1"/>
  <c r="AD377" i="1"/>
  <c r="P364" i="1"/>
  <c r="V364" i="1" s="1"/>
  <c r="F364" i="1" s="1"/>
  <c r="AD364" i="1"/>
  <c r="AD360" i="1"/>
  <c r="P360" i="1"/>
  <c r="V360" i="1" s="1"/>
  <c r="F360" i="1" s="1"/>
  <c r="AD375" i="1"/>
  <c r="AT192" i="6"/>
  <c r="AT202" i="6"/>
  <c r="AT196" i="6"/>
  <c r="AT217" i="6"/>
  <c r="AT197" i="6"/>
  <c r="AT214" i="6"/>
  <c r="AT215" i="6"/>
  <c r="AT204" i="6"/>
  <c r="AT208" i="6"/>
  <c r="AT190" i="6"/>
  <c r="AT203" i="6"/>
  <c r="AT216" i="6"/>
  <c r="AT206" i="6"/>
  <c r="AT194" i="6"/>
  <c r="AT237" i="6"/>
  <c r="AT235" i="6"/>
  <c r="AT238" i="6"/>
  <c r="AT243" i="6"/>
  <c r="AT240" i="6"/>
  <c r="AT244" i="6"/>
  <c r="AT245" i="6"/>
  <c r="AT225" i="6"/>
  <c r="AT223" i="6"/>
  <c r="AT219" i="6"/>
  <c r="AT231" i="6"/>
  <c r="AT239" i="6"/>
  <c r="AT227" i="6"/>
  <c r="J21" i="6"/>
  <c r="J15" i="6"/>
  <c r="AA40" i="6"/>
  <c r="AT370" i="6" s="1"/>
  <c r="P369" i="1"/>
  <c r="P371" i="1"/>
  <c r="J24" i="6"/>
  <c r="J33" i="6"/>
  <c r="J27" i="6"/>
  <c r="J26" i="6"/>
  <c r="J31" i="6"/>
  <c r="J25" i="6"/>
  <c r="AT128" i="6"/>
  <c r="AT117" i="6"/>
  <c r="AT122" i="6"/>
  <c r="AT107" i="6"/>
  <c r="AT132" i="6"/>
  <c r="AT106" i="6"/>
  <c r="AT118" i="6"/>
  <c r="AT111" i="6"/>
  <c r="AT114" i="6"/>
  <c r="AT113" i="6"/>
  <c r="AT130" i="6"/>
  <c r="AT112" i="6"/>
  <c r="AT108" i="6"/>
  <c r="AT55" i="6"/>
  <c r="AT61" i="6"/>
  <c r="AT73" i="6"/>
  <c r="AT54" i="6"/>
  <c r="AT59" i="6"/>
  <c r="AT64" i="6"/>
  <c r="AT69" i="6"/>
  <c r="AT57" i="6"/>
  <c r="AT52" i="6"/>
  <c r="AT74" i="6"/>
  <c r="AT50" i="6"/>
  <c r="AT58" i="6"/>
  <c r="AT92" i="6"/>
  <c r="AT97" i="6"/>
  <c r="AT102" i="6"/>
  <c r="AT90" i="6"/>
  <c r="AT82" i="6"/>
  <c r="AT80" i="6"/>
  <c r="AT78" i="6"/>
  <c r="AT87" i="6"/>
  <c r="AT95" i="6"/>
  <c r="AT94" i="6"/>
  <c r="AT86" i="6"/>
  <c r="AT96" i="6"/>
  <c r="AT101" i="6"/>
  <c r="AD378" i="1"/>
  <c r="P378" i="1"/>
  <c r="V378" i="1" s="1"/>
  <c r="F378" i="1" s="1"/>
  <c r="AY312" i="6"/>
  <c r="AY308" i="6"/>
  <c r="AY303" i="6"/>
  <c r="AY297" i="6"/>
  <c r="AY293" i="6"/>
  <c r="AY311" i="6"/>
  <c r="AY301" i="6"/>
  <c r="AY302" i="6"/>
  <c r="AY310" i="6"/>
  <c r="AY305" i="6"/>
  <c r="AY314" i="6"/>
  <c r="AY296" i="6"/>
  <c r="AY307" i="6"/>
  <c r="AY288" i="6"/>
  <c r="AY290" i="6"/>
  <c r="AY32" i="6"/>
  <c r="AY28" i="6"/>
  <c r="AY31" i="6"/>
  <c r="AY18" i="6"/>
  <c r="AY30" i="6"/>
  <c r="AY20" i="6"/>
  <c r="AY26" i="6"/>
  <c r="AY23" i="6"/>
  <c r="AY33" i="6"/>
  <c r="AY35" i="6"/>
  <c r="AY37" i="6"/>
  <c r="AY63" i="6"/>
  <c r="AY53" i="6"/>
  <c r="AY44" i="6"/>
  <c r="AY42" i="6"/>
  <c r="AY51" i="6"/>
  <c r="AY47" i="6"/>
  <c r="AY55" i="6"/>
  <c r="AY57" i="6"/>
  <c r="AY41" i="6"/>
  <c r="AY54" i="6"/>
  <c r="AY49" i="6"/>
  <c r="AY52" i="6"/>
  <c r="I342" i="1" l="1"/>
  <c r="G355" i="1"/>
  <c r="BW355" i="6" s="1"/>
  <c r="I343" i="1"/>
  <c r="AA342" i="1"/>
  <c r="Z342" i="1" s="1"/>
  <c r="Y342" i="1" s="1"/>
  <c r="AA39" i="1"/>
  <c r="Z39" i="1" s="1"/>
  <c r="Y39" i="1" s="1"/>
  <c r="AA68" i="1"/>
  <c r="Z68" i="1" s="1"/>
  <c r="Y68" i="1" s="1"/>
  <c r="AA69" i="1"/>
  <c r="Z69" i="1" s="1"/>
  <c r="Y69" i="1" s="1"/>
  <c r="AA215" i="1"/>
  <c r="Z215" i="1" s="1"/>
  <c r="Y215" i="1" s="1"/>
  <c r="AA235" i="1"/>
  <c r="Z235" i="1" s="1"/>
  <c r="Y235" i="1" s="1"/>
  <c r="AA355" i="1"/>
  <c r="Z355" i="1" s="1"/>
  <c r="Y355" i="1" s="1"/>
  <c r="AA52" i="1"/>
  <c r="Z52" i="1" s="1"/>
  <c r="Y52" i="1" s="1"/>
  <c r="AA63" i="1"/>
  <c r="Z63" i="1" s="1"/>
  <c r="Y63" i="1" s="1"/>
  <c r="AA348" i="1"/>
  <c r="Z348" i="1" s="1"/>
  <c r="Y348" i="1" s="1"/>
  <c r="AA64" i="1"/>
  <c r="Z64" i="1" s="1"/>
  <c r="Y64" i="1" s="1"/>
  <c r="AA349" i="1"/>
  <c r="Z349" i="1" s="1"/>
  <c r="Y349" i="1" s="1"/>
  <c r="AA330" i="1"/>
  <c r="Z330" i="1" s="1"/>
  <c r="Y330" i="1" s="1"/>
  <c r="AA352" i="1"/>
  <c r="Z352" i="1" s="1"/>
  <c r="Y352" i="1" s="1"/>
  <c r="AA188" i="1"/>
  <c r="Z188" i="1" s="1"/>
  <c r="Y188" i="1" s="1"/>
  <c r="AA51" i="1"/>
  <c r="Z51" i="1" s="1"/>
  <c r="Y51" i="1" s="1"/>
  <c r="AA191" i="1"/>
  <c r="Z191" i="1" s="1"/>
  <c r="Y191" i="1" s="1"/>
  <c r="AA202" i="1"/>
  <c r="Z202" i="1" s="1"/>
  <c r="Y202" i="1" s="1"/>
  <c r="AD362" i="1"/>
  <c r="AA275" i="1"/>
  <c r="Z275" i="1" s="1"/>
  <c r="Y275" i="1" s="1"/>
  <c r="AA40" i="1"/>
  <c r="Z40" i="1" s="1"/>
  <c r="Y40" i="1" s="1"/>
  <c r="AD379" i="1"/>
  <c r="G373" i="1"/>
  <c r="BW373" i="6" s="1"/>
  <c r="I349" i="1"/>
  <c r="I330" i="1"/>
  <c r="G370" i="1"/>
  <c r="BW370" i="6" s="1"/>
  <c r="G352" i="1"/>
  <c r="BW352" i="6" s="1"/>
  <c r="G296" i="1"/>
  <c r="BW296" i="6" s="1"/>
  <c r="AA281" i="1"/>
  <c r="Z281" i="1" s="1"/>
  <c r="Y281" i="1" s="1"/>
  <c r="AA304" i="1"/>
  <c r="Z304" i="1" s="1"/>
  <c r="Y304" i="1" s="1"/>
  <c r="AA70" i="1"/>
  <c r="Z70" i="1" s="1"/>
  <c r="Y70" i="1" s="1"/>
  <c r="AA46" i="1"/>
  <c r="Z46" i="1" s="1"/>
  <c r="Y46" i="1" s="1"/>
  <c r="AA55" i="1"/>
  <c r="Z55" i="1" s="1"/>
  <c r="Y55" i="1" s="1"/>
  <c r="AA53" i="1"/>
  <c r="Z53" i="1" s="1"/>
  <c r="Y53" i="1" s="1"/>
  <c r="I290" i="1"/>
  <c r="G375" i="1"/>
  <c r="BW375" i="6" s="1"/>
  <c r="I338" i="1"/>
  <c r="AA239" i="1"/>
  <c r="Z239" i="1" s="1"/>
  <c r="Y239" i="1" s="1"/>
  <c r="AA290" i="1"/>
  <c r="Z290" i="1" s="1"/>
  <c r="Y290" i="1" s="1"/>
  <c r="AA328" i="1"/>
  <c r="Z328" i="1" s="1"/>
  <c r="Y328" i="1" s="1"/>
  <c r="AA324" i="1"/>
  <c r="Z324" i="1" s="1"/>
  <c r="Y324" i="1" s="1"/>
  <c r="AA76" i="1"/>
  <c r="Z76" i="1" s="1"/>
  <c r="Y76" i="1" s="1"/>
  <c r="AA41" i="1"/>
  <c r="Z41" i="1" s="1"/>
  <c r="Y41" i="1" s="1"/>
  <c r="AA373" i="1"/>
  <c r="Z373" i="1" s="1"/>
  <c r="Y373" i="1" s="1"/>
  <c r="AA245" i="1"/>
  <c r="Z245" i="1" s="1"/>
  <c r="Y245" i="1" s="1"/>
  <c r="AA67" i="1"/>
  <c r="Z67" i="1" s="1"/>
  <c r="Y67" i="1" s="1"/>
  <c r="AA296" i="1"/>
  <c r="Z296" i="1" s="1"/>
  <c r="Y296" i="1" s="1"/>
  <c r="AA192" i="1"/>
  <c r="Z192" i="1" s="1"/>
  <c r="Y192" i="1" s="1"/>
  <c r="Q313" i="15"/>
  <c r="Q253" i="15"/>
  <c r="Q154" i="15"/>
  <c r="Q101" i="15"/>
  <c r="Q236" i="15"/>
  <c r="Q366" i="15"/>
  <c r="K13" i="7"/>
  <c r="AC13" i="7"/>
  <c r="Q354" i="15"/>
  <c r="Q44" i="15"/>
  <c r="Q28" i="15"/>
  <c r="Q301" i="15"/>
  <c r="Q117" i="15"/>
  <c r="Q104" i="15"/>
  <c r="Q86" i="15"/>
  <c r="G324" i="1"/>
  <c r="BW324" i="6" s="1"/>
  <c r="G328" i="1"/>
  <c r="BW328" i="6" s="1"/>
  <c r="Q322" i="15"/>
  <c r="Q280" i="15"/>
  <c r="Q357" i="15"/>
  <c r="Q192" i="15"/>
  <c r="Q138" i="15"/>
  <c r="Q185" i="15"/>
  <c r="Q45" i="15"/>
  <c r="Q373" i="15"/>
  <c r="Q288" i="15"/>
  <c r="Q193" i="15"/>
  <c r="Q102" i="15"/>
  <c r="Q35" i="15"/>
  <c r="Q318" i="15"/>
  <c r="AA54" i="1"/>
  <c r="Z54" i="1" s="1"/>
  <c r="Y54" i="1" s="1"/>
  <c r="AA42" i="1"/>
  <c r="Z42" i="1" s="1"/>
  <c r="Y42" i="1" s="1"/>
  <c r="AA179" i="1"/>
  <c r="Z179" i="1" s="1"/>
  <c r="Y179" i="1" s="1"/>
  <c r="AA375" i="1"/>
  <c r="Z375" i="1" s="1"/>
  <c r="Y375" i="1" s="1"/>
  <c r="F316" i="1"/>
  <c r="G316" i="1" s="1"/>
  <c r="BW316" i="6" s="1"/>
  <c r="AA300" i="1"/>
  <c r="Z300" i="1" s="1"/>
  <c r="Y300" i="1" s="1"/>
  <c r="Q176" i="15"/>
  <c r="Q112" i="15"/>
  <c r="Q34" i="15"/>
  <c r="Q125" i="15"/>
  <c r="Q208" i="15"/>
  <c r="Q178" i="15"/>
  <c r="Q229" i="15"/>
  <c r="Q184" i="15"/>
  <c r="Q284" i="15"/>
  <c r="Q266" i="15"/>
  <c r="Q378" i="15"/>
  <c r="Q249" i="15"/>
  <c r="Q130" i="15"/>
  <c r="Q173" i="15"/>
  <c r="Q272" i="15"/>
  <c r="Q210" i="15"/>
  <c r="Q245" i="15"/>
  <c r="Q376" i="15"/>
  <c r="Q124" i="15"/>
  <c r="Q321" i="15"/>
  <c r="Q65" i="15"/>
  <c r="Q358" i="15"/>
  <c r="Q159" i="15"/>
  <c r="Q291" i="15"/>
  <c r="Q377" i="15"/>
  <c r="Q167" i="15"/>
  <c r="Q267" i="15"/>
  <c r="AA313" i="1"/>
  <c r="Z313" i="1" s="1"/>
  <c r="Y313" i="1" s="1"/>
  <c r="AA58" i="1"/>
  <c r="Z58" i="1" s="1"/>
  <c r="Y58" i="1" s="1"/>
  <c r="AA200" i="1"/>
  <c r="Z200" i="1" s="1"/>
  <c r="Y200" i="1" s="1"/>
  <c r="AA57" i="1"/>
  <c r="Z57" i="1" s="1"/>
  <c r="Y57" i="1" s="1"/>
  <c r="AA189" i="1"/>
  <c r="Z189" i="1" s="1"/>
  <c r="Y189" i="1" s="1"/>
  <c r="Q32" i="15"/>
  <c r="Q282" i="15"/>
  <c r="Q26" i="15"/>
  <c r="Q257" i="15"/>
  <c r="Q129" i="15"/>
  <c r="Q360" i="15"/>
  <c r="Q212" i="15"/>
  <c r="Q230" i="15"/>
  <c r="Q287" i="15"/>
  <c r="Q31" i="15"/>
  <c r="Q110" i="15"/>
  <c r="Q163" i="15"/>
  <c r="Q57" i="15"/>
  <c r="Q342" i="15"/>
  <c r="Q295" i="15"/>
  <c r="Q39" i="15"/>
  <c r="Q62" i="15"/>
  <c r="Q139" i="15"/>
  <c r="AD218" i="1"/>
  <c r="AA218" i="1" s="1"/>
  <c r="Z218" i="1" s="1"/>
  <c r="Y218" i="1" s="1"/>
  <c r="P225" i="1"/>
  <c r="V225" i="1" s="1"/>
  <c r="AA225" i="1" s="1"/>
  <c r="Z225" i="1" s="1"/>
  <c r="Y225" i="1" s="1"/>
  <c r="C65" i="7"/>
  <c r="P224" i="1"/>
  <c r="V224" i="1" s="1"/>
  <c r="AA224" i="1" s="1"/>
  <c r="Z224" i="1" s="1"/>
  <c r="Y224" i="1" s="1"/>
  <c r="AD229" i="1"/>
  <c r="AA229" i="1" s="1"/>
  <c r="Z229" i="1" s="1"/>
  <c r="Y229" i="1" s="1"/>
  <c r="C60" i="7"/>
  <c r="C61" i="7"/>
  <c r="E363" i="17"/>
  <c r="AD214" i="1"/>
  <c r="AA214" i="1" s="1"/>
  <c r="Z214" i="1" s="1"/>
  <c r="Y214" i="1" s="1"/>
  <c r="AD231" i="1"/>
  <c r="AA231" i="1" s="1"/>
  <c r="Z231" i="1" s="1"/>
  <c r="Y231" i="1" s="1"/>
  <c r="AZ169" i="6"/>
  <c r="E272" i="17"/>
  <c r="AD212" i="1"/>
  <c r="AA212" i="1" s="1"/>
  <c r="Z212" i="1" s="1"/>
  <c r="Y212" i="1" s="1"/>
  <c r="AT38" i="6"/>
  <c r="AZ38" i="6" s="1"/>
  <c r="AT49" i="6"/>
  <c r="AZ49" i="6" s="1"/>
  <c r="AT29" i="6"/>
  <c r="AZ29" i="6" s="1"/>
  <c r="O66" i="18"/>
  <c r="O16" i="18"/>
  <c r="O27" i="18"/>
  <c r="C66" i="7"/>
  <c r="O52" i="18"/>
  <c r="O19" i="18"/>
  <c r="O73" i="18"/>
  <c r="O42" i="18"/>
  <c r="O32" i="18"/>
  <c r="O23" i="18"/>
  <c r="P211" i="1"/>
  <c r="V211" i="1" s="1"/>
  <c r="AA211" i="1" s="1"/>
  <c r="Z211" i="1" s="1"/>
  <c r="Y211" i="1" s="1"/>
  <c r="AZ187" i="6"/>
  <c r="AZ166" i="6"/>
  <c r="I292" i="1"/>
  <c r="AZ171" i="6"/>
  <c r="AZ174" i="6"/>
  <c r="AZ167" i="6"/>
  <c r="AZ162" i="6"/>
  <c r="X380" i="6" s="1"/>
  <c r="X381" i="6" s="1"/>
  <c r="AZ182" i="6"/>
  <c r="AZ180" i="6"/>
  <c r="AZ172" i="6"/>
  <c r="AZ168" i="6"/>
  <c r="AD169" i="1"/>
  <c r="AA169" i="1" s="1"/>
  <c r="Z169" i="1" s="1"/>
  <c r="Y169" i="1" s="1"/>
  <c r="AA77" i="1"/>
  <c r="Z77" i="1" s="1"/>
  <c r="Y77" i="1" s="1"/>
  <c r="AA292" i="1"/>
  <c r="Z292" i="1" s="1"/>
  <c r="Y292" i="1" s="1"/>
  <c r="AA197" i="1"/>
  <c r="Z197" i="1" s="1"/>
  <c r="Y197" i="1" s="1"/>
  <c r="AD228" i="1"/>
  <c r="AA228" i="1" s="1"/>
  <c r="Z228" i="1" s="1"/>
  <c r="Y228" i="1" s="1"/>
  <c r="AD205" i="1"/>
  <c r="AA205" i="1" s="1"/>
  <c r="Z205" i="1" s="1"/>
  <c r="Y205" i="1" s="1"/>
  <c r="AA341" i="1"/>
  <c r="Z341" i="1" s="1"/>
  <c r="Y341" i="1" s="1"/>
  <c r="AA238" i="1"/>
  <c r="Z238" i="1" s="1"/>
  <c r="Y238" i="1" s="1"/>
  <c r="AA335" i="1"/>
  <c r="Z335" i="1" s="1"/>
  <c r="Y335" i="1" s="1"/>
  <c r="AA65" i="1"/>
  <c r="Z65" i="1" s="1"/>
  <c r="Y65" i="1" s="1"/>
  <c r="AA73" i="1"/>
  <c r="Z73" i="1" s="1"/>
  <c r="Y73" i="1" s="1"/>
  <c r="AA303" i="1"/>
  <c r="Z303" i="1" s="1"/>
  <c r="Y303" i="1" s="1"/>
  <c r="AA187" i="1"/>
  <c r="Z187" i="1" s="1"/>
  <c r="Y187" i="1" s="1"/>
  <c r="AA196" i="1"/>
  <c r="Z196" i="1" s="1"/>
  <c r="Y196" i="1" s="1"/>
  <c r="AA75" i="1"/>
  <c r="Z75" i="1" s="1"/>
  <c r="Y75" i="1" s="1"/>
  <c r="AA190" i="1"/>
  <c r="Z190" i="1" s="1"/>
  <c r="Y190" i="1" s="1"/>
  <c r="AD162" i="1"/>
  <c r="AA162" i="1" s="1"/>
  <c r="Z162" i="1" s="1"/>
  <c r="Y162" i="1" s="1"/>
  <c r="AA325" i="1"/>
  <c r="Z325" i="1" s="1"/>
  <c r="Y325" i="1" s="1"/>
  <c r="AA183" i="1"/>
  <c r="Z183" i="1" s="1"/>
  <c r="Y183" i="1" s="1"/>
  <c r="O37" i="18"/>
  <c r="O33" i="18"/>
  <c r="O70" i="18"/>
  <c r="O68" i="18"/>
  <c r="O18" i="18"/>
  <c r="O55" i="18"/>
  <c r="O54" i="18"/>
  <c r="O28" i="18"/>
  <c r="O64" i="18"/>
  <c r="O67" i="18"/>
  <c r="O26" i="18"/>
  <c r="O20" i="18"/>
  <c r="O62" i="18"/>
  <c r="O69" i="18"/>
  <c r="O35" i="18"/>
  <c r="O59" i="18"/>
  <c r="O36" i="18"/>
  <c r="O43" i="18"/>
  <c r="O30" i="18"/>
  <c r="G341" i="1"/>
  <c r="BW341" i="6" s="1"/>
  <c r="AZ221" i="6"/>
  <c r="AZ229" i="6"/>
  <c r="AZ213" i="6"/>
  <c r="AZ205" i="6"/>
  <c r="I335" i="1"/>
  <c r="I325" i="1"/>
  <c r="P213" i="1"/>
  <c r="V213" i="1" s="1"/>
  <c r="AA213" i="1" s="1"/>
  <c r="Z213" i="1" s="1"/>
  <c r="Y213" i="1" s="1"/>
  <c r="P208" i="1"/>
  <c r="V208" i="1" s="1"/>
  <c r="AA208" i="1" s="1"/>
  <c r="Z208" i="1" s="1"/>
  <c r="Y208" i="1" s="1"/>
  <c r="AZ188" i="6"/>
  <c r="AZ189" i="6"/>
  <c r="AZ170" i="6"/>
  <c r="AZ163" i="6"/>
  <c r="AZ175" i="6"/>
  <c r="P204" i="1"/>
  <c r="V204" i="1" s="1"/>
  <c r="AA204" i="1" s="1"/>
  <c r="Z204" i="1" s="1"/>
  <c r="Y204" i="1" s="1"/>
  <c r="AD227" i="1"/>
  <c r="AA227" i="1" s="1"/>
  <c r="Z227" i="1" s="1"/>
  <c r="Y227" i="1" s="1"/>
  <c r="AA242" i="1"/>
  <c r="Z242" i="1" s="1"/>
  <c r="Y242" i="1" s="1"/>
  <c r="AA59" i="1"/>
  <c r="Z59" i="1" s="1"/>
  <c r="Y59" i="1" s="1"/>
  <c r="AA193" i="1"/>
  <c r="Z193" i="1" s="1"/>
  <c r="Y193" i="1" s="1"/>
  <c r="AA334" i="1"/>
  <c r="Z334" i="1" s="1"/>
  <c r="Y334" i="1" s="1"/>
  <c r="AA66" i="1"/>
  <c r="Z66" i="1" s="1"/>
  <c r="Y66" i="1" s="1"/>
  <c r="AA71" i="1"/>
  <c r="Z71" i="1" s="1"/>
  <c r="Y71" i="1" s="1"/>
  <c r="AA195" i="1"/>
  <c r="Z195" i="1" s="1"/>
  <c r="Y195" i="1" s="1"/>
  <c r="AA274" i="1"/>
  <c r="Z274" i="1" s="1"/>
  <c r="Y274" i="1" s="1"/>
  <c r="AA199" i="1"/>
  <c r="Z199" i="1" s="1"/>
  <c r="Y199" i="1" s="1"/>
  <c r="AA185" i="1"/>
  <c r="Z185" i="1" s="1"/>
  <c r="Y185" i="1" s="1"/>
  <c r="AA49" i="1"/>
  <c r="Z49" i="1" s="1"/>
  <c r="Y49" i="1" s="1"/>
  <c r="AA194" i="1"/>
  <c r="Z194" i="1" s="1"/>
  <c r="Y194" i="1" s="1"/>
  <c r="AA201" i="1"/>
  <c r="Z201" i="1" s="1"/>
  <c r="Y201" i="1" s="1"/>
  <c r="AD209" i="1"/>
  <c r="AA209" i="1" s="1"/>
  <c r="Z209" i="1" s="1"/>
  <c r="Y209" i="1" s="1"/>
  <c r="O90" i="18"/>
  <c r="AA203" i="1"/>
  <c r="Z203" i="1" s="1"/>
  <c r="Y203" i="1" s="1"/>
  <c r="E241" i="17"/>
  <c r="P217" i="1"/>
  <c r="V217" i="1" s="1"/>
  <c r="AA217" i="1" s="1"/>
  <c r="Z217" i="1" s="1"/>
  <c r="Y217" i="1" s="1"/>
  <c r="AD210" i="1"/>
  <c r="AZ183" i="6"/>
  <c r="AZ184" i="6"/>
  <c r="AA345" i="1"/>
  <c r="Z345" i="1" s="1"/>
  <c r="Y345" i="1" s="1"/>
  <c r="V60" i="1"/>
  <c r="AA60" i="1" s="1"/>
  <c r="Z60" i="1" s="1"/>
  <c r="Y60" i="1" s="1"/>
  <c r="P175" i="1"/>
  <c r="V175" i="1" s="1"/>
  <c r="AA175" i="1" s="1"/>
  <c r="Z175" i="1" s="1"/>
  <c r="Y175" i="1" s="1"/>
  <c r="P226" i="1"/>
  <c r="V226" i="1" s="1"/>
  <c r="AA226" i="1" s="1"/>
  <c r="Z226" i="1" s="1"/>
  <c r="Y226" i="1" s="1"/>
  <c r="AD220" i="1"/>
  <c r="AA220" i="1" s="1"/>
  <c r="Z220" i="1" s="1"/>
  <c r="Y220" i="1" s="1"/>
  <c r="AD207" i="1"/>
  <c r="AA207" i="1" s="1"/>
  <c r="Z207" i="1" s="1"/>
  <c r="Y207" i="1" s="1"/>
  <c r="AD221" i="1"/>
  <c r="AA181" i="1"/>
  <c r="Z181" i="1" s="1"/>
  <c r="Y181" i="1" s="1"/>
  <c r="P171" i="1"/>
  <c r="V171" i="1" s="1"/>
  <c r="AA171" i="1" s="1"/>
  <c r="Z171" i="1" s="1"/>
  <c r="Y171" i="1" s="1"/>
  <c r="AZ176" i="6"/>
  <c r="Y380" i="6" s="1"/>
  <c r="Y381" i="6" s="1"/>
  <c r="AZ165" i="6"/>
  <c r="AZ185" i="6"/>
  <c r="AZ181" i="6"/>
  <c r="AZ173" i="6"/>
  <c r="AZ178" i="6"/>
  <c r="AZ164" i="6"/>
  <c r="AZ186" i="6"/>
  <c r="AZ177" i="6"/>
  <c r="AZ179" i="6"/>
  <c r="G332" i="1"/>
  <c r="BW332" i="6" s="1"/>
  <c r="I295" i="1"/>
  <c r="V302" i="1"/>
  <c r="F302" i="1" s="1"/>
  <c r="I302" i="1" s="1"/>
  <c r="I331" i="1"/>
  <c r="I334" i="1"/>
  <c r="AZ227" i="6"/>
  <c r="AZ223" i="6"/>
  <c r="AZ206" i="6"/>
  <c r="AZ215" i="6"/>
  <c r="I294" i="1"/>
  <c r="AA182" i="1"/>
  <c r="Z182" i="1" s="1"/>
  <c r="Y182" i="1" s="1"/>
  <c r="AA176" i="1"/>
  <c r="Z176" i="1" s="1"/>
  <c r="Y176" i="1" s="1"/>
  <c r="G340" i="1"/>
  <c r="BW340" i="6" s="1"/>
  <c r="I345" i="1"/>
  <c r="V180" i="1"/>
  <c r="AA180" i="1" s="1"/>
  <c r="Z180" i="1" s="1"/>
  <c r="Y180" i="1" s="1"/>
  <c r="AZ209" i="6"/>
  <c r="E210" i="17"/>
  <c r="AA332" i="1"/>
  <c r="Z332" i="1" s="1"/>
  <c r="Y332" i="1" s="1"/>
  <c r="AA72" i="1"/>
  <c r="Z72" i="1" s="1"/>
  <c r="Y72" i="1" s="1"/>
  <c r="AA294" i="1"/>
  <c r="Z294" i="1" s="1"/>
  <c r="Y294" i="1" s="1"/>
  <c r="AA295" i="1"/>
  <c r="Z295" i="1" s="1"/>
  <c r="Y295" i="1" s="1"/>
  <c r="V379" i="1"/>
  <c r="F379" i="1" s="1"/>
  <c r="AA379" i="1" s="1"/>
  <c r="Z379" i="1" s="1"/>
  <c r="Y379" i="1" s="1"/>
  <c r="D35" i="19"/>
  <c r="AZ231" i="6"/>
  <c r="AZ208" i="6"/>
  <c r="AZ211" i="6"/>
  <c r="AA48" i="1"/>
  <c r="Z48" i="1" s="1"/>
  <c r="Y48" i="1" s="1"/>
  <c r="AA340" i="1"/>
  <c r="Z340" i="1" s="1"/>
  <c r="Y340" i="1" s="1"/>
  <c r="AA339" i="1"/>
  <c r="Z339" i="1" s="1"/>
  <c r="Y339" i="1" s="1"/>
  <c r="E379" i="17"/>
  <c r="C38" i="19"/>
  <c r="O136" i="18"/>
  <c r="O295" i="18"/>
  <c r="Q351" i="15"/>
  <c r="Q223" i="15"/>
  <c r="Q95" i="15"/>
  <c r="Q228" i="15"/>
  <c r="Q238" i="15"/>
  <c r="Q355" i="15"/>
  <c r="Q227" i="15"/>
  <c r="Q99" i="15"/>
  <c r="Q121" i="15"/>
  <c r="Q264" i="15"/>
  <c r="Q180" i="15"/>
  <c r="Q214" i="15"/>
  <c r="Q359" i="15"/>
  <c r="Q231" i="15"/>
  <c r="Q103" i="15"/>
  <c r="Q196" i="15"/>
  <c r="Q190" i="15"/>
  <c r="Q331" i="15"/>
  <c r="Q203" i="15"/>
  <c r="Q75" i="15"/>
  <c r="O319" i="18"/>
  <c r="O276" i="18"/>
  <c r="O316" i="18"/>
  <c r="Q268" i="15"/>
  <c r="Q368" i="15"/>
  <c r="Q204" i="15"/>
  <c r="Q162" i="15"/>
  <c r="Q317" i="15"/>
  <c r="Q189" i="15"/>
  <c r="Q61" i="15"/>
  <c r="Q24" i="15"/>
  <c r="Q300" i="15"/>
  <c r="Q306" i="15"/>
  <c r="Q50" i="15"/>
  <c r="Q293" i="15"/>
  <c r="Q165" i="15"/>
  <c r="Q37" i="15"/>
  <c r="Q320" i="15"/>
  <c r="Q64" i="15"/>
  <c r="Q156" i="15"/>
  <c r="Q330" i="15"/>
  <c r="Q202" i="15"/>
  <c r="Q74" i="15"/>
  <c r="Q345" i="15"/>
  <c r="Q281" i="15"/>
  <c r="Q217" i="15"/>
  <c r="Q258" i="15"/>
  <c r="Q365" i="15"/>
  <c r="Q237" i="15"/>
  <c r="Q109" i="15"/>
  <c r="Q216" i="15"/>
  <c r="Q19" i="15"/>
  <c r="Q338" i="15"/>
  <c r="Q82" i="15"/>
  <c r="Q309" i="15"/>
  <c r="Q181" i="15"/>
  <c r="Q53" i="15"/>
  <c r="Q120" i="15"/>
  <c r="Q160" i="15"/>
  <c r="Q252" i="15"/>
  <c r="Q346" i="15"/>
  <c r="Q218" i="15"/>
  <c r="Q90" i="15"/>
  <c r="Q353" i="15"/>
  <c r="Q289" i="15"/>
  <c r="Q225" i="15"/>
  <c r="Q161" i="15"/>
  <c r="Q97" i="15"/>
  <c r="Q33" i="15"/>
  <c r="Q232" i="15"/>
  <c r="Q340" i="15"/>
  <c r="Q84" i="15"/>
  <c r="Q294" i="15"/>
  <c r="Q166" i="15"/>
  <c r="Q38" i="15"/>
  <c r="Q319" i="15"/>
  <c r="Q255" i="15"/>
  <c r="Q191" i="15"/>
  <c r="Q127" i="15"/>
  <c r="Q63" i="15"/>
  <c r="Q356" i="15"/>
  <c r="Q100" i="15"/>
  <c r="Q302" i="15"/>
  <c r="Q174" i="15"/>
  <c r="Q46" i="15"/>
  <c r="Q323" i="15"/>
  <c r="Q259" i="15"/>
  <c r="Q195" i="15"/>
  <c r="Q131" i="15"/>
  <c r="Q67" i="15"/>
  <c r="Q153" i="15"/>
  <c r="Q89" i="15"/>
  <c r="Q25" i="15"/>
  <c r="Q136" i="15"/>
  <c r="Q308" i="15"/>
  <c r="Q52" i="15"/>
  <c r="Q278" i="15"/>
  <c r="Q150" i="15"/>
  <c r="Q22" i="15"/>
  <c r="Q327" i="15"/>
  <c r="Q263" i="15"/>
  <c r="Q199" i="15"/>
  <c r="Q135" i="15"/>
  <c r="Q71" i="15"/>
  <c r="Q324" i="15"/>
  <c r="Q68" i="15"/>
  <c r="Q254" i="15"/>
  <c r="Q126" i="15"/>
  <c r="Q363" i="15"/>
  <c r="Q299" i="15"/>
  <c r="Q235" i="15"/>
  <c r="Q171" i="15"/>
  <c r="Q107" i="15"/>
  <c r="Q43" i="15"/>
  <c r="O186" i="18"/>
  <c r="O253" i="18"/>
  <c r="O77" i="18"/>
  <c r="O260" i="18"/>
  <c r="U10" i="15"/>
  <c r="AI182" i="15" s="1"/>
  <c r="AH182" i="15" s="1"/>
  <c r="AG182" i="15" s="1"/>
  <c r="AF182" i="15" s="1"/>
  <c r="O307" i="18"/>
  <c r="O79" i="18"/>
  <c r="O194" i="18"/>
  <c r="O293" i="18"/>
  <c r="O193" i="18"/>
  <c r="O200" i="18"/>
  <c r="AA177" i="1"/>
  <c r="Z177" i="1" s="1"/>
  <c r="Y177" i="1" s="1"/>
  <c r="AA184" i="1"/>
  <c r="Z184" i="1" s="1"/>
  <c r="Y184" i="1" s="1"/>
  <c r="AZ219" i="6"/>
  <c r="AZ204" i="6"/>
  <c r="AA380" i="6" s="1"/>
  <c r="AA381" i="6" s="1"/>
  <c r="AZ214" i="6"/>
  <c r="AZ217" i="6"/>
  <c r="AZ218" i="6"/>
  <c r="AB380" i="6" s="1"/>
  <c r="AB381" i="6" s="1"/>
  <c r="AZ220" i="6"/>
  <c r="AZ224" i="6"/>
  <c r="AZ212" i="6"/>
  <c r="AZ144" i="6"/>
  <c r="AZ161" i="6"/>
  <c r="AZ210" i="6"/>
  <c r="AD219" i="1"/>
  <c r="AA219" i="1" s="1"/>
  <c r="Z219" i="1" s="1"/>
  <c r="Y219" i="1" s="1"/>
  <c r="O337" i="18"/>
  <c r="O190" i="18"/>
  <c r="O330" i="18"/>
  <c r="O257" i="18"/>
  <c r="O130" i="18"/>
  <c r="O371" i="18"/>
  <c r="O141" i="18"/>
  <c r="O358" i="18"/>
  <c r="O174" i="18"/>
  <c r="O322" i="18"/>
  <c r="O198" i="18"/>
  <c r="O145" i="18"/>
  <c r="O75" i="18"/>
  <c r="O353" i="18"/>
  <c r="O127" i="18"/>
  <c r="O277" i="18"/>
  <c r="O251" i="18"/>
  <c r="O245" i="18"/>
  <c r="O116" i="18"/>
  <c r="O86" i="18"/>
  <c r="O313" i="18"/>
  <c r="O196" i="18"/>
  <c r="O191" i="18"/>
  <c r="O143" i="18"/>
  <c r="O184" i="18"/>
  <c r="O238" i="18"/>
  <c r="O187" i="18"/>
  <c r="O292" i="18"/>
  <c r="O367" i="18"/>
  <c r="O164" i="18"/>
  <c r="O232" i="18"/>
  <c r="O231" i="18"/>
  <c r="O366" i="18"/>
  <c r="O256" i="18"/>
  <c r="O258" i="18"/>
  <c r="O140" i="18"/>
  <c r="O374" i="18"/>
  <c r="O263" i="18"/>
  <c r="O94" i="18"/>
  <c r="O146" i="18"/>
  <c r="O92" i="18"/>
  <c r="O320" i="18"/>
  <c r="O204" i="18"/>
  <c r="O76" i="18"/>
  <c r="O223" i="18"/>
  <c r="O188" i="18"/>
  <c r="O83" i="18"/>
  <c r="O273" i="18"/>
  <c r="G323" i="1"/>
  <c r="BW323" i="6" s="1"/>
  <c r="AT39" i="6"/>
  <c r="AZ39" i="6" s="1"/>
  <c r="AZ228" i="6"/>
  <c r="AZ207" i="6"/>
  <c r="AZ347" i="6"/>
  <c r="P168" i="1"/>
  <c r="V168" i="1" s="1"/>
  <c r="AA168" i="1" s="1"/>
  <c r="Z168" i="1" s="1"/>
  <c r="Y168" i="1" s="1"/>
  <c r="O209" i="18"/>
  <c r="O181" i="18"/>
  <c r="O333" i="18"/>
  <c r="C78" i="7" s="1"/>
  <c r="O192" i="18"/>
  <c r="O338" i="18"/>
  <c r="O119" i="18"/>
  <c r="C71" i="7" s="1"/>
  <c r="O325" i="18"/>
  <c r="O115" i="18"/>
  <c r="O362" i="18"/>
  <c r="AZ303" i="6"/>
  <c r="AZ225" i="6"/>
  <c r="AZ216" i="6"/>
  <c r="AT34" i="6"/>
  <c r="AZ34" i="6" s="1"/>
  <c r="AZ226" i="6"/>
  <c r="AZ222" i="6"/>
  <c r="AT43" i="6"/>
  <c r="AZ43" i="6" s="1"/>
  <c r="AA323" i="1"/>
  <c r="Z323" i="1" s="1"/>
  <c r="Y323" i="1" s="1"/>
  <c r="AZ142" i="6"/>
  <c r="AZ230" i="6"/>
  <c r="AD163" i="1"/>
  <c r="AA163" i="1" s="1"/>
  <c r="Z163" i="1" s="1"/>
  <c r="Y163" i="1" s="1"/>
  <c r="O239" i="18"/>
  <c r="O356" i="18"/>
  <c r="O305" i="18"/>
  <c r="O225" i="18"/>
  <c r="O281" i="18"/>
  <c r="O218" i="18"/>
  <c r="O163" i="18"/>
  <c r="O154" i="18"/>
  <c r="O125" i="18"/>
  <c r="O298" i="18"/>
  <c r="O342" i="18"/>
  <c r="O280" i="18"/>
  <c r="O212" i="18"/>
  <c r="O289" i="18"/>
  <c r="O235" i="18"/>
  <c r="O160" i="18"/>
  <c r="O167" i="18"/>
  <c r="O101" i="18"/>
  <c r="O106" i="18"/>
  <c r="O139" i="18"/>
  <c r="O185" i="18"/>
  <c r="O109" i="18"/>
  <c r="O241" i="18"/>
  <c r="C75" i="7" s="1"/>
  <c r="O334" i="18"/>
  <c r="O128" i="18"/>
  <c r="O133" i="18"/>
  <c r="O255" i="18"/>
  <c r="O252" i="18"/>
  <c r="O321" i="18"/>
  <c r="O375" i="18"/>
  <c r="O98" i="18"/>
  <c r="O97" i="18"/>
  <c r="O131" i="18"/>
  <c r="O199" i="18"/>
  <c r="O270" i="18"/>
  <c r="O197" i="18"/>
  <c r="O265" i="18"/>
  <c r="O343" i="18"/>
  <c r="O346" i="18"/>
  <c r="O355" i="18"/>
  <c r="O213" i="18"/>
  <c r="O290" i="18"/>
  <c r="O236" i="18"/>
  <c r="O161" i="18"/>
  <c r="O169" i="18"/>
  <c r="O104" i="18"/>
  <c r="O108" i="18"/>
  <c r="O378" i="18"/>
  <c r="O340" i="18"/>
  <c r="O189" i="18"/>
  <c r="O195" i="18"/>
  <c r="O96" i="18"/>
  <c r="O347" i="18"/>
  <c r="O261" i="18"/>
  <c r="O262" i="18"/>
  <c r="O142" i="18"/>
  <c r="O80" i="18"/>
  <c r="O156" i="18"/>
  <c r="O352" i="18"/>
  <c r="O112" i="18"/>
  <c r="O243" i="18"/>
  <c r="O315" i="18"/>
  <c r="O93" i="18"/>
  <c r="O118" i="18"/>
  <c r="O246" i="18"/>
  <c r="O259" i="18"/>
  <c r="O310" i="18"/>
  <c r="O224" i="18"/>
  <c r="O336" i="18"/>
  <c r="O267" i="18"/>
  <c r="O137" i="18"/>
  <c r="O272" i="18"/>
  <c r="C76" i="7" s="1"/>
  <c r="O162" i="18"/>
  <c r="O214" i="18"/>
  <c r="O175" i="18"/>
  <c r="O144" i="18"/>
  <c r="AJ3" i="15"/>
  <c r="O12" i="19" s="1"/>
  <c r="O299" i="18"/>
  <c r="AJ15" i="22"/>
  <c r="AJ22" i="22"/>
  <c r="AJ31" i="22"/>
  <c r="AJ19" i="22"/>
  <c r="AJ27" i="22"/>
  <c r="AJ35" i="22"/>
  <c r="AJ41" i="22"/>
  <c r="AJ48" i="22"/>
  <c r="AJ52" i="22"/>
  <c r="AJ63" i="22"/>
  <c r="AJ44" i="22"/>
  <c r="AJ57" i="22"/>
  <c r="AJ61" i="22"/>
  <c r="AJ68" i="22"/>
  <c r="AJ75" i="22"/>
  <c r="AJ80" i="22"/>
  <c r="AJ85" i="22"/>
  <c r="AJ94" i="22"/>
  <c r="AJ101" i="22"/>
  <c r="AJ112" i="22"/>
  <c r="AJ119" i="22"/>
  <c r="AJ67" i="22"/>
  <c r="AJ78" i="22"/>
  <c r="AJ89" i="22"/>
  <c r="AJ97" i="22"/>
  <c r="AJ105" i="22"/>
  <c r="AJ115" i="22"/>
  <c r="AJ130" i="22"/>
  <c r="AJ138" i="22"/>
  <c r="AJ145" i="22"/>
  <c r="AJ152" i="22"/>
  <c r="AJ164" i="22"/>
  <c r="AJ169" i="22"/>
  <c r="AJ175" i="22"/>
  <c r="AJ113" i="22"/>
  <c r="AJ127" i="22"/>
  <c r="AJ134" i="22"/>
  <c r="AJ144" i="22"/>
  <c r="AJ23" i="22"/>
  <c r="AJ21" i="22"/>
  <c r="F7" i="22"/>
  <c r="AJ17" i="22"/>
  <c r="AJ28" i="22"/>
  <c r="AJ26" i="22"/>
  <c r="AJ24" i="22"/>
  <c r="AJ33" i="22"/>
  <c r="AJ38" i="22"/>
  <c r="AJ43" i="22"/>
  <c r="AJ50" i="22"/>
  <c r="AJ55" i="22"/>
  <c r="AJ34" i="22"/>
  <c r="AJ47" i="22"/>
  <c r="AJ59" i="22"/>
  <c r="AJ64" i="22"/>
  <c r="AJ72" i="22"/>
  <c r="AJ77" i="22"/>
  <c r="AJ83" i="22"/>
  <c r="AJ92" i="22"/>
  <c r="AJ99" i="22"/>
  <c r="AJ107" i="22"/>
  <c r="AJ117" i="22"/>
  <c r="AJ122" i="22"/>
  <c r="AJ70" i="22"/>
  <c r="AJ87" i="22"/>
  <c r="AJ91" i="22"/>
  <c r="AJ103" i="22"/>
  <c r="AJ110" i="22"/>
  <c r="AJ123" i="22"/>
  <c r="AJ135" i="22"/>
  <c r="AJ140" i="22"/>
  <c r="AJ148" i="22"/>
  <c r="AJ158" i="22"/>
  <c r="AJ167" i="22"/>
  <c r="AJ171" i="22"/>
  <c r="AJ180" i="22"/>
  <c r="AJ125" i="22"/>
  <c r="AJ131" i="22"/>
  <c r="AJ141" i="22"/>
  <c r="AJ16" i="22"/>
  <c r="AJ20" i="22"/>
  <c r="AJ37" i="22"/>
  <c r="AJ49" i="22"/>
  <c r="AJ65" i="22"/>
  <c r="AJ58" i="22"/>
  <c r="AJ71" i="22"/>
  <c r="AJ81" i="22"/>
  <c r="AJ96" i="22"/>
  <c r="AJ114" i="22"/>
  <c r="AJ69" i="22"/>
  <c r="AJ90" i="22"/>
  <c r="AJ109" i="22"/>
  <c r="AJ133" i="22"/>
  <c r="AJ147" i="22"/>
  <c r="AJ166" i="22"/>
  <c r="AJ178" i="22"/>
  <c r="AJ128" i="22"/>
  <c r="AJ146" i="22"/>
  <c r="AJ154" i="22"/>
  <c r="AJ161" i="22"/>
  <c r="AJ172" i="22"/>
  <c r="AJ179" i="22"/>
  <c r="AJ194" i="22"/>
  <c r="AJ205" i="22"/>
  <c r="AJ212" i="22"/>
  <c r="AJ216" i="22"/>
  <c r="AJ226" i="22"/>
  <c r="AJ235" i="22"/>
  <c r="AJ241" i="22"/>
  <c r="AJ248" i="22"/>
  <c r="AJ258" i="22"/>
  <c r="AJ268" i="22"/>
  <c r="AJ273" i="22"/>
  <c r="AJ279" i="22"/>
  <c r="AJ285" i="22"/>
  <c r="AJ297" i="22"/>
  <c r="AJ303" i="22"/>
  <c r="AJ183" i="22"/>
  <c r="AJ190" i="22"/>
  <c r="AJ196" i="22"/>
  <c r="AJ202" i="22"/>
  <c r="AJ208" i="22"/>
  <c r="AJ220" i="22"/>
  <c r="AJ227" i="22"/>
  <c r="AJ234" i="22"/>
  <c r="AJ243" i="22"/>
  <c r="AJ252" i="22"/>
  <c r="AJ260" i="22"/>
  <c r="AJ266" i="22"/>
  <c r="AJ278" i="22"/>
  <c r="AJ287" i="22"/>
  <c r="AJ293" i="22"/>
  <c r="AJ307" i="22"/>
  <c r="AJ316" i="22"/>
  <c r="AJ328" i="22"/>
  <c r="AJ334" i="22"/>
  <c r="AJ344" i="22"/>
  <c r="AJ351" i="22"/>
  <c r="AJ359" i="22"/>
  <c r="AJ367" i="22"/>
  <c r="AJ374" i="22"/>
  <c r="AJ308" i="22"/>
  <c r="AJ323" i="22"/>
  <c r="AJ339" i="22"/>
  <c r="AJ352" i="22"/>
  <c r="AJ376" i="22"/>
  <c r="AJ322" i="22"/>
  <c r="AJ347" i="22"/>
  <c r="AJ373" i="22"/>
  <c r="AJ315" i="22"/>
  <c r="AJ354" i="22"/>
  <c r="AJ380" i="22"/>
  <c r="AJ30" i="22"/>
  <c r="AJ25" i="22"/>
  <c r="AJ39" i="22"/>
  <c r="AJ51" i="22"/>
  <c r="AJ40" i="22"/>
  <c r="AJ60" i="22"/>
  <c r="AJ73" i="22"/>
  <c r="AJ84" i="22"/>
  <c r="AJ100" i="22"/>
  <c r="AJ118" i="22"/>
  <c r="AJ74" i="22"/>
  <c r="AJ95" i="22"/>
  <c r="AJ111" i="22"/>
  <c r="AJ136" i="22"/>
  <c r="AJ149" i="22"/>
  <c r="AJ168" i="22"/>
  <c r="AJ106" i="22"/>
  <c r="AJ132" i="22"/>
  <c r="AJ150" i="22"/>
  <c r="AJ155" i="22"/>
  <c r="AJ162" i="22"/>
  <c r="AJ173" i="22"/>
  <c r="AJ184" i="22"/>
  <c r="AJ195" i="22"/>
  <c r="AJ206" i="22"/>
  <c r="AJ213" i="22"/>
  <c r="AJ217" i="22"/>
  <c r="AJ228" i="22"/>
  <c r="AJ236" i="22"/>
  <c r="AJ244" i="22"/>
  <c r="AJ250" i="22"/>
  <c r="AJ259" i="22"/>
  <c r="AJ269" i="22"/>
  <c r="AJ274" i="22"/>
  <c r="AJ282" i="22"/>
  <c r="AJ289" i="22"/>
  <c r="AJ298" i="22"/>
  <c r="AJ304" i="22"/>
  <c r="AJ185" i="22"/>
  <c r="AJ191" i="22"/>
  <c r="AJ198" i="22"/>
  <c r="AJ203" i="22"/>
  <c r="AJ210" i="22"/>
  <c r="AJ221" i="22"/>
  <c r="AJ229" i="22"/>
  <c r="AJ237" i="22"/>
  <c r="AJ245" i="22"/>
  <c r="AJ253" i="22"/>
  <c r="AJ262" i="22"/>
  <c r="AJ267" i="22"/>
  <c r="AJ280" i="22"/>
  <c r="AJ288" i="22"/>
  <c r="AJ294" i="22"/>
  <c r="AJ309" i="22"/>
  <c r="AJ324" i="22"/>
  <c r="AJ330" i="22"/>
  <c r="AJ337" i="22"/>
  <c r="AJ345" i="22"/>
  <c r="AJ353" i="22"/>
  <c r="AJ360" i="22"/>
  <c r="AJ368" i="22"/>
  <c r="AJ375" i="22"/>
  <c r="AJ313" i="22"/>
  <c r="AJ326" i="22"/>
  <c r="AJ342" i="22"/>
  <c r="AJ364" i="22"/>
  <c r="AJ377" i="22"/>
  <c r="AJ332" i="22"/>
  <c r="AJ355" i="22"/>
  <c r="AJ379" i="22"/>
  <c r="AJ317" i="22"/>
  <c r="AJ358" i="22"/>
  <c r="AJ29" i="22"/>
  <c r="AJ42" i="22"/>
  <c r="AJ54" i="22"/>
  <c r="AJ45" i="22"/>
  <c r="AJ62" i="22"/>
  <c r="AJ76" i="22"/>
  <c r="AJ86" i="22"/>
  <c r="AJ102" i="22"/>
  <c r="AJ120" i="22"/>
  <c r="AJ82" i="22"/>
  <c r="AJ98" i="22"/>
  <c r="AJ121" i="22"/>
  <c r="AJ139" i="22"/>
  <c r="AJ156" i="22"/>
  <c r="AJ170" i="22"/>
  <c r="AJ116" i="22"/>
  <c r="AJ137" i="22"/>
  <c r="AJ151" i="22"/>
  <c r="AJ157" i="22"/>
  <c r="AJ163" i="22"/>
  <c r="AJ176" i="22"/>
  <c r="AJ186" i="22"/>
  <c r="AJ197" i="22"/>
  <c r="AJ209" i="22"/>
  <c r="AJ214" i="22"/>
  <c r="AJ224" i="22"/>
  <c r="AJ230" i="22"/>
  <c r="AJ238" i="22"/>
  <c r="AJ246" i="22"/>
  <c r="AJ254" i="22"/>
  <c r="AJ261" i="22"/>
  <c r="AJ271" i="22"/>
  <c r="AJ276" i="22"/>
  <c r="AJ283" i="22"/>
  <c r="AJ290" i="22"/>
  <c r="AJ299" i="22"/>
  <c r="AJ181" i="22"/>
  <c r="AJ188" i="22"/>
  <c r="AJ192" i="22"/>
  <c r="AJ199" i="22"/>
  <c r="AJ204" i="22"/>
  <c r="AJ218" i="22"/>
  <c r="AJ222" i="22"/>
  <c r="AJ231" i="22"/>
  <c r="AJ240" i="22"/>
  <c r="AJ249" i="22"/>
  <c r="AJ255" i="22"/>
  <c r="AJ263" i="22"/>
  <c r="AJ270" i="22"/>
  <c r="AJ281" i="22"/>
  <c r="AJ291" i="22"/>
  <c r="AJ301" i="22"/>
  <c r="AJ311" i="22"/>
  <c r="AJ325" i="22"/>
  <c r="AJ331" i="22"/>
  <c r="AJ338" i="22"/>
  <c r="AJ348" i="22"/>
  <c r="AJ356" i="22"/>
  <c r="AJ363" i="22"/>
  <c r="AJ370" i="22"/>
  <c r="AJ295" i="22"/>
  <c r="AJ318" i="22"/>
  <c r="AJ329" i="22"/>
  <c r="AJ346" i="22"/>
  <c r="AJ366" i="22"/>
  <c r="AJ305" i="22"/>
  <c r="AJ340" i="22"/>
  <c r="AJ361" i="22"/>
  <c r="AJ310" i="22"/>
  <c r="AJ320" i="22"/>
  <c r="AJ362" i="22"/>
  <c r="AL13" i="7"/>
  <c r="AJ18" i="22"/>
  <c r="AJ32" i="22"/>
  <c r="AJ36" i="22"/>
  <c r="AJ46" i="22"/>
  <c r="AJ56" i="22"/>
  <c r="AJ53" i="22"/>
  <c r="AJ66" i="22"/>
  <c r="AJ79" i="22"/>
  <c r="AJ93" i="22"/>
  <c r="AJ108" i="22"/>
  <c r="AJ124" i="22"/>
  <c r="AJ88" i="22"/>
  <c r="AJ104" i="22"/>
  <c r="AJ129" i="22"/>
  <c r="AJ143" i="22"/>
  <c r="AJ160" i="22"/>
  <c r="AJ174" i="22"/>
  <c r="AJ126" i="22"/>
  <c r="AJ142" i="22"/>
  <c r="AJ153" i="22"/>
  <c r="AJ159" i="22"/>
  <c r="AJ165" i="22"/>
  <c r="AJ177" i="22"/>
  <c r="AJ187" i="22"/>
  <c r="AJ201" i="22"/>
  <c r="AJ211" i="22"/>
  <c r="AJ215" i="22"/>
  <c r="AJ225" i="22"/>
  <c r="AJ232" i="22"/>
  <c r="AJ239" i="22"/>
  <c r="AJ247" i="22"/>
  <c r="AJ257" i="22"/>
  <c r="AJ265" i="22"/>
  <c r="AJ272" i="22"/>
  <c r="AJ277" i="22"/>
  <c r="AJ284" i="22"/>
  <c r="AJ296" i="22"/>
  <c r="AJ300" i="22"/>
  <c r="AJ182" i="22"/>
  <c r="AJ189" i="22"/>
  <c r="AJ193" i="22"/>
  <c r="AJ200" i="22"/>
  <c r="AJ207" i="22"/>
  <c r="AJ219" i="22"/>
  <c r="AJ223" i="22"/>
  <c r="AJ233" i="22"/>
  <c r="AJ242" i="22"/>
  <c r="AJ251" i="22"/>
  <c r="AJ256" i="22"/>
  <c r="AJ264" i="22"/>
  <c r="AJ275" i="22"/>
  <c r="AJ286" i="22"/>
  <c r="AJ292" i="22"/>
  <c r="AJ302" i="22"/>
  <c r="AJ312" i="22"/>
  <c r="AJ327" i="22"/>
  <c r="AJ333" i="22"/>
  <c r="AJ343" i="22"/>
  <c r="AJ350" i="22"/>
  <c r="AJ357" i="22"/>
  <c r="AJ365" i="22"/>
  <c r="AJ371" i="22"/>
  <c r="AJ306" i="22"/>
  <c r="AJ319" i="22"/>
  <c r="AJ335" i="22"/>
  <c r="AJ349" i="22"/>
  <c r="AJ369" i="22"/>
  <c r="AJ321" i="22"/>
  <c r="AJ341" i="22"/>
  <c r="AJ372" i="22"/>
  <c r="AJ314" i="22"/>
  <c r="AJ336" i="22"/>
  <c r="AJ378" i="22"/>
  <c r="O339" i="18"/>
  <c r="O47" i="18"/>
  <c r="O327" i="18"/>
  <c r="O210" i="18"/>
  <c r="C74" i="7" s="1"/>
  <c r="O203" i="18"/>
  <c r="O177" i="18"/>
  <c r="AB13" i="7"/>
  <c r="AC16" i="15"/>
  <c r="AC23" i="15"/>
  <c r="AC28" i="15"/>
  <c r="AC40" i="15"/>
  <c r="AC53" i="15"/>
  <c r="AC38" i="15"/>
  <c r="AC56" i="15"/>
  <c r="AC70" i="15"/>
  <c r="AC90" i="15"/>
  <c r="AC115" i="15"/>
  <c r="AC73" i="15"/>
  <c r="AC84" i="15"/>
  <c r="AC100" i="15"/>
  <c r="AC109" i="15"/>
  <c r="AC147" i="15"/>
  <c r="AC166" i="15"/>
  <c r="AC111" i="15"/>
  <c r="AC132" i="15"/>
  <c r="AC143" i="15"/>
  <c r="AC154" i="15"/>
  <c r="AC170" i="15"/>
  <c r="AC183" i="15"/>
  <c r="AC195" i="15"/>
  <c r="AC217" i="15"/>
  <c r="AC237" i="15"/>
  <c r="AC249" i="15"/>
  <c r="AC261" i="15"/>
  <c r="AC279" i="15"/>
  <c r="AC300" i="15"/>
  <c r="AC192" i="15"/>
  <c r="AC206" i="15"/>
  <c r="AC220" i="15"/>
  <c r="AC229" i="15"/>
  <c r="AC250" i="15"/>
  <c r="AC269" i="15"/>
  <c r="AC283" i="15"/>
  <c r="AC296" i="15"/>
  <c r="AC319" i="15"/>
  <c r="AC334" i="15"/>
  <c r="AC343" i="15"/>
  <c r="AC357" i="15"/>
  <c r="AC376" i="15"/>
  <c r="AC322" i="15"/>
  <c r="AC22" i="15"/>
  <c r="AC27" i="15"/>
  <c r="AC39" i="15"/>
  <c r="AC52" i="15"/>
  <c r="AC71" i="15"/>
  <c r="AC55" i="15"/>
  <c r="AC69" i="15"/>
  <c r="AC89" i="15"/>
  <c r="AC114" i="15"/>
  <c r="AC130" i="15"/>
  <c r="AC83" i="15"/>
  <c r="AC99" i="15"/>
  <c r="AC108" i="15"/>
  <c r="AC141" i="15"/>
  <c r="AC165" i="15"/>
  <c r="AC180" i="15"/>
  <c r="AC131" i="15"/>
  <c r="AC142" i="15"/>
  <c r="AC153" i="15"/>
  <c r="AC168" i="15"/>
  <c r="AC182" i="15"/>
  <c r="AC193" i="15"/>
  <c r="AC214" i="15"/>
  <c r="AC233" i="15"/>
  <c r="AC248" i="15"/>
  <c r="AC260" i="15"/>
  <c r="AC277" i="15"/>
  <c r="AC297" i="15"/>
  <c r="AC191" i="15"/>
  <c r="AC204" i="15"/>
  <c r="AC216" i="15"/>
  <c r="AC228" i="15"/>
  <c r="AC246" i="15"/>
  <c r="AC268" i="15"/>
  <c r="AC282" i="15"/>
  <c r="AC295" i="15"/>
  <c r="AC318" i="15"/>
  <c r="AC333" i="15"/>
  <c r="AC342" i="15"/>
  <c r="AC356" i="15"/>
  <c r="AC15" i="15"/>
  <c r="AC34" i="15"/>
  <c r="AC26" i="15"/>
  <c r="AC48" i="15"/>
  <c r="AC63" i="15"/>
  <c r="AC47" i="15"/>
  <c r="AC64" i="15"/>
  <c r="AC80" i="15"/>
  <c r="AC98" i="15"/>
  <c r="AC121" i="15"/>
  <c r="AC79" i="15"/>
  <c r="AC92" i="15"/>
  <c r="AC104" i="15"/>
  <c r="AC126" i="15"/>
  <c r="AC158" i="15"/>
  <c r="AC177" i="15"/>
  <c r="AC124" i="15"/>
  <c r="AC137" i="15"/>
  <c r="AC149" i="15"/>
  <c r="AC161" i="15"/>
  <c r="AC175" i="15"/>
  <c r="AC188" i="15"/>
  <c r="AC205" i="15"/>
  <c r="AC230" i="15"/>
  <c r="AC244" i="15"/>
  <c r="AC257" i="15"/>
  <c r="AC270" i="15"/>
  <c r="AC291" i="15"/>
  <c r="AC306" i="15"/>
  <c r="AC200" i="15"/>
  <c r="AC212" i="15"/>
  <c r="AC225" i="15"/>
  <c r="AC239" i="15"/>
  <c r="AC264" i="15"/>
  <c r="AC276" i="15"/>
  <c r="AC289" i="15"/>
  <c r="AC312" i="15"/>
  <c r="AC326" i="15"/>
  <c r="AC338" i="15"/>
  <c r="AC350" i="15"/>
  <c r="AC365" i="15"/>
  <c r="AC302" i="15"/>
  <c r="AC21" i="15"/>
  <c r="AC32" i="15"/>
  <c r="AC25" i="15"/>
  <c r="AC44" i="15"/>
  <c r="AC61" i="15"/>
  <c r="AC46" i="15"/>
  <c r="AC62" i="15"/>
  <c r="AC77" i="15"/>
  <c r="AC97" i="15"/>
  <c r="AC120" i="15"/>
  <c r="AC78" i="15"/>
  <c r="AC91" i="15"/>
  <c r="AC103" i="15"/>
  <c r="AC122" i="15"/>
  <c r="AC155" i="15"/>
  <c r="AC172" i="15"/>
  <c r="AC123" i="15"/>
  <c r="AC136" i="15"/>
  <c r="AC146" i="15"/>
  <c r="AC160" i="15"/>
  <c r="AC174" i="15"/>
  <c r="AC187" i="15"/>
  <c r="AC203" i="15"/>
  <c r="AC221" i="15"/>
  <c r="AC242" i="15"/>
  <c r="AC253" i="15"/>
  <c r="AC267" i="15"/>
  <c r="AC288" i="15"/>
  <c r="AC305" i="15"/>
  <c r="AC199" i="15"/>
  <c r="AC211" i="15"/>
  <c r="AC224" i="15"/>
  <c r="AC236" i="15"/>
  <c r="AC256" i="15"/>
  <c r="AC275" i="15"/>
  <c r="AC287" i="15"/>
  <c r="AC310" i="15"/>
  <c r="AC325" i="15"/>
  <c r="AC337" i="15"/>
  <c r="AC348" i="15"/>
  <c r="AC374" i="15"/>
  <c r="AC320" i="15"/>
  <c r="AC349" i="15"/>
  <c r="AC375" i="15"/>
  <c r="AC371" i="15"/>
  <c r="AC361" i="15"/>
  <c r="AC315" i="15"/>
  <c r="AC309" i="15"/>
  <c r="AC18" i="15"/>
  <c r="AC30" i="15"/>
  <c r="AC43" i="15"/>
  <c r="AC45" i="15"/>
  <c r="AC75" i="15"/>
  <c r="AC119" i="15"/>
  <c r="AC88" i="15"/>
  <c r="AC113" i="15"/>
  <c r="AC169" i="15"/>
  <c r="AC135" i="15"/>
  <c r="AC157" i="15"/>
  <c r="AC186" i="15"/>
  <c r="AC219" i="15"/>
  <c r="AC252" i="15"/>
  <c r="AC284" i="15"/>
  <c r="AC196" i="15"/>
  <c r="AC223" i="15"/>
  <c r="AC255" i="15"/>
  <c r="AC286" i="15"/>
  <c r="AC324" i="15"/>
  <c r="AC347" i="15"/>
  <c r="AC379" i="15"/>
  <c r="AC24" i="15"/>
  <c r="AC41" i="15"/>
  <c r="AC42" i="15"/>
  <c r="AC72" i="15"/>
  <c r="AC117" i="15"/>
  <c r="AC85" i="15"/>
  <c r="AC110" i="15"/>
  <c r="AC167" i="15"/>
  <c r="AC134" i="15"/>
  <c r="AC156" i="15"/>
  <c r="AC184" i="15"/>
  <c r="AC218" i="15"/>
  <c r="AC251" i="15"/>
  <c r="AC281" i="15"/>
  <c r="AC194" i="15"/>
  <c r="AC222" i="15"/>
  <c r="AC254" i="15"/>
  <c r="AC285" i="15"/>
  <c r="AC321" i="15"/>
  <c r="AC344" i="15"/>
  <c r="AC378" i="15"/>
  <c r="AC359" i="15"/>
  <c r="AC311" i="15"/>
  <c r="AC332" i="15"/>
  <c r="AC20" i="15"/>
  <c r="AC35" i="15"/>
  <c r="AC67" i="15"/>
  <c r="AC68" i="15"/>
  <c r="AC112" i="15"/>
  <c r="AC82" i="15"/>
  <c r="AC106" i="15"/>
  <c r="AC164" i="15"/>
  <c r="AC129" i="15"/>
  <c r="AC151" i="15"/>
  <c r="AC181" i="15"/>
  <c r="AC209" i="15"/>
  <c r="AC247" i="15"/>
  <c r="AC273" i="15"/>
  <c r="AC185" i="15"/>
  <c r="AC215" i="15"/>
  <c r="AC243" i="15"/>
  <c r="AC280" i="15"/>
  <c r="AC317" i="15"/>
  <c r="AC341" i="15"/>
  <c r="AC369" i="15"/>
  <c r="AC19" i="15"/>
  <c r="AC29" i="15"/>
  <c r="AC66" i="15"/>
  <c r="AC65" i="15"/>
  <c r="AC107" i="15"/>
  <c r="AC81" i="15"/>
  <c r="AC105" i="15"/>
  <c r="AC159" i="15"/>
  <c r="AC127" i="15"/>
  <c r="AC150" i="15"/>
  <c r="AC176" i="15"/>
  <c r="AC207" i="15"/>
  <c r="AC245" i="15"/>
  <c r="AC271" i="15"/>
  <c r="AC307" i="15"/>
  <c r="AC213" i="15"/>
  <c r="AC241" i="15"/>
  <c r="AC278" i="15"/>
  <c r="AC314" i="15"/>
  <c r="AC339" i="15"/>
  <c r="AC366" i="15"/>
  <c r="AC340" i="15"/>
  <c r="AC362" i="15"/>
  <c r="AC363" i="15"/>
  <c r="AC367" i="15"/>
  <c r="AC364" i="15"/>
  <c r="AC298" i="15"/>
  <c r="AC330" i="15"/>
  <c r="AC368" i="15"/>
  <c r="AC352" i="15"/>
  <c r="AC331" i="15"/>
  <c r="AC346" i="15"/>
  <c r="AC355" i="15"/>
  <c r="AC377" i="15"/>
  <c r="AC17" i="15"/>
  <c r="AC33" i="15"/>
  <c r="AC60" i="15"/>
  <c r="AC58" i="15"/>
  <c r="AC96" i="15"/>
  <c r="AC76" i="15"/>
  <c r="AC102" i="15"/>
  <c r="AC152" i="15"/>
  <c r="AC118" i="15"/>
  <c r="AC145" i="15"/>
  <c r="AC173" i="15"/>
  <c r="AC198" i="15"/>
  <c r="AC240" i="15"/>
  <c r="AC263" i="15"/>
  <c r="AC304" i="15"/>
  <c r="AC210" i="15"/>
  <c r="AC235" i="15"/>
  <c r="AC274" i="15"/>
  <c r="AC301" i="15"/>
  <c r="AC336" i="15"/>
  <c r="AC360" i="15"/>
  <c r="AC328" i="15"/>
  <c r="AC31" i="15"/>
  <c r="AC59" i="15"/>
  <c r="AC57" i="15"/>
  <c r="AC93" i="15"/>
  <c r="AC74" i="15"/>
  <c r="AC101" i="15"/>
  <c r="AC148" i="15"/>
  <c r="AC116" i="15"/>
  <c r="AC144" i="15"/>
  <c r="AC171" i="15"/>
  <c r="AC197" i="15"/>
  <c r="AC238" i="15"/>
  <c r="AC262" i="15"/>
  <c r="AC303" i="15"/>
  <c r="AC208" i="15"/>
  <c r="AC234" i="15"/>
  <c r="AC272" i="15"/>
  <c r="AC299" i="15"/>
  <c r="AC335" i="15"/>
  <c r="AC358" i="15"/>
  <c r="AC323" i="15"/>
  <c r="AC316" i="15"/>
  <c r="AC373" i="15"/>
  <c r="AC353" i="15"/>
  <c r="AC37" i="15"/>
  <c r="AC51" i="15"/>
  <c r="AC54" i="15"/>
  <c r="AC87" i="15"/>
  <c r="AC128" i="15"/>
  <c r="AC95" i="15"/>
  <c r="AC138" i="15"/>
  <c r="AC179" i="15"/>
  <c r="AC140" i="15"/>
  <c r="AC163" i="15"/>
  <c r="AC190" i="15"/>
  <c r="AC232" i="15"/>
  <c r="AC259" i="15"/>
  <c r="AC293" i="15"/>
  <c r="AC202" i="15"/>
  <c r="AC227" i="15"/>
  <c r="AC266" i="15"/>
  <c r="AC294" i="15"/>
  <c r="AC329" i="15"/>
  <c r="AC354" i="15"/>
  <c r="AC313" i="15"/>
  <c r="AC36" i="15"/>
  <c r="AC49" i="15"/>
  <c r="AC50" i="15"/>
  <c r="AC86" i="15"/>
  <c r="AC125" i="15"/>
  <c r="AC94" i="15"/>
  <c r="AC133" i="15"/>
  <c r="AC178" i="15"/>
  <c r="AC139" i="15"/>
  <c r="AC162" i="15"/>
  <c r="AC189" i="15"/>
  <c r="AC231" i="15"/>
  <c r="AC258" i="15"/>
  <c r="AC292" i="15"/>
  <c r="AC201" i="15"/>
  <c r="AC226" i="15"/>
  <c r="AC265" i="15"/>
  <c r="AC290" i="15"/>
  <c r="AC327" i="15"/>
  <c r="AC351" i="15"/>
  <c r="AC308" i="15"/>
  <c r="AC372" i="15"/>
  <c r="AC345" i="15"/>
  <c r="AC370" i="15"/>
  <c r="O60" i="18"/>
  <c r="C69" i="7" s="1"/>
  <c r="Q304" i="15"/>
  <c r="Q48" i="15"/>
  <c r="Q140" i="15"/>
  <c r="Q290" i="15"/>
  <c r="Q240" i="15"/>
  <c r="Q332" i="15"/>
  <c r="Q76" i="15"/>
  <c r="Q226" i="15"/>
  <c r="Q98" i="15"/>
  <c r="Q349" i="15"/>
  <c r="Q285" i="15"/>
  <c r="Q221" i="15"/>
  <c r="Q157" i="15"/>
  <c r="Q93" i="15"/>
  <c r="Q29" i="15"/>
  <c r="Q152" i="15"/>
  <c r="Q336" i="15"/>
  <c r="Q80" i="15"/>
  <c r="Q172" i="15"/>
  <c r="Q370" i="15"/>
  <c r="Q242" i="15"/>
  <c r="Q114" i="15"/>
  <c r="Q379" i="15"/>
  <c r="J15" i="7" s="1"/>
  <c r="Q325" i="15"/>
  <c r="Q261" i="15"/>
  <c r="Q197" i="15"/>
  <c r="Q133" i="15"/>
  <c r="Q69" i="15"/>
  <c r="Q312" i="15"/>
  <c r="Q56" i="15"/>
  <c r="Q256" i="15"/>
  <c r="Q128" i="15"/>
  <c r="Q348" i="15"/>
  <c r="Q220" i="15"/>
  <c r="Q92" i="15"/>
  <c r="Q362" i="15"/>
  <c r="Q298" i="15"/>
  <c r="Q234" i="15"/>
  <c r="Q170" i="15"/>
  <c r="Q106" i="15"/>
  <c r="Q42" i="15"/>
  <c r="Q361" i="15"/>
  <c r="Q329" i="15"/>
  <c r="Q297" i="15"/>
  <c r="Q265" i="15"/>
  <c r="Q233" i="15"/>
  <c r="Q201" i="15"/>
  <c r="Q169" i="15"/>
  <c r="Q194" i="15"/>
  <c r="Q66" i="15"/>
  <c r="Q333" i="15"/>
  <c r="Q269" i="15"/>
  <c r="Q205" i="15"/>
  <c r="Q141" i="15"/>
  <c r="Q77" i="15"/>
  <c r="Q344" i="15"/>
  <c r="Q88" i="15"/>
  <c r="Q144" i="15"/>
  <c r="Q364" i="15"/>
  <c r="Q108" i="15"/>
  <c r="Q274" i="15"/>
  <c r="Q146" i="15"/>
  <c r="Q15" i="15"/>
  <c r="Q341" i="15"/>
  <c r="Q277" i="15"/>
  <c r="Q213" i="15"/>
  <c r="Q149" i="15"/>
  <c r="Q85" i="15"/>
  <c r="Q21" i="15"/>
  <c r="Q248" i="15"/>
  <c r="Q352" i="15"/>
  <c r="Q224" i="15"/>
  <c r="Q96" i="15"/>
  <c r="Q316" i="15"/>
  <c r="Q188" i="15"/>
  <c r="Q60" i="15"/>
  <c r="Q314" i="15"/>
  <c r="Q250" i="15"/>
  <c r="Q186" i="15"/>
  <c r="Q122" i="15"/>
  <c r="Q58" i="15"/>
  <c r="Q369" i="15"/>
  <c r="Q337" i="15"/>
  <c r="Q305" i="15"/>
  <c r="Q273" i="15"/>
  <c r="Q241" i="15"/>
  <c r="Q209" i="15"/>
  <c r="Q177" i="15"/>
  <c r="Q145" i="15"/>
  <c r="Q113" i="15"/>
  <c r="Q81" i="15"/>
  <c r="Q49" i="15"/>
  <c r="Q16" i="15"/>
  <c r="Q296" i="15"/>
  <c r="Q168" i="15"/>
  <c r="Q40" i="15"/>
  <c r="Q276" i="15"/>
  <c r="Q148" i="15"/>
  <c r="Q20" i="15"/>
  <c r="Q326" i="15"/>
  <c r="Q262" i="15"/>
  <c r="Q198" i="15"/>
  <c r="Q134" i="15"/>
  <c r="Q70" i="15"/>
  <c r="Q367" i="15"/>
  <c r="Q335" i="15"/>
  <c r="Q303" i="15"/>
  <c r="Q271" i="15"/>
  <c r="Q239" i="15"/>
  <c r="Q207" i="15"/>
  <c r="Q175" i="15"/>
  <c r="Q143" i="15"/>
  <c r="Q111" i="15"/>
  <c r="Q79" i="15"/>
  <c r="Q47" i="15"/>
  <c r="Q17" i="15"/>
  <c r="Q292" i="15"/>
  <c r="Q164" i="15"/>
  <c r="Q36" i="15"/>
  <c r="Q334" i="15"/>
  <c r="Q270" i="15"/>
  <c r="Q206" i="15"/>
  <c r="Q142" i="15"/>
  <c r="Q78" i="15"/>
  <c r="Q371" i="15"/>
  <c r="Q339" i="15"/>
  <c r="Q307" i="15"/>
  <c r="Q275" i="15"/>
  <c r="Q243" i="15"/>
  <c r="Q211" i="15"/>
  <c r="Q179" i="15"/>
  <c r="Q147" i="15"/>
  <c r="Q115" i="15"/>
  <c r="Q83" i="15"/>
  <c r="Q51" i="15"/>
  <c r="Q18" i="15"/>
  <c r="Q137" i="15"/>
  <c r="Q105" i="15"/>
  <c r="Q73" i="15"/>
  <c r="Q41" i="15"/>
  <c r="Q328" i="15"/>
  <c r="Q200" i="15"/>
  <c r="Q72" i="15"/>
  <c r="Q372" i="15"/>
  <c r="Q244" i="15"/>
  <c r="Q116" i="15"/>
  <c r="Q374" i="15"/>
  <c r="Q310" i="15"/>
  <c r="Q246" i="15"/>
  <c r="Q182" i="15"/>
  <c r="Q118" i="15"/>
  <c r="Q54" i="15"/>
  <c r="Q375" i="15"/>
  <c r="Q343" i="15"/>
  <c r="Q311" i="15"/>
  <c r="Q279" i="15"/>
  <c r="Q247" i="15"/>
  <c r="Q215" i="15"/>
  <c r="Q183" i="15"/>
  <c r="Q151" i="15"/>
  <c r="Q119" i="15"/>
  <c r="Q87" i="15"/>
  <c r="Q55" i="15"/>
  <c r="Q23" i="15"/>
  <c r="Q260" i="15"/>
  <c r="Q132" i="15"/>
  <c r="Q350" i="15"/>
  <c r="Q286" i="15"/>
  <c r="Q222" i="15"/>
  <c r="Q158" i="15"/>
  <c r="Q94" i="15"/>
  <c r="Q30" i="15"/>
  <c r="Q347" i="15"/>
  <c r="Q315" i="15"/>
  <c r="Q283" i="15"/>
  <c r="Q251" i="15"/>
  <c r="Q219" i="15"/>
  <c r="Q187" i="15"/>
  <c r="Q155" i="15"/>
  <c r="Q123" i="15"/>
  <c r="Q91" i="15"/>
  <c r="Q59" i="15"/>
  <c r="O369" i="18"/>
  <c r="O345" i="18"/>
  <c r="O323" i="18"/>
  <c r="O269" i="18"/>
  <c r="O234" i="18"/>
  <c r="O201" i="18"/>
  <c r="O294" i="18"/>
  <c r="O271" i="18"/>
  <c r="O233" i="18"/>
  <c r="O202" i="18"/>
  <c r="O176" i="18"/>
  <c r="O135" i="18"/>
  <c r="O168" i="18"/>
  <c r="O123" i="18"/>
  <c r="O78" i="18"/>
  <c r="O103" i="18"/>
  <c r="O72" i="18"/>
  <c r="O39" i="18"/>
  <c r="O46" i="18"/>
  <c r="O22" i="18"/>
  <c r="O17" i="18"/>
  <c r="O377" i="18"/>
  <c r="O365" i="18"/>
  <c r="O324" i="18"/>
  <c r="O304" i="18"/>
  <c r="O266" i="18"/>
  <c r="O227" i="18"/>
  <c r="O206" i="18"/>
  <c r="O302" i="18"/>
  <c r="C77" i="7" s="1"/>
  <c r="O275" i="18"/>
  <c r="O249" i="18"/>
  <c r="O221" i="18"/>
  <c r="O178" i="18"/>
  <c r="O148" i="18"/>
  <c r="O182" i="18"/>
  <c r="O152" i="18"/>
  <c r="O129" i="18"/>
  <c r="O88" i="18"/>
  <c r="C70" i="7" s="1"/>
  <c r="O113" i="18"/>
  <c r="O89" i="18"/>
  <c r="O61" i="18"/>
  <c r="O49" i="18"/>
  <c r="O31" i="18"/>
  <c r="O29" i="18"/>
  <c r="C68" i="7" s="1"/>
  <c r="O122" i="18"/>
  <c r="O120" i="18"/>
  <c r="O254" i="18"/>
  <c r="O247" i="18"/>
  <c r="O308" i="18"/>
  <c r="O50" i="18"/>
  <c r="O85" i="18"/>
  <c r="O179" i="18"/>
  <c r="O296" i="18"/>
  <c r="O329" i="18"/>
  <c r="O368" i="18"/>
  <c r="O63" i="18"/>
  <c r="O105" i="18"/>
  <c r="O100" i="18"/>
  <c r="O166" i="18"/>
  <c r="O158" i="18"/>
  <c r="O230" i="18"/>
  <c r="O288" i="18"/>
  <c r="O211" i="18"/>
  <c r="O278" i="18"/>
  <c r="O312" i="18"/>
  <c r="O341" i="18"/>
  <c r="O311" i="18"/>
  <c r="O344" i="18"/>
  <c r="O25" i="18"/>
  <c r="O34" i="18"/>
  <c r="O53" i="18"/>
  <c r="O45" i="18"/>
  <c r="O82" i="18"/>
  <c r="O121" i="18"/>
  <c r="O87" i="18"/>
  <c r="O150" i="18"/>
  <c r="O114" i="18"/>
  <c r="O153" i="18"/>
  <c r="O180" i="18"/>
  <c r="C73" i="7" s="1"/>
  <c r="O215" i="18"/>
  <c r="O244" i="18"/>
  <c r="O279" i="18"/>
  <c r="O300" i="18"/>
  <c r="O220" i="18"/>
  <c r="O248" i="18"/>
  <c r="O282" i="18"/>
  <c r="O332" i="18"/>
  <c r="O354" i="18"/>
  <c r="O372" i="18"/>
  <c r="O373" i="18"/>
  <c r="O349" i="18"/>
  <c r="O268" i="18"/>
  <c r="O240" i="18"/>
  <c r="O208" i="18"/>
  <c r="O303" i="18"/>
  <c r="O283" i="18"/>
  <c r="O250" i="18"/>
  <c r="O222" i="18"/>
  <c r="O183" i="18"/>
  <c r="O151" i="18"/>
  <c r="O110" i="18"/>
  <c r="O159" i="18"/>
  <c r="O134" i="18"/>
  <c r="O95" i="18"/>
  <c r="O117" i="18"/>
  <c r="O91" i="18"/>
  <c r="O65" i="18"/>
  <c r="O56" i="18"/>
  <c r="O21" i="18"/>
  <c r="O361" i="18"/>
  <c r="O328" i="18"/>
  <c r="O359" i="18"/>
  <c r="O363" i="18"/>
  <c r="C79" i="7" s="1"/>
  <c r="O318" i="18"/>
  <c r="O229" i="18"/>
  <c r="O291" i="18"/>
  <c r="O226" i="18"/>
  <c r="O173" i="18"/>
  <c r="O157" i="18"/>
  <c r="O71" i="18"/>
  <c r="O58" i="18"/>
  <c r="O40" i="18"/>
  <c r="O364" i="18"/>
  <c r="O357" i="18"/>
  <c r="O286" i="18"/>
  <c r="O217" i="18"/>
  <c r="O297" i="18"/>
  <c r="O242" i="18"/>
  <c r="O170" i="18"/>
  <c r="O171" i="18"/>
  <c r="O107" i="18"/>
  <c r="O111" i="18"/>
  <c r="O48" i="18"/>
  <c r="O15" i="18"/>
  <c r="O99" i="18"/>
  <c r="O287" i="18"/>
  <c r="O326" i="18"/>
  <c r="O138" i="18"/>
  <c r="O216" i="18"/>
  <c r="O309" i="18"/>
  <c r="O51" i="18"/>
  <c r="O124" i="18"/>
  <c r="O172" i="18"/>
  <c r="O301" i="18"/>
  <c r="O285" i="18"/>
  <c r="O348" i="18"/>
  <c r="O350" i="18"/>
  <c r="O38" i="18"/>
  <c r="O57" i="18"/>
  <c r="O126" i="18"/>
  <c r="O155" i="18"/>
  <c r="O165" i="18"/>
  <c r="O219" i="18"/>
  <c r="O284" i="18"/>
  <c r="O228" i="18"/>
  <c r="O314" i="18"/>
  <c r="O360" i="18"/>
  <c r="O379" i="18"/>
  <c r="C39" i="19" s="1"/>
  <c r="O102" i="18"/>
  <c r="O335" i="18"/>
  <c r="O274" i="18"/>
  <c r="O44" i="18"/>
  <c r="O147" i="18"/>
  <c r="O264" i="18"/>
  <c r="O317" i="18"/>
  <c r="O41" i="18"/>
  <c r="O132" i="18"/>
  <c r="O207" i="18"/>
  <c r="O205" i="18"/>
  <c r="O351" i="18"/>
  <c r="O376" i="18"/>
  <c r="O24" i="18"/>
  <c r="O84" i="18"/>
  <c r="O306" i="18"/>
  <c r="O74" i="18"/>
  <c r="O237" i="18"/>
  <c r="O370" i="18"/>
  <c r="O149" i="18"/>
  <c r="C72" i="7" s="1"/>
  <c r="O81" i="18"/>
  <c r="O331" i="18"/>
  <c r="O9" i="23"/>
  <c r="O10" i="16"/>
  <c r="O45" i="16" s="1"/>
  <c r="E45" i="16" s="1"/>
  <c r="I13" i="7"/>
  <c r="O29" i="15"/>
  <c r="O34" i="15"/>
  <c r="E34" i="15" s="1"/>
  <c r="O38" i="15"/>
  <c r="E38" i="15" s="1"/>
  <c r="O44" i="15"/>
  <c r="E44" i="15" s="1"/>
  <c r="O53" i="15"/>
  <c r="E53" i="15" s="1"/>
  <c r="O67" i="15"/>
  <c r="E67" i="15" s="1"/>
  <c r="O63" i="15"/>
  <c r="E63" i="15" s="1"/>
  <c r="O78" i="15"/>
  <c r="E78" i="15" s="1"/>
  <c r="O100" i="15"/>
  <c r="E100" i="15" s="1"/>
  <c r="O111" i="15"/>
  <c r="E111" i="15" s="1"/>
  <c r="O127" i="15"/>
  <c r="E127" i="15" s="1"/>
  <c r="O80" i="15"/>
  <c r="E80" i="15" s="1"/>
  <c r="O93" i="15"/>
  <c r="E93" i="15" s="1"/>
  <c r="O109" i="15"/>
  <c r="E109" i="15" s="1"/>
  <c r="O132" i="15"/>
  <c r="E132" i="15" s="1"/>
  <c r="O145" i="15"/>
  <c r="E145" i="15" s="1"/>
  <c r="O161" i="15"/>
  <c r="E161" i="15" s="1"/>
  <c r="O176" i="15"/>
  <c r="E176" i="15" s="1"/>
  <c r="O129" i="15"/>
  <c r="E129" i="15" s="1"/>
  <c r="O146" i="15"/>
  <c r="E146" i="15" s="1"/>
  <c r="O162" i="15"/>
  <c r="E162" i="15" s="1"/>
  <c r="O178" i="15"/>
  <c r="E178" i="15" s="1"/>
  <c r="O199" i="15"/>
  <c r="E199" i="15" s="1"/>
  <c r="O213" i="15"/>
  <c r="E213" i="15" s="1"/>
  <c r="O229" i="15"/>
  <c r="E229" i="15" s="1"/>
  <c r="O255" i="15"/>
  <c r="E255" i="15" s="1"/>
  <c r="O266" i="15"/>
  <c r="E266" i="15" s="1"/>
  <c r="O280" i="15"/>
  <c r="E280" i="15" s="1"/>
  <c r="O294" i="15"/>
  <c r="E294" i="15" s="1"/>
  <c r="O187" i="15"/>
  <c r="E187" i="15" s="1"/>
  <c r="O33" i="15"/>
  <c r="E33" i="15" s="1"/>
  <c r="O35" i="15"/>
  <c r="E35" i="15" s="1"/>
  <c r="O61" i="15"/>
  <c r="E61" i="15" s="1"/>
  <c r="O48" i="15"/>
  <c r="E48" i="15" s="1"/>
  <c r="O87" i="15"/>
  <c r="E87" i="15" s="1"/>
  <c r="O123" i="15"/>
  <c r="E123" i="15" s="1"/>
  <c r="O125" i="15"/>
  <c r="E125" i="15" s="1"/>
  <c r="O155" i="15"/>
  <c r="E155" i="15" s="1"/>
  <c r="O121" i="15"/>
  <c r="E121" i="15" s="1"/>
  <c r="O159" i="15"/>
  <c r="E159" i="15" s="1"/>
  <c r="O194" i="15"/>
  <c r="E194" i="15" s="1"/>
  <c r="O227" i="15"/>
  <c r="E227" i="15" s="1"/>
  <c r="O264" i="15"/>
  <c r="E264" i="15" s="1"/>
  <c r="O289" i="15"/>
  <c r="E289" i="15" s="1"/>
  <c r="O191" i="15"/>
  <c r="E191" i="15" s="1"/>
  <c r="O208" i="15"/>
  <c r="E208" i="15" s="1"/>
  <c r="O222" i="15"/>
  <c r="E222" i="15" s="1"/>
  <c r="O236" i="15"/>
  <c r="E236" i="15" s="1"/>
  <c r="O245" i="15"/>
  <c r="E245" i="15" s="1"/>
  <c r="O267" i="15"/>
  <c r="E267" i="15" s="1"/>
  <c r="O288" i="15"/>
  <c r="E288" i="15" s="1"/>
  <c r="O309" i="15"/>
  <c r="E309" i="15" s="1"/>
  <c r="O330" i="15"/>
  <c r="E330" i="15" s="1"/>
  <c r="O348" i="15"/>
  <c r="E348" i="15" s="1"/>
  <c r="O367" i="15"/>
  <c r="E367" i="15" s="1"/>
  <c r="O379" i="15"/>
  <c r="O325" i="15"/>
  <c r="E325" i="15" s="1"/>
  <c r="O355" i="15"/>
  <c r="E355" i="15" s="1"/>
  <c r="O318" i="15"/>
  <c r="E318" i="15" s="1"/>
  <c r="O366" i="15"/>
  <c r="E366" i="15" s="1"/>
  <c r="O335" i="15"/>
  <c r="E335" i="15" s="1"/>
  <c r="O20" i="15"/>
  <c r="E20" i="15" s="1"/>
  <c r="O28" i="15"/>
  <c r="E28" i="15" s="1"/>
  <c r="O25" i="15"/>
  <c r="E25" i="15" s="1"/>
  <c r="O45" i="15"/>
  <c r="E45" i="15" s="1"/>
  <c r="O69" i="15"/>
  <c r="E69" i="15" s="1"/>
  <c r="O46" i="15"/>
  <c r="E46" i="15" s="1"/>
  <c r="O54" i="15"/>
  <c r="E54" i="15" s="1"/>
  <c r="O70" i="15"/>
  <c r="E70" i="15" s="1"/>
  <c r="O79" i="15"/>
  <c r="E79" i="15" s="1"/>
  <c r="O101" i="15"/>
  <c r="E101" i="15" s="1"/>
  <c r="O112" i="15"/>
  <c r="E112" i="15" s="1"/>
  <c r="O72" i="15"/>
  <c r="E72" i="15" s="1"/>
  <c r="O81" i="15"/>
  <c r="E81" i="15" s="1"/>
  <c r="O94" i="15"/>
  <c r="E94" i="15" s="1"/>
  <c r="O110" i="15"/>
  <c r="E110" i="15" s="1"/>
  <c r="O133" i="15"/>
  <c r="E133" i="15" s="1"/>
  <c r="O149" i="15"/>
  <c r="O157" i="15"/>
  <c r="E157" i="15" s="1"/>
  <c r="O167" i="15"/>
  <c r="E167" i="15" s="1"/>
  <c r="O174" i="15"/>
  <c r="E174" i="15" s="1"/>
  <c r="O184" i="15"/>
  <c r="E184" i="15" s="1"/>
  <c r="O128" i="15"/>
  <c r="E128" i="15" s="1"/>
  <c r="O134" i="15"/>
  <c r="E134" i="15" s="1"/>
  <c r="O141" i="15"/>
  <c r="E141" i="15" s="1"/>
  <c r="O150" i="15"/>
  <c r="E150" i="15" s="1"/>
  <c r="O160" i="15"/>
  <c r="E160" i="15" s="1"/>
  <c r="O169" i="15"/>
  <c r="E169" i="15" s="1"/>
  <c r="O177" i="15"/>
  <c r="E177" i="15" s="1"/>
  <c r="O183" i="15"/>
  <c r="E183" i="15" s="1"/>
  <c r="O203" i="15"/>
  <c r="E203" i="15" s="1"/>
  <c r="O220" i="15"/>
  <c r="E220" i="15" s="1"/>
  <c r="O246" i="15"/>
  <c r="E246" i="15" s="1"/>
  <c r="O259" i="15"/>
  <c r="E259" i="15" s="1"/>
  <c r="O270" i="15"/>
  <c r="E270" i="15" s="1"/>
  <c r="O285" i="15"/>
  <c r="E285" i="15" s="1"/>
  <c r="O297" i="15"/>
  <c r="E297" i="15" s="1"/>
  <c r="O190" i="15"/>
  <c r="E190" i="15" s="1"/>
  <c r="O207" i="15"/>
  <c r="E207" i="15" s="1"/>
  <c r="O221" i="15"/>
  <c r="E221" i="15" s="1"/>
  <c r="O235" i="15"/>
  <c r="E235" i="15" s="1"/>
  <c r="O244" i="15"/>
  <c r="E244" i="15" s="1"/>
  <c r="O263" i="15"/>
  <c r="E263" i="15" s="1"/>
  <c r="O284" i="15"/>
  <c r="E284" i="15" s="1"/>
  <c r="O307" i="15"/>
  <c r="E307" i="15" s="1"/>
  <c r="O328" i="15"/>
  <c r="E328" i="15" s="1"/>
  <c r="O347" i="15"/>
  <c r="E347" i="15" s="1"/>
  <c r="O362" i="15"/>
  <c r="E362" i="15" s="1"/>
  <c r="O378" i="15"/>
  <c r="E378" i="15" s="1"/>
  <c r="O324" i="15"/>
  <c r="E324" i="15" s="1"/>
  <c r="O351" i="15"/>
  <c r="E351" i="15" s="1"/>
  <c r="O314" i="15"/>
  <c r="E314" i="15" s="1"/>
  <c r="O358" i="15"/>
  <c r="E358" i="15" s="1"/>
  <c r="O331" i="15"/>
  <c r="E331" i="15" s="1"/>
  <c r="O17" i="15"/>
  <c r="E17" i="15" s="1"/>
  <c r="O56" i="15"/>
  <c r="E56" i="15" s="1"/>
  <c r="O50" i="15"/>
  <c r="E50" i="15" s="1"/>
  <c r="O92" i="15"/>
  <c r="E92" i="15" s="1"/>
  <c r="O83" i="15"/>
  <c r="E83" i="15" s="1"/>
  <c r="O98" i="15"/>
  <c r="E98" i="15" s="1"/>
  <c r="O151" i="15"/>
  <c r="E151" i="15" s="1"/>
  <c r="O182" i="15"/>
  <c r="E182" i="15" s="1"/>
  <c r="O148" i="15"/>
  <c r="E148" i="15" s="1"/>
  <c r="O180" i="15"/>
  <c r="O218" i="15"/>
  <c r="E218" i="15" s="1"/>
  <c r="O258" i="15"/>
  <c r="E258" i="15" s="1"/>
  <c r="O283" i="15"/>
  <c r="E283" i="15" s="1"/>
  <c r="O189" i="15"/>
  <c r="E189" i="15" s="1"/>
  <c r="O204" i="15"/>
  <c r="E204" i="15" s="1"/>
  <c r="O219" i="15"/>
  <c r="E219" i="15" s="1"/>
  <c r="O233" i="15"/>
  <c r="E233" i="15" s="1"/>
  <c r="O243" i="15"/>
  <c r="E243" i="15" s="1"/>
  <c r="O261" i="15"/>
  <c r="E261" i="15" s="1"/>
  <c r="O281" i="15"/>
  <c r="E281" i="15" s="1"/>
  <c r="O306" i="15"/>
  <c r="E306" i="15" s="1"/>
  <c r="O322" i="15"/>
  <c r="E322" i="15" s="1"/>
  <c r="O343" i="15"/>
  <c r="E343" i="15" s="1"/>
  <c r="O361" i="15"/>
  <c r="E361" i="15" s="1"/>
  <c r="O375" i="15"/>
  <c r="E375" i="15" s="1"/>
  <c r="O323" i="15"/>
  <c r="E323" i="15" s="1"/>
  <c r="O345" i="15"/>
  <c r="E345" i="15" s="1"/>
  <c r="O376" i="15"/>
  <c r="E376" i="15" s="1"/>
  <c r="O354" i="15"/>
  <c r="E354" i="15" s="1"/>
  <c r="O321" i="15"/>
  <c r="E321" i="15" s="1"/>
  <c r="O15" i="15"/>
  <c r="O26" i="15"/>
  <c r="E26" i="15" s="1"/>
  <c r="O37" i="15"/>
  <c r="E37" i="15" s="1"/>
  <c r="O57" i="15"/>
  <c r="E57" i="15" s="1"/>
  <c r="O40" i="15"/>
  <c r="E40" i="15" s="1"/>
  <c r="O59" i="15"/>
  <c r="E59" i="15" s="1"/>
  <c r="O85" i="15"/>
  <c r="E85" i="15" s="1"/>
  <c r="O102" i="15"/>
  <c r="E102" i="15" s="1"/>
  <c r="O118" i="15"/>
  <c r="E118" i="15" s="1"/>
  <c r="O84" i="15"/>
  <c r="E84" i="15" s="1"/>
  <c r="O97" i="15"/>
  <c r="E97" i="15" s="1"/>
  <c r="O113" i="15"/>
  <c r="E113" i="15" s="1"/>
  <c r="O136" i="15"/>
  <c r="E136" i="15" s="1"/>
  <c r="O152" i="15"/>
  <c r="E152" i="15" s="1"/>
  <c r="O200" i="15"/>
  <c r="E200" i="15" s="1"/>
  <c r="O216" i="15"/>
  <c r="E216" i="15" s="1"/>
  <c r="O234" i="15"/>
  <c r="E234" i="15" s="1"/>
  <c r="O256" i="15"/>
  <c r="E256" i="15" s="1"/>
  <c r="O268" i="15"/>
  <c r="E268" i="15" s="1"/>
  <c r="O282" i="15"/>
  <c r="E282" i="15" s="1"/>
  <c r="O295" i="15"/>
  <c r="E295" i="15" s="1"/>
  <c r="O188" i="15"/>
  <c r="E188" i="15" s="1"/>
  <c r="O202" i="15"/>
  <c r="E202" i="15" s="1"/>
  <c r="O217" i="15"/>
  <c r="E217" i="15" s="1"/>
  <c r="O232" i="15"/>
  <c r="E232" i="15" s="1"/>
  <c r="O242" i="15"/>
  <c r="E242" i="15" s="1"/>
  <c r="O257" i="15"/>
  <c r="E257" i="15" s="1"/>
  <c r="O279" i="15"/>
  <c r="E279" i="15" s="1"/>
  <c r="O30" i="16"/>
  <c r="E30" i="16" s="1"/>
  <c r="O16" i="15"/>
  <c r="E16" i="15" s="1"/>
  <c r="O22" i="15"/>
  <c r="E22" i="15" s="1"/>
  <c r="O31" i="15"/>
  <c r="E31" i="15" s="1"/>
  <c r="O41" i="15"/>
  <c r="E41" i="15" s="1"/>
  <c r="O51" i="15"/>
  <c r="E51" i="15" s="1"/>
  <c r="O58" i="15"/>
  <c r="E58" i="15" s="1"/>
  <c r="O60" i="15"/>
  <c r="O76" i="15"/>
  <c r="E76" i="15" s="1"/>
  <c r="O82" i="15"/>
  <c r="E82" i="15" s="1"/>
  <c r="O104" i="15"/>
  <c r="E104" i="15" s="1"/>
  <c r="O119" i="15"/>
  <c r="O75" i="15"/>
  <c r="E75" i="15" s="1"/>
  <c r="O90" i="15"/>
  <c r="E90" i="15" s="1"/>
  <c r="O99" i="15"/>
  <c r="E99" i="15" s="1"/>
  <c r="O116" i="15"/>
  <c r="E116" i="15" s="1"/>
  <c r="O139" i="15"/>
  <c r="E139" i="15" s="1"/>
  <c r="O153" i="15"/>
  <c r="E153" i="15" s="1"/>
  <c r="O168" i="15"/>
  <c r="E168" i="15" s="1"/>
  <c r="O114" i="15"/>
  <c r="E114" i="15" s="1"/>
  <c r="O137" i="15"/>
  <c r="E137" i="15" s="1"/>
  <c r="O156" i="15"/>
  <c r="E156" i="15" s="1"/>
  <c r="O170" i="15"/>
  <c r="E170" i="15" s="1"/>
  <c r="O185" i="15"/>
  <c r="E185" i="15" s="1"/>
  <c r="O205" i="15"/>
  <c r="E205" i="15" s="1"/>
  <c r="O225" i="15"/>
  <c r="E225" i="15" s="1"/>
  <c r="O250" i="15"/>
  <c r="E250" i="15" s="1"/>
  <c r="O260" i="15"/>
  <c r="E260" i="15" s="1"/>
  <c r="O272" i="15"/>
  <c r="O286" i="15"/>
  <c r="E286" i="15" s="1"/>
  <c r="O298" i="15"/>
  <c r="E298" i="15" s="1"/>
  <c r="O27" i="15"/>
  <c r="E27" i="15" s="1"/>
  <c r="O36" i="15"/>
  <c r="E36" i="15" s="1"/>
  <c r="O42" i="15"/>
  <c r="E42" i="15" s="1"/>
  <c r="O39" i="15"/>
  <c r="E39" i="15" s="1"/>
  <c r="O74" i="15"/>
  <c r="E74" i="15" s="1"/>
  <c r="O106" i="15"/>
  <c r="E106" i="15" s="1"/>
  <c r="O96" i="15"/>
  <c r="E96" i="15" s="1"/>
  <c r="O143" i="15"/>
  <c r="E143" i="15" s="1"/>
  <c r="O173" i="15"/>
  <c r="E173" i="15" s="1"/>
  <c r="O140" i="15"/>
  <c r="E140" i="15" s="1"/>
  <c r="O175" i="15"/>
  <c r="E175" i="15" s="1"/>
  <c r="O211" i="15"/>
  <c r="E211" i="15" s="1"/>
  <c r="O253" i="15"/>
  <c r="E253" i="15" s="1"/>
  <c r="O276" i="15"/>
  <c r="E276" i="15" s="1"/>
  <c r="O305" i="15"/>
  <c r="E305" i="15" s="1"/>
  <c r="O198" i="15"/>
  <c r="E198" i="15" s="1"/>
  <c r="O215" i="15"/>
  <c r="E215" i="15" s="1"/>
  <c r="O231" i="15"/>
  <c r="E231" i="15" s="1"/>
  <c r="O241" i="15"/>
  <c r="O252" i="15"/>
  <c r="E252" i="15" s="1"/>
  <c r="O277" i="15"/>
  <c r="E277" i="15" s="1"/>
  <c r="O299" i="15"/>
  <c r="E299" i="15" s="1"/>
  <c r="O317" i="15"/>
  <c r="E317" i="15" s="1"/>
  <c r="O341" i="15"/>
  <c r="E341" i="15" s="1"/>
  <c r="O359" i="15"/>
  <c r="E359" i="15" s="1"/>
  <c r="O373" i="15"/>
  <c r="E373" i="15" s="1"/>
  <c r="O308" i="15"/>
  <c r="E308" i="15" s="1"/>
  <c r="O334" i="15"/>
  <c r="E334" i="15" s="1"/>
  <c r="O365" i="15"/>
  <c r="E365" i="15" s="1"/>
  <c r="O346" i="15"/>
  <c r="E346" i="15" s="1"/>
  <c r="O311" i="15"/>
  <c r="E311" i="15" s="1"/>
  <c r="O19" i="15"/>
  <c r="E19" i="15" s="1"/>
  <c r="O23" i="15"/>
  <c r="E23" i="15" s="1"/>
  <c r="O30" i="15"/>
  <c r="E30" i="15" s="1"/>
  <c r="O24" i="15"/>
  <c r="E24" i="15" s="1"/>
  <c r="O64" i="15"/>
  <c r="E64" i="15" s="1"/>
  <c r="O43" i="15"/>
  <c r="E43" i="15" s="1"/>
  <c r="O49" i="15"/>
  <c r="E49" i="15" s="1"/>
  <c r="O68" i="15"/>
  <c r="E68" i="15" s="1"/>
  <c r="O73" i="15"/>
  <c r="E73" i="15" s="1"/>
  <c r="O95" i="15"/>
  <c r="E95" i="15" s="1"/>
  <c r="O105" i="15"/>
  <c r="E105" i="15" s="1"/>
  <c r="O120" i="15"/>
  <c r="E120" i="15" s="1"/>
  <c r="O77" i="15"/>
  <c r="E77" i="15" s="1"/>
  <c r="O86" i="15"/>
  <c r="E86" i="15" s="1"/>
  <c r="O107" i="15"/>
  <c r="E107" i="15" s="1"/>
  <c r="O122" i="15"/>
  <c r="E122" i="15" s="1"/>
  <c r="O142" i="15"/>
  <c r="E142" i="15" s="1"/>
  <c r="O154" i="15"/>
  <c r="E154" i="15" s="1"/>
  <c r="O165" i="15"/>
  <c r="E165" i="15" s="1"/>
  <c r="O171" i="15"/>
  <c r="E171" i="15" s="1"/>
  <c r="O181" i="15"/>
  <c r="E181" i="15" s="1"/>
  <c r="O117" i="15"/>
  <c r="E117" i="15" s="1"/>
  <c r="O130" i="15"/>
  <c r="E130" i="15" s="1"/>
  <c r="O138" i="15"/>
  <c r="E138" i="15" s="1"/>
  <c r="O147" i="15"/>
  <c r="E147" i="15" s="1"/>
  <c r="O158" i="15"/>
  <c r="E158" i="15" s="1"/>
  <c r="O163" i="15"/>
  <c r="E163" i="15" s="1"/>
  <c r="O172" i="15"/>
  <c r="E172" i="15" s="1"/>
  <c r="O179" i="15"/>
  <c r="E179" i="15" s="1"/>
  <c r="O196" i="15"/>
  <c r="E196" i="15" s="1"/>
  <c r="O212" i="15"/>
  <c r="E212" i="15" s="1"/>
  <c r="O228" i="15"/>
  <c r="E228" i="15" s="1"/>
  <c r="O254" i="15"/>
  <c r="E254" i="15" s="1"/>
  <c r="O265" i="15"/>
  <c r="E265" i="15" s="1"/>
  <c r="O278" i="15"/>
  <c r="E278" i="15" s="1"/>
  <c r="O293" i="15"/>
  <c r="E293" i="15" s="1"/>
  <c r="O186" i="15"/>
  <c r="E186" i="15" s="1"/>
  <c r="O197" i="15"/>
  <c r="E197" i="15" s="1"/>
  <c r="O214" i="15"/>
  <c r="E214" i="15" s="1"/>
  <c r="O230" i="15"/>
  <c r="E230" i="15" s="1"/>
  <c r="O240" i="15"/>
  <c r="E240" i="15" s="1"/>
  <c r="O249" i="15"/>
  <c r="E249" i="15" s="1"/>
  <c r="O274" i="15"/>
  <c r="E274" i="15" s="1"/>
  <c r="O292" i="15"/>
  <c r="E292" i="15" s="1"/>
  <c r="O316" i="15"/>
  <c r="E316" i="15" s="1"/>
  <c r="O340" i="15"/>
  <c r="E340" i="15" s="1"/>
  <c r="O353" i="15"/>
  <c r="E353" i="15" s="1"/>
  <c r="O372" i="15"/>
  <c r="E372" i="15" s="1"/>
  <c r="O304" i="15"/>
  <c r="E304" i="15" s="1"/>
  <c r="O332" i="15"/>
  <c r="E332" i="15" s="1"/>
  <c r="O363" i="15"/>
  <c r="O344" i="15"/>
  <c r="E344" i="15" s="1"/>
  <c r="O310" i="15"/>
  <c r="E310" i="15" s="1"/>
  <c r="O18" i="15"/>
  <c r="E18" i="15" s="1"/>
  <c r="O47" i="15"/>
  <c r="E47" i="15" s="1"/>
  <c r="O65" i="15"/>
  <c r="E65" i="15" s="1"/>
  <c r="O71" i="15"/>
  <c r="E71" i="15" s="1"/>
  <c r="O115" i="15"/>
  <c r="E115" i="15" s="1"/>
  <c r="O91" i="15"/>
  <c r="E91" i="15" s="1"/>
  <c r="O135" i="15"/>
  <c r="E135" i="15" s="1"/>
  <c r="O166" i="15"/>
  <c r="E166" i="15" s="1"/>
  <c r="O131" i="15"/>
  <c r="E131" i="15" s="1"/>
  <c r="O164" i="15"/>
  <c r="E164" i="15" s="1"/>
  <c r="O201" i="15"/>
  <c r="E201" i="15" s="1"/>
  <c r="O239" i="15"/>
  <c r="E239" i="15" s="1"/>
  <c r="O269" i="15"/>
  <c r="E269" i="15" s="1"/>
  <c r="O296" i="15"/>
  <c r="E296" i="15" s="1"/>
  <c r="O195" i="15"/>
  <c r="E195" i="15" s="1"/>
  <c r="O210" i="15"/>
  <c r="O224" i="15"/>
  <c r="E224" i="15" s="1"/>
  <c r="O238" i="15"/>
  <c r="E238" i="15" s="1"/>
  <c r="O248" i="15"/>
  <c r="E248" i="15" s="1"/>
  <c r="O273" i="15"/>
  <c r="E273" i="15" s="1"/>
  <c r="O291" i="15"/>
  <c r="E291" i="15" s="1"/>
  <c r="O315" i="15"/>
  <c r="E315" i="15" s="1"/>
  <c r="O336" i="15"/>
  <c r="E336" i="15" s="1"/>
  <c r="O352" i="15"/>
  <c r="E352" i="15" s="1"/>
  <c r="O370" i="15"/>
  <c r="E370" i="15" s="1"/>
  <c r="O303" i="15"/>
  <c r="E303" i="15" s="1"/>
  <c r="O329" i="15"/>
  <c r="E329" i="15" s="1"/>
  <c r="O357" i="15"/>
  <c r="E357" i="15" s="1"/>
  <c r="O337" i="15"/>
  <c r="E337" i="15" s="1"/>
  <c r="O377" i="15"/>
  <c r="E377" i="15" s="1"/>
  <c r="O364" i="15"/>
  <c r="E364" i="15" s="1"/>
  <c r="O21" i="15"/>
  <c r="E21" i="15" s="1"/>
  <c r="O32" i="15"/>
  <c r="E32" i="15" s="1"/>
  <c r="O52" i="15"/>
  <c r="E52" i="15" s="1"/>
  <c r="O62" i="15"/>
  <c r="E62" i="15" s="1"/>
  <c r="O55" i="15"/>
  <c r="E55" i="15" s="1"/>
  <c r="O66" i="15"/>
  <c r="E66" i="15" s="1"/>
  <c r="O88" i="15"/>
  <c r="O108" i="15"/>
  <c r="E108" i="15" s="1"/>
  <c r="O124" i="15"/>
  <c r="E124" i="15" s="1"/>
  <c r="O89" i="15"/>
  <c r="E89" i="15" s="1"/>
  <c r="O103" i="15"/>
  <c r="E103" i="15" s="1"/>
  <c r="O126" i="15"/>
  <c r="E126" i="15" s="1"/>
  <c r="O144" i="15"/>
  <c r="E144" i="15" s="1"/>
  <c r="O192" i="15"/>
  <c r="E192" i="15" s="1"/>
  <c r="O206" i="15"/>
  <c r="E206" i="15" s="1"/>
  <c r="O226" i="15"/>
  <c r="E226" i="15" s="1"/>
  <c r="O251" i="15"/>
  <c r="E251" i="15" s="1"/>
  <c r="O262" i="15"/>
  <c r="E262" i="15" s="1"/>
  <c r="O275" i="15"/>
  <c r="E275" i="15" s="1"/>
  <c r="O287" i="15"/>
  <c r="E287" i="15" s="1"/>
  <c r="O301" i="15"/>
  <c r="E301" i="15" s="1"/>
  <c r="O193" i="15"/>
  <c r="E193" i="15" s="1"/>
  <c r="O209" i="15"/>
  <c r="E209" i="15" s="1"/>
  <c r="O223" i="15"/>
  <c r="E223" i="15" s="1"/>
  <c r="O237" i="15"/>
  <c r="E237" i="15" s="1"/>
  <c r="O247" i="15"/>
  <c r="E247" i="15" s="1"/>
  <c r="O271" i="15"/>
  <c r="E271" i="15" s="1"/>
  <c r="O302" i="15"/>
  <c r="O320" i="15"/>
  <c r="E320" i="15" s="1"/>
  <c r="O342" i="15"/>
  <c r="E342" i="15" s="1"/>
  <c r="O360" i="15"/>
  <c r="E360" i="15" s="1"/>
  <c r="O374" i="15"/>
  <c r="E374" i="15" s="1"/>
  <c r="O312" i="15"/>
  <c r="E312" i="15" s="1"/>
  <c r="O339" i="15"/>
  <c r="E339" i="15" s="1"/>
  <c r="O369" i="15"/>
  <c r="E369" i="15" s="1"/>
  <c r="O350" i="15"/>
  <c r="E350" i="15" s="1"/>
  <c r="O319" i="15"/>
  <c r="E319" i="15" s="1"/>
  <c r="O290" i="15"/>
  <c r="E290" i="15" s="1"/>
  <c r="O313" i="15"/>
  <c r="E313" i="15" s="1"/>
  <c r="O333" i="15"/>
  <c r="O349" i="15"/>
  <c r="E349" i="15" s="1"/>
  <c r="O368" i="15"/>
  <c r="E368" i="15" s="1"/>
  <c r="O300" i="15"/>
  <c r="E300" i="15" s="1"/>
  <c r="O326" i="15"/>
  <c r="E326" i="15" s="1"/>
  <c r="O356" i="15"/>
  <c r="E356" i="15" s="1"/>
  <c r="O327" i="15"/>
  <c r="E327" i="15" s="1"/>
  <c r="O371" i="15"/>
  <c r="E371" i="15" s="1"/>
  <c r="O338" i="15"/>
  <c r="E338" i="15" s="1"/>
  <c r="J13" i="7"/>
  <c r="AC10" i="16"/>
  <c r="AC75" i="16" s="1"/>
  <c r="AC12" i="20"/>
  <c r="O11" i="20"/>
  <c r="O12" i="20"/>
  <c r="AC9" i="20"/>
  <c r="AT22" i="6"/>
  <c r="AZ22" i="6" s="1"/>
  <c r="N380" i="6" s="1"/>
  <c r="N381" i="6" s="1"/>
  <c r="AY258" i="6"/>
  <c r="AZ258" i="6" s="1"/>
  <c r="AZ134" i="6"/>
  <c r="V380" i="6" s="1"/>
  <c r="V381" i="6" s="1"/>
  <c r="AZ146" i="6"/>
  <c r="AY282" i="6"/>
  <c r="AZ282" i="6" s="1"/>
  <c r="AY266" i="6"/>
  <c r="AZ266" i="6" s="1"/>
  <c r="AY285" i="6"/>
  <c r="AZ285" i="6" s="1"/>
  <c r="AZ81" i="6"/>
  <c r="AZ85" i="6"/>
  <c r="P120" i="1"/>
  <c r="V120" i="1" s="1"/>
  <c r="AA120" i="1" s="1"/>
  <c r="Z120" i="1" s="1"/>
  <c r="Y120" i="1" s="1"/>
  <c r="P165" i="1"/>
  <c r="V165" i="1" s="1"/>
  <c r="AA165" i="1" s="1"/>
  <c r="Z165" i="1" s="1"/>
  <c r="Y165" i="1" s="1"/>
  <c r="AY251" i="6"/>
  <c r="AZ251" i="6" s="1"/>
  <c r="AY239" i="6"/>
  <c r="AZ239" i="6" s="1"/>
  <c r="AY271" i="6"/>
  <c r="AZ271" i="6" s="1"/>
  <c r="AY278" i="6"/>
  <c r="AZ278" i="6" s="1"/>
  <c r="AY281" i="6"/>
  <c r="AZ281" i="6" s="1"/>
  <c r="AY268" i="6"/>
  <c r="AZ268" i="6" s="1"/>
  <c r="AY277" i="6"/>
  <c r="AZ277" i="6" s="1"/>
  <c r="AY259" i="6"/>
  <c r="AZ259" i="6" s="1"/>
  <c r="AY255" i="6"/>
  <c r="AZ255" i="6" s="1"/>
  <c r="AY249" i="6"/>
  <c r="AZ249" i="6" s="1"/>
  <c r="AY232" i="6"/>
  <c r="AZ232" i="6" s="1"/>
  <c r="AC380" i="6" s="1"/>
  <c r="AC381" i="6" s="1"/>
  <c r="AT36" i="6"/>
  <c r="AZ36" i="6" s="1"/>
  <c r="O380" i="6" s="1"/>
  <c r="O381" i="6" s="1"/>
  <c r="AT25" i="6"/>
  <c r="AZ25" i="6" s="1"/>
  <c r="AT46" i="6"/>
  <c r="AZ46" i="6" s="1"/>
  <c r="AT35" i="6"/>
  <c r="AZ35" i="6" s="1"/>
  <c r="AZ139" i="6"/>
  <c r="AT28" i="6"/>
  <c r="AZ28" i="6" s="1"/>
  <c r="AT24" i="6"/>
  <c r="AZ24" i="6" s="1"/>
  <c r="AT26" i="6"/>
  <c r="AZ26" i="6" s="1"/>
  <c r="AT31" i="6"/>
  <c r="AZ31" i="6" s="1"/>
  <c r="P172" i="1"/>
  <c r="V172" i="1" s="1"/>
  <c r="AA172" i="1" s="1"/>
  <c r="Z172" i="1" s="1"/>
  <c r="Y172" i="1" s="1"/>
  <c r="G339" i="1"/>
  <c r="BW339" i="6" s="1"/>
  <c r="I356" i="1"/>
  <c r="G336" i="1"/>
  <c r="BW336" i="6" s="1"/>
  <c r="AY263" i="6"/>
  <c r="AZ263" i="6" s="1"/>
  <c r="AT44" i="6"/>
  <c r="AZ44" i="6" s="1"/>
  <c r="AT41" i="6"/>
  <c r="AZ41" i="6" s="1"/>
  <c r="AT32" i="6"/>
  <c r="AZ32" i="6" s="1"/>
  <c r="AY276" i="6"/>
  <c r="AZ276" i="6" s="1"/>
  <c r="AY287" i="6"/>
  <c r="AZ287" i="6" s="1"/>
  <c r="AY275" i="6"/>
  <c r="AZ275" i="6" s="1"/>
  <c r="AY274" i="6"/>
  <c r="AZ274" i="6" s="1"/>
  <c r="AF380" i="6" s="1"/>
  <c r="AF381" i="6" s="1"/>
  <c r="AT37" i="6"/>
  <c r="AZ37" i="6" s="1"/>
  <c r="AT27" i="6"/>
  <c r="AZ27" i="6" s="1"/>
  <c r="AT30" i="6"/>
  <c r="AZ30" i="6" s="1"/>
  <c r="AY265" i="6"/>
  <c r="AZ265" i="6" s="1"/>
  <c r="AT45" i="6"/>
  <c r="AZ45" i="6" s="1"/>
  <c r="AT33" i="6"/>
  <c r="AZ33" i="6" s="1"/>
  <c r="AT48" i="6"/>
  <c r="AZ48" i="6" s="1"/>
  <c r="AT47" i="6"/>
  <c r="AZ47" i="6" s="1"/>
  <c r="AT42" i="6"/>
  <c r="AZ42" i="6" s="1"/>
  <c r="AT40" i="6"/>
  <c r="AZ40" i="6" s="1"/>
  <c r="AY246" i="6"/>
  <c r="AZ246" i="6" s="1"/>
  <c r="AD380" i="6" s="1"/>
  <c r="AD381" i="6" s="1"/>
  <c r="AY244" i="6"/>
  <c r="AZ244" i="6" s="1"/>
  <c r="AY252" i="6"/>
  <c r="AZ252" i="6" s="1"/>
  <c r="AY238" i="6"/>
  <c r="AZ238" i="6" s="1"/>
  <c r="AY253" i="6"/>
  <c r="AZ253" i="6" s="1"/>
  <c r="AY234" i="6"/>
  <c r="AZ234" i="6" s="1"/>
  <c r="AY257" i="6"/>
  <c r="AZ257" i="6" s="1"/>
  <c r="P136" i="1"/>
  <c r="V136" i="1" s="1"/>
  <c r="AA136" i="1" s="1"/>
  <c r="Z136" i="1" s="1"/>
  <c r="Y136" i="1" s="1"/>
  <c r="AY267" i="6"/>
  <c r="AZ267" i="6" s="1"/>
  <c r="AY270" i="6"/>
  <c r="AZ270" i="6" s="1"/>
  <c r="AY261" i="6"/>
  <c r="AZ261" i="6" s="1"/>
  <c r="AY279" i="6"/>
  <c r="AZ279" i="6" s="1"/>
  <c r="AY284" i="6"/>
  <c r="AZ284" i="6" s="1"/>
  <c r="AY260" i="6"/>
  <c r="AZ260" i="6" s="1"/>
  <c r="AE380" i="6" s="1"/>
  <c r="AE381" i="6" s="1"/>
  <c r="AY283" i="6"/>
  <c r="AZ283" i="6" s="1"/>
  <c r="AY273" i="6"/>
  <c r="AZ273" i="6" s="1"/>
  <c r="AY286" i="6"/>
  <c r="AZ286" i="6" s="1"/>
  <c r="AY280" i="6"/>
  <c r="AZ280" i="6" s="1"/>
  <c r="AY272" i="6"/>
  <c r="AZ272" i="6" s="1"/>
  <c r="AY262" i="6"/>
  <c r="AZ262" i="6" s="1"/>
  <c r="AY269" i="6"/>
  <c r="AZ269" i="6" s="1"/>
  <c r="AY264" i="6"/>
  <c r="AZ264" i="6" s="1"/>
  <c r="AY247" i="6"/>
  <c r="AZ247" i="6" s="1"/>
  <c r="AY242" i="6"/>
  <c r="AZ242" i="6" s="1"/>
  <c r="AY241" i="6"/>
  <c r="AZ241" i="6" s="1"/>
  <c r="AY256" i="6"/>
  <c r="AZ256" i="6" s="1"/>
  <c r="AY236" i="6"/>
  <c r="AZ236" i="6" s="1"/>
  <c r="AY233" i="6"/>
  <c r="AZ233" i="6" s="1"/>
  <c r="AY235" i="6"/>
  <c r="AZ235" i="6" s="1"/>
  <c r="AY243" i="6"/>
  <c r="AZ243" i="6" s="1"/>
  <c r="AY248" i="6"/>
  <c r="AZ248" i="6" s="1"/>
  <c r="AY254" i="6"/>
  <c r="AZ254" i="6" s="1"/>
  <c r="AY250" i="6"/>
  <c r="AZ250" i="6" s="1"/>
  <c r="AY245" i="6"/>
  <c r="AZ245" i="6" s="1"/>
  <c r="AY237" i="6"/>
  <c r="AZ237" i="6" s="1"/>
  <c r="I339" i="1"/>
  <c r="AZ145" i="6"/>
  <c r="AZ153" i="6"/>
  <c r="AZ159" i="6"/>
  <c r="P122" i="1"/>
  <c r="V122" i="1" s="1"/>
  <c r="AA122" i="1" s="1"/>
  <c r="Z122" i="1" s="1"/>
  <c r="Y122" i="1" s="1"/>
  <c r="G329" i="1"/>
  <c r="BW329" i="6" s="1"/>
  <c r="I303" i="1"/>
  <c r="AZ75" i="6"/>
  <c r="AZ149" i="6"/>
  <c r="AZ156" i="6"/>
  <c r="AD129" i="1"/>
  <c r="AA336" i="1"/>
  <c r="Z336" i="1" s="1"/>
  <c r="Y336" i="1" s="1"/>
  <c r="I368" i="1"/>
  <c r="G303" i="1"/>
  <c r="BW303" i="6" s="1"/>
  <c r="G306" i="1"/>
  <c r="BW306" i="6" s="1"/>
  <c r="AA317" i="1"/>
  <c r="Z317" i="1" s="1"/>
  <c r="Y317" i="1" s="1"/>
  <c r="G321" i="1"/>
  <c r="BW321" i="6" s="1"/>
  <c r="AZ147" i="6"/>
  <c r="AA232" i="1"/>
  <c r="Z232" i="1" s="1"/>
  <c r="Y232" i="1" s="1"/>
  <c r="P119" i="1"/>
  <c r="D23" i="7" s="1"/>
  <c r="AD131" i="1"/>
  <c r="AA131" i="1" s="1"/>
  <c r="Z131" i="1" s="1"/>
  <c r="Y131" i="1" s="1"/>
  <c r="G304" i="1"/>
  <c r="BW304" i="6" s="1"/>
  <c r="I304" i="1"/>
  <c r="AA280" i="1"/>
  <c r="Z280" i="1" s="1"/>
  <c r="Y280" i="1" s="1"/>
  <c r="AA337" i="1"/>
  <c r="Z337" i="1" s="1"/>
  <c r="Y337" i="1" s="1"/>
  <c r="G313" i="1"/>
  <c r="BW313" i="6" s="1"/>
  <c r="G337" i="1"/>
  <c r="BW337" i="6" s="1"/>
  <c r="I291" i="1"/>
  <c r="AD128" i="1"/>
  <c r="P143" i="1"/>
  <c r="V143" i="1" s="1"/>
  <c r="AA143" i="1" s="1"/>
  <c r="Z143" i="1" s="1"/>
  <c r="Y143" i="1" s="1"/>
  <c r="P108" i="1"/>
  <c r="V108" i="1" s="1"/>
  <c r="AA108" i="1" s="1"/>
  <c r="Z108" i="1" s="1"/>
  <c r="Y108" i="1" s="1"/>
  <c r="AA321" i="1"/>
  <c r="Z321" i="1" s="1"/>
  <c r="Y321" i="1" s="1"/>
  <c r="AZ141" i="6"/>
  <c r="AD121" i="1"/>
  <c r="AA121" i="1" s="1"/>
  <c r="Z121" i="1" s="1"/>
  <c r="Y121" i="1" s="1"/>
  <c r="AD170" i="1"/>
  <c r="AA170" i="1" s="1"/>
  <c r="Z170" i="1" s="1"/>
  <c r="Y170" i="1" s="1"/>
  <c r="V333" i="1"/>
  <c r="F333" i="1" s="1"/>
  <c r="I333" i="1" s="1"/>
  <c r="AA309" i="1"/>
  <c r="Z309" i="1" s="1"/>
  <c r="Y309" i="1" s="1"/>
  <c r="G309" i="1"/>
  <c r="BW309" i="6" s="1"/>
  <c r="AA173" i="1"/>
  <c r="Z173" i="1" s="1"/>
  <c r="Y173" i="1" s="1"/>
  <c r="I313" i="1"/>
  <c r="AA326" i="1"/>
  <c r="Z326" i="1" s="1"/>
  <c r="Y326" i="1" s="1"/>
  <c r="AZ96" i="6"/>
  <c r="AZ97" i="6"/>
  <c r="AZ118" i="6"/>
  <c r="AZ122" i="6"/>
  <c r="AA356" i="1"/>
  <c r="Z356" i="1" s="1"/>
  <c r="Y356" i="1" s="1"/>
  <c r="AZ198" i="6"/>
  <c r="AZ193" i="6"/>
  <c r="AA318" i="1"/>
  <c r="Z318" i="1" s="1"/>
  <c r="Y318" i="1" s="1"/>
  <c r="P128" i="1"/>
  <c r="V128" i="1" s="1"/>
  <c r="P127" i="1"/>
  <c r="V127" i="1" s="1"/>
  <c r="AA127" i="1" s="1"/>
  <c r="Z127" i="1" s="1"/>
  <c r="Y127" i="1" s="1"/>
  <c r="AA279" i="1"/>
  <c r="Z279" i="1" s="1"/>
  <c r="Y279" i="1" s="1"/>
  <c r="AA329" i="1"/>
  <c r="Z329" i="1" s="1"/>
  <c r="Y329" i="1" s="1"/>
  <c r="AA291" i="1"/>
  <c r="Z291" i="1" s="1"/>
  <c r="Y291" i="1" s="1"/>
  <c r="I337" i="1"/>
  <c r="G318" i="1"/>
  <c r="BW318" i="6" s="1"/>
  <c r="P130" i="1"/>
  <c r="V130" i="1" s="1"/>
  <c r="AZ151" i="6"/>
  <c r="AZ150" i="6"/>
  <c r="AZ158" i="6"/>
  <c r="AZ160" i="6"/>
  <c r="G314" i="1"/>
  <c r="BW314" i="6" s="1"/>
  <c r="AA243" i="1"/>
  <c r="Z243" i="1" s="1"/>
  <c r="Y243" i="1" s="1"/>
  <c r="AD117" i="1"/>
  <c r="P117" i="1"/>
  <c r="V117" i="1" s="1"/>
  <c r="I351" i="1"/>
  <c r="AA306" i="1"/>
  <c r="Z306" i="1" s="1"/>
  <c r="Y306" i="1" s="1"/>
  <c r="AZ304" i="6"/>
  <c r="AZ140" i="6"/>
  <c r="P153" i="1"/>
  <c r="V153" i="1" s="1"/>
  <c r="AZ65" i="6"/>
  <c r="AZ71" i="6"/>
  <c r="AZ155" i="6"/>
  <c r="AZ157" i="6"/>
  <c r="AA314" i="1"/>
  <c r="Z314" i="1" s="1"/>
  <c r="Y314" i="1" s="1"/>
  <c r="AD125" i="1"/>
  <c r="AA125" i="1" s="1"/>
  <c r="Z125" i="1" s="1"/>
  <c r="Y125" i="1" s="1"/>
  <c r="P124" i="1"/>
  <c r="V124" i="1" s="1"/>
  <c r="AA124" i="1" s="1"/>
  <c r="Z124" i="1" s="1"/>
  <c r="Y124" i="1" s="1"/>
  <c r="P166" i="1"/>
  <c r="V166" i="1" s="1"/>
  <c r="AA166" i="1" s="1"/>
  <c r="Z166" i="1" s="1"/>
  <c r="Y166" i="1" s="1"/>
  <c r="AD164" i="1"/>
  <c r="AA164" i="1" s="1"/>
  <c r="Z164" i="1" s="1"/>
  <c r="Y164" i="1" s="1"/>
  <c r="AA285" i="1"/>
  <c r="Z285" i="1" s="1"/>
  <c r="Y285" i="1" s="1"/>
  <c r="P167" i="1"/>
  <c r="V167" i="1" s="1"/>
  <c r="AA167" i="1" s="1"/>
  <c r="Z167" i="1" s="1"/>
  <c r="Y167" i="1" s="1"/>
  <c r="AA206" i="1"/>
  <c r="Z206" i="1" s="1"/>
  <c r="Y206" i="1" s="1"/>
  <c r="AD223" i="1"/>
  <c r="AA223" i="1" s="1"/>
  <c r="Z223" i="1" s="1"/>
  <c r="Y223" i="1" s="1"/>
  <c r="AA368" i="1"/>
  <c r="Z368" i="1" s="1"/>
  <c r="Y368" i="1" s="1"/>
  <c r="G289" i="1"/>
  <c r="BW289" i="6" s="1"/>
  <c r="I289" i="1"/>
  <c r="AM11" i="7"/>
  <c r="AF15" i="7"/>
  <c r="P11" i="20"/>
  <c r="AI117" i="15"/>
  <c r="AH117" i="15" s="1"/>
  <c r="AG117" i="15" s="1"/>
  <c r="AF117" i="15" s="1"/>
  <c r="AI87" i="15"/>
  <c r="AH87" i="15" s="1"/>
  <c r="AG87" i="15" s="1"/>
  <c r="AF87" i="15" s="1"/>
  <c r="AI261" i="15"/>
  <c r="AH261" i="15" s="1"/>
  <c r="AG261" i="15" s="1"/>
  <c r="AF261" i="15" s="1"/>
  <c r="S308" i="1"/>
  <c r="R308" i="1" s="1"/>
  <c r="P308" i="1" s="1"/>
  <c r="V308" i="1" s="1"/>
  <c r="F308" i="1" s="1"/>
  <c r="I308" i="1" s="1"/>
  <c r="S320" i="1"/>
  <c r="R320" i="1" s="1"/>
  <c r="P320" i="1" s="1"/>
  <c r="V320" i="1" s="1"/>
  <c r="S287" i="1"/>
  <c r="R287" i="1" s="1"/>
  <c r="P287" i="1" s="1"/>
  <c r="V287" i="1" s="1"/>
  <c r="AA287" i="1" s="1"/>
  <c r="Z287" i="1" s="1"/>
  <c r="Y287" i="1" s="1"/>
  <c r="AG357" i="1"/>
  <c r="AF357" i="1" s="1"/>
  <c r="AD357" i="1" s="1"/>
  <c r="AA357" i="1" s="1"/>
  <c r="Z357" i="1" s="1"/>
  <c r="Y357" i="1" s="1"/>
  <c r="AK3" i="16"/>
  <c r="Q13" i="19" s="1"/>
  <c r="AI108" i="15"/>
  <c r="AH108" i="15" s="1"/>
  <c r="AG108" i="15" s="1"/>
  <c r="AF108" i="15" s="1"/>
  <c r="AD222" i="1"/>
  <c r="AA222" i="1" s="1"/>
  <c r="Z222" i="1" s="1"/>
  <c r="Y222" i="1" s="1"/>
  <c r="AM9" i="17"/>
  <c r="AK7" i="17"/>
  <c r="AK11" i="17" s="1"/>
  <c r="AK6" i="17"/>
  <c r="AK9" i="17"/>
  <c r="AK5" i="17"/>
  <c r="AM7" i="17"/>
  <c r="AM11" i="17" s="1"/>
  <c r="AK3" i="17" s="1"/>
  <c r="Q14" i="19" s="1"/>
  <c r="AM5" i="17"/>
  <c r="AA61" i="1"/>
  <c r="Z61" i="1" s="1"/>
  <c r="Y61" i="1" s="1"/>
  <c r="AG338" i="1"/>
  <c r="AF338" i="1" s="1"/>
  <c r="AD338" i="1" s="1"/>
  <c r="AA338" i="1" s="1"/>
  <c r="Z338" i="1" s="1"/>
  <c r="Y338" i="1" s="1"/>
  <c r="AG343" i="1"/>
  <c r="AF343" i="1" s="1"/>
  <c r="AD343" i="1" s="1"/>
  <c r="AA343" i="1" s="1"/>
  <c r="Z343" i="1" s="1"/>
  <c r="Y343" i="1" s="1"/>
  <c r="AG308" i="1"/>
  <c r="AF308" i="1" s="1"/>
  <c r="AD308" i="1" s="1"/>
  <c r="S284" i="1"/>
  <c r="R284" i="1" s="1"/>
  <c r="P284" i="1" s="1"/>
  <c r="V284" i="1" s="1"/>
  <c r="AA284" i="1" s="1"/>
  <c r="Z284" i="1" s="1"/>
  <c r="Y284" i="1" s="1"/>
  <c r="S305" i="1"/>
  <c r="R305" i="1" s="1"/>
  <c r="P305" i="1" s="1"/>
  <c r="V305" i="1" s="1"/>
  <c r="F305" i="1" s="1"/>
  <c r="AD322" i="1"/>
  <c r="AA322" i="1" s="1"/>
  <c r="Z322" i="1" s="1"/>
  <c r="Y322" i="1" s="1"/>
  <c r="AD307" i="1"/>
  <c r="AD286" i="1"/>
  <c r="AA286" i="1" s="1"/>
  <c r="Z286" i="1" s="1"/>
  <c r="Y286" i="1" s="1"/>
  <c r="P221" i="1"/>
  <c r="V221" i="1" s="1"/>
  <c r="AA351" i="1"/>
  <c r="Z351" i="1" s="1"/>
  <c r="Y351" i="1" s="1"/>
  <c r="AD367" i="1"/>
  <c r="AA367" i="1" s="1"/>
  <c r="Z367" i="1" s="1"/>
  <c r="Y367" i="1" s="1"/>
  <c r="AD370" i="1"/>
  <c r="AA370" i="1" s="1"/>
  <c r="Z370" i="1" s="1"/>
  <c r="Y370" i="1" s="1"/>
  <c r="AD234" i="1"/>
  <c r="AA234" i="1" s="1"/>
  <c r="Z234" i="1" s="1"/>
  <c r="Y234" i="1" s="1"/>
  <c r="AD262" i="1"/>
  <c r="AA262" i="1" s="1"/>
  <c r="Z262" i="1" s="1"/>
  <c r="Y262" i="1" s="1"/>
  <c r="P230" i="1"/>
  <c r="V230" i="1" s="1"/>
  <c r="AA230" i="1" s="1"/>
  <c r="Z230" i="1" s="1"/>
  <c r="Y230" i="1" s="1"/>
  <c r="P236" i="1"/>
  <c r="V236" i="1" s="1"/>
  <c r="AA236" i="1" s="1"/>
  <c r="Z236" i="1" s="1"/>
  <c r="Y236" i="1" s="1"/>
  <c r="P301" i="1"/>
  <c r="V301" i="1" s="1"/>
  <c r="F301" i="1" s="1"/>
  <c r="AD327" i="1"/>
  <c r="AA327" i="1" s="1"/>
  <c r="Z327" i="1" s="1"/>
  <c r="Y327" i="1" s="1"/>
  <c r="AD354" i="1"/>
  <c r="AA354" i="1" s="1"/>
  <c r="Z354" i="1" s="1"/>
  <c r="Y354" i="1" s="1"/>
  <c r="AI303" i="15"/>
  <c r="AH303" i="15" s="1"/>
  <c r="AG303" i="15" s="1"/>
  <c r="AF303" i="15" s="1"/>
  <c r="AI39" i="15"/>
  <c r="AH39" i="15" s="1"/>
  <c r="AG39" i="15" s="1"/>
  <c r="AF39" i="15" s="1"/>
  <c r="AI316" i="15"/>
  <c r="AH316" i="15" s="1"/>
  <c r="AG316" i="15" s="1"/>
  <c r="AF316" i="15" s="1"/>
  <c r="AD331" i="1"/>
  <c r="AA331" i="1" s="1"/>
  <c r="Z331" i="1" s="1"/>
  <c r="Y331" i="1" s="1"/>
  <c r="P307" i="1"/>
  <c r="V307" i="1" s="1"/>
  <c r="F307" i="1" s="1"/>
  <c r="G307" i="1" s="1"/>
  <c r="BW307" i="6" s="1"/>
  <c r="F8" i="18"/>
  <c r="AK18" i="18"/>
  <c r="P12" i="18"/>
  <c r="AK380" i="18"/>
  <c r="AK24" i="18"/>
  <c r="AK32" i="18"/>
  <c r="AK26" i="18"/>
  <c r="AK33" i="18"/>
  <c r="AK19" i="18"/>
  <c r="AK21" i="18"/>
  <c r="AK25" i="18"/>
  <c r="AK29" i="18"/>
  <c r="AK37" i="18"/>
  <c r="AK39" i="18"/>
  <c r="AK41" i="18"/>
  <c r="AK43" i="18"/>
  <c r="AK48" i="18"/>
  <c r="AK51" i="18"/>
  <c r="AK56" i="18"/>
  <c r="AK60" i="18"/>
  <c r="AK65" i="18"/>
  <c r="AK67" i="18"/>
  <c r="AK44" i="18"/>
  <c r="AK47" i="18"/>
  <c r="AK53" i="18"/>
  <c r="AK55" i="18"/>
  <c r="AK15" i="18"/>
  <c r="AK16" i="18"/>
  <c r="AK31" i="18"/>
  <c r="AK28" i="18"/>
  <c r="AK20" i="18"/>
  <c r="AK27" i="18"/>
  <c r="AK36" i="18"/>
  <c r="AK42" i="18"/>
  <c r="AK50" i="18"/>
  <c r="AK57" i="18"/>
  <c r="AK66" i="18"/>
  <c r="AK45" i="18"/>
  <c r="AK54" i="18"/>
  <c r="AK59" i="18"/>
  <c r="AK62" i="18"/>
  <c r="AK68" i="18"/>
  <c r="AK71" i="18"/>
  <c r="AK75" i="18"/>
  <c r="AK79" i="18"/>
  <c r="AK81" i="18"/>
  <c r="AK89" i="18"/>
  <c r="AK94" i="18"/>
  <c r="AK98" i="18"/>
  <c r="AK103" i="18"/>
  <c r="AK114" i="18"/>
  <c r="AK116" i="18"/>
  <c r="AK120" i="18"/>
  <c r="AK122" i="18"/>
  <c r="AK129" i="18"/>
  <c r="AK70" i="18"/>
  <c r="AK73" i="18"/>
  <c r="AK78" i="18"/>
  <c r="AK83" i="18"/>
  <c r="AK86" i="18"/>
  <c r="AK88" i="18"/>
  <c r="AK92" i="18"/>
  <c r="AK96" i="18"/>
  <c r="AK99" i="18"/>
  <c r="AK102" i="18"/>
  <c r="AK106" i="18"/>
  <c r="AK108" i="18"/>
  <c r="AK110" i="18"/>
  <c r="AK112" i="18"/>
  <c r="AK118" i="18"/>
  <c r="AK127" i="18"/>
  <c r="AK131" i="18"/>
  <c r="AK134" i="18"/>
  <c r="AK139" i="18"/>
  <c r="AK143" i="18"/>
  <c r="AK153" i="18"/>
  <c r="AK159" i="18"/>
  <c r="AK165" i="18"/>
  <c r="AK167" i="18"/>
  <c r="AK170" i="18"/>
  <c r="AK172" i="18"/>
  <c r="AK177" i="18"/>
  <c r="AK181" i="18"/>
  <c r="AK125" i="18"/>
  <c r="AK133" i="18"/>
  <c r="AK137" i="18"/>
  <c r="AK141" i="18"/>
  <c r="AK145" i="18"/>
  <c r="AK147" i="18"/>
  <c r="AK149" i="18"/>
  <c r="AK151" i="18"/>
  <c r="AK154" i="18"/>
  <c r="AK157" i="18"/>
  <c r="AK161" i="18"/>
  <c r="AK163" i="18"/>
  <c r="AK168" i="18"/>
  <c r="AK174" i="18"/>
  <c r="AK178" i="18"/>
  <c r="AK182" i="18"/>
  <c r="AK184" i="18"/>
  <c r="AK188" i="18"/>
  <c r="AK194" i="18"/>
  <c r="AK198" i="18"/>
  <c r="AK202" i="18"/>
  <c r="AK205" i="18"/>
  <c r="AK207" i="18"/>
  <c r="AK216" i="18"/>
  <c r="AK218" i="18"/>
  <c r="AK223" i="18"/>
  <c r="AK225" i="18"/>
  <c r="AK228" i="18"/>
  <c r="AK233" i="18"/>
  <c r="AK235" i="18"/>
  <c r="AK238" i="18"/>
  <c r="AK243" i="18"/>
  <c r="AK245" i="18"/>
  <c r="AK254" i="18"/>
  <c r="AK256" i="18"/>
  <c r="AK258" i="18"/>
  <c r="AK261" i="18"/>
  <c r="AK263" i="18"/>
  <c r="AK269" i="18"/>
  <c r="AK271" i="18"/>
  <c r="AK273" i="18"/>
  <c r="AK276" i="18"/>
  <c r="AK281" i="18"/>
  <c r="AK285" i="18"/>
  <c r="AK290" i="18"/>
  <c r="AK293" i="18"/>
  <c r="AK296" i="18"/>
  <c r="AK298" i="18"/>
  <c r="AK300" i="18"/>
  <c r="AK303" i="18"/>
  <c r="AK185" i="18"/>
  <c r="AK189" i="18"/>
  <c r="AK192" i="18"/>
  <c r="AK195" i="18"/>
  <c r="AK199" i="18"/>
  <c r="AK204" i="18"/>
  <c r="AK209" i="18"/>
  <c r="AK211" i="18"/>
  <c r="AK213" i="18"/>
  <c r="AK219" i="18"/>
  <c r="AK222" i="18"/>
  <c r="AK229" i="18"/>
  <c r="AK232" i="18"/>
  <c r="AK239" i="18"/>
  <c r="AK242" i="18"/>
  <c r="AK247" i="18"/>
  <c r="AK249" i="18"/>
  <c r="AK251" i="18"/>
  <c r="AK260" i="18"/>
  <c r="AK266" i="18"/>
  <c r="AK268" i="18"/>
  <c r="AK278" i="18"/>
  <c r="AK280" i="18"/>
  <c r="AK284" i="18"/>
  <c r="AK287" i="18"/>
  <c r="AK292" i="18"/>
  <c r="AK307" i="18"/>
  <c r="AK312" i="18"/>
  <c r="AK316" i="18"/>
  <c r="AK321" i="18"/>
  <c r="AK324" i="18"/>
  <c r="AK327" i="18"/>
  <c r="AK329" i="18"/>
  <c r="AK335" i="18"/>
  <c r="AK338" i="18"/>
  <c r="AK341" i="18"/>
  <c r="AK350" i="18"/>
  <c r="AK355" i="18"/>
  <c r="AK358" i="18"/>
  <c r="AK363" i="18"/>
  <c r="AK367" i="18"/>
  <c r="AK377" i="18"/>
  <c r="AK317" i="18"/>
  <c r="AK330" i="18"/>
  <c r="AK333" i="18"/>
  <c r="AK339" i="18"/>
  <c r="AK343" i="18"/>
  <c r="AK349" i="18"/>
  <c r="AK357" i="18"/>
  <c r="AK362" i="18"/>
  <c r="AK374" i="18"/>
  <c r="AK378" i="18"/>
  <c r="AK306" i="18"/>
  <c r="AK310" i="18"/>
  <c r="AK323" i="18"/>
  <c r="AK337" i="18"/>
  <c r="AK353" i="18"/>
  <c r="AK366" i="18"/>
  <c r="AK311" i="18"/>
  <c r="AK346" i="18"/>
  <c r="AK351" i="18"/>
  <c r="AK368" i="18"/>
  <c r="AK372" i="18"/>
  <c r="AK375" i="18"/>
  <c r="AK22" i="18"/>
  <c r="AK34" i="18"/>
  <c r="AK30" i="18"/>
  <c r="AK46" i="18"/>
  <c r="AK63" i="18"/>
  <c r="AK49" i="18"/>
  <c r="AK61" i="18"/>
  <c r="AK69" i="18"/>
  <c r="AK77" i="18"/>
  <c r="AK85" i="18"/>
  <c r="AK95" i="18"/>
  <c r="AK105" i="18"/>
  <c r="AK119" i="18"/>
  <c r="AK123" i="18"/>
  <c r="AK72" i="18"/>
  <c r="AK82" i="18"/>
  <c r="AK87" i="18"/>
  <c r="AK93" i="18"/>
  <c r="AK101" i="18"/>
  <c r="AK107" i="18"/>
  <c r="AK111" i="18"/>
  <c r="AK124" i="18"/>
  <c r="AK132" i="18"/>
  <c r="AK140" i="18"/>
  <c r="AK156" i="18"/>
  <c r="AK166" i="18"/>
  <c r="AK171" i="18"/>
  <c r="AK179" i="18"/>
  <c r="AK126" i="18"/>
  <c r="AK138" i="18"/>
  <c r="AK146" i="18"/>
  <c r="AK150" i="18"/>
  <c r="AK155" i="18"/>
  <c r="AK162" i="18"/>
  <c r="AK173" i="18"/>
  <c r="AK180" i="18"/>
  <c r="AK187" i="18"/>
  <c r="AK197" i="18"/>
  <c r="AK203" i="18"/>
  <c r="AK215" i="18"/>
  <c r="AK220" i="18"/>
  <c r="AK227" i="18"/>
  <c r="AK234" i="18"/>
  <c r="AK241" i="18"/>
  <c r="AK253" i="18"/>
  <c r="AK257" i="18"/>
  <c r="AK262" i="18"/>
  <c r="AK270" i="18"/>
  <c r="AK275" i="18"/>
  <c r="AK283" i="18"/>
  <c r="AK291" i="18"/>
  <c r="AK297" i="18"/>
  <c r="AK301" i="18"/>
  <c r="AK186" i="18"/>
  <c r="AK193" i="18"/>
  <c r="AK201" i="18"/>
  <c r="AK210" i="18"/>
  <c r="AK214" i="18"/>
  <c r="AK226" i="18"/>
  <c r="AK236" i="18"/>
  <c r="AK246" i="18"/>
  <c r="AK250" i="18"/>
  <c r="AK264" i="18"/>
  <c r="AK274" i="18"/>
  <c r="AK282" i="18"/>
  <c r="AK289" i="18"/>
  <c r="AK308" i="18"/>
  <c r="AK319" i="18"/>
  <c r="AK325" i="18"/>
  <c r="AK331" i="18"/>
  <c r="AK340" i="18"/>
  <c r="AK354" i="18"/>
  <c r="AK360" i="18"/>
  <c r="AK371" i="18"/>
  <c r="AK320" i="18"/>
  <c r="AK334" i="18"/>
  <c r="AK345" i="18"/>
  <c r="AK361" i="18"/>
  <c r="AK376" i="18"/>
  <c r="AK309" i="18"/>
  <c r="AK326" i="18"/>
  <c r="AK359" i="18"/>
  <c r="AK318" i="18"/>
  <c r="AK364" i="18"/>
  <c r="AK373" i="18"/>
  <c r="AK17" i="18"/>
  <c r="AK35" i="18"/>
  <c r="AK23" i="18"/>
  <c r="AK40" i="18"/>
  <c r="AK52" i="18"/>
  <c r="AK38" i="18"/>
  <c r="AK58" i="18"/>
  <c r="AK64" i="18"/>
  <c r="AK74" i="18"/>
  <c r="AK80" i="18"/>
  <c r="AK90" i="18"/>
  <c r="AK100" i="18"/>
  <c r="AK115" i="18"/>
  <c r="AK121" i="18"/>
  <c r="AK130" i="18"/>
  <c r="AK76" i="18"/>
  <c r="AK84" i="18"/>
  <c r="AK91" i="18"/>
  <c r="AK97" i="18"/>
  <c r="AK104" i="18"/>
  <c r="AK109" i="18"/>
  <c r="AK117" i="18"/>
  <c r="AK128" i="18"/>
  <c r="AK136" i="18"/>
  <c r="AK144" i="18"/>
  <c r="AK160" i="18"/>
  <c r="AK169" i="18"/>
  <c r="AK175" i="18"/>
  <c r="AK113" i="18"/>
  <c r="AK135" i="18"/>
  <c r="AK142" i="18"/>
  <c r="AK148" i="18"/>
  <c r="AK152" i="18"/>
  <c r="AK158" i="18"/>
  <c r="AK164" i="18"/>
  <c r="AK176" i="18"/>
  <c r="AK183" i="18"/>
  <c r="AK191" i="18"/>
  <c r="AK200" i="18"/>
  <c r="AK206" i="18"/>
  <c r="AK217" i="18"/>
  <c r="AK224" i="18"/>
  <c r="AK230" i="18"/>
  <c r="AK237" i="18"/>
  <c r="AK244" i="18"/>
  <c r="AK255" i="18"/>
  <c r="AK259" i="18"/>
  <c r="AK265" i="18"/>
  <c r="AK272" i="18"/>
  <c r="AK277" i="18"/>
  <c r="AK288" i="18"/>
  <c r="AK294" i="18"/>
  <c r="AK299" i="18"/>
  <c r="AK304" i="18"/>
  <c r="AK190" i="18"/>
  <c r="AK196" i="18"/>
  <c r="AK208" i="18"/>
  <c r="AK212" i="18"/>
  <c r="AK221" i="18"/>
  <c r="AK231" i="18"/>
  <c r="AK240" i="18"/>
  <c r="AK248" i="18"/>
  <c r="AK252" i="18"/>
  <c r="AK267" i="18"/>
  <c r="AK279" i="18"/>
  <c r="AK286" i="18"/>
  <c r="AK295" i="18"/>
  <c r="AK314" i="18"/>
  <c r="AK322" i="18"/>
  <c r="AK328" i="18"/>
  <c r="AK336" i="18"/>
  <c r="AK348" i="18"/>
  <c r="AK356" i="18"/>
  <c r="AK365" i="18"/>
  <c r="AK315" i="18"/>
  <c r="AK332" i="18"/>
  <c r="AK342" i="18"/>
  <c r="AK352" i="18"/>
  <c r="AK369" i="18"/>
  <c r="AK305" i="18"/>
  <c r="AK313" i="18"/>
  <c r="AK344" i="18"/>
  <c r="AK302" i="18"/>
  <c r="AK347" i="18"/>
  <c r="AK370" i="18"/>
  <c r="AK379" i="18"/>
  <c r="AG320" i="1"/>
  <c r="AF320" i="1" s="1"/>
  <c r="AD320" i="1" s="1"/>
  <c r="AG282" i="1"/>
  <c r="AF282" i="1" s="1"/>
  <c r="AD282" i="1" s="1"/>
  <c r="AA282" i="1" s="1"/>
  <c r="Z282" i="1" s="1"/>
  <c r="Y282" i="1" s="1"/>
  <c r="AG17" i="1"/>
  <c r="AH382" i="1"/>
  <c r="AH381" i="1"/>
  <c r="AH383" i="1"/>
  <c r="AD310" i="1"/>
  <c r="AA310" i="1" s="1"/>
  <c r="Z310" i="1" s="1"/>
  <c r="Y310" i="1" s="1"/>
  <c r="AD316" i="1"/>
  <c r="AD216" i="1"/>
  <c r="AA216" i="1" s="1"/>
  <c r="Z216" i="1" s="1"/>
  <c r="Y216" i="1" s="1"/>
  <c r="AD299" i="1"/>
  <c r="AA299" i="1" s="1"/>
  <c r="Z299" i="1" s="1"/>
  <c r="Y299" i="1" s="1"/>
  <c r="AI186" i="15"/>
  <c r="AH186" i="15" s="1"/>
  <c r="AG186" i="15" s="1"/>
  <c r="AF186" i="15" s="1"/>
  <c r="AI308" i="15"/>
  <c r="AH308" i="15" s="1"/>
  <c r="AG308" i="15" s="1"/>
  <c r="AF308" i="15" s="1"/>
  <c r="AI369" i="15"/>
  <c r="AH369" i="15" s="1"/>
  <c r="AG369" i="15" s="1"/>
  <c r="AF369" i="15" s="1"/>
  <c r="AD233" i="1"/>
  <c r="AA233" i="1" s="1"/>
  <c r="Z233" i="1" s="1"/>
  <c r="Y233" i="1" s="1"/>
  <c r="AI11" i="17"/>
  <c r="P10" i="17"/>
  <c r="AE11" i="17"/>
  <c r="L14" i="19"/>
  <c r="S15" i="1"/>
  <c r="T383" i="1"/>
  <c r="T382" i="1"/>
  <c r="T381" i="1"/>
  <c r="AD344" i="1"/>
  <c r="AA344" i="1" s="1"/>
  <c r="Z344" i="1" s="1"/>
  <c r="Y344" i="1" s="1"/>
  <c r="AD347" i="1"/>
  <c r="AD312" i="1"/>
  <c r="AA312" i="1" s="1"/>
  <c r="Z312" i="1" s="1"/>
  <c r="Y312" i="1" s="1"/>
  <c r="AD283" i="1"/>
  <c r="AA283" i="1" s="1"/>
  <c r="Z283" i="1" s="1"/>
  <c r="Y283" i="1" s="1"/>
  <c r="AD240" i="1"/>
  <c r="AA240" i="1" s="1"/>
  <c r="Z240" i="1" s="1"/>
  <c r="Y240" i="1" s="1"/>
  <c r="AA347" i="1"/>
  <c r="Z347" i="1" s="1"/>
  <c r="Y347" i="1" s="1"/>
  <c r="G347" i="1"/>
  <c r="BW347" i="6" s="1"/>
  <c r="I347" i="1"/>
  <c r="I327" i="1"/>
  <c r="G326" i="1"/>
  <c r="BW326" i="6" s="1"/>
  <c r="G322" i="1"/>
  <c r="BW322" i="6" s="1"/>
  <c r="AZ311" i="6"/>
  <c r="AZ240" i="6"/>
  <c r="AZ203" i="6"/>
  <c r="AZ197" i="6"/>
  <c r="AZ192" i="6"/>
  <c r="AZ143" i="6"/>
  <c r="AZ136" i="6"/>
  <c r="AD153" i="1"/>
  <c r="AZ152" i="6"/>
  <c r="P106" i="1"/>
  <c r="V106" i="1" s="1"/>
  <c r="AA106" i="1" s="1"/>
  <c r="Z106" i="1" s="1"/>
  <c r="Y106" i="1" s="1"/>
  <c r="AD110" i="1"/>
  <c r="AA110" i="1" s="1"/>
  <c r="Z110" i="1" s="1"/>
  <c r="Y110" i="1" s="1"/>
  <c r="P111" i="1"/>
  <c r="V111" i="1" s="1"/>
  <c r="AA111" i="1" s="1"/>
  <c r="Z111" i="1" s="1"/>
  <c r="Y111" i="1" s="1"/>
  <c r="K15" i="7"/>
  <c r="AE18" i="15"/>
  <c r="AE32" i="15"/>
  <c r="AE48" i="15"/>
  <c r="AE64" i="15"/>
  <c r="AE80" i="15"/>
  <c r="AE96" i="15"/>
  <c r="AE112" i="15"/>
  <c r="AE17" i="15"/>
  <c r="AE51" i="15"/>
  <c r="AE83" i="15"/>
  <c r="AE115" i="15"/>
  <c r="AE135" i="15"/>
  <c r="AE151" i="15"/>
  <c r="AE167" i="15"/>
  <c r="AE183" i="15"/>
  <c r="AE199" i="15"/>
  <c r="AE215" i="15"/>
  <c r="AE231" i="15"/>
  <c r="AE247" i="15"/>
  <c r="AE263" i="15"/>
  <c r="AE279" i="15"/>
  <c r="AE295" i="15"/>
  <c r="AE311" i="15"/>
  <c r="AE327" i="15"/>
  <c r="AE343" i="15"/>
  <c r="AE359" i="15"/>
  <c r="AE375" i="15"/>
  <c r="AE378" i="15"/>
  <c r="AE73" i="15"/>
  <c r="AE130" i="15"/>
  <c r="AE28" i="15"/>
  <c r="AE44" i="15"/>
  <c r="AE60" i="15"/>
  <c r="AE76" i="15"/>
  <c r="AE92" i="15"/>
  <c r="AE108" i="15"/>
  <c r="AE43" i="15"/>
  <c r="AE75" i="15"/>
  <c r="AE107" i="15"/>
  <c r="AE131" i="15"/>
  <c r="AE147" i="15"/>
  <c r="AE163" i="15"/>
  <c r="AE179" i="15"/>
  <c r="AE195" i="15"/>
  <c r="AE211" i="15"/>
  <c r="AE227" i="15"/>
  <c r="AE243" i="15"/>
  <c r="AE259" i="15"/>
  <c r="AE275" i="15"/>
  <c r="AE291" i="15"/>
  <c r="AE307" i="15"/>
  <c r="AE323" i="15"/>
  <c r="AE339" i="15"/>
  <c r="AE355" i="15"/>
  <c r="AE371" i="15"/>
  <c r="AE57" i="15"/>
  <c r="AE121" i="15"/>
  <c r="AE154" i="15"/>
  <c r="AE186" i="15"/>
  <c r="AE218" i="15"/>
  <c r="AE250" i="15"/>
  <c r="AE282" i="15"/>
  <c r="AE314" i="15"/>
  <c r="AE346" i="15"/>
  <c r="AE29" i="15"/>
  <c r="AE93" i="15"/>
  <c r="AE140" i="15"/>
  <c r="AE172" i="15"/>
  <c r="AE204" i="15"/>
  <c r="AE236" i="15"/>
  <c r="AE268" i="15"/>
  <c r="AE300" i="15"/>
  <c r="AE332" i="15"/>
  <c r="AE364" i="15"/>
  <c r="AE24" i="15"/>
  <c r="AE40" i="15"/>
  <c r="AE56" i="15"/>
  <c r="AE72" i="15"/>
  <c r="AE88" i="15"/>
  <c r="AE104" i="15"/>
  <c r="AE120" i="15"/>
  <c r="AE35" i="15"/>
  <c r="AE67" i="15"/>
  <c r="AE99" i="15"/>
  <c r="AE127" i="15"/>
  <c r="AE143" i="15"/>
  <c r="AE159" i="15"/>
  <c r="AE175" i="15"/>
  <c r="AE191" i="15"/>
  <c r="AE207" i="15"/>
  <c r="AE223" i="15"/>
  <c r="AE239" i="15"/>
  <c r="AE255" i="15"/>
  <c r="AE271" i="15"/>
  <c r="AE287" i="15"/>
  <c r="AE303" i="15"/>
  <c r="AE319" i="15"/>
  <c r="AE335" i="15"/>
  <c r="AE351" i="15"/>
  <c r="AE367" i="15"/>
  <c r="AE41" i="15"/>
  <c r="AE105" i="15"/>
  <c r="AE19" i="15"/>
  <c r="AE36" i="15"/>
  <c r="AE52" i="15"/>
  <c r="AE68" i="15"/>
  <c r="AE84" i="15"/>
  <c r="AE100" i="15"/>
  <c r="AE116" i="15"/>
  <c r="AE27" i="15"/>
  <c r="AE59" i="15"/>
  <c r="AE91" i="15"/>
  <c r="AE123" i="15"/>
  <c r="AE139" i="15"/>
  <c r="AE155" i="15"/>
  <c r="AE171" i="15"/>
  <c r="AE187" i="15"/>
  <c r="AE203" i="15"/>
  <c r="AE219" i="15"/>
  <c r="AE235" i="15"/>
  <c r="AE251" i="15"/>
  <c r="AE267" i="15"/>
  <c r="AE283" i="15"/>
  <c r="AE299" i="15"/>
  <c r="AE315" i="15"/>
  <c r="AE331" i="15"/>
  <c r="AE347" i="15"/>
  <c r="AE363" i="15"/>
  <c r="AE25" i="15"/>
  <c r="AE89" i="15"/>
  <c r="AE138" i="15"/>
  <c r="AE170" i="15"/>
  <c r="AE202" i="15"/>
  <c r="AE234" i="15"/>
  <c r="AE266" i="15"/>
  <c r="AE298" i="15"/>
  <c r="AE330" i="15"/>
  <c r="AE362" i="15"/>
  <c r="AE61" i="15"/>
  <c r="AE124" i="15"/>
  <c r="AE156" i="15"/>
  <c r="AE188" i="15"/>
  <c r="AE220" i="15"/>
  <c r="AE252" i="15"/>
  <c r="AE284" i="15"/>
  <c r="AE316" i="15"/>
  <c r="AE348" i="15"/>
  <c r="AE20" i="15"/>
  <c r="AE34" i="15"/>
  <c r="AE50" i="15"/>
  <c r="AE66" i="15"/>
  <c r="AE82" i="15"/>
  <c r="AE98" i="15"/>
  <c r="AE114" i="15"/>
  <c r="AE16" i="15"/>
  <c r="AE47" i="15"/>
  <c r="AE79" i="15"/>
  <c r="AE111" i="15"/>
  <c r="AE133" i="15"/>
  <c r="AE149" i="15"/>
  <c r="AE165" i="15"/>
  <c r="AE181" i="15"/>
  <c r="AE197" i="15"/>
  <c r="AE213" i="15"/>
  <c r="AE229" i="15"/>
  <c r="AE245" i="15"/>
  <c r="AE261" i="15"/>
  <c r="AE277" i="15"/>
  <c r="AE293" i="15"/>
  <c r="AE309" i="15"/>
  <c r="AE325" i="15"/>
  <c r="AE341" i="15"/>
  <c r="AE357" i="15"/>
  <c r="AE373" i="15"/>
  <c r="AE15" i="15"/>
  <c r="AE81" i="15"/>
  <c r="AE134" i="15"/>
  <c r="AE166" i="15"/>
  <c r="AE198" i="15"/>
  <c r="AE230" i="15"/>
  <c r="AE262" i="15"/>
  <c r="AE294" i="15"/>
  <c r="AE326" i="15"/>
  <c r="AE358" i="15"/>
  <c r="AE53" i="15"/>
  <c r="AE117" i="15"/>
  <c r="AE152" i="15"/>
  <c r="AE184" i="15"/>
  <c r="AE216" i="15"/>
  <c r="AE248" i="15"/>
  <c r="AE280" i="15"/>
  <c r="AE312" i="15"/>
  <c r="AE344" i="15"/>
  <c r="AE376" i="15"/>
  <c r="AE178" i="15"/>
  <c r="AE242" i="15"/>
  <c r="AE306" i="15"/>
  <c r="AE370" i="15"/>
  <c r="AE132" i="15"/>
  <c r="AE196" i="15"/>
  <c r="AE260" i="15"/>
  <c r="AE324" i="15"/>
  <c r="AE30" i="15"/>
  <c r="AE62" i="15"/>
  <c r="AE94" i="15"/>
  <c r="AE39" i="15"/>
  <c r="AE103" i="15"/>
  <c r="AE145" i="15"/>
  <c r="AE177" i="15"/>
  <c r="AE209" i="15"/>
  <c r="AE241" i="15"/>
  <c r="AE273" i="15"/>
  <c r="AE305" i="15"/>
  <c r="AE337" i="15"/>
  <c r="AE369" i="15"/>
  <c r="AE126" i="15"/>
  <c r="AE190" i="15"/>
  <c r="AE254" i="15"/>
  <c r="AE318" i="15"/>
  <c r="AE37" i="15"/>
  <c r="AE144" i="15"/>
  <c r="AE208" i="15"/>
  <c r="AE272" i="15"/>
  <c r="AE336" i="15"/>
  <c r="AE162" i="15"/>
  <c r="AE226" i="15"/>
  <c r="AE290" i="15"/>
  <c r="AE354" i="15"/>
  <c r="AE109" i="15"/>
  <c r="AE180" i="15"/>
  <c r="AE244" i="15"/>
  <c r="AE308" i="15"/>
  <c r="AE372" i="15"/>
  <c r="AE22" i="15"/>
  <c r="AE54" i="15"/>
  <c r="AE86" i="15"/>
  <c r="AE118" i="15"/>
  <c r="AE26" i="15"/>
  <c r="AE42" i="15"/>
  <c r="AE58" i="15"/>
  <c r="AE74" i="15"/>
  <c r="AE90" i="15"/>
  <c r="AE106" i="15"/>
  <c r="AE122" i="15"/>
  <c r="AE31" i="15"/>
  <c r="AE63" i="15"/>
  <c r="AE95" i="15"/>
  <c r="AE125" i="15"/>
  <c r="AE141" i="15"/>
  <c r="AE157" i="15"/>
  <c r="AE173" i="15"/>
  <c r="AE189" i="15"/>
  <c r="AE205" i="15"/>
  <c r="AE221" i="15"/>
  <c r="AE237" i="15"/>
  <c r="AE253" i="15"/>
  <c r="AE269" i="15"/>
  <c r="AE285" i="15"/>
  <c r="AE301" i="15"/>
  <c r="AE317" i="15"/>
  <c r="AE333" i="15"/>
  <c r="AE349" i="15"/>
  <c r="AE365" i="15"/>
  <c r="AE49" i="15"/>
  <c r="AE113" i="15"/>
  <c r="AE150" i="15"/>
  <c r="AE182" i="15"/>
  <c r="AE214" i="15"/>
  <c r="AE246" i="15"/>
  <c r="AE278" i="15"/>
  <c r="AE310" i="15"/>
  <c r="AE342" i="15"/>
  <c r="AE374" i="15"/>
  <c r="AE21" i="15"/>
  <c r="AE85" i="15"/>
  <c r="AE136" i="15"/>
  <c r="AE168" i="15"/>
  <c r="AE200" i="15"/>
  <c r="AE232" i="15"/>
  <c r="AE264" i="15"/>
  <c r="AE296" i="15"/>
  <c r="AE328" i="15"/>
  <c r="AE360" i="15"/>
  <c r="AE146" i="15"/>
  <c r="AE210" i="15"/>
  <c r="AE274" i="15"/>
  <c r="AE338" i="15"/>
  <c r="AE77" i="15"/>
  <c r="AE164" i="15"/>
  <c r="AE228" i="15"/>
  <c r="AE292" i="15"/>
  <c r="AE356" i="15"/>
  <c r="AE46" i="15"/>
  <c r="AE78" i="15"/>
  <c r="AE110" i="15"/>
  <c r="AE71" i="15"/>
  <c r="AE129" i="15"/>
  <c r="AE161" i="15"/>
  <c r="AE193" i="15"/>
  <c r="AE225" i="15"/>
  <c r="AE257" i="15"/>
  <c r="AE289" i="15"/>
  <c r="AE321" i="15"/>
  <c r="AE353" i="15"/>
  <c r="AE65" i="15"/>
  <c r="AE158" i="15"/>
  <c r="AE222" i="15"/>
  <c r="AE286" i="15"/>
  <c r="AE350" i="15"/>
  <c r="AE101" i="15"/>
  <c r="AE176" i="15"/>
  <c r="AE240" i="15"/>
  <c r="AE304" i="15"/>
  <c r="AE368" i="15"/>
  <c r="AE194" i="15"/>
  <c r="AE258" i="15"/>
  <c r="AE322" i="15"/>
  <c r="AE45" i="15"/>
  <c r="AE148" i="15"/>
  <c r="AE212" i="15"/>
  <c r="AE276" i="15"/>
  <c r="AE340" i="15"/>
  <c r="AE379" i="15"/>
  <c r="AE12" i="16" s="1"/>
  <c r="AE38" i="15"/>
  <c r="AE70" i="15"/>
  <c r="AE102" i="15"/>
  <c r="AE23" i="15"/>
  <c r="AE87" i="15"/>
  <c r="AE137" i="15"/>
  <c r="AE169" i="15"/>
  <c r="AE201" i="15"/>
  <c r="AE233" i="15"/>
  <c r="AE265" i="15"/>
  <c r="AE297" i="15"/>
  <c r="AE329" i="15"/>
  <c r="AE361" i="15"/>
  <c r="AE97" i="15"/>
  <c r="AE174" i="15"/>
  <c r="AE238" i="15"/>
  <c r="AE302" i="15"/>
  <c r="AE366" i="15"/>
  <c r="AE128" i="15"/>
  <c r="AE192" i="15"/>
  <c r="AE256" i="15"/>
  <c r="AE320" i="15"/>
  <c r="AE55" i="15"/>
  <c r="AE119" i="15"/>
  <c r="AE153" i="15"/>
  <c r="AE185" i="15"/>
  <c r="AE217" i="15"/>
  <c r="AE249" i="15"/>
  <c r="AE281" i="15"/>
  <c r="AE313" i="15"/>
  <c r="AE345" i="15"/>
  <c r="AE377" i="15"/>
  <c r="AE33" i="15"/>
  <c r="AE142" i="15"/>
  <c r="AE206" i="15"/>
  <c r="AE270" i="15"/>
  <c r="AE334" i="15"/>
  <c r="AE69" i="15"/>
  <c r="AE160" i="15"/>
  <c r="AE224" i="15"/>
  <c r="AE288" i="15"/>
  <c r="AE352" i="15"/>
  <c r="G312" i="1"/>
  <c r="BW312" i="6" s="1"/>
  <c r="AA244" i="1"/>
  <c r="Z244" i="1" s="1"/>
  <c r="Y244" i="1" s="1"/>
  <c r="AA74" i="1"/>
  <c r="Z74" i="1" s="1"/>
  <c r="Y74" i="1" s="1"/>
  <c r="I344" i="1"/>
  <c r="G344" i="1"/>
  <c r="BW344" i="6" s="1"/>
  <c r="AZ63" i="6"/>
  <c r="AZ23" i="6"/>
  <c r="AZ290" i="6"/>
  <c r="AZ307" i="6"/>
  <c r="AZ297" i="6"/>
  <c r="AZ308" i="6"/>
  <c r="AZ312" i="6"/>
  <c r="AZ315" i="6"/>
  <c r="AD22" i="1"/>
  <c r="AA22" i="1" s="1"/>
  <c r="Z22" i="1" s="1"/>
  <c r="Y22" i="1" s="1"/>
  <c r="AD34" i="1"/>
  <c r="AA34" i="1" s="1"/>
  <c r="Z34" i="1" s="1"/>
  <c r="Y34" i="1" s="1"/>
  <c r="P123" i="1"/>
  <c r="V123" i="1" s="1"/>
  <c r="AA123" i="1" s="1"/>
  <c r="Z123" i="1" s="1"/>
  <c r="Y123" i="1" s="1"/>
  <c r="P155" i="1"/>
  <c r="V155" i="1" s="1"/>
  <c r="AA155" i="1" s="1"/>
  <c r="Z155" i="1" s="1"/>
  <c r="Y155" i="1" s="1"/>
  <c r="AZ137" i="6"/>
  <c r="AZ135" i="6"/>
  <c r="AZ138" i="6"/>
  <c r="AA311" i="1"/>
  <c r="Z311" i="1" s="1"/>
  <c r="Y311" i="1" s="1"/>
  <c r="AD133" i="1"/>
  <c r="AA133" i="1" s="1"/>
  <c r="Z133" i="1" s="1"/>
  <c r="Y133" i="1" s="1"/>
  <c r="AZ70" i="6"/>
  <c r="AZ148" i="6"/>
  <c r="W380" i="6" s="1"/>
  <c r="W381" i="6" s="1"/>
  <c r="AZ154" i="6"/>
  <c r="V241" i="1"/>
  <c r="AA241" i="1" s="1"/>
  <c r="Z241" i="1" s="1"/>
  <c r="Y241" i="1" s="1"/>
  <c r="I311" i="1"/>
  <c r="P118" i="1"/>
  <c r="V118" i="1" s="1"/>
  <c r="AD118" i="1"/>
  <c r="AA289" i="1"/>
  <c r="Z289" i="1" s="1"/>
  <c r="AZ314" i="6"/>
  <c r="AZ310" i="6"/>
  <c r="AZ313" i="6"/>
  <c r="AZ104" i="6"/>
  <c r="AZ100" i="6"/>
  <c r="AZ123" i="6"/>
  <c r="AZ109" i="6"/>
  <c r="AZ115" i="6"/>
  <c r="AZ121" i="6"/>
  <c r="AZ120" i="6"/>
  <c r="U380" i="6" s="1"/>
  <c r="U381" i="6" s="1"/>
  <c r="P35" i="1"/>
  <c r="V35" i="1" s="1"/>
  <c r="AD132" i="1"/>
  <c r="AA132" i="1" s="1"/>
  <c r="Z132" i="1" s="1"/>
  <c r="Y132" i="1" s="1"/>
  <c r="AD130" i="1"/>
  <c r="AZ68" i="6"/>
  <c r="AZ76" i="6"/>
  <c r="I300" i="1"/>
  <c r="AZ92" i="6"/>
  <c r="S380" i="6" s="1"/>
  <c r="S381" i="6" s="1"/>
  <c r="AZ112" i="6"/>
  <c r="AZ106" i="6"/>
  <c r="T380" i="6" s="1"/>
  <c r="T381" i="6" s="1"/>
  <c r="AZ107" i="6"/>
  <c r="AZ117" i="6"/>
  <c r="AZ93" i="6"/>
  <c r="AZ105" i="6"/>
  <c r="AZ127" i="6"/>
  <c r="AD156" i="1"/>
  <c r="AA156" i="1" s="1"/>
  <c r="Z156" i="1" s="1"/>
  <c r="Y156" i="1" s="1"/>
  <c r="I297" i="1"/>
  <c r="P109" i="1"/>
  <c r="V109" i="1" s="1"/>
  <c r="AA109" i="1" s="1"/>
  <c r="Z109" i="1" s="1"/>
  <c r="Y109" i="1" s="1"/>
  <c r="M40" i="6"/>
  <c r="AT15" i="6" s="1"/>
  <c r="AZ15" i="6" s="1"/>
  <c r="P114" i="1"/>
  <c r="V114" i="1" s="1"/>
  <c r="AD114" i="1"/>
  <c r="AZ302" i="6"/>
  <c r="AH380" i="6" s="1"/>
  <c r="AH381" i="6" s="1"/>
  <c r="AZ87" i="6"/>
  <c r="AZ64" i="6"/>
  <c r="Q380" i="6" s="1"/>
  <c r="Q381" i="6" s="1"/>
  <c r="AZ196" i="6"/>
  <c r="AZ60" i="6"/>
  <c r="AZ294" i="6"/>
  <c r="AZ306" i="6"/>
  <c r="AZ292" i="6"/>
  <c r="AZ298" i="6"/>
  <c r="AZ89" i="6"/>
  <c r="AZ98" i="6"/>
  <c r="AZ83" i="6"/>
  <c r="AZ72" i="6"/>
  <c r="AZ133" i="6"/>
  <c r="AZ125" i="6"/>
  <c r="AZ195" i="6"/>
  <c r="P161" i="1"/>
  <c r="V161" i="1" s="1"/>
  <c r="AA161" i="1" s="1"/>
  <c r="Z161" i="1" s="1"/>
  <c r="Y161" i="1" s="1"/>
  <c r="P129" i="1"/>
  <c r="V129" i="1" s="1"/>
  <c r="AA277" i="1"/>
  <c r="Z277" i="1" s="1"/>
  <c r="Y277" i="1" s="1"/>
  <c r="I298" i="1"/>
  <c r="AA298" i="1"/>
  <c r="Z298" i="1" s="1"/>
  <c r="Y298" i="1" s="1"/>
  <c r="G298" i="1"/>
  <c r="BW298" i="6" s="1"/>
  <c r="AZ305" i="6"/>
  <c r="AZ94" i="6"/>
  <c r="AZ80" i="6"/>
  <c r="AZ90" i="6"/>
  <c r="AZ74" i="6"/>
  <c r="AZ108" i="6"/>
  <c r="AZ130" i="6"/>
  <c r="AZ114" i="6"/>
  <c r="AZ132" i="6"/>
  <c r="AZ128" i="6"/>
  <c r="AA372" i="1"/>
  <c r="Z372" i="1" s="1"/>
  <c r="Y372" i="1" s="1"/>
  <c r="AD35" i="1"/>
  <c r="P32" i="1"/>
  <c r="V32" i="1" s="1"/>
  <c r="AA32" i="1" s="1"/>
  <c r="Z32" i="1" s="1"/>
  <c r="Y32" i="1" s="1"/>
  <c r="G300" i="1"/>
  <c r="BW300" i="6" s="1"/>
  <c r="AA297" i="1"/>
  <c r="Z297" i="1" s="1"/>
  <c r="Y297" i="1" s="1"/>
  <c r="I367" i="1"/>
  <c r="AA237" i="1"/>
  <c r="Z237" i="1" s="1"/>
  <c r="Y237" i="1" s="1"/>
  <c r="AZ51" i="6"/>
  <c r="AZ291" i="6"/>
  <c r="AZ309" i="6"/>
  <c r="AD30" i="1"/>
  <c r="AA30" i="1" s="1"/>
  <c r="Z30" i="1" s="1"/>
  <c r="Y30" i="1" s="1"/>
  <c r="AZ288" i="6"/>
  <c r="AG380" i="6" s="1"/>
  <c r="AG381" i="6" s="1"/>
  <c r="AZ296" i="6"/>
  <c r="AZ301" i="6"/>
  <c r="P20" i="1"/>
  <c r="V20" i="1" s="1"/>
  <c r="AA20" i="1" s="1"/>
  <c r="Z20" i="1" s="1"/>
  <c r="Y20" i="1" s="1"/>
  <c r="AZ53" i="6"/>
  <c r="AZ293" i="6"/>
  <c r="AZ56" i="6"/>
  <c r="AZ62" i="6"/>
  <c r="AZ295" i="6"/>
  <c r="AZ299" i="6"/>
  <c r="AZ289" i="6"/>
  <c r="AZ300" i="6"/>
  <c r="AD23" i="1"/>
  <c r="AA23" i="1" s="1"/>
  <c r="Z23" i="1" s="1"/>
  <c r="Y23" i="1" s="1"/>
  <c r="AZ86" i="6"/>
  <c r="AZ82" i="6"/>
  <c r="AZ194" i="6"/>
  <c r="AZ79" i="6"/>
  <c r="AZ91" i="6"/>
  <c r="AZ67" i="6"/>
  <c r="AZ66" i="6"/>
  <c r="AZ77" i="6"/>
  <c r="AD28" i="1"/>
  <c r="AA28" i="1" s="1"/>
  <c r="Z28" i="1" s="1"/>
  <c r="Y28" i="1" s="1"/>
  <c r="AZ200" i="6"/>
  <c r="AZ201" i="6"/>
  <c r="AZ52" i="6"/>
  <c r="AZ101" i="6"/>
  <c r="AZ95" i="6"/>
  <c r="AZ78" i="6"/>
  <c r="R380" i="6" s="1"/>
  <c r="R381" i="6" s="1"/>
  <c r="AZ102" i="6"/>
  <c r="AZ69" i="6"/>
  <c r="AZ73" i="6"/>
  <c r="AZ113" i="6"/>
  <c r="AZ111" i="6"/>
  <c r="AZ190" i="6"/>
  <c r="Z380" i="6" s="1"/>
  <c r="Z381" i="6" s="1"/>
  <c r="AZ202" i="6"/>
  <c r="AZ103" i="6"/>
  <c r="AZ84" i="6"/>
  <c r="AZ88" i="6"/>
  <c r="AZ124" i="6"/>
  <c r="AZ110" i="6"/>
  <c r="AZ119" i="6"/>
  <c r="AZ129" i="6"/>
  <c r="AZ126" i="6"/>
  <c r="AZ116" i="6"/>
  <c r="AZ199" i="6"/>
  <c r="AZ191" i="6"/>
  <c r="I372" i="1"/>
  <c r="G366" i="1"/>
  <c r="BW366" i="6" s="1"/>
  <c r="Q11" i="20"/>
  <c r="G372" i="1"/>
  <c r="BW372" i="6" s="1"/>
  <c r="AA366" i="1"/>
  <c r="Z366" i="1" s="1"/>
  <c r="Y366" i="1" s="1"/>
  <c r="AA126" i="1"/>
  <c r="Z126" i="1" s="1"/>
  <c r="Y126" i="1" s="1"/>
  <c r="AA146" i="1"/>
  <c r="Z146" i="1" s="1"/>
  <c r="Y146" i="1" s="1"/>
  <c r="AZ54" i="6"/>
  <c r="AZ57" i="6"/>
  <c r="V363" i="1"/>
  <c r="F363" i="1" s="1"/>
  <c r="G363" i="1" s="1"/>
  <c r="BW363" i="6" s="1"/>
  <c r="AD97" i="1"/>
  <c r="P97" i="1"/>
  <c r="V97" i="1" s="1"/>
  <c r="P103" i="1"/>
  <c r="V103" i="1" s="1"/>
  <c r="AD103" i="1"/>
  <c r="AD104" i="1"/>
  <c r="P104" i="1"/>
  <c r="V104" i="1" s="1"/>
  <c r="P95" i="1"/>
  <c r="V95" i="1" s="1"/>
  <c r="AD95" i="1"/>
  <c r="P91" i="1"/>
  <c r="V91" i="1" s="1"/>
  <c r="AD91" i="1"/>
  <c r="P90" i="1"/>
  <c r="V90" i="1" s="1"/>
  <c r="AD90" i="1"/>
  <c r="P92" i="1"/>
  <c r="V92" i="1" s="1"/>
  <c r="AD92" i="1"/>
  <c r="AD101" i="1"/>
  <c r="P101" i="1"/>
  <c r="V101" i="1" s="1"/>
  <c r="P96" i="1"/>
  <c r="V96" i="1" s="1"/>
  <c r="AD96" i="1"/>
  <c r="P93" i="1"/>
  <c r="V93" i="1" s="1"/>
  <c r="AD93" i="1"/>
  <c r="AD86" i="1"/>
  <c r="P86" i="1"/>
  <c r="V86" i="1" s="1"/>
  <c r="P87" i="1"/>
  <c r="V87" i="1" s="1"/>
  <c r="AD87" i="1"/>
  <c r="AD89" i="1"/>
  <c r="P89" i="1"/>
  <c r="V89" i="1" s="1"/>
  <c r="P83" i="1"/>
  <c r="V83" i="1" s="1"/>
  <c r="AD83" i="1"/>
  <c r="P107" i="1"/>
  <c r="V107" i="1" s="1"/>
  <c r="AD107" i="1"/>
  <c r="P116" i="1"/>
  <c r="V116" i="1" s="1"/>
  <c r="AD116" i="1"/>
  <c r="P113" i="1"/>
  <c r="V113" i="1" s="1"/>
  <c r="AD113" i="1"/>
  <c r="P144" i="1"/>
  <c r="V144" i="1" s="1"/>
  <c r="AD144" i="1"/>
  <c r="AD135" i="1"/>
  <c r="P135" i="1"/>
  <c r="V135" i="1" s="1"/>
  <c r="AD147" i="1"/>
  <c r="P147" i="1"/>
  <c r="V147" i="1" s="1"/>
  <c r="AD159" i="1"/>
  <c r="P159" i="1"/>
  <c r="V159" i="1" s="1"/>
  <c r="AD134" i="1"/>
  <c r="P134" i="1"/>
  <c r="V134" i="1" s="1"/>
  <c r="P154" i="1"/>
  <c r="V154" i="1" s="1"/>
  <c r="AD154" i="1"/>
  <c r="AD142" i="1"/>
  <c r="P142" i="1"/>
  <c r="V142" i="1" s="1"/>
  <c r="P160" i="1"/>
  <c r="V160" i="1" s="1"/>
  <c r="AD160" i="1"/>
  <c r="P152" i="1"/>
  <c r="V152" i="1" s="1"/>
  <c r="AD152" i="1"/>
  <c r="AD141" i="1"/>
  <c r="P141" i="1"/>
  <c r="V141" i="1" s="1"/>
  <c r="AD158" i="1"/>
  <c r="P158" i="1"/>
  <c r="V158" i="1" s="1"/>
  <c r="AD260" i="1"/>
  <c r="P260" i="1"/>
  <c r="V260" i="1" s="1"/>
  <c r="AD269" i="1"/>
  <c r="P269" i="1"/>
  <c r="V269" i="1" s="1"/>
  <c r="AD254" i="1"/>
  <c r="P254" i="1"/>
  <c r="V254" i="1" s="1"/>
  <c r="AD259" i="1"/>
  <c r="P259" i="1"/>
  <c r="V259" i="1" s="1"/>
  <c r="P257" i="1"/>
  <c r="V257" i="1" s="1"/>
  <c r="AD257" i="1"/>
  <c r="P273" i="1"/>
  <c r="V273" i="1" s="1"/>
  <c r="AD273" i="1"/>
  <c r="AD266" i="1"/>
  <c r="P266" i="1"/>
  <c r="V266" i="1" s="1"/>
  <c r="P270" i="1"/>
  <c r="V270" i="1" s="1"/>
  <c r="AD270" i="1"/>
  <c r="AD249" i="1"/>
  <c r="P249" i="1"/>
  <c r="V249" i="1" s="1"/>
  <c r="P247" i="1"/>
  <c r="V247" i="1" s="1"/>
  <c r="AD247" i="1"/>
  <c r="P256" i="1"/>
  <c r="V256" i="1" s="1"/>
  <c r="AD256" i="1"/>
  <c r="P264" i="1"/>
  <c r="V264" i="1" s="1"/>
  <c r="AD264" i="1"/>
  <c r="AD265" i="1"/>
  <c r="P265" i="1"/>
  <c r="V265" i="1" s="1"/>
  <c r="AY341" i="6"/>
  <c r="AZ341" i="6" s="1"/>
  <c r="AY319" i="6"/>
  <c r="AZ319" i="6" s="1"/>
  <c r="AY334" i="6"/>
  <c r="AZ334" i="6" s="1"/>
  <c r="AY323" i="6"/>
  <c r="AZ323" i="6" s="1"/>
  <c r="AY326" i="6"/>
  <c r="AZ326" i="6" s="1"/>
  <c r="AY342" i="6"/>
  <c r="AZ342" i="6" s="1"/>
  <c r="AY343" i="6"/>
  <c r="AZ343" i="6" s="1"/>
  <c r="AY335" i="6"/>
  <c r="AZ335" i="6" s="1"/>
  <c r="AY320" i="6"/>
  <c r="AZ320" i="6" s="1"/>
  <c r="AY322" i="6"/>
  <c r="AZ322" i="6" s="1"/>
  <c r="AY327" i="6"/>
  <c r="AZ327" i="6" s="1"/>
  <c r="AY317" i="6"/>
  <c r="AZ317" i="6" s="1"/>
  <c r="AY318" i="6"/>
  <c r="AZ318" i="6" s="1"/>
  <c r="AY340" i="6"/>
  <c r="AZ340" i="6" s="1"/>
  <c r="AY357" i="6"/>
  <c r="AZ357" i="6" s="1"/>
  <c r="AY353" i="6"/>
  <c r="AZ353" i="6" s="1"/>
  <c r="AY355" i="6"/>
  <c r="AZ355" i="6" s="1"/>
  <c r="AY366" i="6"/>
  <c r="AY361" i="6"/>
  <c r="AY359" i="6"/>
  <c r="AY358" i="6"/>
  <c r="AY345" i="6"/>
  <c r="AZ345" i="6" s="1"/>
  <c r="AY350" i="6"/>
  <c r="AZ350" i="6" s="1"/>
  <c r="AY344" i="6"/>
  <c r="AZ344" i="6" s="1"/>
  <c r="AK380" i="6" s="1"/>
  <c r="AK381" i="6" s="1"/>
  <c r="AY362" i="6"/>
  <c r="AY349" i="6"/>
  <c r="AZ349" i="6" s="1"/>
  <c r="AY371" i="6"/>
  <c r="AY352" i="6"/>
  <c r="AZ352" i="6" s="1"/>
  <c r="AZ55" i="6"/>
  <c r="AD99" i="1"/>
  <c r="P99" i="1"/>
  <c r="V99" i="1" s="1"/>
  <c r="P105" i="1"/>
  <c r="V105" i="1" s="1"/>
  <c r="AD105" i="1"/>
  <c r="P98" i="1"/>
  <c r="V98" i="1" s="1"/>
  <c r="AD98" i="1"/>
  <c r="P85" i="1"/>
  <c r="V85" i="1" s="1"/>
  <c r="AD85" i="1"/>
  <c r="AD88" i="1"/>
  <c r="P88" i="1"/>
  <c r="D22" i="7" s="1"/>
  <c r="AD82" i="1"/>
  <c r="P82" i="1"/>
  <c r="V82" i="1" s="1"/>
  <c r="AD94" i="1"/>
  <c r="P94" i="1"/>
  <c r="V94" i="1" s="1"/>
  <c r="AD102" i="1"/>
  <c r="P102" i="1"/>
  <c r="V102" i="1" s="1"/>
  <c r="AD100" i="1"/>
  <c r="P100" i="1"/>
  <c r="V100" i="1" s="1"/>
  <c r="AD80" i="1"/>
  <c r="P80" i="1"/>
  <c r="V80" i="1" s="1"/>
  <c r="AD78" i="1"/>
  <c r="P78" i="1"/>
  <c r="V78" i="1" s="1"/>
  <c r="AD79" i="1"/>
  <c r="P79" i="1"/>
  <c r="V79" i="1" s="1"/>
  <c r="P84" i="1"/>
  <c r="V84" i="1" s="1"/>
  <c r="AD84" i="1"/>
  <c r="V210" i="1"/>
  <c r="D26" i="7"/>
  <c r="AD112" i="1"/>
  <c r="P112" i="1"/>
  <c r="V112" i="1" s="1"/>
  <c r="AD115" i="1"/>
  <c r="P115" i="1"/>
  <c r="V115" i="1" s="1"/>
  <c r="P148" i="1"/>
  <c r="V148" i="1" s="1"/>
  <c r="AD148" i="1"/>
  <c r="P140" i="1"/>
  <c r="V140" i="1" s="1"/>
  <c r="AD140" i="1"/>
  <c r="P149" i="1"/>
  <c r="AD149" i="1"/>
  <c r="AD145" i="1"/>
  <c r="P145" i="1"/>
  <c r="V145" i="1" s="1"/>
  <c r="P150" i="1"/>
  <c r="V150" i="1" s="1"/>
  <c r="AD150" i="1"/>
  <c r="AD137" i="1"/>
  <c r="P137" i="1"/>
  <c r="V137" i="1" s="1"/>
  <c r="P151" i="1"/>
  <c r="V151" i="1" s="1"/>
  <c r="AD151" i="1"/>
  <c r="AD157" i="1"/>
  <c r="P157" i="1"/>
  <c r="V157" i="1" s="1"/>
  <c r="P139" i="1"/>
  <c r="V139" i="1" s="1"/>
  <c r="AD139" i="1"/>
  <c r="AD138" i="1"/>
  <c r="P138" i="1"/>
  <c r="V138" i="1" s="1"/>
  <c r="AA55" i="6"/>
  <c r="AY373" i="6" s="1"/>
  <c r="P248" i="1"/>
  <c r="V248" i="1" s="1"/>
  <c r="AD248" i="1"/>
  <c r="AD267" i="1"/>
  <c r="P267" i="1"/>
  <c r="V267" i="1" s="1"/>
  <c r="P272" i="1"/>
  <c r="AD272" i="1"/>
  <c r="AD258" i="1"/>
  <c r="P258" i="1"/>
  <c r="V258" i="1" s="1"/>
  <c r="AD271" i="1"/>
  <c r="P271" i="1"/>
  <c r="V271" i="1" s="1"/>
  <c r="AD252" i="1"/>
  <c r="P252" i="1"/>
  <c r="V252" i="1" s="1"/>
  <c r="AD253" i="1"/>
  <c r="P253" i="1"/>
  <c r="V253" i="1" s="1"/>
  <c r="P261" i="1"/>
  <c r="V261" i="1" s="1"/>
  <c r="AD261" i="1"/>
  <c r="P250" i="1"/>
  <c r="V250" i="1" s="1"/>
  <c r="AD250" i="1"/>
  <c r="AD255" i="1"/>
  <c r="P255" i="1"/>
  <c r="V255" i="1" s="1"/>
  <c r="P263" i="1"/>
  <c r="V263" i="1" s="1"/>
  <c r="AD263" i="1"/>
  <c r="AD251" i="1"/>
  <c r="P251" i="1"/>
  <c r="V251" i="1" s="1"/>
  <c r="AD268" i="1"/>
  <c r="P268" i="1"/>
  <c r="V268" i="1" s="1"/>
  <c r="AD246" i="1"/>
  <c r="P246" i="1"/>
  <c r="V246" i="1" s="1"/>
  <c r="AA81" i="1"/>
  <c r="Z81" i="1" s="1"/>
  <c r="Y81" i="1" s="1"/>
  <c r="AY325" i="6"/>
  <c r="AZ325" i="6" s="1"/>
  <c r="AY321" i="6"/>
  <c r="AZ321" i="6" s="1"/>
  <c r="AY338" i="6"/>
  <c r="AZ338" i="6" s="1"/>
  <c r="AY331" i="6"/>
  <c r="AZ331" i="6" s="1"/>
  <c r="AY329" i="6"/>
  <c r="AZ329" i="6" s="1"/>
  <c r="AY332" i="6"/>
  <c r="AZ332" i="6" s="1"/>
  <c r="AY337" i="6"/>
  <c r="AZ337" i="6" s="1"/>
  <c r="AY324" i="6"/>
  <c r="AZ324" i="6" s="1"/>
  <c r="AY333" i="6"/>
  <c r="AZ333" i="6" s="1"/>
  <c r="AY339" i="6"/>
  <c r="AZ339" i="6" s="1"/>
  <c r="AY330" i="6"/>
  <c r="AZ330" i="6" s="1"/>
  <c r="AJ380" i="6" s="1"/>
  <c r="AJ381" i="6" s="1"/>
  <c r="AY328" i="6"/>
  <c r="AZ328" i="6" s="1"/>
  <c r="AY336" i="6"/>
  <c r="AZ336" i="6" s="1"/>
  <c r="AY316" i="6"/>
  <c r="AZ316" i="6" s="1"/>
  <c r="AI380" i="6" s="1"/>
  <c r="AI381" i="6" s="1"/>
  <c r="AY365" i="6"/>
  <c r="AY364" i="6"/>
  <c r="AY346" i="6"/>
  <c r="AZ346" i="6" s="1"/>
  <c r="AY354" i="6"/>
  <c r="AZ354" i="6" s="1"/>
  <c r="AY363" i="6"/>
  <c r="AY351" i="6"/>
  <c r="AZ351" i="6" s="1"/>
  <c r="AY348" i="6"/>
  <c r="AZ348" i="6" s="1"/>
  <c r="AY360" i="6"/>
  <c r="AY368" i="6"/>
  <c r="AY367" i="6"/>
  <c r="AY369" i="6"/>
  <c r="AY356" i="6"/>
  <c r="AZ356" i="6" s="1"/>
  <c r="AY370" i="6"/>
  <c r="AZ370" i="6" s="1"/>
  <c r="I346" i="1"/>
  <c r="AA346" i="1"/>
  <c r="Z346" i="1" s="1"/>
  <c r="Y346" i="1" s="1"/>
  <c r="G346" i="1"/>
  <c r="BW346" i="6" s="1"/>
  <c r="G364" i="1"/>
  <c r="BW364" i="6" s="1"/>
  <c r="I364" i="1"/>
  <c r="G350" i="1"/>
  <c r="BW350" i="6" s="1"/>
  <c r="AA350" i="1"/>
  <c r="Z350" i="1" s="1"/>
  <c r="Y350" i="1" s="1"/>
  <c r="I350" i="1"/>
  <c r="G365" i="1"/>
  <c r="BW365" i="6" s="1"/>
  <c r="AA365" i="1"/>
  <c r="Z365" i="1" s="1"/>
  <c r="Y365" i="1" s="1"/>
  <c r="I365" i="1"/>
  <c r="I310" i="1"/>
  <c r="G310" i="1"/>
  <c r="BW310" i="6" s="1"/>
  <c r="G288" i="1"/>
  <c r="BW288" i="6" s="1"/>
  <c r="I288" i="1"/>
  <c r="AA288" i="1"/>
  <c r="Z288" i="1" s="1"/>
  <c r="Y288" i="1" s="1"/>
  <c r="G378" i="1"/>
  <c r="BW378" i="6" s="1"/>
  <c r="AA378" i="1"/>
  <c r="Z378" i="1" s="1"/>
  <c r="Y378" i="1" s="1"/>
  <c r="I378" i="1"/>
  <c r="G353" i="1"/>
  <c r="BW353" i="6" s="1"/>
  <c r="I353" i="1"/>
  <c r="AA353" i="1"/>
  <c r="Z353" i="1" s="1"/>
  <c r="Y353" i="1" s="1"/>
  <c r="G299" i="1"/>
  <c r="BW299" i="6" s="1"/>
  <c r="I299" i="1"/>
  <c r="G357" i="1"/>
  <c r="BW357" i="6" s="1"/>
  <c r="I357" i="1"/>
  <c r="G374" i="1"/>
  <c r="BW374" i="6" s="1"/>
  <c r="AA374" i="1"/>
  <c r="Z374" i="1" s="1"/>
  <c r="Y374" i="1" s="1"/>
  <c r="I374" i="1"/>
  <c r="I376" i="1"/>
  <c r="G376" i="1"/>
  <c r="BW376" i="6" s="1"/>
  <c r="F359" i="1"/>
  <c r="AD25" i="1"/>
  <c r="P25" i="1"/>
  <c r="V25" i="1" s="1"/>
  <c r="P26" i="1"/>
  <c r="V26" i="1" s="1"/>
  <c r="AD26" i="1"/>
  <c r="P33" i="1"/>
  <c r="V33" i="1" s="1"/>
  <c r="AD33" i="1"/>
  <c r="P21" i="1"/>
  <c r="V21" i="1" s="1"/>
  <c r="AD21" i="1"/>
  <c r="G360" i="1"/>
  <c r="BW360" i="6" s="1"/>
  <c r="I360" i="1"/>
  <c r="AA360" i="1"/>
  <c r="Z360" i="1" s="1"/>
  <c r="Y360" i="1" s="1"/>
  <c r="AA364" i="1"/>
  <c r="Z364" i="1" s="1"/>
  <c r="Y364" i="1" s="1"/>
  <c r="G315" i="1"/>
  <c r="BW315" i="6" s="1"/>
  <c r="AA315" i="1"/>
  <c r="Z315" i="1" s="1"/>
  <c r="Y315" i="1" s="1"/>
  <c r="I315" i="1"/>
  <c r="AZ59" i="6"/>
  <c r="AZ58" i="6"/>
  <c r="V362" i="1"/>
  <c r="AT362" i="6"/>
  <c r="AT371" i="6"/>
  <c r="AT373" i="6"/>
  <c r="AT366" i="6"/>
  <c r="AT369" i="6"/>
  <c r="AT361" i="6"/>
  <c r="AT365" i="6"/>
  <c r="AT377" i="6"/>
  <c r="AT376" i="6"/>
  <c r="AT380" i="6"/>
  <c r="AT359" i="6"/>
  <c r="P17" i="1"/>
  <c r="V17" i="1" s="1"/>
  <c r="AD16" i="1"/>
  <c r="P16" i="1"/>
  <c r="V16" i="1" s="1"/>
  <c r="AA358" i="1"/>
  <c r="Z358" i="1" s="1"/>
  <c r="Y358" i="1" s="1"/>
  <c r="AA376" i="1"/>
  <c r="Z376" i="1" s="1"/>
  <c r="Y376" i="1" s="1"/>
  <c r="V29" i="1"/>
  <c r="AA29" i="1" s="1"/>
  <c r="Z29" i="1" s="1"/>
  <c r="Y29" i="1" s="1"/>
  <c r="AD31" i="1"/>
  <c r="P31" i="1"/>
  <c r="V31" i="1" s="1"/>
  <c r="P27" i="1"/>
  <c r="V27" i="1" s="1"/>
  <c r="AD27" i="1"/>
  <c r="AD24" i="1"/>
  <c r="P24" i="1"/>
  <c r="V24" i="1" s="1"/>
  <c r="V371" i="1"/>
  <c r="F371" i="1" s="1"/>
  <c r="V369" i="1"/>
  <c r="F369" i="1" s="1"/>
  <c r="J13" i="6"/>
  <c r="AD15" i="1"/>
  <c r="J12" i="6"/>
  <c r="V377" i="1"/>
  <c r="F377" i="1" s="1"/>
  <c r="I317" i="1"/>
  <c r="G317" i="1"/>
  <c r="BW317" i="6" s="1"/>
  <c r="I361" i="1"/>
  <c r="AA361" i="1"/>
  <c r="Z361" i="1" s="1"/>
  <c r="Y361" i="1" s="1"/>
  <c r="G361" i="1"/>
  <c r="BW361" i="6" s="1"/>
  <c r="AZ50" i="6"/>
  <c r="P380" i="6" s="1"/>
  <c r="P381" i="6" s="1"/>
  <c r="AZ61" i="6"/>
  <c r="AT372" i="6"/>
  <c r="AT363" i="6"/>
  <c r="AT374" i="6"/>
  <c r="AT367" i="6"/>
  <c r="AT358" i="6"/>
  <c r="AT364" i="6"/>
  <c r="AT378" i="6"/>
  <c r="AT375" i="6"/>
  <c r="AT368" i="6"/>
  <c r="AT379" i="6"/>
  <c r="AT360" i="6"/>
  <c r="P19" i="1"/>
  <c r="V19" i="1" s="1"/>
  <c r="AD19" i="1"/>
  <c r="AD18" i="1"/>
  <c r="P18" i="1"/>
  <c r="V18" i="1" s="1"/>
  <c r="F319" i="1"/>
  <c r="I293" i="1"/>
  <c r="AA293" i="1"/>
  <c r="Z293" i="1" s="1"/>
  <c r="Y293" i="1" s="1"/>
  <c r="G293" i="1"/>
  <c r="BW293" i="6" s="1"/>
  <c r="I358" i="1"/>
  <c r="G358" i="1"/>
  <c r="BW358" i="6" s="1"/>
  <c r="V198" i="1"/>
  <c r="Q12" i="16" l="1"/>
  <c r="AI52" i="15"/>
  <c r="AH52" i="15" s="1"/>
  <c r="AG52" i="15" s="1"/>
  <c r="AF52" i="15" s="1"/>
  <c r="AI59" i="15"/>
  <c r="AH59" i="15" s="1"/>
  <c r="AG59" i="15" s="1"/>
  <c r="AF59" i="15" s="1"/>
  <c r="AI178" i="15"/>
  <c r="AH178" i="15" s="1"/>
  <c r="AG178" i="15" s="1"/>
  <c r="AF178" i="15" s="1"/>
  <c r="AI187" i="15"/>
  <c r="AH187" i="15" s="1"/>
  <c r="AG187" i="15" s="1"/>
  <c r="AF187" i="15" s="1"/>
  <c r="AI163" i="15"/>
  <c r="AH163" i="15" s="1"/>
  <c r="AG163" i="15" s="1"/>
  <c r="AF163" i="15" s="1"/>
  <c r="AI210" i="15"/>
  <c r="AH210" i="15" s="1"/>
  <c r="AG210" i="15" s="1"/>
  <c r="AF210" i="15" s="1"/>
  <c r="AD308" i="15"/>
  <c r="AD39" i="15"/>
  <c r="AD178" i="15"/>
  <c r="AD187" i="15"/>
  <c r="AD59" i="15"/>
  <c r="AI333" i="15"/>
  <c r="AH333" i="15" s="1"/>
  <c r="AG333" i="15" s="1"/>
  <c r="AF333" i="15" s="1"/>
  <c r="AI128" i="15"/>
  <c r="AH128" i="15" s="1"/>
  <c r="AG128" i="15" s="1"/>
  <c r="AF128" i="15" s="1"/>
  <c r="AI82" i="15"/>
  <c r="AH82" i="15" s="1"/>
  <c r="AG82" i="15" s="1"/>
  <c r="AF82" i="15" s="1"/>
  <c r="AI79" i="15"/>
  <c r="AH79" i="15" s="1"/>
  <c r="AG79" i="15" s="1"/>
  <c r="AF79" i="15" s="1"/>
  <c r="AI41" i="15"/>
  <c r="AH41" i="15" s="1"/>
  <c r="AG41" i="15" s="1"/>
  <c r="AF41" i="15" s="1"/>
  <c r="AI272" i="15"/>
  <c r="AH272" i="15" s="1"/>
  <c r="AG272" i="15" s="1"/>
  <c r="AF272" i="15" s="1"/>
  <c r="AI56" i="15"/>
  <c r="AH56" i="15" s="1"/>
  <c r="AG56" i="15" s="1"/>
  <c r="AF56" i="15" s="1"/>
  <c r="AI149" i="15"/>
  <c r="AH149" i="15" s="1"/>
  <c r="AG149" i="15" s="1"/>
  <c r="AF149" i="15" s="1"/>
  <c r="AI198" i="15"/>
  <c r="AH198" i="15" s="1"/>
  <c r="AG198" i="15" s="1"/>
  <c r="AF198" i="15" s="1"/>
  <c r="AI297" i="15"/>
  <c r="AH297" i="15" s="1"/>
  <c r="AG297" i="15" s="1"/>
  <c r="AF297" i="15" s="1"/>
  <c r="AI168" i="15"/>
  <c r="AH168" i="15" s="1"/>
  <c r="AG168" i="15" s="1"/>
  <c r="AF168" i="15" s="1"/>
  <c r="AI246" i="15"/>
  <c r="AH246" i="15" s="1"/>
  <c r="AG246" i="15" s="1"/>
  <c r="AF246" i="15" s="1"/>
  <c r="AI169" i="15"/>
  <c r="AH169" i="15" s="1"/>
  <c r="AG169" i="15" s="1"/>
  <c r="AF169" i="15" s="1"/>
  <c r="AI123" i="15"/>
  <c r="AH123" i="15" s="1"/>
  <c r="AG123" i="15" s="1"/>
  <c r="AF123" i="15" s="1"/>
  <c r="AI120" i="15"/>
  <c r="AH120" i="15" s="1"/>
  <c r="AI28" i="15"/>
  <c r="AH28" i="15" s="1"/>
  <c r="AG28" i="15" s="1"/>
  <c r="AF28" i="15" s="1"/>
  <c r="AI230" i="15"/>
  <c r="AH230" i="15" s="1"/>
  <c r="AG230" i="15" s="1"/>
  <c r="AF230" i="15" s="1"/>
  <c r="AD316" i="15"/>
  <c r="O79" i="16"/>
  <c r="E79" i="16" s="1"/>
  <c r="AD182" i="15"/>
  <c r="AI307" i="15"/>
  <c r="AH307" i="15" s="1"/>
  <c r="AG307" i="15" s="1"/>
  <c r="AF307" i="15" s="1"/>
  <c r="AI257" i="15"/>
  <c r="AH257" i="15" s="1"/>
  <c r="AG257" i="15" s="1"/>
  <c r="AF257" i="15" s="1"/>
  <c r="AI325" i="15"/>
  <c r="AH325" i="15" s="1"/>
  <c r="AG325" i="15" s="1"/>
  <c r="AF325" i="15" s="1"/>
  <c r="AI191" i="15"/>
  <c r="AH191" i="15" s="1"/>
  <c r="AG191" i="15" s="1"/>
  <c r="AF191" i="15" s="1"/>
  <c r="AI126" i="15"/>
  <c r="AH126" i="15" s="1"/>
  <c r="AG126" i="15" s="1"/>
  <c r="AF126" i="15" s="1"/>
  <c r="AI294" i="15"/>
  <c r="AH294" i="15" s="1"/>
  <c r="AG294" i="15" s="1"/>
  <c r="AF294" i="15" s="1"/>
  <c r="AI245" i="15"/>
  <c r="AH245" i="15" s="1"/>
  <c r="AG245" i="15" s="1"/>
  <c r="AF245" i="15" s="1"/>
  <c r="AI235" i="15"/>
  <c r="AH235" i="15" s="1"/>
  <c r="AG235" i="15" s="1"/>
  <c r="AF235" i="15" s="1"/>
  <c r="AI64" i="15"/>
  <c r="AH64" i="15" s="1"/>
  <c r="AG64" i="15" s="1"/>
  <c r="AF64" i="15" s="1"/>
  <c r="AI237" i="15"/>
  <c r="AH237" i="15" s="1"/>
  <c r="AG237" i="15" s="1"/>
  <c r="AF237" i="15" s="1"/>
  <c r="AI349" i="15"/>
  <c r="AH349" i="15" s="1"/>
  <c r="AG349" i="15" s="1"/>
  <c r="AF349" i="15" s="1"/>
  <c r="AI35" i="15"/>
  <c r="AH35" i="15" s="1"/>
  <c r="AG35" i="15" s="1"/>
  <c r="AF35" i="15" s="1"/>
  <c r="AI295" i="15"/>
  <c r="AH295" i="15" s="1"/>
  <c r="AG295" i="15" s="1"/>
  <c r="AF295" i="15" s="1"/>
  <c r="AD295" i="15" s="1"/>
  <c r="AI220" i="15"/>
  <c r="AH220" i="15" s="1"/>
  <c r="AG220" i="15" s="1"/>
  <c r="AF220" i="15" s="1"/>
  <c r="AI338" i="15"/>
  <c r="AH338" i="15" s="1"/>
  <c r="AG338" i="15" s="1"/>
  <c r="AF338" i="15" s="1"/>
  <c r="AI366" i="15"/>
  <c r="AH366" i="15" s="1"/>
  <c r="AG366" i="15" s="1"/>
  <c r="AF366" i="15" s="1"/>
  <c r="AI100" i="15"/>
  <c r="AH100" i="15" s="1"/>
  <c r="AI54" i="15"/>
  <c r="AH54" i="15" s="1"/>
  <c r="AG54" i="15" s="1"/>
  <c r="AF54" i="15" s="1"/>
  <c r="AI40" i="15"/>
  <c r="AH40" i="15" s="1"/>
  <c r="AG40" i="15" s="1"/>
  <c r="AF40" i="15" s="1"/>
  <c r="AD40" i="15" s="1"/>
  <c r="AI227" i="15"/>
  <c r="AH227" i="15" s="1"/>
  <c r="AG227" i="15" s="1"/>
  <c r="AF227" i="15" s="1"/>
  <c r="AD227" i="15" s="1"/>
  <c r="AI119" i="15"/>
  <c r="AH119" i="15" s="1"/>
  <c r="AG119" i="15" s="1"/>
  <c r="AF119" i="15" s="1"/>
  <c r="AI226" i="15"/>
  <c r="AH226" i="15" s="1"/>
  <c r="AG226" i="15" s="1"/>
  <c r="AF226" i="15" s="1"/>
  <c r="AI309" i="15"/>
  <c r="AH309" i="15" s="1"/>
  <c r="AG309" i="15" s="1"/>
  <c r="AF309" i="15" s="1"/>
  <c r="AI363" i="15"/>
  <c r="AH363" i="15" s="1"/>
  <c r="AG363" i="15" s="1"/>
  <c r="AF363" i="15" s="1"/>
  <c r="AD363" i="15" s="1"/>
  <c r="AI115" i="15"/>
  <c r="AH115" i="15" s="1"/>
  <c r="AG115" i="15" s="1"/>
  <c r="AF115" i="15" s="1"/>
  <c r="AI25" i="15"/>
  <c r="AH25" i="15" s="1"/>
  <c r="AG25" i="15" s="1"/>
  <c r="AF25" i="15" s="1"/>
  <c r="AI201" i="15"/>
  <c r="AH201" i="15" s="1"/>
  <c r="AG201" i="15" s="1"/>
  <c r="AF201" i="15" s="1"/>
  <c r="AI101" i="15"/>
  <c r="AH101" i="15" s="1"/>
  <c r="AG101" i="15" s="1"/>
  <c r="AF101" i="15" s="1"/>
  <c r="AI343" i="15"/>
  <c r="AH343" i="15" s="1"/>
  <c r="AG343" i="15" s="1"/>
  <c r="AF343" i="15" s="1"/>
  <c r="AI244" i="15"/>
  <c r="AH244" i="15" s="1"/>
  <c r="AG244" i="15" s="1"/>
  <c r="AF244" i="15" s="1"/>
  <c r="AI370" i="15"/>
  <c r="AH370" i="15" s="1"/>
  <c r="AG370" i="15" s="1"/>
  <c r="AF370" i="15" s="1"/>
  <c r="AI34" i="15"/>
  <c r="AH34" i="15" s="1"/>
  <c r="AG34" i="15" s="1"/>
  <c r="AF34" i="15" s="1"/>
  <c r="AI38" i="15"/>
  <c r="AH38" i="15" s="1"/>
  <c r="AG38" i="15" s="1"/>
  <c r="AF38" i="15" s="1"/>
  <c r="O43" i="16"/>
  <c r="E43" i="16" s="1"/>
  <c r="O19" i="16"/>
  <c r="E19" i="16" s="1"/>
  <c r="O29" i="16"/>
  <c r="E29" i="16" s="1"/>
  <c r="O21" i="16"/>
  <c r="E21" i="16" s="1"/>
  <c r="O16" i="16"/>
  <c r="E16" i="16" s="1"/>
  <c r="O37" i="16"/>
  <c r="E37" i="16" s="1"/>
  <c r="O73" i="16"/>
  <c r="E73" i="16" s="1"/>
  <c r="O31" i="16"/>
  <c r="E31" i="16" s="1"/>
  <c r="O78" i="16"/>
  <c r="E78" i="16" s="1"/>
  <c r="O35" i="16"/>
  <c r="E35" i="16" s="1"/>
  <c r="O77" i="16"/>
  <c r="E77" i="16" s="1"/>
  <c r="Q383" i="15"/>
  <c r="O24" i="16"/>
  <c r="E24" i="16" s="1"/>
  <c r="O41" i="16"/>
  <c r="E41" i="16" s="1"/>
  <c r="O44" i="16"/>
  <c r="E44" i="16" s="1"/>
  <c r="O42" i="16"/>
  <c r="E42" i="16" s="1"/>
  <c r="O32" i="16"/>
  <c r="E32" i="16" s="1"/>
  <c r="O22" i="16"/>
  <c r="E22" i="16" s="1"/>
  <c r="O18" i="16"/>
  <c r="E18" i="16" s="1"/>
  <c r="O27" i="16"/>
  <c r="E27" i="16" s="1"/>
  <c r="O28" i="16"/>
  <c r="E28" i="16" s="1"/>
  <c r="O36" i="16"/>
  <c r="E36" i="16" s="1"/>
  <c r="O15" i="16"/>
  <c r="E15" i="16" s="1"/>
  <c r="O39" i="16"/>
  <c r="E39" i="16" s="1"/>
  <c r="O40" i="16"/>
  <c r="E40" i="16" s="1"/>
  <c r="O38" i="16"/>
  <c r="E38" i="16" s="1"/>
  <c r="O33" i="16"/>
  <c r="E33" i="16" s="1"/>
  <c r="AC30" i="16"/>
  <c r="AC41" i="16"/>
  <c r="AC36" i="16"/>
  <c r="AC38" i="16"/>
  <c r="AC34" i="16"/>
  <c r="AC24" i="16"/>
  <c r="AC15" i="16"/>
  <c r="AC17" i="16"/>
  <c r="AC18" i="16"/>
  <c r="AC27" i="16"/>
  <c r="AC42" i="16"/>
  <c r="AC26" i="16"/>
  <c r="AC28" i="16"/>
  <c r="AC39" i="16"/>
  <c r="AC25" i="16"/>
  <c r="AC29" i="16"/>
  <c r="AC35" i="16"/>
  <c r="AC16" i="16"/>
  <c r="AC22" i="16"/>
  <c r="AC21" i="16"/>
  <c r="AC37" i="16"/>
  <c r="AC43" i="16"/>
  <c r="AC31" i="16"/>
  <c r="AC20" i="16"/>
  <c r="AC32" i="16"/>
  <c r="AC19" i="16"/>
  <c r="AC45" i="16"/>
  <c r="AC44" i="16"/>
  <c r="AC40" i="16"/>
  <c r="AC33" i="16"/>
  <c r="AC23" i="16"/>
  <c r="AA82" i="1"/>
  <c r="Z82" i="1" s="1"/>
  <c r="Y82" i="1" s="1"/>
  <c r="I316" i="1"/>
  <c r="AA316" i="1"/>
  <c r="Z316" i="1" s="1"/>
  <c r="Y316" i="1" s="1"/>
  <c r="AD261" i="15"/>
  <c r="AI13" i="7"/>
  <c r="AH13" i="7"/>
  <c r="AI362" i="15"/>
  <c r="AH362" i="15" s="1"/>
  <c r="AG362" i="15" s="1"/>
  <c r="AF362" i="15" s="1"/>
  <c r="AA93" i="1"/>
  <c r="Z93" i="1" s="1"/>
  <c r="Y93" i="1" s="1"/>
  <c r="AD303" i="15"/>
  <c r="AD108" i="15"/>
  <c r="AD87" i="15"/>
  <c r="AD210" i="15"/>
  <c r="AI240" i="15"/>
  <c r="AH240" i="15" s="1"/>
  <c r="AG240" i="15" s="1"/>
  <c r="AF240" i="15" s="1"/>
  <c r="AD240" i="15" s="1"/>
  <c r="AI264" i="15"/>
  <c r="AH264" i="15" s="1"/>
  <c r="AG264" i="15" s="1"/>
  <c r="AF264" i="15" s="1"/>
  <c r="AI267" i="15"/>
  <c r="AH267" i="15" s="1"/>
  <c r="AG267" i="15" s="1"/>
  <c r="AF267" i="15" s="1"/>
  <c r="AI355" i="15"/>
  <c r="AH355" i="15" s="1"/>
  <c r="AG355" i="15" s="1"/>
  <c r="AF355" i="15" s="1"/>
  <c r="AD355" i="15" s="1"/>
  <c r="AI248" i="15"/>
  <c r="AH248" i="15" s="1"/>
  <c r="AI183" i="15"/>
  <c r="AH183" i="15" s="1"/>
  <c r="AG183" i="15" s="1"/>
  <c r="AF183" i="15" s="1"/>
  <c r="AI156" i="15"/>
  <c r="AH156" i="15" s="1"/>
  <c r="AG156" i="15" s="1"/>
  <c r="AF156" i="15" s="1"/>
  <c r="AI274" i="15"/>
  <c r="AH274" i="15" s="1"/>
  <c r="AG274" i="15" s="1"/>
  <c r="AF274" i="15" s="1"/>
  <c r="AD274" i="15" s="1"/>
  <c r="AI286" i="15"/>
  <c r="AH286" i="15" s="1"/>
  <c r="AG286" i="15" s="1"/>
  <c r="AF286" i="15" s="1"/>
  <c r="AD286" i="15" s="1"/>
  <c r="AI209" i="15"/>
  <c r="AH209" i="15" s="1"/>
  <c r="AG209" i="15" s="1"/>
  <c r="AF209" i="15" s="1"/>
  <c r="AI70" i="15"/>
  <c r="AH70" i="15" s="1"/>
  <c r="AG70" i="15" s="1"/>
  <c r="AF70" i="15" s="1"/>
  <c r="AI170" i="15"/>
  <c r="AH170" i="15" s="1"/>
  <c r="AG170" i="15" s="1"/>
  <c r="AF170" i="15" s="1"/>
  <c r="AD170" i="15" s="1"/>
  <c r="AI335" i="15"/>
  <c r="AH335" i="15" s="1"/>
  <c r="AG335" i="15" s="1"/>
  <c r="AF335" i="15" s="1"/>
  <c r="AD335" i="15" s="1"/>
  <c r="AI177" i="15"/>
  <c r="AH177" i="15" s="1"/>
  <c r="AG177" i="15" s="1"/>
  <c r="AF177" i="15" s="1"/>
  <c r="AI269" i="15"/>
  <c r="AH269" i="15" s="1"/>
  <c r="AG269" i="15" s="1"/>
  <c r="AF269" i="15" s="1"/>
  <c r="AI112" i="15"/>
  <c r="AH112" i="15" s="1"/>
  <c r="AG112" i="15" s="1"/>
  <c r="AF112" i="15" s="1"/>
  <c r="AI275" i="15"/>
  <c r="AH275" i="15" s="1"/>
  <c r="AG275" i="15" s="1"/>
  <c r="AF275" i="15" s="1"/>
  <c r="AI200" i="15"/>
  <c r="AH200" i="15" s="1"/>
  <c r="AG200" i="15" s="1"/>
  <c r="AF200" i="15" s="1"/>
  <c r="AI313" i="15"/>
  <c r="AH313" i="15" s="1"/>
  <c r="AG313" i="15" s="1"/>
  <c r="AF313" i="15" s="1"/>
  <c r="AD313" i="15" s="1"/>
  <c r="AI251" i="15"/>
  <c r="AH251" i="15" s="1"/>
  <c r="AI129" i="15"/>
  <c r="AH129" i="15" s="1"/>
  <c r="AG129" i="15" s="1"/>
  <c r="AF129" i="15" s="1"/>
  <c r="AI323" i="15"/>
  <c r="AH323" i="15" s="1"/>
  <c r="AI96" i="15"/>
  <c r="AH96" i="15" s="1"/>
  <c r="AI232" i="15"/>
  <c r="AH232" i="15" s="1"/>
  <c r="AG232" i="15" s="1"/>
  <c r="AF232" i="15" s="1"/>
  <c r="AI197" i="15"/>
  <c r="AH197" i="15" s="1"/>
  <c r="AG197" i="15" s="1"/>
  <c r="AF197" i="15" s="1"/>
  <c r="AI167" i="15"/>
  <c r="AH167" i="15" s="1"/>
  <c r="AG167" i="15" s="1"/>
  <c r="AF167" i="15" s="1"/>
  <c r="AD167" i="15" s="1"/>
  <c r="AI292" i="15"/>
  <c r="AH292" i="15" s="1"/>
  <c r="AG292" i="15" s="1"/>
  <c r="AF292" i="15" s="1"/>
  <c r="AI148" i="15"/>
  <c r="AH148" i="15" s="1"/>
  <c r="AG148" i="15" s="1"/>
  <c r="AF148" i="15" s="1"/>
  <c r="AI159" i="15"/>
  <c r="AH159" i="15" s="1"/>
  <c r="AG159" i="15" s="1"/>
  <c r="AF159" i="15" s="1"/>
  <c r="AI266" i="15"/>
  <c r="AH266" i="15" s="1"/>
  <c r="AI74" i="15"/>
  <c r="AH74" i="15" s="1"/>
  <c r="AG74" i="15" s="1"/>
  <c r="AF74" i="15" s="1"/>
  <c r="AI278" i="15"/>
  <c r="AH278" i="15" s="1"/>
  <c r="AG278" i="15" s="1"/>
  <c r="AF278" i="15" s="1"/>
  <c r="AI110" i="15"/>
  <c r="AH110" i="15" s="1"/>
  <c r="AG110" i="15" s="1"/>
  <c r="AF110" i="15" s="1"/>
  <c r="AI145" i="15"/>
  <c r="AH145" i="15" s="1"/>
  <c r="AG145" i="15" s="1"/>
  <c r="AF145" i="15" s="1"/>
  <c r="AI154" i="15"/>
  <c r="AH154" i="15" s="1"/>
  <c r="AI77" i="15"/>
  <c r="AH77" i="15" s="1"/>
  <c r="AG77" i="15" s="1"/>
  <c r="AF77" i="15" s="1"/>
  <c r="AD77" i="15" s="1"/>
  <c r="AI179" i="15"/>
  <c r="AH179" i="15" s="1"/>
  <c r="AG179" i="15" s="1"/>
  <c r="AF179" i="15" s="1"/>
  <c r="AI89" i="15"/>
  <c r="AH89" i="15" s="1"/>
  <c r="AI329" i="15"/>
  <c r="AH329" i="15" s="1"/>
  <c r="AG329" i="15" s="1"/>
  <c r="AF329" i="15" s="1"/>
  <c r="AI65" i="15"/>
  <c r="AH65" i="15" s="1"/>
  <c r="AG65" i="15" s="1"/>
  <c r="AF65" i="15" s="1"/>
  <c r="AI375" i="15"/>
  <c r="AH375" i="15" s="1"/>
  <c r="AG375" i="15" s="1"/>
  <c r="AF375" i="15" s="1"/>
  <c r="AI260" i="15"/>
  <c r="AH260" i="15" s="1"/>
  <c r="AG260" i="15" s="1"/>
  <c r="AF260" i="15" s="1"/>
  <c r="AI63" i="15"/>
  <c r="AH63" i="15" s="1"/>
  <c r="AG63" i="15" s="1"/>
  <c r="AF63" i="15" s="1"/>
  <c r="AI50" i="15"/>
  <c r="AH50" i="15" s="1"/>
  <c r="AG50" i="15" s="1"/>
  <c r="AF50" i="15" s="1"/>
  <c r="AI62" i="15"/>
  <c r="AH62" i="15" s="1"/>
  <c r="AG62" i="15" s="1"/>
  <c r="AF62" i="15" s="1"/>
  <c r="AI310" i="15"/>
  <c r="AH310" i="15" s="1"/>
  <c r="AG310" i="15" s="1"/>
  <c r="AF310" i="15" s="1"/>
  <c r="AD310" i="15" s="1"/>
  <c r="AI185" i="15"/>
  <c r="AH185" i="15" s="1"/>
  <c r="AG185" i="15" s="1"/>
  <c r="AF185" i="15" s="1"/>
  <c r="AI43" i="15"/>
  <c r="AH43" i="15" s="1"/>
  <c r="AG43" i="15" s="1"/>
  <c r="AF43" i="15" s="1"/>
  <c r="AI371" i="15"/>
  <c r="AH371" i="15" s="1"/>
  <c r="AG371" i="15" s="1"/>
  <c r="AF371" i="15" s="1"/>
  <c r="AI360" i="15"/>
  <c r="AH360" i="15" s="1"/>
  <c r="AG360" i="15" s="1"/>
  <c r="AF360" i="15" s="1"/>
  <c r="AI76" i="15"/>
  <c r="AH76" i="15" s="1"/>
  <c r="AG76" i="15" s="1"/>
  <c r="AF76" i="15" s="1"/>
  <c r="AD76" i="15" s="1"/>
  <c r="AI315" i="15"/>
  <c r="AH315" i="15" s="1"/>
  <c r="AG315" i="15" s="1"/>
  <c r="AF315" i="15" s="1"/>
  <c r="AD315" i="15" s="1"/>
  <c r="AI48" i="15"/>
  <c r="AH48" i="15" s="1"/>
  <c r="AG48" i="15" s="1"/>
  <c r="AF48" i="15" s="1"/>
  <c r="AI93" i="15"/>
  <c r="AH93" i="15" s="1"/>
  <c r="AG93" i="15" s="1"/>
  <c r="AF93" i="15" s="1"/>
  <c r="AI224" i="15"/>
  <c r="AH224" i="15" s="1"/>
  <c r="AG224" i="15" s="1"/>
  <c r="AF224" i="15" s="1"/>
  <c r="AI312" i="15"/>
  <c r="AH312" i="15" s="1"/>
  <c r="AG312" i="15" s="1"/>
  <c r="AF312" i="15" s="1"/>
  <c r="AD312" i="15" s="1"/>
  <c r="AI161" i="15"/>
  <c r="AH161" i="15" s="1"/>
  <c r="AG161" i="15" s="1"/>
  <c r="AF161" i="15" s="1"/>
  <c r="AI215" i="15"/>
  <c r="AH215" i="15" s="1"/>
  <c r="AG215" i="15" s="1"/>
  <c r="AF215" i="15" s="1"/>
  <c r="AI340" i="15"/>
  <c r="AH340" i="15" s="1"/>
  <c r="AG340" i="15" s="1"/>
  <c r="AF340" i="15" s="1"/>
  <c r="AI172" i="15"/>
  <c r="AH172" i="15" s="1"/>
  <c r="AG172" i="15" s="1"/>
  <c r="AF172" i="15" s="1"/>
  <c r="AI255" i="15"/>
  <c r="AH255" i="15" s="1"/>
  <c r="AG255" i="15" s="1"/>
  <c r="AF255" i="15" s="1"/>
  <c r="AI290" i="15"/>
  <c r="AH290" i="15" s="1"/>
  <c r="AG290" i="15" s="1"/>
  <c r="AF290" i="15" s="1"/>
  <c r="AI98" i="15"/>
  <c r="AH98" i="15" s="1"/>
  <c r="AG98" i="15" s="1"/>
  <c r="AF98" i="15" s="1"/>
  <c r="AI318" i="15"/>
  <c r="AH318" i="15" s="1"/>
  <c r="AG318" i="15" s="1"/>
  <c r="AF318" i="15" s="1"/>
  <c r="AI142" i="15"/>
  <c r="AH142" i="15" s="1"/>
  <c r="AG142" i="15" s="1"/>
  <c r="AF142" i="15" s="1"/>
  <c r="AI337" i="15"/>
  <c r="AH337" i="15" s="1"/>
  <c r="AG337" i="15" s="1"/>
  <c r="AF337" i="15" s="1"/>
  <c r="AD337" i="15" s="1"/>
  <c r="Q381" i="15"/>
  <c r="AG323" i="15"/>
  <c r="AF323" i="15" s="1"/>
  <c r="AD323" i="15" s="1"/>
  <c r="E7" i="20"/>
  <c r="O10" i="20" s="1"/>
  <c r="O57" i="20" s="1"/>
  <c r="E8" i="20"/>
  <c r="K16" i="19" s="1"/>
  <c r="AG120" i="15"/>
  <c r="AF120" i="15" s="1"/>
  <c r="AD120" i="15" s="1"/>
  <c r="O99" i="16"/>
  <c r="E99" i="16" s="1"/>
  <c r="O89" i="16"/>
  <c r="E89" i="16" s="1"/>
  <c r="Q382" i="15"/>
  <c r="U321" i="15"/>
  <c r="T321" i="15" s="1"/>
  <c r="S321" i="15" s="1"/>
  <c r="R321" i="15" s="1"/>
  <c r="P321" i="15" s="1"/>
  <c r="V321" i="15" s="1"/>
  <c r="F321" i="15" s="1"/>
  <c r="AI122" i="15"/>
  <c r="AH122" i="15" s="1"/>
  <c r="AI239" i="15"/>
  <c r="AH239" i="15" s="1"/>
  <c r="AG239" i="15" s="1"/>
  <c r="AF239" i="15" s="1"/>
  <c r="AI81" i="15"/>
  <c r="AH81" i="15" s="1"/>
  <c r="AI92" i="15"/>
  <c r="AH92" i="15" s="1"/>
  <c r="AG92" i="15" s="1"/>
  <c r="AF92" i="15" s="1"/>
  <c r="AI94" i="15"/>
  <c r="AH94" i="15" s="1"/>
  <c r="AI190" i="15"/>
  <c r="AH190" i="15" s="1"/>
  <c r="AG190" i="15" s="1"/>
  <c r="AF190" i="15" s="1"/>
  <c r="AI270" i="15"/>
  <c r="AH270" i="15" s="1"/>
  <c r="AI358" i="15"/>
  <c r="AH358" i="15" s="1"/>
  <c r="AG358" i="15" s="1"/>
  <c r="AF358" i="15" s="1"/>
  <c r="AI66" i="15"/>
  <c r="AH66" i="15" s="1"/>
  <c r="AG66" i="15" s="1"/>
  <c r="AF66" i="15" s="1"/>
  <c r="AD66" i="15" s="1"/>
  <c r="AI162" i="15"/>
  <c r="AH162" i="15" s="1"/>
  <c r="AG162" i="15" s="1"/>
  <c r="AF162" i="15" s="1"/>
  <c r="AI258" i="15"/>
  <c r="AH258" i="15" s="1"/>
  <c r="AI322" i="15"/>
  <c r="AH322" i="15" s="1"/>
  <c r="AG322" i="15" s="1"/>
  <c r="AF322" i="15" s="1"/>
  <c r="AI127" i="15"/>
  <c r="AH127" i="15" s="1"/>
  <c r="AG127" i="15" s="1"/>
  <c r="AF127" i="15" s="1"/>
  <c r="AI379" i="15"/>
  <c r="AI12" i="16" s="1"/>
  <c r="AI140" i="15"/>
  <c r="AH140" i="15" s="1"/>
  <c r="AI212" i="15"/>
  <c r="AH212" i="15" s="1"/>
  <c r="AG212" i="15" s="1"/>
  <c r="AF212" i="15" s="1"/>
  <c r="AI284" i="15"/>
  <c r="AH284" i="15" s="1"/>
  <c r="AG284" i="15" s="1"/>
  <c r="AF284" i="15" s="1"/>
  <c r="AI23" i="15"/>
  <c r="AH23" i="15" s="1"/>
  <c r="AG23" i="15" s="1"/>
  <c r="AF23" i="15" s="1"/>
  <c r="AI151" i="15"/>
  <c r="AH151" i="15" s="1"/>
  <c r="AI279" i="15"/>
  <c r="AH279" i="15" s="1"/>
  <c r="AG279" i="15" s="1"/>
  <c r="AF279" i="15" s="1"/>
  <c r="AD279" i="15" s="1"/>
  <c r="AI133" i="15"/>
  <c r="AH133" i="15" s="1"/>
  <c r="AG133" i="15" s="1"/>
  <c r="AF133" i="15" s="1"/>
  <c r="AI24" i="15"/>
  <c r="AH24" i="15" s="1"/>
  <c r="AG24" i="15" s="1"/>
  <c r="AF24" i="15" s="1"/>
  <c r="AI216" i="15"/>
  <c r="AH216" i="15" s="1"/>
  <c r="AG216" i="15" s="1"/>
  <c r="AF216" i="15" s="1"/>
  <c r="AI17" i="15"/>
  <c r="AH17" i="15" s="1"/>
  <c r="AI32" i="15"/>
  <c r="AH32" i="15" s="1"/>
  <c r="AG32" i="15" s="1"/>
  <c r="AF32" i="15" s="1"/>
  <c r="AI27" i="15"/>
  <c r="AH27" i="15" s="1"/>
  <c r="AI291" i="15"/>
  <c r="AH291" i="15" s="1"/>
  <c r="AG291" i="15" s="1"/>
  <c r="AF291" i="15" s="1"/>
  <c r="AI317" i="15"/>
  <c r="AH317" i="15" s="1"/>
  <c r="AG317" i="15" s="1"/>
  <c r="AF317" i="15" s="1"/>
  <c r="AI293" i="15"/>
  <c r="AH293" i="15" s="1"/>
  <c r="AG293" i="15" s="1"/>
  <c r="AF293" i="15" s="1"/>
  <c r="AI208" i="15"/>
  <c r="AH208" i="15" s="1"/>
  <c r="AG208" i="15" s="1"/>
  <c r="AF208" i="15" s="1"/>
  <c r="AI219" i="15"/>
  <c r="AH219" i="15" s="1"/>
  <c r="AG219" i="15" s="1"/>
  <c r="AF219" i="15" s="1"/>
  <c r="AI173" i="15"/>
  <c r="AH173" i="15" s="1"/>
  <c r="AG173" i="15" s="1"/>
  <c r="AF173" i="15" s="1"/>
  <c r="AI217" i="15"/>
  <c r="AH217" i="15" s="1"/>
  <c r="AG217" i="15" s="1"/>
  <c r="AF217" i="15" s="1"/>
  <c r="AD217" i="15" s="1"/>
  <c r="AI300" i="15"/>
  <c r="AH300" i="15" s="1"/>
  <c r="AG300" i="15" s="1"/>
  <c r="AF300" i="15" s="1"/>
  <c r="AD300" i="15" s="1"/>
  <c r="AI136" i="15"/>
  <c r="AH136" i="15" s="1"/>
  <c r="AG136" i="15" s="1"/>
  <c r="AF136" i="15" s="1"/>
  <c r="AI193" i="15"/>
  <c r="AH193" i="15" s="1"/>
  <c r="AG193" i="15" s="1"/>
  <c r="AF193" i="15" s="1"/>
  <c r="AI243" i="15"/>
  <c r="AH243" i="15" s="1"/>
  <c r="AG243" i="15" s="1"/>
  <c r="AF243" i="15" s="1"/>
  <c r="AI253" i="15"/>
  <c r="AH253" i="15" s="1"/>
  <c r="AI165" i="15"/>
  <c r="AH165" i="15" s="1"/>
  <c r="AG165" i="15" s="1"/>
  <c r="AF165" i="15" s="1"/>
  <c r="AD165" i="15" s="1"/>
  <c r="AI171" i="15"/>
  <c r="AH171" i="15" s="1"/>
  <c r="AG171" i="15" s="1"/>
  <c r="AF171" i="15" s="1"/>
  <c r="AI205" i="15"/>
  <c r="AH205" i="15" s="1"/>
  <c r="AG205" i="15" s="1"/>
  <c r="AF205" i="15" s="1"/>
  <c r="AI111" i="15"/>
  <c r="AH111" i="15" s="1"/>
  <c r="AG111" i="15" s="1"/>
  <c r="AF111" i="15" s="1"/>
  <c r="AI68" i="15"/>
  <c r="AH68" i="15" s="1"/>
  <c r="AG68" i="15" s="1"/>
  <c r="AF68" i="15" s="1"/>
  <c r="AI158" i="15"/>
  <c r="AH158" i="15" s="1"/>
  <c r="AI334" i="15"/>
  <c r="AH334" i="15" s="1"/>
  <c r="AG334" i="15" s="1"/>
  <c r="AF334" i="15" s="1"/>
  <c r="AI130" i="15"/>
  <c r="AH130" i="15" s="1"/>
  <c r="AI306" i="15"/>
  <c r="AH306" i="15" s="1"/>
  <c r="AG306" i="15" s="1"/>
  <c r="AF306" i="15" s="1"/>
  <c r="AI319" i="15"/>
  <c r="AH319" i="15" s="1"/>
  <c r="AG319" i="15" s="1"/>
  <c r="AF319" i="15" s="1"/>
  <c r="AI188" i="15"/>
  <c r="AH188" i="15" s="1"/>
  <c r="AG188" i="15" s="1"/>
  <c r="AF188" i="15" s="1"/>
  <c r="AI364" i="15"/>
  <c r="AH364" i="15" s="1"/>
  <c r="AG364" i="15" s="1"/>
  <c r="AF364" i="15" s="1"/>
  <c r="AI247" i="15"/>
  <c r="AH247" i="15" s="1"/>
  <c r="AI289" i="15"/>
  <c r="AH289" i="15" s="1"/>
  <c r="AG289" i="15" s="1"/>
  <c r="AF289" i="15" s="1"/>
  <c r="AI344" i="15"/>
  <c r="AH344" i="15" s="1"/>
  <c r="AG344" i="15" s="1"/>
  <c r="AF344" i="15" s="1"/>
  <c r="AI288" i="15"/>
  <c r="AH288" i="15" s="1"/>
  <c r="AG288" i="15" s="1"/>
  <c r="AF288" i="15" s="1"/>
  <c r="AD288" i="15" s="1"/>
  <c r="AI221" i="15"/>
  <c r="AH221" i="15" s="1"/>
  <c r="AG221" i="15" s="1"/>
  <c r="AF221" i="15" s="1"/>
  <c r="AI144" i="15"/>
  <c r="AH144" i="15" s="1"/>
  <c r="AG144" i="15" s="1"/>
  <c r="AF144" i="15" s="1"/>
  <c r="AI45" i="15"/>
  <c r="AH45" i="15" s="1"/>
  <c r="AG45" i="15" s="1"/>
  <c r="AF45" i="15" s="1"/>
  <c r="AI204" i="15"/>
  <c r="AH204" i="15" s="1"/>
  <c r="AG204" i="15" s="1"/>
  <c r="AF204" i="15" s="1"/>
  <c r="AI99" i="15"/>
  <c r="AH99" i="15" s="1"/>
  <c r="AI125" i="15"/>
  <c r="AH125" i="15" s="1"/>
  <c r="AG125" i="15" s="1"/>
  <c r="AF125" i="15" s="1"/>
  <c r="AI107" i="15"/>
  <c r="AH107" i="15" s="1"/>
  <c r="AG107" i="15" s="1"/>
  <c r="AF107" i="15" s="1"/>
  <c r="AI281" i="15"/>
  <c r="AH281" i="15" s="1"/>
  <c r="AG281" i="15" s="1"/>
  <c r="AF281" i="15" s="1"/>
  <c r="AI262" i="15"/>
  <c r="AH262" i="15" s="1"/>
  <c r="AG262" i="15" s="1"/>
  <c r="AF262" i="15" s="1"/>
  <c r="AI47" i="15"/>
  <c r="AH47" i="15" s="1"/>
  <c r="AG47" i="15" s="1"/>
  <c r="AF47" i="15" s="1"/>
  <c r="AI213" i="15"/>
  <c r="AH213" i="15" s="1"/>
  <c r="AG213" i="15" s="1"/>
  <c r="AF213" i="15" s="1"/>
  <c r="AI36" i="15"/>
  <c r="AH36" i="15" s="1"/>
  <c r="AG36" i="15" s="1"/>
  <c r="AF36" i="15" s="1"/>
  <c r="AI46" i="15"/>
  <c r="AH46" i="15" s="1"/>
  <c r="AG46" i="15" s="1"/>
  <c r="AF46" i="15" s="1"/>
  <c r="AD46" i="15" s="1"/>
  <c r="AI150" i="15"/>
  <c r="AH150" i="15" s="1"/>
  <c r="AI238" i="15"/>
  <c r="AH238" i="15" s="1"/>
  <c r="AG238" i="15" s="1"/>
  <c r="AF238" i="15" s="1"/>
  <c r="AI326" i="15"/>
  <c r="AH326" i="15" s="1"/>
  <c r="AI42" i="15"/>
  <c r="AH42" i="15" s="1"/>
  <c r="AG42" i="15" s="1"/>
  <c r="AF42" i="15" s="1"/>
  <c r="AI114" i="15"/>
  <c r="AH114" i="15" s="1"/>
  <c r="AG114" i="15" s="1"/>
  <c r="AF114" i="15" s="1"/>
  <c r="AI218" i="15"/>
  <c r="AH218" i="15" s="1"/>
  <c r="AG218" i="15" s="1"/>
  <c r="AF218" i="15" s="1"/>
  <c r="AI298" i="15"/>
  <c r="AH298" i="15" s="1"/>
  <c r="AG298" i="15" s="1"/>
  <c r="AF298" i="15" s="1"/>
  <c r="AI31" i="15"/>
  <c r="AH31" i="15" s="1"/>
  <c r="AI287" i="15"/>
  <c r="AH287" i="15" s="1"/>
  <c r="AG287" i="15" s="1"/>
  <c r="AF287" i="15" s="1"/>
  <c r="AI60" i="15"/>
  <c r="AH60" i="15" s="1"/>
  <c r="AG60" i="15" s="1"/>
  <c r="AF60" i="15" s="1"/>
  <c r="AD60" i="15" s="1"/>
  <c r="AI180" i="15"/>
  <c r="AH180" i="15" s="1"/>
  <c r="AG180" i="15" s="1"/>
  <c r="AF180" i="15" s="1"/>
  <c r="AI252" i="15"/>
  <c r="AH252" i="15" s="1"/>
  <c r="AG252" i="15" s="1"/>
  <c r="AF252" i="15" s="1"/>
  <c r="AI356" i="15"/>
  <c r="AH356" i="15" s="1"/>
  <c r="AG356" i="15" s="1"/>
  <c r="AF356" i="15" s="1"/>
  <c r="AD356" i="15" s="1"/>
  <c r="AI103" i="15"/>
  <c r="AH103" i="15" s="1"/>
  <c r="AI231" i="15"/>
  <c r="AH231" i="15" s="1"/>
  <c r="AG231" i="15" s="1"/>
  <c r="AF231" i="15" s="1"/>
  <c r="AI359" i="15"/>
  <c r="AH359" i="15" s="1"/>
  <c r="AG359" i="15" s="1"/>
  <c r="AF359" i="15" s="1"/>
  <c r="AI225" i="15"/>
  <c r="AH225" i="15" s="1"/>
  <c r="AG225" i="15" s="1"/>
  <c r="AF225" i="15" s="1"/>
  <c r="AI152" i="15"/>
  <c r="AH152" i="15" s="1"/>
  <c r="AG152" i="15" s="1"/>
  <c r="AF152" i="15" s="1"/>
  <c r="AI328" i="15"/>
  <c r="AH328" i="15" s="1"/>
  <c r="AG328" i="15" s="1"/>
  <c r="AF328" i="15" s="1"/>
  <c r="AI357" i="15"/>
  <c r="AH357" i="15" s="1"/>
  <c r="AG357" i="15" s="1"/>
  <c r="AF357" i="15" s="1"/>
  <c r="AI256" i="15"/>
  <c r="AH256" i="15" s="1"/>
  <c r="AI195" i="15"/>
  <c r="AH195" i="15" s="1"/>
  <c r="AG195" i="15" s="1"/>
  <c r="AF195" i="15" s="1"/>
  <c r="AI157" i="15"/>
  <c r="AH157" i="15" s="1"/>
  <c r="AI265" i="15"/>
  <c r="AH265" i="15" s="1"/>
  <c r="AI80" i="15"/>
  <c r="AH80" i="15" s="1"/>
  <c r="AG80" i="15" s="1"/>
  <c r="AF80" i="15" s="1"/>
  <c r="AI155" i="15"/>
  <c r="AH155" i="15" s="1"/>
  <c r="AG155" i="15" s="1"/>
  <c r="AF155" i="15" s="1"/>
  <c r="AI347" i="15"/>
  <c r="AH347" i="15" s="1"/>
  <c r="AG347" i="15" s="1"/>
  <c r="AF347" i="15" s="1"/>
  <c r="AI57" i="15"/>
  <c r="AH57" i="15" s="1"/>
  <c r="AG57" i="15" s="1"/>
  <c r="AF57" i="15" s="1"/>
  <c r="AI124" i="15"/>
  <c r="AH124" i="15" s="1"/>
  <c r="AG124" i="15" s="1"/>
  <c r="AF124" i="15" s="1"/>
  <c r="AI97" i="15"/>
  <c r="AH97" i="15" s="1"/>
  <c r="AI67" i="15"/>
  <c r="AH67" i="15" s="1"/>
  <c r="AG67" i="15" s="1"/>
  <c r="AF67" i="15" s="1"/>
  <c r="AD67" i="15" s="1"/>
  <c r="AI147" i="15"/>
  <c r="AH147" i="15" s="1"/>
  <c r="AG147" i="15" s="1"/>
  <c r="AF147" i="15" s="1"/>
  <c r="AI61" i="15"/>
  <c r="AH61" i="15" s="1"/>
  <c r="AG61" i="15" s="1"/>
  <c r="AF61" i="15" s="1"/>
  <c r="AI233" i="15"/>
  <c r="AH233" i="15" s="1"/>
  <c r="AG233" i="15" s="1"/>
  <c r="AF233" i="15" s="1"/>
  <c r="AI75" i="15"/>
  <c r="AH75" i="15" s="1"/>
  <c r="AG75" i="15" s="1"/>
  <c r="AF75" i="15" s="1"/>
  <c r="AI378" i="15"/>
  <c r="AH378" i="15" s="1"/>
  <c r="AG378" i="15" s="1"/>
  <c r="AF378" i="15" s="1"/>
  <c r="AI249" i="15"/>
  <c r="AH249" i="15" s="1"/>
  <c r="AI305" i="15"/>
  <c r="AH305" i="15" s="1"/>
  <c r="AG305" i="15" s="1"/>
  <c r="AF305" i="15" s="1"/>
  <c r="AI49" i="15"/>
  <c r="AH49" i="15" s="1"/>
  <c r="AG49" i="15" s="1"/>
  <c r="AF49" i="15" s="1"/>
  <c r="AI85" i="15"/>
  <c r="AH85" i="15" s="1"/>
  <c r="AG85" i="15" s="1"/>
  <c r="AF85" i="15" s="1"/>
  <c r="AI207" i="15"/>
  <c r="AH207" i="15" s="1"/>
  <c r="AG207" i="15" s="1"/>
  <c r="AF207" i="15" s="1"/>
  <c r="AI330" i="15"/>
  <c r="AH330" i="15" s="1"/>
  <c r="AG330" i="15" s="1"/>
  <c r="AF330" i="15" s="1"/>
  <c r="AI106" i="15"/>
  <c r="AH106" i="15" s="1"/>
  <c r="AG106" i="15" s="1"/>
  <c r="AF106" i="15" s="1"/>
  <c r="AI166" i="15"/>
  <c r="AH166" i="15" s="1"/>
  <c r="AG166" i="15" s="1"/>
  <c r="AF166" i="15" s="1"/>
  <c r="AD166" i="15" s="1"/>
  <c r="AI86" i="15"/>
  <c r="AH86" i="15" s="1"/>
  <c r="AI367" i="15"/>
  <c r="AH367" i="15" s="1"/>
  <c r="AG367" i="15" s="1"/>
  <c r="AF367" i="15" s="1"/>
  <c r="AI116" i="15"/>
  <c r="AH116" i="15" s="1"/>
  <c r="AI206" i="15"/>
  <c r="AH206" i="15" s="1"/>
  <c r="AG206" i="15" s="1"/>
  <c r="AF206" i="15" s="1"/>
  <c r="AI374" i="15"/>
  <c r="AH374" i="15" s="1"/>
  <c r="AG374" i="15" s="1"/>
  <c r="AF374" i="15" s="1"/>
  <c r="AI194" i="15"/>
  <c r="AH194" i="15" s="1"/>
  <c r="AG194" i="15" s="1"/>
  <c r="AF194" i="15" s="1"/>
  <c r="AI346" i="15"/>
  <c r="AH346" i="15" s="1"/>
  <c r="AG346" i="15" s="1"/>
  <c r="AF346" i="15" s="1"/>
  <c r="AI277" i="15"/>
  <c r="AH277" i="15" s="1"/>
  <c r="AG277" i="15" s="1"/>
  <c r="AF277" i="15" s="1"/>
  <c r="AD277" i="15" s="1"/>
  <c r="AI228" i="15"/>
  <c r="AH228" i="15" s="1"/>
  <c r="AG228" i="15" s="1"/>
  <c r="AF228" i="15" s="1"/>
  <c r="AI55" i="15"/>
  <c r="AH55" i="15" s="1"/>
  <c r="AG55" i="15" s="1"/>
  <c r="AF55" i="15" s="1"/>
  <c r="AI311" i="15"/>
  <c r="AH311" i="15" s="1"/>
  <c r="AG311" i="15" s="1"/>
  <c r="AF311" i="15" s="1"/>
  <c r="AI72" i="15"/>
  <c r="AH72" i="15" s="1"/>
  <c r="AG72" i="15" s="1"/>
  <c r="AF72" i="15" s="1"/>
  <c r="AI51" i="15"/>
  <c r="AH51" i="15" s="1"/>
  <c r="AG51" i="15" s="1"/>
  <c r="AF51" i="15" s="1"/>
  <c r="AI91" i="15"/>
  <c r="AH91" i="15" s="1"/>
  <c r="AG91" i="15" s="1"/>
  <c r="AF91" i="15" s="1"/>
  <c r="AI377" i="15"/>
  <c r="AH377" i="15" s="1"/>
  <c r="AG377" i="15" s="1"/>
  <c r="AF377" i="15" s="1"/>
  <c r="AI304" i="15"/>
  <c r="AH304" i="15" s="1"/>
  <c r="AG304" i="15" s="1"/>
  <c r="AF304" i="15" s="1"/>
  <c r="AI301" i="15"/>
  <c r="AH301" i="15" s="1"/>
  <c r="AG301" i="15" s="1"/>
  <c r="AF301" i="15" s="1"/>
  <c r="AI332" i="15"/>
  <c r="AH332" i="15" s="1"/>
  <c r="AG332" i="15" s="1"/>
  <c r="AF332" i="15" s="1"/>
  <c r="AI192" i="15"/>
  <c r="AH192" i="15" s="1"/>
  <c r="AG192" i="15" s="1"/>
  <c r="AF192" i="15" s="1"/>
  <c r="AI73" i="15"/>
  <c r="AH73" i="15" s="1"/>
  <c r="AG73" i="15" s="1"/>
  <c r="AF73" i="15" s="1"/>
  <c r="AI283" i="15"/>
  <c r="AH283" i="15" s="1"/>
  <c r="AG283" i="15" s="1"/>
  <c r="AF283" i="15" s="1"/>
  <c r="AD283" i="15" s="1"/>
  <c r="AD117" i="15"/>
  <c r="AD50" i="15"/>
  <c r="O84" i="16"/>
  <c r="E84" i="16" s="1"/>
  <c r="O101" i="16"/>
  <c r="E101" i="16" s="1"/>
  <c r="O93" i="16"/>
  <c r="E93" i="16" s="1"/>
  <c r="O104" i="16"/>
  <c r="E104" i="16" s="1"/>
  <c r="O65" i="16"/>
  <c r="E65" i="16" s="1"/>
  <c r="O86" i="16"/>
  <c r="E86" i="16" s="1"/>
  <c r="O88" i="16"/>
  <c r="E88" i="16" s="1"/>
  <c r="AJ10" i="17"/>
  <c r="AJ12" i="17" s="1"/>
  <c r="O46" i="16"/>
  <c r="E46" i="16" s="1"/>
  <c r="O52" i="16"/>
  <c r="E52" i="16" s="1"/>
  <c r="O83" i="16"/>
  <c r="E83" i="16" s="1"/>
  <c r="O48" i="16"/>
  <c r="E48" i="16" s="1"/>
  <c r="O63" i="16"/>
  <c r="E63" i="16" s="1"/>
  <c r="O64" i="16"/>
  <c r="E64" i="16" s="1"/>
  <c r="O67" i="16"/>
  <c r="E67" i="16" s="1"/>
  <c r="O106" i="16"/>
  <c r="E106" i="16" s="1"/>
  <c r="O76" i="16"/>
  <c r="E76" i="16" s="1"/>
  <c r="O82" i="16"/>
  <c r="E82" i="16" s="1"/>
  <c r="AC64" i="16"/>
  <c r="AC60" i="16"/>
  <c r="AC84" i="16"/>
  <c r="AC102" i="16"/>
  <c r="AC104" i="16"/>
  <c r="AC66" i="16"/>
  <c r="AC103" i="16"/>
  <c r="AC70" i="16"/>
  <c r="AC62" i="16"/>
  <c r="AC78" i="16"/>
  <c r="AC49" i="16"/>
  <c r="AC88" i="16"/>
  <c r="AC54" i="16"/>
  <c r="AC71" i="16"/>
  <c r="AC53" i="16"/>
  <c r="AC108" i="16"/>
  <c r="AC101" i="16"/>
  <c r="AC65" i="16"/>
  <c r="AC68" i="16"/>
  <c r="AC63" i="16"/>
  <c r="AC87" i="16"/>
  <c r="AC106" i="16"/>
  <c r="AC99" i="16"/>
  <c r="AC52" i="16"/>
  <c r="AC98" i="16"/>
  <c r="AC82" i="16"/>
  <c r="AC57" i="16"/>
  <c r="AC76" i="16"/>
  <c r="AC77" i="16"/>
  <c r="AC69" i="16"/>
  <c r="AC50" i="16"/>
  <c r="AC105" i="16"/>
  <c r="AC73" i="16"/>
  <c r="AC107" i="16"/>
  <c r="AC81" i="16"/>
  <c r="O66" i="16"/>
  <c r="E66" i="16" s="1"/>
  <c r="O103" i="16"/>
  <c r="E103" i="16" s="1"/>
  <c r="O81" i="16"/>
  <c r="E81" i="16" s="1"/>
  <c r="O57" i="16"/>
  <c r="E57" i="16" s="1"/>
  <c r="O98" i="16"/>
  <c r="E98" i="16" s="1"/>
  <c r="O110" i="16"/>
  <c r="E110" i="16" s="1"/>
  <c r="O71" i="16"/>
  <c r="E71" i="16" s="1"/>
  <c r="O92" i="16"/>
  <c r="E92" i="16" s="1"/>
  <c r="O53" i="16"/>
  <c r="E53" i="16" s="1"/>
  <c r="O85" i="16"/>
  <c r="E85" i="16" s="1"/>
  <c r="O61" i="16"/>
  <c r="E61" i="16" s="1"/>
  <c r="O54" i="16"/>
  <c r="E54" i="16" s="1"/>
  <c r="O91" i="16"/>
  <c r="E91" i="16" s="1"/>
  <c r="O72" i="16"/>
  <c r="E72" i="16" s="1"/>
  <c r="O62" i="16"/>
  <c r="E62" i="16" s="1"/>
  <c r="O75" i="16"/>
  <c r="E75" i="16" s="1"/>
  <c r="O56" i="16"/>
  <c r="E56" i="16" s="1"/>
  <c r="O97" i="16"/>
  <c r="E97" i="16" s="1"/>
  <c r="O68" i="16"/>
  <c r="E68" i="16" s="1"/>
  <c r="O59" i="16"/>
  <c r="E59" i="16" s="1"/>
  <c r="O90" i="16"/>
  <c r="E90" i="16" s="1"/>
  <c r="O105" i="16"/>
  <c r="E105" i="16" s="1"/>
  <c r="O69" i="16"/>
  <c r="E69" i="16" s="1"/>
  <c r="O80" i="16"/>
  <c r="E80" i="16" s="1"/>
  <c r="AC48" i="16"/>
  <c r="AC79" i="16"/>
  <c r="AC109" i="16"/>
  <c r="AC97" i="16"/>
  <c r="AC61" i="16"/>
  <c r="AC86" i="16"/>
  <c r="AC67" i="16"/>
  <c r="AC89" i="16"/>
  <c r="AC51" i="16"/>
  <c r="AC47" i="16"/>
  <c r="AC85" i="16"/>
  <c r="AC74" i="16"/>
  <c r="AC100" i="16"/>
  <c r="AC72" i="16"/>
  <c r="AC93" i="16"/>
  <c r="AC59" i="16"/>
  <c r="AC83" i="16"/>
  <c r="AC56" i="16"/>
  <c r="AC90" i="16"/>
  <c r="AC80" i="16"/>
  <c r="AC55" i="16"/>
  <c r="AC110" i="16"/>
  <c r="AC58" i="16"/>
  <c r="AC96" i="16"/>
  <c r="AC92" i="16"/>
  <c r="AC46" i="16"/>
  <c r="AC95" i="16"/>
  <c r="AC91" i="16"/>
  <c r="AC94" i="16"/>
  <c r="O109" i="16"/>
  <c r="E109" i="16" s="1"/>
  <c r="O26" i="16"/>
  <c r="E26" i="16" s="1"/>
  <c r="O49" i="16"/>
  <c r="E49" i="16" s="1"/>
  <c r="O94" i="16"/>
  <c r="E94" i="16" s="1"/>
  <c r="O55" i="16"/>
  <c r="E55" i="16" s="1"/>
  <c r="O108" i="16"/>
  <c r="E108" i="16" s="1"/>
  <c r="O51" i="16"/>
  <c r="E51" i="16" s="1"/>
  <c r="O87" i="16"/>
  <c r="E87" i="16" s="1"/>
  <c r="O25" i="16"/>
  <c r="E25" i="16" s="1"/>
  <c r="O102" i="16"/>
  <c r="E102" i="16" s="1"/>
  <c r="O23" i="16"/>
  <c r="E23" i="16" s="1"/>
  <c r="O50" i="16"/>
  <c r="E50" i="16" s="1"/>
  <c r="O96" i="16"/>
  <c r="E96" i="16" s="1"/>
  <c r="O17" i="16"/>
  <c r="E17" i="16" s="1"/>
  <c r="O70" i="16"/>
  <c r="E70" i="16" s="1"/>
  <c r="O107" i="16"/>
  <c r="E107" i="16" s="1"/>
  <c r="O95" i="16"/>
  <c r="E95" i="16" s="1"/>
  <c r="O34" i="16"/>
  <c r="E34" i="16" s="1"/>
  <c r="O60" i="16"/>
  <c r="E60" i="16" s="1"/>
  <c r="O100" i="16"/>
  <c r="E100" i="16" s="1"/>
  <c r="O58" i="16"/>
  <c r="E58" i="16" s="1"/>
  <c r="O20" i="16"/>
  <c r="E20" i="16" s="1"/>
  <c r="O47" i="16"/>
  <c r="E47" i="16" s="1"/>
  <c r="O74" i="16"/>
  <c r="E74" i="16" s="1"/>
  <c r="AA221" i="1"/>
  <c r="Z221" i="1" s="1"/>
  <c r="Y221" i="1" s="1"/>
  <c r="AA210" i="1"/>
  <c r="Z210" i="1" s="1"/>
  <c r="Y210" i="1" s="1"/>
  <c r="AA302" i="1"/>
  <c r="Z302" i="1" s="1"/>
  <c r="Y302" i="1" s="1"/>
  <c r="G302" i="1"/>
  <c r="BW302" i="6" s="1"/>
  <c r="G379" i="1"/>
  <c r="BW379" i="6" s="1"/>
  <c r="I379" i="1"/>
  <c r="AA84" i="1"/>
  <c r="Z84" i="1" s="1"/>
  <c r="Y84" i="1" s="1"/>
  <c r="AA90" i="1"/>
  <c r="Z90" i="1" s="1"/>
  <c r="Y90" i="1" s="1"/>
  <c r="E379" i="15"/>
  <c r="C36" i="19"/>
  <c r="AA85" i="1"/>
  <c r="Z85" i="1" s="1"/>
  <c r="Y85" i="1" s="1"/>
  <c r="AA270" i="1"/>
  <c r="Z270" i="1" s="1"/>
  <c r="Y270" i="1" s="1"/>
  <c r="AA257" i="1"/>
  <c r="Z257" i="1" s="1"/>
  <c r="Y257" i="1" s="1"/>
  <c r="U282" i="15"/>
  <c r="T282" i="15" s="1"/>
  <c r="U197" i="15"/>
  <c r="T197" i="15" s="1"/>
  <c r="S197" i="15" s="1"/>
  <c r="R197" i="15" s="1"/>
  <c r="P197" i="15" s="1"/>
  <c r="V197" i="15" s="1"/>
  <c r="F197" i="15" s="1"/>
  <c r="U349" i="15"/>
  <c r="T349" i="15" s="1"/>
  <c r="S349" i="15" s="1"/>
  <c r="R349" i="15" s="1"/>
  <c r="U75" i="15"/>
  <c r="T75" i="15" s="1"/>
  <c r="U145" i="15"/>
  <c r="T145" i="15" s="1"/>
  <c r="U73" i="15"/>
  <c r="T73" i="15" s="1"/>
  <c r="S73" i="15" s="1"/>
  <c r="R73" i="15" s="1"/>
  <c r="P73" i="15" s="1"/>
  <c r="V73" i="15" s="1"/>
  <c r="U228" i="15"/>
  <c r="T228" i="15" s="1"/>
  <c r="U26" i="15"/>
  <c r="T26" i="15" s="1"/>
  <c r="U238" i="15"/>
  <c r="T238" i="15" s="1"/>
  <c r="U104" i="15"/>
  <c r="T104" i="15" s="1"/>
  <c r="U82" i="15"/>
  <c r="T82" i="15" s="1"/>
  <c r="U294" i="15"/>
  <c r="T294" i="15" s="1"/>
  <c r="S294" i="15" s="1"/>
  <c r="R294" i="15" s="1"/>
  <c r="P294" i="15" s="1"/>
  <c r="V294" i="15" s="1"/>
  <c r="U311" i="15"/>
  <c r="T311" i="15" s="1"/>
  <c r="S311" i="15" s="1"/>
  <c r="R311" i="15" s="1"/>
  <c r="U117" i="15"/>
  <c r="T117" i="15" s="1"/>
  <c r="U212" i="15"/>
  <c r="T212" i="15" s="1"/>
  <c r="U256" i="15"/>
  <c r="T256" i="15" s="1"/>
  <c r="U67" i="15"/>
  <c r="T67" i="15" s="1"/>
  <c r="S67" i="15" s="1"/>
  <c r="R67" i="15" s="1"/>
  <c r="P67" i="15" s="1"/>
  <c r="V67" i="15" s="1"/>
  <c r="F67" i="15" s="1"/>
  <c r="H67" i="15" s="1"/>
  <c r="U164" i="15"/>
  <c r="T164" i="15" s="1"/>
  <c r="U329" i="15"/>
  <c r="T329" i="15" s="1"/>
  <c r="S329" i="15" s="1"/>
  <c r="R329" i="15" s="1"/>
  <c r="U76" i="15"/>
  <c r="T76" i="15" s="1"/>
  <c r="S76" i="15" s="1"/>
  <c r="R76" i="15" s="1"/>
  <c r="U332" i="15"/>
  <c r="T332" i="15" s="1"/>
  <c r="S332" i="15" s="1"/>
  <c r="R332" i="15" s="1"/>
  <c r="U65" i="15"/>
  <c r="T65" i="15" s="1"/>
  <c r="U47" i="15"/>
  <c r="T47" i="15" s="1"/>
  <c r="S47" i="15" s="1"/>
  <c r="R47" i="15" s="1"/>
  <c r="P47" i="15" s="1"/>
  <c r="V47" i="15" s="1"/>
  <c r="U360" i="15"/>
  <c r="T360" i="15" s="1"/>
  <c r="U275" i="15"/>
  <c r="T275" i="15" s="1"/>
  <c r="S275" i="15" s="1"/>
  <c r="R275" i="15" s="1"/>
  <c r="U159" i="15"/>
  <c r="T159" i="15" s="1"/>
  <c r="U121" i="15"/>
  <c r="T121" i="15" s="1"/>
  <c r="U303" i="15"/>
  <c r="T303" i="15" s="1"/>
  <c r="S303" i="15" s="1"/>
  <c r="R303" i="15" s="1"/>
  <c r="U193" i="15"/>
  <c r="T193" i="15" s="1"/>
  <c r="U299" i="15"/>
  <c r="T299" i="15" s="1"/>
  <c r="U172" i="15"/>
  <c r="T172" i="15" s="1"/>
  <c r="U179" i="15"/>
  <c r="T179" i="15" s="1"/>
  <c r="S179" i="15" s="1"/>
  <c r="R179" i="15" s="1"/>
  <c r="P179" i="15" s="1"/>
  <c r="V179" i="15" s="1"/>
  <c r="F179" i="15" s="1"/>
  <c r="H179" i="15" s="1"/>
  <c r="U312" i="15"/>
  <c r="T312" i="15" s="1"/>
  <c r="S312" i="15" s="1"/>
  <c r="R312" i="15" s="1"/>
  <c r="U323" i="15"/>
  <c r="T323" i="15" s="1"/>
  <c r="U16" i="15"/>
  <c r="T16" i="15" s="1"/>
  <c r="U308" i="15"/>
  <c r="T308" i="15" s="1"/>
  <c r="U245" i="15"/>
  <c r="T245" i="15" s="1"/>
  <c r="U112" i="15"/>
  <c r="T112" i="15" s="1"/>
  <c r="U93" i="15"/>
  <c r="T93" i="15" s="1"/>
  <c r="U210" i="15"/>
  <c r="T210" i="15" s="1"/>
  <c r="U346" i="15"/>
  <c r="T346" i="15" s="1"/>
  <c r="U366" i="15"/>
  <c r="T366" i="15" s="1"/>
  <c r="U42" i="15"/>
  <c r="T42" i="15" s="1"/>
  <c r="S42" i="15" s="1"/>
  <c r="R42" i="15" s="1"/>
  <c r="P42" i="15" s="1"/>
  <c r="V42" i="15" s="1"/>
  <c r="F42" i="15" s="1"/>
  <c r="H42" i="15" s="1"/>
  <c r="J42" i="15" s="1"/>
  <c r="U106" i="15"/>
  <c r="T106" i="15" s="1"/>
  <c r="U170" i="15"/>
  <c r="T170" i="15" s="1"/>
  <c r="S170" i="15" s="1"/>
  <c r="R170" i="15" s="1"/>
  <c r="P170" i="15" s="1"/>
  <c r="V170" i="15" s="1"/>
  <c r="U234" i="15"/>
  <c r="T234" i="15" s="1"/>
  <c r="S234" i="15" s="1"/>
  <c r="R234" i="15" s="1"/>
  <c r="U298" i="15"/>
  <c r="T298" i="15" s="1"/>
  <c r="S298" i="15" s="1"/>
  <c r="R298" i="15" s="1"/>
  <c r="U62" i="15"/>
  <c r="T62" i="15" s="1"/>
  <c r="S62" i="15" s="1"/>
  <c r="R62" i="15" s="1"/>
  <c r="P62" i="15" s="1"/>
  <c r="V62" i="15" s="1"/>
  <c r="F62" i="15" s="1"/>
  <c r="H62" i="15" s="1"/>
  <c r="J62" i="15" s="1"/>
  <c r="U126" i="15"/>
  <c r="T126" i="15" s="1"/>
  <c r="U190" i="15"/>
  <c r="T190" i="15" s="1"/>
  <c r="S190" i="15" s="1"/>
  <c r="R190" i="15" s="1"/>
  <c r="P190" i="15" s="1"/>
  <c r="V190" i="15" s="1"/>
  <c r="F190" i="15" s="1"/>
  <c r="G190" i="15" s="1"/>
  <c r="BX190" i="6" s="1"/>
  <c r="U254" i="15"/>
  <c r="T254" i="15" s="1"/>
  <c r="U318" i="15"/>
  <c r="T318" i="15" s="1"/>
  <c r="S318" i="15" s="1"/>
  <c r="R318" i="15" s="1"/>
  <c r="P318" i="15" s="1"/>
  <c r="V318" i="15" s="1"/>
  <c r="F318" i="15" s="1"/>
  <c r="H318" i="15" s="1"/>
  <c r="I318" i="15" s="1"/>
  <c r="U379" i="15"/>
  <c r="U141" i="15"/>
  <c r="T141" i="15" s="1"/>
  <c r="U269" i="15"/>
  <c r="T269" i="15" s="1"/>
  <c r="U91" i="15"/>
  <c r="T91" i="15" s="1"/>
  <c r="U183" i="15"/>
  <c r="T183" i="15" s="1"/>
  <c r="S183" i="15" s="1"/>
  <c r="R183" i="15" s="1"/>
  <c r="P183" i="15" s="1"/>
  <c r="V183" i="15" s="1"/>
  <c r="U56" i="15"/>
  <c r="T56" i="15" s="1"/>
  <c r="S56" i="15" s="1"/>
  <c r="R56" i="15" s="1"/>
  <c r="P56" i="15" s="1"/>
  <c r="V56" i="15" s="1"/>
  <c r="F56" i="15" s="1"/>
  <c r="G56" i="15" s="1"/>
  <c r="BX56" i="6" s="1"/>
  <c r="U120" i="15"/>
  <c r="T120" i="15" s="1"/>
  <c r="U184" i="15"/>
  <c r="T184" i="15" s="1"/>
  <c r="S184" i="15" s="1"/>
  <c r="R184" i="15" s="1"/>
  <c r="P184" i="15" s="1"/>
  <c r="V184" i="15" s="1"/>
  <c r="F184" i="15" s="1"/>
  <c r="U362" i="15"/>
  <c r="T362" i="15" s="1"/>
  <c r="U101" i="15"/>
  <c r="T101" i="15" s="1"/>
  <c r="U229" i="15"/>
  <c r="T229" i="15" s="1"/>
  <c r="S229" i="15" s="1"/>
  <c r="R229" i="15" s="1"/>
  <c r="P229" i="15" s="1"/>
  <c r="V229" i="15" s="1"/>
  <c r="F229" i="15" s="1"/>
  <c r="U357" i="15"/>
  <c r="T357" i="15" s="1"/>
  <c r="S357" i="15" s="1"/>
  <c r="R357" i="15" s="1"/>
  <c r="P357" i="15" s="1"/>
  <c r="V357" i="15" s="1"/>
  <c r="F357" i="15" s="1"/>
  <c r="G357" i="15" s="1"/>
  <c r="BX357" i="6" s="1"/>
  <c r="U167" i="15"/>
  <c r="T167" i="15" s="1"/>
  <c r="S167" i="15" s="1"/>
  <c r="R167" i="15" s="1"/>
  <c r="P167" i="15" s="1"/>
  <c r="V167" i="15" s="1"/>
  <c r="U34" i="15"/>
  <c r="T34" i="15" s="1"/>
  <c r="U98" i="15"/>
  <c r="T98" i="15" s="1"/>
  <c r="U162" i="15"/>
  <c r="T162" i="15" s="1"/>
  <c r="U226" i="15"/>
  <c r="T226" i="15" s="1"/>
  <c r="U290" i="15"/>
  <c r="T290" i="15" s="1"/>
  <c r="S290" i="15" s="1"/>
  <c r="R290" i="15" s="1"/>
  <c r="P290" i="15" s="1"/>
  <c r="V290" i="15" s="1"/>
  <c r="F290" i="15" s="1"/>
  <c r="G290" i="15" s="1"/>
  <c r="BX290" i="6" s="1"/>
  <c r="U54" i="15"/>
  <c r="T54" i="15" s="1"/>
  <c r="S54" i="15" s="1"/>
  <c r="R54" i="15" s="1"/>
  <c r="P54" i="15" s="1"/>
  <c r="V54" i="15" s="1"/>
  <c r="U118" i="15"/>
  <c r="T118" i="15" s="1"/>
  <c r="U182" i="15"/>
  <c r="T182" i="15" s="1"/>
  <c r="S182" i="15" s="1"/>
  <c r="R182" i="15" s="1"/>
  <c r="P182" i="15" s="1"/>
  <c r="V182" i="15" s="1"/>
  <c r="U246" i="15"/>
  <c r="T246" i="15" s="1"/>
  <c r="U310" i="15"/>
  <c r="T310" i="15" s="1"/>
  <c r="S310" i="15" s="1"/>
  <c r="R310" i="15" s="1"/>
  <c r="P310" i="15" s="1"/>
  <c r="V310" i="15" s="1"/>
  <c r="F310" i="15" s="1"/>
  <c r="G310" i="15" s="1"/>
  <c r="BX310" i="6" s="1"/>
  <c r="U374" i="15"/>
  <c r="T374" i="15" s="1"/>
  <c r="U125" i="15"/>
  <c r="T125" i="15" s="1"/>
  <c r="U253" i="15"/>
  <c r="T253" i="15" s="1"/>
  <c r="U27" i="15"/>
  <c r="T27" i="15" s="1"/>
  <c r="U187" i="15"/>
  <c r="T187" i="15" s="1"/>
  <c r="S187" i="15" s="1"/>
  <c r="R187" i="15" s="1"/>
  <c r="P187" i="15" s="1"/>
  <c r="V187" i="15" s="1"/>
  <c r="U347" i="15"/>
  <c r="T347" i="15" s="1"/>
  <c r="S347" i="15" s="1"/>
  <c r="R347" i="15" s="1"/>
  <c r="P347" i="15" s="1"/>
  <c r="V347" i="15" s="1"/>
  <c r="F347" i="15" s="1"/>
  <c r="U215" i="15"/>
  <c r="T215" i="15" s="1"/>
  <c r="S215" i="15" s="1"/>
  <c r="R215" i="15" s="1"/>
  <c r="P215" i="15" s="1"/>
  <c r="V215" i="15" s="1"/>
  <c r="F215" i="15" s="1"/>
  <c r="H215" i="15" s="1"/>
  <c r="I215" i="15" s="1"/>
  <c r="U343" i="15"/>
  <c r="T343" i="15" s="1"/>
  <c r="S343" i="15" s="1"/>
  <c r="R343" i="15" s="1"/>
  <c r="P343" i="15" s="1"/>
  <c r="V343" i="15" s="1"/>
  <c r="F343" i="15" s="1"/>
  <c r="G343" i="15" s="1"/>
  <c r="BX343" i="6" s="1"/>
  <c r="U64" i="15"/>
  <c r="T64" i="15" s="1"/>
  <c r="S64" i="15" s="1"/>
  <c r="R64" i="15" s="1"/>
  <c r="P64" i="15" s="1"/>
  <c r="V64" i="15" s="1"/>
  <c r="U128" i="15"/>
  <c r="T128" i="15" s="1"/>
  <c r="U122" i="15"/>
  <c r="T122" i="15" s="1"/>
  <c r="S122" i="15" s="1"/>
  <c r="R122" i="15" s="1"/>
  <c r="P122" i="15" s="1"/>
  <c r="V122" i="15" s="1"/>
  <c r="F122" i="15" s="1"/>
  <c r="U250" i="15"/>
  <c r="T250" i="15" s="1"/>
  <c r="U78" i="15"/>
  <c r="T78" i="15" s="1"/>
  <c r="U249" i="15"/>
  <c r="T249" i="15" s="1"/>
  <c r="U154" i="15"/>
  <c r="T154" i="15" s="1"/>
  <c r="U19" i="15"/>
  <c r="T19" i="15" s="1"/>
  <c r="U232" i="15"/>
  <c r="T232" i="15" s="1"/>
  <c r="U163" i="15"/>
  <c r="T163" i="15" s="1"/>
  <c r="S163" i="15" s="1"/>
  <c r="R163" i="15" s="1"/>
  <c r="P163" i="15" s="1"/>
  <c r="V163" i="15" s="1"/>
  <c r="F163" i="15" s="1"/>
  <c r="G163" i="15" s="1"/>
  <c r="BX163" i="6" s="1"/>
  <c r="U304" i="15"/>
  <c r="T304" i="15" s="1"/>
  <c r="S304" i="15" s="1"/>
  <c r="R304" i="15" s="1"/>
  <c r="U284" i="15"/>
  <c r="T284" i="15" s="1"/>
  <c r="U319" i="15"/>
  <c r="T319" i="15" s="1"/>
  <c r="U201" i="15"/>
  <c r="T201" i="15" s="1"/>
  <c r="U235" i="15"/>
  <c r="T235" i="15" s="1"/>
  <c r="U273" i="15"/>
  <c r="T273" i="15" s="1"/>
  <c r="U52" i="15"/>
  <c r="T52" i="15" s="1"/>
  <c r="U359" i="15"/>
  <c r="T359" i="15" s="1"/>
  <c r="U370" i="15"/>
  <c r="T370" i="15" s="1"/>
  <c r="U315" i="15"/>
  <c r="T315" i="15" s="1"/>
  <c r="S315" i="15" s="1"/>
  <c r="R315" i="15" s="1"/>
  <c r="U166" i="15"/>
  <c r="T166" i="15" s="1"/>
  <c r="U39" i="15"/>
  <c r="T39" i="15" s="1"/>
  <c r="U119" i="15"/>
  <c r="T119" i="15" s="1"/>
  <c r="U110" i="15"/>
  <c r="T110" i="15" s="1"/>
  <c r="K16" i="7"/>
  <c r="U74" i="15"/>
  <c r="T74" i="15" s="1"/>
  <c r="S74" i="15" s="1"/>
  <c r="R74" i="15" s="1"/>
  <c r="P74" i="15" s="1"/>
  <c r="V74" i="15" s="1"/>
  <c r="F74" i="15" s="1"/>
  <c r="U138" i="15"/>
  <c r="T138" i="15" s="1"/>
  <c r="U202" i="15"/>
  <c r="T202" i="15" s="1"/>
  <c r="S202" i="15" s="1"/>
  <c r="R202" i="15" s="1"/>
  <c r="P202" i="15" s="1"/>
  <c r="V202" i="15" s="1"/>
  <c r="F202" i="15" s="1"/>
  <c r="U266" i="15"/>
  <c r="T266" i="15" s="1"/>
  <c r="U30" i="15"/>
  <c r="T30" i="15" s="1"/>
  <c r="U94" i="15"/>
  <c r="T94" i="15" s="1"/>
  <c r="U158" i="15"/>
  <c r="T158" i="15" s="1"/>
  <c r="U222" i="15"/>
  <c r="T222" i="15" s="1"/>
  <c r="U286" i="15"/>
  <c r="T286" i="15" s="1"/>
  <c r="S286" i="15" s="1"/>
  <c r="R286" i="15" s="1"/>
  <c r="U350" i="15"/>
  <c r="T350" i="15" s="1"/>
  <c r="S350" i="15" s="1"/>
  <c r="R350" i="15" s="1"/>
  <c r="P350" i="15" s="1"/>
  <c r="V350" i="15" s="1"/>
  <c r="F350" i="15" s="1"/>
  <c r="G350" i="15" s="1"/>
  <c r="BX350" i="6" s="1"/>
  <c r="U77" i="15"/>
  <c r="T77" i="15" s="1"/>
  <c r="S77" i="15" s="1"/>
  <c r="R77" i="15" s="1"/>
  <c r="P77" i="15" s="1"/>
  <c r="V77" i="15" s="1"/>
  <c r="F77" i="15" s="1"/>
  <c r="G77" i="15" s="1"/>
  <c r="BX77" i="6" s="1"/>
  <c r="U205" i="15"/>
  <c r="T205" i="15" s="1"/>
  <c r="S205" i="15" s="1"/>
  <c r="R205" i="15" s="1"/>
  <c r="U333" i="15"/>
  <c r="T333" i="15" s="1"/>
  <c r="S333" i="15" s="1"/>
  <c r="R333" i="15" s="1"/>
  <c r="P333" i="15" s="1"/>
  <c r="V333" i="15" s="1"/>
  <c r="U55" i="15"/>
  <c r="T55" i="15" s="1"/>
  <c r="S55" i="15" s="1"/>
  <c r="R55" i="15" s="1"/>
  <c r="P55" i="15" s="1"/>
  <c r="V55" i="15" s="1"/>
  <c r="F55" i="15" s="1"/>
  <c r="H55" i="15" s="1"/>
  <c r="U24" i="15"/>
  <c r="T24" i="15" s="1"/>
  <c r="U88" i="15"/>
  <c r="T88" i="15" s="1"/>
  <c r="U330" i="15"/>
  <c r="T330" i="15" s="1"/>
  <c r="S330" i="15" s="1"/>
  <c r="R330" i="15" s="1"/>
  <c r="P330" i="15" s="1"/>
  <c r="V330" i="15" s="1"/>
  <c r="F330" i="15" s="1"/>
  <c r="G330" i="15" s="1"/>
  <c r="BX330" i="6" s="1"/>
  <c r="U165" i="15"/>
  <c r="T165" i="15" s="1"/>
  <c r="U267" i="15"/>
  <c r="T267" i="15" s="1"/>
  <c r="U66" i="15"/>
  <c r="T66" i="15" s="1"/>
  <c r="S66" i="15" s="1"/>
  <c r="R66" i="15" s="1"/>
  <c r="U194" i="15"/>
  <c r="T194" i="15" s="1"/>
  <c r="S194" i="15" s="1"/>
  <c r="R194" i="15" s="1"/>
  <c r="P194" i="15" s="1"/>
  <c r="V194" i="15" s="1"/>
  <c r="F194" i="15" s="1"/>
  <c r="U22" i="15"/>
  <c r="T22" i="15" s="1"/>
  <c r="U150" i="15"/>
  <c r="T150" i="15" s="1"/>
  <c r="U278" i="15"/>
  <c r="T278" i="15" s="1"/>
  <c r="S278" i="15" s="1"/>
  <c r="R278" i="15" s="1"/>
  <c r="P278" i="15" s="1"/>
  <c r="V278" i="15" s="1"/>
  <c r="F278" i="15" s="1"/>
  <c r="U61" i="15"/>
  <c r="T61" i="15" s="1"/>
  <c r="S61" i="15" s="1"/>
  <c r="R61" i="15" s="1"/>
  <c r="P61" i="15" s="1"/>
  <c r="V61" i="15" s="1"/>
  <c r="F61" i="15" s="1"/>
  <c r="U317" i="15"/>
  <c r="T317" i="15" s="1"/>
  <c r="S317" i="15" s="1"/>
  <c r="R317" i="15" s="1"/>
  <c r="P317" i="15" s="1"/>
  <c r="V317" i="15" s="1"/>
  <c r="F317" i="15" s="1"/>
  <c r="U251" i="15"/>
  <c r="T251" i="15" s="1"/>
  <c r="U279" i="15"/>
  <c r="T279" i="15" s="1"/>
  <c r="U96" i="15"/>
  <c r="T96" i="15" s="1"/>
  <c r="U186" i="15"/>
  <c r="T186" i="15" s="1"/>
  <c r="S186" i="15" s="1"/>
  <c r="R186" i="15" s="1"/>
  <c r="P186" i="15" s="1"/>
  <c r="V186" i="15" s="1"/>
  <c r="F186" i="15" s="1"/>
  <c r="G186" i="15" s="1"/>
  <c r="BX186" i="6" s="1"/>
  <c r="U142" i="15"/>
  <c r="T142" i="15" s="1"/>
  <c r="U270" i="15"/>
  <c r="T270" i="15" s="1"/>
  <c r="U45" i="15"/>
  <c r="T45" i="15" s="1"/>
  <c r="S45" i="15" s="1"/>
  <c r="R45" i="15" s="1"/>
  <c r="P45" i="15" s="1"/>
  <c r="V45" i="15" s="1"/>
  <c r="F45" i="15" s="1"/>
  <c r="G45" i="15" s="1"/>
  <c r="BX45" i="6" s="1"/>
  <c r="U301" i="15"/>
  <c r="T301" i="15" s="1"/>
  <c r="U375" i="15"/>
  <c r="T375" i="15" s="1"/>
  <c r="S375" i="15" s="1"/>
  <c r="R375" i="15" s="1"/>
  <c r="U136" i="15"/>
  <c r="T136" i="15" s="1"/>
  <c r="U377" i="15"/>
  <c r="T377" i="15" s="1"/>
  <c r="U261" i="15"/>
  <c r="T261" i="15" s="1"/>
  <c r="U295" i="15"/>
  <c r="T295" i="15" s="1"/>
  <c r="S295" i="15" s="1"/>
  <c r="R295" i="15" s="1"/>
  <c r="P295" i="15" s="1"/>
  <c r="V295" i="15" s="1"/>
  <c r="F295" i="15" s="1"/>
  <c r="G295" i="15" s="1"/>
  <c r="BX295" i="6" s="1"/>
  <c r="U114" i="15"/>
  <c r="T114" i="15" s="1"/>
  <c r="U242" i="15"/>
  <c r="T242" i="15" s="1"/>
  <c r="U70" i="15"/>
  <c r="T70" i="15" s="1"/>
  <c r="S70" i="15" s="1"/>
  <c r="R70" i="15" s="1"/>
  <c r="P70" i="15" s="1"/>
  <c r="V70" i="15" s="1"/>
  <c r="F70" i="15" s="1"/>
  <c r="H70" i="15" s="1"/>
  <c r="I70" i="15" s="1"/>
  <c r="U198" i="15"/>
  <c r="T198" i="15" s="1"/>
  <c r="S198" i="15" s="1"/>
  <c r="R198" i="15" s="1"/>
  <c r="P198" i="15" s="1"/>
  <c r="V198" i="15" s="1"/>
  <c r="F198" i="15" s="1"/>
  <c r="U326" i="15"/>
  <c r="T326" i="15" s="1"/>
  <c r="U157" i="15"/>
  <c r="T157" i="15" s="1"/>
  <c r="U59" i="15"/>
  <c r="T59" i="15" s="1"/>
  <c r="S59" i="15" s="1"/>
  <c r="R59" i="15" s="1"/>
  <c r="P59" i="15" s="1"/>
  <c r="V59" i="15" s="1"/>
  <c r="U23" i="15"/>
  <c r="T23" i="15" s="1"/>
  <c r="U18" i="15"/>
  <c r="T18" i="15" s="1"/>
  <c r="U144" i="15"/>
  <c r="T144" i="15" s="1"/>
  <c r="U322" i="15"/>
  <c r="T322" i="15" s="1"/>
  <c r="S322" i="15" s="1"/>
  <c r="R322" i="15" s="1"/>
  <c r="P322" i="15" s="1"/>
  <c r="V322" i="15" s="1"/>
  <c r="F322" i="15" s="1"/>
  <c r="H322" i="15" s="1"/>
  <c r="U21" i="15"/>
  <c r="T21" i="15" s="1"/>
  <c r="U149" i="15"/>
  <c r="T149" i="15" s="1"/>
  <c r="U277" i="15"/>
  <c r="T277" i="15" s="1"/>
  <c r="S277" i="15" s="1"/>
  <c r="R277" i="15" s="1"/>
  <c r="P277" i="15" s="1"/>
  <c r="V277" i="15" s="1"/>
  <c r="F277" i="15" s="1"/>
  <c r="G277" i="15" s="1"/>
  <c r="BX277" i="6" s="1"/>
  <c r="U203" i="15"/>
  <c r="T203" i="15" s="1"/>
  <c r="S203" i="15" s="1"/>
  <c r="R203" i="15" s="1"/>
  <c r="P203" i="15" s="1"/>
  <c r="V203" i="15" s="1"/>
  <c r="F203" i="15" s="1"/>
  <c r="U60" i="15"/>
  <c r="T60" i="15" s="1"/>
  <c r="S60" i="15" s="1"/>
  <c r="R60" i="15" s="1"/>
  <c r="P60" i="15" s="1"/>
  <c r="V60" i="15" s="1"/>
  <c r="U244" i="15"/>
  <c r="T244" i="15" s="1"/>
  <c r="U324" i="15"/>
  <c r="T324" i="15" s="1"/>
  <c r="S324" i="15" s="1"/>
  <c r="R324" i="15" s="1"/>
  <c r="P324" i="15" s="1"/>
  <c r="V324" i="15" s="1"/>
  <c r="F324" i="15" s="1"/>
  <c r="U171" i="15"/>
  <c r="T171" i="15" s="1"/>
  <c r="S171" i="15" s="1"/>
  <c r="R171" i="15" s="1"/>
  <c r="P171" i="15" s="1"/>
  <c r="V171" i="15" s="1"/>
  <c r="F171" i="15" s="1"/>
  <c r="U116" i="15"/>
  <c r="T116" i="15" s="1"/>
  <c r="U288" i="15"/>
  <c r="T288" i="15" s="1"/>
  <c r="S288" i="15" s="1"/>
  <c r="R288" i="15" s="1"/>
  <c r="P288" i="15" s="1"/>
  <c r="V288" i="15" s="1"/>
  <c r="F288" i="15" s="1"/>
  <c r="G288" i="15" s="1"/>
  <c r="BX288" i="6" s="1"/>
  <c r="U49" i="15"/>
  <c r="T49" i="15" s="1"/>
  <c r="S49" i="15" s="1"/>
  <c r="R49" i="15" s="1"/>
  <c r="P49" i="15" s="1"/>
  <c r="V49" i="15" s="1"/>
  <c r="F49" i="15" s="1"/>
  <c r="H49" i="15" s="1"/>
  <c r="U177" i="15"/>
  <c r="T177" i="15" s="1"/>
  <c r="S177" i="15" s="1"/>
  <c r="R177" i="15" s="1"/>
  <c r="P177" i="15" s="1"/>
  <c r="V177" i="15" s="1"/>
  <c r="F177" i="15" s="1"/>
  <c r="H177" i="15" s="1"/>
  <c r="U305" i="15"/>
  <c r="T305" i="15" s="1"/>
  <c r="S305" i="15" s="1"/>
  <c r="R305" i="15" s="1"/>
  <c r="P305" i="15" s="1"/>
  <c r="V305" i="15" s="1"/>
  <c r="F305" i="15" s="1"/>
  <c r="G305" i="15" s="1"/>
  <c r="BX305" i="6" s="1"/>
  <c r="U131" i="15"/>
  <c r="T131" i="15" s="1"/>
  <c r="S131" i="15" s="1"/>
  <c r="R131" i="15" s="1"/>
  <c r="P131" i="15" s="1"/>
  <c r="V131" i="15" s="1"/>
  <c r="F131" i="15" s="1"/>
  <c r="U15" i="15"/>
  <c r="U271" i="15"/>
  <c r="T271" i="15" s="1"/>
  <c r="U135" i="15"/>
  <c r="T135" i="15" s="1"/>
  <c r="U216" i="15"/>
  <c r="T216" i="15" s="1"/>
  <c r="U344" i="15"/>
  <c r="T344" i="15" s="1"/>
  <c r="S344" i="15" s="1"/>
  <c r="R344" i="15" s="1"/>
  <c r="P344" i="15" s="1"/>
  <c r="V344" i="15" s="1"/>
  <c r="F344" i="15" s="1"/>
  <c r="G344" i="15" s="1"/>
  <c r="BX344" i="6" s="1"/>
  <c r="U105" i="15"/>
  <c r="T105" i="15" s="1"/>
  <c r="U233" i="15"/>
  <c r="T233" i="15" s="1"/>
  <c r="S233" i="15" s="1"/>
  <c r="R233" i="15" s="1"/>
  <c r="U361" i="15"/>
  <c r="T361" i="15" s="1"/>
  <c r="S361" i="15" s="1"/>
  <c r="R361" i="15" s="1"/>
  <c r="U243" i="15"/>
  <c r="T243" i="15" s="1"/>
  <c r="U127" i="15"/>
  <c r="T127" i="15" s="1"/>
  <c r="U378" i="15"/>
  <c r="T378" i="15" s="1"/>
  <c r="U108" i="15"/>
  <c r="T108" i="15" s="1"/>
  <c r="U188" i="15"/>
  <c r="T188" i="15" s="1"/>
  <c r="S188" i="15" s="1"/>
  <c r="R188" i="15" s="1"/>
  <c r="P188" i="15" s="1"/>
  <c r="V188" i="15" s="1"/>
  <c r="F188" i="15" s="1"/>
  <c r="H188" i="15" s="1"/>
  <c r="I188" i="15" s="1"/>
  <c r="U236" i="15"/>
  <c r="T236" i="15" s="1"/>
  <c r="U292" i="15"/>
  <c r="T292" i="15" s="1"/>
  <c r="U348" i="15"/>
  <c r="T348" i="15" s="1"/>
  <c r="U199" i="15"/>
  <c r="T199" i="15" s="1"/>
  <c r="S199" i="15" s="1"/>
  <c r="R199" i="15" s="1"/>
  <c r="P199" i="15" s="1"/>
  <c r="V199" i="15" s="1"/>
  <c r="F199" i="15" s="1"/>
  <c r="U208" i="15"/>
  <c r="T208" i="15" s="1"/>
  <c r="U336" i="15"/>
  <c r="T336" i="15" s="1"/>
  <c r="S336" i="15" s="1"/>
  <c r="R336" i="15" s="1"/>
  <c r="P336" i="15" s="1"/>
  <c r="V336" i="15" s="1"/>
  <c r="F336" i="15" s="1"/>
  <c r="U97" i="15"/>
  <c r="T97" i="15" s="1"/>
  <c r="U225" i="15"/>
  <c r="T225" i="15" s="1"/>
  <c r="S225" i="15" s="1"/>
  <c r="R225" i="15" s="1"/>
  <c r="P225" i="15" s="1"/>
  <c r="V225" i="15" s="1"/>
  <c r="F225" i="15" s="1"/>
  <c r="U353" i="15"/>
  <c r="T353" i="15" s="1"/>
  <c r="S353" i="15" s="1"/>
  <c r="R353" i="15" s="1"/>
  <c r="P353" i="15" s="1"/>
  <c r="V353" i="15" s="1"/>
  <c r="F353" i="15" s="1"/>
  <c r="G353" i="15" s="1"/>
  <c r="BX353" i="6" s="1"/>
  <c r="U227" i="15"/>
  <c r="T227" i="15" s="1"/>
  <c r="U111" i="15"/>
  <c r="T111" i="15" s="1"/>
  <c r="U367" i="15"/>
  <c r="T367" i="15" s="1"/>
  <c r="U68" i="15"/>
  <c r="T68" i="15" s="1"/>
  <c r="S68" i="15" s="1"/>
  <c r="R68" i="15" s="1"/>
  <c r="P68" i="15" s="1"/>
  <c r="V68" i="15" s="1"/>
  <c r="F68" i="15" s="1"/>
  <c r="U264" i="15"/>
  <c r="T264" i="15" s="1"/>
  <c r="U25" i="15"/>
  <c r="T25" i="15" s="1"/>
  <c r="U153" i="15"/>
  <c r="T153" i="15" s="1"/>
  <c r="U281" i="15"/>
  <c r="T281" i="15" s="1"/>
  <c r="U83" i="15"/>
  <c r="T83" i="15" s="1"/>
  <c r="U339" i="15"/>
  <c r="T339" i="15" s="1"/>
  <c r="S339" i="15" s="1"/>
  <c r="R339" i="15" s="1"/>
  <c r="P339" i="15" s="1"/>
  <c r="V339" i="15" s="1"/>
  <c r="F339" i="15" s="1"/>
  <c r="G339" i="15" s="1"/>
  <c r="BX339" i="6" s="1"/>
  <c r="U223" i="15"/>
  <c r="T223" i="15" s="1"/>
  <c r="AI22" i="15"/>
  <c r="AH22" i="15" s="1"/>
  <c r="U152" i="15"/>
  <c r="T152" i="15" s="1"/>
  <c r="U37" i="15"/>
  <c r="T37" i="15" s="1"/>
  <c r="S37" i="15" s="1"/>
  <c r="R37" i="15" s="1"/>
  <c r="P37" i="15" s="1"/>
  <c r="V37" i="15" s="1"/>
  <c r="F37" i="15" s="1"/>
  <c r="H37" i="15" s="1"/>
  <c r="J37" i="15" s="1"/>
  <c r="U293" i="15"/>
  <c r="T293" i="15" s="1"/>
  <c r="U28" i="15"/>
  <c r="T28" i="15" s="1"/>
  <c r="U130" i="15"/>
  <c r="T130" i="15" s="1"/>
  <c r="U258" i="15"/>
  <c r="T258" i="15" s="1"/>
  <c r="U86" i="15"/>
  <c r="T86" i="15" s="1"/>
  <c r="U214" i="15"/>
  <c r="T214" i="15" s="1"/>
  <c r="U342" i="15"/>
  <c r="T342" i="15" s="1"/>
  <c r="U189" i="15"/>
  <c r="T189" i="15" s="1"/>
  <c r="S189" i="15" s="1"/>
  <c r="R189" i="15" s="1"/>
  <c r="P189" i="15" s="1"/>
  <c r="V189" i="15" s="1"/>
  <c r="U123" i="15"/>
  <c r="T123" i="15" s="1"/>
  <c r="U87" i="15"/>
  <c r="T87" i="15" s="1"/>
  <c r="U32" i="15"/>
  <c r="T32" i="15" s="1"/>
  <c r="U58" i="15"/>
  <c r="T58" i="15" s="1"/>
  <c r="S58" i="15" s="1"/>
  <c r="R58" i="15" s="1"/>
  <c r="P58" i="15" s="1"/>
  <c r="V58" i="15" s="1"/>
  <c r="U314" i="15"/>
  <c r="T314" i="15" s="1"/>
  <c r="S314" i="15" s="1"/>
  <c r="R314" i="15" s="1"/>
  <c r="P314" i="15" s="1"/>
  <c r="V314" i="15" s="1"/>
  <c r="U206" i="15"/>
  <c r="T206" i="15" s="1"/>
  <c r="U334" i="15"/>
  <c r="T334" i="15" s="1"/>
  <c r="S334" i="15" s="1"/>
  <c r="R334" i="15" s="1"/>
  <c r="P334" i="15" s="1"/>
  <c r="V334" i="15" s="1"/>
  <c r="F334" i="15" s="1"/>
  <c r="H334" i="15" s="1"/>
  <c r="J334" i="15" s="1"/>
  <c r="U173" i="15"/>
  <c r="T173" i="15" s="1"/>
  <c r="S173" i="15" s="1"/>
  <c r="R173" i="15" s="1"/>
  <c r="P173" i="15" s="1"/>
  <c r="V173" i="15" s="1"/>
  <c r="F173" i="15" s="1"/>
  <c r="H173" i="15" s="1"/>
  <c r="I173" i="15" s="1"/>
  <c r="U283" i="15"/>
  <c r="T283" i="15" s="1"/>
  <c r="S283" i="15" s="1"/>
  <c r="R283" i="15" s="1"/>
  <c r="P283" i="15" s="1"/>
  <c r="V283" i="15" s="1"/>
  <c r="F283" i="15" s="1"/>
  <c r="H283" i="15" s="1"/>
  <c r="J283" i="15" s="1"/>
  <c r="U72" i="15"/>
  <c r="T72" i="15" s="1"/>
  <c r="S72" i="15" s="1"/>
  <c r="R72" i="15" s="1"/>
  <c r="P72" i="15" s="1"/>
  <c r="V72" i="15" s="1"/>
  <c r="F72" i="15" s="1"/>
  <c r="H72" i="15" s="1"/>
  <c r="J72" i="15" s="1"/>
  <c r="U200" i="15"/>
  <c r="T200" i="15" s="1"/>
  <c r="S200" i="15" s="1"/>
  <c r="R200" i="15" s="1"/>
  <c r="P200" i="15" s="1"/>
  <c r="V200" i="15" s="1"/>
  <c r="F200" i="15" s="1"/>
  <c r="U133" i="15"/>
  <c r="T133" i="15" s="1"/>
  <c r="U139" i="15"/>
  <c r="T139" i="15" s="1"/>
  <c r="U50" i="15"/>
  <c r="T50" i="15" s="1"/>
  <c r="S50" i="15" s="1"/>
  <c r="R50" i="15" s="1"/>
  <c r="P50" i="15" s="1"/>
  <c r="V50" i="15" s="1"/>
  <c r="F50" i="15" s="1"/>
  <c r="U178" i="15"/>
  <c r="T178" i="15" s="1"/>
  <c r="S178" i="15" s="1"/>
  <c r="R178" i="15" s="1"/>
  <c r="P178" i="15" s="1"/>
  <c r="V178" i="15" s="1"/>
  <c r="F178" i="15" s="1"/>
  <c r="U306" i="15"/>
  <c r="T306" i="15" s="1"/>
  <c r="S306" i="15" s="1"/>
  <c r="R306" i="15" s="1"/>
  <c r="P306" i="15" s="1"/>
  <c r="V306" i="15" s="1"/>
  <c r="F306" i="15" s="1"/>
  <c r="G306" i="15" s="1"/>
  <c r="BX306" i="6" s="1"/>
  <c r="U134" i="15"/>
  <c r="T134" i="15" s="1"/>
  <c r="U262" i="15"/>
  <c r="T262" i="15" s="1"/>
  <c r="U29" i="15"/>
  <c r="T29" i="15" s="1"/>
  <c r="U285" i="15"/>
  <c r="T285" i="15" s="1"/>
  <c r="S285" i="15" s="1"/>
  <c r="R285" i="15" s="1"/>
  <c r="P285" i="15" s="1"/>
  <c r="V285" i="15" s="1"/>
  <c r="U219" i="15"/>
  <c r="T219" i="15" s="1"/>
  <c r="S219" i="15" s="1"/>
  <c r="R219" i="15" s="1"/>
  <c r="P219" i="15" s="1"/>
  <c r="V219" i="15" s="1"/>
  <c r="F219" i="15" s="1"/>
  <c r="U247" i="15"/>
  <c r="T247" i="15" s="1"/>
  <c r="U80" i="15"/>
  <c r="T80" i="15" s="1"/>
  <c r="U176" i="15"/>
  <c r="T176" i="15" s="1"/>
  <c r="S176" i="15" s="1"/>
  <c r="R176" i="15" s="1"/>
  <c r="P176" i="15" s="1"/>
  <c r="V176" i="15" s="1"/>
  <c r="F176" i="15" s="1"/>
  <c r="G176" i="15" s="1"/>
  <c r="BX176" i="6" s="1"/>
  <c r="U354" i="15"/>
  <c r="T354" i="15" s="1"/>
  <c r="S354" i="15" s="1"/>
  <c r="R354" i="15" s="1"/>
  <c r="P354" i="15" s="1"/>
  <c r="V354" i="15" s="1"/>
  <c r="F354" i="15" s="1"/>
  <c r="G354" i="15" s="1"/>
  <c r="BX354" i="6" s="1"/>
  <c r="U85" i="15"/>
  <c r="T85" i="15" s="1"/>
  <c r="U213" i="15"/>
  <c r="T213" i="15" s="1"/>
  <c r="S213" i="15" s="1"/>
  <c r="R213" i="15" s="1"/>
  <c r="U341" i="15"/>
  <c r="T341" i="15" s="1"/>
  <c r="U103" i="15"/>
  <c r="T103" i="15" s="1"/>
  <c r="U156" i="15"/>
  <c r="T156" i="15" s="1"/>
  <c r="U276" i="15"/>
  <c r="T276" i="15" s="1"/>
  <c r="S276" i="15" s="1"/>
  <c r="R276" i="15" s="1"/>
  <c r="P276" i="15" s="1"/>
  <c r="V276" i="15" s="1"/>
  <c r="F276" i="15" s="1"/>
  <c r="H276" i="15" s="1"/>
  <c r="J276" i="15" s="1"/>
  <c r="U356" i="15"/>
  <c r="T356" i="15" s="1"/>
  <c r="S356" i="15" s="1"/>
  <c r="R356" i="15" s="1"/>
  <c r="P356" i="15" s="1"/>
  <c r="V356" i="15" s="1"/>
  <c r="F356" i="15" s="1"/>
  <c r="U327" i="15"/>
  <c r="T327" i="15" s="1"/>
  <c r="U224" i="15"/>
  <c r="T224" i="15" s="1"/>
  <c r="U352" i="15"/>
  <c r="T352" i="15" s="1"/>
  <c r="S352" i="15" s="1"/>
  <c r="R352" i="15" s="1"/>
  <c r="P352" i="15" s="1"/>
  <c r="V352" i="15" s="1"/>
  <c r="F352" i="15" s="1"/>
  <c r="G352" i="15" s="1"/>
  <c r="BX352" i="6" s="1"/>
  <c r="U113" i="15"/>
  <c r="T113" i="15" s="1"/>
  <c r="U241" i="15"/>
  <c r="T241" i="15" s="1"/>
  <c r="U369" i="15"/>
  <c r="T369" i="15" s="1"/>
  <c r="U259" i="15"/>
  <c r="T259" i="15" s="1"/>
  <c r="U143" i="15"/>
  <c r="T143" i="15" s="1"/>
  <c r="U373" i="15"/>
  <c r="T373" i="15" s="1"/>
  <c r="U100" i="15"/>
  <c r="T100" i="15" s="1"/>
  <c r="U280" i="15"/>
  <c r="T280" i="15" s="1"/>
  <c r="S280" i="15" s="1"/>
  <c r="R280" i="15" s="1"/>
  <c r="P280" i="15" s="1"/>
  <c r="V280" i="15" s="1"/>
  <c r="U41" i="15"/>
  <c r="T41" i="15" s="1"/>
  <c r="S41" i="15" s="1"/>
  <c r="R41" i="15" s="1"/>
  <c r="P41" i="15" s="1"/>
  <c r="V41" i="15" s="1"/>
  <c r="F41" i="15" s="1"/>
  <c r="H41" i="15" s="1"/>
  <c r="J41" i="15" s="1"/>
  <c r="U169" i="15"/>
  <c r="T169" i="15" s="1"/>
  <c r="S169" i="15" s="1"/>
  <c r="R169" i="15" s="1"/>
  <c r="P169" i="15" s="1"/>
  <c r="V169" i="15" s="1"/>
  <c r="F169" i="15" s="1"/>
  <c r="H169" i="15" s="1"/>
  <c r="J169" i="15" s="1"/>
  <c r="U297" i="15"/>
  <c r="T297" i="15" s="1"/>
  <c r="S297" i="15" s="1"/>
  <c r="R297" i="15" s="1"/>
  <c r="P297" i="15" s="1"/>
  <c r="V297" i="15" s="1"/>
  <c r="F297" i="15" s="1"/>
  <c r="G297" i="15" s="1"/>
  <c r="BX297" i="6" s="1"/>
  <c r="U115" i="15"/>
  <c r="T115" i="15" s="1"/>
  <c r="U371" i="15"/>
  <c r="T371" i="15" s="1"/>
  <c r="S371" i="15" s="1"/>
  <c r="R371" i="15" s="1"/>
  <c r="U255" i="15"/>
  <c r="T255" i="15" s="1"/>
  <c r="U44" i="15"/>
  <c r="T44" i="15" s="1"/>
  <c r="S44" i="15" s="1"/>
  <c r="R44" i="15" s="1"/>
  <c r="P44" i="15" s="1"/>
  <c r="V44" i="15" s="1"/>
  <c r="F44" i="15" s="1"/>
  <c r="H44" i="15" s="1"/>
  <c r="J44" i="15" s="1"/>
  <c r="U140" i="15"/>
  <c r="T140" i="15" s="1"/>
  <c r="U220" i="15"/>
  <c r="T220" i="15" s="1"/>
  <c r="S220" i="15" s="1"/>
  <c r="R220" i="15" s="1"/>
  <c r="P220" i="15" s="1"/>
  <c r="V220" i="15" s="1"/>
  <c r="F220" i="15" s="1"/>
  <c r="G220" i="15" s="1"/>
  <c r="BX220" i="6" s="1"/>
  <c r="U268" i="15"/>
  <c r="T268" i="15" s="1"/>
  <c r="U316" i="15"/>
  <c r="T316" i="15" s="1"/>
  <c r="S316" i="15" s="1"/>
  <c r="R316" i="15" s="1"/>
  <c r="P316" i="15" s="1"/>
  <c r="V316" i="15" s="1"/>
  <c r="F316" i="15" s="1"/>
  <c r="G316" i="15" s="1"/>
  <c r="BX316" i="6" s="1"/>
  <c r="U43" i="15"/>
  <c r="T43" i="15" s="1"/>
  <c r="U84" i="15"/>
  <c r="T84" i="15" s="1"/>
  <c r="U272" i="15"/>
  <c r="T272" i="15" s="1"/>
  <c r="U33" i="15"/>
  <c r="T33" i="15" s="1"/>
  <c r="U161" i="15"/>
  <c r="T161" i="15" s="1"/>
  <c r="U289" i="15"/>
  <c r="T289" i="15" s="1"/>
  <c r="U99" i="15"/>
  <c r="T99" i="15" s="1"/>
  <c r="U355" i="15"/>
  <c r="T355" i="15" s="1"/>
  <c r="S355" i="15" s="1"/>
  <c r="R355" i="15" s="1"/>
  <c r="P355" i="15" s="1"/>
  <c r="V355" i="15" s="1"/>
  <c r="U239" i="15"/>
  <c r="T239" i="15" s="1"/>
  <c r="U363" i="15"/>
  <c r="T363" i="15" s="1"/>
  <c r="S363" i="15" s="1"/>
  <c r="R363" i="15" s="1"/>
  <c r="P363" i="15" s="1"/>
  <c r="D43" i="7" s="1"/>
  <c r="U196" i="15"/>
  <c r="T196" i="15" s="1"/>
  <c r="S196" i="15" s="1"/>
  <c r="R196" i="15" s="1"/>
  <c r="P196" i="15" s="1"/>
  <c r="V196" i="15" s="1"/>
  <c r="F196" i="15" s="1"/>
  <c r="H196" i="15" s="1"/>
  <c r="U328" i="15"/>
  <c r="T328" i="15" s="1"/>
  <c r="S328" i="15" s="1"/>
  <c r="R328" i="15" s="1"/>
  <c r="P328" i="15" s="1"/>
  <c r="V328" i="15" s="1"/>
  <c r="F328" i="15" s="1"/>
  <c r="G328" i="15" s="1"/>
  <c r="BX328" i="6" s="1"/>
  <c r="U89" i="15"/>
  <c r="T89" i="15" s="1"/>
  <c r="U217" i="15"/>
  <c r="T217" i="15" s="1"/>
  <c r="U345" i="15"/>
  <c r="T345" i="15" s="1"/>
  <c r="U211" i="15"/>
  <c r="T211" i="15" s="1"/>
  <c r="S211" i="15" s="1"/>
  <c r="R211" i="15" s="1"/>
  <c r="U95" i="15"/>
  <c r="T95" i="15" s="1"/>
  <c r="U351" i="15"/>
  <c r="T351" i="15" s="1"/>
  <c r="S351" i="15" s="1"/>
  <c r="R351" i="15" s="1"/>
  <c r="P351" i="15" s="1"/>
  <c r="V351" i="15" s="1"/>
  <c r="F351" i="15" s="1"/>
  <c r="G351" i="15" s="1"/>
  <c r="BX351" i="6" s="1"/>
  <c r="AI102" i="15"/>
  <c r="AH102" i="15" s="1"/>
  <c r="AI342" i="15"/>
  <c r="AH342" i="15" s="1"/>
  <c r="AG342" i="15" s="1"/>
  <c r="AF342" i="15" s="1"/>
  <c r="AD342" i="15" s="1"/>
  <c r="AI234" i="15"/>
  <c r="AH234" i="15" s="1"/>
  <c r="AG234" i="15" s="1"/>
  <c r="AF234" i="15" s="1"/>
  <c r="AD234" i="15" s="1"/>
  <c r="AI138" i="15"/>
  <c r="AH138" i="15" s="1"/>
  <c r="AI143" i="15"/>
  <c r="AH143" i="15" s="1"/>
  <c r="AG143" i="15" s="1"/>
  <c r="AF143" i="15" s="1"/>
  <c r="AI19" i="15"/>
  <c r="AH19" i="15" s="1"/>
  <c r="AG19" i="15" s="1"/>
  <c r="AF19" i="15" s="1"/>
  <c r="AI373" i="15"/>
  <c r="AH373" i="15" s="1"/>
  <c r="AG373" i="15" s="1"/>
  <c r="AF373" i="15" s="1"/>
  <c r="AI241" i="15"/>
  <c r="AH241" i="15" s="1"/>
  <c r="AI345" i="15"/>
  <c r="AH345" i="15" s="1"/>
  <c r="AG345" i="15" s="1"/>
  <c r="AF345" i="15" s="1"/>
  <c r="AI141" i="15"/>
  <c r="AH141" i="15" s="1"/>
  <c r="AI139" i="15"/>
  <c r="AH139" i="15" s="1"/>
  <c r="AI361" i="15"/>
  <c r="AH361" i="15" s="1"/>
  <c r="AI189" i="15"/>
  <c r="AH189" i="15" s="1"/>
  <c r="AG189" i="15" s="1"/>
  <c r="AF189" i="15" s="1"/>
  <c r="AI211" i="15"/>
  <c r="AH211" i="15" s="1"/>
  <c r="AI229" i="15"/>
  <c r="AH229" i="15" s="1"/>
  <c r="AI104" i="15"/>
  <c r="AH104" i="15" s="1"/>
  <c r="AI268" i="15"/>
  <c r="AH268" i="15" s="1"/>
  <c r="AG268" i="15" s="1"/>
  <c r="AF268" i="15" s="1"/>
  <c r="AI153" i="15"/>
  <c r="AH153" i="15" s="1"/>
  <c r="AI109" i="15"/>
  <c r="AH109" i="15" s="1"/>
  <c r="AG109" i="15" s="1"/>
  <c r="AF109" i="15" s="1"/>
  <c r="AI203" i="15"/>
  <c r="AH203" i="15" s="1"/>
  <c r="AG203" i="15" s="1"/>
  <c r="AF203" i="15" s="1"/>
  <c r="AD203" i="15" s="1"/>
  <c r="AI176" i="15"/>
  <c r="AH176" i="15" s="1"/>
  <c r="AG176" i="15" s="1"/>
  <c r="AF176" i="15" s="1"/>
  <c r="AI37" i="15"/>
  <c r="AH37" i="15" s="1"/>
  <c r="AG37" i="15" s="1"/>
  <c r="AF37" i="15" s="1"/>
  <c r="AI285" i="15"/>
  <c r="AH285" i="15" s="1"/>
  <c r="AG285" i="15" s="1"/>
  <c r="AF285" i="15" s="1"/>
  <c r="AD285" i="15" s="1"/>
  <c r="AI259" i="15"/>
  <c r="AH259" i="15" s="1"/>
  <c r="AI352" i="15"/>
  <c r="AH352" i="15" s="1"/>
  <c r="AG352" i="15" s="1"/>
  <c r="AF352" i="15" s="1"/>
  <c r="AI321" i="15"/>
  <c r="AH321" i="15" s="1"/>
  <c r="AG321" i="15" s="1"/>
  <c r="AF321" i="15" s="1"/>
  <c r="AI376" i="15"/>
  <c r="AH376" i="15" s="1"/>
  <c r="AG376" i="15" s="1"/>
  <c r="AF376" i="15" s="1"/>
  <c r="AI184" i="15"/>
  <c r="AH184" i="15" s="1"/>
  <c r="AG184" i="15" s="1"/>
  <c r="AF184" i="15" s="1"/>
  <c r="AI353" i="15"/>
  <c r="AH353" i="15" s="1"/>
  <c r="AG353" i="15" s="1"/>
  <c r="AF353" i="15" s="1"/>
  <c r="AD353" i="15" s="1"/>
  <c r="AI69" i="15"/>
  <c r="AH69" i="15" s="1"/>
  <c r="AG69" i="15" s="1"/>
  <c r="AF69" i="15" s="1"/>
  <c r="AD69" i="15" s="1"/>
  <c r="AI263" i="15"/>
  <c r="AH263" i="15" s="1"/>
  <c r="AI135" i="15"/>
  <c r="AH135" i="15" s="1"/>
  <c r="AI372" i="15"/>
  <c r="AH372" i="15" s="1"/>
  <c r="AG372" i="15" s="1"/>
  <c r="AF372" i="15" s="1"/>
  <c r="AI276" i="15"/>
  <c r="AH276" i="15" s="1"/>
  <c r="AG276" i="15" s="1"/>
  <c r="AF276" i="15" s="1"/>
  <c r="AI196" i="15"/>
  <c r="AH196" i="15" s="1"/>
  <c r="AG196" i="15" s="1"/>
  <c r="AF196" i="15" s="1"/>
  <c r="AI132" i="15"/>
  <c r="AH132" i="15" s="1"/>
  <c r="AI351" i="15"/>
  <c r="AH351" i="15" s="1"/>
  <c r="AG351" i="15" s="1"/>
  <c r="AF351" i="15" s="1"/>
  <c r="AD351" i="15" s="1"/>
  <c r="AI95" i="15"/>
  <c r="AH95" i="15" s="1"/>
  <c r="AG95" i="15" s="1"/>
  <c r="AF95" i="15" s="1"/>
  <c r="AI314" i="15"/>
  <c r="AH314" i="15" s="1"/>
  <c r="AG314" i="15" s="1"/>
  <c r="AF314" i="15" s="1"/>
  <c r="AD314" i="15" s="1"/>
  <c r="AI242" i="15"/>
  <c r="AH242" i="15" s="1"/>
  <c r="AG242" i="15" s="1"/>
  <c r="AF242" i="15" s="1"/>
  <c r="AI146" i="15"/>
  <c r="AH146" i="15" s="1"/>
  <c r="AG146" i="15" s="1"/>
  <c r="AF146" i="15" s="1"/>
  <c r="AI58" i="15"/>
  <c r="AH58" i="15" s="1"/>
  <c r="AG58" i="15" s="1"/>
  <c r="AF58" i="15" s="1"/>
  <c r="AD58" i="15" s="1"/>
  <c r="AI350" i="15"/>
  <c r="AH350" i="15" s="1"/>
  <c r="AG350" i="15" s="1"/>
  <c r="AF350" i="15" s="1"/>
  <c r="AI254" i="15"/>
  <c r="AH254" i="15" s="1"/>
  <c r="AI174" i="15"/>
  <c r="AH174" i="15" s="1"/>
  <c r="AG174" i="15" s="1"/>
  <c r="AF174" i="15" s="1"/>
  <c r="AI78" i="15"/>
  <c r="AH78" i="15" s="1"/>
  <c r="AI84" i="15"/>
  <c r="AH84" i="15" s="1"/>
  <c r="AI16" i="15"/>
  <c r="AH16" i="15" s="1"/>
  <c r="AI175" i="15"/>
  <c r="AH175" i="15" s="1"/>
  <c r="AG175" i="15" s="1"/>
  <c r="AF175" i="15" s="1"/>
  <c r="AD175" i="15" s="1"/>
  <c r="AI26" i="15"/>
  <c r="AH26" i="15" s="1"/>
  <c r="U287" i="15"/>
  <c r="T287" i="15" s="1"/>
  <c r="S287" i="15" s="1"/>
  <c r="R287" i="15" s="1"/>
  <c r="P287" i="15" s="1"/>
  <c r="V287" i="15" s="1"/>
  <c r="F287" i="15" s="1"/>
  <c r="G287" i="15" s="1"/>
  <c r="BX287" i="6" s="1"/>
  <c r="U147" i="15"/>
  <c r="T147" i="15" s="1"/>
  <c r="U185" i="15"/>
  <c r="T185" i="15" s="1"/>
  <c r="S185" i="15" s="1"/>
  <c r="R185" i="15" s="1"/>
  <c r="P185" i="15" s="1"/>
  <c r="V185" i="15" s="1"/>
  <c r="F185" i="15" s="1"/>
  <c r="H185" i="15" s="1"/>
  <c r="J185" i="15" s="1"/>
  <c r="U296" i="15"/>
  <c r="T296" i="15" s="1"/>
  <c r="S296" i="15" s="1"/>
  <c r="R296" i="15" s="1"/>
  <c r="U107" i="15"/>
  <c r="T107" i="15" s="1"/>
  <c r="U291" i="15"/>
  <c r="T291" i="15" s="1"/>
  <c r="U257" i="15"/>
  <c r="T257" i="15" s="1"/>
  <c r="U368" i="15"/>
  <c r="T368" i="15" s="1"/>
  <c r="U20" i="15"/>
  <c r="T20" i="15" s="1"/>
  <c r="U300" i="15"/>
  <c r="T300" i="15" s="1"/>
  <c r="S300" i="15" s="1"/>
  <c r="R300" i="15" s="1"/>
  <c r="P300" i="15" s="1"/>
  <c r="V300" i="15" s="1"/>
  <c r="U204" i="15"/>
  <c r="T204" i="15" s="1"/>
  <c r="U231" i="15"/>
  <c r="T231" i="15" s="1"/>
  <c r="U307" i="15"/>
  <c r="T307" i="15" s="1"/>
  <c r="S307" i="15" s="1"/>
  <c r="R307" i="15" s="1"/>
  <c r="P307" i="15" s="1"/>
  <c r="V307" i="15" s="1"/>
  <c r="F307" i="15" s="1"/>
  <c r="G307" i="15" s="1"/>
  <c r="BX307" i="6" s="1"/>
  <c r="U265" i="15"/>
  <c r="T265" i="15" s="1"/>
  <c r="U376" i="15"/>
  <c r="T376" i="15" s="1"/>
  <c r="U36" i="15"/>
  <c r="T36" i="15" s="1"/>
  <c r="S36" i="15" s="1"/>
  <c r="R36" i="15" s="1"/>
  <c r="P36" i="15" s="1"/>
  <c r="V36" i="15" s="1"/>
  <c r="F36" i="15" s="1"/>
  <c r="G36" i="15" s="1"/>
  <c r="BX36" i="6" s="1"/>
  <c r="U79" i="15"/>
  <c r="T79" i="15" s="1"/>
  <c r="U337" i="15"/>
  <c r="T337" i="15" s="1"/>
  <c r="S337" i="15" s="1"/>
  <c r="R337" i="15" s="1"/>
  <c r="P337" i="15" s="1"/>
  <c r="V337" i="15" s="1"/>
  <c r="F337" i="15" s="1"/>
  <c r="G337" i="15" s="1"/>
  <c r="BX337" i="6" s="1"/>
  <c r="U81" i="15"/>
  <c r="T81" i="15" s="1"/>
  <c r="U180" i="15"/>
  <c r="T180" i="15" s="1"/>
  <c r="S180" i="15" s="1"/>
  <c r="R180" i="15" s="1"/>
  <c r="P180" i="15" s="1"/>
  <c r="D37" i="7" s="1"/>
  <c r="U340" i="15"/>
  <c r="T340" i="15" s="1"/>
  <c r="U92" i="15"/>
  <c r="T92" i="15" s="1"/>
  <c r="U309" i="15"/>
  <c r="T309" i="15" s="1"/>
  <c r="U53" i="15"/>
  <c r="T53" i="15" s="1"/>
  <c r="S53" i="15" s="1"/>
  <c r="R53" i="15" s="1"/>
  <c r="P53" i="15" s="1"/>
  <c r="V53" i="15" s="1"/>
  <c r="F53" i="15" s="1"/>
  <c r="G53" i="15" s="1"/>
  <c r="BX53" i="6" s="1"/>
  <c r="U160" i="15"/>
  <c r="T160" i="15" s="1"/>
  <c r="U151" i="15"/>
  <c r="T151" i="15" s="1"/>
  <c r="U221" i="15"/>
  <c r="T221" i="15" s="1"/>
  <c r="S221" i="15" s="1"/>
  <c r="R221" i="15" s="1"/>
  <c r="U230" i="15"/>
  <c r="T230" i="15" s="1"/>
  <c r="S230" i="15" s="1"/>
  <c r="R230" i="15" s="1"/>
  <c r="P230" i="15" s="1"/>
  <c r="V230" i="15" s="1"/>
  <c r="F230" i="15" s="1"/>
  <c r="U274" i="15"/>
  <c r="T274" i="15" s="1"/>
  <c r="S274" i="15" s="1"/>
  <c r="R274" i="15" s="1"/>
  <c r="P274" i="15" s="1"/>
  <c r="V274" i="15" s="1"/>
  <c r="F274" i="15" s="1"/>
  <c r="U17" i="15"/>
  <c r="T17" i="15" s="1"/>
  <c r="U69" i="15"/>
  <c r="T69" i="15" s="1"/>
  <c r="S69" i="15" s="1"/>
  <c r="R69" i="15" s="1"/>
  <c r="U40" i="15"/>
  <c r="T40" i="15" s="1"/>
  <c r="S40" i="15" s="1"/>
  <c r="R40" i="15" s="1"/>
  <c r="P40" i="15" s="1"/>
  <c r="V40" i="15" s="1"/>
  <c r="F40" i="15" s="1"/>
  <c r="H40" i="15" s="1"/>
  <c r="I40" i="15" s="1"/>
  <c r="U109" i="15"/>
  <c r="T109" i="15" s="1"/>
  <c r="U174" i="15"/>
  <c r="T174" i="15" s="1"/>
  <c r="S174" i="15" s="1"/>
  <c r="R174" i="15" s="1"/>
  <c r="P174" i="15" s="1"/>
  <c r="V174" i="15" s="1"/>
  <c r="F174" i="15" s="1"/>
  <c r="G174" i="15" s="1"/>
  <c r="BX174" i="6" s="1"/>
  <c r="U218" i="15"/>
  <c r="T218" i="15" s="1"/>
  <c r="AI214" i="15"/>
  <c r="AH214" i="15" s="1"/>
  <c r="AI20" i="15"/>
  <c r="AH20" i="15" s="1"/>
  <c r="AI271" i="15"/>
  <c r="AH271" i="15" s="1"/>
  <c r="AI181" i="15"/>
  <c r="AH181" i="15" s="1"/>
  <c r="AI113" i="15"/>
  <c r="AH113" i="15" s="1"/>
  <c r="AI15" i="15"/>
  <c r="AI121" i="15"/>
  <c r="AH121" i="15" s="1"/>
  <c r="AG121" i="15" s="1"/>
  <c r="AF121" i="15" s="1"/>
  <c r="AI331" i="15"/>
  <c r="AH331" i="15" s="1"/>
  <c r="AI368" i="15"/>
  <c r="AH368" i="15" s="1"/>
  <c r="AG368" i="15" s="1"/>
  <c r="AF368" i="15" s="1"/>
  <c r="AI105" i="15"/>
  <c r="AH105" i="15" s="1"/>
  <c r="AI339" i="15"/>
  <c r="AH339" i="15" s="1"/>
  <c r="AI320" i="15"/>
  <c r="AH320" i="15" s="1"/>
  <c r="AG320" i="15" s="1"/>
  <c r="AF320" i="15" s="1"/>
  <c r="AI296" i="15"/>
  <c r="AH296" i="15" s="1"/>
  <c r="AG296" i="15" s="1"/>
  <c r="AF296" i="15" s="1"/>
  <c r="AI348" i="15"/>
  <c r="AH348" i="15" s="1"/>
  <c r="AG348" i="15" s="1"/>
  <c r="AF348" i="15" s="1"/>
  <c r="AI44" i="15"/>
  <c r="AH44" i="15" s="1"/>
  <c r="AG44" i="15" s="1"/>
  <c r="AF44" i="15" s="1"/>
  <c r="AD44" i="15" s="1"/>
  <c r="AI365" i="15"/>
  <c r="AH365" i="15" s="1"/>
  <c r="AI299" i="15"/>
  <c r="AH299" i="15" s="1"/>
  <c r="AI336" i="15"/>
  <c r="AH336" i="15" s="1"/>
  <c r="AG336" i="15" s="1"/>
  <c r="AF336" i="15" s="1"/>
  <c r="AD336" i="15" s="1"/>
  <c r="AI21" i="15"/>
  <c r="AH21" i="15" s="1"/>
  <c r="AI137" i="15"/>
  <c r="AH137" i="15" s="1"/>
  <c r="AI29" i="15"/>
  <c r="AH29" i="15" s="1"/>
  <c r="AG29" i="15" s="1"/>
  <c r="AF29" i="15" s="1"/>
  <c r="AI131" i="15"/>
  <c r="AH131" i="15" s="1"/>
  <c r="AG131" i="15" s="1"/>
  <c r="AF131" i="15" s="1"/>
  <c r="AI160" i="15"/>
  <c r="AH160" i="15" s="1"/>
  <c r="AI83" i="15"/>
  <c r="AH83" i="15" s="1"/>
  <c r="AI280" i="15"/>
  <c r="AH280" i="15" s="1"/>
  <c r="AG280" i="15" s="1"/>
  <c r="AF280" i="15" s="1"/>
  <c r="AD280" i="15" s="1"/>
  <c r="AI88" i="15"/>
  <c r="AH88" i="15" s="1"/>
  <c r="AG88" i="15" s="1"/>
  <c r="AF88" i="15" s="1"/>
  <c r="AI33" i="15"/>
  <c r="AH33" i="15" s="1"/>
  <c r="AI327" i="15"/>
  <c r="AH327" i="15" s="1"/>
  <c r="AG327" i="15" s="1"/>
  <c r="AF327" i="15" s="1"/>
  <c r="AI199" i="15"/>
  <c r="AH199" i="15" s="1"/>
  <c r="AG199" i="15" s="1"/>
  <c r="AF199" i="15" s="1"/>
  <c r="AI71" i="15"/>
  <c r="AH71" i="15" s="1"/>
  <c r="AG71" i="15" s="1"/>
  <c r="AF71" i="15" s="1"/>
  <c r="AI324" i="15"/>
  <c r="AH324" i="15" s="1"/>
  <c r="AG324" i="15" s="1"/>
  <c r="AF324" i="15" s="1"/>
  <c r="AD324" i="15" s="1"/>
  <c r="AI236" i="15"/>
  <c r="AH236" i="15" s="1"/>
  <c r="AG236" i="15" s="1"/>
  <c r="AF236" i="15" s="1"/>
  <c r="AI164" i="15"/>
  <c r="AH164" i="15" s="1"/>
  <c r="AG164" i="15" s="1"/>
  <c r="AF164" i="15" s="1"/>
  <c r="AI341" i="15"/>
  <c r="AH341" i="15" s="1"/>
  <c r="AI223" i="15"/>
  <c r="AH223" i="15" s="1"/>
  <c r="AG223" i="15" s="1"/>
  <c r="AF223" i="15" s="1"/>
  <c r="AI354" i="15"/>
  <c r="AH354" i="15" s="1"/>
  <c r="AI282" i="15"/>
  <c r="AH282" i="15" s="1"/>
  <c r="AG282" i="15" s="1"/>
  <c r="AF282" i="15" s="1"/>
  <c r="AD282" i="15" s="1"/>
  <c r="AI202" i="15"/>
  <c r="AH202" i="15" s="1"/>
  <c r="AG202" i="15" s="1"/>
  <c r="AF202" i="15" s="1"/>
  <c r="AD202" i="15" s="1"/>
  <c r="AI90" i="15"/>
  <c r="AH90" i="15" s="1"/>
  <c r="AI18" i="15"/>
  <c r="AH18" i="15" s="1"/>
  <c r="AG18" i="15" s="1"/>
  <c r="AF18" i="15" s="1"/>
  <c r="AI302" i="15"/>
  <c r="AH302" i="15" s="1"/>
  <c r="AG302" i="15" s="1"/>
  <c r="AF302" i="15" s="1"/>
  <c r="AI222" i="15"/>
  <c r="AH222" i="15" s="1"/>
  <c r="AG222" i="15" s="1"/>
  <c r="AF222" i="15" s="1"/>
  <c r="AD222" i="15" s="1"/>
  <c r="AI134" i="15"/>
  <c r="AH134" i="15" s="1"/>
  <c r="AI30" i="15"/>
  <c r="AH30" i="15" s="1"/>
  <c r="AG30" i="15" s="1"/>
  <c r="AF30" i="15" s="1"/>
  <c r="AI273" i="15"/>
  <c r="AH273" i="15" s="1"/>
  <c r="AI53" i="15"/>
  <c r="AH53" i="15" s="1"/>
  <c r="AG53" i="15" s="1"/>
  <c r="AF53" i="15" s="1"/>
  <c r="AD53" i="15" s="1"/>
  <c r="AI250" i="15"/>
  <c r="AH250" i="15" s="1"/>
  <c r="AI118" i="15"/>
  <c r="AH118" i="15" s="1"/>
  <c r="AG118" i="15" s="1"/>
  <c r="AF118" i="15" s="1"/>
  <c r="U31" i="15"/>
  <c r="T31" i="15" s="1"/>
  <c r="U313" i="15"/>
  <c r="T313" i="15" s="1"/>
  <c r="S313" i="15" s="1"/>
  <c r="R313" i="15" s="1"/>
  <c r="P313" i="15" s="1"/>
  <c r="V313" i="15" s="1"/>
  <c r="F313" i="15" s="1"/>
  <c r="U57" i="15"/>
  <c r="T57" i="15" s="1"/>
  <c r="S57" i="15" s="1"/>
  <c r="R57" i="15" s="1"/>
  <c r="P57" i="15" s="1"/>
  <c r="V57" i="15" s="1"/>
  <c r="U132" i="15"/>
  <c r="T132" i="15" s="1"/>
  <c r="U175" i="15"/>
  <c r="T175" i="15" s="1"/>
  <c r="S175" i="15" s="1"/>
  <c r="R175" i="15" s="1"/>
  <c r="P175" i="15" s="1"/>
  <c r="V175" i="15" s="1"/>
  <c r="F175" i="15" s="1"/>
  <c r="H175" i="15" s="1"/>
  <c r="U35" i="15"/>
  <c r="T35" i="15" s="1"/>
  <c r="U129" i="15"/>
  <c r="T129" i="15" s="1"/>
  <c r="U240" i="15"/>
  <c r="T240" i="15" s="1"/>
  <c r="U364" i="15"/>
  <c r="T364" i="15" s="1"/>
  <c r="U252" i="15"/>
  <c r="T252" i="15" s="1"/>
  <c r="U124" i="15"/>
  <c r="T124" i="15" s="1"/>
  <c r="U191" i="15"/>
  <c r="T191" i="15" s="1"/>
  <c r="S191" i="15" s="1"/>
  <c r="R191" i="15" s="1"/>
  <c r="P191" i="15" s="1"/>
  <c r="V191" i="15" s="1"/>
  <c r="F191" i="15" s="1"/>
  <c r="G191" i="15" s="1"/>
  <c r="BX191" i="6" s="1"/>
  <c r="U51" i="15"/>
  <c r="T51" i="15" s="1"/>
  <c r="U137" i="15"/>
  <c r="T137" i="15" s="1"/>
  <c r="U248" i="15"/>
  <c r="T248" i="15" s="1"/>
  <c r="U335" i="15"/>
  <c r="T335" i="15" s="1"/>
  <c r="U195" i="15"/>
  <c r="T195" i="15" s="1"/>
  <c r="S195" i="15" s="1"/>
  <c r="R195" i="15" s="1"/>
  <c r="P195" i="15" s="1"/>
  <c r="V195" i="15" s="1"/>
  <c r="F195" i="15" s="1"/>
  <c r="G195" i="15" s="1"/>
  <c r="BX195" i="6" s="1"/>
  <c r="U209" i="15"/>
  <c r="T209" i="15" s="1"/>
  <c r="S209" i="15" s="1"/>
  <c r="R209" i="15" s="1"/>
  <c r="U320" i="15"/>
  <c r="T320" i="15" s="1"/>
  <c r="S320" i="15" s="1"/>
  <c r="R320" i="15" s="1"/>
  <c r="P320" i="15" s="1"/>
  <c r="V320" i="15" s="1"/>
  <c r="F320" i="15" s="1"/>
  <c r="G320" i="15" s="1"/>
  <c r="BX320" i="6" s="1"/>
  <c r="U71" i="15"/>
  <c r="T71" i="15" s="1"/>
  <c r="S71" i="15" s="1"/>
  <c r="R71" i="15" s="1"/>
  <c r="P71" i="15" s="1"/>
  <c r="V71" i="15" s="1"/>
  <c r="F71" i="15" s="1"/>
  <c r="U260" i="15"/>
  <c r="T260" i="15" s="1"/>
  <c r="U331" i="15"/>
  <c r="T331" i="15" s="1"/>
  <c r="U181" i="15"/>
  <c r="T181" i="15" s="1"/>
  <c r="S181" i="15" s="1"/>
  <c r="R181" i="15" s="1"/>
  <c r="P181" i="15" s="1"/>
  <c r="V181" i="15" s="1"/>
  <c r="F181" i="15" s="1"/>
  <c r="H181" i="15" s="1"/>
  <c r="U338" i="15"/>
  <c r="T338" i="15" s="1"/>
  <c r="S338" i="15" s="1"/>
  <c r="R338" i="15" s="1"/>
  <c r="P338" i="15" s="1"/>
  <c r="V338" i="15" s="1"/>
  <c r="F338" i="15" s="1"/>
  <c r="U48" i="15"/>
  <c r="T48" i="15" s="1"/>
  <c r="S48" i="15" s="1"/>
  <c r="R48" i="15" s="1"/>
  <c r="P48" i="15" s="1"/>
  <c r="V48" i="15" s="1"/>
  <c r="U155" i="15"/>
  <c r="T155" i="15" s="1"/>
  <c r="U358" i="15"/>
  <c r="T358" i="15" s="1"/>
  <c r="U102" i="15"/>
  <c r="T102" i="15" s="1"/>
  <c r="U146" i="15"/>
  <c r="T146" i="15" s="1"/>
  <c r="S146" i="15" s="1"/>
  <c r="R146" i="15" s="1"/>
  <c r="U325" i="15"/>
  <c r="T325" i="15" s="1"/>
  <c r="U168" i="15"/>
  <c r="T168" i="15" s="1"/>
  <c r="S168" i="15" s="1"/>
  <c r="R168" i="15" s="1"/>
  <c r="P168" i="15" s="1"/>
  <c r="V168" i="15" s="1"/>
  <c r="U365" i="15"/>
  <c r="T365" i="15" s="1"/>
  <c r="U302" i="15"/>
  <c r="T302" i="15" s="1"/>
  <c r="S302" i="15" s="1"/>
  <c r="R302" i="15" s="1"/>
  <c r="P302" i="15" s="1"/>
  <c r="V302" i="15" s="1"/>
  <c r="U46" i="15"/>
  <c r="T46" i="15" s="1"/>
  <c r="S46" i="15" s="1"/>
  <c r="R46" i="15" s="1"/>
  <c r="P46" i="15" s="1"/>
  <c r="V46" i="15" s="1"/>
  <c r="F46" i="15" s="1"/>
  <c r="U90" i="15"/>
  <c r="T90" i="15" s="1"/>
  <c r="U237" i="15"/>
  <c r="T237" i="15" s="1"/>
  <c r="U38" i="15"/>
  <c r="T38" i="15" s="1"/>
  <c r="U192" i="15"/>
  <c r="T192" i="15" s="1"/>
  <c r="S192" i="15" s="1"/>
  <c r="R192" i="15" s="1"/>
  <c r="P192" i="15" s="1"/>
  <c r="V192" i="15" s="1"/>
  <c r="F192" i="15" s="1"/>
  <c r="U372" i="15"/>
  <c r="T372" i="15" s="1"/>
  <c r="U207" i="15"/>
  <c r="T207" i="15" s="1"/>
  <c r="U63" i="15"/>
  <c r="T63" i="15" s="1"/>
  <c r="U148" i="15"/>
  <c r="T148" i="15" s="1"/>
  <c r="U263" i="15"/>
  <c r="T263" i="15" s="1"/>
  <c r="V119" i="1"/>
  <c r="AA119" i="1" s="1"/>
  <c r="Z119" i="1" s="1"/>
  <c r="Y119" i="1" s="1"/>
  <c r="O383" i="18"/>
  <c r="F170" i="15"/>
  <c r="G170" i="15" s="1"/>
  <c r="BX170" i="6" s="1"/>
  <c r="F189" i="15"/>
  <c r="H189" i="15" s="1"/>
  <c r="J189" i="15" s="1"/>
  <c r="O382" i="18"/>
  <c r="O381" i="18"/>
  <c r="AC22" i="17"/>
  <c r="AC45" i="17"/>
  <c r="AC44" i="17"/>
  <c r="AC72" i="17"/>
  <c r="AC114" i="17"/>
  <c r="AC96" i="17"/>
  <c r="AC112" i="17"/>
  <c r="AC36" i="17"/>
  <c r="AC48" i="17"/>
  <c r="AC49" i="17"/>
  <c r="AC80" i="17"/>
  <c r="AC106" i="17"/>
  <c r="AC86" i="17"/>
  <c r="AC20" i="17"/>
  <c r="AC17" i="17"/>
  <c r="AC59" i="17"/>
  <c r="AC56" i="17"/>
  <c r="AC83" i="17"/>
  <c r="AC121" i="17"/>
  <c r="AC103" i="17"/>
  <c r="AC19" i="17"/>
  <c r="AC18" i="17"/>
  <c r="AC65" i="17"/>
  <c r="AC57" i="17"/>
  <c r="AC87" i="17"/>
  <c r="AC120" i="17"/>
  <c r="AC95" i="17"/>
  <c r="AC29" i="17"/>
  <c r="AC41" i="17"/>
  <c r="AC63" i="17"/>
  <c r="AC69" i="17"/>
  <c r="AC108" i="17"/>
  <c r="AC93" i="17"/>
  <c r="AC113" i="17"/>
  <c r="AC28" i="17"/>
  <c r="AC37" i="17"/>
  <c r="AC40" i="17"/>
  <c r="AC73" i="17"/>
  <c r="AC98" i="17"/>
  <c r="AC76" i="17"/>
  <c r="AC119" i="17"/>
  <c r="AC21" i="17"/>
  <c r="AC47" i="17"/>
  <c r="AC51" i="17"/>
  <c r="AC74" i="17"/>
  <c r="AC116" i="17"/>
  <c r="AC99" i="17"/>
  <c r="AC115" i="17"/>
  <c r="AC15" i="17"/>
  <c r="AC54" i="17"/>
  <c r="AC50" i="17"/>
  <c r="AC81" i="17"/>
  <c r="AC107" i="17"/>
  <c r="AC90" i="17"/>
  <c r="AC116" i="16"/>
  <c r="AC144" i="16"/>
  <c r="AC177" i="16"/>
  <c r="AC140" i="16"/>
  <c r="AC168" i="16"/>
  <c r="AC201" i="16"/>
  <c r="AC230" i="16"/>
  <c r="AC259" i="16"/>
  <c r="AC286" i="16"/>
  <c r="AC200" i="16"/>
  <c r="AC236" i="16"/>
  <c r="AC274" i="16"/>
  <c r="AC308" i="16"/>
  <c r="AC345" i="16"/>
  <c r="AC375" i="16"/>
  <c r="AC351" i="16"/>
  <c r="AC355" i="16"/>
  <c r="AC119" i="16"/>
  <c r="AC147" i="16"/>
  <c r="AC181" i="16"/>
  <c r="AC143" i="16"/>
  <c r="AC174" i="16"/>
  <c r="AC207" i="16"/>
  <c r="AC235" i="16"/>
  <c r="AC264" i="16"/>
  <c r="AC290" i="16"/>
  <c r="AC205" i="16"/>
  <c r="AC244" i="16"/>
  <c r="AC280" i="16"/>
  <c r="AC316" i="16"/>
  <c r="AC349" i="16"/>
  <c r="AC309" i="16"/>
  <c r="AC357" i="16"/>
  <c r="AC380" i="16"/>
  <c r="AC120" i="16"/>
  <c r="AC146" i="16"/>
  <c r="AC180" i="16"/>
  <c r="AC142" i="16"/>
  <c r="AC173" i="16"/>
  <c r="AC206" i="16"/>
  <c r="AC234" i="16"/>
  <c r="AC261" i="16"/>
  <c r="AC288" i="16"/>
  <c r="AC203" i="16"/>
  <c r="AC240" i="16"/>
  <c r="AC276" i="16"/>
  <c r="AC313" i="16"/>
  <c r="AC347" i="16"/>
  <c r="AC23" i="17"/>
  <c r="AC60" i="17"/>
  <c r="AC89" i="17"/>
  <c r="AC105" i="17"/>
  <c r="AC26" i="17"/>
  <c r="AC62" i="17"/>
  <c r="AC122" i="17"/>
  <c r="AC33" i="17"/>
  <c r="AC64" i="17"/>
  <c r="AC110" i="17"/>
  <c r="AC118" i="17"/>
  <c r="AC43" i="17"/>
  <c r="AC78" i="17"/>
  <c r="AC77" i="17"/>
  <c r="AC30" i="17"/>
  <c r="AC52" i="17"/>
  <c r="AC117" i="17"/>
  <c r="AC123" i="17"/>
  <c r="AC58" i="17"/>
  <c r="AC85" i="17"/>
  <c r="AC91" i="17"/>
  <c r="AC39" i="17"/>
  <c r="AC67" i="17"/>
  <c r="AC84" i="17"/>
  <c r="AC27" i="17"/>
  <c r="AC38" i="17"/>
  <c r="AC97" i="17"/>
  <c r="AC104" i="17"/>
  <c r="AC160" i="16"/>
  <c r="AC155" i="16"/>
  <c r="AC214" i="16"/>
  <c r="AC271" i="16"/>
  <c r="AC218" i="16"/>
  <c r="AC293" i="16"/>
  <c r="AC364" i="16"/>
  <c r="AC372" i="16"/>
  <c r="AC124" i="16"/>
  <c r="AC133" i="16"/>
  <c r="AC195" i="16"/>
  <c r="AC252" i="16"/>
  <c r="AC190" i="16"/>
  <c r="AC262" i="16"/>
  <c r="AC335" i="16"/>
  <c r="AC328" i="16"/>
  <c r="AC377" i="16"/>
  <c r="AC164" i="16"/>
  <c r="AC158" i="16"/>
  <c r="AC220" i="16"/>
  <c r="AC277" i="16"/>
  <c r="AC221" i="16"/>
  <c r="AC295" i="16"/>
  <c r="AC366" i="16"/>
  <c r="AC327" i="16"/>
  <c r="AC307" i="16"/>
  <c r="AC369" i="16"/>
  <c r="AC132" i="16"/>
  <c r="AC170" i="16"/>
  <c r="AC135" i="16"/>
  <c r="AC162" i="16"/>
  <c r="AC197" i="16"/>
  <c r="AC225" i="16"/>
  <c r="AC255" i="16"/>
  <c r="AC282" i="16"/>
  <c r="AC192" i="16"/>
  <c r="AC228" i="16"/>
  <c r="AC265" i="16"/>
  <c r="AC301" i="16"/>
  <c r="AC340" i="16"/>
  <c r="AC371" i="16"/>
  <c r="AC336" i="16"/>
  <c r="AC324" i="16"/>
  <c r="AC122" i="16"/>
  <c r="AC150" i="16"/>
  <c r="AC183" i="16"/>
  <c r="AC148" i="16"/>
  <c r="AC176" i="16"/>
  <c r="AC208" i="16"/>
  <c r="AC238" i="16"/>
  <c r="AC266" i="16"/>
  <c r="AC291" i="16"/>
  <c r="AC210" i="16"/>
  <c r="AC246" i="16"/>
  <c r="AC281" i="16"/>
  <c r="AC321" i="16"/>
  <c r="AC350" i="16"/>
  <c r="AC310" i="16"/>
  <c r="AC358" i="16"/>
  <c r="AC302" i="16"/>
  <c r="AC127" i="16"/>
  <c r="AC156" i="16"/>
  <c r="AC125" i="16"/>
  <c r="AC153" i="16"/>
  <c r="AC184" i="16"/>
  <c r="AC213" i="16"/>
  <c r="AC242" i="16"/>
  <c r="AC270" i="16"/>
  <c r="AC303" i="16"/>
  <c r="AC217" i="16"/>
  <c r="AC250" i="16"/>
  <c r="AC292" i="16"/>
  <c r="AC329" i="16"/>
  <c r="AC362" i="16"/>
  <c r="AC318" i="16"/>
  <c r="AC363" i="16"/>
  <c r="AC332" i="16"/>
  <c r="AC128" i="16"/>
  <c r="AC154" i="16"/>
  <c r="AC118" i="16"/>
  <c r="AC152" i="16"/>
  <c r="AC182" i="16"/>
  <c r="AC211" i="16"/>
  <c r="AC241" i="16"/>
  <c r="AC269" i="16"/>
  <c r="AC300" i="16"/>
  <c r="AC215" i="16"/>
  <c r="AC248" i="16"/>
  <c r="AC289" i="16"/>
  <c r="AC325" i="16"/>
  <c r="AC360" i="16"/>
  <c r="AC317" i="16"/>
  <c r="AC361" i="16"/>
  <c r="AC322" i="16"/>
  <c r="AC114" i="16"/>
  <c r="AC163" i="16"/>
  <c r="AC129" i="16"/>
  <c r="AC157" i="16"/>
  <c r="AC187" i="16"/>
  <c r="AC216" i="16"/>
  <c r="AC245" i="16"/>
  <c r="AC273" i="16"/>
  <c r="AC186" i="16"/>
  <c r="AC219" i="16"/>
  <c r="AC254" i="16"/>
  <c r="AC294" i="16"/>
  <c r="AC333" i="16"/>
  <c r="AC365" i="16"/>
  <c r="AC326" i="16"/>
  <c r="AC378" i="16"/>
  <c r="AC348" i="16"/>
  <c r="AC34" i="17"/>
  <c r="AC66" i="17"/>
  <c r="AC79" i="17"/>
  <c r="AC25" i="17"/>
  <c r="AC68" i="17"/>
  <c r="AC88" i="17"/>
  <c r="AC101" i="17"/>
  <c r="AC42" i="17"/>
  <c r="AC70" i="17"/>
  <c r="AC94" i="17"/>
  <c r="AC32" i="17"/>
  <c r="AC46" i="17"/>
  <c r="AC100" i="17"/>
  <c r="AC16" i="17"/>
  <c r="AC53" i="17"/>
  <c r="AC82" i="17"/>
  <c r="AC102" i="17"/>
  <c r="AC31" i="17"/>
  <c r="AC55" i="17"/>
  <c r="AC111" i="17"/>
  <c r="AC24" i="17"/>
  <c r="AC61" i="17"/>
  <c r="AC92" i="17"/>
  <c r="AC109" i="17"/>
  <c r="AC35" i="17"/>
  <c r="AC71" i="17"/>
  <c r="AC75" i="17"/>
  <c r="AC112" i="16"/>
  <c r="AC126" i="16"/>
  <c r="AC185" i="16"/>
  <c r="AC243" i="16"/>
  <c r="AC305" i="16"/>
  <c r="AC251" i="16"/>
  <c r="AC331" i="16"/>
  <c r="AC319" i="16"/>
  <c r="AC344" i="16"/>
  <c r="AC165" i="16"/>
  <c r="AC159" i="16"/>
  <c r="AC222" i="16"/>
  <c r="AC278" i="16"/>
  <c r="AC224" i="16"/>
  <c r="AC296" i="16"/>
  <c r="AC367" i="16"/>
  <c r="AC312" i="16"/>
  <c r="AC123" i="16"/>
  <c r="AC131" i="16"/>
  <c r="AC188" i="16"/>
  <c r="AC249" i="16"/>
  <c r="AC189" i="16"/>
  <c r="AC256" i="16"/>
  <c r="AC334" i="16"/>
  <c r="AC299" i="16"/>
  <c r="AC354" i="16"/>
  <c r="AC376" i="16"/>
  <c r="AC121" i="16"/>
  <c r="AC151" i="16"/>
  <c r="AC117" i="16"/>
  <c r="AC149" i="16"/>
  <c r="AC179" i="16"/>
  <c r="AC209" i="16"/>
  <c r="AC239" i="16"/>
  <c r="AC268" i="16"/>
  <c r="AC298" i="16"/>
  <c r="AC212" i="16"/>
  <c r="AC247" i="16"/>
  <c r="AC284" i="16"/>
  <c r="AC323" i="16"/>
  <c r="AC356" i="16"/>
  <c r="AC315" i="16"/>
  <c r="AC359" i="16"/>
  <c r="AC320" i="16"/>
  <c r="AC130" i="16"/>
  <c r="AC169" i="16"/>
  <c r="AC134" i="16"/>
  <c r="AC161" i="16"/>
  <c r="AC196" i="16"/>
  <c r="AC223" i="16"/>
  <c r="AC253" i="16"/>
  <c r="AC279" i="16"/>
  <c r="AC191" i="16"/>
  <c r="AC226" i="16"/>
  <c r="AC263" i="16"/>
  <c r="AC297" i="16"/>
  <c r="AC338" i="16"/>
  <c r="AC370" i="16"/>
  <c r="AC330" i="16"/>
  <c r="AC314" i="16"/>
  <c r="AC111" i="16"/>
  <c r="AC139" i="16"/>
  <c r="AC175" i="16"/>
  <c r="AC137" i="16"/>
  <c r="AC167" i="16"/>
  <c r="AC199" i="16"/>
  <c r="AC229" i="16"/>
  <c r="AC258" i="16"/>
  <c r="AC285" i="16"/>
  <c r="AC194" i="16"/>
  <c r="AC233" i="16"/>
  <c r="AC272" i="16"/>
  <c r="AC306" i="16"/>
  <c r="AC342" i="16"/>
  <c r="AC374" i="16"/>
  <c r="AC339" i="16"/>
  <c r="AC352" i="16"/>
  <c r="AC113" i="16"/>
  <c r="AC138" i="16"/>
  <c r="AC171" i="16"/>
  <c r="AC136" i="16"/>
  <c r="AC166" i="16"/>
  <c r="AC198" i="16"/>
  <c r="AC227" i="16"/>
  <c r="AC257" i="16"/>
  <c r="AC283" i="16"/>
  <c r="AC193" i="16"/>
  <c r="AC232" i="16"/>
  <c r="AC267" i="16"/>
  <c r="AC304" i="16"/>
  <c r="AC341" i="16"/>
  <c r="AC373" i="16"/>
  <c r="AC337" i="16"/>
  <c r="AC343" i="16"/>
  <c r="AC115" i="16"/>
  <c r="AC145" i="16"/>
  <c r="AC178" i="16"/>
  <c r="AC141" i="16"/>
  <c r="AC172" i="16"/>
  <c r="AC204" i="16"/>
  <c r="AC231" i="16"/>
  <c r="AC260" i="16"/>
  <c r="AC287" i="16"/>
  <c r="AC202" i="16"/>
  <c r="AC237" i="16"/>
  <c r="AC275" i="16"/>
  <c r="AC311" i="16"/>
  <c r="AC346" i="16"/>
  <c r="AC379" i="16"/>
  <c r="AC353" i="16"/>
  <c r="AC368" i="16"/>
  <c r="C42" i="7"/>
  <c r="E333" i="15"/>
  <c r="C41" i="7"/>
  <c r="E302" i="15"/>
  <c r="E241" i="15"/>
  <c r="C39" i="7"/>
  <c r="E119" i="15"/>
  <c r="C35" i="7"/>
  <c r="E60" i="15"/>
  <c r="C33" i="7"/>
  <c r="O382" i="15"/>
  <c r="E15" i="15"/>
  <c r="O381" i="15"/>
  <c r="O383" i="15"/>
  <c r="C32" i="7"/>
  <c r="E29" i="15"/>
  <c r="O97" i="17"/>
  <c r="E97" i="17" s="1"/>
  <c r="O117" i="17"/>
  <c r="E117" i="17" s="1"/>
  <c r="O98" i="17"/>
  <c r="E98" i="17" s="1"/>
  <c r="O67" i="17"/>
  <c r="E67" i="17" s="1"/>
  <c r="O62" i="17"/>
  <c r="E62" i="17" s="1"/>
  <c r="O29" i="17"/>
  <c r="O21" i="17"/>
  <c r="E21" i="17" s="1"/>
  <c r="O107" i="17"/>
  <c r="E107" i="17" s="1"/>
  <c r="O111" i="17"/>
  <c r="E111" i="17" s="1"/>
  <c r="O86" i="17"/>
  <c r="E86" i="17" s="1"/>
  <c r="O49" i="17"/>
  <c r="E49" i="17" s="1"/>
  <c r="O55" i="17"/>
  <c r="E55" i="17" s="1"/>
  <c r="O100" i="17"/>
  <c r="E100" i="17" s="1"/>
  <c r="O74" i="17"/>
  <c r="E74" i="17" s="1"/>
  <c r="O116" i="17"/>
  <c r="E116" i="17" s="1"/>
  <c r="O104" i="17"/>
  <c r="E104" i="17" s="1"/>
  <c r="O92" i="17"/>
  <c r="E92" i="17" s="1"/>
  <c r="O79" i="17"/>
  <c r="E79" i="17" s="1"/>
  <c r="O65" i="17"/>
  <c r="E65" i="17" s="1"/>
  <c r="O53" i="17"/>
  <c r="E53" i="17" s="1"/>
  <c r="O60" i="17"/>
  <c r="O18" i="17"/>
  <c r="E18" i="17" s="1"/>
  <c r="O19" i="17"/>
  <c r="E19" i="17" s="1"/>
  <c r="O108" i="17"/>
  <c r="E108" i="17" s="1"/>
  <c r="O118" i="17"/>
  <c r="E118" i="17" s="1"/>
  <c r="O93" i="17"/>
  <c r="E93" i="17" s="1"/>
  <c r="O54" i="17"/>
  <c r="E54" i="17" s="1"/>
  <c r="O56" i="17"/>
  <c r="E56" i="17" s="1"/>
  <c r="O17" i="17"/>
  <c r="E17" i="17" s="1"/>
  <c r="O30" i="17"/>
  <c r="E30" i="17" s="1"/>
  <c r="O37" i="17"/>
  <c r="E37" i="17" s="1"/>
  <c r="O22" i="17"/>
  <c r="E22" i="17" s="1"/>
  <c r="O87" i="17"/>
  <c r="E87" i="17" s="1"/>
  <c r="O113" i="17"/>
  <c r="E113" i="17" s="1"/>
  <c r="O90" i="17"/>
  <c r="E90" i="17" s="1"/>
  <c r="O61" i="17"/>
  <c r="E61" i="17" s="1"/>
  <c r="O50" i="17"/>
  <c r="E50" i="17" s="1"/>
  <c r="O16" i="17"/>
  <c r="E16" i="17" s="1"/>
  <c r="O13" i="7"/>
  <c r="O85" i="17"/>
  <c r="E85" i="17" s="1"/>
  <c r="O103" i="17"/>
  <c r="E103" i="17" s="1"/>
  <c r="O78" i="17"/>
  <c r="E78" i="17" s="1"/>
  <c r="O42" i="17"/>
  <c r="E42" i="17" s="1"/>
  <c r="O51" i="17"/>
  <c r="E51" i="17" s="1"/>
  <c r="O88" i="17"/>
  <c r="O38" i="17"/>
  <c r="E38" i="17" s="1"/>
  <c r="O26" i="17"/>
  <c r="E26" i="17" s="1"/>
  <c r="O119" i="17"/>
  <c r="O72" i="17"/>
  <c r="E72" i="17" s="1"/>
  <c r="O95" i="17"/>
  <c r="E95" i="17" s="1"/>
  <c r="O64" i="17"/>
  <c r="E64" i="17" s="1"/>
  <c r="O66" i="17"/>
  <c r="E66" i="17" s="1"/>
  <c r="O23" i="17"/>
  <c r="E23" i="17" s="1"/>
  <c r="O35" i="17"/>
  <c r="E35" i="17" s="1"/>
  <c r="O27" i="17"/>
  <c r="E27" i="17" s="1"/>
  <c r="O112" i="16"/>
  <c r="E112" i="16" s="1"/>
  <c r="O134" i="16"/>
  <c r="E134" i="16" s="1"/>
  <c r="O157" i="16"/>
  <c r="E157" i="16" s="1"/>
  <c r="O183" i="16"/>
  <c r="E183" i="16" s="1"/>
  <c r="O160" i="16"/>
  <c r="E160" i="16" s="1"/>
  <c r="O198" i="16"/>
  <c r="E198" i="16" s="1"/>
  <c r="O229" i="16"/>
  <c r="E229" i="16" s="1"/>
  <c r="O253" i="16"/>
  <c r="E253" i="16" s="1"/>
  <c r="O272" i="16"/>
  <c r="O185" i="16"/>
  <c r="E185" i="16" s="1"/>
  <c r="O203" i="16"/>
  <c r="E203" i="16" s="1"/>
  <c r="O222" i="16"/>
  <c r="E222" i="16" s="1"/>
  <c r="O257" i="16"/>
  <c r="E257" i="16" s="1"/>
  <c r="O283" i="16"/>
  <c r="E283" i="16" s="1"/>
  <c r="O314" i="16"/>
  <c r="E314" i="16" s="1"/>
  <c r="O343" i="16"/>
  <c r="E343" i="16" s="1"/>
  <c r="O367" i="16"/>
  <c r="E367" i="16" s="1"/>
  <c r="O303" i="16"/>
  <c r="E303" i="16" s="1"/>
  <c r="O345" i="16"/>
  <c r="E345" i="16" s="1"/>
  <c r="O130" i="16"/>
  <c r="E130" i="16" s="1"/>
  <c r="O145" i="16"/>
  <c r="E145" i="16" s="1"/>
  <c r="O168" i="16"/>
  <c r="E168" i="16" s="1"/>
  <c r="O133" i="16"/>
  <c r="E133" i="16" s="1"/>
  <c r="O180" i="16"/>
  <c r="O217" i="16"/>
  <c r="E217" i="16" s="1"/>
  <c r="O242" i="16"/>
  <c r="E242" i="16" s="1"/>
  <c r="O279" i="16"/>
  <c r="E279" i="16" s="1"/>
  <c r="O189" i="16"/>
  <c r="E189" i="16" s="1"/>
  <c r="O223" i="16"/>
  <c r="E223" i="16" s="1"/>
  <c r="O258" i="16"/>
  <c r="E258" i="16" s="1"/>
  <c r="O284" i="16"/>
  <c r="E284" i="16" s="1"/>
  <c r="O317" i="16"/>
  <c r="E317" i="16" s="1"/>
  <c r="O344" i="16"/>
  <c r="E344" i="16" s="1"/>
  <c r="O368" i="16"/>
  <c r="E368" i="16" s="1"/>
  <c r="O380" i="16"/>
  <c r="E380" i="16" s="1"/>
  <c r="O333" i="16"/>
  <c r="O124" i="16"/>
  <c r="E124" i="16" s="1"/>
  <c r="O154" i="16"/>
  <c r="E154" i="16" s="1"/>
  <c r="O179" i="16"/>
  <c r="E179" i="16" s="1"/>
  <c r="O156" i="16"/>
  <c r="E156" i="16" s="1"/>
  <c r="O195" i="16"/>
  <c r="E195" i="16" s="1"/>
  <c r="O227" i="16"/>
  <c r="E227" i="16" s="1"/>
  <c r="O292" i="16"/>
  <c r="E292" i="16" s="1"/>
  <c r="O225" i="16"/>
  <c r="E225" i="16" s="1"/>
  <c r="O259" i="16"/>
  <c r="E259" i="16" s="1"/>
  <c r="O285" i="16"/>
  <c r="E285" i="16" s="1"/>
  <c r="O318" i="16"/>
  <c r="E318" i="16" s="1"/>
  <c r="O347" i="16"/>
  <c r="E347" i="16" s="1"/>
  <c r="O372" i="16"/>
  <c r="E372" i="16" s="1"/>
  <c r="O308" i="16"/>
  <c r="E308" i="16" s="1"/>
  <c r="O365" i="16"/>
  <c r="E365" i="16" s="1"/>
  <c r="O132" i="16"/>
  <c r="E132" i="16" s="1"/>
  <c r="O149" i="16"/>
  <c r="O171" i="16"/>
  <c r="E171" i="16" s="1"/>
  <c r="O140" i="16"/>
  <c r="E140" i="16" s="1"/>
  <c r="O186" i="16"/>
  <c r="E186" i="16" s="1"/>
  <c r="O219" i="16"/>
  <c r="E219" i="16" s="1"/>
  <c r="O250" i="16"/>
  <c r="E250" i="16" s="1"/>
  <c r="O289" i="16"/>
  <c r="E289" i="16" s="1"/>
  <c r="O197" i="16"/>
  <c r="E197" i="16" s="1"/>
  <c r="O230" i="16"/>
  <c r="E230" i="16" s="1"/>
  <c r="O260" i="16"/>
  <c r="E260" i="16" s="1"/>
  <c r="O286" i="16"/>
  <c r="E286" i="16" s="1"/>
  <c r="O319" i="16"/>
  <c r="E319" i="16" s="1"/>
  <c r="O348" i="16"/>
  <c r="E348" i="16" s="1"/>
  <c r="O377" i="16"/>
  <c r="E377" i="16" s="1"/>
  <c r="O350" i="16"/>
  <c r="E350" i="16" s="1"/>
  <c r="O374" i="16"/>
  <c r="E374" i="16" s="1"/>
  <c r="O122" i="16"/>
  <c r="E122" i="16" s="1"/>
  <c r="O152" i="16"/>
  <c r="E152" i="16" s="1"/>
  <c r="O176" i="16"/>
  <c r="E176" i="16" s="1"/>
  <c r="O146" i="16"/>
  <c r="E146" i="16" s="1"/>
  <c r="O193" i="16"/>
  <c r="E193" i="16" s="1"/>
  <c r="O224" i="16"/>
  <c r="E224" i="16" s="1"/>
  <c r="O251" i="16"/>
  <c r="E251" i="16" s="1"/>
  <c r="O265" i="16"/>
  <c r="E265" i="16" s="1"/>
  <c r="O299" i="16"/>
  <c r="E299" i="16" s="1"/>
  <c r="O199" i="16"/>
  <c r="E199" i="16" s="1"/>
  <c r="O210" i="16"/>
  <c r="O246" i="16"/>
  <c r="E246" i="16" s="1"/>
  <c r="O277" i="16"/>
  <c r="E277" i="16" s="1"/>
  <c r="O309" i="16"/>
  <c r="E309" i="16" s="1"/>
  <c r="O337" i="16"/>
  <c r="E337" i="16" s="1"/>
  <c r="O359" i="16"/>
  <c r="E359" i="16" s="1"/>
  <c r="O341" i="16"/>
  <c r="E341" i="16" s="1"/>
  <c r="O320" i="16"/>
  <c r="E320" i="16" s="1"/>
  <c r="O119" i="16"/>
  <c r="O137" i="16"/>
  <c r="E137" i="16" s="1"/>
  <c r="O162" i="16"/>
  <c r="E162" i="16" s="1"/>
  <c r="O116" i="16"/>
  <c r="E116" i="16" s="1"/>
  <c r="O169" i="16"/>
  <c r="E169" i="16" s="1"/>
  <c r="O205" i="16"/>
  <c r="E205" i="16" s="1"/>
  <c r="O236" i="16"/>
  <c r="E236" i="16" s="1"/>
  <c r="O271" i="16"/>
  <c r="E271" i="16" s="1"/>
  <c r="O307" i="16"/>
  <c r="E307" i="16" s="1"/>
  <c r="O211" i="16"/>
  <c r="E211" i="16" s="1"/>
  <c r="O247" i="16"/>
  <c r="E247" i="16" s="1"/>
  <c r="O278" i="16"/>
  <c r="E278" i="16" s="1"/>
  <c r="O310" i="16"/>
  <c r="E310" i="16" s="1"/>
  <c r="O338" i="16"/>
  <c r="E338" i="16" s="1"/>
  <c r="O360" i="16"/>
  <c r="E360" i="16" s="1"/>
  <c r="O362" i="16"/>
  <c r="E362" i="16" s="1"/>
  <c r="O379" i="16"/>
  <c r="O117" i="16"/>
  <c r="E117" i="16" s="1"/>
  <c r="O136" i="16"/>
  <c r="E136" i="16" s="1"/>
  <c r="O161" i="16"/>
  <c r="E161" i="16" s="1"/>
  <c r="O113" i="16"/>
  <c r="E113" i="16" s="1"/>
  <c r="O166" i="16"/>
  <c r="E166" i="16" s="1"/>
  <c r="O202" i="16"/>
  <c r="E202" i="16" s="1"/>
  <c r="O233" i="16"/>
  <c r="E233" i="16" s="1"/>
  <c r="O296" i="16"/>
  <c r="E296" i="16" s="1"/>
  <c r="O235" i="16"/>
  <c r="E235" i="16" s="1"/>
  <c r="O267" i="16"/>
  <c r="E267" i="16" s="1"/>
  <c r="O290" i="16"/>
  <c r="E290" i="16" s="1"/>
  <c r="O327" i="16"/>
  <c r="E327" i="16" s="1"/>
  <c r="O352" i="16"/>
  <c r="E352" i="16" s="1"/>
  <c r="O315" i="16"/>
  <c r="E315" i="16" s="1"/>
  <c r="O354" i="16"/>
  <c r="E354" i="16" s="1"/>
  <c r="O375" i="16"/>
  <c r="E375" i="16" s="1"/>
  <c r="O123" i="16"/>
  <c r="E123" i="16" s="1"/>
  <c r="O153" i="16"/>
  <c r="E153" i="16" s="1"/>
  <c r="O177" i="16"/>
  <c r="E177" i="16" s="1"/>
  <c r="O147" i="16"/>
  <c r="E147" i="16" s="1"/>
  <c r="O194" i="16"/>
  <c r="E194" i="16" s="1"/>
  <c r="O226" i="16"/>
  <c r="E226" i="16" s="1"/>
  <c r="O255" i="16"/>
  <c r="E255" i="16" s="1"/>
  <c r="O295" i="16"/>
  <c r="E295" i="16" s="1"/>
  <c r="O204" i="16"/>
  <c r="E204" i="16" s="1"/>
  <c r="O237" i="16"/>
  <c r="E237" i="16" s="1"/>
  <c r="O268" i="16"/>
  <c r="E268" i="16" s="1"/>
  <c r="O291" i="16"/>
  <c r="E291" i="16" s="1"/>
  <c r="O328" i="16"/>
  <c r="E328" i="16" s="1"/>
  <c r="O353" i="16"/>
  <c r="E353" i="16" s="1"/>
  <c r="O316" i="16"/>
  <c r="E316" i="16" s="1"/>
  <c r="O371" i="16"/>
  <c r="E371" i="16" s="1"/>
  <c r="O114" i="17"/>
  <c r="E114" i="17" s="1"/>
  <c r="O80" i="17"/>
  <c r="E80" i="17" s="1"/>
  <c r="O109" i="17"/>
  <c r="E109" i="17" s="1"/>
  <c r="O82" i="17"/>
  <c r="E82" i="17" s="1"/>
  <c r="O58" i="17"/>
  <c r="E58" i="17" s="1"/>
  <c r="O45" i="17"/>
  <c r="E45" i="17" s="1"/>
  <c r="O25" i="17"/>
  <c r="E25" i="17" s="1"/>
  <c r="O122" i="17"/>
  <c r="E122" i="17" s="1"/>
  <c r="O77" i="17"/>
  <c r="E77" i="17" s="1"/>
  <c r="O96" i="17"/>
  <c r="E96" i="17" s="1"/>
  <c r="O73" i="17"/>
  <c r="E73" i="17" s="1"/>
  <c r="O68" i="17"/>
  <c r="E68" i="17" s="1"/>
  <c r="O40" i="17"/>
  <c r="E40" i="17" s="1"/>
  <c r="O83" i="17"/>
  <c r="E83" i="17" s="1"/>
  <c r="O123" i="17"/>
  <c r="E123" i="17" s="1"/>
  <c r="O112" i="17"/>
  <c r="E112" i="17" s="1"/>
  <c r="O99" i="17"/>
  <c r="E99" i="17" s="1"/>
  <c r="O89" i="17"/>
  <c r="E89" i="17" s="1"/>
  <c r="O69" i="17"/>
  <c r="E69" i="17" s="1"/>
  <c r="O59" i="17"/>
  <c r="E59" i="17" s="1"/>
  <c r="O41" i="17"/>
  <c r="E41" i="17" s="1"/>
  <c r="O44" i="17"/>
  <c r="E44" i="17" s="1"/>
  <c r="O15" i="17"/>
  <c r="O120" i="17"/>
  <c r="E120" i="17" s="1"/>
  <c r="O81" i="17"/>
  <c r="E81" i="17" s="1"/>
  <c r="O101" i="17"/>
  <c r="E101" i="17" s="1"/>
  <c r="O75" i="17"/>
  <c r="E75" i="17" s="1"/>
  <c r="O70" i="17"/>
  <c r="E70" i="17" s="1"/>
  <c r="O43" i="17"/>
  <c r="E43" i="17" s="1"/>
  <c r="O24" i="17"/>
  <c r="E24" i="17" s="1"/>
  <c r="O36" i="17"/>
  <c r="E36" i="17" s="1"/>
  <c r="O28" i="17"/>
  <c r="E28" i="17" s="1"/>
  <c r="O106" i="17"/>
  <c r="E106" i="17" s="1"/>
  <c r="O71" i="17"/>
  <c r="E71" i="17" s="1"/>
  <c r="O102" i="17"/>
  <c r="E102" i="17" s="1"/>
  <c r="O76" i="17"/>
  <c r="E76" i="17" s="1"/>
  <c r="O47" i="17"/>
  <c r="E47" i="17" s="1"/>
  <c r="O39" i="17"/>
  <c r="E39" i="17" s="1"/>
  <c r="O31" i="17"/>
  <c r="E31" i="17" s="1"/>
  <c r="O115" i="17"/>
  <c r="E115" i="17" s="1"/>
  <c r="O121" i="17"/>
  <c r="E121" i="17" s="1"/>
  <c r="O94" i="17"/>
  <c r="E94" i="17" s="1"/>
  <c r="O63" i="17"/>
  <c r="E63" i="17" s="1"/>
  <c r="O57" i="17"/>
  <c r="E57" i="17" s="1"/>
  <c r="O110" i="17"/>
  <c r="E110" i="17" s="1"/>
  <c r="O46" i="17"/>
  <c r="E46" i="17" s="1"/>
  <c r="O33" i="17"/>
  <c r="E33" i="17" s="1"/>
  <c r="AC10" i="17"/>
  <c r="O91" i="17"/>
  <c r="E91" i="17" s="1"/>
  <c r="O105" i="17"/>
  <c r="E105" i="17" s="1"/>
  <c r="O84" i="17"/>
  <c r="E84" i="17" s="1"/>
  <c r="O48" i="17"/>
  <c r="E48" i="17" s="1"/>
  <c r="O52" i="17"/>
  <c r="E52" i="17" s="1"/>
  <c r="O34" i="17"/>
  <c r="E34" i="17" s="1"/>
  <c r="O20" i="17"/>
  <c r="E20" i="17" s="1"/>
  <c r="O32" i="17"/>
  <c r="E32" i="17" s="1"/>
  <c r="O131" i="16"/>
  <c r="E131" i="16" s="1"/>
  <c r="O148" i="16"/>
  <c r="E148" i="16" s="1"/>
  <c r="O170" i="16"/>
  <c r="E170" i="16" s="1"/>
  <c r="O139" i="16"/>
  <c r="E139" i="16" s="1"/>
  <c r="O182" i="16"/>
  <c r="E182" i="16" s="1"/>
  <c r="O218" i="16"/>
  <c r="E218" i="16" s="1"/>
  <c r="O248" i="16"/>
  <c r="E248" i="16" s="1"/>
  <c r="O262" i="16"/>
  <c r="E262" i="16" s="1"/>
  <c r="O294" i="16"/>
  <c r="E294" i="16" s="1"/>
  <c r="O191" i="16"/>
  <c r="E191" i="16" s="1"/>
  <c r="O208" i="16"/>
  <c r="E208" i="16" s="1"/>
  <c r="O239" i="16"/>
  <c r="E239" i="16" s="1"/>
  <c r="O269" i="16"/>
  <c r="E269" i="16" s="1"/>
  <c r="O298" i="16"/>
  <c r="E298" i="16" s="1"/>
  <c r="O330" i="16"/>
  <c r="E330" i="16" s="1"/>
  <c r="O355" i="16"/>
  <c r="E355" i="16" s="1"/>
  <c r="O323" i="16"/>
  <c r="E323" i="16" s="1"/>
  <c r="O366" i="16"/>
  <c r="E366" i="16" s="1"/>
  <c r="O111" i="16"/>
  <c r="O125" i="16"/>
  <c r="E125" i="16" s="1"/>
  <c r="O155" i="16"/>
  <c r="E155" i="16" s="1"/>
  <c r="O181" i="16"/>
  <c r="E181" i="16" s="1"/>
  <c r="O159" i="16"/>
  <c r="E159" i="16" s="1"/>
  <c r="O196" i="16"/>
  <c r="E196" i="16" s="1"/>
  <c r="O228" i="16"/>
  <c r="E228" i="16" s="1"/>
  <c r="O261" i="16"/>
  <c r="E261" i="16" s="1"/>
  <c r="O297" i="16"/>
  <c r="E297" i="16" s="1"/>
  <c r="O207" i="16"/>
  <c r="E207" i="16" s="1"/>
  <c r="O243" i="16"/>
  <c r="E243" i="16" s="1"/>
  <c r="O270" i="16"/>
  <c r="E270" i="16" s="1"/>
  <c r="O300" i="16"/>
  <c r="E300" i="16" s="1"/>
  <c r="O334" i="16"/>
  <c r="E334" i="16" s="1"/>
  <c r="O356" i="16"/>
  <c r="E356" i="16" s="1"/>
  <c r="O324" i="16"/>
  <c r="E324" i="16" s="1"/>
  <c r="O363" i="16"/>
  <c r="O129" i="16"/>
  <c r="E129" i="16" s="1"/>
  <c r="O142" i="16"/>
  <c r="E142" i="16" s="1"/>
  <c r="O167" i="16"/>
  <c r="E167" i="16" s="1"/>
  <c r="O127" i="16"/>
  <c r="E127" i="16" s="1"/>
  <c r="O178" i="16"/>
  <c r="E178" i="16" s="1"/>
  <c r="O216" i="16"/>
  <c r="E216" i="16" s="1"/>
  <c r="O241" i="16"/>
  <c r="O302" i="16"/>
  <c r="O244" i="16"/>
  <c r="E244" i="16" s="1"/>
  <c r="O273" i="16"/>
  <c r="E273" i="16" s="1"/>
  <c r="O304" i="16"/>
  <c r="E304" i="16" s="1"/>
  <c r="O335" i="16"/>
  <c r="E335" i="16" s="1"/>
  <c r="O357" i="16"/>
  <c r="E357" i="16" s="1"/>
  <c r="O326" i="16"/>
  <c r="E326" i="16" s="1"/>
  <c r="O376" i="16"/>
  <c r="E376" i="16" s="1"/>
  <c r="O114" i="16"/>
  <c r="E114" i="16" s="1"/>
  <c r="O135" i="16"/>
  <c r="E135" i="16" s="1"/>
  <c r="O158" i="16"/>
  <c r="E158" i="16" s="1"/>
  <c r="O184" i="16"/>
  <c r="E184" i="16" s="1"/>
  <c r="O163" i="16"/>
  <c r="E163" i="16" s="1"/>
  <c r="O201" i="16"/>
  <c r="E201" i="16" s="1"/>
  <c r="O231" i="16"/>
  <c r="E231" i="16" s="1"/>
  <c r="O263" i="16"/>
  <c r="E263" i="16" s="1"/>
  <c r="O301" i="16"/>
  <c r="E301" i="16" s="1"/>
  <c r="O209" i="16"/>
  <c r="E209" i="16" s="1"/>
  <c r="O245" i="16"/>
  <c r="E245" i="16" s="1"/>
  <c r="O275" i="16"/>
  <c r="E275" i="16" s="1"/>
  <c r="O306" i="16"/>
  <c r="E306" i="16" s="1"/>
  <c r="O336" i="16"/>
  <c r="E336" i="16" s="1"/>
  <c r="O358" i="16"/>
  <c r="E358" i="16" s="1"/>
  <c r="O332" i="16"/>
  <c r="E332" i="16" s="1"/>
  <c r="O329" i="16"/>
  <c r="E329" i="16" s="1"/>
  <c r="O126" i="16"/>
  <c r="E126" i="16" s="1"/>
  <c r="O138" i="16"/>
  <c r="E138" i="16" s="1"/>
  <c r="O164" i="16"/>
  <c r="E164" i="16" s="1"/>
  <c r="O118" i="16"/>
  <c r="E118" i="16" s="1"/>
  <c r="O172" i="16"/>
  <c r="E172" i="16" s="1"/>
  <c r="O212" i="16"/>
  <c r="E212" i="16" s="1"/>
  <c r="O238" i="16"/>
  <c r="E238" i="16" s="1"/>
  <c r="O256" i="16"/>
  <c r="E256" i="16" s="1"/>
  <c r="O281" i="16"/>
  <c r="E281" i="16" s="1"/>
  <c r="O188" i="16"/>
  <c r="E188" i="16" s="1"/>
  <c r="O206" i="16"/>
  <c r="E206" i="16" s="1"/>
  <c r="O232" i="16"/>
  <c r="E232" i="16" s="1"/>
  <c r="O264" i="16"/>
  <c r="E264" i="16" s="1"/>
  <c r="O287" i="16"/>
  <c r="E287" i="16" s="1"/>
  <c r="O321" i="16"/>
  <c r="E321" i="16" s="1"/>
  <c r="O349" i="16"/>
  <c r="E349" i="16" s="1"/>
  <c r="O378" i="16"/>
  <c r="E378" i="16" s="1"/>
  <c r="O340" i="16"/>
  <c r="E340" i="16" s="1"/>
  <c r="O373" i="16"/>
  <c r="E373" i="16" s="1"/>
  <c r="O120" i="16"/>
  <c r="E120" i="16" s="1"/>
  <c r="O151" i="16"/>
  <c r="E151" i="16" s="1"/>
  <c r="O174" i="16"/>
  <c r="E174" i="16" s="1"/>
  <c r="O144" i="16"/>
  <c r="E144" i="16" s="1"/>
  <c r="O192" i="16"/>
  <c r="E192" i="16" s="1"/>
  <c r="O221" i="16"/>
  <c r="E221" i="16" s="1"/>
  <c r="O252" i="16"/>
  <c r="E252" i="16" s="1"/>
  <c r="O293" i="16"/>
  <c r="E293" i="16" s="1"/>
  <c r="O200" i="16"/>
  <c r="E200" i="16" s="1"/>
  <c r="O234" i="16"/>
  <c r="E234" i="16" s="1"/>
  <c r="O266" i="16"/>
  <c r="E266" i="16" s="1"/>
  <c r="O288" i="16"/>
  <c r="E288" i="16" s="1"/>
  <c r="O322" i="16"/>
  <c r="E322" i="16" s="1"/>
  <c r="O351" i="16"/>
  <c r="E351" i="16" s="1"/>
  <c r="O313" i="16"/>
  <c r="E313" i="16" s="1"/>
  <c r="O325" i="16"/>
  <c r="E325" i="16" s="1"/>
  <c r="O369" i="16"/>
  <c r="E369" i="16" s="1"/>
  <c r="O115" i="16"/>
  <c r="E115" i="16" s="1"/>
  <c r="O150" i="16"/>
  <c r="E150" i="16" s="1"/>
  <c r="O173" i="16"/>
  <c r="E173" i="16" s="1"/>
  <c r="O143" i="16"/>
  <c r="E143" i="16" s="1"/>
  <c r="O190" i="16"/>
  <c r="E190" i="16" s="1"/>
  <c r="O220" i="16"/>
  <c r="E220" i="16" s="1"/>
  <c r="O276" i="16"/>
  <c r="E276" i="16" s="1"/>
  <c r="O213" i="16"/>
  <c r="E213" i="16" s="1"/>
  <c r="O249" i="16"/>
  <c r="E249" i="16" s="1"/>
  <c r="O280" i="16"/>
  <c r="E280" i="16" s="1"/>
  <c r="O311" i="16"/>
  <c r="E311" i="16" s="1"/>
  <c r="O339" i="16"/>
  <c r="E339" i="16" s="1"/>
  <c r="O361" i="16"/>
  <c r="E361" i="16" s="1"/>
  <c r="O370" i="16"/>
  <c r="E370" i="16" s="1"/>
  <c r="O331" i="16"/>
  <c r="E331" i="16" s="1"/>
  <c r="O128" i="16"/>
  <c r="E128" i="16" s="1"/>
  <c r="O141" i="16"/>
  <c r="E141" i="16" s="1"/>
  <c r="O165" i="16"/>
  <c r="E165" i="16" s="1"/>
  <c r="O121" i="16"/>
  <c r="E121" i="16" s="1"/>
  <c r="O175" i="16"/>
  <c r="E175" i="16" s="1"/>
  <c r="O215" i="16"/>
  <c r="E215" i="16" s="1"/>
  <c r="O240" i="16"/>
  <c r="E240" i="16" s="1"/>
  <c r="O274" i="16"/>
  <c r="E274" i="16" s="1"/>
  <c r="O187" i="16"/>
  <c r="E187" i="16" s="1"/>
  <c r="O214" i="16"/>
  <c r="E214" i="16" s="1"/>
  <c r="O254" i="16"/>
  <c r="E254" i="16" s="1"/>
  <c r="O282" i="16"/>
  <c r="E282" i="16" s="1"/>
  <c r="O312" i="16"/>
  <c r="E312" i="16" s="1"/>
  <c r="O342" i="16"/>
  <c r="E342" i="16" s="1"/>
  <c r="O364" i="16"/>
  <c r="E364" i="16" s="1"/>
  <c r="O305" i="16"/>
  <c r="E305" i="16" s="1"/>
  <c r="O346" i="16"/>
  <c r="E346" i="16" s="1"/>
  <c r="AR13" i="7"/>
  <c r="AJ380" i="23"/>
  <c r="AJ23" i="23"/>
  <c r="AJ29" i="23"/>
  <c r="F7" i="23"/>
  <c r="AJ28" i="23"/>
  <c r="AJ36" i="23"/>
  <c r="AJ40" i="23"/>
  <c r="AJ49" i="23"/>
  <c r="AJ56" i="23"/>
  <c r="AJ37" i="23"/>
  <c r="AJ44" i="23"/>
  <c r="AJ52" i="23"/>
  <c r="AJ62" i="23"/>
  <c r="AJ66" i="23"/>
  <c r="AJ71" i="23"/>
  <c r="AJ76" i="23"/>
  <c r="AJ88" i="23"/>
  <c r="AJ100" i="23"/>
  <c r="AJ106" i="23"/>
  <c r="AJ113" i="23"/>
  <c r="AJ120" i="23"/>
  <c r="AJ126" i="23"/>
  <c r="AJ79" i="23"/>
  <c r="AJ84" i="23"/>
  <c r="AJ90" i="23"/>
  <c r="AJ96" i="23"/>
  <c r="AJ105" i="23"/>
  <c r="AJ117" i="23"/>
  <c r="AJ139" i="23"/>
  <c r="AJ149" i="23"/>
  <c r="AJ156" i="23"/>
  <c r="AJ162" i="23"/>
  <c r="AJ170" i="23"/>
  <c r="AJ177" i="23"/>
  <c r="AJ121" i="23"/>
  <c r="AJ131" i="23"/>
  <c r="AJ135" i="23"/>
  <c r="AJ142" i="23"/>
  <c r="AJ147" i="23"/>
  <c r="AJ159" i="23"/>
  <c r="AJ165" i="23"/>
  <c r="AJ176" i="23"/>
  <c r="AJ187" i="23"/>
  <c r="AJ194" i="23"/>
  <c r="AJ202" i="23"/>
  <c r="AJ214" i="23"/>
  <c r="AJ223" i="23"/>
  <c r="AJ234" i="23"/>
  <c r="AJ240" i="23"/>
  <c r="AJ254" i="23"/>
  <c r="AJ262" i="23"/>
  <c r="AJ274" i="23"/>
  <c r="AJ278" i="23"/>
  <c r="AJ285" i="23"/>
  <c r="AJ289" i="23"/>
  <c r="AJ299" i="23"/>
  <c r="AJ183" i="23"/>
  <c r="AJ191" i="23"/>
  <c r="AJ199" i="23"/>
  <c r="AJ207" i="23"/>
  <c r="AJ212" i="23"/>
  <c r="AJ219" i="23"/>
  <c r="AJ226" i="23"/>
  <c r="AJ232" i="23"/>
  <c r="AJ243" i="23"/>
  <c r="AJ247" i="23"/>
  <c r="AJ251" i="23"/>
  <c r="AJ258" i="23"/>
  <c r="AJ265" i="23"/>
  <c r="AJ271" i="23"/>
  <c r="AJ284" i="23"/>
  <c r="AJ294" i="23"/>
  <c r="AJ304" i="23"/>
  <c r="AJ317" i="23"/>
  <c r="AJ323" i="23"/>
  <c r="AJ333" i="23"/>
  <c r="AJ341" i="23"/>
  <c r="AJ354" i="23"/>
  <c r="AJ373" i="23"/>
  <c r="AJ309" i="23"/>
  <c r="AJ319" i="23"/>
  <c r="AJ331" i="23"/>
  <c r="AJ342" i="23"/>
  <c r="AJ348" i="23"/>
  <c r="AJ360" i="23"/>
  <c r="AJ367" i="23"/>
  <c r="AJ378" i="23"/>
  <c r="AJ350" i="23"/>
  <c r="AJ370" i="23"/>
  <c r="AJ312" i="23"/>
  <c r="AJ346" i="23"/>
  <c r="AJ372" i="23"/>
  <c r="AJ22" i="23"/>
  <c r="AJ27" i="23"/>
  <c r="AJ15" i="23"/>
  <c r="AJ24" i="23"/>
  <c r="AJ34" i="23"/>
  <c r="AJ38" i="23"/>
  <c r="AJ48" i="23"/>
  <c r="AJ54" i="23"/>
  <c r="AJ61" i="23"/>
  <c r="AJ43" i="23"/>
  <c r="AJ50" i="23"/>
  <c r="AJ59" i="23"/>
  <c r="AJ65" i="23"/>
  <c r="AJ70" i="23"/>
  <c r="AJ75" i="23"/>
  <c r="AJ85" i="23"/>
  <c r="AJ97" i="23"/>
  <c r="AJ104" i="23"/>
  <c r="AJ112" i="23"/>
  <c r="AJ118" i="23"/>
  <c r="AJ125" i="23"/>
  <c r="AJ77" i="23"/>
  <c r="AJ82" i="23"/>
  <c r="AJ89" i="23"/>
  <c r="AJ93" i="23"/>
  <c r="AJ103" i="23"/>
  <c r="AJ114" i="23"/>
  <c r="AJ136" i="23"/>
  <c r="AJ148" i="23"/>
  <c r="AJ155" i="23"/>
  <c r="AJ160" i="23"/>
  <c r="AJ169" i="23"/>
  <c r="AJ175" i="23"/>
  <c r="AJ119" i="23"/>
  <c r="AJ129" i="23"/>
  <c r="AJ134" i="23"/>
  <c r="AJ140" i="23"/>
  <c r="AJ146" i="23"/>
  <c r="AJ153" i="23"/>
  <c r="AJ164" i="23"/>
  <c r="AJ174" i="23"/>
  <c r="AJ185" i="23"/>
  <c r="AJ193" i="23"/>
  <c r="AJ201" i="23"/>
  <c r="AJ211" i="23"/>
  <c r="AJ220" i="23"/>
  <c r="AJ228" i="23"/>
  <c r="AJ239" i="23"/>
  <c r="AJ253" i="23"/>
  <c r="AJ261" i="23"/>
  <c r="AJ273" i="23"/>
  <c r="AJ277" i="23"/>
  <c r="AJ282" i="23"/>
  <c r="AJ288" i="23"/>
  <c r="AJ298" i="23"/>
  <c r="AJ182" i="23"/>
  <c r="AJ188" i="23"/>
  <c r="AJ197" i="23"/>
  <c r="AJ206" i="23"/>
  <c r="AJ210" i="23"/>
  <c r="AJ216" i="23"/>
  <c r="AJ225" i="23"/>
  <c r="AJ231" i="23"/>
  <c r="AJ237" i="23"/>
  <c r="AJ246" i="23"/>
  <c r="AJ250" i="23"/>
  <c r="AJ257" i="23"/>
  <c r="AJ264" i="23"/>
  <c r="AJ268" i="23"/>
  <c r="AJ283" i="23"/>
  <c r="AJ292" i="23"/>
  <c r="AJ303" i="23"/>
  <c r="AJ315" i="23"/>
  <c r="AJ322" i="23"/>
  <c r="AJ330" i="23"/>
  <c r="AJ338" i="23"/>
  <c r="AJ352" i="23"/>
  <c r="AJ365" i="23"/>
  <c r="AJ307" i="23"/>
  <c r="AJ316" i="23"/>
  <c r="AJ329" i="23"/>
  <c r="AJ339" i="23"/>
  <c r="AJ347" i="23"/>
  <c r="AJ359" i="23"/>
  <c r="AJ366" i="23"/>
  <c r="AJ377" i="23"/>
  <c r="AJ326" i="23"/>
  <c r="AJ368" i="23"/>
  <c r="AJ310" i="23"/>
  <c r="AJ340" i="23"/>
  <c r="AJ369" i="23"/>
  <c r="AJ26" i="23"/>
  <c r="AJ21" i="23"/>
  <c r="AJ35" i="23"/>
  <c r="AJ53" i="23"/>
  <c r="AJ42" i="23"/>
  <c r="AJ57" i="23"/>
  <c r="AJ69" i="23"/>
  <c r="AJ83" i="23"/>
  <c r="AJ102" i="23"/>
  <c r="AJ116" i="23"/>
  <c r="AJ74" i="23"/>
  <c r="AJ87" i="23"/>
  <c r="AJ99" i="23"/>
  <c r="AJ130" i="23"/>
  <c r="AJ154" i="23"/>
  <c r="AJ167" i="23"/>
  <c r="AJ110" i="23"/>
  <c r="AJ133" i="23"/>
  <c r="AJ145" i="23"/>
  <c r="AJ163" i="23"/>
  <c r="AJ180" i="23"/>
  <c r="AJ198" i="23"/>
  <c r="AJ218" i="23"/>
  <c r="AJ238" i="23"/>
  <c r="AJ259" i="23"/>
  <c r="AJ276" i="23"/>
  <c r="AJ287" i="23"/>
  <c r="AJ181" i="23"/>
  <c r="AJ196" i="23"/>
  <c r="AJ209" i="23"/>
  <c r="AJ222" i="23"/>
  <c r="AJ236" i="23"/>
  <c r="AJ249" i="23"/>
  <c r="AJ263" i="23"/>
  <c r="AJ280" i="23"/>
  <c r="AJ296" i="23"/>
  <c r="AJ321" i="23"/>
  <c r="AJ337" i="23"/>
  <c r="AJ361" i="23"/>
  <c r="AJ313" i="23"/>
  <c r="AJ334" i="23"/>
  <c r="AJ357" i="23"/>
  <c r="AJ374" i="23"/>
  <c r="AJ363" i="23"/>
  <c r="AJ336" i="23"/>
  <c r="AJ16" i="23"/>
  <c r="AJ25" i="23"/>
  <c r="AJ17" i="23"/>
  <c r="AJ33" i="23"/>
  <c r="AJ51" i="23"/>
  <c r="AJ39" i="23"/>
  <c r="AJ55" i="23"/>
  <c r="AJ68" i="23"/>
  <c r="AJ78" i="23"/>
  <c r="AJ101" i="23"/>
  <c r="AJ115" i="23"/>
  <c r="AJ67" i="23"/>
  <c r="AJ86" i="23"/>
  <c r="AJ98" i="23"/>
  <c r="AJ123" i="23"/>
  <c r="AJ150" i="23"/>
  <c r="AJ166" i="23"/>
  <c r="AJ178" i="23"/>
  <c r="AJ132" i="23"/>
  <c r="AJ143" i="23"/>
  <c r="AJ161" i="23"/>
  <c r="AJ179" i="23"/>
  <c r="AJ195" i="23"/>
  <c r="AJ217" i="23"/>
  <c r="AJ235" i="23"/>
  <c r="AJ255" i="23"/>
  <c r="AJ275" i="23"/>
  <c r="AJ286" i="23"/>
  <c r="AJ302" i="23"/>
  <c r="AJ192" i="23"/>
  <c r="AJ208" i="23"/>
  <c r="AJ221" i="23"/>
  <c r="AJ233" i="23"/>
  <c r="AJ248" i="23"/>
  <c r="AJ260" i="23"/>
  <c r="AJ272" i="23"/>
  <c r="AJ295" i="23"/>
  <c r="AJ318" i="23"/>
  <c r="AJ335" i="23"/>
  <c r="AJ358" i="23"/>
  <c r="AJ311" i="23"/>
  <c r="AJ332" i="23"/>
  <c r="AJ355" i="23"/>
  <c r="AJ371" i="23"/>
  <c r="AJ353" i="23"/>
  <c r="AJ320" i="23"/>
  <c r="AJ376" i="23"/>
  <c r="AJ19" i="23"/>
  <c r="AJ31" i="23"/>
  <c r="AJ20" i="23"/>
  <c r="AJ46" i="23"/>
  <c r="AJ60" i="23"/>
  <c r="AJ47" i="23"/>
  <c r="AJ64" i="23"/>
  <c r="AJ73" i="23"/>
  <c r="AJ95" i="23"/>
  <c r="AJ109" i="23"/>
  <c r="AJ124" i="23"/>
  <c r="AJ81" i="23"/>
  <c r="AJ92" i="23"/>
  <c r="AJ111" i="23"/>
  <c r="AJ144" i="23"/>
  <c r="AJ158" i="23"/>
  <c r="AJ173" i="23"/>
  <c r="AJ128" i="23"/>
  <c r="AJ138" i="23"/>
  <c r="AJ152" i="23"/>
  <c r="AJ172" i="23"/>
  <c r="AJ190" i="23"/>
  <c r="AJ205" i="23"/>
  <c r="AJ227" i="23"/>
  <c r="AJ242" i="23"/>
  <c r="AJ270" i="23"/>
  <c r="AJ281" i="23"/>
  <c r="AJ297" i="23"/>
  <c r="AJ186" i="23"/>
  <c r="AJ204" i="23"/>
  <c r="AJ215" i="23"/>
  <c r="AJ230" i="23"/>
  <c r="AJ245" i="23"/>
  <c r="AJ256" i="23"/>
  <c r="AJ267" i="23"/>
  <c r="AJ291" i="23"/>
  <c r="AJ308" i="23"/>
  <c r="AJ328" i="23"/>
  <c r="AJ349" i="23"/>
  <c r="AJ306" i="23"/>
  <c r="AJ327" i="23"/>
  <c r="AJ345" i="23"/>
  <c r="AJ364" i="23"/>
  <c r="AJ314" i="23"/>
  <c r="AJ379" i="23"/>
  <c r="AJ356" i="23"/>
  <c r="AJ18" i="23"/>
  <c r="AJ30" i="23"/>
  <c r="AJ32" i="23"/>
  <c r="AJ41" i="23"/>
  <c r="AJ58" i="23"/>
  <c r="AJ45" i="23"/>
  <c r="AJ63" i="23"/>
  <c r="AJ72" i="23"/>
  <c r="AJ94" i="23"/>
  <c r="AJ108" i="23"/>
  <c r="AJ122" i="23"/>
  <c r="AJ80" i="23"/>
  <c r="AJ91" i="23"/>
  <c r="AJ107" i="23"/>
  <c r="AJ141" i="23"/>
  <c r="AJ157" i="23"/>
  <c r="AJ171" i="23"/>
  <c r="AJ127" i="23"/>
  <c r="AJ137" i="23"/>
  <c r="AJ151" i="23"/>
  <c r="AJ168" i="23"/>
  <c r="AJ189" i="23"/>
  <c r="AJ203" i="23"/>
  <c r="AJ224" i="23"/>
  <c r="AJ241" i="23"/>
  <c r="AJ269" i="23"/>
  <c r="AJ279" i="23"/>
  <c r="AJ293" i="23"/>
  <c r="AJ184" i="23"/>
  <c r="AJ200" i="23"/>
  <c r="AJ213" i="23"/>
  <c r="AJ229" i="23"/>
  <c r="AJ244" i="23"/>
  <c r="AJ252" i="23"/>
  <c r="AJ266" i="23"/>
  <c r="AJ290" i="23"/>
  <c r="AJ305" i="23"/>
  <c r="AJ325" i="23"/>
  <c r="AJ344" i="23"/>
  <c r="AJ301" i="23"/>
  <c r="AJ324" i="23"/>
  <c r="AJ343" i="23"/>
  <c r="AJ362" i="23"/>
  <c r="AJ300" i="23"/>
  <c r="AJ375" i="23"/>
  <c r="AJ351" i="23"/>
  <c r="AC383" i="15"/>
  <c r="AC382" i="15"/>
  <c r="AC381" i="15"/>
  <c r="C34" i="7"/>
  <c r="E88" i="15"/>
  <c r="E210" i="15"/>
  <c r="C38" i="7"/>
  <c r="E363" i="15"/>
  <c r="C43" i="7"/>
  <c r="E272" i="15"/>
  <c r="C40" i="7"/>
  <c r="C37" i="7"/>
  <c r="E180" i="15"/>
  <c r="E149" i="15"/>
  <c r="C36" i="7"/>
  <c r="O9" i="24"/>
  <c r="AC9" i="22"/>
  <c r="AC12" i="22"/>
  <c r="O12" i="22"/>
  <c r="O11" i="22"/>
  <c r="AD333" i="15"/>
  <c r="AD369" i="15"/>
  <c r="AD186" i="15"/>
  <c r="AA264" i="1"/>
  <c r="Z264" i="1" s="1"/>
  <c r="Y264" i="1" s="1"/>
  <c r="AA333" i="1"/>
  <c r="Z333" i="1" s="1"/>
  <c r="Y333" i="1" s="1"/>
  <c r="G333" i="1"/>
  <c r="BW333" i="6" s="1"/>
  <c r="G308" i="1"/>
  <c r="BW308" i="6" s="1"/>
  <c r="AA129" i="1"/>
  <c r="Z129" i="1" s="1"/>
  <c r="Y129" i="1" s="1"/>
  <c r="AA128" i="1"/>
  <c r="Z128" i="1" s="1"/>
  <c r="Y128" i="1" s="1"/>
  <c r="AA130" i="1"/>
  <c r="Z130" i="1" s="1"/>
  <c r="Y130" i="1" s="1"/>
  <c r="I307" i="1"/>
  <c r="AA307" i="1"/>
  <c r="Z307" i="1" s="1"/>
  <c r="Y307" i="1" s="1"/>
  <c r="AA153" i="1"/>
  <c r="Z153" i="1" s="1"/>
  <c r="Y153" i="1" s="1"/>
  <c r="K61" i="19"/>
  <c r="G61" i="19"/>
  <c r="AA308" i="1"/>
  <c r="Z308" i="1" s="1"/>
  <c r="Y308" i="1" s="1"/>
  <c r="AA117" i="1"/>
  <c r="Z117" i="1" s="1"/>
  <c r="Y117" i="1" s="1"/>
  <c r="I305" i="1"/>
  <c r="G305" i="1"/>
  <c r="BW305" i="6" s="1"/>
  <c r="AA305" i="1"/>
  <c r="Z305" i="1" s="1"/>
  <c r="Y305" i="1" s="1"/>
  <c r="F320" i="1"/>
  <c r="L61" i="19"/>
  <c r="AF17" i="1"/>
  <c r="AG383" i="1"/>
  <c r="AG382" i="1"/>
  <c r="AG381" i="1"/>
  <c r="AK5" i="18"/>
  <c r="AK9" i="18"/>
  <c r="AK7" i="18"/>
  <c r="AK11" i="18" s="1"/>
  <c r="AM5" i="18"/>
  <c r="AM7" i="18"/>
  <c r="AM11" i="18" s="1"/>
  <c r="AM9" i="18"/>
  <c r="AE11" i="18"/>
  <c r="P10" i="18"/>
  <c r="L15" i="19"/>
  <c r="AI11" i="18"/>
  <c r="I301" i="1"/>
  <c r="G301" i="1"/>
  <c r="BW301" i="6" s="1"/>
  <c r="P12" i="20"/>
  <c r="AK16" i="20"/>
  <c r="AK380" i="20"/>
  <c r="AK19" i="20"/>
  <c r="AK21" i="20"/>
  <c r="AK26" i="20"/>
  <c r="AK28" i="20"/>
  <c r="AK23" i="20"/>
  <c r="AK29" i="20"/>
  <c r="AK31" i="20"/>
  <c r="AK33" i="20"/>
  <c r="AK35" i="20"/>
  <c r="AK40" i="20"/>
  <c r="AK44" i="20"/>
  <c r="AK46" i="20"/>
  <c r="AK49" i="20"/>
  <c r="AK51" i="20"/>
  <c r="AK54" i="20"/>
  <c r="AK56" i="20"/>
  <c r="AK62" i="20"/>
  <c r="AK64" i="20"/>
  <c r="AK67" i="20"/>
  <c r="AK38" i="20"/>
  <c r="AK42" i="20"/>
  <c r="AK47" i="20"/>
  <c r="AK57" i="20"/>
  <c r="AK59" i="20"/>
  <c r="AK66" i="20"/>
  <c r="AK72" i="20"/>
  <c r="AK78" i="20"/>
  <c r="AK80" i="20"/>
  <c r="AK84" i="20"/>
  <c r="AK88" i="20"/>
  <c r="AK94" i="20"/>
  <c r="AK97" i="20"/>
  <c r="AK103" i="20"/>
  <c r="AK106" i="20"/>
  <c r="AK109" i="20"/>
  <c r="AK117" i="20"/>
  <c r="AK125" i="20"/>
  <c r="AK127" i="20"/>
  <c r="AK70" i="20"/>
  <c r="AK73" i="20"/>
  <c r="AK76" i="20"/>
  <c r="AK82" i="20"/>
  <c r="AK85" i="20"/>
  <c r="AK89" i="20"/>
  <c r="AK92" i="20"/>
  <c r="AK96" i="20"/>
  <c r="AK100" i="20"/>
  <c r="AK102" i="20"/>
  <c r="AK107" i="20"/>
  <c r="AK119" i="20"/>
  <c r="AK128" i="20"/>
  <c r="AK135" i="20"/>
  <c r="AK137" i="20"/>
  <c r="AK143" i="20"/>
  <c r="AK150" i="20"/>
  <c r="AK154" i="20"/>
  <c r="AK158" i="20"/>
  <c r="AK166" i="20"/>
  <c r="AK171" i="20"/>
  <c r="AK173" i="20"/>
  <c r="AK178" i="20"/>
  <c r="AK180" i="20"/>
  <c r="AK110" i="20"/>
  <c r="AK113" i="20"/>
  <c r="AK116" i="20"/>
  <c r="AK121" i="20"/>
  <c r="AK124" i="20"/>
  <c r="AK130" i="20"/>
  <c r="AK132" i="20"/>
  <c r="AK138" i="20"/>
  <c r="AK140" i="20"/>
  <c r="AK144" i="20"/>
  <c r="AK146" i="20"/>
  <c r="AK149" i="20"/>
  <c r="AK153" i="20"/>
  <c r="AK157" i="20"/>
  <c r="AK160" i="20"/>
  <c r="AK162" i="20"/>
  <c r="AK164" i="20"/>
  <c r="AK169" i="20"/>
  <c r="AK174" i="20"/>
  <c r="AK177" i="20"/>
  <c r="AK184" i="20"/>
  <c r="AK188" i="20"/>
  <c r="AK197" i="20"/>
  <c r="AK200" i="20"/>
  <c r="AK202" i="20"/>
  <c r="AK205" i="20"/>
  <c r="AK209" i="20"/>
  <c r="AK213" i="20"/>
  <c r="AK215" i="20"/>
  <c r="AK219" i="20"/>
  <c r="AK222" i="20"/>
  <c r="AK225" i="20"/>
  <c r="AK228" i="20"/>
  <c r="AK230" i="20"/>
  <c r="AK232" i="20"/>
  <c r="AK238" i="20"/>
  <c r="AK241" i="20"/>
  <c r="AK246" i="20"/>
  <c r="AK249" i="20"/>
  <c r="AK252" i="20"/>
  <c r="AK256" i="20"/>
  <c r="AK258" i="20"/>
  <c r="AK261" i="20"/>
  <c r="AK264" i="20"/>
  <c r="AK268" i="20"/>
  <c r="AK271" i="20"/>
  <c r="AK282" i="20"/>
  <c r="AK284" i="20"/>
  <c r="AK287" i="20"/>
  <c r="AK290" i="20"/>
  <c r="AK294" i="20"/>
  <c r="AK297" i="20"/>
  <c r="AK299" i="20"/>
  <c r="AK304" i="20"/>
  <c r="AK186" i="20"/>
  <c r="AK189" i="20"/>
  <c r="AK192" i="20"/>
  <c r="AK194" i="20"/>
  <c r="AK196" i="20"/>
  <c r="AK204" i="20"/>
  <c r="AK208" i="20"/>
  <c r="AK212" i="20"/>
  <c r="AK218" i="20"/>
  <c r="AK224" i="20"/>
  <c r="AK233" i="20"/>
  <c r="AK236" i="20"/>
  <c r="AK239" i="20"/>
  <c r="AK243" i="20"/>
  <c r="AK248" i="20"/>
  <c r="AK253" i="20"/>
  <c r="AK259" i="20"/>
  <c r="AK265" i="20"/>
  <c r="AK269" i="20"/>
  <c r="AK273" i="20"/>
  <c r="AK275" i="20"/>
  <c r="AK277" i="20"/>
  <c r="AK279" i="20"/>
  <c r="AK286" i="20"/>
  <c r="AK291" i="20"/>
  <c r="AK302" i="20"/>
  <c r="AK308" i="20"/>
  <c r="AK310" i="20"/>
  <c r="AK312" i="20"/>
  <c r="AK317" i="20"/>
  <c r="AK321" i="20"/>
  <c r="AK323" i="20"/>
  <c r="AK329" i="20"/>
  <c r="AK336" i="20"/>
  <c r="AK347" i="20"/>
  <c r="AK351" i="20"/>
  <c r="AK355" i="20"/>
  <c r="AK357" i="20"/>
  <c r="AK367" i="20"/>
  <c r="AK370" i="20"/>
  <c r="AK372" i="20"/>
  <c r="AK375" i="20"/>
  <c r="AK296" i="20"/>
  <c r="AK307" i="20"/>
  <c r="AK330" i="20"/>
  <c r="AK332" i="20"/>
  <c r="AK341" i="20"/>
  <c r="AK343" i="20"/>
  <c r="AK346" i="20"/>
  <c r="AK349" i="20"/>
  <c r="AK359" i="20"/>
  <c r="AK363" i="20"/>
  <c r="AK365" i="20"/>
  <c r="AK378" i="20"/>
  <c r="AK306" i="20"/>
  <c r="AK316" i="20"/>
  <c r="AK328" i="20"/>
  <c r="AK339" i="20"/>
  <c r="AK354" i="20"/>
  <c r="AK362" i="20"/>
  <c r="AK373" i="20"/>
  <c r="AK318" i="20"/>
  <c r="AK325" i="20"/>
  <c r="AK344" i="20"/>
  <c r="AK379" i="20"/>
  <c r="AK17" i="20"/>
  <c r="AK15" i="20"/>
  <c r="AK20" i="20"/>
  <c r="AK27" i="20"/>
  <c r="AK25" i="20"/>
  <c r="AK32" i="20"/>
  <c r="AK37" i="20"/>
  <c r="AK45" i="20"/>
  <c r="AK50" i="20"/>
  <c r="AK55" i="20"/>
  <c r="AK63" i="20"/>
  <c r="AK36" i="20"/>
  <c r="AK43" i="20"/>
  <c r="AK58" i="20"/>
  <c r="AK69" i="20"/>
  <c r="AK79" i="20"/>
  <c r="AK86" i="20"/>
  <c r="AK95" i="20"/>
  <c r="AK104" i="20"/>
  <c r="AK114" i="20"/>
  <c r="AK126" i="20"/>
  <c r="AK71" i="20"/>
  <c r="AK77" i="20"/>
  <c r="AK87" i="20"/>
  <c r="AK93" i="20"/>
  <c r="AK101" i="20"/>
  <c r="AK111" i="20"/>
  <c r="AK134" i="20"/>
  <c r="AK142" i="20"/>
  <c r="AK151" i="20"/>
  <c r="AK165" i="20"/>
  <c r="AK172" i="20"/>
  <c r="AK179" i="20"/>
  <c r="AK112" i="20"/>
  <c r="AK118" i="20"/>
  <c r="AK129" i="20"/>
  <c r="AK133" i="20"/>
  <c r="AK141" i="20"/>
  <c r="AK148" i="20"/>
  <c r="AK155" i="20"/>
  <c r="AK161" i="20"/>
  <c r="AK168" i="20"/>
  <c r="AK175" i="20"/>
  <c r="AK185" i="20"/>
  <c r="AK198" i="20"/>
  <c r="AK203" i="20"/>
  <c r="AK210" i="20"/>
  <c r="AK216" i="20"/>
  <c r="AK223" i="20"/>
  <c r="AK229" i="20"/>
  <c r="AK234" i="20"/>
  <c r="AK245" i="20"/>
  <c r="AK251" i="20"/>
  <c r="AK257" i="20"/>
  <c r="AK262" i="20"/>
  <c r="AK270" i="20"/>
  <c r="AK283" i="20"/>
  <c r="AK288" i="20"/>
  <c r="AK295" i="20"/>
  <c r="AK300" i="20"/>
  <c r="AK187" i="20"/>
  <c r="AK193" i="20"/>
  <c r="AK199" i="20"/>
  <c r="AK211" i="20"/>
  <c r="AK220" i="20"/>
  <c r="AK235" i="20"/>
  <c r="AK242" i="20"/>
  <c r="AK250" i="20"/>
  <c r="AK263" i="20"/>
  <c r="AK272" i="20"/>
  <c r="AK276" i="20"/>
  <c r="AK281" i="20"/>
  <c r="AK293" i="20"/>
  <c r="AK309" i="20"/>
  <c r="AK313" i="20"/>
  <c r="AK322" i="20"/>
  <c r="AK335" i="20"/>
  <c r="AK350" i="20"/>
  <c r="AK356" i="20"/>
  <c r="AK369" i="20"/>
  <c r="AK374" i="20"/>
  <c r="AK301" i="20"/>
  <c r="AK331" i="20"/>
  <c r="AK342" i="20"/>
  <c r="AK348" i="20"/>
  <c r="AK361" i="20"/>
  <c r="AK366" i="20"/>
  <c r="AK314" i="20"/>
  <c r="AK337" i="20"/>
  <c r="AK358" i="20"/>
  <c r="AK315" i="20"/>
  <c r="AK334" i="20"/>
  <c r="F8" i="20"/>
  <c r="AK18" i="20"/>
  <c r="AK24" i="20"/>
  <c r="AK22" i="20"/>
  <c r="AK30" i="20"/>
  <c r="AK34" i="20"/>
  <c r="AK41" i="20"/>
  <c r="AK48" i="20"/>
  <c r="AK52" i="20"/>
  <c r="AK61" i="20"/>
  <c r="AK65" i="20"/>
  <c r="AK39" i="20"/>
  <c r="AK53" i="20"/>
  <c r="AK60" i="20"/>
  <c r="AK75" i="20"/>
  <c r="AK81" i="20"/>
  <c r="AK90" i="20"/>
  <c r="AK98" i="20"/>
  <c r="AK108" i="20"/>
  <c r="AK120" i="20"/>
  <c r="AK68" i="20"/>
  <c r="AK74" i="20"/>
  <c r="AK83" i="20"/>
  <c r="AK91" i="20"/>
  <c r="AK99" i="20"/>
  <c r="AK105" i="20"/>
  <c r="AK122" i="20"/>
  <c r="AK136" i="20"/>
  <c r="AK147" i="20"/>
  <c r="AK156" i="20"/>
  <c r="AK167" i="20"/>
  <c r="AK176" i="20"/>
  <c r="AK181" i="20"/>
  <c r="AK115" i="20"/>
  <c r="AK123" i="20"/>
  <c r="AK131" i="20"/>
  <c r="AK139" i="20"/>
  <c r="AK145" i="20"/>
  <c r="AK152" i="20"/>
  <c r="AK159" i="20"/>
  <c r="AK163" i="20"/>
  <c r="AK170" i="20"/>
  <c r="AK183" i="20"/>
  <c r="AK191" i="20"/>
  <c r="AK201" i="20"/>
  <c r="AK207" i="20"/>
  <c r="AK214" i="20"/>
  <c r="AK221" i="20"/>
  <c r="AK226" i="20"/>
  <c r="AK231" i="20"/>
  <c r="AK240" i="20"/>
  <c r="AK247" i="20"/>
  <c r="AK255" i="20"/>
  <c r="AK260" i="20"/>
  <c r="AK266" i="20"/>
  <c r="AK280" i="20"/>
  <c r="AK285" i="20"/>
  <c r="AK292" i="20"/>
  <c r="AK298" i="20"/>
  <c r="AK182" i="20"/>
  <c r="AK190" i="20"/>
  <c r="AK195" i="20"/>
  <c r="AK206" i="20"/>
  <c r="AK217" i="20"/>
  <c r="AK227" i="20"/>
  <c r="AK237" i="20"/>
  <c r="AK244" i="20"/>
  <c r="AK254" i="20"/>
  <c r="AK267" i="20"/>
  <c r="AK274" i="20"/>
  <c r="AK278" i="20"/>
  <c r="AK289" i="20"/>
  <c r="AK305" i="20"/>
  <c r="AK311" i="20"/>
  <c r="AK320" i="20"/>
  <c r="AK326" i="20"/>
  <c r="AK338" i="20"/>
  <c r="AK352" i="20"/>
  <c r="AK360" i="20"/>
  <c r="AK371" i="20"/>
  <c r="AK376" i="20"/>
  <c r="AK319" i="20"/>
  <c r="AK333" i="20"/>
  <c r="AK345" i="20"/>
  <c r="AK353" i="20"/>
  <c r="AK364" i="20"/>
  <c r="AK303" i="20"/>
  <c r="AK327" i="20"/>
  <c r="AK340" i="20"/>
  <c r="AK368" i="20"/>
  <c r="AK324" i="20"/>
  <c r="AK377" i="20"/>
  <c r="P11" i="22"/>
  <c r="AL15" i="7"/>
  <c r="AS11" i="7"/>
  <c r="AD307" i="15"/>
  <c r="AD338" i="15"/>
  <c r="AD52" i="15"/>
  <c r="AD343" i="15"/>
  <c r="AA301" i="1"/>
  <c r="Z301" i="1" s="1"/>
  <c r="Y301" i="1" s="1"/>
  <c r="R15" i="1"/>
  <c r="S382" i="1"/>
  <c r="S383" i="1"/>
  <c r="S381" i="1"/>
  <c r="AA256" i="1"/>
  <c r="Z256" i="1" s="1"/>
  <c r="Y256" i="1" s="1"/>
  <c r="AA273" i="1"/>
  <c r="Z273" i="1" s="1"/>
  <c r="Y273" i="1" s="1"/>
  <c r="AA96" i="1"/>
  <c r="Z96" i="1" s="1"/>
  <c r="Y96" i="1" s="1"/>
  <c r="AE382" i="15"/>
  <c r="AE383" i="15"/>
  <c r="AE381" i="15"/>
  <c r="O15" i="7"/>
  <c r="Q10" i="16"/>
  <c r="AA35" i="1"/>
  <c r="Z35" i="1" s="1"/>
  <c r="Y35" i="1" s="1"/>
  <c r="AZ358" i="6"/>
  <c r="AL380" i="6" s="1"/>
  <c r="AL381" i="6" s="1"/>
  <c r="AZ361" i="6"/>
  <c r="AZ371" i="6"/>
  <c r="AT20" i="6"/>
  <c r="AZ20" i="6" s="1"/>
  <c r="AT21" i="6"/>
  <c r="AZ21" i="6" s="1"/>
  <c r="AT16" i="6"/>
  <c r="AZ16" i="6" s="1"/>
  <c r="AA118" i="1"/>
  <c r="Z118" i="1" s="1"/>
  <c r="Y118" i="1" s="1"/>
  <c r="AT17" i="6"/>
  <c r="AZ17" i="6" s="1"/>
  <c r="AT19" i="6"/>
  <c r="AZ19" i="6" s="1"/>
  <c r="AT18" i="6"/>
  <c r="AZ18" i="6" s="1"/>
  <c r="AZ368" i="6"/>
  <c r="AZ365" i="6"/>
  <c r="AZ369" i="6"/>
  <c r="AA144" i="1"/>
  <c r="Z144" i="1" s="1"/>
  <c r="Y144" i="1" s="1"/>
  <c r="AA114" i="1"/>
  <c r="Z114" i="1" s="1"/>
  <c r="Y114" i="1" s="1"/>
  <c r="AZ362" i="6"/>
  <c r="I363" i="1"/>
  <c r="AZ363" i="6"/>
  <c r="AZ366" i="6"/>
  <c r="AA116" i="1"/>
  <c r="Z116" i="1" s="1"/>
  <c r="Y116" i="1" s="1"/>
  <c r="AA363" i="1"/>
  <c r="Z363" i="1" s="1"/>
  <c r="Y363" i="1" s="1"/>
  <c r="AA265" i="1"/>
  <c r="Z265" i="1" s="1"/>
  <c r="Y265" i="1" s="1"/>
  <c r="AZ360" i="6"/>
  <c r="AZ364" i="6"/>
  <c r="AZ367" i="6"/>
  <c r="AZ359" i="6"/>
  <c r="AZ373" i="6"/>
  <c r="Q11" i="22"/>
  <c r="O124" i="20"/>
  <c r="AA113" i="1"/>
  <c r="Z113" i="1" s="1"/>
  <c r="Y113" i="1" s="1"/>
  <c r="AA261" i="1"/>
  <c r="Z261" i="1" s="1"/>
  <c r="Y261" i="1" s="1"/>
  <c r="AA253" i="1"/>
  <c r="Z253" i="1" s="1"/>
  <c r="Y253" i="1" s="1"/>
  <c r="AA148" i="1"/>
  <c r="Z148" i="1" s="1"/>
  <c r="Y148" i="1" s="1"/>
  <c r="AA92" i="1"/>
  <c r="Z92" i="1" s="1"/>
  <c r="Y92" i="1" s="1"/>
  <c r="AA95" i="1"/>
  <c r="Z95" i="1" s="1"/>
  <c r="Y95" i="1" s="1"/>
  <c r="AA247" i="1"/>
  <c r="Z247" i="1" s="1"/>
  <c r="Y247" i="1" s="1"/>
  <c r="AA152" i="1"/>
  <c r="Z152" i="1" s="1"/>
  <c r="Y152" i="1" s="1"/>
  <c r="AA101" i="1"/>
  <c r="Z101" i="1" s="1"/>
  <c r="Y101" i="1" s="1"/>
  <c r="AA25" i="1"/>
  <c r="Z25" i="1" s="1"/>
  <c r="Y25" i="1" s="1"/>
  <c r="V88" i="1"/>
  <c r="AA88" i="1" s="1"/>
  <c r="Z88" i="1" s="1"/>
  <c r="Y88" i="1" s="1"/>
  <c r="AA98" i="1"/>
  <c r="Z98" i="1" s="1"/>
  <c r="Y98" i="1" s="1"/>
  <c r="AA105" i="1"/>
  <c r="Z105" i="1" s="1"/>
  <c r="Y105" i="1" s="1"/>
  <c r="AA99" i="1"/>
  <c r="Z99" i="1" s="1"/>
  <c r="Y99" i="1" s="1"/>
  <c r="AA24" i="1"/>
  <c r="Z24" i="1" s="1"/>
  <c r="Y24" i="1" s="1"/>
  <c r="AA255" i="1"/>
  <c r="Z255" i="1" s="1"/>
  <c r="Y255" i="1" s="1"/>
  <c r="AA115" i="1"/>
  <c r="Z115" i="1" s="1"/>
  <c r="Y115" i="1" s="1"/>
  <c r="AA112" i="1"/>
  <c r="Z112" i="1" s="1"/>
  <c r="Y112" i="1" s="1"/>
  <c r="AA78" i="1"/>
  <c r="Z78" i="1" s="1"/>
  <c r="Y78" i="1" s="1"/>
  <c r="AA80" i="1"/>
  <c r="Z80" i="1" s="1"/>
  <c r="Y80" i="1" s="1"/>
  <c r="AA100" i="1"/>
  <c r="Z100" i="1" s="1"/>
  <c r="Y100" i="1" s="1"/>
  <c r="AA266" i="1"/>
  <c r="Z266" i="1" s="1"/>
  <c r="Y266" i="1" s="1"/>
  <c r="AA259" i="1"/>
  <c r="Z259" i="1" s="1"/>
  <c r="Y259" i="1" s="1"/>
  <c r="AA254" i="1"/>
  <c r="Z254" i="1" s="1"/>
  <c r="Y254" i="1" s="1"/>
  <c r="AA158" i="1"/>
  <c r="Z158" i="1" s="1"/>
  <c r="Y158" i="1" s="1"/>
  <c r="AA142" i="1"/>
  <c r="Z142" i="1" s="1"/>
  <c r="Y142" i="1" s="1"/>
  <c r="AA251" i="1"/>
  <c r="Z251" i="1" s="1"/>
  <c r="Y251" i="1" s="1"/>
  <c r="AA263" i="1"/>
  <c r="Z263" i="1" s="1"/>
  <c r="Y263" i="1" s="1"/>
  <c r="AA250" i="1"/>
  <c r="Z250" i="1" s="1"/>
  <c r="Y250" i="1" s="1"/>
  <c r="AA252" i="1"/>
  <c r="Z252" i="1" s="1"/>
  <c r="Y252" i="1" s="1"/>
  <c r="AA258" i="1"/>
  <c r="Z258" i="1" s="1"/>
  <c r="Y258" i="1" s="1"/>
  <c r="AA248" i="1"/>
  <c r="Z248" i="1" s="1"/>
  <c r="Y248" i="1" s="1"/>
  <c r="AA138" i="1"/>
  <c r="Z138" i="1" s="1"/>
  <c r="Y138" i="1" s="1"/>
  <c r="AA139" i="1"/>
  <c r="Z139" i="1" s="1"/>
  <c r="Y139" i="1" s="1"/>
  <c r="AA151" i="1"/>
  <c r="Z151" i="1" s="1"/>
  <c r="Y151" i="1" s="1"/>
  <c r="AA150" i="1"/>
  <c r="Z150" i="1" s="1"/>
  <c r="Y150" i="1" s="1"/>
  <c r="AA145" i="1"/>
  <c r="Z145" i="1" s="1"/>
  <c r="Y145" i="1" s="1"/>
  <c r="D24" i="7"/>
  <c r="V149" i="1"/>
  <c r="AA149" i="1" s="1"/>
  <c r="Z149" i="1" s="1"/>
  <c r="Y149" i="1" s="1"/>
  <c r="AA140" i="1"/>
  <c r="Z140" i="1" s="1"/>
  <c r="Y140" i="1" s="1"/>
  <c r="AA249" i="1"/>
  <c r="Z249" i="1" s="1"/>
  <c r="Y249" i="1" s="1"/>
  <c r="AA269" i="1"/>
  <c r="Z269" i="1" s="1"/>
  <c r="Y269" i="1" s="1"/>
  <c r="AY376" i="6"/>
  <c r="AZ376" i="6" s="1"/>
  <c r="AY372" i="6"/>
  <c r="AZ372" i="6" s="1"/>
  <c r="AM380" i="6" s="1"/>
  <c r="AM381" i="6" s="1"/>
  <c r="AY380" i="6"/>
  <c r="AZ380" i="6" s="1"/>
  <c r="AY378" i="6"/>
  <c r="AZ378" i="6" s="1"/>
  <c r="AA83" i="1"/>
  <c r="Z83" i="1" s="1"/>
  <c r="Y83" i="1" s="1"/>
  <c r="AA89" i="1"/>
  <c r="Z89" i="1" s="1"/>
  <c r="Y89" i="1" s="1"/>
  <c r="AA91" i="1"/>
  <c r="Z91" i="1" s="1"/>
  <c r="Y91" i="1" s="1"/>
  <c r="AA103" i="1"/>
  <c r="Z103" i="1" s="1"/>
  <c r="Y103" i="1" s="1"/>
  <c r="AA97" i="1"/>
  <c r="Z97" i="1" s="1"/>
  <c r="Y97" i="1" s="1"/>
  <c r="AA246" i="1"/>
  <c r="Z246" i="1" s="1"/>
  <c r="Y246" i="1" s="1"/>
  <c r="I61" i="19"/>
  <c r="AA268" i="1"/>
  <c r="Z268" i="1" s="1"/>
  <c r="Y268" i="1" s="1"/>
  <c r="AA271" i="1"/>
  <c r="Z271" i="1" s="1"/>
  <c r="Y271" i="1" s="1"/>
  <c r="D28" i="7"/>
  <c r="V272" i="1"/>
  <c r="J61" i="19" s="1"/>
  <c r="AA267" i="1"/>
  <c r="Z267" i="1" s="1"/>
  <c r="Y267" i="1" s="1"/>
  <c r="AA157" i="1"/>
  <c r="Z157" i="1" s="1"/>
  <c r="Y157" i="1" s="1"/>
  <c r="AA137" i="1"/>
  <c r="Z137" i="1" s="1"/>
  <c r="Y137" i="1" s="1"/>
  <c r="AA79" i="1"/>
  <c r="Z79" i="1" s="1"/>
  <c r="Y79" i="1" s="1"/>
  <c r="AA102" i="1"/>
  <c r="Z102" i="1" s="1"/>
  <c r="Y102" i="1" s="1"/>
  <c r="AA94" i="1"/>
  <c r="Z94" i="1" s="1"/>
  <c r="Y94" i="1" s="1"/>
  <c r="AA260" i="1"/>
  <c r="Z260" i="1" s="1"/>
  <c r="Y260" i="1" s="1"/>
  <c r="AY379" i="6"/>
  <c r="AZ379" i="6" s="1"/>
  <c r="AY375" i="6"/>
  <c r="AZ375" i="6" s="1"/>
  <c r="AY374" i="6"/>
  <c r="AZ374" i="6" s="1"/>
  <c r="AY377" i="6"/>
  <c r="AZ377" i="6" s="1"/>
  <c r="AA141" i="1"/>
  <c r="Z141" i="1" s="1"/>
  <c r="Y141" i="1" s="1"/>
  <c r="AA160" i="1"/>
  <c r="Z160" i="1" s="1"/>
  <c r="Y160" i="1" s="1"/>
  <c r="AA154" i="1"/>
  <c r="Z154" i="1" s="1"/>
  <c r="Y154" i="1" s="1"/>
  <c r="AA134" i="1"/>
  <c r="Z134" i="1" s="1"/>
  <c r="Y134" i="1" s="1"/>
  <c r="AA159" i="1"/>
  <c r="Z159" i="1" s="1"/>
  <c r="Y159" i="1" s="1"/>
  <c r="AA147" i="1"/>
  <c r="Z147" i="1" s="1"/>
  <c r="Y147" i="1" s="1"/>
  <c r="AA135" i="1"/>
  <c r="Z135" i="1" s="1"/>
  <c r="Y135" i="1" s="1"/>
  <c r="AA107" i="1"/>
  <c r="Z107" i="1" s="1"/>
  <c r="Y107" i="1" s="1"/>
  <c r="AA87" i="1"/>
  <c r="Z87" i="1" s="1"/>
  <c r="Y87" i="1" s="1"/>
  <c r="AA86" i="1"/>
  <c r="Z86" i="1" s="1"/>
  <c r="Y86" i="1" s="1"/>
  <c r="AA104" i="1"/>
  <c r="Z104" i="1" s="1"/>
  <c r="Y104" i="1" s="1"/>
  <c r="M61" i="19"/>
  <c r="AA27" i="1"/>
  <c r="Z27" i="1" s="1"/>
  <c r="Y27" i="1" s="1"/>
  <c r="AA16" i="1"/>
  <c r="Z16" i="1" s="1"/>
  <c r="Y16" i="1" s="1"/>
  <c r="AA21" i="1"/>
  <c r="Z21" i="1" s="1"/>
  <c r="Y21" i="1" s="1"/>
  <c r="AA33" i="1"/>
  <c r="Z33" i="1" s="1"/>
  <c r="Y33" i="1" s="1"/>
  <c r="AA26" i="1"/>
  <c r="Z26" i="1" s="1"/>
  <c r="Y26" i="1" s="1"/>
  <c r="I377" i="1"/>
  <c r="G377" i="1"/>
  <c r="BW377" i="6" s="1"/>
  <c r="AA377" i="1"/>
  <c r="Z377" i="1" s="1"/>
  <c r="Y377" i="1" s="1"/>
  <c r="I319" i="1"/>
  <c r="G319" i="1"/>
  <c r="BW319" i="6" s="1"/>
  <c r="AA319" i="1"/>
  <c r="AA18" i="1"/>
  <c r="Z18" i="1" s="1"/>
  <c r="Y18" i="1" s="1"/>
  <c r="F362" i="1"/>
  <c r="G359" i="1"/>
  <c r="BW359" i="6" s="1"/>
  <c r="AA359" i="1"/>
  <c r="Z359" i="1" s="1"/>
  <c r="Y359" i="1" s="1"/>
  <c r="I359" i="1"/>
  <c r="AA19" i="1"/>
  <c r="Z19" i="1" s="1"/>
  <c r="Y19" i="1" s="1"/>
  <c r="G369" i="1"/>
  <c r="BW369" i="6" s="1"/>
  <c r="AA369" i="1"/>
  <c r="Z369" i="1" s="1"/>
  <c r="Y369" i="1" s="1"/>
  <c r="I369" i="1"/>
  <c r="G371" i="1"/>
  <c r="BW371" i="6" s="1"/>
  <c r="AA371" i="1"/>
  <c r="Z371" i="1" s="1"/>
  <c r="Y371" i="1" s="1"/>
  <c r="I371" i="1"/>
  <c r="AA31" i="1"/>
  <c r="Z31" i="1" s="1"/>
  <c r="Y31" i="1" s="1"/>
  <c r="Y289" i="1"/>
  <c r="H61" i="19"/>
  <c r="AA198" i="1"/>
  <c r="AD75" i="15" l="1"/>
  <c r="AD340" i="15"/>
  <c r="AD125" i="15"/>
  <c r="AD49" i="15"/>
  <c r="AD319" i="15"/>
  <c r="C44" i="7"/>
  <c r="AD128" i="15"/>
  <c r="AD163" i="15"/>
  <c r="AD297" i="15"/>
  <c r="AD294" i="15"/>
  <c r="AD123" i="15"/>
  <c r="AD171" i="15"/>
  <c r="AA171" i="15" s="1"/>
  <c r="Z171" i="15" s="1"/>
  <c r="Y171" i="15" s="1"/>
  <c r="AD281" i="15"/>
  <c r="AD23" i="15"/>
  <c r="AD56" i="15"/>
  <c r="AA56" i="15" s="1"/>
  <c r="Z56" i="15" s="1"/>
  <c r="Y56" i="15" s="1"/>
  <c r="AD144" i="15"/>
  <c r="AD289" i="15"/>
  <c r="AD184" i="15"/>
  <c r="AA184" i="15" s="1"/>
  <c r="Z184" i="15" s="1"/>
  <c r="Y184" i="15" s="1"/>
  <c r="AD36" i="15"/>
  <c r="AD349" i="15"/>
  <c r="AD309" i="15"/>
  <c r="O31" i="20"/>
  <c r="K40" i="19"/>
  <c r="AD364" i="15"/>
  <c r="AD111" i="15"/>
  <c r="AD228" i="15"/>
  <c r="AD24" i="15"/>
  <c r="AH379" i="15"/>
  <c r="AD180" i="15"/>
  <c r="AD183" i="15"/>
  <c r="AD204" i="15"/>
  <c r="AD61" i="15"/>
  <c r="AA61" i="15" s="1"/>
  <c r="Z61" i="15" s="1"/>
  <c r="Y61" i="15" s="1"/>
  <c r="AD162" i="15"/>
  <c r="AD322" i="15"/>
  <c r="AA322" i="15" s="1"/>
  <c r="Z322" i="15" s="1"/>
  <c r="Y322" i="15" s="1"/>
  <c r="AD230" i="15"/>
  <c r="AA230" i="15" s="1"/>
  <c r="Z230" i="15" s="1"/>
  <c r="Y230" i="15" s="1"/>
  <c r="AD215" i="15"/>
  <c r="AD101" i="15"/>
  <c r="AD82" i="15"/>
  <c r="AD169" i="15"/>
  <c r="AA169" i="15" s="1"/>
  <c r="Z169" i="15" s="1"/>
  <c r="Y169" i="15" s="1"/>
  <c r="AD28" i="15"/>
  <c r="AD79" i="15"/>
  <c r="AD246" i="15"/>
  <c r="AD291" i="15"/>
  <c r="AD276" i="15"/>
  <c r="AA276" i="15" s="1"/>
  <c r="Z276" i="15" s="1"/>
  <c r="Y276" i="15" s="1"/>
  <c r="AD325" i="15"/>
  <c r="AD357" i="15"/>
  <c r="AA357" i="15" s="1"/>
  <c r="Z357" i="15" s="1"/>
  <c r="Y357" i="15" s="1"/>
  <c r="AA178" i="15"/>
  <c r="Z178" i="15" s="1"/>
  <c r="Y178" i="15" s="1"/>
  <c r="AD64" i="15"/>
  <c r="AD370" i="15"/>
  <c r="AD93" i="15"/>
  <c r="AD149" i="15"/>
  <c r="AD41" i="15"/>
  <c r="AA41" i="15" s="1"/>
  <c r="Z41" i="15" s="1"/>
  <c r="Y41" i="15" s="1"/>
  <c r="AD198" i="15"/>
  <c r="AA198" i="15" s="1"/>
  <c r="Z198" i="15" s="1"/>
  <c r="Y198" i="15" s="1"/>
  <c r="AD272" i="15"/>
  <c r="AD168" i="15"/>
  <c r="AD172" i="15"/>
  <c r="AD245" i="15"/>
  <c r="AD126" i="15"/>
  <c r="AD200" i="15"/>
  <c r="AD38" i="15"/>
  <c r="AD318" i="15"/>
  <c r="AA318" i="15" s="1"/>
  <c r="Z318" i="15" s="1"/>
  <c r="Y318" i="15" s="1"/>
  <c r="AD260" i="15"/>
  <c r="AD255" i="15"/>
  <c r="AD292" i="15"/>
  <c r="AD159" i="15"/>
  <c r="AD232" i="15"/>
  <c r="AD148" i="15"/>
  <c r="AD112" i="15"/>
  <c r="O345" i="20"/>
  <c r="O107" i="20"/>
  <c r="O93" i="20"/>
  <c r="O100" i="20"/>
  <c r="AD119" i="15"/>
  <c r="AD115" i="15"/>
  <c r="AD201" i="15"/>
  <c r="O135" i="20"/>
  <c r="O41" i="20"/>
  <c r="O306" i="20"/>
  <c r="O48" i="20"/>
  <c r="O24" i="20"/>
  <c r="O15" i="20"/>
  <c r="O298" i="20"/>
  <c r="O240" i="20"/>
  <c r="O375" i="20"/>
  <c r="O295" i="20"/>
  <c r="O200" i="20"/>
  <c r="O228" i="20"/>
  <c r="O167" i="20"/>
  <c r="O319" i="20"/>
  <c r="O376" i="20"/>
  <c r="O327" i="20"/>
  <c r="O268" i="20"/>
  <c r="O250" i="20"/>
  <c r="O153" i="20"/>
  <c r="O335" i="20"/>
  <c r="O348" i="20"/>
  <c r="O244" i="20"/>
  <c r="C46" i="7"/>
  <c r="AD220" i="15"/>
  <c r="AA220" i="15" s="1"/>
  <c r="Z220" i="15" s="1"/>
  <c r="Y220" i="15" s="1"/>
  <c r="AD244" i="15"/>
  <c r="AD231" i="15"/>
  <c r="AD346" i="15"/>
  <c r="AD207" i="15"/>
  <c r="AD114" i="15"/>
  <c r="AD358" i="15"/>
  <c r="AD317" i="15"/>
  <c r="AA317" i="15" s="1"/>
  <c r="Z317" i="15" s="1"/>
  <c r="Y317" i="15" s="1"/>
  <c r="AD212" i="15"/>
  <c r="AD328" i="15"/>
  <c r="AA328" i="15" s="1"/>
  <c r="Z328" i="15" s="1"/>
  <c r="Y328" i="15" s="1"/>
  <c r="AD287" i="15"/>
  <c r="AA287" i="15" s="1"/>
  <c r="Z287" i="15" s="1"/>
  <c r="Y287" i="15" s="1"/>
  <c r="AD54" i="15"/>
  <c r="AD92" i="15"/>
  <c r="AD80" i="15"/>
  <c r="AD321" i="15"/>
  <c r="AA321" i="15" s="1"/>
  <c r="Z321" i="15" s="1"/>
  <c r="Y321" i="15" s="1"/>
  <c r="AD239" i="15"/>
  <c r="AD208" i="15"/>
  <c r="AD301" i="15"/>
  <c r="AD47" i="15"/>
  <c r="AD225" i="15"/>
  <c r="AA225" i="15" s="1"/>
  <c r="Z225" i="15" s="1"/>
  <c r="Y225" i="15" s="1"/>
  <c r="AD106" i="15"/>
  <c r="AD191" i="15"/>
  <c r="AA191" i="15" s="1"/>
  <c r="Z191" i="15" s="1"/>
  <c r="Y191" i="15" s="1"/>
  <c r="AD347" i="15"/>
  <c r="AA347" i="15" s="1"/>
  <c r="Z347" i="15" s="1"/>
  <c r="Y347" i="15" s="1"/>
  <c r="AD190" i="15"/>
  <c r="AA190" i="15" s="1"/>
  <c r="Z190" i="15" s="1"/>
  <c r="Y190" i="15" s="1"/>
  <c r="AD173" i="15"/>
  <c r="AA173" i="15" s="1"/>
  <c r="Z173" i="15" s="1"/>
  <c r="Y173" i="15" s="1"/>
  <c r="AD193" i="15"/>
  <c r="AD124" i="15"/>
  <c r="P349" i="15"/>
  <c r="V349" i="15" s="1"/>
  <c r="F349" i="15" s="1"/>
  <c r="H349" i="15" s="1"/>
  <c r="AD35" i="15"/>
  <c r="AD209" i="15"/>
  <c r="AD226" i="15"/>
  <c r="AD278" i="15"/>
  <c r="AA278" i="15" s="1"/>
  <c r="Z278" i="15" s="1"/>
  <c r="Y278" i="15" s="1"/>
  <c r="AD43" i="15"/>
  <c r="AD177" i="15"/>
  <c r="AA177" i="15" s="1"/>
  <c r="Z177" i="15" s="1"/>
  <c r="Y177" i="15" s="1"/>
  <c r="AD290" i="15"/>
  <c r="AA290" i="15" s="1"/>
  <c r="Z290" i="15" s="1"/>
  <c r="Y290" i="15" s="1"/>
  <c r="AD360" i="15"/>
  <c r="AD65" i="15"/>
  <c r="AD362" i="15"/>
  <c r="AD264" i="15"/>
  <c r="AD145" i="15"/>
  <c r="AD235" i="15"/>
  <c r="AG100" i="15"/>
  <c r="AF100" i="15" s="1"/>
  <c r="AD100" i="15" s="1"/>
  <c r="AD25" i="15"/>
  <c r="AD34" i="15"/>
  <c r="AD237" i="15"/>
  <c r="AD257" i="15"/>
  <c r="AD366" i="15"/>
  <c r="O361" i="20"/>
  <c r="O359" i="20"/>
  <c r="O350" i="20"/>
  <c r="O358" i="20"/>
  <c r="O340" i="20"/>
  <c r="O313" i="20"/>
  <c r="O289" i="20"/>
  <c r="O209" i="20"/>
  <c r="O276" i="20"/>
  <c r="O236" i="20"/>
  <c r="O178" i="20"/>
  <c r="O123" i="20"/>
  <c r="O84" i="20"/>
  <c r="O74" i="20"/>
  <c r="O47" i="20"/>
  <c r="O344" i="20"/>
  <c r="O310" i="20"/>
  <c r="O243" i="20"/>
  <c r="O173" i="20"/>
  <c r="O101" i="20"/>
  <c r="O21" i="20"/>
  <c r="O239" i="20"/>
  <c r="O141" i="20"/>
  <c r="O67" i="20"/>
  <c r="O378" i="20"/>
  <c r="O229" i="20"/>
  <c r="O88" i="20"/>
  <c r="AG22" i="7" s="1"/>
  <c r="O42" i="20"/>
  <c r="O347" i="20"/>
  <c r="O299" i="20"/>
  <c r="O336" i="20"/>
  <c r="O366" i="20"/>
  <c r="O323" i="20"/>
  <c r="O369" i="20"/>
  <c r="O349" i="20"/>
  <c r="O342" i="20"/>
  <c r="O338" i="20"/>
  <c r="O315" i="20"/>
  <c r="O302" i="20"/>
  <c r="AG29" i="7" s="1"/>
  <c r="O291" i="20"/>
  <c r="O279" i="20"/>
  <c r="O247" i="20"/>
  <c r="O196" i="20"/>
  <c r="O286" i="20"/>
  <c r="O259" i="20"/>
  <c r="O241" i="20"/>
  <c r="AG27" i="7" s="1"/>
  <c r="O221" i="20"/>
  <c r="O191" i="20"/>
  <c r="O164" i="20"/>
  <c r="O142" i="20"/>
  <c r="O175" i="20"/>
  <c r="O96" i="20"/>
  <c r="O119" i="20"/>
  <c r="AG23" i="7" s="1"/>
  <c r="O92" i="20"/>
  <c r="O64" i="20"/>
  <c r="O65" i="20"/>
  <c r="O16" i="20"/>
  <c r="O22" i="20"/>
  <c r="O379" i="20"/>
  <c r="C40" i="19" s="1"/>
  <c r="O355" i="20"/>
  <c r="O364" i="20"/>
  <c r="O316" i="20"/>
  <c r="O300" i="20"/>
  <c r="O160" i="20"/>
  <c r="O131" i="20"/>
  <c r="O127" i="20"/>
  <c r="O76" i="20"/>
  <c r="O58" i="20"/>
  <c r="O377" i="20"/>
  <c r="O297" i="20"/>
  <c r="O285" i="20"/>
  <c r="O189" i="20"/>
  <c r="O112" i="20"/>
  <c r="O95" i="20"/>
  <c r="O66" i="20"/>
  <c r="O23" i="20"/>
  <c r="O331" i="20"/>
  <c r="O301" i="20"/>
  <c r="O162" i="20"/>
  <c r="O130" i="20"/>
  <c r="O126" i="20"/>
  <c r="O71" i="20"/>
  <c r="O18" i="20"/>
  <c r="O62" i="20"/>
  <c r="O53" i="20"/>
  <c r="O82" i="20"/>
  <c r="O105" i="20"/>
  <c r="O72" i="20"/>
  <c r="O111" i="20"/>
  <c r="O140" i="20"/>
  <c r="O122" i="20"/>
  <c r="O201" i="20"/>
  <c r="O263" i="20"/>
  <c r="O213" i="20"/>
  <c r="O296" i="20"/>
  <c r="O307" i="20"/>
  <c r="O334" i="20"/>
  <c r="O32" i="20"/>
  <c r="O51" i="20"/>
  <c r="O44" i="20"/>
  <c r="O79" i="20"/>
  <c r="O110" i="20"/>
  <c r="O85" i="20"/>
  <c r="O146" i="20"/>
  <c r="O158" i="20"/>
  <c r="O220" i="20"/>
  <c r="O255" i="20"/>
  <c r="O192" i="20"/>
  <c r="O275" i="20"/>
  <c r="O328" i="20"/>
  <c r="O305" i="20"/>
  <c r="O326" i="20"/>
  <c r="O26" i="20"/>
  <c r="O63" i="20"/>
  <c r="O54" i="20"/>
  <c r="O90" i="20"/>
  <c r="O113" i="20"/>
  <c r="O75" i="20"/>
  <c r="O120" i="20"/>
  <c r="O150" i="20"/>
  <c r="O132" i="20"/>
  <c r="O197" i="20"/>
  <c r="O261" i="20"/>
  <c r="O212" i="20"/>
  <c r="O287" i="20"/>
  <c r="O330" i="20"/>
  <c r="O362" i="20"/>
  <c r="O372" i="20"/>
  <c r="O332" i="20"/>
  <c r="O367" i="20"/>
  <c r="O351" i="20"/>
  <c r="O329" i="20"/>
  <c r="O20" i="20"/>
  <c r="O29" i="20"/>
  <c r="AG20" i="7" s="1"/>
  <c r="O33" i="20"/>
  <c r="O36" i="20"/>
  <c r="O52" i="20"/>
  <c r="O39" i="20"/>
  <c r="O45" i="20"/>
  <c r="O68" i="20"/>
  <c r="O80" i="20"/>
  <c r="O98" i="20"/>
  <c r="O115" i="20"/>
  <c r="O70" i="20"/>
  <c r="O86" i="20"/>
  <c r="O114" i="20"/>
  <c r="O145" i="20"/>
  <c r="O180" i="20"/>
  <c r="AG25" i="7" s="1"/>
  <c r="O137" i="20"/>
  <c r="O144" i="20"/>
  <c r="O157" i="20"/>
  <c r="O169" i="20"/>
  <c r="O188" i="20"/>
  <c r="O195" i="20"/>
  <c r="O219" i="20"/>
  <c r="O224" i="20"/>
  <c r="O238" i="20"/>
  <c r="O248" i="20"/>
  <c r="O252" i="20"/>
  <c r="O270" i="20"/>
  <c r="O284" i="20"/>
  <c r="O292" i="20"/>
  <c r="O190" i="20"/>
  <c r="O207" i="20"/>
  <c r="O235" i="20"/>
  <c r="O265" i="20"/>
  <c r="O273" i="20"/>
  <c r="O25" i="20"/>
  <c r="O28" i="20"/>
  <c r="O59" i="20"/>
  <c r="O37" i="20"/>
  <c r="O49" i="20"/>
  <c r="O56" i="20"/>
  <c r="O77" i="20"/>
  <c r="O94" i="20"/>
  <c r="O103" i="20"/>
  <c r="O117" i="20"/>
  <c r="O128" i="20"/>
  <c r="O78" i="20"/>
  <c r="O99" i="20"/>
  <c r="O125" i="20"/>
  <c r="O133" i="20"/>
  <c r="O156" i="20"/>
  <c r="O176" i="20"/>
  <c r="O152" i="20"/>
  <c r="O184" i="20"/>
  <c r="O215" i="20"/>
  <c r="O246" i="20"/>
  <c r="O274" i="20"/>
  <c r="O198" i="20"/>
  <c r="O222" i="20"/>
  <c r="O258" i="20"/>
  <c r="O320" i="20"/>
  <c r="O363" i="20"/>
  <c r="AG31" i="7" s="1"/>
  <c r="O337" i="20"/>
  <c r="O370" i="20"/>
  <c r="O17" i="20"/>
  <c r="O30" i="20"/>
  <c r="O34" i="20"/>
  <c r="O35" i="20"/>
  <c r="O55" i="20"/>
  <c r="O40" i="20"/>
  <c r="O46" i="20"/>
  <c r="O73" i="20"/>
  <c r="O89" i="20"/>
  <c r="O106" i="20"/>
  <c r="O116" i="20"/>
  <c r="O83" i="20"/>
  <c r="O91" i="20"/>
  <c r="O118" i="20"/>
  <c r="O109" i="20"/>
  <c r="O147" i="20"/>
  <c r="O174" i="20"/>
  <c r="O199" i="20"/>
  <c r="O233" i="20"/>
  <c r="O249" i="20"/>
  <c r="O271" i="20"/>
  <c r="O293" i="20"/>
  <c r="O208" i="20"/>
  <c r="O267" i="20"/>
  <c r="O290" i="20"/>
  <c r="O314" i="20"/>
  <c r="O341" i="20"/>
  <c r="O360" i="20"/>
  <c r="O354" i="20"/>
  <c r="O373" i="20"/>
  <c r="O19" i="20"/>
  <c r="O27" i="20"/>
  <c r="O43" i="20"/>
  <c r="O60" i="20"/>
  <c r="AG21" i="7" s="1"/>
  <c r="O38" i="20"/>
  <c r="O50" i="20"/>
  <c r="O61" i="20"/>
  <c r="O81" i="20"/>
  <c r="O97" i="20"/>
  <c r="O104" i="20"/>
  <c r="O121" i="20"/>
  <c r="O69" i="20"/>
  <c r="O87" i="20"/>
  <c r="O102" i="20"/>
  <c r="O129" i="20"/>
  <c r="O139" i="20"/>
  <c r="O165" i="20"/>
  <c r="O108" i="20"/>
  <c r="O151" i="20"/>
  <c r="O183" i="20"/>
  <c r="O214" i="20"/>
  <c r="O234" i="20"/>
  <c r="O269" i="20"/>
  <c r="O193" i="20"/>
  <c r="O218" i="20"/>
  <c r="O254" i="20"/>
  <c r="AD275" i="15"/>
  <c r="AD197" i="15"/>
  <c r="AA197" i="15" s="1"/>
  <c r="Z197" i="15" s="1"/>
  <c r="Y197" i="15" s="1"/>
  <c r="AD72" i="15"/>
  <c r="AA72" i="15" s="1"/>
  <c r="Z72" i="15" s="1"/>
  <c r="Y72" i="15" s="1"/>
  <c r="AD367" i="15"/>
  <c r="AD188" i="15"/>
  <c r="AA188" i="15" s="1"/>
  <c r="Z188" i="15" s="1"/>
  <c r="Y188" i="15" s="1"/>
  <c r="AD334" i="15"/>
  <c r="AA334" i="15" s="1"/>
  <c r="Z334" i="15" s="1"/>
  <c r="Y334" i="15" s="1"/>
  <c r="AD155" i="15"/>
  <c r="AD306" i="15"/>
  <c r="AA306" i="15" s="1"/>
  <c r="Z306" i="15" s="1"/>
  <c r="Y306" i="15" s="1"/>
  <c r="AD42" i="15"/>
  <c r="AA42" i="15" s="1"/>
  <c r="Z42" i="15" s="1"/>
  <c r="Y42" i="15" s="1"/>
  <c r="AD205" i="15"/>
  <c r="AD238" i="15"/>
  <c r="AD71" i="15"/>
  <c r="AA71" i="15" s="1"/>
  <c r="Z71" i="15" s="1"/>
  <c r="Y71" i="15" s="1"/>
  <c r="AD345" i="15"/>
  <c r="AO13" i="7"/>
  <c r="AN13" i="7"/>
  <c r="AG13" i="7"/>
  <c r="AM10" i="7" s="1"/>
  <c r="E8" i="22" s="1"/>
  <c r="K17" i="19" s="1"/>
  <c r="K41" i="19" s="1"/>
  <c r="O149" i="20"/>
  <c r="AG24" i="7" s="1"/>
  <c r="O163" i="20"/>
  <c r="O172" i="20"/>
  <c r="O181" i="20"/>
  <c r="O138" i="20"/>
  <c r="O159" i="20"/>
  <c r="O170" i="20"/>
  <c r="O186" i="20"/>
  <c r="O211" i="20"/>
  <c r="O227" i="20"/>
  <c r="O231" i="20"/>
  <c r="O257" i="20"/>
  <c r="O266" i="20"/>
  <c r="O282" i="20"/>
  <c r="O187" i="20"/>
  <c r="O206" i="20"/>
  <c r="O217" i="20"/>
  <c r="O232" i="20"/>
  <c r="O253" i="20"/>
  <c r="O283" i="20"/>
  <c r="O311" i="20"/>
  <c r="O322" i="20"/>
  <c r="O352" i="20"/>
  <c r="O371" i="20"/>
  <c r="O324" i="20"/>
  <c r="O365" i="20"/>
  <c r="O333" i="20"/>
  <c r="AG30" i="7" s="1"/>
  <c r="O317" i="20"/>
  <c r="O346" i="20"/>
  <c r="O136" i="20"/>
  <c r="O179" i="20"/>
  <c r="O134" i="20"/>
  <c r="O143" i="20"/>
  <c r="O154" i="20"/>
  <c r="O166" i="20"/>
  <c r="O182" i="20"/>
  <c r="O194" i="20"/>
  <c r="O202" i="20"/>
  <c r="O223" i="20"/>
  <c r="O237" i="20"/>
  <c r="O242" i="20"/>
  <c r="O251" i="20"/>
  <c r="O262" i="20"/>
  <c r="O280" i="20"/>
  <c r="O288" i="20"/>
  <c r="O304" i="20"/>
  <c r="O205" i="20"/>
  <c r="O210" i="20"/>
  <c r="AG26" i="7" s="1"/>
  <c r="O260" i="20"/>
  <c r="O272" i="20"/>
  <c r="AG28" i="7" s="1"/>
  <c r="O281" i="20"/>
  <c r="O294" i="20"/>
  <c r="O312" i="20"/>
  <c r="O318" i="20"/>
  <c r="O339" i="20"/>
  <c r="O343" i="20"/>
  <c r="O357" i="20"/>
  <c r="O374" i="20"/>
  <c r="O325" i="20"/>
  <c r="O368" i="20"/>
  <c r="O356" i="20"/>
  <c r="O308" i="20"/>
  <c r="O353" i="20"/>
  <c r="O148" i="20"/>
  <c r="O161" i="20"/>
  <c r="O171" i="20"/>
  <c r="O177" i="20"/>
  <c r="O155" i="20"/>
  <c r="O168" i="20"/>
  <c r="O185" i="20"/>
  <c r="O204" i="20"/>
  <c r="O226" i="20"/>
  <c r="O230" i="20"/>
  <c r="O256" i="20"/>
  <c r="O264" i="20"/>
  <c r="O278" i="20"/>
  <c r="O303" i="20"/>
  <c r="O203" i="20"/>
  <c r="O216" i="20"/>
  <c r="O225" i="20"/>
  <c r="O245" i="20"/>
  <c r="O277" i="20"/>
  <c r="O309" i="20"/>
  <c r="O321" i="20"/>
  <c r="AD298" i="15"/>
  <c r="AD377" i="15"/>
  <c r="AD51" i="15"/>
  <c r="AD311" i="15"/>
  <c r="AD192" i="15"/>
  <c r="AA192" i="15" s="1"/>
  <c r="Z192" i="15" s="1"/>
  <c r="Y192" i="15" s="1"/>
  <c r="AI382" i="15"/>
  <c r="AG154" i="15"/>
  <c r="AF154" i="15" s="1"/>
  <c r="AD154" i="15" s="1"/>
  <c r="AG96" i="15"/>
  <c r="AF96" i="15" s="1"/>
  <c r="AD96" i="15" s="1"/>
  <c r="AG248" i="15"/>
  <c r="AF248" i="15" s="1"/>
  <c r="AD248" i="15" s="1"/>
  <c r="AD378" i="15"/>
  <c r="AD57" i="15"/>
  <c r="AD221" i="15"/>
  <c r="AD136" i="15"/>
  <c r="AD45" i="15"/>
  <c r="AA45" i="15" s="1"/>
  <c r="Z45" i="15" s="1"/>
  <c r="Y45" i="15" s="1"/>
  <c r="AD233" i="15"/>
  <c r="AD68" i="15"/>
  <c r="AA68" i="15" s="1"/>
  <c r="Z68" i="15" s="1"/>
  <c r="Y68" i="15" s="1"/>
  <c r="AD70" i="15"/>
  <c r="AA70" i="15" s="1"/>
  <c r="Z70" i="15" s="1"/>
  <c r="Y70" i="15" s="1"/>
  <c r="AD110" i="15"/>
  <c r="AD329" i="15"/>
  <c r="AD152" i="15"/>
  <c r="AI381" i="15"/>
  <c r="AD305" i="15"/>
  <c r="AA305" i="15" s="1"/>
  <c r="Z305" i="15" s="1"/>
  <c r="Y305" i="15" s="1"/>
  <c r="AD243" i="15"/>
  <c r="AD133" i="15"/>
  <c r="AD216" i="15"/>
  <c r="AD62" i="15"/>
  <c r="AA62" i="15" s="1"/>
  <c r="Z62" i="15" s="1"/>
  <c r="Y62" i="15" s="1"/>
  <c r="AD63" i="15"/>
  <c r="AD161" i="15"/>
  <c r="AD48" i="15"/>
  <c r="AD375" i="15"/>
  <c r="AD179" i="15"/>
  <c r="AA179" i="15" s="1"/>
  <c r="Z179" i="15" s="1"/>
  <c r="Y179" i="15" s="1"/>
  <c r="AD371" i="15"/>
  <c r="AD98" i="15"/>
  <c r="AD74" i="15"/>
  <c r="AA74" i="15" s="1"/>
  <c r="Z74" i="15" s="1"/>
  <c r="Y74" i="15" s="1"/>
  <c r="AD129" i="15"/>
  <c r="AD185" i="15"/>
  <c r="AA185" i="15" s="1"/>
  <c r="Z185" i="15" s="1"/>
  <c r="Y185" i="15" s="1"/>
  <c r="AD224" i="15"/>
  <c r="AD156" i="15"/>
  <c r="AD142" i="15"/>
  <c r="AD269" i="15"/>
  <c r="AD267" i="15"/>
  <c r="AG89" i="15"/>
  <c r="AF89" i="15" s="1"/>
  <c r="AD89" i="15" s="1"/>
  <c r="AG266" i="15"/>
  <c r="AF266" i="15" s="1"/>
  <c r="AD266" i="15" s="1"/>
  <c r="AG251" i="15"/>
  <c r="AF251" i="15" s="1"/>
  <c r="AD251" i="15" s="1"/>
  <c r="AG97" i="15"/>
  <c r="AF97" i="15" s="1"/>
  <c r="AD97" i="15" s="1"/>
  <c r="AG265" i="15"/>
  <c r="AF265" i="15" s="1"/>
  <c r="AD265" i="15" s="1"/>
  <c r="AG103" i="15"/>
  <c r="AF103" i="15" s="1"/>
  <c r="AD103" i="15" s="1"/>
  <c r="AG31" i="15"/>
  <c r="AF31" i="15" s="1"/>
  <c r="AD31" i="15" s="1"/>
  <c r="AG99" i="15"/>
  <c r="AF99" i="15" s="1"/>
  <c r="AD99" i="15" s="1"/>
  <c r="AG247" i="15"/>
  <c r="AF247" i="15" s="1"/>
  <c r="AD247" i="15" s="1"/>
  <c r="AG151" i="15"/>
  <c r="AF151" i="15" s="1"/>
  <c r="AD151" i="15" s="1"/>
  <c r="AG140" i="15"/>
  <c r="AF140" i="15" s="1"/>
  <c r="AD140" i="15" s="1"/>
  <c r="AG258" i="15"/>
  <c r="AF258" i="15" s="1"/>
  <c r="AD258" i="15" s="1"/>
  <c r="AG270" i="15"/>
  <c r="AF270" i="15" s="1"/>
  <c r="AD270" i="15" s="1"/>
  <c r="AG94" i="15"/>
  <c r="AF94" i="15" s="1"/>
  <c r="AD94" i="15" s="1"/>
  <c r="AG81" i="15"/>
  <c r="AF81" i="15" s="1"/>
  <c r="AD81" i="15" s="1"/>
  <c r="AG122" i="15"/>
  <c r="AF122" i="15" s="1"/>
  <c r="AD122" i="15" s="1"/>
  <c r="AA122" i="15" s="1"/>
  <c r="Z122" i="15" s="1"/>
  <c r="Y122" i="15" s="1"/>
  <c r="AD73" i="15"/>
  <c r="AD194" i="15"/>
  <c r="AA194" i="15" s="1"/>
  <c r="Z194" i="15" s="1"/>
  <c r="Y194" i="15" s="1"/>
  <c r="AD359" i="15"/>
  <c r="AD218" i="15"/>
  <c r="AD213" i="15"/>
  <c r="AD55" i="15"/>
  <c r="AA55" i="15" s="1"/>
  <c r="Z55" i="15" s="1"/>
  <c r="Y55" i="15" s="1"/>
  <c r="AD206" i="15"/>
  <c r="AD32" i="15"/>
  <c r="AD91" i="15"/>
  <c r="AD107" i="15"/>
  <c r="AD147" i="15"/>
  <c r="AD85" i="15"/>
  <c r="AD252" i="15"/>
  <c r="AD176" i="15"/>
  <c r="AA176" i="15" s="1"/>
  <c r="Z176" i="15" s="1"/>
  <c r="Y176" i="15" s="1"/>
  <c r="AD332" i="15"/>
  <c r="AD352" i="15"/>
  <c r="AA352" i="15" s="1"/>
  <c r="Z352" i="15" s="1"/>
  <c r="Y352" i="15" s="1"/>
  <c r="AD195" i="15"/>
  <c r="AA195" i="15" s="1"/>
  <c r="Z195" i="15" s="1"/>
  <c r="Y195" i="15" s="1"/>
  <c r="AD127" i="15"/>
  <c r="AD219" i="15"/>
  <c r="AA219" i="15" s="1"/>
  <c r="Z219" i="15" s="1"/>
  <c r="Y219" i="15" s="1"/>
  <c r="AD330" i="15"/>
  <c r="AA330" i="15" s="1"/>
  <c r="Z330" i="15" s="1"/>
  <c r="Y330" i="15" s="1"/>
  <c r="AD284" i="15"/>
  <c r="AD293" i="15"/>
  <c r="AD262" i="15"/>
  <c r="AD344" i="15"/>
  <c r="AA344" i="15" s="1"/>
  <c r="Z344" i="15" s="1"/>
  <c r="Y344" i="15" s="1"/>
  <c r="AG116" i="15"/>
  <c r="AF116" i="15" s="1"/>
  <c r="AD116" i="15" s="1"/>
  <c r="AG86" i="15"/>
  <c r="AF86" i="15" s="1"/>
  <c r="AD86" i="15" s="1"/>
  <c r="AG249" i="15"/>
  <c r="AF249" i="15" s="1"/>
  <c r="AD249" i="15" s="1"/>
  <c r="AG157" i="15"/>
  <c r="AF157" i="15" s="1"/>
  <c r="AD157" i="15" s="1"/>
  <c r="AG256" i="15"/>
  <c r="AF256" i="15" s="1"/>
  <c r="AD256" i="15" s="1"/>
  <c r="AG326" i="15"/>
  <c r="AF326" i="15" s="1"/>
  <c r="AD326" i="15" s="1"/>
  <c r="AG150" i="15"/>
  <c r="AF150" i="15" s="1"/>
  <c r="AD150" i="15" s="1"/>
  <c r="AG130" i="15"/>
  <c r="AF130" i="15" s="1"/>
  <c r="AD130" i="15" s="1"/>
  <c r="AG158" i="15"/>
  <c r="AF158" i="15" s="1"/>
  <c r="AD158" i="15" s="1"/>
  <c r="AG253" i="15"/>
  <c r="AF253" i="15" s="1"/>
  <c r="AD253" i="15" s="1"/>
  <c r="AG27" i="15"/>
  <c r="AF27" i="15" s="1"/>
  <c r="AD27" i="15" s="1"/>
  <c r="AD374" i="15"/>
  <c r="AD304" i="15"/>
  <c r="V180" i="15"/>
  <c r="F180" i="15" s="1"/>
  <c r="G180" i="15" s="1"/>
  <c r="BX180" i="6" s="1"/>
  <c r="AD109" i="15"/>
  <c r="AD350" i="15"/>
  <c r="AA350" i="15" s="1"/>
  <c r="Z350" i="15" s="1"/>
  <c r="Y350" i="15" s="1"/>
  <c r="AD196" i="15"/>
  <c r="AA196" i="15" s="1"/>
  <c r="Z196" i="15" s="1"/>
  <c r="Y196" i="15" s="1"/>
  <c r="H174" i="15"/>
  <c r="I174" i="15" s="1"/>
  <c r="C45" i="7"/>
  <c r="L36" i="19"/>
  <c r="L39" i="19"/>
  <c r="AK3" i="18"/>
  <c r="Q15" i="19" s="1"/>
  <c r="G55" i="15"/>
  <c r="BX55" i="6" s="1"/>
  <c r="AA215" i="15"/>
  <c r="Z215" i="15" s="1"/>
  <c r="Y215" i="15" s="1"/>
  <c r="F64" i="15"/>
  <c r="G64" i="15" s="1"/>
  <c r="BX64" i="6" s="1"/>
  <c r="AA163" i="15"/>
  <c r="Z163" i="15" s="1"/>
  <c r="Y163" i="15" s="1"/>
  <c r="D33" i="7"/>
  <c r="F57" i="15"/>
  <c r="H57" i="15" s="1"/>
  <c r="J57" i="15" s="1"/>
  <c r="H198" i="15"/>
  <c r="J198" i="15" s="1"/>
  <c r="AA283" i="15"/>
  <c r="Z283" i="15" s="1"/>
  <c r="Y283" i="15" s="1"/>
  <c r="H310" i="15"/>
  <c r="J310" i="15" s="1"/>
  <c r="G276" i="15"/>
  <c r="BX276" i="6" s="1"/>
  <c r="D42" i="7"/>
  <c r="H192" i="15"/>
  <c r="J192" i="15" s="1"/>
  <c r="I283" i="15"/>
  <c r="H352" i="15"/>
  <c r="J352" i="15" s="1"/>
  <c r="H194" i="15"/>
  <c r="I194" i="15" s="1"/>
  <c r="H287" i="15"/>
  <c r="J287" i="15" s="1"/>
  <c r="H336" i="15"/>
  <c r="I336" i="15" s="1"/>
  <c r="G336" i="15"/>
  <c r="BX336" i="6" s="1"/>
  <c r="H163" i="15"/>
  <c r="I163" i="15" s="1"/>
  <c r="H170" i="15"/>
  <c r="I170" i="15" s="1"/>
  <c r="AA77" i="15"/>
  <c r="Z77" i="15" s="1"/>
  <c r="Y77" i="15" s="1"/>
  <c r="H354" i="15"/>
  <c r="J354" i="15" s="1"/>
  <c r="F280" i="15"/>
  <c r="AA280" i="15" s="1"/>
  <c r="Z280" i="15" s="1"/>
  <c r="Y280" i="15" s="1"/>
  <c r="F182" i="15"/>
  <c r="H182" i="15" s="1"/>
  <c r="J182" i="15" s="1"/>
  <c r="I334" i="15"/>
  <c r="G192" i="15"/>
  <c r="BX192" i="6" s="1"/>
  <c r="G67" i="15"/>
  <c r="BX67" i="6" s="1"/>
  <c r="H178" i="15"/>
  <c r="I178" i="15" s="1"/>
  <c r="G169" i="15"/>
  <c r="BX169" i="6" s="1"/>
  <c r="G196" i="15"/>
  <c r="BX196" i="6" s="1"/>
  <c r="G49" i="15"/>
  <c r="BX49" i="6" s="1"/>
  <c r="H344" i="15"/>
  <c r="J344" i="15" s="1"/>
  <c r="H330" i="15"/>
  <c r="J330" i="15" s="1"/>
  <c r="G188" i="15"/>
  <c r="BX188" i="6" s="1"/>
  <c r="G283" i="15"/>
  <c r="BX283" i="6" s="1"/>
  <c r="I276" i="15"/>
  <c r="I42" i="15"/>
  <c r="F183" i="15"/>
  <c r="G183" i="15" s="1"/>
  <c r="BX183" i="6" s="1"/>
  <c r="F314" i="15"/>
  <c r="AA314" i="15" s="1"/>
  <c r="Z314" i="15" s="1"/>
  <c r="Y314" i="15" s="1"/>
  <c r="F54" i="15"/>
  <c r="G338" i="15"/>
  <c r="BX338" i="6" s="1"/>
  <c r="H338" i="15"/>
  <c r="J338" i="15" s="1"/>
  <c r="AA67" i="15"/>
  <c r="Z67" i="15" s="1"/>
  <c r="Y67" i="15" s="1"/>
  <c r="AA170" i="15"/>
  <c r="Z170" i="15" s="1"/>
  <c r="Y170" i="15" s="1"/>
  <c r="G178" i="15"/>
  <c r="BX178" i="6" s="1"/>
  <c r="G42" i="15"/>
  <c r="BX42" i="6" s="1"/>
  <c r="H77" i="15"/>
  <c r="J77" i="15" s="1"/>
  <c r="G194" i="15"/>
  <c r="BX194" i="6" s="1"/>
  <c r="G198" i="15"/>
  <c r="BX198" i="6" s="1"/>
  <c r="AA310" i="15"/>
  <c r="Z310" i="15" s="1"/>
  <c r="Y310" i="15" s="1"/>
  <c r="G334" i="15"/>
  <c r="BX334" i="6" s="1"/>
  <c r="AA49" i="15"/>
  <c r="Z49" i="15" s="1"/>
  <c r="Y49" i="15" s="1"/>
  <c r="F167" i="15"/>
  <c r="G167" i="15" s="1"/>
  <c r="BX167" i="6" s="1"/>
  <c r="F73" i="15"/>
  <c r="G73" i="15" s="1"/>
  <c r="BX73" i="6" s="1"/>
  <c r="AA351" i="15"/>
  <c r="Z351" i="15" s="1"/>
  <c r="Y351" i="15" s="1"/>
  <c r="G230" i="15"/>
  <c r="BX230" i="6" s="1"/>
  <c r="AA50" i="15"/>
  <c r="Z50" i="15" s="1"/>
  <c r="Y50" i="15" s="1"/>
  <c r="G50" i="15"/>
  <c r="BX50" i="6" s="1"/>
  <c r="G171" i="15"/>
  <c r="BX171" i="6" s="1"/>
  <c r="H171" i="15"/>
  <c r="J171" i="15" s="1"/>
  <c r="AA203" i="15"/>
  <c r="Z203" i="15" s="1"/>
  <c r="Y203" i="15" s="1"/>
  <c r="H176" i="15"/>
  <c r="J176" i="15" s="1"/>
  <c r="AA175" i="15"/>
  <c r="Z175" i="15" s="1"/>
  <c r="Y175" i="15" s="1"/>
  <c r="D41" i="7"/>
  <c r="H339" i="15"/>
  <c r="J339" i="15" s="1"/>
  <c r="H278" i="15"/>
  <c r="I278" i="15" s="1"/>
  <c r="AA297" i="15"/>
  <c r="Z297" i="15" s="1"/>
  <c r="Y297" i="15" s="1"/>
  <c r="H357" i="15"/>
  <c r="J357" i="15" s="1"/>
  <c r="H316" i="15"/>
  <c r="I316" i="15" s="1"/>
  <c r="G44" i="15"/>
  <c r="BX44" i="6" s="1"/>
  <c r="G215" i="15"/>
  <c r="BX215" i="6" s="1"/>
  <c r="G356" i="15"/>
  <c r="BX356" i="6" s="1"/>
  <c r="H356" i="15"/>
  <c r="I356" i="15" s="1"/>
  <c r="AA356" i="15"/>
  <c r="Z356" i="15" s="1"/>
  <c r="Y356" i="15" s="1"/>
  <c r="G184" i="15"/>
  <c r="BX184" i="6" s="1"/>
  <c r="H184" i="15"/>
  <c r="J184" i="15" s="1"/>
  <c r="E379" i="16"/>
  <c r="C37" i="19"/>
  <c r="G175" i="15"/>
  <c r="BX175" i="6" s="1"/>
  <c r="G197" i="15"/>
  <c r="BX197" i="6" s="1"/>
  <c r="G173" i="15"/>
  <c r="BX173" i="6" s="1"/>
  <c r="H351" i="15"/>
  <c r="J351" i="15" s="1"/>
  <c r="G177" i="15"/>
  <c r="BX177" i="6" s="1"/>
  <c r="H195" i="15"/>
  <c r="I195" i="15" s="1"/>
  <c r="G181" i="15"/>
  <c r="BX181" i="6" s="1"/>
  <c r="AA288" i="15"/>
  <c r="Z288" i="15" s="1"/>
  <c r="Y288" i="15" s="1"/>
  <c r="H350" i="15"/>
  <c r="I350" i="15" s="1"/>
  <c r="G70" i="15"/>
  <c r="BX70" i="6" s="1"/>
  <c r="H186" i="15"/>
  <c r="J186" i="15" s="1"/>
  <c r="G278" i="15"/>
  <c r="BX278" i="6" s="1"/>
  <c r="H297" i="15"/>
  <c r="I297" i="15" s="1"/>
  <c r="H337" i="15"/>
  <c r="J337" i="15" s="1"/>
  <c r="H328" i="15"/>
  <c r="I328" i="15" s="1"/>
  <c r="G41" i="15"/>
  <c r="BX41" i="6" s="1"/>
  <c r="H56" i="15"/>
  <c r="I56" i="15" s="1"/>
  <c r="AA53" i="15"/>
  <c r="Z53" i="15" s="1"/>
  <c r="Y53" i="15" s="1"/>
  <c r="H36" i="15"/>
  <c r="J36" i="15" s="1"/>
  <c r="G131" i="15"/>
  <c r="BX131" i="6" s="1"/>
  <c r="H131" i="15"/>
  <c r="J131" i="15" s="1"/>
  <c r="H122" i="15"/>
  <c r="I122" i="15" s="1"/>
  <c r="G122" i="15"/>
  <c r="BX122" i="6" s="1"/>
  <c r="G179" i="15"/>
  <c r="BX179" i="6" s="1"/>
  <c r="F294" i="15"/>
  <c r="G294" i="15" s="1"/>
  <c r="BX294" i="6" s="1"/>
  <c r="H190" i="15"/>
  <c r="J190" i="15" s="1"/>
  <c r="AA336" i="15"/>
  <c r="Z336" i="15" s="1"/>
  <c r="Y336" i="15" s="1"/>
  <c r="H288" i="15"/>
  <c r="I288" i="15" s="1"/>
  <c r="AA316" i="15"/>
  <c r="Z316" i="15" s="1"/>
  <c r="Y316" i="15" s="1"/>
  <c r="H290" i="15"/>
  <c r="J290" i="15" s="1"/>
  <c r="H220" i="15"/>
  <c r="J220" i="15" s="1"/>
  <c r="AA44" i="15"/>
  <c r="Z44" i="15" s="1"/>
  <c r="Y44" i="15" s="1"/>
  <c r="AA337" i="15"/>
  <c r="Z337" i="15" s="1"/>
  <c r="Y337" i="15" s="1"/>
  <c r="AA36" i="15"/>
  <c r="Z36" i="15" s="1"/>
  <c r="Y36" i="15" s="1"/>
  <c r="H230" i="15"/>
  <c r="I230" i="15" s="1"/>
  <c r="G62" i="15"/>
  <c r="BX62" i="6" s="1"/>
  <c r="H53" i="15"/>
  <c r="I53" i="15" s="1"/>
  <c r="AA186" i="15"/>
  <c r="Z186" i="15" s="1"/>
  <c r="Y186" i="15" s="1"/>
  <c r="AA324" i="15"/>
  <c r="Z324" i="15" s="1"/>
  <c r="Y324" i="15" s="1"/>
  <c r="F300" i="15"/>
  <c r="AA300" i="15" s="1"/>
  <c r="Z300" i="15" s="1"/>
  <c r="Y300" i="15" s="1"/>
  <c r="F285" i="15"/>
  <c r="G285" i="15" s="1"/>
  <c r="BX285" i="6" s="1"/>
  <c r="F187" i="15"/>
  <c r="G187" i="15" s="1"/>
  <c r="BX187" i="6" s="1"/>
  <c r="F168" i="15"/>
  <c r="H168" i="15" s="1"/>
  <c r="I168" i="15" s="1"/>
  <c r="F59" i="15"/>
  <c r="F58" i="15"/>
  <c r="F48" i="15"/>
  <c r="G48" i="15" s="1"/>
  <c r="BX48" i="6" s="1"/>
  <c r="F355" i="15"/>
  <c r="H355" i="15" s="1"/>
  <c r="J355" i="15" s="1"/>
  <c r="G321" i="15"/>
  <c r="BX321" i="6" s="1"/>
  <c r="H321" i="15"/>
  <c r="I321" i="15" s="1"/>
  <c r="G322" i="15"/>
  <c r="BX322" i="6" s="1"/>
  <c r="P275" i="15"/>
  <c r="V275" i="15" s="1"/>
  <c r="F275" i="15" s="1"/>
  <c r="H275" i="15" s="1"/>
  <c r="G71" i="15"/>
  <c r="BX71" i="6" s="1"/>
  <c r="H71" i="15"/>
  <c r="J71" i="15" s="1"/>
  <c r="H313" i="15"/>
  <c r="J313" i="15" s="1"/>
  <c r="AA313" i="15"/>
  <c r="Z313" i="15" s="1"/>
  <c r="Y313" i="15" s="1"/>
  <c r="G313" i="15"/>
  <c r="BX313" i="6" s="1"/>
  <c r="G274" i="15"/>
  <c r="BX274" i="6" s="1"/>
  <c r="H274" i="15"/>
  <c r="I274" i="15" s="1"/>
  <c r="AA274" i="15"/>
  <c r="Z274" i="15" s="1"/>
  <c r="Y274" i="15" s="1"/>
  <c r="S148" i="15"/>
  <c r="R148" i="15" s="1"/>
  <c r="P148" i="15" s="1"/>
  <c r="V148" i="15" s="1"/>
  <c r="F148" i="15" s="1"/>
  <c r="S207" i="15"/>
  <c r="R207" i="15" s="1"/>
  <c r="P207" i="15" s="1"/>
  <c r="V207" i="15" s="1"/>
  <c r="F207" i="15" s="1"/>
  <c r="S237" i="15"/>
  <c r="R237" i="15" s="1"/>
  <c r="P237" i="15" s="1"/>
  <c r="V237" i="15" s="1"/>
  <c r="F237" i="15" s="1"/>
  <c r="S365" i="15"/>
  <c r="R365" i="15" s="1"/>
  <c r="P365" i="15" s="1"/>
  <c r="V365" i="15" s="1"/>
  <c r="F365" i="15" s="1"/>
  <c r="S325" i="15"/>
  <c r="R325" i="15" s="1"/>
  <c r="P325" i="15" s="1"/>
  <c r="V325" i="15" s="1"/>
  <c r="F325" i="15" s="1"/>
  <c r="S102" i="15"/>
  <c r="R102" i="15" s="1"/>
  <c r="P102" i="15" s="1"/>
  <c r="S155" i="15"/>
  <c r="R155" i="15" s="1"/>
  <c r="P155" i="15" s="1"/>
  <c r="V155" i="15" s="1"/>
  <c r="F155" i="15" s="1"/>
  <c r="S331" i="15"/>
  <c r="R331" i="15" s="1"/>
  <c r="P331" i="15" s="1"/>
  <c r="V331" i="15" s="1"/>
  <c r="F331" i="15" s="1"/>
  <c r="S335" i="15"/>
  <c r="R335" i="15" s="1"/>
  <c r="P335" i="15" s="1"/>
  <c r="V335" i="15" s="1"/>
  <c r="F335" i="15" s="1"/>
  <c r="S137" i="15"/>
  <c r="R137" i="15" s="1"/>
  <c r="P137" i="15" s="1"/>
  <c r="V137" i="15" s="1"/>
  <c r="S252" i="15"/>
  <c r="R252" i="15" s="1"/>
  <c r="P252" i="15" s="1"/>
  <c r="V252" i="15" s="1"/>
  <c r="F252" i="15" s="1"/>
  <c r="S240" i="15"/>
  <c r="R240" i="15" s="1"/>
  <c r="P240" i="15" s="1"/>
  <c r="S35" i="15"/>
  <c r="R35" i="15" s="1"/>
  <c r="P35" i="15" s="1"/>
  <c r="V35" i="15" s="1"/>
  <c r="F35" i="15" s="1"/>
  <c r="S132" i="15"/>
  <c r="R132" i="15" s="1"/>
  <c r="P132" i="15" s="1"/>
  <c r="V132" i="15" s="1"/>
  <c r="F132" i="15" s="1"/>
  <c r="AG354" i="15"/>
  <c r="AF354" i="15" s="1"/>
  <c r="AD354" i="15" s="1"/>
  <c r="AA354" i="15" s="1"/>
  <c r="Z354" i="15" s="1"/>
  <c r="Y354" i="15" s="1"/>
  <c r="AG341" i="15"/>
  <c r="AF341" i="15" s="1"/>
  <c r="AD341" i="15" s="1"/>
  <c r="AG83" i="15"/>
  <c r="AF83" i="15" s="1"/>
  <c r="AD83" i="15" s="1"/>
  <c r="AG137" i="15"/>
  <c r="AF137" i="15" s="1"/>
  <c r="AD137" i="15" s="1"/>
  <c r="AG365" i="15"/>
  <c r="AF365" i="15" s="1"/>
  <c r="AD365" i="15" s="1"/>
  <c r="AG105" i="15"/>
  <c r="AF105" i="15" s="1"/>
  <c r="AD105" i="15" s="1"/>
  <c r="AG331" i="15"/>
  <c r="AF331" i="15" s="1"/>
  <c r="AD331" i="15" s="1"/>
  <c r="AH15" i="15"/>
  <c r="AG15" i="15" s="1"/>
  <c r="AF15" i="15" s="1"/>
  <c r="AI383" i="15"/>
  <c r="AG181" i="15"/>
  <c r="AF181" i="15" s="1"/>
  <c r="AD181" i="15" s="1"/>
  <c r="AA181" i="15" s="1"/>
  <c r="Z181" i="15" s="1"/>
  <c r="Y181" i="15" s="1"/>
  <c r="AG20" i="15"/>
  <c r="AF20" i="15" s="1"/>
  <c r="AD20" i="15" s="1"/>
  <c r="S218" i="15"/>
  <c r="R218" i="15" s="1"/>
  <c r="P218" i="15" s="1"/>
  <c r="V218" i="15" s="1"/>
  <c r="F218" i="15" s="1"/>
  <c r="H218" i="15" s="1"/>
  <c r="I218" i="15" s="1"/>
  <c r="S109" i="15"/>
  <c r="R109" i="15" s="1"/>
  <c r="P109" i="15" s="1"/>
  <c r="V109" i="15" s="1"/>
  <c r="F109" i="15" s="1"/>
  <c r="S160" i="15"/>
  <c r="R160" i="15" s="1"/>
  <c r="P160" i="15" s="1"/>
  <c r="V160" i="15" s="1"/>
  <c r="F160" i="15" s="1"/>
  <c r="S309" i="15"/>
  <c r="R309" i="15" s="1"/>
  <c r="P309" i="15" s="1"/>
  <c r="S340" i="15"/>
  <c r="R340" i="15" s="1"/>
  <c r="P340" i="15" s="1"/>
  <c r="V340" i="15" s="1"/>
  <c r="F340" i="15" s="1"/>
  <c r="AA340" i="15" s="1"/>
  <c r="Z340" i="15" s="1"/>
  <c r="Y340" i="15" s="1"/>
  <c r="S81" i="15"/>
  <c r="R81" i="15" s="1"/>
  <c r="P81" i="15" s="1"/>
  <c r="V81" i="15" s="1"/>
  <c r="F81" i="15" s="1"/>
  <c r="S79" i="15"/>
  <c r="R79" i="15" s="1"/>
  <c r="P79" i="15" s="1"/>
  <c r="V79" i="15" s="1"/>
  <c r="S376" i="15"/>
  <c r="R376" i="15" s="1"/>
  <c r="P376" i="15" s="1"/>
  <c r="S204" i="15"/>
  <c r="R204" i="15" s="1"/>
  <c r="P204" i="15" s="1"/>
  <c r="V204" i="15" s="1"/>
  <c r="F204" i="15" s="1"/>
  <c r="S20" i="15"/>
  <c r="R20" i="15" s="1"/>
  <c r="P20" i="15" s="1"/>
  <c r="S257" i="15"/>
  <c r="R257" i="15" s="1"/>
  <c r="P257" i="15" s="1"/>
  <c r="V257" i="15" s="1"/>
  <c r="F257" i="15" s="1"/>
  <c r="S107" i="15"/>
  <c r="R107" i="15" s="1"/>
  <c r="P107" i="15" s="1"/>
  <c r="V107" i="15" s="1"/>
  <c r="F107" i="15" s="1"/>
  <c r="AG84" i="15"/>
  <c r="AF84" i="15" s="1"/>
  <c r="AD84" i="15" s="1"/>
  <c r="AG263" i="15"/>
  <c r="AF263" i="15" s="1"/>
  <c r="AD263" i="15" s="1"/>
  <c r="AG229" i="15"/>
  <c r="AF229" i="15" s="1"/>
  <c r="AD229" i="15" s="1"/>
  <c r="AA229" i="15" s="1"/>
  <c r="Z229" i="15" s="1"/>
  <c r="Y229" i="15" s="1"/>
  <c r="AG139" i="15"/>
  <c r="AF139" i="15" s="1"/>
  <c r="AD139" i="15" s="1"/>
  <c r="AG102" i="15"/>
  <c r="AF102" i="15" s="1"/>
  <c r="AD102" i="15" s="1"/>
  <c r="S95" i="15"/>
  <c r="R95" i="15" s="1"/>
  <c r="P95" i="15" s="1"/>
  <c r="V95" i="15" s="1"/>
  <c r="F95" i="15" s="1"/>
  <c r="S345" i="15"/>
  <c r="R345" i="15" s="1"/>
  <c r="P345" i="15" s="1"/>
  <c r="V345" i="15" s="1"/>
  <c r="F345" i="15" s="1"/>
  <c r="S89" i="15"/>
  <c r="R89" i="15" s="1"/>
  <c r="P89" i="15" s="1"/>
  <c r="V89" i="15" s="1"/>
  <c r="F89" i="15" s="1"/>
  <c r="S239" i="15"/>
  <c r="R239" i="15" s="1"/>
  <c r="P239" i="15" s="1"/>
  <c r="S99" i="15"/>
  <c r="R99" i="15" s="1"/>
  <c r="P99" i="15" s="1"/>
  <c r="V99" i="15" s="1"/>
  <c r="F99" i="15" s="1"/>
  <c r="S161" i="15"/>
  <c r="R161" i="15" s="1"/>
  <c r="P161" i="15" s="1"/>
  <c r="V161" i="15" s="1"/>
  <c r="F161" i="15" s="1"/>
  <c r="S272" i="15"/>
  <c r="R272" i="15" s="1"/>
  <c r="P272" i="15" s="1"/>
  <c r="S43" i="15"/>
  <c r="R43" i="15" s="1"/>
  <c r="P43" i="15" s="1"/>
  <c r="V43" i="15" s="1"/>
  <c r="F43" i="15" s="1"/>
  <c r="S268" i="15"/>
  <c r="R268" i="15" s="1"/>
  <c r="P268" i="15" s="1"/>
  <c r="V268" i="15" s="1"/>
  <c r="F268" i="15" s="1"/>
  <c r="S140" i="15"/>
  <c r="R140" i="15" s="1"/>
  <c r="P140" i="15" s="1"/>
  <c r="V140" i="15" s="1"/>
  <c r="F140" i="15" s="1"/>
  <c r="S255" i="15"/>
  <c r="R255" i="15" s="1"/>
  <c r="P255" i="15" s="1"/>
  <c r="S115" i="15"/>
  <c r="R115" i="15" s="1"/>
  <c r="P115" i="15" s="1"/>
  <c r="V115" i="15" s="1"/>
  <c r="F115" i="15" s="1"/>
  <c r="S373" i="15"/>
  <c r="R373" i="15" s="1"/>
  <c r="P373" i="15" s="1"/>
  <c r="S259" i="15"/>
  <c r="R259" i="15" s="1"/>
  <c r="P259" i="15" s="1"/>
  <c r="V259" i="15" s="1"/>
  <c r="F259" i="15" s="1"/>
  <c r="H259" i="15" s="1"/>
  <c r="S241" i="15"/>
  <c r="R241" i="15" s="1"/>
  <c r="P241" i="15" s="1"/>
  <c r="S327" i="15"/>
  <c r="R327" i="15" s="1"/>
  <c r="P327" i="15" s="1"/>
  <c r="V327" i="15" s="1"/>
  <c r="F327" i="15" s="1"/>
  <c r="S103" i="15"/>
  <c r="R103" i="15" s="1"/>
  <c r="P103" i="15" s="1"/>
  <c r="V103" i="15" s="1"/>
  <c r="F103" i="15" s="1"/>
  <c r="S80" i="15"/>
  <c r="R80" i="15" s="1"/>
  <c r="P80" i="15" s="1"/>
  <c r="S29" i="15"/>
  <c r="R29" i="15" s="1"/>
  <c r="P29" i="15" s="1"/>
  <c r="S134" i="15"/>
  <c r="R134" i="15" s="1"/>
  <c r="P134" i="15" s="1"/>
  <c r="V134" i="15" s="1"/>
  <c r="F134" i="15" s="1"/>
  <c r="H134" i="15" s="1"/>
  <c r="S139" i="15"/>
  <c r="R139" i="15" s="1"/>
  <c r="P139" i="15" s="1"/>
  <c r="V139" i="15" s="1"/>
  <c r="F139" i="15" s="1"/>
  <c r="S32" i="15"/>
  <c r="R32" i="15" s="1"/>
  <c r="P32" i="15" s="1"/>
  <c r="V32" i="15" s="1"/>
  <c r="F32" i="15" s="1"/>
  <c r="S123" i="15"/>
  <c r="R123" i="15" s="1"/>
  <c r="P123" i="15" s="1"/>
  <c r="S342" i="15"/>
  <c r="R342" i="15" s="1"/>
  <c r="P342" i="15" s="1"/>
  <c r="V342" i="15" s="1"/>
  <c r="F342" i="15" s="1"/>
  <c r="S86" i="15"/>
  <c r="R86" i="15" s="1"/>
  <c r="P86" i="15" s="1"/>
  <c r="V86" i="15" s="1"/>
  <c r="F86" i="15" s="1"/>
  <c r="S130" i="15"/>
  <c r="R130" i="15" s="1"/>
  <c r="P130" i="15" s="1"/>
  <c r="S293" i="15"/>
  <c r="R293" i="15" s="1"/>
  <c r="P293" i="15" s="1"/>
  <c r="V293" i="15" s="1"/>
  <c r="F293" i="15" s="1"/>
  <c r="S152" i="15"/>
  <c r="R152" i="15" s="1"/>
  <c r="P152" i="15" s="1"/>
  <c r="S223" i="15"/>
  <c r="R223" i="15" s="1"/>
  <c r="P223" i="15" s="1"/>
  <c r="V223" i="15" s="1"/>
  <c r="F223" i="15" s="1"/>
  <c r="S83" i="15"/>
  <c r="R83" i="15" s="1"/>
  <c r="P83" i="15" s="1"/>
  <c r="V83" i="15" s="1"/>
  <c r="F83" i="15" s="1"/>
  <c r="H83" i="15" s="1"/>
  <c r="S153" i="15"/>
  <c r="R153" i="15" s="1"/>
  <c r="P153" i="15" s="1"/>
  <c r="V153" i="15" s="1"/>
  <c r="F153" i="15" s="1"/>
  <c r="S264" i="15"/>
  <c r="R264" i="15" s="1"/>
  <c r="P264" i="15" s="1"/>
  <c r="V264" i="15" s="1"/>
  <c r="F264" i="15" s="1"/>
  <c r="H264" i="15" s="1"/>
  <c r="S367" i="15"/>
  <c r="R367" i="15" s="1"/>
  <c r="P367" i="15" s="1"/>
  <c r="V367" i="15" s="1"/>
  <c r="F367" i="15" s="1"/>
  <c r="S227" i="15"/>
  <c r="R227" i="15" s="1"/>
  <c r="P227" i="15" s="1"/>
  <c r="S292" i="15"/>
  <c r="R292" i="15" s="1"/>
  <c r="P292" i="15" s="1"/>
  <c r="V292" i="15" s="1"/>
  <c r="F292" i="15" s="1"/>
  <c r="S378" i="15"/>
  <c r="R378" i="15" s="1"/>
  <c r="P378" i="15" s="1"/>
  <c r="S243" i="15"/>
  <c r="R243" i="15" s="1"/>
  <c r="P243" i="15" s="1"/>
  <c r="S135" i="15"/>
  <c r="R135" i="15" s="1"/>
  <c r="P135" i="15" s="1"/>
  <c r="V135" i="15" s="1"/>
  <c r="F135" i="15" s="1"/>
  <c r="T15" i="15"/>
  <c r="U381" i="15"/>
  <c r="U382" i="15"/>
  <c r="U383" i="15"/>
  <c r="S116" i="15"/>
  <c r="R116" i="15" s="1"/>
  <c r="P116" i="15" s="1"/>
  <c r="V116" i="15" s="1"/>
  <c r="F116" i="15" s="1"/>
  <c r="S21" i="15"/>
  <c r="R21" i="15" s="1"/>
  <c r="P21" i="15" s="1"/>
  <c r="S144" i="15"/>
  <c r="R144" i="15" s="1"/>
  <c r="P144" i="15" s="1"/>
  <c r="V144" i="15" s="1"/>
  <c r="F144" i="15" s="1"/>
  <c r="S23" i="15"/>
  <c r="R23" i="15" s="1"/>
  <c r="P23" i="15" s="1"/>
  <c r="V23" i="15" s="1"/>
  <c r="F23" i="15" s="1"/>
  <c r="S157" i="15"/>
  <c r="R157" i="15" s="1"/>
  <c r="P157" i="15" s="1"/>
  <c r="V157" i="15" s="1"/>
  <c r="F157" i="15" s="1"/>
  <c r="S242" i="15"/>
  <c r="R242" i="15" s="1"/>
  <c r="P242" i="15" s="1"/>
  <c r="V242" i="15" s="1"/>
  <c r="F242" i="15" s="1"/>
  <c r="S377" i="15"/>
  <c r="R377" i="15" s="1"/>
  <c r="P377" i="15" s="1"/>
  <c r="V377" i="15" s="1"/>
  <c r="F377" i="15" s="1"/>
  <c r="S142" i="15"/>
  <c r="R142" i="15" s="1"/>
  <c r="P142" i="15" s="1"/>
  <c r="S96" i="15"/>
  <c r="R96" i="15" s="1"/>
  <c r="P96" i="15" s="1"/>
  <c r="V96" i="15" s="1"/>
  <c r="F96" i="15" s="1"/>
  <c r="S251" i="15"/>
  <c r="R251" i="15" s="1"/>
  <c r="P251" i="15" s="1"/>
  <c r="V251" i="15" s="1"/>
  <c r="F251" i="15" s="1"/>
  <c r="S150" i="15"/>
  <c r="R150" i="15" s="1"/>
  <c r="P150" i="15" s="1"/>
  <c r="V150" i="15" s="1"/>
  <c r="F150" i="15" s="1"/>
  <c r="S267" i="15"/>
  <c r="R267" i="15" s="1"/>
  <c r="P267" i="15" s="1"/>
  <c r="V267" i="15" s="1"/>
  <c r="F267" i="15" s="1"/>
  <c r="S24" i="15"/>
  <c r="R24" i="15" s="1"/>
  <c r="P24" i="15" s="1"/>
  <c r="S158" i="15"/>
  <c r="R158" i="15" s="1"/>
  <c r="P158" i="15" s="1"/>
  <c r="V158" i="15" s="1"/>
  <c r="F158" i="15" s="1"/>
  <c r="S30" i="15"/>
  <c r="R30" i="15" s="1"/>
  <c r="P30" i="15" s="1"/>
  <c r="S110" i="15"/>
  <c r="R110" i="15" s="1"/>
  <c r="P110" i="15" s="1"/>
  <c r="V110" i="15" s="1"/>
  <c r="F110" i="15" s="1"/>
  <c r="S39" i="15"/>
  <c r="R39" i="15" s="1"/>
  <c r="P39" i="15" s="1"/>
  <c r="S359" i="15"/>
  <c r="R359" i="15" s="1"/>
  <c r="P359" i="15" s="1"/>
  <c r="S273" i="15"/>
  <c r="R273" i="15" s="1"/>
  <c r="P273" i="15" s="1"/>
  <c r="V273" i="15" s="1"/>
  <c r="F273" i="15" s="1"/>
  <c r="S201" i="15"/>
  <c r="R201" i="15" s="1"/>
  <c r="P201" i="15" s="1"/>
  <c r="V201" i="15" s="1"/>
  <c r="F201" i="15" s="1"/>
  <c r="S284" i="15"/>
  <c r="R284" i="15" s="1"/>
  <c r="P284" i="15" s="1"/>
  <c r="S19" i="15"/>
  <c r="R19" i="15" s="1"/>
  <c r="P19" i="15" s="1"/>
  <c r="S249" i="15"/>
  <c r="R249" i="15" s="1"/>
  <c r="P249" i="15" s="1"/>
  <c r="V249" i="15" s="1"/>
  <c r="F249" i="15" s="1"/>
  <c r="S250" i="15"/>
  <c r="R250" i="15" s="1"/>
  <c r="P250" i="15" s="1"/>
  <c r="S128" i="15"/>
  <c r="R128" i="15" s="1"/>
  <c r="P128" i="15" s="1"/>
  <c r="V128" i="15" s="1"/>
  <c r="F128" i="15" s="1"/>
  <c r="S27" i="15"/>
  <c r="R27" i="15" s="1"/>
  <c r="P27" i="15" s="1"/>
  <c r="V27" i="15" s="1"/>
  <c r="F27" i="15" s="1"/>
  <c r="S125" i="15"/>
  <c r="R125" i="15" s="1"/>
  <c r="P125" i="15" s="1"/>
  <c r="V125" i="15" s="1"/>
  <c r="F125" i="15" s="1"/>
  <c r="S226" i="15"/>
  <c r="R226" i="15" s="1"/>
  <c r="P226" i="15" s="1"/>
  <c r="V226" i="15" s="1"/>
  <c r="F226" i="15" s="1"/>
  <c r="S98" i="15"/>
  <c r="R98" i="15" s="1"/>
  <c r="P98" i="15" s="1"/>
  <c r="S362" i="15"/>
  <c r="R362" i="15" s="1"/>
  <c r="P362" i="15" s="1"/>
  <c r="S120" i="15"/>
  <c r="R120" i="15" s="1"/>
  <c r="P120" i="15" s="1"/>
  <c r="V120" i="15" s="1"/>
  <c r="F120" i="15" s="1"/>
  <c r="S269" i="15"/>
  <c r="R269" i="15" s="1"/>
  <c r="P269" i="15" s="1"/>
  <c r="V269" i="15" s="1"/>
  <c r="F269" i="15" s="1"/>
  <c r="H269" i="15" s="1"/>
  <c r="J16" i="7"/>
  <c r="P11" i="7" s="1"/>
  <c r="U11" i="16" s="1"/>
  <c r="T379" i="15"/>
  <c r="U12" i="16"/>
  <c r="S254" i="15"/>
  <c r="R254" i="15" s="1"/>
  <c r="P254" i="15" s="1"/>
  <c r="V254" i="15" s="1"/>
  <c r="F254" i="15" s="1"/>
  <c r="S126" i="15"/>
  <c r="R126" i="15" s="1"/>
  <c r="P126" i="15" s="1"/>
  <c r="V126" i="15" s="1"/>
  <c r="F126" i="15" s="1"/>
  <c r="H126" i="15" s="1"/>
  <c r="S346" i="15"/>
  <c r="R346" i="15" s="1"/>
  <c r="P346" i="15" s="1"/>
  <c r="V346" i="15" s="1"/>
  <c r="F346" i="15" s="1"/>
  <c r="S93" i="15"/>
  <c r="R93" i="15" s="1"/>
  <c r="P93" i="15" s="1"/>
  <c r="V93" i="15" s="1"/>
  <c r="F93" i="15" s="1"/>
  <c r="G93" i="15" s="1"/>
  <c r="BX93" i="6" s="1"/>
  <c r="S245" i="15"/>
  <c r="R245" i="15" s="1"/>
  <c r="P245" i="15" s="1"/>
  <c r="V245" i="15" s="1"/>
  <c r="F245" i="15" s="1"/>
  <c r="H245" i="15" s="1"/>
  <c r="S16" i="15"/>
  <c r="R16" i="15" s="1"/>
  <c r="P16" i="15" s="1"/>
  <c r="V16" i="15" s="1"/>
  <c r="F16" i="15" s="1"/>
  <c r="S172" i="15"/>
  <c r="R172" i="15" s="1"/>
  <c r="P172" i="15" s="1"/>
  <c r="V172" i="15" s="1"/>
  <c r="F172" i="15" s="1"/>
  <c r="S193" i="15"/>
  <c r="R193" i="15" s="1"/>
  <c r="P193" i="15" s="1"/>
  <c r="V193" i="15" s="1"/>
  <c r="F193" i="15" s="1"/>
  <c r="S121" i="15"/>
  <c r="R121" i="15" s="1"/>
  <c r="P121" i="15" s="1"/>
  <c r="V121" i="15" s="1"/>
  <c r="F121" i="15" s="1"/>
  <c r="S212" i="15"/>
  <c r="R212" i="15" s="1"/>
  <c r="P212" i="15" s="1"/>
  <c r="V212" i="15" s="1"/>
  <c r="F212" i="15" s="1"/>
  <c r="S82" i="15"/>
  <c r="R82" i="15" s="1"/>
  <c r="P82" i="15" s="1"/>
  <c r="V82" i="15" s="1"/>
  <c r="F82" i="15" s="1"/>
  <c r="S238" i="15"/>
  <c r="R238" i="15" s="1"/>
  <c r="P238" i="15" s="1"/>
  <c r="V238" i="15" s="1"/>
  <c r="F238" i="15" s="1"/>
  <c r="G238" i="15" s="1"/>
  <c r="BX238" i="6" s="1"/>
  <c r="P332" i="15"/>
  <c r="V332" i="15" s="1"/>
  <c r="F332" i="15" s="1"/>
  <c r="P221" i="15"/>
  <c r="V221" i="15" s="1"/>
  <c r="F221" i="15" s="1"/>
  <c r="G221" i="15" s="1"/>
  <c r="BX221" i="6" s="1"/>
  <c r="P234" i="15"/>
  <c r="V234" i="15" s="1"/>
  <c r="F234" i="15" s="1"/>
  <c r="AA234" i="15" s="1"/>
  <c r="Z234" i="15" s="1"/>
  <c r="Y234" i="15" s="1"/>
  <c r="P233" i="15"/>
  <c r="V233" i="15" s="1"/>
  <c r="F233" i="15" s="1"/>
  <c r="P146" i="15"/>
  <c r="V146" i="15" s="1"/>
  <c r="F146" i="15" s="1"/>
  <c r="G146" i="15" s="1"/>
  <c r="BX146" i="6" s="1"/>
  <c r="P296" i="15"/>
  <c r="V296" i="15" s="1"/>
  <c r="F296" i="15" s="1"/>
  <c r="H296" i="15" s="1"/>
  <c r="J296" i="15" s="1"/>
  <c r="P211" i="15"/>
  <c r="V211" i="15" s="1"/>
  <c r="F211" i="15" s="1"/>
  <c r="H211" i="15" s="1"/>
  <c r="P315" i="15"/>
  <c r="V315" i="15" s="1"/>
  <c r="F315" i="15" s="1"/>
  <c r="G315" i="15" s="1"/>
  <c r="BX315" i="6" s="1"/>
  <c r="AD18" i="15"/>
  <c r="AD29" i="15"/>
  <c r="AD88" i="15"/>
  <c r="AD19" i="15"/>
  <c r="AD30" i="15"/>
  <c r="AD118" i="15"/>
  <c r="AD296" i="15"/>
  <c r="S228" i="15"/>
  <c r="R228" i="15" s="1"/>
  <c r="P228" i="15" s="1"/>
  <c r="V228" i="15" s="1"/>
  <c r="F228" i="15" s="1"/>
  <c r="S145" i="15"/>
  <c r="R145" i="15" s="1"/>
  <c r="P145" i="15" s="1"/>
  <c r="S282" i="15"/>
  <c r="R282" i="15" s="1"/>
  <c r="P282" i="15" s="1"/>
  <c r="P76" i="15"/>
  <c r="V76" i="15" s="1"/>
  <c r="F76" i="15" s="1"/>
  <c r="AA76" i="15" s="1"/>
  <c r="Z76" i="15" s="1"/>
  <c r="Y76" i="15" s="1"/>
  <c r="P312" i="15"/>
  <c r="V312" i="15" s="1"/>
  <c r="F312" i="15" s="1"/>
  <c r="AA312" i="15" s="1"/>
  <c r="Z312" i="15" s="1"/>
  <c r="Y312" i="15" s="1"/>
  <c r="P329" i="15"/>
  <c r="V329" i="15" s="1"/>
  <c r="F329" i="15" s="1"/>
  <c r="P209" i="15"/>
  <c r="V209" i="15" s="1"/>
  <c r="F209" i="15" s="1"/>
  <c r="P371" i="15"/>
  <c r="V371" i="15" s="1"/>
  <c r="F371" i="15" s="1"/>
  <c r="P311" i="15"/>
  <c r="V311" i="15" s="1"/>
  <c r="F311" i="15" s="1"/>
  <c r="AD327" i="15"/>
  <c r="AD236" i="15"/>
  <c r="AD373" i="15"/>
  <c r="AD242" i="15"/>
  <c r="AD189" i="15"/>
  <c r="AA189" i="15" s="1"/>
  <c r="Z189" i="15" s="1"/>
  <c r="Y189" i="15" s="1"/>
  <c r="AD368" i="15"/>
  <c r="AD302" i="15"/>
  <c r="S263" i="15"/>
  <c r="R263" i="15" s="1"/>
  <c r="P263" i="15" s="1"/>
  <c r="V263" i="15" s="1"/>
  <c r="F263" i="15" s="1"/>
  <c r="S63" i="15"/>
  <c r="R63" i="15" s="1"/>
  <c r="P63" i="15" s="1"/>
  <c r="V63" i="15" s="1"/>
  <c r="F63" i="15" s="1"/>
  <c r="S372" i="15"/>
  <c r="R372" i="15" s="1"/>
  <c r="P372" i="15" s="1"/>
  <c r="V372" i="15" s="1"/>
  <c r="F372" i="15" s="1"/>
  <c r="S38" i="15"/>
  <c r="R38" i="15" s="1"/>
  <c r="P38" i="15" s="1"/>
  <c r="V38" i="15" s="1"/>
  <c r="F38" i="15" s="1"/>
  <c r="S90" i="15"/>
  <c r="R90" i="15" s="1"/>
  <c r="P90" i="15" s="1"/>
  <c r="V90" i="15" s="1"/>
  <c r="F90" i="15" s="1"/>
  <c r="S358" i="15"/>
  <c r="R358" i="15" s="1"/>
  <c r="P358" i="15" s="1"/>
  <c r="V358" i="15" s="1"/>
  <c r="S260" i="15"/>
  <c r="R260" i="15" s="1"/>
  <c r="P260" i="15" s="1"/>
  <c r="V260" i="15" s="1"/>
  <c r="F260" i="15" s="1"/>
  <c r="S248" i="15"/>
  <c r="R248" i="15" s="1"/>
  <c r="P248" i="15" s="1"/>
  <c r="V248" i="15" s="1"/>
  <c r="F248" i="15" s="1"/>
  <c r="S51" i="15"/>
  <c r="R51" i="15" s="1"/>
  <c r="P51" i="15" s="1"/>
  <c r="V51" i="15" s="1"/>
  <c r="F51" i="15" s="1"/>
  <c r="S124" i="15"/>
  <c r="R124" i="15" s="1"/>
  <c r="P124" i="15" s="1"/>
  <c r="V124" i="15" s="1"/>
  <c r="F124" i="15" s="1"/>
  <c r="S364" i="15"/>
  <c r="R364" i="15" s="1"/>
  <c r="P364" i="15" s="1"/>
  <c r="V364" i="15" s="1"/>
  <c r="F364" i="15" s="1"/>
  <c r="S129" i="15"/>
  <c r="R129" i="15" s="1"/>
  <c r="P129" i="15" s="1"/>
  <c r="V129" i="15" s="1"/>
  <c r="F129" i="15" s="1"/>
  <c r="S31" i="15"/>
  <c r="R31" i="15" s="1"/>
  <c r="P31" i="15" s="1"/>
  <c r="V31" i="15" s="1"/>
  <c r="F31" i="15" s="1"/>
  <c r="H31" i="15" s="1"/>
  <c r="AG250" i="15"/>
  <c r="AF250" i="15" s="1"/>
  <c r="AD250" i="15" s="1"/>
  <c r="AG273" i="15"/>
  <c r="AF273" i="15" s="1"/>
  <c r="AD273" i="15" s="1"/>
  <c r="AG134" i="15"/>
  <c r="AF134" i="15" s="1"/>
  <c r="AD134" i="15" s="1"/>
  <c r="AG90" i="15"/>
  <c r="AF90" i="15" s="1"/>
  <c r="AD90" i="15" s="1"/>
  <c r="AG33" i="15"/>
  <c r="AF33" i="15" s="1"/>
  <c r="AD33" i="15" s="1"/>
  <c r="AG160" i="15"/>
  <c r="AF160" i="15" s="1"/>
  <c r="AD160" i="15" s="1"/>
  <c r="AG21" i="15"/>
  <c r="AF21" i="15" s="1"/>
  <c r="AD21" i="15" s="1"/>
  <c r="AG299" i="15"/>
  <c r="AF299" i="15" s="1"/>
  <c r="AD299" i="15" s="1"/>
  <c r="AG339" i="15"/>
  <c r="AF339" i="15" s="1"/>
  <c r="AD339" i="15" s="1"/>
  <c r="AA339" i="15" s="1"/>
  <c r="Z339" i="15" s="1"/>
  <c r="Y339" i="15" s="1"/>
  <c r="AG113" i="15"/>
  <c r="AF113" i="15" s="1"/>
  <c r="AD113" i="15" s="1"/>
  <c r="AG271" i="15"/>
  <c r="AF271" i="15" s="1"/>
  <c r="AD271" i="15" s="1"/>
  <c r="AG214" i="15"/>
  <c r="AF214" i="15" s="1"/>
  <c r="AD214" i="15" s="1"/>
  <c r="S17" i="15"/>
  <c r="R17" i="15" s="1"/>
  <c r="P17" i="15" s="1"/>
  <c r="S151" i="15"/>
  <c r="R151" i="15" s="1"/>
  <c r="P151" i="15" s="1"/>
  <c r="V151" i="15" s="1"/>
  <c r="F151" i="15" s="1"/>
  <c r="S92" i="15"/>
  <c r="R92" i="15" s="1"/>
  <c r="P92" i="15" s="1"/>
  <c r="V92" i="15" s="1"/>
  <c r="F92" i="15" s="1"/>
  <c r="S265" i="15"/>
  <c r="R265" i="15" s="1"/>
  <c r="P265" i="15" s="1"/>
  <c r="V265" i="15" s="1"/>
  <c r="F265" i="15" s="1"/>
  <c r="S231" i="15"/>
  <c r="R231" i="15" s="1"/>
  <c r="P231" i="15" s="1"/>
  <c r="S368" i="15"/>
  <c r="R368" i="15" s="1"/>
  <c r="P368" i="15" s="1"/>
  <c r="V368" i="15" s="1"/>
  <c r="F368" i="15" s="1"/>
  <c r="S291" i="15"/>
  <c r="R291" i="15" s="1"/>
  <c r="P291" i="15" s="1"/>
  <c r="V291" i="15" s="1"/>
  <c r="F291" i="15" s="1"/>
  <c r="S147" i="15"/>
  <c r="R147" i="15" s="1"/>
  <c r="P147" i="15" s="1"/>
  <c r="V147" i="15" s="1"/>
  <c r="F147" i="15" s="1"/>
  <c r="AG26" i="15"/>
  <c r="AF26" i="15" s="1"/>
  <c r="AD26" i="15" s="1"/>
  <c r="AG16" i="15"/>
  <c r="AF16" i="15" s="1"/>
  <c r="AD16" i="15" s="1"/>
  <c r="AG78" i="15"/>
  <c r="AF78" i="15" s="1"/>
  <c r="AD78" i="15" s="1"/>
  <c r="AG254" i="15"/>
  <c r="AF254" i="15" s="1"/>
  <c r="AD254" i="15" s="1"/>
  <c r="AG132" i="15"/>
  <c r="AF132" i="15" s="1"/>
  <c r="AD132" i="15" s="1"/>
  <c r="AG135" i="15"/>
  <c r="AF135" i="15" s="1"/>
  <c r="AD135" i="15" s="1"/>
  <c r="AG259" i="15"/>
  <c r="AF259" i="15" s="1"/>
  <c r="AD259" i="15" s="1"/>
  <c r="AG153" i="15"/>
  <c r="AF153" i="15" s="1"/>
  <c r="AD153" i="15" s="1"/>
  <c r="AG104" i="15"/>
  <c r="AF104" i="15" s="1"/>
  <c r="AD104" i="15" s="1"/>
  <c r="AG211" i="15"/>
  <c r="AF211" i="15" s="1"/>
  <c r="AD211" i="15" s="1"/>
  <c r="AG361" i="15"/>
  <c r="AF361" i="15" s="1"/>
  <c r="AD361" i="15" s="1"/>
  <c r="AG141" i="15"/>
  <c r="AF141" i="15" s="1"/>
  <c r="AD141" i="15" s="1"/>
  <c r="AG241" i="15"/>
  <c r="AF241" i="15" s="1"/>
  <c r="AD241" i="15" s="1"/>
  <c r="AG138" i="15"/>
  <c r="AF138" i="15" s="1"/>
  <c r="AD138" i="15" s="1"/>
  <c r="S217" i="15"/>
  <c r="R217" i="15" s="1"/>
  <c r="P217" i="15" s="1"/>
  <c r="V217" i="15" s="1"/>
  <c r="F217" i="15" s="1"/>
  <c r="S289" i="15"/>
  <c r="R289" i="15" s="1"/>
  <c r="P289" i="15" s="1"/>
  <c r="S33" i="15"/>
  <c r="R33" i="15" s="1"/>
  <c r="P33" i="15" s="1"/>
  <c r="V33" i="15" s="1"/>
  <c r="F33" i="15" s="1"/>
  <c r="S84" i="15"/>
  <c r="R84" i="15" s="1"/>
  <c r="P84" i="15" s="1"/>
  <c r="V84" i="15" s="1"/>
  <c r="F84" i="15" s="1"/>
  <c r="S100" i="15"/>
  <c r="R100" i="15" s="1"/>
  <c r="P100" i="15" s="1"/>
  <c r="V100" i="15" s="1"/>
  <c r="F100" i="15" s="1"/>
  <c r="H100" i="15" s="1"/>
  <c r="S143" i="15"/>
  <c r="R143" i="15" s="1"/>
  <c r="P143" i="15" s="1"/>
  <c r="V143" i="15" s="1"/>
  <c r="F143" i="15" s="1"/>
  <c r="S369" i="15"/>
  <c r="R369" i="15" s="1"/>
  <c r="P369" i="15" s="1"/>
  <c r="V369" i="15" s="1"/>
  <c r="F369" i="15" s="1"/>
  <c r="S113" i="15"/>
  <c r="R113" i="15" s="1"/>
  <c r="P113" i="15" s="1"/>
  <c r="V113" i="15" s="1"/>
  <c r="F113" i="15" s="1"/>
  <c r="S224" i="15"/>
  <c r="R224" i="15" s="1"/>
  <c r="P224" i="15" s="1"/>
  <c r="V224" i="15" s="1"/>
  <c r="F224" i="15" s="1"/>
  <c r="G224" i="15" s="1"/>
  <c r="BX224" i="6" s="1"/>
  <c r="S156" i="15"/>
  <c r="R156" i="15" s="1"/>
  <c r="P156" i="15" s="1"/>
  <c r="V156" i="15" s="1"/>
  <c r="F156" i="15" s="1"/>
  <c r="S341" i="15"/>
  <c r="R341" i="15" s="1"/>
  <c r="P341" i="15" s="1"/>
  <c r="S85" i="15"/>
  <c r="R85" i="15" s="1"/>
  <c r="P85" i="15" s="1"/>
  <c r="V85" i="15" s="1"/>
  <c r="F85" i="15" s="1"/>
  <c r="H85" i="15" s="1"/>
  <c r="S247" i="15"/>
  <c r="R247" i="15" s="1"/>
  <c r="P247" i="15" s="1"/>
  <c r="S262" i="15"/>
  <c r="R262" i="15" s="1"/>
  <c r="P262" i="15" s="1"/>
  <c r="V262" i="15" s="1"/>
  <c r="F262" i="15" s="1"/>
  <c r="S133" i="15"/>
  <c r="R133" i="15" s="1"/>
  <c r="P133" i="15" s="1"/>
  <c r="V133" i="15" s="1"/>
  <c r="F133" i="15" s="1"/>
  <c r="S206" i="15"/>
  <c r="R206" i="15" s="1"/>
  <c r="P206" i="15" s="1"/>
  <c r="S87" i="15"/>
  <c r="R87" i="15" s="1"/>
  <c r="P87" i="15" s="1"/>
  <c r="V87" i="15" s="1"/>
  <c r="F87" i="15" s="1"/>
  <c r="G87" i="15" s="1"/>
  <c r="BX87" i="6" s="1"/>
  <c r="S214" i="15"/>
  <c r="R214" i="15" s="1"/>
  <c r="P214" i="15" s="1"/>
  <c r="S258" i="15"/>
  <c r="R258" i="15" s="1"/>
  <c r="P258" i="15" s="1"/>
  <c r="V258" i="15" s="1"/>
  <c r="F258" i="15" s="1"/>
  <c r="G258" i="15" s="1"/>
  <c r="BX258" i="6" s="1"/>
  <c r="S28" i="15"/>
  <c r="R28" i="15" s="1"/>
  <c r="P28" i="15" s="1"/>
  <c r="V28" i="15" s="1"/>
  <c r="F28" i="15" s="1"/>
  <c r="AG22" i="15"/>
  <c r="AF22" i="15" s="1"/>
  <c r="AD22" i="15" s="1"/>
  <c r="S281" i="15"/>
  <c r="R281" i="15" s="1"/>
  <c r="P281" i="15" s="1"/>
  <c r="V281" i="15" s="1"/>
  <c r="F281" i="15" s="1"/>
  <c r="S25" i="15"/>
  <c r="R25" i="15" s="1"/>
  <c r="P25" i="15" s="1"/>
  <c r="S111" i="15"/>
  <c r="R111" i="15" s="1"/>
  <c r="P111" i="15" s="1"/>
  <c r="V111" i="15" s="1"/>
  <c r="F111" i="15" s="1"/>
  <c r="S97" i="15"/>
  <c r="R97" i="15" s="1"/>
  <c r="P97" i="15" s="1"/>
  <c r="V97" i="15" s="1"/>
  <c r="F97" i="15" s="1"/>
  <c r="S208" i="15"/>
  <c r="R208" i="15" s="1"/>
  <c r="P208" i="15" s="1"/>
  <c r="V208" i="15" s="1"/>
  <c r="F208" i="15" s="1"/>
  <c r="S348" i="15"/>
  <c r="R348" i="15" s="1"/>
  <c r="P348" i="15" s="1"/>
  <c r="V348" i="15" s="1"/>
  <c r="F348" i="15" s="1"/>
  <c r="S236" i="15"/>
  <c r="R236" i="15" s="1"/>
  <c r="P236" i="15" s="1"/>
  <c r="S108" i="15"/>
  <c r="R108" i="15" s="1"/>
  <c r="P108" i="15" s="1"/>
  <c r="V108" i="15" s="1"/>
  <c r="F108" i="15" s="1"/>
  <c r="S127" i="15"/>
  <c r="R127" i="15" s="1"/>
  <c r="P127" i="15" s="1"/>
  <c r="V127" i="15" s="1"/>
  <c r="F127" i="15" s="1"/>
  <c r="S105" i="15"/>
  <c r="R105" i="15" s="1"/>
  <c r="P105" i="15" s="1"/>
  <c r="V105" i="15" s="1"/>
  <c r="S216" i="15"/>
  <c r="R216" i="15" s="1"/>
  <c r="P216" i="15" s="1"/>
  <c r="S271" i="15"/>
  <c r="R271" i="15" s="1"/>
  <c r="P271" i="15" s="1"/>
  <c r="S244" i="15"/>
  <c r="R244" i="15" s="1"/>
  <c r="P244" i="15" s="1"/>
  <c r="V244" i="15" s="1"/>
  <c r="F244" i="15" s="1"/>
  <c r="S149" i="15"/>
  <c r="R149" i="15" s="1"/>
  <c r="P149" i="15" s="1"/>
  <c r="S18" i="15"/>
  <c r="R18" i="15" s="1"/>
  <c r="P18" i="15" s="1"/>
  <c r="S326" i="15"/>
  <c r="R326" i="15" s="1"/>
  <c r="P326" i="15" s="1"/>
  <c r="V326" i="15" s="1"/>
  <c r="F326" i="15" s="1"/>
  <c r="S114" i="15"/>
  <c r="R114" i="15" s="1"/>
  <c r="P114" i="15" s="1"/>
  <c r="S261" i="15"/>
  <c r="R261" i="15" s="1"/>
  <c r="P261" i="15" s="1"/>
  <c r="V261" i="15" s="1"/>
  <c r="F261" i="15" s="1"/>
  <c r="S136" i="15"/>
  <c r="R136" i="15" s="1"/>
  <c r="P136" i="15" s="1"/>
  <c r="V136" i="15" s="1"/>
  <c r="F136" i="15" s="1"/>
  <c r="S301" i="15"/>
  <c r="R301" i="15" s="1"/>
  <c r="P301" i="15" s="1"/>
  <c r="V301" i="15" s="1"/>
  <c r="F301" i="15" s="1"/>
  <c r="S270" i="15"/>
  <c r="R270" i="15" s="1"/>
  <c r="P270" i="15" s="1"/>
  <c r="V270" i="15" s="1"/>
  <c r="F270" i="15" s="1"/>
  <c r="S279" i="15"/>
  <c r="R279" i="15" s="1"/>
  <c r="P279" i="15" s="1"/>
  <c r="V279" i="15" s="1"/>
  <c r="F279" i="15" s="1"/>
  <c r="S22" i="15"/>
  <c r="R22" i="15" s="1"/>
  <c r="P22" i="15" s="1"/>
  <c r="V22" i="15" s="1"/>
  <c r="F22" i="15" s="1"/>
  <c r="S165" i="15"/>
  <c r="R165" i="15" s="1"/>
  <c r="P165" i="15" s="1"/>
  <c r="V165" i="15" s="1"/>
  <c r="F165" i="15" s="1"/>
  <c r="S88" i="15"/>
  <c r="R88" i="15" s="1"/>
  <c r="P88" i="15" s="1"/>
  <c r="S222" i="15"/>
  <c r="R222" i="15" s="1"/>
  <c r="P222" i="15" s="1"/>
  <c r="V222" i="15" s="1"/>
  <c r="F222" i="15" s="1"/>
  <c r="S94" i="15"/>
  <c r="R94" i="15" s="1"/>
  <c r="P94" i="15" s="1"/>
  <c r="V94" i="15" s="1"/>
  <c r="F94" i="15" s="1"/>
  <c r="H94" i="15" s="1"/>
  <c r="S266" i="15"/>
  <c r="R266" i="15" s="1"/>
  <c r="P266" i="15" s="1"/>
  <c r="V266" i="15" s="1"/>
  <c r="F266" i="15" s="1"/>
  <c r="S138" i="15"/>
  <c r="R138" i="15" s="1"/>
  <c r="P138" i="15" s="1"/>
  <c r="V138" i="15" s="1"/>
  <c r="F138" i="15" s="1"/>
  <c r="S119" i="15"/>
  <c r="R119" i="15" s="1"/>
  <c r="P119" i="15" s="1"/>
  <c r="S166" i="15"/>
  <c r="R166" i="15" s="1"/>
  <c r="P166" i="15" s="1"/>
  <c r="V166" i="15" s="1"/>
  <c r="F166" i="15" s="1"/>
  <c r="G166" i="15" s="1"/>
  <c r="BX166" i="6" s="1"/>
  <c r="S370" i="15"/>
  <c r="R370" i="15" s="1"/>
  <c r="P370" i="15" s="1"/>
  <c r="V370" i="15" s="1"/>
  <c r="F370" i="15" s="1"/>
  <c r="S52" i="15"/>
  <c r="R52" i="15" s="1"/>
  <c r="P52" i="15" s="1"/>
  <c r="S235" i="15"/>
  <c r="R235" i="15" s="1"/>
  <c r="P235" i="15" s="1"/>
  <c r="V235" i="15" s="1"/>
  <c r="F235" i="15" s="1"/>
  <c r="S319" i="15"/>
  <c r="R319" i="15" s="1"/>
  <c r="P319" i="15" s="1"/>
  <c r="S232" i="15"/>
  <c r="R232" i="15" s="1"/>
  <c r="P232" i="15" s="1"/>
  <c r="V232" i="15" s="1"/>
  <c r="F232" i="15" s="1"/>
  <c r="S154" i="15"/>
  <c r="R154" i="15" s="1"/>
  <c r="P154" i="15" s="1"/>
  <c r="V154" i="15" s="1"/>
  <c r="F154" i="15" s="1"/>
  <c r="S78" i="15"/>
  <c r="R78" i="15" s="1"/>
  <c r="P78" i="15" s="1"/>
  <c r="S253" i="15"/>
  <c r="R253" i="15" s="1"/>
  <c r="P253" i="15" s="1"/>
  <c r="V253" i="15" s="1"/>
  <c r="F253" i="15" s="1"/>
  <c r="S374" i="15"/>
  <c r="R374" i="15" s="1"/>
  <c r="P374" i="15" s="1"/>
  <c r="V374" i="15" s="1"/>
  <c r="F374" i="15" s="1"/>
  <c r="S246" i="15"/>
  <c r="R246" i="15" s="1"/>
  <c r="P246" i="15" s="1"/>
  <c r="V246" i="15" s="1"/>
  <c r="F246" i="15" s="1"/>
  <c r="G246" i="15" s="1"/>
  <c r="BX246" i="6" s="1"/>
  <c r="S118" i="15"/>
  <c r="R118" i="15" s="1"/>
  <c r="P118" i="15" s="1"/>
  <c r="V118" i="15" s="1"/>
  <c r="F118" i="15" s="1"/>
  <c r="S162" i="15"/>
  <c r="R162" i="15" s="1"/>
  <c r="P162" i="15" s="1"/>
  <c r="V162" i="15" s="1"/>
  <c r="F162" i="15" s="1"/>
  <c r="S34" i="15"/>
  <c r="R34" i="15" s="1"/>
  <c r="P34" i="15" s="1"/>
  <c r="S101" i="15"/>
  <c r="R101" i="15" s="1"/>
  <c r="P101" i="15" s="1"/>
  <c r="V101" i="15" s="1"/>
  <c r="F101" i="15" s="1"/>
  <c r="G101" i="15" s="1"/>
  <c r="BX101" i="6" s="1"/>
  <c r="S91" i="15"/>
  <c r="R91" i="15" s="1"/>
  <c r="P91" i="15" s="1"/>
  <c r="S141" i="15"/>
  <c r="R141" i="15" s="1"/>
  <c r="P141" i="15" s="1"/>
  <c r="V141" i="15" s="1"/>
  <c r="F141" i="15" s="1"/>
  <c r="S106" i="15"/>
  <c r="R106" i="15" s="1"/>
  <c r="P106" i="15" s="1"/>
  <c r="V106" i="15" s="1"/>
  <c r="F106" i="15" s="1"/>
  <c r="S366" i="15"/>
  <c r="R366" i="15" s="1"/>
  <c r="P366" i="15" s="1"/>
  <c r="V366" i="15" s="1"/>
  <c r="F366" i="15" s="1"/>
  <c r="S210" i="15"/>
  <c r="R210" i="15" s="1"/>
  <c r="P210" i="15" s="1"/>
  <c r="S112" i="15"/>
  <c r="R112" i="15" s="1"/>
  <c r="P112" i="15" s="1"/>
  <c r="V112" i="15" s="1"/>
  <c r="F112" i="15" s="1"/>
  <c r="S308" i="15"/>
  <c r="R308" i="15" s="1"/>
  <c r="P308" i="15" s="1"/>
  <c r="V308" i="15" s="1"/>
  <c r="F308" i="15" s="1"/>
  <c r="S323" i="15"/>
  <c r="R323" i="15" s="1"/>
  <c r="P323" i="15" s="1"/>
  <c r="V323" i="15" s="1"/>
  <c r="F323" i="15" s="1"/>
  <c r="S299" i="15"/>
  <c r="R299" i="15" s="1"/>
  <c r="P299" i="15" s="1"/>
  <c r="V299" i="15" s="1"/>
  <c r="F299" i="15" s="1"/>
  <c r="G299" i="15" s="1"/>
  <c r="BX299" i="6" s="1"/>
  <c r="S159" i="15"/>
  <c r="R159" i="15" s="1"/>
  <c r="P159" i="15" s="1"/>
  <c r="V159" i="15" s="1"/>
  <c r="F159" i="15" s="1"/>
  <c r="AA159" i="15" s="1"/>
  <c r="Z159" i="15" s="1"/>
  <c r="Y159" i="15" s="1"/>
  <c r="S360" i="15"/>
  <c r="R360" i="15" s="1"/>
  <c r="P360" i="15" s="1"/>
  <c r="V360" i="15" s="1"/>
  <c r="F360" i="15" s="1"/>
  <c r="S65" i="15"/>
  <c r="R65" i="15" s="1"/>
  <c r="P65" i="15" s="1"/>
  <c r="V65" i="15" s="1"/>
  <c r="F65" i="15" s="1"/>
  <c r="S164" i="15"/>
  <c r="R164" i="15" s="1"/>
  <c r="P164" i="15" s="1"/>
  <c r="V164" i="15" s="1"/>
  <c r="F164" i="15" s="1"/>
  <c r="S256" i="15"/>
  <c r="R256" i="15" s="1"/>
  <c r="P256" i="15" s="1"/>
  <c r="S117" i="15"/>
  <c r="R117" i="15" s="1"/>
  <c r="P117" i="15" s="1"/>
  <c r="V117" i="15" s="1"/>
  <c r="F117" i="15" s="1"/>
  <c r="S104" i="15"/>
  <c r="R104" i="15" s="1"/>
  <c r="P104" i="15" s="1"/>
  <c r="V104" i="15" s="1"/>
  <c r="F104" i="15" s="1"/>
  <c r="S26" i="15"/>
  <c r="R26" i="15" s="1"/>
  <c r="P26" i="15" s="1"/>
  <c r="P69" i="15"/>
  <c r="V69" i="15" s="1"/>
  <c r="F69" i="15" s="1"/>
  <c r="P361" i="15"/>
  <c r="V361" i="15" s="1"/>
  <c r="F361" i="15" s="1"/>
  <c r="H361" i="15" s="1"/>
  <c r="I361" i="15" s="1"/>
  <c r="P66" i="15"/>
  <c r="V66" i="15" s="1"/>
  <c r="F66" i="15" s="1"/>
  <c r="G66" i="15" s="1"/>
  <c r="BX66" i="6" s="1"/>
  <c r="P213" i="15"/>
  <c r="V213" i="15" s="1"/>
  <c r="F213" i="15" s="1"/>
  <c r="P286" i="15"/>
  <c r="V286" i="15" s="1"/>
  <c r="F286" i="15" s="1"/>
  <c r="G286" i="15" s="1"/>
  <c r="BX286" i="6" s="1"/>
  <c r="V363" i="15"/>
  <c r="F363" i="15" s="1"/>
  <c r="AD121" i="15"/>
  <c r="AD268" i="15"/>
  <c r="AD223" i="15"/>
  <c r="AD348" i="15"/>
  <c r="AD372" i="15"/>
  <c r="AD95" i="15"/>
  <c r="AD164" i="15"/>
  <c r="S75" i="15"/>
  <c r="R75" i="15" s="1"/>
  <c r="P75" i="15" s="1"/>
  <c r="P304" i="15"/>
  <c r="V304" i="15" s="1"/>
  <c r="F304" i="15" s="1"/>
  <c r="G304" i="15" s="1"/>
  <c r="BX304" i="6" s="1"/>
  <c r="P298" i="15"/>
  <c r="V298" i="15" s="1"/>
  <c r="F298" i="15" s="1"/>
  <c r="G298" i="15" s="1"/>
  <c r="BX298" i="6" s="1"/>
  <c r="P205" i="15"/>
  <c r="V205" i="15" s="1"/>
  <c r="F205" i="15" s="1"/>
  <c r="G205" i="15" s="1"/>
  <c r="BX205" i="6" s="1"/>
  <c r="P303" i="15"/>
  <c r="V303" i="15" s="1"/>
  <c r="F303" i="15" s="1"/>
  <c r="G303" i="15" s="1"/>
  <c r="BX303" i="6" s="1"/>
  <c r="P375" i="15"/>
  <c r="V375" i="15" s="1"/>
  <c r="F375" i="15" s="1"/>
  <c r="G375" i="15" s="1"/>
  <c r="BX375" i="6" s="1"/>
  <c r="AD199" i="15"/>
  <c r="AA199" i="15" s="1"/>
  <c r="Z199" i="15" s="1"/>
  <c r="Y199" i="15" s="1"/>
  <c r="AD131" i="15"/>
  <c r="AA131" i="15" s="1"/>
  <c r="Z131" i="15" s="1"/>
  <c r="Y131" i="15" s="1"/>
  <c r="AD143" i="15"/>
  <c r="AD376" i="15"/>
  <c r="AD37" i="15"/>
  <c r="AA37" i="15" s="1"/>
  <c r="Z37" i="15" s="1"/>
  <c r="Y37" i="15" s="1"/>
  <c r="AD146" i="15"/>
  <c r="AD174" i="15"/>
  <c r="AA174" i="15" s="1"/>
  <c r="Z174" i="15" s="1"/>
  <c r="Y174" i="15" s="1"/>
  <c r="AD320" i="15"/>
  <c r="AA320" i="15" s="1"/>
  <c r="Z320" i="15" s="1"/>
  <c r="Y320" i="15" s="1"/>
  <c r="J318" i="15"/>
  <c r="H45" i="15"/>
  <c r="J45" i="15" s="1"/>
  <c r="I72" i="15"/>
  <c r="H306" i="15"/>
  <c r="I306" i="15" s="1"/>
  <c r="G189" i="15"/>
  <c r="BX189" i="6" s="1"/>
  <c r="I185" i="15"/>
  <c r="H191" i="15"/>
  <c r="J191" i="15" s="1"/>
  <c r="AA307" i="15"/>
  <c r="Z307" i="15" s="1"/>
  <c r="Y307" i="15" s="1"/>
  <c r="H305" i="15"/>
  <c r="J305" i="15" s="1"/>
  <c r="G40" i="15"/>
  <c r="BX40" i="6" s="1"/>
  <c r="AA40" i="15"/>
  <c r="Z40" i="15" s="1"/>
  <c r="Y40" i="15" s="1"/>
  <c r="H347" i="15"/>
  <c r="I347" i="15" s="1"/>
  <c r="G347" i="15"/>
  <c r="BX347" i="6" s="1"/>
  <c r="H277" i="15"/>
  <c r="J277" i="15" s="1"/>
  <c r="AA277" i="15"/>
  <c r="Z277" i="15" s="1"/>
  <c r="Y277" i="15" s="1"/>
  <c r="G317" i="15"/>
  <c r="BX317" i="6" s="1"/>
  <c r="H317" i="15"/>
  <c r="I317" i="15" s="1"/>
  <c r="F302" i="15"/>
  <c r="H302" i="15" s="1"/>
  <c r="I302" i="15" s="1"/>
  <c r="H307" i="15"/>
  <c r="J307" i="15" s="1"/>
  <c r="J322" i="15"/>
  <c r="I322" i="15"/>
  <c r="H295" i="15"/>
  <c r="J295" i="15" s="1"/>
  <c r="F60" i="15"/>
  <c r="H60" i="15" s="1"/>
  <c r="AA295" i="15"/>
  <c r="Z295" i="15" s="1"/>
  <c r="Y295" i="15" s="1"/>
  <c r="G37" i="15"/>
  <c r="BX37" i="6" s="1"/>
  <c r="H50" i="15"/>
  <c r="J50" i="15" s="1"/>
  <c r="AA343" i="15"/>
  <c r="Z343" i="15" s="1"/>
  <c r="Y343" i="15" s="1"/>
  <c r="H343" i="15"/>
  <c r="J343" i="15" s="1"/>
  <c r="H197" i="15"/>
  <c r="J197" i="15" s="1"/>
  <c r="AA338" i="15"/>
  <c r="Z338" i="15" s="1"/>
  <c r="Y338" i="15" s="1"/>
  <c r="G72" i="15"/>
  <c r="BX72" i="6" s="1"/>
  <c r="G318" i="15"/>
  <c r="BX318" i="6" s="1"/>
  <c r="G185" i="15"/>
  <c r="BX185" i="6" s="1"/>
  <c r="G61" i="15"/>
  <c r="BX61" i="6" s="1"/>
  <c r="H61" i="15"/>
  <c r="H229" i="15"/>
  <c r="G229" i="15"/>
  <c r="BX229" i="6" s="1"/>
  <c r="O9" i="25"/>
  <c r="AJ9" i="16"/>
  <c r="AJ11" i="16" s="1"/>
  <c r="H225" i="15"/>
  <c r="G225" i="15"/>
  <c r="BX225" i="6" s="1"/>
  <c r="O11" i="23"/>
  <c r="AC12" i="23"/>
  <c r="AC9" i="23"/>
  <c r="O12" i="23"/>
  <c r="E241" i="16"/>
  <c r="C51" i="7"/>
  <c r="AC10" i="18"/>
  <c r="AC301" i="18" s="1"/>
  <c r="AC170" i="17"/>
  <c r="AC163" i="17"/>
  <c r="AC231" i="17"/>
  <c r="AC273" i="17"/>
  <c r="AC201" i="17"/>
  <c r="AC261" i="17"/>
  <c r="AC297" i="17"/>
  <c r="AC374" i="17"/>
  <c r="AC363" i="17"/>
  <c r="AC143" i="17"/>
  <c r="AC139" i="17"/>
  <c r="AC209" i="17"/>
  <c r="AC304" i="17"/>
  <c r="AC239" i="17"/>
  <c r="AC339" i="17"/>
  <c r="AC358" i="17"/>
  <c r="AC172" i="17"/>
  <c r="AC179" i="17"/>
  <c r="AC235" i="17"/>
  <c r="AC292" i="17"/>
  <c r="AC207" i="17"/>
  <c r="AC271" i="17"/>
  <c r="AC326" i="17"/>
  <c r="AC309" i="17"/>
  <c r="AC322" i="17"/>
  <c r="AC151" i="17"/>
  <c r="AC156" i="17"/>
  <c r="AC226" i="17"/>
  <c r="AC186" i="17"/>
  <c r="AC251" i="17"/>
  <c r="AC355" i="17"/>
  <c r="AC313" i="17"/>
  <c r="AC178" i="17"/>
  <c r="AC168" i="17"/>
  <c r="AC234" i="17"/>
  <c r="AC290" i="17"/>
  <c r="AC205" i="17"/>
  <c r="AC264" i="17"/>
  <c r="AC325" i="17"/>
  <c r="AC379" i="17"/>
  <c r="AC372" i="17"/>
  <c r="AC149" i="17"/>
  <c r="AC150" i="17"/>
  <c r="AC215" i="17"/>
  <c r="AC308" i="17"/>
  <c r="AC245" i="17"/>
  <c r="AC354" i="17"/>
  <c r="AC378" i="17"/>
  <c r="AC169" i="17"/>
  <c r="AC165" i="17"/>
  <c r="AC232" i="17"/>
  <c r="AC278" i="17"/>
  <c r="AC204" i="17"/>
  <c r="AC263" i="17"/>
  <c r="AC324" i="17"/>
  <c r="AC377" i="17"/>
  <c r="AC370" i="17"/>
  <c r="AC145" i="17"/>
  <c r="AC144" i="17"/>
  <c r="AC213" i="17"/>
  <c r="AC306" i="17"/>
  <c r="AC242" i="17"/>
  <c r="AC352" i="17"/>
  <c r="AC369" i="17"/>
  <c r="AC337" i="17"/>
  <c r="AC159" i="17"/>
  <c r="AC196" i="17"/>
  <c r="AC364" i="17"/>
  <c r="AC148" i="17"/>
  <c r="AC146" i="17"/>
  <c r="AC222" i="17"/>
  <c r="AC258" i="17"/>
  <c r="AC194" i="17"/>
  <c r="AC249" i="17"/>
  <c r="AC289" i="17"/>
  <c r="AC357" i="17"/>
  <c r="AC348" i="17"/>
  <c r="AC133" i="17"/>
  <c r="AC177" i="17"/>
  <c r="AC187" i="17"/>
  <c r="AC270" i="17"/>
  <c r="AC219" i="17"/>
  <c r="AC319" i="17"/>
  <c r="AC310" i="17"/>
  <c r="AC155" i="17"/>
  <c r="AC153" i="17"/>
  <c r="AC227" i="17"/>
  <c r="AC272" i="17"/>
  <c r="AC200" i="17"/>
  <c r="AC260" i="17"/>
  <c r="AC295" i="17"/>
  <c r="AC368" i="17"/>
  <c r="AC356" i="17"/>
  <c r="AC142" i="17"/>
  <c r="AC132" i="17"/>
  <c r="AC191" i="17"/>
  <c r="AC284" i="17"/>
  <c r="AC230" i="17"/>
  <c r="AC338" i="17"/>
  <c r="AC331" i="17"/>
  <c r="AC160" i="17"/>
  <c r="AC152" i="17"/>
  <c r="AC224" i="17"/>
  <c r="AC269" i="17"/>
  <c r="AC197" i="17"/>
  <c r="AC259" i="17"/>
  <c r="AC294" i="17"/>
  <c r="AC366" i="17"/>
  <c r="AC353" i="17"/>
  <c r="AC137" i="17"/>
  <c r="AC128" i="17"/>
  <c r="AC189" i="17"/>
  <c r="AC277" i="17"/>
  <c r="AC229" i="17"/>
  <c r="AC329" i="17"/>
  <c r="AC320" i="17"/>
  <c r="AC141" i="17"/>
  <c r="AC147" i="17"/>
  <c r="AC223" i="17"/>
  <c r="AC265" i="17"/>
  <c r="AC195" i="17"/>
  <c r="AC252" i="17"/>
  <c r="AC332" i="17"/>
  <c r="AC323" i="17"/>
  <c r="AC136" i="17"/>
  <c r="AC188" i="17"/>
  <c r="AC228" i="17"/>
  <c r="AC312" i="17"/>
  <c r="AC39" i="18"/>
  <c r="AC66" i="18"/>
  <c r="AC58" i="18"/>
  <c r="AC70" i="18"/>
  <c r="AC41" i="18"/>
  <c r="AC16" i="18"/>
  <c r="AC61" i="18"/>
  <c r="AC73" i="18"/>
  <c r="AC59" i="18"/>
  <c r="AC33" i="18"/>
  <c r="AC40" i="18"/>
  <c r="AC281" i="18"/>
  <c r="AC21" i="18"/>
  <c r="AC53" i="18"/>
  <c r="AC19" i="18"/>
  <c r="AC54" i="18"/>
  <c r="AC23" i="18"/>
  <c r="AC55" i="18"/>
  <c r="AC28" i="18"/>
  <c r="AC62" i="18"/>
  <c r="AC25" i="18"/>
  <c r="AC56" i="18"/>
  <c r="AC72" i="18"/>
  <c r="AC32" i="18"/>
  <c r="AC63" i="18"/>
  <c r="AC43" i="18"/>
  <c r="AC20" i="18"/>
  <c r="AC65" i="18"/>
  <c r="AC36" i="18"/>
  <c r="AC34" i="18"/>
  <c r="AC42" i="18"/>
  <c r="AC130" i="17"/>
  <c r="AC124" i="17"/>
  <c r="AC206" i="17"/>
  <c r="AC244" i="17"/>
  <c r="AC302" i="17"/>
  <c r="AC233" i="17"/>
  <c r="AC283" i="17"/>
  <c r="AC341" i="17"/>
  <c r="AC333" i="17"/>
  <c r="AC318" i="17"/>
  <c r="AC166" i="17"/>
  <c r="AC171" i="17"/>
  <c r="AC262" i="17"/>
  <c r="AC211" i="17"/>
  <c r="AC291" i="17"/>
  <c r="AC371" i="17"/>
  <c r="AC131" i="17"/>
  <c r="AC140" i="17"/>
  <c r="AC220" i="17"/>
  <c r="AC257" i="17"/>
  <c r="AC307" i="17"/>
  <c r="AC248" i="17"/>
  <c r="AC288" i="17"/>
  <c r="AC351" i="17"/>
  <c r="AC346" i="17"/>
  <c r="AC125" i="17"/>
  <c r="AC176" i="17"/>
  <c r="AC185" i="17"/>
  <c r="AC268" i="17"/>
  <c r="AC218" i="17"/>
  <c r="AC315" i="17"/>
  <c r="AC376" i="17"/>
  <c r="AC135" i="17"/>
  <c r="AC138" i="17"/>
  <c r="AC217" i="17"/>
  <c r="AC253" i="17"/>
  <c r="AC305" i="17"/>
  <c r="AC247" i="17"/>
  <c r="AC287" i="17"/>
  <c r="AC349" i="17"/>
  <c r="AC344" i="17"/>
  <c r="AC359" i="17"/>
  <c r="AC174" i="17"/>
  <c r="AC180" i="17"/>
  <c r="AC267" i="17"/>
  <c r="AC214" i="17"/>
  <c r="AC314" i="17"/>
  <c r="AC375" i="17"/>
  <c r="AC129" i="17"/>
  <c r="AC134" i="17"/>
  <c r="AC208" i="17"/>
  <c r="AC250" i="17"/>
  <c r="AC303" i="17"/>
  <c r="AC240" i="17"/>
  <c r="AC285" i="17"/>
  <c r="AC342" i="17"/>
  <c r="AC340" i="17"/>
  <c r="AC345" i="17"/>
  <c r="AC173" i="17"/>
  <c r="AC175" i="17"/>
  <c r="AC266" i="17"/>
  <c r="AC212" i="17"/>
  <c r="AC296" i="17"/>
  <c r="AC373" i="17"/>
  <c r="AC280" i="17"/>
  <c r="AC158" i="17"/>
  <c r="AC246" i="17"/>
  <c r="AC274" i="17"/>
  <c r="AC317" i="17"/>
  <c r="AC182" i="17"/>
  <c r="AC192" i="17"/>
  <c r="AC236" i="17"/>
  <c r="AC298" i="17"/>
  <c r="AC210" i="17"/>
  <c r="AC275" i="17"/>
  <c r="AC327" i="17"/>
  <c r="AC311" i="17"/>
  <c r="AC335" i="17"/>
  <c r="AC154" i="17"/>
  <c r="AC157" i="17"/>
  <c r="AC237" i="17"/>
  <c r="AC190" i="17"/>
  <c r="AC256" i="17"/>
  <c r="AC362" i="17"/>
  <c r="AC360" i="17"/>
  <c r="AC183" i="17"/>
  <c r="AC202" i="17"/>
  <c r="AC243" i="17"/>
  <c r="AC301" i="17"/>
  <c r="AC225" i="17"/>
  <c r="AC282" i="17"/>
  <c r="AC336" i="17"/>
  <c r="AC330" i="17"/>
  <c r="AC316" i="17"/>
  <c r="AC162" i="17"/>
  <c r="AC167" i="17"/>
  <c r="AC255" i="17"/>
  <c r="AC203" i="17"/>
  <c r="AC286" i="17"/>
  <c r="AC367" i="17"/>
  <c r="AC127" i="17"/>
  <c r="AC184" i="17"/>
  <c r="AC199" i="17"/>
  <c r="AC241" i="17"/>
  <c r="AC300" i="17"/>
  <c r="AC221" i="17"/>
  <c r="AC281" i="17"/>
  <c r="AC334" i="17"/>
  <c r="AC328" i="17"/>
  <c r="AC347" i="17"/>
  <c r="AC161" i="17"/>
  <c r="AC164" i="17"/>
  <c r="AC254" i="17"/>
  <c r="AC198" i="17"/>
  <c r="AC279" i="17"/>
  <c r="AC365" i="17"/>
  <c r="AC343" i="17"/>
  <c r="AC181" i="17"/>
  <c r="AC193" i="17"/>
  <c r="AC238" i="17"/>
  <c r="AC299" i="17"/>
  <c r="AC216" i="17"/>
  <c r="AC293" i="17"/>
  <c r="AC361" i="17"/>
  <c r="AC350" i="17"/>
  <c r="AC126" i="17"/>
  <c r="AC276" i="17"/>
  <c r="AC321" i="17"/>
  <c r="AC17" i="18"/>
  <c r="AC44" i="18"/>
  <c r="AC221" i="18"/>
  <c r="AC18" i="18"/>
  <c r="AC46" i="18"/>
  <c r="AC15" i="18"/>
  <c r="AC47" i="18"/>
  <c r="AC141" i="18"/>
  <c r="AC24" i="18"/>
  <c r="AC49" i="18"/>
  <c r="AC108" i="18"/>
  <c r="AC35" i="18"/>
  <c r="AC60" i="18"/>
  <c r="AC38" i="18"/>
  <c r="AC71" i="18"/>
  <c r="AC258" i="18"/>
  <c r="AC45" i="18"/>
  <c r="AC181" i="18"/>
  <c r="AC26" i="18"/>
  <c r="AC67" i="18"/>
  <c r="AC149" i="18"/>
  <c r="AC48" i="18"/>
  <c r="AC92" i="18"/>
  <c r="AC27" i="18"/>
  <c r="AC68" i="18"/>
  <c r="AC273" i="18"/>
  <c r="AC57" i="18"/>
  <c r="AC186" i="18"/>
  <c r="AC29" i="18"/>
  <c r="AC37" i="18"/>
  <c r="AC156" i="18"/>
  <c r="AC22" i="18"/>
  <c r="AC50" i="18"/>
  <c r="AC110" i="18"/>
  <c r="AC30" i="18"/>
  <c r="AC51" i="18"/>
  <c r="AC122" i="18"/>
  <c r="AC298" i="18"/>
  <c r="AC31" i="18"/>
  <c r="AC64" i="18"/>
  <c r="AC223" i="18"/>
  <c r="AC52" i="18"/>
  <c r="AC69" i="18"/>
  <c r="AC251" i="18"/>
  <c r="C47" i="7"/>
  <c r="E119" i="16"/>
  <c r="E210" i="16"/>
  <c r="C50" i="7"/>
  <c r="E149" i="16"/>
  <c r="C48" i="7"/>
  <c r="E272" i="16"/>
  <c r="C52" i="7"/>
  <c r="E119" i="17"/>
  <c r="C59" i="7"/>
  <c r="C56" i="7"/>
  <c r="E29" i="17"/>
  <c r="E383" i="15"/>
  <c r="AK8" i="15"/>
  <c r="E9" i="15"/>
  <c r="E11" i="15" s="1"/>
  <c r="E381" i="15"/>
  <c r="AJ10" i="15"/>
  <c r="AJ12" i="15" s="1"/>
  <c r="AJ13" i="15" s="1"/>
  <c r="E382" i="15"/>
  <c r="AC382" i="16"/>
  <c r="AC381" i="16"/>
  <c r="AC383" i="16"/>
  <c r="G203" i="15"/>
  <c r="BX203" i="6" s="1"/>
  <c r="H203" i="15"/>
  <c r="G74" i="15"/>
  <c r="BX74" i="6" s="1"/>
  <c r="H74" i="15"/>
  <c r="AJ20" i="24"/>
  <c r="AJ30" i="24"/>
  <c r="AJ21" i="24"/>
  <c r="AJ32" i="24"/>
  <c r="AJ41" i="24"/>
  <c r="AJ48" i="24"/>
  <c r="AJ52" i="24"/>
  <c r="AJ64" i="24"/>
  <c r="AJ39" i="24"/>
  <c r="AJ45" i="24"/>
  <c r="AJ56" i="24"/>
  <c r="AJ63" i="24"/>
  <c r="AJ72" i="24"/>
  <c r="AJ78" i="24"/>
  <c r="AJ85" i="24"/>
  <c r="AJ91" i="24"/>
  <c r="AJ99" i="24"/>
  <c r="AJ104" i="24"/>
  <c r="AJ119" i="24"/>
  <c r="AJ124" i="24"/>
  <c r="AJ71" i="24"/>
  <c r="AJ82" i="24"/>
  <c r="AJ92" i="24"/>
  <c r="AJ101" i="24"/>
  <c r="AJ109" i="24"/>
  <c r="AJ117" i="24"/>
  <c r="AJ130" i="24"/>
  <c r="AJ137" i="24"/>
  <c r="AJ141" i="24"/>
  <c r="AJ151" i="24"/>
  <c r="AJ163" i="24"/>
  <c r="AJ171" i="24"/>
  <c r="AJ112" i="24"/>
  <c r="AJ128" i="24"/>
  <c r="AJ135" i="24"/>
  <c r="AJ145" i="24"/>
  <c r="AJ153" i="24"/>
  <c r="AJ157" i="24"/>
  <c r="AJ166" i="24"/>
  <c r="AJ176" i="24"/>
  <c r="AJ183" i="24"/>
  <c r="AJ195" i="24"/>
  <c r="AJ202" i="24"/>
  <c r="AJ213" i="24"/>
  <c r="AJ225" i="24"/>
  <c r="AJ237" i="24"/>
  <c r="AJ243" i="24"/>
  <c r="AJ251" i="24"/>
  <c r="AJ255" i="24"/>
  <c r="AJ262" i="24"/>
  <c r="AJ271" i="24"/>
  <c r="AJ276" i="24"/>
  <c r="AJ283" i="24"/>
  <c r="AJ291" i="24"/>
  <c r="AJ296" i="24"/>
  <c r="AJ180" i="24"/>
  <c r="AJ186" i="24"/>
  <c r="AJ191" i="24"/>
  <c r="AJ199" i="24"/>
  <c r="AJ209" i="24"/>
  <c r="AJ214" i="24"/>
  <c r="AJ220" i="24"/>
  <c r="AJ226" i="24"/>
  <c r="AJ231" i="24"/>
  <c r="AJ239" i="24"/>
  <c r="AJ246" i="24"/>
  <c r="AJ261" i="24"/>
  <c r="AJ269" i="24"/>
  <c r="AJ281" i="24"/>
  <c r="AJ287" i="24"/>
  <c r="AJ302" i="24"/>
  <c r="AJ308" i="24"/>
  <c r="AJ320" i="24"/>
  <c r="AJ326" i="24"/>
  <c r="AJ334" i="24"/>
  <c r="AJ350" i="24"/>
  <c r="AJ359" i="24"/>
  <c r="AJ371" i="24"/>
  <c r="AJ309" i="24"/>
  <c r="AJ328" i="24"/>
  <c r="AJ339" i="24"/>
  <c r="AJ357" i="24"/>
  <c r="AJ374" i="24"/>
  <c r="AJ318" i="24"/>
  <c r="AJ349" i="24"/>
  <c r="AJ360" i="24"/>
  <c r="AJ373" i="24"/>
  <c r="AJ327" i="24"/>
  <c r="AJ341" i="24"/>
  <c r="AJ378" i="24"/>
  <c r="AJ15" i="24"/>
  <c r="AJ19" i="24"/>
  <c r="AJ28" i="24"/>
  <c r="AJ18" i="24"/>
  <c r="AJ29" i="24"/>
  <c r="AJ27" i="24"/>
  <c r="AJ38" i="24"/>
  <c r="AJ47" i="24"/>
  <c r="AJ51" i="24"/>
  <c r="AJ60" i="24"/>
  <c r="AJ37" i="24"/>
  <c r="AJ43" i="24"/>
  <c r="AJ55" i="24"/>
  <c r="AJ62" i="24"/>
  <c r="AJ69" i="24"/>
  <c r="AJ76" i="24"/>
  <c r="AJ84" i="24"/>
  <c r="AJ89" i="24"/>
  <c r="AJ97" i="24"/>
  <c r="AJ103" i="24"/>
  <c r="AJ116" i="24"/>
  <c r="AJ122" i="24"/>
  <c r="AJ70" i="24"/>
  <c r="AJ80" i="24"/>
  <c r="AJ90" i="24"/>
  <c r="AJ98" i="24"/>
  <c r="AJ108" i="24"/>
  <c r="AJ114" i="24"/>
  <c r="AJ127" i="24"/>
  <c r="AJ136" i="24"/>
  <c r="AJ140" i="24"/>
  <c r="AJ150" i="24"/>
  <c r="AJ161" i="24"/>
  <c r="AJ170" i="24"/>
  <c r="AJ175" i="24"/>
  <c r="AJ126" i="24"/>
  <c r="AJ133" i="24"/>
  <c r="AJ144" i="24"/>
  <c r="AJ152" i="24"/>
  <c r="AJ156" i="24"/>
  <c r="AJ165" i="24"/>
  <c r="AJ172" i="24"/>
  <c r="AJ182" i="24"/>
  <c r="AJ193" i="24"/>
  <c r="AJ201" i="24"/>
  <c r="AJ208" i="24"/>
  <c r="AJ221" i="24"/>
  <c r="AJ235" i="24"/>
  <c r="AJ242" i="24"/>
  <c r="AJ250" i="24"/>
  <c r="AJ254" i="24"/>
  <c r="AJ260" i="24"/>
  <c r="AJ265" i="24"/>
  <c r="AJ274" i="24"/>
  <c r="AJ280" i="24"/>
  <c r="AJ290" i="24"/>
  <c r="AJ295" i="24"/>
  <c r="AJ179" i="24"/>
  <c r="AJ185" i="24"/>
  <c r="AJ190" i="24"/>
  <c r="AJ197" i="24"/>
  <c r="AJ207" i="24"/>
  <c r="AJ212" i="24"/>
  <c r="AJ218" i="24"/>
  <c r="AJ224" i="24"/>
  <c r="AJ230" i="24"/>
  <c r="AJ236" i="24"/>
  <c r="AJ245" i="24"/>
  <c r="AJ259" i="24"/>
  <c r="AJ268" i="24"/>
  <c r="AJ277" i="24"/>
  <c r="AJ285" i="24"/>
  <c r="AJ301" i="24"/>
  <c r="AJ307" i="24"/>
  <c r="AJ313" i="24"/>
  <c r="AJ325" i="24"/>
  <c r="AJ333" i="24"/>
  <c r="AJ343" i="24"/>
  <c r="AJ356" i="24"/>
  <c r="AJ370" i="24"/>
  <c r="AJ306" i="24"/>
  <c r="AJ322" i="24"/>
  <c r="AJ338" i="24"/>
  <c r="AJ351" i="24"/>
  <c r="AJ368" i="24"/>
  <c r="AJ317" i="24"/>
  <c r="AJ348" i="24"/>
  <c r="AJ358" i="24"/>
  <c r="AJ369" i="24"/>
  <c r="AJ319" i="24"/>
  <c r="AJ336" i="24"/>
  <c r="AJ372" i="24"/>
  <c r="AJ377" i="24"/>
  <c r="AJ380" i="24"/>
  <c r="AJ17" i="24"/>
  <c r="AJ23" i="24"/>
  <c r="F7" i="24"/>
  <c r="AJ26" i="24"/>
  <c r="AJ25" i="24"/>
  <c r="AJ35" i="24"/>
  <c r="AJ46" i="24"/>
  <c r="AJ50" i="24"/>
  <c r="AJ58" i="24"/>
  <c r="AJ36" i="24"/>
  <c r="AJ42" i="24"/>
  <c r="AJ54" i="24"/>
  <c r="AJ61" i="24"/>
  <c r="AJ68" i="24"/>
  <c r="AJ74" i="24"/>
  <c r="AJ81" i="24"/>
  <c r="AJ88" i="24"/>
  <c r="AJ96" i="24"/>
  <c r="AJ102" i="24"/>
  <c r="AJ113" i="24"/>
  <c r="AJ121" i="24"/>
  <c r="AJ67" i="24"/>
  <c r="AJ77" i="24"/>
  <c r="AJ86" i="24"/>
  <c r="AJ95" i="24"/>
  <c r="AJ106" i="24"/>
  <c r="AJ111" i="24"/>
  <c r="AJ125" i="24"/>
  <c r="AJ134" i="24"/>
  <c r="AJ139" i="24"/>
  <c r="AJ148" i="24"/>
  <c r="AJ159" i="24"/>
  <c r="AJ169" i="24"/>
  <c r="AJ174" i="24"/>
  <c r="AJ118" i="24"/>
  <c r="AJ131" i="24"/>
  <c r="AJ143" i="24"/>
  <c r="AJ149" i="24"/>
  <c r="AJ155" i="24"/>
  <c r="AJ162" i="24"/>
  <c r="AJ168" i="24"/>
  <c r="AJ178" i="24"/>
  <c r="AJ192" i="24"/>
  <c r="AJ200" i="24"/>
  <c r="AJ206" i="24"/>
  <c r="AJ219" i="24"/>
  <c r="AJ232" i="24"/>
  <c r="AJ240" i="24"/>
  <c r="AJ248" i="24"/>
  <c r="AJ253" i="24"/>
  <c r="AJ258" i="24"/>
  <c r="AJ264" i="24"/>
  <c r="AJ273" i="24"/>
  <c r="AJ279" i="24"/>
  <c r="AJ289" i="24"/>
  <c r="AJ293" i="24"/>
  <c r="AJ298" i="24"/>
  <c r="AJ184" i="24"/>
  <c r="AJ189" i="24"/>
  <c r="AJ196" i="24"/>
  <c r="AJ205" i="24"/>
  <c r="AJ211" i="24"/>
  <c r="AJ217" i="24"/>
  <c r="AJ223" i="24"/>
  <c r="AJ229" i="24"/>
  <c r="AJ234" i="24"/>
  <c r="AJ244" i="24"/>
  <c r="AJ256" i="24"/>
  <c r="AJ267" i="24"/>
  <c r="AJ275" i="24"/>
  <c r="AJ284" i="24"/>
  <c r="AJ300" i="24"/>
  <c r="AJ305" i="24"/>
  <c r="AJ312" i="24"/>
  <c r="AJ324" i="24"/>
  <c r="AJ331" i="24"/>
  <c r="AJ342" i="24"/>
  <c r="AJ355" i="24"/>
  <c r="AJ366" i="24"/>
  <c r="AJ303" i="24"/>
  <c r="AJ315" i="24"/>
  <c r="AJ337" i="24"/>
  <c r="AJ346" i="24"/>
  <c r="AJ365" i="24"/>
  <c r="AJ316" i="24"/>
  <c r="AJ347" i="24"/>
  <c r="AJ354" i="24"/>
  <c r="AJ367" i="24"/>
  <c r="AJ314" i="24"/>
  <c r="AJ332" i="24"/>
  <c r="AJ361" i="24"/>
  <c r="AJ375" i="24"/>
  <c r="AX13" i="7"/>
  <c r="AJ22" i="24"/>
  <c r="AJ31" i="24"/>
  <c r="AJ24" i="24"/>
  <c r="AJ16" i="24"/>
  <c r="AJ33" i="24"/>
  <c r="AJ44" i="24"/>
  <c r="AJ49" i="24"/>
  <c r="AJ57" i="24"/>
  <c r="AJ34" i="24"/>
  <c r="AJ40" i="24"/>
  <c r="AJ53" i="24"/>
  <c r="AJ59" i="24"/>
  <c r="AJ66" i="24"/>
  <c r="AJ73" i="24"/>
  <c r="AJ79" i="24"/>
  <c r="AJ87" i="24"/>
  <c r="AJ93" i="24"/>
  <c r="AJ100" i="24"/>
  <c r="AJ107" i="24"/>
  <c r="AJ120" i="24"/>
  <c r="AJ65" i="24"/>
  <c r="AJ75" i="24"/>
  <c r="AJ83" i="24"/>
  <c r="AJ94" i="24"/>
  <c r="AJ105" i="24"/>
  <c r="AJ110" i="24"/>
  <c r="AJ123" i="24"/>
  <c r="AJ132" i="24"/>
  <c r="AJ138" i="24"/>
  <c r="AJ147" i="24"/>
  <c r="AJ158" i="24"/>
  <c r="AJ164" i="24"/>
  <c r="AJ173" i="24"/>
  <c r="AJ115" i="24"/>
  <c r="AJ129" i="24"/>
  <c r="AJ142" i="24"/>
  <c r="AJ146" i="24"/>
  <c r="AJ154" i="24"/>
  <c r="AJ160" i="24"/>
  <c r="AJ167" i="24"/>
  <c r="AJ177" i="24"/>
  <c r="AJ187" i="24"/>
  <c r="AJ198" i="24"/>
  <c r="AJ203" i="24"/>
  <c r="AJ216" i="24"/>
  <c r="AJ227" i="24"/>
  <c r="AJ238" i="24"/>
  <c r="AJ247" i="24"/>
  <c r="AJ252" i="24"/>
  <c r="AJ257" i="24"/>
  <c r="AJ263" i="24"/>
  <c r="AJ272" i="24"/>
  <c r="AJ278" i="24"/>
  <c r="AJ286" i="24"/>
  <c r="AJ292" i="24"/>
  <c r="AJ297" i="24"/>
  <c r="AJ181" i="24"/>
  <c r="AJ188" i="24"/>
  <c r="AJ194" i="24"/>
  <c r="AJ204" i="24"/>
  <c r="AJ210" i="24"/>
  <c r="AJ215" i="24"/>
  <c r="AJ222" i="24"/>
  <c r="AJ228" i="24"/>
  <c r="AJ233" i="24"/>
  <c r="AJ241" i="24"/>
  <c r="AJ249" i="24"/>
  <c r="AJ266" i="24"/>
  <c r="AJ270" i="24"/>
  <c r="AJ282" i="24"/>
  <c r="AJ288" i="24"/>
  <c r="AJ304" i="24"/>
  <c r="AJ310" i="24"/>
  <c r="AJ321" i="24"/>
  <c r="AJ330" i="24"/>
  <c r="AJ340" i="24"/>
  <c r="AJ352" i="24"/>
  <c r="AJ364" i="24"/>
  <c r="AJ299" i="24"/>
  <c r="AJ311" i="24"/>
  <c r="AJ335" i="24"/>
  <c r="AJ344" i="24"/>
  <c r="AJ363" i="24"/>
  <c r="AJ376" i="24"/>
  <c r="AJ323" i="24"/>
  <c r="AJ353" i="24"/>
  <c r="AJ362" i="24"/>
  <c r="AJ294" i="24"/>
  <c r="AJ329" i="24"/>
  <c r="AJ345" i="24"/>
  <c r="AJ379" i="24"/>
  <c r="H353" i="15"/>
  <c r="H68" i="15"/>
  <c r="G68" i="15"/>
  <c r="BX68" i="6" s="1"/>
  <c r="G324" i="15"/>
  <c r="BX324" i="6" s="1"/>
  <c r="H324" i="15"/>
  <c r="E302" i="16"/>
  <c r="C53" i="7"/>
  <c r="C55" i="7"/>
  <c r="E363" i="16"/>
  <c r="E111" i="16"/>
  <c r="O382" i="16"/>
  <c r="O381" i="16"/>
  <c r="O383" i="16"/>
  <c r="E15" i="17"/>
  <c r="O383" i="17"/>
  <c r="O381" i="17"/>
  <c r="O382" i="17"/>
  <c r="C54" i="7"/>
  <c r="E333" i="16"/>
  <c r="E180" i="16"/>
  <c r="C49" i="7"/>
  <c r="E88" i="17"/>
  <c r="C58" i="7"/>
  <c r="E60" i="17"/>
  <c r="C57" i="7"/>
  <c r="AA353" i="15"/>
  <c r="Z353" i="15" s="1"/>
  <c r="Y353" i="15" s="1"/>
  <c r="I44" i="15"/>
  <c r="I41" i="15"/>
  <c r="J40" i="15"/>
  <c r="I62" i="15"/>
  <c r="J215" i="15"/>
  <c r="J188" i="15"/>
  <c r="I37" i="15"/>
  <c r="F382" i="1"/>
  <c r="J70" i="15"/>
  <c r="I189" i="15"/>
  <c r="AR15" i="7"/>
  <c r="P11" i="23"/>
  <c r="F8" i="22"/>
  <c r="AK17" i="22"/>
  <c r="AK15" i="22"/>
  <c r="AK20" i="22"/>
  <c r="AK24" i="22"/>
  <c r="AK26" i="22"/>
  <c r="AK29" i="22"/>
  <c r="AK33" i="22"/>
  <c r="AK22" i="22"/>
  <c r="AK30" i="22"/>
  <c r="AK31" i="22"/>
  <c r="AK35" i="22"/>
  <c r="AK44" i="22"/>
  <c r="AK47" i="22"/>
  <c r="AK54" i="22"/>
  <c r="AK58" i="22"/>
  <c r="AK60" i="22"/>
  <c r="AK64" i="22"/>
  <c r="AK36" i="22"/>
  <c r="AK38" i="22"/>
  <c r="AK41" i="22"/>
  <c r="AK43" i="22"/>
  <c r="AK48" i="22"/>
  <c r="AK50" i="22"/>
  <c r="AK52" i="22"/>
  <c r="AK56" i="22"/>
  <c r="AK63" i="22"/>
  <c r="AK67" i="22"/>
  <c r="AK70" i="22"/>
  <c r="AK77" i="22"/>
  <c r="AK80" i="22"/>
  <c r="AK88" i="22"/>
  <c r="AK90" i="22"/>
  <c r="AK92" i="22"/>
  <c r="AK95" i="22"/>
  <c r="AK99" i="22"/>
  <c r="AK104" i="22"/>
  <c r="AK108" i="22"/>
  <c r="AK114" i="22"/>
  <c r="AK116" i="22"/>
  <c r="AK121" i="22"/>
  <c r="AK126" i="22"/>
  <c r="AK68" i="22"/>
  <c r="AK72" i="22"/>
  <c r="AK75" i="22"/>
  <c r="AK79" i="22"/>
  <c r="AK83" i="22"/>
  <c r="AK85" i="22"/>
  <c r="AK87" i="22"/>
  <c r="AK96" i="22"/>
  <c r="AK100" i="22"/>
  <c r="AK102" i="22"/>
  <c r="AK109" i="22"/>
  <c r="AK111" i="22"/>
  <c r="AK118" i="22"/>
  <c r="AK122" i="22"/>
  <c r="AK128" i="22"/>
  <c r="AK131" i="22"/>
  <c r="AK134" i="22"/>
  <c r="AK137" i="22"/>
  <c r="AK142" i="22"/>
  <c r="AK149" i="22"/>
  <c r="AK151" i="22"/>
  <c r="AK154" i="22"/>
  <c r="AK158" i="22"/>
  <c r="AK161" i="22"/>
  <c r="AK164" i="22"/>
  <c r="AK167" i="22"/>
  <c r="AK169" i="22"/>
  <c r="AK174" i="22"/>
  <c r="AK107" i="22"/>
  <c r="AK124" i="22"/>
  <c r="AK133" i="22"/>
  <c r="AK138" i="22"/>
  <c r="AK141" i="22"/>
  <c r="AK144" i="22"/>
  <c r="AK146" i="22"/>
  <c r="AK152" i="22"/>
  <c r="AK157" i="22"/>
  <c r="AK162" i="22"/>
  <c r="AK170" i="22"/>
  <c r="AK173" i="22"/>
  <c r="AK177" i="22"/>
  <c r="AK179" i="22"/>
  <c r="AK181" i="22"/>
  <c r="AK184" i="22"/>
  <c r="AK187" i="22"/>
  <c r="AK192" i="22"/>
  <c r="AK195" i="22"/>
  <c r="AK197" i="22"/>
  <c r="AK206" i="22"/>
  <c r="AK210" i="22"/>
  <c r="AK214" i="22"/>
  <c r="AK217" i="22"/>
  <c r="AK222" i="22"/>
  <c r="AK226" i="22"/>
  <c r="AK229" i="22"/>
  <c r="AK231" i="22"/>
  <c r="AK235" i="22"/>
  <c r="AK240" i="22"/>
  <c r="AK242" i="22"/>
  <c r="AK244" i="22"/>
  <c r="AK247" i="22"/>
  <c r="AK251" i="22"/>
  <c r="AK253" i="22"/>
  <c r="AK257" i="22"/>
  <c r="AK259" i="22"/>
  <c r="AK261" i="22"/>
  <c r="AK266" i="22"/>
  <c r="AK270" i="22"/>
  <c r="AK273" i="22"/>
  <c r="AK281" i="22"/>
  <c r="AK290" i="22"/>
  <c r="AK292" i="22"/>
  <c r="AK298" i="22"/>
  <c r="AK183" i="22"/>
  <c r="AK188" i="22"/>
  <c r="AK191" i="22"/>
  <c r="AK198" i="22"/>
  <c r="AK200" i="22"/>
  <c r="AK203" i="22"/>
  <c r="AK205" i="22"/>
  <c r="AK209" i="22"/>
  <c r="AK213" i="22"/>
  <c r="AK219" i="22"/>
  <c r="AK221" i="22"/>
  <c r="AK225" i="22"/>
  <c r="AK233" i="22"/>
  <c r="AK237" i="22"/>
  <c r="AK239" i="22"/>
  <c r="AK248" i="22"/>
  <c r="AK254" i="22"/>
  <c r="AK262" i="22"/>
  <c r="AK265" i="22"/>
  <c r="AK269" i="22"/>
  <c r="AK274" i="22"/>
  <c r="AK276" i="22"/>
  <c r="AK279" i="22"/>
  <c r="AK282" i="22"/>
  <c r="AK285" i="22"/>
  <c r="AK287" i="22"/>
  <c r="AK289" i="22"/>
  <c r="AK296" i="22"/>
  <c r="AK301" i="22"/>
  <c r="AK308" i="22"/>
  <c r="AK316" i="22"/>
  <c r="AK325" i="22"/>
  <c r="AK330" i="22"/>
  <c r="AK332" i="22"/>
  <c r="AK336" i="22"/>
  <c r="AK341" i="22"/>
  <c r="AK346" i="22"/>
  <c r="AK349" i="22"/>
  <c r="AK354" i="22"/>
  <c r="AK357" i="22"/>
  <c r="AK359" i="22"/>
  <c r="AK362" i="22"/>
  <c r="AK373" i="22"/>
  <c r="AK375" i="22"/>
  <c r="AK297" i="22"/>
  <c r="AK306" i="22"/>
  <c r="AK318" i="22"/>
  <c r="AK329" i="22"/>
  <c r="AK334" i="22"/>
  <c r="AK339" i="22"/>
  <c r="AK345" i="22"/>
  <c r="AK351" i="22"/>
  <c r="AK364" i="22"/>
  <c r="AK369" i="22"/>
  <c r="AK378" i="22"/>
  <c r="AK305" i="22"/>
  <c r="AK311" i="22"/>
  <c r="AK322" i="22"/>
  <c r="AK340" i="22"/>
  <c r="AK350" i="22"/>
  <c r="AK365" i="22"/>
  <c r="AK376" i="22"/>
  <c r="AK379" i="22"/>
  <c r="AK307" i="22"/>
  <c r="AK314" i="22"/>
  <c r="AK317" i="22"/>
  <c r="AK327" i="22"/>
  <c r="AK353" i="22"/>
  <c r="AK367" i="22"/>
  <c r="AK16" i="22"/>
  <c r="AK21" i="22"/>
  <c r="AK27" i="22"/>
  <c r="AK18" i="22"/>
  <c r="AK28" i="22"/>
  <c r="AK40" i="22"/>
  <c r="AK53" i="22"/>
  <c r="AK59" i="22"/>
  <c r="AK66" i="22"/>
  <c r="AK39" i="22"/>
  <c r="AK46" i="22"/>
  <c r="AK51" i="22"/>
  <c r="AK62" i="22"/>
  <c r="AK69" i="22"/>
  <c r="AK78" i="22"/>
  <c r="AK89" i="22"/>
  <c r="AK94" i="22"/>
  <c r="AK103" i="22"/>
  <c r="AK113" i="22"/>
  <c r="AK120" i="22"/>
  <c r="AK127" i="22"/>
  <c r="AK73" i="22"/>
  <c r="AK81" i="22"/>
  <c r="AK86" i="22"/>
  <c r="AK98" i="22"/>
  <c r="AK105" i="22"/>
  <c r="AK117" i="22"/>
  <c r="AK123" i="22"/>
  <c r="AK132" i="22"/>
  <c r="AK139" i="22"/>
  <c r="AK150" i="22"/>
  <c r="AK155" i="22"/>
  <c r="AK163" i="22"/>
  <c r="AK168" i="22"/>
  <c r="AK176" i="22"/>
  <c r="AK129" i="22"/>
  <c r="AK140" i="22"/>
  <c r="AK145" i="22"/>
  <c r="AK156" i="22"/>
  <c r="AK166" i="22"/>
  <c r="AK175" i="22"/>
  <c r="AK180" i="22"/>
  <c r="AK185" i="22"/>
  <c r="AK194" i="22"/>
  <c r="AK201" i="22"/>
  <c r="AK211" i="22"/>
  <c r="AK218" i="22"/>
  <c r="AK228" i="22"/>
  <c r="AK232" i="22"/>
  <c r="AK241" i="22"/>
  <c r="AK246" i="22"/>
  <c r="AK252" i="22"/>
  <c r="AK258" i="22"/>
  <c r="AK264" i="22"/>
  <c r="AK271" i="22"/>
  <c r="AK284" i="22"/>
  <c r="AK294" i="22"/>
  <c r="AK186" i="22"/>
  <c r="AK193" i="22"/>
  <c r="AK202" i="22"/>
  <c r="AK208" i="22"/>
  <c r="AK216" i="22"/>
  <c r="AK224" i="22"/>
  <c r="AK234" i="22"/>
  <c r="AK245" i="22"/>
  <c r="AK256" i="22"/>
  <c r="AK267" i="22"/>
  <c r="AK275" i="22"/>
  <c r="AK280" i="22"/>
  <c r="AK286" i="22"/>
  <c r="AK293" i="22"/>
  <c r="AK302" i="22"/>
  <c r="AK323" i="22"/>
  <c r="AK331" i="22"/>
  <c r="AK338" i="22"/>
  <c r="AK347" i="22"/>
  <c r="AK356" i="22"/>
  <c r="AK361" i="22"/>
  <c r="AK374" i="22"/>
  <c r="AK300" i="22"/>
  <c r="AK319" i="22"/>
  <c r="AK337" i="22"/>
  <c r="AK348" i="22"/>
  <c r="AK366" i="22"/>
  <c r="AK304" i="22"/>
  <c r="AK321" i="22"/>
  <c r="AK343" i="22"/>
  <c r="AK372" i="22"/>
  <c r="AK380" i="22"/>
  <c r="AK315" i="22"/>
  <c r="AK328" i="22"/>
  <c r="AK370" i="22"/>
  <c r="P12" i="22"/>
  <c r="AK19" i="22"/>
  <c r="AK25" i="22"/>
  <c r="AK32" i="22"/>
  <c r="AK23" i="22"/>
  <c r="AK34" i="22"/>
  <c r="AK45" i="22"/>
  <c r="AK57" i="22"/>
  <c r="AK61" i="22"/>
  <c r="AK37" i="22"/>
  <c r="AK42" i="22"/>
  <c r="AK49" i="22"/>
  <c r="AK55" i="22"/>
  <c r="AK65" i="22"/>
  <c r="AK74" i="22"/>
  <c r="AK82" i="22"/>
  <c r="AK91" i="22"/>
  <c r="AK97" i="22"/>
  <c r="AK106" i="22"/>
  <c r="AK115" i="22"/>
  <c r="AK125" i="22"/>
  <c r="AK71" i="22"/>
  <c r="AK76" i="22"/>
  <c r="AK84" i="22"/>
  <c r="AK93" i="22"/>
  <c r="AK101" i="22"/>
  <c r="AK110" i="22"/>
  <c r="AK119" i="22"/>
  <c r="AK130" i="22"/>
  <c r="AK136" i="22"/>
  <c r="AK147" i="22"/>
  <c r="AK153" i="22"/>
  <c r="AK159" i="22"/>
  <c r="AK165" i="22"/>
  <c r="AK172" i="22"/>
  <c r="AK112" i="22"/>
  <c r="AK135" i="22"/>
  <c r="AK143" i="22"/>
  <c r="AK148" i="22"/>
  <c r="AK160" i="22"/>
  <c r="AK171" i="22"/>
  <c r="AK178" i="22"/>
  <c r="AK182" i="22"/>
  <c r="AK189" i="22"/>
  <c r="AK196" i="22"/>
  <c r="AK207" i="22"/>
  <c r="AK215" i="22"/>
  <c r="AK223" i="22"/>
  <c r="AK230" i="22"/>
  <c r="AK236" i="22"/>
  <c r="AK243" i="22"/>
  <c r="AK249" i="22"/>
  <c r="AK255" i="22"/>
  <c r="AK260" i="22"/>
  <c r="AK268" i="22"/>
  <c r="AK277" i="22"/>
  <c r="AK291" i="22"/>
  <c r="AK303" i="22"/>
  <c r="AK190" i="22"/>
  <c r="AK199" i="22"/>
  <c r="AK204" i="22"/>
  <c r="AK212" i="22"/>
  <c r="AK220" i="22"/>
  <c r="AK227" i="22"/>
  <c r="AK238" i="22"/>
  <c r="AK250" i="22"/>
  <c r="AK263" i="22"/>
  <c r="AK272" i="22"/>
  <c r="AK278" i="22"/>
  <c r="AK283" i="22"/>
  <c r="AK288" i="22"/>
  <c r="AK299" i="22"/>
  <c r="AK313" i="22"/>
  <c r="AK326" i="22"/>
  <c r="AK335" i="22"/>
  <c r="AK344" i="22"/>
  <c r="AK352" i="22"/>
  <c r="AK358" i="22"/>
  <c r="AK368" i="22"/>
  <c r="AK295" i="22"/>
  <c r="AK312" i="22"/>
  <c r="AK333" i="22"/>
  <c r="AK342" i="22"/>
  <c r="AK363" i="22"/>
  <c r="AK371" i="22"/>
  <c r="AK309" i="22"/>
  <c r="AK324" i="22"/>
  <c r="AK355" i="22"/>
  <c r="AK377" i="22"/>
  <c r="AK310" i="22"/>
  <c r="AK320" i="22"/>
  <c r="AK360" i="22"/>
  <c r="L16" i="19"/>
  <c r="P10" i="20"/>
  <c r="AG17" i="15"/>
  <c r="AF381" i="1"/>
  <c r="AF383" i="1"/>
  <c r="AF382" i="1"/>
  <c r="AD17" i="1"/>
  <c r="R381" i="1"/>
  <c r="R382" i="1"/>
  <c r="R383" i="1"/>
  <c r="P15" i="1"/>
  <c r="AG379" i="15"/>
  <c r="AF379" i="15" s="1"/>
  <c r="AD379" i="15" s="1"/>
  <c r="I320" i="1"/>
  <c r="H320" i="15" s="1"/>
  <c r="J320" i="15" s="1"/>
  <c r="G320" i="1"/>
  <c r="BW320" i="6" s="1"/>
  <c r="AA320" i="1"/>
  <c r="Z320" i="1" s="1"/>
  <c r="Y320" i="1" s="1"/>
  <c r="Q15" i="7"/>
  <c r="Q367" i="16"/>
  <c r="Q240" i="16"/>
  <c r="Q137" i="16"/>
  <c r="Q124" i="16"/>
  <c r="Q235" i="16"/>
  <c r="Q310" i="16"/>
  <c r="Q244" i="16"/>
  <c r="Q82" i="16"/>
  <c r="Q232" i="16"/>
  <c r="Q60" i="16"/>
  <c r="Q267" i="16"/>
  <c r="Q16" i="16"/>
  <c r="Q293" i="16"/>
  <c r="Q305" i="16"/>
  <c r="Q25" i="16"/>
  <c r="Q100" i="16"/>
  <c r="Q247" i="16"/>
  <c r="Q190" i="16"/>
  <c r="Q189" i="16"/>
  <c r="Q129" i="16"/>
  <c r="Q222" i="16"/>
  <c r="Q204" i="16"/>
  <c r="Q195" i="16"/>
  <c r="Q242" i="16"/>
  <c r="Q85" i="16"/>
  <c r="Q290" i="16"/>
  <c r="Q264" i="16"/>
  <c r="Q342" i="16"/>
  <c r="Q96" i="16"/>
  <c r="Q147" i="16"/>
  <c r="Q300" i="16"/>
  <c r="Q134" i="16"/>
  <c r="Q150" i="16"/>
  <c r="Q93" i="16"/>
  <c r="Q274" i="16"/>
  <c r="Q199" i="16"/>
  <c r="Q196" i="16"/>
  <c r="Q286" i="16"/>
  <c r="Q113" i="16"/>
  <c r="Q197" i="16"/>
  <c r="Q318" i="16"/>
  <c r="Q251" i="16"/>
  <c r="Q92" i="16"/>
  <c r="Q265" i="16"/>
  <c r="Q112" i="16"/>
  <c r="Q308" i="16"/>
  <c r="Q329" i="16"/>
  <c r="Q126" i="16"/>
  <c r="Q48" i="16"/>
  <c r="Q159" i="16"/>
  <c r="Q276" i="16"/>
  <c r="Q230" i="16"/>
  <c r="AE44" i="16"/>
  <c r="AE125" i="16"/>
  <c r="AE104" i="16"/>
  <c r="AE317" i="16"/>
  <c r="AE274" i="16"/>
  <c r="AE20" i="16"/>
  <c r="AE127" i="16"/>
  <c r="AE151" i="16"/>
  <c r="AE297" i="16"/>
  <c r="AE147" i="16"/>
  <c r="AE190" i="16"/>
  <c r="AE49" i="16"/>
  <c r="AE68" i="16"/>
  <c r="AE248" i="16"/>
  <c r="AE97" i="16"/>
  <c r="AE346" i="16"/>
  <c r="AE90" i="16"/>
  <c r="AE92" i="16"/>
  <c r="AE205" i="16"/>
  <c r="AE144" i="16"/>
  <c r="AE23" i="16"/>
  <c r="AE310" i="16"/>
  <c r="AE54" i="16"/>
  <c r="AE223" i="16"/>
  <c r="AE167" i="16"/>
  <c r="AE303" i="16"/>
  <c r="AE155" i="16"/>
  <c r="AE194" i="16"/>
  <c r="AE143" i="16"/>
  <c r="AE116" i="16"/>
  <c r="AE288" i="16"/>
  <c r="AE137" i="16"/>
  <c r="AE366" i="16"/>
  <c r="AE110" i="16"/>
  <c r="AE204" i="16"/>
  <c r="AE221" i="16"/>
  <c r="AE152" i="16"/>
  <c r="AE365" i="16"/>
  <c r="AE298" i="16"/>
  <c r="AE42" i="16"/>
  <c r="AE213" i="16"/>
  <c r="AE377" i="16"/>
  <c r="AE48" i="16"/>
  <c r="AE291" i="16"/>
  <c r="AE262" i="16"/>
  <c r="Q357" i="16"/>
  <c r="Q312" i="16"/>
  <c r="Q153" i="16"/>
  <c r="Q36" i="16"/>
  <c r="Q279" i="16"/>
  <c r="Q23" i="16"/>
  <c r="Q253" i="16"/>
  <c r="Q257" i="16"/>
  <c r="Q142" i="16"/>
  <c r="Q140" i="16"/>
  <c r="Q227" i="16"/>
  <c r="Q182" i="16"/>
  <c r="Q149" i="16"/>
  <c r="Q370" i="16"/>
  <c r="Q313" i="16"/>
  <c r="Q66" i="16"/>
  <c r="Q224" i="16"/>
  <c r="Q115" i="16"/>
  <c r="Q371" i="16"/>
  <c r="Q344" i="16"/>
  <c r="Q40" i="16"/>
  <c r="Q29" i="16"/>
  <c r="Q20" i="16"/>
  <c r="Q167" i="16"/>
  <c r="Q260" i="16"/>
  <c r="Q294" i="16"/>
  <c r="Q254" i="16"/>
  <c r="Q133" i="16"/>
  <c r="Q54" i="16"/>
  <c r="Q219" i="16"/>
  <c r="Q156" i="16"/>
  <c r="Q354" i="16"/>
  <c r="Q365" i="16"/>
  <c r="Q335" i="16"/>
  <c r="Q201" i="16"/>
  <c r="Q130" i="16"/>
  <c r="Q176" i="16"/>
  <c r="Q127" i="16"/>
  <c r="Q340" i="16"/>
  <c r="Q368" i="16"/>
  <c r="AE172" i="16"/>
  <c r="AE251" i="16"/>
  <c r="AE168" i="16"/>
  <c r="AE18" i="16"/>
  <c r="AE306" i="16"/>
  <c r="AE50" i="16"/>
  <c r="AE21" i="16"/>
  <c r="AE279" i="16"/>
  <c r="AE359" i="16"/>
  <c r="AE211" i="16"/>
  <c r="AE222" i="16"/>
  <c r="AE305" i="16"/>
  <c r="AE196" i="16"/>
  <c r="AE312" i="16"/>
  <c r="AE161" i="16"/>
  <c r="AE378" i="16"/>
  <c r="AE122" i="16"/>
  <c r="AE220" i="16"/>
  <c r="AE331" i="16"/>
  <c r="AE208" i="16"/>
  <c r="AE89" i="16"/>
  <c r="AE342" i="16"/>
  <c r="AE86" i="16"/>
  <c r="AE117" i="16"/>
  <c r="AE295" i="16"/>
  <c r="AE367" i="16"/>
  <c r="AE219" i="16"/>
  <c r="AE226" i="16"/>
  <c r="AE35" i="16"/>
  <c r="AE244" i="16"/>
  <c r="AE352" i="16"/>
  <c r="AE201" i="16"/>
  <c r="AE53" i="16"/>
  <c r="AE142" i="16"/>
  <c r="AE332" i="16"/>
  <c r="AE347" i="16"/>
  <c r="AE216" i="16"/>
  <c r="AE63" i="16"/>
  <c r="AE330" i="16"/>
  <c r="AE74" i="16"/>
  <c r="AE28" i="16"/>
  <c r="AE141" i="16"/>
  <c r="AE112" i="16"/>
  <c r="AE357" i="16"/>
  <c r="AE294" i="16"/>
  <c r="AE38" i="16"/>
  <c r="Q146" i="16"/>
  <c r="Q61" i="16"/>
  <c r="Q226" i="16"/>
  <c r="Q376" i="16"/>
  <c r="Q332" i="16"/>
  <c r="Q131" i="16"/>
  <c r="Q160" i="16"/>
  <c r="Q322" i="16"/>
  <c r="Q377" i="16"/>
  <c r="Q278" i="16"/>
  <c r="Q117" i="16"/>
  <c r="Q356" i="16"/>
  <c r="Q211" i="16"/>
  <c r="Q172" i="16"/>
  <c r="Q110" i="16"/>
  <c r="Q193" i="16"/>
  <c r="Q221" i="16"/>
  <c r="Q334" i="16"/>
  <c r="Q263" i="16"/>
  <c r="Q68" i="16"/>
  <c r="Q89" i="16"/>
  <c r="Q369" i="16"/>
  <c r="Q325" i="16"/>
  <c r="Q59" i="16"/>
  <c r="Q315" i="16"/>
  <c r="Q122" i="16"/>
  <c r="Q97" i="16"/>
  <c r="Q19" i="16"/>
  <c r="Q52" i="16"/>
  <c r="Q348" i="16"/>
  <c r="Q141" i="16"/>
  <c r="Q118" i="16"/>
  <c r="Q223" i="16"/>
  <c r="Q148" i="16"/>
  <c r="AE22" i="16"/>
  <c r="AE353" i="16"/>
  <c r="AE231" i="16"/>
  <c r="AE335" i="16"/>
  <c r="AE187" i="16"/>
  <c r="AE210" i="16"/>
  <c r="AE273" i="16"/>
  <c r="AE180" i="16"/>
  <c r="AE320" i="16"/>
  <c r="AE169" i="16"/>
  <c r="AE17" i="16"/>
  <c r="AE126" i="16"/>
  <c r="AE140" i="16"/>
  <c r="AE157" i="16"/>
  <c r="AE120" i="16"/>
  <c r="AE333" i="16"/>
  <c r="AE282" i="16"/>
  <c r="AE26" i="16"/>
  <c r="AE85" i="16"/>
  <c r="AE313" i="16"/>
  <c r="AE16" i="16"/>
  <c r="AE261" i="16"/>
  <c r="AE246" i="16"/>
  <c r="AE239" i="16"/>
  <c r="AE228" i="16"/>
  <c r="AE328" i="16"/>
  <c r="AE177" i="16"/>
  <c r="AE29" i="16"/>
  <c r="AE130" i="16"/>
  <c r="AE188" i="16"/>
  <c r="AE237" i="16"/>
  <c r="AE160" i="16"/>
  <c r="AE373" i="16"/>
  <c r="AE302" i="16"/>
  <c r="AE46" i="16"/>
  <c r="AE181" i="16"/>
  <c r="AE329" i="16"/>
  <c r="AE24" i="16"/>
  <c r="AE235" i="16"/>
  <c r="AE234" i="16"/>
  <c r="AE229" i="16"/>
  <c r="AE65" i="16"/>
  <c r="AE119" i="16"/>
  <c r="AE311" i="16"/>
  <c r="AE163" i="16"/>
  <c r="AE198" i="16"/>
  <c r="Q229" i="16"/>
  <c r="Q177" i="16"/>
  <c r="Q238" i="16"/>
  <c r="Q164" i="16"/>
  <c r="Q215" i="16"/>
  <c r="Q372" i="16"/>
  <c r="Q125" i="16"/>
  <c r="Q174" i="16"/>
  <c r="Q262" i="16"/>
  <c r="Q268" i="16"/>
  <c r="Q163" i="16"/>
  <c r="Q32" i="16"/>
  <c r="Q21" i="16"/>
  <c r="Q136" i="16"/>
  <c r="Q34" i="16"/>
  <c r="Q53" i="16"/>
  <c r="Q114" i="16"/>
  <c r="Q179" i="16"/>
  <c r="Q236" i="16"/>
  <c r="Q366" i="16"/>
  <c r="Q65" i="16"/>
  <c r="Q157" i="16"/>
  <c r="Q246" i="16"/>
  <c r="Q231" i="16"/>
  <c r="Q132" i="16"/>
  <c r="Q270" i="16"/>
  <c r="Q241" i="16"/>
  <c r="Q261" i="16"/>
  <c r="Q27" i="16"/>
  <c r="Q283" i="16"/>
  <c r="Q28" i="16"/>
  <c r="Q98" i="16"/>
  <c r="Q338" i="16"/>
  <c r="Q180" i="16"/>
  <c r="Q104" i="16"/>
  <c r="Q77" i="16"/>
  <c r="Q210" i="16"/>
  <c r="Q191" i="16"/>
  <c r="Q212" i="16"/>
  <c r="Q158" i="16"/>
  <c r="AE245" i="16"/>
  <c r="AE361" i="16"/>
  <c r="AE40" i="16"/>
  <c r="AE253" i="16"/>
  <c r="AE242" i="16"/>
  <c r="AE165" i="16"/>
  <c r="AE308" i="16"/>
  <c r="AE25" i="16"/>
  <c r="AE233" i="16"/>
  <c r="AE83" i="16"/>
  <c r="AE158" i="16"/>
  <c r="AE268" i="16"/>
  <c r="AE285" i="16"/>
  <c r="AE184" i="16"/>
  <c r="AE31" i="16"/>
  <c r="AE314" i="16"/>
  <c r="AE58" i="16"/>
  <c r="AE339" i="16"/>
  <c r="AE75" i="16"/>
  <c r="AE80" i="16"/>
  <c r="Q330" i="16"/>
  <c r="Q88" i="16"/>
  <c r="Q363" i="16"/>
  <c r="Q350" i="16"/>
  <c r="Q45" i="16"/>
  <c r="Q316" i="16"/>
  <c r="Q128" i="16"/>
  <c r="Q72" i="16"/>
  <c r="Q375" i="16"/>
  <c r="Q208" i="16"/>
  <c r="Q361" i="16"/>
  <c r="Q323" i="16"/>
  <c r="Q341" i="16"/>
  <c r="Q121" i="16"/>
  <c r="Q245" i="16"/>
  <c r="Q275" i="16"/>
  <c r="Q169" i="16"/>
  <c r="Q349" i="16"/>
  <c r="Q327" i="16"/>
  <c r="Q345" i="16"/>
  <c r="Q192" i="16"/>
  <c r="Q379" i="16"/>
  <c r="Q364" i="16"/>
  <c r="Q102" i="16"/>
  <c r="Q269" i="16"/>
  <c r="Q287" i="16"/>
  <c r="AE369" i="16"/>
  <c r="AE360" i="16"/>
  <c r="AE61" i="16"/>
  <c r="AE252" i="16"/>
  <c r="AE192" i="16"/>
  <c r="AE318" i="16"/>
  <c r="AE51" i="16"/>
  <c r="AE351" i="16"/>
  <c r="AE218" i="16"/>
  <c r="AE340" i="16"/>
  <c r="AE281" i="16"/>
  <c r="AE182" i="16"/>
  <c r="AE315" i="16"/>
  <c r="AE47" i="16"/>
  <c r="AE66" i="16"/>
  <c r="AE345" i="16"/>
  <c r="AE243" i="16"/>
  <c r="AE323" i="16"/>
  <c r="AE73" i="16"/>
  <c r="AE107" i="16"/>
  <c r="AE81" i="16"/>
  <c r="AE304" i="16"/>
  <c r="AE37" i="16"/>
  <c r="Q101" i="16"/>
  <c r="Q166" i="16"/>
  <c r="Q151" i="16"/>
  <c r="Q78" i="16"/>
  <c r="Q282" i="16"/>
  <c r="Q99" i="16"/>
  <c r="Q120" i="16"/>
  <c r="Q15" i="16"/>
  <c r="Q62" i="16"/>
  <c r="Q108" i="16"/>
  <c r="Q321" i="16"/>
  <c r="Q39" i="16"/>
  <c r="Q42" i="16"/>
  <c r="Q184" i="16"/>
  <c r="Q91" i="16"/>
  <c r="Q250" i="16"/>
  <c r="Q79" i="16"/>
  <c r="Q33" i="16"/>
  <c r="Q46" i="16"/>
  <c r="Q84" i="16"/>
  <c r="AE95" i="16"/>
  <c r="AE271" i="16"/>
  <c r="AE178" i="16"/>
  <c r="AE52" i="16"/>
  <c r="AE105" i="16"/>
  <c r="AE94" i="16"/>
  <c r="AE27" i="16"/>
  <c r="AE269" i="16"/>
  <c r="AE355" i="16"/>
  <c r="AE183" i="16"/>
  <c r="AE195" i="16"/>
  <c r="AE364" i="16"/>
  <c r="AE264" i="16"/>
  <c r="AE354" i="16"/>
  <c r="AE60" i="16"/>
  <c r="AE96" i="16"/>
  <c r="AE270" i="16"/>
  <c r="AE287" i="16"/>
  <c r="AE319" i="16"/>
  <c r="AE202" i="16"/>
  <c r="AE276" i="16"/>
  <c r="AE249" i="16"/>
  <c r="AE166" i="16"/>
  <c r="Q317" i="16"/>
  <c r="Q105" i="16"/>
  <c r="Q259" i="16"/>
  <c r="Q213" i="16"/>
  <c r="Q185" i="16"/>
  <c r="Q373" i="16"/>
  <c r="Q339" i="16"/>
  <c r="Q296" i="16"/>
  <c r="Q144" i="16"/>
  <c r="Q324" i="16"/>
  <c r="Q162" i="16"/>
  <c r="Q178" i="16"/>
  <c r="Q220" i="16"/>
  <c r="Q237" i="16"/>
  <c r="Q73" i="16"/>
  <c r="Q304" i="16"/>
  <c r="Q351" i="16"/>
  <c r="AE300" i="16"/>
  <c r="AE232" i="16"/>
  <c r="AE338" i="16"/>
  <c r="AE275" i="16"/>
  <c r="AE64" i="16"/>
  <c r="AE254" i="16"/>
  <c r="AE324" i="16"/>
  <c r="AE225" i="16"/>
  <c r="AE154" i="16"/>
  <c r="AE84" i="16"/>
  <c r="AE153" i="16"/>
  <c r="AE118" i="16"/>
  <c r="AE59" i="16"/>
  <c r="AE283" i="16"/>
  <c r="AE293" i="16"/>
  <c r="AE87" i="16"/>
  <c r="AE115" i="16"/>
  <c r="AE175" i="16"/>
  <c r="AE280" i="16"/>
  <c r="AE362" i="16"/>
  <c r="AE156" i="16"/>
  <c r="AE176" i="16"/>
  <c r="AE326" i="16"/>
  <c r="Q86" i="16"/>
  <c r="Q234" i="16"/>
  <c r="Q87" i="16"/>
  <c r="Q152" i="16"/>
  <c r="Q26" i="16"/>
  <c r="Q35" i="16"/>
  <c r="Q209" i="16"/>
  <c r="Q273" i="16"/>
  <c r="Q51" i="16"/>
  <c r="Q90" i="16"/>
  <c r="Q24" i="16"/>
  <c r="Q103" i="16"/>
  <c r="Q298" i="16"/>
  <c r="Q362" i="16"/>
  <c r="Q155" i="16"/>
  <c r="Q198" i="16"/>
  <c r="Q207" i="16"/>
  <c r="Q289" i="16"/>
  <c r="Q63" i="16"/>
  <c r="Q138" i="16"/>
  <c r="AE164" i="16"/>
  <c r="AE145" i="16"/>
  <c r="AE114" i="16"/>
  <c r="AE173" i="16"/>
  <c r="AE341" i="16"/>
  <c r="AE30" i="16"/>
  <c r="AE135" i="16"/>
  <c r="AE139" i="16"/>
  <c r="AE207" i="16"/>
  <c r="AE336" i="16"/>
  <c r="AE325" i="16"/>
  <c r="AE278" i="16"/>
  <c r="AE133" i="16"/>
  <c r="AE356" i="16"/>
  <c r="AE41" i="16"/>
  <c r="AE241" i="16"/>
  <c r="AE91" i="16"/>
  <c r="AE162" i="16"/>
  <c r="AE316" i="16"/>
  <c r="AE363" i="16"/>
  <c r="AE224" i="16"/>
  <c r="AE71" i="16"/>
  <c r="AE334" i="16"/>
  <c r="AE78" i="16"/>
  <c r="AE76" i="16"/>
  <c r="AE93" i="16"/>
  <c r="AE88" i="16"/>
  <c r="AE299" i="16"/>
  <c r="AE266" i="16"/>
  <c r="AE379" i="16"/>
  <c r="AE12" i="17" s="1"/>
  <c r="AE321" i="16"/>
  <c r="AE247" i="16"/>
  <c r="AE375" i="16"/>
  <c r="AE227" i="16"/>
  <c r="AE230" i="16"/>
  <c r="Q239" i="16"/>
  <c r="Q326" i="16"/>
  <c r="Q171" i="16"/>
  <c r="Q303" i="16"/>
  <c r="Q346" i="16"/>
  <c r="Q203" i="16"/>
  <c r="Q165" i="16"/>
  <c r="Q30" i="16"/>
  <c r="Q183" i="16"/>
  <c r="Q358" i="16"/>
  <c r="Q58" i="16"/>
  <c r="Q43" i="16"/>
  <c r="Q47" i="16"/>
  <c r="Q186" i="16"/>
  <c r="Q75" i="16"/>
  <c r="Q56" i="16"/>
  <c r="Q106" i="16"/>
  <c r="Q111" i="16"/>
  <c r="Q314" i="16"/>
  <c r="Q107" i="16"/>
  <c r="Q175" i="16"/>
  <c r="Q70" i="16"/>
  <c r="Q139" i="16"/>
  <c r="Q37" i="16"/>
  <c r="Q352" i="16"/>
  <c r="Q119" i="16"/>
  <c r="Q258" i="16"/>
  <c r="Q154" i="16"/>
  <c r="Q67" i="16"/>
  <c r="Q337" i="16"/>
  <c r="Q145" i="16"/>
  <c r="Q17" i="16"/>
  <c r="Q44" i="16"/>
  <c r="Q280" i="16"/>
  <c r="Q71" i="16"/>
  <c r="Q170" i="16"/>
  <c r="Q194" i="16"/>
  <c r="Q123" i="16"/>
  <c r="Q360" i="16"/>
  <c r="Q143" i="16"/>
  <c r="Q161" i="16"/>
  <c r="Q31" i="16"/>
  <c r="Q18" i="16"/>
  <c r="AE292" i="16"/>
  <c r="AE209" i="16"/>
  <c r="AE146" i="16"/>
  <c r="AE301" i="16"/>
  <c r="AE39" i="16"/>
  <c r="AE62" i="16"/>
  <c r="AE265" i="16"/>
  <c r="AE203" i="16"/>
  <c r="AE101" i="16"/>
  <c r="AE57" i="16"/>
  <c r="AE131" i="16"/>
  <c r="AE236" i="16"/>
  <c r="AE200" i="16"/>
  <c r="AE322" i="16"/>
  <c r="AE149" i="16"/>
  <c r="AE32" i="16"/>
  <c r="AE238" i="16"/>
  <c r="AE33" i="16"/>
  <c r="AE255" i="16"/>
  <c r="AE170" i="16"/>
  <c r="AE148" i="16"/>
  <c r="AE185" i="16"/>
  <c r="AE134" i="16"/>
  <c r="Q22" i="16"/>
  <c r="Q292" i="16"/>
  <c r="Q80" i="16"/>
  <c r="Q168" i="16"/>
  <c r="Q355" i="16"/>
  <c r="Q288" i="16"/>
  <c r="Q249" i="16"/>
  <c r="Q181" i="16"/>
  <c r="Q243" i="16"/>
  <c r="Q41" i="16"/>
  <c r="Q285" i="16"/>
  <c r="Q295" i="16"/>
  <c r="Q217" i="16"/>
  <c r="Q320" i="16"/>
  <c r="Q347" i="16"/>
  <c r="Q353" i="16"/>
  <c r="Q202" i="16"/>
  <c r="Q205" i="16"/>
  <c r="Q255" i="16"/>
  <c r="AE259" i="16"/>
  <c r="AE103" i="16"/>
  <c r="AE123" i="16"/>
  <c r="AE19" i="16"/>
  <c r="AE256" i="16"/>
  <c r="AE350" i="16"/>
  <c r="AE307" i="16"/>
  <c r="AE56" i="16"/>
  <c r="AE250" i="16"/>
  <c r="AE191" i="16"/>
  <c r="AE343" i="16"/>
  <c r="AE214" i="16"/>
  <c r="AE100" i="16"/>
  <c r="AE113" i="16"/>
  <c r="AE98" i="16"/>
  <c r="AE109" i="16"/>
  <c r="AE309" i="16"/>
  <c r="AE380" i="16"/>
  <c r="AE199" i="16"/>
  <c r="AE171" i="16"/>
  <c r="AE337" i="16"/>
  <c r="AE368" i="16"/>
  <c r="AE99" i="16"/>
  <c r="Q55" i="16"/>
  <c r="Q380" i="16"/>
  <c r="Q76" i="16"/>
  <c r="Q302" i="16"/>
  <c r="Q81" i="16"/>
  <c r="Q248" i="16"/>
  <c r="Q83" i="16"/>
  <c r="Q218" i="16"/>
  <c r="Q214" i="16"/>
  <c r="Q135" i="16"/>
  <c r="Q38" i="16"/>
  <c r="Q69" i="16"/>
  <c r="Q187" i="16"/>
  <c r="Q94" i="16"/>
  <c r="Q271" i="16"/>
  <c r="Q216" i="16"/>
  <c r="Q95" i="16"/>
  <c r="Q266" i="16"/>
  <c r="AE36" i="16"/>
  <c r="AE79" i="16"/>
  <c r="AE82" i="16"/>
  <c r="AE43" i="16"/>
  <c r="AE277" i="16"/>
  <c r="AE197" i="16"/>
  <c r="AE376" i="16"/>
  <c r="AE77" i="16"/>
  <c r="AE348" i="16"/>
  <c r="AE272" i="16"/>
  <c r="AE374" i="16"/>
  <c r="AE371" i="16"/>
  <c r="AE72" i="16"/>
  <c r="AE258" i="16"/>
  <c r="AE372" i="16"/>
  <c r="AE263" i="16"/>
  <c r="AE174" i="16"/>
  <c r="AE132" i="16"/>
  <c r="AE129" i="16"/>
  <c r="AE106" i="16"/>
  <c r="AE267" i="16"/>
  <c r="AE55" i="16"/>
  <c r="AE70" i="16"/>
  <c r="Q328" i="16"/>
  <c r="Q343" i="16"/>
  <c r="Q336" i="16"/>
  <c r="Q233" i="16"/>
  <c r="Q291" i="16"/>
  <c r="Q277" i="16"/>
  <c r="Q57" i="16"/>
  <c r="Q309" i="16"/>
  <c r="Q307" i="16"/>
  <c r="Q297" i="16"/>
  <c r="Q272" i="16"/>
  <c r="Q359" i="16"/>
  <c r="Q200" i="16"/>
  <c r="Q64" i="16"/>
  <c r="Q284" i="16"/>
  <c r="Q109" i="16"/>
  <c r="Q378" i="16"/>
  <c r="Q333" i="16"/>
  <c r="Q319" i="16"/>
  <c r="AE111" i="16"/>
  <c r="AE296" i="16"/>
  <c r="AE370" i="16"/>
  <c r="AE124" i="16"/>
  <c r="AE128" i="16"/>
  <c r="AE286" i="16"/>
  <c r="AE159" i="16"/>
  <c r="AE289" i="16"/>
  <c r="AE186" i="16"/>
  <c r="AE212" i="16"/>
  <c r="AE217" i="16"/>
  <c r="AE69" i="16"/>
  <c r="AE150" i="16"/>
  <c r="AE108" i="16"/>
  <c r="AE189" i="16"/>
  <c r="AE136" i="16"/>
  <c r="AE349" i="16"/>
  <c r="AE290" i="16"/>
  <c r="AE34" i="16"/>
  <c r="AE257" i="16"/>
  <c r="AE215" i="16"/>
  <c r="AE327" i="16"/>
  <c r="AE179" i="16"/>
  <c r="AE206" i="16"/>
  <c r="AE67" i="16"/>
  <c r="AE260" i="16"/>
  <c r="AE344" i="16"/>
  <c r="AE193" i="16"/>
  <c r="AE45" i="16"/>
  <c r="AE138" i="16"/>
  <c r="AE284" i="16"/>
  <c r="AE15" i="16"/>
  <c r="AE240" i="16"/>
  <c r="AE121" i="16"/>
  <c r="AE358" i="16"/>
  <c r="AE102" i="16"/>
  <c r="Q206" i="16"/>
  <c r="Q173" i="16"/>
  <c r="Q252" i="16"/>
  <c r="Q50" i="16"/>
  <c r="Q301" i="16"/>
  <c r="Q188" i="16"/>
  <c r="Q306" i="16"/>
  <c r="Q49" i="16"/>
  <c r="Q228" i="16"/>
  <c r="Q116" i="16"/>
  <c r="Q374" i="16"/>
  <c r="Q299" i="16"/>
  <c r="Q74" i="16"/>
  <c r="Q225" i="16"/>
  <c r="Q331" i="16"/>
  <c r="Q256" i="16"/>
  <c r="Q281" i="16"/>
  <c r="Q311" i="16"/>
  <c r="G200" i="15"/>
  <c r="BX200" i="6" s="1"/>
  <c r="AA200" i="15"/>
  <c r="Z200" i="15" s="1"/>
  <c r="Y200" i="15" s="1"/>
  <c r="H200" i="15"/>
  <c r="H46" i="15"/>
  <c r="G46" i="15"/>
  <c r="BX46" i="6" s="1"/>
  <c r="AA46" i="15"/>
  <c r="Z46" i="15" s="1"/>
  <c r="Y46" i="15" s="1"/>
  <c r="G219" i="15"/>
  <c r="BX219" i="6" s="1"/>
  <c r="H219" i="15"/>
  <c r="G202" i="15"/>
  <c r="BX202" i="6" s="1"/>
  <c r="H202" i="15"/>
  <c r="AA202" i="15"/>
  <c r="Z202" i="15" s="1"/>
  <c r="Y202" i="15" s="1"/>
  <c r="H199" i="15"/>
  <c r="G199" i="15"/>
  <c r="BX199" i="6" s="1"/>
  <c r="J49" i="15"/>
  <c r="I49" i="15"/>
  <c r="I181" i="15"/>
  <c r="J181" i="15"/>
  <c r="J196" i="15"/>
  <c r="I196" i="15"/>
  <c r="I177" i="15"/>
  <c r="J177" i="15"/>
  <c r="AT12" i="6"/>
  <c r="AT13" i="6"/>
  <c r="AM10" i="1"/>
  <c r="I169" i="15"/>
  <c r="J173" i="15"/>
  <c r="Q11" i="23"/>
  <c r="AY11" i="7"/>
  <c r="F47" i="15"/>
  <c r="H47" i="15" s="1"/>
  <c r="F333" i="15"/>
  <c r="I67" i="15"/>
  <c r="J67" i="15"/>
  <c r="I175" i="15"/>
  <c r="J175" i="15"/>
  <c r="I55" i="15"/>
  <c r="J55" i="15"/>
  <c r="I179" i="15"/>
  <c r="J179" i="15"/>
  <c r="AK10" i="1"/>
  <c r="AK12" i="1" s="1"/>
  <c r="AK13" i="1" s="1"/>
  <c r="F381" i="1"/>
  <c r="F9" i="1"/>
  <c r="F11" i="1" s="1"/>
  <c r="F383" i="1"/>
  <c r="AZ13" i="6"/>
  <c r="AZ12" i="6"/>
  <c r="AA272" i="1"/>
  <c r="Z272" i="1" s="1"/>
  <c r="Y272" i="1" s="1"/>
  <c r="AY13" i="6"/>
  <c r="AY12" i="6"/>
  <c r="AA362" i="1"/>
  <c r="Z362" i="1" s="1"/>
  <c r="Y362" i="1" s="1"/>
  <c r="G362" i="1"/>
  <c r="BW362" i="6" s="1"/>
  <c r="I362" i="1"/>
  <c r="Z319" i="1"/>
  <c r="Z198" i="1"/>
  <c r="N61" i="19"/>
  <c r="AH383" i="15" l="1"/>
  <c r="AA144" i="15"/>
  <c r="Z144" i="15" s="1"/>
  <c r="Y144" i="15" s="1"/>
  <c r="AH382" i="15"/>
  <c r="AA209" i="15"/>
  <c r="Z209" i="15" s="1"/>
  <c r="Y209" i="15" s="1"/>
  <c r="AA193" i="15"/>
  <c r="Z193" i="15" s="1"/>
  <c r="Y193" i="15" s="1"/>
  <c r="AA211" i="15"/>
  <c r="Z211" i="15" s="1"/>
  <c r="Y211" i="15" s="1"/>
  <c r="AA349" i="15"/>
  <c r="Z349" i="15" s="1"/>
  <c r="Y349" i="15" s="1"/>
  <c r="G349" i="15"/>
  <c r="BX349" i="6" s="1"/>
  <c r="AA346" i="15"/>
  <c r="Z346" i="15" s="1"/>
  <c r="Y346" i="15" s="1"/>
  <c r="AA212" i="15"/>
  <c r="Z212" i="15" s="1"/>
  <c r="Y212" i="15" s="1"/>
  <c r="O381" i="20"/>
  <c r="AA371" i="15"/>
  <c r="Z371" i="15" s="1"/>
  <c r="Y371" i="15" s="1"/>
  <c r="AA233" i="15"/>
  <c r="Z233" i="15" s="1"/>
  <c r="Y233" i="15" s="1"/>
  <c r="AA107" i="15"/>
  <c r="Z107" i="15" s="1"/>
  <c r="Y107" i="15" s="1"/>
  <c r="AA182" i="15"/>
  <c r="Z182" i="15" s="1"/>
  <c r="Y182" i="15" s="1"/>
  <c r="AD15" i="15"/>
  <c r="AH381" i="15"/>
  <c r="J321" i="15"/>
  <c r="AA213" i="15"/>
  <c r="Z213" i="15" s="1"/>
  <c r="Y213" i="15" s="1"/>
  <c r="AA311" i="15"/>
  <c r="Z311" i="15" s="1"/>
  <c r="Y311" i="15" s="1"/>
  <c r="E7" i="22"/>
  <c r="O10" i="22" s="1"/>
  <c r="O205" i="22" s="1"/>
  <c r="AT13" i="7"/>
  <c r="AU13" i="7"/>
  <c r="O382" i="20"/>
  <c r="O383" i="20"/>
  <c r="L40" i="19" s="1"/>
  <c r="I71" i="15"/>
  <c r="O214" i="22"/>
  <c r="AA329" i="15"/>
  <c r="Z329" i="15" s="1"/>
  <c r="Y329" i="15" s="1"/>
  <c r="I352" i="15"/>
  <c r="AA253" i="15"/>
  <c r="Z253" i="15" s="1"/>
  <c r="Y253" i="15" s="1"/>
  <c r="AA147" i="15"/>
  <c r="Z147" i="15" s="1"/>
  <c r="Y147" i="15" s="1"/>
  <c r="AA332" i="15"/>
  <c r="Z332" i="15" s="1"/>
  <c r="Y332" i="15" s="1"/>
  <c r="O218" i="22"/>
  <c r="AC310" i="18"/>
  <c r="AC333" i="18"/>
  <c r="AC370" i="18"/>
  <c r="O339" i="22"/>
  <c r="AC377" i="18"/>
  <c r="AC372" i="18"/>
  <c r="AC322" i="18"/>
  <c r="AC356" i="18"/>
  <c r="AC315" i="18"/>
  <c r="O195" i="22"/>
  <c r="O108" i="22"/>
  <c r="O125" i="22"/>
  <c r="O25" i="22"/>
  <c r="J174" i="15"/>
  <c r="AC262" i="18"/>
  <c r="AC111" i="18"/>
  <c r="AC249" i="18"/>
  <c r="AC161" i="18"/>
  <c r="AC291" i="18"/>
  <c r="AC166" i="18"/>
  <c r="AC379" i="18"/>
  <c r="AC277" i="18"/>
  <c r="AC224" i="18"/>
  <c r="AC375" i="18"/>
  <c r="AC140" i="18"/>
  <c r="AC247" i="18"/>
  <c r="AC219" i="18"/>
  <c r="AC367" i="18"/>
  <c r="AC179" i="18"/>
  <c r="AC220" i="18"/>
  <c r="AC292" i="18"/>
  <c r="AC294" i="18"/>
  <c r="AC349" i="18"/>
  <c r="AC99" i="18"/>
  <c r="AC348" i="18"/>
  <c r="J302" i="15"/>
  <c r="AA100" i="15"/>
  <c r="Z100" i="15" s="1"/>
  <c r="Y100" i="15" s="1"/>
  <c r="H107" i="15"/>
  <c r="J107" i="15" s="1"/>
  <c r="I171" i="15"/>
  <c r="I57" i="15"/>
  <c r="I330" i="15"/>
  <c r="H315" i="15"/>
  <c r="J315" i="15" s="1"/>
  <c r="G361" i="15"/>
  <c r="BX361" i="6" s="1"/>
  <c r="G57" i="15"/>
  <c r="BX57" i="6" s="1"/>
  <c r="J163" i="15"/>
  <c r="H294" i="15"/>
  <c r="J294" i="15" s="1"/>
  <c r="G193" i="15"/>
  <c r="BX193" i="6" s="1"/>
  <c r="G212" i="15"/>
  <c r="BX212" i="6" s="1"/>
  <c r="AA187" i="15"/>
  <c r="Z187" i="15" s="1"/>
  <c r="Y187" i="15" s="1"/>
  <c r="H314" i="15"/>
  <c r="I314" i="15" s="1"/>
  <c r="G280" i="15"/>
  <c r="BX280" i="6" s="1"/>
  <c r="AA57" i="15"/>
  <c r="Z57" i="15" s="1"/>
  <c r="Y57" i="15" s="1"/>
  <c r="AA64" i="15"/>
  <c r="Z64" i="15" s="1"/>
  <c r="Y64" i="15" s="1"/>
  <c r="H64" i="15"/>
  <c r="I64" i="15" s="1"/>
  <c r="AA264" i="15"/>
  <c r="Z264" i="15" s="1"/>
  <c r="Y264" i="15" s="1"/>
  <c r="I192" i="15"/>
  <c r="I198" i="15"/>
  <c r="I310" i="15"/>
  <c r="I287" i="15"/>
  <c r="I354" i="15"/>
  <c r="J122" i="15"/>
  <c r="H183" i="15"/>
  <c r="I183" i="15" s="1"/>
  <c r="I220" i="15"/>
  <c r="AA73" i="15"/>
  <c r="Z73" i="15" s="1"/>
  <c r="Y73" i="15" s="1"/>
  <c r="G269" i="15"/>
  <c r="BX269" i="6" s="1"/>
  <c r="F79" i="15"/>
  <c r="G79" i="15" s="1"/>
  <c r="BX79" i="6" s="1"/>
  <c r="H147" i="15"/>
  <c r="I147" i="15" s="1"/>
  <c r="J218" i="15"/>
  <c r="J336" i="15"/>
  <c r="J194" i="15"/>
  <c r="H167" i="15"/>
  <c r="J167" i="15" s="1"/>
  <c r="H280" i="15"/>
  <c r="I280" i="15" s="1"/>
  <c r="G314" i="15"/>
  <c r="BX314" i="6" s="1"/>
  <c r="G144" i="15"/>
  <c r="BX144" i="6" s="1"/>
  <c r="H93" i="15"/>
  <c r="I93" i="15" s="1"/>
  <c r="F105" i="15"/>
  <c r="AA105" i="15" s="1"/>
  <c r="Z105" i="15" s="1"/>
  <c r="Y105" i="15" s="1"/>
  <c r="I338" i="15"/>
  <c r="G107" i="15"/>
  <c r="BX107" i="6" s="1"/>
  <c r="J195" i="15"/>
  <c r="J356" i="15"/>
  <c r="I277" i="15"/>
  <c r="I290" i="15"/>
  <c r="J278" i="15"/>
  <c r="H299" i="15"/>
  <c r="J299" i="15" s="1"/>
  <c r="AA245" i="15"/>
  <c r="Z245" i="15" s="1"/>
  <c r="Y245" i="15" s="1"/>
  <c r="G126" i="15"/>
  <c r="BX126" i="6" s="1"/>
  <c r="AA275" i="15"/>
  <c r="Z275" i="15" s="1"/>
  <c r="Y275" i="15" s="1"/>
  <c r="H213" i="15"/>
  <c r="J213" i="15" s="1"/>
  <c r="AA221" i="15"/>
  <c r="Z221" i="15" s="1"/>
  <c r="Y221" i="15" s="1"/>
  <c r="H221" i="15"/>
  <c r="I221" i="15" s="1"/>
  <c r="AA48" i="15"/>
  <c r="Z48" i="15" s="1"/>
  <c r="Y48" i="15" s="1"/>
  <c r="G296" i="15"/>
  <c r="BX296" i="6" s="1"/>
  <c r="AA246" i="15"/>
  <c r="Z246" i="15" s="1"/>
  <c r="Y246" i="15" s="1"/>
  <c r="AA85" i="15"/>
  <c r="Z85" i="15" s="1"/>
  <c r="Y85" i="15" s="1"/>
  <c r="I176" i="15"/>
  <c r="I131" i="15"/>
  <c r="J170" i="15"/>
  <c r="J316" i="15"/>
  <c r="I186" i="15"/>
  <c r="J274" i="15"/>
  <c r="I182" i="15"/>
  <c r="J56" i="15"/>
  <c r="G332" i="15"/>
  <c r="BX332" i="6" s="1"/>
  <c r="G211" i="15"/>
  <c r="BX211" i="6" s="1"/>
  <c r="AA286" i="15"/>
  <c r="Z286" i="15" s="1"/>
  <c r="Y286" i="15" s="1"/>
  <c r="AA167" i="15"/>
  <c r="Z167" i="15" s="1"/>
  <c r="Y167" i="15" s="1"/>
  <c r="H300" i="15"/>
  <c r="J300" i="15" s="1"/>
  <c r="G182" i="15"/>
  <c r="BX182" i="6" s="1"/>
  <c r="G54" i="15"/>
  <c r="BX54" i="6" s="1"/>
  <c r="H54" i="15"/>
  <c r="J361" i="15"/>
  <c r="G100" i="15"/>
  <c r="BX100" i="6" s="1"/>
  <c r="H258" i="15"/>
  <c r="J258" i="15" s="1"/>
  <c r="H144" i="15"/>
  <c r="J144" i="15" s="1"/>
  <c r="AA93" i="15"/>
  <c r="Z93" i="15" s="1"/>
  <c r="Y93" i="15" s="1"/>
  <c r="AA87" i="15"/>
  <c r="Z87" i="15" s="1"/>
  <c r="Y87" i="15" s="1"/>
  <c r="J178" i="15"/>
  <c r="I190" i="15"/>
  <c r="H224" i="15"/>
  <c r="J224" i="15" s="1"/>
  <c r="I344" i="15"/>
  <c r="G209" i="15"/>
  <c r="BX209" i="6" s="1"/>
  <c r="H238" i="15"/>
  <c r="J238" i="15" s="1"/>
  <c r="G275" i="15"/>
  <c r="BX275" i="6" s="1"/>
  <c r="G245" i="15"/>
  <c r="BX245" i="6" s="1"/>
  <c r="H298" i="15"/>
  <c r="J298" i="15" s="1"/>
  <c r="H312" i="15"/>
  <c r="J312" i="15" s="1"/>
  <c r="AA238" i="15"/>
  <c r="Z238" i="15" s="1"/>
  <c r="Y238" i="15" s="1"/>
  <c r="AA183" i="15"/>
  <c r="Z183" i="15" s="1"/>
  <c r="Y183" i="15" s="1"/>
  <c r="G311" i="15"/>
  <c r="BX311" i="6" s="1"/>
  <c r="AA54" i="15"/>
  <c r="Z54" i="15" s="1"/>
  <c r="Y54" i="15" s="1"/>
  <c r="AA258" i="15"/>
  <c r="Z258" i="15" s="1"/>
  <c r="Y258" i="15" s="1"/>
  <c r="H87" i="15"/>
  <c r="I87" i="15" s="1"/>
  <c r="AA294" i="15"/>
  <c r="Z294" i="15" s="1"/>
  <c r="Y294" i="15" s="1"/>
  <c r="I351" i="15"/>
  <c r="I77" i="15"/>
  <c r="AA224" i="15"/>
  <c r="Z224" i="15" s="1"/>
  <c r="Y224" i="15" s="1"/>
  <c r="I184" i="15"/>
  <c r="I357" i="15"/>
  <c r="H311" i="15"/>
  <c r="I311" i="15" s="1"/>
  <c r="AA126" i="15"/>
  <c r="Z126" i="15" s="1"/>
  <c r="Y126" i="15" s="1"/>
  <c r="H209" i="15"/>
  <c r="I209" i="15" s="1"/>
  <c r="H193" i="15"/>
  <c r="J193" i="15" s="1"/>
  <c r="AA298" i="15"/>
  <c r="Z298" i="15" s="1"/>
  <c r="Y298" i="15" s="1"/>
  <c r="AA303" i="15"/>
  <c r="Z303" i="15" s="1"/>
  <c r="Y303" i="15" s="1"/>
  <c r="G312" i="15"/>
  <c r="BX312" i="6" s="1"/>
  <c r="H212" i="15"/>
  <c r="I212" i="15" s="1"/>
  <c r="AA315" i="15"/>
  <c r="Z315" i="15" s="1"/>
  <c r="Y315" i="15" s="1"/>
  <c r="I296" i="15"/>
  <c r="H48" i="15"/>
  <c r="H187" i="15"/>
  <c r="I187" i="15" s="1"/>
  <c r="H303" i="15"/>
  <c r="I303" i="15" s="1"/>
  <c r="H73" i="15"/>
  <c r="I73" i="15" s="1"/>
  <c r="AA299" i="15"/>
  <c r="Z299" i="15" s="1"/>
  <c r="Y299" i="15" s="1"/>
  <c r="AA296" i="15"/>
  <c r="Z296" i="15" s="1"/>
  <c r="Y296" i="15" s="1"/>
  <c r="AA83" i="15"/>
  <c r="Z83" i="15" s="1"/>
  <c r="Y83" i="15" s="1"/>
  <c r="AA94" i="15"/>
  <c r="Z94" i="15" s="1"/>
  <c r="Y94" i="15" s="1"/>
  <c r="G159" i="15"/>
  <c r="BX159" i="6" s="1"/>
  <c r="G134" i="15"/>
  <c r="BX134" i="6" s="1"/>
  <c r="J168" i="15"/>
  <c r="I339" i="15"/>
  <c r="J350" i="15"/>
  <c r="H166" i="15"/>
  <c r="J166" i="15" s="1"/>
  <c r="G218" i="15"/>
  <c r="BX218" i="6" s="1"/>
  <c r="J297" i="15"/>
  <c r="H304" i="15"/>
  <c r="I304" i="15" s="1"/>
  <c r="AA304" i="15"/>
  <c r="Z304" i="15" s="1"/>
  <c r="Y304" i="15" s="1"/>
  <c r="C12" i="19"/>
  <c r="F36" i="19"/>
  <c r="AA302" i="15"/>
  <c r="Z302" i="15" s="1"/>
  <c r="Y302" i="15" s="1"/>
  <c r="G31" i="15"/>
  <c r="BX31" i="6" s="1"/>
  <c r="H246" i="15"/>
  <c r="J246" i="15" s="1"/>
  <c r="G259" i="15"/>
  <c r="BX259" i="6" s="1"/>
  <c r="AA269" i="15"/>
  <c r="Z269" i="15" s="1"/>
  <c r="Y269" i="15" s="1"/>
  <c r="G83" i="15"/>
  <c r="BX83" i="6" s="1"/>
  <c r="AA101" i="15"/>
  <c r="Z101" i="15" s="1"/>
  <c r="Y101" i="15" s="1"/>
  <c r="G94" i="15"/>
  <c r="BX94" i="6" s="1"/>
  <c r="H159" i="15"/>
  <c r="I159" i="15" s="1"/>
  <c r="H253" i="15"/>
  <c r="I253" i="15" s="1"/>
  <c r="G85" i="15"/>
  <c r="BX85" i="6" s="1"/>
  <c r="G147" i="15"/>
  <c r="BX147" i="6" s="1"/>
  <c r="G302" i="15"/>
  <c r="BX302" i="6" s="1"/>
  <c r="J328" i="15"/>
  <c r="I36" i="15"/>
  <c r="J347" i="15"/>
  <c r="I337" i="15"/>
  <c r="J230" i="15"/>
  <c r="AA146" i="15"/>
  <c r="Z146" i="15" s="1"/>
  <c r="Y146" i="15" s="1"/>
  <c r="L37" i="19"/>
  <c r="H76" i="15"/>
  <c r="J76" i="15" s="1"/>
  <c r="H146" i="15"/>
  <c r="I146" i="15" s="1"/>
  <c r="AC330" i="18"/>
  <c r="AC308" i="18"/>
  <c r="AC204" i="18"/>
  <c r="AC196" i="18"/>
  <c r="AC136" i="18"/>
  <c r="AC77" i="18"/>
  <c r="AC369" i="18"/>
  <c r="AC328" i="18"/>
  <c r="AC305" i="18"/>
  <c r="AC167" i="18"/>
  <c r="AC75" i="18"/>
  <c r="AC353" i="18"/>
  <c r="AC245" i="18"/>
  <c r="AC231" i="18"/>
  <c r="AC170" i="18"/>
  <c r="AC118" i="18"/>
  <c r="AC338" i="18"/>
  <c r="AC232" i="18"/>
  <c r="AC143" i="18"/>
  <c r="AC339" i="18"/>
  <c r="AC208" i="18"/>
  <c r="AC100" i="18"/>
  <c r="AC197" i="18"/>
  <c r="AC98" i="18"/>
  <c r="AC341" i="18"/>
  <c r="AC265" i="18"/>
  <c r="AC80" i="18"/>
  <c r="AC274" i="18"/>
  <c r="AC112" i="18"/>
  <c r="AC334" i="18"/>
  <c r="AC205" i="18"/>
  <c r="AC88" i="18"/>
  <c r="AC191" i="18"/>
  <c r="AC91" i="18"/>
  <c r="AC376" i="18"/>
  <c r="AC243" i="18"/>
  <c r="AC129" i="18"/>
  <c r="AC246" i="18"/>
  <c r="AC151" i="18"/>
  <c r="AC290" i="18"/>
  <c r="AC162" i="18"/>
  <c r="AC366" i="18"/>
  <c r="AC276" i="18"/>
  <c r="AC107" i="18"/>
  <c r="AC225" i="18"/>
  <c r="AC284" i="18"/>
  <c r="AC171" i="18"/>
  <c r="AC254" i="18"/>
  <c r="AC285" i="18"/>
  <c r="H329" i="15"/>
  <c r="I329" i="15" s="1"/>
  <c r="G371" i="15"/>
  <c r="BX371" i="6" s="1"/>
  <c r="AA285" i="15"/>
  <c r="Z285" i="15" s="1"/>
  <c r="Y285" i="15" s="1"/>
  <c r="H234" i="15"/>
  <c r="J234" i="15" s="1"/>
  <c r="G355" i="15"/>
  <c r="BX355" i="6" s="1"/>
  <c r="G58" i="15"/>
  <c r="BX58" i="6" s="1"/>
  <c r="H58" i="15"/>
  <c r="AA58" i="15"/>
  <c r="Z58" i="15" s="1"/>
  <c r="Y58" i="15" s="1"/>
  <c r="AA31" i="15"/>
  <c r="Z31" i="15" s="1"/>
  <c r="Y31" i="15" s="1"/>
  <c r="F137" i="15"/>
  <c r="AA137" i="15" s="1"/>
  <c r="Z137" i="15" s="1"/>
  <c r="Y137" i="15" s="1"/>
  <c r="AA259" i="15"/>
  <c r="Z259" i="15" s="1"/>
  <c r="Y259" i="15" s="1"/>
  <c r="H101" i="15"/>
  <c r="J101" i="15" s="1"/>
  <c r="G264" i="15"/>
  <c r="BX264" i="6" s="1"/>
  <c r="G253" i="15"/>
  <c r="BX253" i="6" s="1"/>
  <c r="AA134" i="15"/>
  <c r="Z134" i="15" s="1"/>
  <c r="Y134" i="15" s="1"/>
  <c r="D11" i="19"/>
  <c r="E11" i="19" s="1"/>
  <c r="F11" i="19" s="1"/>
  <c r="G35" i="19"/>
  <c r="I313" i="15"/>
  <c r="I355" i="15"/>
  <c r="AA60" i="15"/>
  <c r="Z60" i="15" s="1"/>
  <c r="Y60" i="15" s="1"/>
  <c r="G60" i="15"/>
  <c r="BX60" i="6" s="1"/>
  <c r="AA218" i="15"/>
  <c r="Z218" i="15" s="1"/>
  <c r="Y218" i="15" s="1"/>
  <c r="J288" i="15"/>
  <c r="AA166" i="15"/>
  <c r="Z166" i="15" s="1"/>
  <c r="Y166" i="15" s="1"/>
  <c r="G62" i="19"/>
  <c r="J53" i="15"/>
  <c r="G76" i="15"/>
  <c r="BX76" i="6" s="1"/>
  <c r="H332" i="15"/>
  <c r="J332" i="15" s="1"/>
  <c r="G329" i="15"/>
  <c r="BX329" i="6" s="1"/>
  <c r="H286" i="15"/>
  <c r="I286" i="15" s="1"/>
  <c r="H371" i="15"/>
  <c r="H285" i="15"/>
  <c r="I285" i="15" s="1"/>
  <c r="G300" i="15"/>
  <c r="BX300" i="6" s="1"/>
  <c r="G234" i="15"/>
  <c r="BX234" i="6" s="1"/>
  <c r="AA168" i="15"/>
  <c r="Z168" i="15" s="1"/>
  <c r="Y168" i="15" s="1"/>
  <c r="AA355" i="15"/>
  <c r="Z355" i="15" s="1"/>
  <c r="Y355" i="15" s="1"/>
  <c r="G168" i="15"/>
  <c r="BX168" i="6" s="1"/>
  <c r="AA59" i="15"/>
  <c r="Z59" i="15" s="1"/>
  <c r="Y59" i="15" s="1"/>
  <c r="G59" i="15"/>
  <c r="BX59" i="6" s="1"/>
  <c r="H59" i="15"/>
  <c r="L38" i="19"/>
  <c r="G213" i="15"/>
  <c r="BX213" i="6" s="1"/>
  <c r="H205" i="15"/>
  <c r="J205" i="15" s="1"/>
  <c r="AA375" i="15"/>
  <c r="Z375" i="15" s="1"/>
  <c r="Y375" i="15" s="1"/>
  <c r="AA205" i="15"/>
  <c r="Z205" i="15" s="1"/>
  <c r="Y205" i="15" s="1"/>
  <c r="H375" i="15"/>
  <c r="I375" i="15" s="1"/>
  <c r="AA361" i="15"/>
  <c r="Z361" i="15" s="1"/>
  <c r="Y361" i="15" s="1"/>
  <c r="G104" i="15"/>
  <c r="BX104" i="6" s="1"/>
  <c r="H104" i="15"/>
  <c r="AA104" i="15"/>
  <c r="Z104" i="15" s="1"/>
  <c r="Y104" i="15" s="1"/>
  <c r="V256" i="15"/>
  <c r="F256" i="15" s="1"/>
  <c r="G65" i="15"/>
  <c r="BX65" i="6" s="1"/>
  <c r="AA65" i="15"/>
  <c r="Z65" i="15" s="1"/>
  <c r="Y65" i="15" s="1"/>
  <c r="H65" i="15"/>
  <c r="J65" i="15" s="1"/>
  <c r="AA323" i="15"/>
  <c r="Z323" i="15" s="1"/>
  <c r="Y323" i="15" s="1"/>
  <c r="G323" i="15"/>
  <c r="BX323" i="6" s="1"/>
  <c r="H323" i="15"/>
  <c r="J323" i="15" s="1"/>
  <c r="H112" i="15"/>
  <c r="G112" i="15"/>
  <c r="BX112" i="6" s="1"/>
  <c r="AA112" i="15"/>
  <c r="Z112" i="15" s="1"/>
  <c r="Y112" i="15" s="1"/>
  <c r="G366" i="15"/>
  <c r="BX366" i="6" s="1"/>
  <c r="H366" i="15"/>
  <c r="AA366" i="15"/>
  <c r="Z366" i="15" s="1"/>
  <c r="Y366" i="15" s="1"/>
  <c r="G141" i="15"/>
  <c r="BX141" i="6" s="1"/>
  <c r="AA141" i="15"/>
  <c r="Z141" i="15" s="1"/>
  <c r="Y141" i="15" s="1"/>
  <c r="H141" i="15"/>
  <c r="G162" i="15"/>
  <c r="BX162" i="6" s="1"/>
  <c r="H162" i="15"/>
  <c r="AA162" i="15"/>
  <c r="Z162" i="15" s="1"/>
  <c r="Y162" i="15" s="1"/>
  <c r="AA154" i="15"/>
  <c r="Z154" i="15" s="1"/>
  <c r="Y154" i="15" s="1"/>
  <c r="H154" i="15"/>
  <c r="G154" i="15"/>
  <c r="BX154" i="6" s="1"/>
  <c r="V319" i="15"/>
  <c r="F319" i="15" s="1"/>
  <c r="V52" i="15"/>
  <c r="C62" i="19" s="1"/>
  <c r="H138" i="15"/>
  <c r="AA138" i="15"/>
  <c r="Z138" i="15" s="1"/>
  <c r="Y138" i="15" s="1"/>
  <c r="G138" i="15"/>
  <c r="BX138" i="6" s="1"/>
  <c r="V88" i="15"/>
  <c r="D34" i="7"/>
  <c r="F88" i="15"/>
  <c r="G22" i="15"/>
  <c r="BX22" i="6" s="1"/>
  <c r="H22" i="15"/>
  <c r="AA22" i="15"/>
  <c r="Z22" i="15" s="1"/>
  <c r="Y22" i="15" s="1"/>
  <c r="AA270" i="15"/>
  <c r="Z270" i="15" s="1"/>
  <c r="Y270" i="15" s="1"/>
  <c r="H270" i="15"/>
  <c r="G270" i="15"/>
  <c r="BX270" i="6" s="1"/>
  <c r="H136" i="15"/>
  <c r="AA136" i="15"/>
  <c r="Z136" i="15" s="1"/>
  <c r="Y136" i="15" s="1"/>
  <c r="G136" i="15"/>
  <c r="BX136" i="6" s="1"/>
  <c r="V114" i="15"/>
  <c r="F114" i="15" s="1"/>
  <c r="V18" i="15"/>
  <c r="F18" i="15" s="1"/>
  <c r="G244" i="15"/>
  <c r="BX244" i="6" s="1"/>
  <c r="H244" i="15"/>
  <c r="AA244" i="15"/>
  <c r="Z244" i="15" s="1"/>
  <c r="Y244" i="15" s="1"/>
  <c r="V216" i="15"/>
  <c r="F216" i="15" s="1"/>
  <c r="G127" i="15"/>
  <c r="BX127" i="6" s="1"/>
  <c r="H127" i="15"/>
  <c r="I127" i="15" s="1"/>
  <c r="AA127" i="15"/>
  <c r="Z127" i="15" s="1"/>
  <c r="Y127" i="15" s="1"/>
  <c r="V236" i="15"/>
  <c r="F236" i="15" s="1"/>
  <c r="G208" i="15"/>
  <c r="BX208" i="6" s="1"/>
  <c r="H208" i="15"/>
  <c r="AA208" i="15"/>
  <c r="Z208" i="15" s="1"/>
  <c r="Y208" i="15" s="1"/>
  <c r="H111" i="15"/>
  <c r="G111" i="15"/>
  <c r="BX111" i="6" s="1"/>
  <c r="AA111" i="15"/>
  <c r="Z111" i="15" s="1"/>
  <c r="Y111" i="15" s="1"/>
  <c r="G281" i="15"/>
  <c r="BX281" i="6" s="1"/>
  <c r="H281" i="15"/>
  <c r="AA281" i="15"/>
  <c r="Z281" i="15" s="1"/>
  <c r="Y281" i="15" s="1"/>
  <c r="AA28" i="15"/>
  <c r="Z28" i="15" s="1"/>
  <c r="Y28" i="15" s="1"/>
  <c r="G28" i="15"/>
  <c r="BX28" i="6" s="1"/>
  <c r="H28" i="15"/>
  <c r="V214" i="15"/>
  <c r="F214" i="15" s="1"/>
  <c r="V206" i="15"/>
  <c r="F206" i="15" s="1"/>
  <c r="H262" i="15"/>
  <c r="G262" i="15"/>
  <c r="BX262" i="6" s="1"/>
  <c r="AA262" i="15"/>
  <c r="Z262" i="15" s="1"/>
  <c r="Y262" i="15" s="1"/>
  <c r="AA156" i="15"/>
  <c r="Z156" i="15" s="1"/>
  <c r="Y156" i="15" s="1"/>
  <c r="H156" i="15"/>
  <c r="G156" i="15"/>
  <c r="BX156" i="6" s="1"/>
  <c r="H113" i="15"/>
  <c r="G113" i="15"/>
  <c r="BX113" i="6" s="1"/>
  <c r="AA113" i="15"/>
  <c r="Z113" i="15" s="1"/>
  <c r="Y113" i="15" s="1"/>
  <c r="H143" i="15"/>
  <c r="AA143" i="15"/>
  <c r="Z143" i="15" s="1"/>
  <c r="Y143" i="15" s="1"/>
  <c r="G143" i="15"/>
  <c r="BX143" i="6" s="1"/>
  <c r="AA84" i="15"/>
  <c r="Z84" i="15" s="1"/>
  <c r="Y84" i="15" s="1"/>
  <c r="G84" i="15"/>
  <c r="BX84" i="6" s="1"/>
  <c r="H84" i="15"/>
  <c r="V289" i="15"/>
  <c r="F289" i="15" s="1"/>
  <c r="G368" i="15"/>
  <c r="BX368" i="6" s="1"/>
  <c r="H368" i="15"/>
  <c r="AA368" i="15"/>
  <c r="Z368" i="15" s="1"/>
  <c r="Y368" i="15" s="1"/>
  <c r="H265" i="15"/>
  <c r="AA265" i="15"/>
  <c r="Z265" i="15" s="1"/>
  <c r="Y265" i="15" s="1"/>
  <c r="G265" i="15"/>
  <c r="BX265" i="6" s="1"/>
  <c r="H151" i="15"/>
  <c r="AA151" i="15"/>
  <c r="Z151" i="15" s="1"/>
  <c r="Y151" i="15" s="1"/>
  <c r="G151" i="15"/>
  <c r="BX151" i="6" s="1"/>
  <c r="G364" i="15"/>
  <c r="BX364" i="6" s="1"/>
  <c r="H364" i="15"/>
  <c r="AA364" i="15"/>
  <c r="Z364" i="15" s="1"/>
  <c r="Y364" i="15" s="1"/>
  <c r="G51" i="15"/>
  <c r="BX51" i="6" s="1"/>
  <c r="H51" i="15"/>
  <c r="AA51" i="15"/>
  <c r="Z51" i="15" s="1"/>
  <c r="Y51" i="15" s="1"/>
  <c r="H260" i="15"/>
  <c r="AA260" i="15"/>
  <c r="Z260" i="15" s="1"/>
  <c r="Y260" i="15" s="1"/>
  <c r="G260" i="15"/>
  <c r="BX260" i="6" s="1"/>
  <c r="AA90" i="15"/>
  <c r="Z90" i="15" s="1"/>
  <c r="Y90" i="15" s="1"/>
  <c r="H90" i="15"/>
  <c r="G90" i="15"/>
  <c r="BX90" i="6" s="1"/>
  <c r="G372" i="15"/>
  <c r="BX372" i="6" s="1"/>
  <c r="H372" i="15"/>
  <c r="AA372" i="15"/>
  <c r="Z372" i="15" s="1"/>
  <c r="Y372" i="15" s="1"/>
  <c r="AA263" i="15"/>
  <c r="Z263" i="15" s="1"/>
  <c r="Y263" i="15" s="1"/>
  <c r="H263" i="15"/>
  <c r="G263" i="15"/>
  <c r="BX263" i="6" s="1"/>
  <c r="V145" i="15"/>
  <c r="F145" i="15" s="1"/>
  <c r="V362" i="15"/>
  <c r="F362" i="15" s="1"/>
  <c r="H226" i="15"/>
  <c r="AA226" i="15"/>
  <c r="Z226" i="15" s="1"/>
  <c r="Y226" i="15" s="1"/>
  <c r="G226" i="15"/>
  <c r="BX226" i="6" s="1"/>
  <c r="H27" i="15"/>
  <c r="G27" i="15"/>
  <c r="BX27" i="6" s="1"/>
  <c r="AA27" i="15"/>
  <c r="Z27" i="15" s="1"/>
  <c r="Y27" i="15" s="1"/>
  <c r="V250" i="15"/>
  <c r="F250" i="15" s="1"/>
  <c r="V19" i="15"/>
  <c r="F19" i="15" s="1"/>
  <c r="AA201" i="15"/>
  <c r="Z201" i="15" s="1"/>
  <c r="Y201" i="15" s="1"/>
  <c r="G201" i="15"/>
  <c r="BX201" i="6" s="1"/>
  <c r="H201" i="15"/>
  <c r="J201" i="15" s="1"/>
  <c r="V359" i="15"/>
  <c r="F359" i="15" s="1"/>
  <c r="H110" i="15"/>
  <c r="G110" i="15"/>
  <c r="BX110" i="6" s="1"/>
  <c r="AA110" i="15"/>
  <c r="Z110" i="15" s="1"/>
  <c r="Y110" i="15" s="1"/>
  <c r="H158" i="15"/>
  <c r="AA158" i="15"/>
  <c r="Z158" i="15" s="1"/>
  <c r="Y158" i="15" s="1"/>
  <c r="G158" i="15"/>
  <c r="BX158" i="6" s="1"/>
  <c r="AA267" i="15"/>
  <c r="Z267" i="15" s="1"/>
  <c r="Y267" i="15" s="1"/>
  <c r="H267" i="15"/>
  <c r="G267" i="15"/>
  <c r="BX267" i="6" s="1"/>
  <c r="G251" i="15"/>
  <c r="BX251" i="6" s="1"/>
  <c r="H251" i="15"/>
  <c r="AA251" i="15"/>
  <c r="Z251" i="15" s="1"/>
  <c r="Y251" i="15" s="1"/>
  <c r="V142" i="15"/>
  <c r="F142" i="15" s="1"/>
  <c r="G242" i="15"/>
  <c r="BX242" i="6" s="1"/>
  <c r="AA242" i="15"/>
  <c r="Z242" i="15" s="1"/>
  <c r="Y242" i="15" s="1"/>
  <c r="H242" i="15"/>
  <c r="H23" i="15"/>
  <c r="G23" i="15"/>
  <c r="BX23" i="6" s="1"/>
  <c r="AA23" i="15"/>
  <c r="Z23" i="15" s="1"/>
  <c r="Y23" i="15" s="1"/>
  <c r="V21" i="15"/>
  <c r="F21" i="15" s="1"/>
  <c r="G135" i="15"/>
  <c r="BX135" i="6" s="1"/>
  <c r="H135" i="15"/>
  <c r="AA135" i="15"/>
  <c r="Z135" i="15" s="1"/>
  <c r="Y135" i="15" s="1"/>
  <c r="V378" i="15"/>
  <c r="F378" i="15" s="1"/>
  <c r="V227" i="15"/>
  <c r="F227" i="15" s="1"/>
  <c r="V152" i="15"/>
  <c r="F152" i="15" s="1"/>
  <c r="V130" i="15"/>
  <c r="F130" i="15" s="1"/>
  <c r="G342" i="15"/>
  <c r="BX342" i="6" s="1"/>
  <c r="H342" i="15"/>
  <c r="AA342" i="15"/>
  <c r="Z342" i="15" s="1"/>
  <c r="Y342" i="15" s="1"/>
  <c r="G32" i="15"/>
  <c r="BX32" i="6" s="1"/>
  <c r="H32" i="15"/>
  <c r="AA32" i="15"/>
  <c r="Z32" i="15" s="1"/>
  <c r="Y32" i="15" s="1"/>
  <c r="V80" i="15"/>
  <c r="F80" i="15" s="1"/>
  <c r="G327" i="15"/>
  <c r="BX327" i="6" s="1"/>
  <c r="H327" i="15"/>
  <c r="AA327" i="15"/>
  <c r="Z327" i="15" s="1"/>
  <c r="Y327" i="15" s="1"/>
  <c r="AA115" i="15"/>
  <c r="Z115" i="15" s="1"/>
  <c r="Y115" i="15" s="1"/>
  <c r="H115" i="15"/>
  <c r="G115" i="15"/>
  <c r="BX115" i="6" s="1"/>
  <c r="H140" i="15"/>
  <c r="AA140" i="15"/>
  <c r="Z140" i="15" s="1"/>
  <c r="Y140" i="15" s="1"/>
  <c r="G140" i="15"/>
  <c r="BX140" i="6" s="1"/>
  <c r="H43" i="15"/>
  <c r="I43" i="15" s="1"/>
  <c r="AA43" i="15"/>
  <c r="Z43" i="15" s="1"/>
  <c r="Y43" i="15" s="1"/>
  <c r="G43" i="15"/>
  <c r="BX43" i="6" s="1"/>
  <c r="H161" i="15"/>
  <c r="G161" i="15"/>
  <c r="BX161" i="6" s="1"/>
  <c r="AA161" i="15"/>
  <c r="Z161" i="15" s="1"/>
  <c r="Y161" i="15" s="1"/>
  <c r="V239" i="15"/>
  <c r="F239" i="15" s="1"/>
  <c r="G345" i="15"/>
  <c r="BX345" i="6" s="1"/>
  <c r="AA345" i="15"/>
  <c r="Z345" i="15" s="1"/>
  <c r="Y345" i="15" s="1"/>
  <c r="H345" i="15"/>
  <c r="I345" i="15" s="1"/>
  <c r="G257" i="15"/>
  <c r="BX257" i="6" s="1"/>
  <c r="H257" i="15"/>
  <c r="AA257" i="15"/>
  <c r="Z257" i="15" s="1"/>
  <c r="Y257" i="15" s="1"/>
  <c r="G204" i="15"/>
  <c r="BX204" i="6" s="1"/>
  <c r="AA204" i="15"/>
  <c r="Z204" i="15" s="1"/>
  <c r="Y204" i="15" s="1"/>
  <c r="H204" i="15"/>
  <c r="J204" i="15" s="1"/>
  <c r="H340" i="15"/>
  <c r="G340" i="15"/>
  <c r="BX340" i="6" s="1"/>
  <c r="H160" i="15"/>
  <c r="G160" i="15"/>
  <c r="BX160" i="6" s="1"/>
  <c r="AA160" i="15"/>
  <c r="Z160" i="15" s="1"/>
  <c r="Y160" i="15" s="1"/>
  <c r="AA132" i="15"/>
  <c r="Z132" i="15" s="1"/>
  <c r="Y132" i="15" s="1"/>
  <c r="G132" i="15"/>
  <c r="BX132" i="6" s="1"/>
  <c r="H132" i="15"/>
  <c r="J132" i="15" s="1"/>
  <c r="V240" i="15"/>
  <c r="F240" i="15" s="1"/>
  <c r="G331" i="15"/>
  <c r="BX331" i="6" s="1"/>
  <c r="H331" i="15"/>
  <c r="AA331" i="15"/>
  <c r="Z331" i="15" s="1"/>
  <c r="Y331" i="15" s="1"/>
  <c r="V102" i="15"/>
  <c r="F102" i="15" s="1"/>
  <c r="G365" i="15"/>
  <c r="BX365" i="6" s="1"/>
  <c r="AA365" i="15"/>
  <c r="Z365" i="15" s="1"/>
  <c r="Y365" i="15" s="1"/>
  <c r="H365" i="15"/>
  <c r="J365" i="15" s="1"/>
  <c r="G207" i="15"/>
  <c r="BX207" i="6" s="1"/>
  <c r="H207" i="15"/>
  <c r="AA207" i="15"/>
  <c r="Z207" i="15" s="1"/>
  <c r="Y207" i="15" s="1"/>
  <c r="G363" i="15"/>
  <c r="BX363" i="6" s="1"/>
  <c r="AA363" i="15"/>
  <c r="Z363" i="15" s="1"/>
  <c r="Y363" i="15" s="1"/>
  <c r="H363" i="15"/>
  <c r="I363" i="15" s="1"/>
  <c r="V26" i="15"/>
  <c r="F26" i="15" s="1"/>
  <c r="G117" i="15"/>
  <c r="BX117" i="6" s="1"/>
  <c r="H117" i="15"/>
  <c r="AA117" i="15"/>
  <c r="Z117" i="15" s="1"/>
  <c r="Y117" i="15" s="1"/>
  <c r="G164" i="15"/>
  <c r="BX164" i="6" s="1"/>
  <c r="H164" i="15"/>
  <c r="AA164" i="15"/>
  <c r="Z164" i="15" s="1"/>
  <c r="Y164" i="15" s="1"/>
  <c r="AA360" i="15"/>
  <c r="Z360" i="15" s="1"/>
  <c r="Y360" i="15" s="1"/>
  <c r="G360" i="15"/>
  <c r="BX360" i="6" s="1"/>
  <c r="H360" i="15"/>
  <c r="J360" i="15" s="1"/>
  <c r="G308" i="15"/>
  <c r="BX308" i="6" s="1"/>
  <c r="H308" i="15"/>
  <c r="J308" i="15" s="1"/>
  <c r="AA308" i="15"/>
  <c r="Z308" i="15" s="1"/>
  <c r="Y308" i="15" s="1"/>
  <c r="V210" i="15"/>
  <c r="D38" i="7"/>
  <c r="F210" i="15"/>
  <c r="H106" i="15"/>
  <c r="G106" i="15"/>
  <c r="BX106" i="6" s="1"/>
  <c r="AA106" i="15"/>
  <c r="Z106" i="15" s="1"/>
  <c r="Y106" i="15" s="1"/>
  <c r="V91" i="15"/>
  <c r="F91" i="15" s="1"/>
  <c r="V34" i="15"/>
  <c r="F34" i="15" s="1"/>
  <c r="H118" i="15"/>
  <c r="AA118" i="15"/>
  <c r="Z118" i="15" s="1"/>
  <c r="Y118" i="15" s="1"/>
  <c r="G118" i="15"/>
  <c r="BX118" i="6" s="1"/>
  <c r="G374" i="15"/>
  <c r="BX374" i="6" s="1"/>
  <c r="H374" i="15"/>
  <c r="AA374" i="15"/>
  <c r="Z374" i="15" s="1"/>
  <c r="Y374" i="15" s="1"/>
  <c r="V78" i="15"/>
  <c r="F78" i="15" s="1"/>
  <c r="G232" i="15"/>
  <c r="BX232" i="6" s="1"/>
  <c r="H232" i="15"/>
  <c r="AA232" i="15"/>
  <c r="Z232" i="15" s="1"/>
  <c r="Y232" i="15" s="1"/>
  <c r="AA235" i="15"/>
  <c r="Z235" i="15" s="1"/>
  <c r="Y235" i="15" s="1"/>
  <c r="H235" i="15"/>
  <c r="J235" i="15" s="1"/>
  <c r="G235" i="15"/>
  <c r="BX235" i="6" s="1"/>
  <c r="G370" i="15"/>
  <c r="BX370" i="6" s="1"/>
  <c r="H370" i="15"/>
  <c r="AA370" i="15"/>
  <c r="Z370" i="15" s="1"/>
  <c r="Y370" i="15" s="1"/>
  <c r="V119" i="15"/>
  <c r="D35" i="7"/>
  <c r="F119" i="15"/>
  <c r="H266" i="15"/>
  <c r="G266" i="15"/>
  <c r="BX266" i="6" s="1"/>
  <c r="AA266" i="15"/>
  <c r="Z266" i="15" s="1"/>
  <c r="Y266" i="15" s="1"/>
  <c r="H222" i="15"/>
  <c r="G222" i="15"/>
  <c r="BX222" i="6" s="1"/>
  <c r="AA222" i="15"/>
  <c r="Z222" i="15" s="1"/>
  <c r="Y222" i="15" s="1"/>
  <c r="H165" i="15"/>
  <c r="AA165" i="15"/>
  <c r="Z165" i="15" s="1"/>
  <c r="Y165" i="15" s="1"/>
  <c r="G165" i="15"/>
  <c r="BX165" i="6" s="1"/>
  <c r="H279" i="15"/>
  <c r="G279" i="15"/>
  <c r="BX279" i="6" s="1"/>
  <c r="AA279" i="15"/>
  <c r="Z279" i="15" s="1"/>
  <c r="Y279" i="15" s="1"/>
  <c r="G301" i="15"/>
  <c r="BX301" i="6" s="1"/>
  <c r="AA301" i="15"/>
  <c r="Z301" i="15" s="1"/>
  <c r="Y301" i="15" s="1"/>
  <c r="H301" i="15"/>
  <c r="G261" i="15"/>
  <c r="BX261" i="6" s="1"/>
  <c r="H261" i="15"/>
  <c r="AA261" i="15"/>
  <c r="Z261" i="15" s="1"/>
  <c r="Y261" i="15" s="1"/>
  <c r="G326" i="15"/>
  <c r="BX326" i="6" s="1"/>
  <c r="H326" i="15"/>
  <c r="AA326" i="15"/>
  <c r="Z326" i="15" s="1"/>
  <c r="Y326" i="15" s="1"/>
  <c r="V149" i="15"/>
  <c r="D36" i="7"/>
  <c r="F149" i="15"/>
  <c r="V271" i="15"/>
  <c r="F271" i="15" s="1"/>
  <c r="AA108" i="15"/>
  <c r="Z108" i="15" s="1"/>
  <c r="Y108" i="15" s="1"/>
  <c r="H108" i="15"/>
  <c r="J108" i="15" s="1"/>
  <c r="G108" i="15"/>
  <c r="BX108" i="6" s="1"/>
  <c r="G348" i="15"/>
  <c r="BX348" i="6" s="1"/>
  <c r="H348" i="15"/>
  <c r="AA348" i="15"/>
  <c r="Z348" i="15" s="1"/>
  <c r="Y348" i="15" s="1"/>
  <c r="AA97" i="15"/>
  <c r="Z97" i="15" s="1"/>
  <c r="Y97" i="15" s="1"/>
  <c r="H97" i="15"/>
  <c r="G97" i="15"/>
  <c r="BX97" i="6" s="1"/>
  <c r="V25" i="15"/>
  <c r="F25" i="15" s="1"/>
  <c r="G133" i="15"/>
  <c r="BX133" i="6" s="1"/>
  <c r="H133" i="15"/>
  <c r="AA133" i="15"/>
  <c r="Z133" i="15" s="1"/>
  <c r="Y133" i="15" s="1"/>
  <c r="V247" i="15"/>
  <c r="F247" i="15" s="1"/>
  <c r="V341" i="15"/>
  <c r="F341" i="15" s="1"/>
  <c r="G369" i="15"/>
  <c r="BX369" i="6" s="1"/>
  <c r="H369" i="15"/>
  <c r="AA369" i="15"/>
  <c r="Z369" i="15" s="1"/>
  <c r="Y369" i="15" s="1"/>
  <c r="G33" i="15"/>
  <c r="BX33" i="6" s="1"/>
  <c r="AA33" i="15"/>
  <c r="Z33" i="15" s="1"/>
  <c r="Y33" i="15" s="1"/>
  <c r="H33" i="15"/>
  <c r="I33" i="15" s="1"/>
  <c r="AA217" i="15"/>
  <c r="Z217" i="15" s="1"/>
  <c r="Y217" i="15" s="1"/>
  <c r="H217" i="15"/>
  <c r="G217" i="15"/>
  <c r="BX217" i="6" s="1"/>
  <c r="H291" i="15"/>
  <c r="G291" i="15"/>
  <c r="BX291" i="6" s="1"/>
  <c r="AA291" i="15"/>
  <c r="Z291" i="15" s="1"/>
  <c r="Y291" i="15" s="1"/>
  <c r="V231" i="15"/>
  <c r="F231" i="15" s="1"/>
  <c r="H92" i="15"/>
  <c r="G92" i="15"/>
  <c r="BX92" i="6" s="1"/>
  <c r="AA92" i="15"/>
  <c r="Z92" i="15" s="1"/>
  <c r="Y92" i="15" s="1"/>
  <c r="V17" i="15"/>
  <c r="F17" i="15" s="1"/>
  <c r="AA129" i="15"/>
  <c r="Z129" i="15" s="1"/>
  <c r="Y129" i="15" s="1"/>
  <c r="H129" i="15"/>
  <c r="I129" i="15" s="1"/>
  <c r="G129" i="15"/>
  <c r="BX129" i="6" s="1"/>
  <c r="G124" i="15"/>
  <c r="BX124" i="6" s="1"/>
  <c r="H124" i="15"/>
  <c r="AA124" i="15"/>
  <c r="Z124" i="15" s="1"/>
  <c r="Y124" i="15" s="1"/>
  <c r="G248" i="15"/>
  <c r="BX248" i="6" s="1"/>
  <c r="H248" i="15"/>
  <c r="AA248" i="15"/>
  <c r="Z248" i="15" s="1"/>
  <c r="Y248" i="15" s="1"/>
  <c r="F358" i="15"/>
  <c r="H38" i="15"/>
  <c r="G38" i="15"/>
  <c r="BX38" i="6" s="1"/>
  <c r="AA38" i="15"/>
  <c r="Z38" i="15" s="1"/>
  <c r="Y38" i="15" s="1"/>
  <c r="G63" i="15"/>
  <c r="BX63" i="6" s="1"/>
  <c r="H63" i="15"/>
  <c r="AA63" i="15"/>
  <c r="Z63" i="15" s="1"/>
  <c r="Y63" i="15" s="1"/>
  <c r="V282" i="15"/>
  <c r="F282" i="15" s="1"/>
  <c r="G228" i="15"/>
  <c r="BX228" i="6" s="1"/>
  <c r="H228" i="15"/>
  <c r="AA228" i="15"/>
  <c r="Z228" i="15" s="1"/>
  <c r="Y228" i="15" s="1"/>
  <c r="H120" i="15"/>
  <c r="AA120" i="15"/>
  <c r="Z120" i="15" s="1"/>
  <c r="Y120" i="15" s="1"/>
  <c r="G120" i="15"/>
  <c r="BX120" i="6" s="1"/>
  <c r="V98" i="15"/>
  <c r="F98" i="15" s="1"/>
  <c r="H125" i="15"/>
  <c r="G125" i="15"/>
  <c r="BX125" i="6" s="1"/>
  <c r="AA125" i="15"/>
  <c r="Z125" i="15" s="1"/>
  <c r="Y125" i="15" s="1"/>
  <c r="H128" i="15"/>
  <c r="I128" i="15" s="1"/>
  <c r="G128" i="15"/>
  <c r="BX128" i="6" s="1"/>
  <c r="AA128" i="15"/>
  <c r="Z128" i="15" s="1"/>
  <c r="Y128" i="15" s="1"/>
  <c r="G249" i="15"/>
  <c r="BX249" i="6" s="1"/>
  <c r="H249" i="15"/>
  <c r="AA249" i="15"/>
  <c r="Z249" i="15" s="1"/>
  <c r="Y249" i="15" s="1"/>
  <c r="V284" i="15"/>
  <c r="F284" i="15" s="1"/>
  <c r="H273" i="15"/>
  <c r="AA273" i="15"/>
  <c r="Z273" i="15" s="1"/>
  <c r="Y273" i="15" s="1"/>
  <c r="G273" i="15"/>
  <c r="BX273" i="6" s="1"/>
  <c r="V39" i="15"/>
  <c r="F39" i="15" s="1"/>
  <c r="V30" i="15"/>
  <c r="F30" i="15" s="1"/>
  <c r="V24" i="15"/>
  <c r="F24" i="15" s="1"/>
  <c r="G150" i="15"/>
  <c r="BX150" i="6" s="1"/>
  <c r="AA150" i="15"/>
  <c r="Z150" i="15" s="1"/>
  <c r="Y150" i="15" s="1"/>
  <c r="H150" i="15"/>
  <c r="AA96" i="15"/>
  <c r="Z96" i="15" s="1"/>
  <c r="Y96" i="15" s="1"/>
  <c r="H96" i="15"/>
  <c r="G96" i="15"/>
  <c r="BX96" i="6" s="1"/>
  <c r="G377" i="15"/>
  <c r="BX377" i="6" s="1"/>
  <c r="AA377" i="15"/>
  <c r="Z377" i="15" s="1"/>
  <c r="Y377" i="15" s="1"/>
  <c r="H377" i="15"/>
  <c r="H157" i="15"/>
  <c r="G157" i="15"/>
  <c r="BX157" i="6" s="1"/>
  <c r="AA157" i="15"/>
  <c r="Z157" i="15" s="1"/>
  <c r="Y157" i="15" s="1"/>
  <c r="G116" i="15"/>
  <c r="BX116" i="6" s="1"/>
  <c r="H116" i="15"/>
  <c r="AA116" i="15"/>
  <c r="Z116" i="15" s="1"/>
  <c r="Y116" i="15" s="1"/>
  <c r="V243" i="15"/>
  <c r="F243" i="15" s="1"/>
  <c r="G292" i="15"/>
  <c r="BX292" i="6" s="1"/>
  <c r="H292" i="15"/>
  <c r="AA292" i="15"/>
  <c r="Z292" i="15" s="1"/>
  <c r="Y292" i="15" s="1"/>
  <c r="G367" i="15"/>
  <c r="BX367" i="6" s="1"/>
  <c r="AA367" i="15"/>
  <c r="Z367" i="15" s="1"/>
  <c r="Y367" i="15" s="1"/>
  <c r="H367" i="15"/>
  <c r="G153" i="15"/>
  <c r="BX153" i="6" s="1"/>
  <c r="H153" i="15"/>
  <c r="AA153" i="15"/>
  <c r="Z153" i="15" s="1"/>
  <c r="Y153" i="15" s="1"/>
  <c r="G223" i="15"/>
  <c r="BX223" i="6" s="1"/>
  <c r="H223" i="15"/>
  <c r="AA223" i="15"/>
  <c r="Z223" i="15" s="1"/>
  <c r="Y223" i="15" s="1"/>
  <c r="G293" i="15"/>
  <c r="BX293" i="6" s="1"/>
  <c r="H293" i="15"/>
  <c r="AA293" i="15"/>
  <c r="Z293" i="15" s="1"/>
  <c r="Y293" i="15" s="1"/>
  <c r="G86" i="15"/>
  <c r="BX86" i="6" s="1"/>
  <c r="H86" i="15"/>
  <c r="AA86" i="15"/>
  <c r="Z86" i="15" s="1"/>
  <c r="Y86" i="15" s="1"/>
  <c r="V123" i="15"/>
  <c r="F123" i="15" s="1"/>
  <c r="G139" i="15"/>
  <c r="BX139" i="6" s="1"/>
  <c r="H139" i="15"/>
  <c r="AA139" i="15"/>
  <c r="Z139" i="15" s="1"/>
  <c r="Y139" i="15" s="1"/>
  <c r="V29" i="15"/>
  <c r="D32" i="7"/>
  <c r="F29" i="15"/>
  <c r="AA103" i="15"/>
  <c r="Z103" i="15" s="1"/>
  <c r="Y103" i="15" s="1"/>
  <c r="G103" i="15"/>
  <c r="BX103" i="6" s="1"/>
  <c r="H103" i="15"/>
  <c r="D39" i="7"/>
  <c r="V241" i="15"/>
  <c r="F241" i="15" s="1"/>
  <c r="V373" i="15"/>
  <c r="V255" i="15"/>
  <c r="F255" i="15" s="1"/>
  <c r="AA268" i="15"/>
  <c r="Z268" i="15" s="1"/>
  <c r="Y268" i="15" s="1"/>
  <c r="H268" i="15"/>
  <c r="G268" i="15"/>
  <c r="BX268" i="6" s="1"/>
  <c r="V272" i="15"/>
  <c r="F272" i="15" s="1"/>
  <c r="D40" i="7"/>
  <c r="G99" i="15"/>
  <c r="BX99" i="6" s="1"/>
  <c r="H99" i="15"/>
  <c r="AA99" i="15"/>
  <c r="Z99" i="15" s="1"/>
  <c r="Y99" i="15" s="1"/>
  <c r="G89" i="15"/>
  <c r="BX89" i="6" s="1"/>
  <c r="AA89" i="15"/>
  <c r="Z89" i="15" s="1"/>
  <c r="Y89" i="15" s="1"/>
  <c r="H89" i="15"/>
  <c r="H95" i="15"/>
  <c r="AA95" i="15"/>
  <c r="Z95" i="15" s="1"/>
  <c r="Y95" i="15" s="1"/>
  <c r="G95" i="15"/>
  <c r="BX95" i="6" s="1"/>
  <c r="V20" i="15"/>
  <c r="F20" i="15" s="1"/>
  <c r="V376" i="15"/>
  <c r="F376" i="15" s="1"/>
  <c r="H81" i="15"/>
  <c r="G81" i="15"/>
  <c r="BX81" i="6" s="1"/>
  <c r="AA81" i="15"/>
  <c r="Z81" i="15" s="1"/>
  <c r="Y81" i="15" s="1"/>
  <c r="V309" i="15"/>
  <c r="F309" i="15" s="1"/>
  <c r="G109" i="15"/>
  <c r="BX109" i="6" s="1"/>
  <c r="H109" i="15"/>
  <c r="AA109" i="15"/>
  <c r="Z109" i="15" s="1"/>
  <c r="Y109" i="15" s="1"/>
  <c r="H35" i="15"/>
  <c r="AA35" i="15"/>
  <c r="Z35" i="15" s="1"/>
  <c r="Y35" i="15" s="1"/>
  <c r="G35" i="15"/>
  <c r="BX35" i="6" s="1"/>
  <c r="H252" i="15"/>
  <c r="G252" i="15"/>
  <c r="BX252" i="6" s="1"/>
  <c r="AA252" i="15"/>
  <c r="Z252" i="15" s="1"/>
  <c r="Y252" i="15" s="1"/>
  <c r="H335" i="15"/>
  <c r="AA335" i="15"/>
  <c r="Z335" i="15" s="1"/>
  <c r="Y335" i="15" s="1"/>
  <c r="G335" i="15"/>
  <c r="BX335" i="6" s="1"/>
  <c r="G155" i="15"/>
  <c r="BX155" i="6" s="1"/>
  <c r="AA155" i="15"/>
  <c r="Z155" i="15" s="1"/>
  <c r="Y155" i="15" s="1"/>
  <c r="H155" i="15"/>
  <c r="H325" i="15"/>
  <c r="G325" i="15"/>
  <c r="BX325" i="6" s="1"/>
  <c r="AA325" i="15"/>
  <c r="Z325" i="15" s="1"/>
  <c r="Y325" i="15" s="1"/>
  <c r="G237" i="15"/>
  <c r="BX237" i="6" s="1"/>
  <c r="AA237" i="15"/>
  <c r="Z237" i="15" s="1"/>
  <c r="Y237" i="15" s="1"/>
  <c r="H237" i="15"/>
  <c r="G148" i="15"/>
  <c r="BX148" i="6" s="1"/>
  <c r="AA148" i="15"/>
  <c r="Z148" i="15" s="1"/>
  <c r="Y148" i="15" s="1"/>
  <c r="H148" i="15"/>
  <c r="J148" i="15" s="1"/>
  <c r="S379" i="15"/>
  <c r="R379" i="15" s="1"/>
  <c r="P379" i="15" s="1"/>
  <c r="V75" i="15"/>
  <c r="AA66" i="15"/>
  <c r="Z66" i="15" s="1"/>
  <c r="Y66" i="15" s="1"/>
  <c r="H66" i="15"/>
  <c r="G69" i="15"/>
  <c r="BX69" i="6" s="1"/>
  <c r="H69" i="15"/>
  <c r="AA69" i="15"/>
  <c r="Z69" i="15" s="1"/>
  <c r="Y69" i="15" s="1"/>
  <c r="H233" i="15"/>
  <c r="G233" i="15"/>
  <c r="BX233" i="6" s="1"/>
  <c r="G82" i="15"/>
  <c r="BX82" i="6" s="1"/>
  <c r="H82" i="15"/>
  <c r="AA82" i="15"/>
  <c r="Z82" i="15" s="1"/>
  <c r="Y82" i="15" s="1"/>
  <c r="G121" i="15"/>
  <c r="BX121" i="6" s="1"/>
  <c r="AA121" i="15"/>
  <c r="Z121" i="15" s="1"/>
  <c r="Y121" i="15" s="1"/>
  <c r="H121" i="15"/>
  <c r="H172" i="15"/>
  <c r="AA172" i="15"/>
  <c r="Z172" i="15" s="1"/>
  <c r="Y172" i="15" s="1"/>
  <c r="G172" i="15"/>
  <c r="BX172" i="6" s="1"/>
  <c r="AA16" i="15"/>
  <c r="Z16" i="15" s="1"/>
  <c r="Y16" i="15" s="1"/>
  <c r="G16" i="15"/>
  <c r="BX16" i="6" s="1"/>
  <c r="H16" i="15"/>
  <c r="G346" i="15"/>
  <c r="BX346" i="6" s="1"/>
  <c r="H346" i="15"/>
  <c r="AA254" i="15"/>
  <c r="Z254" i="15" s="1"/>
  <c r="Y254" i="15" s="1"/>
  <c r="H254" i="15"/>
  <c r="G254" i="15"/>
  <c r="BX254" i="6" s="1"/>
  <c r="O16" i="7"/>
  <c r="U10" i="16"/>
  <c r="S15" i="15"/>
  <c r="T383" i="15"/>
  <c r="T382" i="15"/>
  <c r="T381" i="15"/>
  <c r="J306" i="15"/>
  <c r="I45" i="15"/>
  <c r="AC114" i="18"/>
  <c r="AC113" i="18"/>
  <c r="AC358" i="18"/>
  <c r="AC148" i="18"/>
  <c r="AC357" i="18"/>
  <c r="AC182" i="18"/>
  <c r="AC239" i="18"/>
  <c r="AC96" i="18"/>
  <c r="AC345" i="18"/>
  <c r="AC86" i="18"/>
  <c r="AC313" i="18"/>
  <c r="AC155" i="18"/>
  <c r="AC261" i="18"/>
  <c r="AC215" i="18"/>
  <c r="AC361" i="18"/>
  <c r="AC177" i="18"/>
  <c r="AC217" i="18"/>
  <c r="AC295" i="18"/>
  <c r="AC332" i="18"/>
  <c r="AC120" i="18"/>
  <c r="AC235" i="18"/>
  <c r="AC352" i="18"/>
  <c r="AC142" i="18"/>
  <c r="AC85" i="18"/>
  <c r="I307" i="15"/>
  <c r="AA180" i="15"/>
  <c r="Z180" i="15" s="1"/>
  <c r="Y180" i="15" s="1"/>
  <c r="I50" i="15"/>
  <c r="I197" i="15"/>
  <c r="I191" i="15"/>
  <c r="I305" i="15"/>
  <c r="H180" i="15"/>
  <c r="I180" i="15" s="1"/>
  <c r="I295" i="15"/>
  <c r="J317" i="15"/>
  <c r="I343" i="15"/>
  <c r="AC174" i="18"/>
  <c r="AC227" i="18"/>
  <c r="AC252" i="18"/>
  <c r="AC187" i="18"/>
  <c r="AC214" i="18"/>
  <c r="AC260" i="18"/>
  <c r="AC152" i="18"/>
  <c r="AC144" i="18"/>
  <c r="AC123" i="18"/>
  <c r="AC359" i="18"/>
  <c r="AC154" i="18"/>
  <c r="AC317" i="18"/>
  <c r="AC127" i="18"/>
  <c r="AC184" i="18"/>
  <c r="AC342" i="18"/>
  <c r="AC150" i="18"/>
  <c r="AC244" i="18"/>
  <c r="AC128" i="18"/>
  <c r="AC242" i="18"/>
  <c r="AC368" i="18"/>
  <c r="AC89" i="18"/>
  <c r="AC190" i="18"/>
  <c r="AC87" i="18"/>
  <c r="AC201" i="18"/>
  <c r="AC331" i="18"/>
  <c r="AC132" i="18"/>
  <c r="AC287" i="18"/>
  <c r="AC102" i="18"/>
  <c r="AC280" i="18"/>
  <c r="AC374" i="18"/>
  <c r="AC203" i="18"/>
  <c r="AC321" i="18"/>
  <c r="AC163" i="18"/>
  <c r="AC236" i="18"/>
  <c r="AC303" i="18"/>
  <c r="AC126" i="18"/>
  <c r="AC209" i="18"/>
  <c r="AC226" i="18"/>
  <c r="AC323" i="18"/>
  <c r="AC116" i="18"/>
  <c r="AC165" i="18"/>
  <c r="AC229" i="18"/>
  <c r="AC237" i="18"/>
  <c r="AC350" i="18"/>
  <c r="AC74" i="18"/>
  <c r="AC164" i="18"/>
  <c r="AC299" i="18"/>
  <c r="AC326" i="18"/>
  <c r="AC362" i="18"/>
  <c r="AC135" i="18"/>
  <c r="AC194" i="18"/>
  <c r="AC199" i="18"/>
  <c r="AC306" i="18"/>
  <c r="AC318" i="18"/>
  <c r="AC90" i="18"/>
  <c r="AC180" i="18"/>
  <c r="AC241" i="18"/>
  <c r="AC270" i="18"/>
  <c r="AC329" i="18"/>
  <c r="AC79" i="18"/>
  <c r="AC139" i="18"/>
  <c r="AC264" i="18"/>
  <c r="AC271" i="18"/>
  <c r="AC340" i="18"/>
  <c r="AC94" i="18"/>
  <c r="AC185" i="18"/>
  <c r="AC193" i="18"/>
  <c r="AC373" i="18"/>
  <c r="AC97" i="18"/>
  <c r="AC153" i="18"/>
  <c r="AC206" i="18"/>
  <c r="AC222" i="18"/>
  <c r="AC336" i="18"/>
  <c r="AC363" i="18"/>
  <c r="AC95" i="18"/>
  <c r="AC115" i="18"/>
  <c r="AC248" i="18"/>
  <c r="AC275" i="18"/>
  <c r="AC337" i="18"/>
  <c r="AC84" i="18"/>
  <c r="AC146" i="18"/>
  <c r="AC269" i="18"/>
  <c r="AC279" i="18"/>
  <c r="AC354" i="18"/>
  <c r="AC133" i="18"/>
  <c r="AC211" i="18"/>
  <c r="AC250" i="18"/>
  <c r="AC172" i="18"/>
  <c r="AC343" i="18"/>
  <c r="AC213" i="18"/>
  <c r="AC371" i="18"/>
  <c r="AC278" i="18"/>
  <c r="AC93" i="18"/>
  <c r="AC283" i="18"/>
  <c r="AC117" i="18"/>
  <c r="AC316" i="18"/>
  <c r="AC200" i="18"/>
  <c r="AC355" i="18"/>
  <c r="AC169" i="18"/>
  <c r="AC263" i="18"/>
  <c r="AC121" i="18"/>
  <c r="AC255" i="18"/>
  <c r="AC82" i="18"/>
  <c r="AC168" i="18"/>
  <c r="AC183" i="18"/>
  <c r="AC347" i="18"/>
  <c r="AC378" i="18"/>
  <c r="AC81" i="18"/>
  <c r="AC137" i="18"/>
  <c r="AC198" i="18"/>
  <c r="AC207" i="18"/>
  <c r="AC309" i="18"/>
  <c r="AC335" i="18"/>
  <c r="AC78" i="18"/>
  <c r="AC175" i="18"/>
  <c r="AC228" i="18"/>
  <c r="AC257" i="18"/>
  <c r="AC312" i="18"/>
  <c r="AC130" i="18"/>
  <c r="AC256" i="18"/>
  <c r="AC266" i="18"/>
  <c r="AC314" i="18"/>
  <c r="AC103" i="18"/>
  <c r="AC188" i="18"/>
  <c r="AC202" i="18"/>
  <c r="AC297" i="18"/>
  <c r="AC104" i="18"/>
  <c r="AC158" i="18"/>
  <c r="AC210" i="18"/>
  <c r="AC230" i="18"/>
  <c r="AC344" i="18"/>
  <c r="AC119" i="18"/>
  <c r="AC145" i="18"/>
  <c r="AC282" i="18"/>
  <c r="AC311" i="18"/>
  <c r="AC320" i="18"/>
  <c r="AC125" i="18"/>
  <c r="AC178" i="18"/>
  <c r="AC304" i="18"/>
  <c r="AC293" i="18"/>
  <c r="AC325" i="18"/>
  <c r="AC147" i="18"/>
  <c r="AC216" i="18"/>
  <c r="AC238" i="18"/>
  <c r="AC351" i="18"/>
  <c r="AC124" i="18"/>
  <c r="AC173" i="18"/>
  <c r="AC240" i="18"/>
  <c r="AC253" i="18"/>
  <c r="AC364" i="18"/>
  <c r="AC159" i="18"/>
  <c r="AC296" i="18"/>
  <c r="AC319" i="18"/>
  <c r="AC360" i="18"/>
  <c r="AC131" i="18"/>
  <c r="AC189" i="18"/>
  <c r="AC195" i="18"/>
  <c r="AC302" i="18"/>
  <c r="AC307" i="18"/>
  <c r="AC83" i="18"/>
  <c r="AC176" i="18"/>
  <c r="AC234" i="18"/>
  <c r="AC267" i="18"/>
  <c r="AC324" i="18"/>
  <c r="AC76" i="18"/>
  <c r="AC134" i="18"/>
  <c r="AC259" i="18"/>
  <c r="AC268" i="18"/>
  <c r="AC327" i="18"/>
  <c r="AC105" i="18"/>
  <c r="AC192" i="18"/>
  <c r="AC218" i="18"/>
  <c r="AC300" i="18"/>
  <c r="AC109" i="18"/>
  <c r="AC160" i="18"/>
  <c r="AC212" i="18"/>
  <c r="AC233" i="18"/>
  <c r="AC346" i="18"/>
  <c r="AC101" i="18"/>
  <c r="AC138" i="18"/>
  <c r="AC272" i="18"/>
  <c r="AC289" i="18"/>
  <c r="AC365" i="18"/>
  <c r="AC106" i="18"/>
  <c r="AC157" i="18"/>
  <c r="AC286" i="18"/>
  <c r="AC288" i="18"/>
  <c r="AJ9" i="17"/>
  <c r="AJ11" i="17" s="1"/>
  <c r="AJ13" i="17" s="1"/>
  <c r="E9" i="17"/>
  <c r="E11" i="17" s="1"/>
  <c r="E382" i="17"/>
  <c r="E383" i="17"/>
  <c r="E381" i="17"/>
  <c r="AK8" i="17"/>
  <c r="AK8" i="16"/>
  <c r="E382" i="16"/>
  <c r="E9" i="16"/>
  <c r="E11" i="16" s="1"/>
  <c r="AJ10" i="16"/>
  <c r="AJ12" i="16" s="1"/>
  <c r="AJ13" i="16" s="1"/>
  <c r="E383" i="16"/>
  <c r="E381" i="16"/>
  <c r="J68" i="15"/>
  <c r="I68" i="15"/>
  <c r="O11" i="24"/>
  <c r="AC12" i="24"/>
  <c r="AC9" i="24"/>
  <c r="O12" i="24"/>
  <c r="I245" i="15"/>
  <c r="J245" i="15"/>
  <c r="AJ17" i="25"/>
  <c r="AJ20" i="25"/>
  <c r="AJ30" i="25"/>
  <c r="AJ22" i="25"/>
  <c r="AJ25" i="25"/>
  <c r="AJ33" i="25"/>
  <c r="AJ42" i="25"/>
  <c r="AJ55" i="25"/>
  <c r="AJ37" i="25"/>
  <c r="AJ41" i="25"/>
  <c r="AJ46" i="25"/>
  <c r="AJ52" i="25"/>
  <c r="AJ60" i="25"/>
  <c r="AJ65" i="25"/>
  <c r="AJ75" i="25"/>
  <c r="AJ80" i="25"/>
  <c r="AJ86" i="25"/>
  <c r="AJ99" i="25"/>
  <c r="AJ110" i="25"/>
  <c r="AJ66" i="25"/>
  <c r="AJ72" i="25"/>
  <c r="AJ85" i="25"/>
  <c r="AJ90" i="25"/>
  <c r="AJ97" i="25"/>
  <c r="AJ106" i="25"/>
  <c r="AJ112" i="25"/>
  <c r="AJ128" i="25"/>
  <c r="AJ138" i="25"/>
  <c r="AJ144" i="25"/>
  <c r="AJ157" i="25"/>
  <c r="AJ162" i="25"/>
  <c r="AJ166" i="25"/>
  <c r="AJ104" i="25"/>
  <c r="AJ116" i="25"/>
  <c r="AJ123" i="25"/>
  <c r="AJ131" i="25"/>
  <c r="AJ137" i="25"/>
  <c r="AJ147" i="25"/>
  <c r="AJ151" i="25"/>
  <c r="AJ159" i="25"/>
  <c r="AJ172" i="25"/>
  <c r="AJ177" i="25"/>
  <c r="AJ186" i="25"/>
  <c r="AJ193" i="25"/>
  <c r="AJ199" i="25"/>
  <c r="AJ204" i="25"/>
  <c r="AJ217" i="25"/>
  <c r="AJ221" i="25"/>
  <c r="AJ228" i="25"/>
  <c r="AJ233" i="25"/>
  <c r="AJ238" i="25"/>
  <c r="AJ244" i="25"/>
  <c r="AJ255" i="25"/>
  <c r="AJ263" i="25"/>
  <c r="AJ271" i="25"/>
  <c r="AJ277" i="25"/>
  <c r="AJ284" i="25"/>
  <c r="AJ289" i="25"/>
  <c r="AJ178" i="25"/>
  <c r="AJ185" i="25"/>
  <c r="AJ194" i="25"/>
  <c r="AJ206" i="25"/>
  <c r="AJ212" i="25"/>
  <c r="AJ222" i="25"/>
  <c r="AJ234" i="25"/>
  <c r="AJ247" i="25"/>
  <c r="AJ251" i="25"/>
  <c r="AJ260" i="25"/>
  <c r="AJ269" i="25"/>
  <c r="AJ279" i="25"/>
  <c r="AJ290" i="25"/>
  <c r="AJ307" i="25"/>
  <c r="AJ312" i="25"/>
  <c r="AJ321" i="25"/>
  <c r="AJ325" i="25"/>
  <c r="AJ331" i="25"/>
  <c r="AJ337" i="25"/>
  <c r="AJ341" i="25"/>
  <c r="AJ352" i="25"/>
  <c r="AJ357" i="25"/>
  <c r="AJ363" i="25"/>
  <c r="AJ371" i="25"/>
  <c r="AJ299" i="25"/>
  <c r="AJ313" i="25"/>
  <c r="AJ334" i="25"/>
  <c r="AJ350" i="25"/>
  <c r="AJ366" i="25"/>
  <c r="AJ296" i="25"/>
  <c r="AJ344" i="25"/>
  <c r="AJ376" i="25"/>
  <c r="AJ316" i="25"/>
  <c r="AJ379" i="25"/>
  <c r="AJ380" i="25"/>
  <c r="AJ24" i="25"/>
  <c r="AJ23" i="25"/>
  <c r="AJ18" i="25"/>
  <c r="AJ32" i="25"/>
  <c r="AJ36" i="25"/>
  <c r="AJ53" i="25"/>
  <c r="AJ63" i="25"/>
  <c r="AJ40" i="25"/>
  <c r="AJ45" i="25"/>
  <c r="AJ51" i="25"/>
  <c r="AJ59" i="25"/>
  <c r="AJ64" i="25"/>
  <c r="AJ74" i="25"/>
  <c r="AJ79" i="25"/>
  <c r="AJ84" i="25"/>
  <c r="AJ96" i="25"/>
  <c r="AJ103" i="25"/>
  <c r="AJ122" i="25"/>
  <c r="AJ71" i="25"/>
  <c r="AJ81" i="25"/>
  <c r="AJ89" i="25"/>
  <c r="AJ95" i="25"/>
  <c r="AJ105" i="25"/>
  <c r="AJ111" i="25"/>
  <c r="AJ125" i="25"/>
  <c r="AJ133" i="25"/>
  <c r="AJ143" i="25"/>
  <c r="AJ155" i="25"/>
  <c r="AJ161" i="25"/>
  <c r="AJ165" i="25"/>
  <c r="AJ174" i="25"/>
  <c r="AJ115" i="25"/>
  <c r="AJ120" i="25"/>
  <c r="AJ129" i="25"/>
  <c r="AJ136" i="25"/>
  <c r="AJ146" i="25"/>
  <c r="AJ150" i="25"/>
  <c r="AJ156" i="25"/>
  <c r="AJ170" i="25"/>
  <c r="AJ176" i="25"/>
  <c r="AJ184" i="25"/>
  <c r="AJ189" i="25"/>
  <c r="AJ197" i="25"/>
  <c r="AJ202" i="25"/>
  <c r="AJ216" i="25"/>
  <c r="AJ220" i="25"/>
  <c r="AJ227" i="25"/>
  <c r="AJ232" i="25"/>
  <c r="AJ237" i="25"/>
  <c r="AJ242" i="25"/>
  <c r="AJ254" i="25"/>
  <c r="AJ262" i="25"/>
  <c r="AJ268" i="25"/>
  <c r="AJ276" i="25"/>
  <c r="AJ282" i="25"/>
  <c r="AJ288" i="25"/>
  <c r="AJ301" i="25"/>
  <c r="AJ182" i="25"/>
  <c r="AJ192" i="25"/>
  <c r="AJ205" i="25"/>
  <c r="AJ211" i="25"/>
  <c r="AJ215" i="25"/>
  <c r="AJ230" i="25"/>
  <c r="AJ245" i="25"/>
  <c r="AJ250" i="25"/>
  <c r="AJ259" i="25"/>
  <c r="AJ266" i="25"/>
  <c r="AJ275" i="25"/>
  <c r="AJ285" i="25"/>
  <c r="AJ302" i="25"/>
  <c r="AJ310" i="25"/>
  <c r="AJ319" i="25"/>
  <c r="AJ324" i="25"/>
  <c r="AJ329" i="25"/>
  <c r="AJ336" i="25"/>
  <c r="AJ340" i="25"/>
  <c r="AJ346" i="25"/>
  <c r="AJ356" i="25"/>
  <c r="AJ362" i="25"/>
  <c r="AJ370" i="25"/>
  <c r="AJ293" i="25"/>
  <c r="AJ311" i="25"/>
  <c r="AJ326" i="25"/>
  <c r="AJ349" i="25"/>
  <c r="AJ360" i="25"/>
  <c r="AJ374" i="25"/>
  <c r="AJ320" i="25"/>
  <c r="AJ367" i="25"/>
  <c r="AJ305" i="25"/>
  <c r="AJ365" i="25"/>
  <c r="BD13" i="7"/>
  <c r="AJ26" i="25"/>
  <c r="AJ15" i="25"/>
  <c r="AJ28" i="25"/>
  <c r="F7" i="25"/>
  <c r="AJ31" i="25"/>
  <c r="AJ35" i="25"/>
  <c r="AJ50" i="25"/>
  <c r="AJ58" i="25"/>
  <c r="AJ39" i="25"/>
  <c r="AJ44" i="25"/>
  <c r="AJ49" i="25"/>
  <c r="AJ57" i="25"/>
  <c r="AJ62" i="25"/>
  <c r="AJ69" i="25"/>
  <c r="AJ78" i="25"/>
  <c r="AJ83" i="25"/>
  <c r="AJ94" i="25"/>
  <c r="AJ102" i="25"/>
  <c r="AJ121" i="25"/>
  <c r="AJ70" i="25"/>
  <c r="AJ77" i="25"/>
  <c r="AJ88" i="25"/>
  <c r="AJ92" i="25"/>
  <c r="AJ101" i="25"/>
  <c r="AJ109" i="25"/>
  <c r="AJ124" i="25"/>
  <c r="AJ132" i="25"/>
  <c r="AJ142" i="25"/>
  <c r="AJ152" i="25"/>
  <c r="AJ160" i="25"/>
  <c r="AJ164" i="25"/>
  <c r="AJ171" i="25"/>
  <c r="AJ113" i="25"/>
  <c r="AJ119" i="25"/>
  <c r="AJ127" i="25"/>
  <c r="AJ135" i="25"/>
  <c r="AJ140" i="25"/>
  <c r="AJ149" i="25"/>
  <c r="AJ154" i="25"/>
  <c r="AJ168" i="25"/>
  <c r="AJ175" i="25"/>
  <c r="AJ183" i="25"/>
  <c r="AJ188" i="25"/>
  <c r="AJ196" i="25"/>
  <c r="AJ201" i="25"/>
  <c r="AJ210" i="25"/>
  <c r="AJ219" i="25"/>
  <c r="AJ226" i="25"/>
  <c r="AJ231" i="25"/>
  <c r="AJ236" i="25"/>
  <c r="AJ240" i="25"/>
  <c r="AJ252" i="25"/>
  <c r="AJ258" i="25"/>
  <c r="AJ267" i="25"/>
  <c r="AJ274" i="25"/>
  <c r="AJ280" i="25"/>
  <c r="AJ287" i="25"/>
  <c r="AJ300" i="25"/>
  <c r="AJ180" i="25"/>
  <c r="AJ191" i="25"/>
  <c r="AJ203" i="25"/>
  <c r="AJ209" i="25"/>
  <c r="AJ214" i="25"/>
  <c r="AJ225" i="25"/>
  <c r="AJ243" i="25"/>
  <c r="AJ249" i="25"/>
  <c r="AJ257" i="25"/>
  <c r="AJ265" i="25"/>
  <c r="AJ272" i="25"/>
  <c r="AJ283" i="25"/>
  <c r="AJ295" i="25"/>
  <c r="AJ309" i="25"/>
  <c r="AJ315" i="25"/>
  <c r="AJ323" i="25"/>
  <c r="AJ328" i="25"/>
  <c r="AJ333" i="25"/>
  <c r="AJ339" i="25"/>
  <c r="AJ345" i="25"/>
  <c r="AJ355" i="25"/>
  <c r="AJ359" i="25"/>
  <c r="AJ368" i="25"/>
  <c r="AJ292" i="25"/>
  <c r="AJ304" i="25"/>
  <c r="AJ318" i="25"/>
  <c r="AJ348" i="25"/>
  <c r="AJ354" i="25"/>
  <c r="AJ373" i="25"/>
  <c r="AJ306" i="25"/>
  <c r="AJ361" i="25"/>
  <c r="AJ297" i="25"/>
  <c r="AJ342" i="25"/>
  <c r="AJ377" i="25"/>
  <c r="AJ19" i="25"/>
  <c r="AJ29" i="25"/>
  <c r="AJ21" i="25"/>
  <c r="AJ16" i="25"/>
  <c r="AJ27" i="25"/>
  <c r="AJ34" i="25"/>
  <c r="AJ47" i="25"/>
  <c r="AJ56" i="25"/>
  <c r="AJ38" i="25"/>
  <c r="AJ43" i="25"/>
  <c r="AJ48" i="25"/>
  <c r="AJ54" i="25"/>
  <c r="AJ61" i="25"/>
  <c r="AJ67" i="25"/>
  <c r="AJ76" i="25"/>
  <c r="AJ82" i="25"/>
  <c r="AJ93" i="25"/>
  <c r="AJ100" i="25"/>
  <c r="AJ117" i="25"/>
  <c r="AJ68" i="25"/>
  <c r="AJ73" i="25"/>
  <c r="AJ87" i="25"/>
  <c r="AJ91" i="25"/>
  <c r="AJ98" i="25"/>
  <c r="AJ108" i="25"/>
  <c r="AJ114" i="25"/>
  <c r="AJ130" i="25"/>
  <c r="AJ141" i="25"/>
  <c r="AJ145" i="25"/>
  <c r="AJ158" i="25"/>
  <c r="AJ163" i="25"/>
  <c r="AJ169" i="25"/>
  <c r="AJ107" i="25"/>
  <c r="AJ118" i="25"/>
  <c r="AJ126" i="25"/>
  <c r="AJ134" i="25"/>
  <c r="AJ139" i="25"/>
  <c r="AJ148" i="25"/>
  <c r="AJ153" i="25"/>
  <c r="AJ167" i="25"/>
  <c r="AJ173" i="25"/>
  <c r="AJ181" i="25"/>
  <c r="AJ187" i="25"/>
  <c r="AJ195" i="25"/>
  <c r="AJ200" i="25"/>
  <c r="AJ208" i="25"/>
  <c r="AJ218" i="25"/>
  <c r="AJ224" i="25"/>
  <c r="AJ229" i="25"/>
  <c r="AJ235" i="25"/>
  <c r="AJ239" i="25"/>
  <c r="AJ246" i="25"/>
  <c r="AJ256" i="25"/>
  <c r="AJ264" i="25"/>
  <c r="AJ273" i="25"/>
  <c r="AJ278" i="25"/>
  <c r="AJ286" i="25"/>
  <c r="AJ294" i="25"/>
  <c r="AJ179" i="25"/>
  <c r="AJ190" i="25"/>
  <c r="AJ198" i="25"/>
  <c r="AJ207" i="25"/>
  <c r="AJ213" i="25"/>
  <c r="AJ223" i="25"/>
  <c r="AJ241" i="25"/>
  <c r="AJ248" i="25"/>
  <c r="AJ253" i="25"/>
  <c r="AJ261" i="25"/>
  <c r="AJ270" i="25"/>
  <c r="AJ281" i="25"/>
  <c r="AJ291" i="25"/>
  <c r="AJ308" i="25"/>
  <c r="AJ314" i="25"/>
  <c r="AJ322" i="25"/>
  <c r="AJ327" i="25"/>
  <c r="AJ332" i="25"/>
  <c r="AJ338" i="25"/>
  <c r="AJ343" i="25"/>
  <c r="AJ353" i="25"/>
  <c r="AJ358" i="25"/>
  <c r="AJ364" i="25"/>
  <c r="AJ372" i="25"/>
  <c r="AJ303" i="25"/>
  <c r="AJ317" i="25"/>
  <c r="AJ335" i="25"/>
  <c r="AJ351" i="25"/>
  <c r="AJ369" i="25"/>
  <c r="AJ298" i="25"/>
  <c r="AJ347" i="25"/>
  <c r="AJ378" i="25"/>
  <c r="AJ330" i="25"/>
  <c r="AJ375" i="25"/>
  <c r="I211" i="15"/>
  <c r="J211" i="15"/>
  <c r="I61" i="15"/>
  <c r="J61" i="15"/>
  <c r="J126" i="15"/>
  <c r="I126" i="15"/>
  <c r="I324" i="15"/>
  <c r="J324" i="15"/>
  <c r="J353" i="15"/>
  <c r="I353" i="15"/>
  <c r="I275" i="15"/>
  <c r="J275" i="15"/>
  <c r="I74" i="15"/>
  <c r="J74" i="15"/>
  <c r="I203" i="15"/>
  <c r="J203" i="15"/>
  <c r="AC381" i="17"/>
  <c r="AC382" i="17"/>
  <c r="AC383" i="17"/>
  <c r="AC10" i="20"/>
  <c r="AC213" i="20" s="1"/>
  <c r="AC29" i="20"/>
  <c r="AC41" i="20"/>
  <c r="AC67" i="20"/>
  <c r="AC75" i="20"/>
  <c r="AC112" i="20"/>
  <c r="AC92" i="20"/>
  <c r="AC115" i="20"/>
  <c r="AC152" i="20"/>
  <c r="AC30" i="20"/>
  <c r="AC53" i="20"/>
  <c r="AC66" i="20"/>
  <c r="AC102" i="20"/>
  <c r="AC73" i="20"/>
  <c r="AC100" i="20"/>
  <c r="AC24" i="20"/>
  <c r="AC16" i="20"/>
  <c r="AC48" i="20"/>
  <c r="AC55" i="20"/>
  <c r="AC87" i="20"/>
  <c r="AC71" i="20"/>
  <c r="AC103" i="20"/>
  <c r="AC128" i="20"/>
  <c r="AC20" i="20"/>
  <c r="AC35" i="20"/>
  <c r="AC43" i="20"/>
  <c r="AC83" i="20"/>
  <c r="AC118" i="20"/>
  <c r="AC82" i="20"/>
  <c r="AC116" i="20"/>
  <c r="AC107" i="20"/>
  <c r="AC19" i="20"/>
  <c r="AC38" i="20"/>
  <c r="AC56" i="20"/>
  <c r="AC62" i="20"/>
  <c r="AC99" i="20"/>
  <c r="AC80" i="20"/>
  <c r="AC109" i="20"/>
  <c r="AC18" i="20"/>
  <c r="AC46" i="20"/>
  <c r="AC59" i="20"/>
  <c r="AC91" i="20"/>
  <c r="AC129" i="20"/>
  <c r="AC94" i="20"/>
  <c r="AC126" i="20"/>
  <c r="AC133" i="20"/>
  <c r="AC21" i="20"/>
  <c r="AC31" i="20"/>
  <c r="AC42" i="20"/>
  <c r="AC47" i="20"/>
  <c r="AC84" i="20"/>
  <c r="AC120" i="20"/>
  <c r="AC97" i="20"/>
  <c r="AC117" i="20"/>
  <c r="AC119" i="20"/>
  <c r="AC32" i="20"/>
  <c r="AC61" i="20"/>
  <c r="AC72" i="20"/>
  <c r="AC111" i="20"/>
  <c r="AC76" i="20"/>
  <c r="AC104" i="20"/>
  <c r="AC25" i="20"/>
  <c r="AC37" i="20"/>
  <c r="AC50" i="20"/>
  <c r="AC58" i="20"/>
  <c r="AC93" i="20"/>
  <c r="AC74" i="20"/>
  <c r="AC105" i="20"/>
  <c r="AC130" i="20"/>
  <c r="AC26" i="20"/>
  <c r="AC40" i="20"/>
  <c r="AC52" i="20"/>
  <c r="AC85" i="20"/>
  <c r="AC122" i="20"/>
  <c r="AC89" i="20"/>
  <c r="AC121" i="20"/>
  <c r="AC127" i="20"/>
  <c r="AC23" i="20"/>
  <c r="AC39" i="20"/>
  <c r="AC65" i="20"/>
  <c r="AC70" i="20"/>
  <c r="AC108" i="20"/>
  <c r="AC81" i="20"/>
  <c r="AC113" i="20"/>
  <c r="AC22" i="20"/>
  <c r="AC49" i="20"/>
  <c r="AC63" i="20"/>
  <c r="AC101" i="20"/>
  <c r="AC69" i="20"/>
  <c r="AC95" i="20"/>
  <c r="AC277" i="20"/>
  <c r="AC17" i="20"/>
  <c r="AC33" i="20"/>
  <c r="AC45" i="20"/>
  <c r="AC51" i="20"/>
  <c r="AC86" i="20"/>
  <c r="AC68" i="20"/>
  <c r="AC98" i="20"/>
  <c r="AC132" i="20"/>
  <c r="AC125" i="20"/>
  <c r="AC242" i="20"/>
  <c r="AC15" i="20"/>
  <c r="AC34" i="20"/>
  <c r="AC64" i="20"/>
  <c r="AC78" i="20"/>
  <c r="AC114" i="20"/>
  <c r="AC79" i="20"/>
  <c r="AC110" i="20"/>
  <c r="AC295" i="20"/>
  <c r="AC27" i="20"/>
  <c r="AC36" i="20"/>
  <c r="AC54" i="20"/>
  <c r="AC60" i="20"/>
  <c r="AC96" i="20"/>
  <c r="AC77" i="20"/>
  <c r="AC106" i="20"/>
  <c r="AC252" i="20"/>
  <c r="AC28" i="20"/>
  <c r="AC44" i="20"/>
  <c r="AC57" i="20"/>
  <c r="AC88" i="20"/>
  <c r="AC123" i="20"/>
  <c r="AC90" i="20"/>
  <c r="AC124" i="20"/>
  <c r="AC131" i="20"/>
  <c r="J225" i="15"/>
  <c r="I225" i="15"/>
  <c r="I349" i="15"/>
  <c r="J349" i="15"/>
  <c r="J229" i="15"/>
  <c r="I229" i="15"/>
  <c r="I320" i="15"/>
  <c r="G381" i="1"/>
  <c r="V15" i="1"/>
  <c r="P383" i="1"/>
  <c r="P382" i="1"/>
  <c r="P381" i="1"/>
  <c r="AD383" i="1"/>
  <c r="AD382" i="1"/>
  <c r="AD381" i="1"/>
  <c r="AA17" i="1"/>
  <c r="Z17" i="1" s="1"/>
  <c r="Y17" i="1" s="1"/>
  <c r="AF17" i="15"/>
  <c r="AG383" i="15"/>
  <c r="AG381" i="15"/>
  <c r="AG382" i="15"/>
  <c r="AM7" i="22"/>
  <c r="AM11" i="22" s="1"/>
  <c r="AK7" i="22"/>
  <c r="AK11" i="22" s="1"/>
  <c r="AK9" i="22"/>
  <c r="AM5" i="22"/>
  <c r="AM9" i="22"/>
  <c r="AK5" i="22"/>
  <c r="L17" i="19"/>
  <c r="AI11" i="22"/>
  <c r="P10" i="22"/>
  <c r="AE11" i="22"/>
  <c r="AK15" i="23"/>
  <c r="AK17" i="23"/>
  <c r="AK21" i="23"/>
  <c r="AK28" i="23"/>
  <c r="AK380" i="23"/>
  <c r="AK25" i="23"/>
  <c r="AK18" i="23"/>
  <c r="AK23" i="23"/>
  <c r="AK27" i="23"/>
  <c r="AK30" i="23"/>
  <c r="AK33" i="23"/>
  <c r="AK36" i="23"/>
  <c r="AK39" i="23"/>
  <c r="AK43" i="23"/>
  <c r="AK46" i="23"/>
  <c r="AK48" i="23"/>
  <c r="AK50" i="23"/>
  <c r="AK55" i="23"/>
  <c r="AK59" i="23"/>
  <c r="AK63" i="23"/>
  <c r="AK65" i="23"/>
  <c r="AK38" i="23"/>
  <c r="AK41" i="23"/>
  <c r="AK51" i="23"/>
  <c r="AK54" i="23"/>
  <c r="AK57" i="23"/>
  <c r="AK61" i="23"/>
  <c r="AK72" i="23"/>
  <c r="AK74" i="23"/>
  <c r="AK78" i="23"/>
  <c r="AK80" i="23"/>
  <c r="AK85" i="23"/>
  <c r="AK89" i="23"/>
  <c r="AK92" i="23"/>
  <c r="AK96" i="23"/>
  <c r="AK99" i="23"/>
  <c r="AK103" i="23"/>
  <c r="AK107" i="23"/>
  <c r="AK110" i="23"/>
  <c r="AK117" i="23"/>
  <c r="AK124" i="23"/>
  <c r="AK126" i="23"/>
  <c r="AK68" i="23"/>
  <c r="AK70" i="23"/>
  <c r="AK75" i="23"/>
  <c r="AK81" i="23"/>
  <c r="AK84" i="23"/>
  <c r="AK88" i="23"/>
  <c r="AK94" i="23"/>
  <c r="AK97" i="23"/>
  <c r="AK102" i="23"/>
  <c r="AK109" i="23"/>
  <c r="AK112" i="23"/>
  <c r="AK115" i="23"/>
  <c r="AK118" i="23"/>
  <c r="AK128" i="23"/>
  <c r="AK132" i="23"/>
  <c r="AK135" i="23"/>
  <c r="AK138" i="23"/>
  <c r="AK140" i="23"/>
  <c r="AK149" i="23"/>
  <c r="AK152" i="23"/>
  <c r="AK159" i="23"/>
  <c r="AK163" i="23"/>
  <c r="AK166" i="23"/>
  <c r="AK169" i="23"/>
  <c r="AK172" i="23"/>
  <c r="AK106" i="23"/>
  <c r="AK121" i="23"/>
  <c r="AK127" i="23"/>
  <c r="AK131" i="23"/>
  <c r="AK136" i="23"/>
  <c r="AK142" i="23"/>
  <c r="AK145" i="23"/>
  <c r="AK147" i="23"/>
  <c r="AK150" i="23"/>
  <c r="AK154" i="23"/>
  <c r="AK157" i="23"/>
  <c r="AK161" i="23"/>
  <c r="AK164" i="23"/>
  <c r="AK170" i="23"/>
  <c r="AK175" i="23"/>
  <c r="AK177" i="23"/>
  <c r="AK179" i="23"/>
  <c r="AK182" i="23"/>
  <c r="AK184" i="23"/>
  <c r="AK186" i="23"/>
  <c r="AK188" i="23"/>
  <c r="AK194" i="23"/>
  <c r="AK199" i="23"/>
  <c r="AK205" i="23"/>
  <c r="AK207" i="23"/>
  <c r="AK209" i="23"/>
  <c r="AK211" i="23"/>
  <c r="AK215" i="23"/>
  <c r="AK221" i="23"/>
  <c r="AK225" i="23"/>
  <c r="AK229" i="23"/>
  <c r="AK231" i="23"/>
  <c r="AK235" i="23"/>
  <c r="AK240" i="23"/>
  <c r="AK247" i="23"/>
  <c r="AK250" i="23"/>
  <c r="AK252" i="23"/>
  <c r="AK256" i="23"/>
  <c r="AK262" i="23"/>
  <c r="AK265" i="23"/>
  <c r="AK268" i="23"/>
  <c r="AK270" i="23"/>
  <c r="AK274" i="23"/>
  <c r="AK278" i="23"/>
  <c r="AK284" i="23"/>
  <c r="AK288" i="23"/>
  <c r="AK292" i="23"/>
  <c r="AK294" i="23"/>
  <c r="AK296" i="23"/>
  <c r="AK298" i="23"/>
  <c r="AK301" i="23"/>
  <c r="AK303" i="23"/>
  <c r="AK189" i="23"/>
  <c r="AK192" i="23"/>
  <c r="AK195" i="23"/>
  <c r="AK198" i="23"/>
  <c r="AK201" i="23"/>
  <c r="AK204" i="23"/>
  <c r="AK214" i="23"/>
  <c r="AK218" i="23"/>
  <c r="AK220" i="23"/>
  <c r="AK224" i="23"/>
  <c r="AK228" i="23"/>
  <c r="AK234" i="23"/>
  <c r="AK237" i="23"/>
  <c r="AK241" i="23"/>
  <c r="AK243" i="23"/>
  <c r="AK246" i="23"/>
  <c r="AK253" i="23"/>
  <c r="AK258" i="23"/>
  <c r="AK260" i="23"/>
  <c r="AK264" i="23"/>
  <c r="AK271" i="23"/>
  <c r="AK276" i="23"/>
  <c r="AK279" i="23"/>
  <c r="AK281" i="23"/>
  <c r="AK285" i="23"/>
  <c r="AK289" i="23"/>
  <c r="AK306" i="23"/>
  <c r="AK309" i="23"/>
  <c r="AK311" i="23"/>
  <c r="AK313" i="23"/>
  <c r="AK316" i="23"/>
  <c r="AK320" i="23"/>
  <c r="AK326" i="23"/>
  <c r="AK329" i="23"/>
  <c r="AK333" i="23"/>
  <c r="AK335" i="23"/>
  <c r="AK339" i="23"/>
  <c r="AK343" i="23"/>
  <c r="AK346" i="23"/>
  <c r="AK348" i="23"/>
  <c r="AK350" i="23"/>
  <c r="AK352" i="23"/>
  <c r="AK357" i="23"/>
  <c r="AK360" i="23"/>
  <c r="AK367" i="23"/>
  <c r="AK370" i="23"/>
  <c r="AK372" i="23"/>
  <c r="AK304" i="23"/>
  <c r="AK308" i="23"/>
  <c r="AK321" i="23"/>
  <c r="AK324" i="23"/>
  <c r="AK331" i="23"/>
  <c r="AK342" i="23"/>
  <c r="AK358" i="23"/>
  <c r="AK362" i="23"/>
  <c r="AK373" i="23"/>
  <c r="AK300" i="23"/>
  <c r="AK328" i="23"/>
  <c r="AK363" i="23"/>
  <c r="AK375" i="23"/>
  <c r="AK378" i="23"/>
  <c r="AK317" i="23"/>
  <c r="AK341" i="23"/>
  <c r="AK356" i="23"/>
  <c r="AK379" i="23"/>
  <c r="P12" i="23"/>
  <c r="AK20" i="23"/>
  <c r="AK32" i="23"/>
  <c r="F8" i="23"/>
  <c r="AK26" i="23"/>
  <c r="AK31" i="23"/>
  <c r="AK37" i="23"/>
  <c r="AK45" i="23"/>
  <c r="AK49" i="23"/>
  <c r="AK58" i="23"/>
  <c r="AK64" i="23"/>
  <c r="AK40" i="23"/>
  <c r="AK53" i="23"/>
  <c r="AK60" i="23"/>
  <c r="AK73" i="23"/>
  <c r="AK79" i="23"/>
  <c r="AK86" i="23"/>
  <c r="AK93" i="23"/>
  <c r="AK100" i="23"/>
  <c r="AK108" i="23"/>
  <c r="AK119" i="23"/>
  <c r="AK66" i="23"/>
  <c r="AK71" i="23"/>
  <c r="AK82" i="23"/>
  <c r="AK90" i="23"/>
  <c r="AK101" i="23"/>
  <c r="AK111" i="23"/>
  <c r="AK116" i="23"/>
  <c r="AK129" i="23"/>
  <c r="AK137" i="23"/>
  <c r="AK143" i="23"/>
  <c r="AK155" i="23"/>
  <c r="AK165" i="23"/>
  <c r="AK171" i="23"/>
  <c r="AK120" i="23"/>
  <c r="AK130" i="23"/>
  <c r="AK141" i="23"/>
  <c r="AK146" i="23"/>
  <c r="AK153" i="23"/>
  <c r="AK158" i="23"/>
  <c r="AK167" i="23"/>
  <c r="AK176" i="23"/>
  <c r="AK181" i="23"/>
  <c r="AK185" i="23"/>
  <c r="AK191" i="23"/>
  <c r="AK202" i="23"/>
  <c r="AK208" i="23"/>
  <c r="AK212" i="23"/>
  <c r="AK222" i="23"/>
  <c r="AK230" i="23"/>
  <c r="AK238" i="23"/>
  <c r="AK249" i="23"/>
  <c r="AK255" i="23"/>
  <c r="AK263" i="23"/>
  <c r="AK269" i="23"/>
  <c r="AK275" i="23"/>
  <c r="AK287" i="23"/>
  <c r="AK293" i="23"/>
  <c r="AK297" i="23"/>
  <c r="AK302" i="23"/>
  <c r="AK190" i="23"/>
  <c r="AK196" i="23"/>
  <c r="AK203" i="23"/>
  <c r="AK216" i="23"/>
  <c r="AK223" i="23"/>
  <c r="AK233" i="23"/>
  <c r="AK239" i="23"/>
  <c r="AK244" i="23"/>
  <c r="AK254" i="23"/>
  <c r="AK261" i="23"/>
  <c r="AK273" i="23"/>
  <c r="AK280" i="23"/>
  <c r="AK286" i="23"/>
  <c r="AK307" i="23"/>
  <c r="AK312" i="23"/>
  <c r="AK319" i="23"/>
  <c r="AK327" i="23"/>
  <c r="AK334" i="23"/>
  <c r="AK340" i="23"/>
  <c r="AK347" i="23"/>
  <c r="AK351" i="23"/>
  <c r="AK359" i="23"/>
  <c r="AK369" i="23"/>
  <c r="AK374" i="23"/>
  <c r="AK318" i="23"/>
  <c r="AK330" i="23"/>
  <c r="AK344" i="23"/>
  <c r="AK364" i="23"/>
  <c r="AK325" i="23"/>
  <c r="AK368" i="23"/>
  <c r="AK315" i="23"/>
  <c r="AK354" i="23"/>
  <c r="AK16" i="23"/>
  <c r="AK24" i="23"/>
  <c r="AK19" i="23"/>
  <c r="AK22" i="23"/>
  <c r="AK29" i="23"/>
  <c r="AK35" i="23"/>
  <c r="AK42" i="23"/>
  <c r="AK47" i="23"/>
  <c r="AK52" i="23"/>
  <c r="AK62" i="23"/>
  <c r="AK34" i="23"/>
  <c r="AK44" i="23"/>
  <c r="AK56" i="23"/>
  <c r="AK67" i="23"/>
  <c r="AK76" i="23"/>
  <c r="AK83" i="23"/>
  <c r="AK91" i="23"/>
  <c r="AK98" i="23"/>
  <c r="AK105" i="23"/>
  <c r="AK114" i="23"/>
  <c r="AK125" i="23"/>
  <c r="AK69" i="23"/>
  <c r="AK77" i="23"/>
  <c r="AK87" i="23"/>
  <c r="AK95" i="23"/>
  <c r="AK104" i="23"/>
  <c r="AK113" i="23"/>
  <c r="AK123" i="23"/>
  <c r="AK134" i="23"/>
  <c r="AK139" i="23"/>
  <c r="AK151" i="23"/>
  <c r="AK160" i="23"/>
  <c r="AK168" i="23"/>
  <c r="AK174" i="23"/>
  <c r="AK122" i="23"/>
  <c r="AK133" i="23"/>
  <c r="AK144" i="23"/>
  <c r="AK148" i="23"/>
  <c r="AK156" i="23"/>
  <c r="AK162" i="23"/>
  <c r="AK173" i="23"/>
  <c r="AK178" i="23"/>
  <c r="AK183" i="23"/>
  <c r="AK187" i="23"/>
  <c r="AK197" i="23"/>
  <c r="AK206" i="23"/>
  <c r="AK210" i="23"/>
  <c r="AK217" i="23"/>
  <c r="AK227" i="23"/>
  <c r="AK232" i="23"/>
  <c r="AK245" i="23"/>
  <c r="AK251" i="23"/>
  <c r="AK257" i="23"/>
  <c r="AK266" i="23"/>
  <c r="AK272" i="23"/>
  <c r="AK283" i="23"/>
  <c r="AK291" i="23"/>
  <c r="AK295" i="23"/>
  <c r="AK299" i="23"/>
  <c r="AK180" i="23"/>
  <c r="AK193" i="23"/>
  <c r="AK200" i="23"/>
  <c r="AK213" i="23"/>
  <c r="AK219" i="23"/>
  <c r="AK226" i="23"/>
  <c r="AK236" i="23"/>
  <c r="AK242" i="23"/>
  <c r="AK248" i="23"/>
  <c r="AK259" i="23"/>
  <c r="AK267" i="23"/>
  <c r="AK277" i="23"/>
  <c r="AK282" i="23"/>
  <c r="AK290" i="23"/>
  <c r="AK310" i="23"/>
  <c r="AK314" i="23"/>
  <c r="AK323" i="23"/>
  <c r="AK332" i="23"/>
  <c r="AK336" i="23"/>
  <c r="AK345" i="23"/>
  <c r="AK349" i="23"/>
  <c r="AK355" i="23"/>
  <c r="AK366" i="23"/>
  <c r="AK371" i="23"/>
  <c r="AK305" i="23"/>
  <c r="AK322" i="23"/>
  <c r="AK337" i="23"/>
  <c r="AK361" i="23"/>
  <c r="AK376" i="23"/>
  <c r="AK353" i="23"/>
  <c r="AK377" i="23"/>
  <c r="AK338" i="23"/>
  <c r="AK365" i="23"/>
  <c r="AX15" i="7"/>
  <c r="P11" i="24"/>
  <c r="P15" i="7"/>
  <c r="Q12" i="17"/>
  <c r="AE381" i="16"/>
  <c r="AE382" i="16"/>
  <c r="AE383" i="16"/>
  <c r="Q381" i="16"/>
  <c r="Q383" i="16"/>
  <c r="Q382" i="16"/>
  <c r="G47" i="15"/>
  <c r="BX47" i="6" s="1"/>
  <c r="I46" i="15"/>
  <c r="J46" i="15"/>
  <c r="J60" i="15"/>
  <c r="I60" i="15"/>
  <c r="I199" i="15"/>
  <c r="J199" i="15"/>
  <c r="J202" i="15"/>
  <c r="I202" i="15"/>
  <c r="J219" i="15"/>
  <c r="I219" i="15"/>
  <c r="I200" i="15"/>
  <c r="J200" i="15"/>
  <c r="AB9" i="1"/>
  <c r="AL10" i="1"/>
  <c r="G11" i="19"/>
  <c r="J35" i="19" s="1"/>
  <c r="G383" i="1"/>
  <c r="G12" i="1" s="1"/>
  <c r="E7" i="7" s="1"/>
  <c r="AA47" i="15"/>
  <c r="Z47" i="15" s="1"/>
  <c r="Y47" i="15" s="1"/>
  <c r="BE11" i="7"/>
  <c r="Q11" i="25" s="1"/>
  <c r="Q11" i="24"/>
  <c r="I383" i="1"/>
  <c r="J47" i="15"/>
  <c r="I47" i="15"/>
  <c r="G333" i="15"/>
  <c r="BX333" i="6" s="1"/>
  <c r="AA333" i="15"/>
  <c r="Z333" i="15" s="1"/>
  <c r="Y333" i="15" s="1"/>
  <c r="H333" i="15"/>
  <c r="I381" i="1"/>
  <c r="I382" i="1"/>
  <c r="J83" i="15"/>
  <c r="I83" i="15"/>
  <c r="J94" i="15"/>
  <c r="I94" i="15"/>
  <c r="J264" i="15"/>
  <c r="I264" i="15"/>
  <c r="I85" i="15"/>
  <c r="J85" i="15"/>
  <c r="J134" i="15"/>
  <c r="I134" i="15"/>
  <c r="G382" i="1"/>
  <c r="I100" i="15"/>
  <c r="J100" i="15"/>
  <c r="I259" i="15"/>
  <c r="J259" i="15"/>
  <c r="J269" i="15"/>
  <c r="I269" i="15"/>
  <c r="Y319" i="1"/>
  <c r="AL6" i="1" s="1"/>
  <c r="AL8" i="1"/>
  <c r="J31" i="15"/>
  <c r="I31" i="15"/>
  <c r="Y198" i="1"/>
  <c r="O268" i="22" l="1"/>
  <c r="O230" i="22"/>
  <c r="O61" i="22"/>
  <c r="O183" i="22"/>
  <c r="O150" i="22"/>
  <c r="O307" i="22"/>
  <c r="O271" i="22"/>
  <c r="O245" i="22"/>
  <c r="O175" i="22"/>
  <c r="O347" i="22"/>
  <c r="O272" i="22"/>
  <c r="AG40" i="7" s="1"/>
  <c r="O304" i="22"/>
  <c r="O177" i="22"/>
  <c r="O341" i="22"/>
  <c r="O332" i="22"/>
  <c r="O263" i="22"/>
  <c r="O173" i="22"/>
  <c r="O31" i="22"/>
  <c r="O321" i="22"/>
  <c r="O224" i="22"/>
  <c r="O193" i="22"/>
  <c r="O32" i="22"/>
  <c r="O97" i="22"/>
  <c r="O160" i="22"/>
  <c r="O40" i="22"/>
  <c r="O95" i="22"/>
  <c r="O358" i="22"/>
  <c r="O210" i="22"/>
  <c r="AG38" i="7" s="1"/>
  <c r="O144" i="22"/>
  <c r="O65" i="22"/>
  <c r="O253" i="22"/>
  <c r="O156" i="22"/>
  <c r="O113" i="22"/>
  <c r="O287" i="22"/>
  <c r="O35" i="22"/>
  <c r="O235" i="22"/>
  <c r="O313" i="22"/>
  <c r="O129" i="22"/>
  <c r="O283" i="22"/>
  <c r="O353" i="22"/>
  <c r="O109" i="22"/>
  <c r="O194" i="22"/>
  <c r="O37" i="22"/>
  <c r="O111" i="22"/>
  <c r="O202" i="22"/>
  <c r="O308" i="22"/>
  <c r="O221" i="22"/>
  <c r="O104" i="22"/>
  <c r="O310" i="22"/>
  <c r="O142" i="22"/>
  <c r="O21" i="22"/>
  <c r="O298" i="22"/>
  <c r="O376" i="22"/>
  <c r="O71" i="22"/>
  <c r="O128" i="22"/>
  <c r="O206" i="22"/>
  <c r="O342" i="22"/>
  <c r="O171" i="22"/>
  <c r="O249" i="22"/>
  <c r="O356" i="22"/>
  <c r="O354" i="22"/>
  <c r="O371" i="22"/>
  <c r="O52" i="22"/>
  <c r="O241" i="22"/>
  <c r="AG39" i="7" s="1"/>
  <c r="O329" i="22"/>
  <c r="O138" i="22"/>
  <c r="O285" i="22"/>
  <c r="O365" i="22"/>
  <c r="O122" i="22"/>
  <c r="O200" i="22"/>
  <c r="O39" i="22"/>
  <c r="O133" i="22"/>
  <c r="O204" i="22"/>
  <c r="O340" i="22"/>
  <c r="O30" i="22"/>
  <c r="O105" i="22"/>
  <c r="O146" i="22"/>
  <c r="O186" i="22"/>
  <c r="O317" i="22"/>
  <c r="O34" i="22"/>
  <c r="O107" i="22"/>
  <c r="O178" i="22"/>
  <c r="O223" i="22"/>
  <c r="O196" i="22"/>
  <c r="O294" i="22"/>
  <c r="O377" i="22"/>
  <c r="O44" i="22"/>
  <c r="O135" i="22"/>
  <c r="O240" i="22"/>
  <c r="O264" i="22"/>
  <c r="O318" i="22"/>
  <c r="O62" i="22"/>
  <c r="O130" i="22"/>
  <c r="O176" i="22"/>
  <c r="O284" i="22"/>
  <c r="O251" i="22"/>
  <c r="O357" i="22"/>
  <c r="O244" i="22"/>
  <c r="O282" i="22"/>
  <c r="O172" i="22"/>
  <c r="O126" i="22"/>
  <c r="O60" i="22"/>
  <c r="AG33" i="7" s="1"/>
  <c r="O306" i="22"/>
  <c r="O262" i="22"/>
  <c r="O228" i="22"/>
  <c r="O120" i="22"/>
  <c r="O63" i="22"/>
  <c r="O361" i="22"/>
  <c r="O270" i="22"/>
  <c r="O201" i="22"/>
  <c r="O76" i="22"/>
  <c r="O315" i="22"/>
  <c r="O157" i="22"/>
  <c r="O90" i="22"/>
  <c r="O232" i="22"/>
  <c r="O96" i="22"/>
  <c r="O54" i="22"/>
  <c r="O351" i="22"/>
  <c r="O273" i="22"/>
  <c r="O93" i="22"/>
  <c r="O18" i="22"/>
  <c r="O190" i="22"/>
  <c r="O168" i="22"/>
  <c r="O348" i="22"/>
  <c r="O134" i="22"/>
  <c r="O309" i="22"/>
  <c r="O278" i="22"/>
  <c r="J33" i="15"/>
  <c r="I360" i="15"/>
  <c r="O43" i="22"/>
  <c r="O117" i="22"/>
  <c r="O45" i="22"/>
  <c r="O68" i="22"/>
  <c r="O29" i="22"/>
  <c r="AG32" i="7" s="1"/>
  <c r="O50" i="22"/>
  <c r="O86" i="22"/>
  <c r="O83" i="22"/>
  <c r="O69" i="22"/>
  <c r="O67" i="22"/>
  <c r="O118" i="22"/>
  <c r="O296" i="22"/>
  <c r="O293" i="22"/>
  <c r="O286" i="22"/>
  <c r="O136" i="22"/>
  <c r="O140" i="22"/>
  <c r="O247" i="22"/>
  <c r="O163" i="22"/>
  <c r="O187" i="22"/>
  <c r="O152" i="22"/>
  <c r="O267" i="22"/>
  <c r="O213" i="22"/>
  <c r="AM13" i="7"/>
  <c r="O374" i="22"/>
  <c r="O297" i="22"/>
  <c r="O148" i="22"/>
  <c r="O366" i="22"/>
  <c r="O261" i="22"/>
  <c r="O70" i="22"/>
  <c r="O323" i="22"/>
  <c r="O233" i="22"/>
  <c r="O114" i="22"/>
  <c r="O343" i="22"/>
  <c r="O161" i="22"/>
  <c r="O27" i="22"/>
  <c r="O234" i="22"/>
  <c r="O46" i="22"/>
  <c r="O91" i="22"/>
  <c r="O185" i="22"/>
  <c r="O19" i="22"/>
  <c r="O81" i="22"/>
  <c r="O344" i="22"/>
  <c r="O237" i="22"/>
  <c r="O274" i="22"/>
  <c r="O159" i="22"/>
  <c r="O106" i="22"/>
  <c r="O49" i="22"/>
  <c r="O364" i="22"/>
  <c r="O256" i="22"/>
  <c r="O209" i="22"/>
  <c r="O100" i="22"/>
  <c r="O55" i="22"/>
  <c r="O355" i="22"/>
  <c r="O288" i="22"/>
  <c r="O189" i="22"/>
  <c r="O216" i="22"/>
  <c r="O170" i="22"/>
  <c r="O99" i="22"/>
  <c r="O24" i="22"/>
  <c r="O363" i="22"/>
  <c r="AG43" i="7" s="1"/>
  <c r="O303" i="22"/>
  <c r="O131" i="22"/>
  <c r="O92" i="22"/>
  <c r="O346" i="22"/>
  <c r="O334" i="22"/>
  <c r="O188" i="22"/>
  <c r="O169" i="22"/>
  <c r="O16" i="22"/>
  <c r="O301" i="22"/>
  <c r="O89" i="22"/>
  <c r="O338" i="22"/>
  <c r="O265" i="22"/>
  <c r="O78" i="22"/>
  <c r="O326" i="22"/>
  <c r="O199" i="22"/>
  <c r="O17" i="22"/>
  <c r="O56" i="22"/>
  <c r="O94" i="22"/>
  <c r="O103" i="22"/>
  <c r="O141" i="22"/>
  <c r="O227" i="22"/>
  <c r="O181" i="22"/>
  <c r="O258" i="22"/>
  <c r="O368" i="22"/>
  <c r="O379" i="22"/>
  <c r="C41" i="19" s="1"/>
  <c r="O26" i="22"/>
  <c r="O58" i="22"/>
  <c r="O102" i="22"/>
  <c r="O116" i="22"/>
  <c r="O174" i="22"/>
  <c r="O165" i="22"/>
  <c r="O219" i="22"/>
  <c r="O279" i="22"/>
  <c r="O191" i="22"/>
  <c r="O239" i="22"/>
  <c r="O292" i="22"/>
  <c r="O33" i="22"/>
  <c r="O112" i="22"/>
  <c r="O151" i="22"/>
  <c r="O198" i="22"/>
  <c r="O330" i="22"/>
  <c r="O38" i="22"/>
  <c r="O110" i="22"/>
  <c r="O121" i="22"/>
  <c r="O226" i="22"/>
  <c r="O203" i="22"/>
  <c r="O311" i="22"/>
  <c r="O335" i="22"/>
  <c r="O53" i="22"/>
  <c r="O145" i="22"/>
  <c r="O250" i="22"/>
  <c r="O275" i="22"/>
  <c r="O345" i="22"/>
  <c r="O66" i="22"/>
  <c r="O139" i="22"/>
  <c r="O182" i="22"/>
  <c r="O295" i="22"/>
  <c r="O260" i="22"/>
  <c r="O312" i="22"/>
  <c r="O370" i="22"/>
  <c r="O352" i="22"/>
  <c r="O41" i="22"/>
  <c r="O79" i="22"/>
  <c r="O87" i="22"/>
  <c r="O180" i="22"/>
  <c r="AG37" i="7" s="1"/>
  <c r="O192" i="22"/>
  <c r="O277" i="22"/>
  <c r="O242" i="22"/>
  <c r="O320" i="22"/>
  <c r="O372" i="22"/>
  <c r="O22" i="22"/>
  <c r="O59" i="22"/>
  <c r="O84" i="22"/>
  <c r="O124" i="22"/>
  <c r="O166" i="22"/>
  <c r="O147" i="22"/>
  <c r="O211" i="22"/>
  <c r="O257" i="22"/>
  <c r="O300" i="22"/>
  <c r="O225" i="22"/>
  <c r="O280" i="22"/>
  <c r="O336" i="22"/>
  <c r="O314" i="22"/>
  <c r="O349" i="22"/>
  <c r="O42" i="22"/>
  <c r="O80" i="22"/>
  <c r="O88" i="22"/>
  <c r="AG34" i="7" s="1"/>
  <c r="O115" i="22"/>
  <c r="O197" i="22"/>
  <c r="O289" i="22"/>
  <c r="O243" i="22"/>
  <c r="O327" i="22"/>
  <c r="O378" i="22"/>
  <c r="O28" i="22"/>
  <c r="O64" i="22"/>
  <c r="O85" i="22"/>
  <c r="O72" i="22"/>
  <c r="O167" i="22"/>
  <c r="O149" i="22"/>
  <c r="AG36" i="7" s="1"/>
  <c r="O212" i="22"/>
  <c r="O259" i="22"/>
  <c r="O302" i="22"/>
  <c r="AG41" i="7" s="1"/>
  <c r="O229" i="22"/>
  <c r="O281" i="22"/>
  <c r="O337" i="22"/>
  <c r="O322" i="22"/>
  <c r="O369" i="22"/>
  <c r="O222" i="22"/>
  <c r="O299" i="22"/>
  <c r="O254" i="22"/>
  <c r="O207" i="22"/>
  <c r="O143" i="22"/>
  <c r="O162" i="22"/>
  <c r="O123" i="22"/>
  <c r="O77" i="22"/>
  <c r="O57" i="22"/>
  <c r="O15" i="22"/>
  <c r="O362" i="22"/>
  <c r="O316" i="22"/>
  <c r="O238" i="22"/>
  <c r="O276" i="22"/>
  <c r="O184" i="22"/>
  <c r="O164" i="22"/>
  <c r="O82" i="22"/>
  <c r="O73" i="22"/>
  <c r="O36" i="22"/>
  <c r="O333" i="22"/>
  <c r="AG42" i="7" s="1"/>
  <c r="O375" i="22"/>
  <c r="O331" i="22"/>
  <c r="O220" i="22"/>
  <c r="O248" i="22"/>
  <c r="O137" i="22"/>
  <c r="O119" i="22"/>
  <c r="AG35" i="7" s="1"/>
  <c r="O51" i="22"/>
  <c r="O360" i="22"/>
  <c r="O231" i="22"/>
  <c r="O179" i="22"/>
  <c r="O74" i="22"/>
  <c r="O23" i="22"/>
  <c r="O246" i="22"/>
  <c r="O153" i="22"/>
  <c r="O380" i="22"/>
  <c r="O350" i="22"/>
  <c r="O215" i="22"/>
  <c r="O305" i="22"/>
  <c r="O98" i="22"/>
  <c r="O255" i="22"/>
  <c r="O47" i="22"/>
  <c r="O158" i="22"/>
  <c r="O236" i="22"/>
  <c r="O20" i="22"/>
  <c r="O132" i="22"/>
  <c r="O367" i="22"/>
  <c r="O101" i="22"/>
  <c r="O217" i="22"/>
  <c r="O291" i="22"/>
  <c r="O290" i="22"/>
  <c r="O324" i="22"/>
  <c r="O155" i="22"/>
  <c r="O127" i="22"/>
  <c r="O48" i="22"/>
  <c r="O208" i="22"/>
  <c r="O154" i="22"/>
  <c r="O75" i="22"/>
  <c r="O269" i="22"/>
  <c r="O328" i="22"/>
  <c r="O373" i="22"/>
  <c r="O266" i="22"/>
  <c r="O325" i="22"/>
  <c r="O359" i="22"/>
  <c r="O319" i="22"/>
  <c r="O252" i="22"/>
  <c r="AZ13" i="7"/>
  <c r="U158" i="16"/>
  <c r="T158" i="16" s="1"/>
  <c r="S158" i="16" s="1"/>
  <c r="R158" i="16" s="1"/>
  <c r="W2" i="7"/>
  <c r="BA13" i="7"/>
  <c r="AS10" i="7"/>
  <c r="E7" i="23" s="1"/>
  <c r="O10" i="23" s="1"/>
  <c r="O74" i="23" s="1"/>
  <c r="J314" i="15"/>
  <c r="AC375" i="20"/>
  <c r="J87" i="15"/>
  <c r="AC235" i="20"/>
  <c r="AC236" i="20"/>
  <c r="AC332" i="20"/>
  <c r="AC168" i="20"/>
  <c r="AC379" i="20"/>
  <c r="AC136" i="20"/>
  <c r="AC215" i="20"/>
  <c r="AC306" i="20"/>
  <c r="AC225" i="20"/>
  <c r="AC246" i="20"/>
  <c r="AC368" i="20"/>
  <c r="AC245" i="20"/>
  <c r="AC285" i="20"/>
  <c r="AC149" i="20"/>
  <c r="AC359" i="20"/>
  <c r="AC219" i="20"/>
  <c r="AC360" i="20"/>
  <c r="AC281" i="20"/>
  <c r="AC341" i="20"/>
  <c r="AC147" i="20"/>
  <c r="AC343" i="20"/>
  <c r="AC204" i="20"/>
  <c r="AC200" i="20"/>
  <c r="AC237" i="20"/>
  <c r="AC142" i="20"/>
  <c r="AC221" i="20"/>
  <c r="AC196" i="20"/>
  <c r="AC138" i="20"/>
  <c r="AC377" i="20"/>
  <c r="AC348" i="20"/>
  <c r="AC167" i="20"/>
  <c r="AC159" i="20"/>
  <c r="AC376" i="20"/>
  <c r="AC365" i="20"/>
  <c r="AC230" i="20"/>
  <c r="AC238" i="20"/>
  <c r="I144" i="15"/>
  <c r="I107" i="15"/>
  <c r="I294" i="15"/>
  <c r="I315" i="15"/>
  <c r="I201" i="15"/>
  <c r="AC340" i="20"/>
  <c r="AC305" i="20"/>
  <c r="AC186" i="20"/>
  <c r="AC165" i="20"/>
  <c r="AC158" i="20"/>
  <c r="AC357" i="20"/>
  <c r="AC303" i="20"/>
  <c r="AC197" i="20"/>
  <c r="AC176" i="20"/>
  <c r="AC356" i="20"/>
  <c r="AC234" i="20"/>
  <c r="AC216" i="20"/>
  <c r="AC151" i="20"/>
  <c r="AC374" i="20"/>
  <c r="AC288" i="20"/>
  <c r="AC185" i="20"/>
  <c r="AC156" i="20"/>
  <c r="AC157" i="20"/>
  <c r="AC347" i="20"/>
  <c r="AC228" i="20"/>
  <c r="AC209" i="20"/>
  <c r="AC134" i="20"/>
  <c r="AC350" i="20"/>
  <c r="AC210" i="20"/>
  <c r="AC334" i="20"/>
  <c r="AC205" i="20"/>
  <c r="AC227" i="20"/>
  <c r="AC323" i="20"/>
  <c r="AC180" i="20"/>
  <c r="AC324" i="20"/>
  <c r="AC192" i="20"/>
  <c r="AC352" i="20"/>
  <c r="AC189" i="20"/>
  <c r="AC304" i="20"/>
  <c r="AC179" i="20"/>
  <c r="AC363" i="20"/>
  <c r="AC222" i="20"/>
  <c r="AC248" i="20"/>
  <c r="AC353" i="20"/>
  <c r="AC211" i="20"/>
  <c r="AC351" i="20"/>
  <c r="I299" i="15"/>
  <c r="H79" i="15"/>
  <c r="I79" i="15" s="1"/>
  <c r="J212" i="15"/>
  <c r="J183" i="15"/>
  <c r="H105" i="15"/>
  <c r="I105" i="15" s="1"/>
  <c r="AA79" i="15"/>
  <c r="Z79" i="15" s="1"/>
  <c r="Y79" i="15" s="1"/>
  <c r="I213" i="15"/>
  <c r="I238" i="15"/>
  <c r="J221" i="15"/>
  <c r="J329" i="15"/>
  <c r="I298" i="15"/>
  <c r="I167" i="15"/>
  <c r="J147" i="15"/>
  <c r="G137" i="15"/>
  <c r="BX137" i="6" s="1"/>
  <c r="I101" i="15"/>
  <c r="I204" i="15"/>
  <c r="J64" i="15"/>
  <c r="I76" i="15"/>
  <c r="J93" i="15"/>
  <c r="I258" i="15"/>
  <c r="I323" i="15"/>
  <c r="J311" i="15"/>
  <c r="G105" i="15"/>
  <c r="BX105" i="6" s="1"/>
  <c r="I312" i="15"/>
  <c r="I193" i="15"/>
  <c r="J280" i="15"/>
  <c r="J253" i="15"/>
  <c r="I224" i="15"/>
  <c r="J209" i="15"/>
  <c r="I300" i="15"/>
  <c r="J303" i="15"/>
  <c r="I166" i="15"/>
  <c r="I65" i="15"/>
  <c r="I332" i="15"/>
  <c r="J146" i="15"/>
  <c r="J285" i="15"/>
  <c r="I54" i="15"/>
  <c r="J54" i="15"/>
  <c r="J159" i="15"/>
  <c r="I246" i="15"/>
  <c r="J345" i="15"/>
  <c r="I308" i="15"/>
  <c r="J304" i="15"/>
  <c r="I234" i="15"/>
  <c r="I205" i="15"/>
  <c r="J73" i="15"/>
  <c r="J187" i="15"/>
  <c r="J48" i="15"/>
  <c r="I48" i="15"/>
  <c r="H137" i="15"/>
  <c r="I137" i="15" s="1"/>
  <c r="J127" i="15"/>
  <c r="J375" i="15"/>
  <c r="I365" i="15"/>
  <c r="I132" i="15"/>
  <c r="J363" i="15"/>
  <c r="J286" i="15"/>
  <c r="AC175" i="20"/>
  <c r="AC190" i="20"/>
  <c r="AC280" i="20"/>
  <c r="AC202" i="20"/>
  <c r="AC262" i="20"/>
  <c r="AC319" i="20"/>
  <c r="AC298" i="20"/>
  <c r="AC342" i="20"/>
  <c r="AC173" i="20"/>
  <c r="AC177" i="20"/>
  <c r="AC247" i="20"/>
  <c r="AC199" i="20"/>
  <c r="AC255" i="20"/>
  <c r="AC310" i="20"/>
  <c r="AC318" i="20"/>
  <c r="AC369" i="20"/>
  <c r="AC137" i="20"/>
  <c r="AC195" i="20"/>
  <c r="AC290" i="20"/>
  <c r="AC224" i="20"/>
  <c r="AC269" i="20"/>
  <c r="AC329" i="20"/>
  <c r="AC317" i="20"/>
  <c r="AC198" i="20"/>
  <c r="AC265" i="20"/>
  <c r="AC218" i="20"/>
  <c r="AC264" i="20"/>
  <c r="AC333" i="20"/>
  <c r="AC331" i="20"/>
  <c r="AC330" i="20"/>
  <c r="AC143" i="20"/>
  <c r="AC140" i="20"/>
  <c r="AC208" i="20"/>
  <c r="AC299" i="20"/>
  <c r="AC231" i="20"/>
  <c r="AC275" i="20"/>
  <c r="AC346" i="20"/>
  <c r="AC338" i="20"/>
  <c r="AC207" i="20"/>
  <c r="AC279" i="20"/>
  <c r="AC226" i="20"/>
  <c r="AC274" i="20"/>
  <c r="AC344" i="20"/>
  <c r="AC358" i="20"/>
  <c r="AC153" i="20"/>
  <c r="AC150" i="20"/>
  <c r="AC217" i="20"/>
  <c r="AC183" i="20"/>
  <c r="AC240" i="20"/>
  <c r="AC286" i="20"/>
  <c r="AC355" i="20"/>
  <c r="AC372" i="20"/>
  <c r="AC144" i="20"/>
  <c r="AC146" i="20"/>
  <c r="AC212" i="20"/>
  <c r="AC291" i="20"/>
  <c r="AC233" i="20"/>
  <c r="AC282" i="20"/>
  <c r="AC354" i="20"/>
  <c r="AC371" i="20"/>
  <c r="AC162" i="20"/>
  <c r="AC172" i="20"/>
  <c r="AC243" i="20"/>
  <c r="AC194" i="20"/>
  <c r="AC250" i="20"/>
  <c r="AC301" i="20"/>
  <c r="AC366" i="20"/>
  <c r="AC316" i="20"/>
  <c r="AC155" i="20"/>
  <c r="AC163" i="20"/>
  <c r="AC232" i="20"/>
  <c r="AC184" i="20"/>
  <c r="AC241" i="20"/>
  <c r="AC300" i="20"/>
  <c r="AC367" i="20"/>
  <c r="AC327" i="20"/>
  <c r="AC170" i="20"/>
  <c r="AC187" i="20"/>
  <c r="AC260" i="20"/>
  <c r="AC201" i="20"/>
  <c r="AC261" i="20"/>
  <c r="AC308" i="20"/>
  <c r="AC345" i="20"/>
  <c r="AC349" i="20"/>
  <c r="AC336" i="20"/>
  <c r="AC271" i="20"/>
  <c r="AC223" i="20"/>
  <c r="AC273" i="20"/>
  <c r="AC206" i="20"/>
  <c r="AC335" i="20"/>
  <c r="AC337" i="20"/>
  <c r="AC272" i="20"/>
  <c r="AC229" i="20"/>
  <c r="AC296" i="20"/>
  <c r="AC203" i="20"/>
  <c r="AC135" i="20"/>
  <c r="AC141" i="20"/>
  <c r="AC378" i="20"/>
  <c r="AC328" i="20"/>
  <c r="AC325" i="20"/>
  <c r="AC259" i="20"/>
  <c r="AC214" i="20"/>
  <c r="AC258" i="20"/>
  <c r="AC181" i="20"/>
  <c r="AC178" i="20"/>
  <c r="AC314" i="20"/>
  <c r="AC326" i="20"/>
  <c r="AC268" i="20"/>
  <c r="AC220" i="20"/>
  <c r="AC287" i="20"/>
  <c r="AC193" i="20"/>
  <c r="AC364" i="20"/>
  <c r="AC315" i="20"/>
  <c r="AC307" i="20"/>
  <c r="AC251" i="20"/>
  <c r="AC191" i="20"/>
  <c r="AC244" i="20"/>
  <c r="AC171" i="20"/>
  <c r="AC164" i="20"/>
  <c r="AC320" i="20"/>
  <c r="AC373" i="20"/>
  <c r="AC276" i="20"/>
  <c r="AC302" i="20"/>
  <c r="AC145" i="20"/>
  <c r="AC339" i="20"/>
  <c r="AC266" i="20"/>
  <c r="AC267" i="20"/>
  <c r="AC322" i="20"/>
  <c r="AC270" i="20"/>
  <c r="AC294" i="20"/>
  <c r="AC321" i="20"/>
  <c r="AC256" i="20"/>
  <c r="AC254" i="20"/>
  <c r="AC174" i="20"/>
  <c r="AC311" i="20"/>
  <c r="AC263" i="20"/>
  <c r="AC283" i="20"/>
  <c r="AC313" i="20"/>
  <c r="AC249" i="20"/>
  <c r="AC239" i="20"/>
  <c r="AC370" i="20"/>
  <c r="AC257" i="20"/>
  <c r="AC253" i="20"/>
  <c r="AC169" i="20"/>
  <c r="AC309" i="20"/>
  <c r="AC293" i="20"/>
  <c r="AC297" i="20"/>
  <c r="AC161" i="20"/>
  <c r="AC154" i="20"/>
  <c r="AC312" i="20"/>
  <c r="AC292" i="20"/>
  <c r="AC188" i="20"/>
  <c r="AC166" i="20"/>
  <c r="AC160" i="20"/>
  <c r="AC362" i="20"/>
  <c r="AC278" i="20"/>
  <c r="AC289" i="20"/>
  <c r="AC139" i="20"/>
  <c r="AC361" i="20"/>
  <c r="AC284" i="20"/>
  <c r="AC182" i="20"/>
  <c r="AC148" i="20"/>
  <c r="J367" i="15"/>
  <c r="I367" i="15"/>
  <c r="I340" i="15"/>
  <c r="J340" i="15"/>
  <c r="C13" i="19"/>
  <c r="F37" i="19"/>
  <c r="V379" i="15"/>
  <c r="F379" i="15" s="1"/>
  <c r="G379" i="15" s="1"/>
  <c r="BX379" i="6" s="1"/>
  <c r="D36" i="19"/>
  <c r="I371" i="15"/>
  <c r="J371" i="15"/>
  <c r="J58" i="15"/>
  <c r="I58" i="15"/>
  <c r="J180" i="15"/>
  <c r="J43" i="15"/>
  <c r="I108" i="15"/>
  <c r="J59" i="15"/>
  <c r="I59" i="15"/>
  <c r="C14" i="19"/>
  <c r="F38" i="19"/>
  <c r="J129" i="15"/>
  <c r="J128" i="15"/>
  <c r="U90" i="16"/>
  <c r="T90" i="16" s="1"/>
  <c r="S90" i="16" s="1"/>
  <c r="R90" i="16" s="1"/>
  <c r="U45" i="16"/>
  <c r="T45" i="16" s="1"/>
  <c r="S45" i="16" s="1"/>
  <c r="R45" i="16" s="1"/>
  <c r="U157" i="16"/>
  <c r="T157" i="16" s="1"/>
  <c r="S157" i="16" s="1"/>
  <c r="R157" i="16" s="1"/>
  <c r="U349" i="16"/>
  <c r="T349" i="16" s="1"/>
  <c r="S349" i="16" s="1"/>
  <c r="R349" i="16" s="1"/>
  <c r="U222" i="16"/>
  <c r="T222" i="16" s="1"/>
  <c r="S222" i="16" s="1"/>
  <c r="R222" i="16" s="1"/>
  <c r="U76" i="16"/>
  <c r="T76" i="16" s="1"/>
  <c r="S76" i="16" s="1"/>
  <c r="R76" i="16" s="1"/>
  <c r="U25" i="16"/>
  <c r="T25" i="16" s="1"/>
  <c r="S25" i="16" s="1"/>
  <c r="R25" i="16" s="1"/>
  <c r="U333" i="16"/>
  <c r="T333" i="16" s="1"/>
  <c r="S333" i="16" s="1"/>
  <c r="R333" i="16" s="1"/>
  <c r="U199" i="16"/>
  <c r="T199" i="16" s="1"/>
  <c r="S199" i="16" s="1"/>
  <c r="R199" i="16" s="1"/>
  <c r="U365" i="16"/>
  <c r="T365" i="16" s="1"/>
  <c r="S365" i="16" s="1"/>
  <c r="R365" i="16" s="1"/>
  <c r="U36" i="16"/>
  <c r="T36" i="16" s="1"/>
  <c r="S36" i="16" s="1"/>
  <c r="R36" i="16" s="1"/>
  <c r="U308" i="16"/>
  <c r="T308" i="16" s="1"/>
  <c r="S308" i="16" s="1"/>
  <c r="R308" i="16" s="1"/>
  <c r="P308" i="16" s="1"/>
  <c r="V308" i="16" s="1"/>
  <c r="F308" i="16" s="1"/>
  <c r="U266" i="16"/>
  <c r="T266" i="16" s="1"/>
  <c r="S266" i="16" s="1"/>
  <c r="R266" i="16" s="1"/>
  <c r="U290" i="16"/>
  <c r="T290" i="16" s="1"/>
  <c r="S290" i="16" s="1"/>
  <c r="R290" i="16" s="1"/>
  <c r="U46" i="16"/>
  <c r="T46" i="16" s="1"/>
  <c r="S46" i="16" s="1"/>
  <c r="R46" i="16" s="1"/>
  <c r="U31" i="16"/>
  <c r="T31" i="16" s="1"/>
  <c r="S31" i="16" s="1"/>
  <c r="R31" i="16" s="1"/>
  <c r="U267" i="16"/>
  <c r="T267" i="16" s="1"/>
  <c r="S267" i="16" s="1"/>
  <c r="R267" i="16" s="1"/>
  <c r="U60" i="16"/>
  <c r="T60" i="16" s="1"/>
  <c r="S60" i="16" s="1"/>
  <c r="R60" i="16" s="1"/>
  <c r="U159" i="16"/>
  <c r="T159" i="16" s="1"/>
  <c r="S159" i="16" s="1"/>
  <c r="R159" i="16" s="1"/>
  <c r="U109" i="16"/>
  <c r="T109" i="16" s="1"/>
  <c r="S109" i="16" s="1"/>
  <c r="R109" i="16" s="1"/>
  <c r="U283" i="16"/>
  <c r="T283" i="16" s="1"/>
  <c r="S283" i="16" s="1"/>
  <c r="R283" i="16" s="1"/>
  <c r="U377" i="16"/>
  <c r="T377" i="16" s="1"/>
  <c r="S377" i="16" s="1"/>
  <c r="R377" i="16" s="1"/>
  <c r="U311" i="16"/>
  <c r="T311" i="16" s="1"/>
  <c r="S311" i="16" s="1"/>
  <c r="R311" i="16" s="1"/>
  <c r="P311" i="16" s="1"/>
  <c r="V311" i="16" s="1"/>
  <c r="F311" i="16" s="1"/>
  <c r="U207" i="16"/>
  <c r="T207" i="16" s="1"/>
  <c r="S207" i="16" s="1"/>
  <c r="R207" i="16" s="1"/>
  <c r="U247" i="16"/>
  <c r="T247" i="16" s="1"/>
  <c r="S247" i="16" s="1"/>
  <c r="R247" i="16" s="1"/>
  <c r="U348" i="16"/>
  <c r="T348" i="16" s="1"/>
  <c r="S348" i="16" s="1"/>
  <c r="R348" i="16" s="1"/>
  <c r="U143" i="16"/>
  <c r="T143" i="16" s="1"/>
  <c r="S143" i="16" s="1"/>
  <c r="R143" i="16" s="1"/>
  <c r="U226" i="16"/>
  <c r="T226" i="16" s="1"/>
  <c r="S226" i="16" s="1"/>
  <c r="R226" i="16" s="1"/>
  <c r="P226" i="16" s="1"/>
  <c r="V226" i="16" s="1"/>
  <c r="F226" i="16" s="1"/>
  <c r="U64" i="16"/>
  <c r="T64" i="16" s="1"/>
  <c r="S64" i="16" s="1"/>
  <c r="R64" i="16" s="1"/>
  <c r="U327" i="16"/>
  <c r="T327" i="16" s="1"/>
  <c r="S327" i="16" s="1"/>
  <c r="R327" i="16" s="1"/>
  <c r="U26" i="16"/>
  <c r="T26" i="16" s="1"/>
  <c r="S26" i="16" s="1"/>
  <c r="R26" i="16" s="1"/>
  <c r="U164" i="16"/>
  <c r="T164" i="16" s="1"/>
  <c r="S164" i="16" s="1"/>
  <c r="R164" i="16" s="1"/>
  <c r="P164" i="16" s="1"/>
  <c r="V164" i="16" s="1"/>
  <c r="F164" i="16" s="1"/>
  <c r="U177" i="16"/>
  <c r="T177" i="16" s="1"/>
  <c r="S177" i="16" s="1"/>
  <c r="R177" i="16" s="1"/>
  <c r="U203" i="16"/>
  <c r="T203" i="16" s="1"/>
  <c r="S203" i="16" s="1"/>
  <c r="R203" i="16" s="1"/>
  <c r="U102" i="16"/>
  <c r="T102" i="16" s="1"/>
  <c r="S102" i="16" s="1"/>
  <c r="R102" i="16" s="1"/>
  <c r="U182" i="16"/>
  <c r="T182" i="16" s="1"/>
  <c r="S182" i="16" s="1"/>
  <c r="R182" i="16" s="1"/>
  <c r="U275" i="16"/>
  <c r="T275" i="16" s="1"/>
  <c r="S275" i="16" s="1"/>
  <c r="R275" i="16" s="1"/>
  <c r="U298" i="16"/>
  <c r="T298" i="16" s="1"/>
  <c r="S298" i="16" s="1"/>
  <c r="R298" i="16" s="1"/>
  <c r="U180" i="16"/>
  <c r="T180" i="16" s="1"/>
  <c r="S180" i="16" s="1"/>
  <c r="R180" i="16" s="1"/>
  <c r="P180" i="16" s="1"/>
  <c r="U95" i="16"/>
  <c r="T95" i="16" s="1"/>
  <c r="S95" i="16" s="1"/>
  <c r="R95" i="16" s="1"/>
  <c r="P95" i="16" s="1"/>
  <c r="U360" i="16"/>
  <c r="T360" i="16" s="1"/>
  <c r="S360" i="16" s="1"/>
  <c r="R360" i="16" s="1"/>
  <c r="U166" i="16"/>
  <c r="T166" i="16" s="1"/>
  <c r="S166" i="16" s="1"/>
  <c r="R166" i="16" s="1"/>
  <c r="U110" i="16"/>
  <c r="T110" i="16" s="1"/>
  <c r="S110" i="16" s="1"/>
  <c r="R110" i="16" s="1"/>
  <c r="U246" i="16"/>
  <c r="T246" i="16" s="1"/>
  <c r="S246" i="16" s="1"/>
  <c r="R246" i="16" s="1"/>
  <c r="U51" i="16"/>
  <c r="T51" i="16" s="1"/>
  <c r="S51" i="16" s="1"/>
  <c r="R51" i="16" s="1"/>
  <c r="U104" i="16"/>
  <c r="T104" i="16" s="1"/>
  <c r="S104" i="16" s="1"/>
  <c r="R104" i="16" s="1"/>
  <c r="U353" i="16"/>
  <c r="T353" i="16" s="1"/>
  <c r="S353" i="16" s="1"/>
  <c r="R353" i="16" s="1"/>
  <c r="U130" i="16"/>
  <c r="T130" i="16" s="1"/>
  <c r="S130" i="16" s="1"/>
  <c r="R130" i="16" s="1"/>
  <c r="P130" i="16" s="1"/>
  <c r="U249" i="16"/>
  <c r="T249" i="16" s="1"/>
  <c r="S249" i="16" s="1"/>
  <c r="R249" i="16" s="1"/>
  <c r="U314" i="16"/>
  <c r="T314" i="16" s="1"/>
  <c r="S314" i="16" s="1"/>
  <c r="R314" i="16" s="1"/>
  <c r="U149" i="16"/>
  <c r="T149" i="16" s="1"/>
  <c r="S149" i="16" s="1"/>
  <c r="R149" i="16" s="1"/>
  <c r="U257" i="16"/>
  <c r="T257" i="16" s="1"/>
  <c r="S257" i="16" s="1"/>
  <c r="R257" i="16" s="1"/>
  <c r="U78" i="16"/>
  <c r="T78" i="16" s="1"/>
  <c r="S78" i="16" s="1"/>
  <c r="R78" i="16" s="1"/>
  <c r="U244" i="16"/>
  <c r="T244" i="16" s="1"/>
  <c r="S244" i="16" s="1"/>
  <c r="R244" i="16" s="1"/>
  <c r="U16" i="16"/>
  <c r="T16" i="16" s="1"/>
  <c r="S16" i="16" s="1"/>
  <c r="R16" i="16" s="1"/>
  <c r="U338" i="16"/>
  <c r="T338" i="16" s="1"/>
  <c r="S338" i="16" s="1"/>
  <c r="R338" i="16" s="1"/>
  <c r="P338" i="16" s="1"/>
  <c r="V338" i="16" s="1"/>
  <c r="F338" i="16" s="1"/>
  <c r="U253" i="16"/>
  <c r="T253" i="16" s="1"/>
  <c r="S253" i="16" s="1"/>
  <c r="R253" i="16" s="1"/>
  <c r="U198" i="16"/>
  <c r="T198" i="16" s="1"/>
  <c r="S198" i="16" s="1"/>
  <c r="R198" i="16" s="1"/>
  <c r="U62" i="16"/>
  <c r="T62" i="16" s="1"/>
  <c r="S62" i="16" s="1"/>
  <c r="R62" i="16" s="1"/>
  <c r="U150" i="16"/>
  <c r="T150" i="16" s="1"/>
  <c r="S150" i="16" s="1"/>
  <c r="R150" i="16" s="1"/>
  <c r="U168" i="16"/>
  <c r="T168" i="16" s="1"/>
  <c r="S168" i="16" s="1"/>
  <c r="R168" i="16" s="1"/>
  <c r="U281" i="16"/>
  <c r="T281" i="16" s="1"/>
  <c r="S281" i="16" s="1"/>
  <c r="R281" i="16" s="1"/>
  <c r="U375" i="16"/>
  <c r="T375" i="16" s="1"/>
  <c r="S375" i="16" s="1"/>
  <c r="R375" i="16" s="1"/>
  <c r="P375" i="16" s="1"/>
  <c r="V375" i="16" s="1"/>
  <c r="F375" i="16" s="1"/>
  <c r="U108" i="16"/>
  <c r="T108" i="16" s="1"/>
  <c r="S108" i="16" s="1"/>
  <c r="R108" i="16" s="1"/>
  <c r="U99" i="16"/>
  <c r="T99" i="16" s="1"/>
  <c r="S99" i="16" s="1"/>
  <c r="R99" i="16" s="1"/>
  <c r="U366" i="16"/>
  <c r="T366" i="16" s="1"/>
  <c r="S366" i="16" s="1"/>
  <c r="R366" i="16" s="1"/>
  <c r="U259" i="16"/>
  <c r="T259" i="16" s="1"/>
  <c r="S259" i="16" s="1"/>
  <c r="R259" i="16" s="1"/>
  <c r="U135" i="16"/>
  <c r="T135" i="16" s="1"/>
  <c r="S135" i="16" s="1"/>
  <c r="R135" i="16" s="1"/>
  <c r="U237" i="16"/>
  <c r="T237" i="16" s="1"/>
  <c r="S237" i="16" s="1"/>
  <c r="R237" i="16" s="1"/>
  <c r="U263" i="16"/>
  <c r="T263" i="16" s="1"/>
  <c r="S263" i="16" s="1"/>
  <c r="R263" i="16" s="1"/>
  <c r="U288" i="16"/>
  <c r="T288" i="16" s="1"/>
  <c r="S288" i="16" s="1"/>
  <c r="R288" i="16" s="1"/>
  <c r="U369" i="16"/>
  <c r="T369" i="16" s="1"/>
  <c r="S369" i="16" s="1"/>
  <c r="R369" i="16" s="1"/>
  <c r="U291" i="16"/>
  <c r="T291" i="16" s="1"/>
  <c r="S291" i="16" s="1"/>
  <c r="R291" i="16" s="1"/>
  <c r="U15" i="16"/>
  <c r="T15" i="16" s="1"/>
  <c r="U195" i="16"/>
  <c r="T195" i="16" s="1"/>
  <c r="S195" i="16" s="1"/>
  <c r="R195" i="16" s="1"/>
  <c r="U172" i="16"/>
  <c r="T172" i="16" s="1"/>
  <c r="S172" i="16" s="1"/>
  <c r="R172" i="16" s="1"/>
  <c r="U59" i="16"/>
  <c r="T59" i="16" s="1"/>
  <c r="S59" i="16" s="1"/>
  <c r="R59" i="16" s="1"/>
  <c r="P59" i="16" s="1"/>
  <c r="V59" i="16" s="1"/>
  <c r="F59" i="16" s="1"/>
  <c r="U242" i="16"/>
  <c r="T242" i="16" s="1"/>
  <c r="S242" i="16" s="1"/>
  <c r="R242" i="16" s="1"/>
  <c r="P242" i="16" s="1"/>
  <c r="V242" i="16" s="1"/>
  <c r="F242" i="16" s="1"/>
  <c r="U269" i="16"/>
  <c r="T269" i="16" s="1"/>
  <c r="S269" i="16" s="1"/>
  <c r="R269" i="16" s="1"/>
  <c r="P269" i="16" s="1"/>
  <c r="V269" i="16" s="1"/>
  <c r="F269" i="16" s="1"/>
  <c r="G269" i="16" s="1"/>
  <c r="BY269" i="6" s="1"/>
  <c r="D62" i="19"/>
  <c r="F52" i="15"/>
  <c r="G52" i="15" s="1"/>
  <c r="BX52" i="6" s="1"/>
  <c r="I235" i="15"/>
  <c r="I148" i="15"/>
  <c r="G309" i="15"/>
  <c r="BX309" i="6" s="1"/>
  <c r="AA309" i="15"/>
  <c r="Z309" i="15" s="1"/>
  <c r="Y309" i="15" s="1"/>
  <c r="H309" i="15"/>
  <c r="H123" i="15"/>
  <c r="G123" i="15"/>
  <c r="BX123" i="6" s="1"/>
  <c r="AA123" i="15"/>
  <c r="Z123" i="15" s="1"/>
  <c r="Y123" i="15" s="1"/>
  <c r="H284" i="15"/>
  <c r="AA284" i="15"/>
  <c r="Z284" i="15" s="1"/>
  <c r="Y284" i="15" s="1"/>
  <c r="G284" i="15"/>
  <c r="BX284" i="6" s="1"/>
  <c r="G17" i="15"/>
  <c r="BX17" i="6" s="1"/>
  <c r="H17" i="15"/>
  <c r="H102" i="15"/>
  <c r="AA102" i="15"/>
  <c r="Z102" i="15" s="1"/>
  <c r="Y102" i="15" s="1"/>
  <c r="G102" i="15"/>
  <c r="BX102" i="6" s="1"/>
  <c r="G21" i="15"/>
  <c r="BX21" i="6" s="1"/>
  <c r="H21" i="15"/>
  <c r="AA21" i="15"/>
  <c r="Z21" i="15" s="1"/>
  <c r="Y21" i="15" s="1"/>
  <c r="G359" i="15"/>
  <c r="BX359" i="6" s="1"/>
  <c r="AA359" i="15"/>
  <c r="Z359" i="15" s="1"/>
  <c r="Y359" i="15" s="1"/>
  <c r="H359" i="15"/>
  <c r="H216" i="15"/>
  <c r="G216" i="15"/>
  <c r="BX216" i="6" s="1"/>
  <c r="AA216" i="15"/>
  <c r="Z216" i="15" s="1"/>
  <c r="Y216" i="15" s="1"/>
  <c r="G255" i="15"/>
  <c r="BX255" i="6" s="1"/>
  <c r="H255" i="15"/>
  <c r="AA255" i="15"/>
  <c r="Z255" i="15" s="1"/>
  <c r="Y255" i="15" s="1"/>
  <c r="AA241" i="15"/>
  <c r="Z241" i="15" s="1"/>
  <c r="Y241" i="15" s="1"/>
  <c r="G241" i="15"/>
  <c r="BX241" i="6" s="1"/>
  <c r="H241" i="15"/>
  <c r="H243" i="15"/>
  <c r="AA243" i="15"/>
  <c r="Z243" i="15" s="1"/>
  <c r="Y243" i="15" s="1"/>
  <c r="G243" i="15"/>
  <c r="BX243" i="6" s="1"/>
  <c r="AA25" i="15"/>
  <c r="Z25" i="15" s="1"/>
  <c r="Y25" i="15" s="1"/>
  <c r="G25" i="15"/>
  <c r="BX25" i="6" s="1"/>
  <c r="H25" i="15"/>
  <c r="G239" i="15"/>
  <c r="BX239" i="6" s="1"/>
  <c r="H239" i="15"/>
  <c r="AA239" i="15"/>
  <c r="Z239" i="15" s="1"/>
  <c r="Y239" i="15" s="1"/>
  <c r="AA142" i="15"/>
  <c r="Z142" i="15" s="1"/>
  <c r="Y142" i="15" s="1"/>
  <c r="G142" i="15"/>
  <c r="BX142" i="6" s="1"/>
  <c r="H142" i="15"/>
  <c r="G289" i="15"/>
  <c r="BX289" i="6" s="1"/>
  <c r="H289" i="15"/>
  <c r="AA289" i="15"/>
  <c r="Z289" i="15" s="1"/>
  <c r="Y289" i="15" s="1"/>
  <c r="G319" i="15"/>
  <c r="BX319" i="6" s="1"/>
  <c r="AA319" i="15"/>
  <c r="Z319" i="15" s="1"/>
  <c r="Y319" i="15" s="1"/>
  <c r="H319" i="15"/>
  <c r="Q16" i="7"/>
  <c r="AI158" i="16"/>
  <c r="AH158" i="16" s="1"/>
  <c r="AG158" i="16" s="1"/>
  <c r="AF158" i="16" s="1"/>
  <c r="AD158" i="16" s="1"/>
  <c r="AI225" i="16"/>
  <c r="AH225" i="16" s="1"/>
  <c r="AI276" i="16"/>
  <c r="AH276" i="16" s="1"/>
  <c r="AI246" i="16"/>
  <c r="AH246" i="16" s="1"/>
  <c r="AI88" i="16"/>
  <c r="AH88" i="16" s="1"/>
  <c r="AI286" i="16"/>
  <c r="AH286" i="16" s="1"/>
  <c r="AI51" i="16"/>
  <c r="AH51" i="16" s="1"/>
  <c r="AI228" i="16"/>
  <c r="AH228" i="16" s="1"/>
  <c r="AI215" i="16"/>
  <c r="AH215" i="16" s="1"/>
  <c r="AI258" i="16"/>
  <c r="AH258" i="16" s="1"/>
  <c r="AI160" i="16"/>
  <c r="AH160" i="16" s="1"/>
  <c r="AI233" i="16"/>
  <c r="AH233" i="16" s="1"/>
  <c r="AG233" i="16" s="1"/>
  <c r="AF233" i="16" s="1"/>
  <c r="AD233" i="16" s="1"/>
  <c r="AI96" i="16"/>
  <c r="AH96" i="16" s="1"/>
  <c r="AG96" i="16" s="1"/>
  <c r="AF96" i="16" s="1"/>
  <c r="AD96" i="16" s="1"/>
  <c r="AI304" i="16"/>
  <c r="AH304" i="16" s="1"/>
  <c r="AI179" i="16"/>
  <c r="AH179" i="16" s="1"/>
  <c r="AI69" i="16"/>
  <c r="AH69" i="16" s="1"/>
  <c r="AI343" i="16"/>
  <c r="AH343" i="16" s="1"/>
  <c r="AI296" i="16"/>
  <c r="AH296" i="16" s="1"/>
  <c r="AI332" i="16"/>
  <c r="AH332" i="16" s="1"/>
  <c r="AG332" i="16" s="1"/>
  <c r="AF332" i="16" s="1"/>
  <c r="AD332" i="16" s="1"/>
  <c r="AI98" i="16"/>
  <c r="AH98" i="16" s="1"/>
  <c r="AI140" i="16"/>
  <c r="AH140" i="16" s="1"/>
  <c r="AG140" i="16" s="1"/>
  <c r="AF140" i="16" s="1"/>
  <c r="AD140" i="16" s="1"/>
  <c r="AI62" i="16"/>
  <c r="AH62" i="16" s="1"/>
  <c r="AI177" i="16"/>
  <c r="AH177" i="16" s="1"/>
  <c r="AI212" i="16"/>
  <c r="AH212" i="16" s="1"/>
  <c r="AI214" i="16"/>
  <c r="AH214" i="16" s="1"/>
  <c r="AI330" i="16"/>
  <c r="AH330" i="16" s="1"/>
  <c r="AI292" i="16"/>
  <c r="AH292" i="16" s="1"/>
  <c r="AI217" i="16"/>
  <c r="AH217" i="16" s="1"/>
  <c r="AI198" i="16"/>
  <c r="AH198" i="16" s="1"/>
  <c r="AI295" i="16"/>
  <c r="AH295" i="16" s="1"/>
  <c r="AI208" i="16"/>
  <c r="AH208" i="16" s="1"/>
  <c r="AI265" i="16"/>
  <c r="AH265" i="16" s="1"/>
  <c r="AI104" i="16"/>
  <c r="AH104" i="16" s="1"/>
  <c r="AI171" i="16"/>
  <c r="AH171" i="16" s="1"/>
  <c r="AI294" i="16"/>
  <c r="AH294" i="16" s="1"/>
  <c r="AI154" i="16"/>
  <c r="AH154" i="16" s="1"/>
  <c r="AI196" i="16"/>
  <c r="AH196" i="16" s="1"/>
  <c r="AI223" i="16"/>
  <c r="AH223" i="16" s="1"/>
  <c r="AI222" i="16"/>
  <c r="AH222" i="16" s="1"/>
  <c r="AI316" i="16"/>
  <c r="AH316" i="16" s="1"/>
  <c r="AI257" i="16"/>
  <c r="AH257" i="16" s="1"/>
  <c r="AI242" i="16"/>
  <c r="AH242" i="16" s="1"/>
  <c r="AI17" i="16"/>
  <c r="AH17" i="16" s="1"/>
  <c r="AI275" i="16"/>
  <c r="AH275" i="16" s="1"/>
  <c r="AI310" i="16"/>
  <c r="AH310" i="16" s="1"/>
  <c r="AI117" i="16"/>
  <c r="AH117" i="16" s="1"/>
  <c r="AI344" i="16"/>
  <c r="AH344" i="16" s="1"/>
  <c r="AI261" i="16"/>
  <c r="AH261" i="16" s="1"/>
  <c r="AI164" i="16"/>
  <c r="AH164" i="16" s="1"/>
  <c r="AI334" i="16"/>
  <c r="AH334" i="16" s="1"/>
  <c r="AI313" i="16"/>
  <c r="AH313" i="16" s="1"/>
  <c r="AI27" i="16"/>
  <c r="AH27" i="16" s="1"/>
  <c r="AI77" i="16"/>
  <c r="AH77" i="16" s="1"/>
  <c r="AI205" i="16"/>
  <c r="AH205" i="16" s="1"/>
  <c r="AI365" i="16"/>
  <c r="AH365" i="16" s="1"/>
  <c r="AI248" i="16"/>
  <c r="AH248" i="16" s="1"/>
  <c r="AI335" i="16"/>
  <c r="AH335" i="16" s="1"/>
  <c r="AI113" i="16"/>
  <c r="AH113" i="16" s="1"/>
  <c r="AI328" i="16"/>
  <c r="AH328" i="16" s="1"/>
  <c r="AI86" i="16"/>
  <c r="AH86" i="16" s="1"/>
  <c r="AI74" i="16"/>
  <c r="AH74" i="16" s="1"/>
  <c r="AI152" i="16"/>
  <c r="AH152" i="16" s="1"/>
  <c r="AI89" i="16"/>
  <c r="AH89" i="16" s="1"/>
  <c r="AI379" i="16"/>
  <c r="AI231" i="16"/>
  <c r="AH231" i="16" s="1"/>
  <c r="AI80" i="16"/>
  <c r="AH80" i="16" s="1"/>
  <c r="AI201" i="16"/>
  <c r="AH201" i="16" s="1"/>
  <c r="AI290" i="16"/>
  <c r="AH290" i="16" s="1"/>
  <c r="AI139" i="16"/>
  <c r="AH139" i="16" s="1"/>
  <c r="AI230" i="16"/>
  <c r="AH230" i="16" s="1"/>
  <c r="AI58" i="16"/>
  <c r="AH58" i="16" s="1"/>
  <c r="AI376" i="16"/>
  <c r="AH376" i="16" s="1"/>
  <c r="AI175" i="16"/>
  <c r="AH175" i="16" s="1"/>
  <c r="AI126" i="16"/>
  <c r="AH126" i="16" s="1"/>
  <c r="AI124" i="16"/>
  <c r="AH124" i="16" s="1"/>
  <c r="AI209" i="16"/>
  <c r="AH209" i="16" s="1"/>
  <c r="AI210" i="16"/>
  <c r="AH210" i="16" s="1"/>
  <c r="AI340" i="16"/>
  <c r="AH340" i="16" s="1"/>
  <c r="AI259" i="16"/>
  <c r="AH259" i="16" s="1"/>
  <c r="AI278" i="16"/>
  <c r="AH278" i="16" s="1"/>
  <c r="AI85" i="16"/>
  <c r="AH85" i="16" s="1"/>
  <c r="AI216" i="16"/>
  <c r="AH216" i="16" s="1"/>
  <c r="AI229" i="16"/>
  <c r="AH229" i="16" s="1"/>
  <c r="AI36" i="16"/>
  <c r="AH36" i="16" s="1"/>
  <c r="AI270" i="16"/>
  <c r="AH270" i="16" s="1"/>
  <c r="AI281" i="16"/>
  <c r="AH281" i="16" s="1"/>
  <c r="AI308" i="16"/>
  <c r="AH308" i="16" s="1"/>
  <c r="AI29" i="16"/>
  <c r="AH29" i="16" s="1"/>
  <c r="AI157" i="16"/>
  <c r="AH157" i="16" s="1"/>
  <c r="AI285" i="16"/>
  <c r="AH285" i="16" s="1"/>
  <c r="AI346" i="16"/>
  <c r="AH346" i="16" s="1"/>
  <c r="AI63" i="16"/>
  <c r="AH63" i="16" s="1"/>
  <c r="AI48" i="16"/>
  <c r="AH48" i="16" s="1"/>
  <c r="AI353" i="16"/>
  <c r="AH353" i="16" s="1"/>
  <c r="AI115" i="16"/>
  <c r="AH115" i="16" s="1"/>
  <c r="AI256" i="16"/>
  <c r="AH256" i="16" s="1"/>
  <c r="AI103" i="16"/>
  <c r="AH103" i="16" s="1"/>
  <c r="AI33" i="16"/>
  <c r="AH33" i="16" s="1"/>
  <c r="AI307" i="16"/>
  <c r="AH307" i="16" s="1"/>
  <c r="AI197" i="16"/>
  <c r="AH197" i="16" s="1"/>
  <c r="AI206" i="16"/>
  <c r="AH206" i="16" s="1"/>
  <c r="AI91" i="16"/>
  <c r="AH91" i="16" s="1"/>
  <c r="AI263" i="16"/>
  <c r="AH263" i="16" s="1"/>
  <c r="AI354" i="16"/>
  <c r="AH354" i="16" s="1"/>
  <c r="AG354" i="16" s="1"/>
  <c r="AF354" i="16" s="1"/>
  <c r="AD354" i="16" s="1"/>
  <c r="AI268" i="16"/>
  <c r="AH268" i="16" s="1"/>
  <c r="AG268" i="16" s="1"/>
  <c r="AF268" i="16" s="1"/>
  <c r="AD268" i="16" s="1"/>
  <c r="AI161" i="16"/>
  <c r="AH161" i="16" s="1"/>
  <c r="AI118" i="16"/>
  <c r="AH118" i="16" s="1"/>
  <c r="AI42" i="16"/>
  <c r="AH42" i="16" s="1"/>
  <c r="AI144" i="16"/>
  <c r="AH144" i="16" s="1"/>
  <c r="AI219" i="16"/>
  <c r="AH219" i="16" s="1"/>
  <c r="AG219" i="16" s="1"/>
  <c r="AF219" i="16" s="1"/>
  <c r="AD219" i="16" s="1"/>
  <c r="AI46" i="16"/>
  <c r="AH46" i="16" s="1"/>
  <c r="AG46" i="16" s="1"/>
  <c r="AF46" i="16" s="1"/>
  <c r="AD46" i="16" s="1"/>
  <c r="AI116" i="16"/>
  <c r="AH116" i="16" s="1"/>
  <c r="AI19" i="16"/>
  <c r="AH19" i="16" s="1"/>
  <c r="AI318" i="16"/>
  <c r="AH318" i="16" s="1"/>
  <c r="AI305" i="16"/>
  <c r="AH305" i="16" s="1"/>
  <c r="AI99" i="16"/>
  <c r="AH99" i="16" s="1"/>
  <c r="AI192" i="16"/>
  <c r="AH192" i="16" s="1"/>
  <c r="AI71" i="16"/>
  <c r="AH71" i="16" s="1"/>
  <c r="AI183" i="16"/>
  <c r="AH183" i="16" s="1"/>
  <c r="AI194" i="16"/>
  <c r="AH194" i="16" s="1"/>
  <c r="AI288" i="16"/>
  <c r="AH288" i="16" s="1"/>
  <c r="AI359" i="16"/>
  <c r="AH359" i="16" s="1"/>
  <c r="AI220" i="16"/>
  <c r="AH220" i="16" s="1"/>
  <c r="AI329" i="16"/>
  <c r="AH329" i="16" s="1"/>
  <c r="AI360" i="16"/>
  <c r="AH360" i="16" s="1"/>
  <c r="AI267" i="16"/>
  <c r="AH267" i="16" s="1"/>
  <c r="AI224" i="16"/>
  <c r="AH224" i="16" s="1"/>
  <c r="AG224" i="16" s="1"/>
  <c r="AF224" i="16" s="1"/>
  <c r="AD224" i="16" s="1"/>
  <c r="AI282" i="16"/>
  <c r="AH282" i="16" s="1"/>
  <c r="AI31" i="16"/>
  <c r="AH31" i="16" s="1"/>
  <c r="AI287" i="16"/>
  <c r="AH287" i="16" s="1"/>
  <c r="AI350" i="16"/>
  <c r="AH350" i="16" s="1"/>
  <c r="AI65" i="16"/>
  <c r="AH65" i="16" s="1"/>
  <c r="AI321" i="16"/>
  <c r="AH321" i="16" s="1"/>
  <c r="AI370" i="16"/>
  <c r="AH370" i="16" s="1"/>
  <c r="AI339" i="16"/>
  <c r="AH339" i="16" s="1"/>
  <c r="AI245" i="16"/>
  <c r="AH245" i="16" s="1"/>
  <c r="AI325" i="16"/>
  <c r="AH325" i="16" s="1"/>
  <c r="AI28" i="16"/>
  <c r="AH28" i="16" s="1"/>
  <c r="AI155" i="16"/>
  <c r="AH155" i="16" s="1"/>
  <c r="AI237" i="16"/>
  <c r="AH237" i="16" s="1"/>
  <c r="AI132" i="16"/>
  <c r="AH132" i="16" s="1"/>
  <c r="AI241" i="16"/>
  <c r="AH241" i="16" s="1"/>
  <c r="AI342" i="16"/>
  <c r="AH342" i="16" s="1"/>
  <c r="AI55" i="16"/>
  <c r="AH55" i="16" s="1"/>
  <c r="AI32" i="16"/>
  <c r="AH32" i="16" s="1"/>
  <c r="AI92" i="16"/>
  <c r="AH92" i="16" s="1"/>
  <c r="AI232" i="16"/>
  <c r="AH232" i="16" s="1"/>
  <c r="AI358" i="16"/>
  <c r="AH358" i="16" s="1"/>
  <c r="AI260" i="16"/>
  <c r="AH260" i="16" s="1"/>
  <c r="AI254" i="16"/>
  <c r="AH254" i="16" s="1"/>
  <c r="AI273" i="16"/>
  <c r="AH273" i="16" s="1"/>
  <c r="AI67" i="16"/>
  <c r="AH67" i="16" s="1"/>
  <c r="AI64" i="16"/>
  <c r="AH64" i="16" s="1"/>
  <c r="AI356" i="16"/>
  <c r="AH356" i="16" s="1"/>
  <c r="AI119" i="16"/>
  <c r="AH119" i="16" s="1"/>
  <c r="AI66" i="16"/>
  <c r="AH66" i="16" s="1"/>
  <c r="AI61" i="16"/>
  <c r="AH61" i="16" s="1"/>
  <c r="AI349" i="16"/>
  <c r="AH349" i="16" s="1"/>
  <c r="AI148" i="16"/>
  <c r="AH148" i="16" s="1"/>
  <c r="AI182" i="16"/>
  <c r="AH182" i="16" s="1"/>
  <c r="AI266" i="16"/>
  <c r="AH266" i="16" s="1"/>
  <c r="AI24" i="16"/>
  <c r="AH24" i="16" s="1"/>
  <c r="AI185" i="16"/>
  <c r="AH185" i="16" s="1"/>
  <c r="AI45" i="16"/>
  <c r="AH45" i="16" s="1"/>
  <c r="AI301" i="16"/>
  <c r="AH301" i="16" s="1"/>
  <c r="AI207" i="16"/>
  <c r="AH207" i="16" s="1"/>
  <c r="AI274" i="16"/>
  <c r="AH274" i="16" s="1"/>
  <c r="AI149" i="16"/>
  <c r="AH149" i="16" s="1"/>
  <c r="AI20" i="16"/>
  <c r="AH20" i="16" s="1"/>
  <c r="AI167" i="16"/>
  <c r="AH167" i="16" s="1"/>
  <c r="AI137" i="16"/>
  <c r="AH137" i="16" s="1"/>
  <c r="AI43" i="16"/>
  <c r="AH43" i="16" s="1"/>
  <c r="AI333" i="16"/>
  <c r="AH333" i="16" s="1"/>
  <c r="AI111" i="16"/>
  <c r="AH111" i="16" s="1"/>
  <c r="AI240" i="16"/>
  <c r="AH240" i="16" s="1"/>
  <c r="AI82" i="16"/>
  <c r="AH82" i="16" s="1"/>
  <c r="AI195" i="16"/>
  <c r="AH195" i="16" s="1"/>
  <c r="AI236" i="16"/>
  <c r="AH236" i="16" s="1"/>
  <c r="AI101" i="16"/>
  <c r="AH101" i="16" s="1"/>
  <c r="AI375" i="16"/>
  <c r="AH375" i="16" s="1"/>
  <c r="AI52" i="16"/>
  <c r="AH52" i="16" s="1"/>
  <c r="AI125" i="16"/>
  <c r="AH125" i="16" s="1"/>
  <c r="AI218" i="16"/>
  <c r="AH218" i="16" s="1"/>
  <c r="AI191" i="16"/>
  <c r="AH191" i="16" s="1"/>
  <c r="AI188" i="16"/>
  <c r="AH188" i="16" s="1"/>
  <c r="AI178" i="16"/>
  <c r="AH178" i="16" s="1"/>
  <c r="AI243" i="16"/>
  <c r="AH243" i="16" s="1"/>
  <c r="AI53" i="16"/>
  <c r="AH53" i="16" s="1"/>
  <c r="AI324" i="16"/>
  <c r="AH324" i="16" s="1"/>
  <c r="AI289" i="16"/>
  <c r="AH289" i="16" s="1"/>
  <c r="AI374" i="16"/>
  <c r="AH374" i="16" s="1"/>
  <c r="AI298" i="16"/>
  <c r="AH298" i="16" s="1"/>
  <c r="AI284" i="16"/>
  <c r="AH284" i="16" s="1"/>
  <c r="AI283" i="16"/>
  <c r="AH283" i="16" s="1"/>
  <c r="AI302" i="16"/>
  <c r="AH302" i="16" s="1"/>
  <c r="AI75" i="16"/>
  <c r="AH75" i="16" s="1"/>
  <c r="AG75" i="16" s="1"/>
  <c r="AF75" i="16" s="1"/>
  <c r="AD75" i="16" s="1"/>
  <c r="AI127" i="16"/>
  <c r="AH127" i="16" s="1"/>
  <c r="AI50" i="16"/>
  <c r="AH50" i="16" s="1"/>
  <c r="AI172" i="16"/>
  <c r="AH172" i="16" s="1"/>
  <c r="AI280" i="16"/>
  <c r="AH280" i="16" s="1"/>
  <c r="AI121" i="16"/>
  <c r="AH121" i="16" s="1"/>
  <c r="AI134" i="16"/>
  <c r="AH134" i="16" s="1"/>
  <c r="AI336" i="16"/>
  <c r="AH336" i="16" s="1"/>
  <c r="AG336" i="16" s="1"/>
  <c r="AF336" i="16" s="1"/>
  <c r="AD336" i="16" s="1"/>
  <c r="AI203" i="16"/>
  <c r="AH203" i="16" s="1"/>
  <c r="AI143" i="16"/>
  <c r="AH143" i="16" s="1"/>
  <c r="AI368" i="16"/>
  <c r="AH368" i="16" s="1"/>
  <c r="AI146" i="16"/>
  <c r="AH146" i="16" s="1"/>
  <c r="AI227" i="16"/>
  <c r="AH227" i="16" s="1"/>
  <c r="AI364" i="16"/>
  <c r="AH364" i="16" s="1"/>
  <c r="AI165" i="16"/>
  <c r="AH165" i="16" s="1"/>
  <c r="AI142" i="16"/>
  <c r="AH142" i="16" s="1"/>
  <c r="AI59" i="16"/>
  <c r="AH59" i="16" s="1"/>
  <c r="AI204" i="16"/>
  <c r="AH204" i="16" s="1"/>
  <c r="AI174" i="16"/>
  <c r="AH174" i="16" s="1"/>
  <c r="AI73" i="16"/>
  <c r="AH73" i="16" s="1"/>
  <c r="AI34" i="16"/>
  <c r="AH34" i="16" s="1"/>
  <c r="AI372" i="16"/>
  <c r="AH372" i="16" s="1"/>
  <c r="AI363" i="16"/>
  <c r="AH363" i="16" s="1"/>
  <c r="AI317" i="16"/>
  <c r="AH317" i="16" s="1"/>
  <c r="AI56" i="16"/>
  <c r="AH56" i="16" s="1"/>
  <c r="AI95" i="16"/>
  <c r="AH95" i="16" s="1"/>
  <c r="AI351" i="16"/>
  <c r="AH351" i="16" s="1"/>
  <c r="AI176" i="16"/>
  <c r="AH176" i="16" s="1"/>
  <c r="AI129" i="16"/>
  <c r="AH129" i="16" s="1"/>
  <c r="AI15" i="16"/>
  <c r="AI264" i="16"/>
  <c r="AH264" i="16" s="1"/>
  <c r="AI147" i="16"/>
  <c r="AH147" i="16" s="1"/>
  <c r="AI54" i="16"/>
  <c r="AH54" i="16" s="1"/>
  <c r="AI44" i="16"/>
  <c r="AH44" i="16" s="1"/>
  <c r="AI373" i="16"/>
  <c r="AH373" i="16" s="1"/>
  <c r="AI21" i="16"/>
  <c r="AH21" i="16" s="1"/>
  <c r="AI170" i="16"/>
  <c r="AH170" i="16" s="1"/>
  <c r="AI279" i="16"/>
  <c r="AH279" i="16" s="1"/>
  <c r="AI57" i="16"/>
  <c r="AH57" i="16" s="1"/>
  <c r="AI40" i="16"/>
  <c r="AH40" i="16" s="1"/>
  <c r="AI347" i="16"/>
  <c r="AH347" i="16" s="1"/>
  <c r="AI141" i="16"/>
  <c r="AH141" i="16" s="1"/>
  <c r="AI269" i="16"/>
  <c r="AH269" i="16" s="1"/>
  <c r="AI250" i="16"/>
  <c r="AH250" i="16" s="1"/>
  <c r="AI79" i="16"/>
  <c r="AH79" i="16" s="1"/>
  <c r="AI112" i="16"/>
  <c r="AH112" i="16" s="1"/>
  <c r="AI369" i="16"/>
  <c r="AH369" i="16" s="1"/>
  <c r="AI163" i="16"/>
  <c r="AH163" i="16" s="1"/>
  <c r="AI108" i="16"/>
  <c r="AH108" i="16" s="1"/>
  <c r="AI37" i="16"/>
  <c r="AH37" i="16" s="1"/>
  <c r="AI311" i="16"/>
  <c r="AH311" i="16" s="1"/>
  <c r="AI168" i="16"/>
  <c r="AH168" i="16" s="1"/>
  <c r="AI76" i="16"/>
  <c r="AH76" i="16" s="1"/>
  <c r="AI110" i="16"/>
  <c r="AH110" i="16" s="1"/>
  <c r="AI348" i="16"/>
  <c r="AH348" i="16" s="1"/>
  <c r="AI361" i="16"/>
  <c r="AH361" i="16" s="1"/>
  <c r="AI244" i="16"/>
  <c r="AH244" i="16" s="1"/>
  <c r="AG244" i="16" s="1"/>
  <c r="AF244" i="16" s="1"/>
  <c r="AD244" i="16" s="1"/>
  <c r="AI299" i="16"/>
  <c r="AH299" i="16" s="1"/>
  <c r="AI352" i="16"/>
  <c r="AH352" i="16" s="1"/>
  <c r="AI314" i="16"/>
  <c r="AH314" i="16" s="1"/>
  <c r="AI47" i="16"/>
  <c r="AH47" i="16" s="1"/>
  <c r="AI303" i="16"/>
  <c r="AH303" i="16" s="1"/>
  <c r="AI380" i="16"/>
  <c r="AH380" i="16" s="1"/>
  <c r="AI81" i="16"/>
  <c r="AH81" i="16" s="1"/>
  <c r="AI337" i="16"/>
  <c r="AH337" i="16" s="1"/>
  <c r="AI200" i="16"/>
  <c r="AH200" i="16" s="1"/>
  <c r="AI131" i="16"/>
  <c r="AH131" i="16" s="1"/>
  <c r="AI22" i="16"/>
  <c r="AH22" i="16" s="1"/>
  <c r="AI320" i="16"/>
  <c r="AH320" i="16" s="1"/>
  <c r="AI341" i="16"/>
  <c r="AH341" i="16" s="1"/>
  <c r="AI135" i="16"/>
  <c r="AH135" i="16" s="1"/>
  <c r="AI106" i="16"/>
  <c r="AH106" i="16" s="1"/>
  <c r="AI247" i="16"/>
  <c r="AH247" i="16" s="1"/>
  <c r="AI25" i="16"/>
  <c r="AH25" i="16" s="1"/>
  <c r="AI322" i="16"/>
  <c r="AH322" i="16" s="1"/>
  <c r="AI315" i="16"/>
  <c r="AH315" i="16" s="1"/>
  <c r="AI93" i="16"/>
  <c r="AH93" i="16" s="1"/>
  <c r="AI221" i="16"/>
  <c r="AH221" i="16" s="1"/>
  <c r="AI90" i="16"/>
  <c r="AH90" i="16" s="1"/>
  <c r="AI68" i="16"/>
  <c r="AH68" i="16" s="1"/>
  <c r="AI319" i="16"/>
  <c r="AH319" i="16" s="1"/>
  <c r="AI97" i="16"/>
  <c r="AH97" i="16" s="1"/>
  <c r="AI136" i="16"/>
  <c r="AH136" i="16" s="1"/>
  <c r="AI371" i="16"/>
  <c r="AH371" i="16" s="1"/>
  <c r="AI309" i="16"/>
  <c r="AH309" i="16" s="1"/>
  <c r="AI255" i="16"/>
  <c r="AH255" i="16" s="1"/>
  <c r="AI306" i="16"/>
  <c r="AH306" i="16" s="1"/>
  <c r="AI181" i="16"/>
  <c r="AH181" i="16" s="1"/>
  <c r="AI23" i="16"/>
  <c r="AH23" i="16" s="1"/>
  <c r="AI249" i="16"/>
  <c r="AH249" i="16" s="1"/>
  <c r="AI262" i="16"/>
  <c r="AH262" i="16" s="1"/>
  <c r="AI41" i="16"/>
  <c r="AH41" i="16" s="1"/>
  <c r="AI331" i="16"/>
  <c r="AH331" i="16" s="1"/>
  <c r="AG331" i="16" s="1"/>
  <c r="AF331" i="16" s="1"/>
  <c r="AD331" i="16" s="1"/>
  <c r="AI30" i="16"/>
  <c r="AH30" i="16" s="1"/>
  <c r="AI16" i="16"/>
  <c r="AH16" i="16" s="1"/>
  <c r="AI138" i="16"/>
  <c r="AH138" i="16" s="1"/>
  <c r="AI87" i="16"/>
  <c r="AH87" i="16" s="1"/>
  <c r="AI377" i="16"/>
  <c r="AH377" i="16" s="1"/>
  <c r="AI326" i="16"/>
  <c r="AH326" i="16" s="1"/>
  <c r="AI105" i="16"/>
  <c r="AH105" i="16" s="1"/>
  <c r="AI166" i="16"/>
  <c r="AH166" i="16" s="1"/>
  <c r="AI271" i="16"/>
  <c r="AH271" i="16" s="1"/>
  <c r="AI49" i="16"/>
  <c r="AH49" i="16" s="1"/>
  <c r="AI72" i="16"/>
  <c r="AH72" i="16" s="1"/>
  <c r="AI355" i="16"/>
  <c r="AH355" i="16" s="1"/>
  <c r="AI277" i="16"/>
  <c r="AH277" i="16" s="1"/>
  <c r="AI234" i="16"/>
  <c r="AH234" i="16" s="1"/>
  <c r="AI156" i="16"/>
  <c r="AH156" i="16" s="1"/>
  <c r="AI251" i="16"/>
  <c r="AH251" i="16" s="1"/>
  <c r="AI199" i="16"/>
  <c r="AH199" i="16" s="1"/>
  <c r="AI366" i="16"/>
  <c r="AH366" i="16" s="1"/>
  <c r="AI169" i="16"/>
  <c r="AH169" i="16" s="1"/>
  <c r="AI226" i="16"/>
  <c r="AH226" i="16" s="1"/>
  <c r="AI107" i="16"/>
  <c r="AH107" i="16" s="1"/>
  <c r="AI102" i="16"/>
  <c r="AH102" i="16" s="1"/>
  <c r="AI26" i="16"/>
  <c r="AH26" i="16" s="1"/>
  <c r="AI312" i="16"/>
  <c r="AH312" i="16" s="1"/>
  <c r="AI159" i="16"/>
  <c r="AH159" i="16" s="1"/>
  <c r="AI94" i="16"/>
  <c r="AH94" i="16" s="1"/>
  <c r="AI60" i="16"/>
  <c r="AH60" i="16" s="1"/>
  <c r="AI193" i="16"/>
  <c r="AH193" i="16" s="1"/>
  <c r="AI114" i="16"/>
  <c r="AH114" i="16" s="1"/>
  <c r="AI83" i="16"/>
  <c r="AH83" i="16" s="1"/>
  <c r="AI128" i="16"/>
  <c r="AH128" i="16" s="1"/>
  <c r="AI39" i="16"/>
  <c r="AH39" i="16" s="1"/>
  <c r="AI151" i="16"/>
  <c r="AH151" i="16" s="1"/>
  <c r="AI130" i="16"/>
  <c r="AH130" i="16" s="1"/>
  <c r="AI109" i="16"/>
  <c r="AH109" i="16" s="1"/>
  <c r="AI122" i="16"/>
  <c r="AH122" i="16" s="1"/>
  <c r="AI190" i="16"/>
  <c r="AH190" i="16" s="1"/>
  <c r="AI35" i="16"/>
  <c r="AH35" i="16" s="1"/>
  <c r="AI100" i="16"/>
  <c r="AH100" i="16" s="1"/>
  <c r="AI345" i="16"/>
  <c r="AH345" i="16" s="1"/>
  <c r="AI327" i="16"/>
  <c r="AH327" i="16" s="1"/>
  <c r="AI297" i="16"/>
  <c r="AH297" i="16" s="1"/>
  <c r="AI235" i="16"/>
  <c r="AH235" i="16" s="1"/>
  <c r="AI186" i="16"/>
  <c r="AH186" i="16" s="1"/>
  <c r="AI239" i="16"/>
  <c r="AH239" i="16" s="1"/>
  <c r="AI18" i="16"/>
  <c r="AH18" i="16" s="1"/>
  <c r="AI338" i="16"/>
  <c r="AH338" i="16" s="1"/>
  <c r="AI323" i="16"/>
  <c r="AH323" i="16" s="1"/>
  <c r="AI213" i="16"/>
  <c r="AH213" i="16" s="1"/>
  <c r="AI293" i="16"/>
  <c r="AH293" i="16" s="1"/>
  <c r="AI272" i="16"/>
  <c r="AH272" i="16" s="1"/>
  <c r="AI123" i="16"/>
  <c r="AH123" i="16" s="1"/>
  <c r="AI189" i="16"/>
  <c r="AH189" i="16" s="1"/>
  <c r="AI184" i="16"/>
  <c r="AH184" i="16" s="1"/>
  <c r="AI211" i="16"/>
  <c r="AH211" i="16" s="1"/>
  <c r="AI300" i="16"/>
  <c r="AH300" i="16" s="1"/>
  <c r="AI133" i="16"/>
  <c r="AH133" i="16" s="1"/>
  <c r="AI78" i="16"/>
  <c r="AH78" i="16" s="1"/>
  <c r="AI180" i="16"/>
  <c r="AH180" i="16" s="1"/>
  <c r="AI173" i="16"/>
  <c r="AH173" i="16" s="1"/>
  <c r="AI378" i="16"/>
  <c r="AH378" i="16" s="1"/>
  <c r="AI252" i="16"/>
  <c r="AH252" i="16" s="1"/>
  <c r="AI291" i="16"/>
  <c r="AH291" i="16" s="1"/>
  <c r="AI357" i="16"/>
  <c r="AH357" i="16" s="1"/>
  <c r="AI187" i="16"/>
  <c r="AH187" i="16" s="1"/>
  <c r="AI238" i="16"/>
  <c r="AH238" i="16" s="1"/>
  <c r="AI162" i="16"/>
  <c r="AH162" i="16" s="1"/>
  <c r="AG162" i="16" s="1"/>
  <c r="AF162" i="16" s="1"/>
  <c r="AD162" i="16" s="1"/>
  <c r="AI38" i="16"/>
  <c r="AH38" i="16" s="1"/>
  <c r="AI120" i="16"/>
  <c r="AH120" i="16" s="1"/>
  <c r="AI367" i="16"/>
  <c r="AH367" i="16" s="1"/>
  <c r="AI145" i="16"/>
  <c r="AH145" i="16" s="1"/>
  <c r="AI84" i="16"/>
  <c r="AH84" i="16" s="1"/>
  <c r="AI150" i="16"/>
  <c r="AH150" i="16" s="1"/>
  <c r="AI202" i="16"/>
  <c r="AH202" i="16" s="1"/>
  <c r="AI362" i="16"/>
  <c r="AH362" i="16" s="1"/>
  <c r="AI153" i="16"/>
  <c r="AH153" i="16" s="1"/>
  <c r="AI70" i="16"/>
  <c r="AH70" i="16" s="1"/>
  <c r="AI253" i="16"/>
  <c r="AH253" i="16" s="1"/>
  <c r="U50" i="16"/>
  <c r="T50" i="16" s="1"/>
  <c r="U361" i="16"/>
  <c r="T361" i="16" s="1"/>
  <c r="U79" i="16"/>
  <c r="T79" i="16" s="1"/>
  <c r="U65" i="16"/>
  <c r="T65" i="16" s="1"/>
  <c r="U44" i="16"/>
  <c r="T44" i="16" s="1"/>
  <c r="U85" i="16"/>
  <c r="T85" i="16" s="1"/>
  <c r="U316" i="16"/>
  <c r="T316" i="16" s="1"/>
  <c r="U27" i="16"/>
  <c r="T27" i="16" s="1"/>
  <c r="U299" i="16"/>
  <c r="T299" i="16" s="1"/>
  <c r="U37" i="16"/>
  <c r="T37" i="16" s="1"/>
  <c r="U358" i="16"/>
  <c r="T358" i="16" s="1"/>
  <c r="U202" i="16"/>
  <c r="T202" i="16" s="1"/>
  <c r="U302" i="16"/>
  <c r="T302" i="16" s="1"/>
  <c r="U346" i="16"/>
  <c r="T346" i="16" s="1"/>
  <c r="U131" i="16"/>
  <c r="T131" i="16" s="1"/>
  <c r="U273" i="16"/>
  <c r="T273" i="16" s="1"/>
  <c r="U98" i="16"/>
  <c r="T98" i="16" s="1"/>
  <c r="U175" i="16"/>
  <c r="T175" i="16" s="1"/>
  <c r="U88" i="16"/>
  <c r="T88" i="16" s="1"/>
  <c r="U262" i="16"/>
  <c r="T262" i="16" s="1"/>
  <c r="U173" i="16"/>
  <c r="T173" i="16" s="1"/>
  <c r="U126" i="16"/>
  <c r="T126" i="16" s="1"/>
  <c r="U42" i="16"/>
  <c r="T42" i="16" s="1"/>
  <c r="U214" i="16"/>
  <c r="T214" i="16" s="1"/>
  <c r="U154" i="16"/>
  <c r="T154" i="16" s="1"/>
  <c r="U231" i="16"/>
  <c r="T231" i="16" s="1"/>
  <c r="U224" i="16"/>
  <c r="T224" i="16" s="1"/>
  <c r="U141" i="16"/>
  <c r="T141" i="16" s="1"/>
  <c r="U205" i="16"/>
  <c r="T205" i="16" s="1"/>
  <c r="U119" i="16"/>
  <c r="T119" i="16" s="1"/>
  <c r="U66" i="16"/>
  <c r="T66" i="16" s="1"/>
  <c r="U112" i="16"/>
  <c r="T112" i="16" s="1"/>
  <c r="U363" i="16"/>
  <c r="T363" i="16" s="1"/>
  <c r="U83" i="16"/>
  <c r="T83" i="16" s="1"/>
  <c r="U193" i="16"/>
  <c r="T193" i="16" s="1"/>
  <c r="U156" i="16"/>
  <c r="T156" i="16" s="1"/>
  <c r="U339" i="16"/>
  <c r="T339" i="16" s="1"/>
  <c r="U113" i="16"/>
  <c r="T113" i="16" s="1"/>
  <c r="U373" i="16"/>
  <c r="T373" i="16" s="1"/>
  <c r="U19" i="16"/>
  <c r="T19" i="16" s="1"/>
  <c r="U105" i="16"/>
  <c r="T105" i="16" s="1"/>
  <c r="U178" i="16"/>
  <c r="T178" i="16" s="1"/>
  <c r="U372" i="16"/>
  <c r="T372" i="16" s="1"/>
  <c r="U219" i="16"/>
  <c r="T219" i="16" s="1"/>
  <c r="U148" i="16"/>
  <c r="T148" i="16" s="1"/>
  <c r="U162" i="16"/>
  <c r="T162" i="16" s="1"/>
  <c r="U68" i="16"/>
  <c r="T68" i="16" s="1"/>
  <c r="U371" i="16"/>
  <c r="T371" i="16" s="1"/>
  <c r="U285" i="16"/>
  <c r="T285" i="16" s="1"/>
  <c r="U232" i="16"/>
  <c r="T232" i="16" s="1"/>
  <c r="U61" i="16"/>
  <c r="T61" i="16" s="1"/>
  <c r="U120" i="16"/>
  <c r="T120" i="16" s="1"/>
  <c r="U265" i="16"/>
  <c r="T265" i="16" s="1"/>
  <c r="U84" i="16"/>
  <c r="T84" i="16" s="1"/>
  <c r="U189" i="16"/>
  <c r="T189" i="16" s="1"/>
  <c r="U284" i="16"/>
  <c r="T284" i="16" s="1"/>
  <c r="U181" i="16"/>
  <c r="T181" i="16" s="1"/>
  <c r="U357" i="16"/>
  <c r="T357" i="16" s="1"/>
  <c r="U307" i="16"/>
  <c r="T307" i="16" s="1"/>
  <c r="U124" i="16"/>
  <c r="T124" i="16" s="1"/>
  <c r="U129" i="16"/>
  <c r="T129" i="16" s="1"/>
  <c r="U210" i="16"/>
  <c r="T210" i="16" s="1"/>
  <c r="U200" i="16"/>
  <c r="T200" i="16" s="1"/>
  <c r="U169" i="16"/>
  <c r="T169" i="16" s="1"/>
  <c r="U58" i="16"/>
  <c r="T58" i="16" s="1"/>
  <c r="U329" i="16"/>
  <c r="T329" i="16" s="1"/>
  <c r="U152" i="16"/>
  <c r="T152" i="16" s="1"/>
  <c r="U125" i="16"/>
  <c r="T125" i="16" s="1"/>
  <c r="U264" i="16"/>
  <c r="T264" i="16" s="1"/>
  <c r="U137" i="16"/>
  <c r="T137" i="16" s="1"/>
  <c r="U213" i="16"/>
  <c r="T213" i="16" s="1"/>
  <c r="U347" i="16"/>
  <c r="T347" i="16" s="1"/>
  <c r="S347" i="16" s="1"/>
  <c r="R347" i="16" s="1"/>
  <c r="P347" i="16" s="1"/>
  <c r="V347" i="16" s="1"/>
  <c r="F347" i="16" s="1"/>
  <c r="U352" i="16"/>
  <c r="T352" i="16" s="1"/>
  <c r="U48" i="16"/>
  <c r="T48" i="16" s="1"/>
  <c r="U160" i="16"/>
  <c r="T160" i="16" s="1"/>
  <c r="U196" i="16"/>
  <c r="T196" i="16" s="1"/>
  <c r="U116" i="16"/>
  <c r="T116" i="16" s="1"/>
  <c r="U354" i="16"/>
  <c r="T354" i="16" s="1"/>
  <c r="U332" i="16"/>
  <c r="T332" i="16" s="1"/>
  <c r="U161" i="16"/>
  <c r="T161" i="16" s="1"/>
  <c r="U163" i="16"/>
  <c r="T163" i="16" s="1"/>
  <c r="U378" i="16"/>
  <c r="T378" i="16" s="1"/>
  <c r="U318" i="16"/>
  <c r="T318" i="16" s="1"/>
  <c r="U234" i="16"/>
  <c r="T234" i="16" s="1"/>
  <c r="U67" i="16"/>
  <c r="T67" i="16" s="1"/>
  <c r="U49" i="16"/>
  <c r="T49" i="16" s="1"/>
  <c r="U241" i="16"/>
  <c r="T241" i="16" s="1"/>
  <c r="U127" i="16"/>
  <c r="T127" i="16" s="1"/>
  <c r="U315" i="16"/>
  <c r="T315" i="16" s="1"/>
  <c r="U256" i="16"/>
  <c r="T256" i="16" s="1"/>
  <c r="U370" i="16"/>
  <c r="T370" i="16" s="1"/>
  <c r="U81" i="16"/>
  <c r="T81" i="16" s="1"/>
  <c r="U63" i="16"/>
  <c r="T63" i="16" s="1"/>
  <c r="U260" i="16"/>
  <c r="T260" i="16" s="1"/>
  <c r="U343" i="16"/>
  <c r="T343" i="16" s="1"/>
  <c r="U55" i="16"/>
  <c r="T55" i="16" s="1"/>
  <c r="U206" i="16"/>
  <c r="T206" i="16" s="1"/>
  <c r="U287" i="16"/>
  <c r="T287" i="16" s="1"/>
  <c r="U32" i="16"/>
  <c r="T32" i="16" s="1"/>
  <c r="U268" i="16"/>
  <c r="T268" i="16" s="1"/>
  <c r="U33" i="16"/>
  <c r="T33" i="16" s="1"/>
  <c r="U255" i="16"/>
  <c r="T255" i="16" s="1"/>
  <c r="U139" i="16"/>
  <c r="T139" i="16" s="1"/>
  <c r="U286" i="16"/>
  <c r="T286" i="16" s="1"/>
  <c r="U362" i="16"/>
  <c r="T362" i="16" s="1"/>
  <c r="U368" i="16"/>
  <c r="T368" i="16" s="1"/>
  <c r="S368" i="16" s="1"/>
  <c r="R368" i="16" s="1"/>
  <c r="P368" i="16" s="1"/>
  <c r="V368" i="16" s="1"/>
  <c r="F368" i="16" s="1"/>
  <c r="G368" i="16" s="1"/>
  <c r="BY368" i="6" s="1"/>
  <c r="U356" i="16"/>
  <c r="T356" i="16" s="1"/>
  <c r="S356" i="16" s="1"/>
  <c r="R356" i="16" s="1"/>
  <c r="P356" i="16" s="1"/>
  <c r="U153" i="16"/>
  <c r="T153" i="16" s="1"/>
  <c r="U345" i="16"/>
  <c r="T345" i="16" s="1"/>
  <c r="U114" i="16"/>
  <c r="T114" i="16" s="1"/>
  <c r="U194" i="16"/>
  <c r="T194" i="16" s="1"/>
  <c r="U43" i="16"/>
  <c r="T43" i="16" s="1"/>
  <c r="U331" i="16"/>
  <c r="T331" i="16" s="1"/>
  <c r="U342" i="16"/>
  <c r="T342" i="16" s="1"/>
  <c r="U170" i="16"/>
  <c r="T170" i="16" s="1"/>
  <c r="U254" i="16"/>
  <c r="T254" i="16" s="1"/>
  <c r="U313" i="16"/>
  <c r="T313" i="16" s="1"/>
  <c r="U35" i="16"/>
  <c r="T35" i="16" s="1"/>
  <c r="U277" i="16"/>
  <c r="T277" i="16" s="1"/>
  <c r="U204" i="16"/>
  <c r="T204" i="16" s="1"/>
  <c r="U197" i="16"/>
  <c r="T197" i="16" s="1"/>
  <c r="U212" i="16"/>
  <c r="T212" i="16" s="1"/>
  <c r="U310" i="16"/>
  <c r="T310" i="16" s="1"/>
  <c r="U301" i="16"/>
  <c r="T301" i="16" s="1"/>
  <c r="U174" i="16"/>
  <c r="T174" i="16" s="1"/>
  <c r="U74" i="16"/>
  <c r="T74" i="16" s="1"/>
  <c r="U230" i="16"/>
  <c r="T230" i="16" s="1"/>
  <c r="U218" i="16"/>
  <c r="T218" i="16" s="1"/>
  <c r="U359" i="16"/>
  <c r="T359" i="16" s="1"/>
  <c r="U374" i="16"/>
  <c r="T374" i="16" s="1"/>
  <c r="U238" i="16"/>
  <c r="T238" i="16" s="1"/>
  <c r="U294" i="16"/>
  <c r="T294" i="16" s="1"/>
  <c r="U330" i="16"/>
  <c r="T330" i="16" s="1"/>
  <c r="U151" i="16"/>
  <c r="T151" i="16" s="1"/>
  <c r="U261" i="16"/>
  <c r="T261" i="16" s="1"/>
  <c r="U217" i="16"/>
  <c r="T217" i="16" s="1"/>
  <c r="U52" i="16"/>
  <c r="T52" i="16" s="1"/>
  <c r="U145" i="16"/>
  <c r="T145" i="16" s="1"/>
  <c r="U111" i="16"/>
  <c r="T111" i="16" s="1"/>
  <c r="U188" i="16"/>
  <c r="T188" i="16" s="1"/>
  <c r="U323" i="16"/>
  <c r="T323" i="16" s="1"/>
  <c r="U235" i="16"/>
  <c r="T235" i="16" s="1"/>
  <c r="U147" i="16"/>
  <c r="T147" i="16" s="1"/>
  <c r="U293" i="16"/>
  <c r="T293" i="16" s="1"/>
  <c r="U53" i="16"/>
  <c r="T53" i="16" s="1"/>
  <c r="U21" i="16"/>
  <c r="T21" i="16" s="1"/>
  <c r="U140" i="16"/>
  <c r="T140" i="16" s="1"/>
  <c r="U132" i="16"/>
  <c r="T132" i="16" s="1"/>
  <c r="U340" i="16"/>
  <c r="T340" i="16" s="1"/>
  <c r="U144" i="16"/>
  <c r="T144" i="16" s="1"/>
  <c r="U155" i="16"/>
  <c r="T155" i="16" s="1"/>
  <c r="U336" i="16"/>
  <c r="T336" i="16" s="1"/>
  <c r="U215" i="16"/>
  <c r="T215" i="16" s="1"/>
  <c r="U128" i="16"/>
  <c r="T128" i="16" s="1"/>
  <c r="U312" i="16"/>
  <c r="T312" i="16" s="1"/>
  <c r="U86" i="16"/>
  <c r="T86" i="16" s="1"/>
  <c r="U167" i="16"/>
  <c r="T167" i="16" s="1"/>
  <c r="U297" i="16"/>
  <c r="T297" i="16" s="1"/>
  <c r="U71" i="16"/>
  <c r="T71" i="16" s="1"/>
  <c r="U134" i="16"/>
  <c r="T134" i="16" s="1"/>
  <c r="U344" i="16"/>
  <c r="T344" i="16" s="1"/>
  <c r="U367" i="16"/>
  <c r="T367" i="16" s="1"/>
  <c r="U320" i="16"/>
  <c r="T320" i="16" s="1"/>
  <c r="U187" i="16"/>
  <c r="T187" i="16" s="1"/>
  <c r="U380" i="16"/>
  <c r="T380" i="16" s="1"/>
  <c r="U165" i="16"/>
  <c r="T165" i="16" s="1"/>
  <c r="U115" i="16"/>
  <c r="T115" i="16" s="1"/>
  <c r="U171" i="16"/>
  <c r="T171" i="16" s="1"/>
  <c r="U227" i="16"/>
  <c r="T227" i="16" s="1"/>
  <c r="U92" i="16"/>
  <c r="T92" i="16" s="1"/>
  <c r="U300" i="16"/>
  <c r="T300" i="16" s="1"/>
  <c r="U87" i="16"/>
  <c r="T87" i="16" s="1"/>
  <c r="U225" i="16"/>
  <c r="T225" i="16" s="1"/>
  <c r="U40" i="16"/>
  <c r="T40" i="16" s="1"/>
  <c r="U270" i="16"/>
  <c r="T270" i="16" s="1"/>
  <c r="U245" i="16"/>
  <c r="T245" i="16" s="1"/>
  <c r="U305" i="16"/>
  <c r="T305" i="16" s="1"/>
  <c r="U179" i="16"/>
  <c r="T179" i="16" s="1"/>
  <c r="U101" i="16"/>
  <c r="T101" i="16" s="1"/>
  <c r="U355" i="16"/>
  <c r="T355" i="16" s="1"/>
  <c r="U220" i="16"/>
  <c r="T220" i="16" s="1"/>
  <c r="U271" i="16"/>
  <c r="T271" i="16" s="1"/>
  <c r="U379" i="16"/>
  <c r="J172" i="15"/>
  <c r="I172" i="15"/>
  <c r="I233" i="15"/>
  <c r="J233" i="15"/>
  <c r="I69" i="15"/>
  <c r="J69" i="15"/>
  <c r="I66" i="15"/>
  <c r="J66" i="15"/>
  <c r="F75" i="15"/>
  <c r="J325" i="15"/>
  <c r="I325" i="15"/>
  <c r="I335" i="15"/>
  <c r="J335" i="15"/>
  <c r="I35" i="15"/>
  <c r="J35" i="15"/>
  <c r="I109" i="15"/>
  <c r="J109" i="15"/>
  <c r="I81" i="15"/>
  <c r="J81" i="15"/>
  <c r="J89" i="15"/>
  <c r="I89" i="15"/>
  <c r="I99" i="15"/>
  <c r="J99" i="15"/>
  <c r="H272" i="15"/>
  <c r="AA272" i="15"/>
  <c r="Z272" i="15" s="1"/>
  <c r="Y272" i="15" s="1"/>
  <c r="G272" i="15"/>
  <c r="BX272" i="6" s="1"/>
  <c r="I268" i="15"/>
  <c r="J268" i="15"/>
  <c r="F373" i="15"/>
  <c r="AA29" i="15"/>
  <c r="Z29" i="15" s="1"/>
  <c r="Y29" i="15" s="1"/>
  <c r="G29" i="15"/>
  <c r="BX29" i="6" s="1"/>
  <c r="H29" i="15"/>
  <c r="I139" i="15"/>
  <c r="J139" i="15"/>
  <c r="J293" i="15"/>
  <c r="I293" i="15"/>
  <c r="J153" i="15"/>
  <c r="I153" i="15"/>
  <c r="J292" i="15"/>
  <c r="I292" i="15"/>
  <c r="I377" i="15"/>
  <c r="J377" i="15"/>
  <c r="I96" i="15"/>
  <c r="J96" i="15"/>
  <c r="J150" i="15"/>
  <c r="I150" i="15"/>
  <c r="I125" i="15"/>
  <c r="J125" i="15"/>
  <c r="I63" i="15"/>
  <c r="J63" i="15"/>
  <c r="I38" i="15"/>
  <c r="J38" i="15"/>
  <c r="H358" i="15"/>
  <c r="G358" i="15"/>
  <c r="BX358" i="6" s="1"/>
  <c r="AA358" i="15"/>
  <c r="Z358" i="15" s="1"/>
  <c r="Y358" i="15" s="1"/>
  <c r="J248" i="15"/>
  <c r="I248" i="15"/>
  <c r="J92" i="15"/>
  <c r="I92" i="15"/>
  <c r="J133" i="15"/>
  <c r="I133" i="15"/>
  <c r="I348" i="15"/>
  <c r="J348" i="15"/>
  <c r="J62" i="19"/>
  <c r="I261" i="15"/>
  <c r="J261" i="15"/>
  <c r="J301" i="15"/>
  <c r="I301" i="15"/>
  <c r="J165" i="15"/>
  <c r="I165" i="15"/>
  <c r="J266" i="15"/>
  <c r="I266" i="15"/>
  <c r="J374" i="15"/>
  <c r="I374" i="15"/>
  <c r="J118" i="15"/>
  <c r="I118" i="15"/>
  <c r="G210" i="15"/>
  <c r="BX210" i="6" s="1"/>
  <c r="AA210" i="15"/>
  <c r="Z210" i="15" s="1"/>
  <c r="Y210" i="15" s="1"/>
  <c r="H210" i="15"/>
  <c r="I164" i="15"/>
  <c r="J164" i="15"/>
  <c r="P158" i="16"/>
  <c r="V158" i="16" s="1"/>
  <c r="F158" i="16" s="1"/>
  <c r="J160" i="15"/>
  <c r="I160" i="15"/>
  <c r="I161" i="15"/>
  <c r="J161" i="15"/>
  <c r="J140" i="15"/>
  <c r="I140" i="15"/>
  <c r="J115" i="15"/>
  <c r="I115" i="15"/>
  <c r="J32" i="15"/>
  <c r="I32" i="15"/>
  <c r="I62" i="19"/>
  <c r="J135" i="15"/>
  <c r="I135" i="15"/>
  <c r="I23" i="15"/>
  <c r="J23" i="15"/>
  <c r="J267" i="15"/>
  <c r="I267" i="15"/>
  <c r="J158" i="15"/>
  <c r="I158" i="15"/>
  <c r="I226" i="15"/>
  <c r="J226" i="15"/>
  <c r="J263" i="15"/>
  <c r="I263" i="15"/>
  <c r="I90" i="15"/>
  <c r="J90" i="15"/>
  <c r="I260" i="15"/>
  <c r="J260" i="15"/>
  <c r="I51" i="15"/>
  <c r="J51" i="15"/>
  <c r="J265" i="15"/>
  <c r="I265" i="15"/>
  <c r="J368" i="15"/>
  <c r="I368" i="15"/>
  <c r="J84" i="15"/>
  <c r="I84" i="15"/>
  <c r="J113" i="15"/>
  <c r="I113" i="15"/>
  <c r="I156" i="15"/>
  <c r="J156" i="15"/>
  <c r="I262" i="15"/>
  <c r="J262" i="15"/>
  <c r="H62" i="19"/>
  <c r="E62" i="19"/>
  <c r="I22" i="15"/>
  <c r="J22" i="15"/>
  <c r="AA88" i="15"/>
  <c r="Z88" i="15" s="1"/>
  <c r="Y88" i="15" s="1"/>
  <c r="H88" i="15"/>
  <c r="G88" i="15"/>
  <c r="BX88" i="6" s="1"/>
  <c r="I162" i="15"/>
  <c r="J162" i="15"/>
  <c r="I141" i="15"/>
  <c r="J141" i="15"/>
  <c r="I366" i="15"/>
  <c r="J366" i="15"/>
  <c r="J112" i="15"/>
  <c r="I112" i="15"/>
  <c r="J104" i="15"/>
  <c r="I104" i="15"/>
  <c r="P16" i="16"/>
  <c r="V16" i="16" s="1"/>
  <c r="F16" i="16" s="1"/>
  <c r="G16" i="16" s="1"/>
  <c r="BY16" i="6" s="1"/>
  <c r="P288" i="16"/>
  <c r="V288" i="16" s="1"/>
  <c r="F288" i="16" s="1"/>
  <c r="S383" i="15"/>
  <c r="S382" i="15"/>
  <c r="S381" i="15"/>
  <c r="R15" i="15"/>
  <c r="U250" i="16"/>
  <c r="T250" i="16" s="1"/>
  <c r="U73" i="16"/>
  <c r="T73" i="16" s="1"/>
  <c r="U24" i="16"/>
  <c r="T24" i="16" s="1"/>
  <c r="U239" i="16"/>
  <c r="T239" i="16" s="1"/>
  <c r="U136" i="16"/>
  <c r="T136" i="16" s="1"/>
  <c r="U221" i="16"/>
  <c r="T221" i="16" s="1"/>
  <c r="U243" i="16"/>
  <c r="T243" i="16" s="1"/>
  <c r="U324" i="16"/>
  <c r="T324" i="16" s="1"/>
  <c r="U100" i="16"/>
  <c r="T100" i="16" s="1"/>
  <c r="U176" i="16"/>
  <c r="T176" i="16" s="1"/>
  <c r="U89" i="16"/>
  <c r="T89" i="16" s="1"/>
  <c r="U20" i="16"/>
  <c r="T20" i="16" s="1"/>
  <c r="U82" i="16"/>
  <c r="T82" i="16" s="1"/>
  <c r="U292" i="16"/>
  <c r="T292" i="16" s="1"/>
  <c r="U274" i="16"/>
  <c r="T274" i="16" s="1"/>
  <c r="U96" i="16"/>
  <c r="T96" i="16" s="1"/>
  <c r="U121" i="16"/>
  <c r="T121" i="16" s="1"/>
  <c r="U282" i="16"/>
  <c r="T282" i="16" s="1"/>
  <c r="U278" i="16"/>
  <c r="T278" i="16" s="1"/>
  <c r="U106" i="16"/>
  <c r="T106" i="16" s="1"/>
  <c r="U190" i="16"/>
  <c r="T190" i="16" s="1"/>
  <c r="U57" i="16"/>
  <c r="T57" i="16" s="1"/>
  <c r="U326" i="16"/>
  <c r="T326" i="16" s="1"/>
  <c r="U216" i="16"/>
  <c r="T216" i="16" s="1"/>
  <c r="U303" i="16"/>
  <c r="T303" i="16" s="1"/>
  <c r="U77" i="16"/>
  <c r="T77" i="16" s="1"/>
  <c r="U133" i="16"/>
  <c r="T133" i="16" s="1"/>
  <c r="U91" i="16"/>
  <c r="T91" i="16" s="1"/>
  <c r="U276" i="16"/>
  <c r="T276" i="16" s="1"/>
  <c r="U337" i="16"/>
  <c r="T337" i="16" s="1"/>
  <c r="U322" i="16"/>
  <c r="T322" i="16" s="1"/>
  <c r="U208" i="16"/>
  <c r="T208" i="16" s="1"/>
  <c r="S208" i="16" s="1"/>
  <c r="R208" i="16" s="1"/>
  <c r="P208" i="16" s="1"/>
  <c r="U334" i="16"/>
  <c r="T334" i="16" s="1"/>
  <c r="U93" i="16"/>
  <c r="T93" i="16" s="1"/>
  <c r="U72" i="16"/>
  <c r="T72" i="16" s="1"/>
  <c r="U47" i="16"/>
  <c r="T47" i="16" s="1"/>
  <c r="U289" i="16"/>
  <c r="T289" i="16" s="1"/>
  <c r="U29" i="16"/>
  <c r="T29" i="16" s="1"/>
  <c r="U186" i="16"/>
  <c r="T186" i="16" s="1"/>
  <c r="U94" i="16"/>
  <c r="T94" i="16" s="1"/>
  <c r="U295" i="16"/>
  <c r="T295" i="16" s="1"/>
  <c r="U18" i="16"/>
  <c r="T18" i="16" s="1"/>
  <c r="U258" i="16"/>
  <c r="T258" i="16" s="1"/>
  <c r="S258" i="16" s="1"/>
  <c r="R258" i="16" s="1"/>
  <c r="P258" i="16" s="1"/>
  <c r="V258" i="16" s="1"/>
  <c r="F258" i="16" s="1"/>
  <c r="U223" i="16"/>
  <c r="T223" i="16" s="1"/>
  <c r="U341" i="16"/>
  <c r="T341" i="16" s="1"/>
  <c r="U236" i="16"/>
  <c r="T236" i="16" s="1"/>
  <c r="U321" i="16"/>
  <c r="T321" i="16" s="1"/>
  <c r="U191" i="16"/>
  <c r="T191" i="16" s="1"/>
  <c r="U142" i="16"/>
  <c r="T142" i="16" s="1"/>
  <c r="U306" i="16"/>
  <c r="T306" i="16" s="1"/>
  <c r="S306" i="16" s="1"/>
  <c r="R306" i="16" s="1"/>
  <c r="P306" i="16" s="1"/>
  <c r="V306" i="16" s="1"/>
  <c r="F306" i="16" s="1"/>
  <c r="U185" i="16"/>
  <c r="T185" i="16" s="1"/>
  <c r="U138" i="16"/>
  <c r="T138" i="16" s="1"/>
  <c r="U75" i="16"/>
  <c r="T75" i="16" s="1"/>
  <c r="U209" i="16"/>
  <c r="T209" i="16" s="1"/>
  <c r="U304" i="16"/>
  <c r="T304" i="16" s="1"/>
  <c r="U228" i="16"/>
  <c r="T228" i="16" s="1"/>
  <c r="U183" i="16"/>
  <c r="T183" i="16" s="1"/>
  <c r="U325" i="16"/>
  <c r="T325" i="16" s="1"/>
  <c r="U34" i="16"/>
  <c r="T34" i="16" s="1"/>
  <c r="U56" i="16"/>
  <c r="T56" i="16" s="1"/>
  <c r="U22" i="16"/>
  <c r="T22" i="16" s="1"/>
  <c r="U328" i="16"/>
  <c r="T328" i="16" s="1"/>
  <c r="U41" i="16"/>
  <c r="T41" i="16" s="1"/>
  <c r="U280" i="16"/>
  <c r="T280" i="16" s="1"/>
  <c r="U70" i="16"/>
  <c r="T70" i="16" s="1"/>
  <c r="U122" i="16"/>
  <c r="T122" i="16" s="1"/>
  <c r="U30" i="16"/>
  <c r="T30" i="16" s="1"/>
  <c r="U39" i="16"/>
  <c r="T39" i="16" s="1"/>
  <c r="U146" i="16"/>
  <c r="T146" i="16" s="1"/>
  <c r="S146" i="16" s="1"/>
  <c r="R146" i="16" s="1"/>
  <c r="P146" i="16" s="1"/>
  <c r="V146" i="16" s="1"/>
  <c r="F146" i="16" s="1"/>
  <c r="U192" i="16"/>
  <c r="T192" i="16" s="1"/>
  <c r="U251" i="16"/>
  <c r="T251" i="16" s="1"/>
  <c r="U279" i="16"/>
  <c r="T279" i="16" s="1"/>
  <c r="U17" i="16"/>
  <c r="T17" i="16" s="1"/>
  <c r="U123" i="16"/>
  <c r="T123" i="16" s="1"/>
  <c r="U335" i="16"/>
  <c r="T335" i="16" s="1"/>
  <c r="U252" i="16"/>
  <c r="T252" i="16" s="1"/>
  <c r="U117" i="16"/>
  <c r="T117" i="16" s="1"/>
  <c r="U229" i="16"/>
  <c r="T229" i="16" s="1"/>
  <c r="U211" i="16"/>
  <c r="T211" i="16" s="1"/>
  <c r="U28" i="16"/>
  <c r="T28" i="16" s="1"/>
  <c r="U309" i="16"/>
  <c r="T309" i="16" s="1"/>
  <c r="U350" i="16"/>
  <c r="T350" i="16" s="1"/>
  <c r="U107" i="16"/>
  <c r="T107" i="16" s="1"/>
  <c r="U240" i="16"/>
  <c r="T240" i="16" s="1"/>
  <c r="U69" i="16"/>
  <c r="T69" i="16" s="1"/>
  <c r="U54" i="16"/>
  <c r="T54" i="16" s="1"/>
  <c r="U248" i="16"/>
  <c r="T248" i="16" s="1"/>
  <c r="U317" i="16"/>
  <c r="T317" i="16" s="1"/>
  <c r="U296" i="16"/>
  <c r="T296" i="16" s="1"/>
  <c r="U201" i="16"/>
  <c r="T201" i="16" s="1"/>
  <c r="U97" i="16"/>
  <c r="T97" i="16" s="1"/>
  <c r="U80" i="16"/>
  <c r="T80" i="16" s="1"/>
  <c r="U351" i="16"/>
  <c r="T351" i="16" s="1"/>
  <c r="U364" i="16"/>
  <c r="T364" i="16" s="1"/>
  <c r="U319" i="16"/>
  <c r="T319" i="16" s="1"/>
  <c r="U272" i="16"/>
  <c r="T272" i="16" s="1"/>
  <c r="U118" i="16"/>
  <c r="T118" i="16" s="1"/>
  <c r="U376" i="16"/>
  <c r="T376" i="16" s="1"/>
  <c r="U233" i="16"/>
  <c r="T233" i="16" s="1"/>
  <c r="U103" i="16"/>
  <c r="T103" i="16" s="1"/>
  <c r="U38" i="16"/>
  <c r="T38" i="16" s="1"/>
  <c r="U184" i="16"/>
  <c r="T184" i="16" s="1"/>
  <c r="U23" i="16"/>
  <c r="T23" i="16" s="1"/>
  <c r="J254" i="15"/>
  <c r="I254" i="15"/>
  <c r="J346" i="15"/>
  <c r="I346" i="15"/>
  <c r="I16" i="15"/>
  <c r="J16" i="15"/>
  <c r="I121" i="15"/>
  <c r="J121" i="15"/>
  <c r="J82" i="15"/>
  <c r="I82" i="15"/>
  <c r="I237" i="15"/>
  <c r="J237" i="15"/>
  <c r="I155" i="15"/>
  <c r="J155" i="15"/>
  <c r="J252" i="15"/>
  <c r="I252" i="15"/>
  <c r="H376" i="15"/>
  <c r="AA376" i="15"/>
  <c r="Z376" i="15" s="1"/>
  <c r="Y376" i="15" s="1"/>
  <c r="G376" i="15"/>
  <c r="BX376" i="6" s="1"/>
  <c r="H20" i="15"/>
  <c r="AA20" i="15"/>
  <c r="Z20" i="15" s="1"/>
  <c r="Y20" i="15" s="1"/>
  <c r="G20" i="15"/>
  <c r="BX20" i="6" s="1"/>
  <c r="I95" i="15"/>
  <c r="J95" i="15"/>
  <c r="I103" i="15"/>
  <c r="J103" i="15"/>
  <c r="I86" i="15"/>
  <c r="J86" i="15"/>
  <c r="J223" i="15"/>
  <c r="I223" i="15"/>
  <c r="I116" i="15"/>
  <c r="J116" i="15"/>
  <c r="J157" i="15"/>
  <c r="I157" i="15"/>
  <c r="AA24" i="15"/>
  <c r="Z24" i="15" s="1"/>
  <c r="Y24" i="15" s="1"/>
  <c r="H24" i="15"/>
  <c r="G24" i="15"/>
  <c r="BX24" i="6" s="1"/>
  <c r="H30" i="15"/>
  <c r="AA30" i="15"/>
  <c r="Z30" i="15" s="1"/>
  <c r="Y30" i="15" s="1"/>
  <c r="G30" i="15"/>
  <c r="BX30" i="6" s="1"/>
  <c r="G39" i="15"/>
  <c r="BX39" i="6" s="1"/>
  <c r="H39" i="15"/>
  <c r="AA39" i="15"/>
  <c r="Z39" i="15" s="1"/>
  <c r="Y39" i="15" s="1"/>
  <c r="I273" i="15"/>
  <c r="J273" i="15"/>
  <c r="I249" i="15"/>
  <c r="J249" i="15"/>
  <c r="AA98" i="15"/>
  <c r="Z98" i="15" s="1"/>
  <c r="Y98" i="15" s="1"/>
  <c r="G98" i="15"/>
  <c r="BX98" i="6" s="1"/>
  <c r="H98" i="15"/>
  <c r="I120" i="15"/>
  <c r="J120" i="15"/>
  <c r="J228" i="15"/>
  <c r="I228" i="15"/>
  <c r="G282" i="15"/>
  <c r="BX282" i="6" s="1"/>
  <c r="H282" i="15"/>
  <c r="AA282" i="15"/>
  <c r="Z282" i="15" s="1"/>
  <c r="Y282" i="15" s="1"/>
  <c r="I124" i="15"/>
  <c r="J124" i="15"/>
  <c r="G231" i="15"/>
  <c r="BX231" i="6" s="1"/>
  <c r="H231" i="15"/>
  <c r="AA231" i="15"/>
  <c r="Z231" i="15" s="1"/>
  <c r="Y231" i="15" s="1"/>
  <c r="I291" i="15"/>
  <c r="J291" i="15"/>
  <c r="J217" i="15"/>
  <c r="I217" i="15"/>
  <c r="I369" i="15"/>
  <c r="J369" i="15"/>
  <c r="H341" i="15"/>
  <c r="G341" i="15"/>
  <c r="BX341" i="6" s="1"/>
  <c r="AA341" i="15"/>
  <c r="Z341" i="15" s="1"/>
  <c r="Y341" i="15" s="1"/>
  <c r="AA247" i="15"/>
  <c r="Z247" i="15" s="1"/>
  <c r="Y247" i="15" s="1"/>
  <c r="H247" i="15"/>
  <c r="G247" i="15"/>
  <c r="BX247" i="6" s="1"/>
  <c r="I97" i="15"/>
  <c r="J97" i="15"/>
  <c r="AA271" i="15"/>
  <c r="Z271" i="15" s="1"/>
  <c r="Y271" i="15" s="1"/>
  <c r="H271" i="15"/>
  <c r="G271" i="15"/>
  <c r="BX271" i="6" s="1"/>
  <c r="H149" i="15"/>
  <c r="G149" i="15"/>
  <c r="BX149" i="6" s="1"/>
  <c r="AA149" i="15"/>
  <c r="Z149" i="15" s="1"/>
  <c r="Y149" i="15" s="1"/>
  <c r="I326" i="15"/>
  <c r="J326" i="15"/>
  <c r="J279" i="15"/>
  <c r="I279" i="15"/>
  <c r="I222" i="15"/>
  <c r="J222" i="15"/>
  <c r="H119" i="15"/>
  <c r="G119" i="15"/>
  <c r="BX119" i="6" s="1"/>
  <c r="AA119" i="15"/>
  <c r="Z119" i="15" s="1"/>
  <c r="Y119" i="15" s="1"/>
  <c r="J370" i="15"/>
  <c r="I370" i="15"/>
  <c r="I232" i="15"/>
  <c r="J232" i="15"/>
  <c r="AA78" i="15"/>
  <c r="Z78" i="15" s="1"/>
  <c r="Y78" i="15" s="1"/>
  <c r="H78" i="15"/>
  <c r="G78" i="15"/>
  <c r="BX78" i="6" s="1"/>
  <c r="AA34" i="15"/>
  <c r="Z34" i="15" s="1"/>
  <c r="Y34" i="15" s="1"/>
  <c r="H34" i="15"/>
  <c r="G34" i="15"/>
  <c r="BX34" i="6" s="1"/>
  <c r="G91" i="15"/>
  <c r="BX91" i="6" s="1"/>
  <c r="H91" i="15"/>
  <c r="AA91" i="15"/>
  <c r="Z91" i="15" s="1"/>
  <c r="Y91" i="15" s="1"/>
  <c r="J106" i="15"/>
  <c r="I106" i="15"/>
  <c r="J117" i="15"/>
  <c r="I117" i="15"/>
  <c r="AA26" i="15"/>
  <c r="Z26" i="15" s="1"/>
  <c r="Y26" i="15" s="1"/>
  <c r="G26" i="15"/>
  <c r="BX26" i="6" s="1"/>
  <c r="H26" i="15"/>
  <c r="P195" i="16"/>
  <c r="V195" i="16" s="1"/>
  <c r="F195" i="16" s="1"/>
  <c r="I207" i="15"/>
  <c r="J207" i="15"/>
  <c r="J331" i="15"/>
  <c r="I331" i="15"/>
  <c r="G240" i="15"/>
  <c r="BX240" i="6" s="1"/>
  <c r="H240" i="15"/>
  <c r="AA240" i="15"/>
  <c r="Z240" i="15" s="1"/>
  <c r="Y240" i="15" s="1"/>
  <c r="I257" i="15"/>
  <c r="J257" i="15"/>
  <c r="J327" i="15"/>
  <c r="I327" i="15"/>
  <c r="AA80" i="15"/>
  <c r="Z80" i="15" s="1"/>
  <c r="Y80" i="15" s="1"/>
  <c r="G80" i="15"/>
  <c r="BX80" i="6" s="1"/>
  <c r="H80" i="15"/>
  <c r="I342" i="15"/>
  <c r="J342" i="15"/>
  <c r="G130" i="15"/>
  <c r="BX130" i="6" s="1"/>
  <c r="H130" i="15"/>
  <c r="AA130" i="15"/>
  <c r="Z130" i="15" s="1"/>
  <c r="Y130" i="15" s="1"/>
  <c r="G152" i="15"/>
  <c r="BX152" i="6" s="1"/>
  <c r="H152" i="15"/>
  <c r="AA152" i="15"/>
  <c r="Z152" i="15" s="1"/>
  <c r="Y152" i="15" s="1"/>
  <c r="AA227" i="15"/>
  <c r="Z227" i="15" s="1"/>
  <c r="Y227" i="15" s="1"/>
  <c r="H227" i="15"/>
  <c r="G227" i="15"/>
  <c r="BX227" i="6" s="1"/>
  <c r="G378" i="15"/>
  <c r="BX378" i="6" s="1"/>
  <c r="H378" i="15"/>
  <c r="AA378" i="15"/>
  <c r="Z378" i="15" s="1"/>
  <c r="Y378" i="15" s="1"/>
  <c r="I242" i="15"/>
  <c r="J242" i="15"/>
  <c r="F62" i="19"/>
  <c r="J251" i="15"/>
  <c r="I251" i="15"/>
  <c r="I110" i="15"/>
  <c r="J110" i="15"/>
  <c r="G19" i="15"/>
  <c r="BX19" i="6" s="1"/>
  <c r="AA19" i="15"/>
  <c r="Z19" i="15" s="1"/>
  <c r="Y19" i="15" s="1"/>
  <c r="H19" i="15"/>
  <c r="G250" i="15"/>
  <c r="BX250" i="6" s="1"/>
  <c r="H250" i="15"/>
  <c r="AA250" i="15"/>
  <c r="Z250" i="15" s="1"/>
  <c r="Y250" i="15" s="1"/>
  <c r="I27" i="15"/>
  <c r="J27" i="15"/>
  <c r="G362" i="15"/>
  <c r="BX362" i="6" s="1"/>
  <c r="AA362" i="15"/>
  <c r="Z362" i="15" s="1"/>
  <c r="Y362" i="15" s="1"/>
  <c r="AA145" i="15"/>
  <c r="Z145" i="15" s="1"/>
  <c r="Y145" i="15" s="1"/>
  <c r="G145" i="15"/>
  <c r="BX145" i="6" s="1"/>
  <c r="H145" i="15"/>
  <c r="I372" i="15"/>
  <c r="J372" i="15"/>
  <c r="J364" i="15"/>
  <c r="I364" i="15"/>
  <c r="J151" i="15"/>
  <c r="I151" i="15"/>
  <c r="K62" i="19"/>
  <c r="I143" i="15"/>
  <c r="J143" i="15"/>
  <c r="H206" i="15"/>
  <c r="G206" i="15"/>
  <c r="BX206" i="6" s="1"/>
  <c r="AA206" i="15"/>
  <c r="Z206" i="15" s="1"/>
  <c r="Y206" i="15" s="1"/>
  <c r="H214" i="15"/>
  <c r="G214" i="15"/>
  <c r="BX214" i="6" s="1"/>
  <c r="AA214" i="15"/>
  <c r="Z214" i="15" s="1"/>
  <c r="Y214" i="15" s="1"/>
  <c r="J28" i="15"/>
  <c r="I28" i="15"/>
  <c r="J281" i="15"/>
  <c r="I281" i="15"/>
  <c r="J111" i="15"/>
  <c r="I111" i="15"/>
  <c r="J208" i="15"/>
  <c r="I208" i="15"/>
  <c r="G236" i="15"/>
  <c r="BX236" i="6" s="1"/>
  <c r="H236" i="15"/>
  <c r="AA236" i="15"/>
  <c r="Z236" i="15" s="1"/>
  <c r="Y236" i="15" s="1"/>
  <c r="J244" i="15"/>
  <c r="I244" i="15"/>
  <c r="G18" i="15"/>
  <c r="BX18" i="6" s="1"/>
  <c r="H18" i="15"/>
  <c r="AA18" i="15"/>
  <c r="Z18" i="15" s="1"/>
  <c r="Y18" i="15" s="1"/>
  <c r="AA114" i="15"/>
  <c r="Z114" i="15" s="1"/>
  <c r="Y114" i="15" s="1"/>
  <c r="G114" i="15"/>
  <c r="BX114" i="6" s="1"/>
  <c r="H114" i="15"/>
  <c r="I136" i="15"/>
  <c r="J136" i="15"/>
  <c r="J270" i="15"/>
  <c r="I270" i="15"/>
  <c r="I138" i="15"/>
  <c r="J138" i="15"/>
  <c r="L62" i="19"/>
  <c r="I154" i="15"/>
  <c r="J154" i="15"/>
  <c r="AA256" i="15"/>
  <c r="Z256" i="15" s="1"/>
  <c r="Y256" i="15" s="1"/>
  <c r="H256" i="15"/>
  <c r="G256" i="15"/>
  <c r="BX256" i="6" s="1"/>
  <c r="P199" i="16"/>
  <c r="V199" i="16" s="1"/>
  <c r="F199" i="16" s="1"/>
  <c r="G199" i="16" s="1"/>
  <c r="BY199" i="6" s="1"/>
  <c r="H362" i="15"/>
  <c r="AC381" i="18"/>
  <c r="AC383" i="18"/>
  <c r="AC382" i="18"/>
  <c r="AC30" i="22"/>
  <c r="AC20" i="22"/>
  <c r="AC26" i="22"/>
  <c r="AC59" i="22"/>
  <c r="AC61" i="22"/>
  <c r="AC81" i="22"/>
  <c r="AC55" i="22"/>
  <c r="AC34" i="22"/>
  <c r="AC16" i="22"/>
  <c r="AC63" i="22"/>
  <c r="AC56" i="22"/>
  <c r="AC19" i="22"/>
  <c r="AC86" i="22"/>
  <c r="AC70" i="22"/>
  <c r="AC38" i="22"/>
  <c r="AC117" i="22"/>
  <c r="AC130" i="22"/>
  <c r="AC27" i="22"/>
  <c r="AC126" i="22"/>
  <c r="AC47" i="22"/>
  <c r="AC118" i="22"/>
  <c r="AC116" i="22"/>
  <c r="AC109" i="22"/>
  <c r="AC115" i="22"/>
  <c r="AC65" i="22"/>
  <c r="AC101" i="22"/>
  <c r="AC41" i="22"/>
  <c r="AC107" i="22"/>
  <c r="AC25" i="22"/>
  <c r="AC106" i="22"/>
  <c r="AC62" i="22"/>
  <c r="AC102" i="22"/>
  <c r="AC17" i="22"/>
  <c r="AC95" i="22"/>
  <c r="AC111" i="22"/>
  <c r="AC108" i="22"/>
  <c r="AC10" i="22"/>
  <c r="AC241" i="22" s="1"/>
  <c r="AC96" i="22"/>
  <c r="AC21" i="22"/>
  <c r="AC90" i="22"/>
  <c r="AC46" i="22"/>
  <c r="AC89" i="22"/>
  <c r="AC82" i="22"/>
  <c r="AC78" i="22"/>
  <c r="AC44" i="22"/>
  <c r="AC35" i="22"/>
  <c r="AC84" i="22"/>
  <c r="AC32" i="22"/>
  <c r="AC127" i="22"/>
  <c r="AC124" i="22"/>
  <c r="AC125" i="22"/>
  <c r="AC54" i="22"/>
  <c r="AC85" i="22"/>
  <c r="AC134" i="22"/>
  <c r="AC50" i="22"/>
  <c r="AC132" i="22"/>
  <c r="AC51" i="22"/>
  <c r="AC73" i="22"/>
  <c r="AC29" i="22"/>
  <c r="AC67" i="22"/>
  <c r="AC123" i="22"/>
  <c r="AC75" i="22"/>
  <c r="AC33" i="22"/>
  <c r="AC69" i="22"/>
  <c r="AC80" i="22"/>
  <c r="AC129" i="22"/>
  <c r="AC68" i="22"/>
  <c r="AC105" i="22"/>
  <c r="AC83" i="22"/>
  <c r="AC57" i="22"/>
  <c r="AC79" i="22"/>
  <c r="AC74" i="22"/>
  <c r="AC40" i="22"/>
  <c r="AC22" i="22"/>
  <c r="AC42" i="22"/>
  <c r="AC112" i="22"/>
  <c r="AC60" i="22"/>
  <c r="AC31" i="22"/>
  <c r="AC43" i="22"/>
  <c r="AC71" i="22"/>
  <c r="AC110" i="22"/>
  <c r="AC23" i="22"/>
  <c r="AC100" i="22"/>
  <c r="AC15" i="22"/>
  <c r="AC121" i="22"/>
  <c r="AC119" i="22"/>
  <c r="AC37" i="22"/>
  <c r="AC113" i="22"/>
  <c r="AC103" i="22"/>
  <c r="AC52" i="22"/>
  <c r="AC94" i="22"/>
  <c r="AC66" i="22"/>
  <c r="AC104" i="22"/>
  <c r="AC58" i="22"/>
  <c r="AC88" i="22"/>
  <c r="AC91" i="22"/>
  <c r="AC49" i="22"/>
  <c r="AC92" i="22"/>
  <c r="AC72" i="22"/>
  <c r="AC36" i="22"/>
  <c r="AC77" i="22"/>
  <c r="AC53" i="22"/>
  <c r="AC93" i="22"/>
  <c r="AC98" i="22"/>
  <c r="AC128" i="22"/>
  <c r="AC64" i="22"/>
  <c r="AC99" i="22"/>
  <c r="AC45" i="22"/>
  <c r="AC39" i="22"/>
  <c r="AC122" i="22"/>
  <c r="AC24" i="22"/>
  <c r="AC133" i="22"/>
  <c r="AC97" i="22"/>
  <c r="AC87" i="22"/>
  <c r="AC76" i="22"/>
  <c r="AC18" i="22"/>
  <c r="AC114" i="22"/>
  <c r="AC120" i="22"/>
  <c r="AC28" i="22"/>
  <c r="AC131" i="22"/>
  <c r="AC48" i="22"/>
  <c r="AC12" i="25"/>
  <c r="O12" i="25"/>
  <c r="AC9" i="25"/>
  <c r="O11" i="25"/>
  <c r="AK3" i="22"/>
  <c r="Q17" i="19" s="1"/>
  <c r="F8" i="24"/>
  <c r="AK18" i="24"/>
  <c r="AK24" i="24"/>
  <c r="AK26" i="24"/>
  <c r="AK29" i="24"/>
  <c r="AK20" i="24"/>
  <c r="AK30" i="24"/>
  <c r="AK17" i="24"/>
  <c r="AK23" i="24"/>
  <c r="AK31" i="24"/>
  <c r="AK34" i="24"/>
  <c r="AK37" i="24"/>
  <c r="AK39" i="24"/>
  <c r="AK42" i="24"/>
  <c r="AK45" i="24"/>
  <c r="AK54" i="24"/>
  <c r="AK56" i="24"/>
  <c r="AK61" i="24"/>
  <c r="AK64" i="24"/>
  <c r="AK35" i="24"/>
  <c r="AK44" i="24"/>
  <c r="AK47" i="24"/>
  <c r="AK49" i="24"/>
  <c r="AK51" i="24"/>
  <c r="AK57" i="24"/>
  <c r="AK60" i="24"/>
  <c r="AK65" i="24"/>
  <c r="AK70" i="24"/>
  <c r="AK76" i="24"/>
  <c r="AK80" i="24"/>
  <c r="AK82" i="24"/>
  <c r="AK84" i="24"/>
  <c r="AK86" i="24"/>
  <c r="AK90" i="24"/>
  <c r="AK96" i="24"/>
  <c r="AK98" i="24"/>
  <c r="AK101" i="24"/>
  <c r="AK104" i="24"/>
  <c r="AK107" i="24"/>
  <c r="AK110" i="24"/>
  <c r="AK112" i="24"/>
  <c r="AK114" i="24"/>
  <c r="AK116" i="24"/>
  <c r="AK119" i="24"/>
  <c r="AK126" i="24"/>
  <c r="AK68" i="24"/>
  <c r="AK72" i="24"/>
  <c r="AK74" i="24"/>
  <c r="AK78" i="24"/>
  <c r="AK87" i="24"/>
  <c r="AK91" i="24"/>
  <c r="AK93" i="24"/>
  <c r="AK99" i="24"/>
  <c r="AK106" i="24"/>
  <c r="AK120" i="24"/>
  <c r="AK123" i="24"/>
  <c r="AK128" i="24"/>
  <c r="AK130" i="24"/>
  <c r="AK135" i="24"/>
  <c r="AK137" i="24"/>
  <c r="AK142" i="24"/>
  <c r="AK145" i="24"/>
  <c r="AK150" i="24"/>
  <c r="AK153" i="24"/>
  <c r="AK156" i="24"/>
  <c r="AK176" i="24"/>
  <c r="AK121" i="24"/>
  <c r="AK132" i="24"/>
  <c r="AK134" i="24"/>
  <c r="AK140" i="24"/>
  <c r="AK144" i="24"/>
  <c r="AK148" i="24"/>
  <c r="AK151" i="24"/>
  <c r="AK157" i="24"/>
  <c r="AK160" i="24"/>
  <c r="AK162" i="24"/>
  <c r="AK164" i="24"/>
  <c r="AK166" i="24"/>
  <c r="AK168" i="24"/>
  <c r="AK170" i="24"/>
  <c r="AK172" i="24"/>
  <c r="AK174" i="24"/>
  <c r="AK177" i="24"/>
  <c r="AK179" i="24"/>
  <c r="AK183" i="24"/>
  <c r="AK188" i="24"/>
  <c r="AK192" i="24"/>
  <c r="AK196" i="24"/>
  <c r="AK207" i="24"/>
  <c r="AK209" i="24"/>
  <c r="AK213" i="24"/>
  <c r="AK220" i="24"/>
  <c r="AK225" i="24"/>
  <c r="AK232" i="24"/>
  <c r="AK234" i="24"/>
  <c r="AK16" i="24"/>
  <c r="AK21" i="24"/>
  <c r="AK27" i="24"/>
  <c r="AK22" i="24"/>
  <c r="AK19" i="24"/>
  <c r="AK33" i="24"/>
  <c r="AK38" i="24"/>
  <c r="AK43" i="24"/>
  <c r="AK55" i="24"/>
  <c r="AK62" i="24"/>
  <c r="AK40" i="24"/>
  <c r="AK48" i="24"/>
  <c r="AK52" i="24"/>
  <c r="AK63" i="24"/>
  <c r="AK71" i="24"/>
  <c r="AK81" i="24"/>
  <c r="AK85" i="24"/>
  <c r="AK94" i="24"/>
  <c r="AK100" i="24"/>
  <c r="AK105" i="24"/>
  <c r="AK111" i="24"/>
  <c r="AK115" i="24"/>
  <c r="AK125" i="24"/>
  <c r="AK69" i="24"/>
  <c r="AK75" i="24"/>
  <c r="AK88" i="24"/>
  <c r="AK95" i="24"/>
  <c r="AK108" i="24"/>
  <c r="AK127" i="24"/>
  <c r="AK131" i="24"/>
  <c r="AK138" i="24"/>
  <c r="AK146" i="24"/>
  <c r="AK155" i="24"/>
  <c r="AK118" i="24"/>
  <c r="AK133" i="24"/>
  <c r="AK141" i="24"/>
  <c r="AK149" i="24"/>
  <c r="AK158" i="24"/>
  <c r="AK163" i="24"/>
  <c r="AK167" i="24"/>
  <c r="AK171" i="24"/>
  <c r="AK175" i="24"/>
  <c r="AK182" i="24"/>
  <c r="AK190" i="24"/>
  <c r="AK203" i="24"/>
  <c r="AK211" i="24"/>
  <c r="AK221" i="24"/>
  <c r="AK233" i="24"/>
  <c r="AK240" i="24"/>
  <c r="AK245" i="24"/>
  <c r="AK250" i="24"/>
  <c r="AK254" i="24"/>
  <c r="AK256" i="24"/>
  <c r="AK259" i="24"/>
  <c r="AK262" i="24"/>
  <c r="AK264" i="24"/>
  <c r="AK268" i="24"/>
  <c r="AK273" i="24"/>
  <c r="AK276" i="24"/>
  <c r="AK281" i="24"/>
  <c r="AK285" i="24"/>
  <c r="AK287" i="24"/>
  <c r="AK289" i="24"/>
  <c r="AK291" i="24"/>
  <c r="AK293" i="24"/>
  <c r="AK296" i="24"/>
  <c r="AK298" i="24"/>
  <c r="AK302" i="24"/>
  <c r="AK181" i="24"/>
  <c r="AK186" i="24"/>
  <c r="AK189" i="24"/>
  <c r="AK193" i="24"/>
  <c r="AK197" i="24"/>
  <c r="AK199" i="24"/>
  <c r="AK201" i="24"/>
  <c r="AK204" i="24"/>
  <c r="AK206" i="24"/>
  <c r="AK212" i="24"/>
  <c r="AK216" i="24"/>
  <c r="AK218" i="24"/>
  <c r="AK222" i="24"/>
  <c r="AK224" i="24"/>
  <c r="AK227" i="24"/>
  <c r="AK229" i="24"/>
  <c r="AK235" i="24"/>
  <c r="AK238" i="24"/>
  <c r="AK242" i="24"/>
  <c r="AK244" i="24"/>
  <c r="AK247" i="24"/>
  <c r="AK251" i="24"/>
  <c r="AK258" i="24"/>
  <c r="AK265" i="24"/>
  <c r="AK270" i="24"/>
  <c r="AK272" i="24"/>
  <c r="AK277" i="24"/>
  <c r="AK280" i="24"/>
  <c r="AK283" i="24"/>
  <c r="AK300" i="24"/>
  <c r="AK307" i="24"/>
  <c r="AK309" i="24"/>
  <c r="AK314" i="24"/>
  <c r="AK317" i="24"/>
  <c r="AK320" i="24"/>
  <c r="AK327" i="24"/>
  <c r="AK330" i="24"/>
  <c r="AK334" i="24"/>
  <c r="AK336" i="24"/>
  <c r="AK344" i="24"/>
  <c r="AK349" i="24"/>
  <c r="AK352" i="24"/>
  <c r="AK359" i="24"/>
  <c r="AK362" i="24"/>
  <c r="AK366" i="24"/>
  <c r="AK368" i="24"/>
  <c r="AK371" i="24"/>
  <c r="AK373" i="24"/>
  <c r="AK303" i="24"/>
  <c r="AK306" i="24"/>
  <c r="AK312" i="24"/>
  <c r="AK321" i="24"/>
  <c r="AK328" i="24"/>
  <c r="AK338" i="24"/>
  <c r="AK342" i="24"/>
  <c r="AK346" i="24"/>
  <c r="AK355" i="24"/>
  <c r="AK363" i="24"/>
  <c r="AK376" i="24"/>
  <c r="AK325" i="24"/>
  <c r="AK347" i="24"/>
  <c r="AK353" i="24"/>
  <c r="AK358" i="24"/>
  <c r="AK369" i="24"/>
  <c r="AK379" i="24"/>
  <c r="AK319" i="24"/>
  <c r="AK332" i="24"/>
  <c r="AK374" i="24"/>
  <c r="AK375" i="24"/>
  <c r="AK380" i="24"/>
  <c r="AK25" i="24"/>
  <c r="AK15" i="24"/>
  <c r="P12" i="24"/>
  <c r="AK28" i="24"/>
  <c r="AK36" i="24"/>
  <c r="AK41" i="24"/>
  <c r="AK53" i="24"/>
  <c r="AK59" i="24"/>
  <c r="AK32" i="24"/>
  <c r="AK46" i="24"/>
  <c r="AK50" i="24"/>
  <c r="AK58" i="24"/>
  <c r="AK67" i="24"/>
  <c r="AK77" i="24"/>
  <c r="AK83" i="24"/>
  <c r="AK89" i="24"/>
  <c r="AK97" i="24"/>
  <c r="AK103" i="24"/>
  <c r="AK109" i="24"/>
  <c r="AK113" i="24"/>
  <c r="AK117" i="24"/>
  <c r="AK66" i="24"/>
  <c r="AK73" i="24"/>
  <c r="AK79" i="24"/>
  <c r="AK92" i="24"/>
  <c r="AK102" i="24"/>
  <c r="AK122" i="24"/>
  <c r="AK129" i="24"/>
  <c r="AK136" i="24"/>
  <c r="AK143" i="24"/>
  <c r="AK152" i="24"/>
  <c r="AK159" i="24"/>
  <c r="AK124" i="24"/>
  <c r="AK139" i="24"/>
  <c r="AK147" i="24"/>
  <c r="AK154" i="24"/>
  <c r="AK161" i="24"/>
  <c r="AK165" i="24"/>
  <c r="AK169" i="24"/>
  <c r="AK173" i="24"/>
  <c r="AK178" i="24"/>
  <c r="AK184" i="24"/>
  <c r="AK194" i="24"/>
  <c r="AK208" i="24"/>
  <c r="AK214" i="24"/>
  <c r="AK230" i="24"/>
  <c r="AK237" i="24"/>
  <c r="AK241" i="24"/>
  <c r="AK248" i="24"/>
  <c r="AK253" i="24"/>
  <c r="AK255" i="24"/>
  <c r="AK257" i="24"/>
  <c r="AK260" i="24"/>
  <c r="AK263" i="24"/>
  <c r="AK267" i="24"/>
  <c r="AK269" i="24"/>
  <c r="AK274" i="24"/>
  <c r="AK279" i="24"/>
  <c r="AK284" i="24"/>
  <c r="AK286" i="24"/>
  <c r="AK288" i="24"/>
  <c r="AK290" i="24"/>
  <c r="AK292" i="24"/>
  <c r="AK294" i="24"/>
  <c r="AK297" i="24"/>
  <c r="AK301" i="24"/>
  <c r="AK180" i="24"/>
  <c r="AK185" i="24"/>
  <c r="AK187" i="24"/>
  <c r="AK191" i="24"/>
  <c r="AK195" i="24"/>
  <c r="AK198" i="24"/>
  <c r="AK200" i="24"/>
  <c r="AK202" i="24"/>
  <c r="AK205" i="24"/>
  <c r="AK210" i="24"/>
  <c r="AK215" i="24"/>
  <c r="AK217" i="24"/>
  <c r="AK219" i="24"/>
  <c r="AK223" i="24"/>
  <c r="AK226" i="24"/>
  <c r="AK228" i="24"/>
  <c r="AK231" i="24"/>
  <c r="AK236" i="24"/>
  <c r="AK239" i="24"/>
  <c r="AK243" i="24"/>
  <c r="AK246" i="24"/>
  <c r="AK249" i="24"/>
  <c r="AK252" i="24"/>
  <c r="AK261" i="24"/>
  <c r="AK266" i="24"/>
  <c r="AK271" i="24"/>
  <c r="AK275" i="24"/>
  <c r="AK278" i="24"/>
  <c r="AK282" i="24"/>
  <c r="AK295" i="24"/>
  <c r="AK305" i="24"/>
  <c r="AK308" i="24"/>
  <c r="AK311" i="24"/>
  <c r="AK316" i="24"/>
  <c r="AK318" i="24"/>
  <c r="AK323" i="24"/>
  <c r="AK329" i="24"/>
  <c r="AK331" i="24"/>
  <c r="AK335" i="24"/>
  <c r="AK341" i="24"/>
  <c r="AK345" i="24"/>
  <c r="AK351" i="24"/>
  <c r="AK356" i="24"/>
  <c r="AK361" i="24"/>
  <c r="AK365" i="24"/>
  <c r="AK367" i="24"/>
  <c r="AK370" i="24"/>
  <c r="AK372" i="24"/>
  <c r="AK299" i="24"/>
  <c r="AK304" i="24"/>
  <c r="AK310" i="24"/>
  <c r="AK315" i="24"/>
  <c r="AK322" i="24"/>
  <c r="AK337" i="24"/>
  <c r="AK339" i="24"/>
  <c r="AK343" i="24"/>
  <c r="AK350" i="24"/>
  <c r="AK357" i="24"/>
  <c r="AK364" i="24"/>
  <c r="AK324" i="24"/>
  <c r="AK333" i="24"/>
  <c r="AK348" i="24"/>
  <c r="AK354" i="24"/>
  <c r="AK360" i="24"/>
  <c r="AK377" i="24"/>
  <c r="AK313" i="24"/>
  <c r="AK326" i="24"/>
  <c r="AK340" i="24"/>
  <c r="AK378" i="24"/>
  <c r="BD15" i="7"/>
  <c r="P11" i="25"/>
  <c r="P10" i="23"/>
  <c r="L18" i="19"/>
  <c r="AF381" i="15"/>
  <c r="AF382" i="15"/>
  <c r="AD17" i="15"/>
  <c r="AF383" i="15"/>
  <c r="AA15" i="1"/>
  <c r="V381" i="1"/>
  <c r="V382" i="1"/>
  <c r="V383" i="1"/>
  <c r="U15" i="7"/>
  <c r="Q10" i="17"/>
  <c r="A7" i="6"/>
  <c r="J333" i="15"/>
  <c r="I333" i="15"/>
  <c r="AL12" i="1"/>
  <c r="AJ4" i="1" s="1"/>
  <c r="P11" i="19" s="1"/>
  <c r="M12" i="19" s="1"/>
  <c r="P46" i="16" l="1"/>
  <c r="V46" i="16" s="1"/>
  <c r="F46" i="16" s="1"/>
  <c r="G46" i="16" s="1"/>
  <c r="BY46" i="6" s="1"/>
  <c r="P99" i="16"/>
  <c r="V99" i="16" s="1"/>
  <c r="F99" i="16" s="1"/>
  <c r="G99" i="16" s="1"/>
  <c r="BY99" i="6" s="1"/>
  <c r="P62" i="16"/>
  <c r="V62" i="16" s="1"/>
  <c r="F62" i="16" s="1"/>
  <c r="H62" i="16" s="1"/>
  <c r="P157" i="16"/>
  <c r="V157" i="16" s="1"/>
  <c r="F157" i="16" s="1"/>
  <c r="H157" i="16" s="1"/>
  <c r="P168" i="16"/>
  <c r="V168" i="16" s="1"/>
  <c r="F168" i="16" s="1"/>
  <c r="G168" i="16" s="1"/>
  <c r="BY168" i="6" s="1"/>
  <c r="P64" i="16"/>
  <c r="V64" i="16" s="1"/>
  <c r="F64" i="16" s="1"/>
  <c r="G64" i="16" s="1"/>
  <c r="BY64" i="6" s="1"/>
  <c r="P177" i="16"/>
  <c r="V177" i="16" s="1"/>
  <c r="F177" i="16" s="1"/>
  <c r="G177" i="16" s="1"/>
  <c r="BY177" i="6" s="1"/>
  <c r="P267" i="16"/>
  <c r="V267" i="16" s="1"/>
  <c r="F267" i="16" s="1"/>
  <c r="G267" i="16" s="1"/>
  <c r="BY267" i="6" s="1"/>
  <c r="P51" i="16"/>
  <c r="V51" i="16" s="1"/>
  <c r="F51" i="16" s="1"/>
  <c r="H51" i="16" s="1"/>
  <c r="P159" i="16"/>
  <c r="V159" i="16" s="1"/>
  <c r="F159" i="16" s="1"/>
  <c r="H159" i="16" s="1"/>
  <c r="I159" i="16" s="1"/>
  <c r="P90" i="16"/>
  <c r="V90" i="16" s="1"/>
  <c r="F90" i="16" s="1"/>
  <c r="G90" i="16" s="1"/>
  <c r="BY90" i="6" s="1"/>
  <c r="P247" i="16"/>
  <c r="V247" i="16" s="1"/>
  <c r="F247" i="16" s="1"/>
  <c r="G247" i="16" s="1"/>
  <c r="BY247" i="6" s="1"/>
  <c r="O93" i="23"/>
  <c r="O103" i="23"/>
  <c r="O25" i="23"/>
  <c r="P327" i="16"/>
  <c r="V327" i="16" s="1"/>
  <c r="F327" i="16" s="1"/>
  <c r="H327" i="16" s="1"/>
  <c r="P333" i="16"/>
  <c r="D54" i="7" s="1"/>
  <c r="P314" i="16"/>
  <c r="V314" i="16" s="1"/>
  <c r="F314" i="16" s="1"/>
  <c r="H314" i="16" s="1"/>
  <c r="P366" i="16"/>
  <c r="V366" i="16" s="1"/>
  <c r="F366" i="16" s="1"/>
  <c r="G366" i="16" s="1"/>
  <c r="BY366" i="6" s="1"/>
  <c r="P369" i="16"/>
  <c r="V369" i="16" s="1"/>
  <c r="F369" i="16" s="1"/>
  <c r="H369" i="16" s="1"/>
  <c r="P104" i="16"/>
  <c r="V104" i="16" s="1"/>
  <c r="F104" i="16" s="1"/>
  <c r="H104" i="16" s="1"/>
  <c r="O111" i="23"/>
  <c r="O130" i="23"/>
  <c r="O28" i="23"/>
  <c r="O100" i="23"/>
  <c r="O116" i="23"/>
  <c r="O123" i="23"/>
  <c r="O43" i="23"/>
  <c r="O192" i="23"/>
  <c r="O314" i="23"/>
  <c r="O263" i="23"/>
  <c r="O371" i="23"/>
  <c r="O210" i="23"/>
  <c r="AG50" i="7" s="1"/>
  <c r="O239" i="23"/>
  <c r="O228" i="23"/>
  <c r="O331" i="23"/>
  <c r="O359" i="23"/>
  <c r="O213" i="23"/>
  <c r="O178" i="23"/>
  <c r="O46" i="23"/>
  <c r="O21" i="23"/>
  <c r="O382" i="22"/>
  <c r="O70" i="23"/>
  <c r="O354" i="23"/>
  <c r="O279" i="23"/>
  <c r="O99" i="23"/>
  <c r="O18" i="23"/>
  <c r="O257" i="23"/>
  <c r="O15" i="23"/>
  <c r="O114" i="23"/>
  <c r="O259" i="23"/>
  <c r="O62" i="23"/>
  <c r="O190" i="23"/>
  <c r="O337" i="23"/>
  <c r="O104" i="23"/>
  <c r="O246" i="23"/>
  <c r="O67" i="23"/>
  <c r="O231" i="23"/>
  <c r="O138" i="23"/>
  <c r="O23" i="23"/>
  <c r="O121" i="23"/>
  <c r="O312" i="23"/>
  <c r="O84" i="23"/>
  <c r="O251" i="23"/>
  <c r="O119" i="23"/>
  <c r="AG47" i="7" s="1"/>
  <c r="O29" i="23"/>
  <c r="AG44" i="7" s="1"/>
  <c r="P207" i="16"/>
  <c r="V207" i="16" s="1"/>
  <c r="F207" i="16" s="1"/>
  <c r="H207" i="16" s="1"/>
  <c r="P377" i="16"/>
  <c r="V377" i="16" s="1"/>
  <c r="F377" i="16" s="1"/>
  <c r="H377" i="16" s="1"/>
  <c r="P60" i="16"/>
  <c r="V60" i="16" s="1"/>
  <c r="F60" i="16" s="1"/>
  <c r="P150" i="16"/>
  <c r="V150" i="16" s="1"/>
  <c r="F150" i="16" s="1"/>
  <c r="H150" i="16" s="1"/>
  <c r="O55" i="23"/>
  <c r="O69" i="23"/>
  <c r="O377" i="23"/>
  <c r="O110" i="23"/>
  <c r="O87" i="23"/>
  <c r="O176" i="23"/>
  <c r="O53" i="23"/>
  <c r="O51" i="23"/>
  <c r="O179" i="23"/>
  <c r="O184" i="23"/>
  <c r="O255" i="23"/>
  <c r="O348" i="23"/>
  <c r="O167" i="23"/>
  <c r="O247" i="23"/>
  <c r="O36" i="23"/>
  <c r="O169" i="23"/>
  <c r="O322" i="23"/>
  <c r="O65" i="23"/>
  <c r="O165" i="23"/>
  <c r="O305" i="23"/>
  <c r="O125" i="23"/>
  <c r="O240" i="23"/>
  <c r="O336" i="23"/>
  <c r="O364" i="23"/>
  <c r="O35" i="23"/>
  <c r="O101" i="23"/>
  <c r="O174" i="23"/>
  <c r="O199" i="23"/>
  <c r="O310" i="23"/>
  <c r="O24" i="23"/>
  <c r="O66" i="23"/>
  <c r="O115" i="23"/>
  <c r="O241" i="23"/>
  <c r="AG51" i="7" s="1"/>
  <c r="O269" i="23"/>
  <c r="O311" i="23"/>
  <c r="O38" i="23"/>
  <c r="O105" i="23"/>
  <c r="O227" i="23"/>
  <c r="O351" i="23"/>
  <c r="O63" i="23"/>
  <c r="O132" i="23"/>
  <c r="O214" i="23"/>
  <c r="O370" i="23"/>
  <c r="O261" i="23"/>
  <c r="O95" i="23"/>
  <c r="O37" i="23"/>
  <c r="O328" i="23"/>
  <c r="O187" i="23"/>
  <c r="O109" i="23"/>
  <c r="O27" i="23"/>
  <c r="O256" i="23"/>
  <c r="O175" i="23"/>
  <c r="O85" i="23"/>
  <c r="O309" i="23"/>
  <c r="O245" i="23"/>
  <c r="O117" i="23"/>
  <c r="O16" i="23"/>
  <c r="O319" i="23"/>
  <c r="O254" i="23"/>
  <c r="O297" i="23"/>
  <c r="O229" i="23"/>
  <c r="O73" i="23"/>
  <c r="O249" i="23"/>
  <c r="O102" i="23"/>
  <c r="O329" i="23"/>
  <c r="O86" i="23"/>
  <c r="O31" i="23"/>
  <c r="O171" i="23"/>
  <c r="O108" i="23"/>
  <c r="O133" i="23"/>
  <c r="O45" i="23"/>
  <c r="O221" i="23"/>
  <c r="O19" i="23"/>
  <c r="O76" i="23"/>
  <c r="O204" i="23"/>
  <c r="O268" i="23"/>
  <c r="O381" i="22"/>
  <c r="O383" i="22"/>
  <c r="O44" i="23"/>
  <c r="O80" i="23"/>
  <c r="O147" i="23"/>
  <c r="O302" i="23"/>
  <c r="AG53" i="7" s="1"/>
  <c r="O290" i="23"/>
  <c r="O17" i="23"/>
  <c r="O97" i="23"/>
  <c r="O162" i="23"/>
  <c r="O217" i="23"/>
  <c r="O233" i="23"/>
  <c r="O372" i="23"/>
  <c r="O373" i="23"/>
  <c r="O94" i="23"/>
  <c r="O107" i="23"/>
  <c r="O258" i="23"/>
  <c r="O252" i="23"/>
  <c r="O345" i="23"/>
  <c r="O60" i="23"/>
  <c r="AG45" i="7" s="1"/>
  <c r="O129" i="23"/>
  <c r="O189" i="23"/>
  <c r="O212" i="23"/>
  <c r="O317" i="23"/>
  <c r="O361" i="23"/>
  <c r="O308" i="23"/>
  <c r="O362" i="23"/>
  <c r="O32" i="23"/>
  <c r="O59" i="23"/>
  <c r="O122" i="23"/>
  <c r="O150" i="23"/>
  <c r="O140" i="23"/>
  <c r="O223" i="23"/>
  <c r="O298" i="23"/>
  <c r="O244" i="23"/>
  <c r="O276" i="23"/>
  <c r="O326" i="23"/>
  <c r="O374" i="23"/>
  <c r="O56" i="23"/>
  <c r="O88" i="23"/>
  <c r="AG46" i="7" s="1"/>
  <c r="O91" i="23"/>
  <c r="O157" i="23"/>
  <c r="O160" i="23"/>
  <c r="O211" i="23"/>
  <c r="O277" i="23"/>
  <c r="O230" i="23"/>
  <c r="O320" i="23"/>
  <c r="O368" i="23"/>
  <c r="O367" i="23"/>
  <c r="O42" i="23"/>
  <c r="O68" i="23"/>
  <c r="O78" i="23"/>
  <c r="O166" i="23"/>
  <c r="O145" i="23"/>
  <c r="O301" i="23"/>
  <c r="O281" i="23"/>
  <c r="O20" i="23"/>
  <c r="O33" i="23"/>
  <c r="O96" i="23"/>
  <c r="O92" i="23"/>
  <c r="O158" i="23"/>
  <c r="O161" i="23"/>
  <c r="O278" i="23"/>
  <c r="O321" i="23"/>
  <c r="O316" i="23"/>
  <c r="O222" i="23"/>
  <c r="O197" i="23"/>
  <c r="O141" i="23"/>
  <c r="O71" i="23"/>
  <c r="O75" i="23"/>
  <c r="O40" i="23"/>
  <c r="O327" i="23"/>
  <c r="O264" i="23"/>
  <c r="O285" i="23"/>
  <c r="O131" i="23"/>
  <c r="O81" i="23"/>
  <c r="O72" i="23"/>
  <c r="O48" i="23"/>
  <c r="O360" i="23"/>
  <c r="O333" i="23"/>
  <c r="AG54" i="7" s="1"/>
  <c r="O203" i="23"/>
  <c r="O185" i="23"/>
  <c r="O127" i="23"/>
  <c r="O120" i="23"/>
  <c r="O57" i="23"/>
  <c r="O22" i="23"/>
  <c r="O304" i="23"/>
  <c r="O188" i="23"/>
  <c r="O164" i="23"/>
  <c r="O98" i="23"/>
  <c r="O89" i="23"/>
  <c r="O61" i="23"/>
  <c r="AS13" i="7"/>
  <c r="O186" i="23"/>
  <c r="O34" i="23"/>
  <c r="O128" i="23"/>
  <c r="O353" i="23"/>
  <c r="O118" i="23"/>
  <c r="O366" i="23"/>
  <c r="O155" i="23"/>
  <c r="O294" i="23"/>
  <c r="O49" i="23"/>
  <c r="O82" i="23"/>
  <c r="O236" i="23"/>
  <c r="O295" i="23"/>
  <c r="O47" i="23"/>
  <c r="O106" i="23"/>
  <c r="O196" i="23"/>
  <c r="O347" i="23"/>
  <c r="O77" i="23"/>
  <c r="O163" i="23"/>
  <c r="O300" i="23"/>
  <c r="O50" i="23"/>
  <c r="O124" i="23"/>
  <c r="O238" i="23"/>
  <c r="O303" i="23"/>
  <c r="O318" i="23"/>
  <c r="O149" i="23"/>
  <c r="AG48" i="7" s="1"/>
  <c r="O283" i="23"/>
  <c r="O112" i="23"/>
  <c r="O265" i="23"/>
  <c r="O198" i="23"/>
  <c r="O54" i="23"/>
  <c r="O335" i="23"/>
  <c r="O83" i="23"/>
  <c r="O369" i="23"/>
  <c r="O64" i="23"/>
  <c r="O341" i="23"/>
  <c r="O126" i="23"/>
  <c r="O207" i="23"/>
  <c r="O191" i="23"/>
  <c r="BF13" i="7"/>
  <c r="BG13" i="7"/>
  <c r="O90" i="23"/>
  <c r="O52" i="23"/>
  <c r="O349" i="23"/>
  <c r="O365" i="23"/>
  <c r="O334" i="23"/>
  <c r="O340" i="23"/>
  <c r="O286" i="23"/>
  <c r="O151" i="23"/>
  <c r="O216" i="23"/>
  <c r="O142" i="23"/>
  <c r="O332" i="23"/>
  <c r="O224" i="23"/>
  <c r="O144" i="23"/>
  <c r="O343" i="23"/>
  <c r="O287" i="23"/>
  <c r="O363" i="23"/>
  <c r="AG55" i="7" s="1"/>
  <c r="O153" i="23"/>
  <c r="O219" i="23"/>
  <c r="O313" i="23"/>
  <c r="O137" i="23"/>
  <c r="O282" i="23"/>
  <c r="O355" i="23"/>
  <c r="O330" i="23"/>
  <c r="O201" i="23"/>
  <c r="O180" i="23"/>
  <c r="AG49" i="7" s="1"/>
  <c r="O306" i="23"/>
  <c r="O250" i="23"/>
  <c r="O243" i="23"/>
  <c r="O177" i="23"/>
  <c r="O375" i="23"/>
  <c r="O299" i="23"/>
  <c r="O253" i="23"/>
  <c r="O235" i="23"/>
  <c r="O170" i="23"/>
  <c r="O292" i="23"/>
  <c r="O183" i="23"/>
  <c r="O159" i="23"/>
  <c r="O339" i="23"/>
  <c r="O323" i="23"/>
  <c r="O206" i="23"/>
  <c r="O272" i="23"/>
  <c r="AG52" i="7" s="1"/>
  <c r="O139" i="23"/>
  <c r="O280" i="23"/>
  <c r="O209" i="23"/>
  <c r="O148" i="23"/>
  <c r="O135" i="23"/>
  <c r="O205" i="23"/>
  <c r="O289" i="23"/>
  <c r="O218" i="23"/>
  <c r="O270" i="23"/>
  <c r="O350" i="23"/>
  <c r="O357" i="23"/>
  <c r="O154" i="23"/>
  <c r="O152" i="23"/>
  <c r="O202" i="23"/>
  <c r="O274" i="23"/>
  <c r="O226" i="23"/>
  <c r="O293" i="23"/>
  <c r="O358" i="23"/>
  <c r="O378" i="23"/>
  <c r="O344" i="23"/>
  <c r="O173" i="23"/>
  <c r="O156" i="23"/>
  <c r="O232" i="23"/>
  <c r="O182" i="23"/>
  <c r="O248" i="23"/>
  <c r="O291" i="23"/>
  <c r="O356" i="23"/>
  <c r="O168" i="23"/>
  <c r="O172" i="23"/>
  <c r="O234" i="23"/>
  <c r="O195" i="23"/>
  <c r="O237" i="23"/>
  <c r="O379" i="23"/>
  <c r="C42" i="19" s="1"/>
  <c r="O346" i="23"/>
  <c r="O338" i="23"/>
  <c r="O273" i="23"/>
  <c r="O220" i="23"/>
  <c r="O242" i="23"/>
  <c r="O193" i="23"/>
  <c r="O307" i="23"/>
  <c r="O315" i="23"/>
  <c r="O260" i="23"/>
  <c r="O208" i="23"/>
  <c r="O271" i="23"/>
  <c r="O181" i="23"/>
  <c r="O376" i="23"/>
  <c r="O325" i="23"/>
  <c r="M62" i="19"/>
  <c r="O146" i="23"/>
  <c r="O266" i="23"/>
  <c r="O113" i="23"/>
  <c r="O58" i="23"/>
  <c r="AY10" i="7"/>
  <c r="E7" i="24" s="1"/>
  <c r="O10" i="24" s="1"/>
  <c r="O340" i="24" s="1"/>
  <c r="O288" i="23"/>
  <c r="O342" i="23"/>
  <c r="O136" i="23"/>
  <c r="O352" i="23"/>
  <c r="O225" i="23"/>
  <c r="O262" i="23"/>
  <c r="O275" i="23"/>
  <c r="O284" i="23"/>
  <c r="AC349" i="22"/>
  <c r="AC292" i="22"/>
  <c r="AC191" i="22"/>
  <c r="AC244" i="22"/>
  <c r="AC368" i="22"/>
  <c r="AC205" i="22"/>
  <c r="AC287" i="22"/>
  <c r="O41" i="23"/>
  <c r="O79" i="23"/>
  <c r="AC288" i="22"/>
  <c r="P135" i="16"/>
  <c r="V135" i="16" s="1"/>
  <c r="F135" i="16" s="1"/>
  <c r="H135" i="16" s="1"/>
  <c r="P244" i="16"/>
  <c r="V244" i="16" s="1"/>
  <c r="F244" i="16" s="1"/>
  <c r="G244" i="16" s="1"/>
  <c r="BY244" i="6" s="1"/>
  <c r="P31" i="16"/>
  <c r="V31" i="16" s="1"/>
  <c r="F31" i="16" s="1"/>
  <c r="H31" i="16" s="1"/>
  <c r="P76" i="16"/>
  <c r="V76" i="16" s="1"/>
  <c r="F76" i="16" s="1"/>
  <c r="H76" i="16" s="1"/>
  <c r="O134" i="23"/>
  <c r="E8" i="23"/>
  <c r="K18" i="19" s="1"/>
  <c r="K42" i="19" s="1"/>
  <c r="O39" i="23"/>
  <c r="O194" i="23"/>
  <c r="O324" i="23"/>
  <c r="O143" i="23"/>
  <c r="O267" i="23"/>
  <c r="O26" i="23"/>
  <c r="O296" i="23"/>
  <c r="O215" i="23"/>
  <c r="O30" i="23"/>
  <c r="O200" i="23"/>
  <c r="P298" i="16"/>
  <c r="V298" i="16" s="1"/>
  <c r="F298" i="16" s="1"/>
  <c r="G298" i="16" s="1"/>
  <c r="BY298" i="6" s="1"/>
  <c r="P263" i="16"/>
  <c r="V263" i="16" s="1"/>
  <c r="F263" i="16" s="1"/>
  <c r="H263" i="16" s="1"/>
  <c r="P182" i="16"/>
  <c r="V182" i="16" s="1"/>
  <c r="F182" i="16" s="1"/>
  <c r="H182" i="16" s="1"/>
  <c r="O310" i="24"/>
  <c r="P108" i="16"/>
  <c r="V108" i="16" s="1"/>
  <c r="F108" i="16" s="1"/>
  <c r="G108" i="16" s="1"/>
  <c r="BY108" i="6" s="1"/>
  <c r="P45" i="16"/>
  <c r="V45" i="16" s="1"/>
  <c r="F45" i="16" s="1"/>
  <c r="H45" i="16" s="1"/>
  <c r="P281" i="16"/>
  <c r="V281" i="16" s="1"/>
  <c r="F281" i="16" s="1"/>
  <c r="H281" i="16" s="1"/>
  <c r="P198" i="16"/>
  <c r="V198" i="16" s="1"/>
  <c r="F198" i="16" s="1"/>
  <c r="H198" i="16" s="1"/>
  <c r="P349" i="16"/>
  <c r="V349" i="16" s="1"/>
  <c r="F349" i="16" s="1"/>
  <c r="H349" i="16" s="1"/>
  <c r="J349" i="16" s="1"/>
  <c r="P172" i="16"/>
  <c r="V172" i="16" s="1"/>
  <c r="F172" i="16" s="1"/>
  <c r="G172" i="16" s="1"/>
  <c r="BY172" i="6" s="1"/>
  <c r="P203" i="16"/>
  <c r="V203" i="16" s="1"/>
  <c r="F203" i="16" s="1"/>
  <c r="H203" i="16" s="1"/>
  <c r="I203" i="16" s="1"/>
  <c r="P166" i="16"/>
  <c r="V166" i="16" s="1"/>
  <c r="F166" i="16" s="1"/>
  <c r="H166" i="16" s="1"/>
  <c r="J166" i="16" s="1"/>
  <c r="P246" i="16"/>
  <c r="V246" i="16" s="1"/>
  <c r="F246" i="16" s="1"/>
  <c r="H246" i="16" s="1"/>
  <c r="P365" i="16"/>
  <c r="V365" i="16" s="1"/>
  <c r="F365" i="16" s="1"/>
  <c r="G365" i="16" s="1"/>
  <c r="BY365" i="6" s="1"/>
  <c r="P290" i="16"/>
  <c r="V290" i="16" s="1"/>
  <c r="F290" i="16" s="1"/>
  <c r="H290" i="16" s="1"/>
  <c r="I290" i="16" s="1"/>
  <c r="P109" i="16"/>
  <c r="V109" i="16" s="1"/>
  <c r="F109" i="16" s="1"/>
  <c r="H109" i="16" s="1"/>
  <c r="P348" i="16"/>
  <c r="V348" i="16" s="1"/>
  <c r="F348" i="16" s="1"/>
  <c r="H348" i="16" s="1"/>
  <c r="P257" i="16"/>
  <c r="V257" i="16" s="1"/>
  <c r="F257" i="16" s="1"/>
  <c r="G257" i="16" s="1"/>
  <c r="BY257" i="6" s="1"/>
  <c r="P266" i="16"/>
  <c r="V266" i="16" s="1"/>
  <c r="F266" i="16" s="1"/>
  <c r="H266" i="16" s="1"/>
  <c r="P353" i="16"/>
  <c r="V353" i="16" s="1"/>
  <c r="F353" i="16" s="1"/>
  <c r="H353" i="16" s="1"/>
  <c r="J353" i="16" s="1"/>
  <c r="P143" i="16"/>
  <c r="V143" i="16" s="1"/>
  <c r="F143" i="16" s="1"/>
  <c r="H143" i="16" s="1"/>
  <c r="P259" i="16"/>
  <c r="V259" i="16" s="1"/>
  <c r="F259" i="16" s="1"/>
  <c r="H259" i="16" s="1"/>
  <c r="J259" i="16" s="1"/>
  <c r="P78" i="16"/>
  <c r="V78" i="16" s="1"/>
  <c r="F78" i="16" s="1"/>
  <c r="G78" i="16" s="1"/>
  <c r="BY78" i="6" s="1"/>
  <c r="P149" i="16"/>
  <c r="D48" i="7" s="1"/>
  <c r="P360" i="16"/>
  <c r="V360" i="16" s="1"/>
  <c r="F360" i="16" s="1"/>
  <c r="H360" i="16" s="1"/>
  <c r="P102" i="16"/>
  <c r="V102" i="16" s="1"/>
  <c r="F102" i="16" s="1"/>
  <c r="G102" i="16" s="1"/>
  <c r="BY102" i="6" s="1"/>
  <c r="P36" i="16"/>
  <c r="V36" i="16" s="1"/>
  <c r="F36" i="16" s="1"/>
  <c r="H36" i="16" s="1"/>
  <c r="P25" i="16"/>
  <c r="V25" i="16" s="1"/>
  <c r="F25" i="16" s="1"/>
  <c r="G25" i="16" s="1"/>
  <c r="BY25" i="6" s="1"/>
  <c r="P291" i="16"/>
  <c r="V291" i="16" s="1"/>
  <c r="F291" i="16" s="1"/>
  <c r="G291" i="16" s="1"/>
  <c r="BY291" i="6" s="1"/>
  <c r="P26" i="16"/>
  <c r="V26" i="16" s="1"/>
  <c r="F26" i="16" s="1"/>
  <c r="G26" i="16" s="1"/>
  <c r="BY26" i="6" s="1"/>
  <c r="P110" i="16"/>
  <c r="V110" i="16" s="1"/>
  <c r="F110" i="16" s="1"/>
  <c r="H110" i="16" s="1"/>
  <c r="P253" i="16"/>
  <c r="V253" i="16" s="1"/>
  <c r="F253" i="16" s="1"/>
  <c r="P249" i="16"/>
  <c r="V249" i="16" s="1"/>
  <c r="F249" i="16" s="1"/>
  <c r="H249" i="16" s="1"/>
  <c r="P237" i="16"/>
  <c r="V237" i="16" s="1"/>
  <c r="F237" i="16" s="1"/>
  <c r="G237" i="16" s="1"/>
  <c r="BY237" i="6" s="1"/>
  <c r="P275" i="16"/>
  <c r="V275" i="16" s="1"/>
  <c r="F275" i="16" s="1"/>
  <c r="G275" i="16" s="1"/>
  <c r="BY275" i="6" s="1"/>
  <c r="P283" i="16"/>
  <c r="V283" i="16" s="1"/>
  <c r="F283" i="16" s="1"/>
  <c r="G283" i="16" s="1"/>
  <c r="BY283" i="6" s="1"/>
  <c r="P222" i="16"/>
  <c r="V222" i="16" s="1"/>
  <c r="F222" i="16" s="1"/>
  <c r="H222" i="16" s="1"/>
  <c r="AC299" i="22"/>
  <c r="AC272" i="22"/>
  <c r="AC228" i="22"/>
  <c r="AC357" i="22"/>
  <c r="AC242" i="22"/>
  <c r="AC201" i="22"/>
  <c r="AC327" i="22"/>
  <c r="AC209" i="22"/>
  <c r="AC138" i="22"/>
  <c r="AC273" i="22"/>
  <c r="AC282" i="22"/>
  <c r="AC371" i="22"/>
  <c r="AC163" i="22"/>
  <c r="AC380" i="22"/>
  <c r="AC225" i="22"/>
  <c r="AC204" i="22"/>
  <c r="AC306" i="22"/>
  <c r="AC267" i="22"/>
  <c r="AC308" i="22"/>
  <c r="AC230" i="22"/>
  <c r="AC372" i="22"/>
  <c r="AC214" i="22"/>
  <c r="AC313" i="22"/>
  <c r="AC344" i="22"/>
  <c r="AC240" i="22"/>
  <c r="AC276" i="22"/>
  <c r="AC265" i="22"/>
  <c r="AC149" i="22"/>
  <c r="AC295" i="22"/>
  <c r="AC252" i="22"/>
  <c r="AC259" i="22"/>
  <c r="AC144" i="22"/>
  <c r="AC234" i="22"/>
  <c r="AC154" i="22"/>
  <c r="AC302" i="22"/>
  <c r="AC262" i="22"/>
  <c r="AC182" i="22"/>
  <c r="AC310" i="22"/>
  <c r="AC148" i="22"/>
  <c r="AC147" i="22"/>
  <c r="AC348" i="22"/>
  <c r="AC342" i="22"/>
  <c r="AC383" i="20"/>
  <c r="J79" i="15"/>
  <c r="J105" i="15"/>
  <c r="AC382" i="20"/>
  <c r="AC381" i="20"/>
  <c r="H269" i="16"/>
  <c r="I269" i="16" s="1"/>
  <c r="AA52" i="15"/>
  <c r="Z52" i="15" s="1"/>
  <c r="Y52" i="15" s="1"/>
  <c r="H52" i="15"/>
  <c r="J52" i="15" s="1"/>
  <c r="J137" i="15"/>
  <c r="H379" i="15"/>
  <c r="I379" i="15" s="1"/>
  <c r="H16" i="16"/>
  <c r="J16" i="16" s="1"/>
  <c r="H368" i="16"/>
  <c r="I368" i="16" s="1"/>
  <c r="AA379" i="15"/>
  <c r="Z379" i="15" s="1"/>
  <c r="Y379" i="15" s="1"/>
  <c r="V95" i="16"/>
  <c r="F95" i="16" s="1"/>
  <c r="D49" i="7"/>
  <c r="V180" i="16"/>
  <c r="F180" i="16" s="1"/>
  <c r="G180" i="16" s="1"/>
  <c r="BY180" i="6" s="1"/>
  <c r="AC188" i="22"/>
  <c r="AC346" i="22"/>
  <c r="AC250" i="22"/>
  <c r="AC284" i="22"/>
  <c r="AC366" i="22"/>
  <c r="AC304" i="22"/>
  <c r="AC183" i="22"/>
  <c r="AC358" i="22"/>
  <c r="AC160" i="22"/>
  <c r="AC152" i="22"/>
  <c r="AC161" i="22"/>
  <c r="AC278" i="22"/>
  <c r="AC281" i="22"/>
  <c r="AC232" i="22"/>
  <c r="AC180" i="22"/>
  <c r="AC165" i="22"/>
  <c r="AC215" i="22"/>
  <c r="AC279" i="22"/>
  <c r="AC312" i="22"/>
  <c r="AC141" i="22"/>
  <c r="AC251" i="22"/>
  <c r="AC363" i="22"/>
  <c r="AC145" i="22"/>
  <c r="AC268" i="22"/>
  <c r="AC135" i="22"/>
  <c r="AC189" i="22"/>
  <c r="AC190" i="22"/>
  <c r="AC298" i="22"/>
  <c r="AC247" i="22"/>
  <c r="AC211" i="22"/>
  <c r="AC235" i="22"/>
  <c r="AC213" i="22"/>
  <c r="AC280" i="22"/>
  <c r="AC248" i="22"/>
  <c r="AC153" i="22"/>
  <c r="V130" i="16"/>
  <c r="F130" i="16" s="1"/>
  <c r="G130" i="16" s="1"/>
  <c r="BY130" i="6" s="1"/>
  <c r="H242" i="16"/>
  <c r="G242" i="16"/>
  <c r="BY242" i="6" s="1"/>
  <c r="H375" i="16"/>
  <c r="G375" i="16"/>
  <c r="BY375" i="6" s="1"/>
  <c r="G338" i="16"/>
  <c r="BY338" i="6" s="1"/>
  <c r="H338" i="16"/>
  <c r="G311" i="16"/>
  <c r="BY311" i="6" s="1"/>
  <c r="H311" i="16"/>
  <c r="G59" i="16"/>
  <c r="BY59" i="6" s="1"/>
  <c r="H59" i="16"/>
  <c r="H308" i="16"/>
  <c r="G308" i="16"/>
  <c r="BY308" i="6" s="1"/>
  <c r="G164" i="16"/>
  <c r="BY164" i="6" s="1"/>
  <c r="H164" i="16"/>
  <c r="H226" i="16"/>
  <c r="G226" i="16"/>
  <c r="BY226" i="6" s="1"/>
  <c r="AC352" i="22"/>
  <c r="AC229" i="22"/>
  <c r="AC322" i="22"/>
  <c r="AC168" i="22"/>
  <c r="AC173" i="22"/>
  <c r="AC197" i="22"/>
  <c r="AC350" i="22"/>
  <c r="AC291" i="22"/>
  <c r="AC328" i="22"/>
  <c r="AC249" i="22"/>
  <c r="AC332" i="22"/>
  <c r="AC258" i="22"/>
  <c r="AC337" i="22"/>
  <c r="AC289" i="22"/>
  <c r="AC193" i="22"/>
  <c r="AC224" i="22"/>
  <c r="AC195" i="22"/>
  <c r="AC301" i="22"/>
  <c r="AC206" i="22"/>
  <c r="AC331" i="22"/>
  <c r="AC177" i="22"/>
  <c r="AC334" i="22"/>
  <c r="AC158" i="22"/>
  <c r="AC253" i="22"/>
  <c r="AC261" i="22"/>
  <c r="AC219" i="22"/>
  <c r="AC223" i="22"/>
  <c r="AC283" i="22"/>
  <c r="AC257" i="22"/>
  <c r="AC208" i="22"/>
  <c r="AC340" i="22"/>
  <c r="AC359" i="22"/>
  <c r="AC233" i="22"/>
  <c r="J362" i="15"/>
  <c r="I362" i="15"/>
  <c r="H168" i="16"/>
  <c r="I236" i="15"/>
  <c r="J236" i="15"/>
  <c r="I214" i="15"/>
  <c r="J214" i="15"/>
  <c r="J378" i="15"/>
  <c r="I378" i="15"/>
  <c r="I152" i="15"/>
  <c r="J152" i="15"/>
  <c r="J34" i="15"/>
  <c r="I34" i="15"/>
  <c r="J149" i="15"/>
  <c r="I149" i="15"/>
  <c r="I271" i="15"/>
  <c r="J271" i="15"/>
  <c r="I282" i="15"/>
  <c r="J282" i="15"/>
  <c r="I98" i="15"/>
  <c r="J98" i="15"/>
  <c r="I39" i="15"/>
  <c r="J39" i="15"/>
  <c r="J30" i="15"/>
  <c r="I30" i="15"/>
  <c r="I24" i="15"/>
  <c r="J24" i="15"/>
  <c r="I20" i="15"/>
  <c r="J20" i="15"/>
  <c r="S23" i="16"/>
  <c r="R23" i="16" s="1"/>
  <c r="P23" i="16" s="1"/>
  <c r="V23" i="16" s="1"/>
  <c r="F23" i="16" s="1"/>
  <c r="S38" i="16"/>
  <c r="R38" i="16" s="1"/>
  <c r="P38" i="16" s="1"/>
  <c r="V38" i="16" s="1"/>
  <c r="F38" i="16" s="1"/>
  <c r="S233" i="16"/>
  <c r="R233" i="16" s="1"/>
  <c r="P233" i="16" s="1"/>
  <c r="V233" i="16" s="1"/>
  <c r="F233" i="16" s="1"/>
  <c r="S118" i="16"/>
  <c r="R118" i="16" s="1"/>
  <c r="P118" i="16" s="1"/>
  <c r="V118" i="16" s="1"/>
  <c r="F118" i="16" s="1"/>
  <c r="S319" i="16"/>
  <c r="R319" i="16" s="1"/>
  <c r="P319" i="16" s="1"/>
  <c r="V319" i="16" s="1"/>
  <c r="F319" i="16" s="1"/>
  <c r="S351" i="16"/>
  <c r="R351" i="16" s="1"/>
  <c r="P351" i="16" s="1"/>
  <c r="V351" i="16" s="1"/>
  <c r="F351" i="16" s="1"/>
  <c r="S97" i="16"/>
  <c r="R97" i="16" s="1"/>
  <c r="P97" i="16" s="1"/>
  <c r="V97" i="16" s="1"/>
  <c r="F97" i="16" s="1"/>
  <c r="S296" i="16"/>
  <c r="R296" i="16" s="1"/>
  <c r="P296" i="16" s="1"/>
  <c r="V296" i="16" s="1"/>
  <c r="F296" i="16" s="1"/>
  <c r="S248" i="16"/>
  <c r="R248" i="16" s="1"/>
  <c r="P248" i="16" s="1"/>
  <c r="V248" i="16" s="1"/>
  <c r="F248" i="16" s="1"/>
  <c r="S69" i="16"/>
  <c r="R69" i="16" s="1"/>
  <c r="P69" i="16" s="1"/>
  <c r="V69" i="16" s="1"/>
  <c r="F69" i="16" s="1"/>
  <c r="S107" i="16"/>
  <c r="R107" i="16" s="1"/>
  <c r="P107" i="16" s="1"/>
  <c r="V107" i="16" s="1"/>
  <c r="F107" i="16" s="1"/>
  <c r="S309" i="16"/>
  <c r="R309" i="16" s="1"/>
  <c r="P309" i="16" s="1"/>
  <c r="V309" i="16" s="1"/>
  <c r="F309" i="16" s="1"/>
  <c r="S211" i="16"/>
  <c r="R211" i="16" s="1"/>
  <c r="P211" i="16" s="1"/>
  <c r="V211" i="16" s="1"/>
  <c r="F211" i="16" s="1"/>
  <c r="S117" i="16"/>
  <c r="R117" i="16" s="1"/>
  <c r="P117" i="16" s="1"/>
  <c r="V117" i="16" s="1"/>
  <c r="F117" i="16" s="1"/>
  <c r="S335" i="16"/>
  <c r="R335" i="16" s="1"/>
  <c r="P335" i="16" s="1"/>
  <c r="V335" i="16" s="1"/>
  <c r="F335" i="16" s="1"/>
  <c r="S17" i="16"/>
  <c r="R17" i="16" s="1"/>
  <c r="P17" i="16" s="1"/>
  <c r="V17" i="16" s="1"/>
  <c r="F17" i="16" s="1"/>
  <c r="S251" i="16"/>
  <c r="R251" i="16" s="1"/>
  <c r="P251" i="16" s="1"/>
  <c r="V251" i="16" s="1"/>
  <c r="F251" i="16" s="1"/>
  <c r="G146" i="16"/>
  <c r="BY146" i="6" s="1"/>
  <c r="S30" i="16"/>
  <c r="R30" i="16" s="1"/>
  <c r="P30" i="16" s="1"/>
  <c r="V30" i="16" s="1"/>
  <c r="F30" i="16" s="1"/>
  <c r="S70" i="16"/>
  <c r="R70" i="16" s="1"/>
  <c r="P70" i="16" s="1"/>
  <c r="V70" i="16" s="1"/>
  <c r="F70" i="16" s="1"/>
  <c r="S41" i="16"/>
  <c r="R41" i="16" s="1"/>
  <c r="P41" i="16" s="1"/>
  <c r="V41" i="16" s="1"/>
  <c r="F41" i="16" s="1"/>
  <c r="S22" i="16"/>
  <c r="R22" i="16" s="1"/>
  <c r="P22" i="16" s="1"/>
  <c r="V22" i="16" s="1"/>
  <c r="F22" i="16" s="1"/>
  <c r="S34" i="16"/>
  <c r="R34" i="16" s="1"/>
  <c r="P34" i="16" s="1"/>
  <c r="V34" i="16" s="1"/>
  <c r="F34" i="16" s="1"/>
  <c r="S183" i="16"/>
  <c r="R183" i="16" s="1"/>
  <c r="P183" i="16" s="1"/>
  <c r="V183" i="16" s="1"/>
  <c r="F183" i="16" s="1"/>
  <c r="S304" i="16"/>
  <c r="R304" i="16" s="1"/>
  <c r="P304" i="16" s="1"/>
  <c r="V304" i="16" s="1"/>
  <c r="F304" i="16" s="1"/>
  <c r="S75" i="16"/>
  <c r="R75" i="16" s="1"/>
  <c r="P75" i="16" s="1"/>
  <c r="V75" i="16" s="1"/>
  <c r="S185" i="16"/>
  <c r="R185" i="16" s="1"/>
  <c r="P185" i="16" s="1"/>
  <c r="V185" i="16" s="1"/>
  <c r="F185" i="16" s="1"/>
  <c r="S142" i="16"/>
  <c r="R142" i="16" s="1"/>
  <c r="P142" i="16" s="1"/>
  <c r="V142" i="16" s="1"/>
  <c r="F142" i="16" s="1"/>
  <c r="G142" i="16" s="1"/>
  <c r="BY142" i="6" s="1"/>
  <c r="S321" i="16"/>
  <c r="R321" i="16" s="1"/>
  <c r="P321" i="16" s="1"/>
  <c r="V321" i="16" s="1"/>
  <c r="F321" i="16" s="1"/>
  <c r="S341" i="16"/>
  <c r="R341" i="16" s="1"/>
  <c r="P341" i="16" s="1"/>
  <c r="V341" i="16" s="1"/>
  <c r="F341" i="16" s="1"/>
  <c r="G258" i="16"/>
  <c r="BY258" i="6" s="1"/>
  <c r="S295" i="16"/>
  <c r="R295" i="16" s="1"/>
  <c r="P295" i="16" s="1"/>
  <c r="V295" i="16" s="1"/>
  <c r="F295" i="16" s="1"/>
  <c r="S186" i="16"/>
  <c r="R186" i="16" s="1"/>
  <c r="P186" i="16" s="1"/>
  <c r="V186" i="16" s="1"/>
  <c r="F186" i="16" s="1"/>
  <c r="S289" i="16"/>
  <c r="R289" i="16" s="1"/>
  <c r="P289" i="16" s="1"/>
  <c r="V289" i="16" s="1"/>
  <c r="S72" i="16"/>
  <c r="R72" i="16" s="1"/>
  <c r="P72" i="16" s="1"/>
  <c r="V72" i="16" s="1"/>
  <c r="F72" i="16" s="1"/>
  <c r="S334" i="16"/>
  <c r="R334" i="16" s="1"/>
  <c r="P334" i="16" s="1"/>
  <c r="V334" i="16" s="1"/>
  <c r="F334" i="16" s="1"/>
  <c r="S322" i="16"/>
  <c r="R322" i="16" s="1"/>
  <c r="P322" i="16" s="1"/>
  <c r="V322" i="16" s="1"/>
  <c r="F322" i="16" s="1"/>
  <c r="S276" i="16"/>
  <c r="R276" i="16" s="1"/>
  <c r="P276" i="16" s="1"/>
  <c r="V276" i="16" s="1"/>
  <c r="F276" i="16" s="1"/>
  <c r="S133" i="16"/>
  <c r="R133" i="16" s="1"/>
  <c r="P133" i="16" s="1"/>
  <c r="V133" i="16" s="1"/>
  <c r="F133" i="16" s="1"/>
  <c r="S303" i="16"/>
  <c r="R303" i="16" s="1"/>
  <c r="P303" i="16" s="1"/>
  <c r="V303" i="16" s="1"/>
  <c r="F303" i="16" s="1"/>
  <c r="S326" i="16"/>
  <c r="R326" i="16" s="1"/>
  <c r="P326" i="16" s="1"/>
  <c r="V326" i="16" s="1"/>
  <c r="F326" i="16" s="1"/>
  <c r="S190" i="16"/>
  <c r="R190" i="16" s="1"/>
  <c r="P190" i="16" s="1"/>
  <c r="V190" i="16" s="1"/>
  <c r="F190" i="16" s="1"/>
  <c r="S278" i="16"/>
  <c r="R278" i="16" s="1"/>
  <c r="P278" i="16" s="1"/>
  <c r="V278" i="16" s="1"/>
  <c r="F278" i="16" s="1"/>
  <c r="S121" i="16"/>
  <c r="R121" i="16" s="1"/>
  <c r="P121" i="16" s="1"/>
  <c r="V121" i="16" s="1"/>
  <c r="F121" i="16" s="1"/>
  <c r="S274" i="16"/>
  <c r="R274" i="16" s="1"/>
  <c r="P274" i="16" s="1"/>
  <c r="V274" i="16" s="1"/>
  <c r="F274" i="16" s="1"/>
  <c r="S82" i="16"/>
  <c r="R82" i="16" s="1"/>
  <c r="P82" i="16" s="1"/>
  <c r="V82" i="16" s="1"/>
  <c r="F82" i="16" s="1"/>
  <c r="S89" i="16"/>
  <c r="R89" i="16" s="1"/>
  <c r="P89" i="16" s="1"/>
  <c r="V89" i="16" s="1"/>
  <c r="F89" i="16" s="1"/>
  <c r="S100" i="16"/>
  <c r="R100" i="16" s="1"/>
  <c r="P100" i="16" s="1"/>
  <c r="V100" i="16" s="1"/>
  <c r="F100" i="16" s="1"/>
  <c r="S243" i="16"/>
  <c r="R243" i="16" s="1"/>
  <c r="P243" i="16" s="1"/>
  <c r="V243" i="16" s="1"/>
  <c r="F243" i="16" s="1"/>
  <c r="S136" i="16"/>
  <c r="R136" i="16" s="1"/>
  <c r="P136" i="16" s="1"/>
  <c r="V136" i="16" s="1"/>
  <c r="S24" i="16"/>
  <c r="R24" i="16" s="1"/>
  <c r="P24" i="16" s="1"/>
  <c r="V24" i="16" s="1"/>
  <c r="F24" i="16" s="1"/>
  <c r="S250" i="16"/>
  <c r="R250" i="16" s="1"/>
  <c r="P250" i="16" s="1"/>
  <c r="V250" i="16" s="1"/>
  <c r="F250" i="16" s="1"/>
  <c r="U381" i="16"/>
  <c r="S15" i="16"/>
  <c r="J210" i="15"/>
  <c r="I210" i="15"/>
  <c r="I358" i="15"/>
  <c r="J358" i="15"/>
  <c r="AA373" i="15"/>
  <c r="Z373" i="15" s="1"/>
  <c r="Y373" i="15" s="1"/>
  <c r="H373" i="15"/>
  <c r="G373" i="15"/>
  <c r="BX373" i="6" s="1"/>
  <c r="G75" i="15"/>
  <c r="BX75" i="6" s="1"/>
  <c r="H75" i="15"/>
  <c r="AA75" i="15"/>
  <c r="Z75" i="15" s="1"/>
  <c r="Y75" i="15" s="1"/>
  <c r="S271" i="16"/>
  <c r="R271" i="16" s="1"/>
  <c r="P271" i="16" s="1"/>
  <c r="V271" i="16" s="1"/>
  <c r="F271" i="16" s="1"/>
  <c r="S355" i="16"/>
  <c r="R355" i="16" s="1"/>
  <c r="P355" i="16" s="1"/>
  <c r="V355" i="16" s="1"/>
  <c r="F355" i="16" s="1"/>
  <c r="S179" i="16"/>
  <c r="R179" i="16" s="1"/>
  <c r="P179" i="16" s="1"/>
  <c r="V179" i="16" s="1"/>
  <c r="F179" i="16" s="1"/>
  <c r="S245" i="16"/>
  <c r="R245" i="16" s="1"/>
  <c r="P245" i="16" s="1"/>
  <c r="V245" i="16" s="1"/>
  <c r="F245" i="16" s="1"/>
  <c r="S40" i="16"/>
  <c r="R40" i="16" s="1"/>
  <c r="P40" i="16" s="1"/>
  <c r="V40" i="16" s="1"/>
  <c r="F40" i="16" s="1"/>
  <c r="S87" i="16"/>
  <c r="R87" i="16" s="1"/>
  <c r="P87" i="16" s="1"/>
  <c r="V87" i="16" s="1"/>
  <c r="F87" i="16" s="1"/>
  <c r="S92" i="16"/>
  <c r="R92" i="16" s="1"/>
  <c r="P92" i="16" s="1"/>
  <c r="V92" i="16" s="1"/>
  <c r="F92" i="16" s="1"/>
  <c r="S171" i="16"/>
  <c r="R171" i="16" s="1"/>
  <c r="P171" i="16" s="1"/>
  <c r="V171" i="16" s="1"/>
  <c r="F171" i="16" s="1"/>
  <c r="S165" i="16"/>
  <c r="R165" i="16" s="1"/>
  <c r="P165" i="16" s="1"/>
  <c r="V165" i="16" s="1"/>
  <c r="F165" i="16" s="1"/>
  <c r="S187" i="16"/>
  <c r="R187" i="16" s="1"/>
  <c r="P187" i="16" s="1"/>
  <c r="V187" i="16" s="1"/>
  <c r="F187" i="16" s="1"/>
  <c r="S367" i="16"/>
  <c r="R367" i="16" s="1"/>
  <c r="P367" i="16" s="1"/>
  <c r="V367" i="16" s="1"/>
  <c r="F367" i="16" s="1"/>
  <c r="S134" i="16"/>
  <c r="R134" i="16" s="1"/>
  <c r="P134" i="16" s="1"/>
  <c r="V134" i="16" s="1"/>
  <c r="F134" i="16" s="1"/>
  <c r="S297" i="16"/>
  <c r="R297" i="16" s="1"/>
  <c r="P297" i="16" s="1"/>
  <c r="V297" i="16" s="1"/>
  <c r="F297" i="16" s="1"/>
  <c r="S86" i="16"/>
  <c r="R86" i="16" s="1"/>
  <c r="P86" i="16" s="1"/>
  <c r="V86" i="16" s="1"/>
  <c r="F86" i="16" s="1"/>
  <c r="S128" i="16"/>
  <c r="R128" i="16" s="1"/>
  <c r="P128" i="16" s="1"/>
  <c r="V128" i="16" s="1"/>
  <c r="F128" i="16" s="1"/>
  <c r="S336" i="16"/>
  <c r="R336" i="16" s="1"/>
  <c r="P336" i="16" s="1"/>
  <c r="V336" i="16" s="1"/>
  <c r="F336" i="16" s="1"/>
  <c r="S144" i="16"/>
  <c r="R144" i="16" s="1"/>
  <c r="P144" i="16" s="1"/>
  <c r="V144" i="16" s="1"/>
  <c r="F144" i="16" s="1"/>
  <c r="S132" i="16"/>
  <c r="R132" i="16" s="1"/>
  <c r="P132" i="16" s="1"/>
  <c r="V132" i="16" s="1"/>
  <c r="F132" i="16" s="1"/>
  <c r="S21" i="16"/>
  <c r="R21" i="16" s="1"/>
  <c r="P21" i="16" s="1"/>
  <c r="V21" i="16" s="1"/>
  <c r="F21" i="16" s="1"/>
  <c r="S293" i="16"/>
  <c r="R293" i="16" s="1"/>
  <c r="P293" i="16" s="1"/>
  <c r="V293" i="16" s="1"/>
  <c r="F293" i="16" s="1"/>
  <c r="S235" i="16"/>
  <c r="R235" i="16" s="1"/>
  <c r="P235" i="16" s="1"/>
  <c r="V235" i="16" s="1"/>
  <c r="F235" i="16" s="1"/>
  <c r="S188" i="16"/>
  <c r="R188" i="16" s="1"/>
  <c r="P188" i="16" s="1"/>
  <c r="V188" i="16" s="1"/>
  <c r="F188" i="16" s="1"/>
  <c r="S145" i="16"/>
  <c r="R145" i="16" s="1"/>
  <c r="P145" i="16" s="1"/>
  <c r="V145" i="16" s="1"/>
  <c r="F145" i="16" s="1"/>
  <c r="S217" i="16"/>
  <c r="R217" i="16" s="1"/>
  <c r="P217" i="16" s="1"/>
  <c r="V217" i="16" s="1"/>
  <c r="F217" i="16" s="1"/>
  <c r="S151" i="16"/>
  <c r="R151" i="16" s="1"/>
  <c r="P151" i="16" s="1"/>
  <c r="V151" i="16" s="1"/>
  <c r="F151" i="16" s="1"/>
  <c r="S294" i="16"/>
  <c r="R294" i="16" s="1"/>
  <c r="P294" i="16" s="1"/>
  <c r="V294" i="16" s="1"/>
  <c r="F294" i="16" s="1"/>
  <c r="S374" i="16"/>
  <c r="R374" i="16" s="1"/>
  <c r="P374" i="16" s="1"/>
  <c r="V374" i="16" s="1"/>
  <c r="F374" i="16" s="1"/>
  <c r="S218" i="16"/>
  <c r="R218" i="16" s="1"/>
  <c r="P218" i="16" s="1"/>
  <c r="V218" i="16" s="1"/>
  <c r="F218" i="16" s="1"/>
  <c r="S74" i="16"/>
  <c r="R74" i="16" s="1"/>
  <c r="P74" i="16" s="1"/>
  <c r="V74" i="16" s="1"/>
  <c r="F74" i="16" s="1"/>
  <c r="S301" i="16"/>
  <c r="R301" i="16" s="1"/>
  <c r="P301" i="16" s="1"/>
  <c r="V301" i="16" s="1"/>
  <c r="F301" i="16" s="1"/>
  <c r="S212" i="16"/>
  <c r="R212" i="16" s="1"/>
  <c r="P212" i="16" s="1"/>
  <c r="V212" i="16" s="1"/>
  <c r="F212" i="16" s="1"/>
  <c r="S204" i="16"/>
  <c r="R204" i="16" s="1"/>
  <c r="P204" i="16" s="1"/>
  <c r="V204" i="16" s="1"/>
  <c r="F204" i="16" s="1"/>
  <c r="S35" i="16"/>
  <c r="R35" i="16" s="1"/>
  <c r="P35" i="16" s="1"/>
  <c r="V35" i="16" s="1"/>
  <c r="F35" i="16" s="1"/>
  <c r="S254" i="16"/>
  <c r="R254" i="16" s="1"/>
  <c r="P254" i="16" s="1"/>
  <c r="V254" i="16" s="1"/>
  <c r="F254" i="16" s="1"/>
  <c r="S342" i="16"/>
  <c r="R342" i="16" s="1"/>
  <c r="P342" i="16" s="1"/>
  <c r="V342" i="16" s="1"/>
  <c r="F342" i="16" s="1"/>
  <c r="S43" i="16"/>
  <c r="R43" i="16" s="1"/>
  <c r="P43" i="16" s="1"/>
  <c r="V43" i="16" s="1"/>
  <c r="F43" i="16" s="1"/>
  <c r="S114" i="16"/>
  <c r="R114" i="16" s="1"/>
  <c r="P114" i="16" s="1"/>
  <c r="V114" i="16" s="1"/>
  <c r="F114" i="16" s="1"/>
  <c r="S153" i="16"/>
  <c r="R153" i="16" s="1"/>
  <c r="P153" i="16" s="1"/>
  <c r="V153" i="16" s="1"/>
  <c r="F153" i="16" s="1"/>
  <c r="S286" i="16"/>
  <c r="R286" i="16" s="1"/>
  <c r="P286" i="16" s="1"/>
  <c r="V286" i="16" s="1"/>
  <c r="F286" i="16" s="1"/>
  <c r="S255" i="16"/>
  <c r="R255" i="16" s="1"/>
  <c r="P255" i="16" s="1"/>
  <c r="V255" i="16" s="1"/>
  <c r="F255" i="16" s="1"/>
  <c r="S268" i="16"/>
  <c r="R268" i="16" s="1"/>
  <c r="P268" i="16" s="1"/>
  <c r="S287" i="16"/>
  <c r="R287" i="16" s="1"/>
  <c r="P287" i="16" s="1"/>
  <c r="V287" i="16" s="1"/>
  <c r="F287" i="16" s="1"/>
  <c r="S55" i="16"/>
  <c r="R55" i="16" s="1"/>
  <c r="P55" i="16" s="1"/>
  <c r="V55" i="16" s="1"/>
  <c r="F55" i="16" s="1"/>
  <c r="S260" i="16"/>
  <c r="R260" i="16" s="1"/>
  <c r="P260" i="16" s="1"/>
  <c r="V260" i="16" s="1"/>
  <c r="S81" i="16"/>
  <c r="R81" i="16" s="1"/>
  <c r="P81" i="16" s="1"/>
  <c r="V81" i="16" s="1"/>
  <c r="F81" i="16" s="1"/>
  <c r="S256" i="16"/>
  <c r="R256" i="16" s="1"/>
  <c r="P256" i="16" s="1"/>
  <c r="V256" i="16" s="1"/>
  <c r="F256" i="16" s="1"/>
  <c r="S127" i="16"/>
  <c r="R127" i="16" s="1"/>
  <c r="P127" i="16" s="1"/>
  <c r="V127" i="16" s="1"/>
  <c r="F127" i="16" s="1"/>
  <c r="S49" i="16"/>
  <c r="R49" i="16" s="1"/>
  <c r="P49" i="16" s="1"/>
  <c r="V49" i="16" s="1"/>
  <c r="F49" i="16" s="1"/>
  <c r="S234" i="16"/>
  <c r="R234" i="16" s="1"/>
  <c r="P234" i="16" s="1"/>
  <c r="V234" i="16" s="1"/>
  <c r="F234" i="16" s="1"/>
  <c r="S378" i="16"/>
  <c r="R378" i="16" s="1"/>
  <c r="P378" i="16" s="1"/>
  <c r="V378" i="16" s="1"/>
  <c r="F378" i="16" s="1"/>
  <c r="G378" i="16" s="1"/>
  <c r="BY378" i="6" s="1"/>
  <c r="S161" i="16"/>
  <c r="R161" i="16" s="1"/>
  <c r="P161" i="16" s="1"/>
  <c r="V161" i="16" s="1"/>
  <c r="F161" i="16" s="1"/>
  <c r="S354" i="16"/>
  <c r="R354" i="16" s="1"/>
  <c r="P354" i="16" s="1"/>
  <c r="V354" i="16" s="1"/>
  <c r="F354" i="16" s="1"/>
  <c r="S196" i="16"/>
  <c r="R196" i="16" s="1"/>
  <c r="P196" i="16" s="1"/>
  <c r="V196" i="16" s="1"/>
  <c r="F196" i="16" s="1"/>
  <c r="S48" i="16"/>
  <c r="R48" i="16" s="1"/>
  <c r="P48" i="16" s="1"/>
  <c r="V48" i="16" s="1"/>
  <c r="F48" i="16" s="1"/>
  <c r="G347" i="16"/>
  <c r="BY347" i="6" s="1"/>
  <c r="H347" i="16"/>
  <c r="S137" i="16"/>
  <c r="R137" i="16" s="1"/>
  <c r="P137" i="16" s="1"/>
  <c r="V137" i="16" s="1"/>
  <c r="F137" i="16" s="1"/>
  <c r="S125" i="16"/>
  <c r="R125" i="16" s="1"/>
  <c r="P125" i="16" s="1"/>
  <c r="V125" i="16" s="1"/>
  <c r="F125" i="16" s="1"/>
  <c r="S329" i="16"/>
  <c r="R329" i="16" s="1"/>
  <c r="P329" i="16" s="1"/>
  <c r="V329" i="16" s="1"/>
  <c r="F329" i="16" s="1"/>
  <c r="S169" i="16"/>
  <c r="R169" i="16" s="1"/>
  <c r="P169" i="16" s="1"/>
  <c r="V169" i="16" s="1"/>
  <c r="F169" i="16" s="1"/>
  <c r="S210" i="16"/>
  <c r="R210" i="16" s="1"/>
  <c r="P210" i="16" s="1"/>
  <c r="S124" i="16"/>
  <c r="R124" i="16" s="1"/>
  <c r="P124" i="16" s="1"/>
  <c r="V124" i="16" s="1"/>
  <c r="F124" i="16" s="1"/>
  <c r="S357" i="16"/>
  <c r="R357" i="16" s="1"/>
  <c r="P357" i="16" s="1"/>
  <c r="V357" i="16" s="1"/>
  <c r="F357" i="16" s="1"/>
  <c r="S284" i="16"/>
  <c r="R284" i="16" s="1"/>
  <c r="P284" i="16" s="1"/>
  <c r="V284" i="16" s="1"/>
  <c r="F284" i="16" s="1"/>
  <c r="S84" i="16"/>
  <c r="R84" i="16" s="1"/>
  <c r="P84" i="16" s="1"/>
  <c r="V84" i="16" s="1"/>
  <c r="F84" i="16" s="1"/>
  <c r="S120" i="16"/>
  <c r="R120" i="16" s="1"/>
  <c r="P120" i="16" s="1"/>
  <c r="V120" i="16" s="1"/>
  <c r="F120" i="16" s="1"/>
  <c r="S232" i="16"/>
  <c r="R232" i="16" s="1"/>
  <c r="P232" i="16" s="1"/>
  <c r="V232" i="16" s="1"/>
  <c r="F232" i="16" s="1"/>
  <c r="S371" i="16"/>
  <c r="R371" i="16" s="1"/>
  <c r="P371" i="16" s="1"/>
  <c r="V371" i="16" s="1"/>
  <c r="F371" i="16" s="1"/>
  <c r="S162" i="16"/>
  <c r="R162" i="16" s="1"/>
  <c r="P162" i="16" s="1"/>
  <c r="V162" i="16" s="1"/>
  <c r="F162" i="16" s="1"/>
  <c r="S219" i="16"/>
  <c r="R219" i="16" s="1"/>
  <c r="P219" i="16" s="1"/>
  <c r="V219" i="16" s="1"/>
  <c r="F219" i="16" s="1"/>
  <c r="S178" i="16"/>
  <c r="R178" i="16" s="1"/>
  <c r="P178" i="16" s="1"/>
  <c r="V178" i="16" s="1"/>
  <c r="F178" i="16" s="1"/>
  <c r="S19" i="16"/>
  <c r="R19" i="16" s="1"/>
  <c r="P19" i="16" s="1"/>
  <c r="V19" i="16" s="1"/>
  <c r="F19" i="16" s="1"/>
  <c r="S113" i="16"/>
  <c r="R113" i="16" s="1"/>
  <c r="P113" i="16" s="1"/>
  <c r="V113" i="16" s="1"/>
  <c r="F113" i="16" s="1"/>
  <c r="S156" i="16"/>
  <c r="R156" i="16" s="1"/>
  <c r="P156" i="16" s="1"/>
  <c r="V156" i="16" s="1"/>
  <c r="F156" i="16" s="1"/>
  <c r="S83" i="16"/>
  <c r="R83" i="16" s="1"/>
  <c r="P83" i="16" s="1"/>
  <c r="V83" i="16" s="1"/>
  <c r="F83" i="16" s="1"/>
  <c r="S112" i="16"/>
  <c r="R112" i="16" s="1"/>
  <c r="P112" i="16" s="1"/>
  <c r="V112" i="16" s="1"/>
  <c r="F112" i="16" s="1"/>
  <c r="S119" i="16"/>
  <c r="R119" i="16" s="1"/>
  <c r="P119" i="16" s="1"/>
  <c r="S141" i="16"/>
  <c r="R141" i="16" s="1"/>
  <c r="P141" i="16" s="1"/>
  <c r="V141" i="16" s="1"/>
  <c r="F141" i="16" s="1"/>
  <c r="S231" i="16"/>
  <c r="R231" i="16" s="1"/>
  <c r="P231" i="16" s="1"/>
  <c r="V231" i="16" s="1"/>
  <c r="F231" i="16" s="1"/>
  <c r="S214" i="16"/>
  <c r="R214" i="16" s="1"/>
  <c r="P214" i="16" s="1"/>
  <c r="V214" i="16" s="1"/>
  <c r="F214" i="16" s="1"/>
  <c r="S126" i="16"/>
  <c r="R126" i="16" s="1"/>
  <c r="P126" i="16" s="1"/>
  <c r="V126" i="16" s="1"/>
  <c r="F126" i="16" s="1"/>
  <c r="S262" i="16"/>
  <c r="R262" i="16" s="1"/>
  <c r="P262" i="16" s="1"/>
  <c r="V262" i="16" s="1"/>
  <c r="F262" i="16" s="1"/>
  <c r="S175" i="16"/>
  <c r="R175" i="16" s="1"/>
  <c r="P175" i="16" s="1"/>
  <c r="V175" i="16" s="1"/>
  <c r="F175" i="16" s="1"/>
  <c r="S273" i="16"/>
  <c r="R273" i="16" s="1"/>
  <c r="P273" i="16" s="1"/>
  <c r="V273" i="16" s="1"/>
  <c r="F273" i="16" s="1"/>
  <c r="S346" i="16"/>
  <c r="R346" i="16" s="1"/>
  <c r="P346" i="16" s="1"/>
  <c r="V346" i="16" s="1"/>
  <c r="F346" i="16" s="1"/>
  <c r="S202" i="16"/>
  <c r="R202" i="16" s="1"/>
  <c r="P202" i="16" s="1"/>
  <c r="V202" i="16" s="1"/>
  <c r="F202" i="16" s="1"/>
  <c r="S37" i="16"/>
  <c r="R37" i="16" s="1"/>
  <c r="P37" i="16" s="1"/>
  <c r="V37" i="16" s="1"/>
  <c r="F37" i="16" s="1"/>
  <c r="S27" i="16"/>
  <c r="R27" i="16" s="1"/>
  <c r="P27" i="16" s="1"/>
  <c r="V27" i="16" s="1"/>
  <c r="F27" i="16" s="1"/>
  <c r="S85" i="16"/>
  <c r="R85" i="16" s="1"/>
  <c r="P85" i="16" s="1"/>
  <c r="V85" i="16" s="1"/>
  <c r="F85" i="16" s="1"/>
  <c r="S65" i="16"/>
  <c r="R65" i="16" s="1"/>
  <c r="P65" i="16" s="1"/>
  <c r="V65" i="16" s="1"/>
  <c r="F65" i="16" s="1"/>
  <c r="S361" i="16"/>
  <c r="R361" i="16" s="1"/>
  <c r="P361" i="16" s="1"/>
  <c r="V361" i="16" s="1"/>
  <c r="F361" i="16" s="1"/>
  <c r="AG253" i="16"/>
  <c r="AF253" i="16" s="1"/>
  <c r="AD253" i="16" s="1"/>
  <c r="AG153" i="16"/>
  <c r="AF153" i="16" s="1"/>
  <c r="AD153" i="16" s="1"/>
  <c r="AG202" i="16"/>
  <c r="AF202" i="16" s="1"/>
  <c r="AD202" i="16" s="1"/>
  <c r="AG84" i="16"/>
  <c r="AF84" i="16" s="1"/>
  <c r="AD84" i="16" s="1"/>
  <c r="AG367" i="16"/>
  <c r="AF367" i="16" s="1"/>
  <c r="AD367" i="16" s="1"/>
  <c r="AG38" i="16"/>
  <c r="AF38" i="16" s="1"/>
  <c r="AD38" i="16" s="1"/>
  <c r="AG238" i="16"/>
  <c r="AF238" i="16" s="1"/>
  <c r="AD238" i="16" s="1"/>
  <c r="AG357" i="16"/>
  <c r="AF357" i="16" s="1"/>
  <c r="AD357" i="16" s="1"/>
  <c r="AG252" i="16"/>
  <c r="AF252" i="16" s="1"/>
  <c r="AD252" i="16" s="1"/>
  <c r="AG173" i="16"/>
  <c r="AF173" i="16" s="1"/>
  <c r="AD173" i="16" s="1"/>
  <c r="AG78" i="16"/>
  <c r="AF78" i="16" s="1"/>
  <c r="AD78" i="16" s="1"/>
  <c r="AG300" i="16"/>
  <c r="AF300" i="16" s="1"/>
  <c r="AD300" i="16" s="1"/>
  <c r="AG184" i="16"/>
  <c r="AF184" i="16" s="1"/>
  <c r="AD184" i="16" s="1"/>
  <c r="AG123" i="16"/>
  <c r="AF123" i="16" s="1"/>
  <c r="AD123" i="16" s="1"/>
  <c r="AG293" i="16"/>
  <c r="AF293" i="16" s="1"/>
  <c r="AD293" i="16" s="1"/>
  <c r="AG323" i="16"/>
  <c r="AF323" i="16" s="1"/>
  <c r="AD323" i="16" s="1"/>
  <c r="AG18" i="16"/>
  <c r="AF18" i="16" s="1"/>
  <c r="AD18" i="16" s="1"/>
  <c r="AG186" i="16"/>
  <c r="AF186" i="16" s="1"/>
  <c r="AD186" i="16" s="1"/>
  <c r="AG297" i="16"/>
  <c r="AF297" i="16" s="1"/>
  <c r="AD297" i="16" s="1"/>
  <c r="AG345" i="16"/>
  <c r="AF345" i="16" s="1"/>
  <c r="AD345" i="16" s="1"/>
  <c r="AG35" i="16"/>
  <c r="AF35" i="16" s="1"/>
  <c r="AD35" i="16" s="1"/>
  <c r="AG122" i="16"/>
  <c r="AF122" i="16" s="1"/>
  <c r="AD122" i="16" s="1"/>
  <c r="AG130" i="16"/>
  <c r="AF130" i="16" s="1"/>
  <c r="AD130" i="16" s="1"/>
  <c r="AG39" i="16"/>
  <c r="AF39" i="16" s="1"/>
  <c r="AD39" i="16" s="1"/>
  <c r="AG83" i="16"/>
  <c r="AF83" i="16" s="1"/>
  <c r="AD83" i="16" s="1"/>
  <c r="AG193" i="16"/>
  <c r="AF193" i="16" s="1"/>
  <c r="AD193" i="16" s="1"/>
  <c r="AG94" i="16"/>
  <c r="AF94" i="16" s="1"/>
  <c r="AD94" i="16" s="1"/>
  <c r="AG312" i="16"/>
  <c r="AF312" i="16" s="1"/>
  <c r="AD312" i="16" s="1"/>
  <c r="AG102" i="16"/>
  <c r="AF102" i="16" s="1"/>
  <c r="AD102" i="16" s="1"/>
  <c r="AG226" i="16"/>
  <c r="AF226" i="16" s="1"/>
  <c r="AD226" i="16" s="1"/>
  <c r="AA226" i="16" s="1"/>
  <c r="Z226" i="16" s="1"/>
  <c r="Y226" i="16" s="1"/>
  <c r="AG366" i="16"/>
  <c r="AF366" i="16" s="1"/>
  <c r="AD366" i="16" s="1"/>
  <c r="AG251" i="16"/>
  <c r="AF251" i="16" s="1"/>
  <c r="AD251" i="16" s="1"/>
  <c r="AG234" i="16"/>
  <c r="AF234" i="16" s="1"/>
  <c r="AD234" i="16" s="1"/>
  <c r="AG355" i="16"/>
  <c r="AF355" i="16" s="1"/>
  <c r="AD355" i="16" s="1"/>
  <c r="AG49" i="16"/>
  <c r="AF49" i="16" s="1"/>
  <c r="AD49" i="16" s="1"/>
  <c r="AG166" i="16"/>
  <c r="AF166" i="16" s="1"/>
  <c r="AD166" i="16" s="1"/>
  <c r="AG326" i="16"/>
  <c r="AF326" i="16" s="1"/>
  <c r="AD326" i="16" s="1"/>
  <c r="AG87" i="16"/>
  <c r="AF87" i="16" s="1"/>
  <c r="AD87" i="16" s="1"/>
  <c r="AG16" i="16"/>
  <c r="AF16" i="16" s="1"/>
  <c r="AD16" i="16" s="1"/>
  <c r="AA16" i="16" s="1"/>
  <c r="Z16" i="16" s="1"/>
  <c r="Y16" i="16" s="1"/>
  <c r="AG262" i="16"/>
  <c r="AF262" i="16" s="1"/>
  <c r="AD262" i="16" s="1"/>
  <c r="AG23" i="16"/>
  <c r="AF23" i="16" s="1"/>
  <c r="AD23" i="16" s="1"/>
  <c r="AG306" i="16"/>
  <c r="AF306" i="16" s="1"/>
  <c r="AD306" i="16" s="1"/>
  <c r="AA306" i="16" s="1"/>
  <c r="Z306" i="16" s="1"/>
  <c r="Y306" i="16" s="1"/>
  <c r="AG309" i="16"/>
  <c r="AF309" i="16" s="1"/>
  <c r="AD309" i="16" s="1"/>
  <c r="AG136" i="16"/>
  <c r="AF136" i="16" s="1"/>
  <c r="AD136" i="16" s="1"/>
  <c r="AG319" i="16"/>
  <c r="AF319" i="16" s="1"/>
  <c r="AD319" i="16" s="1"/>
  <c r="AG90" i="16"/>
  <c r="AF90" i="16" s="1"/>
  <c r="AD90" i="16" s="1"/>
  <c r="AA90" i="16" s="1"/>
  <c r="Z90" i="16" s="1"/>
  <c r="Y90" i="16" s="1"/>
  <c r="AG93" i="16"/>
  <c r="AF93" i="16" s="1"/>
  <c r="AD93" i="16" s="1"/>
  <c r="AG322" i="16"/>
  <c r="AF322" i="16" s="1"/>
  <c r="AD322" i="16" s="1"/>
  <c r="AG247" i="16"/>
  <c r="AF247" i="16" s="1"/>
  <c r="AD247" i="16" s="1"/>
  <c r="AG135" i="16"/>
  <c r="AF135" i="16" s="1"/>
  <c r="AD135" i="16" s="1"/>
  <c r="AG320" i="16"/>
  <c r="AF320" i="16" s="1"/>
  <c r="AD320" i="16" s="1"/>
  <c r="AG131" i="16"/>
  <c r="AF131" i="16" s="1"/>
  <c r="AD131" i="16" s="1"/>
  <c r="AG337" i="16"/>
  <c r="AF337" i="16" s="1"/>
  <c r="AD337" i="16" s="1"/>
  <c r="AG380" i="16"/>
  <c r="AF380" i="16" s="1"/>
  <c r="AD380" i="16" s="1"/>
  <c r="AG47" i="16"/>
  <c r="AF47" i="16" s="1"/>
  <c r="AD47" i="16" s="1"/>
  <c r="AG352" i="16"/>
  <c r="AF352" i="16" s="1"/>
  <c r="AD352" i="16" s="1"/>
  <c r="AG348" i="16"/>
  <c r="AF348" i="16" s="1"/>
  <c r="AD348" i="16" s="1"/>
  <c r="AG76" i="16"/>
  <c r="AF76" i="16" s="1"/>
  <c r="AD76" i="16" s="1"/>
  <c r="AG311" i="16"/>
  <c r="AF311" i="16" s="1"/>
  <c r="AD311" i="16" s="1"/>
  <c r="AA311" i="16" s="1"/>
  <c r="Z311" i="16" s="1"/>
  <c r="Y311" i="16" s="1"/>
  <c r="AG108" i="16"/>
  <c r="AF108" i="16" s="1"/>
  <c r="AD108" i="16" s="1"/>
  <c r="AG369" i="16"/>
  <c r="AF369" i="16" s="1"/>
  <c r="AD369" i="16" s="1"/>
  <c r="AG79" i="16"/>
  <c r="AF79" i="16" s="1"/>
  <c r="AD79" i="16" s="1"/>
  <c r="AG269" i="16"/>
  <c r="AF269" i="16" s="1"/>
  <c r="AD269" i="16" s="1"/>
  <c r="AA269" i="16" s="1"/>
  <c r="Z269" i="16" s="1"/>
  <c r="Y269" i="16" s="1"/>
  <c r="AG347" i="16"/>
  <c r="AF347" i="16" s="1"/>
  <c r="AD347" i="16" s="1"/>
  <c r="AA347" i="16" s="1"/>
  <c r="Z347" i="16" s="1"/>
  <c r="Y347" i="16" s="1"/>
  <c r="AG57" i="16"/>
  <c r="AF57" i="16" s="1"/>
  <c r="AD57" i="16" s="1"/>
  <c r="AG170" i="16"/>
  <c r="AF170" i="16" s="1"/>
  <c r="AD170" i="16" s="1"/>
  <c r="AG373" i="16"/>
  <c r="AF373" i="16" s="1"/>
  <c r="AD373" i="16" s="1"/>
  <c r="AG54" i="16"/>
  <c r="AF54" i="16" s="1"/>
  <c r="AD54" i="16" s="1"/>
  <c r="AG264" i="16"/>
  <c r="AF264" i="16" s="1"/>
  <c r="AD264" i="16" s="1"/>
  <c r="AG129" i="16"/>
  <c r="AF129" i="16" s="1"/>
  <c r="AD129" i="16" s="1"/>
  <c r="AG351" i="16"/>
  <c r="AF351" i="16" s="1"/>
  <c r="AD351" i="16" s="1"/>
  <c r="AG56" i="16"/>
  <c r="AF56" i="16" s="1"/>
  <c r="AD56" i="16" s="1"/>
  <c r="AG363" i="16"/>
  <c r="AF363" i="16" s="1"/>
  <c r="AD363" i="16" s="1"/>
  <c r="AG34" i="16"/>
  <c r="AF34" i="16" s="1"/>
  <c r="AD34" i="16" s="1"/>
  <c r="AG174" i="16"/>
  <c r="AF174" i="16" s="1"/>
  <c r="AD174" i="16" s="1"/>
  <c r="AG59" i="16"/>
  <c r="AF59" i="16" s="1"/>
  <c r="AD59" i="16" s="1"/>
  <c r="AA59" i="16" s="1"/>
  <c r="Z59" i="16" s="1"/>
  <c r="Y59" i="16" s="1"/>
  <c r="AG165" i="16"/>
  <c r="AF165" i="16" s="1"/>
  <c r="AD165" i="16" s="1"/>
  <c r="AG227" i="16"/>
  <c r="AF227" i="16" s="1"/>
  <c r="AD227" i="16" s="1"/>
  <c r="AG368" i="16"/>
  <c r="AF368" i="16" s="1"/>
  <c r="AD368" i="16" s="1"/>
  <c r="AA368" i="16" s="1"/>
  <c r="Z368" i="16" s="1"/>
  <c r="Y368" i="16" s="1"/>
  <c r="AG203" i="16"/>
  <c r="AF203" i="16" s="1"/>
  <c r="AD203" i="16" s="1"/>
  <c r="AG134" i="16"/>
  <c r="AF134" i="16" s="1"/>
  <c r="AD134" i="16" s="1"/>
  <c r="AG280" i="16"/>
  <c r="AF280" i="16" s="1"/>
  <c r="AD280" i="16" s="1"/>
  <c r="AG50" i="16"/>
  <c r="AF50" i="16" s="1"/>
  <c r="AD50" i="16" s="1"/>
  <c r="AG283" i="16"/>
  <c r="AF283" i="16" s="1"/>
  <c r="AD283" i="16" s="1"/>
  <c r="AG298" i="16"/>
  <c r="AF298" i="16" s="1"/>
  <c r="AD298" i="16" s="1"/>
  <c r="AG289" i="16"/>
  <c r="AF289" i="16" s="1"/>
  <c r="AD289" i="16" s="1"/>
  <c r="AG53" i="16"/>
  <c r="AF53" i="16" s="1"/>
  <c r="AD53" i="16" s="1"/>
  <c r="AG178" i="16"/>
  <c r="AF178" i="16" s="1"/>
  <c r="AD178" i="16" s="1"/>
  <c r="AG191" i="16"/>
  <c r="AF191" i="16" s="1"/>
  <c r="AD191" i="16" s="1"/>
  <c r="AG125" i="16"/>
  <c r="AF125" i="16" s="1"/>
  <c r="AD125" i="16" s="1"/>
  <c r="AG375" i="16"/>
  <c r="AF375" i="16" s="1"/>
  <c r="AD375" i="16" s="1"/>
  <c r="AA375" i="16" s="1"/>
  <c r="Z375" i="16" s="1"/>
  <c r="Y375" i="16" s="1"/>
  <c r="AG236" i="16"/>
  <c r="AF236" i="16" s="1"/>
  <c r="AD236" i="16" s="1"/>
  <c r="AG82" i="16"/>
  <c r="AF82" i="16" s="1"/>
  <c r="AD82" i="16" s="1"/>
  <c r="AG111" i="16"/>
  <c r="AF111" i="16" s="1"/>
  <c r="AD111" i="16" s="1"/>
  <c r="AG43" i="16"/>
  <c r="AF43" i="16" s="1"/>
  <c r="AD43" i="16" s="1"/>
  <c r="AG167" i="16"/>
  <c r="AF167" i="16" s="1"/>
  <c r="AD167" i="16" s="1"/>
  <c r="AG149" i="16"/>
  <c r="AF149" i="16" s="1"/>
  <c r="AD149" i="16" s="1"/>
  <c r="AG207" i="16"/>
  <c r="AF207" i="16" s="1"/>
  <c r="AD207" i="16" s="1"/>
  <c r="AG45" i="16"/>
  <c r="AF45" i="16" s="1"/>
  <c r="AD45" i="16" s="1"/>
  <c r="AG24" i="16"/>
  <c r="AF24" i="16" s="1"/>
  <c r="AD24" i="16" s="1"/>
  <c r="AG182" i="16"/>
  <c r="AF182" i="16" s="1"/>
  <c r="AD182" i="16" s="1"/>
  <c r="AG349" i="16"/>
  <c r="AF349" i="16" s="1"/>
  <c r="AD349" i="16" s="1"/>
  <c r="AG66" i="16"/>
  <c r="AF66" i="16" s="1"/>
  <c r="AD66" i="16" s="1"/>
  <c r="AG356" i="16"/>
  <c r="AF356" i="16" s="1"/>
  <c r="AD356" i="16" s="1"/>
  <c r="AG67" i="16"/>
  <c r="AF67" i="16" s="1"/>
  <c r="AD67" i="16" s="1"/>
  <c r="AG254" i="16"/>
  <c r="AF254" i="16" s="1"/>
  <c r="AD254" i="16" s="1"/>
  <c r="AG358" i="16"/>
  <c r="AF358" i="16" s="1"/>
  <c r="AD358" i="16" s="1"/>
  <c r="AG92" i="16"/>
  <c r="AF92" i="16" s="1"/>
  <c r="AD92" i="16" s="1"/>
  <c r="AG55" i="16"/>
  <c r="AF55" i="16" s="1"/>
  <c r="AD55" i="16" s="1"/>
  <c r="AG241" i="16"/>
  <c r="AF241" i="16" s="1"/>
  <c r="AD241" i="16" s="1"/>
  <c r="AG237" i="16"/>
  <c r="AF237" i="16" s="1"/>
  <c r="AD237" i="16" s="1"/>
  <c r="AG28" i="16"/>
  <c r="AF28" i="16" s="1"/>
  <c r="AD28" i="16" s="1"/>
  <c r="AG245" i="16"/>
  <c r="AF245" i="16" s="1"/>
  <c r="AD245" i="16" s="1"/>
  <c r="AG370" i="16"/>
  <c r="AF370" i="16" s="1"/>
  <c r="AD370" i="16" s="1"/>
  <c r="AG65" i="16"/>
  <c r="AF65" i="16" s="1"/>
  <c r="AD65" i="16" s="1"/>
  <c r="AG287" i="16"/>
  <c r="AF287" i="16" s="1"/>
  <c r="AD287" i="16" s="1"/>
  <c r="AG282" i="16"/>
  <c r="AF282" i="16" s="1"/>
  <c r="AD282" i="16" s="1"/>
  <c r="AG267" i="16"/>
  <c r="AF267" i="16" s="1"/>
  <c r="AD267" i="16" s="1"/>
  <c r="AG329" i="16"/>
  <c r="AF329" i="16" s="1"/>
  <c r="AD329" i="16" s="1"/>
  <c r="AG359" i="16"/>
  <c r="AF359" i="16" s="1"/>
  <c r="AD359" i="16" s="1"/>
  <c r="AG194" i="16"/>
  <c r="AF194" i="16" s="1"/>
  <c r="AD194" i="16" s="1"/>
  <c r="AG71" i="16"/>
  <c r="AF71" i="16" s="1"/>
  <c r="AD71" i="16" s="1"/>
  <c r="AG99" i="16"/>
  <c r="AF99" i="16" s="1"/>
  <c r="AD99" i="16" s="1"/>
  <c r="AG318" i="16"/>
  <c r="AF318" i="16" s="1"/>
  <c r="AD318" i="16" s="1"/>
  <c r="AG116" i="16"/>
  <c r="AF116" i="16" s="1"/>
  <c r="AD116" i="16" s="1"/>
  <c r="AG42" i="16"/>
  <c r="AF42" i="16" s="1"/>
  <c r="AD42" i="16" s="1"/>
  <c r="AG161" i="16"/>
  <c r="AF161" i="16" s="1"/>
  <c r="AD161" i="16" s="1"/>
  <c r="AG91" i="16"/>
  <c r="AF91" i="16" s="1"/>
  <c r="AD91" i="16" s="1"/>
  <c r="AG197" i="16"/>
  <c r="AF197" i="16" s="1"/>
  <c r="AD197" i="16" s="1"/>
  <c r="AG33" i="16"/>
  <c r="AF33" i="16" s="1"/>
  <c r="AD33" i="16" s="1"/>
  <c r="AG256" i="16"/>
  <c r="AF256" i="16" s="1"/>
  <c r="AD256" i="16" s="1"/>
  <c r="AG353" i="16"/>
  <c r="AF353" i="16" s="1"/>
  <c r="AD353" i="16" s="1"/>
  <c r="AG63" i="16"/>
  <c r="AF63" i="16" s="1"/>
  <c r="AD63" i="16" s="1"/>
  <c r="AG285" i="16"/>
  <c r="AF285" i="16" s="1"/>
  <c r="AD285" i="16" s="1"/>
  <c r="AG29" i="16"/>
  <c r="AF29" i="16" s="1"/>
  <c r="AD29" i="16" s="1"/>
  <c r="AG281" i="16"/>
  <c r="AF281" i="16" s="1"/>
  <c r="AD281" i="16" s="1"/>
  <c r="AG36" i="16"/>
  <c r="AF36" i="16" s="1"/>
  <c r="AD36" i="16" s="1"/>
  <c r="AG216" i="16"/>
  <c r="AF216" i="16" s="1"/>
  <c r="AD216" i="16" s="1"/>
  <c r="AG278" i="16"/>
  <c r="AF278" i="16" s="1"/>
  <c r="AD278" i="16" s="1"/>
  <c r="AG340" i="16"/>
  <c r="AF340" i="16" s="1"/>
  <c r="AD340" i="16" s="1"/>
  <c r="AG209" i="16"/>
  <c r="AF209" i="16" s="1"/>
  <c r="AD209" i="16" s="1"/>
  <c r="AG126" i="16"/>
  <c r="AF126" i="16" s="1"/>
  <c r="AD126" i="16" s="1"/>
  <c r="AG376" i="16"/>
  <c r="AF376" i="16" s="1"/>
  <c r="AD376" i="16" s="1"/>
  <c r="AG230" i="16"/>
  <c r="AF230" i="16" s="1"/>
  <c r="AD230" i="16" s="1"/>
  <c r="AG290" i="16"/>
  <c r="AF290" i="16" s="1"/>
  <c r="AD290" i="16" s="1"/>
  <c r="AG80" i="16"/>
  <c r="AF80" i="16" s="1"/>
  <c r="AD80" i="16" s="1"/>
  <c r="AI12" i="17"/>
  <c r="AH379" i="16"/>
  <c r="AG379" i="16" s="1"/>
  <c r="AF379" i="16" s="1"/>
  <c r="AD379" i="16" s="1"/>
  <c r="AG152" i="16"/>
  <c r="AF152" i="16" s="1"/>
  <c r="AD152" i="16" s="1"/>
  <c r="AG86" i="16"/>
  <c r="AF86" i="16" s="1"/>
  <c r="AD86" i="16" s="1"/>
  <c r="AG113" i="16"/>
  <c r="AF113" i="16" s="1"/>
  <c r="AD113" i="16" s="1"/>
  <c r="AG248" i="16"/>
  <c r="AF248" i="16" s="1"/>
  <c r="AD248" i="16" s="1"/>
  <c r="AG205" i="16"/>
  <c r="AF205" i="16" s="1"/>
  <c r="AD205" i="16" s="1"/>
  <c r="AG27" i="16"/>
  <c r="AF27" i="16" s="1"/>
  <c r="AD27" i="16" s="1"/>
  <c r="AG334" i="16"/>
  <c r="AF334" i="16" s="1"/>
  <c r="AD334" i="16" s="1"/>
  <c r="AG261" i="16"/>
  <c r="AF261" i="16" s="1"/>
  <c r="AD261" i="16" s="1"/>
  <c r="AG117" i="16"/>
  <c r="AF117" i="16" s="1"/>
  <c r="AD117" i="16" s="1"/>
  <c r="AG275" i="16"/>
  <c r="AF275" i="16" s="1"/>
  <c r="AD275" i="16" s="1"/>
  <c r="AG242" i="16"/>
  <c r="AF242" i="16" s="1"/>
  <c r="AD242" i="16" s="1"/>
  <c r="AA242" i="16" s="1"/>
  <c r="Z242" i="16" s="1"/>
  <c r="Y242" i="16" s="1"/>
  <c r="AG316" i="16"/>
  <c r="AF316" i="16" s="1"/>
  <c r="AD316" i="16" s="1"/>
  <c r="AG223" i="16"/>
  <c r="AF223" i="16" s="1"/>
  <c r="AD223" i="16" s="1"/>
  <c r="AG154" i="16"/>
  <c r="AF154" i="16" s="1"/>
  <c r="AD154" i="16" s="1"/>
  <c r="AG171" i="16"/>
  <c r="AF171" i="16" s="1"/>
  <c r="AD171" i="16" s="1"/>
  <c r="AG265" i="16"/>
  <c r="AF265" i="16" s="1"/>
  <c r="AD265" i="16" s="1"/>
  <c r="AG295" i="16"/>
  <c r="AF295" i="16" s="1"/>
  <c r="AD295" i="16" s="1"/>
  <c r="AG217" i="16"/>
  <c r="AF217" i="16" s="1"/>
  <c r="AD217" i="16" s="1"/>
  <c r="AG330" i="16"/>
  <c r="AF330" i="16" s="1"/>
  <c r="AD330" i="16" s="1"/>
  <c r="AG212" i="16"/>
  <c r="AF212" i="16" s="1"/>
  <c r="AD212" i="16" s="1"/>
  <c r="AG62" i="16"/>
  <c r="AF62" i="16" s="1"/>
  <c r="AD62" i="16" s="1"/>
  <c r="AG98" i="16"/>
  <c r="AF98" i="16" s="1"/>
  <c r="AD98" i="16" s="1"/>
  <c r="AG296" i="16"/>
  <c r="AF296" i="16" s="1"/>
  <c r="AD296" i="16" s="1"/>
  <c r="AG69" i="16"/>
  <c r="AF69" i="16" s="1"/>
  <c r="AD69" i="16" s="1"/>
  <c r="AG304" i="16"/>
  <c r="AF304" i="16" s="1"/>
  <c r="AD304" i="16" s="1"/>
  <c r="AG258" i="16"/>
  <c r="AF258" i="16" s="1"/>
  <c r="AD258" i="16" s="1"/>
  <c r="AA258" i="16" s="1"/>
  <c r="Z258" i="16" s="1"/>
  <c r="Y258" i="16" s="1"/>
  <c r="AG228" i="16"/>
  <c r="AF228" i="16" s="1"/>
  <c r="AD228" i="16" s="1"/>
  <c r="AG286" i="16"/>
  <c r="AF286" i="16" s="1"/>
  <c r="AD286" i="16" s="1"/>
  <c r="AG246" i="16"/>
  <c r="AF246" i="16" s="1"/>
  <c r="AD246" i="16" s="1"/>
  <c r="AG225" i="16"/>
  <c r="AF225" i="16" s="1"/>
  <c r="AD225" i="16" s="1"/>
  <c r="I243" i="15"/>
  <c r="J243" i="15"/>
  <c r="I359" i="15"/>
  <c r="J359" i="15"/>
  <c r="I21" i="15"/>
  <c r="J21" i="15"/>
  <c r="I102" i="15"/>
  <c r="J102" i="15"/>
  <c r="J123" i="15"/>
  <c r="I123" i="15"/>
  <c r="J309" i="15"/>
  <c r="I309" i="15"/>
  <c r="AC246" i="22"/>
  <c r="AC373" i="22"/>
  <c r="AC260" i="22"/>
  <c r="AC269" i="22"/>
  <c r="AC367" i="22"/>
  <c r="AC274" i="22"/>
  <c r="AC185" i="22"/>
  <c r="AC341" i="22"/>
  <c r="AC300" i="22"/>
  <c r="AC226" i="22"/>
  <c r="AC151" i="22"/>
  <c r="AC370" i="22"/>
  <c r="AC187" i="22"/>
  <c r="AC316" i="22"/>
  <c r="AC237" i="22"/>
  <c r="AC374" i="22"/>
  <c r="AC286" i="22"/>
  <c r="AC320" i="22"/>
  <c r="AC264" i="22"/>
  <c r="AC360" i="22"/>
  <c r="AC218" i="22"/>
  <c r="AC167" i="22"/>
  <c r="AC231" i="22"/>
  <c r="AC343" i="22"/>
  <c r="AC162" i="22"/>
  <c r="AC170" i="22"/>
  <c r="AC285" i="22"/>
  <c r="AC169" i="22"/>
  <c r="AC254" i="22"/>
  <c r="AC179" i="22"/>
  <c r="AC293" i="22"/>
  <c r="AC333" i="22"/>
  <c r="AC243" i="22"/>
  <c r="AC356" i="22"/>
  <c r="AC238" i="22"/>
  <c r="AC271" i="22"/>
  <c r="AC325" i="22"/>
  <c r="AC361" i="22"/>
  <c r="AC339" i="22"/>
  <c r="AC172" i="22"/>
  <c r="AC174" i="22"/>
  <c r="AC139" i="22"/>
  <c r="AC303" i="22"/>
  <c r="AC200" i="22"/>
  <c r="AC263" i="22"/>
  <c r="AC137" i="22"/>
  <c r="AC323" i="22"/>
  <c r="AC266" i="22"/>
  <c r="AC378" i="22"/>
  <c r="AC194" i="22"/>
  <c r="AC296" i="22"/>
  <c r="AC210" i="22"/>
  <c r="AC309" i="22"/>
  <c r="AC277" i="22"/>
  <c r="AC143" i="22"/>
  <c r="AC227" i="22"/>
  <c r="AC196" i="22"/>
  <c r="AC307" i="22"/>
  <c r="AC315" i="22"/>
  <c r="AC345" i="22"/>
  <c r="AC355" i="22"/>
  <c r="AC321" i="22"/>
  <c r="AC318" i="22"/>
  <c r="AC256" i="22"/>
  <c r="AC199" i="22"/>
  <c r="AC255" i="22"/>
  <c r="AC365" i="22"/>
  <c r="AC192" i="22"/>
  <c r="AC376" i="22"/>
  <c r="AC212" i="22"/>
  <c r="AC222" i="22"/>
  <c r="AC338" i="22"/>
  <c r="AC336" i="22"/>
  <c r="AC184" i="22"/>
  <c r="AC353" i="22"/>
  <c r="AC270" i="22"/>
  <c r="AC369" i="22"/>
  <c r="AC186" i="22"/>
  <c r="AC324" i="22"/>
  <c r="AC159" i="22"/>
  <c r="AC362" i="22"/>
  <c r="AC220" i="22"/>
  <c r="AC329" i="22"/>
  <c r="AC203" i="22"/>
  <c r="AC305" i="22"/>
  <c r="AC157" i="22"/>
  <c r="AC155" i="22"/>
  <c r="AC176" i="22"/>
  <c r="AC217" i="22"/>
  <c r="AC379" i="22"/>
  <c r="AC377" i="22"/>
  <c r="AC221" i="22"/>
  <c r="AC156" i="22"/>
  <c r="AC294" i="22"/>
  <c r="AC239" i="22"/>
  <c r="AC335" i="22"/>
  <c r="AC178" i="22"/>
  <c r="AC297" i="22"/>
  <c r="AC175" i="22"/>
  <c r="AC236" i="22"/>
  <c r="AC330" i="22"/>
  <c r="AC171" i="22"/>
  <c r="AC364" i="22"/>
  <c r="AC181" i="22"/>
  <c r="AC166" i="22"/>
  <c r="AC311" i="22"/>
  <c r="AC275" i="22"/>
  <c r="AC146" i="22"/>
  <c r="AC140" i="22"/>
  <c r="AC317" i="22"/>
  <c r="AC202" i="22"/>
  <c r="AC354" i="22"/>
  <c r="AC142" i="22"/>
  <c r="AC314" i="22"/>
  <c r="AC150" i="22"/>
  <c r="AC319" i="22"/>
  <c r="AC164" i="22"/>
  <c r="AC245" i="22"/>
  <c r="AC207" i="22"/>
  <c r="AC351" i="22"/>
  <c r="AC375" i="22"/>
  <c r="AC290" i="22"/>
  <c r="AC326" i="22"/>
  <c r="AC136" i="22"/>
  <c r="AC347" i="22"/>
  <c r="AC216" i="22"/>
  <c r="AC198" i="22"/>
  <c r="J256" i="15"/>
  <c r="I256" i="15"/>
  <c r="I114" i="15"/>
  <c r="J114" i="15"/>
  <c r="I18" i="15"/>
  <c r="J18" i="15"/>
  <c r="I206" i="15"/>
  <c r="J206" i="15"/>
  <c r="J145" i="15"/>
  <c r="I145" i="15"/>
  <c r="I250" i="15"/>
  <c r="J250" i="15"/>
  <c r="J19" i="15"/>
  <c r="I19" i="15"/>
  <c r="J227" i="15"/>
  <c r="I227" i="15"/>
  <c r="J130" i="15"/>
  <c r="I130" i="15"/>
  <c r="I80" i="15"/>
  <c r="J80" i="15"/>
  <c r="I240" i="15"/>
  <c r="J240" i="15"/>
  <c r="H177" i="16"/>
  <c r="H195" i="16"/>
  <c r="G195" i="16"/>
  <c r="BY195" i="6" s="1"/>
  <c r="J26" i="15"/>
  <c r="I26" i="15"/>
  <c r="I91" i="15"/>
  <c r="J91" i="15"/>
  <c r="I78" i="15"/>
  <c r="J78" i="15"/>
  <c r="I119" i="15"/>
  <c r="J119" i="15"/>
  <c r="I247" i="15"/>
  <c r="J247" i="15"/>
  <c r="I341" i="15"/>
  <c r="J341" i="15"/>
  <c r="I231" i="15"/>
  <c r="J231" i="15"/>
  <c r="J376" i="15"/>
  <c r="I376" i="15"/>
  <c r="S184" i="16"/>
  <c r="R184" i="16" s="1"/>
  <c r="P184" i="16" s="1"/>
  <c r="V184" i="16" s="1"/>
  <c r="F184" i="16" s="1"/>
  <c r="S103" i="16"/>
  <c r="R103" i="16" s="1"/>
  <c r="P103" i="16" s="1"/>
  <c r="V103" i="16" s="1"/>
  <c r="F103" i="16" s="1"/>
  <c r="S376" i="16"/>
  <c r="R376" i="16" s="1"/>
  <c r="P376" i="16" s="1"/>
  <c r="V376" i="16" s="1"/>
  <c r="F376" i="16" s="1"/>
  <c r="S272" i="16"/>
  <c r="R272" i="16" s="1"/>
  <c r="P272" i="16" s="1"/>
  <c r="S364" i="16"/>
  <c r="R364" i="16" s="1"/>
  <c r="P364" i="16" s="1"/>
  <c r="V364" i="16" s="1"/>
  <c r="F364" i="16" s="1"/>
  <c r="S80" i="16"/>
  <c r="R80" i="16" s="1"/>
  <c r="P80" i="16" s="1"/>
  <c r="V80" i="16" s="1"/>
  <c r="F80" i="16" s="1"/>
  <c r="S201" i="16"/>
  <c r="R201" i="16" s="1"/>
  <c r="P201" i="16" s="1"/>
  <c r="V201" i="16" s="1"/>
  <c r="F201" i="16" s="1"/>
  <c r="S317" i="16"/>
  <c r="R317" i="16" s="1"/>
  <c r="P317" i="16" s="1"/>
  <c r="V317" i="16" s="1"/>
  <c r="F317" i="16" s="1"/>
  <c r="S54" i="16"/>
  <c r="R54" i="16" s="1"/>
  <c r="P54" i="16" s="1"/>
  <c r="V54" i="16" s="1"/>
  <c r="F54" i="16" s="1"/>
  <c r="S240" i="16"/>
  <c r="R240" i="16" s="1"/>
  <c r="P240" i="16" s="1"/>
  <c r="V240" i="16" s="1"/>
  <c r="F240" i="16" s="1"/>
  <c r="S350" i="16"/>
  <c r="R350" i="16" s="1"/>
  <c r="P350" i="16" s="1"/>
  <c r="V350" i="16" s="1"/>
  <c r="S28" i="16"/>
  <c r="R28" i="16" s="1"/>
  <c r="P28" i="16" s="1"/>
  <c r="V28" i="16" s="1"/>
  <c r="F28" i="16" s="1"/>
  <c r="S229" i="16"/>
  <c r="R229" i="16" s="1"/>
  <c r="P229" i="16" s="1"/>
  <c r="V229" i="16" s="1"/>
  <c r="F229" i="16" s="1"/>
  <c r="S252" i="16"/>
  <c r="R252" i="16" s="1"/>
  <c r="P252" i="16" s="1"/>
  <c r="V252" i="16" s="1"/>
  <c r="F252" i="16" s="1"/>
  <c r="S123" i="16"/>
  <c r="R123" i="16" s="1"/>
  <c r="P123" i="16" s="1"/>
  <c r="V123" i="16" s="1"/>
  <c r="F123" i="16" s="1"/>
  <c r="S279" i="16"/>
  <c r="R279" i="16" s="1"/>
  <c r="P279" i="16" s="1"/>
  <c r="V279" i="16" s="1"/>
  <c r="F279" i="16" s="1"/>
  <c r="S192" i="16"/>
  <c r="R192" i="16" s="1"/>
  <c r="P192" i="16" s="1"/>
  <c r="V192" i="16" s="1"/>
  <c r="F192" i="16" s="1"/>
  <c r="S39" i="16"/>
  <c r="R39" i="16" s="1"/>
  <c r="P39" i="16" s="1"/>
  <c r="V39" i="16" s="1"/>
  <c r="F39" i="16" s="1"/>
  <c r="S122" i="16"/>
  <c r="R122" i="16" s="1"/>
  <c r="P122" i="16" s="1"/>
  <c r="V122" i="16" s="1"/>
  <c r="F122" i="16" s="1"/>
  <c r="S280" i="16"/>
  <c r="R280" i="16" s="1"/>
  <c r="P280" i="16" s="1"/>
  <c r="V280" i="16" s="1"/>
  <c r="F280" i="16" s="1"/>
  <c r="S328" i="16"/>
  <c r="R328" i="16" s="1"/>
  <c r="P328" i="16" s="1"/>
  <c r="V328" i="16" s="1"/>
  <c r="F328" i="16" s="1"/>
  <c r="S56" i="16"/>
  <c r="R56" i="16" s="1"/>
  <c r="P56" i="16" s="1"/>
  <c r="V56" i="16" s="1"/>
  <c r="F56" i="16" s="1"/>
  <c r="S325" i="16"/>
  <c r="R325" i="16" s="1"/>
  <c r="P325" i="16" s="1"/>
  <c r="V325" i="16" s="1"/>
  <c r="F325" i="16" s="1"/>
  <c r="S228" i="16"/>
  <c r="R228" i="16" s="1"/>
  <c r="P228" i="16" s="1"/>
  <c r="V228" i="16" s="1"/>
  <c r="S209" i="16"/>
  <c r="R209" i="16" s="1"/>
  <c r="P209" i="16" s="1"/>
  <c r="V209" i="16" s="1"/>
  <c r="F209" i="16" s="1"/>
  <c r="S138" i="16"/>
  <c r="R138" i="16" s="1"/>
  <c r="P138" i="16" s="1"/>
  <c r="V138" i="16" s="1"/>
  <c r="F138" i="16" s="1"/>
  <c r="H306" i="16"/>
  <c r="G306" i="16"/>
  <c r="BY306" i="6" s="1"/>
  <c r="S191" i="16"/>
  <c r="R191" i="16" s="1"/>
  <c r="P191" i="16" s="1"/>
  <c r="V191" i="16" s="1"/>
  <c r="F191" i="16" s="1"/>
  <c r="S236" i="16"/>
  <c r="R236" i="16" s="1"/>
  <c r="P236" i="16" s="1"/>
  <c r="V236" i="16" s="1"/>
  <c r="F236" i="16" s="1"/>
  <c r="S223" i="16"/>
  <c r="R223" i="16" s="1"/>
  <c r="P223" i="16" s="1"/>
  <c r="V223" i="16" s="1"/>
  <c r="F223" i="16" s="1"/>
  <c r="S18" i="16"/>
  <c r="R18" i="16" s="1"/>
  <c r="P18" i="16" s="1"/>
  <c r="V18" i="16" s="1"/>
  <c r="F18" i="16" s="1"/>
  <c r="G18" i="16" s="1"/>
  <c r="BY18" i="6" s="1"/>
  <c r="S94" i="16"/>
  <c r="R94" i="16" s="1"/>
  <c r="P94" i="16" s="1"/>
  <c r="V94" i="16" s="1"/>
  <c r="F94" i="16" s="1"/>
  <c r="S29" i="16"/>
  <c r="R29" i="16" s="1"/>
  <c r="P29" i="16" s="1"/>
  <c r="S47" i="16"/>
  <c r="R47" i="16" s="1"/>
  <c r="P47" i="16" s="1"/>
  <c r="V47" i="16" s="1"/>
  <c r="S93" i="16"/>
  <c r="R93" i="16" s="1"/>
  <c r="P93" i="16" s="1"/>
  <c r="V93" i="16" s="1"/>
  <c r="F93" i="16" s="1"/>
  <c r="V208" i="16"/>
  <c r="F208" i="16" s="1"/>
  <c r="S337" i="16"/>
  <c r="R337" i="16" s="1"/>
  <c r="P337" i="16" s="1"/>
  <c r="V337" i="16" s="1"/>
  <c r="F337" i="16" s="1"/>
  <c r="S91" i="16"/>
  <c r="R91" i="16" s="1"/>
  <c r="P91" i="16" s="1"/>
  <c r="V91" i="16" s="1"/>
  <c r="F91" i="16" s="1"/>
  <c r="S77" i="16"/>
  <c r="R77" i="16" s="1"/>
  <c r="P77" i="16" s="1"/>
  <c r="V77" i="16" s="1"/>
  <c r="F77" i="16" s="1"/>
  <c r="S216" i="16"/>
  <c r="R216" i="16" s="1"/>
  <c r="P216" i="16" s="1"/>
  <c r="V216" i="16" s="1"/>
  <c r="F216" i="16" s="1"/>
  <c r="S57" i="16"/>
  <c r="R57" i="16" s="1"/>
  <c r="P57" i="16" s="1"/>
  <c r="V57" i="16" s="1"/>
  <c r="F57" i="16" s="1"/>
  <c r="S106" i="16"/>
  <c r="R106" i="16" s="1"/>
  <c r="P106" i="16" s="1"/>
  <c r="V106" i="16" s="1"/>
  <c r="S282" i="16"/>
  <c r="R282" i="16" s="1"/>
  <c r="P282" i="16" s="1"/>
  <c r="V282" i="16" s="1"/>
  <c r="F282" i="16" s="1"/>
  <c r="S96" i="16"/>
  <c r="R96" i="16" s="1"/>
  <c r="P96" i="16" s="1"/>
  <c r="V96" i="16" s="1"/>
  <c r="F96" i="16" s="1"/>
  <c r="S292" i="16"/>
  <c r="R292" i="16" s="1"/>
  <c r="P292" i="16" s="1"/>
  <c r="V292" i="16" s="1"/>
  <c r="F292" i="16" s="1"/>
  <c r="S20" i="16"/>
  <c r="R20" i="16" s="1"/>
  <c r="P20" i="16" s="1"/>
  <c r="V20" i="16" s="1"/>
  <c r="F20" i="16" s="1"/>
  <c r="S176" i="16"/>
  <c r="R176" i="16" s="1"/>
  <c r="P176" i="16" s="1"/>
  <c r="S324" i="16"/>
  <c r="R324" i="16" s="1"/>
  <c r="P324" i="16" s="1"/>
  <c r="V324" i="16" s="1"/>
  <c r="F324" i="16" s="1"/>
  <c r="S221" i="16"/>
  <c r="R221" i="16" s="1"/>
  <c r="P221" i="16" s="1"/>
  <c r="V221" i="16" s="1"/>
  <c r="F221" i="16" s="1"/>
  <c r="S239" i="16"/>
  <c r="R239" i="16" s="1"/>
  <c r="P239" i="16" s="1"/>
  <c r="V239" i="16" s="1"/>
  <c r="F239" i="16" s="1"/>
  <c r="S73" i="16"/>
  <c r="R73" i="16" s="1"/>
  <c r="P73" i="16" s="1"/>
  <c r="V73" i="16" s="1"/>
  <c r="F73" i="16" s="1"/>
  <c r="U382" i="16"/>
  <c r="U383" i="16"/>
  <c r="R382" i="15"/>
  <c r="R383" i="15"/>
  <c r="R381" i="15"/>
  <c r="P15" i="15"/>
  <c r="H146" i="16"/>
  <c r="H288" i="16"/>
  <c r="G288" i="16"/>
  <c r="BY288" i="6" s="1"/>
  <c r="J88" i="15"/>
  <c r="I88" i="15"/>
  <c r="G62" i="16"/>
  <c r="BY62" i="6" s="1"/>
  <c r="G158" i="16"/>
  <c r="BY158" i="6" s="1"/>
  <c r="AA158" i="16"/>
  <c r="Z158" i="16" s="1"/>
  <c r="Y158" i="16" s="1"/>
  <c r="H158" i="16"/>
  <c r="I29" i="15"/>
  <c r="J29" i="15"/>
  <c r="I272" i="15"/>
  <c r="J272" i="15"/>
  <c r="P16" i="7"/>
  <c r="V11" i="7" s="1"/>
  <c r="U11" i="17" s="1"/>
  <c r="T379" i="16"/>
  <c r="S379" i="16" s="1"/>
  <c r="R379" i="16" s="1"/>
  <c r="P379" i="16" s="1"/>
  <c r="U12" i="17"/>
  <c r="S220" i="16"/>
  <c r="R220" i="16" s="1"/>
  <c r="P220" i="16" s="1"/>
  <c r="V220" i="16" s="1"/>
  <c r="F220" i="16" s="1"/>
  <c r="S101" i="16"/>
  <c r="R101" i="16" s="1"/>
  <c r="P101" i="16" s="1"/>
  <c r="V101" i="16" s="1"/>
  <c r="F101" i="16" s="1"/>
  <c r="S305" i="16"/>
  <c r="R305" i="16" s="1"/>
  <c r="P305" i="16" s="1"/>
  <c r="V305" i="16" s="1"/>
  <c r="F305" i="16" s="1"/>
  <c r="S270" i="16"/>
  <c r="R270" i="16" s="1"/>
  <c r="P270" i="16" s="1"/>
  <c r="V270" i="16" s="1"/>
  <c r="F270" i="16" s="1"/>
  <c r="S225" i="16"/>
  <c r="R225" i="16" s="1"/>
  <c r="P225" i="16" s="1"/>
  <c r="V225" i="16" s="1"/>
  <c r="F225" i="16" s="1"/>
  <c r="S300" i="16"/>
  <c r="R300" i="16" s="1"/>
  <c r="P300" i="16" s="1"/>
  <c r="V300" i="16" s="1"/>
  <c r="F300" i="16" s="1"/>
  <c r="S227" i="16"/>
  <c r="R227" i="16" s="1"/>
  <c r="P227" i="16" s="1"/>
  <c r="V227" i="16" s="1"/>
  <c r="F227" i="16" s="1"/>
  <c r="S115" i="16"/>
  <c r="R115" i="16" s="1"/>
  <c r="P115" i="16" s="1"/>
  <c r="V115" i="16" s="1"/>
  <c r="F115" i="16" s="1"/>
  <c r="S380" i="16"/>
  <c r="R380" i="16" s="1"/>
  <c r="P380" i="16" s="1"/>
  <c r="V380" i="16" s="1"/>
  <c r="F380" i="16" s="1"/>
  <c r="S320" i="16"/>
  <c r="R320" i="16" s="1"/>
  <c r="P320" i="16" s="1"/>
  <c r="S344" i="16"/>
  <c r="R344" i="16" s="1"/>
  <c r="P344" i="16" s="1"/>
  <c r="V344" i="16" s="1"/>
  <c r="F344" i="16" s="1"/>
  <c r="S71" i="16"/>
  <c r="R71" i="16" s="1"/>
  <c r="P71" i="16" s="1"/>
  <c r="V71" i="16" s="1"/>
  <c r="F71" i="16" s="1"/>
  <c r="S167" i="16"/>
  <c r="R167" i="16" s="1"/>
  <c r="P167" i="16" s="1"/>
  <c r="V167" i="16" s="1"/>
  <c r="S312" i="16"/>
  <c r="R312" i="16" s="1"/>
  <c r="P312" i="16" s="1"/>
  <c r="V312" i="16" s="1"/>
  <c r="F312" i="16" s="1"/>
  <c r="S215" i="16"/>
  <c r="R215" i="16" s="1"/>
  <c r="P215" i="16" s="1"/>
  <c r="V215" i="16" s="1"/>
  <c r="F215" i="16" s="1"/>
  <c r="S155" i="16"/>
  <c r="R155" i="16" s="1"/>
  <c r="P155" i="16" s="1"/>
  <c r="V155" i="16" s="1"/>
  <c r="F155" i="16" s="1"/>
  <c r="S340" i="16"/>
  <c r="R340" i="16" s="1"/>
  <c r="P340" i="16" s="1"/>
  <c r="V340" i="16" s="1"/>
  <c r="F340" i="16" s="1"/>
  <c r="S140" i="16"/>
  <c r="R140" i="16" s="1"/>
  <c r="P140" i="16" s="1"/>
  <c r="V140" i="16" s="1"/>
  <c r="F140" i="16" s="1"/>
  <c r="S53" i="16"/>
  <c r="R53" i="16" s="1"/>
  <c r="P53" i="16" s="1"/>
  <c r="V53" i="16" s="1"/>
  <c r="F53" i="16" s="1"/>
  <c r="S147" i="16"/>
  <c r="R147" i="16" s="1"/>
  <c r="P147" i="16" s="1"/>
  <c r="V147" i="16" s="1"/>
  <c r="F147" i="16" s="1"/>
  <c r="S323" i="16"/>
  <c r="R323" i="16" s="1"/>
  <c r="P323" i="16" s="1"/>
  <c r="V323" i="16" s="1"/>
  <c r="F323" i="16" s="1"/>
  <c r="S111" i="16"/>
  <c r="R111" i="16" s="1"/>
  <c r="P111" i="16" s="1"/>
  <c r="V111" i="16" s="1"/>
  <c r="F111" i="16" s="1"/>
  <c r="S52" i="16"/>
  <c r="R52" i="16" s="1"/>
  <c r="P52" i="16" s="1"/>
  <c r="V52" i="16" s="1"/>
  <c r="F52" i="16" s="1"/>
  <c r="S261" i="16"/>
  <c r="R261" i="16" s="1"/>
  <c r="P261" i="16" s="1"/>
  <c r="V261" i="16" s="1"/>
  <c r="F261" i="16" s="1"/>
  <c r="S330" i="16"/>
  <c r="R330" i="16" s="1"/>
  <c r="P330" i="16" s="1"/>
  <c r="V330" i="16" s="1"/>
  <c r="F330" i="16" s="1"/>
  <c r="S238" i="16"/>
  <c r="R238" i="16" s="1"/>
  <c r="P238" i="16" s="1"/>
  <c r="V238" i="16" s="1"/>
  <c r="F238" i="16" s="1"/>
  <c r="S359" i="16"/>
  <c r="R359" i="16" s="1"/>
  <c r="P359" i="16" s="1"/>
  <c r="V359" i="16" s="1"/>
  <c r="F359" i="16" s="1"/>
  <c r="S230" i="16"/>
  <c r="R230" i="16" s="1"/>
  <c r="P230" i="16" s="1"/>
  <c r="V230" i="16" s="1"/>
  <c r="F230" i="16" s="1"/>
  <c r="S174" i="16"/>
  <c r="R174" i="16" s="1"/>
  <c r="P174" i="16" s="1"/>
  <c r="V174" i="16" s="1"/>
  <c r="F174" i="16" s="1"/>
  <c r="S310" i="16"/>
  <c r="R310" i="16" s="1"/>
  <c r="P310" i="16" s="1"/>
  <c r="V310" i="16" s="1"/>
  <c r="F310" i="16" s="1"/>
  <c r="S197" i="16"/>
  <c r="R197" i="16" s="1"/>
  <c r="P197" i="16" s="1"/>
  <c r="S277" i="16"/>
  <c r="R277" i="16" s="1"/>
  <c r="P277" i="16" s="1"/>
  <c r="V277" i="16" s="1"/>
  <c r="F277" i="16" s="1"/>
  <c r="S313" i="16"/>
  <c r="R313" i="16" s="1"/>
  <c r="P313" i="16" s="1"/>
  <c r="V313" i="16" s="1"/>
  <c r="F313" i="16" s="1"/>
  <c r="S170" i="16"/>
  <c r="R170" i="16" s="1"/>
  <c r="P170" i="16" s="1"/>
  <c r="V170" i="16" s="1"/>
  <c r="F170" i="16" s="1"/>
  <c r="S331" i="16"/>
  <c r="R331" i="16" s="1"/>
  <c r="P331" i="16" s="1"/>
  <c r="V331" i="16" s="1"/>
  <c r="F331" i="16" s="1"/>
  <c r="S194" i="16"/>
  <c r="R194" i="16" s="1"/>
  <c r="P194" i="16" s="1"/>
  <c r="V194" i="16" s="1"/>
  <c r="F194" i="16" s="1"/>
  <c r="S345" i="16"/>
  <c r="R345" i="16" s="1"/>
  <c r="P345" i="16" s="1"/>
  <c r="V345" i="16" s="1"/>
  <c r="F345" i="16" s="1"/>
  <c r="V356" i="16"/>
  <c r="F356" i="16" s="1"/>
  <c r="S362" i="16"/>
  <c r="R362" i="16" s="1"/>
  <c r="P362" i="16" s="1"/>
  <c r="V362" i="16" s="1"/>
  <c r="F362" i="16" s="1"/>
  <c r="S139" i="16"/>
  <c r="R139" i="16" s="1"/>
  <c r="P139" i="16" s="1"/>
  <c r="V139" i="16" s="1"/>
  <c r="F139" i="16" s="1"/>
  <c r="S33" i="16"/>
  <c r="R33" i="16" s="1"/>
  <c r="P33" i="16" s="1"/>
  <c r="V33" i="16" s="1"/>
  <c r="F33" i="16" s="1"/>
  <c r="S32" i="16"/>
  <c r="R32" i="16" s="1"/>
  <c r="P32" i="16" s="1"/>
  <c r="V32" i="16" s="1"/>
  <c r="F32" i="16" s="1"/>
  <c r="S206" i="16"/>
  <c r="R206" i="16" s="1"/>
  <c r="P206" i="16" s="1"/>
  <c r="V206" i="16" s="1"/>
  <c r="F206" i="16" s="1"/>
  <c r="S343" i="16"/>
  <c r="R343" i="16" s="1"/>
  <c r="P343" i="16" s="1"/>
  <c r="V343" i="16" s="1"/>
  <c r="F343" i="16" s="1"/>
  <c r="S63" i="16"/>
  <c r="R63" i="16" s="1"/>
  <c r="P63" i="16" s="1"/>
  <c r="V63" i="16" s="1"/>
  <c r="F63" i="16" s="1"/>
  <c r="S370" i="16"/>
  <c r="R370" i="16" s="1"/>
  <c r="P370" i="16" s="1"/>
  <c r="V370" i="16" s="1"/>
  <c r="F370" i="16" s="1"/>
  <c r="S315" i="16"/>
  <c r="R315" i="16" s="1"/>
  <c r="P315" i="16" s="1"/>
  <c r="V315" i="16" s="1"/>
  <c r="F315" i="16" s="1"/>
  <c r="S241" i="16"/>
  <c r="R241" i="16" s="1"/>
  <c r="P241" i="16" s="1"/>
  <c r="S67" i="16"/>
  <c r="R67" i="16" s="1"/>
  <c r="P67" i="16" s="1"/>
  <c r="V67" i="16" s="1"/>
  <c r="F67" i="16" s="1"/>
  <c r="S318" i="16"/>
  <c r="R318" i="16" s="1"/>
  <c r="P318" i="16" s="1"/>
  <c r="V318" i="16" s="1"/>
  <c r="F318" i="16" s="1"/>
  <c r="S163" i="16"/>
  <c r="R163" i="16" s="1"/>
  <c r="P163" i="16" s="1"/>
  <c r="V163" i="16" s="1"/>
  <c r="F163" i="16" s="1"/>
  <c r="S332" i="16"/>
  <c r="R332" i="16" s="1"/>
  <c r="P332" i="16" s="1"/>
  <c r="V332" i="16" s="1"/>
  <c r="F332" i="16" s="1"/>
  <c r="S116" i="16"/>
  <c r="R116" i="16" s="1"/>
  <c r="P116" i="16" s="1"/>
  <c r="V116" i="16" s="1"/>
  <c r="F116" i="16" s="1"/>
  <c r="S160" i="16"/>
  <c r="R160" i="16" s="1"/>
  <c r="P160" i="16" s="1"/>
  <c r="V160" i="16" s="1"/>
  <c r="F160" i="16" s="1"/>
  <c r="S352" i="16"/>
  <c r="R352" i="16" s="1"/>
  <c r="P352" i="16" s="1"/>
  <c r="V352" i="16" s="1"/>
  <c r="F352" i="16" s="1"/>
  <c r="S213" i="16"/>
  <c r="R213" i="16" s="1"/>
  <c r="P213" i="16" s="1"/>
  <c r="V213" i="16" s="1"/>
  <c r="F213" i="16" s="1"/>
  <c r="S264" i="16"/>
  <c r="R264" i="16" s="1"/>
  <c r="P264" i="16" s="1"/>
  <c r="V264" i="16" s="1"/>
  <c r="F264" i="16" s="1"/>
  <c r="S152" i="16"/>
  <c r="R152" i="16" s="1"/>
  <c r="P152" i="16" s="1"/>
  <c r="V152" i="16" s="1"/>
  <c r="F152" i="16" s="1"/>
  <c r="S58" i="16"/>
  <c r="R58" i="16" s="1"/>
  <c r="P58" i="16" s="1"/>
  <c r="V58" i="16" s="1"/>
  <c r="F58" i="16" s="1"/>
  <c r="S200" i="16"/>
  <c r="R200" i="16" s="1"/>
  <c r="P200" i="16" s="1"/>
  <c r="V200" i="16" s="1"/>
  <c r="F200" i="16" s="1"/>
  <c r="S129" i="16"/>
  <c r="R129" i="16" s="1"/>
  <c r="P129" i="16" s="1"/>
  <c r="V129" i="16" s="1"/>
  <c r="F129" i="16" s="1"/>
  <c r="S307" i="16"/>
  <c r="R307" i="16" s="1"/>
  <c r="P307" i="16" s="1"/>
  <c r="V307" i="16" s="1"/>
  <c r="F307" i="16" s="1"/>
  <c r="S181" i="16"/>
  <c r="R181" i="16" s="1"/>
  <c r="P181" i="16" s="1"/>
  <c r="V181" i="16" s="1"/>
  <c r="F181" i="16" s="1"/>
  <c r="S189" i="16"/>
  <c r="R189" i="16" s="1"/>
  <c r="P189" i="16" s="1"/>
  <c r="V189" i="16" s="1"/>
  <c r="F189" i="16" s="1"/>
  <c r="S265" i="16"/>
  <c r="R265" i="16" s="1"/>
  <c r="P265" i="16" s="1"/>
  <c r="V265" i="16" s="1"/>
  <c r="F265" i="16" s="1"/>
  <c r="S61" i="16"/>
  <c r="R61" i="16" s="1"/>
  <c r="P61" i="16" s="1"/>
  <c r="V61" i="16" s="1"/>
  <c r="F61" i="16" s="1"/>
  <c r="S285" i="16"/>
  <c r="R285" i="16" s="1"/>
  <c r="P285" i="16" s="1"/>
  <c r="V285" i="16" s="1"/>
  <c r="F285" i="16" s="1"/>
  <c r="S68" i="16"/>
  <c r="R68" i="16" s="1"/>
  <c r="P68" i="16" s="1"/>
  <c r="V68" i="16" s="1"/>
  <c r="F68" i="16" s="1"/>
  <c r="S148" i="16"/>
  <c r="R148" i="16" s="1"/>
  <c r="P148" i="16" s="1"/>
  <c r="V148" i="16" s="1"/>
  <c r="F148" i="16" s="1"/>
  <c r="S372" i="16"/>
  <c r="R372" i="16" s="1"/>
  <c r="P372" i="16" s="1"/>
  <c r="V372" i="16" s="1"/>
  <c r="F372" i="16" s="1"/>
  <c r="S105" i="16"/>
  <c r="R105" i="16" s="1"/>
  <c r="P105" i="16" s="1"/>
  <c r="V105" i="16" s="1"/>
  <c r="F105" i="16" s="1"/>
  <c r="H105" i="16" s="1"/>
  <c r="S373" i="16"/>
  <c r="R373" i="16" s="1"/>
  <c r="P373" i="16" s="1"/>
  <c r="V373" i="16" s="1"/>
  <c r="F373" i="16" s="1"/>
  <c r="S339" i="16"/>
  <c r="R339" i="16" s="1"/>
  <c r="P339" i="16" s="1"/>
  <c r="V339" i="16" s="1"/>
  <c r="F339" i="16" s="1"/>
  <c r="S193" i="16"/>
  <c r="R193" i="16" s="1"/>
  <c r="P193" i="16" s="1"/>
  <c r="V193" i="16" s="1"/>
  <c r="F193" i="16" s="1"/>
  <c r="S363" i="16"/>
  <c r="R363" i="16" s="1"/>
  <c r="P363" i="16" s="1"/>
  <c r="S66" i="16"/>
  <c r="R66" i="16" s="1"/>
  <c r="P66" i="16" s="1"/>
  <c r="V66" i="16" s="1"/>
  <c r="F66" i="16" s="1"/>
  <c r="S205" i="16"/>
  <c r="R205" i="16" s="1"/>
  <c r="P205" i="16" s="1"/>
  <c r="V205" i="16" s="1"/>
  <c r="F205" i="16" s="1"/>
  <c r="S224" i="16"/>
  <c r="R224" i="16" s="1"/>
  <c r="P224" i="16" s="1"/>
  <c r="V224" i="16" s="1"/>
  <c r="F224" i="16" s="1"/>
  <c r="S154" i="16"/>
  <c r="R154" i="16" s="1"/>
  <c r="P154" i="16" s="1"/>
  <c r="V154" i="16" s="1"/>
  <c r="F154" i="16" s="1"/>
  <c r="S42" i="16"/>
  <c r="R42" i="16" s="1"/>
  <c r="P42" i="16" s="1"/>
  <c r="V42" i="16" s="1"/>
  <c r="F42" i="16" s="1"/>
  <c r="S173" i="16"/>
  <c r="R173" i="16" s="1"/>
  <c r="P173" i="16" s="1"/>
  <c r="V173" i="16" s="1"/>
  <c r="F173" i="16" s="1"/>
  <c r="S88" i="16"/>
  <c r="R88" i="16" s="1"/>
  <c r="P88" i="16" s="1"/>
  <c r="S98" i="16"/>
  <c r="R98" i="16" s="1"/>
  <c r="P98" i="16" s="1"/>
  <c r="V98" i="16" s="1"/>
  <c r="F98" i="16" s="1"/>
  <c r="S131" i="16"/>
  <c r="R131" i="16" s="1"/>
  <c r="P131" i="16" s="1"/>
  <c r="V131" i="16" s="1"/>
  <c r="F131" i="16" s="1"/>
  <c r="S302" i="16"/>
  <c r="R302" i="16" s="1"/>
  <c r="P302" i="16" s="1"/>
  <c r="S358" i="16"/>
  <c r="R358" i="16" s="1"/>
  <c r="P358" i="16" s="1"/>
  <c r="V358" i="16" s="1"/>
  <c r="F358" i="16" s="1"/>
  <c r="S299" i="16"/>
  <c r="R299" i="16" s="1"/>
  <c r="P299" i="16" s="1"/>
  <c r="V299" i="16" s="1"/>
  <c r="F299" i="16" s="1"/>
  <c r="S316" i="16"/>
  <c r="R316" i="16" s="1"/>
  <c r="P316" i="16" s="1"/>
  <c r="V316" i="16" s="1"/>
  <c r="F316" i="16" s="1"/>
  <c r="S44" i="16"/>
  <c r="R44" i="16" s="1"/>
  <c r="P44" i="16" s="1"/>
  <c r="V44" i="16" s="1"/>
  <c r="F44" i="16" s="1"/>
  <c r="S79" i="16"/>
  <c r="R79" i="16" s="1"/>
  <c r="P79" i="16" s="1"/>
  <c r="V79" i="16" s="1"/>
  <c r="F79" i="16" s="1"/>
  <c r="S50" i="16"/>
  <c r="R50" i="16" s="1"/>
  <c r="P50" i="16" s="1"/>
  <c r="V50" i="16" s="1"/>
  <c r="F50" i="16" s="1"/>
  <c r="AG70" i="16"/>
  <c r="AF70" i="16" s="1"/>
  <c r="AD70" i="16" s="1"/>
  <c r="AG362" i="16"/>
  <c r="AF362" i="16" s="1"/>
  <c r="AD362" i="16" s="1"/>
  <c r="AG150" i="16"/>
  <c r="AF150" i="16" s="1"/>
  <c r="AD150" i="16" s="1"/>
  <c r="AG145" i="16"/>
  <c r="AF145" i="16" s="1"/>
  <c r="AD145" i="16" s="1"/>
  <c r="AG120" i="16"/>
  <c r="AF120" i="16" s="1"/>
  <c r="AD120" i="16" s="1"/>
  <c r="AG187" i="16"/>
  <c r="AF187" i="16" s="1"/>
  <c r="AD187" i="16" s="1"/>
  <c r="AG291" i="16"/>
  <c r="AF291" i="16" s="1"/>
  <c r="AD291" i="16" s="1"/>
  <c r="AG378" i="16"/>
  <c r="AF378" i="16" s="1"/>
  <c r="AD378" i="16" s="1"/>
  <c r="AG180" i="16"/>
  <c r="AF180" i="16" s="1"/>
  <c r="AD180" i="16" s="1"/>
  <c r="AG133" i="16"/>
  <c r="AF133" i="16" s="1"/>
  <c r="AD133" i="16" s="1"/>
  <c r="AG211" i="16"/>
  <c r="AF211" i="16" s="1"/>
  <c r="AD211" i="16" s="1"/>
  <c r="AG189" i="16"/>
  <c r="AF189" i="16" s="1"/>
  <c r="AD189" i="16" s="1"/>
  <c r="AG272" i="16"/>
  <c r="AF272" i="16" s="1"/>
  <c r="AD272" i="16" s="1"/>
  <c r="AG213" i="16"/>
  <c r="AF213" i="16" s="1"/>
  <c r="AD213" i="16" s="1"/>
  <c r="AG338" i="16"/>
  <c r="AF338" i="16" s="1"/>
  <c r="AD338" i="16" s="1"/>
  <c r="AA338" i="16" s="1"/>
  <c r="Z338" i="16" s="1"/>
  <c r="Y338" i="16" s="1"/>
  <c r="AG239" i="16"/>
  <c r="AF239" i="16" s="1"/>
  <c r="AD239" i="16" s="1"/>
  <c r="AG235" i="16"/>
  <c r="AF235" i="16" s="1"/>
  <c r="AD235" i="16" s="1"/>
  <c r="AG327" i="16"/>
  <c r="AF327" i="16" s="1"/>
  <c r="AD327" i="16" s="1"/>
  <c r="AG100" i="16"/>
  <c r="AF100" i="16" s="1"/>
  <c r="AD100" i="16" s="1"/>
  <c r="AG190" i="16"/>
  <c r="AF190" i="16" s="1"/>
  <c r="AD190" i="16" s="1"/>
  <c r="AG109" i="16"/>
  <c r="AF109" i="16" s="1"/>
  <c r="AD109" i="16" s="1"/>
  <c r="AG151" i="16"/>
  <c r="AF151" i="16" s="1"/>
  <c r="AD151" i="16" s="1"/>
  <c r="AG128" i="16"/>
  <c r="AF128" i="16" s="1"/>
  <c r="AD128" i="16" s="1"/>
  <c r="AG114" i="16"/>
  <c r="AF114" i="16" s="1"/>
  <c r="AD114" i="16" s="1"/>
  <c r="AG60" i="16"/>
  <c r="AF60" i="16" s="1"/>
  <c r="AD60" i="16" s="1"/>
  <c r="AG159" i="16"/>
  <c r="AF159" i="16" s="1"/>
  <c r="AD159" i="16" s="1"/>
  <c r="AG26" i="16"/>
  <c r="AF26" i="16" s="1"/>
  <c r="AD26" i="16" s="1"/>
  <c r="AG107" i="16"/>
  <c r="AF107" i="16" s="1"/>
  <c r="AD107" i="16" s="1"/>
  <c r="AG169" i="16"/>
  <c r="AF169" i="16" s="1"/>
  <c r="AD169" i="16" s="1"/>
  <c r="AG199" i="16"/>
  <c r="AF199" i="16" s="1"/>
  <c r="AD199" i="16" s="1"/>
  <c r="AA199" i="16" s="1"/>
  <c r="Z199" i="16" s="1"/>
  <c r="Y199" i="16" s="1"/>
  <c r="AG156" i="16"/>
  <c r="AF156" i="16" s="1"/>
  <c r="AD156" i="16" s="1"/>
  <c r="AG277" i="16"/>
  <c r="AF277" i="16" s="1"/>
  <c r="AD277" i="16" s="1"/>
  <c r="AG72" i="16"/>
  <c r="AF72" i="16" s="1"/>
  <c r="AD72" i="16" s="1"/>
  <c r="AG271" i="16"/>
  <c r="AF271" i="16" s="1"/>
  <c r="AD271" i="16" s="1"/>
  <c r="AG105" i="16"/>
  <c r="AF105" i="16" s="1"/>
  <c r="AD105" i="16" s="1"/>
  <c r="AG377" i="16"/>
  <c r="AF377" i="16" s="1"/>
  <c r="AD377" i="16" s="1"/>
  <c r="AG138" i="16"/>
  <c r="AF138" i="16" s="1"/>
  <c r="AD138" i="16" s="1"/>
  <c r="AG30" i="16"/>
  <c r="AF30" i="16" s="1"/>
  <c r="AD30" i="16" s="1"/>
  <c r="AG41" i="16"/>
  <c r="AF41" i="16" s="1"/>
  <c r="AD41" i="16" s="1"/>
  <c r="AG249" i="16"/>
  <c r="AF249" i="16" s="1"/>
  <c r="AD249" i="16" s="1"/>
  <c r="AG181" i="16"/>
  <c r="AF181" i="16" s="1"/>
  <c r="AD181" i="16" s="1"/>
  <c r="AG255" i="16"/>
  <c r="AF255" i="16" s="1"/>
  <c r="AD255" i="16" s="1"/>
  <c r="AG371" i="16"/>
  <c r="AF371" i="16" s="1"/>
  <c r="AD371" i="16" s="1"/>
  <c r="AG97" i="16"/>
  <c r="AF97" i="16" s="1"/>
  <c r="AD97" i="16" s="1"/>
  <c r="AG68" i="16"/>
  <c r="AF68" i="16" s="1"/>
  <c r="AD68" i="16" s="1"/>
  <c r="AA68" i="16" s="1"/>
  <c r="Z68" i="16" s="1"/>
  <c r="Y68" i="16" s="1"/>
  <c r="AG221" i="16"/>
  <c r="AF221" i="16" s="1"/>
  <c r="AD221" i="16" s="1"/>
  <c r="AG315" i="16"/>
  <c r="AF315" i="16" s="1"/>
  <c r="AD315" i="16" s="1"/>
  <c r="AG25" i="16"/>
  <c r="AF25" i="16" s="1"/>
  <c r="AD25" i="16" s="1"/>
  <c r="AG106" i="16"/>
  <c r="AF106" i="16" s="1"/>
  <c r="AD106" i="16" s="1"/>
  <c r="AG341" i="16"/>
  <c r="AF341" i="16" s="1"/>
  <c r="AD341" i="16" s="1"/>
  <c r="AG22" i="16"/>
  <c r="AF22" i="16" s="1"/>
  <c r="AD22" i="16" s="1"/>
  <c r="AG200" i="16"/>
  <c r="AF200" i="16" s="1"/>
  <c r="AD200" i="16" s="1"/>
  <c r="AG81" i="16"/>
  <c r="AF81" i="16" s="1"/>
  <c r="AD81" i="16" s="1"/>
  <c r="AG303" i="16"/>
  <c r="AF303" i="16" s="1"/>
  <c r="AD303" i="16" s="1"/>
  <c r="AG314" i="16"/>
  <c r="AF314" i="16" s="1"/>
  <c r="AD314" i="16" s="1"/>
  <c r="AG299" i="16"/>
  <c r="AF299" i="16" s="1"/>
  <c r="AD299" i="16" s="1"/>
  <c r="AG361" i="16"/>
  <c r="AF361" i="16" s="1"/>
  <c r="AD361" i="16" s="1"/>
  <c r="AG110" i="16"/>
  <c r="AF110" i="16" s="1"/>
  <c r="AD110" i="16" s="1"/>
  <c r="AG168" i="16"/>
  <c r="AF168" i="16" s="1"/>
  <c r="AD168" i="16" s="1"/>
  <c r="AG37" i="16"/>
  <c r="AF37" i="16" s="1"/>
  <c r="AD37" i="16" s="1"/>
  <c r="AG163" i="16"/>
  <c r="AF163" i="16" s="1"/>
  <c r="AD163" i="16" s="1"/>
  <c r="AG112" i="16"/>
  <c r="AF112" i="16" s="1"/>
  <c r="AD112" i="16" s="1"/>
  <c r="AG250" i="16"/>
  <c r="AF250" i="16" s="1"/>
  <c r="AD250" i="16" s="1"/>
  <c r="AG141" i="16"/>
  <c r="AF141" i="16" s="1"/>
  <c r="AD141" i="16" s="1"/>
  <c r="AG40" i="16"/>
  <c r="AF40" i="16" s="1"/>
  <c r="AD40" i="16" s="1"/>
  <c r="AG279" i="16"/>
  <c r="AF279" i="16" s="1"/>
  <c r="AD279" i="16" s="1"/>
  <c r="AG21" i="16"/>
  <c r="AF21" i="16" s="1"/>
  <c r="AD21" i="16" s="1"/>
  <c r="AG44" i="16"/>
  <c r="AF44" i="16" s="1"/>
  <c r="AD44" i="16" s="1"/>
  <c r="AA44" i="16" s="1"/>
  <c r="Z44" i="16" s="1"/>
  <c r="Y44" i="16" s="1"/>
  <c r="AG147" i="16"/>
  <c r="AF147" i="16" s="1"/>
  <c r="AD147" i="16" s="1"/>
  <c r="AI381" i="16"/>
  <c r="AI383" i="16"/>
  <c r="AH15" i="16"/>
  <c r="AI382" i="16"/>
  <c r="AG176" i="16"/>
  <c r="AF176" i="16" s="1"/>
  <c r="AD176" i="16" s="1"/>
  <c r="AG95" i="16"/>
  <c r="AF95" i="16" s="1"/>
  <c r="AD95" i="16" s="1"/>
  <c r="AG317" i="16"/>
  <c r="AF317" i="16" s="1"/>
  <c r="AD317" i="16" s="1"/>
  <c r="AG372" i="16"/>
  <c r="AF372" i="16" s="1"/>
  <c r="AD372" i="16" s="1"/>
  <c r="AG73" i="16"/>
  <c r="AF73" i="16" s="1"/>
  <c r="AD73" i="16" s="1"/>
  <c r="AG204" i="16"/>
  <c r="AF204" i="16" s="1"/>
  <c r="AD204" i="16" s="1"/>
  <c r="AG142" i="16"/>
  <c r="AF142" i="16" s="1"/>
  <c r="AD142" i="16" s="1"/>
  <c r="AG364" i="16"/>
  <c r="AF364" i="16" s="1"/>
  <c r="AD364" i="16" s="1"/>
  <c r="AG146" i="16"/>
  <c r="AF146" i="16" s="1"/>
  <c r="AD146" i="16" s="1"/>
  <c r="AA146" i="16" s="1"/>
  <c r="Z146" i="16" s="1"/>
  <c r="Y146" i="16" s="1"/>
  <c r="AG143" i="16"/>
  <c r="AF143" i="16" s="1"/>
  <c r="AD143" i="16" s="1"/>
  <c r="AG121" i="16"/>
  <c r="AF121" i="16" s="1"/>
  <c r="AD121" i="16" s="1"/>
  <c r="AG172" i="16"/>
  <c r="AF172" i="16" s="1"/>
  <c r="AD172" i="16" s="1"/>
  <c r="AG127" i="16"/>
  <c r="AF127" i="16" s="1"/>
  <c r="AD127" i="16" s="1"/>
  <c r="AG302" i="16"/>
  <c r="AF302" i="16" s="1"/>
  <c r="AD302" i="16" s="1"/>
  <c r="AG284" i="16"/>
  <c r="AF284" i="16" s="1"/>
  <c r="AD284" i="16" s="1"/>
  <c r="AG374" i="16"/>
  <c r="AF374" i="16" s="1"/>
  <c r="AD374" i="16" s="1"/>
  <c r="AG324" i="16"/>
  <c r="AF324" i="16" s="1"/>
  <c r="AD324" i="16" s="1"/>
  <c r="AG243" i="16"/>
  <c r="AF243" i="16" s="1"/>
  <c r="AD243" i="16" s="1"/>
  <c r="AG188" i="16"/>
  <c r="AF188" i="16" s="1"/>
  <c r="AD188" i="16" s="1"/>
  <c r="AG218" i="16"/>
  <c r="AF218" i="16" s="1"/>
  <c r="AD218" i="16" s="1"/>
  <c r="AG52" i="16"/>
  <c r="AF52" i="16" s="1"/>
  <c r="AD52" i="16" s="1"/>
  <c r="AG101" i="16"/>
  <c r="AF101" i="16" s="1"/>
  <c r="AD101" i="16" s="1"/>
  <c r="AG195" i="16"/>
  <c r="AF195" i="16" s="1"/>
  <c r="AD195" i="16" s="1"/>
  <c r="AA195" i="16" s="1"/>
  <c r="Z195" i="16" s="1"/>
  <c r="Y195" i="16" s="1"/>
  <c r="AG240" i="16"/>
  <c r="AF240" i="16" s="1"/>
  <c r="AD240" i="16" s="1"/>
  <c r="AG333" i="16"/>
  <c r="AF333" i="16" s="1"/>
  <c r="AD333" i="16" s="1"/>
  <c r="AG137" i="16"/>
  <c r="AF137" i="16" s="1"/>
  <c r="AD137" i="16" s="1"/>
  <c r="AG20" i="16"/>
  <c r="AF20" i="16" s="1"/>
  <c r="AD20" i="16" s="1"/>
  <c r="AG274" i="16"/>
  <c r="AF274" i="16" s="1"/>
  <c r="AD274" i="16" s="1"/>
  <c r="AG301" i="16"/>
  <c r="AF301" i="16" s="1"/>
  <c r="AD301" i="16" s="1"/>
  <c r="AG185" i="16"/>
  <c r="AF185" i="16" s="1"/>
  <c r="AD185" i="16" s="1"/>
  <c r="AG266" i="16"/>
  <c r="AF266" i="16" s="1"/>
  <c r="AD266" i="16" s="1"/>
  <c r="AG148" i="16"/>
  <c r="AF148" i="16" s="1"/>
  <c r="AD148" i="16" s="1"/>
  <c r="AG61" i="16"/>
  <c r="AF61" i="16" s="1"/>
  <c r="AD61" i="16" s="1"/>
  <c r="AG119" i="16"/>
  <c r="AF119" i="16" s="1"/>
  <c r="AD119" i="16" s="1"/>
  <c r="AG64" i="16"/>
  <c r="AF64" i="16" s="1"/>
  <c r="AD64" i="16" s="1"/>
  <c r="AG273" i="16"/>
  <c r="AF273" i="16" s="1"/>
  <c r="AD273" i="16" s="1"/>
  <c r="AG260" i="16"/>
  <c r="AF260" i="16" s="1"/>
  <c r="AD260" i="16" s="1"/>
  <c r="AG232" i="16"/>
  <c r="AF232" i="16" s="1"/>
  <c r="AD232" i="16" s="1"/>
  <c r="AG32" i="16"/>
  <c r="AF32" i="16" s="1"/>
  <c r="AD32" i="16" s="1"/>
  <c r="AG342" i="16"/>
  <c r="AF342" i="16" s="1"/>
  <c r="AD342" i="16" s="1"/>
  <c r="AG132" i="16"/>
  <c r="AF132" i="16" s="1"/>
  <c r="AD132" i="16" s="1"/>
  <c r="AG155" i="16"/>
  <c r="AF155" i="16" s="1"/>
  <c r="AD155" i="16" s="1"/>
  <c r="AG325" i="16"/>
  <c r="AF325" i="16" s="1"/>
  <c r="AD325" i="16" s="1"/>
  <c r="AG339" i="16"/>
  <c r="AF339" i="16" s="1"/>
  <c r="AD339" i="16" s="1"/>
  <c r="AG321" i="16"/>
  <c r="AF321" i="16" s="1"/>
  <c r="AD321" i="16" s="1"/>
  <c r="AG350" i="16"/>
  <c r="AF350" i="16" s="1"/>
  <c r="AD350" i="16" s="1"/>
  <c r="AG31" i="16"/>
  <c r="AF31" i="16" s="1"/>
  <c r="AD31" i="16" s="1"/>
  <c r="AG360" i="16"/>
  <c r="AF360" i="16" s="1"/>
  <c r="AD360" i="16" s="1"/>
  <c r="AG220" i="16"/>
  <c r="AF220" i="16" s="1"/>
  <c r="AD220" i="16" s="1"/>
  <c r="AG288" i="16"/>
  <c r="AF288" i="16" s="1"/>
  <c r="AD288" i="16" s="1"/>
  <c r="AA288" i="16" s="1"/>
  <c r="Z288" i="16" s="1"/>
  <c r="Y288" i="16" s="1"/>
  <c r="AG183" i="16"/>
  <c r="AF183" i="16" s="1"/>
  <c r="AD183" i="16" s="1"/>
  <c r="AG192" i="16"/>
  <c r="AF192" i="16" s="1"/>
  <c r="AD192" i="16" s="1"/>
  <c r="AG305" i="16"/>
  <c r="AF305" i="16" s="1"/>
  <c r="AD305" i="16" s="1"/>
  <c r="AG19" i="16"/>
  <c r="AF19" i="16" s="1"/>
  <c r="AD19" i="16" s="1"/>
  <c r="AG144" i="16"/>
  <c r="AF144" i="16" s="1"/>
  <c r="AD144" i="16" s="1"/>
  <c r="AG118" i="16"/>
  <c r="AF118" i="16" s="1"/>
  <c r="AD118" i="16" s="1"/>
  <c r="AG263" i="16"/>
  <c r="AF263" i="16" s="1"/>
  <c r="AD263" i="16" s="1"/>
  <c r="AG206" i="16"/>
  <c r="AF206" i="16" s="1"/>
  <c r="AD206" i="16" s="1"/>
  <c r="AG307" i="16"/>
  <c r="AF307" i="16" s="1"/>
  <c r="AD307" i="16" s="1"/>
  <c r="AG103" i="16"/>
  <c r="AF103" i="16" s="1"/>
  <c r="AD103" i="16" s="1"/>
  <c r="AG115" i="16"/>
  <c r="AF115" i="16" s="1"/>
  <c r="AD115" i="16" s="1"/>
  <c r="AG48" i="16"/>
  <c r="AF48" i="16" s="1"/>
  <c r="AD48" i="16" s="1"/>
  <c r="AG346" i="16"/>
  <c r="AF346" i="16" s="1"/>
  <c r="AD346" i="16" s="1"/>
  <c r="AG157" i="16"/>
  <c r="AF157" i="16" s="1"/>
  <c r="AD157" i="16" s="1"/>
  <c r="AG308" i="16"/>
  <c r="AF308" i="16" s="1"/>
  <c r="AD308" i="16" s="1"/>
  <c r="AA308" i="16" s="1"/>
  <c r="Z308" i="16" s="1"/>
  <c r="Y308" i="16" s="1"/>
  <c r="AG270" i="16"/>
  <c r="AF270" i="16" s="1"/>
  <c r="AD270" i="16" s="1"/>
  <c r="AG229" i="16"/>
  <c r="AF229" i="16" s="1"/>
  <c r="AD229" i="16" s="1"/>
  <c r="AG85" i="16"/>
  <c r="AF85" i="16" s="1"/>
  <c r="AD85" i="16" s="1"/>
  <c r="AG259" i="16"/>
  <c r="AF259" i="16" s="1"/>
  <c r="AD259" i="16" s="1"/>
  <c r="AG210" i="16"/>
  <c r="AF210" i="16" s="1"/>
  <c r="AD210" i="16" s="1"/>
  <c r="AG124" i="16"/>
  <c r="AF124" i="16" s="1"/>
  <c r="AD124" i="16" s="1"/>
  <c r="AG175" i="16"/>
  <c r="AF175" i="16" s="1"/>
  <c r="AD175" i="16" s="1"/>
  <c r="AG58" i="16"/>
  <c r="AF58" i="16" s="1"/>
  <c r="AD58" i="16" s="1"/>
  <c r="AG139" i="16"/>
  <c r="AF139" i="16" s="1"/>
  <c r="AD139" i="16" s="1"/>
  <c r="AG201" i="16"/>
  <c r="AF201" i="16" s="1"/>
  <c r="AD201" i="16" s="1"/>
  <c r="AG231" i="16"/>
  <c r="AF231" i="16" s="1"/>
  <c r="AD231" i="16" s="1"/>
  <c r="AG89" i="16"/>
  <c r="AF89" i="16" s="1"/>
  <c r="AD89" i="16" s="1"/>
  <c r="AG74" i="16"/>
  <c r="AF74" i="16" s="1"/>
  <c r="AD74" i="16" s="1"/>
  <c r="AG328" i="16"/>
  <c r="AF328" i="16" s="1"/>
  <c r="AD328" i="16" s="1"/>
  <c r="AG335" i="16"/>
  <c r="AF335" i="16" s="1"/>
  <c r="AD335" i="16" s="1"/>
  <c r="AG365" i="16"/>
  <c r="AF365" i="16" s="1"/>
  <c r="AD365" i="16" s="1"/>
  <c r="AG77" i="16"/>
  <c r="AF77" i="16" s="1"/>
  <c r="AD77" i="16" s="1"/>
  <c r="AG313" i="16"/>
  <c r="AF313" i="16" s="1"/>
  <c r="AD313" i="16" s="1"/>
  <c r="AG164" i="16"/>
  <c r="AF164" i="16" s="1"/>
  <c r="AD164" i="16" s="1"/>
  <c r="AA164" i="16" s="1"/>
  <c r="Z164" i="16" s="1"/>
  <c r="Y164" i="16" s="1"/>
  <c r="AG344" i="16"/>
  <c r="AF344" i="16" s="1"/>
  <c r="AD344" i="16" s="1"/>
  <c r="AG310" i="16"/>
  <c r="AF310" i="16" s="1"/>
  <c r="AD310" i="16" s="1"/>
  <c r="AG17" i="16"/>
  <c r="AF17" i="16" s="1"/>
  <c r="AD17" i="16" s="1"/>
  <c r="AG257" i="16"/>
  <c r="AF257" i="16" s="1"/>
  <c r="AD257" i="16" s="1"/>
  <c r="AG222" i="16"/>
  <c r="AF222" i="16" s="1"/>
  <c r="AD222" i="16" s="1"/>
  <c r="AG196" i="16"/>
  <c r="AF196" i="16" s="1"/>
  <c r="AD196" i="16" s="1"/>
  <c r="AG294" i="16"/>
  <c r="AF294" i="16" s="1"/>
  <c r="AD294" i="16" s="1"/>
  <c r="AG104" i="16"/>
  <c r="AF104" i="16" s="1"/>
  <c r="AD104" i="16" s="1"/>
  <c r="AG208" i="16"/>
  <c r="AF208" i="16" s="1"/>
  <c r="AD208" i="16" s="1"/>
  <c r="AG198" i="16"/>
  <c r="AF198" i="16" s="1"/>
  <c r="AD198" i="16" s="1"/>
  <c r="AG292" i="16"/>
  <c r="AF292" i="16" s="1"/>
  <c r="AD292" i="16" s="1"/>
  <c r="AG214" i="16"/>
  <c r="AF214" i="16" s="1"/>
  <c r="AD214" i="16" s="1"/>
  <c r="AG177" i="16"/>
  <c r="AF177" i="16" s="1"/>
  <c r="AD177" i="16" s="1"/>
  <c r="AG343" i="16"/>
  <c r="AF343" i="16" s="1"/>
  <c r="AD343" i="16" s="1"/>
  <c r="AG179" i="16"/>
  <c r="AF179" i="16" s="1"/>
  <c r="AD179" i="16" s="1"/>
  <c r="AG160" i="16"/>
  <c r="AF160" i="16" s="1"/>
  <c r="AD160" i="16" s="1"/>
  <c r="AG215" i="16"/>
  <c r="AF215" i="16" s="1"/>
  <c r="AD215" i="16" s="1"/>
  <c r="AG51" i="16"/>
  <c r="AF51" i="16" s="1"/>
  <c r="AD51" i="16" s="1"/>
  <c r="AG88" i="16"/>
  <c r="AF88" i="16" s="1"/>
  <c r="AD88" i="16" s="1"/>
  <c r="AG276" i="16"/>
  <c r="AF276" i="16" s="1"/>
  <c r="AD276" i="16" s="1"/>
  <c r="J319" i="15"/>
  <c r="I319" i="15"/>
  <c r="I289" i="15"/>
  <c r="J289" i="15"/>
  <c r="J142" i="15"/>
  <c r="I142" i="15"/>
  <c r="I239" i="15"/>
  <c r="J239" i="15"/>
  <c r="J25" i="15"/>
  <c r="I25" i="15"/>
  <c r="I241" i="15"/>
  <c r="J241" i="15"/>
  <c r="J255" i="15"/>
  <c r="I255" i="15"/>
  <c r="I216" i="15"/>
  <c r="J216" i="15"/>
  <c r="J17" i="15"/>
  <c r="I17" i="15"/>
  <c r="J284" i="15"/>
  <c r="I284" i="15"/>
  <c r="H199" i="16"/>
  <c r="H258" i="16"/>
  <c r="AC27" i="23"/>
  <c r="AC112" i="23"/>
  <c r="AC23" i="23"/>
  <c r="AC26" i="23"/>
  <c r="AC33" i="23"/>
  <c r="AC131" i="23"/>
  <c r="AC95" i="23"/>
  <c r="AC118" i="23"/>
  <c r="AC86" i="23"/>
  <c r="AC89" i="23"/>
  <c r="AC55" i="23"/>
  <c r="AC111" i="23"/>
  <c r="AC81" i="23"/>
  <c r="AC42" i="23"/>
  <c r="AC129" i="23"/>
  <c r="AC98" i="23"/>
  <c r="AC63" i="23"/>
  <c r="AC15" i="23"/>
  <c r="AC124" i="23"/>
  <c r="AC79" i="23"/>
  <c r="AC31" i="23"/>
  <c r="AC61" i="23"/>
  <c r="AC73" i="23"/>
  <c r="AC32" i="23"/>
  <c r="AC18" i="23"/>
  <c r="AC44" i="23"/>
  <c r="AC84" i="23"/>
  <c r="AC38" i="23"/>
  <c r="AC72" i="23"/>
  <c r="AC46" i="23"/>
  <c r="AC108" i="23"/>
  <c r="AC21" i="23"/>
  <c r="AC82" i="23"/>
  <c r="AC80" i="23"/>
  <c r="AC116" i="23"/>
  <c r="AC94" i="23"/>
  <c r="AC16" i="23"/>
  <c r="AC29" i="23"/>
  <c r="AC41" i="23"/>
  <c r="AC74" i="23"/>
  <c r="AC67" i="23"/>
  <c r="AC17" i="23"/>
  <c r="AC105" i="23"/>
  <c r="AC109" i="23"/>
  <c r="AC47" i="23"/>
  <c r="AC75" i="23"/>
  <c r="AC49" i="23"/>
  <c r="AC45" i="23"/>
  <c r="AC128" i="23"/>
  <c r="AC90" i="23"/>
  <c r="AC36" i="23"/>
  <c r="AC127" i="23"/>
  <c r="AC62" i="23"/>
  <c r="AC100" i="23"/>
  <c r="AC51" i="23"/>
  <c r="AC133" i="23"/>
  <c r="AC99" i="23"/>
  <c r="AC37" i="23"/>
  <c r="AC70" i="23"/>
  <c r="AC40" i="23"/>
  <c r="AC103" i="23"/>
  <c r="AC20" i="23"/>
  <c r="AC130" i="23"/>
  <c r="AC50" i="23"/>
  <c r="AC60" i="23"/>
  <c r="AC101" i="23"/>
  <c r="AC121" i="23"/>
  <c r="AC96" i="23"/>
  <c r="AC19" i="23"/>
  <c r="AC113" i="23"/>
  <c r="AC119" i="23"/>
  <c r="AC48" i="23"/>
  <c r="AC120" i="23"/>
  <c r="AC87" i="23"/>
  <c r="AC56" i="23"/>
  <c r="AC76" i="23"/>
  <c r="AC43" i="23"/>
  <c r="AC97" i="23"/>
  <c r="AC92" i="23"/>
  <c r="AC132" i="23"/>
  <c r="AC25" i="23"/>
  <c r="AC110" i="23"/>
  <c r="AC115" i="23"/>
  <c r="AC66" i="23"/>
  <c r="AC53" i="23"/>
  <c r="AC122" i="23"/>
  <c r="AC24" i="23"/>
  <c r="AC57" i="23"/>
  <c r="AC93" i="23"/>
  <c r="AC91" i="23"/>
  <c r="AC126" i="23"/>
  <c r="AC125" i="23"/>
  <c r="AC77" i="23"/>
  <c r="AC71" i="23"/>
  <c r="AC22" i="23"/>
  <c r="AC114" i="23"/>
  <c r="AC117" i="23"/>
  <c r="AC54" i="23"/>
  <c r="AC85" i="23"/>
  <c r="AC30" i="23"/>
  <c r="AC58" i="23"/>
  <c r="AC65" i="23"/>
  <c r="AC83" i="23"/>
  <c r="AC123" i="23"/>
  <c r="AC104" i="23"/>
  <c r="AC34" i="23"/>
  <c r="AC68" i="23"/>
  <c r="AC64" i="23"/>
  <c r="AC102" i="23"/>
  <c r="AC78" i="23"/>
  <c r="AC28" i="23"/>
  <c r="AC107" i="23"/>
  <c r="AC88" i="23"/>
  <c r="AC35" i="23"/>
  <c r="AC59" i="23"/>
  <c r="AC69" i="23"/>
  <c r="AC106" i="23"/>
  <c r="AC39" i="23"/>
  <c r="AC52" i="23"/>
  <c r="Z15" i="1"/>
  <c r="AL9" i="1"/>
  <c r="AA382" i="1"/>
  <c r="AA9" i="1"/>
  <c r="AA383" i="1"/>
  <c r="AM8" i="1"/>
  <c r="AA381" i="1"/>
  <c r="AA17" i="15"/>
  <c r="Z17" i="15" s="1"/>
  <c r="Y17" i="15" s="1"/>
  <c r="AD383" i="15"/>
  <c r="AD381" i="15"/>
  <c r="AD382" i="15"/>
  <c r="BL11" i="7"/>
  <c r="BJ15" i="7"/>
  <c r="BK11" i="7"/>
  <c r="AK9" i="24"/>
  <c r="AM9" i="24"/>
  <c r="AK5" i="24"/>
  <c r="AM7" i="24"/>
  <c r="AM11" i="24" s="1"/>
  <c r="AM5" i="24"/>
  <c r="AK7" i="24"/>
  <c r="AK11" i="24" s="1"/>
  <c r="L19" i="19"/>
  <c r="AI11" i="24"/>
  <c r="AE11" i="24"/>
  <c r="P10" i="24"/>
  <c r="AK380" i="25"/>
  <c r="AK18" i="25"/>
  <c r="AK22" i="25"/>
  <c r="AK27" i="25"/>
  <c r="AK16" i="25"/>
  <c r="AK17" i="25"/>
  <c r="AK26" i="25"/>
  <c r="AK19" i="25"/>
  <c r="AK23" i="25"/>
  <c r="AK30" i="25"/>
  <c r="AK34" i="25"/>
  <c r="AK38" i="25"/>
  <c r="AK40" i="25"/>
  <c r="AK45" i="25"/>
  <c r="AK47" i="25"/>
  <c r="AK50" i="25"/>
  <c r="AK55" i="25"/>
  <c r="AK60" i="25"/>
  <c r="AK31" i="25"/>
  <c r="AK35" i="25"/>
  <c r="AK41" i="25"/>
  <c r="AK43" i="25"/>
  <c r="AK51" i="25"/>
  <c r="AK53" i="25"/>
  <c r="AK58" i="25"/>
  <c r="AK61" i="25"/>
  <c r="AK63" i="25"/>
  <c r="AK68" i="25"/>
  <c r="AK71" i="25"/>
  <c r="AK74" i="25"/>
  <c r="AK77" i="25"/>
  <c r="AK81" i="25"/>
  <c r="AK83" i="25"/>
  <c r="AK86" i="25"/>
  <c r="AK89" i="25"/>
  <c r="AK92" i="25"/>
  <c r="AK95" i="25"/>
  <c r="AK101" i="25"/>
  <c r="AK106" i="25"/>
  <c r="AK108" i="25"/>
  <c r="AK113" i="25"/>
  <c r="AK115" i="25"/>
  <c r="AK117" i="25"/>
  <c r="AK121" i="25"/>
  <c r="AK124" i="25"/>
  <c r="AK67" i="25"/>
  <c r="AK72" i="25"/>
  <c r="AK78" i="25"/>
  <c r="AK85" i="25"/>
  <c r="AK91" i="25"/>
  <c r="AK96" i="25"/>
  <c r="AK99" i="25"/>
  <c r="AK102" i="25"/>
  <c r="AK110" i="25"/>
  <c r="AK125" i="25"/>
  <c r="AK131" i="25"/>
  <c r="AK134" i="25"/>
  <c r="AK137" i="25"/>
  <c r="AK139" i="25"/>
  <c r="AK141" i="25"/>
  <c r="AK147" i="25"/>
  <c r="AK151" i="25"/>
  <c r="AK157" i="25"/>
  <c r="AK159" i="25"/>
  <c r="AK164" i="25"/>
  <c r="AK167" i="25"/>
  <c r="AK169" i="25"/>
  <c r="AK171" i="25"/>
  <c r="AK173" i="25"/>
  <c r="AK176" i="25"/>
  <c r="AK105" i="25"/>
  <c r="AK119" i="25"/>
  <c r="AK126" i="25"/>
  <c r="AK129" i="25"/>
  <c r="AK132" i="25"/>
  <c r="AK142" i="25"/>
  <c r="AK144" i="25"/>
  <c r="AK148" i="25"/>
  <c r="AK152" i="25"/>
  <c r="AK154" i="25"/>
  <c r="AK160" i="25"/>
  <c r="AK162" i="25"/>
  <c r="AK174" i="25"/>
  <c r="AK182" i="25"/>
  <c r="AK185" i="25"/>
  <c r="AK189" i="25"/>
  <c r="AK193" i="25"/>
  <c r="AK198" i="25"/>
  <c r="AK201" i="25"/>
  <c r="AK203" i="25"/>
  <c r="AK208" i="25"/>
  <c r="AK212" i="25"/>
  <c r="AK222" i="25"/>
  <c r="AK225" i="25"/>
  <c r="AK229" i="25"/>
  <c r="AK233" i="25"/>
  <c r="AK237" i="25"/>
  <c r="AK241" i="25"/>
  <c r="AK244" i="25"/>
  <c r="AK247" i="25"/>
  <c r="AK249" i="25"/>
  <c r="AK252" i="25"/>
  <c r="AK256" i="25"/>
  <c r="AK259" i="25"/>
  <c r="AK262" i="25"/>
  <c r="AK272" i="25"/>
  <c r="AK276" i="25"/>
  <c r="AK281" i="25"/>
  <c r="AK291" i="25"/>
  <c r="AK295" i="25"/>
  <c r="AK299" i="25"/>
  <c r="AK178" i="25"/>
  <c r="AK180" i="25"/>
  <c r="AK183" i="25"/>
  <c r="AK187" i="25"/>
  <c r="AK192" i="25"/>
  <c r="AK195" i="25"/>
  <c r="AK200" i="25"/>
  <c r="AK205" i="25"/>
  <c r="AK209" i="25"/>
  <c r="AK214" i="25"/>
  <c r="AK216" i="25"/>
  <c r="AK218" i="25"/>
  <c r="AK220" i="25"/>
  <c r="AK223" i="25"/>
  <c r="AK228" i="25"/>
  <c r="AK232" i="25"/>
  <c r="AK236" i="25"/>
  <c r="AK240" i="25"/>
  <c r="AK245" i="25"/>
  <c r="AK254" i="25"/>
  <c r="AK258" i="25"/>
  <c r="AK263" i="25"/>
  <c r="AK265" i="25"/>
  <c r="AK268" i="25"/>
  <c r="AK270" i="25"/>
  <c r="AK274" i="25"/>
  <c r="AK277" i="25"/>
  <c r="AK279" i="25"/>
  <c r="AK283" i="25"/>
  <c r="AK286" i="25"/>
  <c r="AK288" i="25"/>
  <c r="AK290" i="25"/>
  <c r="AK302" i="25"/>
  <c r="AK305" i="25"/>
  <c r="AK307" i="25"/>
  <c r="AK313" i="25"/>
  <c r="AK318" i="25"/>
  <c r="AK325" i="25"/>
  <c r="AK333" i="25"/>
  <c r="AK336" i="25"/>
  <c r="AK340" i="25"/>
  <c r="AK344" i="25"/>
  <c r="AK348" i="25"/>
  <c r="AK354" i="25"/>
  <c r="AK356" i="25"/>
  <c r="AK358" i="25"/>
  <c r="AK361" i="25"/>
  <c r="AK364" i="25"/>
  <c r="AK369" i="25"/>
  <c r="AK292" i="25"/>
  <c r="AK304" i="25"/>
  <c r="AK310" i="25"/>
  <c r="AK317" i="25"/>
  <c r="AK324" i="25"/>
  <c r="AK335" i="25"/>
  <c r="AK338" i="25"/>
  <c r="AK350" i="25"/>
  <c r="AK353" i="25"/>
  <c r="AK368" i="25"/>
  <c r="AK374" i="25"/>
  <c r="AK296" i="25"/>
  <c r="AK319" i="25"/>
  <c r="AK328" i="25"/>
  <c r="AK331" i="25"/>
  <c r="AK341" i="25"/>
  <c r="AK360" i="25"/>
  <c r="AK372" i="25"/>
  <c r="AK377" i="25"/>
  <c r="AK308" i="25"/>
  <c r="AK321" i="25"/>
  <c r="AK343" i="25"/>
  <c r="AK365" i="25"/>
  <c r="AK373" i="25"/>
  <c r="F8" i="25"/>
  <c r="AK21" i="25"/>
  <c r="AK25" i="25"/>
  <c r="AK28" i="25"/>
  <c r="P12" i="25"/>
  <c r="AK24" i="25"/>
  <c r="AK15" i="25"/>
  <c r="AK20" i="25"/>
  <c r="AK29" i="25"/>
  <c r="AK32" i="25"/>
  <c r="AK36" i="25"/>
  <c r="AK39" i="25"/>
  <c r="AK44" i="25"/>
  <c r="AK46" i="25"/>
  <c r="AK48" i="25"/>
  <c r="AK54" i="25"/>
  <c r="AK57" i="25"/>
  <c r="AK64" i="25"/>
  <c r="AK33" i="25"/>
  <c r="AK37" i="25"/>
  <c r="AK42" i="25"/>
  <c r="AK49" i="25"/>
  <c r="AK52" i="25"/>
  <c r="AK56" i="25"/>
  <c r="AK59" i="25"/>
  <c r="AK62" i="25"/>
  <c r="AK66" i="25"/>
  <c r="AK70" i="25"/>
  <c r="AK73" i="25"/>
  <c r="AK76" i="25"/>
  <c r="AK80" i="25"/>
  <c r="AK82" i="25"/>
  <c r="AK84" i="25"/>
  <c r="AK88" i="25"/>
  <c r="AK90" i="25"/>
  <c r="AK94" i="25"/>
  <c r="AK97" i="25"/>
  <c r="AK103" i="25"/>
  <c r="AK107" i="25"/>
  <c r="AK111" i="25"/>
  <c r="AK114" i="25"/>
  <c r="AK116" i="25"/>
  <c r="AK120" i="25"/>
  <c r="AK123" i="25"/>
  <c r="AK65" i="25"/>
  <c r="AK69" i="25"/>
  <c r="AK75" i="25"/>
  <c r="AK79" i="25"/>
  <c r="AK87" i="25"/>
  <c r="AK93" i="25"/>
  <c r="AK98" i="25"/>
  <c r="AK100" i="25"/>
  <c r="AK109" i="25"/>
  <c r="AK118" i="25"/>
  <c r="AK127" i="25"/>
  <c r="AK133" i="25"/>
  <c r="AK135" i="25"/>
  <c r="AK138" i="25"/>
  <c r="AK140" i="25"/>
  <c r="AK146" i="25"/>
  <c r="AK150" i="25"/>
  <c r="AK156" i="25"/>
  <c r="AK158" i="25"/>
  <c r="AK163" i="25"/>
  <c r="AK165" i="25"/>
  <c r="AK168" i="25"/>
  <c r="AK170" i="25"/>
  <c r="AK172" i="25"/>
  <c r="AK175" i="25"/>
  <c r="AK104" i="25"/>
  <c r="AK112" i="25"/>
  <c r="AK122" i="25"/>
  <c r="AK128" i="25"/>
  <c r="AK130" i="25"/>
  <c r="AK136" i="25"/>
  <c r="AK143" i="25"/>
  <c r="AK145" i="25"/>
  <c r="AK149" i="25"/>
  <c r="AK153" i="25"/>
  <c r="AK155" i="25"/>
  <c r="AK161" i="25"/>
  <c r="AK166" i="25"/>
  <c r="AK177" i="25"/>
  <c r="AK184" i="25"/>
  <c r="AK188" i="25"/>
  <c r="AK190" i="25"/>
  <c r="AK197" i="25"/>
  <c r="AK199" i="25"/>
  <c r="AK202" i="25"/>
  <c r="AK206" i="25"/>
  <c r="AK211" i="25"/>
  <c r="AK213" i="25"/>
  <c r="AK224" i="25"/>
  <c r="AK226" i="25"/>
  <c r="AK231" i="25"/>
  <c r="AK234" i="25"/>
  <c r="AK239" i="25"/>
  <c r="AK243" i="25"/>
  <c r="AK246" i="25"/>
  <c r="AK248" i="25"/>
  <c r="AK251" i="25"/>
  <c r="AK253" i="25"/>
  <c r="AK257" i="25"/>
  <c r="AK261" i="25"/>
  <c r="AK267" i="25"/>
  <c r="AK273" i="25"/>
  <c r="AK280" i="25"/>
  <c r="AK284" i="25"/>
  <c r="AK293" i="25"/>
  <c r="AK298" i="25"/>
  <c r="AK301" i="25"/>
  <c r="AK179" i="25"/>
  <c r="AK181" i="25"/>
  <c r="AK186" i="25"/>
  <c r="AK191" i="25"/>
  <c r="AK194" i="25"/>
  <c r="AK196" i="25"/>
  <c r="AK204" i="25"/>
  <c r="AK207" i="25"/>
  <c r="AK210" i="25"/>
  <c r="AK215" i="25"/>
  <c r="AK217" i="25"/>
  <c r="AK219" i="25"/>
  <c r="AK221" i="25"/>
  <c r="AK227" i="25"/>
  <c r="AK230" i="25"/>
  <c r="AK235" i="25"/>
  <c r="AK238" i="25"/>
  <c r="AK242" i="25"/>
  <c r="AK250" i="25"/>
  <c r="AK255" i="25"/>
  <c r="AK260" i="25"/>
  <c r="AK264" i="25"/>
  <c r="AK266" i="25"/>
  <c r="AK269" i="25"/>
  <c r="AK271" i="25"/>
  <c r="AK275" i="25"/>
  <c r="AK278" i="25"/>
  <c r="AK282" i="25"/>
  <c r="AK285" i="25"/>
  <c r="AK287" i="25"/>
  <c r="AK289" i="25"/>
  <c r="AK294" i="25"/>
  <c r="AK303" i="25"/>
  <c r="AK306" i="25"/>
  <c r="AK311" i="25"/>
  <c r="AK316" i="25"/>
  <c r="AK320" i="25"/>
  <c r="AK327" i="25"/>
  <c r="AK334" i="25"/>
  <c r="AK339" i="25"/>
  <c r="AK342" i="25"/>
  <c r="AK347" i="25"/>
  <c r="AK349" i="25"/>
  <c r="AK355" i="25"/>
  <c r="AK357" i="25"/>
  <c r="AK359" i="25"/>
  <c r="AK362" i="25"/>
  <c r="AK367" i="25"/>
  <c r="AK371" i="25"/>
  <c r="AK300" i="25"/>
  <c r="AK309" i="25"/>
  <c r="AK315" i="25"/>
  <c r="AK322" i="25"/>
  <c r="AK326" i="25"/>
  <c r="AK337" i="25"/>
  <c r="AK346" i="25"/>
  <c r="AK352" i="25"/>
  <c r="AK363" i="25"/>
  <c r="AK370" i="25"/>
  <c r="AK375" i="25"/>
  <c r="AK314" i="25"/>
  <c r="AK323" i="25"/>
  <c r="AK329" i="25"/>
  <c r="AK332" i="25"/>
  <c r="AK351" i="25"/>
  <c r="AK366" i="25"/>
  <c r="AK376" i="25"/>
  <c r="AK297" i="25"/>
  <c r="AK312" i="25"/>
  <c r="AK330" i="25"/>
  <c r="AK345" i="25"/>
  <c r="AK378" i="25"/>
  <c r="AK379" i="25"/>
  <c r="Q69" i="17"/>
  <c r="Q89" i="17"/>
  <c r="Q180" i="17"/>
  <c r="Q18" i="17"/>
  <c r="Q282" i="17"/>
  <c r="Q193" i="17"/>
  <c r="Q44" i="17"/>
  <c r="Q115" i="17"/>
  <c r="Q109" i="17"/>
  <c r="Q340" i="17"/>
  <c r="Q232" i="17"/>
  <c r="Q298" i="17"/>
  <c r="Q338" i="17"/>
  <c r="Q269" i="17"/>
  <c r="Q120" i="17"/>
  <c r="Q221" i="17"/>
  <c r="Q283" i="17"/>
  <c r="Q273" i="17"/>
  <c r="Q101" i="17"/>
  <c r="Q207" i="17"/>
  <c r="Q41" i="17"/>
  <c r="Q111" i="17"/>
  <c r="Q119" i="17"/>
  <c r="Q117" i="17"/>
  <c r="Q204" i="17"/>
  <c r="Q297" i="17"/>
  <c r="Q22" i="17"/>
  <c r="Q31" i="17"/>
  <c r="Q334" i="17"/>
  <c r="Q356" i="17"/>
  <c r="Q175" i="17"/>
  <c r="Q141" i="17"/>
  <c r="Q184" i="17"/>
  <c r="Q39" i="17"/>
  <c r="Q73" i="17"/>
  <c r="Q179" i="17"/>
  <c r="Q337" i="17"/>
  <c r="Q122" i="17"/>
  <c r="Q34" i="17"/>
  <c r="Q358" i="17"/>
  <c r="Q291" i="17"/>
  <c r="Q378" i="17"/>
  <c r="Q218" i="17"/>
  <c r="Q365" i="17"/>
  <c r="Q131" i="17"/>
  <c r="Q353" i="17"/>
  <c r="Q54" i="17"/>
  <c r="Q98" i="17"/>
  <c r="Q209" i="17"/>
  <c r="Q275" i="17"/>
  <c r="Q349" i="17"/>
  <c r="Q132" i="17"/>
  <c r="Q379" i="17"/>
  <c r="Q330" i="17"/>
  <c r="Q242" i="17"/>
  <c r="Q154" i="17"/>
  <c r="Q78" i="17"/>
  <c r="Q100" i="17"/>
  <c r="Q243" i="17"/>
  <c r="Q27" i="17"/>
  <c r="Q321" i="17"/>
  <c r="Q214" i="17"/>
  <c r="Q350" i="17"/>
  <c r="Q114" i="17"/>
  <c r="Q55" i="17"/>
  <c r="Q165" i="17"/>
  <c r="Q233" i="17"/>
  <c r="Q58" i="17"/>
  <c r="Q71" i="17"/>
  <c r="Q208" i="17"/>
  <c r="Q61" i="17"/>
  <c r="Q329" i="17"/>
  <c r="Q326" i="17"/>
  <c r="Q49" i="17"/>
  <c r="Q332" i="17"/>
  <c r="Q201" i="17"/>
  <c r="Q95" i="17"/>
  <c r="Q20" i="17"/>
  <c r="Q151" i="17"/>
  <c r="Q286" i="17"/>
  <c r="Q301" i="17"/>
  <c r="Q217" i="17"/>
  <c r="Q84" i="17"/>
  <c r="Q351" i="17"/>
  <c r="Q302" i="17"/>
  <c r="Q210" i="17"/>
  <c r="Q347" i="17"/>
  <c r="Q255" i="17"/>
  <c r="Q309" i="17"/>
  <c r="Q26" i="17"/>
  <c r="Q304" i="17"/>
  <c r="Q136" i="17"/>
  <c r="W15" i="7"/>
  <c r="AE356" i="17"/>
  <c r="AE129" i="17"/>
  <c r="AE72" i="17"/>
  <c r="AE55" i="17"/>
  <c r="AE254" i="17"/>
  <c r="AE291" i="17"/>
  <c r="AE188" i="17"/>
  <c r="AE273" i="17"/>
  <c r="AE253" i="17"/>
  <c r="AE293" i="17"/>
  <c r="AE170" i="17"/>
  <c r="AE77" i="17"/>
  <c r="AE20" i="17"/>
  <c r="AE248" i="17"/>
  <c r="AE159" i="17"/>
  <c r="AE358" i="17"/>
  <c r="AE102" i="17"/>
  <c r="AE235" i="17"/>
  <c r="AE137" i="17"/>
  <c r="AE80" i="17"/>
  <c r="AE75" i="17"/>
  <c r="AE274" i="17"/>
  <c r="AE15" i="17"/>
  <c r="AE324" i="17"/>
  <c r="AE97" i="17"/>
  <c r="AE40" i="17"/>
  <c r="AE39" i="17"/>
  <c r="AE238" i="17"/>
  <c r="AE225" i="17"/>
  <c r="AE156" i="17"/>
  <c r="AE209" i="17"/>
  <c r="AE221" i="17"/>
  <c r="AE263" i="17"/>
  <c r="AE154" i="17"/>
  <c r="AE45" i="17"/>
  <c r="AE345" i="17"/>
  <c r="AE216" i="17"/>
  <c r="AE143" i="17"/>
  <c r="AE342" i="17"/>
  <c r="AE86" i="17"/>
  <c r="AE364" i="17"/>
  <c r="AE105" i="17"/>
  <c r="AE48" i="17"/>
  <c r="AE59" i="17"/>
  <c r="AE258" i="17"/>
  <c r="AE241" i="17"/>
  <c r="AE164" i="17"/>
  <c r="AE227" i="17"/>
  <c r="AE229" i="17"/>
  <c r="AE269" i="17"/>
  <c r="AE158" i="17"/>
  <c r="AE53" i="17"/>
  <c r="AE361" i="17"/>
  <c r="AE224" i="17"/>
  <c r="AE131" i="17"/>
  <c r="AE330" i="17"/>
  <c r="AE74" i="17"/>
  <c r="AE340" i="17"/>
  <c r="AE113" i="17"/>
  <c r="AE56" i="17"/>
  <c r="AE63" i="17"/>
  <c r="AE262" i="17"/>
  <c r="AE323" i="17"/>
  <c r="AE204" i="17"/>
  <c r="AE243" i="17"/>
  <c r="AE271" i="17"/>
  <c r="AE311" i="17"/>
  <c r="AE178" i="17"/>
  <c r="AE61" i="17"/>
  <c r="AE379" i="17"/>
  <c r="AE232" i="17"/>
  <c r="AE135" i="17"/>
  <c r="AE334" i="17"/>
  <c r="AE78" i="17"/>
  <c r="AE348" i="17"/>
  <c r="AE121" i="17"/>
  <c r="AE64" i="17"/>
  <c r="AE51" i="17"/>
  <c r="AE250" i="17"/>
  <c r="AE275" i="17"/>
  <c r="AE180" i="17"/>
  <c r="AE259" i="17"/>
  <c r="AE279" i="17"/>
  <c r="AE317" i="17"/>
  <c r="AE182" i="17"/>
  <c r="AE101" i="17"/>
  <c r="AE44" i="17"/>
  <c r="AE240" i="17"/>
  <c r="AE155" i="17"/>
  <c r="AE354" i="17"/>
  <c r="AE98" i="17"/>
  <c r="AE29" i="17"/>
  <c r="AE315" i="17"/>
  <c r="AE200" i="17"/>
  <c r="AE119" i="17"/>
  <c r="AE318" i="17"/>
  <c r="AE62" i="17"/>
  <c r="AE316" i="17"/>
  <c r="AE89" i="17"/>
  <c r="AE32" i="17"/>
  <c r="AE35" i="17"/>
  <c r="AE234" i="17"/>
  <c r="AE211" i="17"/>
  <c r="AE148" i="17"/>
  <c r="AE376" i="17"/>
  <c r="AE245" i="17"/>
  <c r="AE285" i="17"/>
  <c r="AE166" i="17"/>
  <c r="AE69" i="17"/>
  <c r="AE329" i="17"/>
  <c r="AE208" i="17"/>
  <c r="AE139" i="17"/>
  <c r="AE338" i="17"/>
  <c r="AE82" i="17"/>
  <c r="AE347" i="17"/>
  <c r="AE249" i="17"/>
  <c r="AE168" i="17"/>
  <c r="AE103" i="17"/>
  <c r="AE302" i="17"/>
  <c r="AE46" i="17"/>
  <c r="AE284" i="17"/>
  <c r="AE57" i="17"/>
  <c r="AE349" i="17"/>
  <c r="AE18" i="17"/>
  <c r="AE218" i="17"/>
  <c r="AE173" i="17"/>
  <c r="AE116" i="17"/>
  <c r="AE344" i="17"/>
  <c r="AE215" i="17"/>
  <c r="AE255" i="17"/>
  <c r="AE150" i="17"/>
  <c r="AE37" i="17"/>
  <c r="AE265" i="17"/>
  <c r="AE176" i="17"/>
  <c r="AE123" i="17"/>
  <c r="AE322" i="17"/>
  <c r="AE66" i="17"/>
  <c r="AE292" i="17"/>
  <c r="AE65" i="17"/>
  <c r="AE357" i="17"/>
  <c r="AE23" i="17"/>
  <c r="AE222" i="17"/>
  <c r="AE181" i="17"/>
  <c r="AE124" i="17"/>
  <c r="AE352" i="17"/>
  <c r="AE197" i="17"/>
  <c r="AE231" i="17"/>
  <c r="AE138" i="17"/>
  <c r="AE377" i="17"/>
  <c r="AE283" i="17"/>
  <c r="AE184" i="17"/>
  <c r="AE127" i="17"/>
  <c r="AE326" i="17"/>
  <c r="AE70" i="17"/>
  <c r="AE332" i="17"/>
  <c r="AE73" i="17"/>
  <c r="AE19" i="17"/>
  <c r="AE43" i="17"/>
  <c r="AE242" i="17"/>
  <c r="AE191" i="17"/>
  <c r="AE132" i="17"/>
  <c r="AE360" i="17"/>
  <c r="AE201" i="17"/>
  <c r="AE237" i="17"/>
  <c r="AE142" i="17"/>
  <c r="AE21" i="17"/>
  <c r="AE299" i="17"/>
  <c r="AE192" i="17"/>
  <c r="AE115" i="17"/>
  <c r="AE314" i="17"/>
  <c r="AE58" i="17"/>
  <c r="AE308" i="17"/>
  <c r="AE81" i="17"/>
  <c r="AE24" i="17"/>
  <c r="AE47" i="17"/>
  <c r="AE246" i="17"/>
  <c r="AE257" i="17"/>
  <c r="AE172" i="17"/>
  <c r="AE368" i="17"/>
  <c r="AE239" i="17"/>
  <c r="AE277" i="17"/>
  <c r="AE162" i="17"/>
  <c r="Q177" i="17"/>
  <c r="Q46" i="17"/>
  <c r="Q374" i="17"/>
  <c r="Q124" i="17"/>
  <c r="Q299" i="17"/>
  <c r="Q134" i="17"/>
  <c r="Q228" i="17"/>
  <c r="Q310" i="17"/>
  <c r="Q318" i="17"/>
  <c r="Q135" i="17"/>
  <c r="Q121" i="17"/>
  <c r="Q224" i="17"/>
  <c r="Q150" i="17"/>
  <c r="Q37" i="17"/>
  <c r="Q107" i="17"/>
  <c r="Q245" i="17"/>
  <c r="Q259" i="17"/>
  <c r="Q293" i="17"/>
  <c r="Q36" i="17"/>
  <c r="Q174" i="17"/>
  <c r="Q91" i="17"/>
  <c r="Q199" i="17"/>
  <c r="Q287" i="17"/>
  <c r="Q52" i="17"/>
  <c r="Q339" i="17"/>
  <c r="Q336" i="17"/>
  <c r="Q186" i="17"/>
  <c r="Q237" i="17"/>
  <c r="Q112" i="17"/>
  <c r="Q270" i="17"/>
  <c r="Q241" i="17"/>
  <c r="Q183" i="17"/>
  <c r="Q145" i="17"/>
  <c r="Q205" i="17"/>
  <c r="Q65" i="17"/>
  <c r="Q172" i="17"/>
  <c r="Q23" i="17"/>
  <c r="Q146" i="17"/>
  <c r="Q152" i="17"/>
  <c r="Q315" i="17"/>
  <c r="Q149" i="17"/>
  <c r="Q370" i="17"/>
  <c r="Q308" i="17"/>
  <c r="Q130" i="17"/>
  <c r="Q170" i="17"/>
  <c r="Q86" i="17"/>
  <c r="Q266" i="17"/>
  <c r="Q361" i="17"/>
  <c r="Q96" i="17"/>
  <c r="Q123" i="17"/>
  <c r="Q285" i="17"/>
  <c r="Q45" i="17"/>
  <c r="Q198" i="17"/>
  <c r="Q38" i="17"/>
  <c r="Q110" i="17"/>
  <c r="Q240" i="17"/>
  <c r="Q195" i="17"/>
  <c r="Q79" i="17"/>
  <c r="Q280" i="17"/>
  <c r="Q25" i="17"/>
  <c r="Q328" i="17"/>
  <c r="Q271" i="17"/>
  <c r="Q305" i="17"/>
  <c r="Q142" i="17"/>
  <c r="Q274" i="17"/>
  <c r="Q377" i="17"/>
  <c r="Q128" i="17"/>
  <c r="Q139" i="17"/>
  <c r="Q253" i="17"/>
  <c r="Q53" i="17"/>
  <c r="Q190" i="17"/>
  <c r="Q82" i="17"/>
  <c r="Q261" i="17"/>
  <c r="Q192" i="17"/>
  <c r="Q327" i="17"/>
  <c r="Q137" i="17"/>
  <c r="Q28" i="17"/>
  <c r="Q167" i="17"/>
  <c r="Q239" i="17"/>
  <c r="Q289" i="17"/>
  <c r="Q203" i="17"/>
  <c r="Q294" i="17"/>
  <c r="Q277" i="17"/>
  <c r="Q196" i="17"/>
  <c r="Q67" i="17"/>
  <c r="Q319" i="17"/>
  <c r="Q94" i="17"/>
  <c r="Q166" i="17"/>
  <c r="Q307" i="17"/>
  <c r="Q164" i="17"/>
  <c r="Q64" i="17"/>
  <c r="Q43" i="17"/>
  <c r="Q292" i="17"/>
  <c r="Q32" i="17"/>
  <c r="Q140" i="17"/>
  <c r="Q246" i="17"/>
  <c r="Q247" i="17"/>
  <c r="Q187" i="17"/>
  <c r="Q102" i="17"/>
  <c r="Q40" i="17"/>
  <c r="Q33" i="17"/>
  <c r="Q127" i="17"/>
  <c r="Q364" i="17"/>
  <c r="Q300" i="17"/>
  <c r="Q295" i="17"/>
  <c r="Q320" i="17"/>
  <c r="Q250" i="17"/>
  <c r="Q200" i="17"/>
  <c r="Q236" i="17"/>
  <c r="Q335" i="17"/>
  <c r="Q213" i="17"/>
  <c r="Q248" i="17"/>
  <c r="Q116" i="17"/>
  <c r="Q182" i="17"/>
  <c r="Q346" i="17"/>
  <c r="Q230" i="17"/>
  <c r="Q171" i="17"/>
  <c r="Q153" i="17"/>
  <c r="Q144" i="17"/>
  <c r="Q223" i="17"/>
  <c r="Q19" i="17"/>
  <c r="Q323" i="17"/>
  <c r="Q229" i="17"/>
  <c r="Q156" i="17"/>
  <c r="Q162" i="17"/>
  <c r="Q48" i="17"/>
  <c r="Q254" i="17"/>
  <c r="Q265" i="17"/>
  <c r="Q284" i="17"/>
  <c r="Q161" i="17"/>
  <c r="Q113" i="17"/>
  <c r="Q212" i="17"/>
  <c r="Q371" i="17"/>
  <c r="Q62" i="17"/>
  <c r="Q80" i="17"/>
  <c r="Q262" i="17"/>
  <c r="Q322" i="17"/>
  <c r="Q268" i="17"/>
  <c r="Q169" i="17"/>
  <c r="Q72" i="17"/>
  <c r="Q63" i="17"/>
  <c r="Q85" i="17"/>
  <c r="Q296" i="17"/>
  <c r="Q311" i="17"/>
  <c r="Q74" i="17"/>
  <c r="Q226" i="17"/>
  <c r="Q363" i="17"/>
  <c r="Q317" i="17"/>
  <c r="Q376" i="17"/>
  <c r="Q90" i="17"/>
  <c r="Q163" i="17"/>
  <c r="Q160" i="17"/>
  <c r="Q133" i="17"/>
  <c r="Q81" i="17"/>
  <c r="Q88" i="17"/>
  <c r="Q276" i="17"/>
  <c r="Q249" i="17"/>
  <c r="Q288" i="17"/>
  <c r="Q157" i="17"/>
  <c r="Q16" i="17"/>
  <c r="Q155" i="17"/>
  <c r="Q106" i="17"/>
  <c r="Q357" i="17"/>
  <c r="Q159" i="17"/>
  <c r="Q15" i="17"/>
  <c r="Q314" i="17"/>
  <c r="Q264" i="17"/>
  <c r="Q129" i="17"/>
  <c r="Q366" i="17"/>
  <c r="Q176" i="17"/>
  <c r="Q202" i="17"/>
  <c r="Q355" i="17"/>
  <c r="Q333" i="17"/>
  <c r="Q342" i="17"/>
  <c r="Q324" i="17"/>
  <c r="Q368" i="17"/>
  <c r="Q68" i="17"/>
  <c r="Q211" i="17"/>
  <c r="Q59" i="17"/>
  <c r="Q263" i="17"/>
  <c r="Q278" i="17"/>
  <c r="Q345" i="17"/>
  <c r="AE157" i="17"/>
  <c r="AE100" i="17"/>
  <c r="AE328" i="17"/>
  <c r="AE183" i="17"/>
  <c r="AE205" i="17"/>
  <c r="AE126" i="17"/>
  <c r="AE331" i="17"/>
  <c r="AE233" i="17"/>
  <c r="AE160" i="17"/>
  <c r="AE99" i="17"/>
  <c r="AE298" i="17"/>
  <c r="AE42" i="17"/>
  <c r="AE276" i="17"/>
  <c r="AE49" i="17"/>
  <c r="AE373" i="17"/>
  <c r="AE31" i="17"/>
  <c r="AE230" i="17"/>
  <c r="AE199" i="17"/>
  <c r="AE140" i="17"/>
  <c r="AE336" i="17"/>
  <c r="AE207" i="17"/>
  <c r="AE247" i="17"/>
  <c r="AE146" i="17"/>
  <c r="AE125" i="17"/>
  <c r="AE68" i="17"/>
  <c r="AE296" i="17"/>
  <c r="AE167" i="17"/>
  <c r="AE366" i="17"/>
  <c r="AE110" i="17"/>
  <c r="AE267" i="17"/>
  <c r="AE187" i="17"/>
  <c r="AE128" i="17"/>
  <c r="AE83" i="17"/>
  <c r="AE282" i="17"/>
  <c r="AE26" i="17"/>
  <c r="AE244" i="17"/>
  <c r="AE17" i="17"/>
  <c r="AE341" i="17"/>
  <c r="AE16" i="17"/>
  <c r="AE214" i="17"/>
  <c r="AE165" i="17"/>
  <c r="AE108" i="17"/>
  <c r="AE304" i="17"/>
  <c r="AE189" i="17"/>
  <c r="AE213" i="17"/>
  <c r="AE130" i="17"/>
  <c r="AE281" i="17"/>
  <c r="AE195" i="17"/>
  <c r="AE136" i="17"/>
  <c r="AE87" i="17"/>
  <c r="AE286" i="17"/>
  <c r="AE30" i="17"/>
  <c r="AE252" i="17"/>
  <c r="AE25" i="17"/>
  <c r="AE319" i="17"/>
  <c r="AE359" i="17"/>
  <c r="AE202" i="17"/>
  <c r="AE141" i="17"/>
  <c r="AE84" i="17"/>
  <c r="AE312" i="17"/>
  <c r="AE193" i="17"/>
  <c r="AE223" i="17"/>
  <c r="AE134" i="17"/>
  <c r="AE363" i="17"/>
  <c r="AE203" i="17"/>
  <c r="AE144" i="17"/>
  <c r="AE107" i="17"/>
  <c r="AE306" i="17"/>
  <c r="AE50" i="17"/>
  <c r="AE260" i="17"/>
  <c r="AE33" i="17"/>
  <c r="AE327" i="17"/>
  <c r="AE367" i="17"/>
  <c r="AE206" i="17"/>
  <c r="AE149" i="17"/>
  <c r="AE92" i="17"/>
  <c r="AE320" i="17"/>
  <c r="AE179" i="17"/>
  <c r="AE378" i="17"/>
  <c r="AE122" i="17"/>
  <c r="AE313" i="17"/>
  <c r="AE219" i="17"/>
  <c r="AE152" i="17"/>
  <c r="AE111" i="17"/>
  <c r="AE310" i="17"/>
  <c r="AE54" i="17"/>
  <c r="AE300" i="17"/>
  <c r="AE41" i="17"/>
  <c r="AE365" i="17"/>
  <c r="AE27" i="17"/>
  <c r="AE226" i="17"/>
  <c r="AE369" i="17"/>
  <c r="AE228" i="17"/>
  <c r="AE355" i="17"/>
  <c r="AE295" i="17"/>
  <c r="AE335" i="17"/>
  <c r="AE190" i="17"/>
  <c r="AE117" i="17"/>
  <c r="AE60" i="17"/>
  <c r="AE288" i="17"/>
  <c r="AE163" i="17"/>
  <c r="AE362" i="17"/>
  <c r="AE106" i="17"/>
  <c r="AE251" i="17"/>
  <c r="AE177" i="17"/>
  <c r="AE120" i="17"/>
  <c r="AE95" i="17"/>
  <c r="AE294" i="17"/>
  <c r="AE38" i="17"/>
  <c r="AE268" i="17"/>
  <c r="AE371" i="17"/>
  <c r="AE333" i="17"/>
  <c r="AE375" i="17"/>
  <c r="AE210" i="17"/>
  <c r="AE307" i="17"/>
  <c r="AE196" i="17"/>
  <c r="AE289" i="17"/>
  <c r="AE261" i="17"/>
  <c r="AE301" i="17"/>
  <c r="AE174" i="17"/>
  <c r="AE85" i="17"/>
  <c r="AE28" i="17"/>
  <c r="AE256" i="17"/>
  <c r="AE147" i="17"/>
  <c r="AE346" i="17"/>
  <c r="AE90" i="17"/>
  <c r="AE372" i="17"/>
  <c r="AE145" i="17"/>
  <c r="AE88" i="17"/>
  <c r="AE79" i="17"/>
  <c r="AE278" i="17"/>
  <c r="AE22" i="17"/>
  <c r="AE236" i="17"/>
  <c r="AE305" i="17"/>
  <c r="AE303" i="17"/>
  <c r="AE343" i="17"/>
  <c r="AE194" i="17"/>
  <c r="AE93" i="17"/>
  <c r="AE36" i="17"/>
  <c r="AE264" i="17"/>
  <c r="AE151" i="17"/>
  <c r="AE350" i="17"/>
  <c r="AE94" i="17"/>
  <c r="AE185" i="17"/>
  <c r="AE153" i="17"/>
  <c r="AE96" i="17"/>
  <c r="AE67" i="17"/>
  <c r="AE266" i="17"/>
  <c r="AE337" i="17"/>
  <c r="AE212" i="17"/>
  <c r="AE321" i="17"/>
  <c r="AE309" i="17"/>
  <c r="AE351" i="17"/>
  <c r="AE198" i="17"/>
  <c r="AE133" i="17"/>
  <c r="AE76" i="17"/>
  <c r="AE272" i="17"/>
  <c r="AE171" i="17"/>
  <c r="AE370" i="17"/>
  <c r="AE114" i="17"/>
  <c r="AE217" i="17"/>
  <c r="AE161" i="17"/>
  <c r="AE104" i="17"/>
  <c r="AE71" i="17"/>
  <c r="AE270" i="17"/>
  <c r="AE353" i="17"/>
  <c r="AE220" i="17"/>
  <c r="AE339" i="17"/>
  <c r="AE287" i="17"/>
  <c r="AE325" i="17"/>
  <c r="AE186" i="17"/>
  <c r="AE109" i="17"/>
  <c r="AE52" i="17"/>
  <c r="AE280" i="17"/>
  <c r="AE175" i="17"/>
  <c r="AE374" i="17"/>
  <c r="AE118" i="17"/>
  <c r="AE297" i="17"/>
  <c r="AE169" i="17"/>
  <c r="AE112" i="17"/>
  <c r="AE91" i="17"/>
  <c r="AE290" i="17"/>
  <c r="AE34" i="17"/>
  <c r="Q252" i="17"/>
  <c r="Q238" i="17"/>
  <c r="Q375" i="17"/>
  <c r="Q373" i="17"/>
  <c r="Q225" i="17"/>
  <c r="Q35" i="17"/>
  <c r="Q360" i="17"/>
  <c r="Q235" i="17"/>
  <c r="Q303" i="17"/>
  <c r="Q60" i="17"/>
  <c r="Q343" i="17"/>
  <c r="Q352" i="17"/>
  <c r="Q206" i="17"/>
  <c r="Q316" i="17"/>
  <c r="Q188" i="17"/>
  <c r="Q290" i="17"/>
  <c r="Q194" i="17"/>
  <c r="Q331" i="17"/>
  <c r="Q191" i="17"/>
  <c r="Q178" i="17"/>
  <c r="Q29" i="17"/>
  <c r="Q272" i="17"/>
  <c r="Q143" i="17"/>
  <c r="Q125" i="17"/>
  <c r="Q216" i="17"/>
  <c r="Q50" i="17"/>
  <c r="Q57" i="17"/>
  <c r="Q147" i="17"/>
  <c r="Q369" i="17"/>
  <c r="Q118" i="17"/>
  <c r="Q70" i="17"/>
  <c r="Q257" i="17"/>
  <c r="Q354" i="17"/>
  <c r="Q227" i="17"/>
  <c r="Q306" i="17"/>
  <c r="Q344" i="17"/>
  <c r="Q220" i="17"/>
  <c r="Q75" i="17"/>
  <c r="Q348" i="17"/>
  <c r="Q21" i="17"/>
  <c r="Q222" i="17"/>
  <c r="Q231" i="17"/>
  <c r="Q281" i="17"/>
  <c r="Q256" i="17"/>
  <c r="Q359" i="17"/>
  <c r="Q105" i="17"/>
  <c r="Q92" i="17"/>
  <c r="Q103" i="17"/>
  <c r="Q341" i="17"/>
  <c r="Q56" i="17"/>
  <c r="Q267" i="17"/>
  <c r="Q173" i="17"/>
  <c r="Q313" i="17"/>
  <c r="Q260" i="17"/>
  <c r="Q66" i="17"/>
  <c r="Q138" i="17"/>
  <c r="Q104" i="17"/>
  <c r="Q93" i="17"/>
  <c r="Q215" i="17"/>
  <c r="Q83" i="17"/>
  <c r="Q219" i="17"/>
  <c r="Q76" i="17"/>
  <c r="Q367" i="17"/>
  <c r="Q97" i="17"/>
  <c r="Q108" i="17"/>
  <c r="Q87" i="17"/>
  <c r="Q325" i="17"/>
  <c r="Q24" i="17"/>
  <c r="Q251" i="17"/>
  <c r="Q181" i="17"/>
  <c r="Q185" i="17"/>
  <c r="Q244" i="17"/>
  <c r="Q51" i="17"/>
  <c r="Q372" i="17"/>
  <c r="Q42" i="17"/>
  <c r="Q234" i="17"/>
  <c r="Q279" i="17"/>
  <c r="Q17" i="17"/>
  <c r="Q312" i="17"/>
  <c r="Q126" i="17"/>
  <c r="Q77" i="17"/>
  <c r="Q148" i="17"/>
  <c r="Q47" i="17"/>
  <c r="Q197" i="17"/>
  <c r="Q168" i="17"/>
  <c r="Q99" i="17"/>
  <c r="Q158" i="17"/>
  <c r="Q362" i="17"/>
  <c r="Q30" i="17"/>
  <c r="Q189" i="17"/>
  <c r="Q258" i="17"/>
  <c r="G157" i="16" l="1"/>
  <c r="BY157" i="6" s="1"/>
  <c r="AA157" i="16"/>
  <c r="Z157" i="16" s="1"/>
  <c r="Y157" i="16" s="1"/>
  <c r="H99" i="16"/>
  <c r="I99" i="16" s="1"/>
  <c r="H267" i="16"/>
  <c r="I267" i="16" s="1"/>
  <c r="AA99" i="16"/>
  <c r="Z99" i="16" s="1"/>
  <c r="Y99" i="16" s="1"/>
  <c r="J159" i="16"/>
  <c r="AA51" i="16"/>
  <c r="Z51" i="16" s="1"/>
  <c r="Y51" i="16" s="1"/>
  <c r="AA168" i="16"/>
  <c r="Z168" i="16" s="1"/>
  <c r="Y168" i="16" s="1"/>
  <c r="H90" i="16"/>
  <c r="J90" i="16" s="1"/>
  <c r="G51" i="16"/>
  <c r="BY51" i="6" s="1"/>
  <c r="V333" i="16"/>
  <c r="F333" i="16" s="1"/>
  <c r="G333" i="16" s="1"/>
  <c r="BY333" i="6" s="1"/>
  <c r="I259" i="16"/>
  <c r="H46" i="16"/>
  <c r="J46" i="16" s="1"/>
  <c r="AA177" i="16"/>
  <c r="Z177" i="16" s="1"/>
  <c r="Y177" i="16" s="1"/>
  <c r="G104" i="16"/>
  <c r="BY104" i="6" s="1"/>
  <c r="AA62" i="16"/>
  <c r="Z62" i="16" s="1"/>
  <c r="Y62" i="16" s="1"/>
  <c r="AA366" i="16"/>
  <c r="Z366" i="16" s="1"/>
  <c r="Y366" i="16" s="1"/>
  <c r="G207" i="16"/>
  <c r="BY207" i="6" s="1"/>
  <c r="AA46" i="16"/>
  <c r="Z46" i="16" s="1"/>
  <c r="Y46" i="16" s="1"/>
  <c r="H64" i="16"/>
  <c r="J64" i="16" s="1"/>
  <c r="AA267" i="16"/>
  <c r="Z267" i="16" s="1"/>
  <c r="Y267" i="16" s="1"/>
  <c r="AA64" i="16"/>
  <c r="Z64" i="16" s="1"/>
  <c r="Y64" i="16" s="1"/>
  <c r="AA159" i="16"/>
  <c r="Z159" i="16" s="1"/>
  <c r="Y159" i="16" s="1"/>
  <c r="AA327" i="16"/>
  <c r="Z327" i="16" s="1"/>
  <c r="Y327" i="16" s="1"/>
  <c r="G159" i="16"/>
  <c r="BY159" i="6" s="1"/>
  <c r="H247" i="16"/>
  <c r="J247" i="16" s="1"/>
  <c r="G314" i="16"/>
  <c r="BY314" i="6" s="1"/>
  <c r="G369" i="16"/>
  <c r="BY369" i="6" s="1"/>
  <c r="G327" i="16"/>
  <c r="BY327" i="6" s="1"/>
  <c r="AA314" i="16"/>
  <c r="Z314" i="16" s="1"/>
  <c r="Y314" i="16" s="1"/>
  <c r="AA369" i="16"/>
  <c r="Z369" i="16" s="1"/>
  <c r="Y369" i="16" s="1"/>
  <c r="AA247" i="16"/>
  <c r="Z247" i="16" s="1"/>
  <c r="Y247" i="16" s="1"/>
  <c r="H366" i="16"/>
  <c r="I366" i="16" s="1"/>
  <c r="AA104" i="16"/>
  <c r="Z104" i="16" s="1"/>
  <c r="Y104" i="16" s="1"/>
  <c r="O163" i="24"/>
  <c r="O262" i="24"/>
  <c r="O207" i="24"/>
  <c r="O228" i="24"/>
  <c r="D45" i="7"/>
  <c r="G198" i="16"/>
  <c r="BY198" i="6" s="1"/>
  <c r="O205" i="24"/>
  <c r="O230" i="24"/>
  <c r="O278" i="24"/>
  <c r="O204" i="24"/>
  <c r="AA207" i="16"/>
  <c r="Z207" i="16" s="1"/>
  <c r="Y207" i="16" s="1"/>
  <c r="O238" i="24"/>
  <c r="O366" i="24"/>
  <c r="O318" i="24"/>
  <c r="O347" i="24"/>
  <c r="O309" i="24"/>
  <c r="O306" i="24"/>
  <c r="O159" i="24"/>
  <c r="O161" i="24"/>
  <c r="AA377" i="16"/>
  <c r="Z377" i="16" s="1"/>
  <c r="Y377" i="16" s="1"/>
  <c r="I349" i="16"/>
  <c r="O199" i="24"/>
  <c r="O280" i="24"/>
  <c r="O285" i="24"/>
  <c r="O357" i="24"/>
  <c r="O236" i="24"/>
  <c r="O155" i="24"/>
  <c r="O193" i="24"/>
  <c r="O156" i="24"/>
  <c r="O294" i="24"/>
  <c r="O189" i="24"/>
  <c r="O277" i="24"/>
  <c r="O197" i="24"/>
  <c r="O373" i="24"/>
  <c r="O237" i="24"/>
  <c r="O365" i="24"/>
  <c r="O276" i="24"/>
  <c r="O311" i="24"/>
  <c r="O153" i="24"/>
  <c r="O135" i="24"/>
  <c r="O148" i="24"/>
  <c r="O173" i="24"/>
  <c r="H298" i="16"/>
  <c r="I298" i="16" s="1"/>
  <c r="H283" i="16"/>
  <c r="J283" i="16" s="1"/>
  <c r="O152" i="24"/>
  <c r="O216" i="24"/>
  <c r="O255" i="24"/>
  <c r="O293" i="24"/>
  <c r="O245" i="24"/>
  <c r="O333" i="24"/>
  <c r="AG66" i="7" s="1"/>
  <c r="O358" i="24"/>
  <c r="O138" i="24"/>
  <c r="O287" i="24"/>
  <c r="O316" i="24"/>
  <c r="O335" i="24"/>
  <c r="O187" i="24"/>
  <c r="O273" i="24"/>
  <c r="O264" i="24"/>
  <c r="O300" i="24"/>
  <c r="O188" i="24"/>
  <c r="O217" i="24"/>
  <c r="O371" i="24"/>
  <c r="O158" i="24"/>
  <c r="O233" i="24"/>
  <c r="O194" i="24"/>
  <c r="O350" i="24"/>
  <c r="O160" i="24"/>
  <c r="O275" i="24"/>
  <c r="O304" i="24"/>
  <c r="O375" i="24"/>
  <c r="O196" i="24"/>
  <c r="O279" i="24"/>
  <c r="O284" i="24"/>
  <c r="O337" i="24"/>
  <c r="O198" i="24"/>
  <c r="O231" i="24"/>
  <c r="O314" i="24"/>
  <c r="O191" i="24"/>
  <c r="O263" i="24"/>
  <c r="O214" i="24"/>
  <c r="O239" i="24"/>
  <c r="G150" i="16"/>
  <c r="BY150" i="6" s="1"/>
  <c r="G377" i="16"/>
  <c r="BY377" i="6" s="1"/>
  <c r="G31" i="16"/>
  <c r="BY31" i="6" s="1"/>
  <c r="O171" i="24"/>
  <c r="O283" i="24"/>
  <c r="O302" i="24"/>
  <c r="AG65" i="7" s="1"/>
  <c r="O224" i="24"/>
  <c r="O343" i="24"/>
  <c r="O223" i="24"/>
  <c r="O332" i="24"/>
  <c r="O242" i="24"/>
  <c r="O368" i="24"/>
  <c r="O208" i="24"/>
  <c r="O323" i="24"/>
  <c r="O201" i="24"/>
  <c r="O312" i="24"/>
  <c r="O164" i="24"/>
  <c r="L41" i="19"/>
  <c r="O296" i="24"/>
  <c r="AA150" i="16"/>
  <c r="Z150" i="16" s="1"/>
  <c r="Y150" i="16" s="1"/>
  <c r="O378" i="24"/>
  <c r="O286" i="24"/>
  <c r="O331" i="24"/>
  <c r="O203" i="24"/>
  <c r="O305" i="24"/>
  <c r="G182" i="16"/>
  <c r="BY182" i="6" s="1"/>
  <c r="G45" i="16"/>
  <c r="BY45" i="6" s="1"/>
  <c r="AA166" i="16"/>
  <c r="Z166" i="16" s="1"/>
  <c r="Y166" i="16" s="1"/>
  <c r="G109" i="16"/>
  <c r="BY109" i="6" s="1"/>
  <c r="H244" i="16"/>
  <c r="J244" i="16" s="1"/>
  <c r="AA198" i="16"/>
  <c r="Z198" i="16" s="1"/>
  <c r="Y198" i="16" s="1"/>
  <c r="AA257" i="16"/>
  <c r="Z257" i="16" s="1"/>
  <c r="Y257" i="16" s="1"/>
  <c r="AA172" i="16"/>
  <c r="Z172" i="16" s="1"/>
  <c r="Y172" i="16" s="1"/>
  <c r="AA109" i="16"/>
  <c r="Z109" i="16" s="1"/>
  <c r="Y109" i="16" s="1"/>
  <c r="G76" i="16"/>
  <c r="BY76" i="6" s="1"/>
  <c r="H365" i="16"/>
  <c r="I365" i="16" s="1"/>
  <c r="H172" i="16"/>
  <c r="J172" i="16" s="1"/>
  <c r="AA237" i="16"/>
  <c r="Z237" i="16" s="1"/>
  <c r="Y237" i="16" s="1"/>
  <c r="AA102" i="16"/>
  <c r="Z102" i="16" s="1"/>
  <c r="Y102" i="16" s="1"/>
  <c r="H257" i="16"/>
  <c r="J257" i="16" s="1"/>
  <c r="H237" i="16"/>
  <c r="I237" i="16" s="1"/>
  <c r="O313" i="24"/>
  <c r="O165" i="24"/>
  <c r="G349" i="16"/>
  <c r="BY349" i="6" s="1"/>
  <c r="G143" i="16"/>
  <c r="BY143" i="6" s="1"/>
  <c r="AA182" i="16"/>
  <c r="Z182" i="16" s="1"/>
  <c r="Y182" i="16" s="1"/>
  <c r="AA298" i="16"/>
  <c r="Z298" i="16" s="1"/>
  <c r="Y298" i="16" s="1"/>
  <c r="G246" i="16"/>
  <c r="BY246" i="6" s="1"/>
  <c r="G135" i="16"/>
  <c r="BY135" i="6" s="1"/>
  <c r="O297" i="24"/>
  <c r="AA31" i="16"/>
  <c r="Z31" i="16" s="1"/>
  <c r="Y31" i="16" s="1"/>
  <c r="AA135" i="16"/>
  <c r="Z135" i="16" s="1"/>
  <c r="Y135" i="16" s="1"/>
  <c r="O329" i="24"/>
  <c r="O261" i="24"/>
  <c r="O221" i="24"/>
  <c r="O175" i="24"/>
  <c r="O317" i="24"/>
  <c r="O225" i="24"/>
  <c r="O249" i="24"/>
  <c r="O142" i="24"/>
  <c r="O327" i="24"/>
  <c r="O250" i="24"/>
  <c r="O210" i="24"/>
  <c r="AG62" i="7" s="1"/>
  <c r="O174" i="24"/>
  <c r="O307" i="24"/>
  <c r="O220" i="24"/>
  <c r="O243" i="24"/>
  <c r="O137" i="24"/>
  <c r="O344" i="24"/>
  <c r="O330" i="24"/>
  <c r="O295" i="24"/>
  <c r="O162" i="24"/>
  <c r="O379" i="24"/>
  <c r="C43" i="19" s="1"/>
  <c r="O308" i="24"/>
  <c r="O282" i="24"/>
  <c r="O200" i="24"/>
  <c r="O169" i="24"/>
  <c r="O348" i="24"/>
  <c r="O298" i="24"/>
  <c r="O166" i="24"/>
  <c r="O374" i="24"/>
  <c r="O259" i="24"/>
  <c r="O272" i="24"/>
  <c r="AG64" i="7" s="1"/>
  <c r="O179" i="24"/>
  <c r="O349" i="24"/>
  <c r="O355" i="24"/>
  <c r="O267" i="24"/>
  <c r="O186" i="24"/>
  <c r="O232" i="24"/>
  <c r="O176" i="24"/>
  <c r="O339" i="24"/>
  <c r="O353" i="24"/>
  <c r="O326" i="24"/>
  <c r="O244" i="24"/>
  <c r="O292" i="24"/>
  <c r="O254" i="24"/>
  <c r="O215" i="24"/>
  <c r="O149" i="24"/>
  <c r="AG60" i="7" s="1"/>
  <c r="O140" i="24"/>
  <c r="O345" i="24"/>
  <c r="O352" i="24"/>
  <c r="O266" i="24"/>
  <c r="O184" i="24"/>
  <c r="O229" i="24"/>
  <c r="O170" i="24"/>
  <c r="O328" i="24"/>
  <c r="O336" i="24"/>
  <c r="O325" i="24"/>
  <c r="O241" i="24"/>
  <c r="AG63" i="7" s="1"/>
  <c r="O291" i="24"/>
  <c r="O253" i="24"/>
  <c r="O213" i="24"/>
  <c r="O146" i="24"/>
  <c r="O139" i="24"/>
  <c r="O341" i="24"/>
  <c r="O351" i="24"/>
  <c r="O265" i="24"/>
  <c r="O181" i="24"/>
  <c r="O227" i="24"/>
  <c r="O168" i="24"/>
  <c r="O322" i="24"/>
  <c r="O324" i="24"/>
  <c r="O321" i="24"/>
  <c r="O234" i="24"/>
  <c r="O290" i="24"/>
  <c r="O252" i="24"/>
  <c r="O209" i="24"/>
  <c r="O144" i="24"/>
  <c r="O136" i="24"/>
  <c r="O354" i="24"/>
  <c r="O356" i="24"/>
  <c r="O268" i="24"/>
  <c r="O192" i="24"/>
  <c r="O235" i="24"/>
  <c r="O178" i="24"/>
  <c r="O167" i="24"/>
  <c r="O346" i="24"/>
  <c r="E8" i="24"/>
  <c r="K19" i="19" s="1"/>
  <c r="K43" i="19" s="1"/>
  <c r="O141" i="24"/>
  <c r="O26" i="24"/>
  <c r="O22" i="24"/>
  <c r="O51" i="24"/>
  <c r="O62" i="24"/>
  <c r="O91" i="24"/>
  <c r="O78" i="24"/>
  <c r="O108" i="24"/>
  <c r="O143" i="24"/>
  <c r="O251" i="24"/>
  <c r="O226" i="24"/>
  <c r="O319" i="24"/>
  <c r="O28" i="24"/>
  <c r="O41" i="24"/>
  <c r="O53" i="24"/>
  <c r="O73" i="24"/>
  <c r="O101" i="24"/>
  <c r="O70" i="24"/>
  <c r="O112" i="24"/>
  <c r="O177" i="24"/>
  <c r="O128" i="24"/>
  <c r="O258" i="24"/>
  <c r="O288" i="24"/>
  <c r="O303" i="24"/>
  <c r="O25" i="24"/>
  <c r="O47" i="24"/>
  <c r="O40" i="24"/>
  <c r="O84" i="24"/>
  <c r="O124" i="24"/>
  <c r="O145" i="24"/>
  <c r="O154" i="24"/>
  <c r="O260" i="24"/>
  <c r="O246" i="24"/>
  <c r="O360" i="24"/>
  <c r="O19" i="24"/>
  <c r="O44" i="24"/>
  <c r="O54" i="24"/>
  <c r="O74" i="24"/>
  <c r="O102" i="24"/>
  <c r="O71" i="24"/>
  <c r="O115" i="24"/>
  <c r="O105" i="24"/>
  <c r="O129" i="24"/>
  <c r="O240" i="24"/>
  <c r="O269" i="24"/>
  <c r="O359" i="24"/>
  <c r="O31" i="24"/>
  <c r="O34" i="24"/>
  <c r="O58" i="24"/>
  <c r="O66" i="24"/>
  <c r="O100" i="24"/>
  <c r="O83" i="24"/>
  <c r="O114" i="24"/>
  <c r="O219" i="24"/>
  <c r="O301" i="24"/>
  <c r="O338" i="24"/>
  <c r="O377" i="24"/>
  <c r="O37" i="24"/>
  <c r="O43" i="24"/>
  <c r="O69" i="24"/>
  <c r="O96" i="24"/>
  <c r="O122" i="24"/>
  <c r="O94" i="24"/>
  <c r="O134" i="24"/>
  <c r="O119" i="24"/>
  <c r="AG59" i="7" s="1"/>
  <c r="O182" i="24"/>
  <c r="O202" i="24"/>
  <c r="O364" i="24"/>
  <c r="O21" i="24"/>
  <c r="O20" i="24"/>
  <c r="O49" i="24"/>
  <c r="O61" i="24"/>
  <c r="O90" i="24"/>
  <c r="O75" i="24"/>
  <c r="O151" i="24"/>
  <c r="O116" i="24"/>
  <c r="O222" i="24"/>
  <c r="O190" i="24"/>
  <c r="O342" i="24"/>
  <c r="O17" i="24"/>
  <c r="O38" i="24"/>
  <c r="O50" i="24"/>
  <c r="O72" i="24"/>
  <c r="O97" i="24"/>
  <c r="O67" i="24"/>
  <c r="AY13" i="7"/>
  <c r="BE10" i="7" s="1"/>
  <c r="O23" i="24"/>
  <c r="O46" i="24"/>
  <c r="O39" i="24"/>
  <c r="O81" i="24"/>
  <c r="O123" i="24"/>
  <c r="O92" i="24"/>
  <c r="O131" i="24"/>
  <c r="O206" i="24"/>
  <c r="O289" i="24"/>
  <c r="O320" i="24"/>
  <c r="O315" i="24"/>
  <c r="O29" i="24"/>
  <c r="AG56" i="7" s="1"/>
  <c r="O36" i="24"/>
  <c r="O59" i="24"/>
  <c r="O88" i="24"/>
  <c r="AG58" i="7" s="1"/>
  <c r="O107" i="24"/>
  <c r="O89" i="24"/>
  <c r="O127" i="24"/>
  <c r="O113" i="24"/>
  <c r="O185" i="24"/>
  <c r="O212" i="24"/>
  <c r="O370" i="24"/>
  <c r="O30" i="24"/>
  <c r="O32" i="24"/>
  <c r="O52" i="24"/>
  <c r="O63" i="24"/>
  <c r="O99" i="24"/>
  <c r="O82" i="24"/>
  <c r="O110" i="24"/>
  <c r="O218" i="24"/>
  <c r="O299" i="24"/>
  <c r="O334" i="24"/>
  <c r="O363" i="24"/>
  <c r="AG67" i="7" s="1"/>
  <c r="O35" i="24"/>
  <c r="O42" i="24"/>
  <c r="O68" i="24"/>
  <c r="O95" i="24"/>
  <c r="O120" i="24"/>
  <c r="O93" i="24"/>
  <c r="O130" i="24"/>
  <c r="O117" i="24"/>
  <c r="O180" i="24"/>
  <c r="AG61" i="7" s="1"/>
  <c r="O195" i="24"/>
  <c r="O361" i="24"/>
  <c r="O15" i="24"/>
  <c r="O27" i="24"/>
  <c r="O48" i="24"/>
  <c r="O57" i="24"/>
  <c r="O85" i="24"/>
  <c r="O65" i="24"/>
  <c r="O150" i="24"/>
  <c r="O157" i="24"/>
  <c r="O270" i="24"/>
  <c r="O248" i="24"/>
  <c r="O362" i="24"/>
  <c r="O18" i="24"/>
  <c r="O60" i="24"/>
  <c r="AG57" i="7" s="1"/>
  <c r="O55" i="24"/>
  <c r="O79" i="24"/>
  <c r="O103" i="24"/>
  <c r="O77" i="24"/>
  <c r="O121" i="24"/>
  <c r="O109" i="24"/>
  <c r="O132" i="24"/>
  <c r="O247" i="24"/>
  <c r="O274" i="24"/>
  <c r="O372" i="24"/>
  <c r="O16" i="24"/>
  <c r="O45" i="24"/>
  <c r="O64" i="24"/>
  <c r="O76" i="24"/>
  <c r="O118" i="24"/>
  <c r="O86" i="24"/>
  <c r="O106" i="24"/>
  <c r="O172" i="24"/>
  <c r="O271" i="24"/>
  <c r="O256" i="24"/>
  <c r="O369" i="24"/>
  <c r="O24" i="24"/>
  <c r="O33" i="24"/>
  <c r="O56" i="24"/>
  <c r="O87" i="24"/>
  <c r="O104" i="24"/>
  <c r="O80" i="24"/>
  <c r="O126" i="24"/>
  <c r="O111" i="24"/>
  <c r="O133" i="24"/>
  <c r="O257" i="24"/>
  <c r="O281" i="24"/>
  <c r="O376" i="24"/>
  <c r="O98" i="24"/>
  <c r="O147" i="24"/>
  <c r="O125" i="24"/>
  <c r="O183" i="24"/>
  <c r="O211" i="24"/>
  <c r="O367" i="24"/>
  <c r="AC10" i="23"/>
  <c r="AC80" i="24" s="1"/>
  <c r="G203" i="16"/>
  <c r="BY203" i="6" s="1"/>
  <c r="AA275" i="16"/>
  <c r="Z275" i="16" s="1"/>
  <c r="Y275" i="16" s="1"/>
  <c r="AA76" i="16"/>
  <c r="Z76" i="16" s="1"/>
  <c r="Y76" i="16" s="1"/>
  <c r="H108" i="16"/>
  <c r="I108" i="16" s="1"/>
  <c r="I76" i="16"/>
  <c r="J76" i="16"/>
  <c r="AA360" i="16"/>
  <c r="Z360" i="16" s="1"/>
  <c r="Y360" i="16" s="1"/>
  <c r="AA143" i="16"/>
  <c r="Z143" i="16" s="1"/>
  <c r="Y143" i="16" s="1"/>
  <c r="AA291" i="16"/>
  <c r="Z291" i="16" s="1"/>
  <c r="Y291" i="16" s="1"/>
  <c r="G263" i="16"/>
  <c r="BY263" i="6" s="1"/>
  <c r="H275" i="16"/>
  <c r="J275" i="16" s="1"/>
  <c r="G281" i="16"/>
  <c r="BY281" i="6" s="1"/>
  <c r="G266" i="16"/>
  <c r="BY266" i="6" s="1"/>
  <c r="AA246" i="16"/>
  <c r="Z246" i="16" s="1"/>
  <c r="Y246" i="16" s="1"/>
  <c r="AA290" i="16"/>
  <c r="Z290" i="16" s="1"/>
  <c r="Y290" i="16" s="1"/>
  <c r="AA348" i="16"/>
  <c r="Z348" i="16" s="1"/>
  <c r="Y348" i="16" s="1"/>
  <c r="G222" i="16"/>
  <c r="BY222" i="6" s="1"/>
  <c r="G348" i="16"/>
  <c r="BY348" i="6" s="1"/>
  <c r="G249" i="16"/>
  <c r="BY249" i="6" s="1"/>
  <c r="G110" i="16"/>
  <c r="BY110" i="6" s="1"/>
  <c r="H291" i="16"/>
  <c r="I291" i="16" s="1"/>
  <c r="AA244" i="16"/>
  <c r="Z244" i="16" s="1"/>
  <c r="Y244" i="16" s="1"/>
  <c r="G36" i="16"/>
  <c r="BY36" i="6" s="1"/>
  <c r="G360" i="16"/>
  <c r="BY360" i="6" s="1"/>
  <c r="J203" i="16"/>
  <c r="O381" i="23"/>
  <c r="I166" i="16"/>
  <c r="O383" i="23"/>
  <c r="O382" i="23"/>
  <c r="J290" i="16"/>
  <c r="AA259" i="16"/>
  <c r="Z259" i="16" s="1"/>
  <c r="Y259" i="16" s="1"/>
  <c r="AA263" i="16"/>
  <c r="Z263" i="16" s="1"/>
  <c r="Y263" i="16" s="1"/>
  <c r="AA324" i="16"/>
  <c r="Z324" i="16" s="1"/>
  <c r="Y324" i="16" s="1"/>
  <c r="AA25" i="16"/>
  <c r="Z25" i="16" s="1"/>
  <c r="Y25" i="16" s="1"/>
  <c r="V149" i="16"/>
  <c r="F149" i="16" s="1"/>
  <c r="H149" i="16" s="1"/>
  <c r="G353" i="16"/>
  <c r="BY353" i="6" s="1"/>
  <c r="AA281" i="16"/>
  <c r="Z281" i="16" s="1"/>
  <c r="Y281" i="16" s="1"/>
  <c r="AA349" i="16"/>
  <c r="Z349" i="16" s="1"/>
  <c r="Y349" i="16" s="1"/>
  <c r="AA203" i="16"/>
  <c r="Z203" i="16" s="1"/>
  <c r="Y203" i="16" s="1"/>
  <c r="AA108" i="16"/>
  <c r="Z108" i="16" s="1"/>
  <c r="Y108" i="16" s="1"/>
  <c r="I353" i="16"/>
  <c r="G290" i="16"/>
  <c r="BY290" i="6" s="1"/>
  <c r="AA222" i="16"/>
  <c r="Z222" i="16" s="1"/>
  <c r="Y222" i="16" s="1"/>
  <c r="AA365" i="16"/>
  <c r="Z365" i="16" s="1"/>
  <c r="Y365" i="16" s="1"/>
  <c r="AA266" i="16"/>
  <c r="Z266" i="16" s="1"/>
  <c r="Y266" i="16" s="1"/>
  <c r="AA110" i="16"/>
  <c r="Z110" i="16" s="1"/>
  <c r="Y110" i="16" s="1"/>
  <c r="AA249" i="16"/>
  <c r="Z249" i="16" s="1"/>
  <c r="Y249" i="16" s="1"/>
  <c r="H78" i="16"/>
  <c r="I78" i="16" s="1"/>
  <c r="AA36" i="16"/>
  <c r="Z36" i="16" s="1"/>
  <c r="Y36" i="16" s="1"/>
  <c r="AA45" i="16"/>
  <c r="Z45" i="16" s="1"/>
  <c r="Y45" i="16" s="1"/>
  <c r="AA78" i="16"/>
  <c r="Z78" i="16" s="1"/>
  <c r="Y78" i="16" s="1"/>
  <c r="G166" i="16"/>
  <c r="BY166" i="6" s="1"/>
  <c r="H25" i="16"/>
  <c r="I25" i="16" s="1"/>
  <c r="AA26" i="16"/>
  <c r="Z26" i="16" s="1"/>
  <c r="Y26" i="16" s="1"/>
  <c r="H26" i="16"/>
  <c r="J26" i="16" s="1"/>
  <c r="G259" i="16"/>
  <c r="BY259" i="6" s="1"/>
  <c r="H102" i="16"/>
  <c r="I102" i="16" s="1"/>
  <c r="AA353" i="16"/>
  <c r="Z353" i="16" s="1"/>
  <c r="Y353" i="16" s="1"/>
  <c r="AA283" i="16"/>
  <c r="Z283" i="16" s="1"/>
  <c r="Y283" i="16" s="1"/>
  <c r="AC326" i="23"/>
  <c r="J269" i="16"/>
  <c r="AA130" i="16"/>
  <c r="Z130" i="16" s="1"/>
  <c r="Y130" i="16" s="1"/>
  <c r="I52" i="15"/>
  <c r="H52" i="16" s="1"/>
  <c r="H180" i="16"/>
  <c r="J180" i="16" s="1"/>
  <c r="I16" i="16"/>
  <c r="H142" i="16"/>
  <c r="J142" i="16" s="1"/>
  <c r="J379" i="15"/>
  <c r="H130" i="16"/>
  <c r="I130" i="16" s="1"/>
  <c r="J368" i="16"/>
  <c r="AA180" i="16"/>
  <c r="Z180" i="16" s="1"/>
  <c r="Y180" i="16" s="1"/>
  <c r="AA95" i="16"/>
  <c r="Z95" i="16" s="1"/>
  <c r="Y95" i="16" s="1"/>
  <c r="AA142" i="16"/>
  <c r="Z142" i="16" s="1"/>
  <c r="Y142" i="16" s="1"/>
  <c r="V379" i="16"/>
  <c r="F379" i="16" s="1"/>
  <c r="AA379" i="16" s="1"/>
  <c r="Z379" i="16" s="1"/>
  <c r="Y379" i="16" s="1"/>
  <c r="D37" i="19"/>
  <c r="AA83" i="16"/>
  <c r="Z83" i="16" s="1"/>
  <c r="Y83" i="16" s="1"/>
  <c r="AA181" i="16"/>
  <c r="Z181" i="16" s="1"/>
  <c r="Y181" i="16" s="1"/>
  <c r="AC383" i="22"/>
  <c r="AA250" i="16"/>
  <c r="Z250" i="16" s="1"/>
  <c r="Y250" i="16" s="1"/>
  <c r="AA72" i="16"/>
  <c r="Z72" i="16" s="1"/>
  <c r="Y72" i="16" s="1"/>
  <c r="AA211" i="16"/>
  <c r="Z211" i="16" s="1"/>
  <c r="Y211" i="16" s="1"/>
  <c r="AA32" i="16"/>
  <c r="Z32" i="16" s="1"/>
  <c r="Y32" i="16" s="1"/>
  <c r="AA213" i="16"/>
  <c r="Z213" i="16" s="1"/>
  <c r="Y213" i="16" s="1"/>
  <c r="H309" i="16"/>
  <c r="J309" i="16" s="1"/>
  <c r="H243" i="16"/>
  <c r="I243" i="16" s="1"/>
  <c r="H95" i="16"/>
  <c r="G95" i="16"/>
  <c r="BY95" i="6" s="1"/>
  <c r="AA251" i="16"/>
  <c r="Z251" i="16" s="1"/>
  <c r="Y251" i="16" s="1"/>
  <c r="AC382" i="22"/>
  <c r="G138" i="16"/>
  <c r="BY138" i="6" s="1"/>
  <c r="H138" i="16"/>
  <c r="AA138" i="16"/>
  <c r="Z138" i="16" s="1"/>
  <c r="Y138" i="16" s="1"/>
  <c r="F228" i="16"/>
  <c r="H56" i="16"/>
  <c r="AA56" i="16"/>
  <c r="Z56" i="16" s="1"/>
  <c r="Y56" i="16" s="1"/>
  <c r="G56" i="16"/>
  <c r="BY56" i="6" s="1"/>
  <c r="H280" i="16"/>
  <c r="G280" i="16"/>
  <c r="BY280" i="6" s="1"/>
  <c r="AA280" i="16"/>
  <c r="Z280" i="16" s="1"/>
  <c r="Y280" i="16" s="1"/>
  <c r="AA39" i="16"/>
  <c r="Z39" i="16" s="1"/>
  <c r="Y39" i="16" s="1"/>
  <c r="G39" i="16"/>
  <c r="BY39" i="6" s="1"/>
  <c r="H39" i="16"/>
  <c r="G279" i="16"/>
  <c r="BY279" i="6" s="1"/>
  <c r="H279" i="16"/>
  <c r="G252" i="16"/>
  <c r="BY252" i="6" s="1"/>
  <c r="H252" i="16"/>
  <c r="AA252" i="16"/>
  <c r="Z252" i="16" s="1"/>
  <c r="Y252" i="16" s="1"/>
  <c r="H28" i="16"/>
  <c r="G28" i="16"/>
  <c r="BY28" i="6" s="1"/>
  <c r="AA28" i="16"/>
  <c r="Z28" i="16" s="1"/>
  <c r="Y28" i="16" s="1"/>
  <c r="G240" i="16"/>
  <c r="BY240" i="6" s="1"/>
  <c r="AA240" i="16"/>
  <c r="Z240" i="16" s="1"/>
  <c r="Y240" i="16" s="1"/>
  <c r="H240" i="16"/>
  <c r="AA317" i="16"/>
  <c r="Z317" i="16" s="1"/>
  <c r="Y317" i="16" s="1"/>
  <c r="H317" i="16"/>
  <c r="G317" i="16"/>
  <c r="BY317" i="6" s="1"/>
  <c r="AA80" i="16"/>
  <c r="Z80" i="16" s="1"/>
  <c r="Y80" i="16" s="1"/>
  <c r="G80" i="16"/>
  <c r="BY80" i="6" s="1"/>
  <c r="V272" i="16"/>
  <c r="F272" i="16" s="1"/>
  <c r="D52" i="7"/>
  <c r="G103" i="16"/>
  <c r="BY103" i="6" s="1"/>
  <c r="AA103" i="16"/>
  <c r="Z103" i="16" s="1"/>
  <c r="Y103" i="16" s="1"/>
  <c r="H103" i="16"/>
  <c r="AA196" i="16"/>
  <c r="Z196" i="16" s="1"/>
  <c r="Y196" i="16" s="1"/>
  <c r="G196" i="16"/>
  <c r="BY196" i="6" s="1"/>
  <c r="H196" i="16"/>
  <c r="G161" i="16"/>
  <c r="BY161" i="6" s="1"/>
  <c r="AA161" i="16"/>
  <c r="Z161" i="16" s="1"/>
  <c r="Y161" i="16" s="1"/>
  <c r="H161" i="16"/>
  <c r="G234" i="16"/>
  <c r="BY234" i="6" s="1"/>
  <c r="AA234" i="16"/>
  <c r="Z234" i="16" s="1"/>
  <c r="Y234" i="16" s="1"/>
  <c r="H234" i="16"/>
  <c r="H127" i="16"/>
  <c r="G127" i="16"/>
  <c r="BY127" i="6" s="1"/>
  <c r="G81" i="16"/>
  <c r="BY81" i="6" s="1"/>
  <c r="H81" i="16"/>
  <c r="AA81" i="16"/>
  <c r="Z81" i="16" s="1"/>
  <c r="Y81" i="16" s="1"/>
  <c r="AA55" i="16"/>
  <c r="Z55" i="16" s="1"/>
  <c r="Y55" i="16" s="1"/>
  <c r="G55" i="16"/>
  <c r="BY55" i="6" s="1"/>
  <c r="H55" i="16"/>
  <c r="V268" i="16"/>
  <c r="F268" i="16" s="1"/>
  <c r="AA286" i="16"/>
  <c r="Z286" i="16" s="1"/>
  <c r="Y286" i="16" s="1"/>
  <c r="G286" i="16"/>
  <c r="BY286" i="6" s="1"/>
  <c r="H286" i="16"/>
  <c r="AA114" i="16"/>
  <c r="Z114" i="16" s="1"/>
  <c r="Y114" i="16" s="1"/>
  <c r="G114" i="16"/>
  <c r="BY114" i="6" s="1"/>
  <c r="AA342" i="16"/>
  <c r="Z342" i="16" s="1"/>
  <c r="Y342" i="16" s="1"/>
  <c r="G342" i="16"/>
  <c r="BY342" i="6" s="1"/>
  <c r="H342" i="16"/>
  <c r="G35" i="16"/>
  <c r="BY35" i="6" s="1"/>
  <c r="AA35" i="16"/>
  <c r="Z35" i="16" s="1"/>
  <c r="Y35" i="16" s="1"/>
  <c r="H35" i="16"/>
  <c r="G212" i="16"/>
  <c r="BY212" i="6" s="1"/>
  <c r="AA212" i="16"/>
  <c r="Z212" i="16" s="1"/>
  <c r="Y212" i="16" s="1"/>
  <c r="H212" i="16"/>
  <c r="G74" i="16"/>
  <c r="BY74" i="6" s="1"/>
  <c r="AA74" i="16"/>
  <c r="Z74" i="16" s="1"/>
  <c r="Y74" i="16" s="1"/>
  <c r="H74" i="16"/>
  <c r="G374" i="16"/>
  <c r="BY374" i="6" s="1"/>
  <c r="AA374" i="16"/>
  <c r="Z374" i="16" s="1"/>
  <c r="Y374" i="16" s="1"/>
  <c r="H374" i="16"/>
  <c r="G151" i="16"/>
  <c r="BY151" i="6" s="1"/>
  <c r="AA151" i="16"/>
  <c r="Z151" i="16" s="1"/>
  <c r="Y151" i="16" s="1"/>
  <c r="H151" i="16"/>
  <c r="AA145" i="16"/>
  <c r="Z145" i="16" s="1"/>
  <c r="Y145" i="16" s="1"/>
  <c r="G145" i="16"/>
  <c r="BY145" i="6" s="1"/>
  <c r="H145" i="16"/>
  <c r="AA235" i="16"/>
  <c r="Z235" i="16" s="1"/>
  <c r="Y235" i="16" s="1"/>
  <c r="G235" i="16"/>
  <c r="BY235" i="6" s="1"/>
  <c r="H235" i="16"/>
  <c r="AA21" i="16"/>
  <c r="Z21" i="16" s="1"/>
  <c r="Y21" i="16" s="1"/>
  <c r="G21" i="16"/>
  <c r="BY21" i="6" s="1"/>
  <c r="AA144" i="16"/>
  <c r="Z144" i="16" s="1"/>
  <c r="Y144" i="16" s="1"/>
  <c r="G144" i="16"/>
  <c r="BY144" i="6" s="1"/>
  <c r="H144" i="16"/>
  <c r="G128" i="16"/>
  <c r="BY128" i="6" s="1"/>
  <c r="AA128" i="16"/>
  <c r="Z128" i="16" s="1"/>
  <c r="Y128" i="16" s="1"/>
  <c r="H128" i="16"/>
  <c r="G297" i="16"/>
  <c r="BY297" i="6" s="1"/>
  <c r="H297" i="16"/>
  <c r="G367" i="16"/>
  <c r="BY367" i="6" s="1"/>
  <c r="H367" i="16"/>
  <c r="G165" i="16"/>
  <c r="BY165" i="6" s="1"/>
  <c r="AA165" i="16"/>
  <c r="Z165" i="16" s="1"/>
  <c r="Y165" i="16" s="1"/>
  <c r="H165" i="16"/>
  <c r="H92" i="16"/>
  <c r="AA92" i="16"/>
  <c r="Z92" i="16" s="1"/>
  <c r="Y92" i="16" s="1"/>
  <c r="G92" i="16"/>
  <c r="BY92" i="6" s="1"/>
  <c r="G40" i="16"/>
  <c r="BY40" i="6" s="1"/>
  <c r="H40" i="16"/>
  <c r="AA40" i="16"/>
  <c r="Z40" i="16" s="1"/>
  <c r="Y40" i="16" s="1"/>
  <c r="H179" i="16"/>
  <c r="AA179" i="16"/>
  <c r="Z179" i="16" s="1"/>
  <c r="Y179" i="16" s="1"/>
  <c r="G179" i="16"/>
  <c r="BY179" i="6" s="1"/>
  <c r="G271" i="16"/>
  <c r="BY271" i="6" s="1"/>
  <c r="AA271" i="16"/>
  <c r="Z271" i="16" s="1"/>
  <c r="Y271" i="16" s="1"/>
  <c r="H271" i="16"/>
  <c r="J105" i="16"/>
  <c r="I105" i="16"/>
  <c r="AA209" i="16"/>
  <c r="Z209" i="16" s="1"/>
  <c r="Y209" i="16" s="1"/>
  <c r="G209" i="16"/>
  <c r="BY209" i="6" s="1"/>
  <c r="H209" i="16"/>
  <c r="H325" i="16"/>
  <c r="AA325" i="16"/>
  <c r="Z325" i="16" s="1"/>
  <c r="Y325" i="16" s="1"/>
  <c r="G325" i="16"/>
  <c r="BY325" i="6" s="1"/>
  <c r="AA328" i="16"/>
  <c r="Z328" i="16" s="1"/>
  <c r="Y328" i="16" s="1"/>
  <c r="G328" i="16"/>
  <c r="BY328" i="6" s="1"/>
  <c r="H328" i="16"/>
  <c r="H122" i="16"/>
  <c r="G122" i="16"/>
  <c r="BY122" i="6" s="1"/>
  <c r="AA122" i="16"/>
  <c r="Z122" i="16" s="1"/>
  <c r="Y122" i="16" s="1"/>
  <c r="G192" i="16"/>
  <c r="BY192" i="6" s="1"/>
  <c r="H192" i="16"/>
  <c r="G123" i="16"/>
  <c r="BY123" i="6" s="1"/>
  <c r="H123" i="16"/>
  <c r="AA123" i="16"/>
  <c r="Z123" i="16" s="1"/>
  <c r="Y123" i="16" s="1"/>
  <c r="AA229" i="16"/>
  <c r="Z229" i="16" s="1"/>
  <c r="Y229" i="16" s="1"/>
  <c r="G229" i="16"/>
  <c r="BY229" i="6" s="1"/>
  <c r="H229" i="16"/>
  <c r="F350" i="16"/>
  <c r="H54" i="16"/>
  <c r="G54" i="16"/>
  <c r="BY54" i="6" s="1"/>
  <c r="G201" i="16"/>
  <c r="BY201" i="6" s="1"/>
  <c r="AA201" i="16"/>
  <c r="Z201" i="16" s="1"/>
  <c r="Y201" i="16" s="1"/>
  <c r="H201" i="16"/>
  <c r="G364" i="16"/>
  <c r="BY364" i="6" s="1"/>
  <c r="H364" i="16"/>
  <c r="G376" i="16"/>
  <c r="BY376" i="6" s="1"/>
  <c r="H376" i="16"/>
  <c r="AA376" i="16"/>
  <c r="Z376" i="16" s="1"/>
  <c r="Y376" i="16" s="1"/>
  <c r="G184" i="16"/>
  <c r="BY184" i="6" s="1"/>
  <c r="H184" i="16"/>
  <c r="H48" i="16"/>
  <c r="G48" i="16"/>
  <c r="BY48" i="6" s="1"/>
  <c r="AA48" i="16"/>
  <c r="Z48" i="16" s="1"/>
  <c r="Y48" i="16" s="1"/>
  <c r="G354" i="16"/>
  <c r="BY354" i="6" s="1"/>
  <c r="H354" i="16"/>
  <c r="AA354" i="16"/>
  <c r="Z354" i="16" s="1"/>
  <c r="Y354" i="16" s="1"/>
  <c r="H49" i="16"/>
  <c r="G49" i="16"/>
  <c r="BY49" i="6" s="1"/>
  <c r="AA49" i="16"/>
  <c r="Z49" i="16" s="1"/>
  <c r="Y49" i="16" s="1"/>
  <c r="H256" i="16"/>
  <c r="G256" i="16"/>
  <c r="BY256" i="6" s="1"/>
  <c r="AA256" i="16"/>
  <c r="Z256" i="16" s="1"/>
  <c r="Y256" i="16" s="1"/>
  <c r="F260" i="16"/>
  <c r="H287" i="16"/>
  <c r="G287" i="16"/>
  <c r="BY287" i="6" s="1"/>
  <c r="AA287" i="16"/>
  <c r="Z287" i="16" s="1"/>
  <c r="Y287" i="16" s="1"/>
  <c r="G255" i="16"/>
  <c r="BY255" i="6" s="1"/>
  <c r="H255" i="16"/>
  <c r="AA255" i="16"/>
  <c r="Z255" i="16" s="1"/>
  <c r="Y255" i="16" s="1"/>
  <c r="G153" i="16"/>
  <c r="BY153" i="6" s="1"/>
  <c r="AA153" i="16"/>
  <c r="Z153" i="16" s="1"/>
  <c r="Y153" i="16" s="1"/>
  <c r="H153" i="16"/>
  <c r="AA43" i="16"/>
  <c r="Z43" i="16" s="1"/>
  <c r="Y43" i="16" s="1"/>
  <c r="G43" i="16"/>
  <c r="BY43" i="6" s="1"/>
  <c r="H43" i="16"/>
  <c r="H254" i="16"/>
  <c r="AA254" i="16"/>
  <c r="Z254" i="16" s="1"/>
  <c r="Y254" i="16" s="1"/>
  <c r="G254" i="16"/>
  <c r="BY254" i="6" s="1"/>
  <c r="G204" i="16"/>
  <c r="BY204" i="6" s="1"/>
  <c r="AA204" i="16"/>
  <c r="Z204" i="16" s="1"/>
  <c r="Y204" i="16" s="1"/>
  <c r="H204" i="16"/>
  <c r="H301" i="16"/>
  <c r="AA301" i="16"/>
  <c r="Z301" i="16" s="1"/>
  <c r="Y301" i="16" s="1"/>
  <c r="G301" i="16"/>
  <c r="BY301" i="6" s="1"/>
  <c r="H218" i="16"/>
  <c r="G218" i="16"/>
  <c r="BY218" i="6" s="1"/>
  <c r="AA218" i="16"/>
  <c r="Z218" i="16" s="1"/>
  <c r="Y218" i="16" s="1"/>
  <c r="G294" i="16"/>
  <c r="BY294" i="6" s="1"/>
  <c r="AA294" i="16"/>
  <c r="Z294" i="16" s="1"/>
  <c r="Y294" i="16" s="1"/>
  <c r="H294" i="16"/>
  <c r="AA217" i="16"/>
  <c r="Z217" i="16" s="1"/>
  <c r="Y217" i="16" s="1"/>
  <c r="G217" i="16"/>
  <c r="BY217" i="6" s="1"/>
  <c r="H217" i="16"/>
  <c r="G188" i="16"/>
  <c r="BY188" i="6" s="1"/>
  <c r="H188" i="16"/>
  <c r="AA188" i="16"/>
  <c r="Z188" i="16" s="1"/>
  <c r="Y188" i="16" s="1"/>
  <c r="G293" i="16"/>
  <c r="BY293" i="6" s="1"/>
  <c r="H293" i="16"/>
  <c r="G132" i="16"/>
  <c r="BY132" i="6" s="1"/>
  <c r="H132" i="16"/>
  <c r="AA132" i="16"/>
  <c r="Z132" i="16" s="1"/>
  <c r="Y132" i="16" s="1"/>
  <c r="G336" i="16"/>
  <c r="BY336" i="6" s="1"/>
  <c r="H336" i="16"/>
  <c r="AA336" i="16"/>
  <c r="Z336" i="16" s="1"/>
  <c r="Y336" i="16" s="1"/>
  <c r="G86" i="16"/>
  <c r="BY86" i="6" s="1"/>
  <c r="AA86" i="16"/>
  <c r="Z86" i="16" s="1"/>
  <c r="Y86" i="16" s="1"/>
  <c r="H86" i="16"/>
  <c r="G134" i="16"/>
  <c r="BY134" i="6" s="1"/>
  <c r="AA134" i="16"/>
  <c r="Z134" i="16" s="1"/>
  <c r="Y134" i="16" s="1"/>
  <c r="H134" i="16"/>
  <c r="H187" i="16"/>
  <c r="AA187" i="16"/>
  <c r="Z187" i="16" s="1"/>
  <c r="Y187" i="16" s="1"/>
  <c r="G187" i="16"/>
  <c r="BY187" i="6" s="1"/>
  <c r="G171" i="16"/>
  <c r="BY171" i="6" s="1"/>
  <c r="H171" i="16"/>
  <c r="G87" i="16"/>
  <c r="BY87" i="6" s="1"/>
  <c r="AA87" i="16"/>
  <c r="Z87" i="16" s="1"/>
  <c r="Y87" i="16" s="1"/>
  <c r="H87" i="16"/>
  <c r="AA245" i="16"/>
  <c r="Z245" i="16" s="1"/>
  <c r="Y245" i="16" s="1"/>
  <c r="G245" i="16"/>
  <c r="BY245" i="6" s="1"/>
  <c r="H245" i="16"/>
  <c r="G355" i="16"/>
  <c r="BY355" i="6" s="1"/>
  <c r="H355" i="16"/>
  <c r="AA355" i="16"/>
  <c r="Z355" i="16" s="1"/>
  <c r="Y355" i="16" s="1"/>
  <c r="AC381" i="22"/>
  <c r="J258" i="16"/>
  <c r="I258" i="16"/>
  <c r="J199" i="16"/>
  <c r="I199" i="16"/>
  <c r="AH383" i="16"/>
  <c r="AH382" i="16"/>
  <c r="AG15" i="16"/>
  <c r="AH381" i="16"/>
  <c r="I150" i="16"/>
  <c r="J150" i="16"/>
  <c r="I182" i="16"/>
  <c r="J182" i="16"/>
  <c r="J157" i="16"/>
  <c r="I157" i="16"/>
  <c r="I158" i="16"/>
  <c r="J158" i="16"/>
  <c r="J263" i="16"/>
  <c r="I263" i="16"/>
  <c r="J104" i="16"/>
  <c r="I104" i="16"/>
  <c r="J99" i="16"/>
  <c r="I51" i="16"/>
  <c r="J51" i="16"/>
  <c r="I288" i="16"/>
  <c r="J288" i="16"/>
  <c r="I146" i="16"/>
  <c r="J146" i="16"/>
  <c r="I306" i="16"/>
  <c r="J306" i="16"/>
  <c r="J267" i="16"/>
  <c r="J281" i="16"/>
  <c r="I281" i="16"/>
  <c r="H80" i="16"/>
  <c r="H206" i="16"/>
  <c r="H18" i="16"/>
  <c r="H114" i="16"/>
  <c r="H60" i="16"/>
  <c r="AA60" i="16"/>
  <c r="Z60" i="16" s="1"/>
  <c r="Y60" i="16" s="1"/>
  <c r="G60" i="16"/>
  <c r="BY60" i="6" s="1"/>
  <c r="J143" i="16"/>
  <c r="I143" i="16"/>
  <c r="I266" i="16"/>
  <c r="J266" i="16"/>
  <c r="J31" i="16"/>
  <c r="I31" i="16"/>
  <c r="J373" i="15"/>
  <c r="I373" i="15"/>
  <c r="H373" i="16" s="1"/>
  <c r="I283" i="16"/>
  <c r="I109" i="16"/>
  <c r="J109" i="16"/>
  <c r="I110" i="16"/>
  <c r="J110" i="16"/>
  <c r="T381" i="16"/>
  <c r="T382" i="16"/>
  <c r="H20" i="16"/>
  <c r="H24" i="16"/>
  <c r="I36" i="16"/>
  <c r="J36" i="16"/>
  <c r="I369" i="16"/>
  <c r="J369" i="16"/>
  <c r="J366" i="16"/>
  <c r="H214" i="16"/>
  <c r="I327" i="16"/>
  <c r="J327" i="16"/>
  <c r="J207" i="16"/>
  <c r="I207" i="16"/>
  <c r="H362" i="16"/>
  <c r="I226" i="16"/>
  <c r="J226" i="16"/>
  <c r="I308" i="16"/>
  <c r="J308" i="16"/>
  <c r="J59" i="16"/>
  <c r="I59" i="16"/>
  <c r="I311" i="16"/>
  <c r="J311" i="16"/>
  <c r="I246" i="16"/>
  <c r="J246" i="16"/>
  <c r="AA192" i="16"/>
  <c r="Z192" i="16" s="1"/>
  <c r="Y192" i="16" s="1"/>
  <c r="AA127" i="16"/>
  <c r="Z127" i="16" s="1"/>
  <c r="Y127" i="16" s="1"/>
  <c r="AA364" i="16"/>
  <c r="Z364" i="16" s="1"/>
  <c r="Y364" i="16" s="1"/>
  <c r="AA279" i="16"/>
  <c r="Z279" i="16" s="1"/>
  <c r="Y279" i="16" s="1"/>
  <c r="AA378" i="16"/>
  <c r="Z378" i="16" s="1"/>
  <c r="Y378" i="16" s="1"/>
  <c r="G50" i="16"/>
  <c r="BY50" i="6" s="1"/>
  <c r="H50" i="16"/>
  <c r="AA79" i="16"/>
  <c r="Z79" i="16" s="1"/>
  <c r="Y79" i="16" s="1"/>
  <c r="G79" i="16"/>
  <c r="BY79" i="6" s="1"/>
  <c r="G44" i="16"/>
  <c r="BY44" i="6" s="1"/>
  <c r="H44" i="16"/>
  <c r="H316" i="16"/>
  <c r="G316" i="16"/>
  <c r="BY316" i="6" s="1"/>
  <c r="AA316" i="16"/>
  <c r="Z316" i="16" s="1"/>
  <c r="Y316" i="16" s="1"/>
  <c r="AA299" i="16"/>
  <c r="Z299" i="16" s="1"/>
  <c r="Y299" i="16" s="1"/>
  <c r="G299" i="16"/>
  <c r="BY299" i="6" s="1"/>
  <c r="H299" i="16"/>
  <c r="G358" i="16"/>
  <c r="BY358" i="6" s="1"/>
  <c r="AA358" i="16"/>
  <c r="Z358" i="16" s="1"/>
  <c r="Y358" i="16" s="1"/>
  <c r="H358" i="16"/>
  <c r="D53" i="7"/>
  <c r="V302" i="16"/>
  <c r="F302" i="16" s="1"/>
  <c r="H131" i="16"/>
  <c r="AA131" i="16"/>
  <c r="Z131" i="16" s="1"/>
  <c r="Y131" i="16" s="1"/>
  <c r="G131" i="16"/>
  <c r="BY131" i="6" s="1"/>
  <c r="H98" i="16"/>
  <c r="AA98" i="16"/>
  <c r="Z98" i="16" s="1"/>
  <c r="Y98" i="16" s="1"/>
  <c r="G98" i="16"/>
  <c r="BY98" i="6" s="1"/>
  <c r="D46" i="7"/>
  <c r="V88" i="16"/>
  <c r="F88" i="16" s="1"/>
  <c r="H173" i="16"/>
  <c r="G173" i="16"/>
  <c r="BY173" i="6" s="1"/>
  <c r="AA173" i="16"/>
  <c r="Z173" i="16" s="1"/>
  <c r="Y173" i="16" s="1"/>
  <c r="H42" i="16"/>
  <c r="G42" i="16"/>
  <c r="BY42" i="6" s="1"/>
  <c r="AA42" i="16"/>
  <c r="Z42" i="16" s="1"/>
  <c r="Y42" i="16" s="1"/>
  <c r="G154" i="16"/>
  <c r="BY154" i="6" s="1"/>
  <c r="H154" i="16"/>
  <c r="AA154" i="16"/>
  <c r="Z154" i="16" s="1"/>
  <c r="Y154" i="16" s="1"/>
  <c r="G224" i="16"/>
  <c r="BY224" i="6" s="1"/>
  <c r="AA224" i="16"/>
  <c r="Z224" i="16" s="1"/>
  <c r="Y224" i="16" s="1"/>
  <c r="H224" i="16"/>
  <c r="AA205" i="16"/>
  <c r="Z205" i="16" s="1"/>
  <c r="Y205" i="16" s="1"/>
  <c r="G205" i="16"/>
  <c r="BY205" i="6" s="1"/>
  <c r="H205" i="16"/>
  <c r="G66" i="16"/>
  <c r="BY66" i="6" s="1"/>
  <c r="AA66" i="16"/>
  <c r="Z66" i="16" s="1"/>
  <c r="Y66" i="16" s="1"/>
  <c r="H66" i="16"/>
  <c r="D55" i="7"/>
  <c r="V363" i="16"/>
  <c r="F363" i="16" s="1"/>
  <c r="G193" i="16"/>
  <c r="BY193" i="6" s="1"/>
  <c r="AA193" i="16"/>
  <c r="Z193" i="16" s="1"/>
  <c r="Y193" i="16" s="1"/>
  <c r="H193" i="16"/>
  <c r="AA339" i="16"/>
  <c r="Z339" i="16" s="1"/>
  <c r="Y339" i="16" s="1"/>
  <c r="G339" i="16"/>
  <c r="BY339" i="6" s="1"/>
  <c r="H339" i="16"/>
  <c r="AA373" i="16"/>
  <c r="Z373" i="16" s="1"/>
  <c r="Y373" i="16" s="1"/>
  <c r="G373" i="16"/>
  <c r="BY373" i="6" s="1"/>
  <c r="AA105" i="16"/>
  <c r="Z105" i="16" s="1"/>
  <c r="Y105" i="16" s="1"/>
  <c r="G105" i="16"/>
  <c r="BY105" i="6" s="1"/>
  <c r="H372" i="16"/>
  <c r="AA372" i="16"/>
  <c r="Z372" i="16" s="1"/>
  <c r="Y372" i="16" s="1"/>
  <c r="G372" i="16"/>
  <c r="BY372" i="6" s="1"/>
  <c r="AA148" i="16"/>
  <c r="Z148" i="16" s="1"/>
  <c r="Y148" i="16" s="1"/>
  <c r="G148" i="16"/>
  <c r="BY148" i="6" s="1"/>
  <c r="H148" i="16"/>
  <c r="G68" i="16"/>
  <c r="BY68" i="6" s="1"/>
  <c r="H68" i="16"/>
  <c r="AA285" i="16"/>
  <c r="Z285" i="16" s="1"/>
  <c r="Y285" i="16" s="1"/>
  <c r="G285" i="16"/>
  <c r="BY285" i="6" s="1"/>
  <c r="H285" i="16"/>
  <c r="AA61" i="16"/>
  <c r="Z61" i="16" s="1"/>
  <c r="Y61" i="16" s="1"/>
  <c r="G61" i="16"/>
  <c r="BY61" i="6" s="1"/>
  <c r="H61" i="16"/>
  <c r="H265" i="16"/>
  <c r="AA265" i="16"/>
  <c r="Z265" i="16" s="1"/>
  <c r="Y265" i="16" s="1"/>
  <c r="G265" i="16"/>
  <c r="BY265" i="6" s="1"/>
  <c r="H189" i="16"/>
  <c r="AA189" i="16"/>
  <c r="Z189" i="16" s="1"/>
  <c r="Y189" i="16" s="1"/>
  <c r="G189" i="16"/>
  <c r="BY189" i="6" s="1"/>
  <c r="H181" i="16"/>
  <c r="G181" i="16"/>
  <c r="BY181" i="6" s="1"/>
  <c r="G307" i="16"/>
  <c r="BY307" i="6" s="1"/>
  <c r="AA307" i="16"/>
  <c r="Z307" i="16" s="1"/>
  <c r="Y307" i="16" s="1"/>
  <c r="H307" i="16"/>
  <c r="G129" i="16"/>
  <c r="BY129" i="6" s="1"/>
  <c r="AA129" i="16"/>
  <c r="Z129" i="16" s="1"/>
  <c r="Y129" i="16" s="1"/>
  <c r="H129" i="16"/>
  <c r="AA200" i="16"/>
  <c r="Z200" i="16" s="1"/>
  <c r="Y200" i="16" s="1"/>
  <c r="G200" i="16"/>
  <c r="BY200" i="6" s="1"/>
  <c r="H200" i="16"/>
  <c r="G58" i="16"/>
  <c r="BY58" i="6" s="1"/>
  <c r="AA58" i="16"/>
  <c r="Z58" i="16" s="1"/>
  <c r="Y58" i="16" s="1"/>
  <c r="H58" i="16"/>
  <c r="H152" i="16"/>
  <c r="G152" i="16"/>
  <c r="BY152" i="6" s="1"/>
  <c r="AA152" i="16"/>
  <c r="Z152" i="16" s="1"/>
  <c r="Y152" i="16" s="1"/>
  <c r="AA264" i="16"/>
  <c r="Z264" i="16" s="1"/>
  <c r="Y264" i="16" s="1"/>
  <c r="G264" i="16"/>
  <c r="BY264" i="6" s="1"/>
  <c r="H264" i="16"/>
  <c r="H213" i="16"/>
  <c r="G213" i="16"/>
  <c r="BY213" i="6" s="1"/>
  <c r="G352" i="16"/>
  <c r="BY352" i="6" s="1"/>
  <c r="H352" i="16"/>
  <c r="AA352" i="16"/>
  <c r="Z352" i="16" s="1"/>
  <c r="Y352" i="16" s="1"/>
  <c r="H160" i="16"/>
  <c r="G160" i="16"/>
  <c r="BY160" i="6" s="1"/>
  <c r="AA160" i="16"/>
  <c r="Z160" i="16" s="1"/>
  <c r="Y160" i="16" s="1"/>
  <c r="G116" i="16"/>
  <c r="BY116" i="6" s="1"/>
  <c r="AA116" i="16"/>
  <c r="Z116" i="16" s="1"/>
  <c r="Y116" i="16" s="1"/>
  <c r="H116" i="16"/>
  <c r="AA332" i="16"/>
  <c r="Z332" i="16" s="1"/>
  <c r="Y332" i="16" s="1"/>
  <c r="G332" i="16"/>
  <c r="BY332" i="6" s="1"/>
  <c r="H332" i="16"/>
  <c r="G163" i="16"/>
  <c r="BY163" i="6" s="1"/>
  <c r="H163" i="16"/>
  <c r="AA163" i="16"/>
  <c r="Z163" i="16" s="1"/>
  <c r="Y163" i="16" s="1"/>
  <c r="G318" i="16"/>
  <c r="BY318" i="6" s="1"/>
  <c r="AA318" i="16"/>
  <c r="Z318" i="16" s="1"/>
  <c r="Y318" i="16" s="1"/>
  <c r="H318" i="16"/>
  <c r="H67" i="16"/>
  <c r="G67" i="16"/>
  <c r="BY67" i="6" s="1"/>
  <c r="AA67" i="16"/>
  <c r="Z67" i="16" s="1"/>
  <c r="Y67" i="16" s="1"/>
  <c r="D51" i="7"/>
  <c r="V241" i="16"/>
  <c r="F241" i="16" s="1"/>
  <c r="G315" i="16"/>
  <c r="BY315" i="6" s="1"/>
  <c r="AA315" i="16"/>
  <c r="Z315" i="16" s="1"/>
  <c r="Y315" i="16" s="1"/>
  <c r="H315" i="16"/>
  <c r="AA370" i="16"/>
  <c r="Z370" i="16" s="1"/>
  <c r="Y370" i="16" s="1"/>
  <c r="G370" i="16"/>
  <c r="BY370" i="6" s="1"/>
  <c r="H370" i="16"/>
  <c r="AA63" i="16"/>
  <c r="Z63" i="16" s="1"/>
  <c r="Y63" i="16" s="1"/>
  <c r="H63" i="16"/>
  <c r="G63" i="16"/>
  <c r="BY63" i="6" s="1"/>
  <c r="G343" i="16"/>
  <c r="BY343" i="6" s="1"/>
  <c r="AA343" i="16"/>
  <c r="Z343" i="16" s="1"/>
  <c r="Y343" i="16" s="1"/>
  <c r="H343" i="16"/>
  <c r="G206" i="16"/>
  <c r="BY206" i="6" s="1"/>
  <c r="AA206" i="16"/>
  <c r="Z206" i="16" s="1"/>
  <c r="Y206" i="16" s="1"/>
  <c r="G32" i="16"/>
  <c r="BY32" i="6" s="1"/>
  <c r="H32" i="16"/>
  <c r="H33" i="16"/>
  <c r="G33" i="16"/>
  <c r="BY33" i="6" s="1"/>
  <c r="AA33" i="16"/>
  <c r="Z33" i="16" s="1"/>
  <c r="Y33" i="16" s="1"/>
  <c r="G139" i="16"/>
  <c r="BY139" i="6" s="1"/>
  <c r="H139" i="16"/>
  <c r="AA139" i="16"/>
  <c r="Z139" i="16" s="1"/>
  <c r="Y139" i="16" s="1"/>
  <c r="G362" i="16"/>
  <c r="BY362" i="6" s="1"/>
  <c r="AA362" i="16"/>
  <c r="Z362" i="16" s="1"/>
  <c r="Y362" i="16" s="1"/>
  <c r="H356" i="16"/>
  <c r="G356" i="16"/>
  <c r="BY356" i="6" s="1"/>
  <c r="AA356" i="16"/>
  <c r="Z356" i="16" s="1"/>
  <c r="Y356" i="16" s="1"/>
  <c r="G345" i="16"/>
  <c r="BY345" i="6" s="1"/>
  <c r="AA345" i="16"/>
  <c r="Z345" i="16" s="1"/>
  <c r="Y345" i="16" s="1"/>
  <c r="H345" i="16"/>
  <c r="G194" i="16"/>
  <c r="BY194" i="6" s="1"/>
  <c r="H194" i="16"/>
  <c r="AA194" i="16"/>
  <c r="Z194" i="16" s="1"/>
  <c r="Y194" i="16" s="1"/>
  <c r="AA331" i="16"/>
  <c r="Z331" i="16" s="1"/>
  <c r="Y331" i="16" s="1"/>
  <c r="H331" i="16"/>
  <c r="G331" i="16"/>
  <c r="BY331" i="6" s="1"/>
  <c r="G170" i="16"/>
  <c r="BY170" i="6" s="1"/>
  <c r="H170" i="16"/>
  <c r="AA170" i="16"/>
  <c r="Z170" i="16" s="1"/>
  <c r="Y170" i="16" s="1"/>
  <c r="H313" i="16"/>
  <c r="G313" i="16"/>
  <c r="BY313" i="6" s="1"/>
  <c r="AA313" i="16"/>
  <c r="Z313" i="16" s="1"/>
  <c r="Y313" i="16" s="1"/>
  <c r="G277" i="16"/>
  <c r="BY277" i="6" s="1"/>
  <c r="AA277" i="16"/>
  <c r="Z277" i="16" s="1"/>
  <c r="Y277" i="16" s="1"/>
  <c r="H277" i="16"/>
  <c r="V197" i="16"/>
  <c r="F197" i="16" s="1"/>
  <c r="H310" i="16"/>
  <c r="AA310" i="16"/>
  <c r="Z310" i="16" s="1"/>
  <c r="Y310" i="16" s="1"/>
  <c r="G310" i="16"/>
  <c r="BY310" i="6" s="1"/>
  <c r="G174" i="16"/>
  <c r="BY174" i="6" s="1"/>
  <c r="AA174" i="16"/>
  <c r="Z174" i="16" s="1"/>
  <c r="Y174" i="16" s="1"/>
  <c r="H174" i="16"/>
  <c r="G230" i="16"/>
  <c r="BY230" i="6" s="1"/>
  <c r="AA230" i="16"/>
  <c r="Z230" i="16" s="1"/>
  <c r="Y230" i="16" s="1"/>
  <c r="H230" i="16"/>
  <c r="G359" i="16"/>
  <c r="BY359" i="6" s="1"/>
  <c r="H359" i="16"/>
  <c r="AA359" i="16"/>
  <c r="Z359" i="16" s="1"/>
  <c r="Y359" i="16" s="1"/>
  <c r="AA238" i="16"/>
  <c r="Z238" i="16" s="1"/>
  <c r="Y238" i="16" s="1"/>
  <c r="G238" i="16"/>
  <c r="BY238" i="6" s="1"/>
  <c r="H238" i="16"/>
  <c r="G330" i="16"/>
  <c r="BY330" i="6" s="1"/>
  <c r="AA330" i="16"/>
  <c r="Z330" i="16" s="1"/>
  <c r="Y330" i="16" s="1"/>
  <c r="H330" i="16"/>
  <c r="H261" i="16"/>
  <c r="G261" i="16"/>
  <c r="BY261" i="6" s="1"/>
  <c r="AA261" i="16"/>
  <c r="Z261" i="16" s="1"/>
  <c r="Y261" i="16" s="1"/>
  <c r="G52" i="16"/>
  <c r="BY52" i="6" s="1"/>
  <c r="AA52" i="16"/>
  <c r="Z52" i="16" s="1"/>
  <c r="Y52" i="16" s="1"/>
  <c r="AA111" i="16"/>
  <c r="Z111" i="16" s="1"/>
  <c r="Y111" i="16" s="1"/>
  <c r="H111" i="16"/>
  <c r="G111" i="16"/>
  <c r="BY111" i="6" s="1"/>
  <c r="G323" i="16"/>
  <c r="BY323" i="6" s="1"/>
  <c r="AA323" i="16"/>
  <c r="Z323" i="16" s="1"/>
  <c r="Y323" i="16" s="1"/>
  <c r="H323" i="16"/>
  <c r="G147" i="16"/>
  <c r="BY147" i="6" s="1"/>
  <c r="AA147" i="16"/>
  <c r="Z147" i="16" s="1"/>
  <c r="Y147" i="16" s="1"/>
  <c r="H147" i="16"/>
  <c r="G53" i="16"/>
  <c r="BY53" i="6" s="1"/>
  <c r="AA53" i="16"/>
  <c r="Z53" i="16" s="1"/>
  <c r="Y53" i="16" s="1"/>
  <c r="H53" i="16"/>
  <c r="G140" i="16"/>
  <c r="BY140" i="6" s="1"/>
  <c r="AA140" i="16"/>
  <c r="Z140" i="16" s="1"/>
  <c r="Y140" i="16" s="1"/>
  <c r="H140" i="16"/>
  <c r="G340" i="16"/>
  <c r="BY340" i="6" s="1"/>
  <c r="AA340" i="16"/>
  <c r="Z340" i="16" s="1"/>
  <c r="Y340" i="16" s="1"/>
  <c r="H340" i="16"/>
  <c r="G155" i="16"/>
  <c r="BY155" i="6" s="1"/>
  <c r="AA155" i="16"/>
  <c r="Z155" i="16" s="1"/>
  <c r="Y155" i="16" s="1"/>
  <c r="H155" i="16"/>
  <c r="H215" i="16"/>
  <c r="G215" i="16"/>
  <c r="BY215" i="6" s="1"/>
  <c r="AA215" i="16"/>
  <c r="Z215" i="16" s="1"/>
  <c r="Y215" i="16" s="1"/>
  <c r="AA312" i="16"/>
  <c r="Z312" i="16" s="1"/>
  <c r="Y312" i="16" s="1"/>
  <c r="G312" i="16"/>
  <c r="BY312" i="6" s="1"/>
  <c r="H312" i="16"/>
  <c r="F167" i="16"/>
  <c r="G71" i="16"/>
  <c r="BY71" i="6" s="1"/>
  <c r="AA71" i="16"/>
  <c r="Z71" i="16" s="1"/>
  <c r="Y71" i="16" s="1"/>
  <c r="H71" i="16"/>
  <c r="AA344" i="16"/>
  <c r="Z344" i="16" s="1"/>
  <c r="Y344" i="16" s="1"/>
  <c r="H344" i="16"/>
  <c r="G344" i="16"/>
  <c r="BY344" i="6" s="1"/>
  <c r="V320" i="16"/>
  <c r="L63" i="19" s="1"/>
  <c r="G380" i="16"/>
  <c r="BY380" i="6" s="1"/>
  <c r="AA380" i="16"/>
  <c r="Z380" i="16" s="1"/>
  <c r="Y380" i="16" s="1"/>
  <c r="H380" i="16"/>
  <c r="G115" i="16"/>
  <c r="BY115" i="6" s="1"/>
  <c r="AA115" i="16"/>
  <c r="Z115" i="16" s="1"/>
  <c r="Y115" i="16" s="1"/>
  <c r="H115" i="16"/>
  <c r="G227" i="16"/>
  <c r="BY227" i="6" s="1"/>
  <c r="AA227" i="16"/>
  <c r="Z227" i="16" s="1"/>
  <c r="Y227" i="16" s="1"/>
  <c r="G300" i="16"/>
  <c r="BY300" i="6" s="1"/>
  <c r="AA300" i="16"/>
  <c r="Z300" i="16" s="1"/>
  <c r="Y300" i="16" s="1"/>
  <c r="H300" i="16"/>
  <c r="G225" i="16"/>
  <c r="BY225" i="6" s="1"/>
  <c r="AA225" i="16"/>
  <c r="Z225" i="16" s="1"/>
  <c r="Y225" i="16" s="1"/>
  <c r="H225" i="16"/>
  <c r="G270" i="16"/>
  <c r="BY270" i="6" s="1"/>
  <c r="H270" i="16"/>
  <c r="AA270" i="16"/>
  <c r="Z270" i="16" s="1"/>
  <c r="Y270" i="16" s="1"/>
  <c r="G305" i="16"/>
  <c r="BY305" i="6" s="1"/>
  <c r="AA305" i="16"/>
  <c r="Z305" i="16" s="1"/>
  <c r="Y305" i="16" s="1"/>
  <c r="H305" i="16"/>
  <c r="G101" i="16"/>
  <c r="BY101" i="6" s="1"/>
  <c r="AA101" i="16"/>
  <c r="Z101" i="16" s="1"/>
  <c r="Y101" i="16" s="1"/>
  <c r="H101" i="16"/>
  <c r="G220" i="16"/>
  <c r="BY220" i="6" s="1"/>
  <c r="AA220" i="16"/>
  <c r="Z220" i="16" s="1"/>
  <c r="Y220" i="16" s="1"/>
  <c r="H220" i="16"/>
  <c r="U16" i="7"/>
  <c r="U10" i="17"/>
  <c r="J62" i="16"/>
  <c r="I62" i="16"/>
  <c r="P382" i="15"/>
  <c r="P381" i="15"/>
  <c r="V15" i="15"/>
  <c r="P383" i="15"/>
  <c r="G73" i="16"/>
  <c r="BY73" i="6" s="1"/>
  <c r="AA73" i="16"/>
  <c r="Z73" i="16" s="1"/>
  <c r="Y73" i="16" s="1"/>
  <c r="H73" i="16"/>
  <c r="G239" i="16"/>
  <c r="BY239" i="6" s="1"/>
  <c r="AA239" i="16"/>
  <c r="Z239" i="16" s="1"/>
  <c r="Y239" i="16" s="1"/>
  <c r="H239" i="16"/>
  <c r="H221" i="16"/>
  <c r="AA221" i="16"/>
  <c r="Z221" i="16" s="1"/>
  <c r="Y221" i="16" s="1"/>
  <c r="G221" i="16"/>
  <c r="BY221" i="6" s="1"/>
  <c r="G324" i="16"/>
  <c r="BY324" i="6" s="1"/>
  <c r="H324" i="16"/>
  <c r="V176" i="16"/>
  <c r="G63" i="19" s="1"/>
  <c r="G20" i="16"/>
  <c r="BY20" i="6" s="1"/>
  <c r="AA20" i="16"/>
  <c r="Z20" i="16" s="1"/>
  <c r="Y20" i="16" s="1"/>
  <c r="H292" i="16"/>
  <c r="G292" i="16"/>
  <c r="BY292" i="6" s="1"/>
  <c r="AA292" i="16"/>
  <c r="Z292" i="16" s="1"/>
  <c r="Y292" i="16" s="1"/>
  <c r="G96" i="16"/>
  <c r="BY96" i="6" s="1"/>
  <c r="H96" i="16"/>
  <c r="AA96" i="16"/>
  <c r="Z96" i="16" s="1"/>
  <c r="Y96" i="16" s="1"/>
  <c r="AA282" i="16"/>
  <c r="Z282" i="16" s="1"/>
  <c r="Y282" i="16" s="1"/>
  <c r="G282" i="16"/>
  <c r="BY282" i="6" s="1"/>
  <c r="H282" i="16"/>
  <c r="F106" i="16"/>
  <c r="H57" i="16"/>
  <c r="G57" i="16"/>
  <c r="BY57" i="6" s="1"/>
  <c r="AA57" i="16"/>
  <c r="Z57" i="16" s="1"/>
  <c r="Y57" i="16" s="1"/>
  <c r="G216" i="16"/>
  <c r="BY216" i="6" s="1"/>
  <c r="H216" i="16"/>
  <c r="AA216" i="16"/>
  <c r="Z216" i="16" s="1"/>
  <c r="Y216" i="16" s="1"/>
  <c r="G77" i="16"/>
  <c r="BY77" i="6" s="1"/>
  <c r="AA77" i="16"/>
  <c r="Z77" i="16" s="1"/>
  <c r="Y77" i="16" s="1"/>
  <c r="H77" i="16"/>
  <c r="H91" i="16"/>
  <c r="AA91" i="16"/>
  <c r="Z91" i="16" s="1"/>
  <c r="Y91" i="16" s="1"/>
  <c r="G91" i="16"/>
  <c r="BY91" i="6" s="1"/>
  <c r="H337" i="16"/>
  <c r="G337" i="16"/>
  <c r="BY337" i="6" s="1"/>
  <c r="AA337" i="16"/>
  <c r="Z337" i="16" s="1"/>
  <c r="Y337" i="16" s="1"/>
  <c r="H208" i="16"/>
  <c r="G208" i="16"/>
  <c r="BY208" i="6" s="1"/>
  <c r="AA208" i="16"/>
  <c r="Z208" i="16" s="1"/>
  <c r="Y208" i="16" s="1"/>
  <c r="G93" i="16"/>
  <c r="BY93" i="6" s="1"/>
  <c r="AA93" i="16"/>
  <c r="Z93" i="16" s="1"/>
  <c r="Y93" i="16" s="1"/>
  <c r="H93" i="16"/>
  <c r="F47" i="16"/>
  <c r="C63" i="19"/>
  <c r="V29" i="16"/>
  <c r="F29" i="16" s="1"/>
  <c r="D44" i="7"/>
  <c r="AA94" i="16"/>
  <c r="Z94" i="16" s="1"/>
  <c r="Y94" i="16" s="1"/>
  <c r="G94" i="16"/>
  <c r="BY94" i="6" s="1"/>
  <c r="H94" i="16"/>
  <c r="AA223" i="16"/>
  <c r="Z223" i="16" s="1"/>
  <c r="Y223" i="16" s="1"/>
  <c r="H223" i="16"/>
  <c r="G223" i="16"/>
  <c r="BY223" i="6" s="1"/>
  <c r="H236" i="16"/>
  <c r="G236" i="16"/>
  <c r="BY236" i="6" s="1"/>
  <c r="AA236" i="16"/>
  <c r="Z236" i="16" s="1"/>
  <c r="Y236" i="16" s="1"/>
  <c r="G191" i="16"/>
  <c r="BY191" i="6" s="1"/>
  <c r="H191" i="16"/>
  <c r="I195" i="16"/>
  <c r="J195" i="16"/>
  <c r="I177" i="16"/>
  <c r="J177" i="16"/>
  <c r="J314" i="16"/>
  <c r="I314" i="16"/>
  <c r="I64" i="16"/>
  <c r="H227" i="16"/>
  <c r="J45" i="16"/>
  <c r="I45" i="16"/>
  <c r="H21" i="16"/>
  <c r="AA171" i="16"/>
  <c r="Z171" i="16" s="1"/>
  <c r="Y171" i="16" s="1"/>
  <c r="AA191" i="16"/>
  <c r="Z191" i="16" s="1"/>
  <c r="Y191" i="16" s="1"/>
  <c r="AA50" i="16"/>
  <c r="Z50" i="16" s="1"/>
  <c r="Y50" i="16" s="1"/>
  <c r="AA54" i="16"/>
  <c r="Z54" i="16" s="1"/>
  <c r="Y54" i="16" s="1"/>
  <c r="AA297" i="16"/>
  <c r="Z297" i="16" s="1"/>
  <c r="Y297" i="16" s="1"/>
  <c r="AA18" i="16"/>
  <c r="Z18" i="16" s="1"/>
  <c r="Y18" i="16" s="1"/>
  <c r="AA293" i="16"/>
  <c r="Z293" i="16" s="1"/>
  <c r="Y293" i="16" s="1"/>
  <c r="AA184" i="16"/>
  <c r="Z184" i="16" s="1"/>
  <c r="Y184" i="16" s="1"/>
  <c r="AA367" i="16"/>
  <c r="Z367" i="16" s="1"/>
  <c r="Y367" i="16" s="1"/>
  <c r="G361" i="16"/>
  <c r="BY361" i="6" s="1"/>
  <c r="AA361" i="16"/>
  <c r="Z361" i="16" s="1"/>
  <c r="Y361" i="16" s="1"/>
  <c r="H361" i="16"/>
  <c r="AA65" i="16"/>
  <c r="Z65" i="16" s="1"/>
  <c r="Y65" i="16" s="1"/>
  <c r="G65" i="16"/>
  <c r="BY65" i="6" s="1"/>
  <c r="H65" i="16"/>
  <c r="G85" i="16"/>
  <c r="BY85" i="6" s="1"/>
  <c r="AA85" i="16"/>
  <c r="Z85" i="16" s="1"/>
  <c r="Y85" i="16" s="1"/>
  <c r="H85" i="16"/>
  <c r="AA27" i="16"/>
  <c r="Z27" i="16" s="1"/>
  <c r="Y27" i="16" s="1"/>
  <c r="H27" i="16"/>
  <c r="G27" i="16"/>
  <c r="BY27" i="6" s="1"/>
  <c r="G37" i="16"/>
  <c r="BY37" i="6" s="1"/>
  <c r="AA37" i="16"/>
  <c r="Z37" i="16" s="1"/>
  <c r="Y37" i="16" s="1"/>
  <c r="H37" i="16"/>
  <c r="AA202" i="16"/>
  <c r="Z202" i="16" s="1"/>
  <c r="Y202" i="16" s="1"/>
  <c r="G202" i="16"/>
  <c r="BY202" i="6" s="1"/>
  <c r="H202" i="16"/>
  <c r="G346" i="16"/>
  <c r="BY346" i="6" s="1"/>
  <c r="AA346" i="16"/>
  <c r="Z346" i="16" s="1"/>
  <c r="Y346" i="16" s="1"/>
  <c r="H346" i="16"/>
  <c r="H273" i="16"/>
  <c r="G273" i="16"/>
  <c r="BY273" i="6" s="1"/>
  <c r="AA273" i="16"/>
  <c r="Z273" i="16" s="1"/>
  <c r="Y273" i="16" s="1"/>
  <c r="H175" i="16"/>
  <c r="G175" i="16"/>
  <c r="BY175" i="6" s="1"/>
  <c r="AA175" i="16"/>
  <c r="Z175" i="16" s="1"/>
  <c r="Y175" i="16" s="1"/>
  <c r="AA262" i="16"/>
  <c r="Z262" i="16" s="1"/>
  <c r="Y262" i="16" s="1"/>
  <c r="G262" i="16"/>
  <c r="BY262" i="6" s="1"/>
  <c r="H262" i="16"/>
  <c r="AA126" i="16"/>
  <c r="Z126" i="16" s="1"/>
  <c r="Y126" i="16" s="1"/>
  <c r="G126" i="16"/>
  <c r="BY126" i="6" s="1"/>
  <c r="H126" i="16"/>
  <c r="AA214" i="16"/>
  <c r="Z214" i="16" s="1"/>
  <c r="Y214" i="16" s="1"/>
  <c r="G214" i="16"/>
  <c r="BY214" i="6" s="1"/>
  <c r="G231" i="16"/>
  <c r="BY231" i="6" s="1"/>
  <c r="H231" i="16"/>
  <c r="AA231" i="16"/>
  <c r="Z231" i="16" s="1"/>
  <c r="Y231" i="16" s="1"/>
  <c r="H141" i="16"/>
  <c r="AA141" i="16"/>
  <c r="Z141" i="16" s="1"/>
  <c r="Y141" i="16" s="1"/>
  <c r="G141" i="16"/>
  <c r="BY141" i="6" s="1"/>
  <c r="V119" i="16"/>
  <c r="F119" i="16" s="1"/>
  <c r="D47" i="7"/>
  <c r="H112" i="16"/>
  <c r="G112" i="16"/>
  <c r="BY112" i="6" s="1"/>
  <c r="AA112" i="16"/>
  <c r="Z112" i="16" s="1"/>
  <c r="Y112" i="16" s="1"/>
  <c r="G83" i="16"/>
  <c r="BY83" i="6" s="1"/>
  <c r="H83" i="16"/>
  <c r="G156" i="16"/>
  <c r="BY156" i="6" s="1"/>
  <c r="H156" i="16"/>
  <c r="AA156" i="16"/>
  <c r="Z156" i="16" s="1"/>
  <c r="Y156" i="16" s="1"/>
  <c r="G113" i="16"/>
  <c r="BY113" i="6" s="1"/>
  <c r="H113" i="16"/>
  <c r="AA113" i="16"/>
  <c r="Z113" i="16" s="1"/>
  <c r="Y113" i="16" s="1"/>
  <c r="G19" i="16"/>
  <c r="BY19" i="6" s="1"/>
  <c r="H19" i="16"/>
  <c r="AA19" i="16"/>
  <c r="Z19" i="16" s="1"/>
  <c r="Y19" i="16" s="1"/>
  <c r="H178" i="16"/>
  <c r="G178" i="16"/>
  <c r="BY178" i="6" s="1"/>
  <c r="AA178" i="16"/>
  <c r="Z178" i="16" s="1"/>
  <c r="Y178" i="16" s="1"/>
  <c r="G219" i="16"/>
  <c r="BY219" i="6" s="1"/>
  <c r="AA219" i="16"/>
  <c r="Z219" i="16" s="1"/>
  <c r="Y219" i="16" s="1"/>
  <c r="H219" i="16"/>
  <c r="G162" i="16"/>
  <c r="BY162" i="6" s="1"/>
  <c r="H162" i="16"/>
  <c r="AA162" i="16"/>
  <c r="Z162" i="16" s="1"/>
  <c r="Y162" i="16" s="1"/>
  <c r="G371" i="16"/>
  <c r="BY371" i="6" s="1"/>
  <c r="H371" i="16"/>
  <c r="AA371" i="16"/>
  <c r="Z371" i="16" s="1"/>
  <c r="Y371" i="16" s="1"/>
  <c r="G232" i="16"/>
  <c r="BY232" i="6" s="1"/>
  <c r="AA232" i="16"/>
  <c r="Z232" i="16" s="1"/>
  <c r="Y232" i="16" s="1"/>
  <c r="H232" i="16"/>
  <c r="AA120" i="16"/>
  <c r="Z120" i="16" s="1"/>
  <c r="Y120" i="16" s="1"/>
  <c r="H120" i="16"/>
  <c r="G120" i="16"/>
  <c r="BY120" i="6" s="1"/>
  <c r="H84" i="16"/>
  <c r="AA84" i="16"/>
  <c r="Z84" i="16" s="1"/>
  <c r="Y84" i="16" s="1"/>
  <c r="G84" i="16"/>
  <c r="BY84" i="6" s="1"/>
  <c r="G284" i="16"/>
  <c r="BY284" i="6" s="1"/>
  <c r="H284" i="16"/>
  <c r="AA284" i="16"/>
  <c r="Z284" i="16" s="1"/>
  <c r="Y284" i="16" s="1"/>
  <c r="G357" i="16"/>
  <c r="BY357" i="6" s="1"/>
  <c r="AA357" i="16"/>
  <c r="Z357" i="16" s="1"/>
  <c r="Y357" i="16" s="1"/>
  <c r="H357" i="16"/>
  <c r="H124" i="16"/>
  <c r="AA124" i="16"/>
  <c r="Z124" i="16" s="1"/>
  <c r="Y124" i="16" s="1"/>
  <c r="G124" i="16"/>
  <c r="BY124" i="6" s="1"/>
  <c r="V210" i="16"/>
  <c r="D50" i="7"/>
  <c r="F210" i="16"/>
  <c r="G169" i="16"/>
  <c r="BY169" i="6" s="1"/>
  <c r="AA169" i="16"/>
  <c r="Z169" i="16" s="1"/>
  <c r="Y169" i="16" s="1"/>
  <c r="H169" i="16"/>
  <c r="G329" i="16"/>
  <c r="BY329" i="6" s="1"/>
  <c r="AA329" i="16"/>
  <c r="Z329" i="16" s="1"/>
  <c r="Y329" i="16" s="1"/>
  <c r="H329" i="16"/>
  <c r="G125" i="16"/>
  <c r="BY125" i="6" s="1"/>
  <c r="H125" i="16"/>
  <c r="AA125" i="16"/>
  <c r="Z125" i="16" s="1"/>
  <c r="Y125" i="16" s="1"/>
  <c r="G137" i="16"/>
  <c r="BY137" i="6" s="1"/>
  <c r="AA137" i="16"/>
  <c r="Z137" i="16" s="1"/>
  <c r="Y137" i="16" s="1"/>
  <c r="I347" i="16"/>
  <c r="J347" i="16"/>
  <c r="J75" i="15"/>
  <c r="I75" i="15"/>
  <c r="I222" i="16"/>
  <c r="J222" i="16"/>
  <c r="I348" i="16"/>
  <c r="J348" i="16"/>
  <c r="I249" i="16"/>
  <c r="J249" i="16"/>
  <c r="H253" i="16"/>
  <c r="G253" i="16"/>
  <c r="BY253" i="6" s="1"/>
  <c r="AA253" i="16"/>
  <c r="Z253" i="16" s="1"/>
  <c r="Y253" i="16" s="1"/>
  <c r="T383" i="16"/>
  <c r="S382" i="16"/>
  <c r="R15" i="16"/>
  <c r="S383" i="16"/>
  <c r="S381" i="16"/>
  <c r="G250" i="16"/>
  <c r="BY250" i="6" s="1"/>
  <c r="H250" i="16"/>
  <c r="G24" i="16"/>
  <c r="BY24" i="6" s="1"/>
  <c r="AA24" i="16"/>
  <c r="Z24" i="16" s="1"/>
  <c r="Y24" i="16" s="1"/>
  <c r="F136" i="16"/>
  <c r="G243" i="16"/>
  <c r="BY243" i="6" s="1"/>
  <c r="AA243" i="16"/>
  <c r="Z243" i="16" s="1"/>
  <c r="Y243" i="16" s="1"/>
  <c r="G100" i="16"/>
  <c r="BY100" i="6" s="1"/>
  <c r="AA100" i="16"/>
  <c r="Z100" i="16" s="1"/>
  <c r="Y100" i="16" s="1"/>
  <c r="H100" i="16"/>
  <c r="H89" i="16"/>
  <c r="AA89" i="16"/>
  <c r="Z89" i="16" s="1"/>
  <c r="Y89" i="16" s="1"/>
  <c r="G89" i="16"/>
  <c r="BY89" i="6" s="1"/>
  <c r="G82" i="16"/>
  <c r="BY82" i="6" s="1"/>
  <c r="H82" i="16"/>
  <c r="AA82" i="16"/>
  <c r="Z82" i="16" s="1"/>
  <c r="Y82" i="16" s="1"/>
  <c r="H274" i="16"/>
  <c r="G274" i="16"/>
  <c r="BY274" i="6" s="1"/>
  <c r="AA274" i="16"/>
  <c r="Z274" i="16" s="1"/>
  <c r="Y274" i="16" s="1"/>
  <c r="AA121" i="16"/>
  <c r="Z121" i="16" s="1"/>
  <c r="Y121" i="16" s="1"/>
  <c r="G121" i="16"/>
  <c r="BY121" i="6" s="1"/>
  <c r="H121" i="16"/>
  <c r="AA278" i="16"/>
  <c r="Z278" i="16" s="1"/>
  <c r="Y278" i="16" s="1"/>
  <c r="G278" i="16"/>
  <c r="BY278" i="6" s="1"/>
  <c r="H278" i="16"/>
  <c r="G190" i="16"/>
  <c r="BY190" i="6" s="1"/>
  <c r="H190" i="16"/>
  <c r="AA190" i="16"/>
  <c r="Z190" i="16" s="1"/>
  <c r="Y190" i="16" s="1"/>
  <c r="G326" i="16"/>
  <c r="BY326" i="6" s="1"/>
  <c r="H326" i="16"/>
  <c r="AA326" i="16"/>
  <c r="Z326" i="16" s="1"/>
  <c r="Y326" i="16" s="1"/>
  <c r="AA303" i="16"/>
  <c r="Z303" i="16" s="1"/>
  <c r="Y303" i="16" s="1"/>
  <c r="G303" i="16"/>
  <c r="BY303" i="6" s="1"/>
  <c r="H303" i="16"/>
  <c r="H133" i="16"/>
  <c r="G133" i="16"/>
  <c r="BY133" i="6" s="1"/>
  <c r="AA133" i="16"/>
  <c r="Z133" i="16" s="1"/>
  <c r="Y133" i="16" s="1"/>
  <c r="H276" i="16"/>
  <c r="G276" i="16"/>
  <c r="BY276" i="6" s="1"/>
  <c r="AA276" i="16"/>
  <c r="Z276" i="16" s="1"/>
  <c r="Y276" i="16" s="1"/>
  <c r="G322" i="16"/>
  <c r="BY322" i="6" s="1"/>
  <c r="AA322" i="16"/>
  <c r="Z322" i="16" s="1"/>
  <c r="Y322" i="16" s="1"/>
  <c r="H322" i="16"/>
  <c r="H334" i="16"/>
  <c r="AA334" i="16"/>
  <c r="Z334" i="16" s="1"/>
  <c r="Y334" i="16" s="1"/>
  <c r="G334" i="16"/>
  <c r="BY334" i="6" s="1"/>
  <c r="G72" i="16"/>
  <c r="BY72" i="6" s="1"/>
  <c r="H72" i="16"/>
  <c r="F289" i="16"/>
  <c r="G186" i="16"/>
  <c r="BY186" i="6" s="1"/>
  <c r="AA186" i="16"/>
  <c r="Z186" i="16" s="1"/>
  <c r="Y186" i="16" s="1"/>
  <c r="H186" i="16"/>
  <c r="G295" i="16"/>
  <c r="BY295" i="6" s="1"/>
  <c r="AA295" i="16"/>
  <c r="Z295" i="16" s="1"/>
  <c r="Y295" i="16" s="1"/>
  <c r="H295" i="16"/>
  <c r="G341" i="16"/>
  <c r="BY341" i="6" s="1"/>
  <c r="AA341" i="16"/>
  <c r="Z341" i="16" s="1"/>
  <c r="Y341" i="16" s="1"/>
  <c r="H341" i="16"/>
  <c r="AA321" i="16"/>
  <c r="Z321" i="16" s="1"/>
  <c r="Y321" i="16" s="1"/>
  <c r="G321" i="16"/>
  <c r="BY321" i="6" s="1"/>
  <c r="H321" i="16"/>
  <c r="AA185" i="16"/>
  <c r="Z185" i="16" s="1"/>
  <c r="Y185" i="16" s="1"/>
  <c r="G185" i="16"/>
  <c r="BY185" i="6" s="1"/>
  <c r="H185" i="16"/>
  <c r="F75" i="16"/>
  <c r="AA304" i="16"/>
  <c r="Z304" i="16" s="1"/>
  <c r="Y304" i="16" s="1"/>
  <c r="G304" i="16"/>
  <c r="BY304" i="6" s="1"/>
  <c r="H304" i="16"/>
  <c r="G183" i="16"/>
  <c r="BY183" i="6" s="1"/>
  <c r="AA183" i="16"/>
  <c r="Z183" i="16" s="1"/>
  <c r="Y183" i="16" s="1"/>
  <c r="H183" i="16"/>
  <c r="G34" i="16"/>
  <c r="BY34" i="6" s="1"/>
  <c r="AA34" i="16"/>
  <c r="Z34" i="16" s="1"/>
  <c r="Y34" i="16" s="1"/>
  <c r="H22" i="16"/>
  <c r="AA22" i="16"/>
  <c r="Z22" i="16" s="1"/>
  <c r="Y22" i="16" s="1"/>
  <c r="G22" i="16"/>
  <c r="BY22" i="6" s="1"/>
  <c r="G41" i="16"/>
  <c r="BY41" i="6" s="1"/>
  <c r="AA41" i="16"/>
  <c r="Z41" i="16" s="1"/>
  <c r="Y41" i="16" s="1"/>
  <c r="H41" i="16"/>
  <c r="G70" i="16"/>
  <c r="BY70" i="6" s="1"/>
  <c r="AA70" i="16"/>
  <c r="Z70" i="16" s="1"/>
  <c r="Y70" i="16" s="1"/>
  <c r="H70" i="16"/>
  <c r="G30" i="16"/>
  <c r="BY30" i="6" s="1"/>
  <c r="AA30" i="16"/>
  <c r="Z30" i="16" s="1"/>
  <c r="Y30" i="16" s="1"/>
  <c r="H30" i="16"/>
  <c r="H251" i="16"/>
  <c r="G251" i="16"/>
  <c r="BY251" i="6" s="1"/>
  <c r="AA17" i="16"/>
  <c r="Z17" i="16" s="1"/>
  <c r="Y17" i="16" s="1"/>
  <c r="H17" i="16"/>
  <c r="G17" i="16"/>
  <c r="BY17" i="6" s="1"/>
  <c r="AA335" i="16"/>
  <c r="Z335" i="16" s="1"/>
  <c r="Y335" i="16" s="1"/>
  <c r="G335" i="16"/>
  <c r="BY335" i="6" s="1"/>
  <c r="H335" i="16"/>
  <c r="G117" i="16"/>
  <c r="BY117" i="6" s="1"/>
  <c r="H117" i="16"/>
  <c r="AA117" i="16"/>
  <c r="Z117" i="16" s="1"/>
  <c r="Y117" i="16" s="1"/>
  <c r="G211" i="16"/>
  <c r="BY211" i="6" s="1"/>
  <c r="H211" i="16"/>
  <c r="G309" i="16"/>
  <c r="BY309" i="6" s="1"/>
  <c r="AA309" i="16"/>
  <c r="Z309" i="16" s="1"/>
  <c r="Y309" i="16" s="1"/>
  <c r="G107" i="16"/>
  <c r="BY107" i="6" s="1"/>
  <c r="AA107" i="16"/>
  <c r="Z107" i="16" s="1"/>
  <c r="Y107" i="16" s="1"/>
  <c r="H107" i="16"/>
  <c r="AA69" i="16"/>
  <c r="Z69" i="16" s="1"/>
  <c r="Y69" i="16" s="1"/>
  <c r="G69" i="16"/>
  <c r="BY69" i="6" s="1"/>
  <c r="H69" i="16"/>
  <c r="G248" i="16"/>
  <c r="BY248" i="6" s="1"/>
  <c r="H248" i="16"/>
  <c r="AA248" i="16"/>
  <c r="Z248" i="16" s="1"/>
  <c r="Y248" i="16" s="1"/>
  <c r="AA296" i="16"/>
  <c r="Z296" i="16" s="1"/>
  <c r="Y296" i="16" s="1"/>
  <c r="H296" i="16"/>
  <c r="G296" i="16"/>
  <c r="BY296" i="6" s="1"/>
  <c r="H97" i="16"/>
  <c r="AA97" i="16"/>
  <c r="Z97" i="16" s="1"/>
  <c r="Y97" i="16" s="1"/>
  <c r="G97" i="16"/>
  <c r="BY97" i="6" s="1"/>
  <c r="H351" i="16"/>
  <c r="AA351" i="16"/>
  <c r="Z351" i="16" s="1"/>
  <c r="Y351" i="16" s="1"/>
  <c r="G351" i="16"/>
  <c r="BY351" i="6" s="1"/>
  <c r="G319" i="16"/>
  <c r="BY319" i="6" s="1"/>
  <c r="AA319" i="16"/>
  <c r="Z319" i="16" s="1"/>
  <c r="Y319" i="16" s="1"/>
  <c r="H319" i="16"/>
  <c r="G118" i="16"/>
  <c r="BY118" i="6" s="1"/>
  <c r="AA118" i="16"/>
  <c r="Z118" i="16" s="1"/>
  <c r="Y118" i="16" s="1"/>
  <c r="H118" i="16"/>
  <c r="G233" i="16"/>
  <c r="BY233" i="6" s="1"/>
  <c r="AA233" i="16"/>
  <c r="Z233" i="16" s="1"/>
  <c r="Y233" i="16" s="1"/>
  <c r="H233" i="16"/>
  <c r="G38" i="16"/>
  <c r="BY38" i="6" s="1"/>
  <c r="AA38" i="16"/>
  <c r="Z38" i="16" s="1"/>
  <c r="Y38" i="16" s="1"/>
  <c r="H38" i="16"/>
  <c r="G23" i="16"/>
  <c r="BY23" i="6" s="1"/>
  <c r="H23" i="16"/>
  <c r="AA23" i="16"/>
  <c r="Z23" i="16" s="1"/>
  <c r="Y23" i="16" s="1"/>
  <c r="H34" i="16"/>
  <c r="I198" i="16"/>
  <c r="J198" i="16"/>
  <c r="J360" i="16"/>
  <c r="I360" i="16"/>
  <c r="H378" i="16"/>
  <c r="I377" i="16"/>
  <c r="J377" i="16"/>
  <c r="I168" i="16"/>
  <c r="J168" i="16"/>
  <c r="I135" i="16"/>
  <c r="J135" i="16"/>
  <c r="H79" i="16"/>
  <c r="H137" i="16"/>
  <c r="J164" i="16"/>
  <c r="I164" i="16"/>
  <c r="I338" i="16"/>
  <c r="J338" i="16"/>
  <c r="I375" i="16"/>
  <c r="J375" i="16"/>
  <c r="J242" i="16"/>
  <c r="I242" i="16"/>
  <c r="L20" i="19"/>
  <c r="P10" i="25"/>
  <c r="AK3" i="24"/>
  <c r="Q19" i="19" s="1"/>
  <c r="Y15" i="1"/>
  <c r="AL7" i="1"/>
  <c r="AL11" i="1" s="1"/>
  <c r="Z383" i="1"/>
  <c r="Z382" i="1"/>
  <c r="Z9" i="1"/>
  <c r="Z381" i="1"/>
  <c r="BP15" i="7"/>
  <c r="BR11" i="7"/>
  <c r="BQ11" i="7"/>
  <c r="Q381" i="17"/>
  <c r="Q382" i="17"/>
  <c r="Q383" i="17"/>
  <c r="AE382" i="17"/>
  <c r="AE381" i="17"/>
  <c r="AE383" i="17"/>
  <c r="AE12" i="18"/>
  <c r="Q12" i="18"/>
  <c r="V15" i="7"/>
  <c r="I247" i="16" l="1"/>
  <c r="AC344" i="23"/>
  <c r="AA333" i="16"/>
  <c r="Z333" i="16" s="1"/>
  <c r="Y333" i="16" s="1"/>
  <c r="I90" i="16"/>
  <c r="H333" i="16"/>
  <c r="I333" i="16" s="1"/>
  <c r="I46" i="16"/>
  <c r="AC25" i="24"/>
  <c r="AC100" i="24"/>
  <c r="AC121" i="24"/>
  <c r="AC46" i="24"/>
  <c r="AC75" i="24"/>
  <c r="AC129" i="24"/>
  <c r="AC88" i="24"/>
  <c r="AC24" i="24"/>
  <c r="AC109" i="24"/>
  <c r="AC74" i="24"/>
  <c r="AC29" i="24"/>
  <c r="AC43" i="24"/>
  <c r="AC15" i="24"/>
  <c r="AC126" i="24"/>
  <c r="AC56" i="24"/>
  <c r="AC349" i="23"/>
  <c r="AC283" i="23"/>
  <c r="AC107" i="24"/>
  <c r="AC65" i="24"/>
  <c r="AC28" i="24"/>
  <c r="AC73" i="24"/>
  <c r="AC66" i="24"/>
  <c r="AC44" i="24"/>
  <c r="AC87" i="24"/>
  <c r="AC42" i="24"/>
  <c r="AC57" i="24"/>
  <c r="AC120" i="24"/>
  <c r="AC19" i="24"/>
  <c r="AC125" i="24"/>
  <c r="AC49" i="24"/>
  <c r="AC48" i="24"/>
  <c r="AC299" i="23"/>
  <c r="AC205" i="23"/>
  <c r="AC309" i="23"/>
  <c r="AC331" i="23"/>
  <c r="AC312" i="23"/>
  <c r="AC334" i="23"/>
  <c r="AC345" i="23"/>
  <c r="AC245" i="23"/>
  <c r="AC141" i="23"/>
  <c r="AC315" i="23"/>
  <c r="AC259" i="23"/>
  <c r="AC379" i="23"/>
  <c r="AC335" i="23"/>
  <c r="AC177" i="23"/>
  <c r="AC280" i="23"/>
  <c r="AC181" i="23"/>
  <c r="AC279" i="23"/>
  <c r="AC255" i="23"/>
  <c r="AC208" i="23"/>
  <c r="AC186" i="23"/>
  <c r="AC310" i="23"/>
  <c r="AC220" i="23"/>
  <c r="AC248" i="23"/>
  <c r="AC329" i="23"/>
  <c r="AC313" i="23"/>
  <c r="AC199" i="23"/>
  <c r="AC364" i="23"/>
  <c r="AC287" i="23"/>
  <c r="AC252" i="23"/>
  <c r="AC350" i="23"/>
  <c r="AC233" i="23"/>
  <c r="AC278" i="23"/>
  <c r="AC314" i="23"/>
  <c r="AC288" i="23"/>
  <c r="AC301" i="23"/>
  <c r="AC180" i="23"/>
  <c r="AC84" i="24"/>
  <c r="AC62" i="24"/>
  <c r="AC97" i="24"/>
  <c r="AC85" i="24"/>
  <c r="AC45" i="24"/>
  <c r="AC79" i="24"/>
  <c r="AC71" i="24"/>
  <c r="AC68" i="24"/>
  <c r="AC131" i="24"/>
  <c r="AC130" i="24"/>
  <c r="AC52" i="24"/>
  <c r="AC35" i="24"/>
  <c r="AC38" i="24"/>
  <c r="AC61" i="24"/>
  <c r="AC36" i="24"/>
  <c r="AC94" i="24"/>
  <c r="AC16" i="24"/>
  <c r="AC110" i="24"/>
  <c r="AC58" i="24"/>
  <c r="AC18" i="24"/>
  <c r="AC63" i="24"/>
  <c r="AC69" i="24"/>
  <c r="AC77" i="24"/>
  <c r="AC123" i="24"/>
  <c r="AC67" i="24"/>
  <c r="AC20" i="24"/>
  <c r="AC99" i="24"/>
  <c r="AC86" i="24"/>
  <c r="AC372" i="23"/>
  <c r="AC171" i="23"/>
  <c r="AC232" i="23"/>
  <c r="AC170" i="23"/>
  <c r="AC339" i="23"/>
  <c r="AC289" i="23"/>
  <c r="AC365" i="23"/>
  <c r="AC143" i="23"/>
  <c r="AC182" i="23"/>
  <c r="AC231" i="23"/>
  <c r="AC167" i="23"/>
  <c r="AC192" i="23"/>
  <c r="AC319" i="23"/>
  <c r="AC328" i="23"/>
  <c r="AC150" i="23"/>
  <c r="AC163" i="23"/>
  <c r="AC165" i="23"/>
  <c r="AC346" i="23"/>
  <c r="AC159" i="23"/>
  <c r="AC160" i="23"/>
  <c r="AC162" i="23"/>
  <c r="AC342" i="23"/>
  <c r="AC361" i="23"/>
  <c r="AC229" i="23"/>
  <c r="AC191" i="23"/>
  <c r="AC156" i="23"/>
  <c r="AC201" i="23"/>
  <c r="AC145" i="23"/>
  <c r="AC203" i="23"/>
  <c r="AC272" i="23"/>
  <c r="AC274" i="23"/>
  <c r="AC294" i="23"/>
  <c r="AC193" i="23"/>
  <c r="AC348" i="23"/>
  <c r="AC362" i="23"/>
  <c r="AC215" i="23"/>
  <c r="AC277" i="23"/>
  <c r="AC137" i="23"/>
  <c r="AC305" i="23"/>
  <c r="AC323" i="23"/>
  <c r="AC81" i="24"/>
  <c r="AC27" i="24"/>
  <c r="AC54" i="24"/>
  <c r="AC105" i="24"/>
  <c r="AC96" i="24"/>
  <c r="AC31" i="24"/>
  <c r="AC78" i="24"/>
  <c r="AC26" i="24"/>
  <c r="AC128" i="24"/>
  <c r="AC111" i="24"/>
  <c r="AC108" i="24"/>
  <c r="AC53" i="24"/>
  <c r="AC39" i="24"/>
  <c r="AC51" i="24"/>
  <c r="AC40" i="24"/>
  <c r="AC30" i="24"/>
  <c r="AC64" i="24"/>
  <c r="AC47" i="24"/>
  <c r="AC32" i="24"/>
  <c r="AC116" i="24"/>
  <c r="AC118" i="24"/>
  <c r="AC119" i="24"/>
  <c r="AC22" i="24"/>
  <c r="AC92" i="24"/>
  <c r="AC122" i="24"/>
  <c r="AC72" i="24"/>
  <c r="AC95" i="24"/>
  <c r="AC104" i="24"/>
  <c r="AC106" i="24"/>
  <c r="AC89" i="24"/>
  <c r="AC55" i="24"/>
  <c r="AC93" i="24"/>
  <c r="AC90" i="24"/>
  <c r="AC127" i="24"/>
  <c r="AC37" i="24"/>
  <c r="AC114" i="24"/>
  <c r="AC50" i="24"/>
  <c r="AC124" i="24"/>
  <c r="AC113" i="24"/>
  <c r="AC101" i="24"/>
  <c r="AC102" i="24"/>
  <c r="AC82" i="24"/>
  <c r="AC70" i="24"/>
  <c r="AC34" i="24"/>
  <c r="AC17" i="24"/>
  <c r="AC60" i="24"/>
  <c r="AC33" i="24"/>
  <c r="AC115" i="24"/>
  <c r="AC133" i="24"/>
  <c r="AC132" i="24"/>
  <c r="AC117" i="24"/>
  <c r="AC112" i="24"/>
  <c r="AC83" i="24"/>
  <c r="AC21" i="24"/>
  <c r="AC76" i="24"/>
  <c r="AC23" i="24"/>
  <c r="I244" i="16"/>
  <c r="J298" i="16"/>
  <c r="AC336" i="23"/>
  <c r="AC235" i="23"/>
  <c r="AC320" i="23"/>
  <c r="AC322" i="23"/>
  <c r="AC357" i="23"/>
  <c r="AC176" i="23"/>
  <c r="AC378" i="23"/>
  <c r="AC366" i="23"/>
  <c r="AC267" i="23"/>
  <c r="AC236" i="23"/>
  <c r="AC297" i="23"/>
  <c r="AC204" i="23"/>
  <c r="AC149" i="23"/>
  <c r="AC359" i="23"/>
  <c r="AC371" i="23"/>
  <c r="AC140" i="23"/>
  <c r="AC300" i="23"/>
  <c r="AC266" i="23"/>
  <c r="AC347" i="23"/>
  <c r="AC202" i="23"/>
  <c r="AC207" i="23"/>
  <c r="AC147" i="23"/>
  <c r="AC291" i="23"/>
  <c r="AC250" i="23"/>
  <c r="AC136" i="23"/>
  <c r="AC228" i="23"/>
  <c r="AC260" i="23"/>
  <c r="AC343" i="23"/>
  <c r="AC341" i="23"/>
  <c r="AC373" i="23"/>
  <c r="AC221" i="23"/>
  <c r="AC377" i="23"/>
  <c r="AC369" i="23"/>
  <c r="AC269" i="23"/>
  <c r="AC166" i="23"/>
  <c r="AC197" i="23"/>
  <c r="AC337" i="23"/>
  <c r="AC351" i="23"/>
  <c r="AC214" i="23"/>
  <c r="AC183" i="23"/>
  <c r="AC302" i="23"/>
  <c r="AC240" i="23"/>
  <c r="AC276" i="23"/>
  <c r="AC296" i="23"/>
  <c r="AC216" i="23"/>
  <c r="AC258" i="23"/>
  <c r="AC303" i="23"/>
  <c r="AC241" i="23"/>
  <c r="AC370" i="23"/>
  <c r="AC187" i="23"/>
  <c r="AC325" i="23"/>
  <c r="AC213" i="23"/>
  <c r="AC264" i="23"/>
  <c r="AC375" i="23"/>
  <c r="AC188" i="23"/>
  <c r="AC134" i="23"/>
  <c r="AC155" i="23"/>
  <c r="AC293" i="23"/>
  <c r="AC368" i="23"/>
  <c r="AC360" i="23"/>
  <c r="AC354" i="23"/>
  <c r="AC306" i="23"/>
  <c r="AC327" i="23"/>
  <c r="AC242" i="23"/>
  <c r="AC190" i="23"/>
  <c r="AC230" i="23"/>
  <c r="AC247" i="23"/>
  <c r="AC184" i="23"/>
  <c r="AC158" i="23"/>
  <c r="AC161" i="23"/>
  <c r="AC148" i="23"/>
  <c r="AC318" i="23"/>
  <c r="AC290" i="23"/>
  <c r="AC317" i="23"/>
  <c r="AC196" i="23"/>
  <c r="AC281" i="23"/>
  <c r="AC282" i="23"/>
  <c r="AC257" i="23"/>
  <c r="AC292" i="23"/>
  <c r="AC376" i="23"/>
  <c r="AC103" i="24"/>
  <c r="AC41" i="24"/>
  <c r="AC91" i="24"/>
  <c r="AC98" i="24"/>
  <c r="AC59" i="24"/>
  <c r="J108" i="16"/>
  <c r="I257" i="16"/>
  <c r="I172" i="16"/>
  <c r="J237" i="16"/>
  <c r="F63" i="19"/>
  <c r="J25" i="16"/>
  <c r="I26" i="16"/>
  <c r="J102" i="16"/>
  <c r="J365" i="16"/>
  <c r="W16" i="7"/>
  <c r="I275" i="16"/>
  <c r="O382" i="24"/>
  <c r="AC10" i="24"/>
  <c r="AC135" i="24" s="1"/>
  <c r="AC194" i="23"/>
  <c r="AC249" i="23"/>
  <c r="AC173" i="23"/>
  <c r="AC152" i="23"/>
  <c r="AC262" i="23"/>
  <c r="AC285" i="23"/>
  <c r="AC251" i="23"/>
  <c r="AC169" i="23"/>
  <c r="AC284" i="23"/>
  <c r="AC219" i="23"/>
  <c r="AC340" i="23"/>
  <c r="AC151" i="23"/>
  <c r="AC356" i="23"/>
  <c r="AC226" i="23"/>
  <c r="AC217" i="23"/>
  <c r="AC224" i="23"/>
  <c r="AC261" i="23"/>
  <c r="AC244" i="23"/>
  <c r="AC308" i="23"/>
  <c r="AC355" i="23"/>
  <c r="AC146" i="23"/>
  <c r="AC222" i="23"/>
  <c r="AC144" i="23"/>
  <c r="AC135" i="23"/>
  <c r="AC178" i="23"/>
  <c r="AC153" i="23"/>
  <c r="AC237" i="23"/>
  <c r="AC157" i="23"/>
  <c r="AC253" i="23"/>
  <c r="AC210" i="23"/>
  <c r="AC142" i="23"/>
  <c r="AC185" i="23"/>
  <c r="AC172" i="23"/>
  <c r="AC311" i="23"/>
  <c r="AC195" i="23"/>
  <c r="AC223" i="23"/>
  <c r="AC225" i="23"/>
  <c r="AC298" i="23"/>
  <c r="AC189" i="23"/>
  <c r="AC175" i="23"/>
  <c r="AC179" i="23"/>
  <c r="AC321" i="23"/>
  <c r="AC234" i="23"/>
  <c r="AC358" i="23"/>
  <c r="AC338" i="23"/>
  <c r="AC363" i="23"/>
  <c r="AC330" i="23"/>
  <c r="AC367" i="23"/>
  <c r="AC324" i="23"/>
  <c r="AC238" i="23"/>
  <c r="AC168" i="23"/>
  <c r="AC227" i="23"/>
  <c r="AC304" i="23"/>
  <c r="AC200" i="23"/>
  <c r="AC256" i="23"/>
  <c r="AC374" i="23"/>
  <c r="AC243" i="23"/>
  <c r="AC254" i="23"/>
  <c r="AC332" i="23"/>
  <c r="AC198" i="23"/>
  <c r="AC271" i="23"/>
  <c r="AC352" i="23"/>
  <c r="AC265" i="23"/>
  <c r="AC316" i="23"/>
  <c r="AC263" i="23"/>
  <c r="AC275" i="23"/>
  <c r="AC139" i="23"/>
  <c r="AC333" i="23"/>
  <c r="AC353" i="23"/>
  <c r="AC268" i="23"/>
  <c r="AC154" i="23"/>
  <c r="AC174" i="23"/>
  <c r="AC206" i="23"/>
  <c r="AC270" i="23"/>
  <c r="AC286" i="23"/>
  <c r="AC218" i="23"/>
  <c r="AC209" i="23"/>
  <c r="AC307" i="23"/>
  <c r="AC211" i="23"/>
  <c r="AC138" i="23"/>
  <c r="AC273" i="23"/>
  <c r="AC239" i="23"/>
  <c r="AC295" i="23"/>
  <c r="AC246" i="23"/>
  <c r="O381" i="24"/>
  <c r="J291" i="16"/>
  <c r="O383" i="24"/>
  <c r="L43" i="19" s="1"/>
  <c r="I142" i="16"/>
  <c r="E8" i="25"/>
  <c r="K20" i="19" s="1"/>
  <c r="K44" i="19" s="1"/>
  <c r="E7" i="25"/>
  <c r="O10" i="25" s="1"/>
  <c r="AC212" i="23"/>
  <c r="AC164" i="23"/>
  <c r="AA149" i="16"/>
  <c r="Z149" i="16" s="1"/>
  <c r="Y149" i="16" s="1"/>
  <c r="L42" i="19"/>
  <c r="G149" i="16"/>
  <c r="BY149" i="6" s="1"/>
  <c r="J78" i="16"/>
  <c r="I180" i="16"/>
  <c r="K63" i="19"/>
  <c r="J130" i="16"/>
  <c r="I309" i="16"/>
  <c r="J243" i="16"/>
  <c r="G379" i="16"/>
  <c r="BY379" i="6" s="1"/>
  <c r="D63" i="19"/>
  <c r="H379" i="16"/>
  <c r="I379" i="16" s="1"/>
  <c r="J63" i="19"/>
  <c r="J95" i="16"/>
  <c r="I95" i="16"/>
  <c r="F320" i="16"/>
  <c r="AA320" i="16" s="1"/>
  <c r="Z320" i="16" s="1"/>
  <c r="Y320" i="16" s="1"/>
  <c r="G268" i="16"/>
  <c r="BY268" i="6" s="1"/>
  <c r="AA268" i="16"/>
  <c r="Z268" i="16" s="1"/>
  <c r="Y268" i="16" s="1"/>
  <c r="H268" i="16"/>
  <c r="J137" i="16"/>
  <c r="I137" i="16"/>
  <c r="J378" i="16"/>
  <c r="I378" i="16"/>
  <c r="J233" i="16"/>
  <c r="I233" i="16"/>
  <c r="I319" i="16"/>
  <c r="J319" i="16"/>
  <c r="J97" i="16"/>
  <c r="I97" i="16"/>
  <c r="J296" i="16"/>
  <c r="I296" i="16"/>
  <c r="J107" i="16"/>
  <c r="I107" i="16"/>
  <c r="J117" i="16"/>
  <c r="I117" i="16"/>
  <c r="I335" i="16"/>
  <c r="J335" i="16"/>
  <c r="I17" i="16"/>
  <c r="J17" i="16"/>
  <c r="J30" i="16"/>
  <c r="I30" i="16"/>
  <c r="J41" i="16"/>
  <c r="I41" i="16"/>
  <c r="I183" i="16"/>
  <c r="J183" i="16"/>
  <c r="I185" i="16"/>
  <c r="J185" i="16"/>
  <c r="I341" i="16"/>
  <c r="J341" i="16"/>
  <c r="J186" i="16"/>
  <c r="I186" i="16"/>
  <c r="G289" i="16"/>
  <c r="BY289" i="6" s="1"/>
  <c r="AA289" i="16"/>
  <c r="Z289" i="16" s="1"/>
  <c r="Y289" i="16" s="1"/>
  <c r="H289" i="16"/>
  <c r="J322" i="16"/>
  <c r="I322" i="16"/>
  <c r="I133" i="16"/>
  <c r="J133" i="16"/>
  <c r="I190" i="16"/>
  <c r="J190" i="16"/>
  <c r="J278" i="16"/>
  <c r="I278" i="16"/>
  <c r="J274" i="16"/>
  <c r="I274" i="16"/>
  <c r="I82" i="16"/>
  <c r="J82" i="16"/>
  <c r="J89" i="16"/>
  <c r="I89" i="16"/>
  <c r="J250" i="16"/>
  <c r="I250" i="16"/>
  <c r="R381" i="16"/>
  <c r="P15" i="16"/>
  <c r="R382" i="16"/>
  <c r="R383" i="16"/>
  <c r="I169" i="16"/>
  <c r="J169" i="16"/>
  <c r="I124" i="16"/>
  <c r="J124" i="16"/>
  <c r="J162" i="16"/>
  <c r="I162" i="16"/>
  <c r="I219" i="16"/>
  <c r="J219" i="16"/>
  <c r="I113" i="16"/>
  <c r="J113" i="16"/>
  <c r="J141" i="16"/>
  <c r="I141" i="16"/>
  <c r="J231" i="16"/>
  <c r="I231" i="16"/>
  <c r="J126" i="16"/>
  <c r="I126" i="16"/>
  <c r="J175" i="16"/>
  <c r="I175" i="16"/>
  <c r="J346" i="16"/>
  <c r="I346" i="16"/>
  <c r="J37" i="16"/>
  <c r="I37" i="16"/>
  <c r="J27" i="16"/>
  <c r="I27" i="16"/>
  <c r="I85" i="16"/>
  <c r="J85" i="16"/>
  <c r="I361" i="16"/>
  <c r="J361" i="16"/>
  <c r="J21" i="16"/>
  <c r="I21" i="16"/>
  <c r="J227" i="16"/>
  <c r="I227" i="16"/>
  <c r="I93" i="16"/>
  <c r="J93" i="16"/>
  <c r="I337" i="16"/>
  <c r="J337" i="16"/>
  <c r="J77" i="16"/>
  <c r="I77" i="16"/>
  <c r="J216" i="16"/>
  <c r="I216" i="16"/>
  <c r="I57" i="16"/>
  <c r="J57" i="16"/>
  <c r="G106" i="16"/>
  <c r="BY106" i="6" s="1"/>
  <c r="AA106" i="16"/>
  <c r="Z106" i="16" s="1"/>
  <c r="Y106" i="16" s="1"/>
  <c r="H106" i="16"/>
  <c r="F176" i="16"/>
  <c r="I324" i="16"/>
  <c r="J324" i="16"/>
  <c r="I221" i="16"/>
  <c r="J221" i="16"/>
  <c r="I73" i="16"/>
  <c r="J73" i="16"/>
  <c r="F15" i="15"/>
  <c r="V380" i="15"/>
  <c r="V383" i="15" s="1"/>
  <c r="B62" i="19"/>
  <c r="N62" i="19" s="1"/>
  <c r="V382" i="15"/>
  <c r="U253" i="17"/>
  <c r="T253" i="17" s="1"/>
  <c r="U194" i="17"/>
  <c r="T194" i="17" s="1"/>
  <c r="U92" i="17"/>
  <c r="T92" i="17" s="1"/>
  <c r="U166" i="17"/>
  <c r="T166" i="17" s="1"/>
  <c r="U116" i="17"/>
  <c r="T116" i="17" s="1"/>
  <c r="U261" i="17"/>
  <c r="T261" i="17" s="1"/>
  <c r="U345" i="17"/>
  <c r="T345" i="17" s="1"/>
  <c r="U107" i="17"/>
  <c r="T107" i="17" s="1"/>
  <c r="U295" i="17"/>
  <c r="T295" i="17" s="1"/>
  <c r="U333" i="17"/>
  <c r="T333" i="17" s="1"/>
  <c r="U330" i="17"/>
  <c r="T330" i="17" s="1"/>
  <c r="U312" i="17"/>
  <c r="T312" i="17" s="1"/>
  <c r="U356" i="17"/>
  <c r="T356" i="17" s="1"/>
  <c r="U67" i="17"/>
  <c r="T67" i="17" s="1"/>
  <c r="U79" i="17"/>
  <c r="T79" i="17" s="1"/>
  <c r="U68" i="17"/>
  <c r="T68" i="17" s="1"/>
  <c r="U172" i="17"/>
  <c r="T172" i="17" s="1"/>
  <c r="U232" i="17"/>
  <c r="T232" i="17" s="1"/>
  <c r="U239" i="17"/>
  <c r="T239" i="17" s="1"/>
  <c r="U95" i="17"/>
  <c r="T95" i="17" s="1"/>
  <c r="U364" i="17"/>
  <c r="T364" i="17" s="1"/>
  <c r="U72" i="17"/>
  <c r="T72" i="17" s="1"/>
  <c r="U285" i="17"/>
  <c r="T285" i="17" s="1"/>
  <c r="U347" i="17"/>
  <c r="T347" i="17" s="1"/>
  <c r="U142" i="17"/>
  <c r="T142" i="17" s="1"/>
  <c r="U97" i="17"/>
  <c r="T97" i="17" s="1"/>
  <c r="U140" i="17"/>
  <c r="T140" i="17" s="1"/>
  <c r="U267" i="17"/>
  <c r="T267" i="17" s="1"/>
  <c r="U69" i="17"/>
  <c r="T69" i="17" s="1"/>
  <c r="U376" i="17"/>
  <c r="T376" i="17" s="1"/>
  <c r="U226" i="17"/>
  <c r="T226" i="17" s="1"/>
  <c r="U39" i="17"/>
  <c r="T39" i="17" s="1"/>
  <c r="U96" i="17"/>
  <c r="T96" i="17" s="1"/>
  <c r="U339" i="17"/>
  <c r="T339" i="17" s="1"/>
  <c r="U301" i="17"/>
  <c r="T301" i="17" s="1"/>
  <c r="U357" i="17"/>
  <c r="T357" i="17" s="1"/>
  <c r="U332" i="17"/>
  <c r="T332" i="17" s="1"/>
  <c r="U141" i="17"/>
  <c r="T141" i="17" s="1"/>
  <c r="U149" i="17"/>
  <c r="T149" i="17" s="1"/>
  <c r="U265" i="17"/>
  <c r="T265" i="17" s="1"/>
  <c r="U359" i="17"/>
  <c r="T359" i="17" s="1"/>
  <c r="U283" i="17"/>
  <c r="T283" i="17" s="1"/>
  <c r="U132" i="17"/>
  <c r="T132" i="17" s="1"/>
  <c r="U297" i="17"/>
  <c r="T297" i="17" s="1"/>
  <c r="U311" i="17"/>
  <c r="T311" i="17" s="1"/>
  <c r="U221" i="17"/>
  <c r="T221" i="17" s="1"/>
  <c r="U192" i="17"/>
  <c r="T192" i="17" s="1"/>
  <c r="U237" i="17"/>
  <c r="T237" i="17" s="1"/>
  <c r="U319" i="17"/>
  <c r="T319" i="17" s="1"/>
  <c r="U249" i="17"/>
  <c r="T249" i="17" s="1"/>
  <c r="U289" i="17"/>
  <c r="T289" i="17" s="1"/>
  <c r="U42" i="17"/>
  <c r="T42" i="17" s="1"/>
  <c r="U302" i="17"/>
  <c r="T302" i="17" s="1"/>
  <c r="U31" i="17"/>
  <c r="T31" i="17" s="1"/>
  <c r="U303" i="17"/>
  <c r="T303" i="17" s="1"/>
  <c r="U284" i="17"/>
  <c r="T284" i="17" s="1"/>
  <c r="U169" i="17"/>
  <c r="T169" i="17" s="1"/>
  <c r="U331" i="17"/>
  <c r="T331" i="17" s="1"/>
  <c r="U165" i="17"/>
  <c r="T165" i="17" s="1"/>
  <c r="U153" i="17"/>
  <c r="T153" i="17" s="1"/>
  <c r="U310" i="17"/>
  <c r="T310" i="17" s="1"/>
  <c r="U138" i="17"/>
  <c r="T138" i="17" s="1"/>
  <c r="U105" i="17"/>
  <c r="T105" i="17" s="1"/>
  <c r="U199" i="17"/>
  <c r="T199" i="17" s="1"/>
  <c r="U334" i="17"/>
  <c r="T334" i="17" s="1"/>
  <c r="U53" i="17"/>
  <c r="T53" i="17" s="1"/>
  <c r="U89" i="17"/>
  <c r="T89" i="17" s="1"/>
  <c r="U151" i="17"/>
  <c r="T151" i="17" s="1"/>
  <c r="U29" i="17"/>
  <c r="T29" i="17" s="1"/>
  <c r="S29" i="17" s="1"/>
  <c r="R29" i="17" s="1"/>
  <c r="P29" i="17" s="1"/>
  <c r="U143" i="17"/>
  <c r="T143" i="17" s="1"/>
  <c r="U186" i="17"/>
  <c r="T186" i="17" s="1"/>
  <c r="U318" i="17"/>
  <c r="T318" i="17" s="1"/>
  <c r="U123" i="17"/>
  <c r="T123" i="17" s="1"/>
  <c r="U191" i="17"/>
  <c r="T191" i="17" s="1"/>
  <c r="U259" i="17"/>
  <c r="T259" i="17" s="1"/>
  <c r="U113" i="17"/>
  <c r="T113" i="17" s="1"/>
  <c r="U85" i="17"/>
  <c r="T85" i="17" s="1"/>
  <c r="U317" i="17"/>
  <c r="T317" i="17" s="1"/>
  <c r="U351" i="17"/>
  <c r="T351" i="17" s="1"/>
  <c r="U136" i="17"/>
  <c r="T136" i="17" s="1"/>
  <c r="U225" i="17"/>
  <c r="T225" i="17" s="1"/>
  <c r="U298" i="17"/>
  <c r="T298" i="17" s="1"/>
  <c r="U273" i="17"/>
  <c r="T273" i="17" s="1"/>
  <c r="U65" i="17"/>
  <c r="T65" i="17" s="1"/>
  <c r="U371" i="17"/>
  <c r="T371" i="17" s="1"/>
  <c r="U370" i="17"/>
  <c r="T370" i="17" s="1"/>
  <c r="U71" i="17"/>
  <c r="T71" i="17" s="1"/>
  <c r="U352" i="17"/>
  <c r="T352" i="17" s="1"/>
  <c r="U48" i="17"/>
  <c r="T48" i="17" s="1"/>
  <c r="U274" i="17"/>
  <c r="T274" i="17" s="1"/>
  <c r="U256" i="17"/>
  <c r="T256" i="17" s="1"/>
  <c r="U187" i="17"/>
  <c r="T187" i="17" s="1"/>
  <c r="U276" i="17"/>
  <c r="T276" i="17" s="1"/>
  <c r="U203" i="17"/>
  <c r="T203" i="17" s="1"/>
  <c r="U208" i="17"/>
  <c r="T208" i="17" s="1"/>
  <c r="U175" i="17"/>
  <c r="T175" i="17" s="1"/>
  <c r="U292" i="17"/>
  <c r="T292" i="17" s="1"/>
  <c r="U35" i="17"/>
  <c r="T35" i="17" s="1"/>
  <c r="U308" i="17"/>
  <c r="T308" i="17" s="1"/>
  <c r="U179" i="17"/>
  <c r="T179" i="17" s="1"/>
  <c r="U252" i="17"/>
  <c r="T252" i="17" s="1"/>
  <c r="U260" i="17"/>
  <c r="T260" i="17" s="1"/>
  <c r="U119" i="17"/>
  <c r="T119" i="17" s="1"/>
  <c r="U152" i="17"/>
  <c r="T152" i="17" s="1"/>
  <c r="U18" i="17"/>
  <c r="T18" i="17" s="1"/>
  <c r="U218" i="17"/>
  <c r="T218" i="17" s="1"/>
  <c r="U350" i="17"/>
  <c r="T350" i="17" s="1"/>
  <c r="U326" i="17"/>
  <c r="T326" i="17" s="1"/>
  <c r="U178" i="17"/>
  <c r="T178" i="17" s="1"/>
  <c r="U86" i="17"/>
  <c r="T86" i="17" s="1"/>
  <c r="U28" i="17"/>
  <c r="T28" i="17" s="1"/>
  <c r="U147" i="17"/>
  <c r="T147" i="17" s="1"/>
  <c r="U82" i="17"/>
  <c r="T82" i="17" s="1"/>
  <c r="U128" i="17"/>
  <c r="T128" i="17" s="1"/>
  <c r="U19" i="17"/>
  <c r="T19" i="17" s="1"/>
  <c r="U305" i="17"/>
  <c r="T305" i="17" s="1"/>
  <c r="U118" i="17"/>
  <c r="T118" i="17" s="1"/>
  <c r="U163" i="17"/>
  <c r="T163" i="17" s="1"/>
  <c r="U91" i="17"/>
  <c r="T91" i="17" s="1"/>
  <c r="U325" i="17"/>
  <c r="T325" i="17" s="1"/>
  <c r="U204" i="17"/>
  <c r="T204" i="17" s="1"/>
  <c r="U235" i="17"/>
  <c r="T235" i="17" s="1"/>
  <c r="U104" i="17"/>
  <c r="T104" i="17" s="1"/>
  <c r="U180" i="17"/>
  <c r="T180" i="17" s="1"/>
  <c r="U117" i="17"/>
  <c r="T117" i="17" s="1"/>
  <c r="U124" i="17"/>
  <c r="T124" i="17" s="1"/>
  <c r="U126" i="17"/>
  <c r="T126" i="17" s="1"/>
  <c r="U131" i="17"/>
  <c r="T131" i="17" s="1"/>
  <c r="U335" i="17"/>
  <c r="T335" i="17" s="1"/>
  <c r="U196" i="17"/>
  <c r="T196" i="17" s="1"/>
  <c r="U300" i="17"/>
  <c r="T300" i="17" s="1"/>
  <c r="U296" i="17"/>
  <c r="T296" i="17" s="1"/>
  <c r="U20" i="17"/>
  <c r="T20" i="17" s="1"/>
  <c r="U216" i="17"/>
  <c r="T216" i="17" s="1"/>
  <c r="U134" i="17"/>
  <c r="T134" i="17" s="1"/>
  <c r="U200" i="17"/>
  <c r="T200" i="17" s="1"/>
  <c r="U251" i="17"/>
  <c r="T251" i="17" s="1"/>
  <c r="U111" i="17"/>
  <c r="T111" i="17" s="1"/>
  <c r="U17" i="17"/>
  <c r="T17" i="17" s="1"/>
  <c r="U161" i="17"/>
  <c r="T161" i="17" s="1"/>
  <c r="U268" i="17"/>
  <c r="T268" i="17" s="1"/>
  <c r="U58" i="17"/>
  <c r="T58" i="17" s="1"/>
  <c r="U133" i="17"/>
  <c r="T133" i="17" s="1"/>
  <c r="U154" i="17"/>
  <c r="T154" i="17" s="1"/>
  <c r="U321" i="17"/>
  <c r="T321" i="17" s="1"/>
  <c r="U103" i="17"/>
  <c r="T103" i="17" s="1"/>
  <c r="U77" i="17"/>
  <c r="T77" i="17" s="1"/>
  <c r="U176" i="17"/>
  <c r="T176" i="17" s="1"/>
  <c r="U244" i="17"/>
  <c r="T244" i="17" s="1"/>
  <c r="U100" i="17"/>
  <c r="T100" i="17" s="1"/>
  <c r="U230" i="17"/>
  <c r="T230" i="17" s="1"/>
  <c r="U269" i="17"/>
  <c r="T269" i="17" s="1"/>
  <c r="U213" i="17"/>
  <c r="T213" i="17" s="1"/>
  <c r="U329" i="17"/>
  <c r="T329" i="17" s="1"/>
  <c r="U40" i="17"/>
  <c r="T40" i="17" s="1"/>
  <c r="U320" i="17"/>
  <c r="T320" i="17" s="1"/>
  <c r="U30" i="17"/>
  <c r="T30" i="17" s="1"/>
  <c r="U361" i="17"/>
  <c r="T361" i="17" s="1"/>
  <c r="U343" i="17"/>
  <c r="T343" i="17" s="1"/>
  <c r="U120" i="17"/>
  <c r="T120" i="17" s="1"/>
  <c r="U22" i="17"/>
  <c r="T22" i="17" s="1"/>
  <c r="U365" i="17"/>
  <c r="T365" i="17" s="1"/>
  <c r="U280" i="17"/>
  <c r="T280" i="17" s="1"/>
  <c r="U313" i="17"/>
  <c r="T313" i="17" s="1"/>
  <c r="U220" i="17"/>
  <c r="T220" i="17" s="1"/>
  <c r="U170" i="17"/>
  <c r="T170" i="17" s="1"/>
  <c r="U248" i="17"/>
  <c r="T248" i="17" s="1"/>
  <c r="U159" i="17"/>
  <c r="T159" i="17" s="1"/>
  <c r="U81" i="17"/>
  <c r="T81" i="17" s="1"/>
  <c r="U182" i="17"/>
  <c r="T182" i="17" s="1"/>
  <c r="U108" i="17"/>
  <c r="T108" i="17" s="1"/>
  <c r="U288" i="17"/>
  <c r="T288" i="17" s="1"/>
  <c r="U229" i="17"/>
  <c r="T229" i="17" s="1"/>
  <c r="U281" i="17"/>
  <c r="T281" i="17" s="1"/>
  <c r="U363" i="17"/>
  <c r="T363" i="17" s="1"/>
  <c r="U266" i="17"/>
  <c r="T266" i="17" s="1"/>
  <c r="U137" i="17"/>
  <c r="T137" i="17" s="1"/>
  <c r="U263" i="17"/>
  <c r="T263" i="17" s="1"/>
  <c r="U322" i="17"/>
  <c r="T322" i="17" s="1"/>
  <c r="U181" i="17"/>
  <c r="T181" i="17" s="1"/>
  <c r="U121" i="17"/>
  <c r="T121" i="17" s="1"/>
  <c r="U215" i="17"/>
  <c r="T215" i="17" s="1"/>
  <c r="U130" i="17"/>
  <c r="T130" i="17" s="1"/>
  <c r="I220" i="16"/>
  <c r="J220" i="16"/>
  <c r="J305" i="16"/>
  <c r="I305" i="16"/>
  <c r="I270" i="16"/>
  <c r="J270" i="16"/>
  <c r="J225" i="16"/>
  <c r="I225" i="16"/>
  <c r="I115" i="16"/>
  <c r="J115" i="16"/>
  <c r="J312" i="16"/>
  <c r="I312" i="16"/>
  <c r="I155" i="16"/>
  <c r="J155" i="16"/>
  <c r="J140" i="16"/>
  <c r="I140" i="16"/>
  <c r="I147" i="16"/>
  <c r="J147" i="16"/>
  <c r="J261" i="16"/>
  <c r="I261" i="16"/>
  <c r="I238" i="16"/>
  <c r="J238" i="16"/>
  <c r="I359" i="16"/>
  <c r="J359" i="16"/>
  <c r="J230" i="16"/>
  <c r="I230" i="16"/>
  <c r="J310" i="16"/>
  <c r="I310" i="16"/>
  <c r="H63" i="19"/>
  <c r="J313" i="16"/>
  <c r="I313" i="16"/>
  <c r="J170" i="16"/>
  <c r="I170" i="16"/>
  <c r="I194" i="16"/>
  <c r="J194" i="16"/>
  <c r="I345" i="16"/>
  <c r="J345" i="16"/>
  <c r="J32" i="16"/>
  <c r="I32" i="16"/>
  <c r="J343" i="16"/>
  <c r="I343" i="16"/>
  <c r="J63" i="16"/>
  <c r="I63" i="16"/>
  <c r="I370" i="16"/>
  <c r="J370" i="16"/>
  <c r="H241" i="16"/>
  <c r="AA241" i="16"/>
  <c r="Z241" i="16" s="1"/>
  <c r="Y241" i="16" s="1"/>
  <c r="G241" i="16"/>
  <c r="BY241" i="6" s="1"/>
  <c r="I67" i="16"/>
  <c r="J67" i="16"/>
  <c r="J116" i="16"/>
  <c r="I116" i="16"/>
  <c r="I213" i="16"/>
  <c r="J213" i="16"/>
  <c r="J152" i="16"/>
  <c r="I152" i="16"/>
  <c r="J200" i="16"/>
  <c r="I200" i="16"/>
  <c r="J307" i="16"/>
  <c r="I307" i="16"/>
  <c r="I181" i="16"/>
  <c r="J181" i="16"/>
  <c r="J265" i="16"/>
  <c r="I265" i="16"/>
  <c r="J285" i="16"/>
  <c r="I285" i="16"/>
  <c r="I372" i="16"/>
  <c r="J372" i="16"/>
  <c r="J193" i="16"/>
  <c r="I193" i="16"/>
  <c r="I205" i="16"/>
  <c r="J205" i="16"/>
  <c r="I173" i="16"/>
  <c r="J173" i="16"/>
  <c r="I131" i="16"/>
  <c r="J131" i="16"/>
  <c r="J299" i="16"/>
  <c r="I299" i="16"/>
  <c r="J44" i="16"/>
  <c r="I44" i="16"/>
  <c r="J50" i="16"/>
  <c r="I50" i="16"/>
  <c r="J333" i="16"/>
  <c r="J214" i="16"/>
  <c r="I214" i="16"/>
  <c r="J20" i="16"/>
  <c r="I20" i="16"/>
  <c r="AI57" i="17"/>
  <c r="AH57" i="17" s="1"/>
  <c r="AI175" i="17"/>
  <c r="AH175" i="17" s="1"/>
  <c r="AI364" i="17"/>
  <c r="AH364" i="17" s="1"/>
  <c r="AI228" i="17"/>
  <c r="AH228" i="17" s="1"/>
  <c r="AI358" i="17"/>
  <c r="AH358" i="17" s="1"/>
  <c r="AI65" i="17"/>
  <c r="AH65" i="17" s="1"/>
  <c r="AI337" i="17"/>
  <c r="AH337" i="17" s="1"/>
  <c r="AI322" i="17"/>
  <c r="AH322" i="17" s="1"/>
  <c r="AI174" i="17"/>
  <c r="AH174" i="17" s="1"/>
  <c r="AI169" i="17"/>
  <c r="AH169" i="17" s="1"/>
  <c r="AI254" i="17"/>
  <c r="AH254" i="17" s="1"/>
  <c r="AI335" i="17"/>
  <c r="AH335" i="17" s="1"/>
  <c r="AI131" i="17"/>
  <c r="AH131" i="17" s="1"/>
  <c r="AI46" i="17"/>
  <c r="AH46" i="17" s="1"/>
  <c r="AI206" i="17"/>
  <c r="AH206" i="17" s="1"/>
  <c r="AI198" i="17"/>
  <c r="AH198" i="17" s="1"/>
  <c r="AI154" i="17"/>
  <c r="AH154" i="17" s="1"/>
  <c r="AI34" i="17"/>
  <c r="AH34" i="17" s="1"/>
  <c r="AI287" i="17"/>
  <c r="AH287" i="17" s="1"/>
  <c r="AI15" i="17"/>
  <c r="AI238" i="17"/>
  <c r="AH238" i="17" s="1"/>
  <c r="AI360" i="17"/>
  <c r="AH360" i="17" s="1"/>
  <c r="AI347" i="17"/>
  <c r="AH347" i="17" s="1"/>
  <c r="AI239" i="17"/>
  <c r="AH239" i="17" s="1"/>
  <c r="AI142" i="17"/>
  <c r="AH142" i="17" s="1"/>
  <c r="AI213" i="17"/>
  <c r="AH213" i="17" s="1"/>
  <c r="AI353" i="17"/>
  <c r="AH353" i="17" s="1"/>
  <c r="AI181" i="17"/>
  <c r="AH181" i="17" s="1"/>
  <c r="AI178" i="17"/>
  <c r="AH178" i="17" s="1"/>
  <c r="AI256" i="17"/>
  <c r="AH256" i="17" s="1"/>
  <c r="AI125" i="17"/>
  <c r="AH125" i="17" s="1"/>
  <c r="AI319" i="17"/>
  <c r="AH319" i="17" s="1"/>
  <c r="AI28" i="17"/>
  <c r="AH28" i="17" s="1"/>
  <c r="AI36" i="17"/>
  <c r="AH36" i="17" s="1"/>
  <c r="AI237" i="17"/>
  <c r="AH237" i="17" s="1"/>
  <c r="AI303" i="17"/>
  <c r="AH303" i="17" s="1"/>
  <c r="AI291" i="17"/>
  <c r="AH291" i="17" s="1"/>
  <c r="AI98" i="17"/>
  <c r="AH98" i="17" s="1"/>
  <c r="AI299" i="17"/>
  <c r="AH299" i="17" s="1"/>
  <c r="AI80" i="17"/>
  <c r="AH80" i="17" s="1"/>
  <c r="AI222" i="17"/>
  <c r="AH222" i="17" s="1"/>
  <c r="AI312" i="17"/>
  <c r="AH312" i="17" s="1"/>
  <c r="AI64" i="17"/>
  <c r="AH64" i="17" s="1"/>
  <c r="AI261" i="17"/>
  <c r="AH261" i="17" s="1"/>
  <c r="AI251" i="17"/>
  <c r="AH251" i="17" s="1"/>
  <c r="AI151" i="17"/>
  <c r="AH151" i="17" s="1"/>
  <c r="AI306" i="17"/>
  <c r="AH306" i="17" s="1"/>
  <c r="AI342" i="17"/>
  <c r="AH342" i="17" s="1"/>
  <c r="AI44" i="17"/>
  <c r="AH44" i="17" s="1"/>
  <c r="AI258" i="17"/>
  <c r="AH258" i="17" s="1"/>
  <c r="AI129" i="17"/>
  <c r="AH129" i="17" s="1"/>
  <c r="AI130" i="17"/>
  <c r="AH130" i="17" s="1"/>
  <c r="AI136" i="17"/>
  <c r="AH136" i="17" s="1"/>
  <c r="AI171" i="17"/>
  <c r="AH171" i="17" s="1"/>
  <c r="AI53" i="17"/>
  <c r="AH53" i="17" s="1"/>
  <c r="AI163" i="17"/>
  <c r="AH163" i="17" s="1"/>
  <c r="AI317" i="17"/>
  <c r="AH317" i="17" s="1"/>
  <c r="AI63" i="17"/>
  <c r="AH63" i="17" s="1"/>
  <c r="AI288" i="17"/>
  <c r="AH288" i="17" s="1"/>
  <c r="AI226" i="17"/>
  <c r="AH226" i="17" s="1"/>
  <c r="AI345" i="17"/>
  <c r="AH345" i="17" s="1"/>
  <c r="AI90" i="17"/>
  <c r="AH90" i="17" s="1"/>
  <c r="AI138" i="17"/>
  <c r="AH138" i="17" s="1"/>
  <c r="AI208" i="17"/>
  <c r="AH208" i="17" s="1"/>
  <c r="AI230" i="17"/>
  <c r="AH230" i="17" s="1"/>
  <c r="AI315" i="17"/>
  <c r="AH315" i="17" s="1"/>
  <c r="AI307" i="17"/>
  <c r="AH307" i="17" s="1"/>
  <c r="AI23" i="17"/>
  <c r="AH23" i="17" s="1"/>
  <c r="AI100" i="17"/>
  <c r="AH100" i="17" s="1"/>
  <c r="AI296" i="17"/>
  <c r="AH296" i="17" s="1"/>
  <c r="AI316" i="17"/>
  <c r="AH316" i="17" s="1"/>
  <c r="AI246" i="17"/>
  <c r="AH246" i="17" s="1"/>
  <c r="AI262" i="17"/>
  <c r="AH262" i="17" s="1"/>
  <c r="AI356" i="17"/>
  <c r="AH356" i="17" s="1"/>
  <c r="AI244" i="17"/>
  <c r="AH244" i="17" s="1"/>
  <c r="AI112" i="17"/>
  <c r="AH112" i="17" s="1"/>
  <c r="AI128" i="17"/>
  <c r="AH128" i="17" s="1"/>
  <c r="AI323" i="17"/>
  <c r="AH323" i="17" s="1"/>
  <c r="AI227" i="17"/>
  <c r="AH227" i="17" s="1"/>
  <c r="AI149" i="17"/>
  <c r="AH149" i="17" s="1"/>
  <c r="AI346" i="17"/>
  <c r="AH346" i="17" s="1"/>
  <c r="AI102" i="17"/>
  <c r="AH102" i="17" s="1"/>
  <c r="AI88" i="17"/>
  <c r="AH88" i="17" s="1"/>
  <c r="AI32" i="17"/>
  <c r="AH32" i="17" s="1"/>
  <c r="AI191" i="17"/>
  <c r="AH191" i="17" s="1"/>
  <c r="AI276" i="17"/>
  <c r="AH276" i="17" s="1"/>
  <c r="AI121" i="17"/>
  <c r="AH121" i="17" s="1"/>
  <c r="AI95" i="17"/>
  <c r="AH95" i="17" s="1"/>
  <c r="AI284" i="17"/>
  <c r="AH284" i="17" s="1"/>
  <c r="AI55" i="17"/>
  <c r="AH55" i="17" s="1"/>
  <c r="AI62" i="17"/>
  <c r="AH62" i="17" s="1"/>
  <c r="AI134" i="17"/>
  <c r="AH134" i="17" s="1"/>
  <c r="AI156" i="17"/>
  <c r="AH156" i="17" s="1"/>
  <c r="AI116" i="17"/>
  <c r="AH116" i="17" s="1"/>
  <c r="AI220" i="17"/>
  <c r="AH220" i="17" s="1"/>
  <c r="AI161" i="17"/>
  <c r="AH161" i="17" s="1"/>
  <c r="AI221" i="17"/>
  <c r="AH221" i="17" s="1"/>
  <c r="AI38" i="17"/>
  <c r="AH38" i="17" s="1"/>
  <c r="AI264" i="17"/>
  <c r="AH264" i="17" s="1"/>
  <c r="AI202" i="17"/>
  <c r="AH202" i="17" s="1"/>
  <c r="AI52" i="17"/>
  <c r="AH52" i="17" s="1"/>
  <c r="AI305" i="17"/>
  <c r="AH305" i="17" s="1"/>
  <c r="AI185" i="17"/>
  <c r="AH185" i="17" s="1"/>
  <c r="AI103" i="17"/>
  <c r="AH103" i="17" s="1"/>
  <c r="AI200" i="17"/>
  <c r="AH200" i="17" s="1"/>
  <c r="AI285" i="17"/>
  <c r="AH285" i="17" s="1"/>
  <c r="AI58" i="17"/>
  <c r="AH58" i="17" s="1"/>
  <c r="AI281" i="17"/>
  <c r="AH281" i="17" s="1"/>
  <c r="AI368" i="17"/>
  <c r="AH368" i="17" s="1"/>
  <c r="AI119" i="17"/>
  <c r="AH119" i="17" s="1"/>
  <c r="AI286" i="17"/>
  <c r="AH286" i="17" s="1"/>
  <c r="AI378" i="17"/>
  <c r="AH378" i="17" s="1"/>
  <c r="AI155" i="17"/>
  <c r="AH155" i="17" s="1"/>
  <c r="AI343" i="17"/>
  <c r="AH343" i="17" s="1"/>
  <c r="AI231" i="17"/>
  <c r="AH231" i="17" s="1"/>
  <c r="AI372" i="17"/>
  <c r="AH372" i="17" s="1"/>
  <c r="AI212" i="17"/>
  <c r="AH212" i="17" s="1"/>
  <c r="AI160" i="17"/>
  <c r="AH160" i="17" s="1"/>
  <c r="AI332" i="17"/>
  <c r="AH332" i="17" s="1"/>
  <c r="AI282" i="17"/>
  <c r="AH282" i="17" s="1"/>
  <c r="AI85" i="17"/>
  <c r="AH85" i="17" s="1"/>
  <c r="AI355" i="17"/>
  <c r="AH355" i="17" s="1"/>
  <c r="AI132" i="17"/>
  <c r="AH132" i="17" s="1"/>
  <c r="AI35" i="17"/>
  <c r="AH35" i="17" s="1"/>
  <c r="AI141" i="17"/>
  <c r="AH141" i="17" s="1"/>
  <c r="AI361" i="17"/>
  <c r="AH361" i="17" s="1"/>
  <c r="AI111" i="17"/>
  <c r="AH111" i="17" s="1"/>
  <c r="AI183" i="17"/>
  <c r="AH183" i="17" s="1"/>
  <c r="AI302" i="17"/>
  <c r="AH302" i="17" s="1"/>
  <c r="AI49" i="17"/>
  <c r="AH49" i="17" s="1"/>
  <c r="AI225" i="17"/>
  <c r="AH225" i="17" s="1"/>
  <c r="AI47" i="17"/>
  <c r="AH47" i="17" s="1"/>
  <c r="AI144" i="17"/>
  <c r="AH144" i="17" s="1"/>
  <c r="AI20" i="17"/>
  <c r="AH20" i="17" s="1"/>
  <c r="AI290" i="17"/>
  <c r="AH290" i="17" s="1"/>
  <c r="AI338" i="17"/>
  <c r="AH338" i="17" s="1"/>
  <c r="AI159" i="17"/>
  <c r="AH159" i="17" s="1"/>
  <c r="AI29" i="17"/>
  <c r="AH29" i="17" s="1"/>
  <c r="AI196" i="17"/>
  <c r="AH196" i="17" s="1"/>
  <c r="AI109" i="17"/>
  <c r="AH109" i="17" s="1"/>
  <c r="AI207" i="17"/>
  <c r="AH207" i="17" s="1"/>
  <c r="AI25" i="17"/>
  <c r="AH25" i="17" s="1"/>
  <c r="AI59" i="17"/>
  <c r="AH59" i="17" s="1"/>
  <c r="AI300" i="17"/>
  <c r="AH300" i="17" s="1"/>
  <c r="AI190" i="17"/>
  <c r="AH190" i="17" s="1"/>
  <c r="AI37" i="17"/>
  <c r="AH37" i="17" s="1"/>
  <c r="AI72" i="17"/>
  <c r="AH72" i="17" s="1"/>
  <c r="AI265" i="17"/>
  <c r="AH265" i="17" s="1"/>
  <c r="AI123" i="17"/>
  <c r="AH123" i="17" s="1"/>
  <c r="AI327" i="17"/>
  <c r="AH327" i="17" s="1"/>
  <c r="AI376" i="17"/>
  <c r="AH376" i="17" s="1"/>
  <c r="AI172" i="17"/>
  <c r="AH172" i="17" s="1"/>
  <c r="AI27" i="17"/>
  <c r="AH27" i="17" s="1"/>
  <c r="AI370" i="17"/>
  <c r="AH370" i="17" s="1"/>
  <c r="AI143" i="17"/>
  <c r="AH143" i="17" s="1"/>
  <c r="AI173" i="17"/>
  <c r="AH173" i="17" s="1"/>
  <c r="AI277" i="17"/>
  <c r="AH277" i="17" s="1"/>
  <c r="AI218" i="17"/>
  <c r="AH218" i="17" s="1"/>
  <c r="AI318" i="17"/>
  <c r="AH318" i="17" s="1"/>
  <c r="AI233" i="17"/>
  <c r="AH233" i="17" s="1"/>
  <c r="AI77" i="17"/>
  <c r="AH77" i="17" s="1"/>
  <c r="AI166" i="17"/>
  <c r="AH166" i="17" s="1"/>
  <c r="AI309" i="17"/>
  <c r="AH309" i="17" s="1"/>
  <c r="AI43" i="17"/>
  <c r="AH43" i="17" s="1"/>
  <c r="AI16" i="17"/>
  <c r="AH16" i="17" s="1"/>
  <c r="AI271" i="17"/>
  <c r="AH271" i="17" s="1"/>
  <c r="AI126" i="17"/>
  <c r="AH126" i="17" s="1"/>
  <c r="AI297" i="17"/>
  <c r="AH297" i="17" s="1"/>
  <c r="AI133" i="17"/>
  <c r="AH133" i="17" s="1"/>
  <c r="AI86" i="17"/>
  <c r="AH86" i="17" s="1"/>
  <c r="AI108" i="17"/>
  <c r="AH108" i="17" s="1"/>
  <c r="AI30" i="17"/>
  <c r="AH30" i="17" s="1"/>
  <c r="AI250" i="17"/>
  <c r="AH250" i="17" s="1"/>
  <c r="AI164" i="17"/>
  <c r="AH164" i="17" s="1"/>
  <c r="AI324" i="17"/>
  <c r="AH324" i="17" s="1"/>
  <c r="AI56" i="17"/>
  <c r="AH56" i="17" s="1"/>
  <c r="AI91" i="17"/>
  <c r="AH91" i="17" s="1"/>
  <c r="AI292" i="17"/>
  <c r="AH292" i="17" s="1"/>
  <c r="AI187" i="17"/>
  <c r="AH187" i="17" s="1"/>
  <c r="AI279" i="17"/>
  <c r="AH279" i="17" s="1"/>
  <c r="AI263" i="17"/>
  <c r="AH263" i="17" s="1"/>
  <c r="AI203" i="17"/>
  <c r="AH203" i="17" s="1"/>
  <c r="I60" i="16"/>
  <c r="J60" i="16"/>
  <c r="I18" i="16"/>
  <c r="J18" i="16"/>
  <c r="J80" i="16"/>
  <c r="I80" i="16"/>
  <c r="AG381" i="16"/>
  <c r="AG382" i="16"/>
  <c r="AG383" i="16"/>
  <c r="AF15" i="16"/>
  <c r="J355" i="16"/>
  <c r="I355" i="16"/>
  <c r="J245" i="16"/>
  <c r="I245" i="16"/>
  <c r="J171" i="16"/>
  <c r="I171" i="16"/>
  <c r="J187" i="16"/>
  <c r="I187" i="16"/>
  <c r="I86" i="16"/>
  <c r="J86" i="16"/>
  <c r="J336" i="16"/>
  <c r="I336" i="16"/>
  <c r="I188" i="16"/>
  <c r="J188" i="16"/>
  <c r="I217" i="16"/>
  <c r="J217" i="16"/>
  <c r="I218" i="16"/>
  <c r="J218" i="16"/>
  <c r="I204" i="16"/>
  <c r="J204" i="16"/>
  <c r="I43" i="16"/>
  <c r="J43" i="16"/>
  <c r="J256" i="16"/>
  <c r="I256" i="16"/>
  <c r="J184" i="16"/>
  <c r="I184" i="16"/>
  <c r="M63" i="19"/>
  <c r="I229" i="16"/>
  <c r="J229" i="16"/>
  <c r="I123" i="16"/>
  <c r="J123" i="16"/>
  <c r="J192" i="16"/>
  <c r="I192" i="16"/>
  <c r="J122" i="16"/>
  <c r="I122" i="16"/>
  <c r="J325" i="16"/>
  <c r="I325" i="16"/>
  <c r="I271" i="16"/>
  <c r="J271" i="16"/>
  <c r="I165" i="16"/>
  <c r="J165" i="16"/>
  <c r="I144" i="16"/>
  <c r="J144" i="16"/>
  <c r="J145" i="16"/>
  <c r="I145" i="16"/>
  <c r="J374" i="16"/>
  <c r="I374" i="16"/>
  <c r="J212" i="16"/>
  <c r="I212" i="16"/>
  <c r="J342" i="16"/>
  <c r="I342" i="16"/>
  <c r="I55" i="16"/>
  <c r="J55" i="16"/>
  <c r="J81" i="16"/>
  <c r="I81" i="16"/>
  <c r="J234" i="16"/>
  <c r="I234" i="16"/>
  <c r="J196" i="16"/>
  <c r="I196" i="16"/>
  <c r="J28" i="16"/>
  <c r="I28" i="16"/>
  <c r="I252" i="16"/>
  <c r="J252" i="16"/>
  <c r="J279" i="16"/>
  <c r="I279" i="16"/>
  <c r="I39" i="16"/>
  <c r="J39" i="16"/>
  <c r="I56" i="16"/>
  <c r="J56" i="16"/>
  <c r="G228" i="16"/>
  <c r="BY228" i="6" s="1"/>
  <c r="AA228" i="16"/>
  <c r="Z228" i="16" s="1"/>
  <c r="Y228" i="16" s="1"/>
  <c r="H228" i="16"/>
  <c r="J138" i="16"/>
  <c r="I138" i="16"/>
  <c r="J79" i="16"/>
  <c r="I79" i="16"/>
  <c r="J34" i="16"/>
  <c r="I34" i="16"/>
  <c r="J23" i="16"/>
  <c r="I23" i="16"/>
  <c r="I38" i="16"/>
  <c r="J38" i="16"/>
  <c r="J118" i="16"/>
  <c r="I118" i="16"/>
  <c r="I351" i="16"/>
  <c r="J351" i="16"/>
  <c r="I248" i="16"/>
  <c r="J248" i="16"/>
  <c r="I69" i="16"/>
  <c r="J69" i="16"/>
  <c r="J211" i="16"/>
  <c r="I211" i="16"/>
  <c r="I251" i="16"/>
  <c r="J251" i="16"/>
  <c r="J70" i="16"/>
  <c r="I70" i="16"/>
  <c r="I22" i="16"/>
  <c r="J22" i="16"/>
  <c r="J304" i="16"/>
  <c r="I304" i="16"/>
  <c r="G75" i="16"/>
  <c r="BY75" i="6" s="1"/>
  <c r="AA75" i="16"/>
  <c r="Z75" i="16" s="1"/>
  <c r="Y75" i="16" s="1"/>
  <c r="H75" i="16"/>
  <c r="J321" i="16"/>
  <c r="I321" i="16"/>
  <c r="J295" i="16"/>
  <c r="I295" i="16"/>
  <c r="I72" i="16"/>
  <c r="J72" i="16"/>
  <c r="I334" i="16"/>
  <c r="J334" i="16"/>
  <c r="I276" i="16"/>
  <c r="J276" i="16"/>
  <c r="J303" i="16"/>
  <c r="I303" i="16"/>
  <c r="I326" i="16"/>
  <c r="J326" i="16"/>
  <c r="J121" i="16"/>
  <c r="I121" i="16"/>
  <c r="I100" i="16"/>
  <c r="J100" i="16"/>
  <c r="G136" i="16"/>
  <c r="BY136" i="6" s="1"/>
  <c r="H136" i="16"/>
  <c r="AA136" i="16"/>
  <c r="Z136" i="16" s="1"/>
  <c r="Y136" i="16" s="1"/>
  <c r="I253" i="16"/>
  <c r="J253" i="16"/>
  <c r="J125" i="16"/>
  <c r="I125" i="16"/>
  <c r="I329" i="16"/>
  <c r="J329" i="16"/>
  <c r="H210" i="16"/>
  <c r="G210" i="16"/>
  <c r="BY210" i="6" s="1"/>
  <c r="AA210" i="16"/>
  <c r="Z210" i="16" s="1"/>
  <c r="Y210" i="16" s="1"/>
  <c r="J357" i="16"/>
  <c r="I357" i="16"/>
  <c r="J284" i="16"/>
  <c r="I284" i="16"/>
  <c r="J84" i="16"/>
  <c r="I84" i="16"/>
  <c r="J120" i="16"/>
  <c r="I120" i="16"/>
  <c r="I232" i="16"/>
  <c r="J232" i="16"/>
  <c r="I371" i="16"/>
  <c r="J371" i="16"/>
  <c r="I178" i="16"/>
  <c r="J178" i="16"/>
  <c r="I19" i="16"/>
  <c r="J19" i="16"/>
  <c r="J156" i="16"/>
  <c r="I156" i="16"/>
  <c r="I83" i="16"/>
  <c r="J83" i="16"/>
  <c r="I112" i="16"/>
  <c r="J112" i="16"/>
  <c r="G119" i="16"/>
  <c r="BY119" i="6" s="1"/>
  <c r="H119" i="16"/>
  <c r="AA119" i="16"/>
  <c r="J262" i="16"/>
  <c r="I262" i="16"/>
  <c r="J273" i="16"/>
  <c r="I273" i="16"/>
  <c r="I202" i="16"/>
  <c r="J202" i="16"/>
  <c r="J65" i="16"/>
  <c r="I65" i="16"/>
  <c r="J149" i="16"/>
  <c r="I149" i="16"/>
  <c r="I191" i="16"/>
  <c r="J191" i="16"/>
  <c r="J236" i="16"/>
  <c r="I236" i="16"/>
  <c r="J223" i="16"/>
  <c r="I223" i="16"/>
  <c r="I94" i="16"/>
  <c r="J94" i="16"/>
  <c r="G29" i="16"/>
  <c r="BY29" i="6" s="1"/>
  <c r="AA29" i="16"/>
  <c r="Z29" i="16" s="1"/>
  <c r="Y29" i="16" s="1"/>
  <c r="H29" i="16"/>
  <c r="AA47" i="16"/>
  <c r="Z47" i="16" s="1"/>
  <c r="Y47" i="16" s="1"/>
  <c r="G47" i="16"/>
  <c r="BY47" i="6" s="1"/>
  <c r="H47" i="16"/>
  <c r="I208" i="16"/>
  <c r="J208" i="16"/>
  <c r="J91" i="16"/>
  <c r="I91" i="16"/>
  <c r="E63" i="19"/>
  <c r="I282" i="16"/>
  <c r="J282" i="16"/>
  <c r="I96" i="16"/>
  <c r="J96" i="16"/>
  <c r="I292" i="16"/>
  <c r="J292" i="16"/>
  <c r="J239" i="16"/>
  <c r="I239" i="16"/>
  <c r="U271" i="17"/>
  <c r="T271" i="17" s="1"/>
  <c r="U314" i="17"/>
  <c r="T314" i="17" s="1"/>
  <c r="U63" i="17"/>
  <c r="T63" i="17" s="1"/>
  <c r="U84" i="17"/>
  <c r="T84" i="17" s="1"/>
  <c r="U24" i="17"/>
  <c r="T24" i="17" s="1"/>
  <c r="U323" i="17"/>
  <c r="T323" i="17" s="1"/>
  <c r="U155" i="17"/>
  <c r="T155" i="17" s="1"/>
  <c r="U341" i="17"/>
  <c r="T341" i="17" s="1"/>
  <c r="U316" i="17"/>
  <c r="T316" i="17" s="1"/>
  <c r="U354" i="17"/>
  <c r="T354" i="17" s="1"/>
  <c r="U15" i="17"/>
  <c r="U348" i="17"/>
  <c r="T348" i="17" s="1"/>
  <c r="U37" i="17"/>
  <c r="T37" i="17" s="1"/>
  <c r="U59" i="17"/>
  <c r="T59" i="17" s="1"/>
  <c r="U193" i="17"/>
  <c r="T193" i="17" s="1"/>
  <c r="U112" i="17"/>
  <c r="T112" i="17" s="1"/>
  <c r="U41" i="17"/>
  <c r="T41" i="17" s="1"/>
  <c r="U135" i="17"/>
  <c r="T135" i="17" s="1"/>
  <c r="U250" i="17"/>
  <c r="T250" i="17" s="1"/>
  <c r="U304" i="17"/>
  <c r="T304" i="17" s="1"/>
  <c r="U338" i="17"/>
  <c r="T338" i="17" s="1"/>
  <c r="U23" i="17"/>
  <c r="T23" i="17" s="1"/>
  <c r="U212" i="17"/>
  <c r="T212" i="17" s="1"/>
  <c r="U282" i="17"/>
  <c r="T282" i="17" s="1"/>
  <c r="U32" i="17"/>
  <c r="T32" i="17" s="1"/>
  <c r="U336" i="17"/>
  <c r="T336" i="17" s="1"/>
  <c r="U26" i="17"/>
  <c r="T26" i="17" s="1"/>
  <c r="U62" i="17"/>
  <c r="T62" i="17" s="1"/>
  <c r="U99" i="17"/>
  <c r="T99" i="17" s="1"/>
  <c r="U206" i="17"/>
  <c r="T206" i="17" s="1"/>
  <c r="U307" i="17"/>
  <c r="T307" i="17" s="1"/>
  <c r="U27" i="17"/>
  <c r="T27" i="17" s="1"/>
  <c r="U158" i="17"/>
  <c r="T158" i="17" s="1"/>
  <c r="U183" i="17"/>
  <c r="T183" i="17" s="1"/>
  <c r="U162" i="17"/>
  <c r="T162" i="17" s="1"/>
  <c r="U272" i="17"/>
  <c r="T272" i="17" s="1"/>
  <c r="U189" i="17"/>
  <c r="T189" i="17" s="1"/>
  <c r="U287" i="17"/>
  <c r="T287" i="17" s="1"/>
  <c r="U115" i="17"/>
  <c r="T115" i="17" s="1"/>
  <c r="U242" i="17"/>
  <c r="T242" i="17" s="1"/>
  <c r="U157" i="17"/>
  <c r="T157" i="17" s="1"/>
  <c r="U43" i="17"/>
  <c r="T43" i="17" s="1"/>
  <c r="U211" i="17"/>
  <c r="T211" i="17" s="1"/>
  <c r="U146" i="17"/>
  <c r="T146" i="17" s="1"/>
  <c r="U366" i="17"/>
  <c r="T366" i="17" s="1"/>
  <c r="U258" i="17"/>
  <c r="T258" i="17" s="1"/>
  <c r="U219" i="17"/>
  <c r="T219" i="17" s="1"/>
  <c r="U246" i="17"/>
  <c r="T246" i="17" s="1"/>
  <c r="U355" i="17"/>
  <c r="T355" i="17" s="1"/>
  <c r="U346" i="17"/>
  <c r="T346" i="17" s="1"/>
  <c r="U36" i="17"/>
  <c r="T36" i="17" s="1"/>
  <c r="U102" i="17"/>
  <c r="T102" i="17" s="1"/>
  <c r="U122" i="17"/>
  <c r="T122" i="17" s="1"/>
  <c r="U360" i="17"/>
  <c r="T360" i="17" s="1"/>
  <c r="U207" i="17"/>
  <c r="T207" i="17" s="1"/>
  <c r="U245" i="17"/>
  <c r="T245" i="17" s="1"/>
  <c r="U60" i="17"/>
  <c r="T60" i="17" s="1"/>
  <c r="U254" i="17"/>
  <c r="T254" i="17" s="1"/>
  <c r="U227" i="17"/>
  <c r="T227" i="17" s="1"/>
  <c r="U369" i="17"/>
  <c r="T369" i="17" s="1"/>
  <c r="U324" i="17"/>
  <c r="T324" i="17" s="1"/>
  <c r="U70" i="17"/>
  <c r="T70" i="17" s="1"/>
  <c r="U50" i="17"/>
  <c r="T50" i="17" s="1"/>
  <c r="U93" i="17"/>
  <c r="T93" i="17" s="1"/>
  <c r="U98" i="17"/>
  <c r="T98" i="17" s="1"/>
  <c r="U262" i="17"/>
  <c r="T262" i="17" s="1"/>
  <c r="U264" i="17"/>
  <c r="T264" i="17" s="1"/>
  <c r="U340" i="17"/>
  <c r="T340" i="17" s="1"/>
  <c r="U125" i="17"/>
  <c r="T125" i="17" s="1"/>
  <c r="U56" i="17"/>
  <c r="T56" i="17" s="1"/>
  <c r="U353" i="17"/>
  <c r="T353" i="17" s="1"/>
  <c r="U38" i="17"/>
  <c r="T38" i="17" s="1"/>
  <c r="U45" i="17"/>
  <c r="T45" i="17" s="1"/>
  <c r="U197" i="17"/>
  <c r="T197" i="17" s="1"/>
  <c r="U217" i="17"/>
  <c r="T217" i="17" s="1"/>
  <c r="U156" i="17"/>
  <c r="T156" i="17" s="1"/>
  <c r="U231" i="17"/>
  <c r="T231" i="17" s="1"/>
  <c r="U205" i="17"/>
  <c r="T205" i="17" s="1"/>
  <c r="U74" i="17"/>
  <c r="T74" i="17" s="1"/>
  <c r="U270" i="17"/>
  <c r="T270" i="17" s="1"/>
  <c r="U228" i="17"/>
  <c r="T228" i="17" s="1"/>
  <c r="U358" i="17"/>
  <c r="T358" i="17" s="1"/>
  <c r="U52" i="17"/>
  <c r="T52" i="17" s="1"/>
  <c r="U277" i="17"/>
  <c r="T277" i="17" s="1"/>
  <c r="U44" i="17"/>
  <c r="T44" i="17" s="1"/>
  <c r="U168" i="17"/>
  <c r="T168" i="17" s="1"/>
  <c r="U46" i="17"/>
  <c r="T46" i="17" s="1"/>
  <c r="U286" i="17"/>
  <c r="T286" i="17" s="1"/>
  <c r="U236" i="17"/>
  <c r="T236" i="17" s="1"/>
  <c r="U375" i="17"/>
  <c r="T375" i="17" s="1"/>
  <c r="U342" i="17"/>
  <c r="T342" i="17" s="1"/>
  <c r="U278" i="17"/>
  <c r="T278" i="17" s="1"/>
  <c r="U372" i="17"/>
  <c r="T372" i="17" s="1"/>
  <c r="U34" i="17"/>
  <c r="T34" i="17" s="1"/>
  <c r="U377" i="17"/>
  <c r="T377" i="17" s="1"/>
  <c r="U75" i="17"/>
  <c r="T75" i="17" s="1"/>
  <c r="U362" i="17"/>
  <c r="T362" i="17" s="1"/>
  <c r="U349" i="17"/>
  <c r="T349" i="17" s="1"/>
  <c r="U344" i="17"/>
  <c r="T344" i="17" s="1"/>
  <c r="U379" i="17"/>
  <c r="U299" i="17"/>
  <c r="T299" i="17" s="1"/>
  <c r="U83" i="17"/>
  <c r="T83" i="17" s="1"/>
  <c r="U109" i="17"/>
  <c r="T109" i="17" s="1"/>
  <c r="U293" i="17"/>
  <c r="T293" i="17" s="1"/>
  <c r="U76" i="17"/>
  <c r="T76" i="17" s="1"/>
  <c r="U224" i="17"/>
  <c r="T224" i="17" s="1"/>
  <c r="U21" i="17"/>
  <c r="T21" i="17" s="1"/>
  <c r="U201" i="17"/>
  <c r="T201" i="17" s="1"/>
  <c r="U327" i="17"/>
  <c r="T327" i="17" s="1"/>
  <c r="U241" i="17"/>
  <c r="T241" i="17" s="1"/>
  <c r="U309" i="17"/>
  <c r="T309" i="17" s="1"/>
  <c r="U233" i="17"/>
  <c r="T233" i="17" s="1"/>
  <c r="U279" i="17"/>
  <c r="T279" i="17" s="1"/>
  <c r="U214" i="17"/>
  <c r="T214" i="17" s="1"/>
  <c r="U49" i="17"/>
  <c r="T49" i="17" s="1"/>
  <c r="U173" i="17"/>
  <c r="T173" i="17" s="1"/>
  <c r="U255" i="17"/>
  <c r="T255" i="17" s="1"/>
  <c r="U185" i="17"/>
  <c r="T185" i="17" s="1"/>
  <c r="U290" i="17"/>
  <c r="T290" i="17" s="1"/>
  <c r="U144" i="17"/>
  <c r="T144" i="17" s="1"/>
  <c r="U64" i="17"/>
  <c r="T64" i="17" s="1"/>
  <c r="U94" i="17"/>
  <c r="T94" i="17" s="1"/>
  <c r="U315" i="17"/>
  <c r="T315" i="17" s="1"/>
  <c r="U129" i="17"/>
  <c r="T129" i="17" s="1"/>
  <c r="U25" i="17"/>
  <c r="T25" i="17" s="1"/>
  <c r="U374" i="17"/>
  <c r="T374" i="17" s="1"/>
  <c r="U101" i="17"/>
  <c r="T101" i="17" s="1"/>
  <c r="U47" i="17"/>
  <c r="T47" i="17" s="1"/>
  <c r="U54" i="17"/>
  <c r="T54" i="17" s="1"/>
  <c r="U240" i="17"/>
  <c r="T240" i="17" s="1"/>
  <c r="U73" i="17"/>
  <c r="T73" i="17" s="1"/>
  <c r="U167" i="17"/>
  <c r="T167" i="17" s="1"/>
  <c r="U78" i="17"/>
  <c r="T78" i="17" s="1"/>
  <c r="U202" i="17"/>
  <c r="T202" i="17" s="1"/>
  <c r="U57" i="17"/>
  <c r="T57" i="17" s="1"/>
  <c r="U87" i="17"/>
  <c r="T87" i="17" s="1"/>
  <c r="U188" i="17"/>
  <c r="T188" i="17" s="1"/>
  <c r="U177" i="17"/>
  <c r="T177" i="17" s="1"/>
  <c r="U160" i="17"/>
  <c r="T160" i="17" s="1"/>
  <c r="U234" i="17"/>
  <c r="T234" i="17" s="1"/>
  <c r="U337" i="17"/>
  <c r="T337" i="17" s="1"/>
  <c r="U190" i="17"/>
  <c r="T190" i="17" s="1"/>
  <c r="U195" i="17"/>
  <c r="T195" i="17" s="1"/>
  <c r="U66" i="17"/>
  <c r="T66" i="17" s="1"/>
  <c r="U368" i="17"/>
  <c r="T368" i="17" s="1"/>
  <c r="U61" i="17"/>
  <c r="T61" i="17" s="1"/>
  <c r="U223" i="17"/>
  <c r="T223" i="17" s="1"/>
  <c r="U247" i="17"/>
  <c r="T247" i="17" s="1"/>
  <c r="U33" i="17"/>
  <c r="T33" i="17" s="1"/>
  <c r="U106" i="17"/>
  <c r="T106" i="17" s="1"/>
  <c r="U148" i="17"/>
  <c r="T148" i="17" s="1"/>
  <c r="U88" i="17"/>
  <c r="T88" i="17" s="1"/>
  <c r="U243" i="17"/>
  <c r="T243" i="17" s="1"/>
  <c r="U306" i="17"/>
  <c r="T306" i="17" s="1"/>
  <c r="U238" i="17"/>
  <c r="T238" i="17" s="1"/>
  <c r="U171" i="17"/>
  <c r="T171" i="17" s="1"/>
  <c r="U275" i="17"/>
  <c r="T275" i="17" s="1"/>
  <c r="U210" i="17"/>
  <c r="T210" i="17" s="1"/>
  <c r="U209" i="17"/>
  <c r="T209" i="17" s="1"/>
  <c r="U367" i="17"/>
  <c r="T367" i="17" s="1"/>
  <c r="U90" i="17"/>
  <c r="T90" i="17" s="1"/>
  <c r="U139" i="17"/>
  <c r="T139" i="17" s="1"/>
  <c r="U80" i="17"/>
  <c r="T80" i="17" s="1"/>
  <c r="U174" i="17"/>
  <c r="T174" i="17" s="1"/>
  <c r="U164" i="17"/>
  <c r="T164" i="17" s="1"/>
  <c r="U294" i="17"/>
  <c r="T294" i="17" s="1"/>
  <c r="U378" i="17"/>
  <c r="T378" i="17" s="1"/>
  <c r="U51" i="17"/>
  <c r="T51" i="17" s="1"/>
  <c r="U184" i="17"/>
  <c r="T184" i="17" s="1"/>
  <c r="U373" i="17"/>
  <c r="T373" i="17" s="1"/>
  <c r="U55" i="17"/>
  <c r="T55" i="17" s="1"/>
  <c r="U127" i="17"/>
  <c r="T127" i="17" s="1"/>
  <c r="U291" i="17"/>
  <c r="T291" i="17" s="1"/>
  <c r="U150" i="17"/>
  <c r="T150" i="17" s="1"/>
  <c r="U222" i="17"/>
  <c r="T222" i="17" s="1"/>
  <c r="U198" i="17"/>
  <c r="T198" i="17" s="1"/>
  <c r="U114" i="17"/>
  <c r="T114" i="17" s="1"/>
  <c r="U110" i="17"/>
  <c r="T110" i="17" s="1"/>
  <c r="U257" i="17"/>
  <c r="T257" i="17" s="1"/>
  <c r="U16" i="17"/>
  <c r="T16" i="17" s="1"/>
  <c r="U328" i="17"/>
  <c r="T328" i="17" s="1"/>
  <c r="U145" i="17"/>
  <c r="T145" i="17" s="1"/>
  <c r="J101" i="16"/>
  <c r="I101" i="16"/>
  <c r="I300" i="16"/>
  <c r="J300" i="16"/>
  <c r="J380" i="16"/>
  <c r="I380" i="16"/>
  <c r="H380" i="17" s="1"/>
  <c r="J344" i="16"/>
  <c r="I344" i="16"/>
  <c r="I71" i="16"/>
  <c r="J71" i="16"/>
  <c r="G167" i="16"/>
  <c r="BY167" i="6" s="1"/>
  <c r="AA167" i="16"/>
  <c r="Z167" i="16" s="1"/>
  <c r="Y167" i="16" s="1"/>
  <c r="H167" i="16"/>
  <c r="J215" i="16"/>
  <c r="I215" i="16"/>
  <c r="I340" i="16"/>
  <c r="J340" i="16"/>
  <c r="J53" i="16"/>
  <c r="I53" i="16"/>
  <c r="J323" i="16"/>
  <c r="I323" i="16"/>
  <c r="I111" i="16"/>
  <c r="J111" i="16"/>
  <c r="I52" i="16"/>
  <c r="J52" i="16"/>
  <c r="J330" i="16"/>
  <c r="I330" i="16"/>
  <c r="J174" i="16"/>
  <c r="I174" i="16"/>
  <c r="AA197" i="16"/>
  <c r="Z197" i="16" s="1"/>
  <c r="Y197" i="16" s="1"/>
  <c r="H197" i="16"/>
  <c r="G197" i="16"/>
  <c r="BY197" i="6" s="1"/>
  <c r="I277" i="16"/>
  <c r="J277" i="16"/>
  <c r="I331" i="16"/>
  <c r="J331" i="16"/>
  <c r="I356" i="16"/>
  <c r="J356" i="16"/>
  <c r="I139" i="16"/>
  <c r="J139" i="16"/>
  <c r="J33" i="16"/>
  <c r="I33" i="16"/>
  <c r="I315" i="16"/>
  <c r="J315" i="16"/>
  <c r="I318" i="16"/>
  <c r="J318" i="16"/>
  <c r="J163" i="16"/>
  <c r="I163" i="16"/>
  <c r="I332" i="16"/>
  <c r="J332" i="16"/>
  <c r="J160" i="16"/>
  <c r="I160" i="16"/>
  <c r="I352" i="16"/>
  <c r="J352" i="16"/>
  <c r="I264" i="16"/>
  <c r="J264" i="16"/>
  <c r="I58" i="16"/>
  <c r="J58" i="16"/>
  <c r="J129" i="16"/>
  <c r="I129" i="16"/>
  <c r="J189" i="16"/>
  <c r="I189" i="16"/>
  <c r="J61" i="16"/>
  <c r="I61" i="16"/>
  <c r="I68" i="16"/>
  <c r="J68" i="16"/>
  <c r="I148" i="16"/>
  <c r="J148" i="16"/>
  <c r="J339" i="16"/>
  <c r="I339" i="16"/>
  <c r="AA363" i="16"/>
  <c r="Z363" i="16" s="1"/>
  <c r="Y363" i="16" s="1"/>
  <c r="H363" i="16"/>
  <c r="G363" i="16"/>
  <c r="BY363" i="6" s="1"/>
  <c r="I66" i="16"/>
  <c r="J66" i="16"/>
  <c r="I224" i="16"/>
  <c r="J224" i="16"/>
  <c r="J154" i="16"/>
  <c r="I154" i="16"/>
  <c r="J42" i="16"/>
  <c r="I42" i="16"/>
  <c r="AA88" i="16"/>
  <c r="Z88" i="16" s="1"/>
  <c r="Y88" i="16" s="1"/>
  <c r="G88" i="16"/>
  <c r="BY88" i="6" s="1"/>
  <c r="H88" i="16"/>
  <c r="J98" i="16"/>
  <c r="I98" i="16"/>
  <c r="H302" i="16"/>
  <c r="G302" i="16"/>
  <c r="BY302" i="6" s="1"/>
  <c r="AA302" i="16"/>
  <c r="Z302" i="16" s="1"/>
  <c r="Y302" i="16" s="1"/>
  <c r="J358" i="16"/>
  <c r="I358" i="16"/>
  <c r="I316" i="16"/>
  <c r="J316" i="16"/>
  <c r="I362" i="16"/>
  <c r="J362" i="16"/>
  <c r="I24" i="16"/>
  <c r="J24" i="16"/>
  <c r="J373" i="16"/>
  <c r="I373" i="16"/>
  <c r="AI352" i="17"/>
  <c r="AH352" i="17" s="1"/>
  <c r="AI349" i="17"/>
  <c r="AH349" i="17" s="1"/>
  <c r="AI18" i="17"/>
  <c r="AH18" i="17" s="1"/>
  <c r="AI22" i="17"/>
  <c r="AH22" i="17" s="1"/>
  <c r="AI371" i="17"/>
  <c r="AH371" i="17" s="1"/>
  <c r="AI247" i="17"/>
  <c r="AH247" i="17" s="1"/>
  <c r="AI245" i="17"/>
  <c r="AH245" i="17" s="1"/>
  <c r="AI79" i="17"/>
  <c r="AH79" i="17" s="1"/>
  <c r="AI259" i="17"/>
  <c r="AH259" i="17" s="1"/>
  <c r="AI269" i="17"/>
  <c r="AH269" i="17" s="1"/>
  <c r="AI214" i="17"/>
  <c r="AH214" i="17" s="1"/>
  <c r="AI266" i="17"/>
  <c r="AH266" i="17" s="1"/>
  <c r="AI68" i="17"/>
  <c r="AH68" i="17" s="1"/>
  <c r="AI267" i="17"/>
  <c r="AH267" i="17" s="1"/>
  <c r="AI351" i="17"/>
  <c r="AH351" i="17" s="1"/>
  <c r="AI147" i="17"/>
  <c r="AH147" i="17" s="1"/>
  <c r="AI153" i="17"/>
  <c r="AH153" i="17" s="1"/>
  <c r="AI253" i="17"/>
  <c r="AH253" i="17" s="1"/>
  <c r="AI105" i="17"/>
  <c r="AH105" i="17" s="1"/>
  <c r="AI162" i="17"/>
  <c r="AH162" i="17" s="1"/>
  <c r="AI289" i="17"/>
  <c r="AH289" i="17" s="1"/>
  <c r="AI118" i="17"/>
  <c r="AH118" i="17" s="1"/>
  <c r="AI270" i="17"/>
  <c r="AH270" i="17" s="1"/>
  <c r="AI107" i="17"/>
  <c r="AH107" i="17" s="1"/>
  <c r="AI205" i="17"/>
  <c r="AH205" i="17" s="1"/>
  <c r="AI199" i="17"/>
  <c r="AH199" i="17" s="1"/>
  <c r="AI152" i="17"/>
  <c r="AH152" i="17" s="1"/>
  <c r="AI367" i="17"/>
  <c r="AH367" i="17" s="1"/>
  <c r="AI137" i="17"/>
  <c r="AH137" i="17" s="1"/>
  <c r="AI365" i="17"/>
  <c r="AH365" i="17" s="1"/>
  <c r="AI294" i="17"/>
  <c r="AH294" i="17" s="1"/>
  <c r="AI83" i="17"/>
  <c r="AH83" i="17" s="1"/>
  <c r="AI274" i="17"/>
  <c r="AH274" i="17" s="1"/>
  <c r="AI325" i="17"/>
  <c r="AH325" i="17" s="1"/>
  <c r="AI379" i="17"/>
  <c r="AI140" i="17"/>
  <c r="AH140" i="17" s="1"/>
  <c r="AI311" i="17"/>
  <c r="AH311" i="17" s="1"/>
  <c r="AI257" i="17"/>
  <c r="AH257" i="17" s="1"/>
  <c r="AI19" i="17"/>
  <c r="AH19" i="17" s="1"/>
  <c r="AI304" i="17"/>
  <c r="AH304" i="17" s="1"/>
  <c r="AI189" i="17"/>
  <c r="AH189" i="17" s="1"/>
  <c r="AI186" i="17"/>
  <c r="AH186" i="17" s="1"/>
  <c r="AI217" i="17"/>
  <c r="AH217" i="17" s="1"/>
  <c r="AI326" i="17"/>
  <c r="AH326" i="17" s="1"/>
  <c r="AI76" i="17"/>
  <c r="AH76" i="17" s="1"/>
  <c r="AI179" i="17"/>
  <c r="AH179" i="17" s="1"/>
  <c r="AI293" i="17"/>
  <c r="AH293" i="17" s="1"/>
  <c r="AI84" i="17"/>
  <c r="AH84" i="17" s="1"/>
  <c r="AI81" i="17"/>
  <c r="AH81" i="17" s="1"/>
  <c r="AI210" i="17"/>
  <c r="AH210" i="17" s="1"/>
  <c r="AI31" i="17"/>
  <c r="AH31" i="17" s="1"/>
  <c r="AI334" i="17"/>
  <c r="AH334" i="17" s="1"/>
  <c r="AI54" i="17"/>
  <c r="AH54" i="17" s="1"/>
  <c r="AI223" i="17"/>
  <c r="AH223" i="17" s="1"/>
  <c r="AI249" i="17"/>
  <c r="AH249" i="17" s="1"/>
  <c r="AI122" i="17"/>
  <c r="AH122" i="17" s="1"/>
  <c r="AI232" i="17"/>
  <c r="AH232" i="17" s="1"/>
  <c r="AI219" i="17"/>
  <c r="AH219" i="17" s="1"/>
  <c r="AI115" i="17"/>
  <c r="AH115" i="17" s="1"/>
  <c r="AI215" i="17"/>
  <c r="AH215" i="17" s="1"/>
  <c r="AI229" i="17"/>
  <c r="AH229" i="17" s="1"/>
  <c r="AI295" i="17"/>
  <c r="AH295" i="17" s="1"/>
  <c r="AI124" i="17"/>
  <c r="AH124" i="17" s="1"/>
  <c r="AI139" i="17"/>
  <c r="AH139" i="17" s="1"/>
  <c r="AI74" i="17"/>
  <c r="AH74" i="17" s="1"/>
  <c r="AI340" i="17"/>
  <c r="AH340" i="17" s="1"/>
  <c r="AI255" i="17"/>
  <c r="AH255" i="17" s="1"/>
  <c r="AI331" i="17"/>
  <c r="AH331" i="17" s="1"/>
  <c r="AI211" i="17"/>
  <c r="AH211" i="17" s="1"/>
  <c r="AI67" i="17"/>
  <c r="AH67" i="17" s="1"/>
  <c r="AI93" i="17"/>
  <c r="AH93" i="17" s="1"/>
  <c r="AI341" i="17"/>
  <c r="AH341" i="17" s="1"/>
  <c r="AI99" i="17"/>
  <c r="AH99" i="17" s="1"/>
  <c r="AI195" i="17"/>
  <c r="AH195" i="17" s="1"/>
  <c r="AI120" i="17"/>
  <c r="AH120" i="17" s="1"/>
  <c r="AI92" i="17"/>
  <c r="AH92" i="17" s="1"/>
  <c r="AI280" i="17"/>
  <c r="AH280" i="17" s="1"/>
  <c r="AI110" i="17"/>
  <c r="AH110" i="17" s="1"/>
  <c r="AI339" i="17"/>
  <c r="AH339" i="17" s="1"/>
  <c r="AI374" i="17"/>
  <c r="AH374" i="17" s="1"/>
  <c r="AI252" i="17"/>
  <c r="AH252" i="17" s="1"/>
  <c r="AI104" i="17"/>
  <c r="AH104" i="17" s="1"/>
  <c r="AI357" i="17"/>
  <c r="AH357" i="17" s="1"/>
  <c r="AI87" i="17"/>
  <c r="AH87" i="17" s="1"/>
  <c r="AI243" i="17"/>
  <c r="AH243" i="17" s="1"/>
  <c r="AI283" i="17"/>
  <c r="AH283" i="17" s="1"/>
  <c r="AI204" i="17"/>
  <c r="AH204" i="17" s="1"/>
  <c r="AI235" i="17"/>
  <c r="AH235" i="17" s="1"/>
  <c r="AI375" i="17"/>
  <c r="AH375" i="17" s="1"/>
  <c r="AI248" i="17"/>
  <c r="AH248" i="17" s="1"/>
  <c r="AI193" i="17"/>
  <c r="AH193" i="17" s="1"/>
  <c r="AI333" i="17"/>
  <c r="AH333" i="17" s="1"/>
  <c r="AI197" i="17"/>
  <c r="AH197" i="17" s="1"/>
  <c r="AI192" i="17"/>
  <c r="AH192" i="17" s="1"/>
  <c r="AI114" i="17"/>
  <c r="AH114" i="17" s="1"/>
  <c r="AI366" i="17"/>
  <c r="AH366" i="17" s="1"/>
  <c r="AI272" i="17"/>
  <c r="AH272" i="17" s="1"/>
  <c r="AI24" i="17"/>
  <c r="AH24" i="17" s="1"/>
  <c r="AI354" i="17"/>
  <c r="AH354" i="17" s="1"/>
  <c r="AI363" i="17"/>
  <c r="AH363" i="17" s="1"/>
  <c r="AI336" i="17"/>
  <c r="AH336" i="17" s="1"/>
  <c r="AI167" i="17"/>
  <c r="AH167" i="17" s="1"/>
  <c r="AI73" i="17"/>
  <c r="AH73" i="17" s="1"/>
  <c r="AI298" i="17"/>
  <c r="AH298" i="17" s="1"/>
  <c r="AI241" i="17"/>
  <c r="AH241" i="17" s="1"/>
  <c r="AI373" i="17"/>
  <c r="AH373" i="17" s="1"/>
  <c r="AI350" i="17"/>
  <c r="AH350" i="17" s="1"/>
  <c r="AI66" i="17"/>
  <c r="AH66" i="17" s="1"/>
  <c r="AI26" i="17"/>
  <c r="AH26" i="17" s="1"/>
  <c r="AI106" i="17"/>
  <c r="AH106" i="17" s="1"/>
  <c r="AI310" i="17"/>
  <c r="AH310" i="17" s="1"/>
  <c r="AI268" i="17"/>
  <c r="AH268" i="17" s="1"/>
  <c r="AI359" i="17"/>
  <c r="AH359" i="17" s="1"/>
  <c r="AI329" i="17"/>
  <c r="AH329" i="17" s="1"/>
  <c r="AI101" i="17"/>
  <c r="AH101" i="17" s="1"/>
  <c r="AI369" i="17"/>
  <c r="AH369" i="17" s="1"/>
  <c r="AI117" i="17"/>
  <c r="AH117" i="17" s="1"/>
  <c r="AI127" i="17"/>
  <c r="AH127" i="17" s="1"/>
  <c r="AI344" i="17"/>
  <c r="AH344" i="17" s="1"/>
  <c r="AI40" i="17"/>
  <c r="AH40" i="17" s="1"/>
  <c r="AI188" i="17"/>
  <c r="AH188" i="17" s="1"/>
  <c r="AI75" i="17"/>
  <c r="AH75" i="17" s="1"/>
  <c r="AI176" i="17"/>
  <c r="AH176" i="17" s="1"/>
  <c r="AI96" i="17"/>
  <c r="AH96" i="17" s="1"/>
  <c r="AI275" i="17"/>
  <c r="AH275" i="17" s="1"/>
  <c r="AI234" i="17"/>
  <c r="AH234" i="17" s="1"/>
  <c r="AI180" i="17"/>
  <c r="AH180" i="17" s="1"/>
  <c r="AI321" i="17"/>
  <c r="AH321" i="17" s="1"/>
  <c r="AI194" i="17"/>
  <c r="AH194" i="17" s="1"/>
  <c r="AI320" i="17"/>
  <c r="AH320" i="17" s="1"/>
  <c r="AI21" i="17"/>
  <c r="AH21" i="17" s="1"/>
  <c r="AI301" i="17"/>
  <c r="AH301" i="17" s="1"/>
  <c r="AI17" i="17"/>
  <c r="AH17" i="17" s="1"/>
  <c r="AI242" i="17"/>
  <c r="AH242" i="17" s="1"/>
  <c r="AI278" i="17"/>
  <c r="AH278" i="17" s="1"/>
  <c r="AI201" i="17"/>
  <c r="AH201" i="17" s="1"/>
  <c r="AI41" i="17"/>
  <c r="AH41" i="17" s="1"/>
  <c r="AI135" i="17"/>
  <c r="AH135" i="17" s="1"/>
  <c r="AI273" i="17"/>
  <c r="AH273" i="17" s="1"/>
  <c r="AI33" i="17"/>
  <c r="AH33" i="17" s="1"/>
  <c r="AI313" i="17"/>
  <c r="AH313" i="17" s="1"/>
  <c r="AI170" i="17"/>
  <c r="AH170" i="17" s="1"/>
  <c r="AI71" i="17"/>
  <c r="AH71" i="17" s="1"/>
  <c r="AI209" i="17"/>
  <c r="AH209" i="17" s="1"/>
  <c r="AI328" i="17"/>
  <c r="AH328" i="17" s="1"/>
  <c r="AI260" i="17"/>
  <c r="AH260" i="17" s="1"/>
  <c r="AI184" i="17"/>
  <c r="AH184" i="17" s="1"/>
  <c r="AI314" i="17"/>
  <c r="AH314" i="17" s="1"/>
  <c r="AI94" i="17"/>
  <c r="AH94" i="17" s="1"/>
  <c r="AI157" i="17"/>
  <c r="AH157" i="17" s="1"/>
  <c r="AI158" i="17"/>
  <c r="AH158" i="17" s="1"/>
  <c r="AI82" i="17"/>
  <c r="AH82" i="17" s="1"/>
  <c r="AI113" i="17"/>
  <c r="AH113" i="17" s="1"/>
  <c r="AI148" i="17"/>
  <c r="AH148" i="17" s="1"/>
  <c r="AI42" i="17"/>
  <c r="AH42" i="17" s="1"/>
  <c r="AI362" i="17"/>
  <c r="AH362" i="17" s="1"/>
  <c r="AI97" i="17"/>
  <c r="AH97" i="17" s="1"/>
  <c r="AI177" i="17"/>
  <c r="AH177" i="17" s="1"/>
  <c r="AI39" i="17"/>
  <c r="AH39" i="17" s="1"/>
  <c r="AI308" i="17"/>
  <c r="AH308" i="17" s="1"/>
  <c r="AI69" i="17"/>
  <c r="AH69" i="17" s="1"/>
  <c r="AI48" i="17"/>
  <c r="AH48" i="17" s="1"/>
  <c r="AI224" i="17"/>
  <c r="AH224" i="17" s="1"/>
  <c r="AI146" i="17"/>
  <c r="AH146" i="17" s="1"/>
  <c r="AI216" i="17"/>
  <c r="AH216" i="17" s="1"/>
  <c r="AI78" i="17"/>
  <c r="AH78" i="17" s="1"/>
  <c r="AI240" i="17"/>
  <c r="AH240" i="17" s="1"/>
  <c r="AI150" i="17"/>
  <c r="AH150" i="17" s="1"/>
  <c r="AI145" i="17"/>
  <c r="AH145" i="17" s="1"/>
  <c r="AI50" i="17"/>
  <c r="AH50" i="17" s="1"/>
  <c r="AI348" i="17"/>
  <c r="AH348" i="17" s="1"/>
  <c r="AI182" i="17"/>
  <c r="AH182" i="17" s="1"/>
  <c r="AI377" i="17"/>
  <c r="AH377" i="17" s="1"/>
  <c r="AI236" i="17"/>
  <c r="AH236" i="17" s="1"/>
  <c r="AI61" i="17"/>
  <c r="AH61" i="17" s="1"/>
  <c r="AI45" i="17"/>
  <c r="AH45" i="17" s="1"/>
  <c r="AI89" i="17"/>
  <c r="AH89" i="17" s="1"/>
  <c r="AI70" i="17"/>
  <c r="AH70" i="17" s="1"/>
  <c r="AI168" i="17"/>
  <c r="AH168" i="17" s="1"/>
  <c r="AI51" i="17"/>
  <c r="AH51" i="17" s="1"/>
  <c r="AI165" i="17"/>
  <c r="AH165" i="17" s="1"/>
  <c r="AI60" i="17"/>
  <c r="AH60" i="17" s="1"/>
  <c r="AI330" i="17"/>
  <c r="AH330" i="17" s="1"/>
  <c r="J114" i="16"/>
  <c r="I114" i="16"/>
  <c r="J206" i="16"/>
  <c r="I206" i="16"/>
  <c r="I87" i="16"/>
  <c r="J87" i="16"/>
  <c r="J134" i="16"/>
  <c r="I134" i="16"/>
  <c r="J132" i="16"/>
  <c r="I132" i="16"/>
  <c r="I293" i="16"/>
  <c r="J293" i="16"/>
  <c r="I294" i="16"/>
  <c r="J294" i="16"/>
  <c r="I301" i="16"/>
  <c r="J301" i="16"/>
  <c r="I254" i="16"/>
  <c r="J254" i="16"/>
  <c r="I153" i="16"/>
  <c r="J153" i="16"/>
  <c r="I255" i="16"/>
  <c r="J255" i="16"/>
  <c r="J287" i="16"/>
  <c r="I287" i="16"/>
  <c r="H260" i="16"/>
  <c r="G260" i="16"/>
  <c r="BY260" i="6" s="1"/>
  <c r="AA260" i="16"/>
  <c r="Z260" i="16" s="1"/>
  <c r="Y260" i="16" s="1"/>
  <c r="I49" i="16"/>
  <c r="J49" i="16"/>
  <c r="I354" i="16"/>
  <c r="J354" i="16"/>
  <c r="J48" i="16"/>
  <c r="I48" i="16"/>
  <c r="I376" i="16"/>
  <c r="J376" i="16"/>
  <c r="I364" i="16"/>
  <c r="J364" i="16"/>
  <c r="J201" i="16"/>
  <c r="I201" i="16"/>
  <c r="I54" i="16"/>
  <c r="J54" i="16"/>
  <c r="H350" i="16"/>
  <c r="AA350" i="16"/>
  <c r="Z350" i="16" s="1"/>
  <c r="Y350" i="16" s="1"/>
  <c r="G350" i="16"/>
  <c r="BY350" i="6" s="1"/>
  <c r="J328" i="16"/>
  <c r="I328" i="16"/>
  <c r="J209" i="16"/>
  <c r="I209" i="16"/>
  <c r="I179" i="16"/>
  <c r="J179" i="16"/>
  <c r="J40" i="16"/>
  <c r="I40" i="16"/>
  <c r="I92" i="16"/>
  <c r="J92" i="16"/>
  <c r="J367" i="16"/>
  <c r="I367" i="16"/>
  <c r="I297" i="16"/>
  <c r="J297" i="16"/>
  <c r="J128" i="16"/>
  <c r="I128" i="16"/>
  <c r="J235" i="16"/>
  <c r="I235" i="16"/>
  <c r="J151" i="16"/>
  <c r="I151" i="16"/>
  <c r="J74" i="16"/>
  <c r="I74" i="16"/>
  <c r="I35" i="16"/>
  <c r="J35" i="16"/>
  <c r="J286" i="16"/>
  <c r="I286" i="16"/>
  <c r="I127" i="16"/>
  <c r="J127" i="16"/>
  <c r="J161" i="16"/>
  <c r="I161" i="16"/>
  <c r="I103" i="16"/>
  <c r="J103" i="16"/>
  <c r="H272" i="16"/>
  <c r="G272" i="16"/>
  <c r="BY272" i="6" s="1"/>
  <c r="AA272" i="16"/>
  <c r="Z272" i="16" s="1"/>
  <c r="Y272" i="16" s="1"/>
  <c r="I317" i="16"/>
  <c r="J317" i="16"/>
  <c r="I240" i="16"/>
  <c r="J240" i="16"/>
  <c r="I280" i="16"/>
  <c r="J280" i="16"/>
  <c r="I63" i="19"/>
  <c r="Y383" i="1"/>
  <c r="AM6" i="1"/>
  <c r="AM12" i="1" s="1"/>
  <c r="Y381" i="1"/>
  <c r="X9" i="1"/>
  <c r="AL5" i="1"/>
  <c r="Y382" i="1"/>
  <c r="BV15" i="7"/>
  <c r="BX11" i="7"/>
  <c r="BW11" i="7"/>
  <c r="AJ3" i="1"/>
  <c r="O11" i="19" s="1"/>
  <c r="AL13" i="1"/>
  <c r="AA15" i="7"/>
  <c r="Q10" i="18"/>
  <c r="Q226" i="18" s="1"/>
  <c r="AC120" i="25" l="1"/>
  <c r="AC33" i="25"/>
  <c r="AC203" i="24"/>
  <c r="AC292" i="24"/>
  <c r="AC65" i="25"/>
  <c r="AC41" i="25"/>
  <c r="AC208" i="24"/>
  <c r="AC375" i="24"/>
  <c r="AC275" i="24"/>
  <c r="AC148" i="24"/>
  <c r="AC267" i="24"/>
  <c r="AC29" i="25"/>
  <c r="AC27" i="25"/>
  <c r="AC71" i="25"/>
  <c r="AC72" i="25"/>
  <c r="G320" i="16"/>
  <c r="BY320" i="6" s="1"/>
  <c r="AC45" i="25"/>
  <c r="AC96" i="25"/>
  <c r="AC43" i="25"/>
  <c r="AC26" i="25"/>
  <c r="AC113" i="25"/>
  <c r="AC115" i="25"/>
  <c r="AC83" i="25"/>
  <c r="AC81" i="25"/>
  <c r="AC166" i="24"/>
  <c r="AC141" i="24"/>
  <c r="AC152" i="24"/>
  <c r="AC350" i="24"/>
  <c r="AC207" i="24"/>
  <c r="AC161" i="24"/>
  <c r="AC367" i="24"/>
  <c r="AC170" i="24"/>
  <c r="AC303" i="24"/>
  <c r="AC222" i="24"/>
  <c r="AC244" i="24"/>
  <c r="AC226" i="24"/>
  <c r="AC212" i="24"/>
  <c r="AC169" i="24"/>
  <c r="AC328" i="24"/>
  <c r="AC282" i="24"/>
  <c r="AC296" i="24"/>
  <c r="AC341" i="24"/>
  <c r="AC137" i="24"/>
  <c r="AC283" i="24"/>
  <c r="AC187" i="24"/>
  <c r="AC277" i="24"/>
  <c r="AC286" i="24"/>
  <c r="AE242" i="18"/>
  <c r="AC64" i="25"/>
  <c r="AC125" i="25"/>
  <c r="AC67" i="25"/>
  <c r="AC97" i="25"/>
  <c r="AC22" i="25"/>
  <c r="AC95" i="25"/>
  <c r="AC19" i="25"/>
  <c r="AC57" i="25"/>
  <c r="AC49" i="25"/>
  <c r="AC24" i="25"/>
  <c r="AC103" i="25"/>
  <c r="AC79" i="25"/>
  <c r="AC126" i="25"/>
  <c r="AC99" i="25"/>
  <c r="AC46" i="25"/>
  <c r="AC90" i="25"/>
  <c r="AC25" i="25"/>
  <c r="AC310" i="24"/>
  <c r="AC314" i="24"/>
  <c r="AC154" i="24"/>
  <c r="AC279" i="24"/>
  <c r="AC190" i="24"/>
  <c r="AC241" i="24"/>
  <c r="AC158" i="24"/>
  <c r="AC185" i="24"/>
  <c r="AC214" i="24"/>
  <c r="AC361" i="24"/>
  <c r="AC264" i="24"/>
  <c r="AC165" i="24"/>
  <c r="AC243" i="24"/>
  <c r="AC259" i="24"/>
  <c r="AC276" i="24"/>
  <c r="AC300" i="24"/>
  <c r="AC223" i="24"/>
  <c r="AC159" i="24"/>
  <c r="AC326" i="24"/>
  <c r="AC179" i="24"/>
  <c r="AC197" i="24"/>
  <c r="AC247" i="24"/>
  <c r="AC196" i="24"/>
  <c r="AC372" i="24"/>
  <c r="AC336" i="24"/>
  <c r="AC153" i="24"/>
  <c r="AC323" i="24"/>
  <c r="AC319" i="24"/>
  <c r="AC240" i="24"/>
  <c r="AC149" i="24"/>
  <c r="AC376" i="24"/>
  <c r="AC188" i="24"/>
  <c r="AC322" i="24"/>
  <c r="AC155" i="24"/>
  <c r="AC199" i="24"/>
  <c r="AC290" i="24"/>
  <c r="AC288" i="24"/>
  <c r="AC363" i="24"/>
  <c r="AC191" i="24"/>
  <c r="AC280" i="24"/>
  <c r="AC176" i="24"/>
  <c r="AC304" i="24"/>
  <c r="AC358" i="24"/>
  <c r="AC370" i="24"/>
  <c r="AC338" i="24"/>
  <c r="AC136" i="24"/>
  <c r="AC346" i="24"/>
  <c r="AC293" i="24"/>
  <c r="AC362" i="24"/>
  <c r="AC321" i="24"/>
  <c r="AC150" i="24"/>
  <c r="AC278" i="24"/>
  <c r="AC200" i="24"/>
  <c r="AC142" i="24"/>
  <c r="AC340" i="24"/>
  <c r="AC271" i="24"/>
  <c r="AC178" i="24"/>
  <c r="AC206" i="24"/>
  <c r="AC270" i="24"/>
  <c r="AC318" i="24"/>
  <c r="AC347" i="24"/>
  <c r="AC368" i="24"/>
  <c r="AC140" i="24"/>
  <c r="AC246" i="24"/>
  <c r="AC294" i="24"/>
  <c r="AC201" i="24"/>
  <c r="AC269" i="24"/>
  <c r="AC228" i="24"/>
  <c r="AC177" i="24"/>
  <c r="AC145" i="24"/>
  <c r="AC209" i="24"/>
  <c r="AC268" i="24"/>
  <c r="AC174" i="24"/>
  <c r="AC377" i="24"/>
  <c r="AC138" i="24"/>
  <c r="AC151" i="24"/>
  <c r="AC134" i="24"/>
  <c r="AC297" i="24"/>
  <c r="AC315" i="24"/>
  <c r="AC193" i="24"/>
  <c r="AC260" i="24"/>
  <c r="AC309" i="24"/>
  <c r="AC320" i="24"/>
  <c r="AC355" i="24"/>
  <c r="AC371" i="24"/>
  <c r="AC167" i="24"/>
  <c r="AC379" i="24"/>
  <c r="AC234" i="24"/>
  <c r="AC373" i="24"/>
  <c r="AC360" i="24"/>
  <c r="AC202" i="24"/>
  <c r="AC249" i="24"/>
  <c r="AC204" i="24"/>
  <c r="AC281" i="24"/>
  <c r="AC258" i="24"/>
  <c r="AC189" i="24"/>
  <c r="AC192" i="24"/>
  <c r="AC273" i="24"/>
  <c r="AC213" i="24"/>
  <c r="AC250" i="24"/>
  <c r="AC324" i="24"/>
  <c r="AC255" i="24"/>
  <c r="AC239" i="24"/>
  <c r="AC184" i="24"/>
  <c r="AC173" i="24"/>
  <c r="AC139" i="24"/>
  <c r="AC343" i="24"/>
  <c r="AC334" i="24"/>
  <c r="AC331" i="24"/>
  <c r="AC339" i="24"/>
  <c r="AC317" i="24"/>
  <c r="AC254" i="24"/>
  <c r="AC316" i="24"/>
  <c r="AC217" i="24"/>
  <c r="AC157" i="24"/>
  <c r="AC302" i="24"/>
  <c r="AC211" i="24"/>
  <c r="AC218" i="24"/>
  <c r="AC325" i="24"/>
  <c r="AC289" i="24"/>
  <c r="AC357" i="24"/>
  <c r="AC295" i="24"/>
  <c r="AC168" i="24"/>
  <c r="AC156" i="24"/>
  <c r="AC236" i="24"/>
  <c r="AC215" i="24"/>
  <c r="AC291" i="24"/>
  <c r="AC344" i="24"/>
  <c r="AC335" i="24"/>
  <c r="AC311" i="24"/>
  <c r="AC252" i="24"/>
  <c r="AC219" i="24"/>
  <c r="AC342" i="24"/>
  <c r="AC333" i="24"/>
  <c r="AC359" i="24"/>
  <c r="AC332" i="24"/>
  <c r="AC287" i="24"/>
  <c r="AC262" i="24"/>
  <c r="AC351" i="24"/>
  <c r="AC366" i="24"/>
  <c r="AC301" i="24"/>
  <c r="AC232" i="24"/>
  <c r="AC353" i="24"/>
  <c r="AC163" i="24"/>
  <c r="AC233" i="24"/>
  <c r="AC364" i="24"/>
  <c r="AC265" i="24"/>
  <c r="AC329" i="24"/>
  <c r="AC256" i="24"/>
  <c r="AC298" i="24"/>
  <c r="AC330" i="24"/>
  <c r="AC272" i="24"/>
  <c r="AC378" i="24"/>
  <c r="AC182" i="24"/>
  <c r="AC374" i="24"/>
  <c r="AC257" i="24"/>
  <c r="AC261" i="24"/>
  <c r="AC308" i="24"/>
  <c r="AC128" i="25"/>
  <c r="AC131" i="25"/>
  <c r="AC78" i="25"/>
  <c r="AC20" i="25"/>
  <c r="AC91" i="25"/>
  <c r="AC59" i="25"/>
  <c r="AC69" i="25"/>
  <c r="AC100" i="25"/>
  <c r="AC16" i="25"/>
  <c r="AC58" i="25"/>
  <c r="AC75" i="25"/>
  <c r="AC40" i="25"/>
  <c r="AC35" i="25"/>
  <c r="AC106" i="25"/>
  <c r="AC17" i="25"/>
  <c r="AC118" i="25"/>
  <c r="AC56" i="25"/>
  <c r="AC21" i="25"/>
  <c r="AC44" i="25"/>
  <c r="AC133" i="25"/>
  <c r="AC70" i="25"/>
  <c r="AC28" i="25"/>
  <c r="AC38" i="25"/>
  <c r="AC34" i="25"/>
  <c r="AC105" i="25"/>
  <c r="AC107" i="25"/>
  <c r="AC61" i="25"/>
  <c r="AC68" i="25"/>
  <c r="AC37" i="25"/>
  <c r="AC111" i="25"/>
  <c r="AC48" i="25"/>
  <c r="AC80" i="25"/>
  <c r="AC119" i="25"/>
  <c r="AC36" i="25"/>
  <c r="AC39" i="25"/>
  <c r="AC52" i="25"/>
  <c r="AC54" i="25"/>
  <c r="AC62" i="25"/>
  <c r="AC116" i="25"/>
  <c r="AC73" i="25"/>
  <c r="AC15" i="25"/>
  <c r="AC123" i="25"/>
  <c r="AC31" i="25"/>
  <c r="AC50" i="25"/>
  <c r="AC130" i="25"/>
  <c r="AC132" i="25"/>
  <c r="AC93" i="25"/>
  <c r="AC92" i="25"/>
  <c r="AC18" i="25"/>
  <c r="AC122" i="25"/>
  <c r="AC66" i="25"/>
  <c r="AC89" i="25"/>
  <c r="AC102" i="25"/>
  <c r="AC84" i="25"/>
  <c r="AC30" i="25"/>
  <c r="AC51" i="25"/>
  <c r="AC76" i="25"/>
  <c r="AC63" i="25"/>
  <c r="AC32" i="25"/>
  <c r="AC98" i="25"/>
  <c r="AC108" i="25"/>
  <c r="AC109" i="25"/>
  <c r="AC60" i="25"/>
  <c r="AC117" i="25"/>
  <c r="AC42" i="25"/>
  <c r="AC87" i="25"/>
  <c r="AC47" i="25"/>
  <c r="AC23" i="25"/>
  <c r="AC127" i="25"/>
  <c r="AC121" i="25"/>
  <c r="AC74" i="25"/>
  <c r="AC55" i="25"/>
  <c r="AC101" i="25"/>
  <c r="AC110" i="25"/>
  <c r="AC94" i="25"/>
  <c r="AC88" i="25"/>
  <c r="AC53" i="25"/>
  <c r="AC114" i="25"/>
  <c r="AC124" i="25"/>
  <c r="AC112" i="25"/>
  <c r="AC82" i="25"/>
  <c r="AC85" i="25"/>
  <c r="AC129" i="25"/>
  <c r="AC77" i="25"/>
  <c r="AC86" i="25"/>
  <c r="AC104" i="25"/>
  <c r="AC198" i="24"/>
  <c r="AC172" i="24"/>
  <c r="AC274" i="24"/>
  <c r="AC263" i="24"/>
  <c r="AC175" i="24"/>
  <c r="AC307" i="24"/>
  <c r="AC337" i="24"/>
  <c r="AC195" i="24"/>
  <c r="AC284" i="24"/>
  <c r="AC235" i="24"/>
  <c r="AC186" i="24"/>
  <c r="AC266" i="24"/>
  <c r="AC143" i="24"/>
  <c r="AC160" i="24"/>
  <c r="AC245" i="24"/>
  <c r="AC146" i="24"/>
  <c r="AC327" i="24"/>
  <c r="AC216" i="24"/>
  <c r="AC181" i="24"/>
  <c r="AC349" i="24"/>
  <c r="AC237" i="24"/>
  <c r="AC348" i="24"/>
  <c r="AC205" i="24"/>
  <c r="AC220" i="24"/>
  <c r="AC183" i="24"/>
  <c r="AC230" i="24"/>
  <c r="AC299" i="24"/>
  <c r="AC354" i="24"/>
  <c r="AC242" i="24"/>
  <c r="AC248" i="24"/>
  <c r="AC312" i="24"/>
  <c r="AC306" i="24"/>
  <c r="AC224" i="24"/>
  <c r="AC147" i="24"/>
  <c r="AC144" i="24"/>
  <c r="AC229" i="24"/>
  <c r="AC210" i="24"/>
  <c r="AC162" i="24"/>
  <c r="AC180" i="24"/>
  <c r="AC369" i="24"/>
  <c r="AC345" i="24"/>
  <c r="AC231" i="24"/>
  <c r="AC238" i="24"/>
  <c r="AC305" i="24"/>
  <c r="AC352" i="24"/>
  <c r="AC313" i="24"/>
  <c r="AC253" i="24"/>
  <c r="AC225" i="24"/>
  <c r="AC164" i="24"/>
  <c r="AC227" i="24"/>
  <c r="AC365" i="24"/>
  <c r="AC251" i="24"/>
  <c r="AC221" i="24"/>
  <c r="AC194" i="24"/>
  <c r="AC356" i="24"/>
  <c r="AC285" i="24"/>
  <c r="AC171" i="24"/>
  <c r="AC382" i="23"/>
  <c r="AC383" i="23"/>
  <c r="AC381" i="23"/>
  <c r="AC10" i="25"/>
  <c r="AC320" i="25" s="1"/>
  <c r="O15" i="25"/>
  <c r="O76" i="25"/>
  <c r="O300" i="25"/>
  <c r="O26" i="25"/>
  <c r="O66" i="25"/>
  <c r="O106" i="25"/>
  <c r="O314" i="25"/>
  <c r="O63" i="25"/>
  <c r="O119" i="25"/>
  <c r="AG71" i="7" s="1"/>
  <c r="O229" i="25"/>
  <c r="O29" i="25"/>
  <c r="AG68" i="7" s="1"/>
  <c r="O70" i="25"/>
  <c r="O108" i="25"/>
  <c r="O297" i="25"/>
  <c r="O20" i="25"/>
  <c r="O38" i="25"/>
  <c r="O93" i="25"/>
  <c r="O132" i="25"/>
  <c r="O221" i="25"/>
  <c r="O353" i="25"/>
  <c r="O28" i="25"/>
  <c r="O69" i="25"/>
  <c r="O77" i="25"/>
  <c r="O153" i="25"/>
  <c r="O299" i="25"/>
  <c r="O42" i="25"/>
  <c r="O55" i="25"/>
  <c r="O83" i="25"/>
  <c r="O199" i="25"/>
  <c r="O327" i="25"/>
  <c r="O19" i="25"/>
  <c r="O61" i="25"/>
  <c r="O72" i="25"/>
  <c r="O120" i="25"/>
  <c r="O242" i="25"/>
  <c r="O318" i="25"/>
  <c r="O58" i="25"/>
  <c r="O101" i="25"/>
  <c r="O371" i="25"/>
  <c r="O52" i="25"/>
  <c r="O104" i="25"/>
  <c r="O161" i="25"/>
  <c r="O23" i="25"/>
  <c r="O84" i="25"/>
  <c r="O114" i="25"/>
  <c r="O366" i="25"/>
  <c r="O57" i="25"/>
  <c r="O113" i="25"/>
  <c r="O236" i="25"/>
  <c r="O369" i="25"/>
  <c r="O43" i="25"/>
  <c r="O67" i="25"/>
  <c r="O97" i="25"/>
  <c r="O168" i="25"/>
  <c r="O249" i="25"/>
  <c r="O376" i="25"/>
  <c r="O45" i="25"/>
  <c r="O121" i="25"/>
  <c r="O92" i="25"/>
  <c r="O281" i="25"/>
  <c r="O18" i="25"/>
  <c r="O34" i="25"/>
  <c r="O88" i="25"/>
  <c r="AG70" i="7" s="1"/>
  <c r="O128" i="25"/>
  <c r="O207" i="25"/>
  <c r="O348" i="25"/>
  <c r="O56" i="25"/>
  <c r="O105" i="25"/>
  <c r="O89" i="25"/>
  <c r="O126" i="25"/>
  <c r="O231" i="25"/>
  <c r="O288" i="25"/>
  <c r="O295" i="25"/>
  <c r="O233" i="25"/>
  <c r="O341" i="25"/>
  <c r="O214" i="25"/>
  <c r="O365" i="25"/>
  <c r="O268" i="25"/>
  <c r="O319" i="25"/>
  <c r="O261" i="25"/>
  <c r="O310" i="25"/>
  <c r="O306" i="25"/>
  <c r="O196" i="25"/>
  <c r="O209" i="25"/>
  <c r="O155" i="25"/>
  <c r="O347" i="25"/>
  <c r="O298" i="25"/>
  <c r="O267" i="25"/>
  <c r="O177" i="25"/>
  <c r="O354" i="25"/>
  <c r="O244" i="25"/>
  <c r="O271" i="25"/>
  <c r="O134" i="25"/>
  <c r="O350" i="25"/>
  <c r="O328" i="25"/>
  <c r="O212" i="25"/>
  <c r="O200" i="25"/>
  <c r="O349" i="25"/>
  <c r="O243" i="25"/>
  <c r="O167" i="25"/>
  <c r="O323" i="25"/>
  <c r="O189" i="25"/>
  <c r="O215" i="25"/>
  <c r="O359" i="25"/>
  <c r="O226" i="25"/>
  <c r="BE13" i="7"/>
  <c r="O374" i="25"/>
  <c r="O363" i="25"/>
  <c r="AG79" i="7" s="1"/>
  <c r="O253" i="25"/>
  <c r="O185" i="25"/>
  <c r="O272" i="25"/>
  <c r="AG76" i="7" s="1"/>
  <c r="O181" i="25"/>
  <c r="O135" i="25"/>
  <c r="O138" i="25"/>
  <c r="O78" i="25"/>
  <c r="O82" i="25"/>
  <c r="O31" i="25"/>
  <c r="O378" i="25"/>
  <c r="O330" i="25"/>
  <c r="O339" i="25"/>
  <c r="O284" i="25"/>
  <c r="O238" i="25"/>
  <c r="O255" i="25"/>
  <c r="O216" i="25"/>
  <c r="O159" i="25"/>
  <c r="O143" i="25"/>
  <c r="O103" i="25"/>
  <c r="O48" i="25"/>
  <c r="O22" i="25"/>
  <c r="O313" i="25"/>
  <c r="O331" i="25"/>
  <c r="O230" i="25"/>
  <c r="O287" i="25"/>
  <c r="O237" i="25"/>
  <c r="O170" i="25"/>
  <c r="O117" i="25"/>
  <c r="O115" i="25"/>
  <c r="O71" i="25"/>
  <c r="O60" i="25"/>
  <c r="AG69" i="7" s="1"/>
  <c r="O30" i="25"/>
  <c r="O317" i="25"/>
  <c r="O361" i="25"/>
  <c r="O322" i="25"/>
  <c r="O260" i="25"/>
  <c r="O182" i="25"/>
  <c r="O228" i="25"/>
  <c r="O188" i="25"/>
  <c r="O111" i="25"/>
  <c r="O116" i="25"/>
  <c r="O80" i="25"/>
  <c r="O62" i="25"/>
  <c r="O17" i="25"/>
  <c r="O301" i="25"/>
  <c r="O315" i="25"/>
  <c r="O225" i="25"/>
  <c r="O276" i="25"/>
  <c r="O332" i="25"/>
  <c r="O171" i="25"/>
  <c r="O265" i="25"/>
  <c r="O146" i="25"/>
  <c r="O204" i="25"/>
  <c r="O165" i="25"/>
  <c r="O308" i="25"/>
  <c r="O178" i="25"/>
  <c r="O203" i="25"/>
  <c r="O283" i="25"/>
  <c r="O186" i="25"/>
  <c r="O325" i="25"/>
  <c r="O291" i="25"/>
  <c r="O278" i="25"/>
  <c r="O141" i="25"/>
  <c r="O333" i="25"/>
  <c r="AG78" i="7" s="1"/>
  <c r="O352" i="25"/>
  <c r="O248" i="25"/>
  <c r="O220" i="25"/>
  <c r="O162" i="25"/>
  <c r="O356" i="25"/>
  <c r="O184" i="25"/>
  <c r="O180" i="25"/>
  <c r="AG73" i="7" s="1"/>
  <c r="O137" i="25"/>
  <c r="O305" i="25"/>
  <c r="O266" i="25"/>
  <c r="O239" i="25"/>
  <c r="O147" i="25"/>
  <c r="O355" i="25"/>
  <c r="O286" i="25"/>
  <c r="O334" i="25"/>
  <c r="O194" i="25"/>
  <c r="O373" i="25"/>
  <c r="O235" i="25"/>
  <c r="O251" i="25"/>
  <c r="O174" i="25"/>
  <c r="O357" i="25"/>
  <c r="O302" i="25"/>
  <c r="AG77" i="7" s="1"/>
  <c r="O205" i="25"/>
  <c r="O282" i="25"/>
  <c r="O224" i="25"/>
  <c r="O154" i="25"/>
  <c r="O166" i="25"/>
  <c r="O95" i="25"/>
  <c r="O122" i="25"/>
  <c r="O46" i="25"/>
  <c r="O16" i="25"/>
  <c r="O294" i="25"/>
  <c r="O360" i="25"/>
  <c r="O321" i="25"/>
  <c r="O259" i="25"/>
  <c r="O179" i="25"/>
  <c r="O227" i="25"/>
  <c r="O187" i="25"/>
  <c r="O109" i="25"/>
  <c r="O107" i="25"/>
  <c r="O79" i="25"/>
  <c r="O59" i="25"/>
  <c r="O311" i="25"/>
  <c r="O372" i="25"/>
  <c r="O270" i="25"/>
  <c r="O192" i="25"/>
  <c r="O277" i="25"/>
  <c r="O208" i="25"/>
  <c r="O140" i="25"/>
  <c r="O152" i="25"/>
  <c r="O86" i="25"/>
  <c r="O100" i="25"/>
  <c r="O53" i="25"/>
  <c r="O379" i="25"/>
  <c r="C44" i="19" s="1"/>
  <c r="C33" i="19" s="1"/>
  <c r="O340" i="25"/>
  <c r="O345" i="25"/>
  <c r="O285" i="25"/>
  <c r="O241" i="25"/>
  <c r="AG75" i="7" s="1"/>
  <c r="O258" i="25"/>
  <c r="O217" i="25"/>
  <c r="O163" i="25"/>
  <c r="O150" i="25"/>
  <c r="O112" i="25"/>
  <c r="O49" i="25"/>
  <c r="O33" i="25"/>
  <c r="O307" i="25"/>
  <c r="O368" i="25"/>
  <c r="O257" i="25"/>
  <c r="O191" i="25"/>
  <c r="O197" i="25"/>
  <c r="O148" i="25"/>
  <c r="O99" i="25"/>
  <c r="O303" i="25"/>
  <c r="O346" i="25"/>
  <c r="O246" i="25"/>
  <c r="O218" i="25"/>
  <c r="O157" i="25"/>
  <c r="O50" i="25"/>
  <c r="O304" i="25"/>
  <c r="O256" i="25"/>
  <c r="O273" i="25"/>
  <c r="O136" i="25"/>
  <c r="O81" i="25"/>
  <c r="O37" i="25"/>
  <c r="O320" i="25"/>
  <c r="O275" i="25"/>
  <c r="O254" i="25"/>
  <c r="O156" i="25"/>
  <c r="O102" i="25"/>
  <c r="O41" i="25"/>
  <c r="O54" i="25"/>
  <c r="O68" i="25"/>
  <c r="O158" i="25"/>
  <c r="O176" i="25"/>
  <c r="O219" i="25"/>
  <c r="O264" i="25"/>
  <c r="O247" i="25"/>
  <c r="O296" i="25"/>
  <c r="O351" i="25"/>
  <c r="O344" i="25"/>
  <c r="O326" i="25"/>
  <c r="O36" i="25"/>
  <c r="O110" i="25"/>
  <c r="O90" i="25"/>
  <c r="O160" i="25"/>
  <c r="O144" i="25"/>
  <c r="O210" i="25"/>
  <c r="AG74" i="7" s="1"/>
  <c r="O279" i="25"/>
  <c r="O202" i="25"/>
  <c r="O293" i="25"/>
  <c r="O312" i="25"/>
  <c r="O336" i="25"/>
  <c r="O51" i="25"/>
  <c r="O75" i="25"/>
  <c r="O98" i="25"/>
  <c r="O169" i="25"/>
  <c r="O183" i="25"/>
  <c r="O222" i="25"/>
  <c r="O269" i="25"/>
  <c r="O250" i="25"/>
  <c r="O309" i="25"/>
  <c r="O358" i="25"/>
  <c r="O367" i="25"/>
  <c r="O377" i="25"/>
  <c r="O44" i="25"/>
  <c r="O118" i="25"/>
  <c r="O91" i="25"/>
  <c r="O164" i="25"/>
  <c r="O149" i="25"/>
  <c r="AG72" i="7" s="1"/>
  <c r="O211" i="25"/>
  <c r="O280" i="25"/>
  <c r="O139" i="25"/>
  <c r="O85" i="25"/>
  <c r="O47" i="25"/>
  <c r="O342" i="25"/>
  <c r="O292" i="25"/>
  <c r="O263" i="25"/>
  <c r="O175" i="25"/>
  <c r="O124" i="25"/>
  <c r="O35" i="25"/>
  <c r="O364" i="25"/>
  <c r="O190" i="25"/>
  <c r="O193" i="25"/>
  <c r="O145" i="25"/>
  <c r="O96" i="25"/>
  <c r="O375" i="25"/>
  <c r="O338" i="25"/>
  <c r="O223" i="25"/>
  <c r="O206" i="25"/>
  <c r="O142" i="25"/>
  <c r="O40" i="25"/>
  <c r="O24" i="25"/>
  <c r="O32" i="25"/>
  <c r="O87" i="25"/>
  <c r="O125" i="25"/>
  <c r="O129" i="25"/>
  <c r="O195" i="25"/>
  <c r="O232" i="25"/>
  <c r="O198" i="25"/>
  <c r="O262" i="25"/>
  <c r="O324" i="25"/>
  <c r="O370" i="25"/>
  <c r="O337" i="25"/>
  <c r="O25" i="25"/>
  <c r="O64" i="25"/>
  <c r="O73" i="25"/>
  <c r="O123" i="25"/>
  <c r="O127" i="25"/>
  <c r="O172" i="25"/>
  <c r="O245" i="25"/>
  <c r="O289" i="25"/>
  <c r="O234" i="25"/>
  <c r="O343" i="25"/>
  <c r="O335" i="25"/>
  <c r="O27" i="25"/>
  <c r="O39" i="25"/>
  <c r="O94" i="25"/>
  <c r="O133" i="25"/>
  <c r="O151" i="25"/>
  <c r="O201" i="25"/>
  <c r="O240" i="25"/>
  <c r="O213" i="25"/>
  <c r="O274" i="25"/>
  <c r="O329" i="25"/>
  <c r="O316" i="25"/>
  <c r="O362" i="25"/>
  <c r="O21" i="25"/>
  <c r="O65" i="25"/>
  <c r="O74" i="25"/>
  <c r="O130" i="25"/>
  <c r="O131" i="25"/>
  <c r="O173" i="25"/>
  <c r="O252" i="25"/>
  <c r="O290" i="25"/>
  <c r="AE341" i="18"/>
  <c r="AC227" i="25"/>
  <c r="J379" i="16"/>
  <c r="H320" i="16"/>
  <c r="J320" i="16" s="1"/>
  <c r="AE358" i="18"/>
  <c r="AE104" i="18"/>
  <c r="AE223" i="18"/>
  <c r="AE348" i="18"/>
  <c r="AE221" i="18"/>
  <c r="Q99" i="18"/>
  <c r="AE166" i="18"/>
  <c r="AE319" i="18"/>
  <c r="AE252" i="18"/>
  <c r="AE145" i="18"/>
  <c r="AE64" i="18"/>
  <c r="AE33" i="18"/>
  <c r="AE47" i="18"/>
  <c r="Q228" i="18"/>
  <c r="Q284" i="18"/>
  <c r="V381" i="15"/>
  <c r="AE357" i="18"/>
  <c r="AE23" i="18"/>
  <c r="AE49" i="18"/>
  <c r="AE116" i="18"/>
  <c r="AE253" i="18"/>
  <c r="AE328" i="18"/>
  <c r="AE44" i="18"/>
  <c r="AE321" i="18"/>
  <c r="AE29" i="18"/>
  <c r="AE199" i="18"/>
  <c r="AE368" i="18"/>
  <c r="AE100" i="18"/>
  <c r="AE345" i="18"/>
  <c r="AE53" i="18"/>
  <c r="Q275" i="18"/>
  <c r="Q376" i="18"/>
  <c r="Q362" i="18"/>
  <c r="Q269" i="18"/>
  <c r="I272" i="16"/>
  <c r="J272" i="16"/>
  <c r="J260" i="16"/>
  <c r="I260" i="16"/>
  <c r="AG60" i="17"/>
  <c r="AF60" i="17" s="1"/>
  <c r="AD60" i="17" s="1"/>
  <c r="AG51" i="17"/>
  <c r="AF51" i="17" s="1"/>
  <c r="AD51" i="17" s="1"/>
  <c r="AG70" i="17"/>
  <c r="AF70" i="17" s="1"/>
  <c r="AD70" i="17" s="1"/>
  <c r="AG45" i="17"/>
  <c r="AF45" i="17" s="1"/>
  <c r="AD45" i="17" s="1"/>
  <c r="AG236" i="17"/>
  <c r="AF236" i="17" s="1"/>
  <c r="AD236" i="17" s="1"/>
  <c r="AG182" i="17"/>
  <c r="AF182" i="17" s="1"/>
  <c r="AD182" i="17" s="1"/>
  <c r="AG50" i="17"/>
  <c r="AF50" i="17" s="1"/>
  <c r="AD50" i="17" s="1"/>
  <c r="AG150" i="17"/>
  <c r="AF150" i="17" s="1"/>
  <c r="AD150" i="17" s="1"/>
  <c r="AG78" i="17"/>
  <c r="AF78" i="17" s="1"/>
  <c r="AD78" i="17" s="1"/>
  <c r="AG146" i="17"/>
  <c r="AF146" i="17" s="1"/>
  <c r="AD146" i="17" s="1"/>
  <c r="AG48" i="17"/>
  <c r="AF48" i="17" s="1"/>
  <c r="AD48" i="17" s="1"/>
  <c r="AG308" i="17"/>
  <c r="AF308" i="17" s="1"/>
  <c r="AD308" i="17" s="1"/>
  <c r="AG177" i="17"/>
  <c r="AF177" i="17" s="1"/>
  <c r="AD177" i="17" s="1"/>
  <c r="AG362" i="17"/>
  <c r="AF362" i="17" s="1"/>
  <c r="AD362" i="17" s="1"/>
  <c r="AG148" i="17"/>
  <c r="AF148" i="17" s="1"/>
  <c r="AD148" i="17" s="1"/>
  <c r="AG82" i="17"/>
  <c r="AF82" i="17" s="1"/>
  <c r="AD82" i="17" s="1"/>
  <c r="AG157" i="17"/>
  <c r="AF157" i="17" s="1"/>
  <c r="AD157" i="17" s="1"/>
  <c r="AG314" i="17"/>
  <c r="AF314" i="17" s="1"/>
  <c r="AD314" i="17" s="1"/>
  <c r="AG260" i="17"/>
  <c r="AF260" i="17" s="1"/>
  <c r="AD260" i="17" s="1"/>
  <c r="AG209" i="17"/>
  <c r="AF209" i="17" s="1"/>
  <c r="AD209" i="17" s="1"/>
  <c r="AG170" i="17"/>
  <c r="AF170" i="17" s="1"/>
  <c r="AD170" i="17" s="1"/>
  <c r="AG33" i="17"/>
  <c r="AF33" i="17" s="1"/>
  <c r="AD33" i="17" s="1"/>
  <c r="AG135" i="17"/>
  <c r="AF135" i="17" s="1"/>
  <c r="AD135" i="17" s="1"/>
  <c r="AG201" i="17"/>
  <c r="AF201" i="17" s="1"/>
  <c r="AD201" i="17" s="1"/>
  <c r="AG242" i="17"/>
  <c r="AF242" i="17" s="1"/>
  <c r="AD242" i="17" s="1"/>
  <c r="AG301" i="17"/>
  <c r="AF301" i="17" s="1"/>
  <c r="AD301" i="17" s="1"/>
  <c r="AG320" i="17"/>
  <c r="AF320" i="17" s="1"/>
  <c r="AD320" i="17" s="1"/>
  <c r="AG321" i="17"/>
  <c r="AF321" i="17" s="1"/>
  <c r="AD321" i="17" s="1"/>
  <c r="AG234" i="17"/>
  <c r="AF234" i="17" s="1"/>
  <c r="AD234" i="17" s="1"/>
  <c r="AG96" i="17"/>
  <c r="AF96" i="17" s="1"/>
  <c r="AD96" i="17" s="1"/>
  <c r="AG75" i="17"/>
  <c r="AF75" i="17" s="1"/>
  <c r="AD75" i="17" s="1"/>
  <c r="AG40" i="17"/>
  <c r="AF40" i="17" s="1"/>
  <c r="AD40" i="17" s="1"/>
  <c r="AG127" i="17"/>
  <c r="AF127" i="17" s="1"/>
  <c r="AD127" i="17" s="1"/>
  <c r="AG369" i="17"/>
  <c r="AF369" i="17" s="1"/>
  <c r="AD369" i="17" s="1"/>
  <c r="AG329" i="17"/>
  <c r="AF329" i="17" s="1"/>
  <c r="AD329" i="17" s="1"/>
  <c r="AG268" i="17"/>
  <c r="AF268" i="17" s="1"/>
  <c r="AD268" i="17" s="1"/>
  <c r="AG106" i="17"/>
  <c r="AF106" i="17" s="1"/>
  <c r="AD106" i="17" s="1"/>
  <c r="AG66" i="17"/>
  <c r="AF66" i="17" s="1"/>
  <c r="AD66" i="17" s="1"/>
  <c r="AG373" i="17"/>
  <c r="AF373" i="17" s="1"/>
  <c r="AD373" i="17" s="1"/>
  <c r="AG298" i="17"/>
  <c r="AF298" i="17" s="1"/>
  <c r="AD298" i="17" s="1"/>
  <c r="AG167" i="17"/>
  <c r="AF167" i="17" s="1"/>
  <c r="AD167" i="17" s="1"/>
  <c r="AG363" i="17"/>
  <c r="AF363" i="17" s="1"/>
  <c r="AD363" i="17" s="1"/>
  <c r="AG24" i="17"/>
  <c r="AF24" i="17" s="1"/>
  <c r="AD24" i="17" s="1"/>
  <c r="AG366" i="17"/>
  <c r="AF366" i="17" s="1"/>
  <c r="AD366" i="17" s="1"/>
  <c r="AG192" i="17"/>
  <c r="AF192" i="17" s="1"/>
  <c r="AD192" i="17" s="1"/>
  <c r="AG333" i="17"/>
  <c r="AF333" i="17" s="1"/>
  <c r="AD333" i="17" s="1"/>
  <c r="AG248" i="17"/>
  <c r="AF248" i="17" s="1"/>
  <c r="AD248" i="17" s="1"/>
  <c r="AG235" i="17"/>
  <c r="AF235" i="17" s="1"/>
  <c r="AD235" i="17" s="1"/>
  <c r="AG283" i="17"/>
  <c r="AF283" i="17" s="1"/>
  <c r="AD283" i="17" s="1"/>
  <c r="AG87" i="17"/>
  <c r="AF87" i="17" s="1"/>
  <c r="AD87" i="17" s="1"/>
  <c r="AG104" i="17"/>
  <c r="AF104" i="17" s="1"/>
  <c r="AD104" i="17" s="1"/>
  <c r="AG374" i="17"/>
  <c r="AF374" i="17" s="1"/>
  <c r="AD374" i="17" s="1"/>
  <c r="AG110" i="17"/>
  <c r="AF110" i="17" s="1"/>
  <c r="AD110" i="17" s="1"/>
  <c r="AG92" i="17"/>
  <c r="AF92" i="17" s="1"/>
  <c r="AD92" i="17" s="1"/>
  <c r="AG195" i="17"/>
  <c r="AF195" i="17" s="1"/>
  <c r="AD195" i="17" s="1"/>
  <c r="AG341" i="17"/>
  <c r="AF341" i="17" s="1"/>
  <c r="AD341" i="17" s="1"/>
  <c r="AG67" i="17"/>
  <c r="AF67" i="17" s="1"/>
  <c r="AD67" i="17" s="1"/>
  <c r="AG331" i="17"/>
  <c r="AF331" i="17" s="1"/>
  <c r="AD331" i="17" s="1"/>
  <c r="AG340" i="17"/>
  <c r="AF340" i="17" s="1"/>
  <c r="AD340" i="17" s="1"/>
  <c r="AG139" i="17"/>
  <c r="AF139" i="17" s="1"/>
  <c r="AD139" i="17" s="1"/>
  <c r="AG295" i="17"/>
  <c r="AF295" i="17" s="1"/>
  <c r="AD295" i="17" s="1"/>
  <c r="AG215" i="17"/>
  <c r="AF215" i="17" s="1"/>
  <c r="AD215" i="17" s="1"/>
  <c r="AG219" i="17"/>
  <c r="AF219" i="17" s="1"/>
  <c r="AD219" i="17" s="1"/>
  <c r="AG122" i="17"/>
  <c r="AF122" i="17" s="1"/>
  <c r="AD122" i="17" s="1"/>
  <c r="AG223" i="17"/>
  <c r="AF223" i="17" s="1"/>
  <c r="AD223" i="17" s="1"/>
  <c r="AG334" i="17"/>
  <c r="AF334" i="17" s="1"/>
  <c r="AD334" i="17" s="1"/>
  <c r="AG210" i="17"/>
  <c r="AF210" i="17" s="1"/>
  <c r="AD210" i="17" s="1"/>
  <c r="AG84" i="17"/>
  <c r="AF84" i="17" s="1"/>
  <c r="AD84" i="17" s="1"/>
  <c r="AG179" i="17"/>
  <c r="AF179" i="17" s="1"/>
  <c r="AD179" i="17" s="1"/>
  <c r="AG326" i="17"/>
  <c r="AF326" i="17" s="1"/>
  <c r="AD326" i="17" s="1"/>
  <c r="AG186" i="17"/>
  <c r="AF186" i="17" s="1"/>
  <c r="AD186" i="17" s="1"/>
  <c r="AG304" i="17"/>
  <c r="AF304" i="17" s="1"/>
  <c r="AD304" i="17" s="1"/>
  <c r="AG257" i="17"/>
  <c r="AF257" i="17" s="1"/>
  <c r="AD257" i="17" s="1"/>
  <c r="AG140" i="17"/>
  <c r="AF140" i="17" s="1"/>
  <c r="AD140" i="17" s="1"/>
  <c r="AG325" i="17"/>
  <c r="AF325" i="17" s="1"/>
  <c r="AD325" i="17" s="1"/>
  <c r="AG83" i="17"/>
  <c r="AF83" i="17" s="1"/>
  <c r="AD83" i="17" s="1"/>
  <c r="AG365" i="17"/>
  <c r="AF365" i="17" s="1"/>
  <c r="AD365" i="17" s="1"/>
  <c r="AG367" i="17"/>
  <c r="AF367" i="17" s="1"/>
  <c r="AD367" i="17" s="1"/>
  <c r="AG199" i="17"/>
  <c r="AF199" i="17" s="1"/>
  <c r="AD199" i="17" s="1"/>
  <c r="AG107" i="17"/>
  <c r="AF107" i="17" s="1"/>
  <c r="AD107" i="17" s="1"/>
  <c r="AG118" i="17"/>
  <c r="AF118" i="17" s="1"/>
  <c r="AD118" i="17" s="1"/>
  <c r="AG162" i="17"/>
  <c r="AF162" i="17" s="1"/>
  <c r="AD162" i="17" s="1"/>
  <c r="AG253" i="17"/>
  <c r="AF253" i="17" s="1"/>
  <c r="AD253" i="17" s="1"/>
  <c r="AG147" i="17"/>
  <c r="AF147" i="17" s="1"/>
  <c r="AD147" i="17" s="1"/>
  <c r="AG267" i="17"/>
  <c r="AF267" i="17" s="1"/>
  <c r="AD267" i="17" s="1"/>
  <c r="AG266" i="17"/>
  <c r="AF266" i="17" s="1"/>
  <c r="AD266" i="17" s="1"/>
  <c r="AG269" i="17"/>
  <c r="AF269" i="17" s="1"/>
  <c r="AD269" i="17" s="1"/>
  <c r="AG79" i="17"/>
  <c r="AF79" i="17" s="1"/>
  <c r="AD79" i="17" s="1"/>
  <c r="AG247" i="17"/>
  <c r="AF247" i="17" s="1"/>
  <c r="AD247" i="17" s="1"/>
  <c r="AG22" i="17"/>
  <c r="AF22" i="17" s="1"/>
  <c r="AD22" i="17" s="1"/>
  <c r="AG349" i="17"/>
  <c r="AF349" i="17" s="1"/>
  <c r="AD349" i="17" s="1"/>
  <c r="I302" i="16"/>
  <c r="J302" i="16"/>
  <c r="I197" i="16"/>
  <c r="J197" i="16"/>
  <c r="J167" i="16"/>
  <c r="I167" i="16"/>
  <c r="S328" i="17"/>
  <c r="R328" i="17" s="1"/>
  <c r="P328" i="17" s="1"/>
  <c r="V328" i="17" s="1"/>
  <c r="F328" i="17" s="1"/>
  <c r="S257" i="17"/>
  <c r="R257" i="17" s="1"/>
  <c r="P257" i="17" s="1"/>
  <c r="V257" i="17" s="1"/>
  <c r="F257" i="17" s="1"/>
  <c r="S114" i="17"/>
  <c r="R114" i="17" s="1"/>
  <c r="P114" i="17" s="1"/>
  <c r="V114" i="17" s="1"/>
  <c r="F114" i="17" s="1"/>
  <c r="S222" i="17"/>
  <c r="R222" i="17" s="1"/>
  <c r="P222" i="17" s="1"/>
  <c r="V222" i="17" s="1"/>
  <c r="F222" i="17" s="1"/>
  <c r="S291" i="17"/>
  <c r="R291" i="17" s="1"/>
  <c r="P291" i="17" s="1"/>
  <c r="V291" i="17" s="1"/>
  <c r="F291" i="17" s="1"/>
  <c r="S55" i="17"/>
  <c r="R55" i="17" s="1"/>
  <c r="P55" i="17" s="1"/>
  <c r="V55" i="17" s="1"/>
  <c r="F55" i="17" s="1"/>
  <c r="S184" i="17"/>
  <c r="R184" i="17" s="1"/>
  <c r="P184" i="17" s="1"/>
  <c r="V184" i="17" s="1"/>
  <c r="F184" i="17" s="1"/>
  <c r="S378" i="17"/>
  <c r="R378" i="17" s="1"/>
  <c r="P378" i="17" s="1"/>
  <c r="V378" i="17" s="1"/>
  <c r="F378" i="17" s="1"/>
  <c r="S164" i="17"/>
  <c r="R164" i="17" s="1"/>
  <c r="P164" i="17" s="1"/>
  <c r="V164" i="17" s="1"/>
  <c r="F164" i="17" s="1"/>
  <c r="S80" i="17"/>
  <c r="R80" i="17" s="1"/>
  <c r="P80" i="17" s="1"/>
  <c r="S90" i="17"/>
  <c r="R90" i="17" s="1"/>
  <c r="P90" i="17" s="1"/>
  <c r="V90" i="17" s="1"/>
  <c r="F90" i="17" s="1"/>
  <c r="S209" i="17"/>
  <c r="R209" i="17" s="1"/>
  <c r="P209" i="17" s="1"/>
  <c r="V209" i="17" s="1"/>
  <c r="F209" i="17" s="1"/>
  <c r="S275" i="17"/>
  <c r="R275" i="17" s="1"/>
  <c r="P275" i="17" s="1"/>
  <c r="V275" i="17" s="1"/>
  <c r="F275" i="17" s="1"/>
  <c r="S238" i="17"/>
  <c r="R238" i="17" s="1"/>
  <c r="P238" i="17" s="1"/>
  <c r="V238" i="17" s="1"/>
  <c r="F238" i="17" s="1"/>
  <c r="S243" i="17"/>
  <c r="R243" i="17" s="1"/>
  <c r="P243" i="17" s="1"/>
  <c r="V243" i="17" s="1"/>
  <c r="F243" i="17" s="1"/>
  <c r="S148" i="17"/>
  <c r="R148" i="17" s="1"/>
  <c r="P148" i="17" s="1"/>
  <c r="S33" i="17"/>
  <c r="R33" i="17" s="1"/>
  <c r="P33" i="17" s="1"/>
  <c r="V33" i="17" s="1"/>
  <c r="F33" i="17" s="1"/>
  <c r="S223" i="17"/>
  <c r="R223" i="17" s="1"/>
  <c r="P223" i="17" s="1"/>
  <c r="V223" i="17" s="1"/>
  <c r="F223" i="17" s="1"/>
  <c r="S368" i="17"/>
  <c r="R368" i="17" s="1"/>
  <c r="P368" i="17" s="1"/>
  <c r="V368" i="17" s="1"/>
  <c r="F368" i="17" s="1"/>
  <c r="S195" i="17"/>
  <c r="R195" i="17" s="1"/>
  <c r="P195" i="17" s="1"/>
  <c r="V195" i="17" s="1"/>
  <c r="F195" i="17" s="1"/>
  <c r="S337" i="17"/>
  <c r="R337" i="17" s="1"/>
  <c r="P337" i="17" s="1"/>
  <c r="V337" i="17" s="1"/>
  <c r="F337" i="17" s="1"/>
  <c r="S160" i="17"/>
  <c r="R160" i="17" s="1"/>
  <c r="P160" i="17" s="1"/>
  <c r="V160" i="17" s="1"/>
  <c r="F160" i="17" s="1"/>
  <c r="S188" i="17"/>
  <c r="R188" i="17" s="1"/>
  <c r="P188" i="17" s="1"/>
  <c r="V188" i="17" s="1"/>
  <c r="F188" i="17" s="1"/>
  <c r="S57" i="17"/>
  <c r="R57" i="17" s="1"/>
  <c r="P57" i="17" s="1"/>
  <c r="V57" i="17" s="1"/>
  <c r="F57" i="17" s="1"/>
  <c r="S78" i="17"/>
  <c r="R78" i="17" s="1"/>
  <c r="P78" i="17" s="1"/>
  <c r="V78" i="17" s="1"/>
  <c r="F78" i="17" s="1"/>
  <c r="S73" i="17"/>
  <c r="R73" i="17" s="1"/>
  <c r="P73" i="17" s="1"/>
  <c r="V73" i="17" s="1"/>
  <c r="F73" i="17" s="1"/>
  <c r="S54" i="17"/>
  <c r="R54" i="17" s="1"/>
  <c r="P54" i="17" s="1"/>
  <c r="V54" i="17" s="1"/>
  <c r="F54" i="17" s="1"/>
  <c r="S101" i="17"/>
  <c r="R101" i="17" s="1"/>
  <c r="P101" i="17" s="1"/>
  <c r="V101" i="17" s="1"/>
  <c r="F101" i="17" s="1"/>
  <c r="S25" i="17"/>
  <c r="R25" i="17" s="1"/>
  <c r="P25" i="17" s="1"/>
  <c r="V25" i="17" s="1"/>
  <c r="F25" i="17" s="1"/>
  <c r="S315" i="17"/>
  <c r="R315" i="17" s="1"/>
  <c r="P315" i="17" s="1"/>
  <c r="V315" i="17" s="1"/>
  <c r="F315" i="17" s="1"/>
  <c r="S64" i="17"/>
  <c r="R64" i="17" s="1"/>
  <c r="P64" i="17" s="1"/>
  <c r="V64" i="17" s="1"/>
  <c r="F64" i="17" s="1"/>
  <c r="S290" i="17"/>
  <c r="R290" i="17" s="1"/>
  <c r="P290" i="17" s="1"/>
  <c r="V290" i="17" s="1"/>
  <c r="F290" i="17" s="1"/>
  <c r="S255" i="17"/>
  <c r="R255" i="17" s="1"/>
  <c r="P255" i="17" s="1"/>
  <c r="V255" i="17" s="1"/>
  <c r="F255" i="17" s="1"/>
  <c r="S49" i="17"/>
  <c r="R49" i="17" s="1"/>
  <c r="P49" i="17" s="1"/>
  <c r="V49" i="17" s="1"/>
  <c r="F49" i="17" s="1"/>
  <c r="S279" i="17"/>
  <c r="R279" i="17" s="1"/>
  <c r="P279" i="17" s="1"/>
  <c r="V279" i="17" s="1"/>
  <c r="F279" i="17" s="1"/>
  <c r="S309" i="17"/>
  <c r="R309" i="17" s="1"/>
  <c r="P309" i="17" s="1"/>
  <c r="V309" i="17" s="1"/>
  <c r="F309" i="17" s="1"/>
  <c r="S327" i="17"/>
  <c r="R327" i="17" s="1"/>
  <c r="P327" i="17" s="1"/>
  <c r="V327" i="17" s="1"/>
  <c r="F327" i="17" s="1"/>
  <c r="S21" i="17"/>
  <c r="R21" i="17" s="1"/>
  <c r="P21" i="17" s="1"/>
  <c r="S76" i="17"/>
  <c r="R76" i="17" s="1"/>
  <c r="P76" i="17" s="1"/>
  <c r="V76" i="17" s="1"/>
  <c r="F76" i="17" s="1"/>
  <c r="S109" i="17"/>
  <c r="R109" i="17" s="1"/>
  <c r="P109" i="17" s="1"/>
  <c r="V109" i="17" s="1"/>
  <c r="F109" i="17" s="1"/>
  <c r="S299" i="17"/>
  <c r="R299" i="17" s="1"/>
  <c r="P299" i="17" s="1"/>
  <c r="V299" i="17" s="1"/>
  <c r="F299" i="17" s="1"/>
  <c r="S344" i="17"/>
  <c r="R344" i="17" s="1"/>
  <c r="P344" i="17" s="1"/>
  <c r="V344" i="17" s="1"/>
  <c r="F344" i="17" s="1"/>
  <c r="S362" i="17"/>
  <c r="R362" i="17" s="1"/>
  <c r="P362" i="17" s="1"/>
  <c r="S377" i="17"/>
  <c r="R377" i="17" s="1"/>
  <c r="P377" i="17" s="1"/>
  <c r="V377" i="17" s="1"/>
  <c r="F377" i="17" s="1"/>
  <c r="S372" i="17"/>
  <c r="R372" i="17" s="1"/>
  <c r="P372" i="17" s="1"/>
  <c r="V372" i="17" s="1"/>
  <c r="F372" i="17" s="1"/>
  <c r="S342" i="17"/>
  <c r="R342" i="17" s="1"/>
  <c r="P342" i="17" s="1"/>
  <c r="V342" i="17" s="1"/>
  <c r="F342" i="17" s="1"/>
  <c r="S236" i="17"/>
  <c r="R236" i="17" s="1"/>
  <c r="P236" i="17" s="1"/>
  <c r="V236" i="17" s="1"/>
  <c r="F236" i="17" s="1"/>
  <c r="S46" i="17"/>
  <c r="R46" i="17" s="1"/>
  <c r="P46" i="17" s="1"/>
  <c r="V46" i="17" s="1"/>
  <c r="S44" i="17"/>
  <c r="R44" i="17" s="1"/>
  <c r="P44" i="17" s="1"/>
  <c r="V44" i="17" s="1"/>
  <c r="F44" i="17" s="1"/>
  <c r="S52" i="17"/>
  <c r="R52" i="17" s="1"/>
  <c r="P52" i="17" s="1"/>
  <c r="V52" i="17" s="1"/>
  <c r="F52" i="17" s="1"/>
  <c r="S228" i="17"/>
  <c r="R228" i="17" s="1"/>
  <c r="P228" i="17" s="1"/>
  <c r="V228" i="17" s="1"/>
  <c r="F228" i="17" s="1"/>
  <c r="S74" i="17"/>
  <c r="R74" i="17" s="1"/>
  <c r="P74" i="17" s="1"/>
  <c r="V74" i="17" s="1"/>
  <c r="S231" i="17"/>
  <c r="R231" i="17" s="1"/>
  <c r="P231" i="17" s="1"/>
  <c r="V231" i="17" s="1"/>
  <c r="F231" i="17" s="1"/>
  <c r="S217" i="17"/>
  <c r="R217" i="17" s="1"/>
  <c r="P217" i="17" s="1"/>
  <c r="V217" i="17" s="1"/>
  <c r="F217" i="17" s="1"/>
  <c r="S45" i="17"/>
  <c r="R45" i="17" s="1"/>
  <c r="P45" i="17" s="1"/>
  <c r="V45" i="17" s="1"/>
  <c r="F45" i="17" s="1"/>
  <c r="S353" i="17"/>
  <c r="R353" i="17" s="1"/>
  <c r="P353" i="17" s="1"/>
  <c r="V353" i="17" s="1"/>
  <c r="F353" i="17" s="1"/>
  <c r="S125" i="17"/>
  <c r="R125" i="17" s="1"/>
  <c r="P125" i="17" s="1"/>
  <c r="V125" i="17" s="1"/>
  <c r="F125" i="17" s="1"/>
  <c r="S264" i="17"/>
  <c r="R264" i="17" s="1"/>
  <c r="P264" i="17" s="1"/>
  <c r="V264" i="17" s="1"/>
  <c r="F264" i="17" s="1"/>
  <c r="S98" i="17"/>
  <c r="R98" i="17" s="1"/>
  <c r="P98" i="17" s="1"/>
  <c r="V98" i="17" s="1"/>
  <c r="F98" i="17" s="1"/>
  <c r="S50" i="17"/>
  <c r="R50" i="17" s="1"/>
  <c r="P50" i="17" s="1"/>
  <c r="V50" i="17" s="1"/>
  <c r="F50" i="17" s="1"/>
  <c r="S324" i="17"/>
  <c r="R324" i="17" s="1"/>
  <c r="P324" i="17" s="1"/>
  <c r="S227" i="17"/>
  <c r="R227" i="17" s="1"/>
  <c r="P227" i="17" s="1"/>
  <c r="S60" i="17"/>
  <c r="R60" i="17" s="1"/>
  <c r="P60" i="17" s="1"/>
  <c r="S207" i="17"/>
  <c r="R207" i="17" s="1"/>
  <c r="P207" i="17" s="1"/>
  <c r="V207" i="17" s="1"/>
  <c r="F207" i="17" s="1"/>
  <c r="S122" i="17"/>
  <c r="R122" i="17" s="1"/>
  <c r="P122" i="17" s="1"/>
  <c r="V122" i="17" s="1"/>
  <c r="F122" i="17" s="1"/>
  <c r="S36" i="17"/>
  <c r="R36" i="17" s="1"/>
  <c r="P36" i="17" s="1"/>
  <c r="V36" i="17" s="1"/>
  <c r="F36" i="17" s="1"/>
  <c r="S355" i="17"/>
  <c r="R355" i="17" s="1"/>
  <c r="P355" i="17" s="1"/>
  <c r="V355" i="17" s="1"/>
  <c r="F355" i="17" s="1"/>
  <c r="S219" i="17"/>
  <c r="R219" i="17" s="1"/>
  <c r="P219" i="17" s="1"/>
  <c r="V219" i="17" s="1"/>
  <c r="F219" i="17" s="1"/>
  <c r="S366" i="17"/>
  <c r="R366" i="17" s="1"/>
  <c r="P366" i="17" s="1"/>
  <c r="V366" i="17" s="1"/>
  <c r="F366" i="17" s="1"/>
  <c r="S211" i="17"/>
  <c r="R211" i="17" s="1"/>
  <c r="P211" i="17" s="1"/>
  <c r="V211" i="17" s="1"/>
  <c r="F211" i="17" s="1"/>
  <c r="S157" i="17"/>
  <c r="R157" i="17" s="1"/>
  <c r="P157" i="17" s="1"/>
  <c r="V157" i="17" s="1"/>
  <c r="F157" i="17" s="1"/>
  <c r="S115" i="17"/>
  <c r="R115" i="17" s="1"/>
  <c r="P115" i="17" s="1"/>
  <c r="V115" i="17" s="1"/>
  <c r="F115" i="17" s="1"/>
  <c r="S189" i="17"/>
  <c r="R189" i="17" s="1"/>
  <c r="P189" i="17" s="1"/>
  <c r="V189" i="17" s="1"/>
  <c r="F189" i="17" s="1"/>
  <c r="S162" i="17"/>
  <c r="R162" i="17" s="1"/>
  <c r="P162" i="17" s="1"/>
  <c r="V162" i="17" s="1"/>
  <c r="F162" i="17" s="1"/>
  <c r="S158" i="17"/>
  <c r="R158" i="17" s="1"/>
  <c r="P158" i="17" s="1"/>
  <c r="V158" i="17" s="1"/>
  <c r="F158" i="17" s="1"/>
  <c r="S307" i="17"/>
  <c r="R307" i="17" s="1"/>
  <c r="P307" i="17" s="1"/>
  <c r="V307" i="17" s="1"/>
  <c r="F307" i="17" s="1"/>
  <c r="S99" i="17"/>
  <c r="R99" i="17" s="1"/>
  <c r="P99" i="17" s="1"/>
  <c r="V99" i="17" s="1"/>
  <c r="F99" i="17" s="1"/>
  <c r="S26" i="17"/>
  <c r="R26" i="17" s="1"/>
  <c r="P26" i="17" s="1"/>
  <c r="V26" i="17" s="1"/>
  <c r="F26" i="17" s="1"/>
  <c r="S32" i="17"/>
  <c r="R32" i="17" s="1"/>
  <c r="P32" i="17" s="1"/>
  <c r="V32" i="17" s="1"/>
  <c r="F32" i="17" s="1"/>
  <c r="S212" i="17"/>
  <c r="R212" i="17" s="1"/>
  <c r="P212" i="17" s="1"/>
  <c r="V212" i="17" s="1"/>
  <c r="F212" i="17" s="1"/>
  <c r="S338" i="17"/>
  <c r="R338" i="17" s="1"/>
  <c r="P338" i="17" s="1"/>
  <c r="V338" i="17" s="1"/>
  <c r="F338" i="17" s="1"/>
  <c r="S250" i="17"/>
  <c r="R250" i="17" s="1"/>
  <c r="P250" i="17" s="1"/>
  <c r="V250" i="17" s="1"/>
  <c r="F250" i="17" s="1"/>
  <c r="S41" i="17"/>
  <c r="R41" i="17" s="1"/>
  <c r="P41" i="17" s="1"/>
  <c r="V41" i="17" s="1"/>
  <c r="F41" i="17" s="1"/>
  <c r="S193" i="17"/>
  <c r="R193" i="17" s="1"/>
  <c r="P193" i="17" s="1"/>
  <c r="V193" i="17" s="1"/>
  <c r="F193" i="17" s="1"/>
  <c r="S37" i="17"/>
  <c r="R37" i="17" s="1"/>
  <c r="P37" i="17" s="1"/>
  <c r="V37" i="17" s="1"/>
  <c r="F37" i="17" s="1"/>
  <c r="T15" i="17"/>
  <c r="U382" i="17"/>
  <c r="U383" i="17"/>
  <c r="U381" i="17"/>
  <c r="S316" i="17"/>
  <c r="R316" i="17" s="1"/>
  <c r="P316" i="17" s="1"/>
  <c r="V316" i="17" s="1"/>
  <c r="F316" i="17" s="1"/>
  <c r="S155" i="17"/>
  <c r="R155" i="17" s="1"/>
  <c r="P155" i="17" s="1"/>
  <c r="V155" i="17" s="1"/>
  <c r="F155" i="17" s="1"/>
  <c r="S24" i="17"/>
  <c r="R24" i="17" s="1"/>
  <c r="P24" i="17" s="1"/>
  <c r="V24" i="17" s="1"/>
  <c r="F24" i="17" s="1"/>
  <c r="S63" i="17"/>
  <c r="R63" i="17" s="1"/>
  <c r="P63" i="17" s="1"/>
  <c r="V63" i="17" s="1"/>
  <c r="F63" i="17" s="1"/>
  <c r="S271" i="17"/>
  <c r="R271" i="17" s="1"/>
  <c r="P271" i="17" s="1"/>
  <c r="V271" i="17" s="1"/>
  <c r="F271" i="17" s="1"/>
  <c r="I47" i="16"/>
  <c r="J47" i="16"/>
  <c r="Z119" i="16"/>
  <c r="J228" i="16"/>
  <c r="I228" i="16"/>
  <c r="AD15" i="16"/>
  <c r="AF381" i="16"/>
  <c r="AF383" i="16"/>
  <c r="AF382" i="16"/>
  <c r="AG203" i="17"/>
  <c r="AF203" i="17" s="1"/>
  <c r="AD203" i="17" s="1"/>
  <c r="AG279" i="17"/>
  <c r="AF279" i="17" s="1"/>
  <c r="AD279" i="17" s="1"/>
  <c r="AG292" i="17"/>
  <c r="AF292" i="17" s="1"/>
  <c r="AD292" i="17" s="1"/>
  <c r="AG56" i="17"/>
  <c r="AF56" i="17" s="1"/>
  <c r="AD56" i="17" s="1"/>
  <c r="AG164" i="17"/>
  <c r="AF164" i="17" s="1"/>
  <c r="AD164" i="17" s="1"/>
  <c r="AG30" i="17"/>
  <c r="AF30" i="17" s="1"/>
  <c r="AD30" i="17" s="1"/>
  <c r="AG86" i="17"/>
  <c r="AF86" i="17" s="1"/>
  <c r="AD86" i="17" s="1"/>
  <c r="AG297" i="17"/>
  <c r="AF297" i="17" s="1"/>
  <c r="AD297" i="17" s="1"/>
  <c r="AG271" i="17"/>
  <c r="AF271" i="17" s="1"/>
  <c r="AD271" i="17" s="1"/>
  <c r="AG43" i="17"/>
  <c r="AF43" i="17" s="1"/>
  <c r="AD43" i="17" s="1"/>
  <c r="AG166" i="17"/>
  <c r="AF166" i="17" s="1"/>
  <c r="AD166" i="17" s="1"/>
  <c r="AG233" i="17"/>
  <c r="AF233" i="17" s="1"/>
  <c r="AD233" i="17" s="1"/>
  <c r="AG218" i="17"/>
  <c r="AF218" i="17" s="1"/>
  <c r="AD218" i="17" s="1"/>
  <c r="AG173" i="17"/>
  <c r="AF173" i="17" s="1"/>
  <c r="AD173" i="17" s="1"/>
  <c r="AG370" i="17"/>
  <c r="AF370" i="17" s="1"/>
  <c r="AD370" i="17" s="1"/>
  <c r="AG172" i="17"/>
  <c r="AF172" i="17" s="1"/>
  <c r="AD172" i="17" s="1"/>
  <c r="AG327" i="17"/>
  <c r="AF327" i="17" s="1"/>
  <c r="AD327" i="17" s="1"/>
  <c r="AG265" i="17"/>
  <c r="AF265" i="17" s="1"/>
  <c r="AD265" i="17" s="1"/>
  <c r="AG37" i="17"/>
  <c r="AF37" i="17" s="1"/>
  <c r="AD37" i="17" s="1"/>
  <c r="AG300" i="17"/>
  <c r="AF300" i="17" s="1"/>
  <c r="AD300" i="17" s="1"/>
  <c r="AG25" i="17"/>
  <c r="AF25" i="17" s="1"/>
  <c r="AD25" i="17" s="1"/>
  <c r="AG109" i="17"/>
  <c r="AF109" i="17" s="1"/>
  <c r="AD109" i="17" s="1"/>
  <c r="AG29" i="17"/>
  <c r="AF29" i="17" s="1"/>
  <c r="AD29" i="17" s="1"/>
  <c r="AG338" i="17"/>
  <c r="AF338" i="17" s="1"/>
  <c r="AD338" i="17" s="1"/>
  <c r="AG20" i="17"/>
  <c r="AF20" i="17" s="1"/>
  <c r="AD20" i="17" s="1"/>
  <c r="AG47" i="17"/>
  <c r="AF47" i="17" s="1"/>
  <c r="AD47" i="17" s="1"/>
  <c r="AG49" i="17"/>
  <c r="AF49" i="17" s="1"/>
  <c r="AD49" i="17" s="1"/>
  <c r="AG183" i="17"/>
  <c r="AF183" i="17" s="1"/>
  <c r="AD183" i="17" s="1"/>
  <c r="AG361" i="17"/>
  <c r="AF361" i="17" s="1"/>
  <c r="AD361" i="17" s="1"/>
  <c r="AG35" i="17"/>
  <c r="AF35" i="17" s="1"/>
  <c r="AD35" i="17" s="1"/>
  <c r="AG355" i="17"/>
  <c r="AF355" i="17" s="1"/>
  <c r="AD355" i="17" s="1"/>
  <c r="AG282" i="17"/>
  <c r="AF282" i="17" s="1"/>
  <c r="AD282" i="17" s="1"/>
  <c r="AG160" i="17"/>
  <c r="AF160" i="17" s="1"/>
  <c r="AD160" i="17" s="1"/>
  <c r="AG372" i="17"/>
  <c r="AF372" i="17" s="1"/>
  <c r="AD372" i="17" s="1"/>
  <c r="AG343" i="17"/>
  <c r="AF343" i="17" s="1"/>
  <c r="AD343" i="17" s="1"/>
  <c r="AG378" i="17"/>
  <c r="AF378" i="17" s="1"/>
  <c r="AD378" i="17" s="1"/>
  <c r="AG119" i="17"/>
  <c r="AF119" i="17" s="1"/>
  <c r="AD119" i="17" s="1"/>
  <c r="AG281" i="17"/>
  <c r="AF281" i="17" s="1"/>
  <c r="AD281" i="17" s="1"/>
  <c r="AG285" i="17"/>
  <c r="AF285" i="17" s="1"/>
  <c r="AD285" i="17" s="1"/>
  <c r="AG103" i="17"/>
  <c r="AF103" i="17" s="1"/>
  <c r="AD103" i="17" s="1"/>
  <c r="AG305" i="17"/>
  <c r="AF305" i="17" s="1"/>
  <c r="AD305" i="17" s="1"/>
  <c r="AG202" i="17"/>
  <c r="AF202" i="17" s="1"/>
  <c r="AD202" i="17" s="1"/>
  <c r="AG38" i="17"/>
  <c r="AF38" i="17" s="1"/>
  <c r="AD38" i="17" s="1"/>
  <c r="AG161" i="17"/>
  <c r="AF161" i="17" s="1"/>
  <c r="AD161" i="17" s="1"/>
  <c r="AG116" i="17"/>
  <c r="AF116" i="17" s="1"/>
  <c r="AD116" i="17" s="1"/>
  <c r="AG134" i="17"/>
  <c r="AF134" i="17" s="1"/>
  <c r="AD134" i="17" s="1"/>
  <c r="AG55" i="17"/>
  <c r="AF55" i="17" s="1"/>
  <c r="AD55" i="17" s="1"/>
  <c r="AG95" i="17"/>
  <c r="AF95" i="17" s="1"/>
  <c r="AD95" i="17" s="1"/>
  <c r="AG276" i="17"/>
  <c r="AF276" i="17" s="1"/>
  <c r="AD276" i="17" s="1"/>
  <c r="AG32" i="17"/>
  <c r="AF32" i="17" s="1"/>
  <c r="AD32" i="17" s="1"/>
  <c r="AG102" i="17"/>
  <c r="AF102" i="17" s="1"/>
  <c r="AD102" i="17" s="1"/>
  <c r="AG149" i="17"/>
  <c r="AF149" i="17" s="1"/>
  <c r="AD149" i="17" s="1"/>
  <c r="AG323" i="17"/>
  <c r="AF323" i="17" s="1"/>
  <c r="AD323" i="17" s="1"/>
  <c r="AG112" i="17"/>
  <c r="AF112" i="17" s="1"/>
  <c r="AD112" i="17" s="1"/>
  <c r="AG356" i="17"/>
  <c r="AF356" i="17" s="1"/>
  <c r="AD356" i="17" s="1"/>
  <c r="AG246" i="17"/>
  <c r="AF246" i="17" s="1"/>
  <c r="AD246" i="17" s="1"/>
  <c r="AG296" i="17"/>
  <c r="AF296" i="17" s="1"/>
  <c r="AD296" i="17" s="1"/>
  <c r="AG23" i="17"/>
  <c r="AF23" i="17" s="1"/>
  <c r="AD23" i="17" s="1"/>
  <c r="AG315" i="17"/>
  <c r="AF315" i="17" s="1"/>
  <c r="AD315" i="17" s="1"/>
  <c r="AG208" i="17"/>
  <c r="AF208" i="17" s="1"/>
  <c r="AD208" i="17" s="1"/>
  <c r="AG90" i="17"/>
  <c r="AF90" i="17" s="1"/>
  <c r="AD90" i="17" s="1"/>
  <c r="AG226" i="17"/>
  <c r="AF226" i="17" s="1"/>
  <c r="AD226" i="17" s="1"/>
  <c r="AG63" i="17"/>
  <c r="AF63" i="17" s="1"/>
  <c r="AD63" i="17" s="1"/>
  <c r="AG163" i="17"/>
  <c r="AF163" i="17" s="1"/>
  <c r="AD163" i="17" s="1"/>
  <c r="AG171" i="17"/>
  <c r="AF171" i="17" s="1"/>
  <c r="AD171" i="17" s="1"/>
  <c r="AG130" i="17"/>
  <c r="AF130" i="17" s="1"/>
  <c r="AD130" i="17" s="1"/>
  <c r="AG258" i="17"/>
  <c r="AF258" i="17" s="1"/>
  <c r="AD258" i="17" s="1"/>
  <c r="AG342" i="17"/>
  <c r="AF342" i="17" s="1"/>
  <c r="AD342" i="17" s="1"/>
  <c r="AG151" i="17"/>
  <c r="AF151" i="17" s="1"/>
  <c r="AD151" i="17" s="1"/>
  <c r="AG261" i="17"/>
  <c r="AF261" i="17" s="1"/>
  <c r="AD261" i="17" s="1"/>
  <c r="AG312" i="17"/>
  <c r="AF312" i="17" s="1"/>
  <c r="AD312" i="17" s="1"/>
  <c r="AG80" i="17"/>
  <c r="AF80" i="17" s="1"/>
  <c r="AD80" i="17" s="1"/>
  <c r="AG98" i="17"/>
  <c r="AF98" i="17" s="1"/>
  <c r="AD98" i="17" s="1"/>
  <c r="AG303" i="17"/>
  <c r="AF303" i="17" s="1"/>
  <c r="AD303" i="17" s="1"/>
  <c r="AG36" i="17"/>
  <c r="AF36" i="17" s="1"/>
  <c r="AD36" i="17" s="1"/>
  <c r="AG319" i="17"/>
  <c r="AF319" i="17" s="1"/>
  <c r="AD319" i="17" s="1"/>
  <c r="AG256" i="17"/>
  <c r="AF256" i="17" s="1"/>
  <c r="AD256" i="17" s="1"/>
  <c r="AG181" i="17"/>
  <c r="AF181" i="17" s="1"/>
  <c r="AD181" i="17" s="1"/>
  <c r="AG213" i="17"/>
  <c r="AF213" i="17" s="1"/>
  <c r="AD213" i="17" s="1"/>
  <c r="AG239" i="17"/>
  <c r="AF239" i="17" s="1"/>
  <c r="AD239" i="17" s="1"/>
  <c r="AG360" i="17"/>
  <c r="AF360" i="17" s="1"/>
  <c r="AD360" i="17" s="1"/>
  <c r="AI381" i="17"/>
  <c r="AH15" i="17"/>
  <c r="AI382" i="17"/>
  <c r="AI383" i="17"/>
  <c r="AG34" i="17"/>
  <c r="AF34" i="17" s="1"/>
  <c r="AD34" i="17" s="1"/>
  <c r="AG198" i="17"/>
  <c r="AF198" i="17" s="1"/>
  <c r="AD198" i="17" s="1"/>
  <c r="AG46" i="17"/>
  <c r="AF46" i="17" s="1"/>
  <c r="AD46" i="17" s="1"/>
  <c r="AG335" i="17"/>
  <c r="AF335" i="17" s="1"/>
  <c r="AD335" i="17" s="1"/>
  <c r="AG169" i="17"/>
  <c r="AF169" i="17" s="1"/>
  <c r="AD169" i="17" s="1"/>
  <c r="AG322" i="17"/>
  <c r="AF322" i="17" s="1"/>
  <c r="AD322" i="17" s="1"/>
  <c r="AG65" i="17"/>
  <c r="AF65" i="17" s="1"/>
  <c r="AD65" i="17" s="1"/>
  <c r="AG228" i="17"/>
  <c r="AF228" i="17" s="1"/>
  <c r="AD228" i="17" s="1"/>
  <c r="AG175" i="17"/>
  <c r="AF175" i="17" s="1"/>
  <c r="AD175" i="17" s="1"/>
  <c r="I241" i="16"/>
  <c r="J241" i="16"/>
  <c r="S215" i="17"/>
  <c r="R215" i="17" s="1"/>
  <c r="P215" i="17" s="1"/>
  <c r="V215" i="17" s="1"/>
  <c r="F215" i="17" s="1"/>
  <c r="S181" i="17"/>
  <c r="R181" i="17" s="1"/>
  <c r="P181" i="17" s="1"/>
  <c r="V181" i="17" s="1"/>
  <c r="F181" i="17" s="1"/>
  <c r="S263" i="17"/>
  <c r="R263" i="17" s="1"/>
  <c r="P263" i="17" s="1"/>
  <c r="V263" i="17" s="1"/>
  <c r="F263" i="17" s="1"/>
  <c r="S266" i="17"/>
  <c r="R266" i="17" s="1"/>
  <c r="P266" i="17" s="1"/>
  <c r="V266" i="17" s="1"/>
  <c r="F266" i="17" s="1"/>
  <c r="S281" i="17"/>
  <c r="R281" i="17" s="1"/>
  <c r="P281" i="17" s="1"/>
  <c r="V281" i="17" s="1"/>
  <c r="F281" i="17" s="1"/>
  <c r="S288" i="17"/>
  <c r="R288" i="17" s="1"/>
  <c r="P288" i="17" s="1"/>
  <c r="V288" i="17" s="1"/>
  <c r="S182" i="17"/>
  <c r="R182" i="17" s="1"/>
  <c r="P182" i="17" s="1"/>
  <c r="V182" i="17" s="1"/>
  <c r="F182" i="17" s="1"/>
  <c r="S159" i="17"/>
  <c r="R159" i="17" s="1"/>
  <c r="P159" i="17" s="1"/>
  <c r="V159" i="17" s="1"/>
  <c r="F159" i="17" s="1"/>
  <c r="S170" i="17"/>
  <c r="R170" i="17" s="1"/>
  <c r="P170" i="17" s="1"/>
  <c r="V170" i="17" s="1"/>
  <c r="F170" i="17" s="1"/>
  <c r="S313" i="17"/>
  <c r="R313" i="17" s="1"/>
  <c r="P313" i="17" s="1"/>
  <c r="V313" i="17" s="1"/>
  <c r="F313" i="17" s="1"/>
  <c r="S365" i="17"/>
  <c r="R365" i="17" s="1"/>
  <c r="P365" i="17" s="1"/>
  <c r="V365" i="17" s="1"/>
  <c r="F365" i="17" s="1"/>
  <c r="S120" i="17"/>
  <c r="R120" i="17" s="1"/>
  <c r="P120" i="17" s="1"/>
  <c r="V120" i="17" s="1"/>
  <c r="F120" i="17" s="1"/>
  <c r="S361" i="17"/>
  <c r="R361" i="17" s="1"/>
  <c r="P361" i="17" s="1"/>
  <c r="V361" i="17" s="1"/>
  <c r="F361" i="17" s="1"/>
  <c r="S320" i="17"/>
  <c r="R320" i="17" s="1"/>
  <c r="P320" i="17" s="1"/>
  <c r="V320" i="17" s="1"/>
  <c r="F320" i="17" s="1"/>
  <c r="S329" i="17"/>
  <c r="R329" i="17" s="1"/>
  <c r="P329" i="17" s="1"/>
  <c r="V329" i="17" s="1"/>
  <c r="F329" i="17" s="1"/>
  <c r="S269" i="17"/>
  <c r="R269" i="17" s="1"/>
  <c r="P269" i="17" s="1"/>
  <c r="V269" i="17" s="1"/>
  <c r="F269" i="17" s="1"/>
  <c r="S100" i="17"/>
  <c r="R100" i="17" s="1"/>
  <c r="P100" i="17" s="1"/>
  <c r="V100" i="17" s="1"/>
  <c r="F100" i="17" s="1"/>
  <c r="S176" i="17"/>
  <c r="R176" i="17" s="1"/>
  <c r="P176" i="17" s="1"/>
  <c r="V176" i="17" s="1"/>
  <c r="F176" i="17" s="1"/>
  <c r="S103" i="17"/>
  <c r="R103" i="17" s="1"/>
  <c r="P103" i="17" s="1"/>
  <c r="V103" i="17" s="1"/>
  <c r="F103" i="17" s="1"/>
  <c r="S154" i="17"/>
  <c r="R154" i="17" s="1"/>
  <c r="P154" i="17" s="1"/>
  <c r="V154" i="17" s="1"/>
  <c r="F154" i="17" s="1"/>
  <c r="S58" i="17"/>
  <c r="R58" i="17" s="1"/>
  <c r="P58" i="17" s="1"/>
  <c r="V58" i="17" s="1"/>
  <c r="F58" i="17" s="1"/>
  <c r="S161" i="17"/>
  <c r="R161" i="17" s="1"/>
  <c r="P161" i="17" s="1"/>
  <c r="V161" i="17" s="1"/>
  <c r="F161" i="17" s="1"/>
  <c r="S111" i="17"/>
  <c r="R111" i="17" s="1"/>
  <c r="P111" i="17" s="1"/>
  <c r="V111" i="17" s="1"/>
  <c r="F111" i="17" s="1"/>
  <c r="S200" i="17"/>
  <c r="R200" i="17" s="1"/>
  <c r="P200" i="17" s="1"/>
  <c r="V200" i="17" s="1"/>
  <c r="F200" i="17" s="1"/>
  <c r="S216" i="17"/>
  <c r="R216" i="17" s="1"/>
  <c r="P216" i="17" s="1"/>
  <c r="V216" i="17" s="1"/>
  <c r="F216" i="17" s="1"/>
  <c r="S296" i="17"/>
  <c r="R296" i="17" s="1"/>
  <c r="P296" i="17" s="1"/>
  <c r="V296" i="17" s="1"/>
  <c r="F296" i="17" s="1"/>
  <c r="S196" i="17"/>
  <c r="R196" i="17" s="1"/>
  <c r="P196" i="17" s="1"/>
  <c r="S131" i="17"/>
  <c r="R131" i="17" s="1"/>
  <c r="P131" i="17" s="1"/>
  <c r="V131" i="17" s="1"/>
  <c r="F131" i="17" s="1"/>
  <c r="S124" i="17"/>
  <c r="R124" i="17" s="1"/>
  <c r="P124" i="17" s="1"/>
  <c r="V124" i="17" s="1"/>
  <c r="F124" i="17" s="1"/>
  <c r="S180" i="17"/>
  <c r="R180" i="17" s="1"/>
  <c r="P180" i="17" s="1"/>
  <c r="S235" i="17"/>
  <c r="R235" i="17" s="1"/>
  <c r="P235" i="17" s="1"/>
  <c r="V235" i="17" s="1"/>
  <c r="F235" i="17" s="1"/>
  <c r="S325" i="17"/>
  <c r="R325" i="17" s="1"/>
  <c r="P325" i="17" s="1"/>
  <c r="V325" i="17" s="1"/>
  <c r="F325" i="17" s="1"/>
  <c r="S163" i="17"/>
  <c r="R163" i="17" s="1"/>
  <c r="P163" i="17" s="1"/>
  <c r="V163" i="17" s="1"/>
  <c r="F163" i="17" s="1"/>
  <c r="S305" i="17"/>
  <c r="R305" i="17" s="1"/>
  <c r="P305" i="17" s="1"/>
  <c r="V305" i="17" s="1"/>
  <c r="F305" i="17" s="1"/>
  <c r="S128" i="17"/>
  <c r="R128" i="17" s="1"/>
  <c r="P128" i="17" s="1"/>
  <c r="V128" i="17" s="1"/>
  <c r="F128" i="17" s="1"/>
  <c r="S147" i="17"/>
  <c r="R147" i="17" s="1"/>
  <c r="P147" i="17" s="1"/>
  <c r="V147" i="17" s="1"/>
  <c r="F147" i="17" s="1"/>
  <c r="S86" i="17"/>
  <c r="R86" i="17" s="1"/>
  <c r="P86" i="17" s="1"/>
  <c r="S326" i="17"/>
  <c r="R326" i="17" s="1"/>
  <c r="P326" i="17" s="1"/>
  <c r="S218" i="17"/>
  <c r="R218" i="17" s="1"/>
  <c r="P218" i="17" s="1"/>
  <c r="V218" i="17" s="1"/>
  <c r="F218" i="17" s="1"/>
  <c r="S152" i="17"/>
  <c r="R152" i="17" s="1"/>
  <c r="P152" i="17" s="1"/>
  <c r="V152" i="17" s="1"/>
  <c r="F152" i="17" s="1"/>
  <c r="S260" i="17"/>
  <c r="R260" i="17" s="1"/>
  <c r="P260" i="17" s="1"/>
  <c r="V260" i="17" s="1"/>
  <c r="F260" i="17" s="1"/>
  <c r="S179" i="17"/>
  <c r="R179" i="17" s="1"/>
  <c r="P179" i="17" s="1"/>
  <c r="V179" i="17" s="1"/>
  <c r="F179" i="17" s="1"/>
  <c r="S35" i="17"/>
  <c r="R35" i="17" s="1"/>
  <c r="P35" i="17" s="1"/>
  <c r="V35" i="17" s="1"/>
  <c r="F35" i="17" s="1"/>
  <c r="S175" i="17"/>
  <c r="R175" i="17" s="1"/>
  <c r="P175" i="17" s="1"/>
  <c r="V175" i="17" s="1"/>
  <c r="F175" i="17" s="1"/>
  <c r="S203" i="17"/>
  <c r="R203" i="17" s="1"/>
  <c r="P203" i="17" s="1"/>
  <c r="V203" i="17" s="1"/>
  <c r="F203" i="17" s="1"/>
  <c r="S187" i="17"/>
  <c r="R187" i="17" s="1"/>
  <c r="P187" i="17" s="1"/>
  <c r="V187" i="17" s="1"/>
  <c r="F187" i="17" s="1"/>
  <c r="S274" i="17"/>
  <c r="R274" i="17" s="1"/>
  <c r="P274" i="17" s="1"/>
  <c r="V274" i="17" s="1"/>
  <c r="F274" i="17" s="1"/>
  <c r="S352" i="17"/>
  <c r="R352" i="17" s="1"/>
  <c r="P352" i="17" s="1"/>
  <c r="V352" i="17" s="1"/>
  <c r="F352" i="17" s="1"/>
  <c r="S370" i="17"/>
  <c r="R370" i="17" s="1"/>
  <c r="P370" i="17" s="1"/>
  <c r="V370" i="17" s="1"/>
  <c r="F370" i="17" s="1"/>
  <c r="S65" i="17"/>
  <c r="R65" i="17" s="1"/>
  <c r="P65" i="17" s="1"/>
  <c r="V65" i="17" s="1"/>
  <c r="F65" i="17" s="1"/>
  <c r="S298" i="17"/>
  <c r="R298" i="17" s="1"/>
  <c r="P298" i="17" s="1"/>
  <c r="V298" i="17" s="1"/>
  <c r="F298" i="17" s="1"/>
  <c r="S136" i="17"/>
  <c r="R136" i="17" s="1"/>
  <c r="P136" i="17" s="1"/>
  <c r="V136" i="17" s="1"/>
  <c r="F136" i="17" s="1"/>
  <c r="S317" i="17"/>
  <c r="R317" i="17" s="1"/>
  <c r="P317" i="17" s="1"/>
  <c r="V317" i="17" s="1"/>
  <c r="F317" i="17" s="1"/>
  <c r="S113" i="17"/>
  <c r="R113" i="17" s="1"/>
  <c r="P113" i="17" s="1"/>
  <c r="S191" i="17"/>
  <c r="R191" i="17" s="1"/>
  <c r="P191" i="17" s="1"/>
  <c r="V191" i="17" s="1"/>
  <c r="F191" i="17" s="1"/>
  <c r="S318" i="17"/>
  <c r="R318" i="17" s="1"/>
  <c r="P318" i="17" s="1"/>
  <c r="V318" i="17" s="1"/>
  <c r="F318" i="17" s="1"/>
  <c r="S143" i="17"/>
  <c r="R143" i="17" s="1"/>
  <c r="P143" i="17" s="1"/>
  <c r="V143" i="17" s="1"/>
  <c r="F143" i="17" s="1"/>
  <c r="S151" i="17"/>
  <c r="R151" i="17" s="1"/>
  <c r="P151" i="17" s="1"/>
  <c r="V151" i="17" s="1"/>
  <c r="F151" i="17" s="1"/>
  <c r="S53" i="17"/>
  <c r="R53" i="17" s="1"/>
  <c r="P53" i="17" s="1"/>
  <c r="V53" i="17" s="1"/>
  <c r="F53" i="17" s="1"/>
  <c r="S199" i="17"/>
  <c r="R199" i="17" s="1"/>
  <c r="P199" i="17" s="1"/>
  <c r="V199" i="17" s="1"/>
  <c r="F199" i="17" s="1"/>
  <c r="S138" i="17"/>
  <c r="R138" i="17" s="1"/>
  <c r="P138" i="17" s="1"/>
  <c r="V138" i="17" s="1"/>
  <c r="F138" i="17" s="1"/>
  <c r="S153" i="17"/>
  <c r="R153" i="17" s="1"/>
  <c r="P153" i="17" s="1"/>
  <c r="V153" i="17" s="1"/>
  <c r="F153" i="17" s="1"/>
  <c r="S331" i="17"/>
  <c r="R331" i="17" s="1"/>
  <c r="P331" i="17" s="1"/>
  <c r="V331" i="17" s="1"/>
  <c r="F331" i="17" s="1"/>
  <c r="S284" i="17"/>
  <c r="R284" i="17" s="1"/>
  <c r="P284" i="17" s="1"/>
  <c r="V284" i="17" s="1"/>
  <c r="F284" i="17" s="1"/>
  <c r="S31" i="17"/>
  <c r="R31" i="17" s="1"/>
  <c r="P31" i="17" s="1"/>
  <c r="V31" i="17" s="1"/>
  <c r="F31" i="17" s="1"/>
  <c r="S42" i="17"/>
  <c r="R42" i="17" s="1"/>
  <c r="P42" i="17" s="1"/>
  <c r="V42" i="17" s="1"/>
  <c r="F42" i="17" s="1"/>
  <c r="S249" i="17"/>
  <c r="R249" i="17" s="1"/>
  <c r="P249" i="17" s="1"/>
  <c r="V249" i="17" s="1"/>
  <c r="F249" i="17" s="1"/>
  <c r="S237" i="17"/>
  <c r="R237" i="17" s="1"/>
  <c r="P237" i="17" s="1"/>
  <c r="V237" i="17" s="1"/>
  <c r="F237" i="17" s="1"/>
  <c r="S221" i="17"/>
  <c r="R221" i="17" s="1"/>
  <c r="P221" i="17" s="1"/>
  <c r="V221" i="17" s="1"/>
  <c r="F221" i="17" s="1"/>
  <c r="S297" i="17"/>
  <c r="R297" i="17" s="1"/>
  <c r="P297" i="17" s="1"/>
  <c r="V297" i="17" s="1"/>
  <c r="F297" i="17" s="1"/>
  <c r="S283" i="17"/>
  <c r="R283" i="17" s="1"/>
  <c r="P283" i="17" s="1"/>
  <c r="V283" i="17" s="1"/>
  <c r="F283" i="17" s="1"/>
  <c r="S265" i="17"/>
  <c r="R265" i="17" s="1"/>
  <c r="P265" i="17" s="1"/>
  <c r="V265" i="17" s="1"/>
  <c r="F265" i="17" s="1"/>
  <c r="S141" i="17"/>
  <c r="R141" i="17" s="1"/>
  <c r="P141" i="17" s="1"/>
  <c r="V141" i="17" s="1"/>
  <c r="F141" i="17" s="1"/>
  <c r="S357" i="17"/>
  <c r="R357" i="17" s="1"/>
  <c r="P357" i="17" s="1"/>
  <c r="V357" i="17" s="1"/>
  <c r="F357" i="17" s="1"/>
  <c r="S339" i="17"/>
  <c r="R339" i="17" s="1"/>
  <c r="P339" i="17" s="1"/>
  <c r="V339" i="17" s="1"/>
  <c r="F339" i="17" s="1"/>
  <c r="S39" i="17"/>
  <c r="R39" i="17" s="1"/>
  <c r="P39" i="17" s="1"/>
  <c r="V39" i="17" s="1"/>
  <c r="F39" i="17" s="1"/>
  <c r="S376" i="17"/>
  <c r="R376" i="17" s="1"/>
  <c r="P376" i="17" s="1"/>
  <c r="V376" i="17" s="1"/>
  <c r="F376" i="17" s="1"/>
  <c r="S267" i="17"/>
  <c r="R267" i="17" s="1"/>
  <c r="P267" i="17" s="1"/>
  <c r="V267" i="17" s="1"/>
  <c r="F267" i="17" s="1"/>
  <c r="S97" i="17"/>
  <c r="R97" i="17" s="1"/>
  <c r="P97" i="17" s="1"/>
  <c r="V97" i="17" s="1"/>
  <c r="F97" i="17" s="1"/>
  <c r="S347" i="17"/>
  <c r="R347" i="17" s="1"/>
  <c r="P347" i="17" s="1"/>
  <c r="V347" i="17" s="1"/>
  <c r="F347" i="17" s="1"/>
  <c r="S72" i="17"/>
  <c r="R72" i="17" s="1"/>
  <c r="P72" i="17" s="1"/>
  <c r="V72" i="17" s="1"/>
  <c r="F72" i="17" s="1"/>
  <c r="S95" i="17"/>
  <c r="R95" i="17" s="1"/>
  <c r="P95" i="17" s="1"/>
  <c r="V95" i="17" s="1"/>
  <c r="F95" i="17" s="1"/>
  <c r="S232" i="17"/>
  <c r="R232" i="17" s="1"/>
  <c r="P232" i="17" s="1"/>
  <c r="V232" i="17" s="1"/>
  <c r="F232" i="17" s="1"/>
  <c r="S68" i="17"/>
  <c r="R68" i="17" s="1"/>
  <c r="P68" i="17" s="1"/>
  <c r="V68" i="17" s="1"/>
  <c r="F68" i="17" s="1"/>
  <c r="S67" i="17"/>
  <c r="R67" i="17" s="1"/>
  <c r="P67" i="17" s="1"/>
  <c r="V67" i="17" s="1"/>
  <c r="F67" i="17" s="1"/>
  <c r="S312" i="17"/>
  <c r="R312" i="17" s="1"/>
  <c r="P312" i="17" s="1"/>
  <c r="V312" i="17" s="1"/>
  <c r="F312" i="17" s="1"/>
  <c r="S333" i="17"/>
  <c r="R333" i="17" s="1"/>
  <c r="P333" i="17" s="1"/>
  <c r="S107" i="17"/>
  <c r="R107" i="17" s="1"/>
  <c r="P107" i="17" s="1"/>
  <c r="V107" i="17" s="1"/>
  <c r="F107" i="17" s="1"/>
  <c r="S261" i="17"/>
  <c r="R261" i="17" s="1"/>
  <c r="P261" i="17" s="1"/>
  <c r="S166" i="17"/>
  <c r="R166" i="17" s="1"/>
  <c r="P166" i="17" s="1"/>
  <c r="V166" i="17" s="1"/>
  <c r="S194" i="17"/>
  <c r="R194" i="17" s="1"/>
  <c r="P194" i="17" s="1"/>
  <c r="V194" i="17" s="1"/>
  <c r="F194" i="17" s="1"/>
  <c r="AA176" i="16"/>
  <c r="Z176" i="16" s="1"/>
  <c r="Y176" i="16" s="1"/>
  <c r="G176" i="16"/>
  <c r="BY176" i="6" s="1"/>
  <c r="H176" i="16"/>
  <c r="P383" i="16"/>
  <c r="P382" i="16"/>
  <c r="P381" i="16"/>
  <c r="V15" i="16"/>
  <c r="J289" i="16"/>
  <c r="I289" i="16"/>
  <c r="I350" i="16"/>
  <c r="J350" i="16"/>
  <c r="AG330" i="17"/>
  <c r="AF330" i="17" s="1"/>
  <c r="AD330" i="17" s="1"/>
  <c r="AG165" i="17"/>
  <c r="AF165" i="17" s="1"/>
  <c r="AD165" i="17" s="1"/>
  <c r="AG168" i="17"/>
  <c r="AF168" i="17" s="1"/>
  <c r="AD168" i="17" s="1"/>
  <c r="AG89" i="17"/>
  <c r="AF89" i="17" s="1"/>
  <c r="AD89" i="17" s="1"/>
  <c r="AG61" i="17"/>
  <c r="AF61" i="17" s="1"/>
  <c r="AD61" i="17" s="1"/>
  <c r="AG377" i="17"/>
  <c r="AF377" i="17" s="1"/>
  <c r="AD377" i="17" s="1"/>
  <c r="AG348" i="17"/>
  <c r="AF348" i="17" s="1"/>
  <c r="AD348" i="17" s="1"/>
  <c r="AG145" i="17"/>
  <c r="AF145" i="17" s="1"/>
  <c r="AD145" i="17" s="1"/>
  <c r="AG240" i="17"/>
  <c r="AF240" i="17" s="1"/>
  <c r="AD240" i="17" s="1"/>
  <c r="AG216" i="17"/>
  <c r="AF216" i="17" s="1"/>
  <c r="AD216" i="17" s="1"/>
  <c r="AG224" i="17"/>
  <c r="AF224" i="17" s="1"/>
  <c r="AD224" i="17" s="1"/>
  <c r="AG69" i="17"/>
  <c r="AF69" i="17" s="1"/>
  <c r="AD69" i="17" s="1"/>
  <c r="AG39" i="17"/>
  <c r="AF39" i="17" s="1"/>
  <c r="AD39" i="17" s="1"/>
  <c r="AG97" i="17"/>
  <c r="AF97" i="17" s="1"/>
  <c r="AD97" i="17" s="1"/>
  <c r="AG42" i="17"/>
  <c r="AF42" i="17" s="1"/>
  <c r="AD42" i="17" s="1"/>
  <c r="AG113" i="17"/>
  <c r="AF113" i="17" s="1"/>
  <c r="AD113" i="17" s="1"/>
  <c r="AG158" i="17"/>
  <c r="AF158" i="17" s="1"/>
  <c r="AD158" i="17" s="1"/>
  <c r="AG94" i="17"/>
  <c r="AF94" i="17" s="1"/>
  <c r="AD94" i="17" s="1"/>
  <c r="AG184" i="17"/>
  <c r="AF184" i="17" s="1"/>
  <c r="AD184" i="17" s="1"/>
  <c r="AG328" i="17"/>
  <c r="AF328" i="17" s="1"/>
  <c r="AD328" i="17" s="1"/>
  <c r="AG71" i="17"/>
  <c r="AF71" i="17" s="1"/>
  <c r="AD71" i="17" s="1"/>
  <c r="AG313" i="17"/>
  <c r="AF313" i="17" s="1"/>
  <c r="AD313" i="17" s="1"/>
  <c r="AG273" i="17"/>
  <c r="AF273" i="17" s="1"/>
  <c r="AD273" i="17" s="1"/>
  <c r="AG41" i="17"/>
  <c r="AF41" i="17" s="1"/>
  <c r="AD41" i="17" s="1"/>
  <c r="AG278" i="17"/>
  <c r="AF278" i="17" s="1"/>
  <c r="AD278" i="17" s="1"/>
  <c r="AG17" i="17"/>
  <c r="AF17" i="17" s="1"/>
  <c r="AD17" i="17" s="1"/>
  <c r="AG21" i="17"/>
  <c r="AF21" i="17" s="1"/>
  <c r="AD21" i="17" s="1"/>
  <c r="AG194" i="17"/>
  <c r="AF194" i="17" s="1"/>
  <c r="AD194" i="17" s="1"/>
  <c r="AG180" i="17"/>
  <c r="AF180" i="17" s="1"/>
  <c r="AD180" i="17" s="1"/>
  <c r="AG275" i="17"/>
  <c r="AF275" i="17" s="1"/>
  <c r="AD275" i="17" s="1"/>
  <c r="AG176" i="17"/>
  <c r="AF176" i="17" s="1"/>
  <c r="AD176" i="17" s="1"/>
  <c r="AG188" i="17"/>
  <c r="AF188" i="17" s="1"/>
  <c r="AD188" i="17" s="1"/>
  <c r="AG344" i="17"/>
  <c r="AF344" i="17" s="1"/>
  <c r="AD344" i="17" s="1"/>
  <c r="AG117" i="17"/>
  <c r="AF117" i="17" s="1"/>
  <c r="AD117" i="17" s="1"/>
  <c r="AG101" i="17"/>
  <c r="AF101" i="17" s="1"/>
  <c r="AD101" i="17" s="1"/>
  <c r="AG359" i="17"/>
  <c r="AF359" i="17" s="1"/>
  <c r="AD359" i="17" s="1"/>
  <c r="AG310" i="17"/>
  <c r="AF310" i="17" s="1"/>
  <c r="AD310" i="17" s="1"/>
  <c r="AG26" i="17"/>
  <c r="AF26" i="17" s="1"/>
  <c r="AD26" i="17" s="1"/>
  <c r="AG350" i="17"/>
  <c r="AF350" i="17" s="1"/>
  <c r="AD350" i="17" s="1"/>
  <c r="AG241" i="17"/>
  <c r="AF241" i="17" s="1"/>
  <c r="AD241" i="17" s="1"/>
  <c r="AG73" i="17"/>
  <c r="AF73" i="17" s="1"/>
  <c r="AD73" i="17" s="1"/>
  <c r="AA73" i="17" s="1"/>
  <c r="Z73" i="17" s="1"/>
  <c r="Y73" i="17" s="1"/>
  <c r="AG336" i="17"/>
  <c r="AF336" i="17" s="1"/>
  <c r="AD336" i="17" s="1"/>
  <c r="AG354" i="17"/>
  <c r="AF354" i="17" s="1"/>
  <c r="AD354" i="17" s="1"/>
  <c r="AG272" i="17"/>
  <c r="AF272" i="17" s="1"/>
  <c r="AD272" i="17" s="1"/>
  <c r="AG114" i="17"/>
  <c r="AF114" i="17" s="1"/>
  <c r="AD114" i="17" s="1"/>
  <c r="AG197" i="17"/>
  <c r="AF197" i="17" s="1"/>
  <c r="AD197" i="17" s="1"/>
  <c r="AG193" i="17"/>
  <c r="AF193" i="17" s="1"/>
  <c r="AD193" i="17" s="1"/>
  <c r="AA193" i="17" s="1"/>
  <c r="Z193" i="17" s="1"/>
  <c r="Y193" i="17" s="1"/>
  <c r="AG375" i="17"/>
  <c r="AF375" i="17" s="1"/>
  <c r="AD375" i="17" s="1"/>
  <c r="AG204" i="17"/>
  <c r="AF204" i="17" s="1"/>
  <c r="AD204" i="17" s="1"/>
  <c r="AG243" i="17"/>
  <c r="AF243" i="17" s="1"/>
  <c r="AD243" i="17" s="1"/>
  <c r="AG357" i="17"/>
  <c r="AF357" i="17" s="1"/>
  <c r="AD357" i="17" s="1"/>
  <c r="AG252" i="17"/>
  <c r="AF252" i="17" s="1"/>
  <c r="AD252" i="17" s="1"/>
  <c r="AG339" i="17"/>
  <c r="AF339" i="17" s="1"/>
  <c r="AD339" i="17" s="1"/>
  <c r="AG280" i="17"/>
  <c r="AF280" i="17" s="1"/>
  <c r="AD280" i="17" s="1"/>
  <c r="AG120" i="17"/>
  <c r="AF120" i="17" s="1"/>
  <c r="AD120" i="17" s="1"/>
  <c r="AG99" i="17"/>
  <c r="AF99" i="17" s="1"/>
  <c r="AD99" i="17" s="1"/>
  <c r="AG93" i="17"/>
  <c r="AF93" i="17" s="1"/>
  <c r="AD93" i="17" s="1"/>
  <c r="AG211" i="17"/>
  <c r="AF211" i="17" s="1"/>
  <c r="AD211" i="17" s="1"/>
  <c r="AG255" i="17"/>
  <c r="AF255" i="17" s="1"/>
  <c r="AD255" i="17" s="1"/>
  <c r="AG74" i="17"/>
  <c r="AF74" i="17" s="1"/>
  <c r="AD74" i="17" s="1"/>
  <c r="AG124" i="17"/>
  <c r="AF124" i="17" s="1"/>
  <c r="AD124" i="17" s="1"/>
  <c r="AG229" i="17"/>
  <c r="AF229" i="17" s="1"/>
  <c r="AD229" i="17" s="1"/>
  <c r="AG115" i="17"/>
  <c r="AF115" i="17" s="1"/>
  <c r="AD115" i="17" s="1"/>
  <c r="AG232" i="17"/>
  <c r="AF232" i="17" s="1"/>
  <c r="AD232" i="17" s="1"/>
  <c r="AG249" i="17"/>
  <c r="AF249" i="17" s="1"/>
  <c r="AD249" i="17" s="1"/>
  <c r="AG54" i="17"/>
  <c r="AF54" i="17" s="1"/>
  <c r="AD54" i="17" s="1"/>
  <c r="AG31" i="17"/>
  <c r="AF31" i="17" s="1"/>
  <c r="AD31" i="17" s="1"/>
  <c r="AG81" i="17"/>
  <c r="AF81" i="17" s="1"/>
  <c r="AD81" i="17" s="1"/>
  <c r="AG293" i="17"/>
  <c r="AF293" i="17" s="1"/>
  <c r="AD293" i="17" s="1"/>
  <c r="AG76" i="17"/>
  <c r="AF76" i="17" s="1"/>
  <c r="AD76" i="17" s="1"/>
  <c r="AG217" i="17"/>
  <c r="AF217" i="17" s="1"/>
  <c r="AD217" i="17" s="1"/>
  <c r="AG189" i="17"/>
  <c r="AF189" i="17" s="1"/>
  <c r="AD189" i="17" s="1"/>
  <c r="AG19" i="17"/>
  <c r="AF19" i="17" s="1"/>
  <c r="AD19" i="17" s="1"/>
  <c r="AG311" i="17"/>
  <c r="AF311" i="17" s="1"/>
  <c r="AD311" i="17" s="1"/>
  <c r="AI12" i="18"/>
  <c r="AH379" i="17"/>
  <c r="AG274" i="17"/>
  <c r="AF274" i="17" s="1"/>
  <c r="AD274" i="17" s="1"/>
  <c r="AG294" i="17"/>
  <c r="AF294" i="17" s="1"/>
  <c r="AD294" i="17" s="1"/>
  <c r="AG137" i="17"/>
  <c r="AF137" i="17" s="1"/>
  <c r="AD137" i="17" s="1"/>
  <c r="AG152" i="17"/>
  <c r="AF152" i="17" s="1"/>
  <c r="AD152" i="17" s="1"/>
  <c r="AG205" i="17"/>
  <c r="AF205" i="17" s="1"/>
  <c r="AD205" i="17" s="1"/>
  <c r="AG270" i="17"/>
  <c r="AF270" i="17" s="1"/>
  <c r="AD270" i="17" s="1"/>
  <c r="AG289" i="17"/>
  <c r="AF289" i="17" s="1"/>
  <c r="AD289" i="17" s="1"/>
  <c r="AG105" i="17"/>
  <c r="AF105" i="17" s="1"/>
  <c r="AD105" i="17" s="1"/>
  <c r="AG153" i="17"/>
  <c r="AF153" i="17" s="1"/>
  <c r="AD153" i="17" s="1"/>
  <c r="AG351" i="17"/>
  <c r="AF351" i="17" s="1"/>
  <c r="AD351" i="17" s="1"/>
  <c r="AG68" i="17"/>
  <c r="AF68" i="17" s="1"/>
  <c r="AD68" i="17" s="1"/>
  <c r="AG214" i="17"/>
  <c r="AF214" i="17" s="1"/>
  <c r="AD214" i="17" s="1"/>
  <c r="AG259" i="17"/>
  <c r="AF259" i="17" s="1"/>
  <c r="AD259" i="17" s="1"/>
  <c r="AG245" i="17"/>
  <c r="AF245" i="17" s="1"/>
  <c r="AD245" i="17" s="1"/>
  <c r="AG371" i="17"/>
  <c r="AF371" i="17" s="1"/>
  <c r="AD371" i="17" s="1"/>
  <c r="AG18" i="17"/>
  <c r="AF18" i="17" s="1"/>
  <c r="AD18" i="17" s="1"/>
  <c r="AG352" i="17"/>
  <c r="AF352" i="17" s="1"/>
  <c r="AD352" i="17" s="1"/>
  <c r="J88" i="16"/>
  <c r="I88" i="16"/>
  <c r="I363" i="16"/>
  <c r="J363" i="16"/>
  <c r="I380" i="17"/>
  <c r="H380" i="18" s="1"/>
  <c r="J380" i="17"/>
  <c r="S145" i="17"/>
  <c r="R145" i="17" s="1"/>
  <c r="P145" i="17" s="1"/>
  <c r="S16" i="17"/>
  <c r="R16" i="17" s="1"/>
  <c r="P16" i="17" s="1"/>
  <c r="V16" i="17" s="1"/>
  <c r="F16" i="17" s="1"/>
  <c r="S110" i="17"/>
  <c r="R110" i="17" s="1"/>
  <c r="P110" i="17" s="1"/>
  <c r="V110" i="17" s="1"/>
  <c r="F110" i="17" s="1"/>
  <c r="S198" i="17"/>
  <c r="R198" i="17" s="1"/>
  <c r="P198" i="17" s="1"/>
  <c r="V198" i="17" s="1"/>
  <c r="F198" i="17" s="1"/>
  <c r="S150" i="17"/>
  <c r="R150" i="17" s="1"/>
  <c r="P150" i="17" s="1"/>
  <c r="V150" i="17" s="1"/>
  <c r="F150" i="17" s="1"/>
  <c r="S127" i="17"/>
  <c r="R127" i="17" s="1"/>
  <c r="P127" i="17" s="1"/>
  <c r="V127" i="17" s="1"/>
  <c r="F127" i="17" s="1"/>
  <c r="S373" i="17"/>
  <c r="R373" i="17" s="1"/>
  <c r="P373" i="17" s="1"/>
  <c r="V373" i="17" s="1"/>
  <c r="F373" i="17" s="1"/>
  <c r="S51" i="17"/>
  <c r="R51" i="17" s="1"/>
  <c r="P51" i="17" s="1"/>
  <c r="V51" i="17" s="1"/>
  <c r="F51" i="17" s="1"/>
  <c r="S294" i="17"/>
  <c r="R294" i="17" s="1"/>
  <c r="P294" i="17" s="1"/>
  <c r="V294" i="17" s="1"/>
  <c r="F294" i="17" s="1"/>
  <c r="S174" i="17"/>
  <c r="R174" i="17" s="1"/>
  <c r="P174" i="17" s="1"/>
  <c r="S139" i="17"/>
  <c r="R139" i="17" s="1"/>
  <c r="P139" i="17" s="1"/>
  <c r="V139" i="17" s="1"/>
  <c r="F139" i="17" s="1"/>
  <c r="S367" i="17"/>
  <c r="R367" i="17" s="1"/>
  <c r="P367" i="17" s="1"/>
  <c r="V367" i="17" s="1"/>
  <c r="F367" i="17" s="1"/>
  <c r="S210" i="17"/>
  <c r="R210" i="17" s="1"/>
  <c r="P210" i="17" s="1"/>
  <c r="S171" i="17"/>
  <c r="R171" i="17" s="1"/>
  <c r="P171" i="17" s="1"/>
  <c r="V171" i="17" s="1"/>
  <c r="F171" i="17" s="1"/>
  <c r="S306" i="17"/>
  <c r="R306" i="17" s="1"/>
  <c r="P306" i="17" s="1"/>
  <c r="V306" i="17" s="1"/>
  <c r="F306" i="17" s="1"/>
  <c r="S88" i="17"/>
  <c r="R88" i="17" s="1"/>
  <c r="P88" i="17" s="1"/>
  <c r="S106" i="17"/>
  <c r="R106" i="17" s="1"/>
  <c r="P106" i="17" s="1"/>
  <c r="V106" i="17" s="1"/>
  <c r="F106" i="17" s="1"/>
  <c r="S247" i="17"/>
  <c r="R247" i="17" s="1"/>
  <c r="P247" i="17" s="1"/>
  <c r="V247" i="17" s="1"/>
  <c r="F247" i="17" s="1"/>
  <c r="S61" i="17"/>
  <c r="R61" i="17" s="1"/>
  <c r="P61" i="17" s="1"/>
  <c r="V61" i="17" s="1"/>
  <c r="F61" i="17" s="1"/>
  <c r="S66" i="17"/>
  <c r="R66" i="17" s="1"/>
  <c r="P66" i="17" s="1"/>
  <c r="V66" i="17" s="1"/>
  <c r="F66" i="17" s="1"/>
  <c r="S190" i="17"/>
  <c r="R190" i="17" s="1"/>
  <c r="P190" i="17" s="1"/>
  <c r="V190" i="17" s="1"/>
  <c r="F190" i="17" s="1"/>
  <c r="S234" i="17"/>
  <c r="R234" i="17" s="1"/>
  <c r="P234" i="17" s="1"/>
  <c r="V234" i="17" s="1"/>
  <c r="F234" i="17" s="1"/>
  <c r="S177" i="17"/>
  <c r="R177" i="17" s="1"/>
  <c r="P177" i="17" s="1"/>
  <c r="V177" i="17" s="1"/>
  <c r="F177" i="17" s="1"/>
  <c r="S87" i="17"/>
  <c r="R87" i="17" s="1"/>
  <c r="P87" i="17" s="1"/>
  <c r="V87" i="17" s="1"/>
  <c r="F87" i="17" s="1"/>
  <c r="S202" i="17"/>
  <c r="R202" i="17" s="1"/>
  <c r="P202" i="17" s="1"/>
  <c r="V202" i="17" s="1"/>
  <c r="F202" i="17" s="1"/>
  <c r="S167" i="17"/>
  <c r="R167" i="17" s="1"/>
  <c r="P167" i="17" s="1"/>
  <c r="V167" i="17" s="1"/>
  <c r="F167" i="17" s="1"/>
  <c r="S240" i="17"/>
  <c r="R240" i="17" s="1"/>
  <c r="P240" i="17" s="1"/>
  <c r="V240" i="17" s="1"/>
  <c r="F240" i="17" s="1"/>
  <c r="S47" i="17"/>
  <c r="R47" i="17" s="1"/>
  <c r="P47" i="17" s="1"/>
  <c r="S374" i="17"/>
  <c r="R374" i="17" s="1"/>
  <c r="P374" i="17" s="1"/>
  <c r="V374" i="17" s="1"/>
  <c r="F374" i="17" s="1"/>
  <c r="S129" i="17"/>
  <c r="R129" i="17" s="1"/>
  <c r="P129" i="17" s="1"/>
  <c r="V129" i="17" s="1"/>
  <c r="F129" i="17" s="1"/>
  <c r="S94" i="17"/>
  <c r="R94" i="17" s="1"/>
  <c r="P94" i="17" s="1"/>
  <c r="V94" i="17" s="1"/>
  <c r="F94" i="17" s="1"/>
  <c r="S144" i="17"/>
  <c r="R144" i="17" s="1"/>
  <c r="P144" i="17" s="1"/>
  <c r="V144" i="17" s="1"/>
  <c r="F144" i="17" s="1"/>
  <c r="S185" i="17"/>
  <c r="R185" i="17" s="1"/>
  <c r="P185" i="17" s="1"/>
  <c r="V185" i="17" s="1"/>
  <c r="F185" i="17" s="1"/>
  <c r="S173" i="17"/>
  <c r="R173" i="17" s="1"/>
  <c r="P173" i="17" s="1"/>
  <c r="V173" i="17" s="1"/>
  <c r="F173" i="17" s="1"/>
  <c r="S214" i="17"/>
  <c r="R214" i="17" s="1"/>
  <c r="P214" i="17" s="1"/>
  <c r="V214" i="17" s="1"/>
  <c r="F214" i="17" s="1"/>
  <c r="S233" i="17"/>
  <c r="R233" i="17" s="1"/>
  <c r="P233" i="17" s="1"/>
  <c r="V233" i="17" s="1"/>
  <c r="F233" i="17" s="1"/>
  <c r="S241" i="17"/>
  <c r="R241" i="17" s="1"/>
  <c r="P241" i="17" s="1"/>
  <c r="S201" i="17"/>
  <c r="R201" i="17" s="1"/>
  <c r="P201" i="17" s="1"/>
  <c r="V201" i="17" s="1"/>
  <c r="F201" i="17" s="1"/>
  <c r="S224" i="17"/>
  <c r="R224" i="17" s="1"/>
  <c r="P224" i="17" s="1"/>
  <c r="V224" i="17" s="1"/>
  <c r="F224" i="17" s="1"/>
  <c r="S293" i="17"/>
  <c r="R293" i="17" s="1"/>
  <c r="P293" i="17" s="1"/>
  <c r="V293" i="17" s="1"/>
  <c r="F293" i="17" s="1"/>
  <c r="S83" i="17"/>
  <c r="R83" i="17" s="1"/>
  <c r="P83" i="17" s="1"/>
  <c r="V83" i="17" s="1"/>
  <c r="F83" i="17" s="1"/>
  <c r="V16" i="7"/>
  <c r="AB11" i="7" s="1"/>
  <c r="U11" i="18" s="1"/>
  <c r="U12" i="18"/>
  <c r="T379" i="17"/>
  <c r="S379" i="17" s="1"/>
  <c r="R379" i="17" s="1"/>
  <c r="P379" i="17" s="1"/>
  <c r="S349" i="17"/>
  <c r="R349" i="17" s="1"/>
  <c r="P349" i="17" s="1"/>
  <c r="S75" i="17"/>
  <c r="R75" i="17" s="1"/>
  <c r="P75" i="17" s="1"/>
  <c r="V75" i="17" s="1"/>
  <c r="F75" i="17" s="1"/>
  <c r="S34" i="17"/>
  <c r="R34" i="17" s="1"/>
  <c r="P34" i="17" s="1"/>
  <c r="V34" i="17" s="1"/>
  <c r="F34" i="17" s="1"/>
  <c r="S278" i="17"/>
  <c r="R278" i="17" s="1"/>
  <c r="P278" i="17" s="1"/>
  <c r="V278" i="17" s="1"/>
  <c r="F278" i="17" s="1"/>
  <c r="S375" i="17"/>
  <c r="R375" i="17" s="1"/>
  <c r="P375" i="17" s="1"/>
  <c r="V375" i="17" s="1"/>
  <c r="F375" i="17" s="1"/>
  <c r="S286" i="17"/>
  <c r="R286" i="17" s="1"/>
  <c r="P286" i="17" s="1"/>
  <c r="V286" i="17" s="1"/>
  <c r="F286" i="17" s="1"/>
  <c r="S168" i="17"/>
  <c r="R168" i="17" s="1"/>
  <c r="P168" i="17" s="1"/>
  <c r="V168" i="17" s="1"/>
  <c r="F168" i="17" s="1"/>
  <c r="S277" i="17"/>
  <c r="R277" i="17" s="1"/>
  <c r="P277" i="17" s="1"/>
  <c r="V277" i="17" s="1"/>
  <c r="F277" i="17" s="1"/>
  <c r="S358" i="17"/>
  <c r="R358" i="17" s="1"/>
  <c r="P358" i="17" s="1"/>
  <c r="V358" i="17" s="1"/>
  <c r="F358" i="17" s="1"/>
  <c r="S270" i="17"/>
  <c r="R270" i="17" s="1"/>
  <c r="P270" i="17" s="1"/>
  <c r="V270" i="17" s="1"/>
  <c r="F270" i="17" s="1"/>
  <c r="S205" i="17"/>
  <c r="R205" i="17" s="1"/>
  <c r="P205" i="17" s="1"/>
  <c r="V205" i="17" s="1"/>
  <c r="F205" i="17" s="1"/>
  <c r="S156" i="17"/>
  <c r="R156" i="17" s="1"/>
  <c r="P156" i="17" s="1"/>
  <c r="V156" i="17" s="1"/>
  <c r="F156" i="17" s="1"/>
  <c r="S197" i="17"/>
  <c r="R197" i="17" s="1"/>
  <c r="P197" i="17" s="1"/>
  <c r="V197" i="17" s="1"/>
  <c r="F197" i="17" s="1"/>
  <c r="S38" i="17"/>
  <c r="R38" i="17" s="1"/>
  <c r="P38" i="17" s="1"/>
  <c r="V38" i="17" s="1"/>
  <c r="F38" i="17" s="1"/>
  <c r="S56" i="17"/>
  <c r="R56" i="17" s="1"/>
  <c r="P56" i="17" s="1"/>
  <c r="V56" i="17" s="1"/>
  <c r="F56" i="17" s="1"/>
  <c r="S340" i="17"/>
  <c r="R340" i="17" s="1"/>
  <c r="P340" i="17" s="1"/>
  <c r="V340" i="17" s="1"/>
  <c r="F340" i="17" s="1"/>
  <c r="S262" i="17"/>
  <c r="R262" i="17" s="1"/>
  <c r="P262" i="17" s="1"/>
  <c r="V262" i="17" s="1"/>
  <c r="F262" i="17" s="1"/>
  <c r="S93" i="17"/>
  <c r="R93" i="17" s="1"/>
  <c r="P93" i="17" s="1"/>
  <c r="V93" i="17" s="1"/>
  <c r="F93" i="17" s="1"/>
  <c r="S70" i="17"/>
  <c r="R70" i="17" s="1"/>
  <c r="P70" i="17" s="1"/>
  <c r="V70" i="17" s="1"/>
  <c r="F70" i="17" s="1"/>
  <c r="S369" i="17"/>
  <c r="R369" i="17" s="1"/>
  <c r="P369" i="17" s="1"/>
  <c r="V369" i="17" s="1"/>
  <c r="F369" i="17" s="1"/>
  <c r="S254" i="17"/>
  <c r="R254" i="17" s="1"/>
  <c r="P254" i="17" s="1"/>
  <c r="V254" i="17" s="1"/>
  <c r="F254" i="17" s="1"/>
  <c r="S245" i="17"/>
  <c r="R245" i="17" s="1"/>
  <c r="P245" i="17" s="1"/>
  <c r="V245" i="17" s="1"/>
  <c r="F245" i="17" s="1"/>
  <c r="S360" i="17"/>
  <c r="R360" i="17" s="1"/>
  <c r="P360" i="17" s="1"/>
  <c r="V360" i="17" s="1"/>
  <c r="F360" i="17" s="1"/>
  <c r="S102" i="17"/>
  <c r="R102" i="17" s="1"/>
  <c r="P102" i="17" s="1"/>
  <c r="V102" i="17" s="1"/>
  <c r="F102" i="17" s="1"/>
  <c r="S346" i="17"/>
  <c r="R346" i="17" s="1"/>
  <c r="P346" i="17" s="1"/>
  <c r="V346" i="17" s="1"/>
  <c r="F346" i="17" s="1"/>
  <c r="S246" i="17"/>
  <c r="R246" i="17" s="1"/>
  <c r="P246" i="17" s="1"/>
  <c r="V246" i="17" s="1"/>
  <c r="F246" i="17" s="1"/>
  <c r="S258" i="17"/>
  <c r="R258" i="17" s="1"/>
  <c r="P258" i="17" s="1"/>
  <c r="S146" i="17"/>
  <c r="R146" i="17" s="1"/>
  <c r="P146" i="17" s="1"/>
  <c r="V146" i="17" s="1"/>
  <c r="F146" i="17" s="1"/>
  <c r="S43" i="17"/>
  <c r="R43" i="17" s="1"/>
  <c r="P43" i="17" s="1"/>
  <c r="V43" i="17" s="1"/>
  <c r="F43" i="17" s="1"/>
  <c r="S242" i="17"/>
  <c r="R242" i="17" s="1"/>
  <c r="P242" i="17" s="1"/>
  <c r="V242" i="17" s="1"/>
  <c r="F242" i="17" s="1"/>
  <c r="S287" i="17"/>
  <c r="R287" i="17" s="1"/>
  <c r="P287" i="17" s="1"/>
  <c r="V287" i="17" s="1"/>
  <c r="F287" i="17" s="1"/>
  <c r="S272" i="17"/>
  <c r="R272" i="17" s="1"/>
  <c r="P272" i="17" s="1"/>
  <c r="S183" i="17"/>
  <c r="R183" i="17" s="1"/>
  <c r="P183" i="17" s="1"/>
  <c r="V183" i="17" s="1"/>
  <c r="F183" i="17" s="1"/>
  <c r="S27" i="17"/>
  <c r="R27" i="17" s="1"/>
  <c r="P27" i="17" s="1"/>
  <c r="V27" i="17" s="1"/>
  <c r="F27" i="17" s="1"/>
  <c r="S206" i="17"/>
  <c r="R206" i="17" s="1"/>
  <c r="P206" i="17" s="1"/>
  <c r="V206" i="17" s="1"/>
  <c r="F206" i="17" s="1"/>
  <c r="S62" i="17"/>
  <c r="R62" i="17" s="1"/>
  <c r="P62" i="17" s="1"/>
  <c r="V62" i="17" s="1"/>
  <c r="F62" i="17" s="1"/>
  <c r="S336" i="17"/>
  <c r="R336" i="17" s="1"/>
  <c r="P336" i="17" s="1"/>
  <c r="V336" i="17" s="1"/>
  <c r="F336" i="17" s="1"/>
  <c r="S282" i="17"/>
  <c r="R282" i="17" s="1"/>
  <c r="P282" i="17" s="1"/>
  <c r="V282" i="17" s="1"/>
  <c r="F282" i="17" s="1"/>
  <c r="S23" i="17"/>
  <c r="R23" i="17" s="1"/>
  <c r="P23" i="17" s="1"/>
  <c r="V23" i="17" s="1"/>
  <c r="F23" i="17" s="1"/>
  <c r="S304" i="17"/>
  <c r="R304" i="17" s="1"/>
  <c r="P304" i="17" s="1"/>
  <c r="V304" i="17" s="1"/>
  <c r="F304" i="17" s="1"/>
  <c r="S135" i="17"/>
  <c r="R135" i="17" s="1"/>
  <c r="P135" i="17" s="1"/>
  <c r="S112" i="17"/>
  <c r="R112" i="17" s="1"/>
  <c r="P112" i="17" s="1"/>
  <c r="S59" i="17"/>
  <c r="R59" i="17" s="1"/>
  <c r="P59" i="17" s="1"/>
  <c r="V59" i="17" s="1"/>
  <c r="F59" i="17" s="1"/>
  <c r="S348" i="17"/>
  <c r="R348" i="17" s="1"/>
  <c r="P348" i="17" s="1"/>
  <c r="V348" i="17" s="1"/>
  <c r="F348" i="17" s="1"/>
  <c r="S354" i="17"/>
  <c r="R354" i="17" s="1"/>
  <c r="P354" i="17" s="1"/>
  <c r="V354" i="17" s="1"/>
  <c r="F354" i="17" s="1"/>
  <c r="S341" i="17"/>
  <c r="R341" i="17" s="1"/>
  <c r="P341" i="17" s="1"/>
  <c r="V341" i="17" s="1"/>
  <c r="F341" i="17" s="1"/>
  <c r="S323" i="17"/>
  <c r="R323" i="17" s="1"/>
  <c r="P323" i="17" s="1"/>
  <c r="V323" i="17" s="1"/>
  <c r="F323" i="17" s="1"/>
  <c r="S84" i="17"/>
  <c r="R84" i="17" s="1"/>
  <c r="P84" i="17" s="1"/>
  <c r="V84" i="17" s="1"/>
  <c r="F84" i="17" s="1"/>
  <c r="S314" i="17"/>
  <c r="R314" i="17" s="1"/>
  <c r="P314" i="17" s="1"/>
  <c r="V314" i="17" s="1"/>
  <c r="F314" i="17" s="1"/>
  <c r="I29" i="16"/>
  <c r="J29" i="16"/>
  <c r="J119" i="16"/>
  <c r="I119" i="16"/>
  <c r="J210" i="16"/>
  <c r="I210" i="16"/>
  <c r="I136" i="16"/>
  <c r="J136" i="16"/>
  <c r="J75" i="16"/>
  <c r="I75" i="16"/>
  <c r="AG263" i="17"/>
  <c r="AF263" i="17" s="1"/>
  <c r="AD263" i="17" s="1"/>
  <c r="AG187" i="17"/>
  <c r="AF187" i="17" s="1"/>
  <c r="AD187" i="17" s="1"/>
  <c r="AG91" i="17"/>
  <c r="AF91" i="17" s="1"/>
  <c r="AD91" i="17" s="1"/>
  <c r="AG324" i="17"/>
  <c r="AF324" i="17" s="1"/>
  <c r="AD324" i="17" s="1"/>
  <c r="AG250" i="17"/>
  <c r="AF250" i="17" s="1"/>
  <c r="AD250" i="17" s="1"/>
  <c r="AG108" i="17"/>
  <c r="AF108" i="17" s="1"/>
  <c r="AD108" i="17" s="1"/>
  <c r="AG133" i="17"/>
  <c r="AF133" i="17" s="1"/>
  <c r="AD133" i="17" s="1"/>
  <c r="AG126" i="17"/>
  <c r="AF126" i="17" s="1"/>
  <c r="AD126" i="17" s="1"/>
  <c r="AG16" i="17"/>
  <c r="AF16" i="17" s="1"/>
  <c r="AD16" i="17" s="1"/>
  <c r="AG309" i="17"/>
  <c r="AF309" i="17" s="1"/>
  <c r="AD309" i="17" s="1"/>
  <c r="AG77" i="17"/>
  <c r="AF77" i="17" s="1"/>
  <c r="AD77" i="17" s="1"/>
  <c r="AG318" i="17"/>
  <c r="AF318" i="17" s="1"/>
  <c r="AD318" i="17" s="1"/>
  <c r="AG277" i="17"/>
  <c r="AF277" i="17" s="1"/>
  <c r="AD277" i="17" s="1"/>
  <c r="AG143" i="17"/>
  <c r="AF143" i="17" s="1"/>
  <c r="AD143" i="17" s="1"/>
  <c r="AG27" i="17"/>
  <c r="AF27" i="17" s="1"/>
  <c r="AD27" i="17" s="1"/>
  <c r="AG376" i="17"/>
  <c r="AF376" i="17" s="1"/>
  <c r="AD376" i="17" s="1"/>
  <c r="AG123" i="17"/>
  <c r="AF123" i="17" s="1"/>
  <c r="AD123" i="17" s="1"/>
  <c r="AG72" i="17"/>
  <c r="AF72" i="17" s="1"/>
  <c r="AD72" i="17" s="1"/>
  <c r="AG190" i="17"/>
  <c r="AF190" i="17" s="1"/>
  <c r="AD190" i="17" s="1"/>
  <c r="AG59" i="17"/>
  <c r="AF59" i="17" s="1"/>
  <c r="AD59" i="17" s="1"/>
  <c r="AG207" i="17"/>
  <c r="AF207" i="17" s="1"/>
  <c r="AD207" i="17" s="1"/>
  <c r="AG196" i="17"/>
  <c r="AF196" i="17" s="1"/>
  <c r="AD196" i="17" s="1"/>
  <c r="AG159" i="17"/>
  <c r="AF159" i="17" s="1"/>
  <c r="AD159" i="17" s="1"/>
  <c r="AG290" i="17"/>
  <c r="AF290" i="17" s="1"/>
  <c r="AD290" i="17" s="1"/>
  <c r="AG144" i="17"/>
  <c r="AF144" i="17" s="1"/>
  <c r="AD144" i="17" s="1"/>
  <c r="AG225" i="17"/>
  <c r="AF225" i="17" s="1"/>
  <c r="AD225" i="17" s="1"/>
  <c r="AG302" i="17"/>
  <c r="AF302" i="17" s="1"/>
  <c r="AD302" i="17" s="1"/>
  <c r="AG111" i="17"/>
  <c r="AF111" i="17" s="1"/>
  <c r="AD111" i="17" s="1"/>
  <c r="AG141" i="17"/>
  <c r="AF141" i="17" s="1"/>
  <c r="AD141" i="17" s="1"/>
  <c r="AG132" i="17"/>
  <c r="AF132" i="17" s="1"/>
  <c r="AD132" i="17" s="1"/>
  <c r="AG85" i="17"/>
  <c r="AF85" i="17" s="1"/>
  <c r="AD85" i="17" s="1"/>
  <c r="AG332" i="17"/>
  <c r="AF332" i="17" s="1"/>
  <c r="AD332" i="17" s="1"/>
  <c r="AG212" i="17"/>
  <c r="AF212" i="17" s="1"/>
  <c r="AD212" i="17" s="1"/>
  <c r="AG231" i="17"/>
  <c r="AF231" i="17" s="1"/>
  <c r="AD231" i="17" s="1"/>
  <c r="AG155" i="17"/>
  <c r="AF155" i="17" s="1"/>
  <c r="AD155" i="17" s="1"/>
  <c r="AG286" i="17"/>
  <c r="AF286" i="17" s="1"/>
  <c r="AD286" i="17" s="1"/>
  <c r="AG368" i="17"/>
  <c r="AF368" i="17" s="1"/>
  <c r="AD368" i="17" s="1"/>
  <c r="AG58" i="17"/>
  <c r="AF58" i="17" s="1"/>
  <c r="AD58" i="17" s="1"/>
  <c r="AG200" i="17"/>
  <c r="AF200" i="17" s="1"/>
  <c r="AD200" i="17" s="1"/>
  <c r="AG185" i="17"/>
  <c r="AF185" i="17" s="1"/>
  <c r="AD185" i="17" s="1"/>
  <c r="AG52" i="17"/>
  <c r="AF52" i="17" s="1"/>
  <c r="AD52" i="17" s="1"/>
  <c r="AG264" i="17"/>
  <c r="AF264" i="17" s="1"/>
  <c r="AD264" i="17" s="1"/>
  <c r="AG221" i="17"/>
  <c r="AF221" i="17" s="1"/>
  <c r="AD221" i="17" s="1"/>
  <c r="AG220" i="17"/>
  <c r="AF220" i="17" s="1"/>
  <c r="AD220" i="17" s="1"/>
  <c r="AG156" i="17"/>
  <c r="AF156" i="17" s="1"/>
  <c r="AD156" i="17" s="1"/>
  <c r="AG62" i="17"/>
  <c r="AF62" i="17" s="1"/>
  <c r="AD62" i="17" s="1"/>
  <c r="AG284" i="17"/>
  <c r="AF284" i="17" s="1"/>
  <c r="AD284" i="17" s="1"/>
  <c r="AG121" i="17"/>
  <c r="AF121" i="17" s="1"/>
  <c r="AD121" i="17" s="1"/>
  <c r="AG191" i="17"/>
  <c r="AF191" i="17" s="1"/>
  <c r="AD191" i="17" s="1"/>
  <c r="AG88" i="17"/>
  <c r="AF88" i="17" s="1"/>
  <c r="AD88" i="17" s="1"/>
  <c r="AG346" i="17"/>
  <c r="AF346" i="17" s="1"/>
  <c r="AD346" i="17" s="1"/>
  <c r="AG227" i="17"/>
  <c r="AF227" i="17" s="1"/>
  <c r="AD227" i="17" s="1"/>
  <c r="AG128" i="17"/>
  <c r="AF128" i="17" s="1"/>
  <c r="AD128" i="17" s="1"/>
  <c r="AG244" i="17"/>
  <c r="AF244" i="17" s="1"/>
  <c r="AD244" i="17" s="1"/>
  <c r="AG262" i="17"/>
  <c r="AF262" i="17" s="1"/>
  <c r="AD262" i="17" s="1"/>
  <c r="AG316" i="17"/>
  <c r="AF316" i="17" s="1"/>
  <c r="AD316" i="17" s="1"/>
  <c r="AG100" i="17"/>
  <c r="AF100" i="17" s="1"/>
  <c r="AD100" i="17" s="1"/>
  <c r="AG307" i="17"/>
  <c r="AF307" i="17" s="1"/>
  <c r="AD307" i="17" s="1"/>
  <c r="AG230" i="17"/>
  <c r="AF230" i="17" s="1"/>
  <c r="AD230" i="17" s="1"/>
  <c r="AG138" i="17"/>
  <c r="AF138" i="17" s="1"/>
  <c r="AD138" i="17" s="1"/>
  <c r="AG345" i="17"/>
  <c r="AF345" i="17" s="1"/>
  <c r="AD345" i="17" s="1"/>
  <c r="AG288" i="17"/>
  <c r="AF288" i="17" s="1"/>
  <c r="AD288" i="17" s="1"/>
  <c r="AG317" i="17"/>
  <c r="AF317" i="17" s="1"/>
  <c r="AD317" i="17" s="1"/>
  <c r="AG53" i="17"/>
  <c r="AF53" i="17" s="1"/>
  <c r="AD53" i="17" s="1"/>
  <c r="AG136" i="17"/>
  <c r="AF136" i="17" s="1"/>
  <c r="AD136" i="17" s="1"/>
  <c r="AG129" i="17"/>
  <c r="AF129" i="17" s="1"/>
  <c r="AD129" i="17" s="1"/>
  <c r="AG44" i="17"/>
  <c r="AF44" i="17" s="1"/>
  <c r="AD44" i="17" s="1"/>
  <c r="AG306" i="17"/>
  <c r="AF306" i="17" s="1"/>
  <c r="AD306" i="17" s="1"/>
  <c r="AG251" i="17"/>
  <c r="AF251" i="17" s="1"/>
  <c r="AD251" i="17" s="1"/>
  <c r="AG64" i="17"/>
  <c r="AF64" i="17" s="1"/>
  <c r="AD64" i="17" s="1"/>
  <c r="AG222" i="17"/>
  <c r="AF222" i="17" s="1"/>
  <c r="AD222" i="17" s="1"/>
  <c r="AG299" i="17"/>
  <c r="AF299" i="17" s="1"/>
  <c r="AD299" i="17" s="1"/>
  <c r="AG291" i="17"/>
  <c r="AF291" i="17" s="1"/>
  <c r="AD291" i="17" s="1"/>
  <c r="AG237" i="17"/>
  <c r="AF237" i="17" s="1"/>
  <c r="AD237" i="17" s="1"/>
  <c r="AG28" i="17"/>
  <c r="AF28" i="17" s="1"/>
  <c r="AD28" i="17" s="1"/>
  <c r="AG125" i="17"/>
  <c r="AF125" i="17" s="1"/>
  <c r="AD125" i="17" s="1"/>
  <c r="AG178" i="17"/>
  <c r="AF178" i="17" s="1"/>
  <c r="AD178" i="17" s="1"/>
  <c r="AG353" i="17"/>
  <c r="AF353" i="17" s="1"/>
  <c r="AD353" i="17" s="1"/>
  <c r="AG142" i="17"/>
  <c r="AF142" i="17" s="1"/>
  <c r="AD142" i="17" s="1"/>
  <c r="AG347" i="17"/>
  <c r="AF347" i="17" s="1"/>
  <c r="AD347" i="17" s="1"/>
  <c r="AG238" i="17"/>
  <c r="AF238" i="17" s="1"/>
  <c r="AD238" i="17" s="1"/>
  <c r="AG287" i="17"/>
  <c r="AF287" i="17" s="1"/>
  <c r="AD287" i="17" s="1"/>
  <c r="AG154" i="17"/>
  <c r="AF154" i="17" s="1"/>
  <c r="AD154" i="17" s="1"/>
  <c r="AG206" i="17"/>
  <c r="AF206" i="17" s="1"/>
  <c r="AD206" i="17" s="1"/>
  <c r="AG131" i="17"/>
  <c r="AF131" i="17" s="1"/>
  <c r="AD131" i="17" s="1"/>
  <c r="AG254" i="17"/>
  <c r="AF254" i="17" s="1"/>
  <c r="AD254" i="17" s="1"/>
  <c r="AG174" i="17"/>
  <c r="AF174" i="17" s="1"/>
  <c r="AD174" i="17" s="1"/>
  <c r="AG337" i="17"/>
  <c r="AF337" i="17" s="1"/>
  <c r="AD337" i="17" s="1"/>
  <c r="AG358" i="17"/>
  <c r="AF358" i="17" s="1"/>
  <c r="AD358" i="17" s="1"/>
  <c r="AG364" i="17"/>
  <c r="AF364" i="17" s="1"/>
  <c r="AD364" i="17" s="1"/>
  <c r="AG57" i="17"/>
  <c r="AF57" i="17" s="1"/>
  <c r="AD57" i="17" s="1"/>
  <c r="S130" i="17"/>
  <c r="R130" i="17" s="1"/>
  <c r="P130" i="17" s="1"/>
  <c r="V130" i="17" s="1"/>
  <c r="F130" i="17" s="1"/>
  <c r="S121" i="17"/>
  <c r="R121" i="17" s="1"/>
  <c r="P121" i="17" s="1"/>
  <c r="V121" i="17" s="1"/>
  <c r="F121" i="17" s="1"/>
  <c r="S322" i="17"/>
  <c r="R322" i="17" s="1"/>
  <c r="P322" i="17" s="1"/>
  <c r="V322" i="17" s="1"/>
  <c r="F322" i="17" s="1"/>
  <c r="S137" i="17"/>
  <c r="R137" i="17" s="1"/>
  <c r="P137" i="17" s="1"/>
  <c r="V137" i="17" s="1"/>
  <c r="F137" i="17" s="1"/>
  <c r="S363" i="17"/>
  <c r="R363" i="17" s="1"/>
  <c r="P363" i="17" s="1"/>
  <c r="S229" i="17"/>
  <c r="R229" i="17" s="1"/>
  <c r="P229" i="17" s="1"/>
  <c r="V229" i="17" s="1"/>
  <c r="F229" i="17" s="1"/>
  <c r="S108" i="17"/>
  <c r="R108" i="17" s="1"/>
  <c r="P108" i="17" s="1"/>
  <c r="V108" i="17" s="1"/>
  <c r="F108" i="17" s="1"/>
  <c r="S81" i="17"/>
  <c r="R81" i="17" s="1"/>
  <c r="P81" i="17" s="1"/>
  <c r="V81" i="17" s="1"/>
  <c r="F81" i="17" s="1"/>
  <c r="S248" i="17"/>
  <c r="R248" i="17" s="1"/>
  <c r="P248" i="17" s="1"/>
  <c r="V248" i="17" s="1"/>
  <c r="F248" i="17" s="1"/>
  <c r="S220" i="17"/>
  <c r="R220" i="17" s="1"/>
  <c r="P220" i="17" s="1"/>
  <c r="V220" i="17" s="1"/>
  <c r="F220" i="17" s="1"/>
  <c r="S280" i="17"/>
  <c r="R280" i="17" s="1"/>
  <c r="P280" i="17" s="1"/>
  <c r="V280" i="17" s="1"/>
  <c r="F280" i="17" s="1"/>
  <c r="S22" i="17"/>
  <c r="R22" i="17" s="1"/>
  <c r="P22" i="17" s="1"/>
  <c r="V22" i="17" s="1"/>
  <c r="F22" i="17" s="1"/>
  <c r="S343" i="17"/>
  <c r="R343" i="17" s="1"/>
  <c r="P343" i="17" s="1"/>
  <c r="V343" i="17" s="1"/>
  <c r="F343" i="17" s="1"/>
  <c r="S30" i="17"/>
  <c r="R30" i="17" s="1"/>
  <c r="P30" i="17" s="1"/>
  <c r="V30" i="17" s="1"/>
  <c r="F30" i="17" s="1"/>
  <c r="S40" i="17"/>
  <c r="R40" i="17" s="1"/>
  <c r="P40" i="17" s="1"/>
  <c r="V40" i="17" s="1"/>
  <c r="F40" i="17" s="1"/>
  <c r="S213" i="17"/>
  <c r="R213" i="17" s="1"/>
  <c r="P213" i="17" s="1"/>
  <c r="V213" i="17" s="1"/>
  <c r="F213" i="17" s="1"/>
  <c r="S230" i="17"/>
  <c r="R230" i="17" s="1"/>
  <c r="P230" i="17" s="1"/>
  <c r="V230" i="17" s="1"/>
  <c r="F230" i="17" s="1"/>
  <c r="S244" i="17"/>
  <c r="R244" i="17" s="1"/>
  <c r="P244" i="17" s="1"/>
  <c r="V244" i="17" s="1"/>
  <c r="F244" i="17" s="1"/>
  <c r="S77" i="17"/>
  <c r="R77" i="17" s="1"/>
  <c r="P77" i="17" s="1"/>
  <c r="V77" i="17" s="1"/>
  <c r="F77" i="17" s="1"/>
  <c r="S321" i="17"/>
  <c r="R321" i="17" s="1"/>
  <c r="P321" i="17" s="1"/>
  <c r="V321" i="17" s="1"/>
  <c r="F321" i="17" s="1"/>
  <c r="S133" i="17"/>
  <c r="R133" i="17" s="1"/>
  <c r="P133" i="17" s="1"/>
  <c r="V133" i="17" s="1"/>
  <c r="F133" i="17" s="1"/>
  <c r="S268" i="17"/>
  <c r="R268" i="17" s="1"/>
  <c r="P268" i="17" s="1"/>
  <c r="V268" i="17" s="1"/>
  <c r="F268" i="17" s="1"/>
  <c r="S17" i="17"/>
  <c r="R17" i="17" s="1"/>
  <c r="P17" i="17" s="1"/>
  <c r="V17" i="17" s="1"/>
  <c r="F17" i="17" s="1"/>
  <c r="S251" i="17"/>
  <c r="R251" i="17" s="1"/>
  <c r="P251" i="17" s="1"/>
  <c r="V251" i="17" s="1"/>
  <c r="F251" i="17" s="1"/>
  <c r="S134" i="17"/>
  <c r="R134" i="17" s="1"/>
  <c r="P134" i="17" s="1"/>
  <c r="V134" i="17" s="1"/>
  <c r="F134" i="17" s="1"/>
  <c r="S20" i="17"/>
  <c r="R20" i="17" s="1"/>
  <c r="P20" i="17" s="1"/>
  <c r="V20" i="17" s="1"/>
  <c r="F20" i="17" s="1"/>
  <c r="S300" i="17"/>
  <c r="R300" i="17" s="1"/>
  <c r="P300" i="17" s="1"/>
  <c r="V300" i="17" s="1"/>
  <c r="F300" i="17" s="1"/>
  <c r="S335" i="17"/>
  <c r="R335" i="17" s="1"/>
  <c r="P335" i="17" s="1"/>
  <c r="V335" i="17" s="1"/>
  <c r="F335" i="17" s="1"/>
  <c r="S126" i="17"/>
  <c r="R126" i="17" s="1"/>
  <c r="P126" i="17" s="1"/>
  <c r="V126" i="17" s="1"/>
  <c r="F126" i="17" s="1"/>
  <c r="S117" i="17"/>
  <c r="R117" i="17" s="1"/>
  <c r="P117" i="17" s="1"/>
  <c r="V117" i="17" s="1"/>
  <c r="F117" i="17" s="1"/>
  <c r="S104" i="17"/>
  <c r="R104" i="17" s="1"/>
  <c r="P104" i="17" s="1"/>
  <c r="V104" i="17" s="1"/>
  <c r="F104" i="17" s="1"/>
  <c r="S204" i="17"/>
  <c r="R204" i="17" s="1"/>
  <c r="P204" i="17" s="1"/>
  <c r="V204" i="17" s="1"/>
  <c r="F204" i="17" s="1"/>
  <c r="S91" i="17"/>
  <c r="R91" i="17" s="1"/>
  <c r="P91" i="17" s="1"/>
  <c r="V91" i="17" s="1"/>
  <c r="F91" i="17" s="1"/>
  <c r="S118" i="17"/>
  <c r="R118" i="17" s="1"/>
  <c r="P118" i="17" s="1"/>
  <c r="V118" i="17" s="1"/>
  <c r="F118" i="17" s="1"/>
  <c r="S19" i="17"/>
  <c r="R19" i="17" s="1"/>
  <c r="P19" i="17" s="1"/>
  <c r="S82" i="17"/>
  <c r="R82" i="17" s="1"/>
  <c r="P82" i="17" s="1"/>
  <c r="V82" i="17" s="1"/>
  <c r="F82" i="17" s="1"/>
  <c r="S28" i="17"/>
  <c r="R28" i="17" s="1"/>
  <c r="P28" i="17" s="1"/>
  <c r="V28" i="17" s="1"/>
  <c r="F28" i="17" s="1"/>
  <c r="S178" i="17"/>
  <c r="R178" i="17" s="1"/>
  <c r="P178" i="17" s="1"/>
  <c r="V178" i="17" s="1"/>
  <c r="F178" i="17" s="1"/>
  <c r="S350" i="17"/>
  <c r="R350" i="17" s="1"/>
  <c r="P350" i="17" s="1"/>
  <c r="V350" i="17" s="1"/>
  <c r="F350" i="17" s="1"/>
  <c r="S18" i="17"/>
  <c r="R18" i="17" s="1"/>
  <c r="P18" i="17" s="1"/>
  <c r="S119" i="17"/>
  <c r="R119" i="17" s="1"/>
  <c r="P119" i="17" s="1"/>
  <c r="S252" i="17"/>
  <c r="R252" i="17" s="1"/>
  <c r="P252" i="17" s="1"/>
  <c r="V252" i="17" s="1"/>
  <c r="F252" i="17" s="1"/>
  <c r="S308" i="17"/>
  <c r="R308" i="17" s="1"/>
  <c r="P308" i="17" s="1"/>
  <c r="V308" i="17" s="1"/>
  <c r="F308" i="17" s="1"/>
  <c r="S292" i="17"/>
  <c r="R292" i="17" s="1"/>
  <c r="P292" i="17" s="1"/>
  <c r="V292" i="17" s="1"/>
  <c r="F292" i="17" s="1"/>
  <c r="S208" i="17"/>
  <c r="R208" i="17" s="1"/>
  <c r="P208" i="17" s="1"/>
  <c r="V208" i="17" s="1"/>
  <c r="F208" i="17" s="1"/>
  <c r="S276" i="17"/>
  <c r="R276" i="17" s="1"/>
  <c r="P276" i="17" s="1"/>
  <c r="V276" i="17" s="1"/>
  <c r="F276" i="17" s="1"/>
  <c r="S256" i="17"/>
  <c r="R256" i="17" s="1"/>
  <c r="P256" i="17" s="1"/>
  <c r="V256" i="17" s="1"/>
  <c r="F256" i="17" s="1"/>
  <c r="S48" i="17"/>
  <c r="R48" i="17" s="1"/>
  <c r="P48" i="17" s="1"/>
  <c r="V48" i="17" s="1"/>
  <c r="F48" i="17" s="1"/>
  <c r="S71" i="17"/>
  <c r="R71" i="17" s="1"/>
  <c r="P71" i="17" s="1"/>
  <c r="V71" i="17" s="1"/>
  <c r="F71" i="17" s="1"/>
  <c r="S371" i="17"/>
  <c r="R371" i="17" s="1"/>
  <c r="P371" i="17" s="1"/>
  <c r="V371" i="17" s="1"/>
  <c r="F371" i="17" s="1"/>
  <c r="S273" i="17"/>
  <c r="R273" i="17" s="1"/>
  <c r="P273" i="17" s="1"/>
  <c r="V273" i="17" s="1"/>
  <c r="F273" i="17" s="1"/>
  <c r="S225" i="17"/>
  <c r="R225" i="17" s="1"/>
  <c r="P225" i="17" s="1"/>
  <c r="V225" i="17" s="1"/>
  <c r="F225" i="17" s="1"/>
  <c r="S351" i="17"/>
  <c r="R351" i="17" s="1"/>
  <c r="P351" i="17" s="1"/>
  <c r="V351" i="17" s="1"/>
  <c r="F351" i="17" s="1"/>
  <c r="S85" i="17"/>
  <c r="R85" i="17" s="1"/>
  <c r="P85" i="17" s="1"/>
  <c r="V85" i="17" s="1"/>
  <c r="F85" i="17" s="1"/>
  <c r="S259" i="17"/>
  <c r="R259" i="17" s="1"/>
  <c r="P259" i="17" s="1"/>
  <c r="V259" i="17" s="1"/>
  <c r="F259" i="17" s="1"/>
  <c r="S123" i="17"/>
  <c r="R123" i="17" s="1"/>
  <c r="P123" i="17" s="1"/>
  <c r="V123" i="17" s="1"/>
  <c r="F123" i="17" s="1"/>
  <c r="S186" i="17"/>
  <c r="R186" i="17" s="1"/>
  <c r="P186" i="17" s="1"/>
  <c r="V186" i="17" s="1"/>
  <c r="F186" i="17" s="1"/>
  <c r="V29" i="17"/>
  <c r="F29" i="17" s="1"/>
  <c r="D56" i="7"/>
  <c r="S89" i="17"/>
  <c r="R89" i="17" s="1"/>
  <c r="P89" i="17" s="1"/>
  <c r="V89" i="17" s="1"/>
  <c r="F89" i="17" s="1"/>
  <c r="S334" i="17"/>
  <c r="R334" i="17" s="1"/>
  <c r="P334" i="17" s="1"/>
  <c r="V334" i="17" s="1"/>
  <c r="F334" i="17" s="1"/>
  <c r="S105" i="17"/>
  <c r="R105" i="17" s="1"/>
  <c r="P105" i="17" s="1"/>
  <c r="S310" i="17"/>
  <c r="R310" i="17" s="1"/>
  <c r="P310" i="17" s="1"/>
  <c r="V310" i="17" s="1"/>
  <c r="F310" i="17" s="1"/>
  <c r="S165" i="17"/>
  <c r="R165" i="17" s="1"/>
  <c r="P165" i="17" s="1"/>
  <c r="V165" i="17" s="1"/>
  <c r="F165" i="17" s="1"/>
  <c r="S169" i="17"/>
  <c r="R169" i="17" s="1"/>
  <c r="P169" i="17" s="1"/>
  <c r="V169" i="17" s="1"/>
  <c r="F169" i="17" s="1"/>
  <c r="S303" i="17"/>
  <c r="R303" i="17" s="1"/>
  <c r="P303" i="17" s="1"/>
  <c r="V303" i="17" s="1"/>
  <c r="F303" i="17" s="1"/>
  <c r="S302" i="17"/>
  <c r="R302" i="17" s="1"/>
  <c r="P302" i="17" s="1"/>
  <c r="S289" i="17"/>
  <c r="R289" i="17" s="1"/>
  <c r="P289" i="17" s="1"/>
  <c r="V289" i="17" s="1"/>
  <c r="F289" i="17" s="1"/>
  <c r="S319" i="17"/>
  <c r="R319" i="17" s="1"/>
  <c r="P319" i="17" s="1"/>
  <c r="V319" i="17" s="1"/>
  <c r="S192" i="17"/>
  <c r="R192" i="17" s="1"/>
  <c r="P192" i="17" s="1"/>
  <c r="V192" i="17" s="1"/>
  <c r="F192" i="17" s="1"/>
  <c r="S311" i="17"/>
  <c r="R311" i="17" s="1"/>
  <c r="P311" i="17" s="1"/>
  <c r="V311" i="17" s="1"/>
  <c r="F311" i="17" s="1"/>
  <c r="S132" i="17"/>
  <c r="R132" i="17" s="1"/>
  <c r="P132" i="17" s="1"/>
  <c r="V132" i="17" s="1"/>
  <c r="F132" i="17" s="1"/>
  <c r="S359" i="17"/>
  <c r="R359" i="17" s="1"/>
  <c r="P359" i="17" s="1"/>
  <c r="V359" i="17" s="1"/>
  <c r="F359" i="17" s="1"/>
  <c r="S149" i="17"/>
  <c r="R149" i="17" s="1"/>
  <c r="P149" i="17" s="1"/>
  <c r="S332" i="17"/>
  <c r="R332" i="17" s="1"/>
  <c r="P332" i="17" s="1"/>
  <c r="V332" i="17" s="1"/>
  <c r="F332" i="17" s="1"/>
  <c r="S301" i="17"/>
  <c r="R301" i="17" s="1"/>
  <c r="P301" i="17" s="1"/>
  <c r="V301" i="17" s="1"/>
  <c r="F301" i="17" s="1"/>
  <c r="S96" i="17"/>
  <c r="R96" i="17" s="1"/>
  <c r="P96" i="17" s="1"/>
  <c r="V96" i="17" s="1"/>
  <c r="F96" i="17" s="1"/>
  <c r="S226" i="17"/>
  <c r="R226" i="17" s="1"/>
  <c r="P226" i="17" s="1"/>
  <c r="V226" i="17" s="1"/>
  <c r="F226" i="17" s="1"/>
  <c r="S69" i="17"/>
  <c r="R69" i="17" s="1"/>
  <c r="P69" i="17" s="1"/>
  <c r="V69" i="17" s="1"/>
  <c r="F69" i="17" s="1"/>
  <c r="S140" i="17"/>
  <c r="R140" i="17" s="1"/>
  <c r="P140" i="17" s="1"/>
  <c r="V140" i="17" s="1"/>
  <c r="F140" i="17" s="1"/>
  <c r="S142" i="17"/>
  <c r="R142" i="17" s="1"/>
  <c r="P142" i="17" s="1"/>
  <c r="S285" i="17"/>
  <c r="R285" i="17" s="1"/>
  <c r="P285" i="17" s="1"/>
  <c r="V285" i="17" s="1"/>
  <c r="F285" i="17" s="1"/>
  <c r="S364" i="17"/>
  <c r="R364" i="17" s="1"/>
  <c r="P364" i="17" s="1"/>
  <c r="S239" i="17"/>
  <c r="R239" i="17" s="1"/>
  <c r="P239" i="17" s="1"/>
  <c r="V239" i="17" s="1"/>
  <c r="F239" i="17" s="1"/>
  <c r="S172" i="17"/>
  <c r="R172" i="17" s="1"/>
  <c r="P172" i="17" s="1"/>
  <c r="V172" i="17" s="1"/>
  <c r="F172" i="17" s="1"/>
  <c r="S79" i="17"/>
  <c r="R79" i="17" s="1"/>
  <c r="P79" i="17" s="1"/>
  <c r="V79" i="17" s="1"/>
  <c r="F79" i="17" s="1"/>
  <c r="S356" i="17"/>
  <c r="R356" i="17" s="1"/>
  <c r="P356" i="17" s="1"/>
  <c r="S330" i="17"/>
  <c r="R330" i="17" s="1"/>
  <c r="P330" i="17" s="1"/>
  <c r="V330" i="17" s="1"/>
  <c r="F330" i="17" s="1"/>
  <c r="S295" i="17"/>
  <c r="R295" i="17" s="1"/>
  <c r="P295" i="17" s="1"/>
  <c r="V295" i="17" s="1"/>
  <c r="F295" i="17" s="1"/>
  <c r="S345" i="17"/>
  <c r="R345" i="17" s="1"/>
  <c r="P345" i="17" s="1"/>
  <c r="V345" i="17" s="1"/>
  <c r="F345" i="17" s="1"/>
  <c r="S116" i="17"/>
  <c r="R116" i="17" s="1"/>
  <c r="P116" i="17" s="1"/>
  <c r="V116" i="17" s="1"/>
  <c r="F116" i="17" s="1"/>
  <c r="S92" i="17"/>
  <c r="R92" i="17" s="1"/>
  <c r="P92" i="17" s="1"/>
  <c r="V92" i="17" s="1"/>
  <c r="F92" i="17" s="1"/>
  <c r="S253" i="17"/>
  <c r="R253" i="17" s="1"/>
  <c r="P253" i="17" s="1"/>
  <c r="V253" i="17" s="1"/>
  <c r="F253" i="17" s="1"/>
  <c r="AA15" i="15"/>
  <c r="AM10" i="15"/>
  <c r="F381" i="15"/>
  <c r="AK10" i="15"/>
  <c r="AK12" i="15" s="1"/>
  <c r="AK13" i="15" s="1"/>
  <c r="F382" i="15"/>
  <c r="H15" i="15"/>
  <c r="F9" i="15"/>
  <c r="G15" i="15"/>
  <c r="BX15" i="6" s="1"/>
  <c r="F383" i="15"/>
  <c r="J106" i="16"/>
  <c r="I106" i="16"/>
  <c r="I268" i="16"/>
  <c r="J268" i="16"/>
  <c r="Q349" i="18"/>
  <c r="Q128" i="18"/>
  <c r="Q112" i="18"/>
  <c r="Q239" i="18"/>
  <c r="Q83" i="18"/>
  <c r="Q316" i="18"/>
  <c r="Q342" i="18"/>
  <c r="Q216" i="18"/>
  <c r="Q259" i="18"/>
  <c r="Q61" i="18"/>
  <c r="Q192" i="18"/>
  <c r="Q124" i="18"/>
  <c r="Q170" i="18"/>
  <c r="Q204" i="18"/>
  <c r="Q159" i="18"/>
  <c r="AE363" i="18"/>
  <c r="AE324" i="18"/>
  <c r="AE122" i="18"/>
  <c r="AE302" i="18"/>
  <c r="AE187" i="18"/>
  <c r="AE24" i="18"/>
  <c r="AE143" i="18"/>
  <c r="AE121" i="18"/>
  <c r="AE176" i="18"/>
  <c r="AE283" i="18"/>
  <c r="AE54" i="18"/>
  <c r="AE162" i="18"/>
  <c r="AE209" i="18"/>
  <c r="AE147" i="18"/>
  <c r="AE212" i="18"/>
  <c r="AE78" i="18"/>
  <c r="AE170" i="18"/>
  <c r="AE265" i="18"/>
  <c r="AE167" i="18"/>
  <c r="AE216" i="18"/>
  <c r="AE134" i="18"/>
  <c r="AE210" i="18"/>
  <c r="AE289" i="18"/>
  <c r="AE207" i="18"/>
  <c r="AE236" i="18"/>
  <c r="AE158" i="18"/>
  <c r="AE282" i="18"/>
  <c r="AE343" i="18"/>
  <c r="Q378" i="18"/>
  <c r="Q57" i="18"/>
  <c r="Q53" i="18"/>
  <c r="Q59" i="18"/>
  <c r="Q62" i="18"/>
  <c r="Q27" i="18"/>
  <c r="Q15" i="18"/>
  <c r="Q24" i="18"/>
  <c r="Q343" i="18"/>
  <c r="Q177" i="18"/>
  <c r="Q34" i="18"/>
  <c r="Q364" i="18"/>
  <c r="Q130" i="18"/>
  <c r="Q95" i="18"/>
  <c r="Q146" i="18"/>
  <c r="Q273" i="18"/>
  <c r="Q276" i="18"/>
  <c r="Q219" i="18"/>
  <c r="Q82" i="18"/>
  <c r="Q71" i="18"/>
  <c r="Q125" i="18"/>
  <c r="Q252" i="18"/>
  <c r="Q136" i="18"/>
  <c r="D62" i="18"/>
  <c r="E62" i="18" s="1"/>
  <c r="D61" i="18"/>
  <c r="E61" i="18" s="1"/>
  <c r="AE225" i="18"/>
  <c r="AE95" i="18"/>
  <c r="AE68" i="18"/>
  <c r="AE27" i="18"/>
  <c r="AE171" i="18"/>
  <c r="AE128" i="18"/>
  <c r="AE161" i="18"/>
  <c r="AE235" i="18"/>
  <c r="AE204" i="18"/>
  <c r="AE323" i="18"/>
  <c r="AE311" i="18"/>
  <c r="AE280" i="18"/>
  <c r="AE94" i="18"/>
  <c r="AE66" i="18"/>
  <c r="AE372" i="18"/>
  <c r="AE262" i="18"/>
  <c r="AE218" i="18"/>
  <c r="AE117" i="18"/>
  <c r="AE21" i="18"/>
  <c r="AE338" i="18"/>
  <c r="AE281" i="18"/>
  <c r="AE361" i="18"/>
  <c r="AE190" i="18"/>
  <c r="AE77" i="18"/>
  <c r="AE314" i="18"/>
  <c r="AE71" i="18"/>
  <c r="AE379" i="18"/>
  <c r="AE12" i="20" s="1"/>
  <c r="AE120" i="18"/>
  <c r="AE243" i="18"/>
  <c r="AE309" i="18"/>
  <c r="AE272" i="18"/>
  <c r="AE19" i="18"/>
  <c r="AE246" i="18"/>
  <c r="AE101" i="18"/>
  <c r="AE354" i="18"/>
  <c r="AE107" i="18"/>
  <c r="AE35" i="18"/>
  <c r="AE140" i="18"/>
  <c r="AE247" i="18"/>
  <c r="AE331" i="18"/>
  <c r="AE308" i="18"/>
  <c r="AE90" i="18"/>
  <c r="AE270" i="18"/>
  <c r="AE157" i="18"/>
  <c r="AE362" i="18"/>
  <c r="AE127" i="18"/>
  <c r="AE89" i="18"/>
  <c r="AE160" i="18"/>
  <c r="AE267" i="18"/>
  <c r="AE22" i="18"/>
  <c r="AE312" i="18"/>
  <c r="AE130" i="18"/>
  <c r="AE326" i="18"/>
  <c r="AE179" i="18"/>
  <c r="AE28" i="18"/>
  <c r="AE131" i="18"/>
  <c r="Q260" i="18"/>
  <c r="Q153" i="18"/>
  <c r="Q267" i="18"/>
  <c r="Q134" i="18"/>
  <c r="Q257" i="18"/>
  <c r="Q79" i="18"/>
  <c r="Q132" i="18"/>
  <c r="Q196" i="18"/>
  <c r="Q246" i="18"/>
  <c r="Q162" i="18"/>
  <c r="Q234" i="18"/>
  <c r="Q300" i="18"/>
  <c r="Q184" i="18"/>
  <c r="Q43" i="18"/>
  <c r="Q313" i="18"/>
  <c r="Q108" i="18"/>
  <c r="Q256" i="18"/>
  <c r="Q47" i="18"/>
  <c r="Q322" i="18"/>
  <c r="Q356" i="18"/>
  <c r="Q87" i="18"/>
  <c r="Q212" i="18"/>
  <c r="Q214" i="18"/>
  <c r="Q107" i="18"/>
  <c r="Q323" i="18"/>
  <c r="Q266" i="18"/>
  <c r="Q77" i="18"/>
  <c r="Q74" i="18"/>
  <c r="Q290" i="18"/>
  <c r="Q222" i="18"/>
  <c r="Q172" i="18"/>
  <c r="Q111" i="18"/>
  <c r="Q75" i="18"/>
  <c r="Q271" i="18"/>
  <c r="Q329" i="18"/>
  <c r="Q165" i="18"/>
  <c r="Q81" i="18"/>
  <c r="Q315" i="18"/>
  <c r="Q65" i="18"/>
  <c r="Q50" i="18"/>
  <c r="Q243" i="18"/>
  <c r="Q175" i="18"/>
  <c r="Q92" i="18"/>
  <c r="Q109" i="18"/>
  <c r="Q138" i="18"/>
  <c r="J11" i="19"/>
  <c r="AA11" i="1"/>
  <c r="AA5" i="1" s="1"/>
  <c r="I11" i="19" s="1"/>
  <c r="I35" i="19" s="1"/>
  <c r="Z11" i="1"/>
  <c r="Z5" i="1" s="1"/>
  <c r="H11" i="19" s="1"/>
  <c r="H35" i="19" s="1"/>
  <c r="AM13" i="1"/>
  <c r="AK4" i="1"/>
  <c r="R11" i="19" s="1"/>
  <c r="N12" i="19" s="1"/>
  <c r="Y11" i="1"/>
  <c r="D47" i="18"/>
  <c r="E47" i="18" s="1"/>
  <c r="D159" i="18"/>
  <c r="E159" i="18" s="1"/>
  <c r="D269" i="18"/>
  <c r="E269" i="18" s="1"/>
  <c r="D275" i="18"/>
  <c r="E275" i="18" s="1"/>
  <c r="D226" i="18"/>
  <c r="E226" i="18" s="1"/>
  <c r="D228" i="18"/>
  <c r="E228" i="18" s="1"/>
  <c r="D99" i="18"/>
  <c r="E99" i="18" s="1"/>
  <c r="D83" i="18"/>
  <c r="E83" i="18" s="1"/>
  <c r="D259" i="18"/>
  <c r="E259" i="18" s="1"/>
  <c r="D192" i="18"/>
  <c r="E192" i="18" s="1"/>
  <c r="D284" i="18"/>
  <c r="E284" i="18" s="1"/>
  <c r="D216" i="18"/>
  <c r="E216" i="18" s="1"/>
  <c r="D124" i="18"/>
  <c r="E124" i="18" s="1"/>
  <c r="D204" i="18"/>
  <c r="E204" i="18" s="1"/>
  <c r="AC15" i="7"/>
  <c r="Q265" i="18"/>
  <c r="Q137" i="18"/>
  <c r="Q291" i="18"/>
  <c r="Q341" i="18"/>
  <c r="Q102" i="18"/>
  <c r="Q334" i="18"/>
  <c r="Q340" i="18"/>
  <c r="Q295" i="18"/>
  <c r="Q148" i="18"/>
  <c r="Q264" i="18"/>
  <c r="Q282" i="18"/>
  <c r="Q115" i="18"/>
  <c r="Q258" i="18"/>
  <c r="Q168" i="18"/>
  <c r="Q106" i="18"/>
  <c r="Q127" i="18"/>
  <c r="Q371" i="18"/>
  <c r="Q101" i="18"/>
  <c r="Q122" i="18"/>
  <c r="Q63" i="18"/>
  <c r="Q283" i="18"/>
  <c r="Q157" i="18"/>
  <c r="Q37" i="18"/>
  <c r="Q297" i="18"/>
  <c r="Q169" i="18"/>
  <c r="Q355" i="18"/>
  <c r="Q373" i="18"/>
  <c r="Q207" i="18"/>
  <c r="Q270" i="18"/>
  <c r="Q308" i="18"/>
  <c r="Q359" i="18"/>
  <c r="Q20" i="18"/>
  <c r="Q232" i="18"/>
  <c r="Q218" i="18"/>
  <c r="Q179" i="18"/>
  <c r="Q76" i="18"/>
  <c r="Q40" i="18"/>
  <c r="Q209" i="18"/>
  <c r="Q174" i="18"/>
  <c r="Q46" i="18"/>
  <c r="Q104" i="18"/>
  <c r="Q26" i="18"/>
  <c r="Q262" i="18"/>
  <c r="Q350" i="18"/>
  <c r="Q93" i="18"/>
  <c r="Q336" i="18"/>
  <c r="Q160" i="18"/>
  <c r="Q16" i="18"/>
  <c r="Q114" i="18"/>
  <c r="Q21" i="18"/>
  <c r="Q135" i="18"/>
  <c r="Q225" i="18"/>
  <c r="Q97" i="18"/>
  <c r="Q211" i="18"/>
  <c r="Q301" i="18"/>
  <c r="Q173" i="18"/>
  <c r="Q379" i="18"/>
  <c r="Q64" i="18"/>
  <c r="Q197" i="18"/>
  <c r="Q94" i="18"/>
  <c r="Q145" i="18"/>
  <c r="Q344" i="18"/>
  <c r="Q67" i="18"/>
  <c r="Q311" i="18"/>
  <c r="Q202" i="18"/>
  <c r="Q255" i="18"/>
  <c r="Q183" i="18"/>
  <c r="Q113" i="18"/>
  <c r="Q233" i="18"/>
  <c r="Q105" i="18"/>
  <c r="Q227" i="18"/>
  <c r="Q309" i="18"/>
  <c r="Q181" i="18"/>
  <c r="Q363" i="18"/>
  <c r="Q372" i="18"/>
  <c r="Q231" i="18"/>
  <c r="Q230" i="18"/>
  <c r="Q296" i="18"/>
  <c r="Q346" i="18"/>
  <c r="Q51" i="18"/>
  <c r="Q375" i="18"/>
  <c r="Q240" i="18"/>
  <c r="Q131" i="18"/>
  <c r="Q44" i="18"/>
  <c r="Q84" i="18"/>
  <c r="Q166" i="18"/>
  <c r="Q281" i="18"/>
  <c r="Q199" i="18"/>
  <c r="Q126" i="18"/>
  <c r="Q191" i="18"/>
  <c r="Q303" i="18"/>
  <c r="Q90" i="18"/>
  <c r="Q32" i="18"/>
  <c r="Q143" i="18"/>
  <c r="Q213" i="18"/>
  <c r="Q85" i="18"/>
  <c r="Q158" i="18"/>
  <c r="Q289" i="18"/>
  <c r="Q161" i="18"/>
  <c r="Q339" i="18"/>
  <c r="Q365" i="18"/>
  <c r="Q223" i="18"/>
  <c r="Q254" i="18"/>
  <c r="Q121" i="18"/>
  <c r="Q325" i="18"/>
  <c r="Q366" i="18"/>
  <c r="Q263" i="18"/>
  <c r="Q285" i="18"/>
  <c r="Q203" i="18"/>
  <c r="Q25" i="18"/>
  <c r="Q42" i="18"/>
  <c r="Q250" i="18"/>
  <c r="Q186" i="18"/>
  <c r="Q241" i="18"/>
  <c r="Q154" i="18"/>
  <c r="Q41" i="18"/>
  <c r="Q17" i="18"/>
  <c r="Q245" i="18"/>
  <c r="Q117" i="18"/>
  <c r="Q235" i="18"/>
  <c r="Q321" i="18"/>
  <c r="Q22" i="18"/>
  <c r="Q358" i="18"/>
  <c r="Q360" i="18"/>
  <c r="Q287" i="18"/>
  <c r="Q190" i="18"/>
  <c r="Q54" i="18"/>
  <c r="Q368" i="18"/>
  <c r="Q238" i="18"/>
  <c r="Q370" i="18"/>
  <c r="Q221" i="18"/>
  <c r="Q39" i="18"/>
  <c r="Q220" i="18"/>
  <c r="Q369" i="18"/>
  <c r="Q60" i="18"/>
  <c r="Q314" i="18"/>
  <c r="Q164" i="18"/>
  <c r="Q201" i="18"/>
  <c r="Q73" i="18"/>
  <c r="Q142" i="18"/>
  <c r="Q277" i="18"/>
  <c r="Q149" i="18"/>
  <c r="Q299" i="18"/>
  <c r="Q353" i="18"/>
  <c r="Q150" i="18"/>
  <c r="Q294" i="18"/>
  <c r="Q328" i="18"/>
  <c r="Q351" i="18"/>
  <c r="Q68" i="18"/>
  <c r="Q247" i="18"/>
  <c r="Q304" i="18"/>
  <c r="Q36" i="18"/>
  <c r="Q242" i="18"/>
  <c r="Q66" i="18"/>
  <c r="Q330" i="18"/>
  <c r="Q348" i="18"/>
  <c r="Q80" i="18"/>
  <c r="Q119" i="18"/>
  <c r="Q319" i="18"/>
  <c r="Q167" i="18"/>
  <c r="Q361" i="18"/>
  <c r="Q215" i="18"/>
  <c r="Q278" i="18"/>
  <c r="Q320" i="18"/>
  <c r="Q335" i="18"/>
  <c r="Q100" i="18"/>
  <c r="Q244" i="18"/>
  <c r="Q274" i="18"/>
  <c r="Q139" i="18"/>
  <c r="Q152" i="18"/>
  <c r="Q23" i="18"/>
  <c r="Q185" i="18"/>
  <c r="Q78" i="18"/>
  <c r="Q133" i="18"/>
  <c r="Q337" i="18"/>
  <c r="Q326" i="18"/>
  <c r="Q327" i="18"/>
  <c r="Q357" i="18"/>
  <c r="Q89" i="18"/>
  <c r="Q317" i="18"/>
  <c r="Q147" i="18"/>
  <c r="Q120" i="18"/>
  <c r="Q310" i="18"/>
  <c r="AE232" i="18"/>
  <c r="AE298" i="18"/>
  <c r="AE263" i="18"/>
  <c r="AE374" i="18"/>
  <c r="AE229" i="18"/>
  <c r="AE93" i="18"/>
  <c r="AE156" i="18"/>
  <c r="AE146" i="18"/>
  <c r="AE185" i="18"/>
  <c r="AE206" i="18"/>
  <c r="AE65" i="18"/>
  <c r="AE336" i="18"/>
  <c r="AE80" i="18"/>
  <c r="AE26" i="18"/>
  <c r="AE123" i="18"/>
  <c r="AE70" i="18"/>
  <c r="AE297" i="18"/>
  <c r="AE276" i="18"/>
  <c r="AE20" i="18"/>
  <c r="AE307" i="18"/>
  <c r="AE45" i="18"/>
  <c r="AE269" i="18"/>
  <c r="AE133" i="18"/>
  <c r="AE184" i="18"/>
  <c r="AE202" i="18"/>
  <c r="AE215" i="18"/>
  <c r="AE278" i="18"/>
  <c r="AE137" i="18"/>
  <c r="AE364" i="18"/>
  <c r="AE108" i="18"/>
  <c r="AE50" i="18"/>
  <c r="AE135" i="18"/>
  <c r="AE110" i="18"/>
  <c r="AE335" i="18"/>
  <c r="AE288" i="18"/>
  <c r="AE32" i="18"/>
  <c r="AE337" i="18"/>
  <c r="AE75" i="18"/>
  <c r="AE339" i="18"/>
  <c r="AE203" i="18"/>
  <c r="AE228" i="18"/>
  <c r="AE290" i="18"/>
  <c r="AE259" i="18"/>
  <c r="AE318" i="18"/>
  <c r="AE175" i="18"/>
  <c r="AE39" i="18"/>
  <c r="AE136" i="18"/>
  <c r="AE106" i="18"/>
  <c r="AE163" i="18"/>
  <c r="AE182" i="18"/>
  <c r="AE43" i="18"/>
  <c r="AE316" i="18"/>
  <c r="AE60" i="18"/>
  <c r="AE349" i="18"/>
  <c r="AE87" i="18"/>
  <c r="AE377" i="18"/>
  <c r="AE241" i="18"/>
  <c r="AE240" i="18"/>
  <c r="AE346" i="18"/>
  <c r="AE287" i="18"/>
  <c r="AE25" i="18"/>
  <c r="AE245" i="18"/>
  <c r="AE109" i="18"/>
  <c r="AE180" i="18"/>
  <c r="AE194" i="18"/>
  <c r="AE211" i="18"/>
  <c r="AE222" i="18"/>
  <c r="AE81" i="18"/>
  <c r="AE344" i="18"/>
  <c r="AE88" i="18"/>
  <c r="AE375" i="18"/>
  <c r="AE115" i="18"/>
  <c r="AE86" i="18"/>
  <c r="AE313" i="18"/>
  <c r="AE268" i="18"/>
  <c r="AE370" i="18"/>
  <c r="AE299" i="18"/>
  <c r="AE37" i="18"/>
  <c r="AE285" i="18"/>
  <c r="AE149" i="18"/>
  <c r="AE192" i="18"/>
  <c r="AE250" i="18"/>
  <c r="AE239" i="18"/>
  <c r="AE294" i="18"/>
  <c r="AE153" i="18"/>
  <c r="AE17" i="18"/>
  <c r="AE132" i="18"/>
  <c r="AE98" i="18"/>
  <c r="AE159" i="18"/>
  <c r="AE126" i="18"/>
  <c r="AE351" i="18"/>
  <c r="AE296" i="18"/>
  <c r="AE40" i="18"/>
  <c r="AE329" i="18"/>
  <c r="AE67" i="18"/>
  <c r="AE355" i="18"/>
  <c r="AE217" i="18"/>
  <c r="AE220" i="18"/>
  <c r="AE274" i="18"/>
  <c r="AE251" i="18"/>
  <c r="AE334" i="18"/>
  <c r="AE191" i="18"/>
  <c r="AE55" i="18"/>
  <c r="AE144" i="18"/>
  <c r="AE154" i="18"/>
  <c r="AE189" i="18"/>
  <c r="AE198" i="18"/>
  <c r="AE59" i="18"/>
  <c r="AE340" i="18"/>
  <c r="AE84" i="18"/>
  <c r="AE373" i="18"/>
  <c r="AE111" i="18"/>
  <c r="AE30" i="18"/>
  <c r="AE257" i="18"/>
  <c r="AE248" i="18"/>
  <c r="AE330" i="18"/>
  <c r="AE279" i="18"/>
  <c r="AE18" i="18"/>
  <c r="AE261" i="18"/>
  <c r="AE125" i="18"/>
  <c r="AE172" i="18"/>
  <c r="AE178" i="18"/>
  <c r="AE201" i="18"/>
  <c r="AE238" i="18"/>
  <c r="AE97" i="18"/>
  <c r="AE352" i="18"/>
  <c r="AE96" i="18"/>
  <c r="AE58" i="18"/>
  <c r="AE139" i="18"/>
  <c r="AE102" i="18"/>
  <c r="AE327" i="18"/>
  <c r="AE292" i="18"/>
  <c r="AE36" i="18"/>
  <c r="AE325" i="18"/>
  <c r="AE61" i="18"/>
  <c r="AE301" i="18"/>
  <c r="AE165" i="18"/>
  <c r="AE200" i="18"/>
  <c r="AE234" i="18"/>
  <c r="AE231" i="18"/>
  <c r="AE310" i="18"/>
  <c r="AE113" i="18"/>
  <c r="AE254" i="18"/>
  <c r="AE227" i="18"/>
  <c r="AE226" i="18"/>
  <c r="AE196" i="18"/>
  <c r="AE141" i="18"/>
  <c r="AE277" i="18"/>
  <c r="AE41" i="18"/>
  <c r="AE303" i="18"/>
  <c r="AE378" i="18"/>
  <c r="AE256" i="18"/>
  <c r="AE273" i="18"/>
  <c r="AE46" i="18"/>
  <c r="AE103" i="18"/>
  <c r="AE365" i="18"/>
  <c r="AE76" i="18"/>
  <c r="AE332" i="18"/>
  <c r="AE73" i="18"/>
  <c r="AE214" i="18"/>
  <c r="AE181" i="18"/>
  <c r="AE138" i="18"/>
  <c r="AE152" i="18"/>
  <c r="AE69" i="18"/>
  <c r="AE205" i="18"/>
  <c r="AE350" i="18"/>
  <c r="AE275" i="18"/>
  <c r="AE322" i="18"/>
  <c r="AE244" i="18"/>
  <c r="AE233" i="18"/>
  <c r="AE371" i="18"/>
  <c r="AE91" i="18"/>
  <c r="AE353" i="18"/>
  <c r="AE48" i="18"/>
  <c r="AE304" i="18"/>
  <c r="AE367" i="18"/>
  <c r="AE142" i="18"/>
  <c r="AE151" i="18"/>
  <c r="AE82" i="18"/>
  <c r="AE124" i="18"/>
  <c r="AE31" i="18"/>
  <c r="AE169" i="18"/>
  <c r="AE99" i="18"/>
  <c r="AE72" i="18"/>
  <c r="AE51" i="18"/>
  <c r="AE193" i="18"/>
  <c r="AE164" i="18"/>
  <c r="AE213" i="18"/>
  <c r="AE271" i="18"/>
  <c r="AE224" i="18"/>
  <c r="AE347" i="18"/>
  <c r="AE333" i="18"/>
  <c r="AE300" i="18"/>
  <c r="AE150" i="18"/>
  <c r="AE74" i="18"/>
  <c r="AE376" i="18"/>
  <c r="AE286" i="18"/>
  <c r="AE258" i="18"/>
  <c r="AE173" i="18"/>
  <c r="AE57" i="18"/>
  <c r="AE15" i="18"/>
  <c r="AE305" i="18"/>
  <c r="AE119" i="18"/>
  <c r="AE92" i="18"/>
  <c r="AE105" i="18"/>
  <c r="AE197" i="18"/>
  <c r="AE168" i="18"/>
  <c r="AE237" i="18"/>
  <c r="AE291" i="18"/>
  <c r="AE260" i="18"/>
  <c r="AE38" i="18"/>
  <c r="AE369" i="18"/>
  <c r="AE320" i="18"/>
  <c r="AE174" i="18"/>
  <c r="AE114" i="18"/>
  <c r="AE63" i="18"/>
  <c r="AE342" i="18"/>
  <c r="AE266" i="18"/>
  <c r="AE195" i="18"/>
  <c r="AE79" i="18"/>
  <c r="AE52" i="18"/>
  <c r="AE359" i="18"/>
  <c r="AE155" i="18"/>
  <c r="AE112" i="18"/>
  <c r="AE129" i="18"/>
  <c r="AE219" i="18"/>
  <c r="AE188" i="18"/>
  <c r="AE293" i="18"/>
  <c r="AE295" i="18"/>
  <c r="AE264" i="18"/>
  <c r="AE62" i="18"/>
  <c r="AE34" i="18"/>
  <c r="AE356" i="18"/>
  <c r="AE230" i="18"/>
  <c r="AE186" i="18"/>
  <c r="AE85" i="18"/>
  <c r="AE366" i="18"/>
  <c r="AE306" i="18"/>
  <c r="AE249" i="18"/>
  <c r="AE83" i="18"/>
  <c r="AE56" i="18"/>
  <c r="AE16" i="18"/>
  <c r="AE177" i="18"/>
  <c r="AE148" i="18"/>
  <c r="AE183" i="18"/>
  <c r="AE255" i="18"/>
  <c r="AE208" i="18"/>
  <c r="AE317" i="18"/>
  <c r="AE315" i="18"/>
  <c r="AE284" i="18"/>
  <c r="AE118" i="18"/>
  <c r="AE42" i="18"/>
  <c r="AE360" i="18"/>
  <c r="Q55" i="18"/>
  <c r="Q331" i="18"/>
  <c r="Q302" i="18"/>
  <c r="Q86" i="18"/>
  <c r="Q261" i="18"/>
  <c r="Q318" i="18"/>
  <c r="Q333" i="18"/>
  <c r="Q129" i="18"/>
  <c r="Q30" i="18"/>
  <c r="Q178" i="18"/>
  <c r="Q96" i="18"/>
  <c r="Q253" i="18"/>
  <c r="Q56" i="18"/>
  <c r="Q180" i="18"/>
  <c r="Q171" i="18"/>
  <c r="Q367" i="18"/>
  <c r="Q377" i="18"/>
  <c r="Q45" i="18"/>
  <c r="Q31" i="18"/>
  <c r="Q163" i="18"/>
  <c r="Q224" i="18"/>
  <c r="Q354" i="18"/>
  <c r="Q182" i="18"/>
  <c r="Q19" i="18"/>
  <c r="Q195" i="18"/>
  <c r="Q49" i="18"/>
  <c r="Q292" i="18"/>
  <c r="Q374" i="18"/>
  <c r="Q151" i="18"/>
  <c r="Q98" i="18"/>
  <c r="Q176" i="18"/>
  <c r="Q298" i="18"/>
  <c r="Q116" i="18"/>
  <c r="Q332" i="18"/>
  <c r="Q248" i="18"/>
  <c r="Q312" i="18"/>
  <c r="Q229" i="18"/>
  <c r="Q198" i="18"/>
  <c r="Q38" i="18"/>
  <c r="Q249" i="18"/>
  <c r="Q88" i="18"/>
  <c r="Q210" i="18"/>
  <c r="Q35" i="18"/>
  <c r="Q288" i="18"/>
  <c r="Q279" i="18"/>
  <c r="Q345" i="18"/>
  <c r="Q286" i="18"/>
  <c r="Q293" i="18"/>
  <c r="Q324" i="18"/>
  <c r="Q144" i="18"/>
  <c r="Q52" i="18"/>
  <c r="Q187" i="18"/>
  <c r="Q205" i="18"/>
  <c r="Q48" i="18"/>
  <c r="Q156" i="18"/>
  <c r="Q91" i="18"/>
  <c r="Q268" i="18"/>
  <c r="Q29" i="18"/>
  <c r="Q189" i="18"/>
  <c r="Q272" i="18"/>
  <c r="Q307" i="18"/>
  <c r="Q69" i="18"/>
  <c r="Q58" i="18"/>
  <c r="Q200" i="18"/>
  <c r="Q338" i="18"/>
  <c r="Q206" i="18"/>
  <c r="Q352" i="18"/>
  <c r="Q118" i="18"/>
  <c r="Q306" i="18"/>
  <c r="Q70" i="18"/>
  <c r="Q194" i="18"/>
  <c r="Q280" i="18"/>
  <c r="Q103" i="18"/>
  <c r="Q188" i="18"/>
  <c r="Q141" i="18"/>
  <c r="Q110" i="18"/>
  <c r="Q193" i="18"/>
  <c r="Q72" i="18"/>
  <c r="Q140" i="18"/>
  <c r="Q217" i="18"/>
  <c r="Q347" i="18"/>
  <c r="Q208" i="18"/>
  <c r="Q305" i="18"/>
  <c r="Q18" i="18"/>
  <c r="Q123" i="18"/>
  <c r="Q251" i="18"/>
  <c r="Q237" i="18"/>
  <c r="Q33" i="18"/>
  <c r="Q28" i="18"/>
  <c r="Q155" i="18"/>
  <c r="Q236" i="18"/>
  <c r="AC281" i="25" l="1"/>
  <c r="AC271" i="25"/>
  <c r="AC358" i="25"/>
  <c r="AC367" i="25"/>
  <c r="AC319" i="25"/>
  <c r="AC306" i="25"/>
  <c r="AC333" i="25"/>
  <c r="AC147" i="25"/>
  <c r="AC192" i="25"/>
  <c r="AC348" i="25"/>
  <c r="AC315" i="25"/>
  <c r="AC353" i="25"/>
  <c r="AC283" i="25"/>
  <c r="AC323" i="25"/>
  <c r="AC177" i="25"/>
  <c r="AC290" i="25"/>
  <c r="AC356" i="25"/>
  <c r="AC214" i="25"/>
  <c r="AC304" i="25"/>
  <c r="AC355" i="25"/>
  <c r="AC209" i="25"/>
  <c r="AC300" i="25"/>
  <c r="AC359" i="25"/>
  <c r="AC363" i="25"/>
  <c r="AC301" i="25"/>
  <c r="AC171" i="25"/>
  <c r="AC324" i="25"/>
  <c r="AC168" i="25"/>
  <c r="AC275" i="25"/>
  <c r="AC260" i="25"/>
  <c r="AC331" i="25"/>
  <c r="AC344" i="25"/>
  <c r="AC224" i="25"/>
  <c r="AC294" i="25"/>
  <c r="AC351" i="25"/>
  <c r="AC292" i="25"/>
  <c r="AC222" i="25"/>
  <c r="AC150" i="25"/>
  <c r="AC360" i="25"/>
  <c r="AC321" i="25"/>
  <c r="AC343" i="25"/>
  <c r="AC221" i="25"/>
  <c r="AC314" i="25"/>
  <c r="AC194" i="25"/>
  <c r="AC172" i="25"/>
  <c r="AC286" i="25"/>
  <c r="AC199" i="25"/>
  <c r="AC183" i="25"/>
  <c r="AC376" i="25"/>
  <c r="AC374" i="25"/>
  <c r="AC164" i="25"/>
  <c r="AC308" i="25"/>
  <c r="AC193" i="25"/>
  <c r="AC310" i="25"/>
  <c r="AC179" i="25"/>
  <c r="AC337" i="25"/>
  <c r="AC236" i="25"/>
  <c r="AC338" i="25"/>
  <c r="AC311" i="25"/>
  <c r="AC258" i="25"/>
  <c r="AC153" i="25"/>
  <c r="AC373" i="25"/>
  <c r="AC366" i="25"/>
  <c r="AC307" i="25"/>
  <c r="AC203" i="25"/>
  <c r="AC284" i="25"/>
  <c r="AC252" i="25"/>
  <c r="AC330" i="25"/>
  <c r="AC157" i="25"/>
  <c r="AC375" i="25"/>
  <c r="AC266" i="25"/>
  <c r="AC135" i="25"/>
  <c r="AC217" i="25"/>
  <c r="AC332" i="25"/>
  <c r="AC326" i="25"/>
  <c r="AC325" i="25"/>
  <c r="AC205" i="25"/>
  <c r="AC256" i="25"/>
  <c r="AC368" i="25"/>
  <c r="AC309" i="25"/>
  <c r="AC237" i="25"/>
  <c r="AC268" i="25"/>
  <c r="AC139" i="25"/>
  <c r="AC254" i="25"/>
  <c r="AC218" i="25"/>
  <c r="AC377" i="25"/>
  <c r="AC235" i="25"/>
  <c r="AC339" i="25"/>
  <c r="AC190" i="25"/>
  <c r="AC352" i="25"/>
  <c r="AC198" i="25"/>
  <c r="AC215" i="25"/>
  <c r="AC263" i="25"/>
  <c r="AC296" i="25"/>
  <c r="AC255" i="25"/>
  <c r="AC267" i="25"/>
  <c r="AC166" i="25"/>
  <c r="AC327" i="25"/>
  <c r="AC145" i="25"/>
  <c r="AC350" i="25"/>
  <c r="AC261" i="25"/>
  <c r="AC349" i="25"/>
  <c r="AC226" i="25"/>
  <c r="AC240" i="25"/>
  <c r="AC336" i="25"/>
  <c r="AC334" i="25"/>
  <c r="AC175" i="25"/>
  <c r="AC189" i="25"/>
  <c r="AC295" i="25"/>
  <c r="AC340" i="25"/>
  <c r="AC273" i="25"/>
  <c r="AC277" i="25"/>
  <c r="AC264" i="25"/>
  <c r="AC317" i="25"/>
  <c r="AC239" i="25"/>
  <c r="AC248" i="25"/>
  <c r="AC329" i="25"/>
  <c r="AC272" i="25"/>
  <c r="AC289" i="25"/>
  <c r="AC371" i="25"/>
  <c r="AC182" i="25"/>
  <c r="AC381" i="24"/>
  <c r="AC383" i="24"/>
  <c r="AC312" i="25"/>
  <c r="AC146" i="25"/>
  <c r="AC165" i="25"/>
  <c r="AC167" i="25"/>
  <c r="AC241" i="25"/>
  <c r="AC187" i="25"/>
  <c r="AC230" i="25"/>
  <c r="AC251" i="25"/>
  <c r="AC160" i="25"/>
  <c r="AC280" i="25"/>
  <c r="AC357" i="25"/>
  <c r="AC142" i="25"/>
  <c r="AC211" i="25"/>
  <c r="AC293" i="25"/>
  <c r="AC174" i="25"/>
  <c r="AC178" i="25"/>
  <c r="AC253" i="25"/>
  <c r="AC197" i="25"/>
  <c r="AC369" i="25"/>
  <c r="AC279" i="25"/>
  <c r="AC216" i="25"/>
  <c r="AC347" i="25"/>
  <c r="AC302" i="25"/>
  <c r="AC364" i="25"/>
  <c r="AC202" i="25"/>
  <c r="AC365" i="25"/>
  <c r="AC313" i="25"/>
  <c r="AC265" i="25"/>
  <c r="AC201" i="25"/>
  <c r="AC345" i="25"/>
  <c r="AC238" i="25"/>
  <c r="AC181" i="25"/>
  <c r="AC225" i="25"/>
  <c r="AC361" i="25"/>
  <c r="AC220" i="25"/>
  <c r="AC188" i="25"/>
  <c r="AC138" i="25"/>
  <c r="AC234" i="25"/>
  <c r="AC249" i="25"/>
  <c r="AC299" i="25"/>
  <c r="AC210" i="25"/>
  <c r="AC176" i="25"/>
  <c r="AC257" i="25"/>
  <c r="AC140" i="25"/>
  <c r="AC207" i="25"/>
  <c r="AC298" i="25"/>
  <c r="AC346" i="25"/>
  <c r="AC141" i="25"/>
  <c r="AC282" i="25"/>
  <c r="AC382" i="24"/>
  <c r="AC247" i="25"/>
  <c r="AC297" i="25"/>
  <c r="AC208" i="25"/>
  <c r="AC173" i="25"/>
  <c r="AC274" i="25"/>
  <c r="AC318" i="25"/>
  <c r="AC285" i="25"/>
  <c r="AC362" i="25"/>
  <c r="AC303" i="25"/>
  <c r="AC228" i="25"/>
  <c r="AC291" i="25"/>
  <c r="AC354" i="25"/>
  <c r="AC276" i="25"/>
  <c r="AC144" i="25"/>
  <c r="AC233" i="25"/>
  <c r="AC185" i="25"/>
  <c r="AC156" i="25"/>
  <c r="AC162" i="25"/>
  <c r="AC316" i="25"/>
  <c r="AC149" i="25"/>
  <c r="AC322" i="25"/>
  <c r="AC379" i="25"/>
  <c r="AC242" i="25"/>
  <c r="AC287" i="25"/>
  <c r="AC244" i="25"/>
  <c r="AC184" i="25"/>
  <c r="AC243" i="25"/>
  <c r="AC161" i="25"/>
  <c r="AC229" i="25"/>
  <c r="AC270" i="25"/>
  <c r="AC143" i="25"/>
  <c r="AC378" i="25"/>
  <c r="AC328" i="25"/>
  <c r="AC204" i="25"/>
  <c r="AC191" i="25"/>
  <c r="AC335" i="25"/>
  <c r="AC288" i="25"/>
  <c r="AC232" i="25"/>
  <c r="AC159" i="25"/>
  <c r="AC169" i="25"/>
  <c r="AC269" i="25"/>
  <c r="AC154" i="25"/>
  <c r="AC195" i="25"/>
  <c r="AC305" i="25"/>
  <c r="AC231" i="25"/>
  <c r="AC206" i="25"/>
  <c r="AC180" i="25"/>
  <c r="AC200" i="25"/>
  <c r="AC148" i="25"/>
  <c r="AC219" i="25"/>
  <c r="AC259" i="25"/>
  <c r="AC163" i="25"/>
  <c r="AC196" i="25"/>
  <c r="AC155" i="25"/>
  <c r="AC151" i="25"/>
  <c r="AC170" i="25"/>
  <c r="AC152" i="25"/>
  <c r="AC246" i="25"/>
  <c r="AC250" i="25"/>
  <c r="AC370" i="25"/>
  <c r="AC137" i="25"/>
  <c r="AC223" i="25"/>
  <c r="AC158" i="25"/>
  <c r="AC186" i="25"/>
  <c r="AC245" i="25"/>
  <c r="AC372" i="25"/>
  <c r="AC278" i="25"/>
  <c r="AC136" i="25"/>
  <c r="AC341" i="25"/>
  <c r="AC134" i="25"/>
  <c r="AC342" i="25"/>
  <c r="AC262" i="25"/>
  <c r="AC213" i="25"/>
  <c r="AC212" i="25"/>
  <c r="O381" i="25"/>
  <c r="O383" i="25"/>
  <c r="O382" i="25"/>
  <c r="I320" i="16"/>
  <c r="H320" i="17" s="1"/>
  <c r="V379" i="17"/>
  <c r="F379" i="17" s="1"/>
  <c r="G379" i="17" s="1"/>
  <c r="BZ379" i="6" s="1"/>
  <c r="D38" i="19"/>
  <c r="AA58" i="17"/>
  <c r="Z58" i="17" s="1"/>
  <c r="Y58" i="17" s="1"/>
  <c r="AA132" i="17"/>
  <c r="Z132" i="17" s="1"/>
  <c r="Y132" i="17" s="1"/>
  <c r="AA253" i="17"/>
  <c r="Z253" i="17" s="1"/>
  <c r="Y253" i="17" s="1"/>
  <c r="G253" i="17"/>
  <c r="BZ253" i="6" s="1"/>
  <c r="H253" i="17"/>
  <c r="G116" i="17"/>
  <c r="BZ116" i="6" s="1"/>
  <c r="H116" i="17"/>
  <c r="AA116" i="17"/>
  <c r="Z116" i="17" s="1"/>
  <c r="Y116" i="17" s="1"/>
  <c r="AA295" i="17"/>
  <c r="Z295" i="17" s="1"/>
  <c r="Y295" i="17" s="1"/>
  <c r="G295" i="17"/>
  <c r="BZ295" i="6" s="1"/>
  <c r="H295" i="17"/>
  <c r="V356" i="17"/>
  <c r="F356" i="17" s="1"/>
  <c r="AA172" i="17"/>
  <c r="Z172" i="17" s="1"/>
  <c r="Y172" i="17" s="1"/>
  <c r="H172" i="17"/>
  <c r="G172" i="17"/>
  <c r="BZ172" i="6" s="1"/>
  <c r="V364" i="17"/>
  <c r="F364" i="17" s="1"/>
  <c r="V142" i="17"/>
  <c r="F142" i="17" s="1"/>
  <c r="AA69" i="17"/>
  <c r="Z69" i="17" s="1"/>
  <c r="Y69" i="17" s="1"/>
  <c r="H69" i="17"/>
  <c r="G69" i="17"/>
  <c r="BZ69" i="6" s="1"/>
  <c r="AA96" i="17"/>
  <c r="Z96" i="17" s="1"/>
  <c r="Y96" i="17" s="1"/>
  <c r="G96" i="17"/>
  <c r="BZ96" i="6" s="1"/>
  <c r="H96" i="17"/>
  <c r="G332" i="17"/>
  <c r="BZ332" i="6" s="1"/>
  <c r="AA332" i="17"/>
  <c r="Z332" i="17" s="1"/>
  <c r="Y332" i="17" s="1"/>
  <c r="H332" i="17"/>
  <c r="G359" i="17"/>
  <c r="BZ359" i="6" s="1"/>
  <c r="H359" i="17"/>
  <c r="AA359" i="17"/>
  <c r="Z359" i="17" s="1"/>
  <c r="Y359" i="17" s="1"/>
  <c r="G311" i="17"/>
  <c r="BZ311" i="6" s="1"/>
  <c r="AA311" i="17"/>
  <c r="Z311" i="17" s="1"/>
  <c r="Y311" i="17" s="1"/>
  <c r="H311" i="17"/>
  <c r="F319" i="17"/>
  <c r="V302" i="17"/>
  <c r="F302" i="17" s="1"/>
  <c r="D65" i="7"/>
  <c r="AA169" i="17"/>
  <c r="Z169" i="17" s="1"/>
  <c r="Y169" i="17" s="1"/>
  <c r="H169" i="17"/>
  <c r="G169" i="17"/>
  <c r="BZ169" i="6" s="1"/>
  <c r="H310" i="17"/>
  <c r="AA310" i="17"/>
  <c r="Z310" i="17" s="1"/>
  <c r="Y310" i="17" s="1"/>
  <c r="G310" i="17"/>
  <c r="BZ310" i="6" s="1"/>
  <c r="G334" i="17"/>
  <c r="BZ334" i="6" s="1"/>
  <c r="H334" i="17"/>
  <c r="AA334" i="17"/>
  <c r="Z334" i="17" s="1"/>
  <c r="Y334" i="17" s="1"/>
  <c r="AA186" i="17"/>
  <c r="Z186" i="17" s="1"/>
  <c r="Y186" i="17" s="1"/>
  <c r="G186" i="17"/>
  <c r="BZ186" i="6" s="1"/>
  <c r="H186" i="17"/>
  <c r="G259" i="17"/>
  <c r="BZ259" i="6" s="1"/>
  <c r="H259" i="17"/>
  <c r="AA259" i="17"/>
  <c r="Z259" i="17" s="1"/>
  <c r="Y259" i="17" s="1"/>
  <c r="H351" i="17"/>
  <c r="G351" i="17"/>
  <c r="BZ351" i="6" s="1"/>
  <c r="AA351" i="17"/>
  <c r="Z351" i="17" s="1"/>
  <c r="Y351" i="17" s="1"/>
  <c r="G273" i="17"/>
  <c r="BZ273" i="6" s="1"/>
  <c r="H273" i="17"/>
  <c r="AA273" i="17"/>
  <c r="Z273" i="17" s="1"/>
  <c r="Y273" i="17" s="1"/>
  <c r="G71" i="17"/>
  <c r="BZ71" i="6" s="1"/>
  <c r="H71" i="17"/>
  <c r="AA71" i="17"/>
  <c r="Z71" i="17" s="1"/>
  <c r="Y71" i="17" s="1"/>
  <c r="G256" i="17"/>
  <c r="BZ256" i="6" s="1"/>
  <c r="AA256" i="17"/>
  <c r="Z256" i="17" s="1"/>
  <c r="Y256" i="17" s="1"/>
  <c r="H256" i="17"/>
  <c r="G208" i="17"/>
  <c r="BZ208" i="6" s="1"/>
  <c r="H208" i="17"/>
  <c r="G308" i="17"/>
  <c r="BZ308" i="6" s="1"/>
  <c r="AA308" i="17"/>
  <c r="Z308" i="17" s="1"/>
  <c r="Y308" i="17" s="1"/>
  <c r="H308" i="17"/>
  <c r="V119" i="17"/>
  <c r="F119" i="17" s="1"/>
  <c r="D59" i="7"/>
  <c r="G350" i="17"/>
  <c r="BZ350" i="6" s="1"/>
  <c r="H350" i="17"/>
  <c r="AA350" i="17"/>
  <c r="Z350" i="17" s="1"/>
  <c r="Y350" i="17" s="1"/>
  <c r="H28" i="17"/>
  <c r="G28" i="17"/>
  <c r="BZ28" i="6" s="1"/>
  <c r="AA28" i="17"/>
  <c r="Z28" i="17" s="1"/>
  <c r="Y28" i="17" s="1"/>
  <c r="V19" i="17"/>
  <c r="F19" i="17" s="1"/>
  <c r="G91" i="17"/>
  <c r="BZ91" i="6" s="1"/>
  <c r="AA91" i="17"/>
  <c r="Z91" i="17" s="1"/>
  <c r="Y91" i="17" s="1"/>
  <c r="H91" i="17"/>
  <c r="G104" i="17"/>
  <c r="BZ104" i="6" s="1"/>
  <c r="AA104" i="17"/>
  <c r="Z104" i="17" s="1"/>
  <c r="Y104" i="17" s="1"/>
  <c r="H104" i="17"/>
  <c r="H126" i="17"/>
  <c r="G126" i="17"/>
  <c r="BZ126" i="6" s="1"/>
  <c r="AA126" i="17"/>
  <c r="Z126" i="17" s="1"/>
  <c r="Y126" i="17" s="1"/>
  <c r="H300" i="17"/>
  <c r="AA300" i="17"/>
  <c r="Z300" i="17" s="1"/>
  <c r="Y300" i="17" s="1"/>
  <c r="G300" i="17"/>
  <c r="BZ300" i="6" s="1"/>
  <c r="H134" i="17"/>
  <c r="G134" i="17"/>
  <c r="BZ134" i="6" s="1"/>
  <c r="AA134" i="17"/>
  <c r="Z134" i="17" s="1"/>
  <c r="Y134" i="17" s="1"/>
  <c r="H17" i="17"/>
  <c r="AA17" i="17"/>
  <c r="Z17" i="17" s="1"/>
  <c r="Y17" i="17" s="1"/>
  <c r="G17" i="17"/>
  <c r="BZ17" i="6" s="1"/>
  <c r="G133" i="17"/>
  <c r="BZ133" i="6" s="1"/>
  <c r="H133" i="17"/>
  <c r="AA133" i="17"/>
  <c r="Z133" i="17" s="1"/>
  <c r="Y133" i="17" s="1"/>
  <c r="AA77" i="17"/>
  <c r="Z77" i="17" s="1"/>
  <c r="Y77" i="17" s="1"/>
  <c r="G77" i="17"/>
  <c r="BZ77" i="6" s="1"/>
  <c r="H77" i="17"/>
  <c r="G230" i="17"/>
  <c r="BZ230" i="6" s="1"/>
  <c r="AA230" i="17"/>
  <c r="Z230" i="17" s="1"/>
  <c r="Y230" i="17" s="1"/>
  <c r="H230" i="17"/>
  <c r="G40" i="17"/>
  <c r="BZ40" i="6" s="1"/>
  <c r="AA40" i="17"/>
  <c r="Z40" i="17" s="1"/>
  <c r="Y40" i="17" s="1"/>
  <c r="H40" i="17"/>
  <c r="G343" i="17"/>
  <c r="BZ343" i="6" s="1"/>
  <c r="H343" i="17"/>
  <c r="AA343" i="17"/>
  <c r="Z343" i="17" s="1"/>
  <c r="Y343" i="17" s="1"/>
  <c r="H280" i="17"/>
  <c r="AA280" i="17"/>
  <c r="Z280" i="17" s="1"/>
  <c r="Y280" i="17" s="1"/>
  <c r="G280" i="17"/>
  <c r="BZ280" i="6" s="1"/>
  <c r="AA248" i="17"/>
  <c r="Z248" i="17" s="1"/>
  <c r="Y248" i="17" s="1"/>
  <c r="G248" i="17"/>
  <c r="BZ248" i="6" s="1"/>
  <c r="H248" i="17"/>
  <c r="H108" i="17"/>
  <c r="G108" i="17"/>
  <c r="BZ108" i="6" s="1"/>
  <c r="AA108" i="17"/>
  <c r="Z108" i="17" s="1"/>
  <c r="Y108" i="17" s="1"/>
  <c r="D67" i="7"/>
  <c r="V363" i="17"/>
  <c r="F363" i="17" s="1"/>
  <c r="H322" i="17"/>
  <c r="G322" i="17"/>
  <c r="BZ322" i="6" s="1"/>
  <c r="AA322" i="17"/>
  <c r="Z322" i="17" s="1"/>
  <c r="Y322" i="17" s="1"/>
  <c r="G130" i="17"/>
  <c r="BZ130" i="6" s="1"/>
  <c r="H130" i="17"/>
  <c r="AA130" i="17"/>
  <c r="Z130" i="17" s="1"/>
  <c r="Y130" i="17" s="1"/>
  <c r="AA314" i="17"/>
  <c r="Z314" i="17" s="1"/>
  <c r="Y314" i="17" s="1"/>
  <c r="G314" i="17"/>
  <c r="BZ314" i="6" s="1"/>
  <c r="H314" i="17"/>
  <c r="H323" i="17"/>
  <c r="G323" i="17"/>
  <c r="BZ323" i="6" s="1"/>
  <c r="AA323" i="17"/>
  <c r="Z323" i="17" s="1"/>
  <c r="Y323" i="17" s="1"/>
  <c r="AA354" i="17"/>
  <c r="Z354" i="17" s="1"/>
  <c r="Y354" i="17" s="1"/>
  <c r="H354" i="17"/>
  <c r="G354" i="17"/>
  <c r="BZ354" i="6" s="1"/>
  <c r="G59" i="17"/>
  <c r="BZ59" i="6" s="1"/>
  <c r="AA59" i="17"/>
  <c r="Z59" i="17" s="1"/>
  <c r="Y59" i="17" s="1"/>
  <c r="H59" i="17"/>
  <c r="V135" i="17"/>
  <c r="F135" i="17" s="1"/>
  <c r="G23" i="17"/>
  <c r="BZ23" i="6" s="1"/>
  <c r="H23" i="17"/>
  <c r="AA23" i="17"/>
  <c r="Z23" i="17" s="1"/>
  <c r="Y23" i="17" s="1"/>
  <c r="AA336" i="17"/>
  <c r="Z336" i="17" s="1"/>
  <c r="Y336" i="17" s="1"/>
  <c r="G336" i="17"/>
  <c r="BZ336" i="6" s="1"/>
  <c r="H336" i="17"/>
  <c r="G206" i="17"/>
  <c r="BZ206" i="6" s="1"/>
  <c r="H206" i="17"/>
  <c r="AA206" i="17"/>
  <c r="Z206" i="17" s="1"/>
  <c r="Y206" i="17" s="1"/>
  <c r="H183" i="17"/>
  <c r="G183" i="17"/>
  <c r="BZ183" i="6" s="1"/>
  <c r="AA183" i="17"/>
  <c r="Z183" i="17" s="1"/>
  <c r="Y183" i="17" s="1"/>
  <c r="AA287" i="17"/>
  <c r="Z287" i="17" s="1"/>
  <c r="Y287" i="17" s="1"/>
  <c r="H287" i="17"/>
  <c r="G287" i="17"/>
  <c r="BZ287" i="6" s="1"/>
  <c r="AA43" i="17"/>
  <c r="Z43" i="17" s="1"/>
  <c r="Y43" i="17" s="1"/>
  <c r="H43" i="17"/>
  <c r="G43" i="17"/>
  <c r="BZ43" i="6" s="1"/>
  <c r="V258" i="17"/>
  <c r="F258" i="17" s="1"/>
  <c r="G346" i="17"/>
  <c r="BZ346" i="6" s="1"/>
  <c r="H346" i="17"/>
  <c r="H360" i="17"/>
  <c r="G360" i="17"/>
  <c r="BZ360" i="6" s="1"/>
  <c r="AA360" i="17"/>
  <c r="Z360" i="17" s="1"/>
  <c r="Y360" i="17" s="1"/>
  <c r="G254" i="17"/>
  <c r="BZ254" i="6" s="1"/>
  <c r="AA254" i="17"/>
  <c r="Z254" i="17" s="1"/>
  <c r="Y254" i="17" s="1"/>
  <c r="H254" i="17"/>
  <c r="AA70" i="17"/>
  <c r="Z70" i="17" s="1"/>
  <c r="Y70" i="17" s="1"/>
  <c r="G70" i="17"/>
  <c r="BZ70" i="6" s="1"/>
  <c r="H70" i="17"/>
  <c r="AA262" i="17"/>
  <c r="Z262" i="17" s="1"/>
  <c r="Y262" i="17" s="1"/>
  <c r="G262" i="17"/>
  <c r="BZ262" i="6" s="1"/>
  <c r="H262" i="17"/>
  <c r="G56" i="17"/>
  <c r="BZ56" i="6" s="1"/>
  <c r="H56" i="17"/>
  <c r="AA56" i="17"/>
  <c r="Z56" i="17" s="1"/>
  <c r="Y56" i="17" s="1"/>
  <c r="AA197" i="17"/>
  <c r="Z197" i="17" s="1"/>
  <c r="Y197" i="17" s="1"/>
  <c r="G197" i="17"/>
  <c r="BZ197" i="6" s="1"/>
  <c r="H197" i="17"/>
  <c r="G205" i="17"/>
  <c r="BZ205" i="6" s="1"/>
  <c r="AA205" i="17"/>
  <c r="Z205" i="17" s="1"/>
  <c r="Y205" i="17" s="1"/>
  <c r="H205" i="17"/>
  <c r="G358" i="17"/>
  <c r="BZ358" i="6" s="1"/>
  <c r="AA358" i="17"/>
  <c r="Z358" i="17" s="1"/>
  <c r="Y358" i="17" s="1"/>
  <c r="H358" i="17"/>
  <c r="G168" i="17"/>
  <c r="BZ168" i="6" s="1"/>
  <c r="AA168" i="17"/>
  <c r="Z168" i="17" s="1"/>
  <c r="Y168" i="17" s="1"/>
  <c r="H168" i="17"/>
  <c r="G375" i="17"/>
  <c r="BZ375" i="6" s="1"/>
  <c r="H375" i="17"/>
  <c r="AA375" i="17"/>
  <c r="Z375" i="17" s="1"/>
  <c r="Y375" i="17" s="1"/>
  <c r="G34" i="17"/>
  <c r="BZ34" i="6" s="1"/>
  <c r="H34" i="17"/>
  <c r="AA34" i="17"/>
  <c r="Z34" i="17" s="1"/>
  <c r="Y34" i="17" s="1"/>
  <c r="V349" i="17"/>
  <c r="F166" i="17"/>
  <c r="H107" i="17"/>
  <c r="AA107" i="17"/>
  <c r="Z107" i="17" s="1"/>
  <c r="Y107" i="17" s="1"/>
  <c r="G107" i="17"/>
  <c r="BZ107" i="6" s="1"/>
  <c r="G312" i="17"/>
  <c r="BZ312" i="6" s="1"/>
  <c r="H312" i="17"/>
  <c r="AA312" i="17"/>
  <c r="Z312" i="17" s="1"/>
  <c r="Y312" i="17" s="1"/>
  <c r="G68" i="17"/>
  <c r="BZ68" i="6" s="1"/>
  <c r="H68" i="17"/>
  <c r="AA68" i="17"/>
  <c r="Z68" i="17" s="1"/>
  <c r="Y68" i="17" s="1"/>
  <c r="AA95" i="17"/>
  <c r="Z95" i="17" s="1"/>
  <c r="Y95" i="17" s="1"/>
  <c r="G95" i="17"/>
  <c r="BZ95" i="6" s="1"/>
  <c r="H95" i="17"/>
  <c r="AA347" i="17"/>
  <c r="Z347" i="17" s="1"/>
  <c r="Y347" i="17" s="1"/>
  <c r="G347" i="17"/>
  <c r="BZ347" i="6" s="1"/>
  <c r="H347" i="17"/>
  <c r="G267" i="17"/>
  <c r="BZ267" i="6" s="1"/>
  <c r="H267" i="17"/>
  <c r="AA267" i="17"/>
  <c r="Z267" i="17" s="1"/>
  <c r="Y267" i="17" s="1"/>
  <c r="G39" i="17"/>
  <c r="BZ39" i="6" s="1"/>
  <c r="H39" i="17"/>
  <c r="AA39" i="17"/>
  <c r="Z39" i="17" s="1"/>
  <c r="Y39" i="17" s="1"/>
  <c r="H357" i="17"/>
  <c r="AA357" i="17"/>
  <c r="Z357" i="17" s="1"/>
  <c r="Y357" i="17" s="1"/>
  <c r="G357" i="17"/>
  <c r="BZ357" i="6" s="1"/>
  <c r="G265" i="17"/>
  <c r="BZ265" i="6" s="1"/>
  <c r="H265" i="17"/>
  <c r="AA265" i="17"/>
  <c r="Z265" i="17" s="1"/>
  <c r="Y265" i="17" s="1"/>
  <c r="H297" i="17"/>
  <c r="G297" i="17"/>
  <c r="BZ297" i="6" s="1"/>
  <c r="AA297" i="17"/>
  <c r="Z297" i="17" s="1"/>
  <c r="Y297" i="17" s="1"/>
  <c r="H237" i="17"/>
  <c r="AA237" i="17"/>
  <c r="Z237" i="17" s="1"/>
  <c r="Y237" i="17" s="1"/>
  <c r="G237" i="17"/>
  <c r="BZ237" i="6" s="1"/>
  <c r="G42" i="17"/>
  <c r="BZ42" i="6" s="1"/>
  <c r="AA42" i="17"/>
  <c r="Z42" i="17" s="1"/>
  <c r="Y42" i="17" s="1"/>
  <c r="H42" i="17"/>
  <c r="AA284" i="17"/>
  <c r="Z284" i="17" s="1"/>
  <c r="Y284" i="17" s="1"/>
  <c r="G284" i="17"/>
  <c r="BZ284" i="6" s="1"/>
  <c r="H284" i="17"/>
  <c r="G153" i="17"/>
  <c r="BZ153" i="6" s="1"/>
  <c r="H153" i="17"/>
  <c r="AA153" i="17"/>
  <c r="Z153" i="17" s="1"/>
  <c r="Y153" i="17" s="1"/>
  <c r="H199" i="17"/>
  <c r="AA199" i="17"/>
  <c r="Z199" i="17" s="1"/>
  <c r="Y199" i="17" s="1"/>
  <c r="G199" i="17"/>
  <c r="BZ199" i="6" s="1"/>
  <c r="G151" i="17"/>
  <c r="BZ151" i="6" s="1"/>
  <c r="H151" i="17"/>
  <c r="AA151" i="17"/>
  <c r="Z151" i="17" s="1"/>
  <c r="Y151" i="17" s="1"/>
  <c r="H318" i="17"/>
  <c r="G318" i="17"/>
  <c r="BZ318" i="6" s="1"/>
  <c r="AA318" i="17"/>
  <c r="Z318" i="17" s="1"/>
  <c r="Y318" i="17" s="1"/>
  <c r="V113" i="17"/>
  <c r="F113" i="17" s="1"/>
  <c r="G136" i="17"/>
  <c r="BZ136" i="6" s="1"/>
  <c r="AA136" i="17"/>
  <c r="Z136" i="17" s="1"/>
  <c r="Y136" i="17" s="1"/>
  <c r="H136" i="17"/>
  <c r="G65" i="17"/>
  <c r="BZ65" i="6" s="1"/>
  <c r="AA65" i="17"/>
  <c r="Z65" i="17" s="1"/>
  <c r="Y65" i="17" s="1"/>
  <c r="H65" i="17"/>
  <c r="AA352" i="17"/>
  <c r="Z352" i="17" s="1"/>
  <c r="Y352" i="17" s="1"/>
  <c r="G352" i="17"/>
  <c r="BZ352" i="6" s="1"/>
  <c r="H352" i="17"/>
  <c r="G187" i="17"/>
  <c r="BZ187" i="6" s="1"/>
  <c r="AA187" i="17"/>
  <c r="Z187" i="17" s="1"/>
  <c r="Y187" i="17" s="1"/>
  <c r="H187" i="17"/>
  <c r="H175" i="17"/>
  <c r="AA175" i="17"/>
  <c r="Z175" i="17" s="1"/>
  <c r="Y175" i="17" s="1"/>
  <c r="G175" i="17"/>
  <c r="BZ175" i="6" s="1"/>
  <c r="H179" i="17"/>
  <c r="G179" i="17"/>
  <c r="BZ179" i="6" s="1"/>
  <c r="AA179" i="17"/>
  <c r="Z179" i="17" s="1"/>
  <c r="Y179" i="17" s="1"/>
  <c r="G152" i="17"/>
  <c r="BZ152" i="6" s="1"/>
  <c r="AA152" i="17"/>
  <c r="Z152" i="17" s="1"/>
  <c r="Y152" i="17" s="1"/>
  <c r="H152" i="17"/>
  <c r="V326" i="17"/>
  <c r="F326" i="17" s="1"/>
  <c r="G147" i="17"/>
  <c r="BZ147" i="6" s="1"/>
  <c r="H147" i="17"/>
  <c r="AA147" i="17"/>
  <c r="Z147" i="17" s="1"/>
  <c r="Y147" i="17" s="1"/>
  <c r="AA305" i="17"/>
  <c r="Z305" i="17" s="1"/>
  <c r="Y305" i="17" s="1"/>
  <c r="G305" i="17"/>
  <c r="BZ305" i="6" s="1"/>
  <c r="H305" i="17"/>
  <c r="AA325" i="17"/>
  <c r="Z325" i="17" s="1"/>
  <c r="Y325" i="17" s="1"/>
  <c r="H325" i="17"/>
  <c r="G325" i="17"/>
  <c r="BZ325" i="6" s="1"/>
  <c r="V180" i="17"/>
  <c r="F180" i="17" s="1"/>
  <c r="D61" i="7"/>
  <c r="AA131" i="17"/>
  <c r="Z131" i="17" s="1"/>
  <c r="Y131" i="17" s="1"/>
  <c r="G131" i="17"/>
  <c r="BZ131" i="6" s="1"/>
  <c r="H131" i="17"/>
  <c r="AA296" i="17"/>
  <c r="Z296" i="17" s="1"/>
  <c r="Y296" i="17" s="1"/>
  <c r="G296" i="17"/>
  <c r="BZ296" i="6" s="1"/>
  <c r="H296" i="17"/>
  <c r="AA200" i="17"/>
  <c r="Z200" i="17" s="1"/>
  <c r="Y200" i="17" s="1"/>
  <c r="G200" i="17"/>
  <c r="BZ200" i="6" s="1"/>
  <c r="H200" i="17"/>
  <c r="G161" i="17"/>
  <c r="BZ161" i="6" s="1"/>
  <c r="H161" i="17"/>
  <c r="H154" i="17"/>
  <c r="G154" i="17"/>
  <c r="BZ154" i="6" s="1"/>
  <c r="AA154" i="17"/>
  <c r="Z154" i="17" s="1"/>
  <c r="Y154" i="17" s="1"/>
  <c r="G176" i="17"/>
  <c r="BZ176" i="6" s="1"/>
  <c r="AA176" i="17"/>
  <c r="Z176" i="17" s="1"/>
  <c r="Y176" i="17" s="1"/>
  <c r="H269" i="17"/>
  <c r="AA269" i="17"/>
  <c r="Z269" i="17" s="1"/>
  <c r="Y269" i="17" s="1"/>
  <c r="G269" i="17"/>
  <c r="BZ269" i="6" s="1"/>
  <c r="AA320" i="17"/>
  <c r="Z320" i="17" s="1"/>
  <c r="Y320" i="17" s="1"/>
  <c r="G320" i="17"/>
  <c r="BZ320" i="6" s="1"/>
  <c r="G120" i="17"/>
  <c r="BZ120" i="6" s="1"/>
  <c r="H120" i="17"/>
  <c r="AA120" i="17"/>
  <c r="Z120" i="17" s="1"/>
  <c r="Y120" i="17" s="1"/>
  <c r="G313" i="17"/>
  <c r="BZ313" i="6" s="1"/>
  <c r="AA313" i="17"/>
  <c r="Z313" i="17" s="1"/>
  <c r="Y313" i="17" s="1"/>
  <c r="H313" i="17"/>
  <c r="G159" i="17"/>
  <c r="BZ159" i="6" s="1"/>
  <c r="H159" i="17"/>
  <c r="AA159" i="17"/>
  <c r="Z159" i="17" s="1"/>
  <c r="Y159" i="17" s="1"/>
  <c r="F288" i="17"/>
  <c r="G266" i="17"/>
  <c r="BZ266" i="6" s="1"/>
  <c r="H266" i="17"/>
  <c r="AA266" i="17"/>
  <c r="Z266" i="17" s="1"/>
  <c r="Y266" i="17" s="1"/>
  <c r="H181" i="17"/>
  <c r="G181" i="17"/>
  <c r="BZ181" i="6" s="1"/>
  <c r="AA181" i="17"/>
  <c r="Z181" i="17" s="1"/>
  <c r="Y181" i="17" s="1"/>
  <c r="AA208" i="17"/>
  <c r="Z208" i="17" s="1"/>
  <c r="Y208" i="17" s="1"/>
  <c r="AA161" i="17"/>
  <c r="Z161" i="17" s="1"/>
  <c r="Y161" i="17" s="1"/>
  <c r="G63" i="17"/>
  <c r="BZ63" i="6" s="1"/>
  <c r="AA63" i="17"/>
  <c r="Z63" i="17" s="1"/>
  <c r="Y63" i="17" s="1"/>
  <c r="H63" i="17"/>
  <c r="G155" i="17"/>
  <c r="BZ155" i="6" s="1"/>
  <c r="H155" i="17"/>
  <c r="AA155" i="17"/>
  <c r="Z155" i="17" s="1"/>
  <c r="Y155" i="17" s="1"/>
  <c r="G92" i="17"/>
  <c r="BZ92" i="6" s="1"/>
  <c r="AA92" i="17"/>
  <c r="Z92" i="17" s="1"/>
  <c r="Y92" i="17" s="1"/>
  <c r="H92" i="17"/>
  <c r="H345" i="17"/>
  <c r="G345" i="17"/>
  <c r="BZ345" i="6" s="1"/>
  <c r="AA345" i="17"/>
  <c r="Z345" i="17" s="1"/>
  <c r="Y345" i="17" s="1"/>
  <c r="H330" i="17"/>
  <c r="G330" i="17"/>
  <c r="BZ330" i="6" s="1"/>
  <c r="AA330" i="17"/>
  <c r="Z330" i="17" s="1"/>
  <c r="Y330" i="17" s="1"/>
  <c r="G79" i="17"/>
  <c r="BZ79" i="6" s="1"/>
  <c r="H79" i="17"/>
  <c r="AA79" i="17"/>
  <c r="Z79" i="17" s="1"/>
  <c r="Y79" i="17" s="1"/>
  <c r="G239" i="17"/>
  <c r="BZ239" i="6" s="1"/>
  <c r="AA239" i="17"/>
  <c r="Z239" i="17" s="1"/>
  <c r="Y239" i="17" s="1"/>
  <c r="H239" i="17"/>
  <c r="H285" i="17"/>
  <c r="G285" i="17"/>
  <c r="BZ285" i="6" s="1"/>
  <c r="AA285" i="17"/>
  <c r="Z285" i="17" s="1"/>
  <c r="Y285" i="17" s="1"/>
  <c r="AA140" i="17"/>
  <c r="Z140" i="17" s="1"/>
  <c r="Y140" i="17" s="1"/>
  <c r="G140" i="17"/>
  <c r="BZ140" i="6" s="1"/>
  <c r="H140" i="17"/>
  <c r="AA226" i="17"/>
  <c r="Z226" i="17" s="1"/>
  <c r="Y226" i="17" s="1"/>
  <c r="G226" i="17"/>
  <c r="BZ226" i="6" s="1"/>
  <c r="H226" i="17"/>
  <c r="AA301" i="17"/>
  <c r="Z301" i="17" s="1"/>
  <c r="Y301" i="17" s="1"/>
  <c r="G301" i="17"/>
  <c r="BZ301" i="6" s="1"/>
  <c r="H301" i="17"/>
  <c r="D60" i="7"/>
  <c r="V149" i="17"/>
  <c r="F149" i="17" s="1"/>
  <c r="G132" i="17"/>
  <c r="BZ132" i="6" s="1"/>
  <c r="H132" i="17"/>
  <c r="G192" i="17"/>
  <c r="BZ192" i="6" s="1"/>
  <c r="H192" i="17"/>
  <c r="AA192" i="17"/>
  <c r="Z192" i="17" s="1"/>
  <c r="Y192" i="17" s="1"/>
  <c r="H289" i="17"/>
  <c r="G289" i="17"/>
  <c r="BZ289" i="6" s="1"/>
  <c r="AA289" i="17"/>
  <c r="Z289" i="17" s="1"/>
  <c r="Y289" i="17" s="1"/>
  <c r="G303" i="17"/>
  <c r="BZ303" i="6" s="1"/>
  <c r="H303" i="17"/>
  <c r="AA303" i="17"/>
  <c r="Z303" i="17" s="1"/>
  <c r="Y303" i="17" s="1"/>
  <c r="G165" i="17"/>
  <c r="BZ165" i="6" s="1"/>
  <c r="AA165" i="17"/>
  <c r="Z165" i="17" s="1"/>
  <c r="Y165" i="17" s="1"/>
  <c r="H165" i="17"/>
  <c r="V105" i="17"/>
  <c r="F105" i="17" s="1"/>
  <c r="G89" i="17"/>
  <c r="BZ89" i="6" s="1"/>
  <c r="H89" i="17"/>
  <c r="AA89" i="17"/>
  <c r="Z89" i="17" s="1"/>
  <c r="Y89" i="17" s="1"/>
  <c r="H123" i="17"/>
  <c r="G123" i="17"/>
  <c r="BZ123" i="6" s="1"/>
  <c r="AA123" i="17"/>
  <c r="Z123" i="17" s="1"/>
  <c r="Y123" i="17" s="1"/>
  <c r="G85" i="17"/>
  <c r="BZ85" i="6" s="1"/>
  <c r="AA85" i="17"/>
  <c r="Z85" i="17" s="1"/>
  <c r="Y85" i="17" s="1"/>
  <c r="H85" i="17"/>
  <c r="G225" i="17"/>
  <c r="BZ225" i="6" s="1"/>
  <c r="AA225" i="17"/>
  <c r="Z225" i="17" s="1"/>
  <c r="Y225" i="17" s="1"/>
  <c r="H225" i="17"/>
  <c r="AA371" i="17"/>
  <c r="Z371" i="17" s="1"/>
  <c r="Y371" i="17" s="1"/>
  <c r="G371" i="17"/>
  <c r="BZ371" i="6" s="1"/>
  <c r="H371" i="17"/>
  <c r="AA48" i="17"/>
  <c r="Z48" i="17" s="1"/>
  <c r="Y48" i="17" s="1"/>
  <c r="H48" i="17"/>
  <c r="G48" i="17"/>
  <c r="BZ48" i="6" s="1"/>
  <c r="AA276" i="17"/>
  <c r="Z276" i="17" s="1"/>
  <c r="Y276" i="17" s="1"/>
  <c r="H276" i="17"/>
  <c r="G276" i="17"/>
  <c r="BZ276" i="6" s="1"/>
  <c r="AA292" i="17"/>
  <c r="Z292" i="17" s="1"/>
  <c r="Y292" i="17" s="1"/>
  <c r="G292" i="17"/>
  <c r="BZ292" i="6" s="1"/>
  <c r="H292" i="17"/>
  <c r="G252" i="17"/>
  <c r="BZ252" i="6" s="1"/>
  <c r="AA252" i="17"/>
  <c r="Z252" i="17" s="1"/>
  <c r="Y252" i="17" s="1"/>
  <c r="H252" i="17"/>
  <c r="V18" i="17"/>
  <c r="F18" i="17" s="1"/>
  <c r="AA178" i="17"/>
  <c r="Z178" i="17" s="1"/>
  <c r="Y178" i="17" s="1"/>
  <c r="G178" i="17"/>
  <c r="BZ178" i="6" s="1"/>
  <c r="H178" i="17"/>
  <c r="G82" i="17"/>
  <c r="BZ82" i="6" s="1"/>
  <c r="AA82" i="17"/>
  <c r="Z82" i="17" s="1"/>
  <c r="Y82" i="17" s="1"/>
  <c r="H82" i="17"/>
  <c r="AA118" i="17"/>
  <c r="Z118" i="17" s="1"/>
  <c r="Y118" i="17" s="1"/>
  <c r="H118" i="17"/>
  <c r="G118" i="17"/>
  <c r="BZ118" i="6" s="1"/>
  <c r="AA204" i="17"/>
  <c r="Z204" i="17" s="1"/>
  <c r="Y204" i="17" s="1"/>
  <c r="G204" i="17"/>
  <c r="BZ204" i="6" s="1"/>
  <c r="H204" i="17"/>
  <c r="H117" i="17"/>
  <c r="G117" i="17"/>
  <c r="BZ117" i="6" s="1"/>
  <c r="AA117" i="17"/>
  <c r="Z117" i="17" s="1"/>
  <c r="Y117" i="17" s="1"/>
  <c r="H335" i="17"/>
  <c r="G335" i="17"/>
  <c r="BZ335" i="6" s="1"/>
  <c r="AA335" i="17"/>
  <c r="Z335" i="17" s="1"/>
  <c r="Y335" i="17" s="1"/>
  <c r="H20" i="17"/>
  <c r="G20" i="17"/>
  <c r="BZ20" i="6" s="1"/>
  <c r="AA20" i="17"/>
  <c r="Z20" i="17" s="1"/>
  <c r="Y20" i="17" s="1"/>
  <c r="H251" i="17"/>
  <c r="G251" i="17"/>
  <c r="BZ251" i="6" s="1"/>
  <c r="AA251" i="17"/>
  <c r="Z251" i="17" s="1"/>
  <c r="Y251" i="17" s="1"/>
  <c r="AA268" i="17"/>
  <c r="Z268" i="17" s="1"/>
  <c r="Y268" i="17" s="1"/>
  <c r="H268" i="17"/>
  <c r="G268" i="17"/>
  <c r="BZ268" i="6" s="1"/>
  <c r="AA321" i="17"/>
  <c r="Z321" i="17" s="1"/>
  <c r="Y321" i="17" s="1"/>
  <c r="G321" i="17"/>
  <c r="BZ321" i="6" s="1"/>
  <c r="H321" i="17"/>
  <c r="AA244" i="17"/>
  <c r="Z244" i="17" s="1"/>
  <c r="Y244" i="17" s="1"/>
  <c r="H244" i="17"/>
  <c r="G244" i="17"/>
  <c r="BZ244" i="6" s="1"/>
  <c r="AA213" i="17"/>
  <c r="Z213" i="17" s="1"/>
  <c r="Y213" i="17" s="1"/>
  <c r="G213" i="17"/>
  <c r="BZ213" i="6" s="1"/>
  <c r="H213" i="17"/>
  <c r="G30" i="17"/>
  <c r="BZ30" i="6" s="1"/>
  <c r="AA30" i="17"/>
  <c r="Z30" i="17" s="1"/>
  <c r="Y30" i="17" s="1"/>
  <c r="H30" i="17"/>
  <c r="H22" i="17"/>
  <c r="G22" i="17"/>
  <c r="BZ22" i="6" s="1"/>
  <c r="AA22" i="17"/>
  <c r="Z22" i="17" s="1"/>
  <c r="Y22" i="17" s="1"/>
  <c r="AA220" i="17"/>
  <c r="Z220" i="17" s="1"/>
  <c r="Y220" i="17" s="1"/>
  <c r="G220" i="17"/>
  <c r="BZ220" i="6" s="1"/>
  <c r="H220" i="17"/>
  <c r="H81" i="17"/>
  <c r="G81" i="17"/>
  <c r="BZ81" i="6" s="1"/>
  <c r="AA81" i="17"/>
  <c r="Z81" i="17" s="1"/>
  <c r="Y81" i="17" s="1"/>
  <c r="AA229" i="17"/>
  <c r="Z229" i="17" s="1"/>
  <c r="Y229" i="17" s="1"/>
  <c r="G229" i="17"/>
  <c r="BZ229" i="6" s="1"/>
  <c r="H229" i="17"/>
  <c r="G137" i="17"/>
  <c r="BZ137" i="6" s="1"/>
  <c r="H137" i="17"/>
  <c r="AA137" i="17"/>
  <c r="Z137" i="17" s="1"/>
  <c r="Y137" i="17" s="1"/>
  <c r="H121" i="17"/>
  <c r="G121" i="17"/>
  <c r="BZ121" i="6" s="1"/>
  <c r="AA121" i="17"/>
  <c r="Z121" i="17" s="1"/>
  <c r="Y121" i="17" s="1"/>
  <c r="AA346" i="17"/>
  <c r="Z346" i="17" s="1"/>
  <c r="Y346" i="17" s="1"/>
  <c r="H84" i="17"/>
  <c r="AA84" i="17"/>
  <c r="Z84" i="17" s="1"/>
  <c r="Y84" i="17" s="1"/>
  <c r="G84" i="17"/>
  <c r="BZ84" i="6" s="1"/>
  <c r="AA341" i="17"/>
  <c r="Z341" i="17" s="1"/>
  <c r="Y341" i="17" s="1"/>
  <c r="G341" i="17"/>
  <c r="BZ341" i="6" s="1"/>
  <c r="H341" i="17"/>
  <c r="H348" i="17"/>
  <c r="AA348" i="17"/>
  <c r="Z348" i="17" s="1"/>
  <c r="Y348" i="17" s="1"/>
  <c r="G348" i="17"/>
  <c r="BZ348" i="6" s="1"/>
  <c r="V112" i="17"/>
  <c r="F112" i="17" s="1"/>
  <c r="G304" i="17"/>
  <c r="BZ304" i="6" s="1"/>
  <c r="AA304" i="17"/>
  <c r="Z304" i="17" s="1"/>
  <c r="Y304" i="17" s="1"/>
  <c r="H304" i="17"/>
  <c r="AA282" i="17"/>
  <c r="Z282" i="17" s="1"/>
  <c r="Y282" i="17" s="1"/>
  <c r="H282" i="17"/>
  <c r="G282" i="17"/>
  <c r="BZ282" i="6" s="1"/>
  <c r="G62" i="17"/>
  <c r="BZ62" i="6" s="1"/>
  <c r="H62" i="17"/>
  <c r="AA62" i="17"/>
  <c r="Z62" i="17" s="1"/>
  <c r="Y62" i="17" s="1"/>
  <c r="G27" i="17"/>
  <c r="BZ27" i="6" s="1"/>
  <c r="AA27" i="17"/>
  <c r="Z27" i="17" s="1"/>
  <c r="Y27" i="17" s="1"/>
  <c r="H27" i="17"/>
  <c r="V272" i="17"/>
  <c r="F272" i="17" s="1"/>
  <c r="D64" i="7"/>
  <c r="H242" i="17"/>
  <c r="G242" i="17"/>
  <c r="BZ242" i="6" s="1"/>
  <c r="AA242" i="17"/>
  <c r="Z242" i="17" s="1"/>
  <c r="Y242" i="17" s="1"/>
  <c r="H146" i="17"/>
  <c r="G146" i="17"/>
  <c r="BZ146" i="6" s="1"/>
  <c r="AA146" i="17"/>
  <c r="Z146" i="17" s="1"/>
  <c r="Y146" i="17" s="1"/>
  <c r="AA246" i="17"/>
  <c r="Z246" i="17" s="1"/>
  <c r="Y246" i="17" s="1"/>
  <c r="H246" i="17"/>
  <c r="G246" i="17"/>
  <c r="BZ246" i="6" s="1"/>
  <c r="G102" i="17"/>
  <c r="BZ102" i="6" s="1"/>
  <c r="H102" i="17"/>
  <c r="AA102" i="17"/>
  <c r="Z102" i="17" s="1"/>
  <c r="Y102" i="17" s="1"/>
  <c r="G245" i="17"/>
  <c r="BZ245" i="6" s="1"/>
  <c r="AA245" i="17"/>
  <c r="Z245" i="17" s="1"/>
  <c r="Y245" i="17" s="1"/>
  <c r="H245" i="17"/>
  <c r="G369" i="17"/>
  <c r="BZ369" i="6" s="1"/>
  <c r="H369" i="17"/>
  <c r="AA369" i="17"/>
  <c r="Z369" i="17" s="1"/>
  <c r="Y369" i="17" s="1"/>
  <c r="H93" i="17"/>
  <c r="G93" i="17"/>
  <c r="BZ93" i="6" s="1"/>
  <c r="AA93" i="17"/>
  <c r="Z93" i="17" s="1"/>
  <c r="Y93" i="17" s="1"/>
  <c r="G340" i="17"/>
  <c r="BZ340" i="6" s="1"/>
  <c r="H340" i="17"/>
  <c r="AA340" i="17"/>
  <c r="Z340" i="17" s="1"/>
  <c r="Y340" i="17" s="1"/>
  <c r="G38" i="17"/>
  <c r="BZ38" i="6" s="1"/>
  <c r="AA38" i="17"/>
  <c r="Z38" i="17" s="1"/>
  <c r="Y38" i="17" s="1"/>
  <c r="H38" i="17"/>
  <c r="H156" i="17"/>
  <c r="AA156" i="17"/>
  <c r="Z156" i="17" s="1"/>
  <c r="Y156" i="17" s="1"/>
  <c r="G156" i="17"/>
  <c r="BZ156" i="6" s="1"/>
  <c r="G270" i="17"/>
  <c r="BZ270" i="6" s="1"/>
  <c r="AA270" i="17"/>
  <c r="Z270" i="17" s="1"/>
  <c r="Y270" i="17" s="1"/>
  <c r="H270" i="17"/>
  <c r="G277" i="17"/>
  <c r="BZ277" i="6" s="1"/>
  <c r="H277" i="17"/>
  <c r="AA277" i="17"/>
  <c r="Z277" i="17" s="1"/>
  <c r="Y277" i="17" s="1"/>
  <c r="H286" i="17"/>
  <c r="AA286" i="17"/>
  <c r="Z286" i="17" s="1"/>
  <c r="Y286" i="17" s="1"/>
  <c r="G286" i="17"/>
  <c r="BZ286" i="6" s="1"/>
  <c r="AA278" i="17"/>
  <c r="Z278" i="17" s="1"/>
  <c r="Y278" i="17" s="1"/>
  <c r="H278" i="17"/>
  <c r="G278" i="17"/>
  <c r="BZ278" i="6" s="1"/>
  <c r="H75" i="17"/>
  <c r="G75" i="17"/>
  <c r="BZ75" i="6" s="1"/>
  <c r="AA75" i="17"/>
  <c r="Z75" i="17" s="1"/>
  <c r="Y75" i="17" s="1"/>
  <c r="AA194" i="17"/>
  <c r="Z194" i="17" s="1"/>
  <c r="Y194" i="17" s="1"/>
  <c r="H194" i="17"/>
  <c r="G194" i="17"/>
  <c r="BZ194" i="6" s="1"/>
  <c r="V261" i="17"/>
  <c r="F261" i="17" s="1"/>
  <c r="D66" i="7"/>
  <c r="V333" i="17"/>
  <c r="F333" i="17" s="1"/>
  <c r="H67" i="17"/>
  <c r="G67" i="17"/>
  <c r="BZ67" i="6" s="1"/>
  <c r="AA67" i="17"/>
  <c r="Z67" i="17" s="1"/>
  <c r="Y67" i="17" s="1"/>
  <c r="G232" i="17"/>
  <c r="BZ232" i="6" s="1"/>
  <c r="AA232" i="17"/>
  <c r="Z232" i="17" s="1"/>
  <c r="Y232" i="17" s="1"/>
  <c r="H232" i="17"/>
  <c r="G72" i="17"/>
  <c r="BZ72" i="6" s="1"/>
  <c r="AA72" i="17"/>
  <c r="Z72" i="17" s="1"/>
  <c r="Y72" i="17" s="1"/>
  <c r="H72" i="17"/>
  <c r="H97" i="17"/>
  <c r="G97" i="17"/>
  <c r="BZ97" i="6" s="1"/>
  <c r="AA97" i="17"/>
  <c r="Z97" i="17" s="1"/>
  <c r="Y97" i="17" s="1"/>
  <c r="H376" i="17"/>
  <c r="G376" i="17"/>
  <c r="BZ376" i="6" s="1"/>
  <c r="AA376" i="17"/>
  <c r="Z376" i="17" s="1"/>
  <c r="Y376" i="17" s="1"/>
  <c r="H339" i="17"/>
  <c r="AA339" i="17"/>
  <c r="Z339" i="17" s="1"/>
  <c r="Y339" i="17" s="1"/>
  <c r="G339" i="17"/>
  <c r="BZ339" i="6" s="1"/>
  <c r="G141" i="17"/>
  <c r="BZ141" i="6" s="1"/>
  <c r="H141" i="17"/>
  <c r="AA141" i="17"/>
  <c r="Z141" i="17" s="1"/>
  <c r="Y141" i="17" s="1"/>
  <c r="AA283" i="17"/>
  <c r="Z283" i="17" s="1"/>
  <c r="Y283" i="17" s="1"/>
  <c r="G283" i="17"/>
  <c r="BZ283" i="6" s="1"/>
  <c r="H283" i="17"/>
  <c r="H221" i="17"/>
  <c r="G221" i="17"/>
  <c r="BZ221" i="6" s="1"/>
  <c r="AA221" i="17"/>
  <c r="Z221" i="17" s="1"/>
  <c r="Y221" i="17" s="1"/>
  <c r="H249" i="17"/>
  <c r="AA249" i="17"/>
  <c r="Z249" i="17" s="1"/>
  <c r="Y249" i="17" s="1"/>
  <c r="G249" i="17"/>
  <c r="BZ249" i="6" s="1"/>
  <c r="G31" i="17"/>
  <c r="BZ31" i="6" s="1"/>
  <c r="H31" i="17"/>
  <c r="AA31" i="17"/>
  <c r="Z31" i="17" s="1"/>
  <c r="Y31" i="17" s="1"/>
  <c r="G331" i="17"/>
  <c r="BZ331" i="6" s="1"/>
  <c r="H331" i="17"/>
  <c r="AA331" i="17"/>
  <c r="Z331" i="17" s="1"/>
  <c r="Y331" i="17" s="1"/>
  <c r="AA138" i="17"/>
  <c r="Z138" i="17" s="1"/>
  <c r="Y138" i="17" s="1"/>
  <c r="G138" i="17"/>
  <c r="BZ138" i="6" s="1"/>
  <c r="H138" i="17"/>
  <c r="AA53" i="17"/>
  <c r="Z53" i="17" s="1"/>
  <c r="Y53" i="17" s="1"/>
  <c r="G53" i="17"/>
  <c r="BZ53" i="6" s="1"/>
  <c r="H53" i="17"/>
  <c r="AA143" i="17"/>
  <c r="Z143" i="17" s="1"/>
  <c r="Y143" i="17" s="1"/>
  <c r="H143" i="17"/>
  <c r="G143" i="17"/>
  <c r="BZ143" i="6" s="1"/>
  <c r="G191" i="17"/>
  <c r="BZ191" i="6" s="1"/>
  <c r="H191" i="17"/>
  <c r="AA191" i="17"/>
  <c r="Z191" i="17" s="1"/>
  <c r="Y191" i="17" s="1"/>
  <c r="H317" i="17"/>
  <c r="G317" i="17"/>
  <c r="BZ317" i="6" s="1"/>
  <c r="AA317" i="17"/>
  <c r="Z317" i="17" s="1"/>
  <c r="Y317" i="17" s="1"/>
  <c r="H298" i="17"/>
  <c r="AA298" i="17"/>
  <c r="Z298" i="17" s="1"/>
  <c r="Y298" i="17" s="1"/>
  <c r="G298" i="17"/>
  <c r="BZ298" i="6" s="1"/>
  <c r="G370" i="17"/>
  <c r="BZ370" i="6" s="1"/>
  <c r="H370" i="17"/>
  <c r="AA370" i="17"/>
  <c r="Z370" i="17" s="1"/>
  <c r="Y370" i="17" s="1"/>
  <c r="H274" i="17"/>
  <c r="G274" i="17"/>
  <c r="BZ274" i="6" s="1"/>
  <c r="AA274" i="17"/>
  <c r="Z274" i="17" s="1"/>
  <c r="Y274" i="17" s="1"/>
  <c r="G203" i="17"/>
  <c r="BZ203" i="6" s="1"/>
  <c r="H203" i="17"/>
  <c r="AA35" i="17"/>
  <c r="Z35" i="17" s="1"/>
  <c r="Y35" i="17" s="1"/>
  <c r="G35" i="17"/>
  <c r="BZ35" i="6" s="1"/>
  <c r="H35" i="17"/>
  <c r="H260" i="17"/>
  <c r="G260" i="17"/>
  <c r="BZ260" i="6" s="1"/>
  <c r="AA260" i="17"/>
  <c r="Z260" i="17" s="1"/>
  <c r="Y260" i="17" s="1"/>
  <c r="G218" i="17"/>
  <c r="BZ218" i="6" s="1"/>
  <c r="H218" i="17"/>
  <c r="AA218" i="17"/>
  <c r="Z218" i="17" s="1"/>
  <c r="Y218" i="17" s="1"/>
  <c r="V86" i="17"/>
  <c r="F86" i="17" s="1"/>
  <c r="G128" i="17"/>
  <c r="BZ128" i="6" s="1"/>
  <c r="AA128" i="17"/>
  <c r="Z128" i="17" s="1"/>
  <c r="Y128" i="17" s="1"/>
  <c r="H128" i="17"/>
  <c r="G163" i="17"/>
  <c r="BZ163" i="6" s="1"/>
  <c r="H163" i="17"/>
  <c r="AA163" i="17"/>
  <c r="Z163" i="17" s="1"/>
  <c r="Y163" i="17" s="1"/>
  <c r="G235" i="17"/>
  <c r="BZ235" i="6" s="1"/>
  <c r="H235" i="17"/>
  <c r="AA235" i="17"/>
  <c r="Z235" i="17" s="1"/>
  <c r="Y235" i="17" s="1"/>
  <c r="G124" i="17"/>
  <c r="BZ124" i="6" s="1"/>
  <c r="AA124" i="17"/>
  <c r="Z124" i="17" s="1"/>
  <c r="Y124" i="17" s="1"/>
  <c r="H124" i="17"/>
  <c r="V196" i="17"/>
  <c r="AA216" i="17"/>
  <c r="Z216" i="17" s="1"/>
  <c r="Y216" i="17" s="1"/>
  <c r="H216" i="17"/>
  <c r="G216" i="17"/>
  <c r="BZ216" i="6" s="1"/>
  <c r="G111" i="17"/>
  <c r="BZ111" i="6" s="1"/>
  <c r="AA111" i="17"/>
  <c r="Z111" i="17" s="1"/>
  <c r="Y111" i="17" s="1"/>
  <c r="H111" i="17"/>
  <c r="H58" i="17"/>
  <c r="G58" i="17"/>
  <c r="BZ58" i="6" s="1"/>
  <c r="AA103" i="17"/>
  <c r="Z103" i="17" s="1"/>
  <c r="Y103" i="17" s="1"/>
  <c r="G103" i="17"/>
  <c r="BZ103" i="6" s="1"/>
  <c r="H103" i="17"/>
  <c r="H100" i="17"/>
  <c r="AA100" i="17"/>
  <c r="Z100" i="17" s="1"/>
  <c r="Y100" i="17" s="1"/>
  <c r="G100" i="17"/>
  <c r="BZ100" i="6" s="1"/>
  <c r="G329" i="17"/>
  <c r="BZ329" i="6" s="1"/>
  <c r="H329" i="17"/>
  <c r="AA329" i="17"/>
  <c r="Z329" i="17" s="1"/>
  <c r="Y329" i="17" s="1"/>
  <c r="G361" i="17"/>
  <c r="BZ361" i="6" s="1"/>
  <c r="H361" i="17"/>
  <c r="AA361" i="17"/>
  <c r="Z361" i="17" s="1"/>
  <c r="Y361" i="17" s="1"/>
  <c r="AA365" i="17"/>
  <c r="Z365" i="17" s="1"/>
  <c r="Y365" i="17" s="1"/>
  <c r="G365" i="17"/>
  <c r="BZ365" i="6" s="1"/>
  <c r="H365" i="17"/>
  <c r="H170" i="17"/>
  <c r="AA170" i="17"/>
  <c r="Z170" i="17" s="1"/>
  <c r="Y170" i="17" s="1"/>
  <c r="G170" i="17"/>
  <c r="BZ170" i="6" s="1"/>
  <c r="G182" i="17"/>
  <c r="BZ182" i="6" s="1"/>
  <c r="AA182" i="17"/>
  <c r="Z182" i="17" s="1"/>
  <c r="Y182" i="17" s="1"/>
  <c r="H182" i="17"/>
  <c r="H281" i="17"/>
  <c r="G281" i="17"/>
  <c r="BZ281" i="6" s="1"/>
  <c r="AA281" i="17"/>
  <c r="Z281" i="17" s="1"/>
  <c r="Y281" i="17" s="1"/>
  <c r="H263" i="17"/>
  <c r="AA263" i="17"/>
  <c r="Z263" i="17" s="1"/>
  <c r="Y263" i="17" s="1"/>
  <c r="G263" i="17"/>
  <c r="BZ263" i="6" s="1"/>
  <c r="AA215" i="17"/>
  <c r="Z215" i="17" s="1"/>
  <c r="Y215" i="17" s="1"/>
  <c r="G215" i="17"/>
  <c r="BZ215" i="6" s="1"/>
  <c r="H215" i="17"/>
  <c r="AA203" i="17"/>
  <c r="Z203" i="17" s="1"/>
  <c r="Y203" i="17" s="1"/>
  <c r="H271" i="17"/>
  <c r="G271" i="17"/>
  <c r="BZ271" i="6" s="1"/>
  <c r="AA271" i="17"/>
  <c r="Z271" i="17" s="1"/>
  <c r="Y271" i="17" s="1"/>
  <c r="G24" i="17"/>
  <c r="BZ24" i="6" s="1"/>
  <c r="H24" i="17"/>
  <c r="AA24" i="17"/>
  <c r="Z24" i="17" s="1"/>
  <c r="Y24" i="17" s="1"/>
  <c r="G316" i="17"/>
  <c r="BZ316" i="6" s="1"/>
  <c r="AA316" i="17"/>
  <c r="Z316" i="17" s="1"/>
  <c r="Y316" i="17" s="1"/>
  <c r="H316" i="17"/>
  <c r="G12" i="19"/>
  <c r="AB9" i="15"/>
  <c r="F11" i="15"/>
  <c r="AA383" i="15"/>
  <c r="Z15" i="15"/>
  <c r="AM8" i="15"/>
  <c r="AL10" i="15"/>
  <c r="AA381" i="15"/>
  <c r="AA9" i="15"/>
  <c r="AA382" i="15"/>
  <c r="AA29" i="17"/>
  <c r="Z29" i="17" s="1"/>
  <c r="Y29" i="17" s="1"/>
  <c r="G29" i="17"/>
  <c r="BZ29" i="6" s="1"/>
  <c r="H29" i="17"/>
  <c r="AA16" i="7"/>
  <c r="AA83" i="17"/>
  <c r="Z83" i="17" s="1"/>
  <c r="Y83" i="17" s="1"/>
  <c r="G83" i="17"/>
  <c r="BZ83" i="6" s="1"/>
  <c r="H83" i="17"/>
  <c r="G293" i="17"/>
  <c r="BZ293" i="6" s="1"/>
  <c r="H293" i="17"/>
  <c r="AA293" i="17"/>
  <c r="Z293" i="17" s="1"/>
  <c r="Y293" i="17" s="1"/>
  <c r="AA224" i="17"/>
  <c r="Z224" i="17" s="1"/>
  <c r="Y224" i="17" s="1"/>
  <c r="G224" i="17"/>
  <c r="BZ224" i="6" s="1"/>
  <c r="H224" i="17"/>
  <c r="H201" i="17"/>
  <c r="G201" i="17"/>
  <c r="BZ201" i="6" s="1"/>
  <c r="AA201" i="17"/>
  <c r="Z201" i="17" s="1"/>
  <c r="Y201" i="17" s="1"/>
  <c r="D63" i="7"/>
  <c r="V241" i="17"/>
  <c r="F241" i="17" s="1"/>
  <c r="AA233" i="17"/>
  <c r="Z233" i="17" s="1"/>
  <c r="Y233" i="17" s="1"/>
  <c r="G233" i="17"/>
  <c r="BZ233" i="6" s="1"/>
  <c r="H233" i="17"/>
  <c r="G214" i="17"/>
  <c r="BZ214" i="6" s="1"/>
  <c r="H214" i="17"/>
  <c r="AA214" i="17"/>
  <c r="Z214" i="17" s="1"/>
  <c r="Y214" i="17" s="1"/>
  <c r="G173" i="17"/>
  <c r="BZ173" i="6" s="1"/>
  <c r="H173" i="17"/>
  <c r="AA173" i="17"/>
  <c r="Z173" i="17" s="1"/>
  <c r="Y173" i="17" s="1"/>
  <c r="G185" i="17"/>
  <c r="BZ185" i="6" s="1"/>
  <c r="H185" i="17"/>
  <c r="AA185" i="17"/>
  <c r="Z185" i="17" s="1"/>
  <c r="Y185" i="17" s="1"/>
  <c r="AA144" i="17"/>
  <c r="Z144" i="17" s="1"/>
  <c r="Y144" i="17" s="1"/>
  <c r="H144" i="17"/>
  <c r="G144" i="17"/>
  <c r="BZ144" i="6" s="1"/>
  <c r="G94" i="17"/>
  <c r="BZ94" i="6" s="1"/>
  <c r="H94" i="17"/>
  <c r="AA94" i="17"/>
  <c r="Z94" i="17" s="1"/>
  <c r="Y94" i="17" s="1"/>
  <c r="G129" i="17"/>
  <c r="BZ129" i="6" s="1"/>
  <c r="AA129" i="17"/>
  <c r="Z129" i="17" s="1"/>
  <c r="Y129" i="17" s="1"/>
  <c r="H129" i="17"/>
  <c r="H374" i="17"/>
  <c r="G374" i="17"/>
  <c r="BZ374" i="6" s="1"/>
  <c r="AA374" i="17"/>
  <c r="Z374" i="17" s="1"/>
  <c r="Y374" i="17" s="1"/>
  <c r="V47" i="17"/>
  <c r="F47" i="17" s="1"/>
  <c r="G240" i="17"/>
  <c r="BZ240" i="6" s="1"/>
  <c r="H240" i="17"/>
  <c r="AA240" i="17"/>
  <c r="Z240" i="17" s="1"/>
  <c r="Y240" i="17" s="1"/>
  <c r="G167" i="17"/>
  <c r="BZ167" i="6" s="1"/>
  <c r="AA167" i="17"/>
  <c r="Z167" i="17" s="1"/>
  <c r="Y167" i="17" s="1"/>
  <c r="H167" i="17"/>
  <c r="AA202" i="17"/>
  <c r="Z202" i="17" s="1"/>
  <c r="Y202" i="17" s="1"/>
  <c r="G202" i="17"/>
  <c r="BZ202" i="6" s="1"/>
  <c r="H202" i="17"/>
  <c r="H87" i="17"/>
  <c r="AA87" i="17"/>
  <c r="Z87" i="17" s="1"/>
  <c r="Y87" i="17" s="1"/>
  <c r="G87" i="17"/>
  <c r="BZ87" i="6" s="1"/>
  <c r="AA177" i="17"/>
  <c r="Z177" i="17" s="1"/>
  <c r="Y177" i="17" s="1"/>
  <c r="H177" i="17"/>
  <c r="G177" i="17"/>
  <c r="BZ177" i="6" s="1"/>
  <c r="AA234" i="17"/>
  <c r="Z234" i="17" s="1"/>
  <c r="Y234" i="17" s="1"/>
  <c r="H234" i="17"/>
  <c r="G234" i="17"/>
  <c r="BZ234" i="6" s="1"/>
  <c r="AA190" i="17"/>
  <c r="Z190" i="17" s="1"/>
  <c r="Y190" i="17" s="1"/>
  <c r="G190" i="17"/>
  <c r="BZ190" i="6" s="1"/>
  <c r="H190" i="17"/>
  <c r="AA66" i="17"/>
  <c r="Z66" i="17" s="1"/>
  <c r="Y66" i="17" s="1"/>
  <c r="G66" i="17"/>
  <c r="BZ66" i="6" s="1"/>
  <c r="H66" i="17"/>
  <c r="AA61" i="17"/>
  <c r="Z61" i="17" s="1"/>
  <c r="Y61" i="17" s="1"/>
  <c r="H61" i="17"/>
  <c r="G61" i="17"/>
  <c r="BZ61" i="6" s="1"/>
  <c r="G247" i="17"/>
  <c r="BZ247" i="6" s="1"/>
  <c r="AA247" i="17"/>
  <c r="Z247" i="17" s="1"/>
  <c r="Y247" i="17" s="1"/>
  <c r="H247" i="17"/>
  <c r="H106" i="17"/>
  <c r="G106" i="17"/>
  <c r="BZ106" i="6" s="1"/>
  <c r="AA106" i="17"/>
  <c r="Z106" i="17" s="1"/>
  <c r="Y106" i="17" s="1"/>
  <c r="V88" i="17"/>
  <c r="F88" i="17" s="1"/>
  <c r="D58" i="7"/>
  <c r="G306" i="17"/>
  <c r="BZ306" i="6" s="1"/>
  <c r="H306" i="17"/>
  <c r="AA306" i="17"/>
  <c r="Z306" i="17" s="1"/>
  <c r="Y306" i="17" s="1"/>
  <c r="AA171" i="17"/>
  <c r="Z171" i="17" s="1"/>
  <c r="Y171" i="17" s="1"/>
  <c r="G171" i="17"/>
  <c r="BZ171" i="6" s="1"/>
  <c r="H171" i="17"/>
  <c r="V210" i="17"/>
  <c r="F210" i="17" s="1"/>
  <c r="D62" i="7"/>
  <c r="AA367" i="17"/>
  <c r="Z367" i="17" s="1"/>
  <c r="Y367" i="17" s="1"/>
  <c r="G367" i="17"/>
  <c r="BZ367" i="6" s="1"/>
  <c r="H367" i="17"/>
  <c r="H139" i="17"/>
  <c r="G139" i="17"/>
  <c r="BZ139" i="6" s="1"/>
  <c r="AA139" i="17"/>
  <c r="Z139" i="17" s="1"/>
  <c r="Y139" i="17" s="1"/>
  <c r="V174" i="17"/>
  <c r="AA294" i="17"/>
  <c r="Z294" i="17" s="1"/>
  <c r="Y294" i="17" s="1"/>
  <c r="H294" i="17"/>
  <c r="G294" i="17"/>
  <c r="BZ294" i="6" s="1"/>
  <c r="AA51" i="17"/>
  <c r="Z51" i="17" s="1"/>
  <c r="Y51" i="17" s="1"/>
  <c r="H51" i="17"/>
  <c r="G51" i="17"/>
  <c r="BZ51" i="6" s="1"/>
  <c r="H373" i="17"/>
  <c r="G373" i="17"/>
  <c r="BZ373" i="6" s="1"/>
  <c r="AA373" i="17"/>
  <c r="Z373" i="17" s="1"/>
  <c r="Y373" i="17" s="1"/>
  <c r="AA127" i="17"/>
  <c r="Z127" i="17" s="1"/>
  <c r="Y127" i="17" s="1"/>
  <c r="G127" i="17"/>
  <c r="BZ127" i="6" s="1"/>
  <c r="H127" i="17"/>
  <c r="H150" i="17"/>
  <c r="AA150" i="17"/>
  <c r="Z150" i="17" s="1"/>
  <c r="Y150" i="17" s="1"/>
  <c r="G150" i="17"/>
  <c r="BZ150" i="6" s="1"/>
  <c r="H198" i="17"/>
  <c r="AA198" i="17"/>
  <c r="Z198" i="17" s="1"/>
  <c r="Y198" i="17" s="1"/>
  <c r="G198" i="17"/>
  <c r="BZ198" i="6" s="1"/>
  <c r="H110" i="17"/>
  <c r="G110" i="17"/>
  <c r="BZ110" i="6" s="1"/>
  <c r="AA110" i="17"/>
  <c r="Z110" i="17" s="1"/>
  <c r="Y110" i="17" s="1"/>
  <c r="H16" i="17"/>
  <c r="G16" i="17"/>
  <c r="BZ16" i="6" s="1"/>
  <c r="AA16" i="17"/>
  <c r="Z16" i="17" s="1"/>
  <c r="Y16" i="17" s="1"/>
  <c r="V145" i="17"/>
  <c r="F145" i="17" s="1"/>
  <c r="AG379" i="17"/>
  <c r="AF379" i="17" s="1"/>
  <c r="AD379" i="17" s="1"/>
  <c r="F15" i="16"/>
  <c r="AA15" i="16" s="1"/>
  <c r="AL10" i="16" s="1"/>
  <c r="B63" i="19"/>
  <c r="N63" i="19" s="1"/>
  <c r="V383" i="16"/>
  <c r="V382" i="16"/>
  <c r="V381" i="16"/>
  <c r="J176" i="16"/>
  <c r="I176" i="16"/>
  <c r="H176" i="17" s="1"/>
  <c r="AD383" i="16"/>
  <c r="AD382" i="16"/>
  <c r="AD381" i="16"/>
  <c r="Y119" i="16"/>
  <c r="AA37" i="17"/>
  <c r="Z37" i="17" s="1"/>
  <c r="Y37" i="17" s="1"/>
  <c r="H37" i="17"/>
  <c r="G37" i="17"/>
  <c r="BZ37" i="6" s="1"/>
  <c r="H193" i="17"/>
  <c r="G193" i="17"/>
  <c r="BZ193" i="6" s="1"/>
  <c r="G41" i="17"/>
  <c r="BZ41" i="6" s="1"/>
  <c r="AA41" i="17"/>
  <c r="Z41" i="17" s="1"/>
  <c r="Y41" i="17" s="1"/>
  <c r="H41" i="17"/>
  <c r="G250" i="17"/>
  <c r="BZ250" i="6" s="1"/>
  <c r="AA250" i="17"/>
  <c r="Z250" i="17" s="1"/>
  <c r="Y250" i="17" s="1"/>
  <c r="H250" i="17"/>
  <c r="G338" i="17"/>
  <c r="BZ338" i="6" s="1"/>
  <c r="AA338" i="17"/>
  <c r="Z338" i="17" s="1"/>
  <c r="Y338" i="17" s="1"/>
  <c r="H338" i="17"/>
  <c r="H212" i="17"/>
  <c r="G212" i="17"/>
  <c r="BZ212" i="6" s="1"/>
  <c r="AA212" i="17"/>
  <c r="Z212" i="17" s="1"/>
  <c r="Y212" i="17" s="1"/>
  <c r="H32" i="17"/>
  <c r="G32" i="17"/>
  <c r="BZ32" i="6" s="1"/>
  <c r="AA32" i="17"/>
  <c r="Z32" i="17" s="1"/>
  <c r="Y32" i="17" s="1"/>
  <c r="H26" i="17"/>
  <c r="AA26" i="17"/>
  <c r="Z26" i="17" s="1"/>
  <c r="Y26" i="17" s="1"/>
  <c r="G26" i="17"/>
  <c r="BZ26" i="6" s="1"/>
  <c r="G99" i="17"/>
  <c r="BZ99" i="6" s="1"/>
  <c r="AA99" i="17"/>
  <c r="Z99" i="17" s="1"/>
  <c r="Y99" i="17" s="1"/>
  <c r="H99" i="17"/>
  <c r="H307" i="17"/>
  <c r="G307" i="17"/>
  <c r="BZ307" i="6" s="1"/>
  <c r="AA307" i="17"/>
  <c r="Z307" i="17" s="1"/>
  <c r="Y307" i="17" s="1"/>
  <c r="H158" i="17"/>
  <c r="AA158" i="17"/>
  <c r="Z158" i="17" s="1"/>
  <c r="Y158" i="17" s="1"/>
  <c r="G158" i="17"/>
  <c r="BZ158" i="6" s="1"/>
  <c r="AA162" i="17"/>
  <c r="Z162" i="17" s="1"/>
  <c r="Y162" i="17" s="1"/>
  <c r="G162" i="17"/>
  <c r="BZ162" i="6" s="1"/>
  <c r="H162" i="17"/>
  <c r="H189" i="17"/>
  <c r="G189" i="17"/>
  <c r="BZ189" i="6" s="1"/>
  <c r="AA189" i="17"/>
  <c r="Z189" i="17" s="1"/>
  <c r="Y189" i="17" s="1"/>
  <c r="G115" i="17"/>
  <c r="BZ115" i="6" s="1"/>
  <c r="H115" i="17"/>
  <c r="AA115" i="17"/>
  <c r="Z115" i="17" s="1"/>
  <c r="Y115" i="17" s="1"/>
  <c r="AA157" i="17"/>
  <c r="Z157" i="17" s="1"/>
  <c r="Y157" i="17" s="1"/>
  <c r="H157" i="17"/>
  <c r="G157" i="17"/>
  <c r="BZ157" i="6" s="1"/>
  <c r="AA211" i="17"/>
  <c r="Z211" i="17" s="1"/>
  <c r="Y211" i="17" s="1"/>
  <c r="G211" i="17"/>
  <c r="BZ211" i="6" s="1"/>
  <c r="H211" i="17"/>
  <c r="G366" i="17"/>
  <c r="BZ366" i="6" s="1"/>
  <c r="H366" i="17"/>
  <c r="AA366" i="17"/>
  <c r="Z366" i="17" s="1"/>
  <c r="Y366" i="17" s="1"/>
  <c r="G219" i="17"/>
  <c r="BZ219" i="6" s="1"/>
  <c r="H219" i="17"/>
  <c r="AA219" i="17"/>
  <c r="Z219" i="17" s="1"/>
  <c r="Y219" i="17" s="1"/>
  <c r="H355" i="17"/>
  <c r="G355" i="17"/>
  <c r="BZ355" i="6" s="1"/>
  <c r="AA355" i="17"/>
  <c r="Z355" i="17" s="1"/>
  <c r="Y355" i="17" s="1"/>
  <c r="G36" i="17"/>
  <c r="BZ36" i="6" s="1"/>
  <c r="AA36" i="17"/>
  <c r="Z36" i="17" s="1"/>
  <c r="Y36" i="17" s="1"/>
  <c r="H36" i="17"/>
  <c r="G122" i="17"/>
  <c r="BZ122" i="6" s="1"/>
  <c r="H122" i="17"/>
  <c r="AA122" i="17"/>
  <c r="Z122" i="17" s="1"/>
  <c r="Y122" i="17" s="1"/>
  <c r="AA207" i="17"/>
  <c r="Z207" i="17" s="1"/>
  <c r="Y207" i="17" s="1"/>
  <c r="H207" i="17"/>
  <c r="G207" i="17"/>
  <c r="BZ207" i="6" s="1"/>
  <c r="D57" i="7"/>
  <c r="V60" i="17"/>
  <c r="F60" i="17" s="1"/>
  <c r="V227" i="17"/>
  <c r="V324" i="17"/>
  <c r="F324" i="17" s="1"/>
  <c r="G50" i="17"/>
  <c r="BZ50" i="6" s="1"/>
  <c r="AA50" i="17"/>
  <c r="Z50" i="17" s="1"/>
  <c r="Y50" i="17" s="1"/>
  <c r="H50" i="17"/>
  <c r="G98" i="17"/>
  <c r="BZ98" i="6" s="1"/>
  <c r="AA98" i="17"/>
  <c r="Z98" i="17" s="1"/>
  <c r="Y98" i="17" s="1"/>
  <c r="H98" i="17"/>
  <c r="G264" i="17"/>
  <c r="BZ264" i="6" s="1"/>
  <c r="H264" i="17"/>
  <c r="AA264" i="17"/>
  <c r="Z264" i="17" s="1"/>
  <c r="Y264" i="17" s="1"/>
  <c r="G125" i="17"/>
  <c r="BZ125" i="6" s="1"/>
  <c r="H125" i="17"/>
  <c r="AA125" i="17"/>
  <c r="Z125" i="17" s="1"/>
  <c r="Y125" i="17" s="1"/>
  <c r="AA353" i="17"/>
  <c r="Z353" i="17" s="1"/>
  <c r="Y353" i="17" s="1"/>
  <c r="G353" i="17"/>
  <c r="BZ353" i="6" s="1"/>
  <c r="H353" i="17"/>
  <c r="G45" i="17"/>
  <c r="BZ45" i="6" s="1"/>
  <c r="H45" i="17"/>
  <c r="AA45" i="17"/>
  <c r="Z45" i="17" s="1"/>
  <c r="Y45" i="17" s="1"/>
  <c r="AA217" i="17"/>
  <c r="Z217" i="17" s="1"/>
  <c r="Y217" i="17" s="1"/>
  <c r="G217" i="17"/>
  <c r="BZ217" i="6" s="1"/>
  <c r="H217" i="17"/>
  <c r="H231" i="17"/>
  <c r="G231" i="17"/>
  <c r="BZ231" i="6" s="1"/>
  <c r="AA231" i="17"/>
  <c r="Z231" i="17" s="1"/>
  <c r="Y231" i="17" s="1"/>
  <c r="F74" i="17"/>
  <c r="H228" i="17"/>
  <c r="G228" i="17"/>
  <c r="BZ228" i="6" s="1"/>
  <c r="AA228" i="17"/>
  <c r="Z228" i="17" s="1"/>
  <c r="Y228" i="17" s="1"/>
  <c r="G52" i="17"/>
  <c r="BZ52" i="6" s="1"/>
  <c r="AA52" i="17"/>
  <c r="Z52" i="17" s="1"/>
  <c r="Y52" i="17" s="1"/>
  <c r="H52" i="17"/>
  <c r="G44" i="17"/>
  <c r="BZ44" i="6" s="1"/>
  <c r="H44" i="17"/>
  <c r="AA44" i="17"/>
  <c r="Z44" i="17" s="1"/>
  <c r="Y44" i="17" s="1"/>
  <c r="F46" i="17"/>
  <c r="AA236" i="17"/>
  <c r="Z236" i="17" s="1"/>
  <c r="Y236" i="17" s="1"/>
  <c r="H236" i="17"/>
  <c r="G236" i="17"/>
  <c r="BZ236" i="6" s="1"/>
  <c r="G342" i="17"/>
  <c r="BZ342" i="6" s="1"/>
  <c r="H342" i="17"/>
  <c r="AA342" i="17"/>
  <c r="Z342" i="17" s="1"/>
  <c r="Y342" i="17" s="1"/>
  <c r="G372" i="17"/>
  <c r="BZ372" i="6" s="1"/>
  <c r="AA372" i="17"/>
  <c r="Z372" i="17" s="1"/>
  <c r="Y372" i="17" s="1"/>
  <c r="H372" i="17"/>
  <c r="H377" i="17"/>
  <c r="G377" i="17"/>
  <c r="BZ377" i="6" s="1"/>
  <c r="AA377" i="17"/>
  <c r="Z377" i="17" s="1"/>
  <c r="Y377" i="17" s="1"/>
  <c r="V362" i="17"/>
  <c r="F362" i="17" s="1"/>
  <c r="G344" i="17"/>
  <c r="BZ344" i="6" s="1"/>
  <c r="AA344" i="17"/>
  <c r="Z344" i="17" s="1"/>
  <c r="Y344" i="17" s="1"/>
  <c r="H344" i="17"/>
  <c r="AA299" i="17"/>
  <c r="Z299" i="17" s="1"/>
  <c r="Y299" i="17" s="1"/>
  <c r="H299" i="17"/>
  <c r="G299" i="17"/>
  <c r="BZ299" i="6" s="1"/>
  <c r="H109" i="17"/>
  <c r="G109" i="17"/>
  <c r="BZ109" i="6" s="1"/>
  <c r="AA109" i="17"/>
  <c r="Z109" i="17" s="1"/>
  <c r="Y109" i="17" s="1"/>
  <c r="AA76" i="17"/>
  <c r="Z76" i="17" s="1"/>
  <c r="Y76" i="17" s="1"/>
  <c r="H76" i="17"/>
  <c r="G76" i="17"/>
  <c r="BZ76" i="6" s="1"/>
  <c r="V21" i="17"/>
  <c r="F21" i="17" s="1"/>
  <c r="G327" i="17"/>
  <c r="BZ327" i="6" s="1"/>
  <c r="AA327" i="17"/>
  <c r="Z327" i="17" s="1"/>
  <c r="Y327" i="17" s="1"/>
  <c r="H327" i="17"/>
  <c r="G309" i="17"/>
  <c r="BZ309" i="6" s="1"/>
  <c r="H309" i="17"/>
  <c r="AA309" i="17"/>
  <c r="Z309" i="17" s="1"/>
  <c r="Y309" i="17" s="1"/>
  <c r="AA279" i="17"/>
  <c r="Z279" i="17" s="1"/>
  <c r="Y279" i="17" s="1"/>
  <c r="H279" i="17"/>
  <c r="G279" i="17"/>
  <c r="BZ279" i="6" s="1"/>
  <c r="G49" i="17"/>
  <c r="BZ49" i="6" s="1"/>
  <c r="H49" i="17"/>
  <c r="AA49" i="17"/>
  <c r="Z49" i="17" s="1"/>
  <c r="Y49" i="17" s="1"/>
  <c r="AA255" i="17"/>
  <c r="Z255" i="17" s="1"/>
  <c r="Y255" i="17" s="1"/>
  <c r="G255" i="17"/>
  <c r="BZ255" i="6" s="1"/>
  <c r="H255" i="17"/>
  <c r="H290" i="17"/>
  <c r="AA290" i="17"/>
  <c r="Z290" i="17" s="1"/>
  <c r="Y290" i="17" s="1"/>
  <c r="G290" i="17"/>
  <c r="BZ290" i="6" s="1"/>
  <c r="G64" i="17"/>
  <c r="BZ64" i="6" s="1"/>
  <c r="H64" i="17"/>
  <c r="AA64" i="17"/>
  <c r="Z64" i="17" s="1"/>
  <c r="Y64" i="17" s="1"/>
  <c r="AA315" i="17"/>
  <c r="Z315" i="17" s="1"/>
  <c r="Y315" i="17" s="1"/>
  <c r="G315" i="17"/>
  <c r="BZ315" i="6" s="1"/>
  <c r="H315" i="17"/>
  <c r="G25" i="17"/>
  <c r="BZ25" i="6" s="1"/>
  <c r="H25" i="17"/>
  <c r="AA25" i="17"/>
  <c r="Z25" i="17" s="1"/>
  <c r="Y25" i="17" s="1"/>
  <c r="G101" i="17"/>
  <c r="BZ101" i="6" s="1"/>
  <c r="AA101" i="17"/>
  <c r="Z101" i="17" s="1"/>
  <c r="Y101" i="17" s="1"/>
  <c r="H101" i="17"/>
  <c r="G54" i="17"/>
  <c r="BZ54" i="6" s="1"/>
  <c r="AA54" i="17"/>
  <c r="Z54" i="17" s="1"/>
  <c r="Y54" i="17" s="1"/>
  <c r="H54" i="17"/>
  <c r="H73" i="17"/>
  <c r="G73" i="17"/>
  <c r="BZ73" i="6" s="1"/>
  <c r="G78" i="17"/>
  <c r="BZ78" i="6" s="1"/>
  <c r="H78" i="17"/>
  <c r="H57" i="17"/>
  <c r="AA57" i="17"/>
  <c r="Z57" i="17" s="1"/>
  <c r="Y57" i="17" s="1"/>
  <c r="G57" i="17"/>
  <c r="BZ57" i="6" s="1"/>
  <c r="H188" i="17"/>
  <c r="AA188" i="17"/>
  <c r="Z188" i="17" s="1"/>
  <c r="Y188" i="17" s="1"/>
  <c r="G188" i="17"/>
  <c r="BZ188" i="6" s="1"/>
  <c r="G160" i="17"/>
  <c r="BZ160" i="6" s="1"/>
  <c r="H160" i="17"/>
  <c r="AA160" i="17"/>
  <c r="Z160" i="17" s="1"/>
  <c r="Y160" i="17" s="1"/>
  <c r="G337" i="17"/>
  <c r="BZ337" i="6" s="1"/>
  <c r="AA337" i="17"/>
  <c r="Z337" i="17" s="1"/>
  <c r="Y337" i="17" s="1"/>
  <c r="H337" i="17"/>
  <c r="AA195" i="17"/>
  <c r="Z195" i="17" s="1"/>
  <c r="Y195" i="17" s="1"/>
  <c r="H195" i="17"/>
  <c r="G195" i="17"/>
  <c r="BZ195" i="6" s="1"/>
  <c r="AA368" i="17"/>
  <c r="Z368" i="17" s="1"/>
  <c r="Y368" i="17" s="1"/>
  <c r="G368" i="17"/>
  <c r="BZ368" i="6" s="1"/>
  <c r="H368" i="17"/>
  <c r="H223" i="17"/>
  <c r="AA223" i="17"/>
  <c r="Z223" i="17" s="1"/>
  <c r="Y223" i="17" s="1"/>
  <c r="G223" i="17"/>
  <c r="BZ223" i="6" s="1"/>
  <c r="H33" i="17"/>
  <c r="G33" i="17"/>
  <c r="BZ33" i="6" s="1"/>
  <c r="AA33" i="17"/>
  <c r="Z33" i="17" s="1"/>
  <c r="Y33" i="17" s="1"/>
  <c r="V148" i="17"/>
  <c r="F148" i="17" s="1"/>
  <c r="AA243" i="17"/>
  <c r="Z243" i="17" s="1"/>
  <c r="Y243" i="17" s="1"/>
  <c r="H243" i="17"/>
  <c r="G243" i="17"/>
  <c r="BZ243" i="6" s="1"/>
  <c r="AA238" i="17"/>
  <c r="Z238" i="17" s="1"/>
  <c r="Y238" i="17" s="1"/>
  <c r="G238" i="17"/>
  <c r="BZ238" i="6" s="1"/>
  <c r="H238" i="17"/>
  <c r="AA275" i="17"/>
  <c r="Z275" i="17" s="1"/>
  <c r="Y275" i="17" s="1"/>
  <c r="G275" i="17"/>
  <c r="BZ275" i="6" s="1"/>
  <c r="H275" i="17"/>
  <c r="G209" i="17"/>
  <c r="BZ209" i="6" s="1"/>
  <c r="AA209" i="17"/>
  <c r="Z209" i="17" s="1"/>
  <c r="Y209" i="17" s="1"/>
  <c r="H209" i="17"/>
  <c r="H90" i="17"/>
  <c r="G90" i="17"/>
  <c r="BZ90" i="6" s="1"/>
  <c r="AA90" i="17"/>
  <c r="Z90" i="17" s="1"/>
  <c r="Y90" i="17" s="1"/>
  <c r="V80" i="17"/>
  <c r="F80" i="17" s="1"/>
  <c r="H164" i="17"/>
  <c r="G164" i="17"/>
  <c r="BZ164" i="6" s="1"/>
  <c r="AA164" i="17"/>
  <c r="Z164" i="17" s="1"/>
  <c r="Y164" i="17" s="1"/>
  <c r="H378" i="17"/>
  <c r="G378" i="17"/>
  <c r="BZ378" i="6" s="1"/>
  <c r="AA378" i="17"/>
  <c r="Z378" i="17" s="1"/>
  <c r="Y378" i="17" s="1"/>
  <c r="H184" i="17"/>
  <c r="G184" i="17"/>
  <c r="BZ184" i="6" s="1"/>
  <c r="AA184" i="17"/>
  <c r="Z184" i="17" s="1"/>
  <c r="Y184" i="17" s="1"/>
  <c r="H55" i="17"/>
  <c r="AA55" i="17"/>
  <c r="Z55" i="17" s="1"/>
  <c r="Y55" i="17" s="1"/>
  <c r="G55" i="17"/>
  <c r="BZ55" i="6" s="1"/>
  <c r="G291" i="17"/>
  <c r="BZ291" i="6" s="1"/>
  <c r="AA291" i="17"/>
  <c r="Z291" i="17" s="1"/>
  <c r="Y291" i="17" s="1"/>
  <c r="H291" i="17"/>
  <c r="G222" i="17"/>
  <c r="BZ222" i="6" s="1"/>
  <c r="AA222" i="17"/>
  <c r="Z222" i="17" s="1"/>
  <c r="Y222" i="17" s="1"/>
  <c r="H222" i="17"/>
  <c r="G114" i="17"/>
  <c r="BZ114" i="6" s="1"/>
  <c r="AA114" i="17"/>
  <c r="Z114" i="17" s="1"/>
  <c r="Y114" i="17" s="1"/>
  <c r="H114" i="17"/>
  <c r="G257" i="17"/>
  <c r="BZ257" i="6" s="1"/>
  <c r="AA257" i="17"/>
  <c r="Z257" i="17" s="1"/>
  <c r="Y257" i="17" s="1"/>
  <c r="H257" i="17"/>
  <c r="H328" i="17"/>
  <c r="AA328" i="17"/>
  <c r="Z328" i="17" s="1"/>
  <c r="Y328" i="17" s="1"/>
  <c r="G328" i="17"/>
  <c r="BZ328" i="6" s="1"/>
  <c r="AA78" i="17"/>
  <c r="Z78" i="17" s="1"/>
  <c r="Y78" i="17" s="1"/>
  <c r="G383" i="15"/>
  <c r="G12" i="15" s="1"/>
  <c r="G381" i="15"/>
  <c r="G382" i="15"/>
  <c r="I15" i="15"/>
  <c r="J15" i="15"/>
  <c r="U10" i="18"/>
  <c r="AI60" i="18" s="1"/>
  <c r="AH60" i="18" s="1"/>
  <c r="AG60" i="18" s="1"/>
  <c r="AF60" i="18" s="1"/>
  <c r="I380" i="18"/>
  <c r="J380" i="18"/>
  <c r="AI353" i="18"/>
  <c r="AH353" i="18" s="1"/>
  <c r="AG353" i="18" s="1"/>
  <c r="AF353" i="18" s="1"/>
  <c r="AI330" i="18"/>
  <c r="AH330" i="18" s="1"/>
  <c r="AG330" i="18" s="1"/>
  <c r="AF330" i="18" s="1"/>
  <c r="AI334" i="18"/>
  <c r="AH334" i="18" s="1"/>
  <c r="AG334" i="18" s="1"/>
  <c r="AF334" i="18" s="1"/>
  <c r="AI355" i="18"/>
  <c r="AH355" i="18" s="1"/>
  <c r="AG355" i="18" s="1"/>
  <c r="AF355" i="18" s="1"/>
  <c r="AI311" i="18"/>
  <c r="AH311" i="18" s="1"/>
  <c r="AG311" i="18" s="1"/>
  <c r="AF311" i="18" s="1"/>
  <c r="AI204" i="18"/>
  <c r="AH204" i="18" s="1"/>
  <c r="AG204" i="18" s="1"/>
  <c r="AF204" i="18" s="1"/>
  <c r="AI232" i="18"/>
  <c r="AH232" i="18" s="1"/>
  <c r="AG232" i="18" s="1"/>
  <c r="AF232" i="18" s="1"/>
  <c r="AI301" i="18"/>
  <c r="AH301" i="18" s="1"/>
  <c r="AG301" i="18" s="1"/>
  <c r="AF301" i="18" s="1"/>
  <c r="AH383" i="17"/>
  <c r="AH382" i="17"/>
  <c r="AH381" i="17"/>
  <c r="AG15" i="17"/>
  <c r="T382" i="17"/>
  <c r="S15" i="17"/>
  <c r="T381" i="17"/>
  <c r="T383" i="17"/>
  <c r="D27" i="18"/>
  <c r="E27" i="18" s="1"/>
  <c r="D24" i="18"/>
  <c r="E24" i="18" s="1"/>
  <c r="D165" i="18"/>
  <c r="E165" i="18" s="1"/>
  <c r="D74" i="18"/>
  <c r="E74" i="18" s="1"/>
  <c r="D177" i="18"/>
  <c r="E177" i="18" s="1"/>
  <c r="D43" i="18"/>
  <c r="E43" i="18" s="1"/>
  <c r="D252" i="18"/>
  <c r="E252" i="18" s="1"/>
  <c r="D59" i="18"/>
  <c r="E59" i="18" s="1"/>
  <c r="D107" i="18"/>
  <c r="E107" i="18" s="1"/>
  <c r="D65" i="18"/>
  <c r="E65" i="18" s="1"/>
  <c r="D95" i="18"/>
  <c r="E95" i="18" s="1"/>
  <c r="D266" i="18"/>
  <c r="E266" i="18" s="1"/>
  <c r="D153" i="18"/>
  <c r="E153" i="18" s="1"/>
  <c r="D87" i="18"/>
  <c r="E87" i="18" s="1"/>
  <c r="D132" i="18"/>
  <c r="E132" i="18" s="1"/>
  <c r="D146" i="18"/>
  <c r="E146" i="18" s="1"/>
  <c r="D77" i="18"/>
  <c r="E77" i="18" s="1"/>
  <c r="D257" i="18"/>
  <c r="E257" i="18" s="1"/>
  <c r="D138" i="18"/>
  <c r="E138" i="18" s="1"/>
  <c r="D53" i="18"/>
  <c r="E53" i="18" s="1"/>
  <c r="D219" i="18"/>
  <c r="E219" i="18" s="1"/>
  <c r="D82" i="18"/>
  <c r="E82" i="18" s="1"/>
  <c r="D175" i="18"/>
  <c r="E175" i="18" s="1"/>
  <c r="D222" i="18"/>
  <c r="E222" i="18" s="1"/>
  <c r="D162" i="18"/>
  <c r="E162" i="18" s="1"/>
  <c r="D81" i="18"/>
  <c r="E81" i="18" s="1"/>
  <c r="D234" i="18"/>
  <c r="E234" i="18" s="1"/>
  <c r="D155" i="18"/>
  <c r="E155" i="18" s="1"/>
  <c r="D33" i="18"/>
  <c r="E33" i="18" s="1"/>
  <c r="D251" i="18"/>
  <c r="E251" i="18" s="1"/>
  <c r="D18" i="18"/>
  <c r="E18" i="18" s="1"/>
  <c r="D208" i="18"/>
  <c r="E208" i="18" s="1"/>
  <c r="D217" i="18"/>
  <c r="E217" i="18" s="1"/>
  <c r="D72" i="18"/>
  <c r="E72" i="18" s="1"/>
  <c r="D110" i="18"/>
  <c r="E110" i="18" s="1"/>
  <c r="D188" i="18"/>
  <c r="E188" i="18" s="1"/>
  <c r="D280" i="18"/>
  <c r="E280" i="18" s="1"/>
  <c r="D70" i="18"/>
  <c r="E70" i="18" s="1"/>
  <c r="D118" i="18"/>
  <c r="E118" i="18" s="1"/>
  <c r="D206" i="18"/>
  <c r="E206" i="18" s="1"/>
  <c r="D200" i="18"/>
  <c r="E200" i="18" s="1"/>
  <c r="D69" i="18"/>
  <c r="E69" i="18" s="1"/>
  <c r="D91" i="18"/>
  <c r="E91" i="18" s="1"/>
  <c r="D48" i="18"/>
  <c r="E48" i="18" s="1"/>
  <c r="D187" i="18"/>
  <c r="E187" i="18" s="1"/>
  <c r="D144" i="18"/>
  <c r="E144" i="18" s="1"/>
  <c r="D249" i="18"/>
  <c r="E249" i="18" s="1"/>
  <c r="D198" i="18"/>
  <c r="E198" i="18" s="1"/>
  <c r="D98" i="18"/>
  <c r="E98" i="18" s="1"/>
  <c r="D49" i="18"/>
  <c r="E49" i="18" s="1"/>
  <c r="D19" i="18"/>
  <c r="E19" i="18" s="1"/>
  <c r="D163" i="18"/>
  <c r="E163" i="18" s="1"/>
  <c r="D45" i="18"/>
  <c r="E45" i="18" s="1"/>
  <c r="D253" i="18"/>
  <c r="E253" i="18" s="1"/>
  <c r="D178" i="18"/>
  <c r="E178" i="18" s="1"/>
  <c r="D129" i="18"/>
  <c r="E129" i="18" s="1"/>
  <c r="D86" i="18"/>
  <c r="E86" i="18" s="1"/>
  <c r="AE382" i="18"/>
  <c r="AE381" i="18"/>
  <c r="AE383" i="18"/>
  <c r="D120" i="18"/>
  <c r="E120" i="18" s="1"/>
  <c r="D133" i="18"/>
  <c r="E133" i="18" s="1"/>
  <c r="D185" i="18"/>
  <c r="E185" i="18" s="1"/>
  <c r="D152" i="18"/>
  <c r="E152" i="18" s="1"/>
  <c r="D274" i="18"/>
  <c r="E274" i="18" s="1"/>
  <c r="D100" i="18"/>
  <c r="E100" i="18" s="1"/>
  <c r="D215" i="18"/>
  <c r="E215" i="18" s="1"/>
  <c r="D167" i="18"/>
  <c r="E167" i="18" s="1"/>
  <c r="D66" i="18"/>
  <c r="E66" i="18" s="1"/>
  <c r="D36" i="18"/>
  <c r="E36" i="18" s="1"/>
  <c r="D247" i="18"/>
  <c r="E247" i="18" s="1"/>
  <c r="D142" i="18"/>
  <c r="E142" i="18" s="1"/>
  <c r="D201" i="18"/>
  <c r="E201" i="18" s="1"/>
  <c r="D39" i="18"/>
  <c r="E39" i="18" s="1"/>
  <c r="D190" i="18"/>
  <c r="E190" i="18" s="1"/>
  <c r="D22" i="18"/>
  <c r="E22" i="18" s="1"/>
  <c r="D235" i="18"/>
  <c r="E235" i="18" s="1"/>
  <c r="D245" i="18"/>
  <c r="E245" i="18" s="1"/>
  <c r="D41" i="18"/>
  <c r="E41" i="18" s="1"/>
  <c r="D250" i="18"/>
  <c r="E250" i="18" s="1"/>
  <c r="D25" i="18"/>
  <c r="E25" i="18" s="1"/>
  <c r="D285" i="18"/>
  <c r="E285" i="18" s="1"/>
  <c r="D121" i="18"/>
  <c r="E121" i="18" s="1"/>
  <c r="D223" i="18"/>
  <c r="E223" i="18" s="1"/>
  <c r="D85" i="18"/>
  <c r="E85" i="18" s="1"/>
  <c r="D143" i="18"/>
  <c r="E143" i="18" s="1"/>
  <c r="D90" i="18"/>
  <c r="E90" i="18" s="1"/>
  <c r="D191" i="18"/>
  <c r="E191" i="18" s="1"/>
  <c r="D199" i="18"/>
  <c r="E199" i="18" s="1"/>
  <c r="D166" i="18"/>
  <c r="E166" i="18" s="1"/>
  <c r="D44" i="18"/>
  <c r="E44" i="18" s="1"/>
  <c r="D240" i="18"/>
  <c r="E240" i="18" s="1"/>
  <c r="D51" i="18"/>
  <c r="E51" i="18" s="1"/>
  <c r="D231" i="18"/>
  <c r="E231" i="18" s="1"/>
  <c r="D105" i="18"/>
  <c r="E105" i="18" s="1"/>
  <c r="D113" i="18"/>
  <c r="E113" i="18" s="1"/>
  <c r="D255" i="18"/>
  <c r="E255" i="18" s="1"/>
  <c r="D94" i="18"/>
  <c r="E94" i="18" s="1"/>
  <c r="D64" i="18"/>
  <c r="E64" i="18" s="1"/>
  <c r="D173" i="18"/>
  <c r="E173" i="18" s="1"/>
  <c r="D211" i="18"/>
  <c r="E211" i="18" s="1"/>
  <c r="D225" i="18"/>
  <c r="E225" i="18" s="1"/>
  <c r="D21" i="18"/>
  <c r="E21" i="18" s="1"/>
  <c r="D16" i="18"/>
  <c r="E16" i="18" s="1"/>
  <c r="D26" i="18"/>
  <c r="E26" i="18" s="1"/>
  <c r="D209" i="18"/>
  <c r="E209" i="18" s="1"/>
  <c r="D76" i="18"/>
  <c r="E76" i="18" s="1"/>
  <c r="D218" i="18"/>
  <c r="E218" i="18" s="1"/>
  <c r="D20" i="18"/>
  <c r="E20" i="18" s="1"/>
  <c r="D207" i="18"/>
  <c r="E207" i="18" s="1"/>
  <c r="D157" i="18"/>
  <c r="E157" i="18" s="1"/>
  <c r="D63" i="18"/>
  <c r="E63" i="18" s="1"/>
  <c r="D101" i="18"/>
  <c r="E101" i="18" s="1"/>
  <c r="D127" i="18"/>
  <c r="E127" i="18" s="1"/>
  <c r="D168" i="18"/>
  <c r="E168" i="18" s="1"/>
  <c r="D115" i="18"/>
  <c r="E115" i="18" s="1"/>
  <c r="D264" i="18"/>
  <c r="E264" i="18" s="1"/>
  <c r="D137" i="18"/>
  <c r="E137" i="18" s="1"/>
  <c r="Q381" i="18"/>
  <c r="D236" i="18"/>
  <c r="E236" i="18" s="1"/>
  <c r="D28" i="18"/>
  <c r="E28" i="18" s="1"/>
  <c r="D237" i="18"/>
  <c r="E237" i="18" s="1"/>
  <c r="D123" i="18"/>
  <c r="E123" i="18" s="1"/>
  <c r="D140" i="18"/>
  <c r="E140" i="18" s="1"/>
  <c r="D193" i="18"/>
  <c r="E193" i="18" s="1"/>
  <c r="D141" i="18"/>
  <c r="E141" i="18" s="1"/>
  <c r="D103" i="18"/>
  <c r="E103" i="18" s="1"/>
  <c r="D194" i="18"/>
  <c r="E194" i="18" s="1"/>
  <c r="D58" i="18"/>
  <c r="E58" i="18" s="1"/>
  <c r="D189" i="18"/>
  <c r="E189" i="18" s="1"/>
  <c r="D268" i="18"/>
  <c r="E268" i="18" s="1"/>
  <c r="D156" i="18"/>
  <c r="E156" i="18" s="1"/>
  <c r="D205" i="18"/>
  <c r="E205" i="18" s="1"/>
  <c r="D52" i="18"/>
  <c r="E52" i="18" s="1"/>
  <c r="D286" i="18"/>
  <c r="E286" i="18" s="1"/>
  <c r="D279" i="18"/>
  <c r="E279" i="18" s="1"/>
  <c r="D35" i="18"/>
  <c r="E35" i="18" s="1"/>
  <c r="D38" i="18"/>
  <c r="E38" i="18" s="1"/>
  <c r="D229" i="18"/>
  <c r="E229" i="18" s="1"/>
  <c r="D248" i="18"/>
  <c r="E248" i="18" s="1"/>
  <c r="D116" i="18"/>
  <c r="E116" i="18" s="1"/>
  <c r="D176" i="18"/>
  <c r="E176" i="18" s="1"/>
  <c r="D151" i="18"/>
  <c r="E151" i="18" s="1"/>
  <c r="D195" i="18"/>
  <c r="E195" i="18" s="1"/>
  <c r="D182" i="18"/>
  <c r="E182" i="18" s="1"/>
  <c r="D224" i="18"/>
  <c r="E224" i="18" s="1"/>
  <c r="D31" i="18"/>
  <c r="E31" i="18" s="1"/>
  <c r="D171" i="18"/>
  <c r="E171" i="18" s="1"/>
  <c r="D56" i="18"/>
  <c r="E56" i="18" s="1"/>
  <c r="D96" i="18"/>
  <c r="E96" i="18" s="1"/>
  <c r="D30" i="18"/>
  <c r="E30" i="18" s="1"/>
  <c r="D261" i="18"/>
  <c r="E261" i="18" s="1"/>
  <c r="D55" i="18"/>
  <c r="E55" i="18" s="1"/>
  <c r="D147" i="18"/>
  <c r="E147" i="18" s="1"/>
  <c r="D89" i="18"/>
  <c r="E89" i="18" s="1"/>
  <c r="D78" i="18"/>
  <c r="E78" i="18" s="1"/>
  <c r="D23" i="18"/>
  <c r="E23" i="18" s="1"/>
  <c r="D139" i="18"/>
  <c r="E139" i="18" s="1"/>
  <c r="D244" i="18"/>
  <c r="E244" i="18" s="1"/>
  <c r="D278" i="18"/>
  <c r="E278" i="18" s="1"/>
  <c r="D80" i="18"/>
  <c r="E80" i="18" s="1"/>
  <c r="D242" i="18"/>
  <c r="E242" i="18" s="1"/>
  <c r="D68" i="18"/>
  <c r="E68" i="18" s="1"/>
  <c r="D150" i="18"/>
  <c r="E150" i="18" s="1"/>
  <c r="D277" i="18"/>
  <c r="E277" i="18" s="1"/>
  <c r="D73" i="18"/>
  <c r="E73" i="18" s="1"/>
  <c r="D164" i="18"/>
  <c r="E164" i="18" s="1"/>
  <c r="D220" i="18"/>
  <c r="E220" i="18" s="1"/>
  <c r="D221" i="18"/>
  <c r="E221" i="18" s="1"/>
  <c r="D238" i="18"/>
  <c r="E238" i="18" s="1"/>
  <c r="D54" i="18"/>
  <c r="E54" i="18" s="1"/>
  <c r="D287" i="18"/>
  <c r="E287" i="18" s="1"/>
  <c r="D117" i="18"/>
  <c r="E117" i="18" s="1"/>
  <c r="D17" i="18"/>
  <c r="E17" i="18" s="1"/>
  <c r="D154" i="18"/>
  <c r="E154" i="18" s="1"/>
  <c r="D186" i="18"/>
  <c r="E186" i="18" s="1"/>
  <c r="D42" i="18"/>
  <c r="E42" i="18" s="1"/>
  <c r="D203" i="18"/>
  <c r="E203" i="18" s="1"/>
  <c r="D263" i="18"/>
  <c r="E263" i="18" s="1"/>
  <c r="D254" i="18"/>
  <c r="E254" i="18" s="1"/>
  <c r="D161" i="18"/>
  <c r="E161" i="18" s="1"/>
  <c r="D158" i="18"/>
  <c r="E158" i="18" s="1"/>
  <c r="D213" i="18"/>
  <c r="E213" i="18" s="1"/>
  <c r="D32" i="18"/>
  <c r="E32" i="18" s="1"/>
  <c r="D126" i="18"/>
  <c r="E126" i="18" s="1"/>
  <c r="D281" i="18"/>
  <c r="E281" i="18" s="1"/>
  <c r="D84" i="18"/>
  <c r="E84" i="18" s="1"/>
  <c r="D131" i="18"/>
  <c r="E131" i="18" s="1"/>
  <c r="D230" i="18"/>
  <c r="E230" i="18" s="1"/>
  <c r="D181" i="18"/>
  <c r="E181" i="18" s="1"/>
  <c r="D233" i="18"/>
  <c r="E233" i="18" s="1"/>
  <c r="D183" i="18"/>
  <c r="E183" i="18" s="1"/>
  <c r="D202" i="18"/>
  <c r="E202" i="18" s="1"/>
  <c r="D67" i="18"/>
  <c r="E67" i="18" s="1"/>
  <c r="D145" i="18"/>
  <c r="E145" i="18" s="1"/>
  <c r="D197" i="18"/>
  <c r="E197" i="18" s="1"/>
  <c r="Q12" i="20"/>
  <c r="AB15" i="7"/>
  <c r="D97" i="18"/>
  <c r="E97" i="18" s="1"/>
  <c r="D114" i="18"/>
  <c r="E114" i="18" s="1"/>
  <c r="D160" i="18"/>
  <c r="E160" i="18" s="1"/>
  <c r="D93" i="18"/>
  <c r="E93" i="18" s="1"/>
  <c r="D262" i="18"/>
  <c r="E262" i="18" s="1"/>
  <c r="D104" i="18"/>
  <c r="E104" i="18" s="1"/>
  <c r="D40" i="18"/>
  <c r="E40" i="18" s="1"/>
  <c r="D179" i="18"/>
  <c r="E179" i="18" s="1"/>
  <c r="D232" i="18"/>
  <c r="E232" i="18" s="1"/>
  <c r="D270" i="18"/>
  <c r="E270" i="18" s="1"/>
  <c r="D169" i="18"/>
  <c r="E169" i="18" s="1"/>
  <c r="D37" i="18"/>
  <c r="E37" i="18" s="1"/>
  <c r="D283" i="18"/>
  <c r="E283" i="18" s="1"/>
  <c r="D122" i="18"/>
  <c r="E122" i="18" s="1"/>
  <c r="D106" i="18"/>
  <c r="E106" i="18" s="1"/>
  <c r="D282" i="18"/>
  <c r="E282" i="18" s="1"/>
  <c r="D148" i="18"/>
  <c r="E148" i="18" s="1"/>
  <c r="D102" i="18"/>
  <c r="E102" i="18" s="1"/>
  <c r="D265" i="18"/>
  <c r="E265" i="18" s="1"/>
  <c r="Q382" i="18"/>
  <c r="Q383" i="18"/>
  <c r="D196" i="18"/>
  <c r="E196" i="18" s="1"/>
  <c r="AI263" i="18" l="1"/>
  <c r="AH263" i="18" s="1"/>
  <c r="AG263" i="18" s="1"/>
  <c r="AF263" i="18" s="1"/>
  <c r="AI48" i="18"/>
  <c r="AH48" i="18" s="1"/>
  <c r="AG48" i="18" s="1"/>
  <c r="AF48" i="18" s="1"/>
  <c r="AI370" i="18"/>
  <c r="AH370" i="18" s="1"/>
  <c r="AG370" i="18" s="1"/>
  <c r="AF370" i="18" s="1"/>
  <c r="AI117" i="18"/>
  <c r="AH117" i="18" s="1"/>
  <c r="AG117" i="18" s="1"/>
  <c r="AF117" i="18" s="1"/>
  <c r="AI90" i="18"/>
  <c r="AH90" i="18" s="1"/>
  <c r="AG90" i="18" s="1"/>
  <c r="AF90" i="18" s="1"/>
  <c r="AI190" i="18"/>
  <c r="AH190" i="18" s="1"/>
  <c r="AG190" i="18" s="1"/>
  <c r="AF190" i="18" s="1"/>
  <c r="AI191" i="18"/>
  <c r="AH191" i="18" s="1"/>
  <c r="AG191" i="18" s="1"/>
  <c r="AF191" i="18" s="1"/>
  <c r="AI27" i="18"/>
  <c r="AH27" i="18" s="1"/>
  <c r="AG27" i="18" s="1"/>
  <c r="AF27" i="18" s="1"/>
  <c r="AI269" i="18"/>
  <c r="AH269" i="18" s="1"/>
  <c r="AG269" i="18" s="1"/>
  <c r="AF269" i="18" s="1"/>
  <c r="AI65" i="18"/>
  <c r="AH65" i="18" s="1"/>
  <c r="AG65" i="18" s="1"/>
  <c r="AF65" i="18" s="1"/>
  <c r="AI283" i="18"/>
  <c r="AH283" i="18" s="1"/>
  <c r="AG283" i="18" s="1"/>
  <c r="AF283" i="18" s="1"/>
  <c r="AI214" i="18"/>
  <c r="AH214" i="18" s="1"/>
  <c r="AG214" i="18" s="1"/>
  <c r="AF214" i="18" s="1"/>
  <c r="AI262" i="18"/>
  <c r="AH262" i="18" s="1"/>
  <c r="AG262" i="18" s="1"/>
  <c r="AF262" i="18" s="1"/>
  <c r="AI213" i="18"/>
  <c r="AH213" i="18" s="1"/>
  <c r="AG213" i="18" s="1"/>
  <c r="AF213" i="18" s="1"/>
  <c r="AI94" i="18"/>
  <c r="AH94" i="18" s="1"/>
  <c r="AI80" i="18"/>
  <c r="AH80" i="18" s="1"/>
  <c r="AG80" i="18" s="1"/>
  <c r="AF80" i="18" s="1"/>
  <c r="AI79" i="18"/>
  <c r="AH79" i="18" s="1"/>
  <c r="AI261" i="18"/>
  <c r="AH261" i="18" s="1"/>
  <c r="AG261" i="18" s="1"/>
  <c r="AF261" i="18" s="1"/>
  <c r="AI56" i="18"/>
  <c r="AH56" i="18" s="1"/>
  <c r="AI337" i="18"/>
  <c r="AH337" i="18" s="1"/>
  <c r="AG337" i="18" s="1"/>
  <c r="AF337" i="18" s="1"/>
  <c r="AI140" i="18"/>
  <c r="AH140" i="18" s="1"/>
  <c r="AI357" i="18"/>
  <c r="AH357" i="18" s="1"/>
  <c r="AG357" i="18" s="1"/>
  <c r="AF357" i="18" s="1"/>
  <c r="AD357" i="18" s="1"/>
  <c r="AI231" i="18"/>
  <c r="AH231" i="18" s="1"/>
  <c r="AI97" i="18"/>
  <c r="AH97" i="18" s="1"/>
  <c r="AG97" i="18" s="1"/>
  <c r="AF97" i="18" s="1"/>
  <c r="AI53" i="18"/>
  <c r="AH53" i="18" s="1"/>
  <c r="AG53" i="18" s="1"/>
  <c r="AF53" i="18" s="1"/>
  <c r="AD53" i="18" s="1"/>
  <c r="AI302" i="18"/>
  <c r="AH302" i="18" s="1"/>
  <c r="AG302" i="18" s="1"/>
  <c r="AF302" i="18" s="1"/>
  <c r="AI101" i="18"/>
  <c r="AH101" i="18" s="1"/>
  <c r="AG101" i="18" s="1"/>
  <c r="AF101" i="18" s="1"/>
  <c r="AI206" i="18"/>
  <c r="AH206" i="18" s="1"/>
  <c r="AG206" i="18" s="1"/>
  <c r="AF206" i="18" s="1"/>
  <c r="AI327" i="18"/>
  <c r="AH327" i="18" s="1"/>
  <c r="AG327" i="18" s="1"/>
  <c r="AF327" i="18" s="1"/>
  <c r="AI233" i="18"/>
  <c r="AH233" i="18" s="1"/>
  <c r="AI328" i="18"/>
  <c r="AH328" i="18" s="1"/>
  <c r="AG328" i="18" s="1"/>
  <c r="AF328" i="18" s="1"/>
  <c r="AD328" i="18" s="1"/>
  <c r="AI281" i="18"/>
  <c r="AH281" i="18" s="1"/>
  <c r="AG281" i="18" s="1"/>
  <c r="AF281" i="18" s="1"/>
  <c r="AI215" i="18"/>
  <c r="AH215" i="18" s="1"/>
  <c r="AG215" i="18" s="1"/>
  <c r="AF215" i="18" s="1"/>
  <c r="AI160" i="18"/>
  <c r="AH160" i="18" s="1"/>
  <c r="AG160" i="18" s="1"/>
  <c r="AF160" i="18" s="1"/>
  <c r="AI271" i="18"/>
  <c r="AH271" i="18" s="1"/>
  <c r="AI162" i="18"/>
  <c r="AH162" i="18" s="1"/>
  <c r="AI225" i="18"/>
  <c r="AH225" i="18" s="1"/>
  <c r="AG225" i="18" s="1"/>
  <c r="AF225" i="18" s="1"/>
  <c r="AI174" i="18"/>
  <c r="AH174" i="18" s="1"/>
  <c r="AG174" i="18" s="1"/>
  <c r="AF174" i="18" s="1"/>
  <c r="AI364" i="18"/>
  <c r="AH364" i="18" s="1"/>
  <c r="AG364" i="18" s="1"/>
  <c r="AF364" i="18" s="1"/>
  <c r="AI299" i="18"/>
  <c r="AH299" i="18" s="1"/>
  <c r="AG299" i="18" s="1"/>
  <c r="AF299" i="18" s="1"/>
  <c r="AI37" i="18"/>
  <c r="AH37" i="18" s="1"/>
  <c r="AI267" i="18"/>
  <c r="AH267" i="18" s="1"/>
  <c r="AI368" i="18"/>
  <c r="AH368" i="18" s="1"/>
  <c r="AI196" i="18"/>
  <c r="AH196" i="18" s="1"/>
  <c r="AI179" i="18"/>
  <c r="AH179" i="18" s="1"/>
  <c r="AI242" i="18"/>
  <c r="AH242" i="18" s="1"/>
  <c r="AI73" i="18"/>
  <c r="AH73" i="18" s="1"/>
  <c r="AI33" i="18"/>
  <c r="AH33" i="18" s="1"/>
  <c r="AG33" i="18" s="1"/>
  <c r="AF33" i="18" s="1"/>
  <c r="AD33" i="18" s="1"/>
  <c r="AI131" i="18"/>
  <c r="AH131" i="18" s="1"/>
  <c r="AI293" i="18"/>
  <c r="AH293" i="18" s="1"/>
  <c r="AI147" i="18"/>
  <c r="AH147" i="18" s="1"/>
  <c r="AI240" i="18"/>
  <c r="AH240" i="18" s="1"/>
  <c r="AG240" i="18" s="1"/>
  <c r="AF240" i="18" s="1"/>
  <c r="AI259" i="18"/>
  <c r="AH259" i="18" s="1"/>
  <c r="AG259" i="18" s="1"/>
  <c r="AF259" i="18" s="1"/>
  <c r="AI172" i="18"/>
  <c r="AH172" i="18" s="1"/>
  <c r="AG172" i="18" s="1"/>
  <c r="AF172" i="18" s="1"/>
  <c r="AI118" i="18"/>
  <c r="AH118" i="18" s="1"/>
  <c r="AG118" i="18" s="1"/>
  <c r="AF118" i="18" s="1"/>
  <c r="AI346" i="18"/>
  <c r="AH346" i="18" s="1"/>
  <c r="AG346" i="18" s="1"/>
  <c r="AF346" i="18" s="1"/>
  <c r="AI326" i="18"/>
  <c r="AH326" i="18" s="1"/>
  <c r="AG326" i="18" s="1"/>
  <c r="AF326" i="18" s="1"/>
  <c r="AI228" i="18"/>
  <c r="AH228" i="18" s="1"/>
  <c r="AG228" i="18" s="1"/>
  <c r="AF228" i="18" s="1"/>
  <c r="AI319" i="18"/>
  <c r="AH319" i="18" s="1"/>
  <c r="AI247" i="18"/>
  <c r="AH247" i="18" s="1"/>
  <c r="AI130" i="18"/>
  <c r="AH130" i="18" s="1"/>
  <c r="AG130" i="18" s="1"/>
  <c r="AF130" i="18" s="1"/>
  <c r="AI192" i="18"/>
  <c r="AH192" i="18" s="1"/>
  <c r="AI350" i="18"/>
  <c r="AH350" i="18" s="1"/>
  <c r="AI317" i="18"/>
  <c r="AH317" i="18" s="1"/>
  <c r="AI333" i="18"/>
  <c r="AH333" i="18" s="1"/>
  <c r="AG333" i="18" s="1"/>
  <c r="AF333" i="18" s="1"/>
  <c r="AI325" i="18"/>
  <c r="AH325" i="18" s="1"/>
  <c r="AI120" i="18"/>
  <c r="AH120" i="18" s="1"/>
  <c r="AG120" i="18" s="1"/>
  <c r="AF120" i="18" s="1"/>
  <c r="AI109" i="18"/>
  <c r="AH109" i="18" s="1"/>
  <c r="AI157" i="18"/>
  <c r="AH157" i="18" s="1"/>
  <c r="AG157" i="18" s="1"/>
  <c r="AF157" i="18" s="1"/>
  <c r="AI47" i="18"/>
  <c r="AH47" i="18" s="1"/>
  <c r="AG47" i="18" s="1"/>
  <c r="AF47" i="18" s="1"/>
  <c r="AD47" i="18" s="1"/>
  <c r="AI229" i="18"/>
  <c r="AH229" i="18" s="1"/>
  <c r="AI102" i="18"/>
  <c r="AH102" i="18" s="1"/>
  <c r="AG102" i="18" s="1"/>
  <c r="AF102" i="18" s="1"/>
  <c r="AI187" i="18"/>
  <c r="AH187" i="18" s="1"/>
  <c r="AG187" i="18" s="1"/>
  <c r="AF187" i="18" s="1"/>
  <c r="AI55" i="18"/>
  <c r="AH55" i="18" s="1"/>
  <c r="AG55" i="18" s="1"/>
  <c r="AF55" i="18" s="1"/>
  <c r="AI92" i="18"/>
  <c r="AH92" i="18" s="1"/>
  <c r="AI161" i="18"/>
  <c r="AH161" i="18" s="1"/>
  <c r="AG161" i="18" s="1"/>
  <c r="AF161" i="18" s="1"/>
  <c r="AI195" i="18"/>
  <c r="AH195" i="18" s="1"/>
  <c r="AI32" i="18"/>
  <c r="AH32" i="18" s="1"/>
  <c r="AI209" i="18"/>
  <c r="AH209" i="18" s="1"/>
  <c r="AI320" i="18"/>
  <c r="AH320" i="18" s="1"/>
  <c r="AG320" i="18" s="1"/>
  <c r="AF320" i="18" s="1"/>
  <c r="AI234" i="18"/>
  <c r="AH234" i="18" s="1"/>
  <c r="AI243" i="18"/>
  <c r="AH243" i="18" s="1"/>
  <c r="AG243" i="18" s="1"/>
  <c r="AF243" i="18" s="1"/>
  <c r="AI40" i="18"/>
  <c r="AH40" i="18" s="1"/>
  <c r="AG40" i="18" s="1"/>
  <c r="AF40" i="18" s="1"/>
  <c r="AI128" i="18"/>
  <c r="AH128" i="18" s="1"/>
  <c r="AI359" i="18"/>
  <c r="AH359" i="18" s="1"/>
  <c r="AG359" i="18" s="1"/>
  <c r="AF359" i="18" s="1"/>
  <c r="AI167" i="18"/>
  <c r="AH167" i="18" s="1"/>
  <c r="AI287" i="18"/>
  <c r="AH287" i="18" s="1"/>
  <c r="AI280" i="18"/>
  <c r="AH280" i="18" s="1"/>
  <c r="AI77" i="18"/>
  <c r="AH77" i="18" s="1"/>
  <c r="AI121" i="18"/>
  <c r="AH121" i="18" s="1"/>
  <c r="AG121" i="18" s="1"/>
  <c r="AF121" i="18" s="1"/>
  <c r="AI42" i="18"/>
  <c r="AH42" i="18" s="1"/>
  <c r="AG42" i="18" s="1"/>
  <c r="AF42" i="18" s="1"/>
  <c r="AI193" i="18"/>
  <c r="AH193" i="18" s="1"/>
  <c r="AI220" i="18"/>
  <c r="AH220" i="18" s="1"/>
  <c r="AG220" i="18" s="1"/>
  <c r="AF220" i="18" s="1"/>
  <c r="AI377" i="18"/>
  <c r="AH377" i="18" s="1"/>
  <c r="AI110" i="18"/>
  <c r="AH110" i="18" s="1"/>
  <c r="AI331" i="18"/>
  <c r="AH331" i="18" s="1"/>
  <c r="AG331" i="18" s="1"/>
  <c r="AF331" i="18" s="1"/>
  <c r="AI188" i="18"/>
  <c r="AH188" i="18" s="1"/>
  <c r="AG188" i="18" s="1"/>
  <c r="AF188" i="18" s="1"/>
  <c r="AI298" i="18"/>
  <c r="AH298" i="18" s="1"/>
  <c r="AI139" i="18"/>
  <c r="AH139" i="18" s="1"/>
  <c r="AG139" i="18" s="1"/>
  <c r="AF139" i="18" s="1"/>
  <c r="AI15" i="18"/>
  <c r="AH15" i="18" s="1"/>
  <c r="AI21" i="18"/>
  <c r="AH21" i="18" s="1"/>
  <c r="AI127" i="18"/>
  <c r="AH127" i="18" s="1"/>
  <c r="AI266" i="18"/>
  <c r="AH266" i="18" s="1"/>
  <c r="AI278" i="18"/>
  <c r="AH278" i="18" s="1"/>
  <c r="AI276" i="18"/>
  <c r="AH276" i="18" s="1"/>
  <c r="AG276" i="18" s="1"/>
  <c r="AF276" i="18" s="1"/>
  <c r="AI197" i="18"/>
  <c r="AH197" i="18" s="1"/>
  <c r="AI305" i="18"/>
  <c r="AH305" i="18" s="1"/>
  <c r="AI352" i="18"/>
  <c r="AH352" i="18" s="1"/>
  <c r="AI227" i="18"/>
  <c r="AH227" i="18" s="1"/>
  <c r="AI71" i="18"/>
  <c r="AH71" i="18" s="1"/>
  <c r="AG71" i="18" s="1"/>
  <c r="AF71" i="18" s="1"/>
  <c r="AI114" i="18"/>
  <c r="AH114" i="18" s="1"/>
  <c r="AG114" i="18" s="1"/>
  <c r="AF114" i="18" s="1"/>
  <c r="AI115" i="18"/>
  <c r="AH115" i="18" s="1"/>
  <c r="AI132" i="18"/>
  <c r="AH132" i="18" s="1"/>
  <c r="AG132" i="18" s="1"/>
  <c r="AF132" i="18" s="1"/>
  <c r="AI112" i="18"/>
  <c r="AH112" i="18" s="1"/>
  <c r="AG112" i="18" s="1"/>
  <c r="AF112" i="18" s="1"/>
  <c r="AI303" i="18"/>
  <c r="AH303" i="18" s="1"/>
  <c r="AG303" i="18" s="1"/>
  <c r="AF303" i="18" s="1"/>
  <c r="AI43" i="18"/>
  <c r="AH43" i="18" s="1"/>
  <c r="AI344" i="18"/>
  <c r="AH344" i="18" s="1"/>
  <c r="AG344" i="18" s="1"/>
  <c r="AF344" i="18" s="1"/>
  <c r="AI153" i="18"/>
  <c r="AH153" i="18" s="1"/>
  <c r="AG153" i="18" s="1"/>
  <c r="AF153" i="18" s="1"/>
  <c r="AI72" i="18"/>
  <c r="AH72" i="18" s="1"/>
  <c r="AG72" i="18" s="1"/>
  <c r="AF72" i="18" s="1"/>
  <c r="AI308" i="18"/>
  <c r="AH308" i="18" s="1"/>
  <c r="AG308" i="18" s="1"/>
  <c r="AF308" i="18" s="1"/>
  <c r="AI67" i="18"/>
  <c r="AH67" i="18" s="1"/>
  <c r="AI237" i="18"/>
  <c r="AH237" i="18" s="1"/>
  <c r="AI64" i="18"/>
  <c r="AH64" i="18" s="1"/>
  <c r="AG64" i="18" s="1"/>
  <c r="AF64" i="18" s="1"/>
  <c r="AD64" i="18" s="1"/>
  <c r="AI238" i="18"/>
  <c r="AH238" i="18" s="1"/>
  <c r="AG238" i="18" s="1"/>
  <c r="AF238" i="18" s="1"/>
  <c r="AI309" i="18"/>
  <c r="AH309" i="18" s="1"/>
  <c r="AI16" i="18"/>
  <c r="AH16" i="18" s="1"/>
  <c r="AI149" i="18"/>
  <c r="AH149" i="18" s="1"/>
  <c r="AI88" i="18"/>
  <c r="AH88" i="18" s="1"/>
  <c r="AG88" i="18" s="1"/>
  <c r="AF88" i="18" s="1"/>
  <c r="AI25" i="18"/>
  <c r="AH25" i="18" s="1"/>
  <c r="AG25" i="18" s="1"/>
  <c r="AF25" i="18" s="1"/>
  <c r="AI369" i="18"/>
  <c r="AH369" i="18" s="1"/>
  <c r="AG369" i="18" s="1"/>
  <c r="AF369" i="18" s="1"/>
  <c r="AI158" i="18"/>
  <c r="AH158" i="18" s="1"/>
  <c r="AG158" i="18" s="1"/>
  <c r="AF158" i="18" s="1"/>
  <c r="AI154" i="18"/>
  <c r="AH154" i="18" s="1"/>
  <c r="AI85" i="18"/>
  <c r="AH85" i="18" s="1"/>
  <c r="AI251" i="18"/>
  <c r="AH251" i="18" s="1"/>
  <c r="AI290" i="18"/>
  <c r="AH290" i="18" s="1"/>
  <c r="AI119" i="18"/>
  <c r="AH119" i="18" s="1"/>
  <c r="AI366" i="18"/>
  <c r="AH366" i="18" s="1"/>
  <c r="AG366" i="18" s="1"/>
  <c r="AF366" i="18" s="1"/>
  <c r="AI315" i="18"/>
  <c r="AH315" i="18" s="1"/>
  <c r="AI194" i="18"/>
  <c r="AH194" i="18" s="1"/>
  <c r="AI358" i="18"/>
  <c r="AH358" i="18" s="1"/>
  <c r="AG358" i="18" s="1"/>
  <c r="AF358" i="18" s="1"/>
  <c r="AD358" i="18" s="1"/>
  <c r="AI175" i="18"/>
  <c r="AH175" i="18" s="1"/>
  <c r="AG175" i="18" s="1"/>
  <c r="AF175" i="18" s="1"/>
  <c r="AI29" i="18"/>
  <c r="AH29" i="18" s="1"/>
  <c r="AG29" i="18" s="1"/>
  <c r="AF29" i="18" s="1"/>
  <c r="AD29" i="18" s="1"/>
  <c r="AI66" i="18"/>
  <c r="AH66" i="18" s="1"/>
  <c r="AG66" i="18" s="1"/>
  <c r="AF66" i="18" s="1"/>
  <c r="AI255" i="18"/>
  <c r="AH255" i="18" s="1"/>
  <c r="AG255" i="18" s="1"/>
  <c r="AF255" i="18" s="1"/>
  <c r="AI216" i="18"/>
  <c r="AH216" i="18" s="1"/>
  <c r="AI45" i="18"/>
  <c r="AH45" i="18" s="1"/>
  <c r="AG45" i="18" s="1"/>
  <c r="AF45" i="18" s="1"/>
  <c r="AI89" i="18"/>
  <c r="AH89" i="18" s="1"/>
  <c r="AG89" i="18" s="1"/>
  <c r="AF89" i="18" s="1"/>
  <c r="AI144" i="18"/>
  <c r="AH144" i="18" s="1"/>
  <c r="AG144" i="18" s="1"/>
  <c r="AF144" i="18" s="1"/>
  <c r="AI122" i="18"/>
  <c r="AH122" i="18" s="1"/>
  <c r="AG122" i="18" s="1"/>
  <c r="AF122" i="18" s="1"/>
  <c r="AI170" i="18"/>
  <c r="AH170" i="18" s="1"/>
  <c r="AG170" i="18" s="1"/>
  <c r="AF170" i="18" s="1"/>
  <c r="AI52" i="18"/>
  <c r="AH52" i="18" s="1"/>
  <c r="AI285" i="18"/>
  <c r="AH285" i="18" s="1"/>
  <c r="AI275" i="18"/>
  <c r="AH275" i="18" s="1"/>
  <c r="AG275" i="18" s="1"/>
  <c r="AF275" i="18" s="1"/>
  <c r="AI318" i="18"/>
  <c r="AH318" i="18" s="1"/>
  <c r="AG318" i="18" s="1"/>
  <c r="AF318" i="18" s="1"/>
  <c r="AI145" i="18"/>
  <c r="AH145" i="18" s="1"/>
  <c r="AG145" i="18" s="1"/>
  <c r="AF145" i="18" s="1"/>
  <c r="AD145" i="18" s="1"/>
  <c r="AI349" i="18"/>
  <c r="AH349" i="18" s="1"/>
  <c r="AI224" i="18"/>
  <c r="AH224" i="18" s="1"/>
  <c r="AI356" i="18"/>
  <c r="AH356" i="18" s="1"/>
  <c r="AG356" i="18" s="1"/>
  <c r="AF356" i="18" s="1"/>
  <c r="AI198" i="18"/>
  <c r="AH198" i="18" s="1"/>
  <c r="AG198" i="18" s="1"/>
  <c r="AF198" i="18" s="1"/>
  <c r="AI74" i="18"/>
  <c r="AH74" i="18" s="1"/>
  <c r="AG74" i="18" s="1"/>
  <c r="AF74" i="18" s="1"/>
  <c r="AI186" i="18"/>
  <c r="AH186" i="18" s="1"/>
  <c r="AI103" i="18"/>
  <c r="AH103" i="18" s="1"/>
  <c r="AG103" i="18" s="1"/>
  <c r="AF103" i="18" s="1"/>
  <c r="AI258" i="18"/>
  <c r="AH258" i="18" s="1"/>
  <c r="AG258" i="18" s="1"/>
  <c r="AF258" i="18" s="1"/>
  <c r="AI18" i="18"/>
  <c r="AH18" i="18" s="1"/>
  <c r="AG18" i="18" s="1"/>
  <c r="AF18" i="18" s="1"/>
  <c r="AI371" i="18"/>
  <c r="AH371" i="18" s="1"/>
  <c r="AI19" i="18"/>
  <c r="AH19" i="18" s="1"/>
  <c r="AI268" i="18"/>
  <c r="AH268" i="18" s="1"/>
  <c r="AI332" i="18"/>
  <c r="AH332" i="18" s="1"/>
  <c r="AI270" i="18"/>
  <c r="AH270" i="18" s="1"/>
  <c r="AG270" i="18" s="1"/>
  <c r="AF270" i="18" s="1"/>
  <c r="AC382" i="25"/>
  <c r="U346" i="18"/>
  <c r="T346" i="18" s="1"/>
  <c r="S346" i="18" s="1"/>
  <c r="R346" i="18" s="1"/>
  <c r="P346" i="18" s="1"/>
  <c r="V346" i="18" s="1"/>
  <c r="L44" i="19"/>
  <c r="AC383" i="25"/>
  <c r="AC381" i="25"/>
  <c r="AI245" i="18"/>
  <c r="AH245" i="18" s="1"/>
  <c r="AG245" i="18" s="1"/>
  <c r="AF245" i="18" s="1"/>
  <c r="J36" i="19"/>
  <c r="H379" i="17"/>
  <c r="J379" i="17" s="1"/>
  <c r="AA379" i="17"/>
  <c r="Z379" i="17" s="1"/>
  <c r="Y379" i="17" s="1"/>
  <c r="G64" i="19"/>
  <c r="AI292" i="18"/>
  <c r="AH292" i="18" s="1"/>
  <c r="AG292" i="18" s="1"/>
  <c r="AF292" i="18" s="1"/>
  <c r="AI291" i="18"/>
  <c r="AH291" i="18" s="1"/>
  <c r="AG291" i="18" s="1"/>
  <c r="AF291" i="18" s="1"/>
  <c r="AI210" i="18"/>
  <c r="AH210" i="18" s="1"/>
  <c r="AG210" i="18" s="1"/>
  <c r="AF210" i="18" s="1"/>
  <c r="I64" i="19"/>
  <c r="D12" i="19"/>
  <c r="G36" i="19"/>
  <c r="F174" i="17"/>
  <c r="G174" i="17" s="1"/>
  <c r="BZ174" i="6" s="1"/>
  <c r="K64" i="19"/>
  <c r="F227" i="17"/>
  <c r="G227" i="17" s="1"/>
  <c r="BZ227" i="6" s="1"/>
  <c r="H64" i="19"/>
  <c r="H80" i="17"/>
  <c r="G80" i="17"/>
  <c r="BZ80" i="6" s="1"/>
  <c r="AA80" i="17"/>
  <c r="Z80" i="17" s="1"/>
  <c r="Y80" i="17" s="1"/>
  <c r="G362" i="17"/>
  <c r="BZ362" i="6" s="1"/>
  <c r="H362" i="17"/>
  <c r="AA362" i="17"/>
  <c r="Z362" i="17" s="1"/>
  <c r="Y362" i="17" s="1"/>
  <c r="AA18" i="17"/>
  <c r="Z18" i="17" s="1"/>
  <c r="Y18" i="17" s="1"/>
  <c r="H18" i="17"/>
  <c r="G18" i="17"/>
  <c r="BZ18" i="6" s="1"/>
  <c r="H326" i="17"/>
  <c r="G326" i="17"/>
  <c r="BZ326" i="6" s="1"/>
  <c r="AA326" i="17"/>
  <c r="Z326" i="17" s="1"/>
  <c r="Y326" i="17" s="1"/>
  <c r="G142" i="17"/>
  <c r="BZ142" i="6" s="1"/>
  <c r="AA142" i="17"/>
  <c r="Z142" i="17" s="1"/>
  <c r="Y142" i="17" s="1"/>
  <c r="H142" i="17"/>
  <c r="G21" i="17"/>
  <c r="BZ21" i="6" s="1"/>
  <c r="H21" i="17"/>
  <c r="AA21" i="17"/>
  <c r="Z21" i="17" s="1"/>
  <c r="Y21" i="17" s="1"/>
  <c r="AA47" i="17"/>
  <c r="Z47" i="17" s="1"/>
  <c r="Y47" i="17" s="1"/>
  <c r="G47" i="17"/>
  <c r="BZ47" i="6" s="1"/>
  <c r="H47" i="17"/>
  <c r="G86" i="17"/>
  <c r="BZ86" i="6" s="1"/>
  <c r="AA86" i="17"/>
  <c r="Z86" i="17" s="1"/>
  <c r="Y86" i="17" s="1"/>
  <c r="H86" i="17"/>
  <c r="H364" i="17"/>
  <c r="G364" i="17"/>
  <c r="BZ364" i="6" s="1"/>
  <c r="AA364" i="17"/>
  <c r="Z364" i="17" s="1"/>
  <c r="Y364" i="17" s="1"/>
  <c r="AG368" i="18"/>
  <c r="AF368" i="18" s="1"/>
  <c r="AD368" i="18" s="1"/>
  <c r="AG242" i="18"/>
  <c r="AF242" i="18" s="1"/>
  <c r="AD242" i="18" s="1"/>
  <c r="AD213" i="18"/>
  <c r="AD112" i="18"/>
  <c r="AD42" i="18"/>
  <c r="I328" i="17"/>
  <c r="J328" i="17"/>
  <c r="J114" i="17"/>
  <c r="I114" i="17"/>
  <c r="J291" i="17"/>
  <c r="I291" i="17"/>
  <c r="J184" i="17"/>
  <c r="I184" i="17"/>
  <c r="J164" i="17"/>
  <c r="I164" i="17"/>
  <c r="I209" i="17"/>
  <c r="J209" i="17"/>
  <c r="I238" i="17"/>
  <c r="J238" i="17"/>
  <c r="J243" i="17"/>
  <c r="I243" i="17"/>
  <c r="G148" i="17"/>
  <c r="BZ148" i="6" s="1"/>
  <c r="AA148" i="17"/>
  <c r="Z148" i="17" s="1"/>
  <c r="Y148" i="17" s="1"/>
  <c r="H148" i="17"/>
  <c r="I33" i="17"/>
  <c r="J33" i="17"/>
  <c r="J368" i="17"/>
  <c r="I368" i="17"/>
  <c r="J195" i="17"/>
  <c r="I195" i="17"/>
  <c r="J337" i="17"/>
  <c r="I337" i="17"/>
  <c r="I160" i="17"/>
  <c r="J160" i="17"/>
  <c r="J188" i="17"/>
  <c r="I188" i="17"/>
  <c r="J78" i="17"/>
  <c r="I78" i="17"/>
  <c r="J54" i="17"/>
  <c r="I54" i="17"/>
  <c r="I255" i="17"/>
  <c r="J255" i="17"/>
  <c r="I49" i="17"/>
  <c r="J49" i="17"/>
  <c r="I309" i="17"/>
  <c r="J309" i="17"/>
  <c r="I327" i="17"/>
  <c r="J327" i="17"/>
  <c r="J76" i="17"/>
  <c r="I76" i="17"/>
  <c r="I109" i="17"/>
  <c r="J109" i="17"/>
  <c r="I299" i="17"/>
  <c r="J299" i="17"/>
  <c r="J344" i="17"/>
  <c r="I344" i="17"/>
  <c r="J372" i="17"/>
  <c r="I372" i="17"/>
  <c r="I342" i="17"/>
  <c r="J342" i="17"/>
  <c r="AA46" i="17"/>
  <c r="Z46" i="17" s="1"/>
  <c r="Y46" i="17" s="1"/>
  <c r="H46" i="17"/>
  <c r="G46" i="17"/>
  <c r="BZ46" i="6" s="1"/>
  <c r="I44" i="17"/>
  <c r="J44" i="17"/>
  <c r="J52" i="17"/>
  <c r="I52" i="17"/>
  <c r="D64" i="19"/>
  <c r="J231" i="17"/>
  <c r="I231" i="17"/>
  <c r="I264" i="17"/>
  <c r="J264" i="17"/>
  <c r="J98" i="17"/>
  <c r="I98" i="17"/>
  <c r="G324" i="17"/>
  <c r="BZ324" i="6" s="1"/>
  <c r="AA324" i="17"/>
  <c r="Z324" i="17" s="1"/>
  <c r="Y324" i="17" s="1"/>
  <c r="H324" i="17"/>
  <c r="AA60" i="17"/>
  <c r="Z60" i="17" s="1"/>
  <c r="Y60" i="17" s="1"/>
  <c r="G60" i="17"/>
  <c r="BZ60" i="6" s="1"/>
  <c r="H60" i="17"/>
  <c r="I122" i="17"/>
  <c r="J122" i="17"/>
  <c r="I36" i="17"/>
  <c r="J36" i="17"/>
  <c r="J366" i="17"/>
  <c r="I366" i="17"/>
  <c r="J211" i="17"/>
  <c r="I211" i="17"/>
  <c r="I157" i="17"/>
  <c r="J157" i="17"/>
  <c r="I162" i="17"/>
  <c r="J162" i="17"/>
  <c r="J307" i="17"/>
  <c r="I307" i="17"/>
  <c r="I26" i="17"/>
  <c r="J26" i="17"/>
  <c r="I212" i="17"/>
  <c r="J212" i="17"/>
  <c r="J250" i="17"/>
  <c r="I250" i="17"/>
  <c r="AL9" i="16"/>
  <c r="AA9" i="16"/>
  <c r="AA383" i="16"/>
  <c r="AA382" i="16"/>
  <c r="Z15" i="16"/>
  <c r="AL8" i="16" s="1"/>
  <c r="AA381" i="16"/>
  <c r="AM8" i="16"/>
  <c r="G145" i="17"/>
  <c r="BZ145" i="6" s="1"/>
  <c r="H145" i="17"/>
  <c r="AA145" i="17"/>
  <c r="Z145" i="17" s="1"/>
  <c r="Y145" i="17" s="1"/>
  <c r="J16" i="17"/>
  <c r="I16" i="17"/>
  <c r="J198" i="17"/>
  <c r="I198" i="17"/>
  <c r="I294" i="17"/>
  <c r="J294" i="17"/>
  <c r="J171" i="17"/>
  <c r="I171" i="17"/>
  <c r="I202" i="17"/>
  <c r="J202" i="17"/>
  <c r="J129" i="17"/>
  <c r="I129" i="17"/>
  <c r="I94" i="17"/>
  <c r="J94" i="17"/>
  <c r="I224" i="17"/>
  <c r="J224" i="17"/>
  <c r="U59" i="18"/>
  <c r="T59" i="18" s="1"/>
  <c r="U352" i="18"/>
  <c r="T352" i="18" s="1"/>
  <c r="U236" i="18"/>
  <c r="T236" i="18" s="1"/>
  <c r="U314" i="18"/>
  <c r="T314" i="18" s="1"/>
  <c r="U226" i="18"/>
  <c r="T226" i="18" s="1"/>
  <c r="U254" i="18"/>
  <c r="T254" i="18" s="1"/>
  <c r="U94" i="18"/>
  <c r="T94" i="18" s="1"/>
  <c r="U140" i="18"/>
  <c r="T140" i="18" s="1"/>
  <c r="U170" i="18"/>
  <c r="T170" i="18" s="1"/>
  <c r="U320" i="18"/>
  <c r="T320" i="18" s="1"/>
  <c r="U106" i="18"/>
  <c r="T106" i="18" s="1"/>
  <c r="U81" i="18"/>
  <c r="T81" i="18" s="1"/>
  <c r="U110" i="18"/>
  <c r="T110" i="18" s="1"/>
  <c r="U33" i="18"/>
  <c r="T33" i="18" s="1"/>
  <c r="U22" i="18"/>
  <c r="T22" i="18" s="1"/>
  <c r="U378" i="18"/>
  <c r="T378" i="18" s="1"/>
  <c r="U71" i="18"/>
  <c r="T71" i="18" s="1"/>
  <c r="U357" i="18"/>
  <c r="T357" i="18" s="1"/>
  <c r="U134" i="18"/>
  <c r="T134" i="18" s="1"/>
  <c r="U72" i="18"/>
  <c r="T72" i="18" s="1"/>
  <c r="U191" i="18"/>
  <c r="T191" i="18" s="1"/>
  <c r="U180" i="18"/>
  <c r="T180" i="18" s="1"/>
  <c r="U299" i="18"/>
  <c r="T299" i="18" s="1"/>
  <c r="U55" i="18"/>
  <c r="T55" i="18" s="1"/>
  <c r="U340" i="18"/>
  <c r="T340" i="18" s="1"/>
  <c r="U19" i="18"/>
  <c r="T19" i="18" s="1"/>
  <c r="U245" i="18"/>
  <c r="T245" i="18" s="1"/>
  <c r="U112" i="18"/>
  <c r="T112" i="18" s="1"/>
  <c r="U175" i="18"/>
  <c r="T175" i="18" s="1"/>
  <c r="U127" i="18"/>
  <c r="T127" i="18" s="1"/>
  <c r="U17" i="18"/>
  <c r="T17" i="18" s="1"/>
  <c r="U291" i="18"/>
  <c r="T291" i="18" s="1"/>
  <c r="U366" i="18"/>
  <c r="T366" i="18" s="1"/>
  <c r="U305" i="18"/>
  <c r="T305" i="18" s="1"/>
  <c r="U292" i="18"/>
  <c r="T292" i="18" s="1"/>
  <c r="U61" i="18"/>
  <c r="T61" i="18" s="1"/>
  <c r="U307" i="18"/>
  <c r="T307" i="18" s="1"/>
  <c r="U53" i="18"/>
  <c r="T53" i="18" s="1"/>
  <c r="U95" i="18"/>
  <c r="T95" i="18" s="1"/>
  <c r="U82" i="18"/>
  <c r="T82" i="18" s="1"/>
  <c r="U65" i="18"/>
  <c r="T65" i="18" s="1"/>
  <c r="U324" i="18"/>
  <c r="T324" i="18" s="1"/>
  <c r="U310" i="18"/>
  <c r="T310" i="18" s="1"/>
  <c r="U270" i="18"/>
  <c r="T270" i="18" s="1"/>
  <c r="U126" i="18"/>
  <c r="T126" i="18" s="1"/>
  <c r="U129" i="18"/>
  <c r="T129" i="18" s="1"/>
  <c r="U98" i="18"/>
  <c r="T98" i="18" s="1"/>
  <c r="U145" i="18"/>
  <c r="T145" i="18" s="1"/>
  <c r="U237" i="18"/>
  <c r="T237" i="18" s="1"/>
  <c r="U315" i="18"/>
  <c r="T315" i="18" s="1"/>
  <c r="U190" i="18"/>
  <c r="T190" i="18" s="1"/>
  <c r="U297" i="18"/>
  <c r="T297" i="18" s="1"/>
  <c r="U90" i="18"/>
  <c r="T90" i="18" s="1"/>
  <c r="U259" i="18"/>
  <c r="T259" i="18" s="1"/>
  <c r="U370" i="18"/>
  <c r="T370" i="18" s="1"/>
  <c r="U40" i="18"/>
  <c r="T40" i="18" s="1"/>
  <c r="U336" i="18"/>
  <c r="T336" i="18" s="1"/>
  <c r="U256" i="18"/>
  <c r="T256" i="18" s="1"/>
  <c r="U122" i="18"/>
  <c r="T122" i="18" s="1"/>
  <c r="U151" i="18"/>
  <c r="T151" i="18" s="1"/>
  <c r="U199" i="18"/>
  <c r="T199" i="18" s="1"/>
  <c r="U355" i="18"/>
  <c r="T355" i="18" s="1"/>
  <c r="U164" i="18"/>
  <c r="T164" i="18" s="1"/>
  <c r="U149" i="18"/>
  <c r="T149" i="18" s="1"/>
  <c r="U242" i="18"/>
  <c r="T242" i="18" s="1"/>
  <c r="U67" i="18"/>
  <c r="T67" i="18" s="1"/>
  <c r="U238" i="18"/>
  <c r="T238" i="18" s="1"/>
  <c r="U214" i="18"/>
  <c r="T214" i="18" s="1"/>
  <c r="U195" i="18"/>
  <c r="T195" i="18" s="1"/>
  <c r="U317" i="18"/>
  <c r="T317" i="18" s="1"/>
  <c r="U73" i="18"/>
  <c r="T73" i="18" s="1"/>
  <c r="U117" i="18"/>
  <c r="T117" i="18" s="1"/>
  <c r="U223" i="18"/>
  <c r="T223" i="18" s="1"/>
  <c r="U143" i="18"/>
  <c r="T143" i="18" s="1"/>
  <c r="U362" i="18"/>
  <c r="T362" i="18" s="1"/>
  <c r="U152" i="18"/>
  <c r="T152" i="18" s="1"/>
  <c r="U353" i="18"/>
  <c r="T353" i="18" s="1"/>
  <c r="U347" i="18"/>
  <c r="T347" i="18" s="1"/>
  <c r="U160" i="18"/>
  <c r="T160" i="18" s="1"/>
  <c r="U69" i="18"/>
  <c r="T69" i="18" s="1"/>
  <c r="U376" i="18"/>
  <c r="T376" i="18" s="1"/>
  <c r="U337" i="18"/>
  <c r="T337" i="18" s="1"/>
  <c r="U271" i="18"/>
  <c r="T271" i="18" s="1"/>
  <c r="U194" i="18"/>
  <c r="T194" i="18" s="1"/>
  <c r="U158" i="18"/>
  <c r="T158" i="18" s="1"/>
  <c r="U204" i="18"/>
  <c r="T204" i="18" s="1"/>
  <c r="U274" i="18"/>
  <c r="T274" i="18" s="1"/>
  <c r="U80" i="18"/>
  <c r="T80" i="18" s="1"/>
  <c r="U365" i="18"/>
  <c r="T365" i="18" s="1"/>
  <c r="U293" i="18"/>
  <c r="T293" i="18" s="1"/>
  <c r="U135" i="18"/>
  <c r="T135" i="18" s="1"/>
  <c r="U45" i="18"/>
  <c r="T45" i="18" s="1"/>
  <c r="U51" i="18"/>
  <c r="T51" i="18" s="1"/>
  <c r="U124" i="18"/>
  <c r="T124" i="18" s="1"/>
  <c r="U132" i="18"/>
  <c r="T132" i="18" s="1"/>
  <c r="U43" i="18"/>
  <c r="T43" i="18" s="1"/>
  <c r="U63" i="18"/>
  <c r="T63" i="18" s="1"/>
  <c r="U235" i="18"/>
  <c r="T235" i="18" s="1"/>
  <c r="U359" i="18"/>
  <c r="T359" i="18" s="1"/>
  <c r="U260" i="18"/>
  <c r="T260" i="18" s="1"/>
  <c r="U278" i="18"/>
  <c r="T278" i="18" s="1"/>
  <c r="U300" i="18"/>
  <c r="T300" i="18" s="1"/>
  <c r="J29" i="17"/>
  <c r="I29" i="17"/>
  <c r="AD204" i="18"/>
  <c r="J365" i="17"/>
  <c r="I365" i="17"/>
  <c r="I361" i="17"/>
  <c r="J361" i="17"/>
  <c r="J103" i="17"/>
  <c r="I103" i="17"/>
  <c r="I163" i="17"/>
  <c r="J163" i="17"/>
  <c r="J218" i="17"/>
  <c r="I218" i="17"/>
  <c r="I274" i="17"/>
  <c r="J274" i="17"/>
  <c r="J298" i="17"/>
  <c r="I298" i="17"/>
  <c r="I31" i="17"/>
  <c r="J31" i="17"/>
  <c r="I97" i="17"/>
  <c r="J97" i="17"/>
  <c r="AA333" i="17"/>
  <c r="Z333" i="17" s="1"/>
  <c r="Y333" i="17" s="1"/>
  <c r="G333" i="17"/>
  <c r="BZ333" i="6" s="1"/>
  <c r="H333" i="17"/>
  <c r="J156" i="17"/>
  <c r="I156" i="17"/>
  <c r="I27" i="17"/>
  <c r="J27" i="17"/>
  <c r="G112" i="17"/>
  <c r="BZ112" i="6" s="1"/>
  <c r="H112" i="17"/>
  <c r="AA112" i="17"/>
  <c r="Z112" i="17" s="1"/>
  <c r="Y112" i="17" s="1"/>
  <c r="J348" i="17"/>
  <c r="I348" i="17"/>
  <c r="J220" i="17"/>
  <c r="I220" i="17"/>
  <c r="I30" i="17"/>
  <c r="J30" i="17"/>
  <c r="I178" i="17"/>
  <c r="J178" i="17"/>
  <c r="J292" i="17"/>
  <c r="I292" i="17"/>
  <c r="J225" i="17"/>
  <c r="I225" i="17"/>
  <c r="J123" i="17"/>
  <c r="I123" i="17"/>
  <c r="I89" i="17"/>
  <c r="J89" i="17"/>
  <c r="I165" i="17"/>
  <c r="J165" i="17"/>
  <c r="J303" i="17"/>
  <c r="I303" i="17"/>
  <c r="I289" i="17"/>
  <c r="J289" i="17"/>
  <c r="H149" i="17"/>
  <c r="AA149" i="17"/>
  <c r="Z149" i="17" s="1"/>
  <c r="Y149" i="17" s="1"/>
  <c r="G149" i="17"/>
  <c r="BZ149" i="6" s="1"/>
  <c r="I301" i="17"/>
  <c r="J301" i="17"/>
  <c r="J239" i="17"/>
  <c r="I239" i="17"/>
  <c r="I79" i="17"/>
  <c r="J79" i="17"/>
  <c r="J330" i="17"/>
  <c r="I330" i="17"/>
  <c r="J92" i="17"/>
  <c r="I92" i="17"/>
  <c r="AD89" i="18"/>
  <c r="J154" i="17"/>
  <c r="I154" i="17"/>
  <c r="I296" i="17"/>
  <c r="J296" i="17"/>
  <c r="I179" i="17"/>
  <c r="J179" i="17"/>
  <c r="I187" i="17"/>
  <c r="J187" i="17"/>
  <c r="I65" i="17"/>
  <c r="J65" i="17"/>
  <c r="AA113" i="17"/>
  <c r="Z113" i="17" s="1"/>
  <c r="Y113" i="17" s="1"/>
  <c r="G113" i="17"/>
  <c r="BZ113" i="6" s="1"/>
  <c r="H113" i="17"/>
  <c r="I318" i="17"/>
  <c r="J318" i="17"/>
  <c r="I151" i="17"/>
  <c r="J151" i="17"/>
  <c r="I199" i="17"/>
  <c r="J199" i="17"/>
  <c r="I153" i="17"/>
  <c r="J153" i="17"/>
  <c r="I284" i="17"/>
  <c r="J284" i="17"/>
  <c r="J237" i="17"/>
  <c r="I237" i="17"/>
  <c r="J267" i="17"/>
  <c r="I267" i="17"/>
  <c r="I347" i="17"/>
  <c r="J347" i="17"/>
  <c r="I312" i="17"/>
  <c r="J312" i="17"/>
  <c r="I107" i="17"/>
  <c r="J107" i="17"/>
  <c r="H166" i="17"/>
  <c r="G166" i="17"/>
  <c r="BZ166" i="6" s="1"/>
  <c r="AA166" i="17"/>
  <c r="Z166" i="17" s="1"/>
  <c r="Y166" i="17" s="1"/>
  <c r="M64" i="19"/>
  <c r="J34" i="17"/>
  <c r="I34" i="17"/>
  <c r="J358" i="17"/>
  <c r="I358" i="17"/>
  <c r="I197" i="17"/>
  <c r="J197" i="17"/>
  <c r="I56" i="17"/>
  <c r="J56" i="17"/>
  <c r="J262" i="17"/>
  <c r="I262" i="17"/>
  <c r="J254" i="17"/>
  <c r="I254" i="17"/>
  <c r="J346" i="17"/>
  <c r="I346" i="17"/>
  <c r="AA258" i="17"/>
  <c r="Z258" i="17" s="1"/>
  <c r="Y258" i="17" s="1"/>
  <c r="G258" i="17"/>
  <c r="BZ258" i="6" s="1"/>
  <c r="H258" i="17"/>
  <c r="J287" i="17"/>
  <c r="I287" i="17"/>
  <c r="I183" i="17"/>
  <c r="J183" i="17"/>
  <c r="J206" i="17"/>
  <c r="I206" i="17"/>
  <c r="I336" i="17"/>
  <c r="J336" i="17"/>
  <c r="I23" i="17"/>
  <c r="J23" i="17"/>
  <c r="AA135" i="17"/>
  <c r="Z135" i="17" s="1"/>
  <c r="G135" i="17"/>
  <c r="BZ135" i="6" s="1"/>
  <c r="H135" i="17"/>
  <c r="I59" i="17"/>
  <c r="J59" i="17"/>
  <c r="I354" i="17"/>
  <c r="J354" i="17"/>
  <c r="J323" i="17"/>
  <c r="I323" i="17"/>
  <c r="AA363" i="17"/>
  <c r="Z363" i="17" s="1"/>
  <c r="Y363" i="17" s="1"/>
  <c r="G363" i="17"/>
  <c r="BZ363" i="6" s="1"/>
  <c r="H363" i="17"/>
  <c r="J108" i="17"/>
  <c r="I108" i="17"/>
  <c r="J280" i="17"/>
  <c r="I280" i="17"/>
  <c r="J343" i="17"/>
  <c r="I343" i="17"/>
  <c r="I40" i="17"/>
  <c r="J40" i="17"/>
  <c r="J77" i="17"/>
  <c r="I77" i="17"/>
  <c r="J133" i="17"/>
  <c r="I133" i="17"/>
  <c r="I17" i="17"/>
  <c r="J17" i="17"/>
  <c r="I300" i="17"/>
  <c r="J300" i="17"/>
  <c r="J104" i="17"/>
  <c r="I104" i="17"/>
  <c r="G19" i="17"/>
  <c r="BZ19" i="6" s="1"/>
  <c r="AA19" i="17"/>
  <c r="Z19" i="17" s="1"/>
  <c r="Y19" i="17" s="1"/>
  <c r="H19" i="17"/>
  <c r="I28" i="17"/>
  <c r="J28" i="17"/>
  <c r="I350" i="17"/>
  <c r="J350" i="17"/>
  <c r="I308" i="17"/>
  <c r="J308" i="17"/>
  <c r="J273" i="17"/>
  <c r="I273" i="17"/>
  <c r="J351" i="17"/>
  <c r="I351" i="17"/>
  <c r="I259" i="17"/>
  <c r="J259" i="17"/>
  <c r="J186" i="17"/>
  <c r="I186" i="17"/>
  <c r="J334" i="17"/>
  <c r="I334" i="17"/>
  <c r="I310" i="17"/>
  <c r="J310" i="17"/>
  <c r="J169" i="17"/>
  <c r="I169" i="17"/>
  <c r="L64" i="19"/>
  <c r="J311" i="17"/>
  <c r="I311" i="17"/>
  <c r="I359" i="17"/>
  <c r="J359" i="17"/>
  <c r="I332" i="17"/>
  <c r="J332" i="17"/>
  <c r="I172" i="17"/>
  <c r="J172" i="17"/>
  <c r="H356" i="17"/>
  <c r="G356" i="17"/>
  <c r="BZ356" i="6" s="1"/>
  <c r="AA356" i="17"/>
  <c r="Z356" i="17" s="1"/>
  <c r="Y356" i="17" s="1"/>
  <c r="J295" i="17"/>
  <c r="I295" i="17"/>
  <c r="I116" i="17"/>
  <c r="J116" i="17"/>
  <c r="J253" i="17"/>
  <c r="I253" i="17"/>
  <c r="AD370" i="18"/>
  <c r="AD355" i="18"/>
  <c r="AD330" i="18"/>
  <c r="AD301" i="18"/>
  <c r="AD353" i="18"/>
  <c r="AD114" i="18"/>
  <c r="AD118" i="18"/>
  <c r="S381" i="17"/>
  <c r="S383" i="17"/>
  <c r="S382" i="17"/>
  <c r="R15" i="17"/>
  <c r="AG319" i="18"/>
  <c r="AF319" i="18" s="1"/>
  <c r="AD319" i="18" s="1"/>
  <c r="U89" i="18"/>
  <c r="T89" i="18" s="1"/>
  <c r="AC16" i="7"/>
  <c r="I383" i="15"/>
  <c r="I382" i="15"/>
  <c r="I381" i="15"/>
  <c r="AD283" i="18"/>
  <c r="AD27" i="18"/>
  <c r="AD120" i="18"/>
  <c r="AD331" i="18"/>
  <c r="AD157" i="18"/>
  <c r="AD160" i="18"/>
  <c r="AD130" i="18"/>
  <c r="AD232" i="18"/>
  <c r="AD45" i="18"/>
  <c r="AD364" i="18"/>
  <c r="AD337" i="18"/>
  <c r="AD60" i="18"/>
  <c r="AD344" i="18"/>
  <c r="AD299" i="18"/>
  <c r="AD40" i="18"/>
  <c r="AD334" i="18"/>
  <c r="AD97" i="18"/>
  <c r="AD139" i="18"/>
  <c r="AD214" i="18"/>
  <c r="I127" i="17"/>
  <c r="J127" i="17"/>
  <c r="J139" i="17"/>
  <c r="I139" i="17"/>
  <c r="J306" i="17"/>
  <c r="I306" i="17"/>
  <c r="I106" i="17"/>
  <c r="J106" i="17"/>
  <c r="J190" i="17"/>
  <c r="I190" i="17"/>
  <c r="J234" i="17"/>
  <c r="I234" i="17"/>
  <c r="I185" i="17"/>
  <c r="J185" i="17"/>
  <c r="I214" i="17"/>
  <c r="J214" i="17"/>
  <c r="I233" i="17"/>
  <c r="J233" i="17"/>
  <c r="J293" i="17"/>
  <c r="I293" i="17"/>
  <c r="J83" i="17"/>
  <c r="I83" i="17"/>
  <c r="U147" i="18"/>
  <c r="T147" i="18" s="1"/>
  <c r="U344" i="18"/>
  <c r="T344" i="18" s="1"/>
  <c r="U171" i="18"/>
  <c r="T171" i="18" s="1"/>
  <c r="U20" i="18"/>
  <c r="T20" i="18" s="1"/>
  <c r="U295" i="18"/>
  <c r="T295" i="18" s="1"/>
  <c r="U296" i="18"/>
  <c r="T296" i="18" s="1"/>
  <c r="U257" i="18"/>
  <c r="T257" i="18" s="1"/>
  <c r="U173" i="18"/>
  <c r="T173" i="18" s="1"/>
  <c r="U58" i="18"/>
  <c r="T58" i="18" s="1"/>
  <c r="U39" i="18"/>
  <c r="T39" i="18" s="1"/>
  <c r="U197" i="18"/>
  <c r="T197" i="18" s="1"/>
  <c r="U224" i="18"/>
  <c r="T224" i="18" s="1"/>
  <c r="U76" i="18"/>
  <c r="T76" i="18" s="1"/>
  <c r="U189" i="18"/>
  <c r="T189" i="18" s="1"/>
  <c r="U66" i="18"/>
  <c r="T66" i="18" s="1"/>
  <c r="U30" i="18"/>
  <c r="T30" i="18" s="1"/>
  <c r="U379" i="18"/>
  <c r="U115" i="18"/>
  <c r="T115" i="18" s="1"/>
  <c r="U261" i="18"/>
  <c r="T261" i="18" s="1"/>
  <c r="U241" i="18"/>
  <c r="T241" i="18" s="1"/>
  <c r="U244" i="18"/>
  <c r="T244" i="18" s="1"/>
  <c r="U319" i="18"/>
  <c r="T319" i="18" s="1"/>
  <c r="U301" i="18"/>
  <c r="T301" i="18" s="1"/>
  <c r="U102" i="18"/>
  <c r="T102" i="18" s="1"/>
  <c r="U229" i="18"/>
  <c r="T229" i="18" s="1"/>
  <c r="U342" i="18"/>
  <c r="T342" i="18" s="1"/>
  <c r="U269" i="18"/>
  <c r="T269" i="18" s="1"/>
  <c r="U163" i="18"/>
  <c r="T163" i="18" s="1"/>
  <c r="U24" i="18"/>
  <c r="T24" i="18" s="1"/>
  <c r="U275" i="18"/>
  <c r="T275" i="18" s="1"/>
  <c r="U97" i="18"/>
  <c r="T97" i="18" s="1"/>
  <c r="U371" i="18"/>
  <c r="T371" i="18" s="1"/>
  <c r="U369" i="18"/>
  <c r="T369" i="18" s="1"/>
  <c r="U246" i="18"/>
  <c r="T246" i="18" s="1"/>
  <c r="U276" i="18"/>
  <c r="T276" i="18" s="1"/>
  <c r="U150" i="18"/>
  <c r="T150" i="18" s="1"/>
  <c r="U104" i="18"/>
  <c r="T104" i="18" s="1"/>
  <c r="U286" i="18"/>
  <c r="T286" i="18" s="1"/>
  <c r="U264" i="18"/>
  <c r="T264" i="18" s="1"/>
  <c r="U289" i="18"/>
  <c r="T289" i="18" s="1"/>
  <c r="U279" i="18"/>
  <c r="T279" i="18" s="1"/>
  <c r="U322" i="18"/>
  <c r="T322" i="18" s="1"/>
  <c r="U298" i="18"/>
  <c r="T298" i="18" s="1"/>
  <c r="U375" i="18"/>
  <c r="T375" i="18" s="1"/>
  <c r="U57" i="18"/>
  <c r="T57" i="18" s="1"/>
  <c r="U144" i="18"/>
  <c r="T144" i="18" s="1"/>
  <c r="U168" i="18"/>
  <c r="T168" i="18" s="1"/>
  <c r="U87" i="18"/>
  <c r="T87" i="18" s="1"/>
  <c r="U186" i="18"/>
  <c r="T186" i="18" s="1"/>
  <c r="U268" i="18"/>
  <c r="T268" i="18" s="1"/>
  <c r="U167" i="18"/>
  <c r="T167" i="18" s="1"/>
  <c r="U234" i="18"/>
  <c r="T234" i="18" s="1"/>
  <c r="U325" i="18"/>
  <c r="T325" i="18" s="1"/>
  <c r="U27" i="18"/>
  <c r="T27" i="18" s="1"/>
  <c r="U349" i="18"/>
  <c r="T349" i="18" s="1"/>
  <c r="U334" i="18"/>
  <c r="T334" i="18" s="1"/>
  <c r="U138" i="18"/>
  <c r="T138" i="18" s="1"/>
  <c r="U316" i="18"/>
  <c r="T316" i="18" s="1"/>
  <c r="U216" i="18"/>
  <c r="T216" i="18" s="1"/>
  <c r="U272" i="18"/>
  <c r="T272" i="18" s="1"/>
  <c r="U108" i="18"/>
  <c r="T108" i="18" s="1"/>
  <c r="U109" i="18"/>
  <c r="T109" i="18" s="1"/>
  <c r="U351" i="18"/>
  <c r="T351" i="18" s="1"/>
  <c r="U212" i="18"/>
  <c r="T212" i="18" s="1"/>
  <c r="U137" i="18"/>
  <c r="T137" i="18" s="1"/>
  <c r="U255" i="18"/>
  <c r="T255" i="18" s="1"/>
  <c r="U225" i="18"/>
  <c r="T225" i="18" s="1"/>
  <c r="U113" i="18"/>
  <c r="T113" i="18" s="1"/>
  <c r="U350" i="18"/>
  <c r="T350" i="18" s="1"/>
  <c r="U328" i="18"/>
  <c r="T328" i="18" s="1"/>
  <c r="U38" i="18"/>
  <c r="T38" i="18" s="1"/>
  <c r="U36" i="18"/>
  <c r="T36" i="18" s="1"/>
  <c r="U210" i="18"/>
  <c r="T210" i="18" s="1"/>
  <c r="U193" i="18"/>
  <c r="T193" i="18" s="1"/>
  <c r="U372" i="18"/>
  <c r="T372" i="18" s="1"/>
  <c r="U169" i="18"/>
  <c r="T169" i="18" s="1"/>
  <c r="U265" i="18"/>
  <c r="T265" i="18" s="1"/>
  <c r="U42" i="18"/>
  <c r="T42" i="18" s="1"/>
  <c r="U377" i="18"/>
  <c r="T377" i="18" s="1"/>
  <c r="Z383" i="15"/>
  <c r="Z9" i="15"/>
  <c r="Z381" i="15"/>
  <c r="AL8" i="15"/>
  <c r="Z382" i="15"/>
  <c r="Y15" i="15"/>
  <c r="AD225" i="18"/>
  <c r="J263" i="17"/>
  <c r="I263" i="17"/>
  <c r="I182" i="17"/>
  <c r="J182" i="17"/>
  <c r="I58" i="17"/>
  <c r="J58" i="17"/>
  <c r="I128" i="17"/>
  <c r="J128" i="17"/>
  <c r="J260" i="17"/>
  <c r="I260" i="17"/>
  <c r="I203" i="17"/>
  <c r="J203" i="17"/>
  <c r="J370" i="17"/>
  <c r="I370" i="17"/>
  <c r="J143" i="17"/>
  <c r="I143" i="17"/>
  <c r="J53" i="17"/>
  <c r="I53" i="17"/>
  <c r="I249" i="17"/>
  <c r="J249" i="17"/>
  <c r="J283" i="17"/>
  <c r="I283" i="17"/>
  <c r="J141" i="17"/>
  <c r="I141" i="17"/>
  <c r="I339" i="17"/>
  <c r="J339" i="17"/>
  <c r="I232" i="17"/>
  <c r="J232" i="17"/>
  <c r="G261" i="17"/>
  <c r="BZ261" i="6" s="1"/>
  <c r="H261" i="17"/>
  <c r="AA261" i="17"/>
  <c r="Z261" i="17" s="1"/>
  <c r="Y261" i="17" s="1"/>
  <c r="J246" i="17"/>
  <c r="I246" i="17"/>
  <c r="J146" i="17"/>
  <c r="I146" i="17"/>
  <c r="J62" i="17"/>
  <c r="I62" i="17"/>
  <c r="I84" i="17"/>
  <c r="J84" i="17"/>
  <c r="J121" i="17"/>
  <c r="I121" i="17"/>
  <c r="I137" i="17"/>
  <c r="J137" i="17"/>
  <c r="J229" i="17"/>
  <c r="I229" i="17"/>
  <c r="I20" i="17"/>
  <c r="J20" i="17"/>
  <c r="I117" i="17"/>
  <c r="J117" i="17"/>
  <c r="J276" i="17"/>
  <c r="I276" i="17"/>
  <c r="G105" i="17"/>
  <c r="BZ105" i="6" s="1"/>
  <c r="AA105" i="17"/>
  <c r="Z105" i="17" s="1"/>
  <c r="Y105" i="17" s="1"/>
  <c r="H105" i="17"/>
  <c r="I192" i="17"/>
  <c r="J192" i="17"/>
  <c r="J132" i="17"/>
  <c r="I132" i="17"/>
  <c r="I140" i="17"/>
  <c r="J140" i="17"/>
  <c r="J181" i="17"/>
  <c r="I181" i="17"/>
  <c r="I266" i="17"/>
  <c r="J266" i="17"/>
  <c r="I269" i="17"/>
  <c r="J269" i="17"/>
  <c r="J176" i="17"/>
  <c r="I176" i="17"/>
  <c r="AG382" i="17"/>
  <c r="AG381" i="17"/>
  <c r="AG383" i="17"/>
  <c r="AF15" i="17"/>
  <c r="AI321" i="18"/>
  <c r="AH321" i="18" s="1"/>
  <c r="AI171" i="18"/>
  <c r="AH171" i="18" s="1"/>
  <c r="AI189" i="18"/>
  <c r="AH189" i="18" s="1"/>
  <c r="AI310" i="18"/>
  <c r="AH310" i="18" s="1"/>
  <c r="AI113" i="18"/>
  <c r="AH113" i="18" s="1"/>
  <c r="AI284" i="18"/>
  <c r="AH284" i="18" s="1"/>
  <c r="AI254" i="18"/>
  <c r="AH254" i="18" s="1"/>
  <c r="AI354" i="18"/>
  <c r="AH354" i="18" s="1"/>
  <c r="AI211" i="18"/>
  <c r="AH211" i="18" s="1"/>
  <c r="AI282" i="18"/>
  <c r="AH282" i="18" s="1"/>
  <c r="AI39" i="18"/>
  <c r="AH39" i="18" s="1"/>
  <c r="AI166" i="18"/>
  <c r="AH166" i="18" s="1"/>
  <c r="AI26" i="18"/>
  <c r="AH26" i="18" s="1"/>
  <c r="AI41" i="18"/>
  <c r="AH41" i="18" s="1"/>
  <c r="AI248" i="18"/>
  <c r="AH248" i="18" s="1"/>
  <c r="AI136" i="18"/>
  <c r="AH136" i="18" s="1"/>
  <c r="AI91" i="18"/>
  <c r="AH91" i="18" s="1"/>
  <c r="AI185" i="18"/>
  <c r="AH185" i="18" s="1"/>
  <c r="AI141" i="18"/>
  <c r="AH141" i="18" s="1"/>
  <c r="AI23" i="18"/>
  <c r="AH23" i="18" s="1"/>
  <c r="AI351" i="18"/>
  <c r="AH351" i="18" s="1"/>
  <c r="AI124" i="18"/>
  <c r="AH124" i="18" s="1"/>
  <c r="AI379" i="18"/>
  <c r="AI78" i="18"/>
  <c r="AH78" i="18" s="1"/>
  <c r="AI288" i="18"/>
  <c r="AH288" i="18" s="1"/>
  <c r="AI82" i="18"/>
  <c r="AH82" i="18" s="1"/>
  <c r="AI241" i="18"/>
  <c r="AH241" i="18" s="1"/>
  <c r="AI133" i="18"/>
  <c r="AH133" i="18" s="1"/>
  <c r="AI148" i="18"/>
  <c r="AH148" i="18" s="1"/>
  <c r="AI59" i="18"/>
  <c r="AH59" i="18" s="1"/>
  <c r="AI138" i="18"/>
  <c r="AH138" i="18" s="1"/>
  <c r="AI63" i="18"/>
  <c r="AH63" i="18" s="1"/>
  <c r="AI230" i="18"/>
  <c r="AH230" i="18" s="1"/>
  <c r="AI373" i="18"/>
  <c r="AH373" i="18" s="1"/>
  <c r="AI123" i="18"/>
  <c r="AH123" i="18" s="1"/>
  <c r="AI297" i="18"/>
  <c r="AH297" i="18" s="1"/>
  <c r="AI38" i="18"/>
  <c r="AH38" i="18" s="1"/>
  <c r="AI75" i="18"/>
  <c r="AH75" i="18" s="1"/>
  <c r="AI347" i="18"/>
  <c r="AH347" i="18" s="1"/>
  <c r="AI313" i="18"/>
  <c r="AH313" i="18" s="1"/>
  <c r="AI365" i="18"/>
  <c r="AH365" i="18" s="1"/>
  <c r="AI279" i="18"/>
  <c r="AH279" i="18" s="1"/>
  <c r="AI342" i="18"/>
  <c r="AH342" i="18" s="1"/>
  <c r="AI235" i="18"/>
  <c r="AH235" i="18" s="1"/>
  <c r="AI367" i="18"/>
  <c r="AH367" i="18" s="1"/>
  <c r="AI361" i="18"/>
  <c r="AH361" i="18" s="1"/>
  <c r="AI274" i="18"/>
  <c r="AH274" i="18" s="1"/>
  <c r="AI294" i="18"/>
  <c r="AH294" i="18" s="1"/>
  <c r="AI221" i="18"/>
  <c r="AH221" i="18" s="1"/>
  <c r="AI203" i="18"/>
  <c r="AH203" i="18" s="1"/>
  <c r="AI177" i="18"/>
  <c r="AH177" i="18" s="1"/>
  <c r="AI46" i="18"/>
  <c r="AH46" i="18" s="1"/>
  <c r="AI69" i="18"/>
  <c r="AH69" i="18" s="1"/>
  <c r="AI345" i="18"/>
  <c r="AH345" i="18" s="1"/>
  <c r="AI20" i="18"/>
  <c r="AH20" i="18" s="1"/>
  <c r="AI178" i="18"/>
  <c r="AH178" i="18" s="1"/>
  <c r="AI208" i="18"/>
  <c r="AH208" i="18" s="1"/>
  <c r="AI343" i="18"/>
  <c r="AH343" i="18" s="1"/>
  <c r="AI339" i="18"/>
  <c r="AH339" i="18" s="1"/>
  <c r="AI108" i="18"/>
  <c r="AH108" i="18" s="1"/>
  <c r="AI378" i="18"/>
  <c r="AH378" i="18" s="1"/>
  <c r="AI164" i="18"/>
  <c r="AH164" i="18" s="1"/>
  <c r="AI295" i="18"/>
  <c r="AH295" i="18" s="1"/>
  <c r="AI163" i="18"/>
  <c r="AH163" i="18" s="1"/>
  <c r="AI316" i="18"/>
  <c r="AH316" i="18" s="1"/>
  <c r="AI17" i="18"/>
  <c r="AH17" i="18" s="1"/>
  <c r="AI168" i="18"/>
  <c r="AH168" i="18" s="1"/>
  <c r="AI107" i="18"/>
  <c r="AH107" i="18" s="1"/>
  <c r="AI169" i="18"/>
  <c r="AH169" i="18" s="1"/>
  <c r="AI125" i="18"/>
  <c r="AH125" i="18" s="1"/>
  <c r="AI135" i="18"/>
  <c r="AH135" i="18" s="1"/>
  <c r="AI54" i="18"/>
  <c r="AH54" i="18" s="1"/>
  <c r="AI264" i="18"/>
  <c r="AH264" i="18" s="1"/>
  <c r="AI81" i="18"/>
  <c r="AH81" i="18" s="1"/>
  <c r="AI219" i="18"/>
  <c r="AH219" i="18" s="1"/>
  <c r="AI156" i="18"/>
  <c r="AH156" i="18" s="1"/>
  <c r="AI249" i="18"/>
  <c r="AH249" i="18" s="1"/>
  <c r="AI205" i="18"/>
  <c r="AH205" i="18" s="1"/>
  <c r="AI151" i="18"/>
  <c r="AH151" i="18" s="1"/>
  <c r="AI86" i="18"/>
  <c r="AH86" i="18" s="1"/>
  <c r="AI277" i="18"/>
  <c r="AH277" i="18" s="1"/>
  <c r="AI111" i="18"/>
  <c r="AH111" i="18" s="1"/>
  <c r="AI116" i="18"/>
  <c r="AH116" i="18" s="1"/>
  <c r="AI323" i="18"/>
  <c r="AH323" i="18" s="1"/>
  <c r="AI296" i="18"/>
  <c r="AH296" i="18" s="1"/>
  <c r="AI252" i="18"/>
  <c r="AH252" i="18" s="1"/>
  <c r="AI322" i="18"/>
  <c r="AH322" i="18" s="1"/>
  <c r="AI314" i="18"/>
  <c r="AH314" i="18" s="1"/>
  <c r="AI68" i="18"/>
  <c r="AH68" i="18" s="1"/>
  <c r="AI183" i="18"/>
  <c r="AH183" i="18" s="1"/>
  <c r="AI51" i="18"/>
  <c r="AH51" i="18" s="1"/>
  <c r="AI348" i="18"/>
  <c r="AH348" i="18" s="1"/>
  <c r="AI50" i="18"/>
  <c r="AH50" i="18" s="1"/>
  <c r="AI289" i="18"/>
  <c r="AH289" i="18" s="1"/>
  <c r="AI244" i="18"/>
  <c r="AH244" i="18" s="1"/>
  <c r="AI106" i="18"/>
  <c r="AH106" i="18" s="1"/>
  <c r="AI100" i="18"/>
  <c r="AH100" i="18" s="1"/>
  <c r="AI99" i="18"/>
  <c r="AH99" i="18" s="1"/>
  <c r="AI96" i="18"/>
  <c r="AH96" i="18" s="1"/>
  <c r="AI273" i="18"/>
  <c r="AH273" i="18" s="1"/>
  <c r="AI165" i="18"/>
  <c r="AH165" i="18" s="1"/>
  <c r="AI212" i="18"/>
  <c r="AH212" i="18" s="1"/>
  <c r="AI150" i="18"/>
  <c r="AH150" i="18" s="1"/>
  <c r="AI202" i="18"/>
  <c r="AH202" i="18" s="1"/>
  <c r="AI95" i="18"/>
  <c r="AH95" i="18" s="1"/>
  <c r="AI222" i="18"/>
  <c r="AH222" i="18" s="1"/>
  <c r="AI218" i="18"/>
  <c r="AH218" i="18" s="1"/>
  <c r="AI341" i="18"/>
  <c r="AH341" i="18" s="1"/>
  <c r="AI374" i="18"/>
  <c r="AH374" i="18" s="1"/>
  <c r="AI207" i="18"/>
  <c r="AH207" i="18" s="1"/>
  <c r="AI324" i="18"/>
  <c r="AH324" i="18" s="1"/>
  <c r="AI134" i="18"/>
  <c r="AH134" i="18" s="1"/>
  <c r="AI307" i="18"/>
  <c r="AH307" i="18" s="1"/>
  <c r="AI34" i="18"/>
  <c r="AH34" i="18" s="1"/>
  <c r="AI256" i="18"/>
  <c r="AH256" i="18" s="1"/>
  <c r="AI104" i="18"/>
  <c r="AH104" i="18" s="1"/>
  <c r="AI201" i="18"/>
  <c r="AH201" i="18" s="1"/>
  <c r="AI312" i="18"/>
  <c r="AH312" i="18" s="1"/>
  <c r="AI129" i="18"/>
  <c r="AH129" i="18" s="1"/>
  <c r="AI286" i="18"/>
  <c r="AH286" i="18" s="1"/>
  <c r="AI30" i="18"/>
  <c r="AH30" i="18" s="1"/>
  <c r="AI58" i="18"/>
  <c r="AH58" i="18" s="1"/>
  <c r="AI98" i="18"/>
  <c r="AH98" i="18" s="1"/>
  <c r="AI57" i="18"/>
  <c r="AH57" i="18" s="1"/>
  <c r="AI300" i="18"/>
  <c r="AH300" i="18" s="1"/>
  <c r="AI152" i="18"/>
  <c r="AH152" i="18" s="1"/>
  <c r="AI223" i="18"/>
  <c r="AH223" i="18" s="1"/>
  <c r="AI265" i="18"/>
  <c r="AH265" i="18" s="1"/>
  <c r="AI176" i="18"/>
  <c r="AH176" i="18" s="1"/>
  <c r="AI105" i="18"/>
  <c r="AH105" i="18" s="1"/>
  <c r="AI61" i="18"/>
  <c r="AH61" i="18" s="1"/>
  <c r="AI376" i="18"/>
  <c r="AH376" i="18" s="1"/>
  <c r="AI335" i="18"/>
  <c r="AH335" i="18" s="1"/>
  <c r="AI200" i="18"/>
  <c r="AH200" i="18" s="1"/>
  <c r="AI49" i="18"/>
  <c r="AH49" i="18" s="1"/>
  <c r="AI155" i="18"/>
  <c r="AH155" i="18" s="1"/>
  <c r="AI28" i="18"/>
  <c r="AH28" i="18" s="1"/>
  <c r="AI217" i="18"/>
  <c r="AH217" i="18" s="1"/>
  <c r="AI126" i="18"/>
  <c r="AH126" i="18" s="1"/>
  <c r="AI173" i="18"/>
  <c r="AH173" i="18" s="1"/>
  <c r="AI226" i="18"/>
  <c r="AH226" i="18" s="1"/>
  <c r="AI87" i="18"/>
  <c r="AH87" i="18" s="1"/>
  <c r="AI83" i="18"/>
  <c r="AH83" i="18" s="1"/>
  <c r="AI22" i="18"/>
  <c r="AH22" i="18" s="1"/>
  <c r="AI360" i="18"/>
  <c r="AH360" i="18" s="1"/>
  <c r="AI363" i="18"/>
  <c r="AH363" i="18" s="1"/>
  <c r="AI329" i="18"/>
  <c r="AH329" i="18" s="1"/>
  <c r="AI146" i="18"/>
  <c r="AH146" i="18" s="1"/>
  <c r="AI199" i="18"/>
  <c r="AH199" i="18" s="1"/>
  <c r="AI182" i="18"/>
  <c r="AH182" i="18" s="1"/>
  <c r="AI257" i="18"/>
  <c r="AH257" i="18" s="1"/>
  <c r="AI181" i="18"/>
  <c r="AH181" i="18" s="1"/>
  <c r="AI180" i="18"/>
  <c r="AH180" i="18" s="1"/>
  <c r="AI246" i="18"/>
  <c r="AH246" i="18" s="1"/>
  <c r="AI362" i="18"/>
  <c r="AH362" i="18" s="1"/>
  <c r="AI143" i="18"/>
  <c r="AH143" i="18" s="1"/>
  <c r="AI250" i="18"/>
  <c r="AH250" i="18" s="1"/>
  <c r="AI260" i="18"/>
  <c r="AH260" i="18" s="1"/>
  <c r="AI272" i="18"/>
  <c r="AH272" i="18" s="1"/>
  <c r="AI375" i="18"/>
  <c r="AH375" i="18" s="1"/>
  <c r="AI340" i="18"/>
  <c r="AH340" i="18" s="1"/>
  <c r="AI44" i="18"/>
  <c r="AH44" i="18" s="1"/>
  <c r="AI24" i="18"/>
  <c r="AH24" i="18" s="1"/>
  <c r="AI159" i="18"/>
  <c r="AH159" i="18" s="1"/>
  <c r="AI372" i="18"/>
  <c r="AH372" i="18" s="1"/>
  <c r="AI142" i="18"/>
  <c r="AH142" i="18" s="1"/>
  <c r="AI338" i="18"/>
  <c r="AH338" i="18" s="1"/>
  <c r="AI76" i="18"/>
  <c r="AH76" i="18" s="1"/>
  <c r="AI84" i="18"/>
  <c r="AH84" i="18" s="1"/>
  <c r="AI306" i="18"/>
  <c r="AH306" i="18" s="1"/>
  <c r="AI336" i="18"/>
  <c r="AH336" i="18" s="1"/>
  <c r="AI70" i="18"/>
  <c r="AH70" i="18" s="1"/>
  <c r="AI62" i="18"/>
  <c r="AH62" i="18" s="1"/>
  <c r="AI236" i="18"/>
  <c r="AH236" i="18" s="1"/>
  <c r="AI31" i="18"/>
  <c r="AH31" i="18" s="1"/>
  <c r="AI36" i="18"/>
  <c r="AH36" i="18" s="1"/>
  <c r="AI35" i="18"/>
  <c r="AH35" i="18" s="1"/>
  <c r="AI253" i="18"/>
  <c r="AH253" i="18" s="1"/>
  <c r="AI304" i="18"/>
  <c r="AH304" i="18" s="1"/>
  <c r="AI137" i="18"/>
  <c r="AH137" i="18" s="1"/>
  <c r="AI93" i="18"/>
  <c r="AH93" i="18" s="1"/>
  <c r="AI184" i="18"/>
  <c r="AH184" i="18" s="1"/>
  <c r="AI239" i="18"/>
  <c r="AH239" i="18" s="1"/>
  <c r="H380" i="20"/>
  <c r="J383" i="15"/>
  <c r="J382" i="15"/>
  <c r="J381" i="15"/>
  <c r="K7" i="7"/>
  <c r="B7" i="6"/>
  <c r="AD121" i="18"/>
  <c r="AD66" i="18"/>
  <c r="AD117" i="18"/>
  <c r="AD90" i="18"/>
  <c r="AD263" i="18"/>
  <c r="AD65" i="18"/>
  <c r="AD132" i="18"/>
  <c r="AD261" i="18"/>
  <c r="AD303" i="18"/>
  <c r="AD48" i="18"/>
  <c r="AD258" i="18"/>
  <c r="AD174" i="18"/>
  <c r="AD359" i="18"/>
  <c r="I257" i="17"/>
  <c r="J257" i="17"/>
  <c r="J222" i="17"/>
  <c r="I222" i="17"/>
  <c r="I55" i="17"/>
  <c r="J55" i="17"/>
  <c r="I378" i="17"/>
  <c r="J378" i="17"/>
  <c r="J90" i="17"/>
  <c r="I90" i="17"/>
  <c r="J275" i="17"/>
  <c r="I275" i="17"/>
  <c r="J223" i="17"/>
  <c r="I223" i="17"/>
  <c r="I57" i="17"/>
  <c r="J57" i="17"/>
  <c r="I73" i="17"/>
  <c r="J73" i="17"/>
  <c r="I101" i="17"/>
  <c r="J101" i="17"/>
  <c r="I25" i="17"/>
  <c r="J25" i="17"/>
  <c r="I315" i="17"/>
  <c r="J315" i="17"/>
  <c r="J64" i="17"/>
  <c r="I64" i="17"/>
  <c r="I290" i="17"/>
  <c r="J290" i="17"/>
  <c r="J279" i="17"/>
  <c r="I279" i="17"/>
  <c r="I377" i="17"/>
  <c r="J377" i="17"/>
  <c r="J236" i="17"/>
  <c r="I236" i="17"/>
  <c r="C64" i="19"/>
  <c r="I228" i="17"/>
  <c r="J228" i="17"/>
  <c r="AA74" i="17"/>
  <c r="Z74" i="17" s="1"/>
  <c r="Y74" i="17" s="1"/>
  <c r="G74" i="17"/>
  <c r="BZ74" i="6" s="1"/>
  <c r="H74" i="17"/>
  <c r="I217" i="17"/>
  <c r="J217" i="17"/>
  <c r="J45" i="17"/>
  <c r="I45" i="17"/>
  <c r="J353" i="17"/>
  <c r="I353" i="17"/>
  <c r="J125" i="17"/>
  <c r="I125" i="17"/>
  <c r="J50" i="17"/>
  <c r="I50" i="17"/>
  <c r="I207" i="17"/>
  <c r="J207" i="17"/>
  <c r="J355" i="17"/>
  <c r="I355" i="17"/>
  <c r="J219" i="17"/>
  <c r="I219" i="17"/>
  <c r="J115" i="17"/>
  <c r="I115" i="17"/>
  <c r="J189" i="17"/>
  <c r="I189" i="17"/>
  <c r="J158" i="17"/>
  <c r="I158" i="17"/>
  <c r="J99" i="17"/>
  <c r="I99" i="17"/>
  <c r="I32" i="17"/>
  <c r="J32" i="17"/>
  <c r="I338" i="17"/>
  <c r="J338" i="17"/>
  <c r="J41" i="17"/>
  <c r="I41" i="17"/>
  <c r="J193" i="17"/>
  <c r="I193" i="17"/>
  <c r="I37" i="17"/>
  <c r="J37" i="17"/>
  <c r="AK10" i="16"/>
  <c r="AK12" i="16" s="1"/>
  <c r="AK13" i="16" s="1"/>
  <c r="G15" i="16"/>
  <c r="BY15" i="6" s="1"/>
  <c r="F383" i="16"/>
  <c r="F381" i="16"/>
  <c r="AM10" i="16"/>
  <c r="F9" i="16"/>
  <c r="F382" i="16"/>
  <c r="H15" i="16"/>
  <c r="J110" i="17"/>
  <c r="I110" i="17"/>
  <c r="J150" i="17"/>
  <c r="I150" i="17"/>
  <c r="I373" i="17"/>
  <c r="J373" i="17"/>
  <c r="J51" i="17"/>
  <c r="I51" i="17"/>
  <c r="J367" i="17"/>
  <c r="I367" i="17"/>
  <c r="AA210" i="17"/>
  <c r="Z210" i="17" s="1"/>
  <c r="Y210" i="17" s="1"/>
  <c r="G210" i="17"/>
  <c r="BZ210" i="6" s="1"/>
  <c r="H210" i="17"/>
  <c r="H88" i="17"/>
  <c r="AA88" i="17"/>
  <c r="Z88" i="17" s="1"/>
  <c r="Y88" i="17" s="1"/>
  <c r="G88" i="17"/>
  <c r="BZ88" i="6" s="1"/>
  <c r="J247" i="17"/>
  <c r="I247" i="17"/>
  <c r="J61" i="17"/>
  <c r="I61" i="17"/>
  <c r="J66" i="17"/>
  <c r="I66" i="17"/>
  <c r="I177" i="17"/>
  <c r="J177" i="17"/>
  <c r="J87" i="17"/>
  <c r="I87" i="17"/>
  <c r="J167" i="17"/>
  <c r="I167" i="17"/>
  <c r="J240" i="17"/>
  <c r="I240" i="17"/>
  <c r="I374" i="17"/>
  <c r="J374" i="17"/>
  <c r="J144" i="17"/>
  <c r="I144" i="17"/>
  <c r="J173" i="17"/>
  <c r="I173" i="17"/>
  <c r="AA241" i="17"/>
  <c r="Z241" i="17" s="1"/>
  <c r="Y241" i="17" s="1"/>
  <c r="G241" i="17"/>
  <c r="BZ241" i="6" s="1"/>
  <c r="H241" i="17"/>
  <c r="I201" i="17"/>
  <c r="J201" i="17"/>
  <c r="U345" i="18"/>
  <c r="T345" i="18" s="1"/>
  <c r="U273" i="18"/>
  <c r="T273" i="18" s="1"/>
  <c r="U79" i="18"/>
  <c r="T79" i="18" s="1"/>
  <c r="U83" i="18"/>
  <c r="T83" i="18" s="1"/>
  <c r="U312" i="18"/>
  <c r="T312" i="18" s="1"/>
  <c r="U182" i="18"/>
  <c r="T182" i="18" s="1"/>
  <c r="U155" i="18"/>
  <c r="T155" i="18" s="1"/>
  <c r="U282" i="18"/>
  <c r="T282" i="18" s="1"/>
  <c r="U332" i="18"/>
  <c r="T332" i="18" s="1"/>
  <c r="U343" i="18"/>
  <c r="T343" i="18" s="1"/>
  <c r="U266" i="18"/>
  <c r="T266" i="18" s="1"/>
  <c r="U215" i="18"/>
  <c r="T215" i="18" s="1"/>
  <c r="U232" i="18"/>
  <c r="T232" i="18" s="1"/>
  <c r="U15" i="18"/>
  <c r="U219" i="18"/>
  <c r="T219" i="18" s="1"/>
  <c r="U105" i="18"/>
  <c r="T105" i="18" s="1"/>
  <c r="U203" i="18"/>
  <c r="T203" i="18" s="1"/>
  <c r="U335" i="18"/>
  <c r="T335" i="18" s="1"/>
  <c r="U187" i="18"/>
  <c r="T187" i="18" s="1"/>
  <c r="U62" i="18"/>
  <c r="T62" i="18" s="1"/>
  <c r="U41" i="18"/>
  <c r="T41" i="18" s="1"/>
  <c r="U26" i="18"/>
  <c r="T26" i="18" s="1"/>
  <c r="U119" i="18"/>
  <c r="T119" i="18" s="1"/>
  <c r="U358" i="18"/>
  <c r="T358" i="18" s="1"/>
  <c r="U313" i="18"/>
  <c r="T313" i="18" s="1"/>
  <c r="U16" i="18"/>
  <c r="T16" i="18" s="1"/>
  <c r="U35" i="18"/>
  <c r="T35" i="18" s="1"/>
  <c r="U154" i="18"/>
  <c r="T154" i="18" s="1"/>
  <c r="U23" i="18"/>
  <c r="T23" i="18" s="1"/>
  <c r="U136" i="18"/>
  <c r="T136" i="18" s="1"/>
  <c r="U354" i="18"/>
  <c r="T354" i="18" s="1"/>
  <c r="U318" i="18"/>
  <c r="T318" i="18" s="1"/>
  <c r="U50" i="18"/>
  <c r="T50" i="18" s="1"/>
  <c r="U21" i="18"/>
  <c r="T21" i="18" s="1"/>
  <c r="U172" i="18"/>
  <c r="T172" i="18" s="1"/>
  <c r="U202" i="18"/>
  <c r="T202" i="18" s="1"/>
  <c r="U368" i="18"/>
  <c r="T368" i="18" s="1"/>
  <c r="U114" i="18"/>
  <c r="T114" i="18" s="1"/>
  <c r="U220" i="18"/>
  <c r="T220" i="18" s="1"/>
  <c r="U253" i="18"/>
  <c r="T253" i="18" s="1"/>
  <c r="U303" i="18"/>
  <c r="T303" i="18" s="1"/>
  <c r="U231" i="18"/>
  <c r="T231" i="18" s="1"/>
  <c r="U100" i="18"/>
  <c r="T100" i="18" s="1"/>
  <c r="U103" i="18"/>
  <c r="T103" i="18" s="1"/>
  <c r="U47" i="18"/>
  <c r="T47" i="18" s="1"/>
  <c r="U125" i="18"/>
  <c r="T125" i="18" s="1"/>
  <c r="U92" i="18"/>
  <c r="T92" i="18" s="1"/>
  <c r="U329" i="18"/>
  <c r="T329" i="18" s="1"/>
  <c r="U208" i="18"/>
  <c r="T208" i="18" s="1"/>
  <c r="U74" i="18"/>
  <c r="T74" i="18" s="1"/>
  <c r="U44" i="18"/>
  <c r="T44" i="18" s="1"/>
  <c r="U213" i="18"/>
  <c r="T213" i="18" s="1"/>
  <c r="U64" i="18"/>
  <c r="T64" i="18" s="1"/>
  <c r="U338" i="18"/>
  <c r="T338" i="18" s="1"/>
  <c r="U221" i="18"/>
  <c r="T221" i="18" s="1"/>
  <c r="U363" i="18"/>
  <c r="T363" i="18" s="1"/>
  <c r="U131" i="18"/>
  <c r="T131" i="18" s="1"/>
  <c r="U198" i="18"/>
  <c r="T198" i="18" s="1"/>
  <c r="U206" i="18"/>
  <c r="T206" i="18" s="1"/>
  <c r="U356" i="18"/>
  <c r="T356" i="18" s="1"/>
  <c r="U178" i="18"/>
  <c r="T178" i="18" s="1"/>
  <c r="U85" i="18"/>
  <c r="T85" i="18" s="1"/>
  <c r="U121" i="18"/>
  <c r="T121" i="18" s="1"/>
  <c r="U28" i="18"/>
  <c r="T28" i="18" s="1"/>
  <c r="U248" i="18"/>
  <c r="T248" i="18" s="1"/>
  <c r="U192" i="18"/>
  <c r="T192" i="18" s="1"/>
  <c r="U233" i="18"/>
  <c r="T233" i="18" s="1"/>
  <c r="U141" i="18"/>
  <c r="T141" i="18" s="1"/>
  <c r="U146" i="18"/>
  <c r="T146" i="18" s="1"/>
  <c r="U252" i="18"/>
  <c r="T252" i="18" s="1"/>
  <c r="U285" i="18"/>
  <c r="T285" i="18" s="1"/>
  <c r="U367" i="18"/>
  <c r="T367" i="18" s="1"/>
  <c r="U263" i="18"/>
  <c r="T263" i="18" s="1"/>
  <c r="U196" i="18"/>
  <c r="T196" i="18" s="1"/>
  <c r="U333" i="18"/>
  <c r="T333" i="18" s="1"/>
  <c r="U183" i="18"/>
  <c r="T183" i="18" s="1"/>
  <c r="U34" i="18"/>
  <c r="T34" i="18" s="1"/>
  <c r="U262" i="18"/>
  <c r="T262" i="18" s="1"/>
  <c r="U240" i="18"/>
  <c r="T240" i="18" s="1"/>
  <c r="U323" i="18"/>
  <c r="T323" i="18" s="1"/>
  <c r="U280" i="18"/>
  <c r="T280" i="18" s="1"/>
  <c r="U46" i="18"/>
  <c r="T46" i="18" s="1"/>
  <c r="U60" i="18"/>
  <c r="T60" i="18" s="1"/>
  <c r="U32" i="18"/>
  <c r="T32" i="18" s="1"/>
  <c r="U153" i="18"/>
  <c r="T153" i="18" s="1"/>
  <c r="U184" i="18"/>
  <c r="T184" i="18" s="1"/>
  <c r="U258" i="18"/>
  <c r="T258" i="18" s="1"/>
  <c r="U304" i="18"/>
  <c r="T304" i="18" s="1"/>
  <c r="U267" i="18"/>
  <c r="T267" i="18" s="1"/>
  <c r="U284" i="18"/>
  <c r="T284" i="18" s="1"/>
  <c r="U249" i="18"/>
  <c r="T249" i="18" s="1"/>
  <c r="U364" i="18"/>
  <c r="T364" i="18" s="1"/>
  <c r="U327" i="18"/>
  <c r="T327" i="18" s="1"/>
  <c r="U330" i="18"/>
  <c r="T330" i="18" s="1"/>
  <c r="U179" i="18"/>
  <c r="T179" i="18" s="1"/>
  <c r="U251" i="18"/>
  <c r="T251" i="18" s="1"/>
  <c r="U52" i="18"/>
  <c r="T52" i="18" s="1"/>
  <c r="U306" i="18"/>
  <c r="T306" i="18" s="1"/>
  <c r="U78" i="18"/>
  <c r="T78" i="18" s="1"/>
  <c r="U348" i="18"/>
  <c r="T348" i="18" s="1"/>
  <c r="U166" i="18"/>
  <c r="T166" i="18" s="1"/>
  <c r="U48" i="18"/>
  <c r="T48" i="18" s="1"/>
  <c r="U308" i="18"/>
  <c r="T308" i="18" s="1"/>
  <c r="U205" i="18"/>
  <c r="T205" i="18" s="1"/>
  <c r="U107" i="18"/>
  <c r="T107" i="18" s="1"/>
  <c r="U181" i="18"/>
  <c r="T181" i="18" s="1"/>
  <c r="U93" i="18"/>
  <c r="T93" i="18" s="1"/>
  <c r="U228" i="18"/>
  <c r="T228" i="18" s="1"/>
  <c r="U177" i="18"/>
  <c r="T177" i="18" s="1"/>
  <c r="U230" i="18"/>
  <c r="T230" i="18" s="1"/>
  <c r="U68" i="18"/>
  <c r="T68" i="18" s="1"/>
  <c r="U341" i="18"/>
  <c r="T341" i="18" s="1"/>
  <c r="U222" i="18"/>
  <c r="T222" i="18" s="1"/>
  <c r="U281" i="18"/>
  <c r="T281" i="18" s="1"/>
  <c r="U331" i="18"/>
  <c r="T331" i="18" s="1"/>
  <c r="U290" i="18"/>
  <c r="T290" i="18" s="1"/>
  <c r="U156" i="18"/>
  <c r="T156" i="18" s="1"/>
  <c r="U56" i="18"/>
  <c r="T56" i="18" s="1"/>
  <c r="U133" i="18"/>
  <c r="T133" i="18" s="1"/>
  <c r="U374" i="18"/>
  <c r="T374" i="18" s="1"/>
  <c r="U218" i="18"/>
  <c r="T218" i="18" s="1"/>
  <c r="U200" i="18"/>
  <c r="T200" i="18" s="1"/>
  <c r="U165" i="18"/>
  <c r="T165" i="18" s="1"/>
  <c r="U321" i="18"/>
  <c r="T321" i="18" s="1"/>
  <c r="U201" i="18"/>
  <c r="T201" i="18" s="1"/>
  <c r="U287" i="18"/>
  <c r="T287" i="18" s="1"/>
  <c r="U49" i="18"/>
  <c r="T49" i="18" s="1"/>
  <c r="U37" i="18"/>
  <c r="T37" i="18" s="1"/>
  <c r="U360" i="18"/>
  <c r="T360" i="18" s="1"/>
  <c r="U54" i="18"/>
  <c r="T54" i="18" s="1"/>
  <c r="U84" i="18"/>
  <c r="T84" i="18" s="1"/>
  <c r="U207" i="18"/>
  <c r="T207" i="18" s="1"/>
  <c r="U31" i="18"/>
  <c r="T31" i="18" s="1"/>
  <c r="U239" i="18"/>
  <c r="T239" i="18" s="1"/>
  <c r="U339" i="18"/>
  <c r="T339" i="18" s="1"/>
  <c r="U128" i="18"/>
  <c r="T128" i="18" s="1"/>
  <c r="U120" i="18"/>
  <c r="T120" i="18" s="1"/>
  <c r="U277" i="18"/>
  <c r="T277" i="18" s="1"/>
  <c r="U227" i="18"/>
  <c r="T227" i="18" s="1"/>
  <c r="U88" i="18"/>
  <c r="T88" i="18" s="1"/>
  <c r="U311" i="18"/>
  <c r="T311" i="18" s="1"/>
  <c r="U162" i="18"/>
  <c r="T162" i="18" s="1"/>
  <c r="U294" i="18"/>
  <c r="T294" i="18" s="1"/>
  <c r="U288" i="18"/>
  <c r="T288" i="18" s="1"/>
  <c r="U25" i="18"/>
  <c r="T25" i="18" s="1"/>
  <c r="U75" i="18"/>
  <c r="T75" i="18" s="1"/>
  <c r="U174" i="18"/>
  <c r="T174" i="18" s="1"/>
  <c r="U188" i="18"/>
  <c r="T188" i="18" s="1"/>
  <c r="U96" i="18"/>
  <c r="T96" i="18" s="1"/>
  <c r="U217" i="18"/>
  <c r="T217" i="18" s="1"/>
  <c r="U373" i="18"/>
  <c r="T373" i="18" s="1"/>
  <c r="U176" i="18"/>
  <c r="T176" i="18" s="1"/>
  <c r="U77" i="18"/>
  <c r="T77" i="18" s="1"/>
  <c r="U29" i="18"/>
  <c r="T29" i="18" s="1"/>
  <c r="U361" i="18"/>
  <c r="T361" i="18" s="1"/>
  <c r="U209" i="18"/>
  <c r="T209" i="18" s="1"/>
  <c r="U302" i="18"/>
  <c r="T302" i="18" s="1"/>
  <c r="U326" i="18"/>
  <c r="T326" i="18" s="1"/>
  <c r="U185" i="18"/>
  <c r="T185" i="18" s="1"/>
  <c r="U130" i="18"/>
  <c r="T130" i="18" s="1"/>
  <c r="U211" i="18"/>
  <c r="T211" i="18" s="1"/>
  <c r="U91" i="18"/>
  <c r="T91" i="18" s="1"/>
  <c r="U139" i="18"/>
  <c r="T139" i="18" s="1"/>
  <c r="U161" i="18"/>
  <c r="T161" i="18" s="1"/>
  <c r="U86" i="18"/>
  <c r="T86" i="18" s="1"/>
  <c r="U99" i="18"/>
  <c r="T99" i="18" s="1"/>
  <c r="U309" i="18"/>
  <c r="T309" i="18" s="1"/>
  <c r="U247" i="18"/>
  <c r="T247" i="18" s="1"/>
  <c r="U118" i="18"/>
  <c r="T118" i="18" s="1"/>
  <c r="U18" i="18"/>
  <c r="T18" i="18" s="1"/>
  <c r="U101" i="18"/>
  <c r="T101" i="18" s="1"/>
  <c r="U123" i="18"/>
  <c r="T123" i="18" s="1"/>
  <c r="U283" i="18"/>
  <c r="T283" i="18" s="1"/>
  <c r="U111" i="18"/>
  <c r="T111" i="18" s="1"/>
  <c r="U142" i="18"/>
  <c r="T142" i="18" s="1"/>
  <c r="U116" i="18"/>
  <c r="T116" i="18" s="1"/>
  <c r="U250" i="18"/>
  <c r="T250" i="18" s="1"/>
  <c r="U159" i="18"/>
  <c r="T159" i="18" s="1"/>
  <c r="U243" i="18"/>
  <c r="T243" i="18" s="1"/>
  <c r="U157" i="18"/>
  <c r="T157" i="18" s="1"/>
  <c r="U70" i="18"/>
  <c r="T70" i="18" s="1"/>
  <c r="U148" i="18"/>
  <c r="T148" i="18" s="1"/>
  <c r="AD122" i="18"/>
  <c r="AD161" i="18"/>
  <c r="AD311" i="18"/>
  <c r="AD190" i="18"/>
  <c r="I316" i="17"/>
  <c r="J316" i="17"/>
  <c r="I24" i="17"/>
  <c r="J24" i="17"/>
  <c r="I271" i="17"/>
  <c r="J271" i="17"/>
  <c r="I215" i="17"/>
  <c r="J215" i="17"/>
  <c r="I281" i="17"/>
  <c r="J281" i="17"/>
  <c r="J170" i="17"/>
  <c r="I170" i="17"/>
  <c r="J329" i="17"/>
  <c r="I329" i="17"/>
  <c r="J100" i="17"/>
  <c r="I100" i="17"/>
  <c r="I111" i="17"/>
  <c r="J111" i="17"/>
  <c r="I216" i="17"/>
  <c r="J216" i="17"/>
  <c r="F196" i="17"/>
  <c r="J124" i="17"/>
  <c r="I124" i="17"/>
  <c r="J235" i="17"/>
  <c r="I235" i="17"/>
  <c r="J35" i="17"/>
  <c r="I35" i="17"/>
  <c r="I317" i="17"/>
  <c r="J317" i="17"/>
  <c r="I191" i="17"/>
  <c r="J191" i="17"/>
  <c r="I138" i="17"/>
  <c r="J138" i="17"/>
  <c r="J331" i="17"/>
  <c r="I331" i="17"/>
  <c r="I221" i="17"/>
  <c r="J221" i="17"/>
  <c r="I376" i="17"/>
  <c r="J376" i="17"/>
  <c r="I72" i="17"/>
  <c r="J72" i="17"/>
  <c r="J67" i="17"/>
  <c r="I67" i="17"/>
  <c r="I194" i="17"/>
  <c r="J194" i="17"/>
  <c r="I75" i="17"/>
  <c r="J75" i="17"/>
  <c r="I278" i="17"/>
  <c r="J278" i="17"/>
  <c r="J286" i="17"/>
  <c r="I286" i="17"/>
  <c r="J277" i="17"/>
  <c r="I277" i="17"/>
  <c r="J270" i="17"/>
  <c r="I270" i="17"/>
  <c r="J38" i="17"/>
  <c r="I38" i="17"/>
  <c r="I340" i="17"/>
  <c r="J340" i="17"/>
  <c r="I93" i="17"/>
  <c r="J93" i="17"/>
  <c r="I369" i="17"/>
  <c r="J369" i="17"/>
  <c r="J245" i="17"/>
  <c r="I245" i="17"/>
  <c r="J102" i="17"/>
  <c r="I102" i="17"/>
  <c r="I242" i="17"/>
  <c r="J242" i="17"/>
  <c r="H272" i="17"/>
  <c r="G272" i="17"/>
  <c r="BZ272" i="6" s="1"/>
  <c r="AA272" i="17"/>
  <c r="Z272" i="17" s="1"/>
  <c r="Y272" i="17" s="1"/>
  <c r="I282" i="17"/>
  <c r="J282" i="17"/>
  <c r="J304" i="17"/>
  <c r="I304" i="17"/>
  <c r="J341" i="17"/>
  <c r="I341" i="17"/>
  <c r="J81" i="17"/>
  <c r="I81" i="17"/>
  <c r="J22" i="17"/>
  <c r="I22" i="17"/>
  <c r="I213" i="17"/>
  <c r="J213" i="17"/>
  <c r="I244" i="17"/>
  <c r="J244" i="17"/>
  <c r="J321" i="17"/>
  <c r="I321" i="17"/>
  <c r="I268" i="17"/>
  <c r="J268" i="17"/>
  <c r="I251" i="17"/>
  <c r="J251" i="17"/>
  <c r="I335" i="17"/>
  <c r="J335" i="17"/>
  <c r="I204" i="17"/>
  <c r="J204" i="17"/>
  <c r="I118" i="17"/>
  <c r="J118" i="17"/>
  <c r="J82" i="17"/>
  <c r="I82" i="17"/>
  <c r="I252" i="17"/>
  <c r="J252" i="17"/>
  <c r="I48" i="17"/>
  <c r="J48" i="17"/>
  <c r="J371" i="17"/>
  <c r="I371" i="17"/>
  <c r="J85" i="17"/>
  <c r="I85" i="17"/>
  <c r="E64" i="19"/>
  <c r="J226" i="17"/>
  <c r="I226" i="17"/>
  <c r="J285" i="17"/>
  <c r="I285" i="17"/>
  <c r="J345" i="17"/>
  <c r="I345" i="17"/>
  <c r="I155" i="17"/>
  <c r="J155" i="17"/>
  <c r="J63" i="17"/>
  <c r="I63" i="17"/>
  <c r="H288" i="17"/>
  <c r="AA288" i="17"/>
  <c r="Z288" i="17" s="1"/>
  <c r="Y288" i="17" s="1"/>
  <c r="G288" i="17"/>
  <c r="BZ288" i="6" s="1"/>
  <c r="J159" i="17"/>
  <c r="I159" i="17"/>
  <c r="I313" i="17"/>
  <c r="J313" i="17"/>
  <c r="J120" i="17"/>
  <c r="I120" i="17"/>
  <c r="J320" i="17"/>
  <c r="I320" i="17"/>
  <c r="J161" i="17"/>
  <c r="I161" i="17"/>
  <c r="I200" i="17"/>
  <c r="J200" i="17"/>
  <c r="I131" i="17"/>
  <c r="J131" i="17"/>
  <c r="AA180" i="17"/>
  <c r="Z180" i="17" s="1"/>
  <c r="Y180" i="17" s="1"/>
  <c r="G180" i="17"/>
  <c r="BZ180" i="6" s="1"/>
  <c r="H180" i="17"/>
  <c r="I325" i="17"/>
  <c r="J325" i="17"/>
  <c r="I305" i="17"/>
  <c r="J305" i="17"/>
  <c r="J147" i="17"/>
  <c r="I147" i="17"/>
  <c r="I152" i="17"/>
  <c r="J152" i="17"/>
  <c r="J175" i="17"/>
  <c r="I175" i="17"/>
  <c r="J352" i="17"/>
  <c r="I352" i="17"/>
  <c r="J136" i="17"/>
  <c r="I136" i="17"/>
  <c r="J42" i="17"/>
  <c r="I42" i="17"/>
  <c r="J297" i="17"/>
  <c r="I297" i="17"/>
  <c r="J265" i="17"/>
  <c r="I265" i="17"/>
  <c r="I357" i="17"/>
  <c r="J357" i="17"/>
  <c r="J39" i="17"/>
  <c r="I39" i="17"/>
  <c r="J95" i="17"/>
  <c r="I95" i="17"/>
  <c r="I68" i="17"/>
  <c r="J68" i="17"/>
  <c r="F349" i="17"/>
  <c r="J375" i="17"/>
  <c r="I375" i="17"/>
  <c r="J168" i="17"/>
  <c r="I168" i="17"/>
  <c r="I205" i="17"/>
  <c r="J205" i="17"/>
  <c r="J70" i="17"/>
  <c r="I70" i="17"/>
  <c r="I360" i="17"/>
  <c r="J360" i="17"/>
  <c r="J64" i="19"/>
  <c r="J43" i="17"/>
  <c r="I43" i="17"/>
  <c r="F64" i="19"/>
  <c r="J314" i="17"/>
  <c r="I314" i="17"/>
  <c r="J130" i="17"/>
  <c r="I130" i="17"/>
  <c r="I322" i="17"/>
  <c r="J322" i="17"/>
  <c r="J248" i="17"/>
  <c r="I248" i="17"/>
  <c r="I230" i="17"/>
  <c r="J230" i="17"/>
  <c r="J134" i="17"/>
  <c r="I134" i="17"/>
  <c r="I126" i="17"/>
  <c r="J126" i="17"/>
  <c r="J91" i="17"/>
  <c r="I91" i="17"/>
  <c r="AA119" i="17"/>
  <c r="Z119" i="17" s="1"/>
  <c r="Y119" i="17" s="1"/>
  <c r="H119" i="17"/>
  <c r="G119" i="17"/>
  <c r="BZ119" i="6" s="1"/>
  <c r="J208" i="17"/>
  <c r="I208" i="17"/>
  <c r="I256" i="17"/>
  <c r="J256" i="17"/>
  <c r="I71" i="17"/>
  <c r="J71" i="17"/>
  <c r="H302" i="17"/>
  <c r="AA302" i="17"/>
  <c r="Z302" i="17" s="1"/>
  <c r="Y302" i="17" s="1"/>
  <c r="G302" i="17"/>
  <c r="BZ302" i="6" s="1"/>
  <c r="AA319" i="17"/>
  <c r="Z319" i="17" s="1"/>
  <c r="Y319" i="17" s="1"/>
  <c r="H319" i="17"/>
  <c r="G319" i="17"/>
  <c r="BZ319" i="6" s="1"/>
  <c r="J96" i="17"/>
  <c r="I96" i="17"/>
  <c r="I69" i="17"/>
  <c r="J69" i="17"/>
  <c r="AD206" i="18"/>
  <c r="AD269" i="18"/>
  <c r="AD245" i="18"/>
  <c r="AD191" i="18"/>
  <c r="AD102" i="18"/>
  <c r="AD275" i="18"/>
  <c r="AD366" i="18"/>
  <c r="D258" i="18"/>
  <c r="E258" i="18" s="1"/>
  <c r="D135" i="18"/>
  <c r="E135" i="18" s="1"/>
  <c r="D227" i="18"/>
  <c r="E227" i="18" s="1"/>
  <c r="D60" i="18"/>
  <c r="E60" i="18" s="1"/>
  <c r="D46" i="18"/>
  <c r="E46" i="18" s="1"/>
  <c r="D241" i="18"/>
  <c r="E241" i="18" s="1"/>
  <c r="D149" i="18"/>
  <c r="E149" i="18" s="1"/>
  <c r="D210" i="18"/>
  <c r="E210" i="18" s="1"/>
  <c r="Q10" i="20"/>
  <c r="AG15" i="7"/>
  <c r="Q303" i="20"/>
  <c r="Q127" i="20"/>
  <c r="Q123" i="20"/>
  <c r="Q72" i="20"/>
  <c r="Q61" i="20"/>
  <c r="Q64" i="20"/>
  <c r="Q150" i="20"/>
  <c r="Q197" i="20"/>
  <c r="Q31" i="20"/>
  <c r="Q344" i="20"/>
  <c r="Q128" i="20"/>
  <c r="Q186" i="20"/>
  <c r="Q159" i="20"/>
  <c r="Q282" i="20"/>
  <c r="Q307" i="20"/>
  <c r="Q35" i="20"/>
  <c r="Q171" i="20"/>
  <c r="Q121" i="20"/>
  <c r="Q248" i="20"/>
  <c r="Q108" i="20"/>
  <c r="Q311" i="20"/>
  <c r="Q135" i="20"/>
  <c r="Q147" i="20"/>
  <c r="Q270" i="20"/>
  <c r="Q42" i="20"/>
  <c r="Q22" i="20"/>
  <c r="Q306" i="20"/>
  <c r="Q339" i="20"/>
  <c r="Q300" i="20"/>
  <c r="Q53" i="20"/>
  <c r="Q241" i="20"/>
  <c r="Q355" i="20"/>
  <c r="Q67" i="20"/>
  <c r="Q139" i="20"/>
  <c r="Q364" i="20"/>
  <c r="Q302" i="20"/>
  <c r="Q95" i="20"/>
  <c r="Q43" i="20"/>
  <c r="Q218" i="20"/>
  <c r="Q228" i="20"/>
  <c r="Q116" i="20"/>
  <c r="Q343" i="20"/>
  <c r="Q247" i="20"/>
  <c r="Q217" i="20"/>
  <c r="Q102" i="20"/>
  <c r="Q268" i="20"/>
  <c r="Q44" i="20"/>
  <c r="Q222" i="20"/>
  <c r="Q66" i="20"/>
  <c r="Q213" i="20"/>
  <c r="Q126" i="20"/>
  <c r="Q152" i="20"/>
  <c r="Q305" i="20"/>
  <c r="Q271" i="20"/>
  <c r="Q155" i="20"/>
  <c r="Q299" i="20"/>
  <c r="Q294" i="20"/>
  <c r="Q87" i="20"/>
  <c r="Q51" i="20"/>
  <c r="Q210" i="20"/>
  <c r="D29" i="18"/>
  <c r="E29" i="18" s="1"/>
  <c r="D272" i="18"/>
  <c r="E272" i="18" s="1"/>
  <c r="AD308" i="18" l="1"/>
  <c r="AD243" i="18"/>
  <c r="AD71" i="18"/>
  <c r="AD302" i="18"/>
  <c r="AD172" i="18"/>
  <c r="AD228" i="18"/>
  <c r="AD80" i="18"/>
  <c r="AD318" i="18"/>
  <c r="AD281" i="18"/>
  <c r="AD170" i="18"/>
  <c r="AD369" i="18"/>
  <c r="AG268" i="18"/>
  <c r="AF268" i="18" s="1"/>
  <c r="AD268" i="18" s="1"/>
  <c r="AG371" i="18"/>
  <c r="AF371" i="18" s="1"/>
  <c r="AD371" i="18" s="1"/>
  <c r="AG186" i="18"/>
  <c r="AF186" i="18" s="1"/>
  <c r="AD186" i="18" s="1"/>
  <c r="AG224" i="18"/>
  <c r="AF224" i="18" s="1"/>
  <c r="AD224" i="18" s="1"/>
  <c r="AG52" i="18"/>
  <c r="AF52" i="18" s="1"/>
  <c r="AD52" i="18" s="1"/>
  <c r="AG216" i="18"/>
  <c r="AF216" i="18" s="1"/>
  <c r="AD216" i="18" s="1"/>
  <c r="AG194" i="18"/>
  <c r="AF194" i="18" s="1"/>
  <c r="AD194" i="18" s="1"/>
  <c r="AG290" i="18"/>
  <c r="AF290" i="18" s="1"/>
  <c r="AD290" i="18" s="1"/>
  <c r="AG85" i="18"/>
  <c r="AF85" i="18" s="1"/>
  <c r="AD85" i="18" s="1"/>
  <c r="AG149" i="18"/>
  <c r="AF149" i="18" s="1"/>
  <c r="AD149" i="18" s="1"/>
  <c r="AG309" i="18"/>
  <c r="AF309" i="18" s="1"/>
  <c r="AD309" i="18" s="1"/>
  <c r="AG67" i="18"/>
  <c r="AF67" i="18" s="1"/>
  <c r="AD67" i="18" s="1"/>
  <c r="AG227" i="18"/>
  <c r="AF227" i="18" s="1"/>
  <c r="AD227" i="18" s="1"/>
  <c r="AG305" i="18"/>
  <c r="AF305" i="18" s="1"/>
  <c r="AD305" i="18" s="1"/>
  <c r="AG266" i="18"/>
  <c r="AF266" i="18" s="1"/>
  <c r="AD266" i="18" s="1"/>
  <c r="AG21" i="18"/>
  <c r="AF21" i="18" s="1"/>
  <c r="AD21" i="18" s="1"/>
  <c r="AG110" i="18"/>
  <c r="AF110" i="18" s="1"/>
  <c r="AD110" i="18" s="1"/>
  <c r="AG77" i="18"/>
  <c r="AF77" i="18" s="1"/>
  <c r="AD77" i="18" s="1"/>
  <c r="AG287" i="18"/>
  <c r="AF287" i="18" s="1"/>
  <c r="AD287" i="18" s="1"/>
  <c r="AG234" i="18"/>
  <c r="AF234" i="18" s="1"/>
  <c r="AD234" i="18" s="1"/>
  <c r="AG209" i="18"/>
  <c r="AF209" i="18" s="1"/>
  <c r="AD209" i="18" s="1"/>
  <c r="AG195" i="18"/>
  <c r="AF195" i="18" s="1"/>
  <c r="AD195" i="18" s="1"/>
  <c r="AG92" i="18"/>
  <c r="AF92" i="18" s="1"/>
  <c r="AD92" i="18" s="1"/>
  <c r="AG229" i="18"/>
  <c r="AF229" i="18" s="1"/>
  <c r="AD229" i="18" s="1"/>
  <c r="AG350" i="18"/>
  <c r="AF350" i="18" s="1"/>
  <c r="AD350" i="18" s="1"/>
  <c r="AG147" i="18"/>
  <c r="AF147" i="18" s="1"/>
  <c r="AD147" i="18" s="1"/>
  <c r="AG131" i="18"/>
  <c r="AF131" i="18" s="1"/>
  <c r="AD131" i="18" s="1"/>
  <c r="AG73" i="18"/>
  <c r="AF73" i="18" s="1"/>
  <c r="AD73" i="18" s="1"/>
  <c r="AG179" i="18"/>
  <c r="AF179" i="18" s="1"/>
  <c r="AD179" i="18" s="1"/>
  <c r="AG37" i="18"/>
  <c r="AF37" i="18" s="1"/>
  <c r="AD37" i="18" s="1"/>
  <c r="AG271" i="18"/>
  <c r="AF271" i="18" s="1"/>
  <c r="AD271" i="18" s="1"/>
  <c r="AG231" i="18"/>
  <c r="AF231" i="18" s="1"/>
  <c r="AD231" i="18" s="1"/>
  <c r="AG140" i="18"/>
  <c r="AF140" i="18" s="1"/>
  <c r="AD140" i="18" s="1"/>
  <c r="AG56" i="18"/>
  <c r="AF56" i="18" s="1"/>
  <c r="AD56" i="18" s="1"/>
  <c r="AG79" i="18"/>
  <c r="AF79" i="18" s="1"/>
  <c r="AD79" i="18" s="1"/>
  <c r="AG94" i="18"/>
  <c r="AF94" i="18" s="1"/>
  <c r="AD94" i="18" s="1"/>
  <c r="Q327" i="20"/>
  <c r="Q335" i="20"/>
  <c r="Q262" i="20"/>
  <c r="Q257" i="20"/>
  <c r="Q276" i="20"/>
  <c r="Q26" i="20"/>
  <c r="Q277" i="20"/>
  <c r="Q366" i="20"/>
  <c r="Q178" i="20"/>
  <c r="Q345" i="20"/>
  <c r="Q124" i="20"/>
  <c r="Q347" i="20"/>
  <c r="Q315" i="20"/>
  <c r="Q357" i="20"/>
  <c r="Q77" i="20"/>
  <c r="Q310" i="20"/>
  <c r="Q332" i="20"/>
  <c r="Q21" i="20"/>
  <c r="Q98" i="20"/>
  <c r="Q249" i="20"/>
  <c r="Q258" i="20"/>
  <c r="Q346" i="20"/>
  <c r="Q267" i="20"/>
  <c r="Q56" i="20"/>
  <c r="Q134" i="20"/>
  <c r="Q183" i="20"/>
  <c r="Q340" i="20"/>
  <c r="Q227" i="20"/>
  <c r="Q89" i="20"/>
  <c r="Q216" i="20"/>
  <c r="Q172" i="20"/>
  <c r="Q283" i="20"/>
  <c r="Q278" i="20"/>
  <c r="Q365" i="20"/>
  <c r="Q137" i="20"/>
  <c r="Q211" i="20"/>
  <c r="Q264" i="20"/>
  <c r="Q36" i="20"/>
  <c r="Q76" i="20"/>
  <c r="Q130" i="20"/>
  <c r="Q122" i="20"/>
  <c r="Q359" i="20"/>
  <c r="Q148" i="20"/>
  <c r="Q212" i="20"/>
  <c r="Q99" i="20"/>
  <c r="Q39" i="20"/>
  <c r="AD291" i="18"/>
  <c r="AD220" i="18"/>
  <c r="AD215" i="18"/>
  <c r="AD276" i="18"/>
  <c r="AD326" i="18"/>
  <c r="AD327" i="18"/>
  <c r="AD198" i="18"/>
  <c r="AD259" i="18"/>
  <c r="AD101" i="18"/>
  <c r="AD270" i="18"/>
  <c r="AD187" i="18"/>
  <c r="AD25" i="18"/>
  <c r="AD175" i="18"/>
  <c r="AD262" i="18"/>
  <c r="AD158" i="18"/>
  <c r="AD188" i="18"/>
  <c r="AD333" i="18"/>
  <c r="AD72" i="18"/>
  <c r="Q214" i="20"/>
  <c r="Q75" i="20"/>
  <c r="Q333" i="20"/>
  <c r="Q169" i="20"/>
  <c r="Q336" i="20"/>
  <c r="Q296" i="20"/>
  <c r="Q85" i="20"/>
  <c r="Q250" i="20"/>
  <c r="Q57" i="20"/>
  <c r="Q292" i="20"/>
  <c r="Q97" i="20"/>
  <c r="Q45" i="20"/>
  <c r="Q224" i="20"/>
  <c r="Q225" i="20"/>
  <c r="Q90" i="20"/>
  <c r="Q104" i="20"/>
  <c r="Q30" i="20"/>
  <c r="Q246" i="20"/>
  <c r="Q18" i="20"/>
  <c r="Q107" i="20"/>
  <c r="Q195" i="20"/>
  <c r="Q349" i="20"/>
  <c r="Q362" i="20"/>
  <c r="Q153" i="20"/>
  <c r="Q318" i="20"/>
  <c r="Q275" i="20"/>
  <c r="Q111" i="20"/>
  <c r="Q280" i="20"/>
  <c r="Q27" i="20"/>
  <c r="Q68" i="20"/>
  <c r="Q234" i="20"/>
  <c r="Q16" i="20"/>
  <c r="Q260" i="20"/>
  <c r="Q60" i="20"/>
  <c r="Q34" i="20"/>
  <c r="Q158" i="20"/>
  <c r="Q289" i="20"/>
  <c r="Q322" i="20"/>
  <c r="Q354" i="20"/>
  <c r="Q199" i="20"/>
  <c r="Q281" i="20"/>
  <c r="Q110" i="20"/>
  <c r="Q350" i="20"/>
  <c r="Q115" i="20"/>
  <c r="Q284" i="20"/>
  <c r="Q23" i="20"/>
  <c r="Q73" i="20"/>
  <c r="Q238" i="20"/>
  <c r="Q69" i="20"/>
  <c r="Q114" i="20"/>
  <c r="Q190" i="20"/>
  <c r="Q120" i="20"/>
  <c r="Q273" i="20"/>
  <c r="Q206" i="20"/>
  <c r="Q187" i="20"/>
  <c r="Q378" i="20"/>
  <c r="Q326" i="20"/>
  <c r="Q119" i="20"/>
  <c r="Q17" i="20"/>
  <c r="Q242" i="20"/>
  <c r="Q52" i="20"/>
  <c r="Q272" i="20"/>
  <c r="Q243" i="20"/>
  <c r="Q145" i="20"/>
  <c r="Q373" i="20"/>
  <c r="Q65" i="20"/>
  <c r="Q82" i="20"/>
  <c r="Q200" i="20"/>
  <c r="Q112" i="20"/>
  <c r="Q265" i="20"/>
  <c r="Q154" i="20"/>
  <c r="Q207" i="20"/>
  <c r="Q337" i="20"/>
  <c r="Q338" i="20"/>
  <c r="Q165" i="20"/>
  <c r="Q330" i="20"/>
  <c r="Q323" i="20"/>
  <c r="Q146" i="20"/>
  <c r="Q96" i="20"/>
  <c r="Q38" i="20"/>
  <c r="Q325" i="20"/>
  <c r="Q173" i="20"/>
  <c r="Q166" i="20"/>
  <c r="Q93" i="20"/>
  <c r="Q304" i="20"/>
  <c r="Q352" i="20"/>
  <c r="Q177" i="20"/>
  <c r="Q341" i="20"/>
  <c r="Q50" i="20"/>
  <c r="Q202" i="20"/>
  <c r="Q142" i="20"/>
  <c r="Q144" i="20"/>
  <c r="Q297" i="20"/>
  <c r="Q255" i="20"/>
  <c r="Q191" i="20"/>
  <c r="Q353" i="20"/>
  <c r="Q370" i="20"/>
  <c r="Q149" i="20"/>
  <c r="Q314" i="20"/>
  <c r="Q259" i="20"/>
  <c r="Q253" i="20"/>
  <c r="Q160" i="20"/>
  <c r="Q287" i="20"/>
  <c r="Q361" i="20"/>
  <c r="Q141" i="20"/>
  <c r="Q46" i="20"/>
  <c r="Q125" i="20"/>
  <c r="Q377" i="20"/>
  <c r="Q342" i="20"/>
  <c r="Q192" i="20"/>
  <c r="Q285" i="20"/>
  <c r="Q92" i="20"/>
  <c r="Q237" i="20"/>
  <c r="Q78" i="20"/>
  <c r="Q176" i="20"/>
  <c r="Q329" i="20"/>
  <c r="Q319" i="20"/>
  <c r="Q175" i="20"/>
  <c r="Q369" i="20"/>
  <c r="Q356" i="20"/>
  <c r="Q133" i="20"/>
  <c r="Q298" i="20"/>
  <c r="Q170" i="20"/>
  <c r="Q317" i="20"/>
  <c r="Q193" i="20"/>
  <c r="Q374" i="20"/>
  <c r="Q320" i="20"/>
  <c r="Q109" i="20"/>
  <c r="Q162" i="20"/>
  <c r="Q240" i="20"/>
  <c r="Q29" i="20"/>
  <c r="Q113" i="20"/>
  <c r="Q308" i="20"/>
  <c r="Q49" i="20"/>
  <c r="Q32" i="20"/>
  <c r="AG332" i="18"/>
  <c r="AF332" i="18" s="1"/>
  <c r="AD332" i="18" s="1"/>
  <c r="AG19" i="18"/>
  <c r="AF19" i="18" s="1"/>
  <c r="AD19" i="18" s="1"/>
  <c r="AG349" i="18"/>
  <c r="AF349" i="18" s="1"/>
  <c r="AD349" i="18" s="1"/>
  <c r="AG285" i="18"/>
  <c r="AF285" i="18" s="1"/>
  <c r="AD285" i="18" s="1"/>
  <c r="AG315" i="18"/>
  <c r="AF315" i="18" s="1"/>
  <c r="AD315" i="18" s="1"/>
  <c r="AG119" i="18"/>
  <c r="AF119" i="18" s="1"/>
  <c r="AD119" i="18" s="1"/>
  <c r="AG251" i="18"/>
  <c r="AF251" i="18" s="1"/>
  <c r="AD251" i="18" s="1"/>
  <c r="AG154" i="18"/>
  <c r="AF154" i="18" s="1"/>
  <c r="AD154" i="18" s="1"/>
  <c r="AG16" i="18"/>
  <c r="AF16" i="18" s="1"/>
  <c r="AD16" i="18" s="1"/>
  <c r="AG237" i="18"/>
  <c r="AF237" i="18" s="1"/>
  <c r="AD237" i="18" s="1"/>
  <c r="AG43" i="18"/>
  <c r="AF43" i="18" s="1"/>
  <c r="AD43" i="18" s="1"/>
  <c r="AG115" i="18"/>
  <c r="AF115" i="18" s="1"/>
  <c r="AD115" i="18" s="1"/>
  <c r="AG352" i="18"/>
  <c r="AF352" i="18" s="1"/>
  <c r="AD352" i="18" s="1"/>
  <c r="AG197" i="18"/>
  <c r="AF197" i="18" s="1"/>
  <c r="AD197" i="18" s="1"/>
  <c r="AG278" i="18"/>
  <c r="AF278" i="18" s="1"/>
  <c r="AD278" i="18" s="1"/>
  <c r="AG127" i="18"/>
  <c r="AF127" i="18" s="1"/>
  <c r="AD127" i="18" s="1"/>
  <c r="AG298" i="18"/>
  <c r="AF298" i="18" s="1"/>
  <c r="AD298" i="18" s="1"/>
  <c r="AG377" i="18"/>
  <c r="AF377" i="18" s="1"/>
  <c r="AD377" i="18" s="1"/>
  <c r="AG193" i="18"/>
  <c r="AF193" i="18" s="1"/>
  <c r="AD193" i="18" s="1"/>
  <c r="AG280" i="18"/>
  <c r="AF280" i="18" s="1"/>
  <c r="AD280" i="18" s="1"/>
  <c r="AG167" i="18"/>
  <c r="AF167" i="18" s="1"/>
  <c r="AD167" i="18" s="1"/>
  <c r="AG128" i="18"/>
  <c r="AF128" i="18" s="1"/>
  <c r="AD128" i="18" s="1"/>
  <c r="AG32" i="18"/>
  <c r="AF32" i="18" s="1"/>
  <c r="AD32" i="18" s="1"/>
  <c r="AG109" i="18"/>
  <c r="AF109" i="18" s="1"/>
  <c r="AD109" i="18" s="1"/>
  <c r="AG325" i="18"/>
  <c r="AF325" i="18" s="1"/>
  <c r="AD325" i="18" s="1"/>
  <c r="AG317" i="18"/>
  <c r="AF317" i="18" s="1"/>
  <c r="AD317" i="18" s="1"/>
  <c r="AG192" i="18"/>
  <c r="AF192" i="18" s="1"/>
  <c r="AD192" i="18" s="1"/>
  <c r="AG247" i="18"/>
  <c r="AF247" i="18" s="1"/>
  <c r="AD247" i="18" s="1"/>
  <c r="AG293" i="18"/>
  <c r="AF293" i="18" s="1"/>
  <c r="AD293" i="18" s="1"/>
  <c r="AG196" i="18"/>
  <c r="AF196" i="18" s="1"/>
  <c r="AD196" i="18" s="1"/>
  <c r="AG267" i="18"/>
  <c r="AF267" i="18" s="1"/>
  <c r="AD267" i="18" s="1"/>
  <c r="AG162" i="18"/>
  <c r="AF162" i="18" s="1"/>
  <c r="AD162" i="18" s="1"/>
  <c r="AG233" i="18"/>
  <c r="AF233" i="18" s="1"/>
  <c r="AD233" i="18" s="1"/>
  <c r="Q20" i="20"/>
  <c r="Q256" i="20"/>
  <c r="Q106" i="20"/>
  <c r="Q129" i="20"/>
  <c r="Q324" i="20"/>
  <c r="Q41" i="20"/>
  <c r="Q266" i="20"/>
  <c r="Q101" i="20"/>
  <c r="Q251" i="20"/>
  <c r="Q312" i="20"/>
  <c r="Q143" i="20"/>
  <c r="Q368" i="20"/>
  <c r="Q363" i="20"/>
  <c r="Q185" i="20"/>
  <c r="Q263" i="20"/>
  <c r="Q301" i="20"/>
  <c r="Q156" i="20"/>
  <c r="Q19" i="20"/>
  <c r="Q58" i="20"/>
  <c r="Q118" i="20"/>
  <c r="Q293" i="20"/>
  <c r="Q189" i="20"/>
  <c r="Q376" i="20"/>
  <c r="Q205" i="20"/>
  <c r="Q261" i="20"/>
  <c r="Q182" i="20"/>
  <c r="Q63" i="20"/>
  <c r="Q48" i="20"/>
  <c r="Q360" i="20"/>
  <c r="Q367" i="20"/>
  <c r="Q181" i="20"/>
  <c r="Q279" i="20"/>
  <c r="Q309" i="20"/>
  <c r="Q164" i="20"/>
  <c r="Q86" i="20"/>
  <c r="Q233" i="20"/>
  <c r="Q80" i="20"/>
  <c r="Q220" i="20"/>
  <c r="Q179" i="20"/>
  <c r="Q235" i="20"/>
  <c r="Q71" i="20"/>
  <c r="Q274" i="20"/>
  <c r="Q151" i="20"/>
  <c r="Q295" i="20"/>
  <c r="Q70" i="20"/>
  <c r="Q88" i="20"/>
  <c r="Q24" i="20"/>
  <c r="Q254" i="20"/>
  <c r="Q198" i="20"/>
  <c r="Q131" i="20"/>
  <c r="Q231" i="20"/>
  <c r="Q167" i="20"/>
  <c r="Q290" i="20"/>
  <c r="Q372" i="20"/>
  <c r="Q313" i="20"/>
  <c r="Q140" i="20"/>
  <c r="Q209" i="20"/>
  <c r="Q232" i="20"/>
  <c r="Q37" i="20"/>
  <c r="Q105" i="20"/>
  <c r="Q316" i="20"/>
  <c r="Q203" i="20"/>
  <c r="Q371" i="20"/>
  <c r="Q219" i="20"/>
  <c r="Q375" i="20"/>
  <c r="Q180" i="20"/>
  <c r="Q174" i="20"/>
  <c r="Q196" i="20"/>
  <c r="Q59" i="20"/>
  <c r="Q79" i="20"/>
  <c r="Q286" i="20"/>
  <c r="Q331" i="20"/>
  <c r="Q163" i="20"/>
  <c r="Q348" i="20"/>
  <c r="Q103" i="20"/>
  <c r="Q226" i="20"/>
  <c r="Q288" i="20"/>
  <c r="Q161" i="20"/>
  <c r="Q25" i="20"/>
  <c r="Q117" i="20"/>
  <c r="Q328" i="20"/>
  <c r="Q358" i="20"/>
  <c r="Q201" i="20"/>
  <c r="Q269" i="20"/>
  <c r="Q221" i="20"/>
  <c r="Q223" i="20"/>
  <c r="Q157" i="20"/>
  <c r="Q136" i="20"/>
  <c r="Q230" i="20"/>
  <c r="Q91" i="20"/>
  <c r="Q351" i="20"/>
  <c r="Q215" i="20"/>
  <c r="Q132" i="20"/>
  <c r="Q194" i="20"/>
  <c r="Q236" i="20"/>
  <c r="Q33" i="20"/>
  <c r="Q81" i="20"/>
  <c r="Q208" i="20"/>
  <c r="Q239" i="20"/>
  <c r="Q40" i="20"/>
  <c r="Q74" i="20"/>
  <c r="Q334" i="20"/>
  <c r="Q138" i="20"/>
  <c r="Q379" i="20"/>
  <c r="Q12" i="22" s="1"/>
  <c r="Q188" i="20"/>
  <c r="AD356" i="18"/>
  <c r="AD320" i="18"/>
  <c r="AD74" i="18"/>
  <c r="AD103" i="18"/>
  <c r="AD18" i="18"/>
  <c r="AD88" i="18"/>
  <c r="AD240" i="18"/>
  <c r="AD255" i="18"/>
  <c r="AD55" i="18"/>
  <c r="AD346" i="18"/>
  <c r="AD153" i="18"/>
  <c r="AD238" i="18"/>
  <c r="AD144" i="18"/>
  <c r="H227" i="17"/>
  <c r="I227" i="17" s="1"/>
  <c r="I379" i="17"/>
  <c r="E12" i="19"/>
  <c r="AD210" i="18"/>
  <c r="AD292" i="18"/>
  <c r="AA174" i="17"/>
  <c r="Z174" i="17" s="1"/>
  <c r="Y174" i="17" s="1"/>
  <c r="AA227" i="17"/>
  <c r="Z227" i="17" s="1"/>
  <c r="Y227" i="17" s="1"/>
  <c r="H174" i="17"/>
  <c r="J174" i="17" s="1"/>
  <c r="Q321" i="20"/>
  <c r="AE11" i="20"/>
  <c r="Q47" i="20"/>
  <c r="Q229" i="20"/>
  <c r="D346" i="18"/>
  <c r="E346" i="18" s="1"/>
  <c r="F346" i="18" s="1"/>
  <c r="I180" i="17"/>
  <c r="J180" i="17"/>
  <c r="J272" i="17"/>
  <c r="I272" i="17"/>
  <c r="S148" i="18"/>
  <c r="R148" i="18" s="1"/>
  <c r="P148" i="18" s="1"/>
  <c r="S157" i="18"/>
  <c r="R157" i="18" s="1"/>
  <c r="P157" i="18" s="1"/>
  <c r="S159" i="18"/>
  <c r="R159" i="18" s="1"/>
  <c r="P159" i="18" s="1"/>
  <c r="S116" i="18"/>
  <c r="R116" i="18" s="1"/>
  <c r="P116" i="18" s="1"/>
  <c r="S111" i="18"/>
  <c r="R111" i="18" s="1"/>
  <c r="P111" i="18" s="1"/>
  <c r="V111" i="18" s="1"/>
  <c r="S123" i="18"/>
  <c r="R123" i="18" s="1"/>
  <c r="P123" i="18" s="1"/>
  <c r="S18" i="18"/>
  <c r="R18" i="18" s="1"/>
  <c r="P18" i="18" s="1"/>
  <c r="S247" i="18"/>
  <c r="R247" i="18" s="1"/>
  <c r="P247" i="18" s="1"/>
  <c r="S99" i="18"/>
  <c r="R99" i="18" s="1"/>
  <c r="P99" i="18" s="1"/>
  <c r="S161" i="18"/>
  <c r="R161" i="18" s="1"/>
  <c r="P161" i="18" s="1"/>
  <c r="S91" i="18"/>
  <c r="R91" i="18" s="1"/>
  <c r="P91" i="18" s="1"/>
  <c r="S130" i="18"/>
  <c r="R130" i="18" s="1"/>
  <c r="P130" i="18" s="1"/>
  <c r="V130" i="18" s="1"/>
  <c r="S326" i="18"/>
  <c r="R326" i="18" s="1"/>
  <c r="P326" i="18" s="1"/>
  <c r="V326" i="18" s="1"/>
  <c r="S209" i="18"/>
  <c r="R209" i="18" s="1"/>
  <c r="P209" i="18" s="1"/>
  <c r="S29" i="18"/>
  <c r="R29" i="18" s="1"/>
  <c r="P29" i="18" s="1"/>
  <c r="S176" i="18"/>
  <c r="R176" i="18" s="1"/>
  <c r="P176" i="18" s="1"/>
  <c r="S217" i="18"/>
  <c r="R217" i="18" s="1"/>
  <c r="P217" i="18" s="1"/>
  <c r="S188" i="18"/>
  <c r="R188" i="18" s="1"/>
  <c r="P188" i="18" s="1"/>
  <c r="S75" i="18"/>
  <c r="R75" i="18" s="1"/>
  <c r="P75" i="18" s="1"/>
  <c r="V75" i="18" s="1"/>
  <c r="S288" i="18"/>
  <c r="R288" i="18" s="1"/>
  <c r="P288" i="18" s="1"/>
  <c r="V288" i="18" s="1"/>
  <c r="S162" i="18"/>
  <c r="R162" i="18" s="1"/>
  <c r="P162" i="18" s="1"/>
  <c r="S88" i="18"/>
  <c r="R88" i="18" s="1"/>
  <c r="P88" i="18" s="1"/>
  <c r="S277" i="18"/>
  <c r="R277" i="18" s="1"/>
  <c r="P277" i="18" s="1"/>
  <c r="S128" i="18"/>
  <c r="R128" i="18" s="1"/>
  <c r="P128" i="18" s="1"/>
  <c r="V128" i="18" s="1"/>
  <c r="S239" i="18"/>
  <c r="R239" i="18" s="1"/>
  <c r="P239" i="18" s="1"/>
  <c r="V239" i="18" s="1"/>
  <c r="S207" i="18"/>
  <c r="R207" i="18" s="1"/>
  <c r="P207" i="18" s="1"/>
  <c r="S54" i="18"/>
  <c r="R54" i="18" s="1"/>
  <c r="P54" i="18" s="1"/>
  <c r="S37" i="18"/>
  <c r="R37" i="18" s="1"/>
  <c r="P37" i="18" s="1"/>
  <c r="S287" i="18"/>
  <c r="R287" i="18" s="1"/>
  <c r="P287" i="18" s="1"/>
  <c r="S321" i="18"/>
  <c r="R321" i="18" s="1"/>
  <c r="P321" i="18" s="1"/>
  <c r="V321" i="18" s="1"/>
  <c r="S200" i="18"/>
  <c r="R200" i="18" s="1"/>
  <c r="P200" i="18" s="1"/>
  <c r="S374" i="18"/>
  <c r="R374" i="18" s="1"/>
  <c r="P374" i="18" s="1"/>
  <c r="V374" i="18" s="1"/>
  <c r="S56" i="18"/>
  <c r="R56" i="18" s="1"/>
  <c r="P56" i="18" s="1"/>
  <c r="S290" i="18"/>
  <c r="R290" i="18" s="1"/>
  <c r="P290" i="18" s="1"/>
  <c r="V290" i="18" s="1"/>
  <c r="S281" i="18"/>
  <c r="R281" i="18" s="1"/>
  <c r="P281" i="18" s="1"/>
  <c r="S341" i="18"/>
  <c r="R341" i="18" s="1"/>
  <c r="P341" i="18" s="1"/>
  <c r="V341" i="18" s="1"/>
  <c r="S230" i="18"/>
  <c r="R230" i="18" s="1"/>
  <c r="P230" i="18" s="1"/>
  <c r="S228" i="18"/>
  <c r="R228" i="18" s="1"/>
  <c r="P228" i="18" s="1"/>
  <c r="S181" i="18"/>
  <c r="R181" i="18" s="1"/>
  <c r="P181" i="18" s="1"/>
  <c r="S205" i="18"/>
  <c r="R205" i="18" s="1"/>
  <c r="P205" i="18" s="1"/>
  <c r="S48" i="18"/>
  <c r="R48" i="18" s="1"/>
  <c r="P48" i="18" s="1"/>
  <c r="S348" i="18"/>
  <c r="R348" i="18" s="1"/>
  <c r="P348" i="18" s="1"/>
  <c r="V348" i="18" s="1"/>
  <c r="S306" i="18"/>
  <c r="R306" i="18" s="1"/>
  <c r="P306" i="18" s="1"/>
  <c r="V306" i="18" s="1"/>
  <c r="S251" i="18"/>
  <c r="R251" i="18" s="1"/>
  <c r="P251" i="18" s="1"/>
  <c r="S330" i="18"/>
  <c r="R330" i="18" s="1"/>
  <c r="P330" i="18" s="1"/>
  <c r="V330" i="18" s="1"/>
  <c r="S364" i="18"/>
  <c r="R364" i="18" s="1"/>
  <c r="P364" i="18" s="1"/>
  <c r="V364" i="18" s="1"/>
  <c r="S284" i="18"/>
  <c r="R284" i="18" s="1"/>
  <c r="P284" i="18" s="1"/>
  <c r="S304" i="18"/>
  <c r="R304" i="18" s="1"/>
  <c r="P304" i="18" s="1"/>
  <c r="V304" i="18" s="1"/>
  <c r="S184" i="18"/>
  <c r="R184" i="18" s="1"/>
  <c r="P184" i="18" s="1"/>
  <c r="V184" i="18" s="1"/>
  <c r="S32" i="18"/>
  <c r="R32" i="18" s="1"/>
  <c r="P32" i="18" s="1"/>
  <c r="S46" i="18"/>
  <c r="R46" i="18" s="1"/>
  <c r="P46" i="18" s="1"/>
  <c r="S323" i="18"/>
  <c r="R323" i="18" s="1"/>
  <c r="P323" i="18" s="1"/>
  <c r="V323" i="18" s="1"/>
  <c r="S262" i="18"/>
  <c r="R262" i="18" s="1"/>
  <c r="P262" i="18" s="1"/>
  <c r="S183" i="18"/>
  <c r="R183" i="18" s="1"/>
  <c r="P183" i="18" s="1"/>
  <c r="S196" i="18"/>
  <c r="R196" i="18" s="1"/>
  <c r="P196" i="18" s="1"/>
  <c r="S367" i="18"/>
  <c r="R367" i="18" s="1"/>
  <c r="P367" i="18" s="1"/>
  <c r="V367" i="18" s="1"/>
  <c r="S252" i="18"/>
  <c r="R252" i="18" s="1"/>
  <c r="P252" i="18" s="1"/>
  <c r="S141" i="18"/>
  <c r="R141" i="18" s="1"/>
  <c r="P141" i="18" s="1"/>
  <c r="S192" i="18"/>
  <c r="R192" i="18" s="1"/>
  <c r="P192" i="18" s="1"/>
  <c r="S28" i="18"/>
  <c r="R28" i="18" s="1"/>
  <c r="P28" i="18" s="1"/>
  <c r="S85" i="18"/>
  <c r="R85" i="18" s="1"/>
  <c r="P85" i="18" s="1"/>
  <c r="S356" i="18"/>
  <c r="R356" i="18" s="1"/>
  <c r="P356" i="18" s="1"/>
  <c r="V356" i="18" s="1"/>
  <c r="S198" i="18"/>
  <c r="R198" i="18" s="1"/>
  <c r="P198" i="18" s="1"/>
  <c r="S363" i="18"/>
  <c r="R363" i="18" s="1"/>
  <c r="P363" i="18" s="1"/>
  <c r="S338" i="18"/>
  <c r="R338" i="18" s="1"/>
  <c r="P338" i="18" s="1"/>
  <c r="V338" i="18" s="1"/>
  <c r="S213" i="18"/>
  <c r="R213" i="18" s="1"/>
  <c r="P213" i="18" s="1"/>
  <c r="S74" i="18"/>
  <c r="R74" i="18" s="1"/>
  <c r="P74" i="18" s="1"/>
  <c r="S329" i="18"/>
  <c r="R329" i="18" s="1"/>
  <c r="P329" i="18" s="1"/>
  <c r="V329" i="18" s="1"/>
  <c r="S125" i="18"/>
  <c r="R125" i="18" s="1"/>
  <c r="P125" i="18" s="1"/>
  <c r="V125" i="18" s="1"/>
  <c r="S103" i="18"/>
  <c r="R103" i="18" s="1"/>
  <c r="P103" i="18" s="1"/>
  <c r="S231" i="18"/>
  <c r="R231" i="18" s="1"/>
  <c r="P231" i="18" s="1"/>
  <c r="S253" i="18"/>
  <c r="R253" i="18" s="1"/>
  <c r="P253" i="18" s="1"/>
  <c r="S114" i="18"/>
  <c r="R114" i="18" s="1"/>
  <c r="P114" i="18" s="1"/>
  <c r="S202" i="18"/>
  <c r="R202" i="18" s="1"/>
  <c r="P202" i="18" s="1"/>
  <c r="S21" i="18"/>
  <c r="R21" i="18" s="1"/>
  <c r="P21" i="18" s="1"/>
  <c r="S318" i="18"/>
  <c r="R318" i="18" s="1"/>
  <c r="P318" i="18" s="1"/>
  <c r="V318" i="18" s="1"/>
  <c r="S136" i="18"/>
  <c r="R136" i="18" s="1"/>
  <c r="P136" i="18" s="1"/>
  <c r="V136" i="18" s="1"/>
  <c r="S154" i="18"/>
  <c r="R154" i="18" s="1"/>
  <c r="P154" i="18" s="1"/>
  <c r="S16" i="18"/>
  <c r="R16" i="18" s="1"/>
  <c r="P16" i="18" s="1"/>
  <c r="S358" i="18"/>
  <c r="R358" i="18" s="1"/>
  <c r="P358" i="18" s="1"/>
  <c r="V358" i="18" s="1"/>
  <c r="S26" i="18"/>
  <c r="R26" i="18" s="1"/>
  <c r="P26" i="18" s="1"/>
  <c r="S62" i="18"/>
  <c r="R62" i="18" s="1"/>
  <c r="P62" i="18" s="1"/>
  <c r="S335" i="18"/>
  <c r="R335" i="18" s="1"/>
  <c r="P335" i="18" s="1"/>
  <c r="V335" i="18" s="1"/>
  <c r="S105" i="18"/>
  <c r="R105" i="18" s="1"/>
  <c r="P105" i="18" s="1"/>
  <c r="T15" i="18"/>
  <c r="U383" i="18"/>
  <c r="U382" i="18"/>
  <c r="U381" i="18"/>
  <c r="S215" i="18"/>
  <c r="R215" i="18" s="1"/>
  <c r="P215" i="18" s="1"/>
  <c r="S343" i="18"/>
  <c r="R343" i="18" s="1"/>
  <c r="P343" i="18" s="1"/>
  <c r="V343" i="18" s="1"/>
  <c r="S282" i="18"/>
  <c r="R282" i="18" s="1"/>
  <c r="P282" i="18" s="1"/>
  <c r="S182" i="18"/>
  <c r="R182" i="18" s="1"/>
  <c r="P182" i="18" s="1"/>
  <c r="S83" i="18"/>
  <c r="R83" i="18" s="1"/>
  <c r="P83" i="18" s="1"/>
  <c r="S273" i="18"/>
  <c r="R273" i="18" s="1"/>
  <c r="P273" i="18" s="1"/>
  <c r="V273" i="18" s="1"/>
  <c r="J241" i="17"/>
  <c r="I241" i="17"/>
  <c r="J210" i="17"/>
  <c r="I210" i="17"/>
  <c r="I74" i="17"/>
  <c r="J74" i="17"/>
  <c r="AG184" i="18"/>
  <c r="AF184" i="18" s="1"/>
  <c r="AD184" i="18" s="1"/>
  <c r="AG137" i="18"/>
  <c r="AF137" i="18" s="1"/>
  <c r="AD137" i="18" s="1"/>
  <c r="AG253" i="18"/>
  <c r="AF253" i="18" s="1"/>
  <c r="AD253" i="18" s="1"/>
  <c r="AG36" i="18"/>
  <c r="AF36" i="18" s="1"/>
  <c r="AD36" i="18" s="1"/>
  <c r="AG236" i="18"/>
  <c r="AF236" i="18" s="1"/>
  <c r="AD236" i="18" s="1"/>
  <c r="AG70" i="18"/>
  <c r="AF70" i="18" s="1"/>
  <c r="AD70" i="18" s="1"/>
  <c r="AG306" i="18"/>
  <c r="AF306" i="18" s="1"/>
  <c r="AD306" i="18" s="1"/>
  <c r="AG76" i="18"/>
  <c r="AF76" i="18" s="1"/>
  <c r="AD76" i="18" s="1"/>
  <c r="AG142" i="18"/>
  <c r="AF142" i="18" s="1"/>
  <c r="AD142" i="18" s="1"/>
  <c r="AG159" i="18"/>
  <c r="AF159" i="18" s="1"/>
  <c r="AD159" i="18" s="1"/>
  <c r="AG44" i="18"/>
  <c r="AF44" i="18" s="1"/>
  <c r="AD44" i="18" s="1"/>
  <c r="AG375" i="18"/>
  <c r="AF375" i="18" s="1"/>
  <c r="AD375" i="18" s="1"/>
  <c r="AG260" i="18"/>
  <c r="AF260" i="18" s="1"/>
  <c r="AD260" i="18" s="1"/>
  <c r="AG143" i="18"/>
  <c r="AF143" i="18" s="1"/>
  <c r="AD143" i="18" s="1"/>
  <c r="AG246" i="18"/>
  <c r="AF246" i="18" s="1"/>
  <c r="AD246" i="18" s="1"/>
  <c r="AG181" i="18"/>
  <c r="AF181" i="18" s="1"/>
  <c r="AD181" i="18" s="1"/>
  <c r="AG182" i="18"/>
  <c r="AF182" i="18" s="1"/>
  <c r="AD182" i="18" s="1"/>
  <c r="AG146" i="18"/>
  <c r="AF146" i="18" s="1"/>
  <c r="AD146" i="18" s="1"/>
  <c r="AG363" i="18"/>
  <c r="AF363" i="18" s="1"/>
  <c r="AD363" i="18" s="1"/>
  <c r="AG22" i="18"/>
  <c r="AF22" i="18" s="1"/>
  <c r="AD22" i="18" s="1"/>
  <c r="AG87" i="18"/>
  <c r="AF87" i="18" s="1"/>
  <c r="AD87" i="18" s="1"/>
  <c r="AG173" i="18"/>
  <c r="AF173" i="18" s="1"/>
  <c r="AD173" i="18" s="1"/>
  <c r="AG217" i="18"/>
  <c r="AF217" i="18" s="1"/>
  <c r="AD217" i="18" s="1"/>
  <c r="AG155" i="18"/>
  <c r="AF155" i="18" s="1"/>
  <c r="AD155" i="18" s="1"/>
  <c r="AG200" i="18"/>
  <c r="AF200" i="18" s="1"/>
  <c r="AD200" i="18" s="1"/>
  <c r="AG376" i="18"/>
  <c r="AF376" i="18" s="1"/>
  <c r="AD376" i="18" s="1"/>
  <c r="AG105" i="18"/>
  <c r="AF105" i="18" s="1"/>
  <c r="AD105" i="18" s="1"/>
  <c r="AG265" i="18"/>
  <c r="AF265" i="18" s="1"/>
  <c r="AD265" i="18" s="1"/>
  <c r="AG152" i="18"/>
  <c r="AF152" i="18" s="1"/>
  <c r="AD152" i="18" s="1"/>
  <c r="AG57" i="18"/>
  <c r="AF57" i="18" s="1"/>
  <c r="AD57" i="18" s="1"/>
  <c r="AG58" i="18"/>
  <c r="AF58" i="18" s="1"/>
  <c r="AD58" i="18" s="1"/>
  <c r="AG286" i="18"/>
  <c r="AF286" i="18" s="1"/>
  <c r="AD286" i="18" s="1"/>
  <c r="AG312" i="18"/>
  <c r="AF312" i="18" s="1"/>
  <c r="AD312" i="18" s="1"/>
  <c r="AG104" i="18"/>
  <c r="AF104" i="18" s="1"/>
  <c r="AD104" i="18" s="1"/>
  <c r="AG34" i="18"/>
  <c r="AF34" i="18" s="1"/>
  <c r="AD34" i="18" s="1"/>
  <c r="AG134" i="18"/>
  <c r="AF134" i="18" s="1"/>
  <c r="AD134" i="18" s="1"/>
  <c r="AG207" i="18"/>
  <c r="AF207" i="18" s="1"/>
  <c r="AD207" i="18" s="1"/>
  <c r="AG341" i="18"/>
  <c r="AF341" i="18" s="1"/>
  <c r="AD341" i="18" s="1"/>
  <c r="AG222" i="18"/>
  <c r="AF222" i="18" s="1"/>
  <c r="AD222" i="18" s="1"/>
  <c r="AG202" i="18"/>
  <c r="AF202" i="18" s="1"/>
  <c r="AD202" i="18" s="1"/>
  <c r="AG212" i="18"/>
  <c r="AF212" i="18" s="1"/>
  <c r="AD212" i="18" s="1"/>
  <c r="AG273" i="18"/>
  <c r="AF273" i="18" s="1"/>
  <c r="AD273" i="18" s="1"/>
  <c r="AG99" i="18"/>
  <c r="AF99" i="18" s="1"/>
  <c r="AD99" i="18" s="1"/>
  <c r="AG106" i="18"/>
  <c r="AF106" i="18" s="1"/>
  <c r="AD106" i="18" s="1"/>
  <c r="AG289" i="18"/>
  <c r="AF289" i="18" s="1"/>
  <c r="AD289" i="18" s="1"/>
  <c r="AG348" i="18"/>
  <c r="AF348" i="18" s="1"/>
  <c r="AD348" i="18" s="1"/>
  <c r="AG183" i="18"/>
  <c r="AF183" i="18" s="1"/>
  <c r="AD183" i="18" s="1"/>
  <c r="AG314" i="18"/>
  <c r="AF314" i="18" s="1"/>
  <c r="AD314" i="18" s="1"/>
  <c r="AG252" i="18"/>
  <c r="AF252" i="18" s="1"/>
  <c r="AD252" i="18" s="1"/>
  <c r="AG323" i="18"/>
  <c r="AF323" i="18" s="1"/>
  <c r="AD323" i="18" s="1"/>
  <c r="AG111" i="18"/>
  <c r="AF111" i="18" s="1"/>
  <c r="AD111" i="18" s="1"/>
  <c r="AG86" i="18"/>
  <c r="AF86" i="18" s="1"/>
  <c r="AD86" i="18" s="1"/>
  <c r="AG205" i="18"/>
  <c r="AF205" i="18" s="1"/>
  <c r="AD205" i="18" s="1"/>
  <c r="AG156" i="18"/>
  <c r="AF156" i="18" s="1"/>
  <c r="AD156" i="18" s="1"/>
  <c r="AG81" i="18"/>
  <c r="AF81" i="18" s="1"/>
  <c r="AD81" i="18" s="1"/>
  <c r="AG54" i="18"/>
  <c r="AF54" i="18" s="1"/>
  <c r="AD54" i="18" s="1"/>
  <c r="AG125" i="18"/>
  <c r="AF125" i="18" s="1"/>
  <c r="AD125" i="18" s="1"/>
  <c r="AG107" i="18"/>
  <c r="AF107" i="18" s="1"/>
  <c r="AD107" i="18" s="1"/>
  <c r="AG17" i="18"/>
  <c r="AF17" i="18" s="1"/>
  <c r="AD17" i="18" s="1"/>
  <c r="AG163" i="18"/>
  <c r="AF163" i="18" s="1"/>
  <c r="AD163" i="18" s="1"/>
  <c r="AG164" i="18"/>
  <c r="AF164" i="18" s="1"/>
  <c r="AD164" i="18" s="1"/>
  <c r="AG108" i="18"/>
  <c r="AF108" i="18" s="1"/>
  <c r="AD108" i="18" s="1"/>
  <c r="AG343" i="18"/>
  <c r="AF343" i="18" s="1"/>
  <c r="AD343" i="18" s="1"/>
  <c r="AG178" i="18"/>
  <c r="AF178" i="18" s="1"/>
  <c r="AD178" i="18" s="1"/>
  <c r="AG345" i="18"/>
  <c r="AF345" i="18" s="1"/>
  <c r="AD345" i="18" s="1"/>
  <c r="AG46" i="18"/>
  <c r="AF46" i="18" s="1"/>
  <c r="AD46" i="18" s="1"/>
  <c r="AG203" i="18"/>
  <c r="AF203" i="18" s="1"/>
  <c r="AD203" i="18" s="1"/>
  <c r="AG294" i="18"/>
  <c r="AF294" i="18" s="1"/>
  <c r="AD294" i="18" s="1"/>
  <c r="AG361" i="18"/>
  <c r="AF361" i="18" s="1"/>
  <c r="AD361" i="18" s="1"/>
  <c r="AG235" i="18"/>
  <c r="AF235" i="18" s="1"/>
  <c r="AD235" i="18" s="1"/>
  <c r="AG279" i="18"/>
  <c r="AF279" i="18" s="1"/>
  <c r="AD279" i="18" s="1"/>
  <c r="AG313" i="18"/>
  <c r="AF313" i="18" s="1"/>
  <c r="AD313" i="18" s="1"/>
  <c r="AG75" i="18"/>
  <c r="AF75" i="18" s="1"/>
  <c r="AD75" i="18" s="1"/>
  <c r="AG297" i="18"/>
  <c r="AF297" i="18" s="1"/>
  <c r="AD297" i="18" s="1"/>
  <c r="AG373" i="18"/>
  <c r="AF373" i="18" s="1"/>
  <c r="AD373" i="18" s="1"/>
  <c r="AG63" i="18"/>
  <c r="AF63" i="18" s="1"/>
  <c r="AD63" i="18" s="1"/>
  <c r="AG59" i="18"/>
  <c r="AF59" i="18" s="1"/>
  <c r="AD59" i="18" s="1"/>
  <c r="AG133" i="18"/>
  <c r="AF133" i="18" s="1"/>
  <c r="AD133" i="18" s="1"/>
  <c r="AG82" i="18"/>
  <c r="AF82" i="18" s="1"/>
  <c r="AD82" i="18" s="1"/>
  <c r="AG78" i="18"/>
  <c r="AF78" i="18" s="1"/>
  <c r="AD78" i="18" s="1"/>
  <c r="AG124" i="18"/>
  <c r="AF124" i="18" s="1"/>
  <c r="AD124" i="18" s="1"/>
  <c r="AG23" i="18"/>
  <c r="AF23" i="18" s="1"/>
  <c r="AD23" i="18" s="1"/>
  <c r="AG185" i="18"/>
  <c r="AF185" i="18" s="1"/>
  <c r="AD185" i="18" s="1"/>
  <c r="AG136" i="18"/>
  <c r="AF136" i="18" s="1"/>
  <c r="AD136" i="18" s="1"/>
  <c r="AG41" i="18"/>
  <c r="AF41" i="18" s="1"/>
  <c r="AD41" i="18" s="1"/>
  <c r="AG166" i="18"/>
  <c r="AF166" i="18" s="1"/>
  <c r="AD166" i="18" s="1"/>
  <c r="AG282" i="18"/>
  <c r="AF282" i="18" s="1"/>
  <c r="AD282" i="18" s="1"/>
  <c r="AG354" i="18"/>
  <c r="AF354" i="18" s="1"/>
  <c r="AD354" i="18" s="1"/>
  <c r="AG284" i="18"/>
  <c r="AF284" i="18" s="1"/>
  <c r="AD284" i="18" s="1"/>
  <c r="AG310" i="18"/>
  <c r="AF310" i="18" s="1"/>
  <c r="AD310" i="18" s="1"/>
  <c r="AG171" i="18"/>
  <c r="AF171" i="18" s="1"/>
  <c r="AD171" i="18" s="1"/>
  <c r="AF383" i="17"/>
  <c r="AF382" i="17"/>
  <c r="AF381" i="17"/>
  <c r="AD15" i="17"/>
  <c r="J105" i="17"/>
  <c r="I105" i="17"/>
  <c r="J261" i="17"/>
  <c r="I261" i="17"/>
  <c r="Y381" i="15"/>
  <c r="Y383" i="15"/>
  <c r="X9" i="15"/>
  <c r="Z11" i="15" s="1"/>
  <c r="Z5" i="15" s="1"/>
  <c r="H12" i="19" s="1"/>
  <c r="Y382" i="15"/>
  <c r="AL6" i="15"/>
  <c r="AL12" i="15" s="1"/>
  <c r="AM6" i="15"/>
  <c r="AM12" i="15" s="1"/>
  <c r="Y11" i="15"/>
  <c r="S377" i="18"/>
  <c r="R377" i="18" s="1"/>
  <c r="P377" i="18" s="1"/>
  <c r="V377" i="18" s="1"/>
  <c r="S265" i="18"/>
  <c r="R265" i="18" s="1"/>
  <c r="P265" i="18" s="1"/>
  <c r="S372" i="18"/>
  <c r="R372" i="18" s="1"/>
  <c r="P372" i="18" s="1"/>
  <c r="V372" i="18" s="1"/>
  <c r="S210" i="18"/>
  <c r="R210" i="18" s="1"/>
  <c r="P210" i="18" s="1"/>
  <c r="S38" i="18"/>
  <c r="R38" i="18" s="1"/>
  <c r="P38" i="18" s="1"/>
  <c r="S350" i="18"/>
  <c r="R350" i="18" s="1"/>
  <c r="P350" i="18" s="1"/>
  <c r="V350" i="18" s="1"/>
  <c r="S225" i="18"/>
  <c r="R225" i="18" s="1"/>
  <c r="P225" i="18" s="1"/>
  <c r="S137" i="18"/>
  <c r="R137" i="18" s="1"/>
  <c r="P137" i="18" s="1"/>
  <c r="S351" i="18"/>
  <c r="R351" i="18" s="1"/>
  <c r="P351" i="18" s="1"/>
  <c r="V351" i="18" s="1"/>
  <c r="S108" i="18"/>
  <c r="R108" i="18" s="1"/>
  <c r="P108" i="18" s="1"/>
  <c r="V108" i="18" s="1"/>
  <c r="S216" i="18"/>
  <c r="R216" i="18" s="1"/>
  <c r="P216" i="18" s="1"/>
  <c r="S138" i="18"/>
  <c r="R138" i="18" s="1"/>
  <c r="P138" i="18" s="1"/>
  <c r="S349" i="18"/>
  <c r="R349" i="18" s="1"/>
  <c r="P349" i="18" s="1"/>
  <c r="V349" i="18" s="1"/>
  <c r="S325" i="18"/>
  <c r="R325" i="18" s="1"/>
  <c r="P325" i="18" s="1"/>
  <c r="V325" i="18" s="1"/>
  <c r="S167" i="18"/>
  <c r="R167" i="18" s="1"/>
  <c r="P167" i="18" s="1"/>
  <c r="S186" i="18"/>
  <c r="R186" i="18" s="1"/>
  <c r="P186" i="18" s="1"/>
  <c r="S168" i="18"/>
  <c r="R168" i="18" s="1"/>
  <c r="P168" i="18" s="1"/>
  <c r="S57" i="18"/>
  <c r="R57" i="18" s="1"/>
  <c r="P57" i="18" s="1"/>
  <c r="V57" i="18" s="1"/>
  <c r="S298" i="18"/>
  <c r="R298" i="18" s="1"/>
  <c r="P298" i="18" s="1"/>
  <c r="V298" i="18" s="1"/>
  <c r="S279" i="18"/>
  <c r="R279" i="18" s="1"/>
  <c r="P279" i="18" s="1"/>
  <c r="S264" i="18"/>
  <c r="R264" i="18" s="1"/>
  <c r="P264" i="18" s="1"/>
  <c r="S104" i="18"/>
  <c r="R104" i="18" s="1"/>
  <c r="P104" i="18" s="1"/>
  <c r="S276" i="18"/>
  <c r="R276" i="18" s="1"/>
  <c r="P276" i="18" s="1"/>
  <c r="V276" i="18" s="1"/>
  <c r="S369" i="18"/>
  <c r="R369" i="18" s="1"/>
  <c r="P369" i="18" s="1"/>
  <c r="V369" i="18" s="1"/>
  <c r="S97" i="18"/>
  <c r="R97" i="18" s="1"/>
  <c r="P97" i="18" s="1"/>
  <c r="S24" i="18"/>
  <c r="R24" i="18" s="1"/>
  <c r="P24" i="18" s="1"/>
  <c r="S269" i="18"/>
  <c r="R269" i="18" s="1"/>
  <c r="P269" i="18" s="1"/>
  <c r="S229" i="18"/>
  <c r="R229" i="18" s="1"/>
  <c r="P229" i="18" s="1"/>
  <c r="S301" i="18"/>
  <c r="R301" i="18" s="1"/>
  <c r="P301" i="18" s="1"/>
  <c r="V301" i="18" s="1"/>
  <c r="S244" i="18"/>
  <c r="R244" i="18" s="1"/>
  <c r="P244" i="18" s="1"/>
  <c r="S261" i="18"/>
  <c r="R261" i="18" s="1"/>
  <c r="P261" i="18" s="1"/>
  <c r="T379" i="18"/>
  <c r="U12" i="20"/>
  <c r="AB16" i="7"/>
  <c r="AH11" i="7" s="1"/>
  <c r="U11" i="20" s="1"/>
  <c r="S66" i="18"/>
  <c r="R66" i="18" s="1"/>
  <c r="P66" i="18" s="1"/>
  <c r="S76" i="18"/>
  <c r="R76" i="18" s="1"/>
  <c r="P76" i="18" s="1"/>
  <c r="S197" i="18"/>
  <c r="R197" i="18" s="1"/>
  <c r="P197" i="18" s="1"/>
  <c r="S58" i="18"/>
  <c r="R58" i="18" s="1"/>
  <c r="P58" i="18" s="1"/>
  <c r="S257" i="18"/>
  <c r="R257" i="18" s="1"/>
  <c r="P257" i="18" s="1"/>
  <c r="S295" i="18"/>
  <c r="R295" i="18" s="1"/>
  <c r="P295" i="18" s="1"/>
  <c r="V295" i="18" s="1"/>
  <c r="S171" i="18"/>
  <c r="R171" i="18" s="1"/>
  <c r="P171" i="18" s="1"/>
  <c r="S147" i="18"/>
  <c r="R147" i="18" s="1"/>
  <c r="P147" i="18" s="1"/>
  <c r="R382" i="17"/>
  <c r="R383" i="17"/>
  <c r="R381" i="17"/>
  <c r="P15" i="17"/>
  <c r="I356" i="17"/>
  <c r="J356" i="17"/>
  <c r="J19" i="17"/>
  <c r="I19" i="17"/>
  <c r="J135" i="17"/>
  <c r="I135" i="17"/>
  <c r="Y135" i="17"/>
  <c r="I113" i="17"/>
  <c r="J113" i="17"/>
  <c r="I149" i="17"/>
  <c r="J149" i="17"/>
  <c r="J112" i="17"/>
  <c r="I112" i="17"/>
  <c r="I333" i="17"/>
  <c r="J333" i="17"/>
  <c r="S300" i="18"/>
  <c r="R300" i="18" s="1"/>
  <c r="P300" i="18" s="1"/>
  <c r="V300" i="18" s="1"/>
  <c r="S260" i="18"/>
  <c r="R260" i="18" s="1"/>
  <c r="P260" i="18" s="1"/>
  <c r="V260" i="18" s="1"/>
  <c r="S235" i="18"/>
  <c r="R235" i="18" s="1"/>
  <c r="P235" i="18" s="1"/>
  <c r="S43" i="18"/>
  <c r="R43" i="18" s="1"/>
  <c r="P43" i="18" s="1"/>
  <c r="S124" i="18"/>
  <c r="R124" i="18" s="1"/>
  <c r="P124" i="18" s="1"/>
  <c r="S45" i="18"/>
  <c r="R45" i="18" s="1"/>
  <c r="P45" i="18" s="1"/>
  <c r="S293" i="18"/>
  <c r="R293" i="18" s="1"/>
  <c r="P293" i="18" s="1"/>
  <c r="V293" i="18" s="1"/>
  <c r="S80" i="18"/>
  <c r="R80" i="18" s="1"/>
  <c r="P80" i="18" s="1"/>
  <c r="S204" i="18"/>
  <c r="R204" i="18" s="1"/>
  <c r="P204" i="18" s="1"/>
  <c r="S194" i="18"/>
  <c r="R194" i="18" s="1"/>
  <c r="P194" i="18" s="1"/>
  <c r="S337" i="18"/>
  <c r="R337" i="18" s="1"/>
  <c r="P337" i="18" s="1"/>
  <c r="V337" i="18" s="1"/>
  <c r="S69" i="18"/>
  <c r="R69" i="18" s="1"/>
  <c r="P69" i="18" s="1"/>
  <c r="S347" i="18"/>
  <c r="R347" i="18" s="1"/>
  <c r="P347" i="18" s="1"/>
  <c r="V347" i="18" s="1"/>
  <c r="S152" i="18"/>
  <c r="R152" i="18" s="1"/>
  <c r="P152" i="18" s="1"/>
  <c r="S143" i="18"/>
  <c r="R143" i="18" s="1"/>
  <c r="P143" i="18" s="1"/>
  <c r="S117" i="18"/>
  <c r="R117" i="18" s="1"/>
  <c r="P117" i="18" s="1"/>
  <c r="S317" i="18"/>
  <c r="R317" i="18" s="1"/>
  <c r="P317" i="18" s="1"/>
  <c r="V317" i="18" s="1"/>
  <c r="S214" i="18"/>
  <c r="R214" i="18" s="1"/>
  <c r="P214" i="18" s="1"/>
  <c r="V214" i="18" s="1"/>
  <c r="S67" i="18"/>
  <c r="R67" i="18" s="1"/>
  <c r="P67" i="18" s="1"/>
  <c r="S149" i="18"/>
  <c r="R149" i="18" s="1"/>
  <c r="P149" i="18" s="1"/>
  <c r="S355" i="18"/>
  <c r="R355" i="18" s="1"/>
  <c r="P355" i="18" s="1"/>
  <c r="V355" i="18" s="1"/>
  <c r="S151" i="18"/>
  <c r="R151" i="18" s="1"/>
  <c r="P151" i="18" s="1"/>
  <c r="S256" i="18"/>
  <c r="R256" i="18" s="1"/>
  <c r="P256" i="18" s="1"/>
  <c r="V256" i="18" s="1"/>
  <c r="S40" i="18"/>
  <c r="R40" i="18" s="1"/>
  <c r="P40" i="18" s="1"/>
  <c r="S259" i="18"/>
  <c r="R259" i="18" s="1"/>
  <c r="P259" i="18" s="1"/>
  <c r="S297" i="18"/>
  <c r="R297" i="18" s="1"/>
  <c r="P297" i="18" s="1"/>
  <c r="V297" i="18" s="1"/>
  <c r="S315" i="18"/>
  <c r="R315" i="18" s="1"/>
  <c r="P315" i="18" s="1"/>
  <c r="V315" i="18" s="1"/>
  <c r="S145" i="18"/>
  <c r="R145" i="18" s="1"/>
  <c r="P145" i="18" s="1"/>
  <c r="S129" i="18"/>
  <c r="R129" i="18" s="1"/>
  <c r="P129" i="18" s="1"/>
  <c r="S270" i="18"/>
  <c r="R270" i="18" s="1"/>
  <c r="P270" i="18" s="1"/>
  <c r="S324" i="18"/>
  <c r="R324" i="18" s="1"/>
  <c r="P324" i="18" s="1"/>
  <c r="V324" i="18" s="1"/>
  <c r="S82" i="18"/>
  <c r="R82" i="18" s="1"/>
  <c r="P82" i="18" s="1"/>
  <c r="S53" i="18"/>
  <c r="R53" i="18" s="1"/>
  <c r="P53" i="18" s="1"/>
  <c r="S61" i="18"/>
  <c r="R61" i="18" s="1"/>
  <c r="P61" i="18" s="1"/>
  <c r="S305" i="18"/>
  <c r="R305" i="18" s="1"/>
  <c r="P305" i="18" s="1"/>
  <c r="V305" i="18" s="1"/>
  <c r="S291" i="18"/>
  <c r="R291" i="18" s="1"/>
  <c r="P291" i="18" s="1"/>
  <c r="V291" i="18" s="1"/>
  <c r="S127" i="18"/>
  <c r="R127" i="18" s="1"/>
  <c r="P127" i="18" s="1"/>
  <c r="S112" i="18"/>
  <c r="R112" i="18" s="1"/>
  <c r="P112" i="18" s="1"/>
  <c r="V112" i="18" s="1"/>
  <c r="S19" i="18"/>
  <c r="R19" i="18" s="1"/>
  <c r="P19" i="18" s="1"/>
  <c r="S55" i="18"/>
  <c r="R55" i="18" s="1"/>
  <c r="P55" i="18" s="1"/>
  <c r="S180" i="18"/>
  <c r="R180" i="18" s="1"/>
  <c r="P180" i="18" s="1"/>
  <c r="S72" i="18"/>
  <c r="R72" i="18" s="1"/>
  <c r="P72" i="18" s="1"/>
  <c r="S357" i="18"/>
  <c r="R357" i="18" s="1"/>
  <c r="P357" i="18" s="1"/>
  <c r="V357" i="18" s="1"/>
  <c r="S378" i="18"/>
  <c r="R378" i="18" s="1"/>
  <c r="P378" i="18" s="1"/>
  <c r="V378" i="18" s="1"/>
  <c r="S33" i="18"/>
  <c r="R33" i="18" s="1"/>
  <c r="P33" i="18" s="1"/>
  <c r="S81" i="18"/>
  <c r="R81" i="18" s="1"/>
  <c r="P81" i="18" s="1"/>
  <c r="S320" i="18"/>
  <c r="R320" i="18" s="1"/>
  <c r="P320" i="18" s="1"/>
  <c r="V320" i="18" s="1"/>
  <c r="S140" i="18"/>
  <c r="R140" i="18" s="1"/>
  <c r="P140" i="18" s="1"/>
  <c r="S254" i="18"/>
  <c r="R254" i="18" s="1"/>
  <c r="P254" i="18" s="1"/>
  <c r="S314" i="18"/>
  <c r="R314" i="18" s="1"/>
  <c r="P314" i="18" s="1"/>
  <c r="V314" i="18" s="1"/>
  <c r="S352" i="18"/>
  <c r="R352" i="18" s="1"/>
  <c r="P352" i="18" s="1"/>
  <c r="V352" i="18" s="1"/>
  <c r="I60" i="17"/>
  <c r="J60" i="17"/>
  <c r="I324" i="17"/>
  <c r="J324" i="17"/>
  <c r="AI382" i="18"/>
  <c r="AI383" i="18"/>
  <c r="I86" i="17"/>
  <c r="J86" i="17"/>
  <c r="J326" i="17"/>
  <c r="I326" i="17"/>
  <c r="I18" i="17"/>
  <c r="J18" i="17"/>
  <c r="I319" i="17"/>
  <c r="J319" i="17"/>
  <c r="J302" i="17"/>
  <c r="I302" i="17"/>
  <c r="J119" i="17"/>
  <c r="I119" i="17"/>
  <c r="H349" i="17"/>
  <c r="G349" i="17"/>
  <c r="BZ349" i="6" s="1"/>
  <c r="AA349" i="17"/>
  <c r="Z349" i="17" s="1"/>
  <c r="Y349" i="17" s="1"/>
  <c r="I288" i="17"/>
  <c r="J288" i="17"/>
  <c r="H196" i="17"/>
  <c r="AA196" i="17"/>
  <c r="Z196" i="17" s="1"/>
  <c r="Y196" i="17" s="1"/>
  <c r="G196" i="17"/>
  <c r="BZ196" i="6" s="1"/>
  <c r="S70" i="18"/>
  <c r="R70" i="18" s="1"/>
  <c r="P70" i="18" s="1"/>
  <c r="S243" i="18"/>
  <c r="R243" i="18" s="1"/>
  <c r="P243" i="18" s="1"/>
  <c r="V243" i="18" s="1"/>
  <c r="S250" i="18"/>
  <c r="R250" i="18" s="1"/>
  <c r="P250" i="18" s="1"/>
  <c r="S142" i="18"/>
  <c r="R142" i="18" s="1"/>
  <c r="P142" i="18" s="1"/>
  <c r="S283" i="18"/>
  <c r="R283" i="18" s="1"/>
  <c r="P283" i="18" s="1"/>
  <c r="S101" i="18"/>
  <c r="R101" i="18" s="1"/>
  <c r="P101" i="18" s="1"/>
  <c r="S118" i="18"/>
  <c r="R118" i="18" s="1"/>
  <c r="P118" i="18" s="1"/>
  <c r="S309" i="18"/>
  <c r="R309" i="18" s="1"/>
  <c r="P309" i="18" s="1"/>
  <c r="V309" i="18" s="1"/>
  <c r="S86" i="18"/>
  <c r="R86" i="18" s="1"/>
  <c r="P86" i="18" s="1"/>
  <c r="S139" i="18"/>
  <c r="R139" i="18" s="1"/>
  <c r="P139" i="18" s="1"/>
  <c r="S211" i="18"/>
  <c r="R211" i="18" s="1"/>
  <c r="P211" i="18" s="1"/>
  <c r="S185" i="18"/>
  <c r="R185" i="18" s="1"/>
  <c r="P185" i="18" s="1"/>
  <c r="S302" i="18"/>
  <c r="R302" i="18" s="1"/>
  <c r="P302" i="18" s="1"/>
  <c r="S361" i="18"/>
  <c r="R361" i="18" s="1"/>
  <c r="P361" i="18" s="1"/>
  <c r="V361" i="18" s="1"/>
  <c r="S77" i="18"/>
  <c r="R77" i="18" s="1"/>
  <c r="P77" i="18" s="1"/>
  <c r="S373" i="18"/>
  <c r="R373" i="18" s="1"/>
  <c r="P373" i="18" s="1"/>
  <c r="V373" i="18" s="1"/>
  <c r="S96" i="18"/>
  <c r="R96" i="18" s="1"/>
  <c r="P96" i="18" s="1"/>
  <c r="S174" i="18"/>
  <c r="R174" i="18" s="1"/>
  <c r="P174" i="18" s="1"/>
  <c r="V174" i="18" s="1"/>
  <c r="S25" i="18"/>
  <c r="R25" i="18" s="1"/>
  <c r="P25" i="18" s="1"/>
  <c r="S294" i="18"/>
  <c r="R294" i="18" s="1"/>
  <c r="P294" i="18" s="1"/>
  <c r="V294" i="18" s="1"/>
  <c r="S311" i="18"/>
  <c r="R311" i="18" s="1"/>
  <c r="P311" i="18" s="1"/>
  <c r="V311" i="18" s="1"/>
  <c r="S227" i="18"/>
  <c r="R227" i="18" s="1"/>
  <c r="P227" i="18" s="1"/>
  <c r="V227" i="18" s="1"/>
  <c r="S120" i="18"/>
  <c r="R120" i="18" s="1"/>
  <c r="P120" i="18" s="1"/>
  <c r="S339" i="18"/>
  <c r="R339" i="18" s="1"/>
  <c r="P339" i="18" s="1"/>
  <c r="V339" i="18" s="1"/>
  <c r="S31" i="18"/>
  <c r="R31" i="18" s="1"/>
  <c r="P31" i="18" s="1"/>
  <c r="S84" i="18"/>
  <c r="R84" i="18" s="1"/>
  <c r="P84" i="18" s="1"/>
  <c r="S360" i="18"/>
  <c r="R360" i="18" s="1"/>
  <c r="P360" i="18" s="1"/>
  <c r="V360" i="18" s="1"/>
  <c r="S49" i="18"/>
  <c r="R49" i="18" s="1"/>
  <c r="P49" i="18" s="1"/>
  <c r="S201" i="18"/>
  <c r="R201" i="18" s="1"/>
  <c r="P201" i="18" s="1"/>
  <c r="S165" i="18"/>
  <c r="R165" i="18" s="1"/>
  <c r="P165" i="18" s="1"/>
  <c r="S218" i="18"/>
  <c r="R218" i="18" s="1"/>
  <c r="P218" i="18" s="1"/>
  <c r="S133" i="18"/>
  <c r="R133" i="18" s="1"/>
  <c r="P133" i="18" s="1"/>
  <c r="S156" i="18"/>
  <c r="R156" i="18" s="1"/>
  <c r="P156" i="18" s="1"/>
  <c r="S331" i="18"/>
  <c r="R331" i="18" s="1"/>
  <c r="P331" i="18" s="1"/>
  <c r="V331" i="18" s="1"/>
  <c r="S222" i="18"/>
  <c r="R222" i="18" s="1"/>
  <c r="P222" i="18" s="1"/>
  <c r="S68" i="18"/>
  <c r="R68" i="18" s="1"/>
  <c r="P68" i="18" s="1"/>
  <c r="S177" i="18"/>
  <c r="R177" i="18" s="1"/>
  <c r="P177" i="18" s="1"/>
  <c r="S93" i="18"/>
  <c r="R93" i="18" s="1"/>
  <c r="P93" i="18" s="1"/>
  <c r="S107" i="18"/>
  <c r="R107" i="18" s="1"/>
  <c r="P107" i="18" s="1"/>
  <c r="S308" i="18"/>
  <c r="R308" i="18" s="1"/>
  <c r="P308" i="18" s="1"/>
  <c r="V308" i="18" s="1"/>
  <c r="S166" i="18"/>
  <c r="R166" i="18" s="1"/>
  <c r="P166" i="18" s="1"/>
  <c r="S78" i="18"/>
  <c r="R78" i="18" s="1"/>
  <c r="P78" i="18" s="1"/>
  <c r="S52" i="18"/>
  <c r="R52" i="18" s="1"/>
  <c r="P52" i="18" s="1"/>
  <c r="S179" i="18"/>
  <c r="R179" i="18" s="1"/>
  <c r="P179" i="18" s="1"/>
  <c r="S327" i="18"/>
  <c r="R327" i="18" s="1"/>
  <c r="P327" i="18" s="1"/>
  <c r="V327" i="18" s="1"/>
  <c r="S249" i="18"/>
  <c r="R249" i="18" s="1"/>
  <c r="P249" i="18" s="1"/>
  <c r="S267" i="18"/>
  <c r="R267" i="18" s="1"/>
  <c r="P267" i="18" s="1"/>
  <c r="V267" i="18" s="1"/>
  <c r="S258" i="18"/>
  <c r="R258" i="18" s="1"/>
  <c r="P258" i="18" s="1"/>
  <c r="V258" i="18" s="1"/>
  <c r="S153" i="18"/>
  <c r="R153" i="18" s="1"/>
  <c r="P153" i="18" s="1"/>
  <c r="S60" i="18"/>
  <c r="R60" i="18" s="1"/>
  <c r="P60" i="18" s="1"/>
  <c r="S280" i="18"/>
  <c r="R280" i="18" s="1"/>
  <c r="P280" i="18" s="1"/>
  <c r="S240" i="18"/>
  <c r="R240" i="18" s="1"/>
  <c r="P240" i="18" s="1"/>
  <c r="S34" i="18"/>
  <c r="R34" i="18" s="1"/>
  <c r="P34" i="18" s="1"/>
  <c r="V34" i="18" s="1"/>
  <c r="D34" i="18" s="1"/>
  <c r="E34" i="18" s="1"/>
  <c r="F34" i="18" s="1"/>
  <c r="S333" i="18"/>
  <c r="R333" i="18" s="1"/>
  <c r="P333" i="18" s="1"/>
  <c r="S263" i="18"/>
  <c r="R263" i="18" s="1"/>
  <c r="P263" i="18" s="1"/>
  <c r="S285" i="18"/>
  <c r="R285" i="18" s="1"/>
  <c r="P285" i="18" s="1"/>
  <c r="S146" i="18"/>
  <c r="R146" i="18" s="1"/>
  <c r="P146" i="18" s="1"/>
  <c r="S233" i="18"/>
  <c r="R233" i="18" s="1"/>
  <c r="P233" i="18" s="1"/>
  <c r="S248" i="18"/>
  <c r="R248" i="18" s="1"/>
  <c r="P248" i="18" s="1"/>
  <c r="S121" i="18"/>
  <c r="R121" i="18" s="1"/>
  <c r="P121" i="18" s="1"/>
  <c r="S178" i="18"/>
  <c r="R178" i="18" s="1"/>
  <c r="P178" i="18" s="1"/>
  <c r="S206" i="18"/>
  <c r="R206" i="18" s="1"/>
  <c r="P206" i="18" s="1"/>
  <c r="S131" i="18"/>
  <c r="R131" i="18" s="1"/>
  <c r="P131" i="18" s="1"/>
  <c r="S221" i="18"/>
  <c r="R221" i="18" s="1"/>
  <c r="P221" i="18" s="1"/>
  <c r="S64" i="18"/>
  <c r="R64" i="18" s="1"/>
  <c r="P64" i="18" s="1"/>
  <c r="S44" i="18"/>
  <c r="R44" i="18" s="1"/>
  <c r="P44" i="18" s="1"/>
  <c r="S208" i="18"/>
  <c r="R208" i="18" s="1"/>
  <c r="P208" i="18" s="1"/>
  <c r="S92" i="18"/>
  <c r="R92" i="18" s="1"/>
  <c r="P92" i="18" s="1"/>
  <c r="V92" i="18" s="1"/>
  <c r="S47" i="18"/>
  <c r="R47" i="18" s="1"/>
  <c r="P47" i="18" s="1"/>
  <c r="S100" i="18"/>
  <c r="R100" i="18" s="1"/>
  <c r="P100" i="18" s="1"/>
  <c r="S303" i="18"/>
  <c r="R303" i="18" s="1"/>
  <c r="P303" i="18" s="1"/>
  <c r="V303" i="18" s="1"/>
  <c r="S220" i="18"/>
  <c r="R220" i="18" s="1"/>
  <c r="P220" i="18" s="1"/>
  <c r="S368" i="18"/>
  <c r="R368" i="18" s="1"/>
  <c r="P368" i="18" s="1"/>
  <c r="V368" i="18" s="1"/>
  <c r="S172" i="18"/>
  <c r="R172" i="18" s="1"/>
  <c r="P172" i="18" s="1"/>
  <c r="V172" i="18" s="1"/>
  <c r="S50" i="18"/>
  <c r="R50" i="18" s="1"/>
  <c r="P50" i="18" s="1"/>
  <c r="V50" i="18" s="1"/>
  <c r="S354" i="18"/>
  <c r="R354" i="18" s="1"/>
  <c r="P354" i="18" s="1"/>
  <c r="V354" i="18" s="1"/>
  <c r="S23" i="18"/>
  <c r="R23" i="18" s="1"/>
  <c r="P23" i="18" s="1"/>
  <c r="S35" i="18"/>
  <c r="R35" i="18" s="1"/>
  <c r="P35" i="18" s="1"/>
  <c r="S313" i="18"/>
  <c r="R313" i="18" s="1"/>
  <c r="P313" i="18" s="1"/>
  <c r="V313" i="18" s="1"/>
  <c r="S119" i="18"/>
  <c r="R119" i="18" s="1"/>
  <c r="P119" i="18" s="1"/>
  <c r="S41" i="18"/>
  <c r="R41" i="18" s="1"/>
  <c r="P41" i="18" s="1"/>
  <c r="S187" i="18"/>
  <c r="R187" i="18" s="1"/>
  <c r="P187" i="18" s="1"/>
  <c r="S203" i="18"/>
  <c r="R203" i="18" s="1"/>
  <c r="P203" i="18" s="1"/>
  <c r="S219" i="18"/>
  <c r="R219" i="18" s="1"/>
  <c r="P219" i="18" s="1"/>
  <c r="S232" i="18"/>
  <c r="R232" i="18" s="1"/>
  <c r="P232" i="18" s="1"/>
  <c r="S266" i="18"/>
  <c r="R266" i="18" s="1"/>
  <c r="P266" i="18" s="1"/>
  <c r="S332" i="18"/>
  <c r="R332" i="18" s="1"/>
  <c r="P332" i="18" s="1"/>
  <c r="V332" i="18" s="1"/>
  <c r="S155" i="18"/>
  <c r="R155" i="18" s="1"/>
  <c r="P155" i="18" s="1"/>
  <c r="S312" i="18"/>
  <c r="R312" i="18" s="1"/>
  <c r="P312" i="18" s="1"/>
  <c r="V312" i="18" s="1"/>
  <c r="S79" i="18"/>
  <c r="R79" i="18" s="1"/>
  <c r="P79" i="18" s="1"/>
  <c r="V79" i="18" s="1"/>
  <c r="S345" i="18"/>
  <c r="R345" i="18" s="1"/>
  <c r="P345" i="18" s="1"/>
  <c r="V345" i="18" s="1"/>
  <c r="I88" i="17"/>
  <c r="J88" i="17"/>
  <c r="I15" i="16"/>
  <c r="J15" i="16"/>
  <c r="G13" i="19"/>
  <c r="AB9" i="16"/>
  <c r="F11" i="16"/>
  <c r="G382" i="16"/>
  <c r="G383" i="16"/>
  <c r="G12" i="16" s="1"/>
  <c r="G381" i="16"/>
  <c r="J380" i="20"/>
  <c r="C380" i="6" s="1"/>
  <c r="I380" i="20"/>
  <c r="B380" i="6" s="1"/>
  <c r="BA380" i="6" s="1"/>
  <c r="AG239" i="18"/>
  <c r="AF239" i="18" s="1"/>
  <c r="AD239" i="18" s="1"/>
  <c r="AG93" i="18"/>
  <c r="AF93" i="18" s="1"/>
  <c r="AD93" i="18" s="1"/>
  <c r="AG304" i="18"/>
  <c r="AF304" i="18" s="1"/>
  <c r="AD304" i="18" s="1"/>
  <c r="AG35" i="18"/>
  <c r="AF35" i="18" s="1"/>
  <c r="AD35" i="18" s="1"/>
  <c r="AG31" i="18"/>
  <c r="AF31" i="18" s="1"/>
  <c r="AD31" i="18" s="1"/>
  <c r="AG62" i="18"/>
  <c r="AF62" i="18" s="1"/>
  <c r="AD62" i="18" s="1"/>
  <c r="AG336" i="18"/>
  <c r="AF336" i="18" s="1"/>
  <c r="AD336" i="18" s="1"/>
  <c r="AG84" i="18"/>
  <c r="AF84" i="18" s="1"/>
  <c r="AD84" i="18" s="1"/>
  <c r="AG338" i="18"/>
  <c r="AF338" i="18" s="1"/>
  <c r="AD338" i="18" s="1"/>
  <c r="AG372" i="18"/>
  <c r="AF372" i="18" s="1"/>
  <c r="AD372" i="18" s="1"/>
  <c r="AG24" i="18"/>
  <c r="AF24" i="18" s="1"/>
  <c r="AD24" i="18" s="1"/>
  <c r="AG340" i="18"/>
  <c r="AF340" i="18" s="1"/>
  <c r="AD340" i="18" s="1"/>
  <c r="AG272" i="18"/>
  <c r="AF272" i="18" s="1"/>
  <c r="AD272" i="18" s="1"/>
  <c r="AG250" i="18"/>
  <c r="AF250" i="18" s="1"/>
  <c r="AD250" i="18" s="1"/>
  <c r="AG362" i="18"/>
  <c r="AF362" i="18" s="1"/>
  <c r="AD362" i="18" s="1"/>
  <c r="AG180" i="18"/>
  <c r="AF180" i="18" s="1"/>
  <c r="AD180" i="18" s="1"/>
  <c r="AG257" i="18"/>
  <c r="AF257" i="18" s="1"/>
  <c r="AD257" i="18" s="1"/>
  <c r="AG199" i="18"/>
  <c r="AF199" i="18" s="1"/>
  <c r="AD199" i="18" s="1"/>
  <c r="AG329" i="18"/>
  <c r="AF329" i="18" s="1"/>
  <c r="AD329" i="18" s="1"/>
  <c r="AG360" i="18"/>
  <c r="AF360" i="18" s="1"/>
  <c r="AD360" i="18" s="1"/>
  <c r="AG83" i="18"/>
  <c r="AF83" i="18" s="1"/>
  <c r="AD83" i="18" s="1"/>
  <c r="AG226" i="18"/>
  <c r="AF226" i="18" s="1"/>
  <c r="AD226" i="18" s="1"/>
  <c r="AG126" i="18"/>
  <c r="AF126" i="18" s="1"/>
  <c r="AD126" i="18" s="1"/>
  <c r="AG28" i="18"/>
  <c r="AF28" i="18" s="1"/>
  <c r="AD28" i="18" s="1"/>
  <c r="AG49" i="18"/>
  <c r="AF49" i="18" s="1"/>
  <c r="AD49" i="18" s="1"/>
  <c r="AG335" i="18"/>
  <c r="AF335" i="18" s="1"/>
  <c r="AD335" i="18" s="1"/>
  <c r="AG61" i="18"/>
  <c r="AF61" i="18" s="1"/>
  <c r="AD61" i="18" s="1"/>
  <c r="AG176" i="18"/>
  <c r="AF176" i="18" s="1"/>
  <c r="AD176" i="18" s="1"/>
  <c r="AG223" i="18"/>
  <c r="AF223" i="18" s="1"/>
  <c r="AD223" i="18" s="1"/>
  <c r="AG300" i="18"/>
  <c r="AF300" i="18" s="1"/>
  <c r="AD300" i="18" s="1"/>
  <c r="AG98" i="18"/>
  <c r="AF98" i="18" s="1"/>
  <c r="AD98" i="18" s="1"/>
  <c r="AG30" i="18"/>
  <c r="AF30" i="18" s="1"/>
  <c r="AD30" i="18" s="1"/>
  <c r="AG129" i="18"/>
  <c r="AF129" i="18" s="1"/>
  <c r="AD129" i="18" s="1"/>
  <c r="AG201" i="18"/>
  <c r="AF201" i="18" s="1"/>
  <c r="AD201" i="18" s="1"/>
  <c r="AG256" i="18"/>
  <c r="AF256" i="18" s="1"/>
  <c r="AD256" i="18" s="1"/>
  <c r="AG307" i="18"/>
  <c r="AF307" i="18" s="1"/>
  <c r="AD307" i="18" s="1"/>
  <c r="AG324" i="18"/>
  <c r="AF324" i="18" s="1"/>
  <c r="AD324" i="18" s="1"/>
  <c r="AG374" i="18"/>
  <c r="AF374" i="18" s="1"/>
  <c r="AD374" i="18" s="1"/>
  <c r="AG218" i="18"/>
  <c r="AF218" i="18" s="1"/>
  <c r="AD218" i="18" s="1"/>
  <c r="AG95" i="18"/>
  <c r="AF95" i="18" s="1"/>
  <c r="AD95" i="18" s="1"/>
  <c r="AG150" i="18"/>
  <c r="AF150" i="18" s="1"/>
  <c r="AD150" i="18" s="1"/>
  <c r="AG165" i="18"/>
  <c r="AF165" i="18" s="1"/>
  <c r="AD165" i="18" s="1"/>
  <c r="AG96" i="18"/>
  <c r="AF96" i="18" s="1"/>
  <c r="AD96" i="18" s="1"/>
  <c r="AG100" i="18"/>
  <c r="AF100" i="18" s="1"/>
  <c r="AD100" i="18" s="1"/>
  <c r="AG244" i="18"/>
  <c r="AF244" i="18" s="1"/>
  <c r="AD244" i="18" s="1"/>
  <c r="AG50" i="18"/>
  <c r="AF50" i="18" s="1"/>
  <c r="AD50" i="18" s="1"/>
  <c r="AG51" i="18"/>
  <c r="AF51" i="18" s="1"/>
  <c r="AD51" i="18" s="1"/>
  <c r="AG68" i="18"/>
  <c r="AF68" i="18" s="1"/>
  <c r="AD68" i="18" s="1"/>
  <c r="AG322" i="18"/>
  <c r="AF322" i="18" s="1"/>
  <c r="AD322" i="18" s="1"/>
  <c r="AG296" i="18"/>
  <c r="AF296" i="18" s="1"/>
  <c r="AD296" i="18" s="1"/>
  <c r="AG116" i="18"/>
  <c r="AF116" i="18" s="1"/>
  <c r="AD116" i="18" s="1"/>
  <c r="AG277" i="18"/>
  <c r="AF277" i="18" s="1"/>
  <c r="AD277" i="18" s="1"/>
  <c r="AG151" i="18"/>
  <c r="AF151" i="18" s="1"/>
  <c r="AD151" i="18" s="1"/>
  <c r="AG249" i="18"/>
  <c r="AF249" i="18" s="1"/>
  <c r="AD249" i="18" s="1"/>
  <c r="AG219" i="18"/>
  <c r="AF219" i="18" s="1"/>
  <c r="AD219" i="18" s="1"/>
  <c r="AG264" i="18"/>
  <c r="AF264" i="18" s="1"/>
  <c r="AD264" i="18" s="1"/>
  <c r="AG135" i="18"/>
  <c r="AF135" i="18" s="1"/>
  <c r="AD135" i="18" s="1"/>
  <c r="AG169" i="18"/>
  <c r="AF169" i="18" s="1"/>
  <c r="AD169" i="18" s="1"/>
  <c r="AG168" i="18"/>
  <c r="AF168" i="18" s="1"/>
  <c r="AD168" i="18" s="1"/>
  <c r="AG316" i="18"/>
  <c r="AF316" i="18" s="1"/>
  <c r="AD316" i="18" s="1"/>
  <c r="AG295" i="18"/>
  <c r="AF295" i="18" s="1"/>
  <c r="AD295" i="18" s="1"/>
  <c r="AG378" i="18"/>
  <c r="AF378" i="18" s="1"/>
  <c r="AD378" i="18" s="1"/>
  <c r="AG339" i="18"/>
  <c r="AF339" i="18" s="1"/>
  <c r="AD339" i="18" s="1"/>
  <c r="AG208" i="18"/>
  <c r="AF208" i="18" s="1"/>
  <c r="AD208" i="18" s="1"/>
  <c r="AG20" i="18"/>
  <c r="AF20" i="18" s="1"/>
  <c r="AD20" i="18" s="1"/>
  <c r="AG69" i="18"/>
  <c r="AF69" i="18" s="1"/>
  <c r="AD69" i="18" s="1"/>
  <c r="AG177" i="18"/>
  <c r="AF177" i="18" s="1"/>
  <c r="AD177" i="18" s="1"/>
  <c r="AG221" i="18"/>
  <c r="AF221" i="18" s="1"/>
  <c r="AD221" i="18" s="1"/>
  <c r="AG274" i="18"/>
  <c r="AF274" i="18" s="1"/>
  <c r="AD274" i="18" s="1"/>
  <c r="AG367" i="18"/>
  <c r="AF367" i="18" s="1"/>
  <c r="AD367" i="18" s="1"/>
  <c r="AG342" i="18"/>
  <c r="AF342" i="18" s="1"/>
  <c r="AD342" i="18" s="1"/>
  <c r="AG365" i="18"/>
  <c r="AF365" i="18" s="1"/>
  <c r="AD365" i="18" s="1"/>
  <c r="AG347" i="18"/>
  <c r="AF347" i="18" s="1"/>
  <c r="AD347" i="18" s="1"/>
  <c r="AG38" i="18"/>
  <c r="AF38" i="18" s="1"/>
  <c r="AD38" i="18" s="1"/>
  <c r="AG123" i="18"/>
  <c r="AF123" i="18" s="1"/>
  <c r="AD123" i="18" s="1"/>
  <c r="AG230" i="18"/>
  <c r="AF230" i="18" s="1"/>
  <c r="AD230" i="18" s="1"/>
  <c r="AG138" i="18"/>
  <c r="AF138" i="18" s="1"/>
  <c r="AD138" i="18" s="1"/>
  <c r="AG148" i="18"/>
  <c r="AF148" i="18" s="1"/>
  <c r="AD148" i="18" s="1"/>
  <c r="AG241" i="18"/>
  <c r="AF241" i="18" s="1"/>
  <c r="AD241" i="18" s="1"/>
  <c r="AG288" i="18"/>
  <c r="AF288" i="18" s="1"/>
  <c r="AD288" i="18" s="1"/>
  <c r="AI12" i="20"/>
  <c r="AH379" i="18"/>
  <c r="AH381" i="18" s="1"/>
  <c r="AG351" i="18"/>
  <c r="AF351" i="18" s="1"/>
  <c r="AD351" i="18" s="1"/>
  <c r="AG141" i="18"/>
  <c r="AF141" i="18" s="1"/>
  <c r="AD141" i="18" s="1"/>
  <c r="AG91" i="18"/>
  <c r="AF91" i="18" s="1"/>
  <c r="AD91" i="18" s="1"/>
  <c r="AG248" i="18"/>
  <c r="AF248" i="18" s="1"/>
  <c r="AD248" i="18" s="1"/>
  <c r="AG26" i="18"/>
  <c r="AF26" i="18" s="1"/>
  <c r="AD26" i="18" s="1"/>
  <c r="AG39" i="18"/>
  <c r="AF39" i="18" s="1"/>
  <c r="AD39" i="18" s="1"/>
  <c r="AG211" i="18"/>
  <c r="AF211" i="18" s="1"/>
  <c r="AD211" i="18" s="1"/>
  <c r="AG254" i="18"/>
  <c r="AF254" i="18" s="1"/>
  <c r="AD254" i="18" s="1"/>
  <c r="AG113" i="18"/>
  <c r="AF113" i="18" s="1"/>
  <c r="AD113" i="18" s="1"/>
  <c r="AG189" i="18"/>
  <c r="AF189" i="18" s="1"/>
  <c r="AD189" i="18" s="1"/>
  <c r="AG321" i="18"/>
  <c r="AF321" i="18" s="1"/>
  <c r="AD321" i="18" s="1"/>
  <c r="S42" i="18"/>
  <c r="R42" i="18" s="1"/>
  <c r="P42" i="18" s="1"/>
  <c r="S169" i="18"/>
  <c r="R169" i="18" s="1"/>
  <c r="P169" i="18" s="1"/>
  <c r="S193" i="18"/>
  <c r="R193" i="18" s="1"/>
  <c r="P193" i="18" s="1"/>
  <c r="S36" i="18"/>
  <c r="R36" i="18" s="1"/>
  <c r="P36" i="18" s="1"/>
  <c r="S328" i="18"/>
  <c r="R328" i="18" s="1"/>
  <c r="P328" i="18" s="1"/>
  <c r="V328" i="18" s="1"/>
  <c r="S113" i="18"/>
  <c r="R113" i="18" s="1"/>
  <c r="P113" i="18" s="1"/>
  <c r="S255" i="18"/>
  <c r="R255" i="18" s="1"/>
  <c r="P255" i="18" s="1"/>
  <c r="S212" i="18"/>
  <c r="R212" i="18" s="1"/>
  <c r="P212" i="18" s="1"/>
  <c r="V212" i="18" s="1"/>
  <c r="S109" i="18"/>
  <c r="R109" i="18" s="1"/>
  <c r="P109" i="18" s="1"/>
  <c r="V109" i="18" s="1"/>
  <c r="S272" i="18"/>
  <c r="R272" i="18" s="1"/>
  <c r="P272" i="18" s="1"/>
  <c r="S316" i="18"/>
  <c r="R316" i="18" s="1"/>
  <c r="P316" i="18" s="1"/>
  <c r="V316" i="18" s="1"/>
  <c r="S334" i="18"/>
  <c r="R334" i="18" s="1"/>
  <c r="P334" i="18" s="1"/>
  <c r="V334" i="18" s="1"/>
  <c r="S27" i="18"/>
  <c r="R27" i="18" s="1"/>
  <c r="P27" i="18" s="1"/>
  <c r="S234" i="18"/>
  <c r="R234" i="18" s="1"/>
  <c r="P234" i="18" s="1"/>
  <c r="S268" i="18"/>
  <c r="R268" i="18" s="1"/>
  <c r="P268" i="18" s="1"/>
  <c r="S87" i="18"/>
  <c r="R87" i="18" s="1"/>
  <c r="P87" i="18" s="1"/>
  <c r="S144" i="18"/>
  <c r="R144" i="18" s="1"/>
  <c r="P144" i="18" s="1"/>
  <c r="S375" i="18"/>
  <c r="R375" i="18" s="1"/>
  <c r="P375" i="18" s="1"/>
  <c r="V375" i="18" s="1"/>
  <c r="S322" i="18"/>
  <c r="R322" i="18" s="1"/>
  <c r="P322" i="18" s="1"/>
  <c r="V322" i="18" s="1"/>
  <c r="S289" i="18"/>
  <c r="R289" i="18" s="1"/>
  <c r="P289" i="18" s="1"/>
  <c r="V289" i="18" s="1"/>
  <c r="S286" i="18"/>
  <c r="R286" i="18" s="1"/>
  <c r="P286" i="18" s="1"/>
  <c r="S150" i="18"/>
  <c r="R150" i="18" s="1"/>
  <c r="P150" i="18" s="1"/>
  <c r="S246" i="18"/>
  <c r="R246" i="18" s="1"/>
  <c r="P246" i="18" s="1"/>
  <c r="V246" i="18" s="1"/>
  <c r="S371" i="18"/>
  <c r="R371" i="18" s="1"/>
  <c r="P371" i="18" s="1"/>
  <c r="V371" i="18" s="1"/>
  <c r="S275" i="18"/>
  <c r="R275" i="18" s="1"/>
  <c r="P275" i="18" s="1"/>
  <c r="S163" i="18"/>
  <c r="R163" i="18" s="1"/>
  <c r="P163" i="18" s="1"/>
  <c r="S342" i="18"/>
  <c r="R342" i="18" s="1"/>
  <c r="P342" i="18" s="1"/>
  <c r="V342" i="18" s="1"/>
  <c r="S102" i="18"/>
  <c r="R102" i="18" s="1"/>
  <c r="P102" i="18" s="1"/>
  <c r="S319" i="18"/>
  <c r="R319" i="18" s="1"/>
  <c r="P319" i="18" s="1"/>
  <c r="V319" i="18" s="1"/>
  <c r="S241" i="18"/>
  <c r="R241" i="18" s="1"/>
  <c r="P241" i="18" s="1"/>
  <c r="S115" i="18"/>
  <c r="R115" i="18" s="1"/>
  <c r="P115" i="18" s="1"/>
  <c r="S30" i="18"/>
  <c r="R30" i="18" s="1"/>
  <c r="P30" i="18" s="1"/>
  <c r="S189" i="18"/>
  <c r="R189" i="18" s="1"/>
  <c r="P189" i="18" s="1"/>
  <c r="S224" i="18"/>
  <c r="R224" i="18" s="1"/>
  <c r="P224" i="18" s="1"/>
  <c r="S39" i="18"/>
  <c r="R39" i="18" s="1"/>
  <c r="P39" i="18" s="1"/>
  <c r="S173" i="18"/>
  <c r="R173" i="18" s="1"/>
  <c r="P173" i="18" s="1"/>
  <c r="S296" i="18"/>
  <c r="R296" i="18" s="1"/>
  <c r="P296" i="18" s="1"/>
  <c r="V296" i="18" s="1"/>
  <c r="S20" i="18"/>
  <c r="R20" i="18" s="1"/>
  <c r="P20" i="18" s="1"/>
  <c r="S344" i="18"/>
  <c r="R344" i="18" s="1"/>
  <c r="P344" i="18" s="1"/>
  <c r="V344" i="18" s="1"/>
  <c r="S89" i="18"/>
  <c r="R89" i="18" s="1"/>
  <c r="P89" i="18" s="1"/>
  <c r="I363" i="17"/>
  <c r="J363" i="17"/>
  <c r="J258" i="17"/>
  <c r="I258" i="17"/>
  <c r="I166" i="17"/>
  <c r="J166" i="17"/>
  <c r="S278" i="18"/>
  <c r="R278" i="18" s="1"/>
  <c r="P278" i="18" s="1"/>
  <c r="S359" i="18"/>
  <c r="R359" i="18" s="1"/>
  <c r="P359" i="18" s="1"/>
  <c r="V359" i="18" s="1"/>
  <c r="S63" i="18"/>
  <c r="R63" i="18" s="1"/>
  <c r="P63" i="18" s="1"/>
  <c r="S132" i="18"/>
  <c r="R132" i="18" s="1"/>
  <c r="P132" i="18" s="1"/>
  <c r="S51" i="18"/>
  <c r="R51" i="18" s="1"/>
  <c r="P51" i="18" s="1"/>
  <c r="S135" i="18"/>
  <c r="R135" i="18" s="1"/>
  <c r="P135" i="18" s="1"/>
  <c r="S365" i="18"/>
  <c r="R365" i="18" s="1"/>
  <c r="P365" i="18" s="1"/>
  <c r="V365" i="18" s="1"/>
  <c r="S274" i="18"/>
  <c r="R274" i="18" s="1"/>
  <c r="P274" i="18" s="1"/>
  <c r="S158" i="18"/>
  <c r="R158" i="18" s="1"/>
  <c r="P158" i="18" s="1"/>
  <c r="S271" i="18"/>
  <c r="R271" i="18" s="1"/>
  <c r="P271" i="18" s="1"/>
  <c r="V271" i="18" s="1"/>
  <c r="S376" i="18"/>
  <c r="R376" i="18" s="1"/>
  <c r="P376" i="18" s="1"/>
  <c r="V376" i="18" s="1"/>
  <c r="S160" i="18"/>
  <c r="R160" i="18" s="1"/>
  <c r="P160" i="18" s="1"/>
  <c r="S353" i="18"/>
  <c r="R353" i="18" s="1"/>
  <c r="P353" i="18" s="1"/>
  <c r="V353" i="18" s="1"/>
  <c r="S362" i="18"/>
  <c r="R362" i="18" s="1"/>
  <c r="P362" i="18" s="1"/>
  <c r="V362" i="18" s="1"/>
  <c r="S223" i="18"/>
  <c r="R223" i="18" s="1"/>
  <c r="P223" i="18" s="1"/>
  <c r="S73" i="18"/>
  <c r="R73" i="18" s="1"/>
  <c r="P73" i="18" s="1"/>
  <c r="S195" i="18"/>
  <c r="R195" i="18" s="1"/>
  <c r="P195" i="18" s="1"/>
  <c r="S238" i="18"/>
  <c r="R238" i="18" s="1"/>
  <c r="P238" i="18" s="1"/>
  <c r="S242" i="18"/>
  <c r="R242" i="18" s="1"/>
  <c r="P242" i="18" s="1"/>
  <c r="S164" i="18"/>
  <c r="R164" i="18" s="1"/>
  <c r="P164" i="18" s="1"/>
  <c r="S199" i="18"/>
  <c r="R199" i="18" s="1"/>
  <c r="P199" i="18" s="1"/>
  <c r="S122" i="18"/>
  <c r="R122" i="18" s="1"/>
  <c r="P122" i="18" s="1"/>
  <c r="S336" i="18"/>
  <c r="R336" i="18" s="1"/>
  <c r="P336" i="18" s="1"/>
  <c r="V336" i="18" s="1"/>
  <c r="S370" i="18"/>
  <c r="R370" i="18" s="1"/>
  <c r="P370" i="18" s="1"/>
  <c r="V370" i="18" s="1"/>
  <c r="S90" i="18"/>
  <c r="R90" i="18" s="1"/>
  <c r="P90" i="18" s="1"/>
  <c r="S190" i="18"/>
  <c r="R190" i="18" s="1"/>
  <c r="P190" i="18" s="1"/>
  <c r="S237" i="18"/>
  <c r="R237" i="18" s="1"/>
  <c r="P237" i="18" s="1"/>
  <c r="S98" i="18"/>
  <c r="R98" i="18" s="1"/>
  <c r="P98" i="18" s="1"/>
  <c r="S126" i="18"/>
  <c r="R126" i="18" s="1"/>
  <c r="P126" i="18" s="1"/>
  <c r="S310" i="18"/>
  <c r="R310" i="18" s="1"/>
  <c r="P310" i="18" s="1"/>
  <c r="V310" i="18" s="1"/>
  <c r="S65" i="18"/>
  <c r="R65" i="18" s="1"/>
  <c r="P65" i="18" s="1"/>
  <c r="S95" i="18"/>
  <c r="R95" i="18" s="1"/>
  <c r="P95" i="18" s="1"/>
  <c r="S307" i="18"/>
  <c r="R307" i="18" s="1"/>
  <c r="P307" i="18" s="1"/>
  <c r="V307" i="18" s="1"/>
  <c r="S292" i="18"/>
  <c r="R292" i="18" s="1"/>
  <c r="P292" i="18" s="1"/>
  <c r="V292" i="18" s="1"/>
  <c r="S366" i="18"/>
  <c r="R366" i="18" s="1"/>
  <c r="P366" i="18" s="1"/>
  <c r="V366" i="18" s="1"/>
  <c r="S17" i="18"/>
  <c r="R17" i="18" s="1"/>
  <c r="P17" i="18" s="1"/>
  <c r="S175" i="18"/>
  <c r="R175" i="18" s="1"/>
  <c r="P175" i="18" s="1"/>
  <c r="S245" i="18"/>
  <c r="R245" i="18" s="1"/>
  <c r="P245" i="18" s="1"/>
  <c r="S340" i="18"/>
  <c r="R340" i="18" s="1"/>
  <c r="P340" i="18" s="1"/>
  <c r="V340" i="18" s="1"/>
  <c r="S299" i="18"/>
  <c r="R299" i="18" s="1"/>
  <c r="P299" i="18" s="1"/>
  <c r="V299" i="18" s="1"/>
  <c r="S191" i="18"/>
  <c r="R191" i="18" s="1"/>
  <c r="P191" i="18" s="1"/>
  <c r="S134" i="18"/>
  <c r="R134" i="18" s="1"/>
  <c r="P134" i="18" s="1"/>
  <c r="V134" i="18" s="1"/>
  <c r="S71" i="18"/>
  <c r="R71" i="18" s="1"/>
  <c r="P71" i="18" s="1"/>
  <c r="V71" i="18" s="1"/>
  <c r="S22" i="18"/>
  <c r="R22" i="18" s="1"/>
  <c r="P22" i="18" s="1"/>
  <c r="S110" i="18"/>
  <c r="R110" i="18" s="1"/>
  <c r="P110" i="18" s="1"/>
  <c r="S106" i="18"/>
  <c r="R106" i="18" s="1"/>
  <c r="P106" i="18" s="1"/>
  <c r="S170" i="18"/>
  <c r="R170" i="18" s="1"/>
  <c r="P170" i="18" s="1"/>
  <c r="V170" i="18" s="1"/>
  <c r="S94" i="18"/>
  <c r="R94" i="18" s="1"/>
  <c r="P94" i="18" s="1"/>
  <c r="S226" i="18"/>
  <c r="R226" i="18" s="1"/>
  <c r="P226" i="18" s="1"/>
  <c r="S236" i="18"/>
  <c r="R236" i="18" s="1"/>
  <c r="P236" i="18" s="1"/>
  <c r="S59" i="18"/>
  <c r="R59" i="18" s="1"/>
  <c r="P59" i="18" s="1"/>
  <c r="I145" i="17"/>
  <c r="J145" i="17"/>
  <c r="AL7" i="16"/>
  <c r="Z381" i="16"/>
  <c r="Z9" i="16"/>
  <c r="Z383" i="16"/>
  <c r="Y15" i="16"/>
  <c r="AL6" i="16" s="1"/>
  <c r="AL12" i="16" s="1"/>
  <c r="AJ4" i="16" s="1"/>
  <c r="P13" i="19" s="1"/>
  <c r="Z382" i="16"/>
  <c r="I46" i="17"/>
  <c r="J46" i="17"/>
  <c r="I148" i="17"/>
  <c r="J148" i="17"/>
  <c r="AG15" i="18"/>
  <c r="AI381" i="18"/>
  <c r="I364" i="17"/>
  <c r="J364" i="17"/>
  <c r="I47" i="17"/>
  <c r="J47" i="17"/>
  <c r="I21" i="17"/>
  <c r="J21" i="17"/>
  <c r="I142" i="17"/>
  <c r="J142" i="17"/>
  <c r="J362" i="17"/>
  <c r="I362" i="17"/>
  <c r="I80" i="17"/>
  <c r="J80" i="17"/>
  <c r="Q168" i="20"/>
  <c r="D180" i="18"/>
  <c r="E180" i="18" s="1"/>
  <c r="D119" i="18"/>
  <c r="E119" i="18" s="1"/>
  <c r="D88" i="18"/>
  <c r="E88" i="18" s="1"/>
  <c r="Q184" i="20"/>
  <c r="Q54" i="20"/>
  <c r="Q245" i="20"/>
  <c r="Q100" i="20"/>
  <c r="Q204" i="20"/>
  <c r="Q62" i="20"/>
  <c r="Q55" i="20"/>
  <c r="Q252" i="20"/>
  <c r="Q83" i="20"/>
  <c r="Q15" i="20"/>
  <c r="Q244" i="20"/>
  <c r="Q28" i="20"/>
  <c r="Q84" i="20"/>
  <c r="Q94" i="20"/>
  <c r="Q291" i="20"/>
  <c r="AI15" i="7"/>
  <c r="AE320" i="20"/>
  <c r="AE234" i="20"/>
  <c r="AE80" i="20"/>
  <c r="AE319" i="20"/>
  <c r="AE185" i="20"/>
  <c r="AE25" i="20"/>
  <c r="AE214" i="20"/>
  <c r="AE112" i="20"/>
  <c r="AE359" i="20"/>
  <c r="AE231" i="20"/>
  <c r="AE111" i="20"/>
  <c r="AE368" i="20"/>
  <c r="AE276" i="20"/>
  <c r="AE166" i="20"/>
  <c r="AE377" i="20"/>
  <c r="AE251" i="20"/>
  <c r="AE115" i="20"/>
  <c r="AE308" i="20"/>
  <c r="AE146" i="20"/>
  <c r="AE38" i="20"/>
  <c r="AE275" i="20"/>
  <c r="AE151" i="20"/>
  <c r="AE61" i="20"/>
  <c r="AE312" i="20"/>
  <c r="AE230" i="20"/>
  <c r="AE76" i="20"/>
  <c r="AE311" i="20"/>
  <c r="AE177" i="20"/>
  <c r="AE21" i="20"/>
  <c r="AE196" i="20"/>
  <c r="AE98" i="20"/>
  <c r="AE335" i="20"/>
  <c r="AE207" i="20"/>
  <c r="AE91" i="20"/>
  <c r="AE344" i="20"/>
  <c r="AE252" i="20"/>
  <c r="AE132" i="20"/>
  <c r="AE353" i="20"/>
  <c r="AE225" i="20"/>
  <c r="AE47" i="20"/>
  <c r="AE262" i="20"/>
  <c r="AE126" i="20"/>
  <c r="AE15" i="20"/>
  <c r="AE249" i="20"/>
  <c r="AE137" i="20"/>
  <c r="AE45" i="20"/>
  <c r="AE288" i="20"/>
  <c r="AE184" i="20"/>
  <c r="AE30" i="20"/>
  <c r="AE269" i="20"/>
  <c r="AE125" i="20"/>
  <c r="AE356" i="20"/>
  <c r="AE178" i="20"/>
  <c r="AE68" i="20"/>
  <c r="AE309" i="20"/>
  <c r="AE187" i="20"/>
  <c r="AE79" i="20"/>
  <c r="AE326" i="20"/>
  <c r="AE240" i="20"/>
  <c r="AE94" i="20"/>
  <c r="AE331" i="20"/>
  <c r="AE201" i="20"/>
  <c r="AE31" i="20"/>
  <c r="AE208" i="20"/>
  <c r="AE110" i="20"/>
  <c r="AE355" i="20"/>
  <c r="AE227" i="20"/>
  <c r="AE105" i="20"/>
  <c r="AE378" i="20"/>
  <c r="AE284" i="20"/>
  <c r="AE176" i="20"/>
  <c r="AE22" i="20"/>
  <c r="AE261" i="20"/>
  <c r="AE121" i="20"/>
  <c r="AE334" i="20"/>
  <c r="AE152" i="20"/>
  <c r="AE44" i="20"/>
  <c r="AE285" i="20"/>
  <c r="AE161" i="20"/>
  <c r="AE67" i="20"/>
  <c r="AE310" i="20"/>
  <c r="AE228" i="20"/>
  <c r="AE72" i="20"/>
  <c r="AE307" i="20"/>
  <c r="AE173" i="20"/>
  <c r="AE17" i="20"/>
  <c r="AE194" i="20"/>
  <c r="AE92" i="20"/>
  <c r="AE329" i="20"/>
  <c r="AE203" i="20"/>
  <c r="AE89" i="20"/>
  <c r="AE342" i="20"/>
  <c r="AE250" i="20"/>
  <c r="AE130" i="20"/>
  <c r="AE349" i="20"/>
  <c r="AE221" i="20"/>
  <c r="AE41" i="20"/>
  <c r="AE272" i="20"/>
  <c r="AE140" i="20"/>
  <c r="AE28" i="20"/>
  <c r="AE263" i="20"/>
  <c r="AE145" i="20"/>
  <c r="AE55" i="20"/>
  <c r="AE296" i="20"/>
  <c r="AE210" i="20"/>
  <c r="AE48" i="20"/>
  <c r="AE283" i="20"/>
  <c r="AE139" i="20"/>
  <c r="AE354" i="20"/>
  <c r="AE172" i="20"/>
  <c r="AE64" i="20"/>
  <c r="AE305" i="20"/>
  <c r="AE183" i="20"/>
  <c r="AE77" i="20"/>
  <c r="AE332" i="20"/>
  <c r="AE246" i="20"/>
  <c r="AE122" i="20"/>
  <c r="AE341" i="20"/>
  <c r="AE213" i="20"/>
  <c r="AE37" i="20"/>
  <c r="AE222" i="20"/>
  <c r="AE116" i="20"/>
  <c r="AE365" i="20"/>
  <c r="AE237" i="20"/>
  <c r="AE127" i="20"/>
  <c r="AE376" i="20"/>
  <c r="AE282" i="20"/>
  <c r="AE174" i="20"/>
  <c r="AE19" i="20"/>
  <c r="AE257" i="20"/>
  <c r="AE119" i="20"/>
  <c r="AE316" i="20"/>
  <c r="AE150" i="20"/>
  <c r="AE42" i="20"/>
  <c r="AE281" i="20"/>
  <c r="AE159" i="20"/>
  <c r="AE65" i="20"/>
  <c r="AE306" i="20"/>
  <c r="AE226" i="20"/>
  <c r="AE70" i="20"/>
  <c r="AE303" i="20"/>
  <c r="AE169" i="20"/>
  <c r="AE16" i="20"/>
  <c r="AE200" i="20"/>
  <c r="AE104" i="20"/>
  <c r="AE343" i="20"/>
  <c r="AE215" i="20"/>
  <c r="AE95" i="20"/>
  <c r="AE352" i="20"/>
  <c r="AE260" i="20"/>
  <c r="AE138" i="20"/>
  <c r="AE363" i="20"/>
  <c r="AE235" i="20"/>
  <c r="AE99" i="20"/>
  <c r="AE270" i="20"/>
  <c r="AE136" i="20"/>
  <c r="AE26" i="20"/>
  <c r="AE259" i="20"/>
  <c r="AE143" i="20"/>
  <c r="AE53" i="20"/>
  <c r="AE302" i="20"/>
  <c r="AE220" i="20"/>
  <c r="AE60" i="20"/>
  <c r="AE295" i="20"/>
  <c r="AE163" i="20"/>
  <c r="AE364" i="20"/>
  <c r="AE186" i="20"/>
  <c r="AE82" i="20"/>
  <c r="AE317" i="20"/>
  <c r="AE195" i="20"/>
  <c r="AE83" i="20"/>
  <c r="AE330" i="20"/>
  <c r="AE244" i="20"/>
  <c r="AE102" i="20"/>
  <c r="AE337" i="20"/>
  <c r="AE209" i="20"/>
  <c r="AE35" i="20"/>
  <c r="AE216" i="20"/>
  <c r="AE114" i="20"/>
  <c r="AE361" i="20"/>
  <c r="AE233" i="20"/>
  <c r="AE113" i="20"/>
  <c r="AE374" i="20"/>
  <c r="AE280" i="20"/>
  <c r="AE168" i="20"/>
  <c r="AE379" i="20"/>
  <c r="AE255" i="20"/>
  <c r="AE117" i="20"/>
  <c r="AE340" i="20"/>
  <c r="AE162" i="20"/>
  <c r="AE52" i="20"/>
  <c r="AE293" i="20"/>
  <c r="AE171" i="20"/>
  <c r="AE71" i="20"/>
  <c r="AE318" i="20"/>
  <c r="AE232" i="20"/>
  <c r="AE78" i="20"/>
  <c r="AE315" i="20"/>
  <c r="AE181" i="20"/>
  <c r="AE23" i="20"/>
  <c r="AE198" i="20"/>
  <c r="AE100" i="20"/>
  <c r="AE339" i="20"/>
  <c r="AE211" i="20"/>
  <c r="AE93" i="20"/>
  <c r="AE366" i="20"/>
  <c r="AE274" i="20"/>
  <c r="AE160" i="20"/>
  <c r="AE373" i="20"/>
  <c r="AE247" i="20"/>
  <c r="AE109" i="20"/>
  <c r="AE290" i="20"/>
  <c r="AE144" i="20"/>
  <c r="AE36" i="20"/>
  <c r="AE271" i="20"/>
  <c r="AE149" i="20"/>
  <c r="AE59" i="20"/>
  <c r="AE300" i="20"/>
  <c r="AE218" i="20"/>
  <c r="AE58" i="20"/>
  <c r="AE291" i="20"/>
  <c r="AE157" i="20"/>
  <c r="AE362" i="20"/>
  <c r="AE180" i="20"/>
  <c r="AE74" i="20"/>
  <c r="AE313" i="20"/>
  <c r="AE191" i="20"/>
  <c r="AE81" i="20"/>
  <c r="AE328" i="20"/>
  <c r="AE242" i="20"/>
  <c r="AE96" i="20"/>
  <c r="AE333" i="20"/>
  <c r="AE205" i="20"/>
  <c r="AE33" i="20"/>
  <c r="AE256" i="20"/>
  <c r="AE120" i="20"/>
  <c r="AE375" i="20"/>
  <c r="AE245" i="20"/>
  <c r="AE135" i="20"/>
  <c r="AE43" i="20"/>
  <c r="AE286" i="20"/>
  <c r="AE182" i="20"/>
  <c r="AE24" i="20"/>
  <c r="AE265" i="20"/>
  <c r="AE123" i="20"/>
  <c r="AE336" i="20"/>
  <c r="AE158" i="20"/>
  <c r="AE50" i="20"/>
  <c r="AE289" i="20"/>
  <c r="AE167" i="20"/>
  <c r="AE69" i="20"/>
  <c r="AE324" i="20"/>
  <c r="AE238" i="20"/>
  <c r="AE88" i="20"/>
  <c r="AE327" i="20"/>
  <c r="AE193" i="20"/>
  <c r="AE29" i="20"/>
  <c r="AE206" i="20"/>
  <c r="AE108" i="20"/>
  <c r="AE351" i="20"/>
  <c r="AE223" i="20"/>
  <c r="AE103" i="20"/>
  <c r="AE360" i="20"/>
  <c r="AE268" i="20"/>
  <c r="AE156" i="20"/>
  <c r="AE369" i="20"/>
  <c r="AE243" i="20"/>
  <c r="AE107" i="20"/>
  <c r="AE278" i="20"/>
  <c r="AE142" i="20"/>
  <c r="AE34" i="20"/>
  <c r="AE267" i="20"/>
  <c r="AE147" i="20"/>
  <c r="AE57" i="20"/>
  <c r="AE298" i="20"/>
  <c r="AE212" i="20"/>
  <c r="AE54" i="20"/>
  <c r="AE287" i="20"/>
  <c r="AE155" i="20"/>
  <c r="AE372" i="20"/>
  <c r="AE192" i="20"/>
  <c r="AE90" i="20"/>
  <c r="AE325" i="20"/>
  <c r="AE199" i="20"/>
  <c r="AE87" i="20"/>
  <c r="AE338" i="20"/>
  <c r="AE248" i="20"/>
  <c r="AE124" i="20"/>
  <c r="AE345" i="20"/>
  <c r="AE217" i="20"/>
  <c r="AE39" i="20"/>
  <c r="AE254" i="20"/>
  <c r="AE118" i="20"/>
  <c r="AE371" i="20"/>
  <c r="AE241" i="20"/>
  <c r="AE129" i="20"/>
  <c r="AE18" i="20"/>
  <c r="AE294" i="20"/>
  <c r="AE204" i="20"/>
  <c r="AE46" i="20"/>
  <c r="AE277" i="20"/>
  <c r="AE133" i="20"/>
  <c r="AE348" i="20"/>
  <c r="AE170" i="20"/>
  <c r="AE62" i="20"/>
  <c r="AE301" i="20"/>
  <c r="AE179" i="20"/>
  <c r="AE75" i="20"/>
  <c r="AE322" i="20"/>
  <c r="AE236" i="20"/>
  <c r="AE86" i="20"/>
  <c r="AE323" i="20"/>
  <c r="AE189" i="20"/>
  <c r="AE27" i="20"/>
  <c r="AE202" i="20"/>
  <c r="AE106" i="20"/>
  <c r="AE347" i="20"/>
  <c r="AE219" i="20"/>
  <c r="AE97" i="20"/>
  <c r="AE358" i="20"/>
  <c r="AE266" i="20"/>
  <c r="AE154" i="20"/>
  <c r="AE367" i="20"/>
  <c r="AE239" i="20"/>
  <c r="AE101" i="20"/>
  <c r="AE314" i="20"/>
  <c r="AE148" i="20"/>
  <c r="AE40" i="20"/>
  <c r="AE279" i="20"/>
  <c r="AE153" i="20"/>
  <c r="AE63" i="20"/>
  <c r="AE304" i="20"/>
  <c r="AE224" i="20"/>
  <c r="AE66" i="20"/>
  <c r="AE299" i="20"/>
  <c r="AE165" i="20"/>
  <c r="AE370" i="20"/>
  <c r="AE188" i="20"/>
  <c r="AE84" i="20"/>
  <c r="AE321" i="20"/>
  <c r="AE197" i="20"/>
  <c r="AE85" i="20"/>
  <c r="AE350" i="20"/>
  <c r="AE258" i="20"/>
  <c r="AE134" i="20"/>
  <c r="AE357" i="20"/>
  <c r="AE229" i="20"/>
  <c r="AE49" i="20"/>
  <c r="AE264" i="20"/>
  <c r="AE128" i="20"/>
  <c r="AE20" i="20"/>
  <c r="AE253" i="20"/>
  <c r="AE141" i="20"/>
  <c r="AE51" i="20"/>
  <c r="AE292" i="20"/>
  <c r="AE190" i="20"/>
  <c r="AE32" i="20"/>
  <c r="AE273" i="20"/>
  <c r="AE131" i="20"/>
  <c r="AE346" i="20"/>
  <c r="AE164" i="20"/>
  <c r="AE56" i="20"/>
  <c r="AE297" i="20"/>
  <c r="AE175" i="20"/>
  <c r="AE73" i="20"/>
  <c r="D170" i="18" l="1"/>
  <c r="E170" i="18" s="1"/>
  <c r="F170" i="18" s="1"/>
  <c r="D71" i="18"/>
  <c r="E71" i="18" s="1"/>
  <c r="F71" i="18" s="1"/>
  <c r="D246" i="18"/>
  <c r="E246" i="18" s="1"/>
  <c r="F246" i="18" s="1"/>
  <c r="D109" i="18"/>
  <c r="E109" i="18" s="1"/>
  <c r="F109" i="18" s="1"/>
  <c r="D50" i="18"/>
  <c r="E50" i="18" s="1"/>
  <c r="F50" i="18" s="1"/>
  <c r="D267" i="18"/>
  <c r="E267" i="18" s="1"/>
  <c r="F267" i="18" s="1"/>
  <c r="D112" i="18"/>
  <c r="E112" i="18" s="1"/>
  <c r="F112" i="18" s="1"/>
  <c r="D214" i="18"/>
  <c r="E214" i="18" s="1"/>
  <c r="F214" i="18" s="1"/>
  <c r="D260" i="18"/>
  <c r="E260" i="18" s="1"/>
  <c r="F260" i="18" s="1"/>
  <c r="D276" i="18"/>
  <c r="E276" i="18" s="1"/>
  <c r="F276" i="18" s="1"/>
  <c r="D136" i="18"/>
  <c r="E136" i="18" s="1"/>
  <c r="F136" i="18" s="1"/>
  <c r="D125" i="18"/>
  <c r="E125" i="18" s="1"/>
  <c r="F125" i="18" s="1"/>
  <c r="D184" i="18"/>
  <c r="E184" i="18" s="1"/>
  <c r="F184" i="18" s="1"/>
  <c r="D239" i="18"/>
  <c r="E239" i="18" s="1"/>
  <c r="F239" i="18" s="1"/>
  <c r="D75" i="18"/>
  <c r="E75" i="18" s="1"/>
  <c r="F75" i="18" s="1"/>
  <c r="D111" i="18"/>
  <c r="E111" i="18" s="1"/>
  <c r="F111" i="18" s="1"/>
  <c r="D134" i="18"/>
  <c r="E134" i="18" s="1"/>
  <c r="F134" i="18" s="1"/>
  <c r="D271" i="18"/>
  <c r="E271" i="18" s="1"/>
  <c r="F271" i="18" s="1"/>
  <c r="D212" i="18"/>
  <c r="E212" i="18" s="1"/>
  <c r="F212" i="18" s="1"/>
  <c r="D79" i="18"/>
  <c r="E79" i="18" s="1"/>
  <c r="F79" i="18" s="1"/>
  <c r="D172" i="18"/>
  <c r="E172" i="18" s="1"/>
  <c r="F172" i="18" s="1"/>
  <c r="D92" i="18"/>
  <c r="E92" i="18" s="1"/>
  <c r="F92" i="18" s="1"/>
  <c r="D174" i="18"/>
  <c r="E174" i="18" s="1"/>
  <c r="F174" i="18" s="1"/>
  <c r="D243" i="18"/>
  <c r="E243" i="18" s="1"/>
  <c r="F243" i="18" s="1"/>
  <c r="D256" i="18"/>
  <c r="E256" i="18" s="1"/>
  <c r="F256" i="18" s="1"/>
  <c r="D57" i="18"/>
  <c r="E57" i="18" s="1"/>
  <c r="F57" i="18" s="1"/>
  <c r="D108" i="18"/>
  <c r="E108" i="18" s="1"/>
  <c r="F108" i="18" s="1"/>
  <c r="D273" i="18"/>
  <c r="E273" i="18" s="1"/>
  <c r="F273" i="18" s="1"/>
  <c r="D128" i="18"/>
  <c r="E128" i="18" s="1"/>
  <c r="F128" i="18" s="1"/>
  <c r="D130" i="18"/>
  <c r="E130" i="18" s="1"/>
  <c r="F130" i="18" s="1"/>
  <c r="AH15" i="7"/>
  <c r="J227" i="17"/>
  <c r="J37" i="19"/>
  <c r="H36" i="19"/>
  <c r="F12" i="19"/>
  <c r="AH383" i="18"/>
  <c r="AH382" i="18"/>
  <c r="I174" i="17"/>
  <c r="H174" i="18" s="1"/>
  <c r="D13" i="19"/>
  <c r="G37" i="19"/>
  <c r="U10" i="20"/>
  <c r="U195" i="20" s="1"/>
  <c r="T195" i="20" s="1"/>
  <c r="AL10" i="17"/>
  <c r="AL8" i="17"/>
  <c r="H71" i="18"/>
  <c r="AA71" i="18"/>
  <c r="Z71" i="18" s="1"/>
  <c r="Y71" i="18" s="1"/>
  <c r="G71" i="18"/>
  <c r="CA71" i="6" s="1"/>
  <c r="V191" i="18"/>
  <c r="V175" i="18"/>
  <c r="D307" i="18"/>
  <c r="E307" i="18" s="1"/>
  <c r="F307" i="18" s="1"/>
  <c r="V126" i="18"/>
  <c r="D336" i="18"/>
  <c r="E336" i="18" s="1"/>
  <c r="F336" i="18" s="1"/>
  <c r="V242" i="18"/>
  <c r="V223" i="18"/>
  <c r="D376" i="18"/>
  <c r="E376" i="18" s="1"/>
  <c r="F376" i="18" s="1"/>
  <c r="D365" i="18"/>
  <c r="E365" i="18" s="1"/>
  <c r="F365" i="18" s="1"/>
  <c r="V63" i="18"/>
  <c r="V236" i="18"/>
  <c r="V94" i="18"/>
  <c r="V106" i="18"/>
  <c r="V22" i="18"/>
  <c r="F22" i="18" s="1"/>
  <c r="G134" i="18"/>
  <c r="CA134" i="6" s="1"/>
  <c r="AA134" i="18"/>
  <c r="Z134" i="18" s="1"/>
  <c r="Y134" i="18" s="1"/>
  <c r="H134" i="18"/>
  <c r="D299" i="18"/>
  <c r="E299" i="18" s="1"/>
  <c r="F299" i="18" s="1"/>
  <c r="V245" i="18"/>
  <c r="V17" i="18"/>
  <c r="F17" i="18" s="1"/>
  <c r="D292" i="18"/>
  <c r="E292" i="18" s="1"/>
  <c r="F292" i="18" s="1"/>
  <c r="V95" i="18"/>
  <c r="D310" i="18"/>
  <c r="E310" i="18" s="1"/>
  <c r="F310" i="18" s="1"/>
  <c r="V98" i="18"/>
  <c r="V190" i="18"/>
  <c r="D370" i="18"/>
  <c r="E370" i="18" s="1"/>
  <c r="F370" i="18" s="1"/>
  <c r="V122" i="18"/>
  <c r="V164" i="18"/>
  <c r="V238" i="18"/>
  <c r="V73" i="18"/>
  <c r="D362" i="18"/>
  <c r="E362" i="18" s="1"/>
  <c r="F362" i="18" s="1"/>
  <c r="G362" i="18" s="1"/>
  <c r="CA362" i="6" s="1"/>
  <c r="V160" i="18"/>
  <c r="H271" i="18"/>
  <c r="G271" i="18"/>
  <c r="CA271" i="6" s="1"/>
  <c r="AA271" i="18"/>
  <c r="Z271" i="18" s="1"/>
  <c r="Y271" i="18" s="1"/>
  <c r="V274" i="18"/>
  <c r="V135" i="18"/>
  <c r="V132" i="18"/>
  <c r="D359" i="18"/>
  <c r="E359" i="18" s="1"/>
  <c r="F359" i="18" s="1"/>
  <c r="V261" i="18"/>
  <c r="D301" i="18"/>
  <c r="E301" i="18" s="1"/>
  <c r="F301" i="18" s="1"/>
  <c r="V269" i="18"/>
  <c r="V97" i="18"/>
  <c r="G276" i="18"/>
  <c r="CA276" i="6" s="1"/>
  <c r="AA276" i="18"/>
  <c r="Z276" i="18" s="1"/>
  <c r="Y276" i="18" s="1"/>
  <c r="H276" i="18"/>
  <c r="V264" i="18"/>
  <c r="D298" i="18"/>
  <c r="E298" i="18" s="1"/>
  <c r="F298" i="18" s="1"/>
  <c r="V168" i="18"/>
  <c r="V167" i="18"/>
  <c r="V216" i="18"/>
  <c r="D351" i="18"/>
  <c r="E351" i="18" s="1"/>
  <c r="F351" i="18" s="1"/>
  <c r="V225" i="18"/>
  <c r="V38" i="18"/>
  <c r="D372" i="18"/>
  <c r="E372" i="18" s="1"/>
  <c r="F372" i="18" s="1"/>
  <c r="D377" i="18"/>
  <c r="E377" i="18" s="1"/>
  <c r="F377" i="18" s="1"/>
  <c r="V105" i="18"/>
  <c r="V62" i="18"/>
  <c r="D358" i="18"/>
  <c r="E358" i="18" s="1"/>
  <c r="F358" i="18" s="1"/>
  <c r="V154" i="18"/>
  <c r="D318" i="18"/>
  <c r="E318" i="18" s="1"/>
  <c r="F318" i="18" s="1"/>
  <c r="V202" i="18"/>
  <c r="V253" i="18"/>
  <c r="V103" i="18"/>
  <c r="D329" i="18"/>
  <c r="E329" i="18" s="1"/>
  <c r="F329" i="18" s="1"/>
  <c r="V213" i="18"/>
  <c r="D79" i="7"/>
  <c r="V363" i="18"/>
  <c r="D356" i="18"/>
  <c r="E356" i="18" s="1"/>
  <c r="F356" i="18" s="1"/>
  <c r="V28" i="18"/>
  <c r="F28" i="18" s="1"/>
  <c r="V141" i="18"/>
  <c r="D367" i="18"/>
  <c r="E367" i="18" s="1"/>
  <c r="F367" i="18" s="1"/>
  <c r="V183" i="18"/>
  <c r="D323" i="18"/>
  <c r="E323" i="18" s="1"/>
  <c r="F323" i="18" s="1"/>
  <c r="V32" i="18"/>
  <c r="F32" i="18" s="1"/>
  <c r="D304" i="18"/>
  <c r="E304" i="18" s="1"/>
  <c r="F304" i="18" s="1"/>
  <c r="D364" i="18"/>
  <c r="E364" i="18" s="1"/>
  <c r="F364" i="18" s="1"/>
  <c r="V251" i="18"/>
  <c r="D348" i="18"/>
  <c r="E348" i="18" s="1"/>
  <c r="F348" i="18" s="1"/>
  <c r="V205" i="18"/>
  <c r="V228" i="18"/>
  <c r="D341" i="18"/>
  <c r="E341" i="18" s="1"/>
  <c r="F341" i="18" s="1"/>
  <c r="D290" i="18"/>
  <c r="E290" i="18" s="1"/>
  <c r="F290" i="18" s="1"/>
  <c r="D374" i="18"/>
  <c r="E374" i="18" s="1"/>
  <c r="F374" i="18" s="1"/>
  <c r="D321" i="18"/>
  <c r="E321" i="18" s="1"/>
  <c r="F321" i="18" s="1"/>
  <c r="V37" i="18"/>
  <c r="V207" i="18"/>
  <c r="H128" i="18"/>
  <c r="G128" i="18"/>
  <c r="CA128" i="6" s="1"/>
  <c r="AA128" i="18"/>
  <c r="Z128" i="18" s="1"/>
  <c r="Y128" i="18" s="1"/>
  <c r="V88" i="18"/>
  <c r="D70" i="7"/>
  <c r="V188" i="18"/>
  <c r="V176" i="18"/>
  <c r="V209" i="18"/>
  <c r="G130" i="18"/>
  <c r="CA130" i="6" s="1"/>
  <c r="H130" i="18"/>
  <c r="AA130" i="18"/>
  <c r="Z130" i="18" s="1"/>
  <c r="Y130" i="18" s="1"/>
  <c r="V161" i="18"/>
  <c r="V247" i="18"/>
  <c r="V123" i="18"/>
  <c r="V116" i="18"/>
  <c r="V157" i="18"/>
  <c r="V59" i="18"/>
  <c r="V226" i="18"/>
  <c r="H170" i="18"/>
  <c r="AA170" i="18"/>
  <c r="Z170" i="18" s="1"/>
  <c r="Y170" i="18" s="1"/>
  <c r="G170" i="18"/>
  <c r="CA170" i="6" s="1"/>
  <c r="V110" i="18"/>
  <c r="D340" i="18"/>
  <c r="E340" i="18" s="1"/>
  <c r="F340" i="18" s="1"/>
  <c r="D366" i="18"/>
  <c r="E366" i="18" s="1"/>
  <c r="F366" i="18" s="1"/>
  <c r="V65" i="18"/>
  <c r="V237" i="18"/>
  <c r="V90" i="18"/>
  <c r="V199" i="18"/>
  <c r="V195" i="18"/>
  <c r="D353" i="18"/>
  <c r="E353" i="18" s="1"/>
  <c r="F353" i="18" s="1"/>
  <c r="V158" i="18"/>
  <c r="V51" i="18"/>
  <c r="V278" i="18"/>
  <c r="V244" i="18"/>
  <c r="V229" i="18"/>
  <c r="V24" i="18"/>
  <c r="D369" i="18"/>
  <c r="E369" i="18" s="1"/>
  <c r="F369" i="18" s="1"/>
  <c r="V104" i="18"/>
  <c r="V279" i="18"/>
  <c r="G57" i="18"/>
  <c r="CA57" i="6" s="1"/>
  <c r="AA57" i="18"/>
  <c r="Z57" i="18" s="1"/>
  <c r="Y57" i="18" s="1"/>
  <c r="H57" i="18"/>
  <c r="V186" i="18"/>
  <c r="D325" i="18"/>
  <c r="E325" i="18" s="1"/>
  <c r="F325" i="18" s="1"/>
  <c r="V138" i="18"/>
  <c r="G108" i="18"/>
  <c r="CA108" i="6" s="1"/>
  <c r="H108" i="18"/>
  <c r="AA108" i="18"/>
  <c r="Z108" i="18" s="1"/>
  <c r="Y108" i="18" s="1"/>
  <c r="V137" i="18"/>
  <c r="D350" i="18"/>
  <c r="E350" i="18" s="1"/>
  <c r="F350" i="18" s="1"/>
  <c r="D74" i="7"/>
  <c r="V210" i="18"/>
  <c r="V265" i="18"/>
  <c r="D335" i="18"/>
  <c r="E335" i="18" s="1"/>
  <c r="F335" i="18" s="1"/>
  <c r="V26" i="18"/>
  <c r="F26" i="18" s="1"/>
  <c r="V16" i="18"/>
  <c r="F16" i="18" s="1"/>
  <c r="G136" i="18"/>
  <c r="CA136" i="6" s="1"/>
  <c r="H136" i="18"/>
  <c r="AA136" i="18"/>
  <c r="Z136" i="18" s="1"/>
  <c r="Y136" i="18" s="1"/>
  <c r="V21" i="18"/>
  <c r="F21" i="18" s="1"/>
  <c r="V114" i="18"/>
  <c r="V231" i="18"/>
  <c r="G125" i="18"/>
  <c r="CA125" i="6" s="1"/>
  <c r="AA125" i="18"/>
  <c r="Z125" i="18" s="1"/>
  <c r="Y125" i="18" s="1"/>
  <c r="H125" i="18"/>
  <c r="V74" i="18"/>
  <c r="D338" i="18"/>
  <c r="E338" i="18" s="1"/>
  <c r="F338" i="18" s="1"/>
  <c r="V198" i="18"/>
  <c r="V85" i="18"/>
  <c r="V192" i="18"/>
  <c r="V252" i="18"/>
  <c r="V196" i="18"/>
  <c r="V262" i="18"/>
  <c r="V46" i="18"/>
  <c r="H184" i="18"/>
  <c r="G184" i="18"/>
  <c r="CA184" i="6" s="1"/>
  <c r="AA184" i="18"/>
  <c r="Z184" i="18" s="1"/>
  <c r="Y184" i="18" s="1"/>
  <c r="V284" i="18"/>
  <c r="D330" i="18"/>
  <c r="E330" i="18" s="1"/>
  <c r="F330" i="18" s="1"/>
  <c r="D306" i="18"/>
  <c r="E306" i="18" s="1"/>
  <c r="F306" i="18" s="1"/>
  <c r="V48" i="18"/>
  <c r="V181" i="18"/>
  <c r="V230" i="18"/>
  <c r="V281" i="18"/>
  <c r="V56" i="18"/>
  <c r="V200" i="18"/>
  <c r="V287" i="18"/>
  <c r="V54" i="18"/>
  <c r="G239" i="18"/>
  <c r="CA239" i="6" s="1"/>
  <c r="H239" i="18"/>
  <c r="AA239" i="18"/>
  <c r="Z239" i="18" s="1"/>
  <c r="Y239" i="18" s="1"/>
  <c r="V277" i="18"/>
  <c r="V162" i="18"/>
  <c r="G75" i="18"/>
  <c r="CA75" i="6" s="1"/>
  <c r="H75" i="18"/>
  <c r="AA75" i="18"/>
  <c r="Z75" i="18" s="1"/>
  <c r="Y75" i="18" s="1"/>
  <c r="V217" i="18"/>
  <c r="D68" i="7"/>
  <c r="V29" i="18"/>
  <c r="F29" i="18" s="1"/>
  <c r="D326" i="18"/>
  <c r="E326" i="18" s="1"/>
  <c r="F326" i="18" s="1"/>
  <c r="V91" i="18"/>
  <c r="V99" i="18"/>
  <c r="V18" i="18"/>
  <c r="F18" i="18" s="1"/>
  <c r="H111" i="18"/>
  <c r="AA111" i="18"/>
  <c r="Z111" i="18" s="1"/>
  <c r="Y111" i="18" s="1"/>
  <c r="G111" i="18"/>
  <c r="CA111" i="6" s="1"/>
  <c r="V159" i="18"/>
  <c r="V148" i="18"/>
  <c r="AF15" i="18"/>
  <c r="AG379" i="18"/>
  <c r="AF379" i="18" s="1"/>
  <c r="AD379" i="18" s="1"/>
  <c r="C7" i="6"/>
  <c r="Q7" i="7"/>
  <c r="I383" i="16"/>
  <c r="I381" i="16"/>
  <c r="I382" i="16"/>
  <c r="I349" i="17"/>
  <c r="J349" i="17"/>
  <c r="F227" i="18"/>
  <c r="AL6" i="17"/>
  <c r="U356" i="20"/>
  <c r="T356" i="20" s="1"/>
  <c r="U121" i="20"/>
  <c r="T121" i="20" s="1"/>
  <c r="U362" i="20"/>
  <c r="T362" i="20" s="1"/>
  <c r="U21" i="20"/>
  <c r="T21" i="20" s="1"/>
  <c r="U51" i="20"/>
  <c r="T51" i="20" s="1"/>
  <c r="U177" i="20"/>
  <c r="T177" i="20" s="1"/>
  <c r="U168" i="20"/>
  <c r="T168" i="20" s="1"/>
  <c r="S168" i="20" s="1"/>
  <c r="R168" i="20" s="1"/>
  <c r="U63" i="20"/>
  <c r="T63" i="20" s="1"/>
  <c r="U304" i="20"/>
  <c r="T304" i="20" s="1"/>
  <c r="U327" i="20"/>
  <c r="T327" i="20" s="1"/>
  <c r="U208" i="20"/>
  <c r="T208" i="20" s="1"/>
  <c r="U91" i="20"/>
  <c r="T91" i="20" s="1"/>
  <c r="U37" i="20"/>
  <c r="T37" i="20" s="1"/>
  <c r="U315" i="20"/>
  <c r="T315" i="20" s="1"/>
  <c r="U112" i="20"/>
  <c r="T112" i="20" s="1"/>
  <c r="U101" i="20"/>
  <c r="T101" i="20" s="1"/>
  <c r="U72" i="20"/>
  <c r="T72" i="20" s="1"/>
  <c r="U277" i="20"/>
  <c r="T277" i="20" s="1"/>
  <c r="U363" i="20"/>
  <c r="T363" i="20" s="1"/>
  <c r="U270" i="20"/>
  <c r="T270" i="20" s="1"/>
  <c r="U135" i="20"/>
  <c r="T135" i="20" s="1"/>
  <c r="U299" i="20"/>
  <c r="T299" i="20" s="1"/>
  <c r="U272" i="20"/>
  <c r="T272" i="20" s="1"/>
  <c r="U213" i="20"/>
  <c r="T213" i="20" s="1"/>
  <c r="U338" i="20"/>
  <c r="T338" i="20" s="1"/>
  <c r="U40" i="20"/>
  <c r="T40" i="20" s="1"/>
  <c r="U175" i="20"/>
  <c r="T175" i="20" s="1"/>
  <c r="U122" i="20"/>
  <c r="T122" i="20" s="1"/>
  <c r="U339" i="20"/>
  <c r="T339" i="20" s="1"/>
  <c r="U276" i="20"/>
  <c r="T276" i="20" s="1"/>
  <c r="U349" i="20"/>
  <c r="T349" i="20" s="1"/>
  <c r="U163" i="20"/>
  <c r="T163" i="20" s="1"/>
  <c r="U156" i="20"/>
  <c r="T156" i="20" s="1"/>
  <c r="U64" i="20"/>
  <c r="T64" i="20" s="1"/>
  <c r="U34" i="20"/>
  <c r="T34" i="20" s="1"/>
  <c r="U140" i="20"/>
  <c r="T140" i="20" s="1"/>
  <c r="U110" i="20"/>
  <c r="T110" i="20" s="1"/>
  <c r="U280" i="20"/>
  <c r="T280" i="20" s="1"/>
  <c r="U75" i="20"/>
  <c r="T75" i="20" s="1"/>
  <c r="U80" i="20"/>
  <c r="T80" i="20" s="1"/>
  <c r="U351" i="20"/>
  <c r="T351" i="20" s="1"/>
  <c r="U290" i="20"/>
  <c r="T290" i="20" s="1"/>
  <c r="U345" i="20"/>
  <c r="T345" i="20" s="1"/>
  <c r="U143" i="20"/>
  <c r="T143" i="20" s="1"/>
  <c r="U192" i="20"/>
  <c r="T192" i="20" s="1"/>
  <c r="U59" i="20"/>
  <c r="T59" i="20" s="1"/>
  <c r="U303" i="20"/>
  <c r="T303" i="20" s="1"/>
  <c r="U105" i="20"/>
  <c r="T105" i="20" s="1"/>
  <c r="U178" i="20"/>
  <c r="T178" i="20" s="1"/>
  <c r="U348" i="20"/>
  <c r="T348" i="20" s="1"/>
  <c r="U264" i="20"/>
  <c r="T264" i="20" s="1"/>
  <c r="U158" i="20"/>
  <c r="T158" i="20" s="1"/>
  <c r="U369" i="20"/>
  <c r="T369" i="20" s="1"/>
  <c r="U39" i="20"/>
  <c r="T39" i="20" s="1"/>
  <c r="U286" i="20"/>
  <c r="T286" i="20" s="1"/>
  <c r="U209" i="20"/>
  <c r="T209" i="20" s="1"/>
  <c r="U167" i="20"/>
  <c r="T167" i="20" s="1"/>
  <c r="U350" i="20"/>
  <c r="T350" i="20" s="1"/>
  <c r="U203" i="20"/>
  <c r="T203" i="20" s="1"/>
  <c r="U117" i="20"/>
  <c r="T117" i="20" s="1"/>
  <c r="U56" i="20"/>
  <c r="T56" i="20" s="1"/>
  <c r="U138" i="20"/>
  <c r="T138" i="20" s="1"/>
  <c r="U260" i="20"/>
  <c r="T260" i="20" s="1"/>
  <c r="U374" i="20"/>
  <c r="T374" i="20" s="1"/>
  <c r="U151" i="20"/>
  <c r="T151" i="20" s="1"/>
  <c r="U161" i="20"/>
  <c r="T161" i="20" s="1"/>
  <c r="U54" i="20"/>
  <c r="T54" i="20" s="1"/>
  <c r="S54" i="20" s="1"/>
  <c r="R54" i="20" s="1"/>
  <c r="U341" i="20"/>
  <c r="T341" i="20" s="1"/>
  <c r="U58" i="20"/>
  <c r="T58" i="20" s="1"/>
  <c r="U262" i="20"/>
  <c r="T262" i="20" s="1"/>
  <c r="U179" i="20"/>
  <c r="T179" i="20" s="1"/>
  <c r="U157" i="20"/>
  <c r="T157" i="20" s="1"/>
  <c r="U60" i="20"/>
  <c r="T60" i="20" s="1"/>
  <c r="U360" i="20"/>
  <c r="T360" i="20" s="1"/>
  <c r="U309" i="20"/>
  <c r="T309" i="20" s="1"/>
  <c r="AG16" i="7"/>
  <c r="U61" i="20"/>
  <c r="T61" i="20" s="1"/>
  <c r="U211" i="20"/>
  <c r="T211" i="20" s="1"/>
  <c r="U346" i="20"/>
  <c r="T346" i="20" s="1"/>
  <c r="U255" i="20"/>
  <c r="T255" i="20" s="1"/>
  <c r="U217" i="20"/>
  <c r="T217" i="20" s="1"/>
  <c r="U266" i="20"/>
  <c r="T266" i="20" s="1"/>
  <c r="U361" i="20"/>
  <c r="T361" i="20" s="1"/>
  <c r="U31" i="20"/>
  <c r="T31" i="20" s="1"/>
  <c r="U98" i="20"/>
  <c r="T98" i="20" s="1"/>
  <c r="U291" i="20"/>
  <c r="T291" i="20" s="1"/>
  <c r="S291" i="20" s="1"/>
  <c r="R291" i="20" s="1"/>
  <c r="U204" i="20"/>
  <c r="T204" i="20" s="1"/>
  <c r="S204" i="20" s="1"/>
  <c r="R204" i="20" s="1"/>
  <c r="U77" i="20"/>
  <c r="T77" i="20" s="1"/>
  <c r="U302" i="20"/>
  <c r="T302" i="20" s="1"/>
  <c r="U36" i="20"/>
  <c r="T36" i="20" s="1"/>
  <c r="U199" i="20"/>
  <c r="T199" i="20" s="1"/>
  <c r="U198" i="20"/>
  <c r="T198" i="20" s="1"/>
  <c r="U305" i="20"/>
  <c r="T305" i="20" s="1"/>
  <c r="U254" i="20"/>
  <c r="T254" i="20" s="1"/>
  <c r="U232" i="20"/>
  <c r="T232" i="20" s="1"/>
  <c r="U314" i="20"/>
  <c r="T314" i="20" s="1"/>
  <c r="U340" i="20"/>
  <c r="T340" i="20" s="1"/>
  <c r="U259" i="20"/>
  <c r="T259" i="20" s="1"/>
  <c r="U154" i="20"/>
  <c r="T154" i="20" s="1"/>
  <c r="U41" i="20"/>
  <c r="T41" i="20" s="1"/>
  <c r="U308" i="20"/>
  <c r="T308" i="20" s="1"/>
  <c r="U19" i="20"/>
  <c r="T19" i="20" s="1"/>
  <c r="U227" i="20"/>
  <c r="T227" i="20" s="1"/>
  <c r="U188" i="20"/>
  <c r="T188" i="20" s="1"/>
  <c r="U15" i="20"/>
  <c r="U125" i="20"/>
  <c r="T125" i="20" s="1"/>
  <c r="U273" i="20"/>
  <c r="T273" i="20" s="1"/>
  <c r="U238" i="20"/>
  <c r="T238" i="20" s="1"/>
  <c r="U71" i="20"/>
  <c r="T71" i="20" s="1"/>
  <c r="U165" i="20"/>
  <c r="T165" i="20" s="1"/>
  <c r="U219" i="20"/>
  <c r="T219" i="20" s="1"/>
  <c r="U256" i="20"/>
  <c r="T256" i="20" s="1"/>
  <c r="U279" i="20"/>
  <c r="T279" i="20" s="1"/>
  <c r="U129" i="20"/>
  <c r="T129" i="20" s="1"/>
  <c r="U38" i="20"/>
  <c r="T38" i="20" s="1"/>
  <c r="U221" i="20"/>
  <c r="T221" i="20" s="1"/>
  <c r="U268" i="20"/>
  <c r="T268" i="20" s="1"/>
  <c r="U233" i="20"/>
  <c r="T233" i="20" s="1"/>
  <c r="U89" i="20"/>
  <c r="T89" i="20" s="1"/>
  <c r="U127" i="20"/>
  <c r="T127" i="20" s="1"/>
  <c r="U282" i="20"/>
  <c r="T282" i="20" s="1"/>
  <c r="U53" i="20"/>
  <c r="T53" i="20" s="1"/>
  <c r="U231" i="20"/>
  <c r="T231" i="20" s="1"/>
  <c r="U28" i="20"/>
  <c r="T28" i="20" s="1"/>
  <c r="S28" i="20" s="1"/>
  <c r="R28" i="20" s="1"/>
  <c r="U93" i="20"/>
  <c r="T93" i="20" s="1"/>
  <c r="U115" i="20"/>
  <c r="T115" i="20" s="1"/>
  <c r="U332" i="20"/>
  <c r="T332" i="20" s="1"/>
  <c r="U226" i="20"/>
  <c r="T226" i="20" s="1"/>
  <c r="U128" i="20"/>
  <c r="T128" i="20" s="1"/>
  <c r="U22" i="20"/>
  <c r="T22" i="20" s="1"/>
  <c r="U97" i="20"/>
  <c r="T97" i="20" s="1"/>
  <c r="U87" i="20"/>
  <c r="T87" i="20" s="1"/>
  <c r="U55" i="20"/>
  <c r="T55" i="20" s="1"/>
  <c r="S55" i="20" s="1"/>
  <c r="R55" i="20" s="1"/>
  <c r="U251" i="20"/>
  <c r="T251" i="20" s="1"/>
  <c r="U133" i="20"/>
  <c r="T133" i="20" s="1"/>
  <c r="U336" i="20"/>
  <c r="T336" i="20" s="1"/>
  <c r="U123" i="20"/>
  <c r="T123" i="20" s="1"/>
  <c r="U367" i="20"/>
  <c r="T367" i="20" s="1"/>
  <c r="U240" i="20"/>
  <c r="T240" i="20" s="1"/>
  <c r="U306" i="20"/>
  <c r="T306" i="20" s="1"/>
  <c r="U111" i="20"/>
  <c r="T111" i="20" s="1"/>
  <c r="U99" i="20"/>
  <c r="T99" i="20" s="1"/>
  <c r="U244" i="20"/>
  <c r="T244" i="20" s="1"/>
  <c r="S244" i="20" s="1"/>
  <c r="R244" i="20" s="1"/>
  <c r="U90" i="20"/>
  <c r="T90" i="20" s="1"/>
  <c r="U32" i="20"/>
  <c r="T32" i="20" s="1"/>
  <c r="U130" i="20"/>
  <c r="T130" i="20" s="1"/>
  <c r="U236" i="20"/>
  <c r="T236" i="20" s="1"/>
  <c r="U212" i="20"/>
  <c r="T212" i="20" s="1"/>
  <c r="U57" i="20"/>
  <c r="T57" i="20" s="1"/>
  <c r="U202" i="20"/>
  <c r="T202" i="20" s="1"/>
  <c r="U376" i="20"/>
  <c r="T376" i="20" s="1"/>
  <c r="U206" i="20"/>
  <c r="T206" i="20" s="1"/>
  <c r="U207" i="20"/>
  <c r="T207" i="20" s="1"/>
  <c r="U224" i="20"/>
  <c r="T224" i="20" s="1"/>
  <c r="U180" i="20"/>
  <c r="T180" i="20" s="1"/>
  <c r="U335" i="20"/>
  <c r="T335" i="20" s="1"/>
  <c r="U27" i="20"/>
  <c r="T27" i="20" s="1"/>
  <c r="U176" i="20"/>
  <c r="T176" i="20" s="1"/>
  <c r="U134" i="20"/>
  <c r="T134" i="20" s="1"/>
  <c r="U321" i="20"/>
  <c r="T321" i="20" s="1"/>
  <c r="U109" i="20"/>
  <c r="T109" i="20" s="1"/>
  <c r="U323" i="20"/>
  <c r="T323" i="20" s="1"/>
  <c r="U372" i="20"/>
  <c r="T372" i="20" s="1"/>
  <c r="U218" i="20"/>
  <c r="T218" i="20" s="1"/>
  <c r="U169" i="20"/>
  <c r="T169" i="20" s="1"/>
  <c r="U317" i="20"/>
  <c r="T317" i="20" s="1"/>
  <c r="U108" i="20"/>
  <c r="T108" i="20" s="1"/>
  <c r="U371" i="20"/>
  <c r="T371" i="20" s="1"/>
  <c r="U189" i="20"/>
  <c r="T189" i="20" s="1"/>
  <c r="U44" i="20"/>
  <c r="T44" i="20" s="1"/>
  <c r="U83" i="20"/>
  <c r="T83" i="20" s="1"/>
  <c r="S83" i="20" s="1"/>
  <c r="R83" i="20" s="1"/>
  <c r="U295" i="20"/>
  <c r="T295" i="20" s="1"/>
  <c r="U337" i="20"/>
  <c r="T337" i="20" s="1"/>
  <c r="AL13" i="15"/>
  <c r="AJ4" i="15"/>
  <c r="P12" i="19" s="1"/>
  <c r="J12" i="19"/>
  <c r="AA11" i="15"/>
  <c r="AA5" i="15" s="1"/>
  <c r="I12" i="19" s="1"/>
  <c r="F258" i="18"/>
  <c r="Y383" i="16"/>
  <c r="X9" i="16"/>
  <c r="Z11" i="16" s="1"/>
  <c r="Z5" i="16" s="1"/>
  <c r="H13" i="19" s="1"/>
  <c r="H37" i="19" s="1"/>
  <c r="Y382" i="16"/>
  <c r="AM6" i="16"/>
  <c r="AM12" i="16" s="1"/>
  <c r="AL5" i="16"/>
  <c r="AL11" i="16" s="1"/>
  <c r="Y381" i="16"/>
  <c r="V89" i="18"/>
  <c r="D344" i="18"/>
  <c r="E344" i="18" s="1"/>
  <c r="F344" i="18" s="1"/>
  <c r="V20" i="18"/>
  <c r="F20" i="18" s="1"/>
  <c r="D296" i="18"/>
  <c r="E296" i="18" s="1"/>
  <c r="F296" i="18" s="1"/>
  <c r="V173" i="18"/>
  <c r="V39" i="18"/>
  <c r="V224" i="18"/>
  <c r="V189" i="18"/>
  <c r="V30" i="18"/>
  <c r="F30" i="18" s="1"/>
  <c r="V115" i="18"/>
  <c r="V241" i="18"/>
  <c r="D75" i="7"/>
  <c r="V102" i="18"/>
  <c r="D342" i="18"/>
  <c r="E342" i="18" s="1"/>
  <c r="F342" i="18" s="1"/>
  <c r="V163" i="18"/>
  <c r="V275" i="18"/>
  <c r="D371" i="18"/>
  <c r="E371" i="18" s="1"/>
  <c r="F371" i="18" s="1"/>
  <c r="H246" i="18"/>
  <c r="G246" i="18"/>
  <c r="CA246" i="6" s="1"/>
  <c r="AA246" i="18"/>
  <c r="Z246" i="18" s="1"/>
  <c r="Y246" i="18" s="1"/>
  <c r="V150" i="18"/>
  <c r="V286" i="18"/>
  <c r="D289" i="18"/>
  <c r="E289" i="18" s="1"/>
  <c r="F289" i="18" s="1"/>
  <c r="D322" i="18"/>
  <c r="E322" i="18" s="1"/>
  <c r="F322" i="18" s="1"/>
  <c r="D375" i="18"/>
  <c r="E375" i="18" s="1"/>
  <c r="F375" i="18" s="1"/>
  <c r="V144" i="18"/>
  <c r="V87" i="18"/>
  <c r="V268" i="18"/>
  <c r="V234" i="18"/>
  <c r="V27" i="18"/>
  <c r="D334" i="18"/>
  <c r="E334" i="18" s="1"/>
  <c r="F334" i="18" s="1"/>
  <c r="D316" i="18"/>
  <c r="E316" i="18" s="1"/>
  <c r="F316" i="18" s="1"/>
  <c r="D76" i="7"/>
  <c r="V272" i="18"/>
  <c r="AA109" i="18"/>
  <c r="Z109" i="18" s="1"/>
  <c r="Y109" i="18" s="1"/>
  <c r="G109" i="18"/>
  <c r="CA109" i="6" s="1"/>
  <c r="H109" i="18"/>
  <c r="H212" i="18"/>
  <c r="AA212" i="18"/>
  <c r="Z212" i="18" s="1"/>
  <c r="Y212" i="18" s="1"/>
  <c r="G212" i="18"/>
  <c r="CA212" i="6" s="1"/>
  <c r="V255" i="18"/>
  <c r="V113" i="18"/>
  <c r="D328" i="18"/>
  <c r="E328" i="18" s="1"/>
  <c r="F328" i="18" s="1"/>
  <c r="V36" i="18"/>
  <c r="V193" i="18"/>
  <c r="V169" i="18"/>
  <c r="V42" i="18"/>
  <c r="AI24" i="20"/>
  <c r="AH24" i="20" s="1"/>
  <c r="AG24" i="20" s="1"/>
  <c r="AF24" i="20" s="1"/>
  <c r="AI103" i="20"/>
  <c r="AH103" i="20" s="1"/>
  <c r="AG103" i="20" s="1"/>
  <c r="AF103" i="20" s="1"/>
  <c r="AI42" i="20"/>
  <c r="AH42" i="20" s="1"/>
  <c r="AG42" i="20" s="1"/>
  <c r="AF42" i="20" s="1"/>
  <c r="AI92" i="20"/>
  <c r="AH92" i="20" s="1"/>
  <c r="AG92" i="20" s="1"/>
  <c r="AF92" i="20" s="1"/>
  <c r="AI98" i="20"/>
  <c r="AH98" i="20" s="1"/>
  <c r="AG98" i="20" s="1"/>
  <c r="AF98" i="20" s="1"/>
  <c r="AI88" i="20"/>
  <c r="AH88" i="20" s="1"/>
  <c r="AG88" i="20" s="1"/>
  <c r="AF88" i="20" s="1"/>
  <c r="AI96" i="20"/>
  <c r="AH96" i="20" s="1"/>
  <c r="AG96" i="20" s="1"/>
  <c r="AF96" i="20" s="1"/>
  <c r="AI26" i="20"/>
  <c r="AH26" i="20" s="1"/>
  <c r="AG26" i="20" s="1"/>
  <c r="AF26" i="20" s="1"/>
  <c r="AI61" i="20"/>
  <c r="AH61" i="20" s="1"/>
  <c r="AG61" i="20" s="1"/>
  <c r="AF61" i="20" s="1"/>
  <c r="AI58" i="20"/>
  <c r="AH58" i="20" s="1"/>
  <c r="AG58" i="20" s="1"/>
  <c r="AF58" i="20" s="1"/>
  <c r="AI43" i="20"/>
  <c r="AH43" i="20" s="1"/>
  <c r="AG43" i="20" s="1"/>
  <c r="AF43" i="20" s="1"/>
  <c r="AI72" i="20"/>
  <c r="AH72" i="20" s="1"/>
  <c r="AG72" i="20" s="1"/>
  <c r="AF72" i="20" s="1"/>
  <c r="AI34" i="20"/>
  <c r="AH34" i="20" s="1"/>
  <c r="AG34" i="20" s="1"/>
  <c r="AF34" i="20" s="1"/>
  <c r="AI60" i="20"/>
  <c r="AH60" i="20" s="1"/>
  <c r="AG60" i="20" s="1"/>
  <c r="AF60" i="20" s="1"/>
  <c r="AI56" i="20"/>
  <c r="AH56" i="20" s="1"/>
  <c r="AG56" i="20" s="1"/>
  <c r="AF56" i="20" s="1"/>
  <c r="AI89" i="20"/>
  <c r="AH89" i="20" s="1"/>
  <c r="AG89" i="20" s="1"/>
  <c r="AF89" i="20" s="1"/>
  <c r="AI83" i="20"/>
  <c r="AH83" i="20" s="1"/>
  <c r="AG83" i="20" s="1"/>
  <c r="AF83" i="20" s="1"/>
  <c r="AI44" i="20"/>
  <c r="AH44" i="20" s="1"/>
  <c r="AG44" i="20" s="1"/>
  <c r="AF44" i="20" s="1"/>
  <c r="AI21" i="20"/>
  <c r="AH21" i="20" s="1"/>
  <c r="AG21" i="20" s="1"/>
  <c r="AF21" i="20" s="1"/>
  <c r="AI19" i="20"/>
  <c r="AH19" i="20" s="1"/>
  <c r="AG19" i="20" s="1"/>
  <c r="AF19" i="20" s="1"/>
  <c r="AI30" i="20"/>
  <c r="AH30" i="20" s="1"/>
  <c r="AG30" i="20" s="1"/>
  <c r="AF30" i="20" s="1"/>
  <c r="AI27" i="20"/>
  <c r="AH27" i="20" s="1"/>
  <c r="AG27" i="20" s="1"/>
  <c r="AF27" i="20" s="1"/>
  <c r="AI22" i="20"/>
  <c r="AH22" i="20" s="1"/>
  <c r="AG22" i="20" s="1"/>
  <c r="AF22" i="20" s="1"/>
  <c r="AI68" i="20"/>
  <c r="AH68" i="20" s="1"/>
  <c r="AG68" i="20" s="1"/>
  <c r="AF68" i="20" s="1"/>
  <c r="AI52" i="20"/>
  <c r="AH52" i="20" s="1"/>
  <c r="AG52" i="20" s="1"/>
  <c r="AF52" i="20" s="1"/>
  <c r="AI48" i="20"/>
  <c r="AH48" i="20" s="1"/>
  <c r="AG48" i="20" s="1"/>
  <c r="AF48" i="20" s="1"/>
  <c r="AI31" i="20"/>
  <c r="AH31" i="20" s="1"/>
  <c r="AG31" i="20" s="1"/>
  <c r="AF31" i="20" s="1"/>
  <c r="AI33" i="20"/>
  <c r="AH33" i="20" s="1"/>
  <c r="AG33" i="20" s="1"/>
  <c r="AF33" i="20" s="1"/>
  <c r="AI53" i="20"/>
  <c r="AH53" i="20" s="1"/>
  <c r="AG53" i="20" s="1"/>
  <c r="AF53" i="20" s="1"/>
  <c r="AI77" i="20"/>
  <c r="AH77" i="20" s="1"/>
  <c r="AG77" i="20" s="1"/>
  <c r="AF77" i="20" s="1"/>
  <c r="AI102" i="20"/>
  <c r="AH102" i="20" s="1"/>
  <c r="AG102" i="20" s="1"/>
  <c r="AF102" i="20" s="1"/>
  <c r="AI82" i="20"/>
  <c r="AH82" i="20" s="1"/>
  <c r="AG82" i="20" s="1"/>
  <c r="AF82" i="20" s="1"/>
  <c r="AI76" i="20"/>
  <c r="AH76" i="20" s="1"/>
  <c r="AG76" i="20" s="1"/>
  <c r="AF76" i="20" s="1"/>
  <c r="AI74" i="20"/>
  <c r="AH74" i="20" s="1"/>
  <c r="AG74" i="20" s="1"/>
  <c r="AF74" i="20" s="1"/>
  <c r="AI23" i="20"/>
  <c r="AH23" i="20" s="1"/>
  <c r="AG23" i="20" s="1"/>
  <c r="AF23" i="20" s="1"/>
  <c r="AI87" i="20"/>
  <c r="AH87" i="20" s="1"/>
  <c r="AG87" i="20" s="1"/>
  <c r="AF87" i="20" s="1"/>
  <c r="AI37" i="20"/>
  <c r="AH37" i="20" s="1"/>
  <c r="AG37" i="20" s="1"/>
  <c r="AF37" i="20" s="1"/>
  <c r="AI100" i="20"/>
  <c r="AH100" i="20" s="1"/>
  <c r="AG100" i="20" s="1"/>
  <c r="AF100" i="20" s="1"/>
  <c r="AI55" i="20"/>
  <c r="AH55" i="20" s="1"/>
  <c r="AG55" i="20" s="1"/>
  <c r="AF55" i="20" s="1"/>
  <c r="AI71" i="20"/>
  <c r="AH71" i="20" s="1"/>
  <c r="AG71" i="20" s="1"/>
  <c r="AF71" i="20" s="1"/>
  <c r="AI69" i="20"/>
  <c r="AH69" i="20" s="1"/>
  <c r="AG69" i="20" s="1"/>
  <c r="AF69" i="20" s="1"/>
  <c r="AI45" i="20"/>
  <c r="AH45" i="20" s="1"/>
  <c r="AG45" i="20" s="1"/>
  <c r="AF45" i="20" s="1"/>
  <c r="AI85" i="20"/>
  <c r="AH85" i="20" s="1"/>
  <c r="AG85" i="20" s="1"/>
  <c r="AF85" i="20" s="1"/>
  <c r="AI40" i="20"/>
  <c r="AH40" i="20" s="1"/>
  <c r="AG40" i="20" s="1"/>
  <c r="AF40" i="20" s="1"/>
  <c r="AI75" i="20"/>
  <c r="AH75" i="20" s="1"/>
  <c r="AG75" i="20" s="1"/>
  <c r="AF75" i="20" s="1"/>
  <c r="J383" i="16"/>
  <c r="J382" i="16"/>
  <c r="J381" i="16"/>
  <c r="D345" i="18"/>
  <c r="E345" i="18" s="1"/>
  <c r="F345" i="18" s="1"/>
  <c r="H79" i="18"/>
  <c r="G79" i="18"/>
  <c r="CA79" i="6" s="1"/>
  <c r="AA79" i="18"/>
  <c r="Z79" i="18" s="1"/>
  <c r="Y79" i="18" s="1"/>
  <c r="D312" i="18"/>
  <c r="E312" i="18" s="1"/>
  <c r="F312" i="18" s="1"/>
  <c r="V155" i="18"/>
  <c r="D332" i="18"/>
  <c r="E332" i="18" s="1"/>
  <c r="F332" i="18" s="1"/>
  <c r="V266" i="18"/>
  <c r="V232" i="18"/>
  <c r="V219" i="18"/>
  <c r="V203" i="18"/>
  <c r="V187" i="18"/>
  <c r="V41" i="18"/>
  <c r="D71" i="7"/>
  <c r="V119" i="18"/>
  <c r="D313" i="18"/>
  <c r="E313" i="18" s="1"/>
  <c r="F313" i="18" s="1"/>
  <c r="V35" i="18"/>
  <c r="F35" i="18" s="1"/>
  <c r="V23" i="18"/>
  <c r="F23" i="18" s="1"/>
  <c r="D354" i="18"/>
  <c r="E354" i="18" s="1"/>
  <c r="F354" i="18" s="1"/>
  <c r="H50" i="18"/>
  <c r="G50" i="18"/>
  <c r="CA50" i="6" s="1"/>
  <c r="AA50" i="18"/>
  <c r="Z50" i="18" s="1"/>
  <c r="Y50" i="18" s="1"/>
  <c r="AA172" i="18"/>
  <c r="Z172" i="18" s="1"/>
  <c r="Y172" i="18" s="1"/>
  <c r="G172" i="18"/>
  <c r="CA172" i="6" s="1"/>
  <c r="H172" i="18"/>
  <c r="D368" i="18"/>
  <c r="E368" i="18" s="1"/>
  <c r="F368" i="18" s="1"/>
  <c r="V220" i="18"/>
  <c r="D303" i="18"/>
  <c r="E303" i="18" s="1"/>
  <c r="F303" i="18" s="1"/>
  <c r="V100" i="18"/>
  <c r="V47" i="18"/>
  <c r="H92" i="18"/>
  <c r="AA92" i="18"/>
  <c r="Z92" i="18" s="1"/>
  <c r="Y92" i="18" s="1"/>
  <c r="G92" i="18"/>
  <c r="CA92" i="6" s="1"/>
  <c r="V208" i="18"/>
  <c r="V44" i="18"/>
  <c r="V64" i="18"/>
  <c r="V221" i="18"/>
  <c r="V131" i="18"/>
  <c r="V206" i="18"/>
  <c r="V178" i="18"/>
  <c r="V121" i="18"/>
  <c r="V248" i="18"/>
  <c r="V233" i="18"/>
  <c r="V146" i="18"/>
  <c r="V285" i="18"/>
  <c r="V263" i="18"/>
  <c r="V333" i="18"/>
  <c r="D78" i="7"/>
  <c r="H34" i="18"/>
  <c r="G34" i="18"/>
  <c r="CA34" i="6" s="1"/>
  <c r="AA34" i="18"/>
  <c r="Z34" i="18" s="1"/>
  <c r="Y34" i="18" s="1"/>
  <c r="V240" i="18"/>
  <c r="V280" i="18"/>
  <c r="D69" i="7"/>
  <c r="V60" i="18"/>
  <c r="V153" i="18"/>
  <c r="H267" i="18"/>
  <c r="AA267" i="18"/>
  <c r="Z267" i="18" s="1"/>
  <c r="Y267" i="18" s="1"/>
  <c r="G267" i="18"/>
  <c r="CA267" i="6" s="1"/>
  <c r="V249" i="18"/>
  <c r="D327" i="18"/>
  <c r="E327" i="18" s="1"/>
  <c r="F327" i="18" s="1"/>
  <c r="V179" i="18"/>
  <c r="V52" i="18"/>
  <c r="V78" i="18"/>
  <c r="V166" i="18"/>
  <c r="D308" i="18"/>
  <c r="E308" i="18" s="1"/>
  <c r="F308" i="18" s="1"/>
  <c r="V107" i="18"/>
  <c r="V93" i="18"/>
  <c r="V177" i="18"/>
  <c r="V68" i="18"/>
  <c r="V222" i="18"/>
  <c r="D331" i="18"/>
  <c r="E331" i="18" s="1"/>
  <c r="F331" i="18" s="1"/>
  <c r="V156" i="18"/>
  <c r="V133" i="18"/>
  <c r="V218" i="18"/>
  <c r="V165" i="18"/>
  <c r="V201" i="18"/>
  <c r="V49" i="18"/>
  <c r="D360" i="18"/>
  <c r="E360" i="18" s="1"/>
  <c r="F360" i="18" s="1"/>
  <c r="V84" i="18"/>
  <c r="V31" i="18"/>
  <c r="F31" i="18" s="1"/>
  <c r="D339" i="18"/>
  <c r="E339" i="18" s="1"/>
  <c r="F339" i="18" s="1"/>
  <c r="V120" i="18"/>
  <c r="D311" i="18"/>
  <c r="E311" i="18" s="1"/>
  <c r="F311" i="18" s="1"/>
  <c r="D294" i="18"/>
  <c r="E294" i="18" s="1"/>
  <c r="F294" i="18" s="1"/>
  <c r="V25" i="18"/>
  <c r="F25" i="18" s="1"/>
  <c r="G174" i="18"/>
  <c r="CA174" i="6" s="1"/>
  <c r="AA174" i="18"/>
  <c r="Z174" i="18" s="1"/>
  <c r="Y174" i="18" s="1"/>
  <c r="V96" i="18"/>
  <c r="D373" i="18"/>
  <c r="E373" i="18" s="1"/>
  <c r="F373" i="18" s="1"/>
  <c r="V77" i="18"/>
  <c r="D361" i="18"/>
  <c r="E361" i="18" s="1"/>
  <c r="F361" i="18" s="1"/>
  <c r="V302" i="18"/>
  <c r="D77" i="7"/>
  <c r="V185" i="18"/>
  <c r="V211" i="18"/>
  <c r="V139" i="18"/>
  <c r="V86" i="18"/>
  <c r="D309" i="18"/>
  <c r="E309" i="18" s="1"/>
  <c r="F309" i="18" s="1"/>
  <c r="V118" i="18"/>
  <c r="V101" i="18"/>
  <c r="V283" i="18"/>
  <c r="V142" i="18"/>
  <c r="V250" i="18"/>
  <c r="H243" i="18"/>
  <c r="G243" i="18"/>
  <c r="CA243" i="6" s="1"/>
  <c r="AA243" i="18"/>
  <c r="Z243" i="18" s="1"/>
  <c r="Y243" i="18" s="1"/>
  <c r="V70" i="18"/>
  <c r="J196" i="17"/>
  <c r="I196" i="17"/>
  <c r="D352" i="18"/>
  <c r="E352" i="18" s="1"/>
  <c r="F352" i="18" s="1"/>
  <c r="D314" i="18"/>
  <c r="E314" i="18" s="1"/>
  <c r="F314" i="18" s="1"/>
  <c r="V254" i="18"/>
  <c r="V140" i="18"/>
  <c r="D320" i="18"/>
  <c r="E320" i="18" s="1"/>
  <c r="F320" i="18" s="1"/>
  <c r="V81" i="18"/>
  <c r="V33" i="18"/>
  <c r="F33" i="18" s="1"/>
  <c r="D378" i="18"/>
  <c r="E378" i="18" s="1"/>
  <c r="F378" i="18" s="1"/>
  <c r="D357" i="18"/>
  <c r="E357" i="18" s="1"/>
  <c r="F357" i="18" s="1"/>
  <c r="V72" i="18"/>
  <c r="V180" i="18"/>
  <c r="D73" i="7"/>
  <c r="V55" i="18"/>
  <c r="V19" i="18"/>
  <c r="F19" i="18" s="1"/>
  <c r="G112" i="18"/>
  <c r="CA112" i="6" s="1"/>
  <c r="AA112" i="18"/>
  <c r="Z112" i="18" s="1"/>
  <c r="Y112" i="18" s="1"/>
  <c r="H112" i="18"/>
  <c r="V127" i="18"/>
  <c r="D291" i="18"/>
  <c r="E291" i="18" s="1"/>
  <c r="F291" i="18" s="1"/>
  <c r="D305" i="18"/>
  <c r="E305" i="18" s="1"/>
  <c r="F305" i="18" s="1"/>
  <c r="V61" i="18"/>
  <c r="V53" i="18"/>
  <c r="V82" i="18"/>
  <c r="D324" i="18"/>
  <c r="E324" i="18" s="1"/>
  <c r="F324" i="18" s="1"/>
  <c r="V270" i="18"/>
  <c r="V129" i="18"/>
  <c r="V145" i="18"/>
  <c r="D315" i="18"/>
  <c r="E315" i="18" s="1"/>
  <c r="F315" i="18" s="1"/>
  <c r="D297" i="18"/>
  <c r="E297" i="18" s="1"/>
  <c r="F297" i="18" s="1"/>
  <c r="V259" i="18"/>
  <c r="V40" i="18"/>
  <c r="H256" i="18"/>
  <c r="G256" i="18"/>
  <c r="CA256" i="6" s="1"/>
  <c r="AA256" i="18"/>
  <c r="Z256" i="18" s="1"/>
  <c r="Y256" i="18" s="1"/>
  <c r="V151" i="18"/>
  <c r="D355" i="18"/>
  <c r="E355" i="18" s="1"/>
  <c r="F355" i="18" s="1"/>
  <c r="V149" i="18"/>
  <c r="D72" i="7"/>
  <c r="V67" i="18"/>
  <c r="G214" i="18"/>
  <c r="CA214" i="6" s="1"/>
  <c r="AA214" i="18"/>
  <c r="Z214" i="18" s="1"/>
  <c r="Y214" i="18" s="1"/>
  <c r="H214" i="18"/>
  <c r="D317" i="18"/>
  <c r="E317" i="18" s="1"/>
  <c r="F317" i="18" s="1"/>
  <c r="V117" i="18"/>
  <c r="V143" i="18"/>
  <c r="V152" i="18"/>
  <c r="D347" i="18"/>
  <c r="E347" i="18" s="1"/>
  <c r="F347" i="18" s="1"/>
  <c r="V69" i="18"/>
  <c r="D337" i="18"/>
  <c r="E337" i="18" s="1"/>
  <c r="F337" i="18" s="1"/>
  <c r="V194" i="18"/>
  <c r="V204" i="18"/>
  <c r="V80" i="18"/>
  <c r="D293" i="18"/>
  <c r="E293" i="18" s="1"/>
  <c r="F293" i="18" s="1"/>
  <c r="V45" i="18"/>
  <c r="V124" i="18"/>
  <c r="V43" i="18"/>
  <c r="V235" i="18"/>
  <c r="H260" i="18"/>
  <c r="G260" i="18"/>
  <c r="CA260" i="6" s="1"/>
  <c r="AA260" i="18"/>
  <c r="Z260" i="18" s="1"/>
  <c r="Y260" i="18" s="1"/>
  <c r="D300" i="18"/>
  <c r="E300" i="18" s="1"/>
  <c r="F300" i="18" s="1"/>
  <c r="P382" i="17"/>
  <c r="P383" i="17"/>
  <c r="P381" i="17"/>
  <c r="V15" i="17"/>
  <c r="V147" i="18"/>
  <c r="V171" i="18"/>
  <c r="D295" i="18"/>
  <c r="E295" i="18" s="1"/>
  <c r="F295" i="18" s="1"/>
  <c r="V257" i="18"/>
  <c r="V58" i="18"/>
  <c r="V197" i="18"/>
  <c r="V76" i="18"/>
  <c r="V66" i="18"/>
  <c r="S379" i="18"/>
  <c r="R379" i="18" s="1"/>
  <c r="P379" i="18" s="1"/>
  <c r="AM13" i="15"/>
  <c r="AK4" i="15"/>
  <c r="R12" i="19" s="1"/>
  <c r="N13" i="19" s="1"/>
  <c r="AD382" i="17"/>
  <c r="AD381" i="17"/>
  <c r="AD383" i="17"/>
  <c r="H273" i="18"/>
  <c r="AA273" i="18"/>
  <c r="Z273" i="18" s="1"/>
  <c r="Y273" i="18" s="1"/>
  <c r="G273" i="18"/>
  <c r="CA273" i="6" s="1"/>
  <c r="V83" i="18"/>
  <c r="V182" i="18"/>
  <c r="V282" i="18"/>
  <c r="D343" i="18"/>
  <c r="E343" i="18" s="1"/>
  <c r="F343" i="18" s="1"/>
  <c r="V215" i="18"/>
  <c r="T383" i="18"/>
  <c r="T382" i="18"/>
  <c r="T381" i="18"/>
  <c r="S15" i="18"/>
  <c r="AA346" i="18"/>
  <c r="Z346" i="18" s="1"/>
  <c r="Y346" i="18" s="1"/>
  <c r="H346" i="18"/>
  <c r="G346" i="18"/>
  <c r="CA346" i="6" s="1"/>
  <c r="AE383" i="20"/>
  <c r="AE382" i="20"/>
  <c r="AE381" i="20"/>
  <c r="Q382" i="20"/>
  <c r="Q383" i="20"/>
  <c r="Q381" i="20"/>
  <c r="AE12" i="22"/>
  <c r="AM15" i="7"/>
  <c r="Q10" i="22"/>
  <c r="D15" i="18"/>
  <c r="F215" i="18" l="1"/>
  <c r="F282" i="18"/>
  <c r="F83" i="18"/>
  <c r="F66" i="18"/>
  <c r="F197" i="18"/>
  <c r="F171" i="18"/>
  <c r="F182" i="18"/>
  <c r="F76" i="18"/>
  <c r="F58" i="18"/>
  <c r="F147" i="18"/>
  <c r="F45" i="18"/>
  <c r="F80" i="18"/>
  <c r="F194" i="18"/>
  <c r="F69" i="18"/>
  <c r="F152" i="18"/>
  <c r="F117" i="18"/>
  <c r="F259" i="18"/>
  <c r="F129" i="18"/>
  <c r="F127" i="18"/>
  <c r="F72" i="18"/>
  <c r="F81" i="18"/>
  <c r="F140" i="18"/>
  <c r="F70" i="18"/>
  <c r="F250" i="18"/>
  <c r="F283" i="18"/>
  <c r="F118" i="18"/>
  <c r="F86" i="18"/>
  <c r="F211" i="18"/>
  <c r="F84" i="18"/>
  <c r="F49" i="18"/>
  <c r="F133" i="18"/>
  <c r="F68" i="18"/>
  <c r="F93" i="18"/>
  <c r="F78" i="18"/>
  <c r="F179" i="18"/>
  <c r="F249" i="18"/>
  <c r="F240" i="18"/>
  <c r="F263" i="18"/>
  <c r="F248" i="18"/>
  <c r="F178" i="18"/>
  <c r="F131" i="18"/>
  <c r="F64" i="18"/>
  <c r="F208" i="18"/>
  <c r="F187" i="18"/>
  <c r="F219" i="18"/>
  <c r="F155" i="18"/>
  <c r="F42" i="18"/>
  <c r="F193" i="18"/>
  <c r="F255" i="18"/>
  <c r="F234" i="18"/>
  <c r="F150" i="18"/>
  <c r="F163" i="18"/>
  <c r="F102" i="18"/>
  <c r="F241" i="18"/>
  <c r="F224" i="18"/>
  <c r="F173" i="18"/>
  <c r="F89" i="18"/>
  <c r="F148" i="18"/>
  <c r="F99" i="18"/>
  <c r="F277" i="18"/>
  <c r="F54" i="18"/>
  <c r="F200" i="18"/>
  <c r="F281" i="18"/>
  <c r="F181" i="18"/>
  <c r="F284" i="18"/>
  <c r="F192" i="18"/>
  <c r="F198" i="18"/>
  <c r="F231" i="18"/>
  <c r="F210" i="18"/>
  <c r="F104" i="18"/>
  <c r="F244" i="18"/>
  <c r="F51" i="18"/>
  <c r="F199" i="18"/>
  <c r="F237" i="18"/>
  <c r="F110" i="18"/>
  <c r="F226" i="18"/>
  <c r="F157" i="18"/>
  <c r="F123" i="18"/>
  <c r="F161" i="18"/>
  <c r="F209" i="18"/>
  <c r="F188" i="18"/>
  <c r="F88" i="18"/>
  <c r="F207" i="18"/>
  <c r="F228" i="18"/>
  <c r="F183" i="18"/>
  <c r="F141" i="18"/>
  <c r="F253" i="18"/>
  <c r="F105" i="18"/>
  <c r="F225" i="18"/>
  <c r="F216" i="18"/>
  <c r="F168" i="18"/>
  <c r="F264" i="18"/>
  <c r="F97" i="18"/>
  <c r="F135" i="18"/>
  <c r="F238" i="18"/>
  <c r="F122" i="18"/>
  <c r="F190" i="18"/>
  <c r="F245" i="18"/>
  <c r="F106" i="18"/>
  <c r="F236" i="18"/>
  <c r="F223" i="18"/>
  <c r="F191" i="18"/>
  <c r="F235" i="18"/>
  <c r="F124" i="18"/>
  <c r="F204" i="18"/>
  <c r="F143" i="18"/>
  <c r="F67" i="18"/>
  <c r="F149" i="18"/>
  <c r="F151" i="18"/>
  <c r="F40" i="18"/>
  <c r="F145" i="18"/>
  <c r="F270" i="18"/>
  <c r="F82" i="18"/>
  <c r="F55" i="18"/>
  <c r="F180" i="18"/>
  <c r="F254" i="18"/>
  <c r="F142" i="18"/>
  <c r="F101" i="18"/>
  <c r="F139" i="18"/>
  <c r="F185" i="18"/>
  <c r="F96" i="18"/>
  <c r="F120" i="18"/>
  <c r="F201" i="18"/>
  <c r="F218" i="18"/>
  <c r="F156" i="18"/>
  <c r="F222" i="18"/>
  <c r="F166" i="18"/>
  <c r="F52" i="18"/>
  <c r="F60" i="18"/>
  <c r="F280" i="18"/>
  <c r="F285" i="18"/>
  <c r="F233" i="18"/>
  <c r="F121" i="18"/>
  <c r="F206" i="18"/>
  <c r="F221" i="18"/>
  <c r="F44" i="18"/>
  <c r="F100" i="18"/>
  <c r="F220" i="18"/>
  <c r="F119" i="18"/>
  <c r="F41" i="18"/>
  <c r="F203" i="18"/>
  <c r="F232" i="18"/>
  <c r="F169" i="18"/>
  <c r="F36" i="18"/>
  <c r="F113" i="18"/>
  <c r="F272" i="18"/>
  <c r="F268" i="18"/>
  <c r="F144" i="18"/>
  <c r="F286" i="18"/>
  <c r="F115" i="18"/>
  <c r="F189" i="18"/>
  <c r="F39" i="18"/>
  <c r="F91" i="18"/>
  <c r="F217" i="18"/>
  <c r="F162" i="18"/>
  <c r="F287" i="18"/>
  <c r="F56" i="18"/>
  <c r="F230" i="18"/>
  <c r="F48" i="18"/>
  <c r="F262" i="18"/>
  <c r="F85" i="18"/>
  <c r="F114" i="18"/>
  <c r="F265" i="18"/>
  <c r="F137" i="18"/>
  <c r="F186" i="18"/>
  <c r="F279" i="18"/>
  <c r="F229" i="18"/>
  <c r="F278" i="18"/>
  <c r="F158" i="18"/>
  <c r="F195" i="18"/>
  <c r="F90" i="18"/>
  <c r="F116" i="18"/>
  <c r="F247" i="18"/>
  <c r="F176" i="18"/>
  <c r="F37" i="18"/>
  <c r="F205" i="18"/>
  <c r="F251" i="18"/>
  <c r="F213" i="18"/>
  <c r="F103" i="18"/>
  <c r="F202" i="18"/>
  <c r="F154" i="18"/>
  <c r="F38" i="18"/>
  <c r="F167" i="18"/>
  <c r="F261" i="18"/>
  <c r="F274" i="18"/>
  <c r="F160" i="18"/>
  <c r="F73" i="18"/>
  <c r="F164" i="18"/>
  <c r="F98" i="18"/>
  <c r="F94" i="18"/>
  <c r="F63" i="18"/>
  <c r="F242" i="18"/>
  <c r="F126" i="18"/>
  <c r="F175" i="18"/>
  <c r="U47" i="20"/>
  <c r="T47" i="20" s="1"/>
  <c r="U25" i="20"/>
  <c r="T25" i="20" s="1"/>
  <c r="S25" i="20" s="1"/>
  <c r="R25" i="20" s="1"/>
  <c r="P25" i="20" s="1"/>
  <c r="V25" i="20" s="1"/>
  <c r="U250" i="20"/>
  <c r="T250" i="20" s="1"/>
  <c r="U62" i="20"/>
  <c r="T62" i="20" s="1"/>
  <c r="S62" i="20" s="1"/>
  <c r="R62" i="20" s="1"/>
  <c r="U29" i="20"/>
  <c r="T29" i="20" s="1"/>
  <c r="U107" i="20"/>
  <c r="T107" i="20" s="1"/>
  <c r="S107" i="20" s="1"/>
  <c r="R107" i="20" s="1"/>
  <c r="P107" i="20" s="1"/>
  <c r="V107" i="20" s="1"/>
  <c r="B107" i="20" s="1"/>
  <c r="U249" i="20"/>
  <c r="T249" i="20" s="1"/>
  <c r="U223" i="20"/>
  <c r="T223" i="20" s="1"/>
  <c r="S223" i="20" s="1"/>
  <c r="R223" i="20" s="1"/>
  <c r="P223" i="20" s="1"/>
  <c r="V223" i="20" s="1"/>
  <c r="B223" i="20" s="1"/>
  <c r="U234" i="20"/>
  <c r="T234" i="20" s="1"/>
  <c r="H362" i="18"/>
  <c r="J362" i="18" s="1"/>
  <c r="U172" i="20"/>
  <c r="T172" i="20" s="1"/>
  <c r="E13" i="19"/>
  <c r="I36" i="19"/>
  <c r="AI90" i="20"/>
  <c r="AH90" i="20" s="1"/>
  <c r="AG90" i="20" s="1"/>
  <c r="AF90" i="20" s="1"/>
  <c r="AI50" i="20"/>
  <c r="AH50" i="20" s="1"/>
  <c r="AG50" i="20" s="1"/>
  <c r="AF50" i="20" s="1"/>
  <c r="AI66" i="20"/>
  <c r="AH66" i="20" s="1"/>
  <c r="AG66" i="20" s="1"/>
  <c r="AF66" i="20" s="1"/>
  <c r="AI94" i="20"/>
  <c r="AH94" i="20" s="1"/>
  <c r="AG94" i="20" s="1"/>
  <c r="AF94" i="20" s="1"/>
  <c r="AI79" i="20"/>
  <c r="AH79" i="20" s="1"/>
  <c r="AG79" i="20" s="1"/>
  <c r="AF79" i="20" s="1"/>
  <c r="AI91" i="20"/>
  <c r="AH91" i="20" s="1"/>
  <c r="AG91" i="20" s="1"/>
  <c r="AF91" i="20" s="1"/>
  <c r="AI29" i="20"/>
  <c r="AH29" i="20" s="1"/>
  <c r="AG29" i="20" s="1"/>
  <c r="AF29" i="20" s="1"/>
  <c r="AI97" i="20"/>
  <c r="AH97" i="20" s="1"/>
  <c r="AG97" i="20" s="1"/>
  <c r="AF97" i="20" s="1"/>
  <c r="AI41" i="20"/>
  <c r="AH41" i="20" s="1"/>
  <c r="AG41" i="20" s="1"/>
  <c r="AF41" i="20" s="1"/>
  <c r="AI15" i="20"/>
  <c r="AH15" i="20" s="1"/>
  <c r="AI17" i="20"/>
  <c r="AH17" i="20" s="1"/>
  <c r="AG17" i="20" s="1"/>
  <c r="AF17" i="20" s="1"/>
  <c r="AI25" i="20"/>
  <c r="AH25" i="20" s="1"/>
  <c r="AG25" i="20" s="1"/>
  <c r="AF25" i="20" s="1"/>
  <c r="AI70" i="20"/>
  <c r="AH70" i="20" s="1"/>
  <c r="AG70" i="20" s="1"/>
  <c r="AF70" i="20" s="1"/>
  <c r="AI59" i="20"/>
  <c r="AH59" i="20" s="1"/>
  <c r="AG59" i="20" s="1"/>
  <c r="AF59" i="20" s="1"/>
  <c r="AI32" i="20"/>
  <c r="AH32" i="20" s="1"/>
  <c r="AG32" i="20" s="1"/>
  <c r="AF32" i="20" s="1"/>
  <c r="AI63" i="20"/>
  <c r="AH63" i="20" s="1"/>
  <c r="AG63" i="20" s="1"/>
  <c r="AF63" i="20" s="1"/>
  <c r="AI46" i="20"/>
  <c r="AH46" i="20" s="1"/>
  <c r="AG46" i="20" s="1"/>
  <c r="AF46" i="20" s="1"/>
  <c r="AI93" i="20"/>
  <c r="AH93" i="20" s="1"/>
  <c r="AG93" i="20" s="1"/>
  <c r="AF93" i="20" s="1"/>
  <c r="AI28" i="20"/>
  <c r="AH28" i="20" s="1"/>
  <c r="AG28" i="20" s="1"/>
  <c r="AF28" i="20" s="1"/>
  <c r="AI47" i="20"/>
  <c r="AH47" i="20" s="1"/>
  <c r="AG47" i="20" s="1"/>
  <c r="AF47" i="20" s="1"/>
  <c r="AI38" i="20"/>
  <c r="AH38" i="20" s="1"/>
  <c r="AG38" i="20" s="1"/>
  <c r="AF38" i="20" s="1"/>
  <c r="AI67" i="20"/>
  <c r="AH67" i="20" s="1"/>
  <c r="AG67" i="20" s="1"/>
  <c r="AF67" i="20" s="1"/>
  <c r="AI73" i="20"/>
  <c r="AH73" i="20" s="1"/>
  <c r="AG73" i="20" s="1"/>
  <c r="AF73" i="20" s="1"/>
  <c r="AI20" i="20"/>
  <c r="AH20" i="20" s="1"/>
  <c r="AG20" i="20" s="1"/>
  <c r="AF20" i="20" s="1"/>
  <c r="AI65" i="20"/>
  <c r="AH65" i="20" s="1"/>
  <c r="AG65" i="20" s="1"/>
  <c r="AF65" i="20" s="1"/>
  <c r="AI95" i="20"/>
  <c r="AH95" i="20" s="1"/>
  <c r="AG95" i="20" s="1"/>
  <c r="AF95" i="20" s="1"/>
  <c r="AI78" i="20"/>
  <c r="AH78" i="20" s="1"/>
  <c r="AG78" i="20" s="1"/>
  <c r="AF78" i="20" s="1"/>
  <c r="AI84" i="20"/>
  <c r="AH84" i="20" s="1"/>
  <c r="AG84" i="20" s="1"/>
  <c r="AF84" i="20" s="1"/>
  <c r="AI54" i="20"/>
  <c r="AH54" i="20" s="1"/>
  <c r="AG54" i="20" s="1"/>
  <c r="AF54" i="20" s="1"/>
  <c r="AI80" i="20"/>
  <c r="AH80" i="20" s="1"/>
  <c r="AG80" i="20" s="1"/>
  <c r="AF80" i="20" s="1"/>
  <c r="AI62" i="20"/>
  <c r="AH62" i="20" s="1"/>
  <c r="AG62" i="20" s="1"/>
  <c r="AF62" i="20" s="1"/>
  <c r="AI36" i="20"/>
  <c r="AH36" i="20" s="1"/>
  <c r="AG36" i="20" s="1"/>
  <c r="AF36" i="20" s="1"/>
  <c r="AI16" i="20"/>
  <c r="AH16" i="20" s="1"/>
  <c r="AG16" i="20" s="1"/>
  <c r="AF16" i="20" s="1"/>
  <c r="AI81" i="20"/>
  <c r="AH81" i="20" s="1"/>
  <c r="AG81" i="20" s="1"/>
  <c r="AF81" i="20" s="1"/>
  <c r="AI18" i="20"/>
  <c r="AH18" i="20" s="1"/>
  <c r="AG18" i="20" s="1"/>
  <c r="AF18" i="20" s="1"/>
  <c r="AI49" i="20"/>
  <c r="AH49" i="20" s="1"/>
  <c r="AG49" i="20" s="1"/>
  <c r="AF49" i="20" s="1"/>
  <c r="AI99" i="20"/>
  <c r="AH99" i="20" s="1"/>
  <c r="AG99" i="20" s="1"/>
  <c r="AF99" i="20" s="1"/>
  <c r="AI86" i="20"/>
  <c r="AH86" i="20" s="1"/>
  <c r="AG86" i="20" s="1"/>
  <c r="AF86" i="20" s="1"/>
  <c r="AI39" i="20"/>
  <c r="AH39" i="20" s="1"/>
  <c r="AG39" i="20" s="1"/>
  <c r="AF39" i="20" s="1"/>
  <c r="AI101" i="20"/>
  <c r="AH101" i="20" s="1"/>
  <c r="AG101" i="20" s="1"/>
  <c r="AF101" i="20" s="1"/>
  <c r="AI51" i="20"/>
  <c r="AH51" i="20" s="1"/>
  <c r="AG51" i="20" s="1"/>
  <c r="AF51" i="20" s="1"/>
  <c r="AI35" i="20"/>
  <c r="AH35" i="20" s="1"/>
  <c r="AG35" i="20" s="1"/>
  <c r="AF35" i="20" s="1"/>
  <c r="AI57" i="20"/>
  <c r="AH57" i="20" s="1"/>
  <c r="AG57" i="20" s="1"/>
  <c r="AF57" i="20" s="1"/>
  <c r="AI64" i="20"/>
  <c r="AH64" i="20" s="1"/>
  <c r="AG64" i="20" s="1"/>
  <c r="AF64" i="20" s="1"/>
  <c r="U214" i="20"/>
  <c r="T214" i="20" s="1"/>
  <c r="S214" i="20" s="1"/>
  <c r="R214" i="20" s="1"/>
  <c r="P214" i="20" s="1"/>
  <c r="V214" i="20" s="1"/>
  <c r="B214" i="20" s="1"/>
  <c r="U84" i="20"/>
  <c r="T84" i="20" s="1"/>
  <c r="S84" i="20" s="1"/>
  <c r="R84" i="20" s="1"/>
  <c r="U301" i="20"/>
  <c r="T301" i="20" s="1"/>
  <c r="S301" i="20" s="1"/>
  <c r="R301" i="20" s="1"/>
  <c r="P301" i="20" s="1"/>
  <c r="V301" i="20" s="1"/>
  <c r="B301" i="20" s="1"/>
  <c r="U342" i="20"/>
  <c r="T342" i="20" s="1"/>
  <c r="S342" i="20" s="1"/>
  <c r="R342" i="20" s="1"/>
  <c r="P342" i="20" s="1"/>
  <c r="V342" i="20" s="1"/>
  <c r="B342" i="20" s="1"/>
  <c r="U228" i="20"/>
  <c r="T228" i="20" s="1"/>
  <c r="S228" i="20" s="1"/>
  <c r="R228" i="20" s="1"/>
  <c r="P228" i="20" s="1"/>
  <c r="V228" i="20" s="1"/>
  <c r="B228" i="20" s="1"/>
  <c r="U106" i="20"/>
  <c r="T106" i="20" s="1"/>
  <c r="S106" i="20" s="1"/>
  <c r="R106" i="20" s="1"/>
  <c r="P106" i="20" s="1"/>
  <c r="V106" i="20" s="1"/>
  <c r="B106" i="20" s="1"/>
  <c r="U67" i="20"/>
  <c r="T67" i="20" s="1"/>
  <c r="S67" i="20" s="1"/>
  <c r="R67" i="20" s="1"/>
  <c r="P67" i="20" s="1"/>
  <c r="V67" i="20" s="1"/>
  <c r="B67" i="20" s="1"/>
  <c r="U292" i="20"/>
  <c r="T292" i="20" s="1"/>
  <c r="S292" i="20" s="1"/>
  <c r="R292" i="20" s="1"/>
  <c r="P292" i="20" s="1"/>
  <c r="V292" i="20" s="1"/>
  <c r="B292" i="20" s="1"/>
  <c r="U170" i="20"/>
  <c r="T170" i="20" s="1"/>
  <c r="S170" i="20" s="1"/>
  <c r="R170" i="20" s="1"/>
  <c r="P170" i="20" s="1"/>
  <c r="V170" i="20" s="1"/>
  <c r="B170" i="20" s="1"/>
  <c r="U137" i="20"/>
  <c r="T137" i="20" s="1"/>
  <c r="S137" i="20" s="1"/>
  <c r="R137" i="20" s="1"/>
  <c r="P137" i="20" s="1"/>
  <c r="V137" i="20" s="1"/>
  <c r="B137" i="20" s="1"/>
  <c r="U82" i="20"/>
  <c r="T82" i="20" s="1"/>
  <c r="S82" i="20" s="1"/>
  <c r="R82" i="20" s="1"/>
  <c r="P82" i="20" s="1"/>
  <c r="V82" i="20" s="1"/>
  <c r="B82" i="20" s="1"/>
  <c r="U252" i="20"/>
  <c r="T252" i="20" s="1"/>
  <c r="S252" i="20" s="1"/>
  <c r="R252" i="20" s="1"/>
  <c r="U318" i="20"/>
  <c r="T318" i="20" s="1"/>
  <c r="U103" i="20"/>
  <c r="T103" i="20" s="1"/>
  <c r="S103" i="20" s="1"/>
  <c r="R103" i="20" s="1"/>
  <c r="P103" i="20" s="1"/>
  <c r="V103" i="20" s="1"/>
  <c r="B103" i="20" s="1"/>
  <c r="U267" i="20"/>
  <c r="T267" i="20" s="1"/>
  <c r="S267" i="20" s="1"/>
  <c r="R267" i="20" s="1"/>
  <c r="P267" i="20" s="1"/>
  <c r="V267" i="20" s="1"/>
  <c r="B267" i="20" s="1"/>
  <c r="U181" i="20"/>
  <c r="T181" i="20" s="1"/>
  <c r="S181" i="20" s="1"/>
  <c r="R181" i="20" s="1"/>
  <c r="P181" i="20" s="1"/>
  <c r="V181" i="20" s="1"/>
  <c r="B181" i="20" s="1"/>
  <c r="U88" i="20"/>
  <c r="T88" i="20" s="1"/>
  <c r="S88" i="20" s="1"/>
  <c r="R88" i="20" s="1"/>
  <c r="P88" i="20" s="1"/>
  <c r="U74" i="20"/>
  <c r="T74" i="20" s="1"/>
  <c r="S74" i="20" s="1"/>
  <c r="R74" i="20" s="1"/>
  <c r="P74" i="20" s="1"/>
  <c r="V74" i="20" s="1"/>
  <c r="B74" i="20" s="1"/>
  <c r="U182" i="20"/>
  <c r="T182" i="20" s="1"/>
  <c r="S182" i="20" s="1"/>
  <c r="R182" i="20" s="1"/>
  <c r="P182" i="20" s="1"/>
  <c r="V182" i="20" s="1"/>
  <c r="B182" i="20" s="1"/>
  <c r="U322" i="20"/>
  <c r="T322" i="20" s="1"/>
  <c r="S322" i="20" s="1"/>
  <c r="R322" i="20" s="1"/>
  <c r="P322" i="20" s="1"/>
  <c r="V322" i="20" s="1"/>
  <c r="B322" i="20" s="1"/>
  <c r="U215" i="20"/>
  <c r="T215" i="20" s="1"/>
  <c r="S215" i="20" s="1"/>
  <c r="R215" i="20" s="1"/>
  <c r="P215" i="20" s="1"/>
  <c r="V215" i="20" s="1"/>
  <c r="B215" i="20" s="1"/>
  <c r="U225" i="20"/>
  <c r="T225" i="20" s="1"/>
  <c r="S225" i="20" s="1"/>
  <c r="R225" i="20" s="1"/>
  <c r="P225" i="20" s="1"/>
  <c r="V225" i="20" s="1"/>
  <c r="B225" i="20" s="1"/>
  <c r="U86" i="20"/>
  <c r="T86" i="20" s="1"/>
  <c r="S86" i="20" s="1"/>
  <c r="R86" i="20" s="1"/>
  <c r="P86" i="20" s="1"/>
  <c r="V86" i="20" s="1"/>
  <c r="B86" i="20" s="1"/>
  <c r="U324" i="20"/>
  <c r="T324" i="20" s="1"/>
  <c r="S324" i="20" s="1"/>
  <c r="R324" i="20" s="1"/>
  <c r="P324" i="20" s="1"/>
  <c r="V324" i="20" s="1"/>
  <c r="B324" i="20" s="1"/>
  <c r="U205" i="20"/>
  <c r="T205" i="20" s="1"/>
  <c r="S205" i="20" s="1"/>
  <c r="R205" i="20" s="1"/>
  <c r="P205" i="20" s="1"/>
  <c r="V205" i="20" s="1"/>
  <c r="B205" i="20" s="1"/>
  <c r="U35" i="20"/>
  <c r="T35" i="20" s="1"/>
  <c r="S35" i="20" s="1"/>
  <c r="R35" i="20" s="1"/>
  <c r="P35" i="20" s="1"/>
  <c r="V35" i="20" s="1"/>
  <c r="U355" i="20"/>
  <c r="T355" i="20" s="1"/>
  <c r="S355" i="20" s="1"/>
  <c r="R355" i="20" s="1"/>
  <c r="P355" i="20" s="1"/>
  <c r="V355" i="20" s="1"/>
  <c r="B355" i="20" s="1"/>
  <c r="U95" i="20"/>
  <c r="T95" i="20" s="1"/>
  <c r="S95" i="20" s="1"/>
  <c r="R95" i="20" s="1"/>
  <c r="P95" i="20" s="1"/>
  <c r="V95" i="20" s="1"/>
  <c r="B95" i="20" s="1"/>
  <c r="U298" i="20"/>
  <c r="T298" i="20" s="1"/>
  <c r="S298" i="20" s="1"/>
  <c r="R298" i="20" s="1"/>
  <c r="P298" i="20" s="1"/>
  <c r="V298" i="20" s="1"/>
  <c r="B298" i="20" s="1"/>
  <c r="U275" i="20"/>
  <c r="T275" i="20" s="1"/>
  <c r="S275" i="20" s="1"/>
  <c r="R275" i="20" s="1"/>
  <c r="P275" i="20" s="1"/>
  <c r="V275" i="20" s="1"/>
  <c r="B275" i="20" s="1"/>
  <c r="U285" i="20"/>
  <c r="T285" i="20" s="1"/>
  <c r="S285" i="20" s="1"/>
  <c r="R285" i="20" s="1"/>
  <c r="P285" i="20" s="1"/>
  <c r="V285" i="20" s="1"/>
  <c r="B285" i="20" s="1"/>
  <c r="U124" i="20"/>
  <c r="T124" i="20" s="1"/>
  <c r="S124" i="20" s="1"/>
  <c r="R124" i="20" s="1"/>
  <c r="P124" i="20" s="1"/>
  <c r="V124" i="20" s="1"/>
  <c r="B124" i="20" s="1"/>
  <c r="U377" i="20"/>
  <c r="T377" i="20" s="1"/>
  <c r="S377" i="20" s="1"/>
  <c r="R377" i="20" s="1"/>
  <c r="P377" i="20" s="1"/>
  <c r="V377" i="20" s="1"/>
  <c r="B377" i="20" s="1"/>
  <c r="U149" i="20"/>
  <c r="T149" i="20" s="1"/>
  <c r="S149" i="20" s="1"/>
  <c r="R149" i="20" s="1"/>
  <c r="P149" i="20" s="1"/>
  <c r="U235" i="20"/>
  <c r="T235" i="20" s="1"/>
  <c r="S235" i="20" s="1"/>
  <c r="R235" i="20" s="1"/>
  <c r="P235" i="20" s="1"/>
  <c r="V235" i="20" s="1"/>
  <c r="B235" i="20" s="1"/>
  <c r="U136" i="20"/>
  <c r="T136" i="20" s="1"/>
  <c r="S136" i="20" s="1"/>
  <c r="R136" i="20" s="1"/>
  <c r="P136" i="20" s="1"/>
  <c r="V136" i="20" s="1"/>
  <c r="B136" i="20" s="1"/>
  <c r="U46" i="20"/>
  <c r="T46" i="20" s="1"/>
  <c r="S46" i="20" s="1"/>
  <c r="R46" i="20" s="1"/>
  <c r="P46" i="20" s="1"/>
  <c r="V46" i="20" s="1"/>
  <c r="B46" i="20" s="1"/>
  <c r="U113" i="20"/>
  <c r="T113" i="20" s="1"/>
  <c r="S113" i="20" s="1"/>
  <c r="R113" i="20" s="1"/>
  <c r="P113" i="20" s="1"/>
  <c r="V113" i="20" s="1"/>
  <c r="B113" i="20" s="1"/>
  <c r="U200" i="20"/>
  <c r="T200" i="20" s="1"/>
  <c r="S200" i="20" s="1"/>
  <c r="R200" i="20" s="1"/>
  <c r="P200" i="20" s="1"/>
  <c r="V200" i="20" s="1"/>
  <c r="B200" i="20" s="1"/>
  <c r="U94" i="20"/>
  <c r="T94" i="20" s="1"/>
  <c r="S94" i="20" s="1"/>
  <c r="R94" i="20" s="1"/>
  <c r="U241" i="20"/>
  <c r="T241" i="20" s="1"/>
  <c r="S241" i="20" s="1"/>
  <c r="R241" i="20" s="1"/>
  <c r="P241" i="20" s="1"/>
  <c r="U142" i="20"/>
  <c r="T142" i="20" s="1"/>
  <c r="S142" i="20" s="1"/>
  <c r="R142" i="20" s="1"/>
  <c r="P142" i="20" s="1"/>
  <c r="V142" i="20" s="1"/>
  <c r="B142" i="20" s="1"/>
  <c r="U312" i="20"/>
  <c r="T312" i="20" s="1"/>
  <c r="S312" i="20" s="1"/>
  <c r="R312" i="20" s="1"/>
  <c r="P312" i="20" s="1"/>
  <c r="V312" i="20" s="1"/>
  <c r="B312" i="20" s="1"/>
  <c r="U43" i="20"/>
  <c r="T43" i="20" s="1"/>
  <c r="S43" i="20" s="1"/>
  <c r="R43" i="20" s="1"/>
  <c r="P43" i="20" s="1"/>
  <c r="V43" i="20" s="1"/>
  <c r="B43" i="20" s="1"/>
  <c r="U287" i="20"/>
  <c r="T287" i="20" s="1"/>
  <c r="U185" i="20"/>
  <c r="T185" i="20" s="1"/>
  <c r="S185" i="20" s="1"/>
  <c r="R185" i="20" s="1"/>
  <c r="P185" i="20" s="1"/>
  <c r="V185" i="20" s="1"/>
  <c r="B185" i="20" s="1"/>
  <c r="U333" i="20"/>
  <c r="T333" i="20" s="1"/>
  <c r="S333" i="20" s="1"/>
  <c r="R333" i="20" s="1"/>
  <c r="P333" i="20" s="1"/>
  <c r="U164" i="20"/>
  <c r="T164" i="20" s="1"/>
  <c r="S164" i="20" s="1"/>
  <c r="R164" i="20" s="1"/>
  <c r="P164" i="20" s="1"/>
  <c r="V164" i="20" s="1"/>
  <c r="B164" i="20" s="1"/>
  <c r="U326" i="20"/>
  <c r="T326" i="20" s="1"/>
  <c r="S326" i="20" s="1"/>
  <c r="R326" i="20" s="1"/>
  <c r="P326" i="20" s="1"/>
  <c r="V326" i="20" s="1"/>
  <c r="B326" i="20" s="1"/>
  <c r="U307" i="20"/>
  <c r="T307" i="20" s="1"/>
  <c r="S307" i="20" s="1"/>
  <c r="R307" i="20" s="1"/>
  <c r="P307" i="20" s="1"/>
  <c r="V307" i="20" s="1"/>
  <c r="B307" i="20" s="1"/>
  <c r="U17" i="20"/>
  <c r="T17" i="20" s="1"/>
  <c r="S17" i="20" s="1"/>
  <c r="R17" i="20" s="1"/>
  <c r="P17" i="20" s="1"/>
  <c r="V17" i="20" s="1"/>
  <c r="U24" i="20"/>
  <c r="T24" i="20" s="1"/>
  <c r="S24" i="20" s="1"/>
  <c r="R24" i="20" s="1"/>
  <c r="P24" i="20" s="1"/>
  <c r="V24" i="20" s="1"/>
  <c r="U265" i="20"/>
  <c r="T265" i="20" s="1"/>
  <c r="S265" i="20" s="1"/>
  <c r="R265" i="20" s="1"/>
  <c r="P265" i="20" s="1"/>
  <c r="V265" i="20" s="1"/>
  <c r="B265" i="20" s="1"/>
  <c r="U146" i="20"/>
  <c r="T146" i="20" s="1"/>
  <c r="S146" i="20" s="1"/>
  <c r="R146" i="20" s="1"/>
  <c r="P146" i="20" s="1"/>
  <c r="V146" i="20" s="1"/>
  <c r="B146" i="20" s="1"/>
  <c r="U316" i="20"/>
  <c r="T316" i="20" s="1"/>
  <c r="S316" i="20" s="1"/>
  <c r="R316" i="20" s="1"/>
  <c r="P316" i="20" s="1"/>
  <c r="V316" i="20" s="1"/>
  <c r="B316" i="20" s="1"/>
  <c r="U162" i="20"/>
  <c r="T162" i="20" s="1"/>
  <c r="S162" i="20" s="1"/>
  <c r="R162" i="20" s="1"/>
  <c r="P162" i="20" s="1"/>
  <c r="V162" i="20" s="1"/>
  <c r="B162" i="20" s="1"/>
  <c r="U243" i="20"/>
  <c r="T243" i="20" s="1"/>
  <c r="S243" i="20" s="1"/>
  <c r="R243" i="20" s="1"/>
  <c r="P243" i="20" s="1"/>
  <c r="V243" i="20" s="1"/>
  <c r="B243" i="20" s="1"/>
  <c r="U92" i="20"/>
  <c r="T92" i="20" s="1"/>
  <c r="S92" i="20" s="1"/>
  <c r="R92" i="20" s="1"/>
  <c r="P92" i="20" s="1"/>
  <c r="V92" i="20" s="1"/>
  <c r="B92" i="20" s="1"/>
  <c r="U328" i="20"/>
  <c r="T328" i="20" s="1"/>
  <c r="S328" i="20" s="1"/>
  <c r="R328" i="20" s="1"/>
  <c r="P328" i="20" s="1"/>
  <c r="V328" i="20" s="1"/>
  <c r="B328" i="20" s="1"/>
  <c r="U222" i="20"/>
  <c r="T222" i="20" s="1"/>
  <c r="S222" i="20" s="1"/>
  <c r="R222" i="20" s="1"/>
  <c r="P222" i="20" s="1"/>
  <c r="V222" i="20" s="1"/>
  <c r="B222" i="20" s="1"/>
  <c r="U81" i="20"/>
  <c r="T81" i="20" s="1"/>
  <c r="S81" i="20" s="1"/>
  <c r="R81" i="20" s="1"/>
  <c r="P81" i="20" s="1"/>
  <c r="V81" i="20" s="1"/>
  <c r="B81" i="20" s="1"/>
  <c r="U373" i="20"/>
  <c r="T373" i="20" s="1"/>
  <c r="S373" i="20" s="1"/>
  <c r="R373" i="20" s="1"/>
  <c r="P373" i="20" s="1"/>
  <c r="V373" i="20" s="1"/>
  <c r="B373" i="20" s="1"/>
  <c r="U184" i="20"/>
  <c r="T184" i="20" s="1"/>
  <c r="S184" i="20" s="1"/>
  <c r="R184" i="20" s="1"/>
  <c r="U118" i="20"/>
  <c r="T118" i="20" s="1"/>
  <c r="S118" i="20" s="1"/>
  <c r="R118" i="20" s="1"/>
  <c r="P118" i="20" s="1"/>
  <c r="V118" i="20" s="1"/>
  <c r="B118" i="20" s="1"/>
  <c r="U289" i="20"/>
  <c r="T289" i="20" s="1"/>
  <c r="S289" i="20" s="1"/>
  <c r="R289" i="20" s="1"/>
  <c r="P289" i="20" s="1"/>
  <c r="V289" i="20" s="1"/>
  <c r="B289" i="20" s="1"/>
  <c r="U23" i="20"/>
  <c r="T23" i="20" s="1"/>
  <c r="S23" i="20" s="1"/>
  <c r="R23" i="20" s="1"/>
  <c r="P23" i="20" s="1"/>
  <c r="V23" i="20" s="1"/>
  <c r="U310" i="20"/>
  <c r="T310" i="20" s="1"/>
  <c r="S310" i="20" s="1"/>
  <c r="R310" i="20" s="1"/>
  <c r="P310" i="20" s="1"/>
  <c r="V310" i="20" s="1"/>
  <c r="B310" i="20" s="1"/>
  <c r="U52" i="20"/>
  <c r="T52" i="20" s="1"/>
  <c r="S52" i="20" s="1"/>
  <c r="R52" i="20" s="1"/>
  <c r="P52" i="20" s="1"/>
  <c r="V52" i="20" s="1"/>
  <c r="B52" i="20" s="1"/>
  <c r="U237" i="20"/>
  <c r="T237" i="20" s="1"/>
  <c r="S237" i="20" s="1"/>
  <c r="R237" i="20" s="1"/>
  <c r="P237" i="20" s="1"/>
  <c r="V237" i="20" s="1"/>
  <c r="B237" i="20" s="1"/>
  <c r="U293" i="20"/>
  <c r="T293" i="20" s="1"/>
  <c r="S293" i="20" s="1"/>
  <c r="R293" i="20" s="1"/>
  <c r="P293" i="20" s="1"/>
  <c r="V293" i="20" s="1"/>
  <c r="B293" i="20" s="1"/>
  <c r="U248" i="20"/>
  <c r="T248" i="20" s="1"/>
  <c r="S248" i="20" s="1"/>
  <c r="R248" i="20" s="1"/>
  <c r="P248" i="20" s="1"/>
  <c r="V248" i="20" s="1"/>
  <c r="B248" i="20" s="1"/>
  <c r="U347" i="20"/>
  <c r="T347" i="20" s="1"/>
  <c r="S347" i="20" s="1"/>
  <c r="R347" i="20" s="1"/>
  <c r="P347" i="20" s="1"/>
  <c r="V347" i="20" s="1"/>
  <c r="B347" i="20" s="1"/>
  <c r="U78" i="20"/>
  <c r="T78" i="20" s="1"/>
  <c r="S78" i="20" s="1"/>
  <c r="R78" i="20" s="1"/>
  <c r="P78" i="20" s="1"/>
  <c r="V78" i="20" s="1"/>
  <c r="B78" i="20" s="1"/>
  <c r="U352" i="20"/>
  <c r="T352" i="20" s="1"/>
  <c r="S352" i="20" s="1"/>
  <c r="R352" i="20" s="1"/>
  <c r="P352" i="20" s="1"/>
  <c r="V352" i="20" s="1"/>
  <c r="B352" i="20" s="1"/>
  <c r="U220" i="20"/>
  <c r="T220" i="20" s="1"/>
  <c r="S220" i="20" s="1"/>
  <c r="R220" i="20" s="1"/>
  <c r="P220" i="20" s="1"/>
  <c r="V220" i="20" s="1"/>
  <c r="B220" i="20" s="1"/>
  <c r="U50" i="20"/>
  <c r="T50" i="20" s="1"/>
  <c r="S50" i="20" s="1"/>
  <c r="R50" i="20" s="1"/>
  <c r="P50" i="20" s="1"/>
  <c r="V50" i="20" s="1"/>
  <c r="B50" i="20" s="1"/>
  <c r="U329" i="20"/>
  <c r="T329" i="20" s="1"/>
  <c r="S329" i="20" s="1"/>
  <c r="R329" i="20" s="1"/>
  <c r="P329" i="20" s="1"/>
  <c r="V329" i="20" s="1"/>
  <c r="B329" i="20" s="1"/>
  <c r="U197" i="20"/>
  <c r="T197" i="20" s="1"/>
  <c r="S197" i="20" s="1"/>
  <c r="R197" i="20" s="1"/>
  <c r="P197" i="20" s="1"/>
  <c r="V197" i="20" s="1"/>
  <c r="B197" i="20" s="1"/>
  <c r="U193" i="20"/>
  <c r="T193" i="20" s="1"/>
  <c r="U343" i="20"/>
  <c r="T343" i="20" s="1"/>
  <c r="S343" i="20" s="1"/>
  <c r="R343" i="20" s="1"/>
  <c r="P343" i="20" s="1"/>
  <c r="V343" i="20" s="1"/>
  <c r="B343" i="20" s="1"/>
  <c r="U79" i="20"/>
  <c r="T79" i="20" s="1"/>
  <c r="S79" i="20" s="1"/>
  <c r="R79" i="20" s="1"/>
  <c r="P79" i="20" s="1"/>
  <c r="V79" i="20" s="1"/>
  <c r="B79" i="20" s="1"/>
  <c r="U281" i="20"/>
  <c r="T281" i="20" s="1"/>
  <c r="S281" i="20" s="1"/>
  <c r="R281" i="20" s="1"/>
  <c r="P281" i="20" s="1"/>
  <c r="V281" i="20" s="1"/>
  <c r="B281" i="20" s="1"/>
  <c r="U242" i="20"/>
  <c r="T242" i="20" s="1"/>
  <c r="S242" i="20" s="1"/>
  <c r="R242" i="20" s="1"/>
  <c r="P242" i="20" s="1"/>
  <c r="V242" i="20" s="1"/>
  <c r="B242" i="20" s="1"/>
  <c r="U319" i="20"/>
  <c r="T319" i="20" s="1"/>
  <c r="S319" i="20" s="1"/>
  <c r="R319" i="20" s="1"/>
  <c r="P319" i="20" s="1"/>
  <c r="V319" i="20" s="1"/>
  <c r="B319" i="20" s="1"/>
  <c r="U48" i="20"/>
  <c r="T48" i="20" s="1"/>
  <c r="S48" i="20" s="1"/>
  <c r="R48" i="20" s="1"/>
  <c r="P48" i="20" s="1"/>
  <c r="V48" i="20" s="1"/>
  <c r="B48" i="20" s="1"/>
  <c r="U378" i="20"/>
  <c r="T378" i="20" s="1"/>
  <c r="S378" i="20" s="1"/>
  <c r="R378" i="20" s="1"/>
  <c r="P378" i="20" s="1"/>
  <c r="V378" i="20" s="1"/>
  <c r="B378" i="20" s="1"/>
  <c r="U325" i="20"/>
  <c r="T325" i="20" s="1"/>
  <c r="S325" i="20" s="1"/>
  <c r="R325" i="20" s="1"/>
  <c r="P325" i="20" s="1"/>
  <c r="V325" i="20" s="1"/>
  <c r="B325" i="20" s="1"/>
  <c r="U296" i="20"/>
  <c r="T296" i="20" s="1"/>
  <c r="S296" i="20" s="1"/>
  <c r="R296" i="20" s="1"/>
  <c r="P296" i="20" s="1"/>
  <c r="V296" i="20" s="1"/>
  <c r="B296" i="20" s="1"/>
  <c r="U65" i="20"/>
  <c r="T65" i="20" s="1"/>
  <c r="S65" i="20" s="1"/>
  <c r="R65" i="20" s="1"/>
  <c r="P65" i="20" s="1"/>
  <c r="V65" i="20" s="1"/>
  <c r="B65" i="20" s="1"/>
  <c r="U190" i="20"/>
  <c r="T190" i="20" s="1"/>
  <c r="S190" i="20" s="1"/>
  <c r="R190" i="20" s="1"/>
  <c r="P190" i="20" s="1"/>
  <c r="V190" i="20" s="1"/>
  <c r="B190" i="20" s="1"/>
  <c r="U247" i="20"/>
  <c r="T247" i="20" s="1"/>
  <c r="S247" i="20" s="1"/>
  <c r="R247" i="20" s="1"/>
  <c r="P247" i="20" s="1"/>
  <c r="V247" i="20" s="1"/>
  <c r="B247" i="20" s="1"/>
  <c r="U18" i="20"/>
  <c r="T18" i="20" s="1"/>
  <c r="S18" i="20" s="1"/>
  <c r="R18" i="20" s="1"/>
  <c r="P18" i="20" s="1"/>
  <c r="V18" i="20" s="1"/>
  <c r="U210" i="20"/>
  <c r="T210" i="20" s="1"/>
  <c r="S210" i="20" s="1"/>
  <c r="R210" i="20" s="1"/>
  <c r="P210" i="20" s="1"/>
  <c r="U16" i="20"/>
  <c r="T16" i="20" s="1"/>
  <c r="S16" i="20" s="1"/>
  <c r="R16" i="20" s="1"/>
  <c r="P16" i="20" s="1"/>
  <c r="V16" i="20" s="1"/>
  <c r="U42" i="20"/>
  <c r="T42" i="20" s="1"/>
  <c r="S42" i="20" s="1"/>
  <c r="R42" i="20" s="1"/>
  <c r="P42" i="20" s="1"/>
  <c r="V42" i="20" s="1"/>
  <c r="B42" i="20" s="1"/>
  <c r="U148" i="20"/>
  <c r="T148" i="20" s="1"/>
  <c r="S148" i="20" s="1"/>
  <c r="R148" i="20" s="1"/>
  <c r="P148" i="20" s="1"/>
  <c r="V148" i="20" s="1"/>
  <c r="B148" i="20" s="1"/>
  <c r="U278" i="20"/>
  <c r="T278" i="20" s="1"/>
  <c r="S278" i="20" s="1"/>
  <c r="R278" i="20" s="1"/>
  <c r="P278" i="20" s="1"/>
  <c r="V278" i="20" s="1"/>
  <c r="B278" i="20" s="1"/>
  <c r="U152" i="20"/>
  <c r="T152" i="20" s="1"/>
  <c r="S152" i="20" s="1"/>
  <c r="R152" i="20" s="1"/>
  <c r="P152" i="20" s="1"/>
  <c r="V152" i="20" s="1"/>
  <c r="B152" i="20" s="1"/>
  <c r="U139" i="20"/>
  <c r="T139" i="20" s="1"/>
  <c r="S139" i="20" s="1"/>
  <c r="R139" i="20" s="1"/>
  <c r="P139" i="20" s="1"/>
  <c r="V139" i="20" s="1"/>
  <c r="B139" i="20" s="1"/>
  <c r="U126" i="20"/>
  <c r="T126" i="20" s="1"/>
  <c r="S126" i="20" s="1"/>
  <c r="R126" i="20" s="1"/>
  <c r="P126" i="20" s="1"/>
  <c r="V126" i="20" s="1"/>
  <c r="B126" i="20" s="1"/>
  <c r="U358" i="20"/>
  <c r="T358" i="20" s="1"/>
  <c r="S358" i="20" s="1"/>
  <c r="R358" i="20" s="1"/>
  <c r="P358" i="20" s="1"/>
  <c r="V358" i="20" s="1"/>
  <c r="B358" i="20" s="1"/>
  <c r="U196" i="20"/>
  <c r="T196" i="20" s="1"/>
  <c r="S196" i="20" s="1"/>
  <c r="R196" i="20" s="1"/>
  <c r="P196" i="20" s="1"/>
  <c r="V196" i="20" s="1"/>
  <c r="B196" i="20" s="1"/>
  <c r="U26" i="20"/>
  <c r="T26" i="20" s="1"/>
  <c r="S26" i="20" s="1"/>
  <c r="R26" i="20" s="1"/>
  <c r="P26" i="20" s="1"/>
  <c r="V26" i="20" s="1"/>
  <c r="U100" i="20"/>
  <c r="T100" i="20" s="1"/>
  <c r="S100" i="20" s="1"/>
  <c r="R100" i="20" s="1"/>
  <c r="U313" i="20"/>
  <c r="T313" i="20" s="1"/>
  <c r="S313" i="20" s="1"/>
  <c r="R313" i="20" s="1"/>
  <c r="P313" i="20" s="1"/>
  <c r="V313" i="20" s="1"/>
  <c r="B313" i="20" s="1"/>
  <c r="U49" i="20"/>
  <c r="T49" i="20" s="1"/>
  <c r="S49" i="20" s="1"/>
  <c r="R49" i="20" s="1"/>
  <c r="P49" i="20" s="1"/>
  <c r="V49" i="20" s="1"/>
  <c r="B49" i="20" s="1"/>
  <c r="U344" i="20"/>
  <c r="T344" i="20" s="1"/>
  <c r="S344" i="20" s="1"/>
  <c r="R344" i="20" s="1"/>
  <c r="P344" i="20" s="1"/>
  <c r="V344" i="20" s="1"/>
  <c r="B344" i="20" s="1"/>
  <c r="U174" i="20"/>
  <c r="T174" i="20" s="1"/>
  <c r="S174" i="20" s="1"/>
  <c r="R174" i="20" s="1"/>
  <c r="P174" i="20" s="1"/>
  <c r="V174" i="20" s="1"/>
  <c r="B174" i="20" s="1"/>
  <c r="U76" i="20"/>
  <c r="T76" i="20" s="1"/>
  <c r="S76" i="20" s="1"/>
  <c r="R76" i="20" s="1"/>
  <c r="P76" i="20" s="1"/>
  <c r="V76" i="20" s="1"/>
  <c r="B76" i="20" s="1"/>
  <c r="U253" i="20"/>
  <c r="T253" i="20" s="1"/>
  <c r="S253" i="20" s="1"/>
  <c r="R253" i="20" s="1"/>
  <c r="P253" i="20" s="1"/>
  <c r="V253" i="20" s="1"/>
  <c r="B253" i="20" s="1"/>
  <c r="U73" i="20"/>
  <c r="T73" i="20" s="1"/>
  <c r="U271" i="20"/>
  <c r="T271" i="20" s="1"/>
  <c r="S271" i="20" s="1"/>
  <c r="R271" i="20" s="1"/>
  <c r="P271" i="20" s="1"/>
  <c r="V271" i="20" s="1"/>
  <c r="B271" i="20" s="1"/>
  <c r="U354" i="20"/>
  <c r="T354" i="20" s="1"/>
  <c r="S354" i="20" s="1"/>
  <c r="R354" i="20" s="1"/>
  <c r="P354" i="20" s="1"/>
  <c r="V354" i="20" s="1"/>
  <c r="B354" i="20" s="1"/>
  <c r="U144" i="20"/>
  <c r="T144" i="20" s="1"/>
  <c r="S144" i="20" s="1"/>
  <c r="R144" i="20" s="1"/>
  <c r="P144" i="20" s="1"/>
  <c r="V144" i="20" s="1"/>
  <c r="B144" i="20" s="1"/>
  <c r="U173" i="20"/>
  <c r="T173" i="20" s="1"/>
  <c r="S173" i="20" s="1"/>
  <c r="R173" i="20" s="1"/>
  <c r="P173" i="20" s="1"/>
  <c r="V173" i="20" s="1"/>
  <c r="B173" i="20" s="1"/>
  <c r="U20" i="20"/>
  <c r="T20" i="20" s="1"/>
  <c r="S20" i="20" s="1"/>
  <c r="R20" i="20" s="1"/>
  <c r="P20" i="20" s="1"/>
  <c r="V20" i="20" s="1"/>
  <c r="U166" i="20"/>
  <c r="T166" i="20" s="1"/>
  <c r="S166" i="20" s="1"/>
  <c r="R166" i="20" s="1"/>
  <c r="P166" i="20" s="1"/>
  <c r="V166" i="20" s="1"/>
  <c r="B166" i="20" s="1"/>
  <c r="U45" i="20"/>
  <c r="T45" i="20" s="1"/>
  <c r="S45" i="20" s="1"/>
  <c r="R45" i="20" s="1"/>
  <c r="P45" i="20" s="1"/>
  <c r="V45" i="20" s="1"/>
  <c r="B45" i="20" s="1"/>
  <c r="U257" i="20"/>
  <c r="T257" i="20" s="1"/>
  <c r="S257" i="20" s="1"/>
  <c r="R257" i="20" s="1"/>
  <c r="P257" i="20" s="1"/>
  <c r="V257" i="20" s="1"/>
  <c r="B257" i="20" s="1"/>
  <c r="U102" i="20"/>
  <c r="T102" i="20" s="1"/>
  <c r="S102" i="20" s="1"/>
  <c r="R102" i="20" s="1"/>
  <c r="P102" i="20" s="1"/>
  <c r="V102" i="20" s="1"/>
  <c r="B102" i="20" s="1"/>
  <c r="U183" i="20"/>
  <c r="T183" i="20" s="1"/>
  <c r="S183" i="20" s="1"/>
  <c r="R183" i="20" s="1"/>
  <c r="P183" i="20" s="1"/>
  <c r="V183" i="20" s="1"/>
  <c r="B183" i="20" s="1"/>
  <c r="U379" i="20"/>
  <c r="T379" i="20" s="1"/>
  <c r="U261" i="20"/>
  <c r="T261" i="20" s="1"/>
  <c r="S261" i="20" s="1"/>
  <c r="R261" i="20" s="1"/>
  <c r="P261" i="20" s="1"/>
  <c r="V261" i="20" s="1"/>
  <c r="B261" i="20" s="1"/>
  <c r="U153" i="20"/>
  <c r="T153" i="20" s="1"/>
  <c r="S153" i="20" s="1"/>
  <c r="R153" i="20" s="1"/>
  <c r="P153" i="20" s="1"/>
  <c r="V153" i="20" s="1"/>
  <c r="B153" i="20" s="1"/>
  <c r="U191" i="20"/>
  <c r="T191" i="20" s="1"/>
  <c r="S191" i="20" s="1"/>
  <c r="R191" i="20" s="1"/>
  <c r="P191" i="20" s="1"/>
  <c r="V191" i="20" s="1"/>
  <c r="B191" i="20" s="1"/>
  <c r="U186" i="20"/>
  <c r="T186" i="20" s="1"/>
  <c r="S186" i="20" s="1"/>
  <c r="R186" i="20" s="1"/>
  <c r="P186" i="20" s="1"/>
  <c r="V186" i="20" s="1"/>
  <c r="B186" i="20" s="1"/>
  <c r="U104" i="20"/>
  <c r="T104" i="20" s="1"/>
  <c r="S104" i="20" s="1"/>
  <c r="R104" i="20" s="1"/>
  <c r="P104" i="20" s="1"/>
  <c r="V104" i="20" s="1"/>
  <c r="B104" i="20" s="1"/>
  <c r="U85" i="20"/>
  <c r="T85" i="20" s="1"/>
  <c r="S85" i="20" s="1"/>
  <c r="R85" i="20" s="1"/>
  <c r="P85" i="20" s="1"/>
  <c r="V85" i="20" s="1"/>
  <c r="B85" i="20" s="1"/>
  <c r="U171" i="20"/>
  <c r="T171" i="20" s="1"/>
  <c r="S171" i="20" s="1"/>
  <c r="R171" i="20" s="1"/>
  <c r="P171" i="20" s="1"/>
  <c r="V171" i="20" s="1"/>
  <c r="B171" i="20" s="1"/>
  <c r="U230" i="20"/>
  <c r="T230" i="20" s="1"/>
  <c r="S230" i="20" s="1"/>
  <c r="R230" i="20" s="1"/>
  <c r="P230" i="20" s="1"/>
  <c r="V230" i="20" s="1"/>
  <c r="B230" i="20" s="1"/>
  <c r="U263" i="20"/>
  <c r="T263" i="20" s="1"/>
  <c r="S263" i="20" s="1"/>
  <c r="R263" i="20" s="1"/>
  <c r="P263" i="20" s="1"/>
  <c r="V263" i="20" s="1"/>
  <c r="B263" i="20" s="1"/>
  <c r="U68" i="20"/>
  <c r="T68" i="20" s="1"/>
  <c r="S68" i="20" s="1"/>
  <c r="R68" i="20" s="1"/>
  <c r="P68" i="20" s="1"/>
  <c r="V68" i="20" s="1"/>
  <c r="B68" i="20" s="1"/>
  <c r="U334" i="20"/>
  <c r="T334" i="20" s="1"/>
  <c r="S334" i="20" s="1"/>
  <c r="R334" i="20" s="1"/>
  <c r="P334" i="20" s="1"/>
  <c r="V334" i="20" s="1"/>
  <c r="B334" i="20" s="1"/>
  <c r="U141" i="20"/>
  <c r="T141" i="20" s="1"/>
  <c r="S141" i="20" s="1"/>
  <c r="R141" i="20" s="1"/>
  <c r="P141" i="20" s="1"/>
  <c r="V141" i="20" s="1"/>
  <c r="B141" i="20" s="1"/>
  <c r="U357" i="20"/>
  <c r="T357" i="20" s="1"/>
  <c r="S357" i="20" s="1"/>
  <c r="R357" i="20" s="1"/>
  <c r="P357" i="20" s="1"/>
  <c r="V357" i="20" s="1"/>
  <c r="B357" i="20" s="1"/>
  <c r="U33" i="20"/>
  <c r="T33" i="20" s="1"/>
  <c r="S33" i="20" s="1"/>
  <c r="R33" i="20" s="1"/>
  <c r="P33" i="20" s="1"/>
  <c r="V33" i="20" s="1"/>
  <c r="U311" i="20"/>
  <c r="T311" i="20" s="1"/>
  <c r="S311" i="20" s="1"/>
  <c r="R311" i="20" s="1"/>
  <c r="P311" i="20" s="1"/>
  <c r="V311" i="20" s="1"/>
  <c r="B311" i="20" s="1"/>
  <c r="U131" i="20"/>
  <c r="T131" i="20" s="1"/>
  <c r="S131" i="20" s="1"/>
  <c r="R131" i="20" s="1"/>
  <c r="P131" i="20" s="1"/>
  <c r="V131" i="20" s="1"/>
  <c r="B131" i="20" s="1"/>
  <c r="U159" i="20"/>
  <c r="T159" i="20" s="1"/>
  <c r="S159" i="20" s="1"/>
  <c r="R159" i="20" s="1"/>
  <c r="P159" i="20" s="1"/>
  <c r="V159" i="20" s="1"/>
  <c r="B159" i="20" s="1"/>
  <c r="U330" i="20"/>
  <c r="T330" i="20" s="1"/>
  <c r="S330" i="20" s="1"/>
  <c r="R330" i="20" s="1"/>
  <c r="P330" i="20" s="1"/>
  <c r="V330" i="20" s="1"/>
  <c r="B330" i="20" s="1"/>
  <c r="U229" i="20"/>
  <c r="T229" i="20" s="1"/>
  <c r="S229" i="20" s="1"/>
  <c r="R229" i="20" s="1"/>
  <c r="P229" i="20" s="1"/>
  <c r="V229" i="20" s="1"/>
  <c r="B229" i="20" s="1"/>
  <c r="U216" i="20"/>
  <c r="T216" i="20" s="1"/>
  <c r="S216" i="20" s="1"/>
  <c r="R216" i="20" s="1"/>
  <c r="P216" i="20" s="1"/>
  <c r="V216" i="20" s="1"/>
  <c r="B216" i="20" s="1"/>
  <c r="U283" i="20"/>
  <c r="T283" i="20" s="1"/>
  <c r="U30" i="20"/>
  <c r="T30" i="20" s="1"/>
  <c r="S30" i="20" s="1"/>
  <c r="R30" i="20" s="1"/>
  <c r="P30" i="20" s="1"/>
  <c r="V30" i="20" s="1"/>
  <c r="U320" i="20"/>
  <c r="T320" i="20" s="1"/>
  <c r="S320" i="20" s="1"/>
  <c r="R320" i="20" s="1"/>
  <c r="P320" i="20" s="1"/>
  <c r="V320" i="20" s="1"/>
  <c r="B320" i="20" s="1"/>
  <c r="U145" i="20"/>
  <c r="T145" i="20" s="1"/>
  <c r="S145" i="20" s="1"/>
  <c r="R145" i="20" s="1"/>
  <c r="P145" i="20" s="1"/>
  <c r="V145" i="20" s="1"/>
  <c r="B145" i="20" s="1"/>
  <c r="U246" i="20"/>
  <c r="T246" i="20" s="1"/>
  <c r="S246" i="20" s="1"/>
  <c r="R246" i="20" s="1"/>
  <c r="P246" i="20" s="1"/>
  <c r="V246" i="20" s="1"/>
  <c r="B246" i="20" s="1"/>
  <c r="U359" i="20"/>
  <c r="T359" i="20" s="1"/>
  <c r="S359" i="20" s="1"/>
  <c r="R359" i="20" s="1"/>
  <c r="P359" i="20" s="1"/>
  <c r="V359" i="20" s="1"/>
  <c r="B359" i="20" s="1"/>
  <c r="U116" i="20"/>
  <c r="T116" i="20" s="1"/>
  <c r="S116" i="20" s="1"/>
  <c r="R116" i="20" s="1"/>
  <c r="P116" i="20" s="1"/>
  <c r="V116" i="20" s="1"/>
  <c r="B116" i="20" s="1"/>
  <c r="U147" i="20"/>
  <c r="T147" i="20" s="1"/>
  <c r="S147" i="20" s="1"/>
  <c r="R147" i="20" s="1"/>
  <c r="P147" i="20" s="1"/>
  <c r="V147" i="20" s="1"/>
  <c r="B147" i="20" s="1"/>
  <c r="U365" i="20"/>
  <c r="T365" i="20" s="1"/>
  <c r="S365" i="20" s="1"/>
  <c r="R365" i="20" s="1"/>
  <c r="P365" i="20" s="1"/>
  <c r="V365" i="20" s="1"/>
  <c r="B365" i="20" s="1"/>
  <c r="U150" i="20"/>
  <c r="T150" i="20" s="1"/>
  <c r="S150" i="20" s="1"/>
  <c r="R150" i="20" s="1"/>
  <c r="P150" i="20" s="1"/>
  <c r="V150" i="20" s="1"/>
  <c r="B150" i="20" s="1"/>
  <c r="U353" i="20"/>
  <c r="T353" i="20" s="1"/>
  <c r="S353" i="20" s="1"/>
  <c r="R353" i="20" s="1"/>
  <c r="P353" i="20" s="1"/>
  <c r="V353" i="20" s="1"/>
  <c r="B353" i="20" s="1"/>
  <c r="U375" i="20"/>
  <c r="T375" i="20" s="1"/>
  <c r="S375" i="20" s="1"/>
  <c r="R375" i="20" s="1"/>
  <c r="P375" i="20" s="1"/>
  <c r="V375" i="20" s="1"/>
  <c r="B375" i="20" s="1"/>
  <c r="U288" i="20"/>
  <c r="T288" i="20" s="1"/>
  <c r="S288" i="20" s="1"/>
  <c r="R288" i="20" s="1"/>
  <c r="P288" i="20" s="1"/>
  <c r="V288" i="20" s="1"/>
  <c r="B288" i="20" s="1"/>
  <c r="U370" i="20"/>
  <c r="T370" i="20" s="1"/>
  <c r="S370" i="20" s="1"/>
  <c r="R370" i="20" s="1"/>
  <c r="P370" i="20" s="1"/>
  <c r="V370" i="20" s="1"/>
  <c r="B370" i="20" s="1"/>
  <c r="U239" i="20"/>
  <c r="T239" i="20" s="1"/>
  <c r="S239" i="20" s="1"/>
  <c r="R239" i="20" s="1"/>
  <c r="P239" i="20" s="1"/>
  <c r="V239" i="20" s="1"/>
  <c r="B239" i="20" s="1"/>
  <c r="U155" i="20"/>
  <c r="T155" i="20" s="1"/>
  <c r="S155" i="20" s="1"/>
  <c r="R155" i="20" s="1"/>
  <c r="P155" i="20" s="1"/>
  <c r="V155" i="20" s="1"/>
  <c r="B155" i="20" s="1"/>
  <c r="U70" i="20"/>
  <c r="T70" i="20" s="1"/>
  <c r="S70" i="20" s="1"/>
  <c r="R70" i="20" s="1"/>
  <c r="P70" i="20" s="1"/>
  <c r="V70" i="20" s="1"/>
  <c r="B70" i="20" s="1"/>
  <c r="U119" i="20"/>
  <c r="T119" i="20" s="1"/>
  <c r="S119" i="20" s="1"/>
  <c r="R119" i="20" s="1"/>
  <c r="P119" i="20" s="1"/>
  <c r="U120" i="20"/>
  <c r="T120" i="20" s="1"/>
  <c r="S120" i="20" s="1"/>
  <c r="R120" i="20" s="1"/>
  <c r="P120" i="20" s="1"/>
  <c r="V120" i="20" s="1"/>
  <c r="B120" i="20" s="1"/>
  <c r="U245" i="20"/>
  <c r="T245" i="20" s="1"/>
  <c r="S245" i="20" s="1"/>
  <c r="R245" i="20" s="1"/>
  <c r="U331" i="20"/>
  <c r="T331" i="20" s="1"/>
  <c r="S331" i="20" s="1"/>
  <c r="R331" i="20" s="1"/>
  <c r="P331" i="20" s="1"/>
  <c r="V331" i="20" s="1"/>
  <c r="B331" i="20" s="1"/>
  <c r="U366" i="20"/>
  <c r="T366" i="20" s="1"/>
  <c r="S366" i="20" s="1"/>
  <c r="R366" i="20" s="1"/>
  <c r="P366" i="20" s="1"/>
  <c r="V366" i="20" s="1"/>
  <c r="B366" i="20" s="1"/>
  <c r="U274" i="20"/>
  <c r="T274" i="20" s="1"/>
  <c r="S274" i="20" s="1"/>
  <c r="R274" i="20" s="1"/>
  <c r="P274" i="20" s="1"/>
  <c r="V274" i="20" s="1"/>
  <c r="B274" i="20" s="1"/>
  <c r="U284" i="20"/>
  <c r="T284" i="20" s="1"/>
  <c r="S284" i="20" s="1"/>
  <c r="R284" i="20" s="1"/>
  <c r="P284" i="20" s="1"/>
  <c r="V284" i="20" s="1"/>
  <c r="B284" i="20" s="1"/>
  <c r="U114" i="20"/>
  <c r="T114" i="20" s="1"/>
  <c r="S114" i="20" s="1"/>
  <c r="R114" i="20" s="1"/>
  <c r="P114" i="20" s="1"/>
  <c r="V114" i="20" s="1"/>
  <c r="B114" i="20" s="1"/>
  <c r="U201" i="20"/>
  <c r="T201" i="20" s="1"/>
  <c r="S201" i="20" s="1"/>
  <c r="R201" i="20" s="1"/>
  <c r="P201" i="20" s="1"/>
  <c r="V201" i="20" s="1"/>
  <c r="B201" i="20" s="1"/>
  <c r="U69" i="20"/>
  <c r="T69" i="20" s="1"/>
  <c r="S69" i="20" s="1"/>
  <c r="R69" i="20" s="1"/>
  <c r="P69" i="20" s="1"/>
  <c r="V69" i="20" s="1"/>
  <c r="B69" i="20" s="1"/>
  <c r="U187" i="20"/>
  <c r="T187" i="20" s="1"/>
  <c r="S187" i="20" s="1"/>
  <c r="R187" i="20" s="1"/>
  <c r="P187" i="20" s="1"/>
  <c r="V187" i="20" s="1"/>
  <c r="B187" i="20" s="1"/>
  <c r="U368" i="20"/>
  <c r="T368" i="20" s="1"/>
  <c r="S368" i="20" s="1"/>
  <c r="R368" i="20" s="1"/>
  <c r="P368" i="20" s="1"/>
  <c r="V368" i="20" s="1"/>
  <c r="B368" i="20" s="1"/>
  <c r="U294" i="20"/>
  <c r="T294" i="20" s="1"/>
  <c r="S294" i="20" s="1"/>
  <c r="R294" i="20" s="1"/>
  <c r="P294" i="20" s="1"/>
  <c r="V294" i="20" s="1"/>
  <c r="B294" i="20" s="1"/>
  <c r="U132" i="20"/>
  <c r="T132" i="20" s="1"/>
  <c r="S132" i="20" s="1"/>
  <c r="R132" i="20" s="1"/>
  <c r="P132" i="20" s="1"/>
  <c r="V132" i="20" s="1"/>
  <c r="B132" i="20" s="1"/>
  <c r="U269" i="20"/>
  <c r="T269" i="20" s="1"/>
  <c r="S269" i="20" s="1"/>
  <c r="R269" i="20" s="1"/>
  <c r="P269" i="20" s="1"/>
  <c r="V269" i="20" s="1"/>
  <c r="B269" i="20" s="1"/>
  <c r="U160" i="20"/>
  <c r="T160" i="20" s="1"/>
  <c r="U258" i="20"/>
  <c r="T258" i="20" s="1"/>
  <c r="S258" i="20" s="1"/>
  <c r="R258" i="20" s="1"/>
  <c r="P258" i="20" s="1"/>
  <c r="V258" i="20" s="1"/>
  <c r="B258" i="20" s="1"/>
  <c r="U364" i="20"/>
  <c r="T364" i="20" s="1"/>
  <c r="S364" i="20" s="1"/>
  <c r="R364" i="20" s="1"/>
  <c r="P364" i="20" s="1"/>
  <c r="V364" i="20" s="1"/>
  <c r="B364" i="20" s="1"/>
  <c r="U96" i="20"/>
  <c r="T96" i="20" s="1"/>
  <c r="S96" i="20" s="1"/>
  <c r="R96" i="20" s="1"/>
  <c r="P96" i="20" s="1"/>
  <c r="V96" i="20" s="1"/>
  <c r="B96" i="20" s="1"/>
  <c r="U194" i="20"/>
  <c r="T194" i="20" s="1"/>
  <c r="S194" i="20" s="1"/>
  <c r="R194" i="20" s="1"/>
  <c r="P194" i="20" s="1"/>
  <c r="V194" i="20" s="1"/>
  <c r="B194" i="20" s="1"/>
  <c r="U300" i="20"/>
  <c r="T300" i="20" s="1"/>
  <c r="S300" i="20" s="1"/>
  <c r="R300" i="20" s="1"/>
  <c r="P300" i="20" s="1"/>
  <c r="V300" i="20" s="1"/>
  <c r="B300" i="20" s="1"/>
  <c r="U297" i="20"/>
  <c r="T297" i="20" s="1"/>
  <c r="S297" i="20" s="1"/>
  <c r="R297" i="20" s="1"/>
  <c r="P297" i="20" s="1"/>
  <c r="V297" i="20" s="1"/>
  <c r="B297" i="20" s="1"/>
  <c r="U66" i="20"/>
  <c r="T66" i="20" s="1"/>
  <c r="S66" i="20" s="1"/>
  <c r="R66" i="20" s="1"/>
  <c r="P66" i="20" s="1"/>
  <c r="V66" i="20" s="1"/>
  <c r="B66" i="20" s="1"/>
  <c r="V379" i="18"/>
  <c r="D39" i="19"/>
  <c r="AI16" i="7"/>
  <c r="AI11" i="20"/>
  <c r="G88" i="18"/>
  <c r="CA88" i="6" s="1"/>
  <c r="AA88" i="18"/>
  <c r="Z88" i="18" s="1"/>
  <c r="Y88" i="18" s="1"/>
  <c r="H88" i="18"/>
  <c r="J88" i="18" s="1"/>
  <c r="H9" i="18"/>
  <c r="B15" i="19" s="1"/>
  <c r="P54" i="20"/>
  <c r="V54" i="20" s="1"/>
  <c r="B54" i="20" s="1"/>
  <c r="AD68" i="20"/>
  <c r="AD17" i="20"/>
  <c r="AD72" i="20"/>
  <c r="AD34" i="20"/>
  <c r="AD53" i="20"/>
  <c r="F47" i="18"/>
  <c r="G47" i="18" s="1"/>
  <c r="CA47" i="6" s="1"/>
  <c r="F266" i="18"/>
  <c r="G266" i="18" s="1"/>
  <c r="CA266" i="6" s="1"/>
  <c r="AD45" i="20"/>
  <c r="AD42" i="20"/>
  <c r="AD102" i="20"/>
  <c r="AD75" i="20"/>
  <c r="AD21" i="20"/>
  <c r="AD31" i="20"/>
  <c r="AD89" i="20"/>
  <c r="AD55" i="20"/>
  <c r="AD60" i="20"/>
  <c r="AD24" i="20"/>
  <c r="AD69" i="20"/>
  <c r="AD37" i="20"/>
  <c r="AD103" i="20"/>
  <c r="AL12" i="17"/>
  <c r="AJ4" i="17" s="1"/>
  <c r="P14" i="19" s="1"/>
  <c r="F257" i="18"/>
  <c r="G257" i="18" s="1"/>
  <c r="CA257" i="6" s="1"/>
  <c r="F43" i="18"/>
  <c r="H43" i="18" s="1"/>
  <c r="F53" i="18"/>
  <c r="AA53" i="18" s="1"/>
  <c r="Z53" i="18" s="1"/>
  <c r="Y53" i="18" s="1"/>
  <c r="F61" i="18"/>
  <c r="H61" i="18" s="1"/>
  <c r="F77" i="18"/>
  <c r="AA77" i="18" s="1"/>
  <c r="Z77" i="18" s="1"/>
  <c r="Y77" i="18" s="1"/>
  <c r="F165" i="18"/>
  <c r="H165" i="18" s="1"/>
  <c r="F177" i="18"/>
  <c r="G177" i="18" s="1"/>
  <c r="CA177" i="6" s="1"/>
  <c r="F107" i="18"/>
  <c r="AA107" i="18" s="1"/>
  <c r="Z107" i="18" s="1"/>
  <c r="Y107" i="18" s="1"/>
  <c r="F132" i="18"/>
  <c r="H132" i="18" s="1"/>
  <c r="K65" i="19"/>
  <c r="J65" i="19"/>
  <c r="F153" i="18"/>
  <c r="H153" i="18" s="1"/>
  <c r="F275" i="18"/>
  <c r="H275" i="18" s="1"/>
  <c r="F159" i="18"/>
  <c r="G159" i="18" s="1"/>
  <c r="CA159" i="6" s="1"/>
  <c r="F24" i="18"/>
  <c r="G24" i="18" s="1"/>
  <c r="CA24" i="6" s="1"/>
  <c r="F65" i="18"/>
  <c r="AA65" i="18" s="1"/>
  <c r="Z65" i="18" s="1"/>
  <c r="Y65" i="18" s="1"/>
  <c r="F62" i="18"/>
  <c r="G62" i="18" s="1"/>
  <c r="CA62" i="6" s="1"/>
  <c r="G151" i="18"/>
  <c r="CA151" i="6" s="1"/>
  <c r="AA151" i="18"/>
  <c r="Z151" i="18" s="1"/>
  <c r="Y151" i="18" s="1"/>
  <c r="H151" i="18"/>
  <c r="H55" i="18"/>
  <c r="AA55" i="18"/>
  <c r="Z55" i="18" s="1"/>
  <c r="Y55" i="18" s="1"/>
  <c r="G55" i="18"/>
  <c r="CA55" i="6" s="1"/>
  <c r="H180" i="18"/>
  <c r="J180" i="18" s="1"/>
  <c r="AA180" i="18"/>
  <c r="Z180" i="18" s="1"/>
  <c r="Y180" i="18" s="1"/>
  <c r="G180" i="18"/>
  <c r="CA180" i="6" s="1"/>
  <c r="G33" i="18"/>
  <c r="CA33" i="6" s="1"/>
  <c r="H33" i="18"/>
  <c r="AA33" i="18"/>
  <c r="Z33" i="18" s="1"/>
  <c r="Y33" i="18" s="1"/>
  <c r="AA140" i="18"/>
  <c r="Z140" i="18" s="1"/>
  <c r="Y140" i="18" s="1"/>
  <c r="H140" i="18"/>
  <c r="G140" i="18"/>
  <c r="CA140" i="6" s="1"/>
  <c r="G70" i="18"/>
  <c r="CA70" i="6" s="1"/>
  <c r="H70" i="18"/>
  <c r="AA70" i="18"/>
  <c r="Z70" i="18" s="1"/>
  <c r="Y70" i="18" s="1"/>
  <c r="H263" i="18"/>
  <c r="G263" i="18"/>
  <c r="CA263" i="6" s="1"/>
  <c r="AA263" i="18"/>
  <c r="Z263" i="18" s="1"/>
  <c r="Y263" i="18" s="1"/>
  <c r="G248" i="18"/>
  <c r="CA248" i="6" s="1"/>
  <c r="AA248" i="18"/>
  <c r="Z248" i="18" s="1"/>
  <c r="Y248" i="18" s="1"/>
  <c r="H248" i="18"/>
  <c r="AA178" i="18"/>
  <c r="Z178" i="18" s="1"/>
  <c r="Y178" i="18" s="1"/>
  <c r="G178" i="18"/>
  <c r="CA178" i="6" s="1"/>
  <c r="H178" i="18"/>
  <c r="AA131" i="18"/>
  <c r="Z131" i="18" s="1"/>
  <c r="Y131" i="18" s="1"/>
  <c r="G131" i="18"/>
  <c r="CA131" i="6" s="1"/>
  <c r="H131" i="18"/>
  <c r="AA64" i="18"/>
  <c r="Z64" i="18" s="1"/>
  <c r="Y64" i="18" s="1"/>
  <c r="H64" i="18"/>
  <c r="G64" i="18"/>
  <c r="CA64" i="6" s="1"/>
  <c r="AA208" i="18"/>
  <c r="Z208" i="18" s="1"/>
  <c r="Y208" i="18" s="1"/>
  <c r="H208" i="18"/>
  <c r="G208" i="18"/>
  <c r="CA208" i="6" s="1"/>
  <c r="H119" i="18"/>
  <c r="J119" i="18" s="1"/>
  <c r="G119" i="18"/>
  <c r="CA119" i="6" s="1"/>
  <c r="AA119" i="18"/>
  <c r="Z119" i="18" s="1"/>
  <c r="Y119" i="18" s="1"/>
  <c r="H169" i="18"/>
  <c r="G169" i="18"/>
  <c r="CA169" i="6" s="1"/>
  <c r="AA169" i="18"/>
  <c r="Z169" i="18" s="1"/>
  <c r="Y169" i="18" s="1"/>
  <c r="AA36" i="18"/>
  <c r="Z36" i="18" s="1"/>
  <c r="Y36" i="18" s="1"/>
  <c r="H36" i="18"/>
  <c r="G36" i="18"/>
  <c r="CA36" i="6" s="1"/>
  <c r="AA255" i="18"/>
  <c r="Z255" i="18" s="1"/>
  <c r="Y255" i="18" s="1"/>
  <c r="G255" i="18"/>
  <c r="CA255" i="6" s="1"/>
  <c r="H255" i="18"/>
  <c r="H234" i="18"/>
  <c r="AA234" i="18"/>
  <c r="Z234" i="18" s="1"/>
  <c r="Y234" i="18" s="1"/>
  <c r="G234" i="18"/>
  <c r="CA234" i="6" s="1"/>
  <c r="AA286" i="18"/>
  <c r="Z286" i="18" s="1"/>
  <c r="Y286" i="18" s="1"/>
  <c r="G286" i="18"/>
  <c r="CA286" i="6" s="1"/>
  <c r="H286" i="18"/>
  <c r="G18" i="18"/>
  <c r="CA18" i="6" s="1"/>
  <c r="H18" i="18"/>
  <c r="AA18" i="18"/>
  <c r="Z18" i="18" s="1"/>
  <c r="Y18" i="18" s="1"/>
  <c r="G91" i="18"/>
  <c r="CA91" i="6" s="1"/>
  <c r="AA91" i="18"/>
  <c r="Z91" i="18" s="1"/>
  <c r="Y91" i="18" s="1"/>
  <c r="H91" i="18"/>
  <c r="AA162" i="18"/>
  <c r="Z162" i="18" s="1"/>
  <c r="Y162" i="18" s="1"/>
  <c r="G162" i="18"/>
  <c r="CA162" i="6" s="1"/>
  <c r="H162" i="18"/>
  <c r="G192" i="18"/>
  <c r="CA192" i="6" s="1"/>
  <c r="H192" i="18"/>
  <c r="AA192" i="18"/>
  <c r="Z192" i="18" s="1"/>
  <c r="Y192" i="18" s="1"/>
  <c r="G198" i="18"/>
  <c r="CA198" i="6" s="1"/>
  <c r="H198" i="18"/>
  <c r="AA198" i="18"/>
  <c r="Z198" i="18" s="1"/>
  <c r="Y198" i="18" s="1"/>
  <c r="H16" i="18"/>
  <c r="AA16" i="18"/>
  <c r="Z16" i="18" s="1"/>
  <c r="Y16" i="18" s="1"/>
  <c r="G16" i="18"/>
  <c r="CA16" i="6" s="1"/>
  <c r="G265" i="18"/>
  <c r="CA265" i="6" s="1"/>
  <c r="AA265" i="18"/>
  <c r="Z265" i="18" s="1"/>
  <c r="Y265" i="18" s="1"/>
  <c r="H265" i="18"/>
  <c r="H226" i="18"/>
  <c r="G226" i="18"/>
  <c r="CA226" i="6" s="1"/>
  <c r="AA226" i="18"/>
  <c r="Z226" i="18" s="1"/>
  <c r="Y226" i="18" s="1"/>
  <c r="AA157" i="18"/>
  <c r="Z157" i="18" s="1"/>
  <c r="Y157" i="18" s="1"/>
  <c r="G157" i="18"/>
  <c r="CA157" i="6" s="1"/>
  <c r="H157" i="18"/>
  <c r="G123" i="18"/>
  <c r="CA123" i="6" s="1"/>
  <c r="H123" i="18"/>
  <c r="AA123" i="18"/>
  <c r="Z123" i="18" s="1"/>
  <c r="Y123" i="18" s="1"/>
  <c r="AA161" i="18"/>
  <c r="Z161" i="18" s="1"/>
  <c r="Y161" i="18" s="1"/>
  <c r="H161" i="18"/>
  <c r="G161" i="18"/>
  <c r="CA161" i="6" s="1"/>
  <c r="G37" i="18"/>
  <c r="CA37" i="6" s="1"/>
  <c r="AA37" i="18"/>
  <c r="Z37" i="18" s="1"/>
  <c r="Y37" i="18" s="1"/>
  <c r="H37" i="18"/>
  <c r="G73" i="18"/>
  <c r="CA73" i="6" s="1"/>
  <c r="H73" i="18"/>
  <c r="AA73" i="18"/>
  <c r="Z73" i="18" s="1"/>
  <c r="Y73" i="18" s="1"/>
  <c r="AA164" i="18"/>
  <c r="Z164" i="18" s="1"/>
  <c r="Y164" i="18" s="1"/>
  <c r="G164" i="18"/>
  <c r="CA164" i="6" s="1"/>
  <c r="H164" i="18"/>
  <c r="AA190" i="18"/>
  <c r="Z190" i="18" s="1"/>
  <c r="Y190" i="18" s="1"/>
  <c r="G190" i="18"/>
  <c r="CA190" i="6" s="1"/>
  <c r="H190" i="18"/>
  <c r="AA245" i="18"/>
  <c r="Z245" i="18" s="1"/>
  <c r="Y245" i="18" s="1"/>
  <c r="G245" i="18"/>
  <c r="CA245" i="6" s="1"/>
  <c r="H245" i="18"/>
  <c r="G223" i="18"/>
  <c r="CA223" i="6" s="1"/>
  <c r="H223" i="18"/>
  <c r="AA223" i="18"/>
  <c r="Z223" i="18" s="1"/>
  <c r="Y223" i="18" s="1"/>
  <c r="H126" i="18"/>
  <c r="AA126" i="18"/>
  <c r="Z126" i="18" s="1"/>
  <c r="Y126" i="18" s="1"/>
  <c r="G126" i="18"/>
  <c r="CA126" i="6" s="1"/>
  <c r="G191" i="18"/>
  <c r="CA191" i="6" s="1"/>
  <c r="H191" i="18"/>
  <c r="AA191" i="18"/>
  <c r="Z191" i="18" s="1"/>
  <c r="Y191" i="18" s="1"/>
  <c r="H67" i="18"/>
  <c r="AA67" i="18"/>
  <c r="Z67" i="18" s="1"/>
  <c r="Y67" i="18" s="1"/>
  <c r="G67" i="18"/>
  <c r="CA67" i="6" s="1"/>
  <c r="H149" i="18"/>
  <c r="G149" i="18"/>
  <c r="CA149" i="6" s="1"/>
  <c r="AA149" i="18"/>
  <c r="Z149" i="18" s="1"/>
  <c r="Y149" i="18" s="1"/>
  <c r="H19" i="18"/>
  <c r="AA19" i="18"/>
  <c r="Z19" i="18" s="1"/>
  <c r="Y19" i="18" s="1"/>
  <c r="G19" i="18"/>
  <c r="CA19" i="6" s="1"/>
  <c r="H72" i="18"/>
  <c r="G72" i="18"/>
  <c r="CA72" i="6" s="1"/>
  <c r="AA72" i="18"/>
  <c r="Z72" i="18" s="1"/>
  <c r="Y72" i="18" s="1"/>
  <c r="H81" i="18"/>
  <c r="AA81" i="18"/>
  <c r="Z81" i="18" s="1"/>
  <c r="Y81" i="18" s="1"/>
  <c r="G81" i="18"/>
  <c r="CA81" i="6" s="1"/>
  <c r="H254" i="18"/>
  <c r="AA254" i="18"/>
  <c r="Z254" i="18" s="1"/>
  <c r="Y254" i="18" s="1"/>
  <c r="G254" i="18"/>
  <c r="CA254" i="6" s="1"/>
  <c r="AA25" i="18"/>
  <c r="Z25" i="18" s="1"/>
  <c r="Y25" i="18" s="1"/>
  <c r="H25" i="18"/>
  <c r="G25" i="18"/>
  <c r="CA25" i="6" s="1"/>
  <c r="AA285" i="18"/>
  <c r="Z285" i="18" s="1"/>
  <c r="Y285" i="18" s="1"/>
  <c r="G285" i="18"/>
  <c r="CA285" i="6" s="1"/>
  <c r="H285" i="18"/>
  <c r="G233" i="18"/>
  <c r="CA233" i="6" s="1"/>
  <c r="H233" i="18"/>
  <c r="AA233" i="18"/>
  <c r="Z233" i="18" s="1"/>
  <c r="Y233" i="18" s="1"/>
  <c r="H121" i="18"/>
  <c r="AA121" i="18"/>
  <c r="Z121" i="18" s="1"/>
  <c r="Y121" i="18" s="1"/>
  <c r="G121" i="18"/>
  <c r="CA121" i="6" s="1"/>
  <c r="AA206" i="18"/>
  <c r="Z206" i="18" s="1"/>
  <c r="Y206" i="18" s="1"/>
  <c r="H206" i="18"/>
  <c r="G206" i="18"/>
  <c r="CA206" i="6" s="1"/>
  <c r="G221" i="18"/>
  <c r="CA221" i="6" s="1"/>
  <c r="AA221" i="18"/>
  <c r="Z221" i="18" s="1"/>
  <c r="Y221" i="18" s="1"/>
  <c r="H221" i="18"/>
  <c r="AA44" i="18"/>
  <c r="Z44" i="18" s="1"/>
  <c r="Y44" i="18" s="1"/>
  <c r="G44" i="18"/>
  <c r="CA44" i="6" s="1"/>
  <c r="H44" i="18"/>
  <c r="G42" i="18"/>
  <c r="CA42" i="6" s="1"/>
  <c r="H42" i="18"/>
  <c r="AA42" i="18"/>
  <c r="Z42" i="18" s="1"/>
  <c r="Y42" i="18" s="1"/>
  <c r="G193" i="18"/>
  <c r="CA193" i="6" s="1"/>
  <c r="AA193" i="18"/>
  <c r="Z193" i="18" s="1"/>
  <c r="Y193" i="18" s="1"/>
  <c r="H193" i="18"/>
  <c r="AA113" i="18"/>
  <c r="Z113" i="18" s="1"/>
  <c r="Y113" i="18" s="1"/>
  <c r="H113" i="18"/>
  <c r="G113" i="18"/>
  <c r="CA113" i="6" s="1"/>
  <c r="G272" i="18"/>
  <c r="CA272" i="6" s="1"/>
  <c r="H272" i="18"/>
  <c r="AA272" i="18"/>
  <c r="Z272" i="18" s="1"/>
  <c r="Y272" i="18" s="1"/>
  <c r="G268" i="18"/>
  <c r="CA268" i="6" s="1"/>
  <c r="H268" i="18"/>
  <c r="AA268" i="18"/>
  <c r="Z268" i="18" s="1"/>
  <c r="Y268" i="18" s="1"/>
  <c r="G144" i="18"/>
  <c r="CA144" i="6" s="1"/>
  <c r="H144" i="18"/>
  <c r="AA144" i="18"/>
  <c r="Z144" i="18" s="1"/>
  <c r="Y144" i="18" s="1"/>
  <c r="H150" i="18"/>
  <c r="G150" i="18"/>
  <c r="CA150" i="6" s="1"/>
  <c r="AA150" i="18"/>
  <c r="Z150" i="18" s="1"/>
  <c r="Y150" i="18" s="1"/>
  <c r="G99" i="18"/>
  <c r="CA99" i="6" s="1"/>
  <c r="AA99" i="18"/>
  <c r="Z99" i="18" s="1"/>
  <c r="Y99" i="18" s="1"/>
  <c r="H99" i="18"/>
  <c r="G29" i="18"/>
  <c r="CA29" i="6" s="1"/>
  <c r="AA29" i="18"/>
  <c r="Z29" i="18" s="1"/>
  <c r="Y29" i="18" s="1"/>
  <c r="H29" i="18"/>
  <c r="H277" i="18"/>
  <c r="G277" i="18"/>
  <c r="CA277" i="6" s="1"/>
  <c r="AA277" i="18"/>
  <c r="Z277" i="18" s="1"/>
  <c r="Y277" i="18" s="1"/>
  <c r="AA262" i="18"/>
  <c r="Z262" i="18" s="1"/>
  <c r="Y262" i="18" s="1"/>
  <c r="G262" i="18"/>
  <c r="CA262" i="6" s="1"/>
  <c r="H262" i="18"/>
  <c r="H85" i="18"/>
  <c r="G85" i="18"/>
  <c r="CA85" i="6" s="1"/>
  <c r="AA85" i="18"/>
  <c r="Z85" i="18" s="1"/>
  <c r="Y85" i="18" s="1"/>
  <c r="H26" i="18"/>
  <c r="G26" i="18"/>
  <c r="CA26" i="6" s="1"/>
  <c r="AA26" i="18"/>
  <c r="Z26" i="18" s="1"/>
  <c r="Y26" i="18" s="1"/>
  <c r="AA210" i="18"/>
  <c r="Z210" i="18" s="1"/>
  <c r="Y210" i="18" s="1"/>
  <c r="H210" i="18"/>
  <c r="G210" i="18"/>
  <c r="CA210" i="6" s="1"/>
  <c r="AA186" i="18"/>
  <c r="Z186" i="18" s="1"/>
  <c r="Y186" i="18" s="1"/>
  <c r="H186" i="18"/>
  <c r="G186" i="18"/>
  <c r="CA186" i="6" s="1"/>
  <c r="AA116" i="18"/>
  <c r="Z116" i="18" s="1"/>
  <c r="Y116" i="18" s="1"/>
  <c r="H116" i="18"/>
  <c r="G116" i="18"/>
  <c r="CA116" i="6" s="1"/>
  <c r="AA247" i="18"/>
  <c r="Z247" i="18" s="1"/>
  <c r="Y247" i="18" s="1"/>
  <c r="H247" i="18"/>
  <c r="G247" i="18"/>
  <c r="CA247" i="6" s="1"/>
  <c r="AA207" i="18"/>
  <c r="Z207" i="18" s="1"/>
  <c r="Y207" i="18" s="1"/>
  <c r="H207" i="18"/>
  <c r="G207" i="18"/>
  <c r="CA207" i="6" s="1"/>
  <c r="G97" i="18"/>
  <c r="CA97" i="6" s="1"/>
  <c r="AA97" i="18"/>
  <c r="Z97" i="18" s="1"/>
  <c r="Y97" i="18" s="1"/>
  <c r="H97" i="18"/>
  <c r="H261" i="18"/>
  <c r="G261" i="18"/>
  <c r="CA261" i="6" s="1"/>
  <c r="AA261" i="18"/>
  <c r="Z261" i="18" s="1"/>
  <c r="Y261" i="18" s="1"/>
  <c r="AA160" i="18"/>
  <c r="Z160" i="18" s="1"/>
  <c r="Y160" i="18" s="1"/>
  <c r="G160" i="18"/>
  <c r="CA160" i="6" s="1"/>
  <c r="H160" i="18"/>
  <c r="H238" i="18"/>
  <c r="AA238" i="18"/>
  <c r="Z238" i="18" s="1"/>
  <c r="Y238" i="18" s="1"/>
  <c r="G238" i="18"/>
  <c r="CA238" i="6" s="1"/>
  <c r="G122" i="18"/>
  <c r="CA122" i="6" s="1"/>
  <c r="AA122" i="18"/>
  <c r="Z122" i="18" s="1"/>
  <c r="Y122" i="18" s="1"/>
  <c r="H122" i="18"/>
  <c r="G98" i="18"/>
  <c r="CA98" i="6" s="1"/>
  <c r="AA98" i="18"/>
  <c r="Z98" i="18" s="1"/>
  <c r="Y98" i="18" s="1"/>
  <c r="H98" i="18"/>
  <c r="AA17" i="18"/>
  <c r="Z17" i="18" s="1"/>
  <c r="Y17" i="18" s="1"/>
  <c r="H17" i="18"/>
  <c r="G17" i="18"/>
  <c r="CA17" i="6" s="1"/>
  <c r="AA63" i="18"/>
  <c r="Z63" i="18" s="1"/>
  <c r="Y63" i="18" s="1"/>
  <c r="H63" i="18"/>
  <c r="G63" i="18"/>
  <c r="CA63" i="6" s="1"/>
  <c r="H242" i="18"/>
  <c r="AA242" i="18"/>
  <c r="Z242" i="18" s="1"/>
  <c r="Y242" i="18" s="1"/>
  <c r="G242" i="18"/>
  <c r="CA242" i="6" s="1"/>
  <c r="G175" i="18"/>
  <c r="CA175" i="6" s="1"/>
  <c r="H175" i="18"/>
  <c r="AA175" i="18"/>
  <c r="Z175" i="18" s="1"/>
  <c r="Y175" i="18" s="1"/>
  <c r="G307" i="18"/>
  <c r="CA307" i="6" s="1"/>
  <c r="AA307" i="18"/>
  <c r="Z307" i="18" s="1"/>
  <c r="Y307" i="18" s="1"/>
  <c r="H307" i="18"/>
  <c r="I346" i="18"/>
  <c r="J346" i="18"/>
  <c r="H60" i="18"/>
  <c r="G60" i="18"/>
  <c r="CA60" i="6" s="1"/>
  <c r="AA60" i="18"/>
  <c r="Z60" i="18" s="1"/>
  <c r="Y60" i="18" s="1"/>
  <c r="S381" i="18"/>
  <c r="S382" i="18"/>
  <c r="S383" i="18"/>
  <c r="R15" i="18"/>
  <c r="AA215" i="18"/>
  <c r="Z215" i="18" s="1"/>
  <c r="Y215" i="18" s="1"/>
  <c r="G215" i="18"/>
  <c r="CA215" i="6" s="1"/>
  <c r="H215" i="18"/>
  <c r="H282" i="18"/>
  <c r="G282" i="18"/>
  <c r="CA282" i="6" s="1"/>
  <c r="AA282" i="18"/>
  <c r="Z282" i="18" s="1"/>
  <c r="Y282" i="18" s="1"/>
  <c r="G182" i="18"/>
  <c r="CA182" i="6" s="1"/>
  <c r="H182" i="18"/>
  <c r="AA182" i="18"/>
  <c r="Z182" i="18" s="1"/>
  <c r="Y182" i="18" s="1"/>
  <c r="G83" i="18"/>
  <c r="CA83" i="6" s="1"/>
  <c r="AA83" i="18"/>
  <c r="Z83" i="18" s="1"/>
  <c r="Y83" i="18" s="1"/>
  <c r="H83" i="18"/>
  <c r="J273" i="18"/>
  <c r="I273" i="18"/>
  <c r="D379" i="18"/>
  <c r="E379" i="18" s="1"/>
  <c r="G66" i="18"/>
  <c r="CA66" i="6" s="1"/>
  <c r="H66" i="18"/>
  <c r="AA66" i="18"/>
  <c r="Z66" i="18" s="1"/>
  <c r="Y66" i="18" s="1"/>
  <c r="H76" i="18"/>
  <c r="G76" i="18"/>
  <c r="CA76" i="6" s="1"/>
  <c r="AA76" i="18"/>
  <c r="Z76" i="18" s="1"/>
  <c r="Y76" i="18" s="1"/>
  <c r="H197" i="18"/>
  <c r="G197" i="18"/>
  <c r="CA197" i="6" s="1"/>
  <c r="AA197" i="18"/>
  <c r="Z197" i="18" s="1"/>
  <c r="Y197" i="18" s="1"/>
  <c r="G58" i="18"/>
  <c r="CA58" i="6" s="1"/>
  <c r="AA58" i="18"/>
  <c r="Z58" i="18" s="1"/>
  <c r="Y58" i="18" s="1"/>
  <c r="H58" i="18"/>
  <c r="H295" i="18"/>
  <c r="AA295" i="18"/>
  <c r="Z295" i="18" s="1"/>
  <c r="Y295" i="18" s="1"/>
  <c r="G295" i="18"/>
  <c r="CA295" i="6" s="1"/>
  <c r="H171" i="18"/>
  <c r="AA171" i="18"/>
  <c r="Z171" i="18" s="1"/>
  <c r="Y171" i="18" s="1"/>
  <c r="G171" i="18"/>
  <c r="CA171" i="6" s="1"/>
  <c r="H147" i="18"/>
  <c r="G147" i="18"/>
  <c r="CA147" i="6" s="1"/>
  <c r="AA147" i="18"/>
  <c r="Z147" i="18" s="1"/>
  <c r="Y147" i="18" s="1"/>
  <c r="F15" i="17"/>
  <c r="V382" i="17"/>
  <c r="V383" i="17"/>
  <c r="B64" i="19"/>
  <c r="N64" i="19" s="1"/>
  <c r="V381" i="17"/>
  <c r="H235" i="18"/>
  <c r="G235" i="18"/>
  <c r="CA235" i="6" s="1"/>
  <c r="AA235" i="18"/>
  <c r="Z235" i="18" s="1"/>
  <c r="Y235" i="18" s="1"/>
  <c r="AA124" i="18"/>
  <c r="Z124" i="18" s="1"/>
  <c r="Y124" i="18" s="1"/>
  <c r="G124" i="18"/>
  <c r="CA124" i="6" s="1"/>
  <c r="H124" i="18"/>
  <c r="G45" i="18"/>
  <c r="CA45" i="6" s="1"/>
  <c r="AA45" i="18"/>
  <c r="Z45" i="18" s="1"/>
  <c r="Y45" i="18" s="1"/>
  <c r="H45" i="18"/>
  <c r="AA80" i="18"/>
  <c r="Z80" i="18" s="1"/>
  <c r="Y80" i="18" s="1"/>
  <c r="H80" i="18"/>
  <c r="G80" i="18"/>
  <c r="CA80" i="6" s="1"/>
  <c r="H204" i="18"/>
  <c r="AA204" i="18"/>
  <c r="Z204" i="18" s="1"/>
  <c r="Y204" i="18" s="1"/>
  <c r="G204" i="18"/>
  <c r="CA204" i="6" s="1"/>
  <c r="AA194" i="18"/>
  <c r="Z194" i="18" s="1"/>
  <c r="Y194" i="18" s="1"/>
  <c r="G194" i="18"/>
  <c r="CA194" i="6" s="1"/>
  <c r="H194" i="18"/>
  <c r="H69" i="18"/>
  <c r="G69" i="18"/>
  <c r="CA69" i="6" s="1"/>
  <c r="AA69" i="18"/>
  <c r="Z69" i="18" s="1"/>
  <c r="Y69" i="18" s="1"/>
  <c r="G152" i="18"/>
  <c r="CA152" i="6" s="1"/>
  <c r="AA152" i="18"/>
  <c r="Z152" i="18" s="1"/>
  <c r="Y152" i="18" s="1"/>
  <c r="H152" i="18"/>
  <c r="AA143" i="18"/>
  <c r="Z143" i="18" s="1"/>
  <c r="Y143" i="18" s="1"/>
  <c r="G143" i="18"/>
  <c r="CA143" i="6" s="1"/>
  <c r="H143" i="18"/>
  <c r="G117" i="18"/>
  <c r="CA117" i="6" s="1"/>
  <c r="AA117" i="18"/>
  <c r="Z117" i="18" s="1"/>
  <c r="Y117" i="18" s="1"/>
  <c r="H117" i="18"/>
  <c r="G317" i="18"/>
  <c r="CA317" i="6" s="1"/>
  <c r="AA317" i="18"/>
  <c r="Z317" i="18" s="1"/>
  <c r="Y317" i="18" s="1"/>
  <c r="H317" i="18"/>
  <c r="J214" i="18"/>
  <c r="I214" i="18"/>
  <c r="AA40" i="18"/>
  <c r="Z40" i="18" s="1"/>
  <c r="Y40" i="18" s="1"/>
  <c r="G40" i="18"/>
  <c r="CA40" i="6" s="1"/>
  <c r="H40" i="18"/>
  <c r="AA259" i="18"/>
  <c r="Z259" i="18" s="1"/>
  <c r="Y259" i="18" s="1"/>
  <c r="G259" i="18"/>
  <c r="CA259" i="6" s="1"/>
  <c r="H259" i="18"/>
  <c r="G297" i="18"/>
  <c r="CA297" i="6" s="1"/>
  <c r="H297" i="18"/>
  <c r="AA297" i="18"/>
  <c r="Z297" i="18" s="1"/>
  <c r="Y297" i="18" s="1"/>
  <c r="H315" i="18"/>
  <c r="G315" i="18"/>
  <c r="CA315" i="6" s="1"/>
  <c r="AA315" i="18"/>
  <c r="Z315" i="18" s="1"/>
  <c r="Y315" i="18" s="1"/>
  <c r="G145" i="18"/>
  <c r="CA145" i="6" s="1"/>
  <c r="H145" i="18"/>
  <c r="AA145" i="18"/>
  <c r="Z145" i="18" s="1"/>
  <c r="Y145" i="18" s="1"/>
  <c r="G129" i="18"/>
  <c r="CA129" i="6" s="1"/>
  <c r="AA129" i="18"/>
  <c r="Z129" i="18" s="1"/>
  <c r="Y129" i="18" s="1"/>
  <c r="H129" i="18"/>
  <c r="G270" i="18"/>
  <c r="CA270" i="6" s="1"/>
  <c r="AA270" i="18"/>
  <c r="Z270" i="18" s="1"/>
  <c r="Y270" i="18" s="1"/>
  <c r="H270" i="18"/>
  <c r="G82" i="18"/>
  <c r="CA82" i="6" s="1"/>
  <c r="AA82" i="18"/>
  <c r="Z82" i="18" s="1"/>
  <c r="Y82" i="18" s="1"/>
  <c r="H82" i="18"/>
  <c r="AA291" i="18"/>
  <c r="Z291" i="18" s="1"/>
  <c r="Y291" i="18" s="1"/>
  <c r="G291" i="18"/>
  <c r="CA291" i="6" s="1"/>
  <c r="H291" i="18"/>
  <c r="H127" i="18"/>
  <c r="G127" i="18"/>
  <c r="CA127" i="6" s="1"/>
  <c r="AA127" i="18"/>
  <c r="Z127" i="18" s="1"/>
  <c r="Y127" i="18" s="1"/>
  <c r="J112" i="18"/>
  <c r="I112" i="18"/>
  <c r="H378" i="18"/>
  <c r="G378" i="18"/>
  <c r="CA378" i="6" s="1"/>
  <c r="AA378" i="18"/>
  <c r="Z378" i="18" s="1"/>
  <c r="Y378" i="18" s="1"/>
  <c r="AA250" i="18"/>
  <c r="Z250" i="18" s="1"/>
  <c r="Y250" i="18" s="1"/>
  <c r="G250" i="18"/>
  <c r="CA250" i="6" s="1"/>
  <c r="H250" i="18"/>
  <c r="G142" i="18"/>
  <c r="CA142" i="6" s="1"/>
  <c r="H142" i="18"/>
  <c r="AA142" i="18"/>
  <c r="Z142" i="18" s="1"/>
  <c r="Y142" i="18" s="1"/>
  <c r="H283" i="18"/>
  <c r="G283" i="18"/>
  <c r="CA283" i="6" s="1"/>
  <c r="AA283" i="18"/>
  <c r="Z283" i="18" s="1"/>
  <c r="Y283" i="18" s="1"/>
  <c r="G101" i="18"/>
  <c r="CA101" i="6" s="1"/>
  <c r="AA101" i="18"/>
  <c r="Z101" i="18" s="1"/>
  <c r="Y101" i="18" s="1"/>
  <c r="H101" i="18"/>
  <c r="AA118" i="18"/>
  <c r="Z118" i="18" s="1"/>
  <c r="Y118" i="18" s="1"/>
  <c r="G118" i="18"/>
  <c r="CA118" i="6" s="1"/>
  <c r="H118" i="18"/>
  <c r="G309" i="18"/>
  <c r="CA309" i="6" s="1"/>
  <c r="H309" i="18"/>
  <c r="AA309" i="18"/>
  <c r="Z309" i="18" s="1"/>
  <c r="Y309" i="18" s="1"/>
  <c r="G86" i="18"/>
  <c r="CA86" i="6" s="1"/>
  <c r="AA86" i="18"/>
  <c r="Z86" i="18" s="1"/>
  <c r="Y86" i="18" s="1"/>
  <c r="H86" i="18"/>
  <c r="G139" i="18"/>
  <c r="CA139" i="6" s="1"/>
  <c r="H139" i="18"/>
  <c r="AA139" i="18"/>
  <c r="Z139" i="18" s="1"/>
  <c r="Y139" i="18" s="1"/>
  <c r="G211" i="18"/>
  <c r="CA211" i="6" s="1"/>
  <c r="H211" i="18"/>
  <c r="AA211" i="18"/>
  <c r="Z211" i="18" s="1"/>
  <c r="Y211" i="18" s="1"/>
  <c r="H185" i="18"/>
  <c r="G185" i="18"/>
  <c r="CA185" i="6" s="1"/>
  <c r="AA185" i="18"/>
  <c r="Z185" i="18" s="1"/>
  <c r="Y185" i="18" s="1"/>
  <c r="AA361" i="18"/>
  <c r="Z361" i="18" s="1"/>
  <c r="Y361" i="18" s="1"/>
  <c r="G361" i="18"/>
  <c r="CA361" i="6" s="1"/>
  <c r="H361" i="18"/>
  <c r="AA96" i="18"/>
  <c r="Z96" i="18" s="1"/>
  <c r="Y96" i="18" s="1"/>
  <c r="G96" i="18"/>
  <c r="CA96" i="6" s="1"/>
  <c r="H96" i="18"/>
  <c r="I174" i="18"/>
  <c r="J174" i="18"/>
  <c r="G294" i="18"/>
  <c r="CA294" i="6" s="1"/>
  <c r="H294" i="18"/>
  <c r="AA294" i="18"/>
  <c r="Z294" i="18" s="1"/>
  <c r="Y294" i="18" s="1"/>
  <c r="H120" i="18"/>
  <c r="G120" i="18"/>
  <c r="CA120" i="6" s="1"/>
  <c r="AA120" i="18"/>
  <c r="Z120" i="18" s="1"/>
  <c r="Y120" i="18" s="1"/>
  <c r="H31" i="18"/>
  <c r="G31" i="18"/>
  <c r="CA31" i="6" s="1"/>
  <c r="AA31" i="18"/>
  <c r="Z31" i="18" s="1"/>
  <c r="Y31" i="18" s="1"/>
  <c r="AA84" i="18"/>
  <c r="Z84" i="18" s="1"/>
  <c r="Y84" i="18" s="1"/>
  <c r="G84" i="18"/>
  <c r="CA84" i="6" s="1"/>
  <c r="H84" i="18"/>
  <c r="H49" i="18"/>
  <c r="AA49" i="18"/>
  <c r="Z49" i="18" s="1"/>
  <c r="Y49" i="18" s="1"/>
  <c r="G49" i="18"/>
  <c r="CA49" i="6" s="1"/>
  <c r="H201" i="18"/>
  <c r="G201" i="18"/>
  <c r="CA201" i="6" s="1"/>
  <c r="AA201" i="18"/>
  <c r="Z201" i="18" s="1"/>
  <c r="Y201" i="18" s="1"/>
  <c r="AA218" i="18"/>
  <c r="Z218" i="18" s="1"/>
  <c r="Y218" i="18" s="1"/>
  <c r="G218" i="18"/>
  <c r="CA218" i="6" s="1"/>
  <c r="H218" i="18"/>
  <c r="G133" i="18"/>
  <c r="CA133" i="6" s="1"/>
  <c r="H133" i="18"/>
  <c r="AA133" i="18"/>
  <c r="Z133" i="18" s="1"/>
  <c r="Y133" i="18" s="1"/>
  <c r="AA156" i="18"/>
  <c r="Z156" i="18" s="1"/>
  <c r="Y156" i="18" s="1"/>
  <c r="G156" i="18"/>
  <c r="CA156" i="6" s="1"/>
  <c r="H156" i="18"/>
  <c r="G331" i="18"/>
  <c r="CA331" i="6" s="1"/>
  <c r="AA331" i="18"/>
  <c r="Z331" i="18" s="1"/>
  <c r="Y331" i="18" s="1"/>
  <c r="H331" i="18"/>
  <c r="AA222" i="18"/>
  <c r="Z222" i="18" s="1"/>
  <c r="Y222" i="18" s="1"/>
  <c r="G222" i="18"/>
  <c r="CA222" i="6" s="1"/>
  <c r="H222" i="18"/>
  <c r="H68" i="18"/>
  <c r="AA68" i="18"/>
  <c r="Z68" i="18" s="1"/>
  <c r="Y68" i="18" s="1"/>
  <c r="G68" i="18"/>
  <c r="CA68" i="6" s="1"/>
  <c r="G93" i="18"/>
  <c r="CA93" i="6" s="1"/>
  <c r="H93" i="18"/>
  <c r="AA93" i="18"/>
  <c r="Z93" i="18" s="1"/>
  <c r="Y93" i="18" s="1"/>
  <c r="H107" i="18"/>
  <c r="G308" i="18"/>
  <c r="CA308" i="6" s="1"/>
  <c r="AA308" i="18"/>
  <c r="Z308" i="18" s="1"/>
  <c r="Y308" i="18" s="1"/>
  <c r="H308" i="18"/>
  <c r="G166" i="18"/>
  <c r="CA166" i="6" s="1"/>
  <c r="H166" i="18"/>
  <c r="AA166" i="18"/>
  <c r="Z166" i="18" s="1"/>
  <c r="Y166" i="18" s="1"/>
  <c r="AA78" i="18"/>
  <c r="Z78" i="18" s="1"/>
  <c r="Y78" i="18" s="1"/>
  <c r="H78" i="18"/>
  <c r="G78" i="18"/>
  <c r="CA78" i="6" s="1"/>
  <c r="G52" i="18"/>
  <c r="CA52" i="6" s="1"/>
  <c r="AA52" i="18"/>
  <c r="Z52" i="18" s="1"/>
  <c r="Y52" i="18" s="1"/>
  <c r="H52" i="18"/>
  <c r="AA179" i="18"/>
  <c r="Z179" i="18" s="1"/>
  <c r="Y179" i="18" s="1"/>
  <c r="H179" i="18"/>
  <c r="G179" i="18"/>
  <c r="CA179" i="6" s="1"/>
  <c r="H327" i="18"/>
  <c r="AA327" i="18"/>
  <c r="Z327" i="18" s="1"/>
  <c r="Y327" i="18" s="1"/>
  <c r="G327" i="18"/>
  <c r="CA327" i="6" s="1"/>
  <c r="G249" i="18"/>
  <c r="CA249" i="6" s="1"/>
  <c r="AA249" i="18"/>
  <c r="Z249" i="18" s="1"/>
  <c r="Y249" i="18" s="1"/>
  <c r="H249" i="18"/>
  <c r="J267" i="18"/>
  <c r="I267" i="18"/>
  <c r="G153" i="18"/>
  <c r="CA153" i="6" s="1"/>
  <c r="G280" i="18"/>
  <c r="CA280" i="6" s="1"/>
  <c r="H280" i="18"/>
  <c r="AA280" i="18"/>
  <c r="Z280" i="18" s="1"/>
  <c r="Y280" i="18" s="1"/>
  <c r="G240" i="18"/>
  <c r="CA240" i="6" s="1"/>
  <c r="AA240" i="18"/>
  <c r="Z240" i="18" s="1"/>
  <c r="Y240" i="18" s="1"/>
  <c r="H240" i="18"/>
  <c r="I34" i="18"/>
  <c r="J34" i="18"/>
  <c r="D333" i="18"/>
  <c r="E333" i="18" s="1"/>
  <c r="F333" i="18" s="1"/>
  <c r="H100" i="18"/>
  <c r="AA100" i="18"/>
  <c r="Z100" i="18" s="1"/>
  <c r="Y100" i="18" s="1"/>
  <c r="G100" i="18"/>
  <c r="CA100" i="6" s="1"/>
  <c r="H220" i="18"/>
  <c r="G220" i="18"/>
  <c r="CA220" i="6" s="1"/>
  <c r="AA220" i="18"/>
  <c r="Z220" i="18" s="1"/>
  <c r="Y220" i="18" s="1"/>
  <c r="I172" i="18"/>
  <c r="J172" i="18"/>
  <c r="G23" i="18"/>
  <c r="CA23" i="6" s="1"/>
  <c r="AA23" i="18"/>
  <c r="Z23" i="18" s="1"/>
  <c r="Y23" i="18" s="1"/>
  <c r="H23" i="18"/>
  <c r="AA35" i="18"/>
  <c r="Z35" i="18" s="1"/>
  <c r="Y35" i="18" s="1"/>
  <c r="G35" i="18"/>
  <c r="CA35" i="6" s="1"/>
  <c r="H35" i="18"/>
  <c r="H41" i="18"/>
  <c r="G41" i="18"/>
  <c r="CA41" i="6" s="1"/>
  <c r="AA41" i="18"/>
  <c r="Z41" i="18" s="1"/>
  <c r="Y41" i="18" s="1"/>
  <c r="G187" i="18"/>
  <c r="CA187" i="6" s="1"/>
  <c r="AA187" i="18"/>
  <c r="Z187" i="18" s="1"/>
  <c r="Y187" i="18" s="1"/>
  <c r="H187" i="18"/>
  <c r="G203" i="18"/>
  <c r="CA203" i="6" s="1"/>
  <c r="AA203" i="18"/>
  <c r="Z203" i="18" s="1"/>
  <c r="Y203" i="18" s="1"/>
  <c r="H203" i="18"/>
  <c r="AA219" i="18"/>
  <c r="Z219" i="18" s="1"/>
  <c r="Y219" i="18" s="1"/>
  <c r="G219" i="18"/>
  <c r="CA219" i="6" s="1"/>
  <c r="H219" i="18"/>
  <c r="AA232" i="18"/>
  <c r="Z232" i="18" s="1"/>
  <c r="Y232" i="18" s="1"/>
  <c r="H232" i="18"/>
  <c r="G232" i="18"/>
  <c r="CA232" i="6" s="1"/>
  <c r="AA332" i="18"/>
  <c r="Z332" i="18" s="1"/>
  <c r="Y332" i="18" s="1"/>
  <c r="G332" i="18"/>
  <c r="CA332" i="6" s="1"/>
  <c r="H332" i="18"/>
  <c r="AA155" i="18"/>
  <c r="Z155" i="18" s="1"/>
  <c r="Y155" i="18" s="1"/>
  <c r="H155" i="18"/>
  <c r="G155" i="18"/>
  <c r="CA155" i="6" s="1"/>
  <c r="H312" i="18"/>
  <c r="AA312" i="18"/>
  <c r="Z312" i="18" s="1"/>
  <c r="Y312" i="18" s="1"/>
  <c r="G312" i="18"/>
  <c r="CA312" i="6" s="1"/>
  <c r="I79" i="18"/>
  <c r="J79" i="18"/>
  <c r="AA345" i="18"/>
  <c r="Z345" i="18" s="1"/>
  <c r="Y345" i="18" s="1"/>
  <c r="G345" i="18"/>
  <c r="CA345" i="6" s="1"/>
  <c r="H345" i="18"/>
  <c r="J109" i="18"/>
  <c r="I109" i="18"/>
  <c r="AA316" i="18"/>
  <c r="Z316" i="18" s="1"/>
  <c r="Y316" i="18" s="1"/>
  <c r="G316" i="18"/>
  <c r="CA316" i="6" s="1"/>
  <c r="H316" i="18"/>
  <c r="G334" i="18"/>
  <c r="CA334" i="6" s="1"/>
  <c r="AA334" i="18"/>
  <c r="Z334" i="18" s="1"/>
  <c r="Y334" i="18" s="1"/>
  <c r="H334" i="18"/>
  <c r="H375" i="18"/>
  <c r="AA375" i="18"/>
  <c r="Z375" i="18" s="1"/>
  <c r="Y375" i="18" s="1"/>
  <c r="G375" i="18"/>
  <c r="CA375" i="6" s="1"/>
  <c r="G289" i="18"/>
  <c r="CA289" i="6" s="1"/>
  <c r="AA289" i="18"/>
  <c r="Z289" i="18" s="1"/>
  <c r="Y289" i="18" s="1"/>
  <c r="H289" i="18"/>
  <c r="G163" i="18"/>
  <c r="CA163" i="6" s="1"/>
  <c r="H163" i="18"/>
  <c r="AA163" i="18"/>
  <c r="Z163" i="18" s="1"/>
  <c r="Y163" i="18" s="1"/>
  <c r="H102" i="18"/>
  <c r="AA102" i="18"/>
  <c r="Z102" i="18" s="1"/>
  <c r="Y102" i="18" s="1"/>
  <c r="G102" i="18"/>
  <c r="CA102" i="6" s="1"/>
  <c r="L65" i="19"/>
  <c r="AA115" i="18"/>
  <c r="Z115" i="18" s="1"/>
  <c r="Y115" i="18" s="1"/>
  <c r="H115" i="18"/>
  <c r="G115" i="18"/>
  <c r="CA115" i="6" s="1"/>
  <c r="AA30" i="18"/>
  <c r="Z30" i="18" s="1"/>
  <c r="Y30" i="18" s="1"/>
  <c r="G30" i="18"/>
  <c r="CA30" i="6" s="1"/>
  <c r="H30" i="18"/>
  <c r="H189" i="18"/>
  <c r="AA189" i="18"/>
  <c r="Z189" i="18" s="1"/>
  <c r="Y189" i="18" s="1"/>
  <c r="G189" i="18"/>
  <c r="CA189" i="6" s="1"/>
  <c r="G224" i="18"/>
  <c r="CA224" i="6" s="1"/>
  <c r="H224" i="18"/>
  <c r="AA224" i="18"/>
  <c r="Z224" i="18" s="1"/>
  <c r="Y224" i="18" s="1"/>
  <c r="G39" i="18"/>
  <c r="CA39" i="6" s="1"/>
  <c r="H39" i="18"/>
  <c r="AA39" i="18"/>
  <c r="Z39" i="18" s="1"/>
  <c r="Y39" i="18" s="1"/>
  <c r="H173" i="18"/>
  <c r="G173" i="18"/>
  <c r="CA173" i="6" s="1"/>
  <c r="AA173" i="18"/>
  <c r="Z173" i="18" s="1"/>
  <c r="Y173" i="18" s="1"/>
  <c r="H296" i="18"/>
  <c r="AA296" i="18"/>
  <c r="Z296" i="18" s="1"/>
  <c r="Y296" i="18" s="1"/>
  <c r="G296" i="18"/>
  <c r="CA296" i="6" s="1"/>
  <c r="G20" i="18"/>
  <c r="CA20" i="6" s="1"/>
  <c r="H20" i="18"/>
  <c r="AA20" i="18"/>
  <c r="Z20" i="18" s="1"/>
  <c r="Y20" i="18" s="1"/>
  <c r="G344" i="18"/>
  <c r="CA344" i="6" s="1"/>
  <c r="AA344" i="18"/>
  <c r="Z344" i="18" s="1"/>
  <c r="Y344" i="18" s="1"/>
  <c r="H344" i="18"/>
  <c r="G89" i="18"/>
  <c r="CA89" i="6" s="1"/>
  <c r="H89" i="18"/>
  <c r="AA89" i="18"/>
  <c r="Z89" i="18" s="1"/>
  <c r="Y89" i="18" s="1"/>
  <c r="AK4" i="16"/>
  <c r="R13" i="19" s="1"/>
  <c r="N14" i="19" s="1"/>
  <c r="AM13" i="16"/>
  <c r="AA11" i="16"/>
  <c r="AA5" i="16" s="1"/>
  <c r="I13" i="19" s="1"/>
  <c r="I37" i="19" s="1"/>
  <c r="J13" i="19"/>
  <c r="AD58" i="20"/>
  <c r="S337" i="20"/>
  <c r="R337" i="20" s="1"/>
  <c r="P337" i="20" s="1"/>
  <c r="V337" i="20" s="1"/>
  <c r="B337" i="20" s="1"/>
  <c r="S295" i="20"/>
  <c r="R295" i="20" s="1"/>
  <c r="P295" i="20" s="1"/>
  <c r="V295" i="20" s="1"/>
  <c r="B295" i="20" s="1"/>
  <c r="S44" i="20"/>
  <c r="R44" i="20" s="1"/>
  <c r="P44" i="20" s="1"/>
  <c r="V44" i="20" s="1"/>
  <c r="B44" i="20" s="1"/>
  <c r="S189" i="20"/>
  <c r="R189" i="20" s="1"/>
  <c r="P189" i="20" s="1"/>
  <c r="V189" i="20" s="1"/>
  <c r="B189" i="20" s="1"/>
  <c r="S371" i="20"/>
  <c r="R371" i="20" s="1"/>
  <c r="P371" i="20" s="1"/>
  <c r="V371" i="20" s="1"/>
  <c r="B371" i="20" s="1"/>
  <c r="S108" i="20"/>
  <c r="R108" i="20" s="1"/>
  <c r="P108" i="20" s="1"/>
  <c r="V108" i="20" s="1"/>
  <c r="B108" i="20" s="1"/>
  <c r="S317" i="20"/>
  <c r="R317" i="20" s="1"/>
  <c r="P317" i="20" s="1"/>
  <c r="V317" i="20" s="1"/>
  <c r="B317" i="20" s="1"/>
  <c r="S169" i="20"/>
  <c r="R169" i="20" s="1"/>
  <c r="P169" i="20" s="1"/>
  <c r="V169" i="20" s="1"/>
  <c r="B169" i="20" s="1"/>
  <c r="S218" i="20"/>
  <c r="R218" i="20" s="1"/>
  <c r="P218" i="20" s="1"/>
  <c r="V218" i="20" s="1"/>
  <c r="B218" i="20" s="1"/>
  <c r="S372" i="20"/>
  <c r="R372" i="20" s="1"/>
  <c r="P372" i="20" s="1"/>
  <c r="V372" i="20" s="1"/>
  <c r="B372" i="20" s="1"/>
  <c r="S323" i="20"/>
  <c r="R323" i="20" s="1"/>
  <c r="P323" i="20" s="1"/>
  <c r="V323" i="20" s="1"/>
  <c r="B323" i="20" s="1"/>
  <c r="S109" i="20"/>
  <c r="R109" i="20" s="1"/>
  <c r="P109" i="20" s="1"/>
  <c r="V109" i="20" s="1"/>
  <c r="B109" i="20" s="1"/>
  <c r="S321" i="20"/>
  <c r="R321" i="20" s="1"/>
  <c r="P321" i="20" s="1"/>
  <c r="V321" i="20" s="1"/>
  <c r="B321" i="20" s="1"/>
  <c r="S134" i="20"/>
  <c r="R134" i="20" s="1"/>
  <c r="P134" i="20" s="1"/>
  <c r="V134" i="20" s="1"/>
  <c r="B134" i="20" s="1"/>
  <c r="S176" i="20"/>
  <c r="R176" i="20" s="1"/>
  <c r="P176" i="20" s="1"/>
  <c r="V176" i="20" s="1"/>
  <c r="B176" i="20" s="1"/>
  <c r="S27" i="20"/>
  <c r="R27" i="20" s="1"/>
  <c r="P27" i="20" s="1"/>
  <c r="V27" i="20" s="1"/>
  <c r="S335" i="20"/>
  <c r="R335" i="20" s="1"/>
  <c r="P335" i="20" s="1"/>
  <c r="V335" i="20" s="1"/>
  <c r="B335" i="20" s="1"/>
  <c r="S180" i="20"/>
  <c r="R180" i="20" s="1"/>
  <c r="P180" i="20" s="1"/>
  <c r="S224" i="20"/>
  <c r="R224" i="20" s="1"/>
  <c r="P224" i="20" s="1"/>
  <c r="V224" i="20" s="1"/>
  <c r="B224" i="20" s="1"/>
  <c r="S207" i="20"/>
  <c r="R207" i="20" s="1"/>
  <c r="P207" i="20" s="1"/>
  <c r="V207" i="20" s="1"/>
  <c r="B207" i="20" s="1"/>
  <c r="S206" i="20"/>
  <c r="R206" i="20" s="1"/>
  <c r="P206" i="20" s="1"/>
  <c r="V206" i="20" s="1"/>
  <c r="B206" i="20" s="1"/>
  <c r="S376" i="20"/>
  <c r="R376" i="20" s="1"/>
  <c r="P376" i="20" s="1"/>
  <c r="V376" i="20" s="1"/>
  <c r="B376" i="20" s="1"/>
  <c r="S202" i="20"/>
  <c r="R202" i="20" s="1"/>
  <c r="P202" i="20" s="1"/>
  <c r="V202" i="20" s="1"/>
  <c r="B202" i="20" s="1"/>
  <c r="S57" i="20"/>
  <c r="R57" i="20" s="1"/>
  <c r="P57" i="20" s="1"/>
  <c r="V57" i="20" s="1"/>
  <c r="B57" i="20" s="1"/>
  <c r="S212" i="20"/>
  <c r="R212" i="20" s="1"/>
  <c r="P212" i="20" s="1"/>
  <c r="V212" i="20" s="1"/>
  <c r="B212" i="20" s="1"/>
  <c r="S236" i="20"/>
  <c r="R236" i="20" s="1"/>
  <c r="P236" i="20" s="1"/>
  <c r="V236" i="20" s="1"/>
  <c r="B236" i="20" s="1"/>
  <c r="S130" i="20"/>
  <c r="R130" i="20" s="1"/>
  <c r="P130" i="20" s="1"/>
  <c r="V130" i="20" s="1"/>
  <c r="B130" i="20" s="1"/>
  <c r="S32" i="20"/>
  <c r="R32" i="20" s="1"/>
  <c r="P32" i="20" s="1"/>
  <c r="V32" i="20" s="1"/>
  <c r="S90" i="20"/>
  <c r="R90" i="20" s="1"/>
  <c r="P90" i="20" s="1"/>
  <c r="V90" i="20" s="1"/>
  <c r="B90" i="20" s="1"/>
  <c r="S99" i="20"/>
  <c r="R99" i="20" s="1"/>
  <c r="P99" i="20" s="1"/>
  <c r="V99" i="20" s="1"/>
  <c r="B99" i="20" s="1"/>
  <c r="S111" i="20"/>
  <c r="R111" i="20" s="1"/>
  <c r="P111" i="20" s="1"/>
  <c r="V111" i="20" s="1"/>
  <c r="B111" i="20" s="1"/>
  <c r="S306" i="20"/>
  <c r="R306" i="20" s="1"/>
  <c r="P306" i="20" s="1"/>
  <c r="V306" i="20" s="1"/>
  <c r="B306" i="20" s="1"/>
  <c r="S240" i="20"/>
  <c r="R240" i="20" s="1"/>
  <c r="P240" i="20" s="1"/>
  <c r="V240" i="20" s="1"/>
  <c r="B240" i="20" s="1"/>
  <c r="S367" i="20"/>
  <c r="R367" i="20" s="1"/>
  <c r="P367" i="20" s="1"/>
  <c r="V367" i="20" s="1"/>
  <c r="B367" i="20" s="1"/>
  <c r="S123" i="20"/>
  <c r="R123" i="20" s="1"/>
  <c r="P123" i="20" s="1"/>
  <c r="V123" i="20" s="1"/>
  <c r="B123" i="20" s="1"/>
  <c r="S336" i="20"/>
  <c r="R336" i="20" s="1"/>
  <c r="P336" i="20" s="1"/>
  <c r="V336" i="20" s="1"/>
  <c r="B336" i="20" s="1"/>
  <c r="S133" i="20"/>
  <c r="R133" i="20" s="1"/>
  <c r="P133" i="20" s="1"/>
  <c r="V133" i="20" s="1"/>
  <c r="B133" i="20" s="1"/>
  <c r="S251" i="20"/>
  <c r="R251" i="20" s="1"/>
  <c r="P251" i="20" s="1"/>
  <c r="V251" i="20" s="1"/>
  <c r="B251" i="20" s="1"/>
  <c r="S87" i="20"/>
  <c r="R87" i="20" s="1"/>
  <c r="P87" i="20" s="1"/>
  <c r="V87" i="20" s="1"/>
  <c r="B87" i="20" s="1"/>
  <c r="S97" i="20"/>
  <c r="R97" i="20" s="1"/>
  <c r="P97" i="20" s="1"/>
  <c r="V97" i="20" s="1"/>
  <c r="B97" i="20" s="1"/>
  <c r="S22" i="20"/>
  <c r="R22" i="20" s="1"/>
  <c r="P22" i="20" s="1"/>
  <c r="V22" i="20" s="1"/>
  <c r="S128" i="20"/>
  <c r="R128" i="20" s="1"/>
  <c r="P128" i="20" s="1"/>
  <c r="V128" i="20" s="1"/>
  <c r="B128" i="20" s="1"/>
  <c r="S226" i="20"/>
  <c r="R226" i="20" s="1"/>
  <c r="P226" i="20" s="1"/>
  <c r="V226" i="20" s="1"/>
  <c r="B226" i="20" s="1"/>
  <c r="S332" i="20"/>
  <c r="R332" i="20" s="1"/>
  <c r="P332" i="20" s="1"/>
  <c r="V332" i="20" s="1"/>
  <c r="B332" i="20" s="1"/>
  <c r="S115" i="20"/>
  <c r="R115" i="20" s="1"/>
  <c r="P115" i="20" s="1"/>
  <c r="V115" i="20" s="1"/>
  <c r="B115" i="20" s="1"/>
  <c r="S93" i="20"/>
  <c r="R93" i="20" s="1"/>
  <c r="P93" i="20" s="1"/>
  <c r="V93" i="20" s="1"/>
  <c r="B93" i="20" s="1"/>
  <c r="S231" i="20"/>
  <c r="R231" i="20" s="1"/>
  <c r="P231" i="20" s="1"/>
  <c r="V231" i="20" s="1"/>
  <c r="B231" i="20" s="1"/>
  <c r="S53" i="20"/>
  <c r="R53" i="20" s="1"/>
  <c r="P53" i="20" s="1"/>
  <c r="V53" i="20" s="1"/>
  <c r="B53" i="20" s="1"/>
  <c r="S282" i="20"/>
  <c r="R282" i="20" s="1"/>
  <c r="P282" i="20" s="1"/>
  <c r="V282" i="20" s="1"/>
  <c r="B282" i="20" s="1"/>
  <c r="S127" i="20"/>
  <c r="R127" i="20" s="1"/>
  <c r="P127" i="20" s="1"/>
  <c r="V127" i="20" s="1"/>
  <c r="B127" i="20" s="1"/>
  <c r="S89" i="20"/>
  <c r="R89" i="20" s="1"/>
  <c r="P89" i="20" s="1"/>
  <c r="V89" i="20" s="1"/>
  <c r="B89" i="20" s="1"/>
  <c r="S233" i="20"/>
  <c r="R233" i="20" s="1"/>
  <c r="P233" i="20" s="1"/>
  <c r="V233" i="20" s="1"/>
  <c r="B233" i="20" s="1"/>
  <c r="S268" i="20"/>
  <c r="R268" i="20" s="1"/>
  <c r="P268" i="20" s="1"/>
  <c r="V268" i="20" s="1"/>
  <c r="B268" i="20" s="1"/>
  <c r="S221" i="20"/>
  <c r="R221" i="20" s="1"/>
  <c r="P221" i="20" s="1"/>
  <c r="V221" i="20" s="1"/>
  <c r="B221" i="20" s="1"/>
  <c r="S38" i="20"/>
  <c r="R38" i="20" s="1"/>
  <c r="P38" i="20" s="1"/>
  <c r="V38" i="20" s="1"/>
  <c r="B38" i="20" s="1"/>
  <c r="S129" i="20"/>
  <c r="R129" i="20" s="1"/>
  <c r="P129" i="20" s="1"/>
  <c r="V129" i="20" s="1"/>
  <c r="B129" i="20" s="1"/>
  <c r="S279" i="20"/>
  <c r="R279" i="20" s="1"/>
  <c r="P279" i="20" s="1"/>
  <c r="V279" i="20" s="1"/>
  <c r="B279" i="20" s="1"/>
  <c r="S256" i="20"/>
  <c r="R256" i="20" s="1"/>
  <c r="P256" i="20" s="1"/>
  <c r="V256" i="20" s="1"/>
  <c r="B256" i="20" s="1"/>
  <c r="S219" i="20"/>
  <c r="R219" i="20" s="1"/>
  <c r="P219" i="20" s="1"/>
  <c r="V219" i="20" s="1"/>
  <c r="B219" i="20" s="1"/>
  <c r="S165" i="20"/>
  <c r="R165" i="20" s="1"/>
  <c r="P165" i="20" s="1"/>
  <c r="V165" i="20" s="1"/>
  <c r="B165" i="20" s="1"/>
  <c r="S71" i="20"/>
  <c r="R71" i="20" s="1"/>
  <c r="P71" i="20" s="1"/>
  <c r="V71" i="20" s="1"/>
  <c r="B71" i="20" s="1"/>
  <c r="S238" i="20"/>
  <c r="R238" i="20" s="1"/>
  <c r="P238" i="20" s="1"/>
  <c r="V238" i="20" s="1"/>
  <c r="B238" i="20" s="1"/>
  <c r="S273" i="20"/>
  <c r="R273" i="20" s="1"/>
  <c r="P273" i="20" s="1"/>
  <c r="V273" i="20" s="1"/>
  <c r="B273" i="20" s="1"/>
  <c r="S125" i="20"/>
  <c r="R125" i="20" s="1"/>
  <c r="P125" i="20" s="1"/>
  <c r="V125" i="20" s="1"/>
  <c r="B125" i="20" s="1"/>
  <c r="T15" i="20"/>
  <c r="S188" i="20"/>
  <c r="R188" i="20" s="1"/>
  <c r="P188" i="20" s="1"/>
  <c r="V188" i="20" s="1"/>
  <c r="B188" i="20" s="1"/>
  <c r="S227" i="20"/>
  <c r="R227" i="20" s="1"/>
  <c r="P227" i="20" s="1"/>
  <c r="V227" i="20" s="1"/>
  <c r="B227" i="20" s="1"/>
  <c r="S19" i="20"/>
  <c r="R19" i="20" s="1"/>
  <c r="P19" i="20" s="1"/>
  <c r="V19" i="20" s="1"/>
  <c r="S308" i="20"/>
  <c r="R308" i="20" s="1"/>
  <c r="P308" i="20" s="1"/>
  <c r="V308" i="20" s="1"/>
  <c r="B308" i="20" s="1"/>
  <c r="S41" i="20"/>
  <c r="R41" i="20" s="1"/>
  <c r="P41" i="20" s="1"/>
  <c r="V41" i="20" s="1"/>
  <c r="B41" i="20" s="1"/>
  <c r="S154" i="20"/>
  <c r="R154" i="20" s="1"/>
  <c r="P154" i="20" s="1"/>
  <c r="V154" i="20" s="1"/>
  <c r="B154" i="20" s="1"/>
  <c r="S259" i="20"/>
  <c r="R259" i="20" s="1"/>
  <c r="P259" i="20" s="1"/>
  <c r="V259" i="20" s="1"/>
  <c r="B259" i="20" s="1"/>
  <c r="S340" i="20"/>
  <c r="R340" i="20" s="1"/>
  <c r="P340" i="20" s="1"/>
  <c r="V340" i="20" s="1"/>
  <c r="B340" i="20" s="1"/>
  <c r="S314" i="20"/>
  <c r="R314" i="20" s="1"/>
  <c r="P314" i="20" s="1"/>
  <c r="V314" i="20" s="1"/>
  <c r="B314" i="20" s="1"/>
  <c r="S232" i="20"/>
  <c r="R232" i="20" s="1"/>
  <c r="P232" i="20" s="1"/>
  <c r="V232" i="20" s="1"/>
  <c r="B232" i="20" s="1"/>
  <c r="S254" i="20"/>
  <c r="R254" i="20" s="1"/>
  <c r="P254" i="20" s="1"/>
  <c r="V254" i="20" s="1"/>
  <c r="B254" i="20" s="1"/>
  <c r="S305" i="20"/>
  <c r="R305" i="20" s="1"/>
  <c r="P305" i="20" s="1"/>
  <c r="V305" i="20" s="1"/>
  <c r="B305" i="20" s="1"/>
  <c r="S198" i="20"/>
  <c r="R198" i="20" s="1"/>
  <c r="P198" i="20" s="1"/>
  <c r="V198" i="20" s="1"/>
  <c r="B198" i="20" s="1"/>
  <c r="S199" i="20"/>
  <c r="R199" i="20" s="1"/>
  <c r="P199" i="20" s="1"/>
  <c r="V199" i="20" s="1"/>
  <c r="B199" i="20" s="1"/>
  <c r="S36" i="20"/>
  <c r="R36" i="20" s="1"/>
  <c r="P36" i="20" s="1"/>
  <c r="V36" i="20" s="1"/>
  <c r="B36" i="20" s="1"/>
  <c r="S302" i="20"/>
  <c r="R302" i="20" s="1"/>
  <c r="P302" i="20" s="1"/>
  <c r="S77" i="20"/>
  <c r="R77" i="20" s="1"/>
  <c r="P77" i="20" s="1"/>
  <c r="V77" i="20" s="1"/>
  <c r="B77" i="20" s="1"/>
  <c r="S98" i="20"/>
  <c r="R98" i="20" s="1"/>
  <c r="P98" i="20" s="1"/>
  <c r="V98" i="20" s="1"/>
  <c r="B98" i="20" s="1"/>
  <c r="S31" i="20"/>
  <c r="R31" i="20" s="1"/>
  <c r="P31" i="20" s="1"/>
  <c r="V31" i="20" s="1"/>
  <c r="S361" i="20"/>
  <c r="R361" i="20" s="1"/>
  <c r="P361" i="20" s="1"/>
  <c r="V361" i="20" s="1"/>
  <c r="B361" i="20" s="1"/>
  <c r="S266" i="20"/>
  <c r="R266" i="20" s="1"/>
  <c r="P266" i="20" s="1"/>
  <c r="V266" i="20" s="1"/>
  <c r="B266" i="20" s="1"/>
  <c r="S217" i="20"/>
  <c r="R217" i="20" s="1"/>
  <c r="P217" i="20" s="1"/>
  <c r="V217" i="20" s="1"/>
  <c r="B217" i="20" s="1"/>
  <c r="S255" i="20"/>
  <c r="R255" i="20" s="1"/>
  <c r="P255" i="20" s="1"/>
  <c r="V255" i="20" s="1"/>
  <c r="B255" i="20" s="1"/>
  <c r="S346" i="20"/>
  <c r="R346" i="20" s="1"/>
  <c r="P346" i="20" s="1"/>
  <c r="V346" i="20" s="1"/>
  <c r="B346" i="20" s="1"/>
  <c r="S211" i="20"/>
  <c r="R211" i="20" s="1"/>
  <c r="P211" i="20" s="1"/>
  <c r="V211" i="20" s="1"/>
  <c r="B211" i="20" s="1"/>
  <c r="S61" i="20"/>
  <c r="R61" i="20" s="1"/>
  <c r="P61" i="20" s="1"/>
  <c r="V61" i="20" s="1"/>
  <c r="B61" i="20" s="1"/>
  <c r="S309" i="20"/>
  <c r="R309" i="20" s="1"/>
  <c r="P309" i="20" s="1"/>
  <c r="V309" i="20" s="1"/>
  <c r="B309" i="20" s="1"/>
  <c r="S360" i="20"/>
  <c r="R360" i="20" s="1"/>
  <c r="P360" i="20" s="1"/>
  <c r="V360" i="20" s="1"/>
  <c r="B360" i="20" s="1"/>
  <c r="S60" i="20"/>
  <c r="R60" i="20" s="1"/>
  <c r="P60" i="20" s="1"/>
  <c r="S157" i="20"/>
  <c r="R157" i="20" s="1"/>
  <c r="P157" i="20" s="1"/>
  <c r="V157" i="20" s="1"/>
  <c r="B157" i="20" s="1"/>
  <c r="S179" i="20"/>
  <c r="R179" i="20" s="1"/>
  <c r="P179" i="20" s="1"/>
  <c r="V179" i="20" s="1"/>
  <c r="B179" i="20" s="1"/>
  <c r="S262" i="20"/>
  <c r="R262" i="20" s="1"/>
  <c r="P262" i="20" s="1"/>
  <c r="V262" i="20" s="1"/>
  <c r="B262" i="20" s="1"/>
  <c r="S58" i="20"/>
  <c r="R58" i="20" s="1"/>
  <c r="P58" i="20" s="1"/>
  <c r="V58" i="20" s="1"/>
  <c r="B58" i="20" s="1"/>
  <c r="S341" i="20"/>
  <c r="R341" i="20" s="1"/>
  <c r="P341" i="20" s="1"/>
  <c r="V341" i="20" s="1"/>
  <c r="B341" i="20" s="1"/>
  <c r="S161" i="20"/>
  <c r="R161" i="20" s="1"/>
  <c r="P161" i="20" s="1"/>
  <c r="V161" i="20" s="1"/>
  <c r="B161" i="20" s="1"/>
  <c r="S151" i="20"/>
  <c r="R151" i="20" s="1"/>
  <c r="P151" i="20" s="1"/>
  <c r="V151" i="20" s="1"/>
  <c r="B151" i="20" s="1"/>
  <c r="S374" i="20"/>
  <c r="R374" i="20" s="1"/>
  <c r="P374" i="20" s="1"/>
  <c r="V374" i="20" s="1"/>
  <c r="B374" i="20" s="1"/>
  <c r="S260" i="20"/>
  <c r="R260" i="20" s="1"/>
  <c r="P260" i="20" s="1"/>
  <c r="V260" i="20" s="1"/>
  <c r="B260" i="20" s="1"/>
  <c r="S138" i="20"/>
  <c r="R138" i="20" s="1"/>
  <c r="P138" i="20" s="1"/>
  <c r="V138" i="20" s="1"/>
  <c r="B138" i="20" s="1"/>
  <c r="S56" i="20"/>
  <c r="R56" i="20" s="1"/>
  <c r="P56" i="20" s="1"/>
  <c r="V56" i="20" s="1"/>
  <c r="B56" i="20" s="1"/>
  <c r="S117" i="20"/>
  <c r="R117" i="20" s="1"/>
  <c r="P117" i="20" s="1"/>
  <c r="V117" i="20" s="1"/>
  <c r="B117" i="20" s="1"/>
  <c r="S203" i="20"/>
  <c r="R203" i="20" s="1"/>
  <c r="P203" i="20" s="1"/>
  <c r="V203" i="20" s="1"/>
  <c r="B203" i="20" s="1"/>
  <c r="S350" i="20"/>
  <c r="R350" i="20" s="1"/>
  <c r="P350" i="20" s="1"/>
  <c r="V350" i="20" s="1"/>
  <c r="B350" i="20" s="1"/>
  <c r="S167" i="20"/>
  <c r="R167" i="20" s="1"/>
  <c r="P167" i="20" s="1"/>
  <c r="V167" i="20" s="1"/>
  <c r="B167" i="20" s="1"/>
  <c r="S209" i="20"/>
  <c r="R209" i="20" s="1"/>
  <c r="P209" i="20" s="1"/>
  <c r="V209" i="20" s="1"/>
  <c r="B209" i="20" s="1"/>
  <c r="S286" i="20"/>
  <c r="R286" i="20" s="1"/>
  <c r="P286" i="20" s="1"/>
  <c r="V286" i="20" s="1"/>
  <c r="B286" i="20" s="1"/>
  <c r="S39" i="20"/>
  <c r="R39" i="20" s="1"/>
  <c r="P39" i="20" s="1"/>
  <c r="V39" i="20" s="1"/>
  <c r="B39" i="20" s="1"/>
  <c r="S369" i="20"/>
  <c r="R369" i="20" s="1"/>
  <c r="P369" i="20" s="1"/>
  <c r="V369" i="20" s="1"/>
  <c r="B369" i="20" s="1"/>
  <c r="S158" i="20"/>
  <c r="R158" i="20" s="1"/>
  <c r="P158" i="20" s="1"/>
  <c r="V158" i="20" s="1"/>
  <c r="B158" i="20" s="1"/>
  <c r="S264" i="20"/>
  <c r="R264" i="20" s="1"/>
  <c r="P264" i="20" s="1"/>
  <c r="V264" i="20" s="1"/>
  <c r="B264" i="20" s="1"/>
  <c r="S348" i="20"/>
  <c r="R348" i="20" s="1"/>
  <c r="P348" i="20" s="1"/>
  <c r="V348" i="20" s="1"/>
  <c r="B348" i="20" s="1"/>
  <c r="S178" i="20"/>
  <c r="R178" i="20" s="1"/>
  <c r="P178" i="20" s="1"/>
  <c r="V178" i="20" s="1"/>
  <c r="B178" i="20" s="1"/>
  <c r="S105" i="20"/>
  <c r="R105" i="20" s="1"/>
  <c r="P105" i="20" s="1"/>
  <c r="V105" i="20" s="1"/>
  <c r="B105" i="20" s="1"/>
  <c r="S303" i="20"/>
  <c r="R303" i="20" s="1"/>
  <c r="P303" i="20" s="1"/>
  <c r="V303" i="20" s="1"/>
  <c r="B303" i="20" s="1"/>
  <c r="S59" i="20"/>
  <c r="R59" i="20" s="1"/>
  <c r="P59" i="20" s="1"/>
  <c r="V59" i="20" s="1"/>
  <c r="B59" i="20" s="1"/>
  <c r="S192" i="20"/>
  <c r="R192" i="20" s="1"/>
  <c r="P192" i="20" s="1"/>
  <c r="V192" i="20" s="1"/>
  <c r="B192" i="20" s="1"/>
  <c r="S143" i="20"/>
  <c r="R143" i="20" s="1"/>
  <c r="P143" i="20" s="1"/>
  <c r="V143" i="20" s="1"/>
  <c r="B143" i="20" s="1"/>
  <c r="S345" i="20"/>
  <c r="R345" i="20" s="1"/>
  <c r="P345" i="20" s="1"/>
  <c r="V345" i="20" s="1"/>
  <c r="B345" i="20" s="1"/>
  <c r="S290" i="20"/>
  <c r="R290" i="20" s="1"/>
  <c r="P290" i="20" s="1"/>
  <c r="V290" i="20" s="1"/>
  <c r="B290" i="20" s="1"/>
  <c r="S351" i="20"/>
  <c r="R351" i="20" s="1"/>
  <c r="P351" i="20" s="1"/>
  <c r="V351" i="20" s="1"/>
  <c r="B351" i="20" s="1"/>
  <c r="S80" i="20"/>
  <c r="R80" i="20" s="1"/>
  <c r="P80" i="20" s="1"/>
  <c r="V80" i="20" s="1"/>
  <c r="B80" i="20" s="1"/>
  <c r="S75" i="20"/>
  <c r="R75" i="20" s="1"/>
  <c r="P75" i="20" s="1"/>
  <c r="V75" i="20" s="1"/>
  <c r="B75" i="20" s="1"/>
  <c r="S280" i="20"/>
  <c r="R280" i="20" s="1"/>
  <c r="P280" i="20" s="1"/>
  <c r="V280" i="20" s="1"/>
  <c r="B280" i="20" s="1"/>
  <c r="S110" i="20"/>
  <c r="R110" i="20" s="1"/>
  <c r="P110" i="20" s="1"/>
  <c r="V110" i="20" s="1"/>
  <c r="B110" i="20" s="1"/>
  <c r="S140" i="20"/>
  <c r="R140" i="20" s="1"/>
  <c r="P140" i="20" s="1"/>
  <c r="V140" i="20" s="1"/>
  <c r="B140" i="20" s="1"/>
  <c r="S34" i="20"/>
  <c r="R34" i="20" s="1"/>
  <c r="P34" i="20" s="1"/>
  <c r="V34" i="20" s="1"/>
  <c r="S64" i="20"/>
  <c r="R64" i="20" s="1"/>
  <c r="P64" i="20" s="1"/>
  <c r="V64" i="20" s="1"/>
  <c r="B64" i="20" s="1"/>
  <c r="S156" i="20"/>
  <c r="R156" i="20" s="1"/>
  <c r="P156" i="20" s="1"/>
  <c r="V156" i="20" s="1"/>
  <c r="B156" i="20" s="1"/>
  <c r="S163" i="20"/>
  <c r="R163" i="20" s="1"/>
  <c r="P163" i="20" s="1"/>
  <c r="V163" i="20" s="1"/>
  <c r="B163" i="20" s="1"/>
  <c r="S349" i="20"/>
  <c r="R349" i="20" s="1"/>
  <c r="P349" i="20" s="1"/>
  <c r="V349" i="20" s="1"/>
  <c r="B349" i="20" s="1"/>
  <c r="S276" i="20"/>
  <c r="R276" i="20" s="1"/>
  <c r="P276" i="20" s="1"/>
  <c r="V276" i="20" s="1"/>
  <c r="B276" i="20" s="1"/>
  <c r="S339" i="20"/>
  <c r="R339" i="20" s="1"/>
  <c r="P339" i="20" s="1"/>
  <c r="V339" i="20" s="1"/>
  <c r="B339" i="20" s="1"/>
  <c r="S122" i="20"/>
  <c r="R122" i="20" s="1"/>
  <c r="P122" i="20" s="1"/>
  <c r="V122" i="20" s="1"/>
  <c r="B122" i="20" s="1"/>
  <c r="S175" i="20"/>
  <c r="R175" i="20" s="1"/>
  <c r="P175" i="20" s="1"/>
  <c r="V175" i="20" s="1"/>
  <c r="B175" i="20" s="1"/>
  <c r="S40" i="20"/>
  <c r="R40" i="20" s="1"/>
  <c r="P40" i="20" s="1"/>
  <c r="V40" i="20" s="1"/>
  <c r="B40" i="20" s="1"/>
  <c r="S338" i="20"/>
  <c r="R338" i="20" s="1"/>
  <c r="P338" i="20" s="1"/>
  <c r="V338" i="20" s="1"/>
  <c r="B338" i="20" s="1"/>
  <c r="S213" i="20"/>
  <c r="R213" i="20" s="1"/>
  <c r="P213" i="20" s="1"/>
  <c r="V213" i="20" s="1"/>
  <c r="B213" i="20" s="1"/>
  <c r="S272" i="20"/>
  <c r="R272" i="20" s="1"/>
  <c r="P272" i="20" s="1"/>
  <c r="S299" i="20"/>
  <c r="R299" i="20" s="1"/>
  <c r="P299" i="20" s="1"/>
  <c r="V299" i="20" s="1"/>
  <c r="B299" i="20" s="1"/>
  <c r="S135" i="20"/>
  <c r="R135" i="20" s="1"/>
  <c r="P135" i="20" s="1"/>
  <c r="V135" i="20" s="1"/>
  <c r="B135" i="20" s="1"/>
  <c r="S270" i="20"/>
  <c r="R270" i="20" s="1"/>
  <c r="P270" i="20" s="1"/>
  <c r="V270" i="20" s="1"/>
  <c r="B270" i="20" s="1"/>
  <c r="S363" i="20"/>
  <c r="R363" i="20" s="1"/>
  <c r="P363" i="20" s="1"/>
  <c r="S277" i="20"/>
  <c r="R277" i="20" s="1"/>
  <c r="P277" i="20" s="1"/>
  <c r="V277" i="20" s="1"/>
  <c r="B277" i="20" s="1"/>
  <c r="S72" i="20"/>
  <c r="R72" i="20" s="1"/>
  <c r="P72" i="20" s="1"/>
  <c r="V72" i="20" s="1"/>
  <c r="B72" i="20" s="1"/>
  <c r="S101" i="20"/>
  <c r="R101" i="20" s="1"/>
  <c r="P101" i="20" s="1"/>
  <c r="V101" i="20" s="1"/>
  <c r="B101" i="20" s="1"/>
  <c r="S112" i="20"/>
  <c r="R112" i="20" s="1"/>
  <c r="P112" i="20" s="1"/>
  <c r="V112" i="20" s="1"/>
  <c r="B112" i="20" s="1"/>
  <c r="S315" i="20"/>
  <c r="R315" i="20" s="1"/>
  <c r="P315" i="20" s="1"/>
  <c r="V315" i="20" s="1"/>
  <c r="B315" i="20" s="1"/>
  <c r="S37" i="20"/>
  <c r="R37" i="20" s="1"/>
  <c r="P37" i="20" s="1"/>
  <c r="V37" i="20" s="1"/>
  <c r="B37" i="20" s="1"/>
  <c r="S91" i="20"/>
  <c r="R91" i="20" s="1"/>
  <c r="P91" i="20" s="1"/>
  <c r="V91" i="20" s="1"/>
  <c r="B91" i="20" s="1"/>
  <c r="S208" i="20"/>
  <c r="R208" i="20" s="1"/>
  <c r="P208" i="20" s="1"/>
  <c r="V208" i="20" s="1"/>
  <c r="B208" i="20" s="1"/>
  <c r="S327" i="20"/>
  <c r="R327" i="20" s="1"/>
  <c r="P327" i="20" s="1"/>
  <c r="V327" i="20" s="1"/>
  <c r="B327" i="20" s="1"/>
  <c r="S47" i="20"/>
  <c r="R47" i="20" s="1"/>
  <c r="P47" i="20" s="1"/>
  <c r="V47" i="20" s="1"/>
  <c r="B47" i="20" s="1"/>
  <c r="S304" i="20"/>
  <c r="R304" i="20" s="1"/>
  <c r="P304" i="20" s="1"/>
  <c r="V304" i="20" s="1"/>
  <c r="B304" i="20" s="1"/>
  <c r="S63" i="20"/>
  <c r="R63" i="20" s="1"/>
  <c r="P63" i="20" s="1"/>
  <c r="V63" i="20" s="1"/>
  <c r="B63" i="20" s="1"/>
  <c r="S250" i="20"/>
  <c r="R250" i="20" s="1"/>
  <c r="P250" i="20" s="1"/>
  <c r="V250" i="20" s="1"/>
  <c r="B250" i="20" s="1"/>
  <c r="S177" i="20"/>
  <c r="R177" i="20" s="1"/>
  <c r="P177" i="20" s="1"/>
  <c r="V177" i="20" s="1"/>
  <c r="B177" i="20" s="1"/>
  <c r="S29" i="20"/>
  <c r="R29" i="20" s="1"/>
  <c r="P29" i="20" s="1"/>
  <c r="S51" i="20"/>
  <c r="R51" i="20" s="1"/>
  <c r="P51" i="20" s="1"/>
  <c r="V51" i="20" s="1"/>
  <c r="B51" i="20" s="1"/>
  <c r="S21" i="20"/>
  <c r="R21" i="20" s="1"/>
  <c r="P21" i="20" s="1"/>
  <c r="V21" i="20" s="1"/>
  <c r="S249" i="20"/>
  <c r="R249" i="20" s="1"/>
  <c r="P249" i="20" s="1"/>
  <c r="V249" i="20" s="1"/>
  <c r="B249" i="20" s="1"/>
  <c r="S362" i="20"/>
  <c r="R362" i="20" s="1"/>
  <c r="P362" i="20" s="1"/>
  <c r="V362" i="20" s="1"/>
  <c r="B362" i="20" s="1"/>
  <c r="S121" i="20"/>
  <c r="R121" i="20" s="1"/>
  <c r="P121" i="20" s="1"/>
  <c r="V121" i="20" s="1"/>
  <c r="B121" i="20" s="1"/>
  <c r="S234" i="20"/>
  <c r="R234" i="20" s="1"/>
  <c r="P234" i="20" s="1"/>
  <c r="V234" i="20" s="1"/>
  <c r="B234" i="20" s="1"/>
  <c r="S356" i="20"/>
  <c r="R356" i="20" s="1"/>
  <c r="P356" i="20" s="1"/>
  <c r="V356" i="20" s="1"/>
  <c r="B356" i="20" s="1"/>
  <c r="S195" i="20"/>
  <c r="R195" i="20" s="1"/>
  <c r="P195" i="20" s="1"/>
  <c r="V195" i="20" s="1"/>
  <c r="B195" i="20" s="1"/>
  <c r="AF381" i="18"/>
  <c r="AF383" i="18"/>
  <c r="AD15" i="18"/>
  <c r="AF382" i="18"/>
  <c r="AG382" i="18"/>
  <c r="P204" i="20"/>
  <c r="V204" i="20" s="1"/>
  <c r="P83" i="20"/>
  <c r="V83" i="20" s="1"/>
  <c r="B83" i="20" s="1"/>
  <c r="AD83" i="20"/>
  <c r="AD52" i="20"/>
  <c r="AD96" i="20"/>
  <c r="P28" i="20"/>
  <c r="V28" i="20" s="1"/>
  <c r="AD22" i="20"/>
  <c r="AD92" i="20"/>
  <c r="AD82" i="20"/>
  <c r="AD88" i="20"/>
  <c r="AD85" i="20"/>
  <c r="AA148" i="18"/>
  <c r="Z148" i="18" s="1"/>
  <c r="Y148" i="18" s="1"/>
  <c r="G148" i="18"/>
  <c r="CA148" i="6" s="1"/>
  <c r="H148" i="18"/>
  <c r="J111" i="18"/>
  <c r="I111" i="18"/>
  <c r="AA217" i="18"/>
  <c r="Z217" i="18" s="1"/>
  <c r="Y217" i="18" s="1"/>
  <c r="G217" i="18"/>
  <c r="CA217" i="6" s="1"/>
  <c r="H217" i="18"/>
  <c r="J239" i="18"/>
  <c r="I239" i="18"/>
  <c r="H54" i="18"/>
  <c r="AA54" i="18"/>
  <c r="Z54" i="18" s="1"/>
  <c r="Y54" i="18" s="1"/>
  <c r="G54" i="18"/>
  <c r="CA54" i="6" s="1"/>
  <c r="AA287" i="18"/>
  <c r="Z287" i="18" s="1"/>
  <c r="Y287" i="18" s="1"/>
  <c r="H287" i="18"/>
  <c r="G287" i="18"/>
  <c r="CA287" i="6" s="1"/>
  <c r="H200" i="18"/>
  <c r="AA200" i="18"/>
  <c r="Z200" i="18" s="1"/>
  <c r="Y200" i="18" s="1"/>
  <c r="G200" i="18"/>
  <c r="CA200" i="6" s="1"/>
  <c r="H56" i="18"/>
  <c r="AA56" i="18"/>
  <c r="Z56" i="18" s="1"/>
  <c r="Y56" i="18" s="1"/>
  <c r="G56" i="18"/>
  <c r="CA56" i="6" s="1"/>
  <c r="AA281" i="18"/>
  <c r="Z281" i="18" s="1"/>
  <c r="Y281" i="18" s="1"/>
  <c r="G281" i="18"/>
  <c r="CA281" i="6" s="1"/>
  <c r="H281" i="18"/>
  <c r="AA230" i="18"/>
  <c r="Z230" i="18" s="1"/>
  <c r="Y230" i="18" s="1"/>
  <c r="H230" i="18"/>
  <c r="G230" i="18"/>
  <c r="CA230" i="6" s="1"/>
  <c r="H181" i="18"/>
  <c r="AA181" i="18"/>
  <c r="Z181" i="18" s="1"/>
  <c r="Y181" i="18" s="1"/>
  <c r="G181" i="18"/>
  <c r="CA181" i="6" s="1"/>
  <c r="H48" i="18"/>
  <c r="G48" i="18"/>
  <c r="CA48" i="6" s="1"/>
  <c r="AA48" i="18"/>
  <c r="Z48" i="18" s="1"/>
  <c r="Y48" i="18" s="1"/>
  <c r="AA330" i="18"/>
  <c r="Z330" i="18" s="1"/>
  <c r="Y330" i="18" s="1"/>
  <c r="G330" i="18"/>
  <c r="CA330" i="6" s="1"/>
  <c r="H330" i="18"/>
  <c r="G284" i="18"/>
  <c r="CA284" i="6" s="1"/>
  <c r="AA284" i="18"/>
  <c r="Z284" i="18" s="1"/>
  <c r="Y284" i="18" s="1"/>
  <c r="H284" i="18"/>
  <c r="J184" i="18"/>
  <c r="I184" i="18"/>
  <c r="C65" i="19"/>
  <c r="H65" i="19"/>
  <c r="G338" i="18"/>
  <c r="CA338" i="6" s="1"/>
  <c r="H338" i="18"/>
  <c r="AA338" i="18"/>
  <c r="Z338" i="18" s="1"/>
  <c r="Y338" i="18" s="1"/>
  <c r="D65" i="19"/>
  <c r="H231" i="18"/>
  <c r="G231" i="18"/>
  <c r="CA231" i="6" s="1"/>
  <c r="AA231" i="18"/>
  <c r="Z231" i="18" s="1"/>
  <c r="Y231" i="18" s="1"/>
  <c r="G114" i="18"/>
  <c r="CA114" i="6" s="1"/>
  <c r="H114" i="18"/>
  <c r="AA114" i="18"/>
  <c r="Z114" i="18" s="1"/>
  <c r="Y114" i="18" s="1"/>
  <c r="AA21" i="18"/>
  <c r="Z21" i="18" s="1"/>
  <c r="Y21" i="18" s="1"/>
  <c r="H21" i="18"/>
  <c r="G21" i="18"/>
  <c r="CA21" i="6" s="1"/>
  <c r="H137" i="18"/>
  <c r="G137" i="18"/>
  <c r="CA137" i="6" s="1"/>
  <c r="AA137" i="18"/>
  <c r="Z137" i="18" s="1"/>
  <c r="Y137" i="18" s="1"/>
  <c r="G325" i="18"/>
  <c r="CA325" i="6" s="1"/>
  <c r="AA325" i="18"/>
  <c r="Z325" i="18" s="1"/>
  <c r="Y325" i="18" s="1"/>
  <c r="H325" i="18"/>
  <c r="G279" i="18"/>
  <c r="CA279" i="6" s="1"/>
  <c r="AA279" i="18"/>
  <c r="Z279" i="18" s="1"/>
  <c r="Y279" i="18" s="1"/>
  <c r="H279" i="18"/>
  <c r="G104" i="18"/>
  <c r="CA104" i="6" s="1"/>
  <c r="H104" i="18"/>
  <c r="AA104" i="18"/>
  <c r="Z104" i="18" s="1"/>
  <c r="Y104" i="18" s="1"/>
  <c r="G369" i="18"/>
  <c r="CA369" i="6" s="1"/>
  <c r="H369" i="18"/>
  <c r="AA369" i="18"/>
  <c r="Z369" i="18" s="1"/>
  <c r="Y369" i="18" s="1"/>
  <c r="AA229" i="18"/>
  <c r="Z229" i="18" s="1"/>
  <c r="Y229" i="18" s="1"/>
  <c r="H229" i="18"/>
  <c r="G229" i="18"/>
  <c r="CA229" i="6" s="1"/>
  <c r="G244" i="18"/>
  <c r="CA244" i="6" s="1"/>
  <c r="AA244" i="18"/>
  <c r="Z244" i="18" s="1"/>
  <c r="Y244" i="18" s="1"/>
  <c r="H244" i="18"/>
  <c r="H278" i="18"/>
  <c r="AA278" i="18"/>
  <c r="Z278" i="18" s="1"/>
  <c r="Y278" i="18" s="1"/>
  <c r="G278" i="18"/>
  <c r="CA278" i="6" s="1"/>
  <c r="AA51" i="18"/>
  <c r="Z51" i="18" s="1"/>
  <c r="Y51" i="18" s="1"/>
  <c r="H51" i="18"/>
  <c r="G51" i="18"/>
  <c r="CA51" i="6" s="1"/>
  <c r="AA158" i="18"/>
  <c r="Z158" i="18" s="1"/>
  <c r="Y158" i="18" s="1"/>
  <c r="H158" i="18"/>
  <c r="G158" i="18"/>
  <c r="CA158" i="6" s="1"/>
  <c r="H195" i="18"/>
  <c r="AA195" i="18"/>
  <c r="Z195" i="18" s="1"/>
  <c r="Y195" i="18" s="1"/>
  <c r="G195" i="18"/>
  <c r="CA195" i="6" s="1"/>
  <c r="G199" i="18"/>
  <c r="CA199" i="6" s="1"/>
  <c r="AA199" i="18"/>
  <c r="Z199" i="18" s="1"/>
  <c r="Y199" i="18" s="1"/>
  <c r="H199" i="18"/>
  <c r="G90" i="18"/>
  <c r="CA90" i="6" s="1"/>
  <c r="AA90" i="18"/>
  <c r="Z90" i="18" s="1"/>
  <c r="Y90" i="18" s="1"/>
  <c r="H90" i="18"/>
  <c r="G237" i="18"/>
  <c r="CA237" i="6" s="1"/>
  <c r="AA237" i="18"/>
  <c r="Z237" i="18" s="1"/>
  <c r="Y237" i="18" s="1"/>
  <c r="H237" i="18"/>
  <c r="AA340" i="18"/>
  <c r="Z340" i="18" s="1"/>
  <c r="Y340" i="18" s="1"/>
  <c r="G340" i="18"/>
  <c r="CA340" i="6" s="1"/>
  <c r="H340" i="18"/>
  <c r="AA110" i="18"/>
  <c r="Z110" i="18" s="1"/>
  <c r="Y110" i="18" s="1"/>
  <c r="H110" i="18"/>
  <c r="G110" i="18"/>
  <c r="CA110" i="6" s="1"/>
  <c r="J170" i="18"/>
  <c r="I170" i="18"/>
  <c r="I130" i="18"/>
  <c r="J130" i="18"/>
  <c r="G209" i="18"/>
  <c r="CA209" i="6" s="1"/>
  <c r="AA209" i="18"/>
  <c r="Z209" i="18" s="1"/>
  <c r="Y209" i="18" s="1"/>
  <c r="H209" i="18"/>
  <c r="G176" i="18"/>
  <c r="CA176" i="6" s="1"/>
  <c r="AA176" i="18"/>
  <c r="Z176" i="18" s="1"/>
  <c r="Y176" i="18" s="1"/>
  <c r="H176" i="18"/>
  <c r="AA188" i="18"/>
  <c r="Z188" i="18" s="1"/>
  <c r="Y188" i="18" s="1"/>
  <c r="H188" i="18"/>
  <c r="G188" i="18"/>
  <c r="CA188" i="6" s="1"/>
  <c r="I128" i="18"/>
  <c r="J128" i="18"/>
  <c r="G321" i="18"/>
  <c r="CA321" i="6" s="1"/>
  <c r="H321" i="18"/>
  <c r="AA321" i="18"/>
  <c r="Z321" i="18" s="1"/>
  <c r="Y321" i="18" s="1"/>
  <c r="H374" i="18"/>
  <c r="AA374" i="18"/>
  <c r="Z374" i="18" s="1"/>
  <c r="Y374" i="18" s="1"/>
  <c r="G374" i="18"/>
  <c r="CA374" i="6" s="1"/>
  <c r="G228" i="18"/>
  <c r="CA228" i="6" s="1"/>
  <c r="H228" i="18"/>
  <c r="AA228" i="18"/>
  <c r="Z228" i="18" s="1"/>
  <c r="Y228" i="18" s="1"/>
  <c r="H205" i="18"/>
  <c r="G205" i="18"/>
  <c r="CA205" i="6" s="1"/>
  <c r="AA205" i="18"/>
  <c r="Z205" i="18" s="1"/>
  <c r="Y205" i="18" s="1"/>
  <c r="H251" i="18"/>
  <c r="G251" i="18"/>
  <c r="CA251" i="6" s="1"/>
  <c r="AA251" i="18"/>
  <c r="Z251" i="18" s="1"/>
  <c r="Y251" i="18" s="1"/>
  <c r="G304" i="18"/>
  <c r="CA304" i="6" s="1"/>
  <c r="AA304" i="18"/>
  <c r="Z304" i="18" s="1"/>
  <c r="Y304" i="18" s="1"/>
  <c r="H304" i="18"/>
  <c r="G32" i="18"/>
  <c r="CA32" i="6" s="1"/>
  <c r="H32" i="18"/>
  <c r="AA32" i="18"/>
  <c r="Z32" i="18" s="1"/>
  <c r="Y32" i="18" s="1"/>
  <c r="G183" i="18"/>
  <c r="CA183" i="6" s="1"/>
  <c r="H183" i="18"/>
  <c r="AA183" i="18"/>
  <c r="Z183" i="18" s="1"/>
  <c r="Y183" i="18" s="1"/>
  <c r="G367" i="18"/>
  <c r="CA367" i="6" s="1"/>
  <c r="AA367" i="18"/>
  <c r="Z367" i="18" s="1"/>
  <c r="Y367" i="18" s="1"/>
  <c r="H367" i="18"/>
  <c r="H141" i="18"/>
  <c r="G141" i="18"/>
  <c r="CA141" i="6" s="1"/>
  <c r="AA141" i="18"/>
  <c r="Z141" i="18" s="1"/>
  <c r="Y141" i="18" s="1"/>
  <c r="H28" i="18"/>
  <c r="G28" i="18"/>
  <c r="CA28" i="6" s="1"/>
  <c r="AA28" i="18"/>
  <c r="Z28" i="18" s="1"/>
  <c r="Y28" i="18" s="1"/>
  <c r="D363" i="18"/>
  <c r="E363" i="18" s="1"/>
  <c r="F363" i="18" s="1"/>
  <c r="AA213" i="18"/>
  <c r="Z213" i="18" s="1"/>
  <c r="Y213" i="18" s="1"/>
  <c r="H213" i="18"/>
  <c r="G213" i="18"/>
  <c r="CA213" i="6" s="1"/>
  <c r="G329" i="18"/>
  <c r="CA329" i="6" s="1"/>
  <c r="H329" i="18"/>
  <c r="AA329" i="18"/>
  <c r="Z329" i="18" s="1"/>
  <c r="Y329" i="18" s="1"/>
  <c r="H103" i="18"/>
  <c r="AA103" i="18"/>
  <c r="Z103" i="18" s="1"/>
  <c r="Y103" i="18" s="1"/>
  <c r="G103" i="18"/>
  <c r="CA103" i="6" s="1"/>
  <c r="H253" i="18"/>
  <c r="AA253" i="18"/>
  <c r="Z253" i="18" s="1"/>
  <c r="Y253" i="18" s="1"/>
  <c r="G253" i="18"/>
  <c r="CA253" i="6" s="1"/>
  <c r="H202" i="18"/>
  <c r="AA202" i="18"/>
  <c r="Z202" i="18" s="1"/>
  <c r="Y202" i="18" s="1"/>
  <c r="G202" i="18"/>
  <c r="CA202" i="6" s="1"/>
  <c r="H154" i="18"/>
  <c r="G154" i="18"/>
  <c r="CA154" i="6" s="1"/>
  <c r="AA154" i="18"/>
  <c r="Z154" i="18" s="1"/>
  <c r="Y154" i="18" s="1"/>
  <c r="AA358" i="18"/>
  <c r="Z358" i="18" s="1"/>
  <c r="Y358" i="18" s="1"/>
  <c r="G358" i="18"/>
  <c r="CA358" i="6" s="1"/>
  <c r="H358" i="18"/>
  <c r="G105" i="18"/>
  <c r="CA105" i="6" s="1"/>
  <c r="H105" i="18"/>
  <c r="AA105" i="18"/>
  <c r="Z105" i="18" s="1"/>
  <c r="Y105" i="18" s="1"/>
  <c r="AA372" i="18"/>
  <c r="Z372" i="18" s="1"/>
  <c r="Y372" i="18" s="1"/>
  <c r="G372" i="18"/>
  <c r="CA372" i="6" s="1"/>
  <c r="H372" i="18"/>
  <c r="G38" i="18"/>
  <c r="CA38" i="6" s="1"/>
  <c r="AA38" i="18"/>
  <c r="Z38" i="18" s="1"/>
  <c r="Y38" i="18" s="1"/>
  <c r="H38" i="18"/>
  <c r="AA225" i="18"/>
  <c r="Z225" i="18" s="1"/>
  <c r="Y225" i="18" s="1"/>
  <c r="G225" i="18"/>
  <c r="CA225" i="6" s="1"/>
  <c r="H225" i="18"/>
  <c r="G216" i="18"/>
  <c r="CA216" i="6" s="1"/>
  <c r="H216" i="18"/>
  <c r="AA216" i="18"/>
  <c r="Z216" i="18" s="1"/>
  <c r="Y216" i="18" s="1"/>
  <c r="H167" i="18"/>
  <c r="G167" i="18"/>
  <c r="CA167" i="6" s="1"/>
  <c r="AA167" i="18"/>
  <c r="Z167" i="18" s="1"/>
  <c r="Y167" i="18" s="1"/>
  <c r="G168" i="18"/>
  <c r="CA168" i="6" s="1"/>
  <c r="AA168" i="18"/>
  <c r="Z168" i="18" s="1"/>
  <c r="Y168" i="18" s="1"/>
  <c r="H168" i="18"/>
  <c r="H264" i="18"/>
  <c r="AA264" i="18"/>
  <c r="Z264" i="18" s="1"/>
  <c r="Y264" i="18" s="1"/>
  <c r="G264" i="18"/>
  <c r="CA264" i="6" s="1"/>
  <c r="J276" i="18"/>
  <c r="I276" i="18"/>
  <c r="AA301" i="18"/>
  <c r="Z301" i="18" s="1"/>
  <c r="Y301" i="18" s="1"/>
  <c r="G301" i="18"/>
  <c r="CA301" i="6" s="1"/>
  <c r="H301" i="18"/>
  <c r="G359" i="18"/>
  <c r="CA359" i="6" s="1"/>
  <c r="AA359" i="18"/>
  <c r="Z359" i="18" s="1"/>
  <c r="Y359" i="18" s="1"/>
  <c r="H359" i="18"/>
  <c r="H135" i="18"/>
  <c r="AA135" i="18"/>
  <c r="Z135" i="18" s="1"/>
  <c r="Y135" i="18" s="1"/>
  <c r="G135" i="18"/>
  <c r="CA135" i="6" s="1"/>
  <c r="H274" i="18"/>
  <c r="AA274" i="18"/>
  <c r="Z274" i="18" s="1"/>
  <c r="Y274" i="18" s="1"/>
  <c r="G274" i="18"/>
  <c r="CA274" i="6" s="1"/>
  <c r="I271" i="18"/>
  <c r="J271" i="18"/>
  <c r="AA370" i="18"/>
  <c r="Z370" i="18" s="1"/>
  <c r="Y370" i="18" s="1"/>
  <c r="G370" i="18"/>
  <c r="CA370" i="6" s="1"/>
  <c r="H370" i="18"/>
  <c r="H310" i="18"/>
  <c r="G310" i="18"/>
  <c r="CA310" i="6" s="1"/>
  <c r="AA310" i="18"/>
  <c r="Z310" i="18" s="1"/>
  <c r="Y310" i="18" s="1"/>
  <c r="H292" i="18"/>
  <c r="G292" i="18"/>
  <c r="CA292" i="6" s="1"/>
  <c r="AA292" i="18"/>
  <c r="Z292" i="18" s="1"/>
  <c r="Y292" i="18" s="1"/>
  <c r="G22" i="18"/>
  <c r="CA22" i="6" s="1"/>
  <c r="AA22" i="18"/>
  <c r="Z22" i="18" s="1"/>
  <c r="Y22" i="18" s="1"/>
  <c r="H22" i="18"/>
  <c r="AA106" i="18"/>
  <c r="Z106" i="18" s="1"/>
  <c r="Y106" i="18" s="1"/>
  <c r="G106" i="18"/>
  <c r="CA106" i="6" s="1"/>
  <c r="H106" i="18"/>
  <c r="G94" i="18"/>
  <c r="CA94" i="6" s="1"/>
  <c r="H94" i="18"/>
  <c r="AA94" i="18"/>
  <c r="Z94" i="18" s="1"/>
  <c r="Y94" i="18" s="1"/>
  <c r="AA236" i="18"/>
  <c r="Z236" i="18" s="1"/>
  <c r="Y236" i="18" s="1"/>
  <c r="H236" i="18"/>
  <c r="G236" i="18"/>
  <c r="CA236" i="6" s="1"/>
  <c r="G241" i="18"/>
  <c r="CA241" i="6" s="1"/>
  <c r="AA241" i="18"/>
  <c r="Z241" i="18" s="1"/>
  <c r="Y241" i="18" s="1"/>
  <c r="H241" i="18"/>
  <c r="B382" i="18"/>
  <c r="G343" i="18"/>
  <c r="CA343" i="6" s="1"/>
  <c r="H343" i="18"/>
  <c r="AA343" i="18"/>
  <c r="Z343" i="18" s="1"/>
  <c r="Y343" i="18" s="1"/>
  <c r="AA300" i="18"/>
  <c r="Z300" i="18" s="1"/>
  <c r="Y300" i="18" s="1"/>
  <c r="G300" i="18"/>
  <c r="CA300" i="6" s="1"/>
  <c r="H300" i="18"/>
  <c r="I260" i="18"/>
  <c r="J260" i="18"/>
  <c r="AA293" i="18"/>
  <c r="Z293" i="18" s="1"/>
  <c r="Y293" i="18" s="1"/>
  <c r="G293" i="18"/>
  <c r="CA293" i="6" s="1"/>
  <c r="H293" i="18"/>
  <c r="AA337" i="18"/>
  <c r="Z337" i="18" s="1"/>
  <c r="Y337" i="18" s="1"/>
  <c r="H337" i="18"/>
  <c r="G337" i="18"/>
  <c r="CA337" i="6" s="1"/>
  <c r="H347" i="18"/>
  <c r="G347" i="18"/>
  <c r="CA347" i="6" s="1"/>
  <c r="AA347" i="18"/>
  <c r="Z347" i="18" s="1"/>
  <c r="Y347" i="18" s="1"/>
  <c r="G355" i="18"/>
  <c r="CA355" i="6" s="1"/>
  <c r="H355" i="18"/>
  <c r="AA355" i="18"/>
  <c r="Z355" i="18" s="1"/>
  <c r="Y355" i="18" s="1"/>
  <c r="J256" i="18"/>
  <c r="I256" i="18"/>
  <c r="G324" i="18"/>
  <c r="CA324" i="6" s="1"/>
  <c r="AA324" i="18"/>
  <c r="Z324" i="18" s="1"/>
  <c r="Y324" i="18" s="1"/>
  <c r="H324" i="18"/>
  <c r="G305" i="18"/>
  <c r="CA305" i="6" s="1"/>
  <c r="AA305" i="18"/>
  <c r="Z305" i="18" s="1"/>
  <c r="Y305" i="18" s="1"/>
  <c r="H305" i="18"/>
  <c r="AA357" i="18"/>
  <c r="Z357" i="18" s="1"/>
  <c r="Y357" i="18" s="1"/>
  <c r="H357" i="18"/>
  <c r="G357" i="18"/>
  <c r="CA357" i="6" s="1"/>
  <c r="G320" i="18"/>
  <c r="CA320" i="6" s="1"/>
  <c r="AA320" i="18"/>
  <c r="Z320" i="18" s="1"/>
  <c r="Y320" i="18" s="1"/>
  <c r="H320" i="18"/>
  <c r="AA314" i="18"/>
  <c r="Z314" i="18" s="1"/>
  <c r="Y314" i="18" s="1"/>
  <c r="G314" i="18"/>
  <c r="CA314" i="6" s="1"/>
  <c r="H314" i="18"/>
  <c r="AA352" i="18"/>
  <c r="Z352" i="18" s="1"/>
  <c r="Y352" i="18" s="1"/>
  <c r="H352" i="18"/>
  <c r="G352" i="18"/>
  <c r="CA352" i="6" s="1"/>
  <c r="J243" i="18"/>
  <c r="I243" i="18"/>
  <c r="D302" i="18"/>
  <c r="E302" i="18" s="1"/>
  <c r="F302" i="18" s="1"/>
  <c r="AA373" i="18"/>
  <c r="Z373" i="18" s="1"/>
  <c r="Y373" i="18" s="1"/>
  <c r="G373" i="18"/>
  <c r="CA373" i="6" s="1"/>
  <c r="H373" i="18"/>
  <c r="H311" i="18"/>
  <c r="G311" i="18"/>
  <c r="CA311" i="6" s="1"/>
  <c r="AA311" i="18"/>
  <c r="Z311" i="18" s="1"/>
  <c r="Y311" i="18" s="1"/>
  <c r="I65" i="19"/>
  <c r="G339" i="18"/>
  <c r="CA339" i="6" s="1"/>
  <c r="H339" i="18"/>
  <c r="AA339" i="18"/>
  <c r="Z339" i="18" s="1"/>
  <c r="Y339" i="18" s="1"/>
  <c r="AA360" i="18"/>
  <c r="Z360" i="18" s="1"/>
  <c r="Y360" i="18" s="1"/>
  <c r="G360" i="18"/>
  <c r="CA360" i="6" s="1"/>
  <c r="H360" i="18"/>
  <c r="G65" i="19"/>
  <c r="F146" i="18"/>
  <c r="J92" i="18"/>
  <c r="I92" i="18"/>
  <c r="G303" i="18"/>
  <c r="CA303" i="6" s="1"/>
  <c r="H303" i="18"/>
  <c r="AA303" i="18"/>
  <c r="Z303" i="18" s="1"/>
  <c r="Y303" i="18" s="1"/>
  <c r="AA368" i="18"/>
  <c r="Z368" i="18" s="1"/>
  <c r="Y368" i="18" s="1"/>
  <c r="H368" i="18"/>
  <c r="G368" i="18"/>
  <c r="CA368" i="6" s="1"/>
  <c r="I50" i="18"/>
  <c r="J50" i="18"/>
  <c r="AA354" i="18"/>
  <c r="Z354" i="18" s="1"/>
  <c r="Y354" i="18" s="1"/>
  <c r="H354" i="18"/>
  <c r="G354" i="18"/>
  <c r="CA354" i="6" s="1"/>
  <c r="H313" i="18"/>
  <c r="G313" i="18"/>
  <c r="CA313" i="6" s="1"/>
  <c r="AA313" i="18"/>
  <c r="Z313" i="18" s="1"/>
  <c r="Y313" i="18" s="1"/>
  <c r="H328" i="18"/>
  <c r="G328" i="18"/>
  <c r="CA328" i="6" s="1"/>
  <c r="AA328" i="18"/>
  <c r="Z328" i="18" s="1"/>
  <c r="Y328" i="18" s="1"/>
  <c r="J212" i="18"/>
  <c r="I212" i="18"/>
  <c r="F27" i="18"/>
  <c r="F87" i="18"/>
  <c r="G322" i="18"/>
  <c r="CA322" i="6" s="1"/>
  <c r="H322" i="18"/>
  <c r="AA322" i="18"/>
  <c r="Z322" i="18" s="1"/>
  <c r="Y322" i="18" s="1"/>
  <c r="I246" i="18"/>
  <c r="J246" i="18"/>
  <c r="G371" i="18"/>
  <c r="CA371" i="6" s="1"/>
  <c r="H371" i="18"/>
  <c r="AA371" i="18"/>
  <c r="Z371" i="18" s="1"/>
  <c r="Y371" i="18" s="1"/>
  <c r="G342" i="18"/>
  <c r="CA342" i="6" s="1"/>
  <c r="H342" i="18"/>
  <c r="AA342" i="18"/>
  <c r="Z342" i="18" s="1"/>
  <c r="Y342" i="18" s="1"/>
  <c r="D319" i="18"/>
  <c r="E319" i="18" s="1"/>
  <c r="F319" i="18" s="1"/>
  <c r="Y11" i="16"/>
  <c r="AJ3" i="16"/>
  <c r="O13" i="19" s="1"/>
  <c r="M13" i="19" s="1"/>
  <c r="AL13" i="16"/>
  <c r="P168" i="20"/>
  <c r="V168" i="20" s="1"/>
  <c r="B168" i="20" s="1"/>
  <c r="AD76" i="20"/>
  <c r="AD48" i="20"/>
  <c r="AD77" i="20"/>
  <c r="AD23" i="20"/>
  <c r="AD43" i="20"/>
  <c r="AD40" i="20"/>
  <c r="G258" i="18"/>
  <c r="CA258" i="6" s="1"/>
  <c r="H258" i="18"/>
  <c r="AA258" i="18"/>
  <c r="Z258" i="18" s="1"/>
  <c r="Y258" i="18" s="1"/>
  <c r="S318" i="20"/>
  <c r="R318" i="20" s="1"/>
  <c r="P318" i="20" s="1"/>
  <c r="V318" i="20" s="1"/>
  <c r="B318" i="20" s="1"/>
  <c r="S287" i="20"/>
  <c r="R287" i="20" s="1"/>
  <c r="P287" i="20" s="1"/>
  <c r="V287" i="20" s="1"/>
  <c r="B287" i="20" s="1"/>
  <c r="S193" i="20"/>
  <c r="R193" i="20" s="1"/>
  <c r="P193" i="20" s="1"/>
  <c r="V193" i="20" s="1"/>
  <c r="B193" i="20" s="1"/>
  <c r="S73" i="20"/>
  <c r="R73" i="20" s="1"/>
  <c r="P73" i="20" s="1"/>
  <c r="V73" i="20" s="1"/>
  <c r="B73" i="20" s="1"/>
  <c r="S283" i="20"/>
  <c r="R283" i="20" s="1"/>
  <c r="P283" i="20" s="1"/>
  <c r="V283" i="20" s="1"/>
  <c r="B283" i="20" s="1"/>
  <c r="S160" i="20"/>
  <c r="R160" i="20" s="1"/>
  <c r="P160" i="20" s="1"/>
  <c r="V160" i="20" s="1"/>
  <c r="B160" i="20" s="1"/>
  <c r="S172" i="20"/>
  <c r="R172" i="20" s="1"/>
  <c r="P172" i="20" s="1"/>
  <c r="V172" i="20" s="1"/>
  <c r="B172" i="20" s="1"/>
  <c r="AA227" i="18"/>
  <c r="Z227" i="18" s="1"/>
  <c r="Y227" i="18" s="1"/>
  <c r="G227" i="18"/>
  <c r="CA227" i="6" s="1"/>
  <c r="H227" i="18"/>
  <c r="AG383" i="18"/>
  <c r="AG381" i="18"/>
  <c r="P55" i="20"/>
  <c r="V55" i="20" s="1"/>
  <c r="B55" i="20" s="1"/>
  <c r="P244" i="20"/>
  <c r="V244" i="20" s="1"/>
  <c r="B244" i="20" s="1"/>
  <c r="P291" i="20"/>
  <c r="V291" i="20" s="1"/>
  <c r="AD61" i="20"/>
  <c r="AD98" i="20"/>
  <c r="AD30" i="20"/>
  <c r="AD44" i="20"/>
  <c r="AD19" i="20"/>
  <c r="AD26" i="20"/>
  <c r="AD74" i="20"/>
  <c r="AD87" i="20"/>
  <c r="AD38" i="20"/>
  <c r="AD71" i="20"/>
  <c r="AD100" i="20"/>
  <c r="AD33" i="20"/>
  <c r="AD27" i="20"/>
  <c r="AD56" i="20"/>
  <c r="G326" i="18"/>
  <c r="CA326" i="6" s="1"/>
  <c r="H326" i="18"/>
  <c r="AA326" i="18"/>
  <c r="Z326" i="18" s="1"/>
  <c r="Y326" i="18" s="1"/>
  <c r="J75" i="18"/>
  <c r="I75" i="18"/>
  <c r="G306" i="18"/>
  <c r="CA306" i="6" s="1"/>
  <c r="H306" i="18"/>
  <c r="AA306" i="18"/>
  <c r="Z306" i="18" s="1"/>
  <c r="Y306" i="18" s="1"/>
  <c r="F46" i="18"/>
  <c r="F196" i="18"/>
  <c r="F252" i="18"/>
  <c r="F74" i="18"/>
  <c r="J125" i="18"/>
  <c r="I125" i="18"/>
  <c r="I136" i="18"/>
  <c r="J136" i="18"/>
  <c r="AA335" i="18"/>
  <c r="Z335" i="18" s="1"/>
  <c r="Y335" i="18" s="1"/>
  <c r="H335" i="18"/>
  <c r="G335" i="18"/>
  <c r="CA335" i="6" s="1"/>
  <c r="H350" i="18"/>
  <c r="AA350" i="18"/>
  <c r="Z350" i="18" s="1"/>
  <c r="Y350" i="18" s="1"/>
  <c r="G350" i="18"/>
  <c r="CA350" i="6" s="1"/>
  <c r="J108" i="18"/>
  <c r="I108" i="18"/>
  <c r="F138" i="18"/>
  <c r="J57" i="18"/>
  <c r="I57" i="18"/>
  <c r="AA353" i="18"/>
  <c r="Z353" i="18" s="1"/>
  <c r="Y353" i="18" s="1"/>
  <c r="G353" i="18"/>
  <c r="CA353" i="6" s="1"/>
  <c r="H353" i="18"/>
  <c r="G366" i="18"/>
  <c r="CA366" i="6" s="1"/>
  <c r="AA366" i="18"/>
  <c r="Z366" i="18" s="1"/>
  <c r="Y366" i="18" s="1"/>
  <c r="H366" i="18"/>
  <c r="F59" i="18"/>
  <c r="D288" i="18"/>
  <c r="E288" i="18" s="1"/>
  <c r="F288" i="18" s="1"/>
  <c r="G290" i="18"/>
  <c r="CA290" i="6" s="1"/>
  <c r="AA290" i="18"/>
  <c r="Z290" i="18" s="1"/>
  <c r="Y290" i="18" s="1"/>
  <c r="H290" i="18"/>
  <c r="H341" i="18"/>
  <c r="AA341" i="18"/>
  <c r="Z341" i="18" s="1"/>
  <c r="Y341" i="18" s="1"/>
  <c r="G341" i="18"/>
  <c r="CA341" i="6" s="1"/>
  <c r="H348" i="18"/>
  <c r="AA348" i="18"/>
  <c r="Z348" i="18" s="1"/>
  <c r="Y348" i="18" s="1"/>
  <c r="G348" i="18"/>
  <c r="CA348" i="6" s="1"/>
  <c r="H364" i="18"/>
  <c r="G364" i="18"/>
  <c r="CA364" i="6" s="1"/>
  <c r="AA364" i="18"/>
  <c r="Z364" i="18" s="1"/>
  <c r="Y364" i="18" s="1"/>
  <c r="G323" i="18"/>
  <c r="CA323" i="6" s="1"/>
  <c r="H323" i="18"/>
  <c r="AA323" i="18"/>
  <c r="Z323" i="18" s="1"/>
  <c r="Y323" i="18" s="1"/>
  <c r="H356" i="18"/>
  <c r="G356" i="18"/>
  <c r="CA356" i="6" s="1"/>
  <c r="AA356" i="18"/>
  <c r="Z356" i="18" s="1"/>
  <c r="Y356" i="18" s="1"/>
  <c r="AA318" i="18"/>
  <c r="Z318" i="18" s="1"/>
  <c r="Y318" i="18" s="1"/>
  <c r="H318" i="18"/>
  <c r="G318" i="18"/>
  <c r="CA318" i="6" s="1"/>
  <c r="E65" i="19"/>
  <c r="AA377" i="18"/>
  <c r="Z377" i="18" s="1"/>
  <c r="Y377" i="18" s="1"/>
  <c r="G377" i="18"/>
  <c r="CA377" i="6" s="1"/>
  <c r="H377" i="18"/>
  <c r="AA351" i="18"/>
  <c r="Z351" i="18" s="1"/>
  <c r="Y351" i="18" s="1"/>
  <c r="G351" i="18"/>
  <c r="CA351" i="6" s="1"/>
  <c r="H351" i="18"/>
  <c r="D349" i="18"/>
  <c r="E349" i="18" s="1"/>
  <c r="F349" i="18" s="1"/>
  <c r="AA298" i="18"/>
  <c r="Z298" i="18" s="1"/>
  <c r="Y298" i="18" s="1"/>
  <c r="G298" i="18"/>
  <c r="CA298" i="6" s="1"/>
  <c r="H298" i="18"/>
  <c r="F269" i="18"/>
  <c r="AA362" i="18"/>
  <c r="Z362" i="18" s="1"/>
  <c r="Y362" i="18" s="1"/>
  <c r="F65" i="19"/>
  <c r="F95" i="18"/>
  <c r="AA299" i="18"/>
  <c r="Z299" i="18" s="1"/>
  <c r="Y299" i="18" s="1"/>
  <c r="H299" i="18"/>
  <c r="G299" i="18"/>
  <c r="CA299" i="6" s="1"/>
  <c r="J134" i="18"/>
  <c r="I134" i="18"/>
  <c r="G365" i="18"/>
  <c r="CA365" i="6" s="1"/>
  <c r="AA365" i="18"/>
  <c r="Z365" i="18" s="1"/>
  <c r="Y365" i="18" s="1"/>
  <c r="H365" i="18"/>
  <c r="G376" i="18"/>
  <c r="CA376" i="6" s="1"/>
  <c r="H376" i="18"/>
  <c r="AA376" i="18"/>
  <c r="Z376" i="18" s="1"/>
  <c r="Y376" i="18" s="1"/>
  <c r="H336" i="18"/>
  <c r="AA336" i="18"/>
  <c r="Z336" i="18" s="1"/>
  <c r="Y336" i="18" s="1"/>
  <c r="G336" i="18"/>
  <c r="CA336" i="6" s="1"/>
  <c r="I71" i="18"/>
  <c r="J71" i="18"/>
  <c r="AE237" i="22"/>
  <c r="AE346" i="22"/>
  <c r="AE88" i="22"/>
  <c r="AE195" i="22"/>
  <c r="AE308" i="22"/>
  <c r="AE54" i="22"/>
  <c r="AE169" i="22"/>
  <c r="AE276" i="22"/>
  <c r="AE20" i="22"/>
  <c r="AE127" i="22"/>
  <c r="AE242" i="22"/>
  <c r="AE357" i="22"/>
  <c r="AE101" i="22"/>
  <c r="AE208" i="22"/>
  <c r="AE315" i="22"/>
  <c r="AE59" i="22"/>
  <c r="AE176" i="22"/>
  <c r="AE273" i="22"/>
  <c r="AE19" i="22"/>
  <c r="AE122" i="22"/>
  <c r="AE231" i="22"/>
  <c r="AE344" i="22"/>
  <c r="AE90" i="22"/>
  <c r="AE189" i="22"/>
  <c r="AE298" i="22"/>
  <c r="AE40" i="22"/>
  <c r="AE147" i="22"/>
  <c r="AE260" i="22"/>
  <c r="AE377" i="22"/>
  <c r="AE121" i="22"/>
  <c r="AE228" i="22"/>
  <c r="AE335" i="22"/>
  <c r="AE79" i="22"/>
  <c r="AE196" i="22"/>
  <c r="AE309" i="22"/>
  <c r="AE53" i="22"/>
  <c r="AE158" i="22"/>
  <c r="AE141" i="22"/>
  <c r="AE250" i="22"/>
  <c r="AE355" i="22"/>
  <c r="AE99" i="22"/>
  <c r="AE214" i="22"/>
  <c r="AE329" i="22"/>
  <c r="AE73" i="22"/>
  <c r="AE178" i="22"/>
  <c r="AE287" i="22"/>
  <c r="AE31" i="22"/>
  <c r="AE148" i="22"/>
  <c r="AE261" i="22"/>
  <c r="AE370" i="22"/>
  <c r="AE112" i="22"/>
  <c r="AE219" i="22"/>
  <c r="AE332" i="22"/>
  <c r="AE78" i="22"/>
  <c r="AE177" i="22"/>
  <c r="AE284" i="22"/>
  <c r="AE28" i="22"/>
  <c r="AE135" i="22"/>
  <c r="AE248" i="22"/>
  <c r="AE379" i="22"/>
  <c r="AE157" i="22"/>
  <c r="AE264" i="22"/>
  <c r="AE371" i="22"/>
  <c r="AE115" i="22"/>
  <c r="AE230" i="22"/>
  <c r="AE345" i="22"/>
  <c r="AE89" i="22"/>
  <c r="AE194" i="22"/>
  <c r="AE303" i="22"/>
  <c r="AE47" i="22"/>
  <c r="AE164" i="22"/>
  <c r="AE277" i="22"/>
  <c r="AE21" i="22"/>
  <c r="AE126" i="22"/>
  <c r="AE235" i="22"/>
  <c r="AE348" i="22"/>
  <c r="AE94" i="22"/>
  <c r="AE193" i="22"/>
  <c r="AE302" i="22"/>
  <c r="AE44" i="22"/>
  <c r="AE151" i="22"/>
  <c r="AE266" i="22"/>
  <c r="AE267" i="22"/>
  <c r="AE334" i="22"/>
  <c r="AE42" i="22"/>
  <c r="AE75" i="22"/>
  <c r="AE289" i="22"/>
  <c r="AE138" i="22"/>
  <c r="AE360" i="22"/>
  <c r="AE139" i="22"/>
  <c r="AE202" i="22"/>
  <c r="AE301" i="22"/>
  <c r="AE45" i="22"/>
  <c r="AE150" i="22"/>
  <c r="AE259" i="22"/>
  <c r="AE372" i="22"/>
  <c r="AE120" i="22"/>
  <c r="AE233" i="22"/>
  <c r="AE342" i="22"/>
  <c r="AE84" i="22"/>
  <c r="AE191" i="22"/>
  <c r="AE304" i="22"/>
  <c r="AE50" i="22"/>
  <c r="AE165" i="22"/>
  <c r="AE272" i="22"/>
  <c r="AE17" i="22"/>
  <c r="AE123" i="22"/>
  <c r="AE238" i="22"/>
  <c r="AE337" i="22"/>
  <c r="AE81" i="22"/>
  <c r="AE186" i="22"/>
  <c r="AE295" i="22"/>
  <c r="AE39" i="22"/>
  <c r="AE156" i="22"/>
  <c r="AE253" i="22"/>
  <c r="AE362" i="22"/>
  <c r="AE104" i="22"/>
  <c r="AE211" i="22"/>
  <c r="AE324" i="22"/>
  <c r="AE70" i="22"/>
  <c r="AE185" i="22"/>
  <c r="AE292" i="22"/>
  <c r="AE36" i="22"/>
  <c r="AE143" i="22"/>
  <c r="AE256" i="22"/>
  <c r="AE373" i="22"/>
  <c r="AE117" i="22"/>
  <c r="AE224" i="22"/>
  <c r="AE205" i="22"/>
  <c r="AE314" i="22"/>
  <c r="AE56" i="22"/>
  <c r="AE163" i="22"/>
  <c r="AE278" i="22"/>
  <c r="AE22" i="22"/>
  <c r="AE137" i="22"/>
  <c r="AE244" i="22"/>
  <c r="AE351" i="22"/>
  <c r="AE95" i="22"/>
  <c r="AE210" i="22"/>
  <c r="AE325" i="22"/>
  <c r="AE69" i="22"/>
  <c r="AE174" i="22"/>
  <c r="AE283" i="22"/>
  <c r="AE27" i="22"/>
  <c r="AE144" i="22"/>
  <c r="AE241" i="22"/>
  <c r="AE350" i="22"/>
  <c r="AE92" i="22"/>
  <c r="AE199" i="22"/>
  <c r="AE312" i="22"/>
  <c r="AE58" i="22"/>
  <c r="AE221" i="22"/>
  <c r="AE330" i="22"/>
  <c r="AE72" i="22"/>
  <c r="AE179" i="22"/>
  <c r="AE294" i="22"/>
  <c r="AE38" i="22"/>
  <c r="AE153" i="22"/>
  <c r="AE262" i="22"/>
  <c r="AE367" i="22"/>
  <c r="AE111" i="22"/>
  <c r="AE226" i="22"/>
  <c r="AE341" i="22"/>
  <c r="AE85" i="22"/>
  <c r="AE190" i="22"/>
  <c r="AE299" i="22"/>
  <c r="AE43" i="22"/>
  <c r="AE160" i="22"/>
  <c r="AE257" i="22"/>
  <c r="AE366" i="22"/>
  <c r="AE108" i="22"/>
  <c r="AE215" i="22"/>
  <c r="AE328" i="22"/>
  <c r="AE74" i="22"/>
  <c r="AE225" i="22"/>
  <c r="AE296" i="22"/>
  <c r="AE203" i="22"/>
  <c r="AE62" i="22"/>
  <c r="AE268" i="22"/>
  <c r="AE119" i="22"/>
  <c r="AE32" i="22"/>
  <c r="AE97" i="22"/>
  <c r="AE172" i="22"/>
  <c r="AE365" i="22"/>
  <c r="AE109" i="22"/>
  <c r="AE216" i="22"/>
  <c r="AE323" i="22"/>
  <c r="AE67" i="22"/>
  <c r="AE184" i="22"/>
  <c r="AE297" i="22"/>
  <c r="AE41" i="22"/>
  <c r="AE146" i="22"/>
  <c r="AE255" i="22"/>
  <c r="AE368" i="22"/>
  <c r="AE114" i="22"/>
  <c r="AE229" i="22"/>
  <c r="AE338" i="22"/>
  <c r="AE80" i="22"/>
  <c r="AE187" i="22"/>
  <c r="AE300" i="22"/>
  <c r="AE46" i="22"/>
  <c r="AE145" i="22"/>
  <c r="AE254" i="22"/>
  <c r="AE359" i="22"/>
  <c r="AE103" i="22"/>
  <c r="AE218" i="22"/>
  <c r="AE317" i="22"/>
  <c r="AE61" i="22"/>
  <c r="AE166" i="22"/>
  <c r="AE275" i="22"/>
  <c r="AE15" i="22"/>
  <c r="AE136" i="22"/>
  <c r="AE249" i="22"/>
  <c r="AE358" i="22"/>
  <c r="AE100" i="22"/>
  <c r="AE207" i="22"/>
  <c r="AE320" i="22"/>
  <c r="AE66" i="22"/>
  <c r="AE181" i="22"/>
  <c r="AE288" i="22"/>
  <c r="AE269" i="22"/>
  <c r="AE378" i="22"/>
  <c r="AE118" i="22"/>
  <c r="AE227" i="22"/>
  <c r="AE340" i="22"/>
  <c r="AE86" i="22"/>
  <c r="AE201" i="22"/>
  <c r="AE310" i="22"/>
  <c r="AE52" i="22"/>
  <c r="AE159" i="22"/>
  <c r="AE274" i="22"/>
  <c r="AE16" i="22"/>
  <c r="AE133" i="22"/>
  <c r="AE240" i="22"/>
  <c r="AE347" i="22"/>
  <c r="AE91" i="22"/>
  <c r="AE206" i="22"/>
  <c r="AE305" i="22"/>
  <c r="AE49" i="22"/>
  <c r="AE154" i="22"/>
  <c r="AE263" i="22"/>
  <c r="AE376" i="22"/>
  <c r="AE124" i="22"/>
  <c r="AE285" i="22"/>
  <c r="AE29" i="22"/>
  <c r="AE134" i="22"/>
  <c r="AE243" i="22"/>
  <c r="AE356" i="22"/>
  <c r="AE102" i="22"/>
  <c r="AE217" i="22"/>
  <c r="AE326" i="22"/>
  <c r="AE68" i="22"/>
  <c r="AE175" i="22"/>
  <c r="AE290" i="22"/>
  <c r="AE34" i="22"/>
  <c r="AE149" i="22"/>
  <c r="AE258" i="22"/>
  <c r="AE363" i="22"/>
  <c r="AE107" i="22"/>
  <c r="AE222" i="22"/>
  <c r="AE321" i="22"/>
  <c r="AE65" i="22"/>
  <c r="AE170" i="22"/>
  <c r="AE279" i="22"/>
  <c r="AE23" i="22"/>
  <c r="AE140" i="22"/>
  <c r="AE128" i="22"/>
  <c r="AE183" i="22"/>
  <c r="AE331" i="22"/>
  <c r="AE192" i="22"/>
  <c r="AE33" i="22"/>
  <c r="AE247" i="22"/>
  <c r="AE106" i="22"/>
  <c r="AE353" i="22"/>
  <c r="AE55" i="22"/>
  <c r="AE173" i="22"/>
  <c r="AE280" i="22"/>
  <c r="AE24" i="22"/>
  <c r="AE131" i="22"/>
  <c r="AE246" i="22"/>
  <c r="AE361" i="22"/>
  <c r="AE105" i="22"/>
  <c r="AE212" i="22"/>
  <c r="AE319" i="22"/>
  <c r="AE63" i="22"/>
  <c r="AE180" i="22"/>
  <c r="AE293" i="22"/>
  <c r="AE37" i="22"/>
  <c r="AE142" i="22"/>
  <c r="AE251" i="22"/>
  <c r="AE364" i="22"/>
  <c r="AE110" i="22"/>
  <c r="AE209" i="22"/>
  <c r="AE318" i="22"/>
  <c r="AE60" i="22"/>
  <c r="AE167" i="22"/>
  <c r="AE282" i="22"/>
  <c r="AE26" i="22"/>
  <c r="AE125" i="22"/>
  <c r="AE232" i="22"/>
  <c r="AE339" i="22"/>
  <c r="AE83" i="22"/>
  <c r="AE200" i="22"/>
  <c r="AE313" i="22"/>
  <c r="AE57" i="22"/>
  <c r="AE162" i="22"/>
  <c r="AE271" i="22"/>
  <c r="AE18" i="22"/>
  <c r="AE132" i="22"/>
  <c r="AE245" i="22"/>
  <c r="AE354" i="22"/>
  <c r="AE333" i="22"/>
  <c r="AE77" i="22"/>
  <c r="AE182" i="22"/>
  <c r="AE291" i="22"/>
  <c r="AE35" i="22"/>
  <c r="AE152" i="22"/>
  <c r="AE265" i="22"/>
  <c r="AE374" i="22"/>
  <c r="AE116" i="22"/>
  <c r="AE223" i="22"/>
  <c r="AE336" i="22"/>
  <c r="AE82" i="22"/>
  <c r="AE197" i="22"/>
  <c r="AE306" i="22"/>
  <c r="AE48" i="22"/>
  <c r="AE155" i="22"/>
  <c r="AE270" i="22"/>
  <c r="AE369" i="22"/>
  <c r="AE113" i="22"/>
  <c r="AE220" i="22"/>
  <c r="AE327" i="22"/>
  <c r="AE71" i="22"/>
  <c r="AE188" i="22"/>
  <c r="AE349" i="22"/>
  <c r="AE93" i="22"/>
  <c r="AE198" i="22"/>
  <c r="AE307" i="22"/>
  <c r="AE51" i="22"/>
  <c r="AE168" i="22"/>
  <c r="AE281" i="22"/>
  <c r="AE25" i="22"/>
  <c r="AE130" i="22"/>
  <c r="AE239" i="22"/>
  <c r="AE352" i="22"/>
  <c r="AE98" i="22"/>
  <c r="AE213" i="22"/>
  <c r="AE322" i="22"/>
  <c r="AE64" i="22"/>
  <c r="AE171" i="22"/>
  <c r="AE286" i="22"/>
  <c r="AE30" i="22"/>
  <c r="AE129" i="22"/>
  <c r="AE236" i="22"/>
  <c r="AE343" i="22"/>
  <c r="AE87" i="22"/>
  <c r="AE204" i="22"/>
  <c r="AE380" i="22"/>
  <c r="AE76" i="22"/>
  <c r="AE96" i="22"/>
  <c r="AE316" i="22"/>
  <c r="AE161" i="22"/>
  <c r="AE375" i="22"/>
  <c r="AE234" i="22"/>
  <c r="AE252" i="22"/>
  <c r="AE311" i="22"/>
  <c r="Q55" i="22"/>
  <c r="Q19" i="22"/>
  <c r="Q187" i="22"/>
  <c r="Q336" i="22"/>
  <c r="Q81" i="22"/>
  <c r="Q126" i="22"/>
  <c r="Q268" i="22"/>
  <c r="Q215" i="22"/>
  <c r="Q318" i="22"/>
  <c r="AO15" i="7"/>
  <c r="Q169" i="22"/>
  <c r="Q298" i="22"/>
  <c r="Q51" i="22"/>
  <c r="Q177" i="22"/>
  <c r="Q290" i="22"/>
  <c r="Q32" i="22"/>
  <c r="Q190" i="22"/>
  <c r="Q361" i="22"/>
  <c r="Q143" i="22"/>
  <c r="Q106" i="22"/>
  <c r="Q332" i="22"/>
  <c r="Q211" i="22"/>
  <c r="Q85" i="22"/>
  <c r="Q264" i="22"/>
  <c r="Q279" i="22"/>
  <c r="Q16" i="22"/>
  <c r="Q196" i="22"/>
  <c r="Q45" i="22"/>
  <c r="Q335" i="22"/>
  <c r="Q140" i="22"/>
  <c r="Q305" i="22"/>
  <c r="Q162" i="22"/>
  <c r="Q91" i="22"/>
  <c r="Q347" i="22"/>
  <c r="Q158" i="22"/>
  <c r="Q137" i="22"/>
  <c r="Q368" i="22"/>
  <c r="Q112" i="22"/>
  <c r="Q175" i="22"/>
  <c r="Q330" i="22"/>
  <c r="Q62" i="22"/>
  <c r="Q205" i="22"/>
  <c r="Q300" i="22"/>
  <c r="Q83" i="22"/>
  <c r="Q243" i="22"/>
  <c r="Q262" i="22"/>
  <c r="Q53" i="22"/>
  <c r="Q273" i="22"/>
  <c r="Q232" i="22"/>
  <c r="Q18" i="22"/>
  <c r="Q311" i="22"/>
  <c r="Q194" i="22"/>
  <c r="Q84" i="22"/>
  <c r="Q341" i="22"/>
  <c r="Q164" i="22"/>
  <c r="Q59" i="22"/>
  <c r="Q276" i="22"/>
  <c r="Q229" i="22"/>
  <c r="Q17" i="22"/>
  <c r="Q306" i="22"/>
  <c r="Q199" i="22"/>
  <c r="Q88" i="22"/>
  <c r="Q344" i="22"/>
  <c r="Q161" i="22"/>
  <c r="Q118" i="22"/>
  <c r="Q374" i="22"/>
  <c r="Q131" i="22"/>
  <c r="Q156" i="22"/>
  <c r="Q349" i="22"/>
  <c r="Q93" i="22"/>
  <c r="Q186" i="22"/>
  <c r="Q319" i="22"/>
  <c r="Q40" i="22"/>
  <c r="Q224" i="22"/>
  <c r="Q281" i="22"/>
  <c r="Q61" i="22"/>
  <c r="Q270" i="22"/>
  <c r="Q235" i="22"/>
  <c r="Q26" i="22"/>
  <c r="Q308" i="22"/>
  <c r="Q197" i="22"/>
  <c r="Q78" i="22"/>
  <c r="Q338" i="22"/>
  <c r="Q167" i="22"/>
  <c r="Q120" i="22"/>
  <c r="Q376" i="22"/>
  <c r="Q129" i="22"/>
  <c r="Q150" i="22"/>
  <c r="Q355" i="22"/>
  <c r="Q99" i="22"/>
  <c r="Q188" i="22"/>
  <c r="Q317" i="22"/>
  <c r="Q36" i="22"/>
  <c r="Q218" i="22"/>
  <c r="Q287" i="22"/>
  <c r="Q39" i="22"/>
  <c r="Q256" i="22"/>
  <c r="Q249" i="22"/>
  <c r="Q24" i="22"/>
  <c r="Q302" i="22"/>
  <c r="Q203" i="22"/>
  <c r="Q271" i="22"/>
  <c r="Q25" i="22"/>
  <c r="Q204" i="22"/>
  <c r="Q339" i="22"/>
  <c r="Q113" i="22"/>
  <c r="Q136" i="22"/>
  <c r="Q354" i="22"/>
  <c r="Q181" i="22"/>
  <c r="Q50" i="22"/>
  <c r="Q297" i="22"/>
  <c r="Q170" i="22"/>
  <c r="Q147" i="22"/>
  <c r="Q200" i="22"/>
  <c r="Q117" i="22"/>
  <c r="Q155" i="22"/>
  <c r="Q350" i="22"/>
  <c r="Q94" i="22"/>
  <c r="Q201" i="22"/>
  <c r="Q304" i="22"/>
  <c r="Q20" i="22"/>
  <c r="Q239" i="22"/>
  <c r="Q266" i="22"/>
  <c r="Q57" i="22"/>
  <c r="Q269" i="22"/>
  <c r="Q236" i="22"/>
  <c r="Q15" i="22"/>
  <c r="Q307" i="22"/>
  <c r="Q198" i="22"/>
  <c r="Q76" i="22"/>
  <c r="Q337" i="22"/>
  <c r="Q168" i="22"/>
  <c r="Q119" i="22"/>
  <c r="Q375" i="22"/>
  <c r="Q130" i="22"/>
  <c r="Q149" i="22"/>
  <c r="Q356" i="22"/>
  <c r="Q100" i="22"/>
  <c r="Q82" i="22"/>
  <c r="Q340" i="22"/>
  <c r="Q165" i="22"/>
  <c r="Q114" i="22"/>
  <c r="Q370" i="22"/>
  <c r="Q135" i="22"/>
  <c r="Q152" i="22"/>
  <c r="Q353" i="22"/>
  <c r="Q97" i="22"/>
  <c r="Q182" i="22"/>
  <c r="Q323" i="22"/>
  <c r="Q48" i="22"/>
  <c r="Q220" i="22"/>
  <c r="Q285" i="22"/>
  <c r="Q41" i="22"/>
  <c r="Q250" i="22"/>
  <c r="Q255" i="22"/>
  <c r="Q71" i="22"/>
  <c r="Q288" i="22"/>
  <c r="Q217" i="22"/>
  <c r="Q70" i="22"/>
  <c r="Q334" i="22"/>
  <c r="Q171" i="22"/>
  <c r="Q116" i="22"/>
  <c r="Q372" i="22"/>
  <c r="Q133" i="22"/>
  <c r="Q146" i="22"/>
  <c r="Q359" i="22"/>
  <c r="Q103" i="22"/>
  <c r="Q184" i="22"/>
  <c r="Q321" i="22"/>
  <c r="Q44" i="22"/>
  <c r="Q214" i="22"/>
  <c r="Q291" i="22"/>
  <c r="Q35" i="22"/>
  <c r="Q252" i="22"/>
  <c r="Q253" i="22"/>
  <c r="Q73" i="22"/>
  <c r="Q282" i="22"/>
  <c r="Q223" i="22"/>
  <c r="Q42" i="22"/>
  <c r="Q320" i="22"/>
  <c r="Q185" i="22"/>
  <c r="Q110" i="22"/>
  <c r="Q366" i="22"/>
  <c r="Q139" i="22"/>
  <c r="Q123" i="22"/>
  <c r="Q328" i="22"/>
  <c r="Q272" i="22"/>
  <c r="Q275" i="22"/>
  <c r="Q38" i="22"/>
  <c r="Q207" i="22"/>
  <c r="Q21" i="22"/>
  <c r="Q132" i="22"/>
  <c r="Q233" i="22"/>
  <c r="Q379" i="22"/>
  <c r="Q74" i="22"/>
  <c r="Q237" i="22"/>
  <c r="Q230" i="22"/>
  <c r="Q58" i="22"/>
  <c r="Q373" i="22"/>
  <c r="Q315" i="22"/>
  <c r="Q105" i="22"/>
  <c r="Q144" i="22"/>
  <c r="Q362" i="22"/>
  <c r="Q173" i="22"/>
  <c r="Q66" i="22"/>
  <c r="Q294" i="22"/>
  <c r="Q241" i="22"/>
  <c r="Q47" i="22"/>
  <c r="Q226" i="22"/>
  <c r="Q309" i="22"/>
  <c r="Q251" i="22"/>
  <c r="Q208" i="22"/>
  <c r="Q109" i="22"/>
  <c r="Q358" i="22"/>
  <c r="Q87" i="22"/>
  <c r="Q245" i="22"/>
  <c r="Q219" i="22"/>
  <c r="Q286" i="22"/>
  <c r="Q77" i="22"/>
  <c r="Q265" i="22"/>
  <c r="Q240" i="22"/>
  <c r="Q23" i="22"/>
  <c r="Q303" i="22"/>
  <c r="Q202" i="22"/>
  <c r="Q68" i="22"/>
  <c r="Q333" i="22"/>
  <c r="Q172" i="22"/>
  <c r="Q115" i="22"/>
  <c r="Q371" i="22"/>
  <c r="Q134" i="22"/>
  <c r="Q145" i="22"/>
  <c r="Q360" i="22"/>
  <c r="Q104" i="22"/>
  <c r="Q183" i="22"/>
  <c r="Q322" i="22"/>
  <c r="Q46" i="22"/>
  <c r="Q213" i="22"/>
  <c r="Q292" i="22"/>
  <c r="Q75" i="22"/>
  <c r="Q148" i="22"/>
  <c r="Q357" i="22"/>
  <c r="Q101" i="22"/>
  <c r="Q178" i="22"/>
  <c r="Q327" i="22"/>
  <c r="Q56" i="22"/>
  <c r="Q216" i="22"/>
  <c r="Q289" i="22"/>
  <c r="Q37" i="22"/>
  <c r="Q246" i="22"/>
  <c r="Q259" i="22"/>
  <c r="Q67" i="22"/>
  <c r="Q284" i="22"/>
  <c r="Q221" i="22"/>
  <c r="Q28" i="22"/>
  <c r="Q314" i="22"/>
  <c r="Q191" i="22"/>
  <c r="Q96" i="22"/>
  <c r="Q352" i="22"/>
  <c r="Q153" i="22"/>
  <c r="Q142" i="22"/>
  <c r="Q363" i="22"/>
  <c r="Q107" i="22"/>
  <c r="Q180" i="22"/>
  <c r="Q325" i="22"/>
  <c r="Q52" i="22"/>
  <c r="Q210" i="22"/>
  <c r="Q295" i="22"/>
  <c r="Q31" i="22"/>
  <c r="Q248" i="22"/>
  <c r="Q257" i="22"/>
  <c r="Q69" i="22"/>
  <c r="Q278" i="22"/>
  <c r="Q227" i="22"/>
  <c r="Q34" i="22"/>
  <c r="Q316" i="22"/>
  <c r="Q189" i="22"/>
  <c r="Q90" i="22"/>
  <c r="Q346" i="22"/>
  <c r="Q159" i="22"/>
  <c r="Q128" i="22"/>
  <c r="Q377" i="22"/>
  <c r="Q121" i="22"/>
  <c r="Q174" i="22"/>
  <c r="Q331" i="22"/>
  <c r="Q64" i="22"/>
  <c r="Q234" i="22"/>
  <c r="Q301" i="22"/>
  <c r="Q80" i="22"/>
  <c r="Q166" i="22"/>
  <c r="Q369" i="22"/>
  <c r="Q151" i="22"/>
  <c r="Q98" i="22"/>
  <c r="Q324" i="22"/>
  <c r="Q254" i="22"/>
  <c r="Q72" i="22"/>
  <c r="Q365" i="22"/>
  <c r="Q102" i="22"/>
  <c r="Q343" i="22"/>
  <c r="Q260" i="22"/>
  <c r="Q283" i="22"/>
  <c r="Q222" i="22"/>
  <c r="Q60" i="22"/>
  <c r="Q329" i="22"/>
  <c r="Q176" i="22"/>
  <c r="Q111" i="22"/>
  <c r="Q367" i="22"/>
  <c r="Q138" i="22"/>
  <c r="Q141" i="22"/>
  <c r="Q364" i="22"/>
  <c r="Q108" i="22"/>
  <c r="Q179" i="22"/>
  <c r="Q326" i="22"/>
  <c r="Q54" i="22"/>
  <c r="Q209" i="22"/>
  <c r="Q296" i="22"/>
  <c r="Q79" i="22"/>
  <c r="Q247" i="22"/>
  <c r="Q258" i="22"/>
  <c r="Q49" i="22"/>
  <c r="Q277" i="22"/>
  <c r="Q228" i="22"/>
  <c r="Q27" i="22"/>
  <c r="Q212" i="22"/>
  <c r="Q293" i="22"/>
  <c r="Q33" i="22"/>
  <c r="Q242" i="22"/>
  <c r="Q263" i="22"/>
  <c r="Q63" i="22"/>
  <c r="Q280" i="22"/>
  <c r="Q225" i="22"/>
  <c r="Q22" i="22"/>
  <c r="Q310" i="22"/>
  <c r="Q195" i="22"/>
  <c r="Q92" i="22"/>
  <c r="Q348" i="22"/>
  <c r="Q157" i="22"/>
  <c r="Q122" i="22"/>
  <c r="Q378" i="22"/>
  <c r="Q127" i="22"/>
  <c r="Q160" i="22"/>
  <c r="Q345" i="22"/>
  <c r="Q89" i="22"/>
  <c r="Q206" i="22"/>
  <c r="Q299" i="22"/>
  <c r="Q43" i="22"/>
  <c r="Q244" i="22"/>
  <c r="Q261" i="22"/>
  <c r="Q65" i="22"/>
  <c r="Q274" i="22"/>
  <c r="Q231" i="22"/>
  <c r="Q30" i="22"/>
  <c r="Q312" i="22"/>
  <c r="Q193" i="22"/>
  <c r="Q86" i="22"/>
  <c r="Q342" i="22"/>
  <c r="Q163" i="22"/>
  <c r="Q124" i="22"/>
  <c r="Q380" i="22"/>
  <c r="Q125" i="22"/>
  <c r="Q154" i="22"/>
  <c r="Q351" i="22"/>
  <c r="Q95" i="22"/>
  <c r="Q192" i="22"/>
  <c r="Q313" i="22"/>
  <c r="Q29" i="22"/>
  <c r="Q238" i="22"/>
  <c r="Q267" i="22"/>
  <c r="E15" i="18"/>
  <c r="B204" i="20" l="1"/>
  <c r="D204" i="20" s="1"/>
  <c r="E204" i="20" s="1"/>
  <c r="F204" i="20" s="1"/>
  <c r="G204" i="20" s="1"/>
  <c r="CB204" i="6" s="1"/>
  <c r="B291" i="20"/>
  <c r="W291" i="20" s="1"/>
  <c r="D83" i="20"/>
  <c r="E83" i="20" s="1"/>
  <c r="F83" i="20" s="1"/>
  <c r="AJ6" i="18"/>
  <c r="AD62" i="20"/>
  <c r="AD29" i="20"/>
  <c r="AD78" i="20"/>
  <c r="AD65" i="20"/>
  <c r="AD41" i="20"/>
  <c r="AD79" i="20"/>
  <c r="AD16" i="20"/>
  <c r="AD51" i="20"/>
  <c r="AD90" i="20"/>
  <c r="AD70" i="20"/>
  <c r="AD32" i="20"/>
  <c r="P62" i="20"/>
  <c r="V62" i="20" s="1"/>
  <c r="P184" i="20"/>
  <c r="V184" i="20" s="1"/>
  <c r="AD95" i="20"/>
  <c r="AD101" i="20"/>
  <c r="AD84" i="20"/>
  <c r="F379" i="18"/>
  <c r="G379" i="18" s="1"/>
  <c r="CA379" i="6" s="1"/>
  <c r="AD57" i="20"/>
  <c r="AD28" i="20"/>
  <c r="AD73" i="20"/>
  <c r="AD18" i="20"/>
  <c r="AD54" i="20"/>
  <c r="AD99" i="20"/>
  <c r="AD39" i="20"/>
  <c r="AD66" i="20"/>
  <c r="AD46" i="20"/>
  <c r="I362" i="18"/>
  <c r="AD93" i="20"/>
  <c r="AD35" i="20"/>
  <c r="AD80" i="20"/>
  <c r="U12" i="22"/>
  <c r="AD97" i="20"/>
  <c r="U382" i="20"/>
  <c r="U381" i="20"/>
  <c r="AD25" i="20"/>
  <c r="H65" i="18"/>
  <c r="I65" i="18" s="1"/>
  <c r="F13" i="19"/>
  <c r="H47" i="18"/>
  <c r="J47" i="18" s="1"/>
  <c r="AJ7" i="18"/>
  <c r="P100" i="20"/>
  <c r="V100" i="20" s="1"/>
  <c r="AJ9" i="18"/>
  <c r="AJ11" i="18" s="1"/>
  <c r="P245" i="20"/>
  <c r="V245" i="20" s="1"/>
  <c r="AH16" i="7"/>
  <c r="AN11" i="7" s="1"/>
  <c r="U11" i="22" s="1"/>
  <c r="U10" i="22" s="1"/>
  <c r="AD36" i="20"/>
  <c r="P84" i="20"/>
  <c r="V84" i="20" s="1"/>
  <c r="AD94" i="20"/>
  <c r="P252" i="20"/>
  <c r="V252" i="20" s="1"/>
  <c r="AD59" i="20"/>
  <c r="AD50" i="20"/>
  <c r="AD91" i="20"/>
  <c r="AD67" i="20"/>
  <c r="AD86" i="20"/>
  <c r="U383" i="20"/>
  <c r="AD47" i="20"/>
  <c r="AD64" i="20"/>
  <c r="AD49" i="20"/>
  <c r="AD81" i="20"/>
  <c r="AD20" i="20"/>
  <c r="AD63" i="20"/>
  <c r="P94" i="20"/>
  <c r="V94" i="20" s="1"/>
  <c r="B94" i="20" s="1"/>
  <c r="I180" i="18"/>
  <c r="B383" i="18"/>
  <c r="B381" i="18"/>
  <c r="M65" i="19"/>
  <c r="G43" i="18"/>
  <c r="CA43" i="6" s="1"/>
  <c r="I88" i="18"/>
  <c r="G132" i="18"/>
  <c r="CA132" i="6" s="1"/>
  <c r="AA62" i="18"/>
  <c r="Z62" i="18" s="1"/>
  <c r="Y62" i="18" s="1"/>
  <c r="H24" i="18"/>
  <c r="I24" i="18" s="1"/>
  <c r="AA275" i="18"/>
  <c r="Z275" i="18" s="1"/>
  <c r="Y275" i="18" s="1"/>
  <c r="AA177" i="18"/>
  <c r="Z177" i="18" s="1"/>
  <c r="Y177" i="18" s="1"/>
  <c r="G77" i="18"/>
  <c r="CA77" i="6" s="1"/>
  <c r="AA47" i="18"/>
  <c r="Z47" i="18" s="1"/>
  <c r="Y47" i="18" s="1"/>
  <c r="G53" i="18"/>
  <c r="CA53" i="6" s="1"/>
  <c r="H77" i="18"/>
  <c r="I77" i="18" s="1"/>
  <c r="H53" i="18"/>
  <c r="J53" i="18" s="1"/>
  <c r="D291" i="20"/>
  <c r="E291" i="20" s="1"/>
  <c r="F291" i="20" s="1"/>
  <c r="G291" i="20" s="1"/>
  <c r="CB291" i="6" s="1"/>
  <c r="H257" i="18"/>
  <c r="I257" i="18" s="1"/>
  <c r="AK6" i="18"/>
  <c r="I119" i="18"/>
  <c r="W83" i="20"/>
  <c r="W204" i="20"/>
  <c r="AA159" i="18"/>
  <c r="Z159" i="18" s="1"/>
  <c r="Y159" i="18" s="1"/>
  <c r="H266" i="18"/>
  <c r="J266" i="18" s="1"/>
  <c r="AA165" i="18"/>
  <c r="Z165" i="18" s="1"/>
  <c r="Y165" i="18" s="1"/>
  <c r="G61" i="18"/>
  <c r="CA61" i="6" s="1"/>
  <c r="G65" i="18"/>
  <c r="CA65" i="6" s="1"/>
  <c r="AA153" i="18"/>
  <c r="Z153" i="18" s="1"/>
  <c r="Y153" i="18" s="1"/>
  <c r="G107" i="18"/>
  <c r="CA107" i="6" s="1"/>
  <c r="AA43" i="18"/>
  <c r="Z43" i="18" s="1"/>
  <c r="Y43" i="18" s="1"/>
  <c r="AI349" i="20"/>
  <c r="AH349" i="20" s="1"/>
  <c r="AI278" i="20"/>
  <c r="AH278" i="20" s="1"/>
  <c r="AI195" i="20"/>
  <c r="AH195" i="20" s="1"/>
  <c r="AI337" i="20"/>
  <c r="AH337" i="20" s="1"/>
  <c r="AI268" i="20"/>
  <c r="AH268" i="20" s="1"/>
  <c r="AI190" i="20"/>
  <c r="AH190" i="20" s="1"/>
  <c r="AI360" i="20"/>
  <c r="AH360" i="20" s="1"/>
  <c r="AI249" i="20"/>
  <c r="AH249" i="20" s="1"/>
  <c r="AI374" i="20"/>
  <c r="AH374" i="20" s="1"/>
  <c r="AI166" i="20"/>
  <c r="AH166" i="20" s="1"/>
  <c r="AI238" i="20"/>
  <c r="AH238" i="20" s="1"/>
  <c r="AI247" i="20"/>
  <c r="AH247" i="20" s="1"/>
  <c r="AI326" i="20"/>
  <c r="AH326" i="20" s="1"/>
  <c r="AI263" i="20"/>
  <c r="AH263" i="20" s="1"/>
  <c r="AI239" i="20"/>
  <c r="AH239" i="20" s="1"/>
  <c r="AI160" i="20"/>
  <c r="AH160" i="20" s="1"/>
  <c r="AI321" i="20"/>
  <c r="AH321" i="20" s="1"/>
  <c r="AI136" i="20"/>
  <c r="AH136" i="20" s="1"/>
  <c r="AI353" i="20"/>
  <c r="AH353" i="20" s="1"/>
  <c r="AI273" i="20"/>
  <c r="AH273" i="20" s="1"/>
  <c r="AI236" i="20"/>
  <c r="AH236" i="20" s="1"/>
  <c r="AI174" i="20"/>
  <c r="AH174" i="20" s="1"/>
  <c r="AI296" i="20"/>
  <c r="AH296" i="20" s="1"/>
  <c r="AI105" i="20"/>
  <c r="AH105" i="20" s="1"/>
  <c r="AI284" i="20"/>
  <c r="AH284" i="20" s="1"/>
  <c r="AI228" i="20"/>
  <c r="AH228" i="20" s="1"/>
  <c r="AI167" i="20"/>
  <c r="AH167" i="20" s="1"/>
  <c r="AI260" i="20"/>
  <c r="AH260" i="20" s="1"/>
  <c r="AI181" i="20"/>
  <c r="AH181" i="20" s="1"/>
  <c r="AI141" i="20"/>
  <c r="AH141" i="20" s="1"/>
  <c r="AI371" i="20"/>
  <c r="AH371" i="20" s="1"/>
  <c r="AI126" i="20"/>
  <c r="AH126" i="20" s="1"/>
  <c r="AI218" i="20"/>
  <c r="AH218" i="20" s="1"/>
  <c r="AI300" i="20"/>
  <c r="AH300" i="20" s="1"/>
  <c r="AI199" i="20"/>
  <c r="AH199" i="20" s="1"/>
  <c r="AI272" i="20"/>
  <c r="AH272" i="20" s="1"/>
  <c r="AI332" i="20"/>
  <c r="AH332" i="20" s="1"/>
  <c r="AI110" i="20"/>
  <c r="AH110" i="20" s="1"/>
  <c r="AI311" i="20"/>
  <c r="AH311" i="20" s="1"/>
  <c r="AI232" i="20"/>
  <c r="AH232" i="20" s="1"/>
  <c r="AI378" i="20"/>
  <c r="AH378" i="20" s="1"/>
  <c r="AI220" i="20"/>
  <c r="AH220" i="20" s="1"/>
  <c r="AI373" i="20"/>
  <c r="AH373" i="20" s="1"/>
  <c r="AI269" i="20"/>
  <c r="AH269" i="20" s="1"/>
  <c r="AI368" i="20"/>
  <c r="AH368" i="20" s="1"/>
  <c r="AI207" i="20"/>
  <c r="AH207" i="20" s="1"/>
  <c r="AI299" i="20"/>
  <c r="AH299" i="20" s="1"/>
  <c r="AI157" i="20"/>
  <c r="AH157" i="20" s="1"/>
  <c r="AI147" i="20"/>
  <c r="AH147" i="20" s="1"/>
  <c r="AI210" i="20"/>
  <c r="AH210" i="20" s="1"/>
  <c r="AI231" i="20"/>
  <c r="AH231" i="20" s="1"/>
  <c r="AI327" i="20"/>
  <c r="AH327" i="20" s="1"/>
  <c r="AI176" i="20"/>
  <c r="AH176" i="20" s="1"/>
  <c r="AI234" i="20"/>
  <c r="AH234" i="20" s="1"/>
  <c r="AI156" i="20"/>
  <c r="AH156" i="20" s="1"/>
  <c r="AI357" i="20"/>
  <c r="AH357" i="20" s="1"/>
  <c r="AI237" i="20"/>
  <c r="AH237" i="20" s="1"/>
  <c r="AI352" i="20"/>
  <c r="AH352" i="20" s="1"/>
  <c r="AI282" i="20"/>
  <c r="AH282" i="20" s="1"/>
  <c r="AI225" i="20"/>
  <c r="AH225" i="20" s="1"/>
  <c r="AI281" i="20"/>
  <c r="AH281" i="20" s="1"/>
  <c r="AI177" i="20"/>
  <c r="AH177" i="20" s="1"/>
  <c r="AI149" i="20"/>
  <c r="AH149" i="20" s="1"/>
  <c r="AI306" i="20"/>
  <c r="AH306" i="20" s="1"/>
  <c r="AI172" i="20"/>
  <c r="AH172" i="20" s="1"/>
  <c r="AI213" i="20"/>
  <c r="AH213" i="20" s="1"/>
  <c r="AI205" i="20"/>
  <c r="AH205" i="20" s="1"/>
  <c r="AI339" i="20"/>
  <c r="AH339" i="20" s="1"/>
  <c r="AI193" i="20"/>
  <c r="AH193" i="20" s="1"/>
  <c r="AI134" i="20"/>
  <c r="AH134" i="20" s="1"/>
  <c r="AI165" i="20"/>
  <c r="AH165" i="20" s="1"/>
  <c r="AI370" i="20"/>
  <c r="AH370" i="20" s="1"/>
  <c r="AI118" i="20"/>
  <c r="AH118" i="20" s="1"/>
  <c r="AI366" i="20"/>
  <c r="AH366" i="20" s="1"/>
  <c r="AI280" i="20"/>
  <c r="AH280" i="20" s="1"/>
  <c r="AI168" i="20"/>
  <c r="AH168" i="20" s="1"/>
  <c r="AI362" i="20"/>
  <c r="AH362" i="20" s="1"/>
  <c r="AI201" i="20"/>
  <c r="AH201" i="20" s="1"/>
  <c r="AI305" i="20"/>
  <c r="AH305" i="20" s="1"/>
  <c r="AI122" i="20"/>
  <c r="AH122" i="20" s="1"/>
  <c r="AI196" i="20"/>
  <c r="AH196" i="20" s="1"/>
  <c r="AI130" i="20"/>
  <c r="AH130" i="20" s="1"/>
  <c r="AI117" i="20"/>
  <c r="AH117" i="20" s="1"/>
  <c r="AI191" i="20"/>
  <c r="AH191" i="20" s="1"/>
  <c r="AI120" i="20"/>
  <c r="AH120" i="20" s="1"/>
  <c r="AI112" i="20"/>
  <c r="AH112" i="20" s="1"/>
  <c r="AI178" i="20"/>
  <c r="AH178" i="20" s="1"/>
  <c r="AI243" i="20"/>
  <c r="AH243" i="20" s="1"/>
  <c r="AI364" i="20"/>
  <c r="AH364" i="20" s="1"/>
  <c r="AI338" i="20"/>
  <c r="AH338" i="20" s="1"/>
  <c r="AI297" i="20"/>
  <c r="AH297" i="20" s="1"/>
  <c r="AI346" i="20"/>
  <c r="AH346" i="20" s="1"/>
  <c r="AI348" i="20"/>
  <c r="AH348" i="20" s="1"/>
  <c r="AI372" i="20"/>
  <c r="AH372" i="20" s="1"/>
  <c r="AI293" i="20"/>
  <c r="AH293" i="20" s="1"/>
  <c r="AI216" i="20"/>
  <c r="AH216" i="20" s="1"/>
  <c r="AI221" i="20"/>
  <c r="AH221" i="20" s="1"/>
  <c r="AI341" i="20"/>
  <c r="AH341" i="20" s="1"/>
  <c r="AI180" i="20"/>
  <c r="AH180" i="20" s="1"/>
  <c r="AI175" i="20"/>
  <c r="AH175" i="20" s="1"/>
  <c r="AI328" i="20"/>
  <c r="AH328" i="20" s="1"/>
  <c r="AI137" i="20"/>
  <c r="AH137" i="20" s="1"/>
  <c r="AI258" i="20"/>
  <c r="AH258" i="20" s="1"/>
  <c r="AI255" i="20"/>
  <c r="AH255" i="20" s="1"/>
  <c r="AI304" i="20"/>
  <c r="AH304" i="20" s="1"/>
  <c r="AI267" i="20"/>
  <c r="AH267" i="20" s="1"/>
  <c r="AI242" i="20"/>
  <c r="AH242" i="20" s="1"/>
  <c r="AI259" i="20"/>
  <c r="AH259" i="20" s="1"/>
  <c r="AI140" i="20"/>
  <c r="AH140" i="20" s="1"/>
  <c r="AI104" i="20"/>
  <c r="AI185" i="20"/>
  <c r="AH185" i="20" s="1"/>
  <c r="AI206" i="20"/>
  <c r="AH206" i="20" s="1"/>
  <c r="AI351" i="20"/>
  <c r="AH351" i="20" s="1"/>
  <c r="AI331" i="20"/>
  <c r="AH331" i="20" s="1"/>
  <c r="AI163" i="20"/>
  <c r="AH163" i="20" s="1"/>
  <c r="AI202" i="20"/>
  <c r="AH202" i="20" s="1"/>
  <c r="AI173" i="20"/>
  <c r="AH173" i="20" s="1"/>
  <c r="AI320" i="20"/>
  <c r="AH320" i="20" s="1"/>
  <c r="AI159" i="20"/>
  <c r="AH159" i="20" s="1"/>
  <c r="AI264" i="20"/>
  <c r="AH264" i="20" s="1"/>
  <c r="AI252" i="20"/>
  <c r="AH252" i="20" s="1"/>
  <c r="AI301" i="20"/>
  <c r="AH301" i="20" s="1"/>
  <c r="AI182" i="20"/>
  <c r="AH182" i="20" s="1"/>
  <c r="AI145" i="20"/>
  <c r="AH145" i="20" s="1"/>
  <c r="AI270" i="20"/>
  <c r="AH270" i="20" s="1"/>
  <c r="AI183" i="20"/>
  <c r="AH183" i="20" s="1"/>
  <c r="AI125" i="20"/>
  <c r="AH125" i="20" s="1"/>
  <c r="AI153" i="20"/>
  <c r="AH153" i="20" s="1"/>
  <c r="AI309" i="20"/>
  <c r="AH309" i="20" s="1"/>
  <c r="AI248" i="20"/>
  <c r="AH248" i="20" s="1"/>
  <c r="AI143" i="20"/>
  <c r="AH143" i="20" s="1"/>
  <c r="AI139" i="20"/>
  <c r="AH139" i="20" s="1"/>
  <c r="AI307" i="20"/>
  <c r="AH307" i="20" s="1"/>
  <c r="AI200" i="20"/>
  <c r="AH200" i="20" s="1"/>
  <c r="AI188" i="20"/>
  <c r="AH188" i="20" s="1"/>
  <c r="AI375" i="20"/>
  <c r="AH375" i="20" s="1"/>
  <c r="AI361" i="20"/>
  <c r="AH361" i="20" s="1"/>
  <c r="AI162" i="20"/>
  <c r="AH162" i="20" s="1"/>
  <c r="AI121" i="20"/>
  <c r="AH121" i="20" s="1"/>
  <c r="AI274" i="20"/>
  <c r="AH274" i="20" s="1"/>
  <c r="AI330" i="20"/>
  <c r="AH330" i="20" s="1"/>
  <c r="AI164" i="20"/>
  <c r="AH164" i="20" s="1"/>
  <c r="AI333" i="20"/>
  <c r="AH333" i="20" s="1"/>
  <c r="AI275" i="20"/>
  <c r="AH275" i="20" s="1"/>
  <c r="AI322" i="20"/>
  <c r="AH322" i="20" s="1"/>
  <c r="AI336" i="20"/>
  <c r="AH336" i="20" s="1"/>
  <c r="AI203" i="20"/>
  <c r="AH203" i="20" s="1"/>
  <c r="AI187" i="20"/>
  <c r="AH187" i="20" s="1"/>
  <c r="AI334" i="20"/>
  <c r="AH334" i="20" s="1"/>
  <c r="AI244" i="20"/>
  <c r="AH244" i="20" s="1"/>
  <c r="AI109" i="20"/>
  <c r="AH109" i="20" s="1"/>
  <c r="AI315" i="20"/>
  <c r="AH315" i="20" s="1"/>
  <c r="AI295" i="20"/>
  <c r="AH295" i="20" s="1"/>
  <c r="AI292" i="20"/>
  <c r="AH292" i="20" s="1"/>
  <c r="AI192" i="20"/>
  <c r="AH192" i="20" s="1"/>
  <c r="AI171" i="20"/>
  <c r="AH171" i="20" s="1"/>
  <c r="AI123" i="20"/>
  <c r="AH123" i="20" s="1"/>
  <c r="AI318" i="20"/>
  <c r="AH318" i="20" s="1"/>
  <c r="AI151" i="20"/>
  <c r="AH151" i="20" s="1"/>
  <c r="AI152" i="20"/>
  <c r="AH152" i="20" s="1"/>
  <c r="AI323" i="20"/>
  <c r="AH323" i="20" s="1"/>
  <c r="AI146" i="20"/>
  <c r="AH146" i="20" s="1"/>
  <c r="AI198" i="20"/>
  <c r="AH198" i="20" s="1"/>
  <c r="AI276" i="20"/>
  <c r="AH276" i="20" s="1"/>
  <c r="AI246" i="20"/>
  <c r="AH246" i="20" s="1"/>
  <c r="AI302" i="20"/>
  <c r="AH302" i="20" s="1"/>
  <c r="AI119" i="20"/>
  <c r="AH119" i="20" s="1"/>
  <c r="AI356" i="20"/>
  <c r="AH356" i="20" s="1"/>
  <c r="AI347" i="20"/>
  <c r="AH347" i="20" s="1"/>
  <c r="AI271" i="20"/>
  <c r="AH271" i="20" s="1"/>
  <c r="AI184" i="20"/>
  <c r="AH184" i="20" s="1"/>
  <c r="AI209" i="20"/>
  <c r="AH209" i="20" s="1"/>
  <c r="AI158" i="20"/>
  <c r="AH158" i="20" s="1"/>
  <c r="AI369" i="20"/>
  <c r="AH369" i="20" s="1"/>
  <c r="AI212" i="20"/>
  <c r="AH212" i="20" s="1"/>
  <c r="AI251" i="20"/>
  <c r="AH251" i="20" s="1"/>
  <c r="AI358" i="20"/>
  <c r="AH358" i="20" s="1"/>
  <c r="AI286" i="20"/>
  <c r="AH286" i="20" s="1"/>
  <c r="AI343" i="20"/>
  <c r="AH343" i="20" s="1"/>
  <c r="AI155" i="20"/>
  <c r="AH155" i="20" s="1"/>
  <c r="AI340" i="20"/>
  <c r="AH340" i="20" s="1"/>
  <c r="AI261" i="20"/>
  <c r="AH261" i="20" s="1"/>
  <c r="AI170" i="20"/>
  <c r="AH170" i="20" s="1"/>
  <c r="AI367" i="20"/>
  <c r="AH367" i="20" s="1"/>
  <c r="AI363" i="20"/>
  <c r="AH363" i="20" s="1"/>
  <c r="AI115" i="20"/>
  <c r="AH115" i="20" s="1"/>
  <c r="AI189" i="20"/>
  <c r="AH189" i="20" s="1"/>
  <c r="AI325" i="20"/>
  <c r="AH325" i="20" s="1"/>
  <c r="AI324" i="20"/>
  <c r="AH324" i="20" s="1"/>
  <c r="AI245" i="20"/>
  <c r="AH245" i="20" s="1"/>
  <c r="AI376" i="20"/>
  <c r="AH376" i="20" s="1"/>
  <c r="AI150" i="20"/>
  <c r="AH150" i="20" s="1"/>
  <c r="AI254" i="20"/>
  <c r="AH254" i="20" s="1"/>
  <c r="AI283" i="20"/>
  <c r="AH283" i="20" s="1"/>
  <c r="AI186" i="20"/>
  <c r="AH186" i="20" s="1"/>
  <c r="AI127" i="20"/>
  <c r="AH127" i="20" s="1"/>
  <c r="AI133" i="20"/>
  <c r="AH133" i="20" s="1"/>
  <c r="AI111" i="20"/>
  <c r="AH111" i="20" s="1"/>
  <c r="AI116" i="20"/>
  <c r="AH116" i="20" s="1"/>
  <c r="AI106" i="20"/>
  <c r="AH106" i="20" s="1"/>
  <c r="AI354" i="20"/>
  <c r="AH354" i="20" s="1"/>
  <c r="AI303" i="20"/>
  <c r="AH303" i="20" s="1"/>
  <c r="AI224" i="20"/>
  <c r="AH224" i="20" s="1"/>
  <c r="AI342" i="20"/>
  <c r="AH342" i="20" s="1"/>
  <c r="AI316" i="20"/>
  <c r="AH316" i="20" s="1"/>
  <c r="AI314" i="20"/>
  <c r="AH314" i="20" s="1"/>
  <c r="AI148" i="20"/>
  <c r="AH148" i="20" s="1"/>
  <c r="AI144" i="20"/>
  <c r="AH144" i="20" s="1"/>
  <c r="AI359" i="20"/>
  <c r="AH359" i="20" s="1"/>
  <c r="AI287" i="20"/>
  <c r="AH287" i="20" s="1"/>
  <c r="AI208" i="20"/>
  <c r="AH208" i="20" s="1"/>
  <c r="AI310" i="20"/>
  <c r="AH310" i="20" s="1"/>
  <c r="AI219" i="20"/>
  <c r="AH219" i="20" s="1"/>
  <c r="AI350" i="20"/>
  <c r="AH350" i="20" s="1"/>
  <c r="AI161" i="20"/>
  <c r="AH161" i="20" s="1"/>
  <c r="AI377" i="20"/>
  <c r="AH377" i="20" s="1"/>
  <c r="AI131" i="20"/>
  <c r="AH131" i="20" s="1"/>
  <c r="AI253" i="20"/>
  <c r="AH253" i="20" s="1"/>
  <c r="AI298" i="20"/>
  <c r="AH298" i="20" s="1"/>
  <c r="AI132" i="20"/>
  <c r="AH132" i="20" s="1"/>
  <c r="AI107" i="20"/>
  <c r="AH107" i="20" s="1"/>
  <c r="AI335" i="20"/>
  <c r="AH335" i="20" s="1"/>
  <c r="AI108" i="20"/>
  <c r="AH108" i="20" s="1"/>
  <c r="AI285" i="20"/>
  <c r="AH285" i="20" s="1"/>
  <c r="AI179" i="20"/>
  <c r="AH179" i="20" s="1"/>
  <c r="AI129" i="20"/>
  <c r="AH129" i="20" s="1"/>
  <c r="AI233" i="20"/>
  <c r="AH233" i="20" s="1"/>
  <c r="AI154" i="20"/>
  <c r="AH154" i="20" s="1"/>
  <c r="AI290" i="20"/>
  <c r="AH290" i="20" s="1"/>
  <c r="AI256" i="20"/>
  <c r="AH256" i="20" s="1"/>
  <c r="AI379" i="20"/>
  <c r="AI204" i="20"/>
  <c r="AH204" i="20" s="1"/>
  <c r="AI217" i="20"/>
  <c r="AH217" i="20" s="1"/>
  <c r="AI138" i="20"/>
  <c r="AH138" i="20" s="1"/>
  <c r="AI235" i="20"/>
  <c r="AH235" i="20" s="1"/>
  <c r="AI215" i="20"/>
  <c r="AH215" i="20" s="1"/>
  <c r="AI194" i="20"/>
  <c r="AH194" i="20" s="1"/>
  <c r="AI294" i="20"/>
  <c r="AH294" i="20" s="1"/>
  <c r="AI124" i="20"/>
  <c r="AH124" i="20" s="1"/>
  <c r="AI345" i="20"/>
  <c r="AH345" i="20" s="1"/>
  <c r="AI266" i="20"/>
  <c r="AH266" i="20" s="1"/>
  <c r="AI135" i="20"/>
  <c r="AH135" i="20" s="1"/>
  <c r="AI226" i="20"/>
  <c r="AH226" i="20" s="1"/>
  <c r="AI288" i="20"/>
  <c r="AH288" i="20" s="1"/>
  <c r="AI257" i="20"/>
  <c r="AH257" i="20" s="1"/>
  <c r="AI169" i="20"/>
  <c r="AH169" i="20" s="1"/>
  <c r="AI317" i="20"/>
  <c r="AH317" i="20" s="1"/>
  <c r="AI329" i="20"/>
  <c r="AH329" i="20" s="1"/>
  <c r="AI250" i="20"/>
  <c r="AH250" i="20" s="1"/>
  <c r="AI319" i="20"/>
  <c r="AH319" i="20" s="1"/>
  <c r="AI240" i="20"/>
  <c r="AH240" i="20" s="1"/>
  <c r="AI128" i="20"/>
  <c r="AH128" i="20" s="1"/>
  <c r="AI230" i="20"/>
  <c r="AH230" i="20" s="1"/>
  <c r="AI279" i="20"/>
  <c r="AH279" i="20" s="1"/>
  <c r="AI265" i="20"/>
  <c r="AH265" i="20" s="1"/>
  <c r="AI365" i="20"/>
  <c r="AH365" i="20" s="1"/>
  <c r="AI291" i="20"/>
  <c r="AH291" i="20" s="1"/>
  <c r="AI277" i="20"/>
  <c r="AH277" i="20" s="1"/>
  <c r="AI214" i="20"/>
  <c r="AH214" i="20" s="1"/>
  <c r="AI262" i="20"/>
  <c r="AH262" i="20" s="1"/>
  <c r="AI241" i="20"/>
  <c r="AH241" i="20" s="1"/>
  <c r="AI308" i="20"/>
  <c r="AH308" i="20" s="1"/>
  <c r="AI229" i="20"/>
  <c r="AH229" i="20" s="1"/>
  <c r="AI344" i="20"/>
  <c r="AH344" i="20" s="1"/>
  <c r="AI114" i="20"/>
  <c r="AH114" i="20" s="1"/>
  <c r="AI227" i="20"/>
  <c r="AH227" i="20" s="1"/>
  <c r="AI113" i="20"/>
  <c r="AH113" i="20" s="1"/>
  <c r="AI197" i="20"/>
  <c r="AH197" i="20" s="1"/>
  <c r="AI223" i="20"/>
  <c r="AH223" i="20" s="1"/>
  <c r="AI289" i="20"/>
  <c r="AH289" i="20" s="1"/>
  <c r="AI313" i="20"/>
  <c r="AH313" i="20" s="1"/>
  <c r="AI312" i="20"/>
  <c r="AH312" i="20" s="1"/>
  <c r="AI211" i="20"/>
  <c r="AH211" i="20" s="1"/>
  <c r="AI355" i="20"/>
  <c r="AH355" i="20" s="1"/>
  <c r="AI222" i="20"/>
  <c r="AH222" i="20" s="1"/>
  <c r="AI142" i="20"/>
  <c r="AH142" i="20" s="1"/>
  <c r="D9" i="18"/>
  <c r="D11" i="18" s="1"/>
  <c r="E39" i="19" s="1"/>
  <c r="D382" i="18"/>
  <c r="D54" i="20"/>
  <c r="E54" i="20" s="1"/>
  <c r="F54" i="20" s="1"/>
  <c r="W54" i="20"/>
  <c r="H159" i="18"/>
  <c r="I159" i="18" s="1"/>
  <c r="AA266" i="18"/>
  <c r="Z266" i="18" s="1"/>
  <c r="Y266" i="18" s="1"/>
  <c r="G165" i="18"/>
  <c r="CA165" i="6" s="1"/>
  <c r="AA61" i="18"/>
  <c r="Z61" i="18" s="1"/>
  <c r="Y61" i="18" s="1"/>
  <c r="D381" i="18"/>
  <c r="AA132" i="18"/>
  <c r="Z132" i="18" s="1"/>
  <c r="Y132" i="18" s="1"/>
  <c r="H62" i="18"/>
  <c r="J62" i="18" s="1"/>
  <c r="AA24" i="18"/>
  <c r="Z24" i="18" s="1"/>
  <c r="Y24" i="18" s="1"/>
  <c r="G275" i="18"/>
  <c r="CA275" i="6" s="1"/>
  <c r="H177" i="18"/>
  <c r="J177" i="18" s="1"/>
  <c r="AA257" i="18"/>
  <c r="Z257" i="18" s="1"/>
  <c r="Y257" i="18" s="1"/>
  <c r="D172" i="20"/>
  <c r="E172" i="20" s="1"/>
  <c r="F172" i="20" s="1"/>
  <c r="W172" i="20"/>
  <c r="D297" i="20"/>
  <c r="E297" i="20" s="1"/>
  <c r="F297" i="20" s="1"/>
  <c r="W297" i="20"/>
  <c r="D194" i="20"/>
  <c r="E194" i="20" s="1"/>
  <c r="F194" i="20" s="1"/>
  <c r="W194" i="20"/>
  <c r="W364" i="20"/>
  <c r="D364" i="20"/>
  <c r="E364" i="20" s="1"/>
  <c r="F364" i="20" s="1"/>
  <c r="W160" i="20"/>
  <c r="D160" i="20"/>
  <c r="E160" i="20" s="1"/>
  <c r="F160" i="20" s="1"/>
  <c r="W132" i="20"/>
  <c r="D132" i="20"/>
  <c r="E132" i="20" s="1"/>
  <c r="F132" i="20" s="1"/>
  <c r="W368" i="20"/>
  <c r="D368" i="20"/>
  <c r="E368" i="20" s="1"/>
  <c r="F368" i="20" s="1"/>
  <c r="D69" i="20"/>
  <c r="E69" i="20" s="1"/>
  <c r="F69" i="20" s="1"/>
  <c r="W69" i="20"/>
  <c r="D114" i="20"/>
  <c r="E114" i="20" s="1"/>
  <c r="F114" i="20" s="1"/>
  <c r="W114" i="20"/>
  <c r="D274" i="20"/>
  <c r="E274" i="20" s="1"/>
  <c r="F274" i="20" s="1"/>
  <c r="W274" i="20"/>
  <c r="W331" i="20"/>
  <c r="D331" i="20"/>
  <c r="E331" i="20" s="1"/>
  <c r="F331" i="20" s="1"/>
  <c r="AH23" i="7"/>
  <c r="V119" i="20"/>
  <c r="B119" i="20" s="1"/>
  <c r="W155" i="20"/>
  <c r="D155" i="20"/>
  <c r="E155" i="20" s="1"/>
  <c r="F155" i="20" s="1"/>
  <c r="D370" i="20"/>
  <c r="E370" i="20" s="1"/>
  <c r="F370" i="20" s="1"/>
  <c r="W370" i="20"/>
  <c r="D375" i="20"/>
  <c r="E375" i="20" s="1"/>
  <c r="F375" i="20" s="1"/>
  <c r="W375" i="20"/>
  <c r="W150" i="20"/>
  <c r="D150" i="20"/>
  <c r="E150" i="20" s="1"/>
  <c r="F150" i="20" s="1"/>
  <c r="W147" i="20"/>
  <c r="D147" i="20"/>
  <c r="E147" i="20" s="1"/>
  <c r="F147" i="20" s="1"/>
  <c r="W359" i="20"/>
  <c r="D359" i="20"/>
  <c r="E359" i="20" s="1"/>
  <c r="F359" i="20" s="1"/>
  <c r="D145" i="20"/>
  <c r="E145" i="20" s="1"/>
  <c r="F145" i="20" s="1"/>
  <c r="W145" i="20"/>
  <c r="D30" i="20"/>
  <c r="E30" i="20" s="1"/>
  <c r="F30" i="20" s="1"/>
  <c r="W30" i="20"/>
  <c r="D216" i="20"/>
  <c r="E216" i="20" s="1"/>
  <c r="F216" i="20" s="1"/>
  <c r="W216" i="20"/>
  <c r="W330" i="20"/>
  <c r="D330" i="20"/>
  <c r="E330" i="20" s="1"/>
  <c r="F330" i="20" s="1"/>
  <c r="D131" i="20"/>
  <c r="E131" i="20" s="1"/>
  <c r="F131" i="20" s="1"/>
  <c r="W131" i="20"/>
  <c r="W33" i="20"/>
  <c r="D33" i="20"/>
  <c r="E33" i="20" s="1"/>
  <c r="F33" i="20" s="1"/>
  <c r="D141" i="20"/>
  <c r="E141" i="20" s="1"/>
  <c r="F141" i="20" s="1"/>
  <c r="W141" i="20"/>
  <c r="D68" i="20"/>
  <c r="E68" i="20" s="1"/>
  <c r="F68" i="20" s="1"/>
  <c r="W68" i="20"/>
  <c r="W230" i="20"/>
  <c r="D230" i="20"/>
  <c r="E230" i="20" s="1"/>
  <c r="F230" i="20" s="1"/>
  <c r="W85" i="20"/>
  <c r="D85" i="20"/>
  <c r="E85" i="20" s="1"/>
  <c r="F85" i="20" s="1"/>
  <c r="W186" i="20"/>
  <c r="D186" i="20"/>
  <c r="E186" i="20" s="1"/>
  <c r="F186" i="20" s="1"/>
  <c r="W153" i="20"/>
  <c r="D153" i="20"/>
  <c r="E153" i="20" s="1"/>
  <c r="F153" i="20" s="1"/>
  <c r="W195" i="20"/>
  <c r="D195" i="20"/>
  <c r="E195" i="20" s="1"/>
  <c r="F195" i="20" s="1"/>
  <c r="D234" i="20"/>
  <c r="E234" i="20" s="1"/>
  <c r="F234" i="20" s="1"/>
  <c r="W234" i="20"/>
  <c r="W223" i="20"/>
  <c r="D223" i="20"/>
  <c r="E223" i="20" s="1"/>
  <c r="F223" i="20" s="1"/>
  <c r="W249" i="20"/>
  <c r="D249" i="20"/>
  <c r="E249" i="20" s="1"/>
  <c r="F249" i="20" s="1"/>
  <c r="D107" i="20"/>
  <c r="E107" i="20" s="1"/>
  <c r="F107" i="20" s="1"/>
  <c r="W107" i="20"/>
  <c r="V29" i="20"/>
  <c r="AH20" i="7"/>
  <c r="W250" i="20"/>
  <c r="D250" i="20"/>
  <c r="E250" i="20" s="1"/>
  <c r="F250" i="20" s="1"/>
  <c r="D25" i="20"/>
  <c r="E25" i="20" s="1"/>
  <c r="F25" i="20" s="1"/>
  <c r="W25" i="20"/>
  <c r="D47" i="20"/>
  <c r="E47" i="20" s="1"/>
  <c r="F47" i="20" s="1"/>
  <c r="W47" i="20"/>
  <c r="W208" i="20"/>
  <c r="D208" i="20"/>
  <c r="E208" i="20" s="1"/>
  <c r="F208" i="20" s="1"/>
  <c r="W37" i="20"/>
  <c r="D37" i="20"/>
  <c r="E37" i="20" s="1"/>
  <c r="F37" i="20" s="1"/>
  <c r="W112" i="20"/>
  <c r="D112" i="20"/>
  <c r="E112" i="20" s="1"/>
  <c r="F112" i="20" s="1"/>
  <c r="D72" i="20"/>
  <c r="E72" i="20" s="1"/>
  <c r="F72" i="20" s="1"/>
  <c r="W72" i="20"/>
  <c r="V363" i="20"/>
  <c r="B363" i="20" s="1"/>
  <c r="AH31" i="7"/>
  <c r="AH28" i="7"/>
  <c r="V272" i="20"/>
  <c r="B272" i="20" s="1"/>
  <c r="D338" i="20"/>
  <c r="E338" i="20" s="1"/>
  <c r="F338" i="20" s="1"/>
  <c r="W338" i="20"/>
  <c r="W175" i="20"/>
  <c r="D175" i="20"/>
  <c r="E175" i="20" s="1"/>
  <c r="F175" i="20" s="1"/>
  <c r="D339" i="20"/>
  <c r="E339" i="20" s="1"/>
  <c r="F339" i="20" s="1"/>
  <c r="W339" i="20"/>
  <c r="D156" i="20"/>
  <c r="E156" i="20" s="1"/>
  <c r="F156" i="20" s="1"/>
  <c r="W156" i="20"/>
  <c r="W34" i="20"/>
  <c r="D34" i="20"/>
  <c r="E34" i="20" s="1"/>
  <c r="F34" i="20" s="1"/>
  <c r="W110" i="20"/>
  <c r="D110" i="20"/>
  <c r="E110" i="20" s="1"/>
  <c r="F110" i="20" s="1"/>
  <c r="W75" i="20"/>
  <c r="D75" i="20"/>
  <c r="E75" i="20" s="1"/>
  <c r="F75" i="20" s="1"/>
  <c r="D351" i="20"/>
  <c r="E351" i="20" s="1"/>
  <c r="F351" i="20" s="1"/>
  <c r="W351" i="20"/>
  <c r="W345" i="20"/>
  <c r="D345" i="20"/>
  <c r="E345" i="20" s="1"/>
  <c r="F345" i="20" s="1"/>
  <c r="W192" i="20"/>
  <c r="D192" i="20"/>
  <c r="E192" i="20" s="1"/>
  <c r="F192" i="20" s="1"/>
  <c r="W303" i="20"/>
  <c r="D303" i="20"/>
  <c r="E303" i="20" s="1"/>
  <c r="F303" i="20" s="1"/>
  <c r="W178" i="20"/>
  <c r="D178" i="20"/>
  <c r="E178" i="20" s="1"/>
  <c r="F178" i="20" s="1"/>
  <c r="W264" i="20"/>
  <c r="D264" i="20"/>
  <c r="E264" i="20" s="1"/>
  <c r="F264" i="20" s="1"/>
  <c r="D369" i="20"/>
  <c r="E369" i="20" s="1"/>
  <c r="F369" i="20" s="1"/>
  <c r="W369" i="20"/>
  <c r="D286" i="20"/>
  <c r="E286" i="20" s="1"/>
  <c r="F286" i="20" s="1"/>
  <c r="W286" i="20"/>
  <c r="D167" i="20"/>
  <c r="E167" i="20" s="1"/>
  <c r="F167" i="20" s="1"/>
  <c r="W167" i="20"/>
  <c r="D203" i="20"/>
  <c r="E203" i="20" s="1"/>
  <c r="F203" i="20" s="1"/>
  <c r="W203" i="20"/>
  <c r="W56" i="20"/>
  <c r="D56" i="20"/>
  <c r="E56" i="20" s="1"/>
  <c r="F56" i="20" s="1"/>
  <c r="D260" i="20"/>
  <c r="E260" i="20" s="1"/>
  <c r="F260" i="20" s="1"/>
  <c r="W260" i="20"/>
  <c r="W151" i="20"/>
  <c r="D151" i="20"/>
  <c r="E151" i="20" s="1"/>
  <c r="F151" i="20" s="1"/>
  <c r="D341" i="20"/>
  <c r="E341" i="20" s="1"/>
  <c r="F341" i="20" s="1"/>
  <c r="W341" i="20"/>
  <c r="W262" i="20"/>
  <c r="D262" i="20"/>
  <c r="E262" i="20" s="1"/>
  <c r="F262" i="20" s="1"/>
  <c r="D157" i="20"/>
  <c r="E157" i="20" s="1"/>
  <c r="F157" i="20" s="1"/>
  <c r="W157" i="20"/>
  <c r="W360" i="20"/>
  <c r="D360" i="20"/>
  <c r="E360" i="20" s="1"/>
  <c r="F360" i="20" s="1"/>
  <c r="W61" i="20"/>
  <c r="D61" i="20"/>
  <c r="E61" i="20" s="1"/>
  <c r="F61" i="20" s="1"/>
  <c r="D346" i="20"/>
  <c r="E346" i="20" s="1"/>
  <c r="F346" i="20" s="1"/>
  <c r="W346" i="20"/>
  <c r="D217" i="20"/>
  <c r="E217" i="20" s="1"/>
  <c r="F217" i="20" s="1"/>
  <c r="W217" i="20"/>
  <c r="W361" i="20"/>
  <c r="D361" i="20"/>
  <c r="E361" i="20" s="1"/>
  <c r="F361" i="20" s="1"/>
  <c r="D98" i="20"/>
  <c r="E98" i="20" s="1"/>
  <c r="F98" i="20" s="1"/>
  <c r="W98" i="20"/>
  <c r="V302" i="20"/>
  <c r="AH29" i="7"/>
  <c r="W199" i="20"/>
  <c r="D199" i="20"/>
  <c r="E199" i="20" s="1"/>
  <c r="F199" i="20" s="1"/>
  <c r="W305" i="20"/>
  <c r="D305" i="20"/>
  <c r="E305" i="20" s="1"/>
  <c r="F305" i="20" s="1"/>
  <c r="D232" i="20"/>
  <c r="E232" i="20" s="1"/>
  <c r="F232" i="20" s="1"/>
  <c r="W232" i="20"/>
  <c r="W340" i="20"/>
  <c r="D340" i="20"/>
  <c r="E340" i="20" s="1"/>
  <c r="F340" i="20" s="1"/>
  <c r="D154" i="20"/>
  <c r="E154" i="20" s="1"/>
  <c r="F154" i="20" s="1"/>
  <c r="W154" i="20"/>
  <c r="W308" i="20"/>
  <c r="D308" i="20"/>
  <c r="E308" i="20" s="1"/>
  <c r="F308" i="20" s="1"/>
  <c r="W66" i="20"/>
  <c r="D66" i="20"/>
  <c r="E66" i="20" s="1"/>
  <c r="F66" i="20" s="1"/>
  <c r="W300" i="20"/>
  <c r="D300" i="20"/>
  <c r="E300" i="20" s="1"/>
  <c r="F300" i="20" s="1"/>
  <c r="D96" i="20"/>
  <c r="E96" i="20" s="1"/>
  <c r="F96" i="20" s="1"/>
  <c r="W96" i="20"/>
  <c r="J66" i="19"/>
  <c r="D269" i="20"/>
  <c r="E269" i="20" s="1"/>
  <c r="F269" i="20" s="1"/>
  <c r="W269" i="20"/>
  <c r="W294" i="20"/>
  <c r="D294" i="20"/>
  <c r="E294" i="20" s="1"/>
  <c r="F294" i="20" s="1"/>
  <c r="W187" i="20"/>
  <c r="D187" i="20"/>
  <c r="E187" i="20" s="1"/>
  <c r="F187" i="20" s="1"/>
  <c r="D201" i="20"/>
  <c r="E201" i="20" s="1"/>
  <c r="F201" i="20" s="1"/>
  <c r="W201" i="20"/>
  <c r="W284" i="20"/>
  <c r="D284" i="20"/>
  <c r="E284" i="20" s="1"/>
  <c r="F284" i="20" s="1"/>
  <c r="W366" i="20"/>
  <c r="D366" i="20"/>
  <c r="E366" i="20" s="1"/>
  <c r="F366" i="20" s="1"/>
  <c r="D120" i="20"/>
  <c r="E120" i="20" s="1"/>
  <c r="F120" i="20" s="1"/>
  <c r="W120" i="20"/>
  <c r="D70" i="20"/>
  <c r="E70" i="20" s="1"/>
  <c r="F70" i="20" s="1"/>
  <c r="W70" i="20"/>
  <c r="W239" i="20"/>
  <c r="D239" i="20"/>
  <c r="E239" i="20" s="1"/>
  <c r="F239" i="20" s="1"/>
  <c r="D353" i="20"/>
  <c r="E353" i="20" s="1"/>
  <c r="F353" i="20" s="1"/>
  <c r="W353" i="20"/>
  <c r="D365" i="20"/>
  <c r="E365" i="20" s="1"/>
  <c r="F365" i="20" s="1"/>
  <c r="W365" i="20"/>
  <c r="D116" i="20"/>
  <c r="E116" i="20" s="1"/>
  <c r="F116" i="20" s="1"/>
  <c r="W116" i="20"/>
  <c r="D246" i="20"/>
  <c r="E246" i="20" s="1"/>
  <c r="F246" i="20" s="1"/>
  <c r="W246" i="20"/>
  <c r="D320" i="20"/>
  <c r="E320" i="20" s="1"/>
  <c r="F320" i="20" s="1"/>
  <c r="W320" i="20"/>
  <c r="D283" i="20"/>
  <c r="E283" i="20" s="1"/>
  <c r="F283" i="20" s="1"/>
  <c r="W283" i="20"/>
  <c r="W229" i="20"/>
  <c r="D229" i="20"/>
  <c r="E229" i="20" s="1"/>
  <c r="F229" i="20" s="1"/>
  <c r="W159" i="20"/>
  <c r="D159" i="20"/>
  <c r="E159" i="20" s="1"/>
  <c r="F159" i="20" s="1"/>
  <c r="W311" i="20"/>
  <c r="D311" i="20"/>
  <c r="E311" i="20" s="1"/>
  <c r="F311" i="20" s="1"/>
  <c r="D357" i="20"/>
  <c r="E357" i="20" s="1"/>
  <c r="F357" i="20" s="1"/>
  <c r="W357" i="20"/>
  <c r="D334" i="20"/>
  <c r="E334" i="20" s="1"/>
  <c r="F334" i="20" s="1"/>
  <c r="W334" i="20"/>
  <c r="D263" i="20"/>
  <c r="E263" i="20" s="1"/>
  <c r="F263" i="20" s="1"/>
  <c r="W263" i="20"/>
  <c r="W171" i="20"/>
  <c r="D171" i="20"/>
  <c r="E171" i="20" s="1"/>
  <c r="F171" i="20" s="1"/>
  <c r="W104" i="20"/>
  <c r="D104" i="20"/>
  <c r="E104" i="20" s="1"/>
  <c r="F104" i="20" s="1"/>
  <c r="W191" i="20"/>
  <c r="D191" i="20"/>
  <c r="E191" i="20" s="1"/>
  <c r="F191" i="20" s="1"/>
  <c r="D261" i="20"/>
  <c r="E261" i="20" s="1"/>
  <c r="F261" i="20" s="1"/>
  <c r="W261" i="20"/>
  <c r="W356" i="20"/>
  <c r="D356" i="20"/>
  <c r="E356" i="20" s="1"/>
  <c r="F356" i="20" s="1"/>
  <c r="W121" i="20"/>
  <c r="D121" i="20"/>
  <c r="E121" i="20" s="1"/>
  <c r="F121" i="20" s="1"/>
  <c r="D362" i="20"/>
  <c r="E362" i="20" s="1"/>
  <c r="F362" i="20" s="1"/>
  <c r="W362" i="20"/>
  <c r="D21" i="20"/>
  <c r="E21" i="20" s="1"/>
  <c r="F21" i="20" s="1"/>
  <c r="W21" i="20"/>
  <c r="W51" i="20"/>
  <c r="D51" i="20"/>
  <c r="E51" i="20" s="1"/>
  <c r="F51" i="20" s="1"/>
  <c r="D177" i="20"/>
  <c r="E177" i="20" s="1"/>
  <c r="F177" i="20" s="1"/>
  <c r="W177" i="20"/>
  <c r="D63" i="20"/>
  <c r="E63" i="20" s="1"/>
  <c r="F63" i="20" s="1"/>
  <c r="W63" i="20"/>
  <c r="W304" i="20"/>
  <c r="D304" i="20"/>
  <c r="E304" i="20" s="1"/>
  <c r="F304" i="20" s="1"/>
  <c r="D327" i="20"/>
  <c r="E327" i="20" s="1"/>
  <c r="F327" i="20" s="1"/>
  <c r="W327" i="20"/>
  <c r="W91" i="20"/>
  <c r="D91" i="20"/>
  <c r="E91" i="20" s="1"/>
  <c r="F91" i="20" s="1"/>
  <c r="D315" i="20"/>
  <c r="E315" i="20" s="1"/>
  <c r="F315" i="20" s="1"/>
  <c r="W315" i="20"/>
  <c r="D101" i="20"/>
  <c r="E101" i="20" s="1"/>
  <c r="F101" i="20" s="1"/>
  <c r="W101" i="20"/>
  <c r="D277" i="20"/>
  <c r="E277" i="20" s="1"/>
  <c r="F277" i="20" s="1"/>
  <c r="W277" i="20"/>
  <c r="W270" i="20"/>
  <c r="D270" i="20"/>
  <c r="E270" i="20" s="1"/>
  <c r="F270" i="20" s="1"/>
  <c r="D299" i="20"/>
  <c r="E299" i="20" s="1"/>
  <c r="F299" i="20" s="1"/>
  <c r="W299" i="20"/>
  <c r="W213" i="20"/>
  <c r="D213" i="20"/>
  <c r="E213" i="20" s="1"/>
  <c r="F213" i="20" s="1"/>
  <c r="W40" i="20"/>
  <c r="D40" i="20"/>
  <c r="E40" i="20" s="1"/>
  <c r="F40" i="20" s="1"/>
  <c r="D122" i="20"/>
  <c r="E122" i="20" s="1"/>
  <c r="F122" i="20" s="1"/>
  <c r="W122" i="20"/>
  <c r="D276" i="20"/>
  <c r="E276" i="20" s="1"/>
  <c r="F276" i="20" s="1"/>
  <c r="W276" i="20"/>
  <c r="D163" i="20"/>
  <c r="E163" i="20" s="1"/>
  <c r="F163" i="20" s="1"/>
  <c r="W163" i="20"/>
  <c r="W64" i="20"/>
  <c r="D64" i="20"/>
  <c r="E64" i="20" s="1"/>
  <c r="F64" i="20" s="1"/>
  <c r="D140" i="20"/>
  <c r="E140" i="20" s="1"/>
  <c r="F140" i="20" s="1"/>
  <c r="W140" i="20"/>
  <c r="W280" i="20"/>
  <c r="D280" i="20"/>
  <c r="E280" i="20" s="1"/>
  <c r="F280" i="20" s="1"/>
  <c r="W80" i="20"/>
  <c r="D80" i="20"/>
  <c r="E80" i="20" s="1"/>
  <c r="F80" i="20" s="1"/>
  <c r="D290" i="20"/>
  <c r="E290" i="20" s="1"/>
  <c r="F290" i="20" s="1"/>
  <c r="W290" i="20"/>
  <c r="W143" i="20"/>
  <c r="D143" i="20"/>
  <c r="E143" i="20" s="1"/>
  <c r="F143" i="20" s="1"/>
  <c r="W59" i="20"/>
  <c r="D59" i="20"/>
  <c r="E59" i="20" s="1"/>
  <c r="F59" i="20" s="1"/>
  <c r="D348" i="20"/>
  <c r="E348" i="20" s="1"/>
  <c r="F348" i="20" s="1"/>
  <c r="W348" i="20"/>
  <c r="W158" i="20"/>
  <c r="D158" i="20"/>
  <c r="E158" i="20" s="1"/>
  <c r="F158" i="20" s="1"/>
  <c r="W39" i="20"/>
  <c r="D39" i="20"/>
  <c r="E39" i="20" s="1"/>
  <c r="F39" i="20" s="1"/>
  <c r="W209" i="20"/>
  <c r="D209" i="20"/>
  <c r="E209" i="20" s="1"/>
  <c r="F209" i="20" s="1"/>
  <c r="W350" i="20"/>
  <c r="D350" i="20"/>
  <c r="E350" i="20" s="1"/>
  <c r="F350" i="20" s="1"/>
  <c r="D117" i="20"/>
  <c r="E117" i="20" s="1"/>
  <c r="F117" i="20" s="1"/>
  <c r="W117" i="20"/>
  <c r="W138" i="20"/>
  <c r="D138" i="20"/>
  <c r="E138" i="20" s="1"/>
  <c r="F138" i="20" s="1"/>
  <c r="D374" i="20"/>
  <c r="E374" i="20" s="1"/>
  <c r="F374" i="20" s="1"/>
  <c r="W374" i="20"/>
  <c r="D161" i="20"/>
  <c r="E161" i="20" s="1"/>
  <c r="F161" i="20" s="1"/>
  <c r="W161" i="20"/>
  <c r="W58" i="20"/>
  <c r="D58" i="20"/>
  <c r="E58" i="20" s="1"/>
  <c r="F58" i="20" s="1"/>
  <c r="W179" i="20"/>
  <c r="D179" i="20"/>
  <c r="E179" i="20" s="1"/>
  <c r="F179" i="20" s="1"/>
  <c r="AH21" i="7"/>
  <c r="V60" i="20"/>
  <c r="B60" i="20" s="1"/>
  <c r="W309" i="20"/>
  <c r="D309" i="20"/>
  <c r="E309" i="20" s="1"/>
  <c r="F309" i="20" s="1"/>
  <c r="D211" i="20"/>
  <c r="E211" i="20" s="1"/>
  <c r="F211" i="20" s="1"/>
  <c r="W211" i="20"/>
  <c r="D255" i="20"/>
  <c r="E255" i="20" s="1"/>
  <c r="F255" i="20" s="1"/>
  <c r="W255" i="20"/>
  <c r="W266" i="20"/>
  <c r="D266" i="20"/>
  <c r="E266" i="20" s="1"/>
  <c r="F266" i="20" s="1"/>
  <c r="D31" i="20"/>
  <c r="E31" i="20" s="1"/>
  <c r="F31" i="20" s="1"/>
  <c r="W31" i="20"/>
  <c r="D77" i="20"/>
  <c r="E77" i="20" s="1"/>
  <c r="F77" i="20" s="1"/>
  <c r="W77" i="20"/>
  <c r="D36" i="20"/>
  <c r="E36" i="20" s="1"/>
  <c r="F36" i="20" s="1"/>
  <c r="W36" i="20"/>
  <c r="W198" i="20"/>
  <c r="D198" i="20"/>
  <c r="E198" i="20" s="1"/>
  <c r="F198" i="20" s="1"/>
  <c r="D254" i="20"/>
  <c r="E254" i="20" s="1"/>
  <c r="F254" i="20" s="1"/>
  <c r="W254" i="20"/>
  <c r="D314" i="20"/>
  <c r="E314" i="20" s="1"/>
  <c r="F314" i="20" s="1"/>
  <c r="W314" i="20"/>
  <c r="W259" i="20"/>
  <c r="D259" i="20"/>
  <c r="E259" i="20" s="1"/>
  <c r="F259" i="20" s="1"/>
  <c r="W41" i="20"/>
  <c r="D41" i="20"/>
  <c r="E41" i="20" s="1"/>
  <c r="F41" i="20" s="1"/>
  <c r="D19" i="20"/>
  <c r="E19" i="20" s="1"/>
  <c r="F19" i="20" s="1"/>
  <c r="W19" i="20"/>
  <c r="W188" i="20"/>
  <c r="D188" i="20"/>
  <c r="E188" i="20" s="1"/>
  <c r="F188" i="20" s="1"/>
  <c r="J336" i="18"/>
  <c r="I336" i="18"/>
  <c r="I365" i="18"/>
  <c r="J365" i="18"/>
  <c r="J298" i="18"/>
  <c r="I298" i="18"/>
  <c r="J377" i="18"/>
  <c r="I377" i="18"/>
  <c r="J290" i="18"/>
  <c r="I290" i="18"/>
  <c r="J366" i="18"/>
  <c r="I366" i="18"/>
  <c r="H252" i="18"/>
  <c r="AA252" i="18"/>
  <c r="Z252" i="18" s="1"/>
  <c r="Y252" i="18" s="1"/>
  <c r="G252" i="18"/>
  <c r="CA252" i="6" s="1"/>
  <c r="I227" i="18"/>
  <c r="J227" i="18"/>
  <c r="D183" i="20"/>
  <c r="E183" i="20" s="1"/>
  <c r="F183" i="20" s="1"/>
  <c r="W183" i="20"/>
  <c r="D257" i="20"/>
  <c r="E257" i="20" s="1"/>
  <c r="F257" i="20" s="1"/>
  <c r="W257" i="20"/>
  <c r="D173" i="20"/>
  <c r="E173" i="20" s="1"/>
  <c r="F173" i="20" s="1"/>
  <c r="W173" i="20"/>
  <c r="W354" i="20"/>
  <c r="D354" i="20"/>
  <c r="E354" i="20" s="1"/>
  <c r="F354" i="20" s="1"/>
  <c r="D73" i="20"/>
  <c r="E73" i="20" s="1"/>
  <c r="F73" i="20" s="1"/>
  <c r="W73" i="20"/>
  <c r="W76" i="20"/>
  <c r="D76" i="20"/>
  <c r="E76" i="20" s="1"/>
  <c r="F76" i="20" s="1"/>
  <c r="W344" i="20"/>
  <c r="D344" i="20"/>
  <c r="E344" i="20" s="1"/>
  <c r="F344" i="20" s="1"/>
  <c r="D313" i="20"/>
  <c r="E313" i="20" s="1"/>
  <c r="F313" i="20" s="1"/>
  <c r="W313" i="20"/>
  <c r="W358" i="20"/>
  <c r="D358" i="20"/>
  <c r="E358" i="20" s="1"/>
  <c r="F358" i="20" s="1"/>
  <c r="W152" i="20"/>
  <c r="D152" i="20"/>
  <c r="E152" i="20" s="1"/>
  <c r="F152" i="20" s="1"/>
  <c r="D148" i="20"/>
  <c r="E148" i="20" s="1"/>
  <c r="F148" i="20" s="1"/>
  <c r="W148" i="20"/>
  <c r="W16" i="20"/>
  <c r="D16" i="20"/>
  <c r="E16" i="20" s="1"/>
  <c r="F16" i="20" s="1"/>
  <c r="V210" i="20"/>
  <c r="B210" i="20" s="1"/>
  <c r="AH26" i="7"/>
  <c r="D247" i="20"/>
  <c r="E247" i="20" s="1"/>
  <c r="F247" i="20" s="1"/>
  <c r="W247" i="20"/>
  <c r="W65" i="20"/>
  <c r="D65" i="20"/>
  <c r="E65" i="20" s="1"/>
  <c r="F65" i="20" s="1"/>
  <c r="W296" i="20"/>
  <c r="D296" i="20"/>
  <c r="E296" i="20" s="1"/>
  <c r="F296" i="20" s="1"/>
  <c r="D325" i="20"/>
  <c r="E325" i="20" s="1"/>
  <c r="F325" i="20" s="1"/>
  <c r="W325" i="20"/>
  <c r="W378" i="20"/>
  <c r="D378" i="20"/>
  <c r="E378" i="20" s="1"/>
  <c r="F378" i="20" s="1"/>
  <c r="D48" i="20"/>
  <c r="E48" i="20" s="1"/>
  <c r="F48" i="20" s="1"/>
  <c r="W48" i="20"/>
  <c r="W242" i="20"/>
  <c r="D242" i="20"/>
  <c r="E242" i="20" s="1"/>
  <c r="F242" i="20" s="1"/>
  <c r="W281" i="20"/>
  <c r="D281" i="20"/>
  <c r="E281" i="20" s="1"/>
  <c r="F281" i="20" s="1"/>
  <c r="D79" i="20"/>
  <c r="E79" i="20" s="1"/>
  <c r="F79" i="20" s="1"/>
  <c r="W79" i="20"/>
  <c r="D343" i="20"/>
  <c r="E343" i="20" s="1"/>
  <c r="F343" i="20" s="1"/>
  <c r="W343" i="20"/>
  <c r="D193" i="20"/>
  <c r="E193" i="20" s="1"/>
  <c r="F193" i="20" s="1"/>
  <c r="W193" i="20"/>
  <c r="D197" i="20"/>
  <c r="E197" i="20" s="1"/>
  <c r="F197" i="20" s="1"/>
  <c r="W197" i="20"/>
  <c r="W329" i="20"/>
  <c r="D329" i="20"/>
  <c r="E329" i="20" s="1"/>
  <c r="F329" i="20" s="1"/>
  <c r="W50" i="20"/>
  <c r="D50" i="20"/>
  <c r="E50" i="20" s="1"/>
  <c r="F50" i="20" s="1"/>
  <c r="D220" i="20"/>
  <c r="E220" i="20" s="1"/>
  <c r="F220" i="20" s="1"/>
  <c r="W220" i="20"/>
  <c r="D352" i="20"/>
  <c r="E352" i="20" s="1"/>
  <c r="F352" i="20" s="1"/>
  <c r="W352" i="20"/>
  <c r="D78" i="20"/>
  <c r="E78" i="20" s="1"/>
  <c r="F78" i="20" s="1"/>
  <c r="W78" i="20"/>
  <c r="W347" i="20"/>
  <c r="D347" i="20"/>
  <c r="E347" i="20" s="1"/>
  <c r="F347" i="20" s="1"/>
  <c r="W248" i="20"/>
  <c r="D248" i="20"/>
  <c r="E248" i="20" s="1"/>
  <c r="F248" i="20" s="1"/>
  <c r="D293" i="20"/>
  <c r="E293" i="20" s="1"/>
  <c r="F293" i="20" s="1"/>
  <c r="W293" i="20"/>
  <c r="W237" i="20"/>
  <c r="D237" i="20"/>
  <c r="E237" i="20" s="1"/>
  <c r="F237" i="20" s="1"/>
  <c r="D52" i="20"/>
  <c r="E52" i="20" s="1"/>
  <c r="F52" i="20" s="1"/>
  <c r="W52" i="20"/>
  <c r="D310" i="20"/>
  <c r="E310" i="20" s="1"/>
  <c r="F310" i="20" s="1"/>
  <c r="W310" i="20"/>
  <c r="D23" i="20"/>
  <c r="E23" i="20" s="1"/>
  <c r="F23" i="20" s="1"/>
  <c r="W23" i="20"/>
  <c r="D289" i="20"/>
  <c r="E289" i="20" s="1"/>
  <c r="F289" i="20" s="1"/>
  <c r="W289" i="20"/>
  <c r="W118" i="20"/>
  <c r="D118" i="20"/>
  <c r="E118" i="20" s="1"/>
  <c r="F118" i="20" s="1"/>
  <c r="D373" i="20"/>
  <c r="E373" i="20" s="1"/>
  <c r="F373" i="20" s="1"/>
  <c r="W373" i="20"/>
  <c r="W81" i="20"/>
  <c r="D81" i="20"/>
  <c r="E81" i="20" s="1"/>
  <c r="F81" i="20" s="1"/>
  <c r="D222" i="20"/>
  <c r="E222" i="20" s="1"/>
  <c r="F222" i="20" s="1"/>
  <c r="W222" i="20"/>
  <c r="W328" i="20"/>
  <c r="D328" i="20"/>
  <c r="E328" i="20" s="1"/>
  <c r="F328" i="20" s="1"/>
  <c r="D92" i="20"/>
  <c r="E92" i="20" s="1"/>
  <c r="F92" i="20" s="1"/>
  <c r="W92" i="20"/>
  <c r="D243" i="20"/>
  <c r="E243" i="20" s="1"/>
  <c r="F243" i="20" s="1"/>
  <c r="W243" i="20"/>
  <c r="W162" i="20"/>
  <c r="D162" i="20"/>
  <c r="E162" i="20" s="1"/>
  <c r="F162" i="20" s="1"/>
  <c r="W316" i="20"/>
  <c r="D316" i="20"/>
  <c r="E316" i="20" s="1"/>
  <c r="F316" i="20" s="1"/>
  <c r="W146" i="20"/>
  <c r="D146" i="20"/>
  <c r="E146" i="20" s="1"/>
  <c r="F146" i="20" s="1"/>
  <c r="W265" i="20"/>
  <c r="D265" i="20"/>
  <c r="E265" i="20" s="1"/>
  <c r="F265" i="20" s="1"/>
  <c r="W24" i="20"/>
  <c r="D24" i="20"/>
  <c r="E24" i="20" s="1"/>
  <c r="F24" i="20" s="1"/>
  <c r="D17" i="20"/>
  <c r="E17" i="20" s="1"/>
  <c r="F17" i="20" s="1"/>
  <c r="W17" i="20"/>
  <c r="W307" i="20"/>
  <c r="D307" i="20"/>
  <c r="E307" i="20" s="1"/>
  <c r="F307" i="20" s="1"/>
  <c r="D185" i="20"/>
  <c r="E185" i="20" s="1"/>
  <c r="F185" i="20" s="1"/>
  <c r="W185" i="20"/>
  <c r="W43" i="20"/>
  <c r="D43" i="20"/>
  <c r="E43" i="20" s="1"/>
  <c r="F43" i="20" s="1"/>
  <c r="W142" i="20"/>
  <c r="D142" i="20"/>
  <c r="E142" i="20" s="1"/>
  <c r="F142" i="20" s="1"/>
  <c r="AH27" i="7"/>
  <c r="V241" i="20"/>
  <c r="B241" i="20" s="1"/>
  <c r="W113" i="20"/>
  <c r="D113" i="20"/>
  <c r="E113" i="20" s="1"/>
  <c r="F113" i="20" s="1"/>
  <c r="W136" i="20"/>
  <c r="D136" i="20"/>
  <c r="E136" i="20" s="1"/>
  <c r="F136" i="20" s="1"/>
  <c r="V149" i="20"/>
  <c r="B149" i="20" s="1"/>
  <c r="AH24" i="7"/>
  <c r="W124" i="20"/>
  <c r="D124" i="20"/>
  <c r="E124" i="20" s="1"/>
  <c r="F124" i="20" s="1"/>
  <c r="D275" i="20"/>
  <c r="E275" i="20" s="1"/>
  <c r="F275" i="20" s="1"/>
  <c r="W275" i="20"/>
  <c r="W95" i="20"/>
  <c r="D95" i="20"/>
  <c r="E95" i="20" s="1"/>
  <c r="F95" i="20" s="1"/>
  <c r="D355" i="20"/>
  <c r="E355" i="20" s="1"/>
  <c r="F355" i="20" s="1"/>
  <c r="W355" i="20"/>
  <c r="W205" i="20"/>
  <c r="D205" i="20"/>
  <c r="E205" i="20" s="1"/>
  <c r="F205" i="20" s="1"/>
  <c r="W86" i="20"/>
  <c r="D86" i="20"/>
  <c r="E86" i="20" s="1"/>
  <c r="F86" i="20" s="1"/>
  <c r="W215" i="20"/>
  <c r="D215" i="20"/>
  <c r="E215" i="20" s="1"/>
  <c r="F215" i="20" s="1"/>
  <c r="W182" i="20"/>
  <c r="D182" i="20"/>
  <c r="E182" i="20" s="1"/>
  <c r="F182" i="20" s="1"/>
  <c r="V88" i="20"/>
  <c r="B88" i="20" s="1"/>
  <c r="AH22" i="7"/>
  <c r="W267" i="20"/>
  <c r="D267" i="20"/>
  <c r="E267" i="20" s="1"/>
  <c r="F267" i="20" s="1"/>
  <c r="D318" i="20"/>
  <c r="E318" i="20" s="1"/>
  <c r="F318" i="20" s="1"/>
  <c r="W318" i="20"/>
  <c r="W137" i="20"/>
  <c r="D137" i="20"/>
  <c r="E137" i="20" s="1"/>
  <c r="F137" i="20" s="1"/>
  <c r="D292" i="20"/>
  <c r="E292" i="20" s="1"/>
  <c r="F292" i="20" s="1"/>
  <c r="W292" i="20"/>
  <c r="W106" i="20"/>
  <c r="D106" i="20"/>
  <c r="E106" i="20" s="1"/>
  <c r="F106" i="20" s="1"/>
  <c r="D342" i="20"/>
  <c r="E342" i="20" s="1"/>
  <c r="F342" i="20" s="1"/>
  <c r="W342" i="20"/>
  <c r="W214" i="20"/>
  <c r="D214" i="20"/>
  <c r="E214" i="20" s="1"/>
  <c r="F214" i="20" s="1"/>
  <c r="I339" i="18"/>
  <c r="J339" i="18"/>
  <c r="I373" i="18"/>
  <c r="J373" i="18"/>
  <c r="I376" i="18"/>
  <c r="J376" i="18"/>
  <c r="I299" i="18"/>
  <c r="J299" i="18"/>
  <c r="AA95" i="18"/>
  <c r="Z95" i="18" s="1"/>
  <c r="Y95" i="18" s="1"/>
  <c r="G95" i="18"/>
  <c r="CA95" i="6" s="1"/>
  <c r="H95" i="18"/>
  <c r="J348" i="18"/>
  <c r="I348" i="18"/>
  <c r="G288" i="18"/>
  <c r="CA288" i="6" s="1"/>
  <c r="AA288" i="18"/>
  <c r="Z288" i="18" s="1"/>
  <c r="Y288" i="18" s="1"/>
  <c r="H288" i="18"/>
  <c r="H138" i="18"/>
  <c r="G138" i="18"/>
  <c r="CA138" i="6" s="1"/>
  <c r="AA138" i="18"/>
  <c r="Z138" i="18" s="1"/>
  <c r="Y138" i="18" s="1"/>
  <c r="G46" i="18"/>
  <c r="CA46" i="6" s="1"/>
  <c r="H46" i="18"/>
  <c r="AA46" i="18"/>
  <c r="Z46" i="18" s="1"/>
  <c r="Y46" i="18" s="1"/>
  <c r="I306" i="18"/>
  <c r="J306" i="18"/>
  <c r="W55" i="20"/>
  <c r="D55" i="20"/>
  <c r="E55" i="20" s="1"/>
  <c r="F55" i="20" s="1"/>
  <c r="S379" i="20"/>
  <c r="R379" i="20" s="1"/>
  <c r="P379" i="20" s="1"/>
  <c r="D102" i="20"/>
  <c r="E102" i="20" s="1"/>
  <c r="F102" i="20" s="1"/>
  <c r="W102" i="20"/>
  <c r="W45" i="20"/>
  <c r="D45" i="20"/>
  <c r="E45" i="20" s="1"/>
  <c r="F45" i="20" s="1"/>
  <c r="W20" i="20"/>
  <c r="D20" i="20"/>
  <c r="E20" i="20" s="1"/>
  <c r="F20" i="20" s="1"/>
  <c r="D144" i="20"/>
  <c r="E144" i="20" s="1"/>
  <c r="F144" i="20" s="1"/>
  <c r="W144" i="20"/>
  <c r="D271" i="20"/>
  <c r="E271" i="20" s="1"/>
  <c r="F271" i="20" s="1"/>
  <c r="W271" i="20"/>
  <c r="W253" i="20"/>
  <c r="D253" i="20"/>
  <c r="E253" i="20" s="1"/>
  <c r="F253" i="20" s="1"/>
  <c r="W174" i="20"/>
  <c r="D174" i="20"/>
  <c r="E174" i="20" s="1"/>
  <c r="F174" i="20" s="1"/>
  <c r="W49" i="20"/>
  <c r="D49" i="20"/>
  <c r="E49" i="20" s="1"/>
  <c r="F49" i="20" s="1"/>
  <c r="W26" i="20"/>
  <c r="D26" i="20"/>
  <c r="E26" i="20" s="1"/>
  <c r="F26" i="20" s="1"/>
  <c r="W126" i="20"/>
  <c r="D126" i="20"/>
  <c r="E126" i="20" s="1"/>
  <c r="F126" i="20" s="1"/>
  <c r="W139" i="20"/>
  <c r="D139" i="20"/>
  <c r="E139" i="20" s="1"/>
  <c r="F139" i="20" s="1"/>
  <c r="D278" i="20"/>
  <c r="E278" i="20" s="1"/>
  <c r="F278" i="20" s="1"/>
  <c r="W278" i="20"/>
  <c r="W42" i="20"/>
  <c r="D42" i="20"/>
  <c r="E42" i="20" s="1"/>
  <c r="F42" i="20" s="1"/>
  <c r="D18" i="20"/>
  <c r="E18" i="20" s="1"/>
  <c r="F18" i="20" s="1"/>
  <c r="W18" i="20"/>
  <c r="W190" i="20"/>
  <c r="D190" i="20"/>
  <c r="E190" i="20" s="1"/>
  <c r="F190" i="20" s="1"/>
  <c r="D326" i="20"/>
  <c r="E326" i="20" s="1"/>
  <c r="F326" i="20" s="1"/>
  <c r="W326" i="20"/>
  <c r="W164" i="20"/>
  <c r="D164" i="20"/>
  <c r="E164" i="20" s="1"/>
  <c r="F164" i="20" s="1"/>
  <c r="AH30" i="7"/>
  <c r="V333" i="20"/>
  <c r="B333" i="20" s="1"/>
  <c r="W287" i="20"/>
  <c r="D287" i="20"/>
  <c r="E287" i="20" s="1"/>
  <c r="F287" i="20" s="1"/>
  <c r="D312" i="20"/>
  <c r="E312" i="20" s="1"/>
  <c r="F312" i="20" s="1"/>
  <c r="W312" i="20"/>
  <c r="D200" i="20"/>
  <c r="E200" i="20" s="1"/>
  <c r="F200" i="20" s="1"/>
  <c r="W200" i="20"/>
  <c r="D235" i="20"/>
  <c r="E235" i="20" s="1"/>
  <c r="F235" i="20" s="1"/>
  <c r="W235" i="20"/>
  <c r="W377" i="20"/>
  <c r="D377" i="20"/>
  <c r="E377" i="20" s="1"/>
  <c r="F377" i="20" s="1"/>
  <c r="D285" i="20"/>
  <c r="E285" i="20" s="1"/>
  <c r="F285" i="20" s="1"/>
  <c r="W285" i="20"/>
  <c r="W298" i="20"/>
  <c r="D298" i="20"/>
  <c r="E298" i="20" s="1"/>
  <c r="F298" i="20" s="1"/>
  <c r="W35" i="20"/>
  <c r="D35" i="20"/>
  <c r="E35" i="20" s="1"/>
  <c r="F35" i="20" s="1"/>
  <c r="D324" i="20"/>
  <c r="E324" i="20" s="1"/>
  <c r="F324" i="20" s="1"/>
  <c r="W324" i="20"/>
  <c r="W225" i="20"/>
  <c r="D225" i="20"/>
  <c r="E225" i="20" s="1"/>
  <c r="F225" i="20" s="1"/>
  <c r="D322" i="20"/>
  <c r="E322" i="20" s="1"/>
  <c r="F322" i="20" s="1"/>
  <c r="W322" i="20"/>
  <c r="W181" i="20"/>
  <c r="D181" i="20"/>
  <c r="E181" i="20" s="1"/>
  <c r="F181" i="20" s="1"/>
  <c r="W103" i="20"/>
  <c r="D103" i="20"/>
  <c r="E103" i="20" s="1"/>
  <c r="F103" i="20" s="1"/>
  <c r="W82" i="20"/>
  <c r="D82" i="20"/>
  <c r="E82" i="20" s="1"/>
  <c r="F82" i="20" s="1"/>
  <c r="D170" i="20"/>
  <c r="E170" i="20" s="1"/>
  <c r="F170" i="20" s="1"/>
  <c r="W170" i="20"/>
  <c r="W67" i="20"/>
  <c r="D67" i="20"/>
  <c r="E67" i="20" s="1"/>
  <c r="F67" i="20" s="1"/>
  <c r="W228" i="20"/>
  <c r="D228" i="20"/>
  <c r="E228" i="20" s="1"/>
  <c r="F228" i="20" s="1"/>
  <c r="W301" i="20"/>
  <c r="D301" i="20"/>
  <c r="E301" i="20" s="1"/>
  <c r="F301" i="20" s="1"/>
  <c r="D168" i="20"/>
  <c r="E168" i="20" s="1"/>
  <c r="F168" i="20" s="1"/>
  <c r="W168" i="20"/>
  <c r="H319" i="18"/>
  <c r="G319" i="18"/>
  <c r="CA319" i="6" s="1"/>
  <c r="AA319" i="18"/>
  <c r="Z319" i="18" s="1"/>
  <c r="Y319" i="18" s="1"/>
  <c r="I371" i="18"/>
  <c r="J371" i="18"/>
  <c r="G27" i="18"/>
  <c r="CA27" i="6" s="1"/>
  <c r="AA27" i="18"/>
  <c r="Z27" i="18" s="1"/>
  <c r="Y27" i="18" s="1"/>
  <c r="H27" i="18"/>
  <c r="J313" i="18"/>
  <c r="I313" i="18"/>
  <c r="J354" i="18"/>
  <c r="I354" i="18"/>
  <c r="I303" i="18"/>
  <c r="J303" i="18"/>
  <c r="H146" i="18"/>
  <c r="G146" i="18"/>
  <c r="CA146" i="6" s="1"/>
  <c r="AA146" i="18"/>
  <c r="Z146" i="18" s="1"/>
  <c r="Y146" i="18" s="1"/>
  <c r="J360" i="18"/>
  <c r="I360" i="18"/>
  <c r="J352" i="18"/>
  <c r="I352" i="18"/>
  <c r="J314" i="18"/>
  <c r="I314" i="18"/>
  <c r="I324" i="18"/>
  <c r="J324" i="18"/>
  <c r="J355" i="18"/>
  <c r="I355" i="18"/>
  <c r="I347" i="18"/>
  <c r="J347" i="18"/>
  <c r="I337" i="18"/>
  <c r="J337" i="18"/>
  <c r="J293" i="18"/>
  <c r="I293" i="18"/>
  <c r="J94" i="18"/>
  <c r="I94" i="18"/>
  <c r="J106" i="18"/>
  <c r="I106" i="18"/>
  <c r="I292" i="18"/>
  <c r="J292" i="18"/>
  <c r="J370" i="18"/>
  <c r="I370" i="18"/>
  <c r="J135" i="18"/>
  <c r="I135" i="18"/>
  <c r="I359" i="18"/>
  <c r="J359" i="18"/>
  <c r="J264" i="18"/>
  <c r="I264" i="18"/>
  <c r="I167" i="18"/>
  <c r="J167" i="18"/>
  <c r="I38" i="18"/>
  <c r="J38" i="18"/>
  <c r="I358" i="18"/>
  <c r="J358" i="18"/>
  <c r="J202" i="18"/>
  <c r="I202" i="18"/>
  <c r="I103" i="18"/>
  <c r="J103" i="18"/>
  <c r="J329" i="18"/>
  <c r="I329" i="18"/>
  <c r="G363" i="18"/>
  <c r="CA363" i="6" s="1"/>
  <c r="H363" i="18"/>
  <c r="AA363" i="18"/>
  <c r="Z363" i="18" s="1"/>
  <c r="Y363" i="18" s="1"/>
  <c r="I141" i="18"/>
  <c r="J141" i="18"/>
  <c r="I32" i="18"/>
  <c r="J32" i="18"/>
  <c r="J304" i="18"/>
  <c r="I304" i="18"/>
  <c r="J205" i="18"/>
  <c r="I205" i="18"/>
  <c r="I228" i="18"/>
  <c r="J228" i="18"/>
  <c r="J374" i="18"/>
  <c r="I374" i="18"/>
  <c r="J321" i="18"/>
  <c r="I321" i="18"/>
  <c r="I209" i="18"/>
  <c r="J209" i="18"/>
  <c r="I110" i="18"/>
  <c r="J110" i="18"/>
  <c r="J340" i="18"/>
  <c r="I340" i="18"/>
  <c r="J237" i="18"/>
  <c r="I237" i="18"/>
  <c r="J199" i="18"/>
  <c r="I199" i="18"/>
  <c r="I51" i="18"/>
  <c r="J51" i="18"/>
  <c r="J278" i="18"/>
  <c r="I278" i="18"/>
  <c r="J104" i="18"/>
  <c r="I104" i="18"/>
  <c r="I279" i="18"/>
  <c r="J279" i="18"/>
  <c r="I137" i="18"/>
  <c r="J137" i="18"/>
  <c r="I21" i="18"/>
  <c r="J21" i="18"/>
  <c r="I284" i="18"/>
  <c r="J284" i="18"/>
  <c r="J48" i="18"/>
  <c r="I48" i="18"/>
  <c r="J56" i="18"/>
  <c r="I56" i="18"/>
  <c r="J217" i="18"/>
  <c r="I217" i="18"/>
  <c r="I148" i="18"/>
  <c r="J148" i="18"/>
  <c r="AD383" i="18"/>
  <c r="AD382" i="18"/>
  <c r="AD381" i="18"/>
  <c r="S15" i="20"/>
  <c r="T381" i="20"/>
  <c r="T383" i="20"/>
  <c r="T382" i="20"/>
  <c r="D125" i="20"/>
  <c r="E125" i="20" s="1"/>
  <c r="F125" i="20" s="1"/>
  <c r="W125" i="20"/>
  <c r="D273" i="20"/>
  <c r="E273" i="20" s="1"/>
  <c r="F273" i="20" s="1"/>
  <c r="W273" i="20"/>
  <c r="W238" i="20"/>
  <c r="D238" i="20"/>
  <c r="E238" i="20" s="1"/>
  <c r="F238" i="20" s="1"/>
  <c r="D71" i="20"/>
  <c r="E71" i="20" s="1"/>
  <c r="F71" i="20" s="1"/>
  <c r="W71" i="20"/>
  <c r="D165" i="20"/>
  <c r="E165" i="20" s="1"/>
  <c r="F165" i="20" s="1"/>
  <c r="W165" i="20"/>
  <c r="D219" i="20"/>
  <c r="E219" i="20" s="1"/>
  <c r="F219" i="20" s="1"/>
  <c r="W219" i="20"/>
  <c r="W256" i="20"/>
  <c r="D256" i="20"/>
  <c r="E256" i="20" s="1"/>
  <c r="F256" i="20" s="1"/>
  <c r="W279" i="20"/>
  <c r="D279" i="20"/>
  <c r="E279" i="20" s="1"/>
  <c r="F279" i="20" s="1"/>
  <c r="D129" i="20"/>
  <c r="E129" i="20" s="1"/>
  <c r="F129" i="20" s="1"/>
  <c r="W129" i="20"/>
  <c r="W38" i="20"/>
  <c r="D38" i="20"/>
  <c r="E38" i="20" s="1"/>
  <c r="F38" i="20" s="1"/>
  <c r="D221" i="20"/>
  <c r="E221" i="20" s="1"/>
  <c r="F221" i="20" s="1"/>
  <c r="W221" i="20"/>
  <c r="D268" i="20"/>
  <c r="E268" i="20" s="1"/>
  <c r="F268" i="20" s="1"/>
  <c r="W268" i="20"/>
  <c r="W233" i="20"/>
  <c r="D233" i="20"/>
  <c r="E233" i="20" s="1"/>
  <c r="F233" i="20" s="1"/>
  <c r="D89" i="20"/>
  <c r="E89" i="20" s="1"/>
  <c r="F89" i="20" s="1"/>
  <c r="W89" i="20"/>
  <c r="D127" i="20"/>
  <c r="E127" i="20" s="1"/>
  <c r="F127" i="20" s="1"/>
  <c r="W127" i="20"/>
  <c r="D282" i="20"/>
  <c r="E282" i="20" s="1"/>
  <c r="F282" i="20" s="1"/>
  <c r="W282" i="20"/>
  <c r="W53" i="20"/>
  <c r="D53" i="20"/>
  <c r="E53" i="20" s="1"/>
  <c r="F53" i="20" s="1"/>
  <c r="W231" i="20"/>
  <c r="D231" i="20"/>
  <c r="E231" i="20" s="1"/>
  <c r="F231" i="20" s="1"/>
  <c r="W93" i="20"/>
  <c r="D93" i="20"/>
  <c r="E93" i="20" s="1"/>
  <c r="F93" i="20" s="1"/>
  <c r="D115" i="20"/>
  <c r="E115" i="20" s="1"/>
  <c r="F115" i="20" s="1"/>
  <c r="W115" i="20"/>
  <c r="W332" i="20"/>
  <c r="D332" i="20"/>
  <c r="E332" i="20" s="1"/>
  <c r="F332" i="20" s="1"/>
  <c r="D226" i="20"/>
  <c r="E226" i="20" s="1"/>
  <c r="F226" i="20" s="1"/>
  <c r="W226" i="20"/>
  <c r="W128" i="20"/>
  <c r="D128" i="20"/>
  <c r="E128" i="20" s="1"/>
  <c r="F128" i="20" s="1"/>
  <c r="W22" i="20"/>
  <c r="D22" i="20"/>
  <c r="E22" i="20" s="1"/>
  <c r="F22" i="20" s="1"/>
  <c r="W97" i="20"/>
  <c r="D97" i="20"/>
  <c r="E97" i="20" s="1"/>
  <c r="F97" i="20" s="1"/>
  <c r="W87" i="20"/>
  <c r="D87" i="20"/>
  <c r="E87" i="20" s="1"/>
  <c r="F87" i="20" s="1"/>
  <c r="W251" i="20"/>
  <c r="D251" i="20"/>
  <c r="E251" i="20" s="1"/>
  <c r="F251" i="20" s="1"/>
  <c r="W133" i="20"/>
  <c r="D133" i="20"/>
  <c r="E133" i="20" s="1"/>
  <c r="F133" i="20" s="1"/>
  <c r="D336" i="20"/>
  <c r="E336" i="20" s="1"/>
  <c r="F336" i="20" s="1"/>
  <c r="W336" i="20"/>
  <c r="W123" i="20"/>
  <c r="D123" i="20"/>
  <c r="E123" i="20" s="1"/>
  <c r="F123" i="20" s="1"/>
  <c r="D367" i="20"/>
  <c r="E367" i="20" s="1"/>
  <c r="F367" i="20" s="1"/>
  <c r="W367" i="20"/>
  <c r="W240" i="20"/>
  <c r="D240" i="20"/>
  <c r="E240" i="20" s="1"/>
  <c r="F240" i="20" s="1"/>
  <c r="W306" i="20"/>
  <c r="D306" i="20"/>
  <c r="E306" i="20" s="1"/>
  <c r="F306" i="20" s="1"/>
  <c r="W111" i="20"/>
  <c r="D111" i="20"/>
  <c r="E111" i="20" s="1"/>
  <c r="F111" i="20" s="1"/>
  <c r="D99" i="20"/>
  <c r="E99" i="20" s="1"/>
  <c r="F99" i="20" s="1"/>
  <c r="W99" i="20"/>
  <c r="D90" i="20"/>
  <c r="E90" i="20" s="1"/>
  <c r="F90" i="20" s="1"/>
  <c r="W90" i="20"/>
  <c r="W32" i="20"/>
  <c r="D32" i="20"/>
  <c r="E32" i="20" s="1"/>
  <c r="F32" i="20" s="1"/>
  <c r="D130" i="20"/>
  <c r="E130" i="20" s="1"/>
  <c r="F130" i="20" s="1"/>
  <c r="W130" i="20"/>
  <c r="W236" i="20"/>
  <c r="D236" i="20"/>
  <c r="E236" i="20" s="1"/>
  <c r="F236" i="20" s="1"/>
  <c r="D212" i="20"/>
  <c r="E212" i="20" s="1"/>
  <c r="F212" i="20" s="1"/>
  <c r="W212" i="20"/>
  <c r="D57" i="20"/>
  <c r="E57" i="20" s="1"/>
  <c r="F57" i="20" s="1"/>
  <c r="W57" i="20"/>
  <c r="D202" i="20"/>
  <c r="E202" i="20" s="1"/>
  <c r="F202" i="20" s="1"/>
  <c r="W202" i="20"/>
  <c r="W376" i="20"/>
  <c r="D376" i="20"/>
  <c r="E376" i="20" s="1"/>
  <c r="F376" i="20" s="1"/>
  <c r="D206" i="20"/>
  <c r="E206" i="20" s="1"/>
  <c r="F206" i="20" s="1"/>
  <c r="W206" i="20"/>
  <c r="D207" i="20"/>
  <c r="E207" i="20" s="1"/>
  <c r="F207" i="20" s="1"/>
  <c r="W207" i="20"/>
  <c r="D224" i="20"/>
  <c r="E224" i="20" s="1"/>
  <c r="F224" i="20" s="1"/>
  <c r="W224" i="20"/>
  <c r="AH25" i="7"/>
  <c r="V180" i="20"/>
  <c r="B180" i="20" s="1"/>
  <c r="D335" i="20"/>
  <c r="E335" i="20" s="1"/>
  <c r="F335" i="20" s="1"/>
  <c r="W335" i="20"/>
  <c r="W27" i="20"/>
  <c r="D27" i="20"/>
  <c r="E27" i="20" s="1"/>
  <c r="F27" i="20" s="1"/>
  <c r="D176" i="20"/>
  <c r="E176" i="20" s="1"/>
  <c r="F176" i="20" s="1"/>
  <c r="W176" i="20"/>
  <c r="D134" i="20"/>
  <c r="E134" i="20" s="1"/>
  <c r="F134" i="20" s="1"/>
  <c r="W134" i="20"/>
  <c r="D321" i="20"/>
  <c r="E321" i="20" s="1"/>
  <c r="F321" i="20" s="1"/>
  <c r="W321" i="20"/>
  <c r="W109" i="20"/>
  <c r="D109" i="20"/>
  <c r="E109" i="20" s="1"/>
  <c r="F109" i="20" s="1"/>
  <c r="D323" i="20"/>
  <c r="E323" i="20" s="1"/>
  <c r="F323" i="20" s="1"/>
  <c r="W323" i="20"/>
  <c r="D372" i="20"/>
  <c r="E372" i="20" s="1"/>
  <c r="F372" i="20" s="1"/>
  <c r="W372" i="20"/>
  <c r="W218" i="20"/>
  <c r="D218" i="20"/>
  <c r="E218" i="20" s="1"/>
  <c r="F218" i="20" s="1"/>
  <c r="D169" i="20"/>
  <c r="E169" i="20" s="1"/>
  <c r="F169" i="20" s="1"/>
  <c r="W169" i="20"/>
  <c r="W317" i="20"/>
  <c r="D317" i="20"/>
  <c r="E317" i="20" s="1"/>
  <c r="F317" i="20" s="1"/>
  <c r="W108" i="20"/>
  <c r="D108" i="20"/>
  <c r="E108" i="20" s="1"/>
  <c r="F108" i="20" s="1"/>
  <c r="W371" i="20"/>
  <c r="D371" i="20"/>
  <c r="E371" i="20" s="1"/>
  <c r="F371" i="20" s="1"/>
  <c r="W189" i="20"/>
  <c r="D189" i="20"/>
  <c r="E189" i="20" s="1"/>
  <c r="F189" i="20" s="1"/>
  <c r="W44" i="20"/>
  <c r="D44" i="20"/>
  <c r="E44" i="20" s="1"/>
  <c r="F44" i="20" s="1"/>
  <c r="D295" i="20"/>
  <c r="E295" i="20" s="1"/>
  <c r="F295" i="20" s="1"/>
  <c r="W295" i="20"/>
  <c r="W337" i="20"/>
  <c r="D337" i="20"/>
  <c r="E337" i="20" s="1"/>
  <c r="F337" i="20" s="1"/>
  <c r="J89" i="18"/>
  <c r="I89" i="18"/>
  <c r="I344" i="18"/>
  <c r="J344" i="18"/>
  <c r="J20" i="18"/>
  <c r="I20" i="18"/>
  <c r="I296" i="18"/>
  <c r="J296" i="18"/>
  <c r="J224" i="18"/>
  <c r="I224" i="18"/>
  <c r="J189" i="18"/>
  <c r="I189" i="18"/>
  <c r="I102" i="18"/>
  <c r="J102" i="18"/>
  <c r="J163" i="18"/>
  <c r="I163" i="18"/>
  <c r="I275" i="18"/>
  <c r="J275" i="18"/>
  <c r="I375" i="18"/>
  <c r="J375" i="18"/>
  <c r="J316" i="18"/>
  <c r="I316" i="18"/>
  <c r="J345" i="18"/>
  <c r="I345" i="18"/>
  <c r="J232" i="18"/>
  <c r="I232" i="18"/>
  <c r="I219" i="18"/>
  <c r="J219" i="18"/>
  <c r="J187" i="18"/>
  <c r="I187" i="18"/>
  <c r="J35" i="18"/>
  <c r="I35" i="18"/>
  <c r="I220" i="18"/>
  <c r="J220" i="18"/>
  <c r="H333" i="18"/>
  <c r="G333" i="18"/>
  <c r="CA333" i="6" s="1"/>
  <c r="AA333" i="18"/>
  <c r="Z333" i="18" s="1"/>
  <c r="Y333" i="18" s="1"/>
  <c r="J153" i="18"/>
  <c r="I153" i="18"/>
  <c r="J249" i="18"/>
  <c r="I249" i="18"/>
  <c r="J166" i="18"/>
  <c r="I166" i="18"/>
  <c r="I308" i="18"/>
  <c r="J308" i="18"/>
  <c r="I68" i="18"/>
  <c r="J68" i="18"/>
  <c r="J331" i="18"/>
  <c r="I331" i="18"/>
  <c r="J165" i="18"/>
  <c r="I165" i="18"/>
  <c r="J49" i="18"/>
  <c r="I49" i="18"/>
  <c r="J31" i="18"/>
  <c r="I31" i="18"/>
  <c r="J185" i="18"/>
  <c r="I185" i="18"/>
  <c r="I211" i="18"/>
  <c r="J211" i="18"/>
  <c r="I101" i="18"/>
  <c r="J101" i="18"/>
  <c r="I378" i="18"/>
  <c r="J378" i="18"/>
  <c r="I291" i="18"/>
  <c r="J291" i="18"/>
  <c r="J270" i="18"/>
  <c r="I270" i="18"/>
  <c r="I40" i="18"/>
  <c r="J40" i="18"/>
  <c r="J117" i="18"/>
  <c r="I117" i="18"/>
  <c r="J152" i="18"/>
  <c r="I152" i="18"/>
  <c r="I194" i="18"/>
  <c r="J194" i="18"/>
  <c r="J124" i="18"/>
  <c r="I124" i="18"/>
  <c r="J43" i="18"/>
  <c r="I43" i="18"/>
  <c r="I235" i="18"/>
  <c r="J235" i="18"/>
  <c r="J147" i="18"/>
  <c r="I147" i="18"/>
  <c r="I295" i="18"/>
  <c r="J295" i="18"/>
  <c r="J58" i="18"/>
  <c r="I58" i="18"/>
  <c r="I76" i="18"/>
  <c r="J76" i="18"/>
  <c r="J66" i="18"/>
  <c r="I66" i="18"/>
  <c r="I83" i="18"/>
  <c r="J83" i="18"/>
  <c r="J182" i="18"/>
  <c r="I182" i="18"/>
  <c r="J282" i="18"/>
  <c r="I282" i="18"/>
  <c r="R382" i="18"/>
  <c r="R381" i="18"/>
  <c r="R383" i="18"/>
  <c r="P15" i="18"/>
  <c r="J60" i="18"/>
  <c r="I60" i="18"/>
  <c r="J17" i="18"/>
  <c r="I17" i="18"/>
  <c r="J98" i="18"/>
  <c r="I98" i="18"/>
  <c r="I238" i="18"/>
  <c r="J238" i="18"/>
  <c r="I261" i="18"/>
  <c r="J261" i="18"/>
  <c r="J247" i="18"/>
  <c r="I247" i="18"/>
  <c r="J186" i="18"/>
  <c r="I186" i="18"/>
  <c r="I85" i="18"/>
  <c r="J85" i="18"/>
  <c r="J277" i="18"/>
  <c r="I277" i="18"/>
  <c r="J99" i="18"/>
  <c r="I99" i="18"/>
  <c r="J268" i="18"/>
  <c r="I268" i="18"/>
  <c r="I113" i="18"/>
  <c r="J113" i="18"/>
  <c r="I193" i="18"/>
  <c r="J193" i="18"/>
  <c r="I42" i="18"/>
  <c r="J42" i="18"/>
  <c r="I44" i="18"/>
  <c r="J44" i="18"/>
  <c r="I81" i="18"/>
  <c r="J81" i="18"/>
  <c r="J19" i="18"/>
  <c r="I19" i="18"/>
  <c r="J67" i="18"/>
  <c r="I67" i="18"/>
  <c r="I191" i="18"/>
  <c r="J191" i="18"/>
  <c r="I126" i="18"/>
  <c r="J126" i="18"/>
  <c r="I223" i="18"/>
  <c r="J223" i="18"/>
  <c r="I245" i="18"/>
  <c r="J245" i="18"/>
  <c r="I164" i="18"/>
  <c r="J164" i="18"/>
  <c r="I73" i="18"/>
  <c r="J73" i="18"/>
  <c r="J37" i="18"/>
  <c r="I37" i="18"/>
  <c r="J161" i="18"/>
  <c r="I161" i="18"/>
  <c r="I226" i="18"/>
  <c r="J226" i="18"/>
  <c r="I16" i="18"/>
  <c r="J16" i="18"/>
  <c r="J198" i="18"/>
  <c r="I198" i="18"/>
  <c r="I91" i="18"/>
  <c r="J91" i="18"/>
  <c r="J18" i="18"/>
  <c r="I18" i="18"/>
  <c r="I286" i="18"/>
  <c r="J286" i="18"/>
  <c r="J255" i="18"/>
  <c r="I255" i="18"/>
  <c r="I36" i="18"/>
  <c r="J36" i="18"/>
  <c r="I169" i="18"/>
  <c r="J169" i="18"/>
  <c r="J64" i="18"/>
  <c r="I64" i="18"/>
  <c r="J131" i="18"/>
  <c r="I131" i="18"/>
  <c r="I248" i="18"/>
  <c r="J248" i="18"/>
  <c r="J140" i="18"/>
  <c r="I140" i="18"/>
  <c r="J55" i="18"/>
  <c r="I55" i="18"/>
  <c r="AJ8" i="18"/>
  <c r="D383" i="18"/>
  <c r="H269" i="18"/>
  <c r="G269" i="18"/>
  <c r="CA269" i="6" s="1"/>
  <c r="AA269" i="18"/>
  <c r="Z269" i="18" s="1"/>
  <c r="Y269" i="18" s="1"/>
  <c r="H349" i="18"/>
  <c r="AA349" i="18"/>
  <c r="Z349" i="18" s="1"/>
  <c r="Y349" i="18" s="1"/>
  <c r="G349" i="18"/>
  <c r="CA349" i="6" s="1"/>
  <c r="I351" i="18"/>
  <c r="J351" i="18"/>
  <c r="I318" i="18"/>
  <c r="J318" i="18"/>
  <c r="I356" i="18"/>
  <c r="J356" i="18"/>
  <c r="J323" i="18"/>
  <c r="I323" i="18"/>
  <c r="I364" i="18"/>
  <c r="J364" i="18"/>
  <c r="I341" i="18"/>
  <c r="J341" i="18"/>
  <c r="G59" i="18"/>
  <c r="CA59" i="6" s="1"/>
  <c r="H59" i="18"/>
  <c r="AA59" i="18"/>
  <c r="Z59" i="18" s="1"/>
  <c r="Y59" i="18" s="1"/>
  <c r="I353" i="18"/>
  <c r="J353" i="18"/>
  <c r="I350" i="18"/>
  <c r="J350" i="18"/>
  <c r="I335" i="18"/>
  <c r="J335" i="18"/>
  <c r="G74" i="18"/>
  <c r="CA74" i="6" s="1"/>
  <c r="AA74" i="18"/>
  <c r="Z74" i="18" s="1"/>
  <c r="Y74" i="18" s="1"/>
  <c r="H74" i="18"/>
  <c r="AA196" i="18"/>
  <c r="Z196" i="18" s="1"/>
  <c r="Y196" i="18" s="1"/>
  <c r="G196" i="18"/>
  <c r="CA196" i="6" s="1"/>
  <c r="H196" i="18"/>
  <c r="I326" i="18"/>
  <c r="J326" i="18"/>
  <c r="W244" i="20"/>
  <c r="D244" i="20"/>
  <c r="E244" i="20" s="1"/>
  <c r="F244" i="20" s="1"/>
  <c r="U305" i="22"/>
  <c r="T305" i="22" s="1"/>
  <c r="S305" i="22" s="1"/>
  <c r="R305" i="22" s="1"/>
  <c r="U370" i="22"/>
  <c r="T370" i="22" s="1"/>
  <c r="S370" i="22" s="1"/>
  <c r="R370" i="22" s="1"/>
  <c r="U307" i="22"/>
  <c r="T307" i="22" s="1"/>
  <c r="S307" i="22" s="1"/>
  <c r="R307" i="22" s="1"/>
  <c r="U321" i="22"/>
  <c r="T321" i="22" s="1"/>
  <c r="S321" i="22" s="1"/>
  <c r="R321" i="22" s="1"/>
  <c r="U351" i="22"/>
  <c r="T351" i="22" s="1"/>
  <c r="S351" i="22" s="1"/>
  <c r="R351" i="22" s="1"/>
  <c r="U262" i="22"/>
  <c r="T262" i="22" s="1"/>
  <c r="S262" i="22" s="1"/>
  <c r="R262" i="22" s="1"/>
  <c r="U53" i="22"/>
  <c r="T53" i="22" s="1"/>
  <c r="S53" i="22" s="1"/>
  <c r="R53" i="22" s="1"/>
  <c r="U216" i="22"/>
  <c r="T216" i="22" s="1"/>
  <c r="S216" i="22" s="1"/>
  <c r="R216" i="22" s="1"/>
  <c r="U378" i="22"/>
  <c r="T378" i="22" s="1"/>
  <c r="S378" i="22" s="1"/>
  <c r="R378" i="22" s="1"/>
  <c r="U319" i="22"/>
  <c r="T319" i="22" s="1"/>
  <c r="S319" i="22" s="1"/>
  <c r="R319" i="22" s="1"/>
  <c r="U89" i="22"/>
  <c r="T89" i="22" s="1"/>
  <c r="S89" i="22" s="1"/>
  <c r="R89" i="22" s="1"/>
  <c r="U81" i="22"/>
  <c r="T81" i="22" s="1"/>
  <c r="S81" i="22" s="1"/>
  <c r="R81" i="22" s="1"/>
  <c r="U243" i="22"/>
  <c r="T243" i="22" s="1"/>
  <c r="S243" i="22" s="1"/>
  <c r="R243" i="22" s="1"/>
  <c r="U43" i="22"/>
  <c r="T43" i="22" s="1"/>
  <c r="S43" i="22" s="1"/>
  <c r="R43" i="22" s="1"/>
  <c r="U197" i="22"/>
  <c r="T197" i="22" s="1"/>
  <c r="S197" i="22" s="1"/>
  <c r="R197" i="22" s="1"/>
  <c r="U146" i="22"/>
  <c r="T146" i="22" s="1"/>
  <c r="S146" i="22" s="1"/>
  <c r="R146" i="22" s="1"/>
  <c r="U105" i="22"/>
  <c r="T105" i="22" s="1"/>
  <c r="S105" i="22" s="1"/>
  <c r="R105" i="22" s="1"/>
  <c r="U189" i="22"/>
  <c r="T189" i="22" s="1"/>
  <c r="S189" i="22" s="1"/>
  <c r="R189" i="22" s="1"/>
  <c r="U118" i="22"/>
  <c r="T118" i="22" s="1"/>
  <c r="S118" i="22" s="1"/>
  <c r="R118" i="22" s="1"/>
  <c r="U120" i="22"/>
  <c r="T120" i="22" s="1"/>
  <c r="S120" i="22" s="1"/>
  <c r="R120" i="22" s="1"/>
  <c r="U236" i="22"/>
  <c r="T236" i="22" s="1"/>
  <c r="S236" i="22" s="1"/>
  <c r="R236" i="22" s="1"/>
  <c r="U271" i="22"/>
  <c r="T271" i="22" s="1"/>
  <c r="S271" i="22" s="1"/>
  <c r="R271" i="22" s="1"/>
  <c r="U276" i="22"/>
  <c r="T276" i="22" s="1"/>
  <c r="S276" i="22" s="1"/>
  <c r="R276" i="22" s="1"/>
  <c r="U67" i="22"/>
  <c r="T67" i="22" s="1"/>
  <c r="S67" i="22" s="1"/>
  <c r="R67" i="22" s="1"/>
  <c r="U379" i="22"/>
  <c r="U358" i="22"/>
  <c r="T358" i="22" s="1"/>
  <c r="S358" i="22" s="1"/>
  <c r="R358" i="22" s="1"/>
  <c r="U149" i="22"/>
  <c r="T149" i="22" s="1"/>
  <c r="S149" i="22" s="1"/>
  <c r="R149" i="22" s="1"/>
  <c r="U312" i="22"/>
  <c r="T312" i="22" s="1"/>
  <c r="S312" i="22" s="1"/>
  <c r="R312" i="22" s="1"/>
  <c r="U103" i="22"/>
  <c r="T103" i="22" s="1"/>
  <c r="S103" i="22" s="1"/>
  <c r="R103" i="22" s="1"/>
  <c r="U249" i="22"/>
  <c r="T249" i="22" s="1"/>
  <c r="S249" i="22" s="1"/>
  <c r="R249" i="22" s="1"/>
  <c r="U185" i="22"/>
  <c r="T185" i="22" s="1"/>
  <c r="S185" i="22" s="1"/>
  <c r="R185" i="22" s="1"/>
  <c r="U206" i="22"/>
  <c r="T206" i="22" s="1"/>
  <c r="S206" i="22" s="1"/>
  <c r="R206" i="22" s="1"/>
  <c r="U164" i="22"/>
  <c r="T164" i="22" s="1"/>
  <c r="S164" i="22" s="1"/>
  <c r="R164" i="22" s="1"/>
  <c r="U297" i="22"/>
  <c r="T297" i="22" s="1"/>
  <c r="S297" i="22" s="1"/>
  <c r="R297" i="22" s="1"/>
  <c r="U290" i="22"/>
  <c r="T290" i="22" s="1"/>
  <c r="S290" i="22" s="1"/>
  <c r="R290" i="22" s="1"/>
  <c r="U308" i="22"/>
  <c r="T308" i="22" s="1"/>
  <c r="S308" i="22" s="1"/>
  <c r="R308" i="22" s="1"/>
  <c r="U317" i="22"/>
  <c r="T317" i="22" s="1"/>
  <c r="S317" i="22" s="1"/>
  <c r="R317" i="22" s="1"/>
  <c r="U241" i="22"/>
  <c r="T241" i="22" s="1"/>
  <c r="S241" i="22" s="1"/>
  <c r="R241" i="22" s="1"/>
  <c r="U147" i="22"/>
  <c r="T147" i="22" s="1"/>
  <c r="S147" i="22" s="1"/>
  <c r="R147" i="22" s="1"/>
  <c r="U310" i="22"/>
  <c r="T310" i="22" s="1"/>
  <c r="S310" i="22" s="1"/>
  <c r="R310" i="22" s="1"/>
  <c r="U101" i="22"/>
  <c r="T101" i="22" s="1"/>
  <c r="S101" i="22" s="1"/>
  <c r="R101" i="22" s="1"/>
  <c r="U50" i="22"/>
  <c r="T50" i="22" s="1"/>
  <c r="S50" i="22" s="1"/>
  <c r="R50" i="22" s="1"/>
  <c r="U380" i="22"/>
  <c r="T380" i="22" s="1"/>
  <c r="S380" i="22" s="1"/>
  <c r="R380" i="22" s="1"/>
  <c r="U183" i="22"/>
  <c r="T183" i="22" s="1"/>
  <c r="S183" i="22" s="1"/>
  <c r="R183" i="22" s="1"/>
  <c r="U354" i="22"/>
  <c r="T354" i="22" s="1"/>
  <c r="S354" i="22" s="1"/>
  <c r="R354" i="22" s="1"/>
  <c r="U129" i="22"/>
  <c r="T129" i="22" s="1"/>
  <c r="S129" i="22" s="1"/>
  <c r="R129" i="22" s="1"/>
  <c r="U291" i="22"/>
  <c r="T291" i="22" s="1"/>
  <c r="S291" i="22" s="1"/>
  <c r="R291" i="22" s="1"/>
  <c r="U232" i="22"/>
  <c r="T232" i="22" s="1"/>
  <c r="S232" i="22" s="1"/>
  <c r="R232" i="22" s="1"/>
  <c r="U282" i="22"/>
  <c r="T282" i="22" s="1"/>
  <c r="S282" i="22" s="1"/>
  <c r="R282" i="22" s="1"/>
  <c r="U364" i="22"/>
  <c r="T364" i="22" s="1"/>
  <c r="S364" i="22" s="1"/>
  <c r="R364" i="22" s="1"/>
  <c r="U362" i="22"/>
  <c r="T362" i="22" s="1"/>
  <c r="S362" i="22" s="1"/>
  <c r="R362" i="22" s="1"/>
  <c r="U25" i="22"/>
  <c r="T25" i="22" s="1"/>
  <c r="S25" i="22" s="1"/>
  <c r="R25" i="22" s="1"/>
  <c r="U314" i="22"/>
  <c r="T314" i="22" s="1"/>
  <c r="S314" i="22" s="1"/>
  <c r="R314" i="22" s="1"/>
  <c r="U352" i="22"/>
  <c r="T352" i="22" s="1"/>
  <c r="S352" i="22" s="1"/>
  <c r="R352" i="22" s="1"/>
  <c r="U60" i="22"/>
  <c r="T60" i="22" s="1"/>
  <c r="S60" i="22" s="1"/>
  <c r="R60" i="22" s="1"/>
  <c r="U93" i="22"/>
  <c r="T93" i="22" s="1"/>
  <c r="S93" i="22" s="1"/>
  <c r="R93" i="22" s="1"/>
  <c r="U144" i="22"/>
  <c r="T144" i="22" s="1"/>
  <c r="S144" i="22" s="1"/>
  <c r="R144" i="22" s="1"/>
  <c r="U353" i="22"/>
  <c r="T353" i="22" s="1"/>
  <c r="S353" i="22" s="1"/>
  <c r="R353" i="22" s="1"/>
  <c r="U207" i="22"/>
  <c r="T207" i="22" s="1"/>
  <c r="S207" i="22" s="1"/>
  <c r="R207" i="22" s="1"/>
  <c r="U36" i="22"/>
  <c r="T36" i="22" s="1"/>
  <c r="S36" i="22" s="1"/>
  <c r="R36" i="22" s="1"/>
  <c r="U179" i="22"/>
  <c r="T179" i="22" s="1"/>
  <c r="S179" i="22" s="1"/>
  <c r="R179" i="22" s="1"/>
  <c r="U16" i="22"/>
  <c r="T16" i="22" s="1"/>
  <c r="S16" i="22" s="1"/>
  <c r="R16" i="22" s="1"/>
  <c r="U114" i="22"/>
  <c r="T114" i="22" s="1"/>
  <c r="S114" i="22" s="1"/>
  <c r="R114" i="22" s="1"/>
  <c r="U374" i="22"/>
  <c r="T374" i="22" s="1"/>
  <c r="S374" i="22" s="1"/>
  <c r="R374" i="22" s="1"/>
  <c r="U49" i="22"/>
  <c r="T49" i="22" s="1"/>
  <c r="S49" i="22" s="1"/>
  <c r="R49" i="22" s="1"/>
  <c r="U268" i="22"/>
  <c r="T268" i="22" s="1"/>
  <c r="S268" i="22" s="1"/>
  <c r="R268" i="22" s="1"/>
  <c r="U127" i="22"/>
  <c r="T127" i="22" s="1"/>
  <c r="S127" i="22" s="1"/>
  <c r="R127" i="22" s="1"/>
  <c r="U186" i="22"/>
  <c r="T186" i="22" s="1"/>
  <c r="S186" i="22" s="1"/>
  <c r="R186" i="22" s="1"/>
  <c r="U24" i="22"/>
  <c r="T24" i="22" s="1"/>
  <c r="S24" i="22" s="1"/>
  <c r="R24" i="22" s="1"/>
  <c r="U224" i="22"/>
  <c r="T224" i="22" s="1"/>
  <c r="S224" i="22" s="1"/>
  <c r="R224" i="22" s="1"/>
  <c r="U70" i="22"/>
  <c r="T70" i="22" s="1"/>
  <c r="S70" i="22" s="1"/>
  <c r="R70" i="22" s="1"/>
  <c r="J258" i="18"/>
  <c r="I258" i="18"/>
  <c r="J342" i="18"/>
  <c r="I342" i="18"/>
  <c r="I322" i="18"/>
  <c r="J322" i="18"/>
  <c r="AA87" i="18"/>
  <c r="Z87" i="18" s="1"/>
  <c r="Y87" i="18" s="1"/>
  <c r="H87" i="18"/>
  <c r="G87" i="18"/>
  <c r="CA87" i="6" s="1"/>
  <c r="J328" i="18"/>
  <c r="I328" i="18"/>
  <c r="J368" i="18"/>
  <c r="I368" i="18"/>
  <c r="I311" i="18"/>
  <c r="J311" i="18"/>
  <c r="AA302" i="18"/>
  <c r="Z302" i="18" s="1"/>
  <c r="Y302" i="18" s="1"/>
  <c r="H302" i="18"/>
  <c r="G302" i="18"/>
  <c r="CA302" i="6" s="1"/>
  <c r="I320" i="18"/>
  <c r="J320" i="18"/>
  <c r="J357" i="18"/>
  <c r="I357" i="18"/>
  <c r="J305" i="18"/>
  <c r="I305" i="18"/>
  <c r="J300" i="18"/>
  <c r="I300" i="18"/>
  <c r="J343" i="18"/>
  <c r="I343" i="18"/>
  <c r="J241" i="18"/>
  <c r="I241" i="18"/>
  <c r="J236" i="18"/>
  <c r="I236" i="18"/>
  <c r="J22" i="18"/>
  <c r="I22" i="18"/>
  <c r="I310" i="18"/>
  <c r="J310" i="18"/>
  <c r="J274" i="18"/>
  <c r="I274" i="18"/>
  <c r="J132" i="18"/>
  <c r="I132" i="18"/>
  <c r="I301" i="18"/>
  <c r="J301" i="18"/>
  <c r="J168" i="18"/>
  <c r="I168" i="18"/>
  <c r="J216" i="18"/>
  <c r="I216" i="18"/>
  <c r="J225" i="18"/>
  <c r="I225" i="18"/>
  <c r="J372" i="18"/>
  <c r="I372" i="18"/>
  <c r="I105" i="18"/>
  <c r="J105" i="18"/>
  <c r="J154" i="18"/>
  <c r="I154" i="18"/>
  <c r="I253" i="18"/>
  <c r="J253" i="18"/>
  <c r="J213" i="18"/>
  <c r="I213" i="18"/>
  <c r="I28" i="18"/>
  <c r="J28" i="18"/>
  <c r="J367" i="18"/>
  <c r="I367" i="18"/>
  <c r="J183" i="18"/>
  <c r="I183" i="18"/>
  <c r="J251" i="18"/>
  <c r="I251" i="18"/>
  <c r="I188" i="18"/>
  <c r="J188" i="18"/>
  <c r="J176" i="18"/>
  <c r="I176" i="18"/>
  <c r="I90" i="18"/>
  <c r="J90" i="18"/>
  <c r="J195" i="18"/>
  <c r="I195" i="18"/>
  <c r="J158" i="18"/>
  <c r="I158" i="18"/>
  <c r="J244" i="18"/>
  <c r="I244" i="18"/>
  <c r="J229" i="18"/>
  <c r="I229" i="18"/>
  <c r="J369" i="18"/>
  <c r="I369" i="18"/>
  <c r="J325" i="18"/>
  <c r="I325" i="18"/>
  <c r="I114" i="18"/>
  <c r="J114" i="18"/>
  <c r="J231" i="18"/>
  <c r="I231" i="18"/>
  <c r="I338" i="18"/>
  <c r="J338" i="18"/>
  <c r="I330" i="18"/>
  <c r="J330" i="18"/>
  <c r="J181" i="18"/>
  <c r="I181" i="18"/>
  <c r="J230" i="18"/>
  <c r="I230" i="18"/>
  <c r="I281" i="18"/>
  <c r="J281" i="18"/>
  <c r="J200" i="18"/>
  <c r="I200" i="18"/>
  <c r="I287" i="18"/>
  <c r="J287" i="18"/>
  <c r="I54" i="18"/>
  <c r="J54" i="18"/>
  <c r="D28" i="20"/>
  <c r="E28" i="20" s="1"/>
  <c r="F28" i="20" s="1"/>
  <c r="W28" i="20"/>
  <c r="I173" i="18"/>
  <c r="J173" i="18"/>
  <c r="J39" i="18"/>
  <c r="I39" i="18"/>
  <c r="J30" i="18"/>
  <c r="I30" i="18"/>
  <c r="I115" i="18"/>
  <c r="J115" i="18"/>
  <c r="J289" i="18"/>
  <c r="I289" i="18"/>
  <c r="J334" i="18"/>
  <c r="I334" i="18"/>
  <c r="AG15" i="20"/>
  <c r="J312" i="18"/>
  <c r="I312" i="18"/>
  <c r="J155" i="18"/>
  <c r="I155" i="18"/>
  <c r="J332" i="18"/>
  <c r="I332" i="18"/>
  <c r="J203" i="18"/>
  <c r="I203" i="18"/>
  <c r="J41" i="18"/>
  <c r="I41" i="18"/>
  <c r="J23" i="18"/>
  <c r="I23" i="18"/>
  <c r="J100" i="18"/>
  <c r="I100" i="18"/>
  <c r="J240" i="18"/>
  <c r="I240" i="18"/>
  <c r="J280" i="18"/>
  <c r="I280" i="18"/>
  <c r="J327" i="18"/>
  <c r="I327" i="18"/>
  <c r="J179" i="18"/>
  <c r="I179" i="18"/>
  <c r="J52" i="18"/>
  <c r="I52" i="18"/>
  <c r="J78" i="18"/>
  <c r="I78" i="18"/>
  <c r="J107" i="18"/>
  <c r="I107" i="18"/>
  <c r="J93" i="18"/>
  <c r="I93" i="18"/>
  <c r="I222" i="18"/>
  <c r="J222" i="18"/>
  <c r="J156" i="18"/>
  <c r="I156" i="18"/>
  <c r="J133" i="18"/>
  <c r="I133" i="18"/>
  <c r="I218" i="18"/>
  <c r="J218" i="18"/>
  <c r="J201" i="18"/>
  <c r="I201" i="18"/>
  <c r="J84" i="18"/>
  <c r="I84" i="18"/>
  <c r="J120" i="18"/>
  <c r="I120" i="18"/>
  <c r="I294" i="18"/>
  <c r="J294" i="18"/>
  <c r="I96" i="18"/>
  <c r="J96" i="18"/>
  <c r="I361" i="18"/>
  <c r="J361" i="18"/>
  <c r="J139" i="18"/>
  <c r="I139" i="18"/>
  <c r="J86" i="18"/>
  <c r="I86" i="18"/>
  <c r="I309" i="18"/>
  <c r="J309" i="18"/>
  <c r="J118" i="18"/>
  <c r="I118" i="18"/>
  <c r="J283" i="18"/>
  <c r="I283" i="18"/>
  <c r="I142" i="18"/>
  <c r="J142" i="18"/>
  <c r="I250" i="18"/>
  <c r="J250" i="18"/>
  <c r="I127" i="18"/>
  <c r="J127" i="18"/>
  <c r="I61" i="18"/>
  <c r="J61" i="18"/>
  <c r="I82" i="18"/>
  <c r="J82" i="18"/>
  <c r="I129" i="18"/>
  <c r="J129" i="18"/>
  <c r="J145" i="18"/>
  <c r="I145" i="18"/>
  <c r="I315" i="18"/>
  <c r="J315" i="18"/>
  <c r="J297" i="18"/>
  <c r="I297" i="18"/>
  <c r="J259" i="18"/>
  <c r="I259" i="18"/>
  <c r="J317" i="18"/>
  <c r="I317" i="18"/>
  <c r="J143" i="18"/>
  <c r="I143" i="18"/>
  <c r="I69" i="18"/>
  <c r="J69" i="18"/>
  <c r="I204" i="18"/>
  <c r="J204" i="18"/>
  <c r="I80" i="18"/>
  <c r="J80" i="18"/>
  <c r="I45" i="18"/>
  <c r="J45" i="18"/>
  <c r="F9" i="17"/>
  <c r="AK10" i="17"/>
  <c r="AK12" i="17" s="1"/>
  <c r="AK13" i="17" s="1"/>
  <c r="G15" i="17"/>
  <c r="BZ15" i="6" s="1"/>
  <c r="AM10" i="17"/>
  <c r="AA15" i="17"/>
  <c r="F381" i="17"/>
  <c r="F382" i="17"/>
  <c r="F383" i="17"/>
  <c r="H15" i="17"/>
  <c r="I171" i="18"/>
  <c r="J171" i="18"/>
  <c r="J197" i="18"/>
  <c r="I197" i="18"/>
  <c r="J215" i="18"/>
  <c r="I215" i="18"/>
  <c r="J307" i="18"/>
  <c r="I307" i="18"/>
  <c r="I175" i="18"/>
  <c r="J175" i="18"/>
  <c r="J242" i="18"/>
  <c r="I242" i="18"/>
  <c r="J63" i="18"/>
  <c r="I63" i="18"/>
  <c r="I122" i="18"/>
  <c r="J122" i="18"/>
  <c r="I160" i="18"/>
  <c r="J160" i="18"/>
  <c r="I97" i="18"/>
  <c r="J97" i="18"/>
  <c r="J207" i="18"/>
  <c r="I207" i="18"/>
  <c r="J116" i="18"/>
  <c r="I116" i="18"/>
  <c r="I210" i="18"/>
  <c r="J210" i="18"/>
  <c r="J26" i="18"/>
  <c r="I26" i="18"/>
  <c r="I262" i="18"/>
  <c r="J262" i="18"/>
  <c r="I29" i="18"/>
  <c r="J29" i="18"/>
  <c r="I150" i="18"/>
  <c r="J150" i="18"/>
  <c r="J144" i="18"/>
  <c r="I144" i="18"/>
  <c r="J272" i="18"/>
  <c r="I272" i="18"/>
  <c r="J221" i="18"/>
  <c r="I221" i="18"/>
  <c r="J206" i="18"/>
  <c r="I206" i="18"/>
  <c r="J121" i="18"/>
  <c r="I121" i="18"/>
  <c r="I233" i="18"/>
  <c r="J233" i="18"/>
  <c r="I285" i="18"/>
  <c r="J285" i="18"/>
  <c r="J25" i="18"/>
  <c r="I25" i="18"/>
  <c r="I254" i="18"/>
  <c r="J254" i="18"/>
  <c r="I72" i="18"/>
  <c r="J72" i="18"/>
  <c r="I149" i="18"/>
  <c r="J149" i="18"/>
  <c r="I190" i="18"/>
  <c r="J190" i="18"/>
  <c r="J123" i="18"/>
  <c r="I123" i="18"/>
  <c r="J157" i="18"/>
  <c r="I157" i="18"/>
  <c r="I265" i="18"/>
  <c r="J265" i="18"/>
  <c r="I192" i="18"/>
  <c r="J192" i="18"/>
  <c r="J162" i="18"/>
  <c r="I162" i="18"/>
  <c r="J234" i="18"/>
  <c r="I234" i="18"/>
  <c r="J208" i="18"/>
  <c r="I208" i="18"/>
  <c r="I178" i="18"/>
  <c r="J178" i="18"/>
  <c r="J263" i="18"/>
  <c r="I263" i="18"/>
  <c r="I70" i="18"/>
  <c r="J70" i="18"/>
  <c r="I33" i="18"/>
  <c r="J33" i="18"/>
  <c r="J151" i="18"/>
  <c r="I151" i="18"/>
  <c r="Q383" i="22"/>
  <c r="Q382" i="22"/>
  <c r="Q381" i="22"/>
  <c r="G83" i="20"/>
  <c r="CB83" i="6" s="1"/>
  <c r="AA83" i="20"/>
  <c r="Z83" i="20" s="1"/>
  <c r="Y83" i="20" s="1"/>
  <c r="AE12" i="23"/>
  <c r="Q12" i="23"/>
  <c r="AN15" i="7"/>
  <c r="AE381" i="22"/>
  <c r="AE383" i="22"/>
  <c r="AE382" i="22"/>
  <c r="E381" i="18"/>
  <c r="E383" i="18"/>
  <c r="E382" i="18"/>
  <c r="AK8" i="18"/>
  <c r="E9" i="18"/>
  <c r="AJ10" i="18"/>
  <c r="K66" i="19" l="1"/>
  <c r="B302" i="20"/>
  <c r="B252" i="20"/>
  <c r="D252" i="20" s="1"/>
  <c r="E252" i="20" s="1"/>
  <c r="F252" i="20" s="1"/>
  <c r="G252" i="20" s="1"/>
  <c r="CB252" i="6" s="1"/>
  <c r="B84" i="20"/>
  <c r="D84" i="20" s="1"/>
  <c r="E84" i="20" s="1"/>
  <c r="F84" i="20" s="1"/>
  <c r="B184" i="20"/>
  <c r="W184" i="20" s="1"/>
  <c r="B245" i="20"/>
  <c r="D245" i="20" s="1"/>
  <c r="E245" i="20" s="1"/>
  <c r="F245" i="20" s="1"/>
  <c r="B100" i="20"/>
  <c r="W100" i="20" s="1"/>
  <c r="B62" i="20"/>
  <c r="D62" i="20" s="1"/>
  <c r="E62" i="20" s="1"/>
  <c r="F62" i="20" s="1"/>
  <c r="J65" i="18"/>
  <c r="H379" i="18"/>
  <c r="I379" i="18" s="1"/>
  <c r="U267" i="22"/>
  <c r="T267" i="22" s="1"/>
  <c r="S267" i="22" s="1"/>
  <c r="R267" i="22" s="1"/>
  <c r="U151" i="22"/>
  <c r="T151" i="22" s="1"/>
  <c r="S151" i="22" s="1"/>
  <c r="R151" i="22" s="1"/>
  <c r="U322" i="22"/>
  <c r="T322" i="22" s="1"/>
  <c r="S322" i="22" s="1"/>
  <c r="R322" i="22" s="1"/>
  <c r="U97" i="22"/>
  <c r="T97" i="22" s="1"/>
  <c r="S97" i="22" s="1"/>
  <c r="R97" i="22" s="1"/>
  <c r="U259" i="22"/>
  <c r="T259" i="22" s="1"/>
  <c r="S259" i="22" s="1"/>
  <c r="R259" i="22" s="1"/>
  <c r="U200" i="22"/>
  <c r="T200" i="22" s="1"/>
  <c r="S200" i="22" s="1"/>
  <c r="R200" i="22" s="1"/>
  <c r="U187" i="22"/>
  <c r="T187" i="22" s="1"/>
  <c r="S187" i="22" s="1"/>
  <c r="R187" i="22" s="1"/>
  <c r="U211" i="22"/>
  <c r="T211" i="22" s="1"/>
  <c r="S211" i="22" s="1"/>
  <c r="R211" i="22" s="1"/>
  <c r="U165" i="22"/>
  <c r="T165" i="22" s="1"/>
  <c r="S165" i="22" s="1"/>
  <c r="R165" i="22" s="1"/>
  <c r="U73" i="22"/>
  <c r="T73" i="22" s="1"/>
  <c r="S73" i="22" s="1"/>
  <c r="R73" i="22" s="1"/>
  <c r="U106" i="22"/>
  <c r="T106" i="22" s="1"/>
  <c r="S106" i="22" s="1"/>
  <c r="R106" i="22" s="1"/>
  <c r="U326" i="22"/>
  <c r="T326" i="22" s="1"/>
  <c r="S326" i="22" s="1"/>
  <c r="R326" i="22" s="1"/>
  <c r="U117" i="22"/>
  <c r="T117" i="22" s="1"/>
  <c r="S117" i="22" s="1"/>
  <c r="R117" i="22" s="1"/>
  <c r="U280" i="22"/>
  <c r="T280" i="22" s="1"/>
  <c r="S280" i="22" s="1"/>
  <c r="R280" i="22" s="1"/>
  <c r="U71" i="22"/>
  <c r="T71" i="22" s="1"/>
  <c r="S71" i="22" s="1"/>
  <c r="R71" i="22" s="1"/>
  <c r="U217" i="22"/>
  <c r="T217" i="22" s="1"/>
  <c r="S217" i="22" s="1"/>
  <c r="R217" i="22" s="1"/>
  <c r="U153" i="22"/>
  <c r="T153" i="22" s="1"/>
  <c r="S153" i="22" s="1"/>
  <c r="R153" i="22" s="1"/>
  <c r="U198" i="22"/>
  <c r="T198" i="22" s="1"/>
  <c r="S198" i="22" s="1"/>
  <c r="R198" i="22" s="1"/>
  <c r="U152" i="22"/>
  <c r="T152" i="22" s="1"/>
  <c r="S152" i="22" s="1"/>
  <c r="R152" i="22" s="1"/>
  <c r="U255" i="22"/>
  <c r="T255" i="22" s="1"/>
  <c r="S255" i="22" s="1"/>
  <c r="R255" i="22" s="1"/>
  <c r="U273" i="22"/>
  <c r="T273" i="22" s="1"/>
  <c r="S273" i="22" s="1"/>
  <c r="R273" i="22" s="1"/>
  <c r="U64" i="22"/>
  <c r="T64" i="22" s="1"/>
  <c r="S64" i="22" s="1"/>
  <c r="R64" i="22" s="1"/>
  <c r="U223" i="22"/>
  <c r="T223" i="22" s="1"/>
  <c r="S223" i="22" s="1"/>
  <c r="R223" i="22" s="1"/>
  <c r="U300" i="22"/>
  <c r="T300" i="22" s="1"/>
  <c r="S300" i="22" s="1"/>
  <c r="R300" i="22" s="1"/>
  <c r="U159" i="22"/>
  <c r="T159" i="22" s="1"/>
  <c r="S159" i="22" s="1"/>
  <c r="R159" i="22" s="1"/>
  <c r="U218" i="22"/>
  <c r="T218" i="22" s="1"/>
  <c r="S218" i="22" s="1"/>
  <c r="R218" i="22" s="1"/>
  <c r="U56" i="22"/>
  <c r="T56" i="22" s="1"/>
  <c r="S56" i="22" s="1"/>
  <c r="R56" i="22" s="1"/>
  <c r="U256" i="22"/>
  <c r="T256" i="22" s="1"/>
  <c r="S256" i="22" s="1"/>
  <c r="R256" i="22" s="1"/>
  <c r="U102" i="22"/>
  <c r="T102" i="22" s="1"/>
  <c r="S102" i="22" s="1"/>
  <c r="R102" i="22" s="1"/>
  <c r="U126" i="22"/>
  <c r="T126" i="22" s="1"/>
  <c r="S126" i="22" s="1"/>
  <c r="R126" i="22" s="1"/>
  <c r="U174" i="22"/>
  <c r="T174" i="22" s="1"/>
  <c r="S174" i="22" s="1"/>
  <c r="R174" i="22" s="1"/>
  <c r="U20" i="22"/>
  <c r="T20" i="22" s="1"/>
  <c r="S20" i="22" s="1"/>
  <c r="R20" i="22" s="1"/>
  <c r="U237" i="22"/>
  <c r="T237" i="22" s="1"/>
  <c r="S237" i="22" s="1"/>
  <c r="R237" i="22" s="1"/>
  <c r="U74" i="22"/>
  <c r="T74" i="22" s="1"/>
  <c r="S74" i="22" s="1"/>
  <c r="R74" i="22" s="1"/>
  <c r="U284" i="22"/>
  <c r="T284" i="22" s="1"/>
  <c r="S284" i="22" s="1"/>
  <c r="R284" i="22" s="1"/>
  <c r="U368" i="22"/>
  <c r="T368" i="22" s="1"/>
  <c r="S368" i="22" s="1"/>
  <c r="R368" i="22" s="1"/>
  <c r="U235" i="22"/>
  <c r="T235" i="22" s="1"/>
  <c r="S235" i="22" s="1"/>
  <c r="R235" i="22" s="1"/>
  <c r="U119" i="22"/>
  <c r="T119" i="22" s="1"/>
  <c r="S119" i="22" s="1"/>
  <c r="R119" i="22" s="1"/>
  <c r="U199" i="22"/>
  <c r="T199" i="22" s="1"/>
  <c r="S199" i="22" s="1"/>
  <c r="R199" i="22" s="1"/>
  <c r="U158" i="22"/>
  <c r="T158" i="22" s="1"/>
  <c r="S158" i="22" s="1"/>
  <c r="R158" i="22" s="1"/>
  <c r="U92" i="22"/>
  <c r="T92" i="22" s="1"/>
  <c r="S92" i="22" s="1"/>
  <c r="R92" i="22" s="1"/>
  <c r="U125" i="22"/>
  <c r="T125" i="22" s="1"/>
  <c r="S125" i="22" s="1"/>
  <c r="R125" i="22" s="1"/>
  <c r="U176" i="22"/>
  <c r="T176" i="22" s="1"/>
  <c r="S176" i="22" s="1"/>
  <c r="R176" i="22" s="1"/>
  <c r="U22" i="22"/>
  <c r="T22" i="22" s="1"/>
  <c r="S22" i="22" s="1"/>
  <c r="R22" i="22" s="1"/>
  <c r="U239" i="22"/>
  <c r="T239" i="22" s="1"/>
  <c r="S239" i="22" s="1"/>
  <c r="R239" i="22" s="1"/>
  <c r="U68" i="22"/>
  <c r="T68" i="22" s="1"/>
  <c r="S68" i="22" s="1"/>
  <c r="R68" i="22" s="1"/>
  <c r="U76" i="22"/>
  <c r="T76" i="22" s="1"/>
  <c r="S76" i="22" s="1"/>
  <c r="R76" i="22" s="1"/>
  <c r="U306" i="22"/>
  <c r="T306" i="22" s="1"/>
  <c r="S306" i="22" s="1"/>
  <c r="R306" i="22" s="1"/>
  <c r="U357" i="22"/>
  <c r="T357" i="22" s="1"/>
  <c r="S357" i="22" s="1"/>
  <c r="R357" i="22" s="1"/>
  <c r="U203" i="22"/>
  <c r="T203" i="22" s="1"/>
  <c r="S203" i="22" s="1"/>
  <c r="R203" i="22" s="1"/>
  <c r="U215" i="22"/>
  <c r="T215" i="22" s="1"/>
  <c r="S215" i="22" s="1"/>
  <c r="R215" i="22" s="1"/>
  <c r="U154" i="22"/>
  <c r="T154" i="22" s="1"/>
  <c r="S154" i="22" s="1"/>
  <c r="R154" i="22" s="1"/>
  <c r="U260" i="22"/>
  <c r="T260" i="22" s="1"/>
  <c r="S260" i="22" s="1"/>
  <c r="R260" i="22" s="1"/>
  <c r="U156" i="22"/>
  <c r="T156" i="22" s="1"/>
  <c r="S156" i="22" s="1"/>
  <c r="R156" i="22" s="1"/>
  <c r="U240" i="22"/>
  <c r="T240" i="22" s="1"/>
  <c r="S240" i="22" s="1"/>
  <c r="R240" i="22" s="1"/>
  <c r="U222" i="22"/>
  <c r="T222" i="22" s="1"/>
  <c r="S222" i="22" s="1"/>
  <c r="R222" i="22" s="1"/>
  <c r="U270" i="22"/>
  <c r="T270" i="22" s="1"/>
  <c r="S270" i="22" s="1"/>
  <c r="R270" i="22" s="1"/>
  <c r="U116" i="22"/>
  <c r="T116" i="22" s="1"/>
  <c r="S116" i="22" s="1"/>
  <c r="R116" i="22" s="1"/>
  <c r="U333" i="22"/>
  <c r="T333" i="22" s="1"/>
  <c r="S333" i="22" s="1"/>
  <c r="R333" i="22" s="1"/>
  <c r="U170" i="22"/>
  <c r="T170" i="22" s="1"/>
  <c r="S170" i="22" s="1"/>
  <c r="R170" i="22" s="1"/>
  <c r="AM16" i="7"/>
  <c r="U29" i="22"/>
  <c r="T29" i="22" s="1"/>
  <c r="S29" i="22" s="1"/>
  <c r="R29" i="22" s="1"/>
  <c r="U80" i="22"/>
  <c r="T80" i="22" s="1"/>
  <c r="S80" i="22" s="1"/>
  <c r="R80" i="22" s="1"/>
  <c r="U289" i="22"/>
  <c r="T289" i="22" s="1"/>
  <c r="S289" i="22" s="1"/>
  <c r="R289" i="22" s="1"/>
  <c r="U143" i="22"/>
  <c r="T143" i="22" s="1"/>
  <c r="S143" i="22" s="1"/>
  <c r="R143" i="22" s="1"/>
  <c r="U343" i="22"/>
  <c r="T343" i="22" s="1"/>
  <c r="S343" i="22" s="1"/>
  <c r="R343" i="22" s="1"/>
  <c r="U121" i="22"/>
  <c r="T121" i="22" s="1"/>
  <c r="S121" i="22" s="1"/>
  <c r="R121" i="22" s="1"/>
  <c r="U39" i="22"/>
  <c r="T39" i="22" s="1"/>
  <c r="S39" i="22" s="1"/>
  <c r="R39" i="22" s="1"/>
  <c r="U376" i="22"/>
  <c r="T376" i="22" s="1"/>
  <c r="S376" i="22" s="1"/>
  <c r="R376" i="22" s="1"/>
  <c r="U145" i="22"/>
  <c r="T145" i="22" s="1"/>
  <c r="S145" i="22" s="1"/>
  <c r="R145" i="22" s="1"/>
  <c r="AA379" i="18"/>
  <c r="Z379" i="18" s="1"/>
  <c r="Y379" i="18" s="1"/>
  <c r="U23" i="22"/>
  <c r="T23" i="22" s="1"/>
  <c r="S23" i="22" s="1"/>
  <c r="R23" i="22" s="1"/>
  <c r="U194" i="22"/>
  <c r="T194" i="22" s="1"/>
  <c r="S194" i="22" s="1"/>
  <c r="R194" i="22" s="1"/>
  <c r="U340" i="22"/>
  <c r="T340" i="22" s="1"/>
  <c r="S340" i="22" s="1"/>
  <c r="R340" i="22" s="1"/>
  <c r="U131" i="22"/>
  <c r="T131" i="22" s="1"/>
  <c r="S131" i="22" s="1"/>
  <c r="R131" i="22" s="1"/>
  <c r="U72" i="22"/>
  <c r="T72" i="22" s="1"/>
  <c r="S72" i="22" s="1"/>
  <c r="R72" i="22" s="1"/>
  <c r="U59" i="22"/>
  <c r="T59" i="22" s="1"/>
  <c r="S59" i="22" s="1"/>
  <c r="R59" i="22" s="1"/>
  <c r="U375" i="22"/>
  <c r="T375" i="22" s="1"/>
  <c r="S375" i="22" s="1"/>
  <c r="R375" i="22" s="1"/>
  <c r="U85" i="22"/>
  <c r="T85" i="22" s="1"/>
  <c r="S85" i="22" s="1"/>
  <c r="R85" i="22" s="1"/>
  <c r="U175" i="22"/>
  <c r="T175" i="22" s="1"/>
  <c r="S175" i="22" s="1"/>
  <c r="R175" i="22" s="1"/>
  <c r="U269" i="22"/>
  <c r="T269" i="22" s="1"/>
  <c r="S269" i="22" s="1"/>
  <c r="R269" i="22" s="1"/>
  <c r="U363" i="22"/>
  <c r="T363" i="22" s="1"/>
  <c r="S363" i="22" s="1"/>
  <c r="R363" i="22" s="1"/>
  <c r="U214" i="22"/>
  <c r="T214" i="22" s="1"/>
  <c r="S214" i="22" s="1"/>
  <c r="R214" i="22" s="1"/>
  <c r="U65" i="22"/>
  <c r="T65" i="22" s="1"/>
  <c r="S65" i="22" s="1"/>
  <c r="R65" i="22" s="1"/>
  <c r="U295" i="22"/>
  <c r="T295" i="22" s="1"/>
  <c r="S295" i="22" s="1"/>
  <c r="R295" i="22" s="1"/>
  <c r="U261" i="22"/>
  <c r="T261" i="22" s="1"/>
  <c r="S261" i="22" s="1"/>
  <c r="R261" i="22" s="1"/>
  <c r="U334" i="22"/>
  <c r="T334" i="22" s="1"/>
  <c r="S334" i="22" s="1"/>
  <c r="R334" i="22" s="1"/>
  <c r="U210" i="22"/>
  <c r="T210" i="22" s="1"/>
  <c r="S210" i="22" s="1"/>
  <c r="R210" i="22" s="1"/>
  <c r="U40" i="22"/>
  <c r="T40" i="22" s="1"/>
  <c r="S40" i="22" s="1"/>
  <c r="R40" i="22" s="1"/>
  <c r="U169" i="22"/>
  <c r="T169" i="22" s="1"/>
  <c r="S169" i="22" s="1"/>
  <c r="R169" i="22" s="1"/>
  <c r="U155" i="22"/>
  <c r="T155" i="22" s="1"/>
  <c r="S155" i="22" s="1"/>
  <c r="R155" i="22" s="1"/>
  <c r="U369" i="22"/>
  <c r="T369" i="22" s="1"/>
  <c r="S369" i="22" s="1"/>
  <c r="R369" i="22" s="1"/>
  <c r="U228" i="22"/>
  <c r="T228" i="22" s="1"/>
  <c r="S228" i="22" s="1"/>
  <c r="R228" i="22" s="1"/>
  <c r="U87" i="22"/>
  <c r="T87" i="22" s="1"/>
  <c r="S87" i="22" s="1"/>
  <c r="R87" i="22" s="1"/>
  <c r="U309" i="22"/>
  <c r="T309" i="22" s="1"/>
  <c r="S309" i="22" s="1"/>
  <c r="R309" i="22" s="1"/>
  <c r="U160" i="22"/>
  <c r="T160" i="22" s="1"/>
  <c r="S160" i="22" s="1"/>
  <c r="R160" i="22" s="1"/>
  <c r="U15" i="22"/>
  <c r="U258" i="22"/>
  <c r="T258" i="22" s="1"/>
  <c r="S258" i="22" s="1"/>
  <c r="R258" i="22" s="1"/>
  <c r="U109" i="22"/>
  <c r="T109" i="22" s="1"/>
  <c r="S109" i="22" s="1"/>
  <c r="R109" i="22" s="1"/>
  <c r="U331" i="22"/>
  <c r="T331" i="22" s="1"/>
  <c r="S331" i="22" s="1"/>
  <c r="R331" i="22" s="1"/>
  <c r="U182" i="22"/>
  <c r="T182" i="22" s="1"/>
  <c r="S182" i="22" s="1"/>
  <c r="R182" i="22" s="1"/>
  <c r="U33" i="22"/>
  <c r="T33" i="22" s="1"/>
  <c r="S33" i="22" s="1"/>
  <c r="R33" i="22" s="1"/>
  <c r="U263" i="22"/>
  <c r="T263" i="22" s="1"/>
  <c r="S263" i="22" s="1"/>
  <c r="R263" i="22" s="1"/>
  <c r="U122" i="22"/>
  <c r="T122" i="22" s="1"/>
  <c r="S122" i="22" s="1"/>
  <c r="R122" i="22" s="1"/>
  <c r="U336" i="22"/>
  <c r="T336" i="22" s="1"/>
  <c r="S336" i="22" s="1"/>
  <c r="R336" i="22" s="1"/>
  <c r="U195" i="22"/>
  <c r="T195" i="22" s="1"/>
  <c r="S195" i="22" s="1"/>
  <c r="R195" i="22" s="1"/>
  <c r="U46" i="22"/>
  <c r="T46" i="22" s="1"/>
  <c r="S46" i="22" s="1"/>
  <c r="R46" i="22" s="1"/>
  <c r="U63" i="22"/>
  <c r="T63" i="22" s="1"/>
  <c r="S63" i="22" s="1"/>
  <c r="R63" i="22" s="1"/>
  <c r="U285" i="22"/>
  <c r="T285" i="22" s="1"/>
  <c r="S285" i="22" s="1"/>
  <c r="R285" i="22" s="1"/>
  <c r="U136" i="22"/>
  <c r="T136" i="22" s="1"/>
  <c r="S136" i="22" s="1"/>
  <c r="R136" i="22" s="1"/>
  <c r="U361" i="22"/>
  <c r="T361" i="22" s="1"/>
  <c r="S361" i="22" s="1"/>
  <c r="R361" i="22" s="1"/>
  <c r="U204" i="22"/>
  <c r="T204" i="22" s="1"/>
  <c r="S204" i="22" s="1"/>
  <c r="R204" i="22" s="1"/>
  <c r="U252" i="22"/>
  <c r="T252" i="22" s="1"/>
  <c r="S252" i="22" s="1"/>
  <c r="R252" i="22" s="1"/>
  <c r="U123" i="22"/>
  <c r="T123" i="22" s="1"/>
  <c r="S123" i="22" s="1"/>
  <c r="R123" i="22" s="1"/>
  <c r="U337" i="22"/>
  <c r="T337" i="22" s="1"/>
  <c r="S337" i="22" s="1"/>
  <c r="R337" i="22" s="1"/>
  <c r="U196" i="22"/>
  <c r="T196" i="22" s="1"/>
  <c r="S196" i="22" s="1"/>
  <c r="R196" i="22" s="1"/>
  <c r="U55" i="22"/>
  <c r="T55" i="22" s="1"/>
  <c r="S55" i="22" s="1"/>
  <c r="R55" i="22" s="1"/>
  <c r="U277" i="22"/>
  <c r="T277" i="22" s="1"/>
  <c r="S277" i="22" s="1"/>
  <c r="R277" i="22" s="1"/>
  <c r="U128" i="22"/>
  <c r="T128" i="22" s="1"/>
  <c r="S128" i="22" s="1"/>
  <c r="R128" i="22" s="1"/>
  <c r="U367" i="22"/>
  <c r="T367" i="22" s="1"/>
  <c r="S367" i="22" s="1"/>
  <c r="R367" i="22" s="1"/>
  <c r="U226" i="22"/>
  <c r="T226" i="22" s="1"/>
  <c r="S226" i="22" s="1"/>
  <c r="R226" i="22" s="1"/>
  <c r="U77" i="22"/>
  <c r="T77" i="22" s="1"/>
  <c r="S77" i="22" s="1"/>
  <c r="R77" i="22" s="1"/>
  <c r="U299" i="22"/>
  <c r="T299" i="22" s="1"/>
  <c r="S299" i="22" s="1"/>
  <c r="R299" i="22" s="1"/>
  <c r="U150" i="22"/>
  <c r="T150" i="22" s="1"/>
  <c r="S150" i="22" s="1"/>
  <c r="R150" i="22" s="1"/>
  <c r="U372" i="22"/>
  <c r="T372" i="22" s="1"/>
  <c r="S372" i="22" s="1"/>
  <c r="R372" i="22" s="1"/>
  <c r="U231" i="22"/>
  <c r="T231" i="22" s="1"/>
  <c r="S231" i="22" s="1"/>
  <c r="R231" i="22" s="1"/>
  <c r="U90" i="22"/>
  <c r="T90" i="22" s="1"/>
  <c r="S90" i="22" s="1"/>
  <c r="R90" i="22" s="1"/>
  <c r="U304" i="22"/>
  <c r="T304" i="22" s="1"/>
  <c r="S304" i="22" s="1"/>
  <c r="R304" i="22" s="1"/>
  <c r="U163" i="22"/>
  <c r="T163" i="22" s="1"/>
  <c r="S163" i="22" s="1"/>
  <c r="R163" i="22" s="1"/>
  <c r="U377" i="22"/>
  <c r="T377" i="22" s="1"/>
  <c r="S377" i="22" s="1"/>
  <c r="R377" i="22" s="1"/>
  <c r="U31" i="22"/>
  <c r="T31" i="22" s="1"/>
  <c r="S31" i="22" s="1"/>
  <c r="R31" i="22" s="1"/>
  <c r="U253" i="22"/>
  <c r="T253" i="22" s="1"/>
  <c r="S253" i="22" s="1"/>
  <c r="R253" i="22" s="1"/>
  <c r="U104" i="22"/>
  <c r="T104" i="22" s="1"/>
  <c r="S104" i="22" s="1"/>
  <c r="R104" i="22" s="1"/>
  <c r="U329" i="22"/>
  <c r="T329" i="22" s="1"/>
  <c r="S329" i="22" s="1"/>
  <c r="R329" i="22" s="1"/>
  <c r="U172" i="22"/>
  <c r="T172" i="22" s="1"/>
  <c r="S172" i="22" s="1"/>
  <c r="R172" i="22" s="1"/>
  <c r="U220" i="22"/>
  <c r="T220" i="22" s="1"/>
  <c r="S220" i="22" s="1"/>
  <c r="R220" i="22" s="1"/>
  <c r="U26" i="22"/>
  <c r="T26" i="22" s="1"/>
  <c r="S26" i="22" s="1"/>
  <c r="R26" i="22" s="1"/>
  <c r="U99" i="22"/>
  <c r="T99" i="22" s="1"/>
  <c r="S99" i="22" s="1"/>
  <c r="R99" i="22" s="1"/>
  <c r="U338" i="22"/>
  <c r="T338" i="22" s="1"/>
  <c r="S338" i="22" s="1"/>
  <c r="R338" i="22" s="1"/>
  <c r="U286" i="22"/>
  <c r="T286" i="22" s="1"/>
  <c r="S286" i="22" s="1"/>
  <c r="R286" i="22" s="1"/>
  <c r="U108" i="22"/>
  <c r="T108" i="22" s="1"/>
  <c r="S108" i="22" s="1"/>
  <c r="R108" i="22" s="1"/>
  <c r="U91" i="22"/>
  <c r="T91" i="22" s="1"/>
  <c r="S91" i="22" s="1"/>
  <c r="R91" i="22" s="1"/>
  <c r="U335" i="22"/>
  <c r="T335" i="22" s="1"/>
  <c r="S335" i="22" s="1"/>
  <c r="R335" i="22" s="1"/>
  <c r="U272" i="22"/>
  <c r="T272" i="22" s="1"/>
  <c r="S272" i="22" s="1"/>
  <c r="R272" i="22" s="1"/>
  <c r="U188" i="22"/>
  <c r="T188" i="22" s="1"/>
  <c r="S188" i="22" s="1"/>
  <c r="R188" i="22" s="1"/>
  <c r="U341" i="22"/>
  <c r="T341" i="22" s="1"/>
  <c r="S341" i="22" s="1"/>
  <c r="R341" i="22" s="1"/>
  <c r="U34" i="22"/>
  <c r="T34" i="22" s="1"/>
  <c r="S34" i="22" s="1"/>
  <c r="R34" i="22" s="1"/>
  <c r="U342" i="22"/>
  <c r="T342" i="22" s="1"/>
  <c r="S342" i="22" s="1"/>
  <c r="R342" i="22" s="1"/>
  <c r="U52" i="22"/>
  <c r="T52" i="22" s="1"/>
  <c r="S52" i="22" s="1"/>
  <c r="R52" i="22" s="1"/>
  <c r="U227" i="22"/>
  <c r="T227" i="22" s="1"/>
  <c r="S227" i="22" s="1"/>
  <c r="R227" i="22" s="1"/>
  <c r="U168" i="22"/>
  <c r="T168" i="22" s="1"/>
  <c r="S168" i="22" s="1"/>
  <c r="R168" i="22" s="1"/>
  <c r="U283" i="22"/>
  <c r="T283" i="22" s="1"/>
  <c r="S283" i="22" s="1"/>
  <c r="R283" i="22" s="1"/>
  <c r="U356" i="22"/>
  <c r="T356" i="22" s="1"/>
  <c r="S356" i="22" s="1"/>
  <c r="R356" i="22" s="1"/>
  <c r="U330" i="22"/>
  <c r="T330" i="22" s="1"/>
  <c r="S330" i="22" s="1"/>
  <c r="R330" i="22" s="1"/>
  <c r="U32" i="22"/>
  <c r="T32" i="22" s="1"/>
  <c r="S32" i="22" s="1"/>
  <c r="R32" i="22" s="1"/>
  <c r="U130" i="22"/>
  <c r="T130" i="22" s="1"/>
  <c r="S130" i="22" s="1"/>
  <c r="R130" i="22" s="1"/>
  <c r="U219" i="22"/>
  <c r="T219" i="22" s="1"/>
  <c r="S219" i="22" s="1"/>
  <c r="R219" i="22" s="1"/>
  <c r="U292" i="22"/>
  <c r="T292" i="22" s="1"/>
  <c r="S292" i="22" s="1"/>
  <c r="R292" i="22" s="1"/>
  <c r="U373" i="22"/>
  <c r="T373" i="22" s="1"/>
  <c r="S373" i="22" s="1"/>
  <c r="R373" i="22" s="1"/>
  <c r="U83" i="22"/>
  <c r="T83" i="22" s="1"/>
  <c r="S83" i="22" s="1"/>
  <c r="R83" i="22" s="1"/>
  <c r="U173" i="22"/>
  <c r="T173" i="22" s="1"/>
  <c r="S173" i="22" s="1"/>
  <c r="R173" i="22" s="1"/>
  <c r="U246" i="22"/>
  <c r="T246" i="22" s="1"/>
  <c r="S246" i="22" s="1"/>
  <c r="R246" i="22" s="1"/>
  <c r="U327" i="22"/>
  <c r="T327" i="22" s="1"/>
  <c r="S327" i="22" s="1"/>
  <c r="R327" i="22" s="1"/>
  <c r="U37" i="22"/>
  <c r="T37" i="22" s="1"/>
  <c r="S37" i="22" s="1"/>
  <c r="R37" i="22" s="1"/>
  <c r="U110" i="22"/>
  <c r="T110" i="22" s="1"/>
  <c r="S110" i="22" s="1"/>
  <c r="R110" i="22" s="1"/>
  <c r="U349" i="22"/>
  <c r="T349" i="22" s="1"/>
  <c r="S349" i="22" s="1"/>
  <c r="R349" i="22" s="1"/>
  <c r="U62" i="22"/>
  <c r="T62" i="22" s="1"/>
  <c r="S62" i="22" s="1"/>
  <c r="R62" i="22" s="1"/>
  <c r="U316" i="22"/>
  <c r="T316" i="22" s="1"/>
  <c r="S316" i="22" s="1"/>
  <c r="R316" i="22" s="1"/>
  <c r="U347" i="22"/>
  <c r="T347" i="22" s="1"/>
  <c r="S347" i="22" s="1"/>
  <c r="R347" i="22" s="1"/>
  <c r="U138" i="22"/>
  <c r="T138" i="22" s="1"/>
  <c r="S138" i="22" s="1"/>
  <c r="R138" i="22" s="1"/>
  <c r="U301" i="22"/>
  <c r="T301" i="22" s="1"/>
  <c r="S301" i="22" s="1"/>
  <c r="R301" i="22" s="1"/>
  <c r="U84" i="22"/>
  <c r="T84" i="22" s="1"/>
  <c r="S84" i="22" s="1"/>
  <c r="R84" i="22" s="1"/>
  <c r="U238" i="22"/>
  <c r="T238" i="22" s="1"/>
  <c r="S238" i="22" s="1"/>
  <c r="R238" i="22" s="1"/>
  <c r="U190" i="22"/>
  <c r="T190" i="22" s="1"/>
  <c r="S190" i="22" s="1"/>
  <c r="R190" i="22" s="1"/>
  <c r="U166" i="22"/>
  <c r="T166" i="22" s="1"/>
  <c r="S166" i="22" s="1"/>
  <c r="R166" i="22" s="1"/>
  <c r="U247" i="22"/>
  <c r="T247" i="22" s="1"/>
  <c r="S247" i="22" s="1"/>
  <c r="R247" i="22" s="1"/>
  <c r="U320" i="22"/>
  <c r="T320" i="22" s="1"/>
  <c r="S320" i="22" s="1"/>
  <c r="R320" i="22" s="1"/>
  <c r="U47" i="22"/>
  <c r="T47" i="22" s="1"/>
  <c r="S47" i="22" s="1"/>
  <c r="R47" i="22" s="1"/>
  <c r="U177" i="22"/>
  <c r="T177" i="22" s="1"/>
  <c r="S177" i="22" s="1"/>
  <c r="R177" i="22" s="1"/>
  <c r="U266" i="22"/>
  <c r="T266" i="22" s="1"/>
  <c r="S266" i="22" s="1"/>
  <c r="R266" i="22" s="1"/>
  <c r="U339" i="22"/>
  <c r="T339" i="22" s="1"/>
  <c r="S339" i="22" s="1"/>
  <c r="R339" i="22" s="1"/>
  <c r="U66" i="22"/>
  <c r="T66" i="22" s="1"/>
  <c r="S66" i="22" s="1"/>
  <c r="R66" i="22" s="1"/>
  <c r="U139" i="22"/>
  <c r="T139" i="22" s="1"/>
  <c r="S139" i="22" s="1"/>
  <c r="R139" i="22" s="1"/>
  <c r="U212" i="22"/>
  <c r="T212" i="22" s="1"/>
  <c r="S212" i="22" s="1"/>
  <c r="R212" i="22" s="1"/>
  <c r="U293" i="22"/>
  <c r="T293" i="22" s="1"/>
  <c r="S293" i="22" s="1"/>
  <c r="R293" i="22" s="1"/>
  <c r="U366" i="22"/>
  <c r="T366" i="22" s="1"/>
  <c r="S366" i="22" s="1"/>
  <c r="R366" i="22" s="1"/>
  <c r="U242" i="22"/>
  <c r="T242" i="22" s="1"/>
  <c r="S242" i="22" s="1"/>
  <c r="R242" i="22" s="1"/>
  <c r="U318" i="22"/>
  <c r="T318" i="22" s="1"/>
  <c r="S318" i="22" s="1"/>
  <c r="R318" i="22" s="1"/>
  <c r="U201" i="22"/>
  <c r="T201" i="22" s="1"/>
  <c r="S201" i="22" s="1"/>
  <c r="R201" i="22" s="1"/>
  <c r="U294" i="22"/>
  <c r="T294" i="22" s="1"/>
  <c r="S294" i="22" s="1"/>
  <c r="R294" i="22" s="1"/>
  <c r="U279" i="22"/>
  <c r="T279" i="22" s="1"/>
  <c r="S279" i="22" s="1"/>
  <c r="R279" i="22" s="1"/>
  <c r="U79" i="22"/>
  <c r="T79" i="22" s="1"/>
  <c r="S79" i="22" s="1"/>
  <c r="R79" i="22" s="1"/>
  <c r="U225" i="22"/>
  <c r="T225" i="22" s="1"/>
  <c r="S225" i="22" s="1"/>
  <c r="R225" i="22" s="1"/>
  <c r="U19" i="22"/>
  <c r="T19" i="22" s="1"/>
  <c r="S19" i="22" s="1"/>
  <c r="R19" i="22" s="1"/>
  <c r="U328" i="22"/>
  <c r="T328" i="22" s="1"/>
  <c r="S328" i="22" s="1"/>
  <c r="R328" i="22" s="1"/>
  <c r="U315" i="22"/>
  <c r="T315" i="22" s="1"/>
  <c r="S315" i="22" s="1"/>
  <c r="R315" i="22" s="1"/>
  <c r="U132" i="22"/>
  <c r="T132" i="22" s="1"/>
  <c r="S132" i="22" s="1"/>
  <c r="R132" i="22" s="1"/>
  <c r="U213" i="22"/>
  <c r="T213" i="22" s="1"/>
  <c r="S213" i="22" s="1"/>
  <c r="R213" i="22" s="1"/>
  <c r="U303" i="22"/>
  <c r="T303" i="22" s="1"/>
  <c r="S303" i="22" s="1"/>
  <c r="R303" i="22" s="1"/>
  <c r="U296" i="22"/>
  <c r="T296" i="22" s="1"/>
  <c r="S296" i="22" s="1"/>
  <c r="R296" i="22" s="1"/>
  <c r="U355" i="22"/>
  <c r="T355" i="22" s="1"/>
  <c r="S355" i="22" s="1"/>
  <c r="R355" i="22" s="1"/>
  <c r="U348" i="22"/>
  <c r="T348" i="22" s="1"/>
  <c r="S348" i="22" s="1"/>
  <c r="R348" i="22" s="1"/>
  <c r="U94" i="22"/>
  <c r="T94" i="22" s="1"/>
  <c r="S94" i="22" s="1"/>
  <c r="R94" i="22" s="1"/>
  <c r="U17" i="22"/>
  <c r="T17" i="22" s="1"/>
  <c r="S17" i="22" s="1"/>
  <c r="R17" i="22" s="1"/>
  <c r="U142" i="22"/>
  <c r="T142" i="22" s="1"/>
  <c r="S142" i="22" s="1"/>
  <c r="R142" i="22" s="1"/>
  <c r="U69" i="22"/>
  <c r="T69" i="22" s="1"/>
  <c r="S69" i="22" s="1"/>
  <c r="R69" i="22" s="1"/>
  <c r="U359" i="22"/>
  <c r="T359" i="22" s="1"/>
  <c r="S359" i="22" s="1"/>
  <c r="R359" i="22" s="1"/>
  <c r="U278" i="22"/>
  <c r="T278" i="22" s="1"/>
  <c r="S278" i="22" s="1"/>
  <c r="R278" i="22" s="1"/>
  <c r="U205" i="22"/>
  <c r="T205" i="22" s="1"/>
  <c r="S205" i="22" s="1"/>
  <c r="R205" i="22" s="1"/>
  <c r="U115" i="22"/>
  <c r="T115" i="22" s="1"/>
  <c r="S115" i="22" s="1"/>
  <c r="R115" i="22" s="1"/>
  <c r="U42" i="22"/>
  <c r="T42" i="22" s="1"/>
  <c r="S42" i="22" s="1"/>
  <c r="R42" i="22" s="1"/>
  <c r="U324" i="22"/>
  <c r="T324" i="22" s="1"/>
  <c r="S324" i="22" s="1"/>
  <c r="R324" i="22" s="1"/>
  <c r="U251" i="22"/>
  <c r="T251" i="22" s="1"/>
  <c r="S251" i="22" s="1"/>
  <c r="R251" i="22" s="1"/>
  <c r="U332" i="22"/>
  <c r="T332" i="22" s="1"/>
  <c r="S332" i="22" s="1"/>
  <c r="R332" i="22" s="1"/>
  <c r="U264" i="22"/>
  <c r="T264" i="22" s="1"/>
  <c r="S264" i="22" s="1"/>
  <c r="R264" i="22" s="1"/>
  <c r="U191" i="22"/>
  <c r="T191" i="22" s="1"/>
  <c r="S191" i="22" s="1"/>
  <c r="R191" i="22" s="1"/>
  <c r="U323" i="22"/>
  <c r="T323" i="22" s="1"/>
  <c r="S323" i="22" s="1"/>
  <c r="R323" i="22" s="1"/>
  <c r="U250" i="22"/>
  <c r="T250" i="22" s="1"/>
  <c r="S250" i="22" s="1"/>
  <c r="R250" i="22" s="1"/>
  <c r="U161" i="22"/>
  <c r="T161" i="22" s="1"/>
  <c r="S161" i="22" s="1"/>
  <c r="R161" i="22" s="1"/>
  <c r="U88" i="22"/>
  <c r="T88" i="22" s="1"/>
  <c r="S88" i="22" s="1"/>
  <c r="R88" i="22" s="1"/>
  <c r="U18" i="22"/>
  <c r="T18" i="22" s="1"/>
  <c r="S18" i="22" s="1"/>
  <c r="R18" i="22" s="1"/>
  <c r="U288" i="22"/>
  <c r="T288" i="22" s="1"/>
  <c r="S288" i="22" s="1"/>
  <c r="R288" i="22" s="1"/>
  <c r="U100" i="22"/>
  <c r="T100" i="22" s="1"/>
  <c r="S100" i="22" s="1"/>
  <c r="R100" i="22" s="1"/>
  <c r="U27" i="22"/>
  <c r="T27" i="22" s="1"/>
  <c r="S27" i="22" s="1"/>
  <c r="R27" i="22" s="1"/>
  <c r="U30" i="22"/>
  <c r="T30" i="22" s="1"/>
  <c r="S30" i="22" s="1"/>
  <c r="R30" i="22" s="1"/>
  <c r="U78" i="22"/>
  <c r="T78" i="22" s="1"/>
  <c r="S78" i="22" s="1"/>
  <c r="R78" i="22" s="1"/>
  <c r="U167" i="22"/>
  <c r="T167" i="22" s="1"/>
  <c r="S167" i="22" s="1"/>
  <c r="R167" i="22" s="1"/>
  <c r="U86" i="22"/>
  <c r="T86" i="22" s="1"/>
  <c r="S86" i="22" s="1"/>
  <c r="R86" i="22" s="1"/>
  <c r="U141" i="22"/>
  <c r="T141" i="22" s="1"/>
  <c r="S141" i="22" s="1"/>
  <c r="R141" i="22" s="1"/>
  <c r="U192" i="22"/>
  <c r="T192" i="22" s="1"/>
  <c r="S192" i="22" s="1"/>
  <c r="R192" i="22" s="1"/>
  <c r="U38" i="22"/>
  <c r="T38" i="22" s="1"/>
  <c r="S38" i="22" s="1"/>
  <c r="R38" i="22" s="1"/>
  <c r="U345" i="22"/>
  <c r="T345" i="22" s="1"/>
  <c r="S345" i="22" s="1"/>
  <c r="R345" i="22" s="1"/>
  <c r="U45" i="22"/>
  <c r="T45" i="22" s="1"/>
  <c r="S45" i="22" s="1"/>
  <c r="R45" i="22" s="1"/>
  <c r="U41" i="22"/>
  <c r="T41" i="22" s="1"/>
  <c r="S41" i="22" s="1"/>
  <c r="R41" i="22" s="1"/>
  <c r="U82" i="22"/>
  <c r="T82" i="22" s="1"/>
  <c r="S82" i="22" s="1"/>
  <c r="R82" i="22" s="1"/>
  <c r="U133" i="22"/>
  <c r="T133" i="22" s="1"/>
  <c r="S133" i="22" s="1"/>
  <c r="R133" i="22" s="1"/>
  <c r="U44" i="22"/>
  <c r="T44" i="22" s="1"/>
  <c r="S44" i="22" s="1"/>
  <c r="R44" i="22" s="1"/>
  <c r="U350" i="22"/>
  <c r="T350" i="22" s="1"/>
  <c r="S350" i="22" s="1"/>
  <c r="R350" i="22" s="1"/>
  <c r="U274" i="22"/>
  <c r="T274" i="22" s="1"/>
  <c r="S274" i="22" s="1"/>
  <c r="R274" i="22" s="1"/>
  <c r="U35" i="22"/>
  <c r="T35" i="22" s="1"/>
  <c r="S35" i="22" s="1"/>
  <c r="R35" i="22" s="1"/>
  <c r="U325" i="22"/>
  <c r="T325" i="22" s="1"/>
  <c r="S325" i="22" s="1"/>
  <c r="R325" i="22" s="1"/>
  <c r="U244" i="22"/>
  <c r="T244" i="22" s="1"/>
  <c r="S244" i="22" s="1"/>
  <c r="R244" i="22" s="1"/>
  <c r="U171" i="22"/>
  <c r="T171" i="22" s="1"/>
  <c r="S171" i="22" s="1"/>
  <c r="R171" i="22" s="1"/>
  <c r="U98" i="22"/>
  <c r="T98" i="22" s="1"/>
  <c r="S98" i="22" s="1"/>
  <c r="R98" i="22" s="1"/>
  <c r="U371" i="22"/>
  <c r="T371" i="22" s="1"/>
  <c r="S371" i="22" s="1"/>
  <c r="R371" i="22" s="1"/>
  <c r="U298" i="22"/>
  <c r="T298" i="22" s="1"/>
  <c r="S298" i="22" s="1"/>
  <c r="R298" i="22" s="1"/>
  <c r="U209" i="22"/>
  <c r="T209" i="22" s="1"/>
  <c r="S209" i="22" s="1"/>
  <c r="R209" i="22" s="1"/>
  <c r="U124" i="22"/>
  <c r="T124" i="22" s="1"/>
  <c r="S124" i="22" s="1"/>
  <c r="R124" i="22" s="1"/>
  <c r="U233" i="22"/>
  <c r="T233" i="22" s="1"/>
  <c r="S233" i="22" s="1"/>
  <c r="R233" i="22" s="1"/>
  <c r="U157" i="22"/>
  <c r="T157" i="22" s="1"/>
  <c r="S157" i="22" s="1"/>
  <c r="R157" i="22" s="1"/>
  <c r="U281" i="22"/>
  <c r="T281" i="22" s="1"/>
  <c r="S281" i="22" s="1"/>
  <c r="R281" i="22" s="1"/>
  <c r="U208" i="22"/>
  <c r="T208" i="22" s="1"/>
  <c r="S208" i="22" s="1"/>
  <c r="R208" i="22" s="1"/>
  <c r="U135" i="22"/>
  <c r="T135" i="22" s="1"/>
  <c r="S135" i="22" s="1"/>
  <c r="R135" i="22" s="1"/>
  <c r="U54" i="22"/>
  <c r="T54" i="22" s="1"/>
  <c r="S54" i="22" s="1"/>
  <c r="R54" i="22" s="1"/>
  <c r="U344" i="22"/>
  <c r="T344" i="22" s="1"/>
  <c r="S344" i="22" s="1"/>
  <c r="R344" i="22" s="1"/>
  <c r="U181" i="22"/>
  <c r="T181" i="22" s="1"/>
  <c r="S181" i="22" s="1"/>
  <c r="R181" i="22" s="1"/>
  <c r="U134" i="22"/>
  <c r="T134" i="22" s="1"/>
  <c r="S134" i="22" s="1"/>
  <c r="R134" i="22" s="1"/>
  <c r="U95" i="22"/>
  <c r="T95" i="22" s="1"/>
  <c r="S95" i="22" s="1"/>
  <c r="R95" i="22" s="1"/>
  <c r="U193" i="22"/>
  <c r="T193" i="22" s="1"/>
  <c r="S193" i="22" s="1"/>
  <c r="R193" i="22" s="1"/>
  <c r="U51" i="22"/>
  <c r="T51" i="22" s="1"/>
  <c r="S51" i="22" s="1"/>
  <c r="R51" i="22" s="1"/>
  <c r="U221" i="22"/>
  <c r="T221" i="22" s="1"/>
  <c r="S221" i="22" s="1"/>
  <c r="R221" i="22" s="1"/>
  <c r="U245" i="22"/>
  <c r="T245" i="22" s="1"/>
  <c r="S245" i="22" s="1"/>
  <c r="R245" i="22" s="1"/>
  <c r="U265" i="22"/>
  <c r="T265" i="22" s="1"/>
  <c r="S265" i="22" s="1"/>
  <c r="R265" i="22" s="1"/>
  <c r="U313" i="22"/>
  <c r="T313" i="22" s="1"/>
  <c r="S313" i="22" s="1"/>
  <c r="R313" i="22" s="1"/>
  <c r="U248" i="22"/>
  <c r="T248" i="22" s="1"/>
  <c r="S248" i="22" s="1"/>
  <c r="R248" i="22" s="1"/>
  <c r="U57" i="22"/>
  <c r="T57" i="22" s="1"/>
  <c r="S57" i="22" s="1"/>
  <c r="R57" i="22" s="1"/>
  <c r="U360" i="22"/>
  <c r="T360" i="22" s="1"/>
  <c r="S360" i="22" s="1"/>
  <c r="R360" i="22" s="1"/>
  <c r="U287" i="22"/>
  <c r="T287" i="22" s="1"/>
  <c r="S287" i="22" s="1"/>
  <c r="R287" i="22" s="1"/>
  <c r="U48" i="22"/>
  <c r="T48" i="22" s="1"/>
  <c r="S48" i="22" s="1"/>
  <c r="R48" i="22" s="1"/>
  <c r="U346" i="22"/>
  <c r="T346" i="22" s="1"/>
  <c r="S346" i="22" s="1"/>
  <c r="R346" i="22" s="1"/>
  <c r="U257" i="22"/>
  <c r="T257" i="22" s="1"/>
  <c r="S257" i="22" s="1"/>
  <c r="R257" i="22" s="1"/>
  <c r="U184" i="22"/>
  <c r="T184" i="22" s="1"/>
  <c r="S184" i="22" s="1"/>
  <c r="R184" i="22" s="1"/>
  <c r="U111" i="22"/>
  <c r="T111" i="22" s="1"/>
  <c r="S111" i="22" s="1"/>
  <c r="R111" i="22" s="1"/>
  <c r="U21" i="22"/>
  <c r="T21" i="22" s="1"/>
  <c r="S21" i="22" s="1"/>
  <c r="R21" i="22" s="1"/>
  <c r="U311" i="22"/>
  <c r="T311" i="22" s="1"/>
  <c r="S311" i="22" s="1"/>
  <c r="R311" i="22" s="1"/>
  <c r="U230" i="22"/>
  <c r="T230" i="22" s="1"/>
  <c r="S230" i="22" s="1"/>
  <c r="R230" i="22" s="1"/>
  <c r="U137" i="22"/>
  <c r="T137" i="22" s="1"/>
  <c r="S137" i="22" s="1"/>
  <c r="R137" i="22" s="1"/>
  <c r="U254" i="22"/>
  <c r="T254" i="22" s="1"/>
  <c r="S254" i="22" s="1"/>
  <c r="R254" i="22" s="1"/>
  <c r="U178" i="22"/>
  <c r="T178" i="22" s="1"/>
  <c r="S178" i="22" s="1"/>
  <c r="R178" i="22" s="1"/>
  <c r="U302" i="22"/>
  <c r="T302" i="22" s="1"/>
  <c r="S302" i="22" s="1"/>
  <c r="R302" i="22" s="1"/>
  <c r="U229" i="22"/>
  <c r="T229" i="22" s="1"/>
  <c r="S229" i="22" s="1"/>
  <c r="R229" i="22" s="1"/>
  <c r="U148" i="22"/>
  <c r="T148" i="22" s="1"/>
  <c r="S148" i="22" s="1"/>
  <c r="R148" i="22" s="1"/>
  <c r="U75" i="22"/>
  <c r="T75" i="22" s="1"/>
  <c r="S75" i="22" s="1"/>
  <c r="R75" i="22" s="1"/>
  <c r="U365" i="22"/>
  <c r="T365" i="22" s="1"/>
  <c r="S365" i="22" s="1"/>
  <c r="R365" i="22" s="1"/>
  <c r="U275" i="22"/>
  <c r="T275" i="22" s="1"/>
  <c r="S275" i="22" s="1"/>
  <c r="R275" i="22" s="1"/>
  <c r="U202" i="22"/>
  <c r="T202" i="22" s="1"/>
  <c r="S202" i="22" s="1"/>
  <c r="R202" i="22" s="1"/>
  <c r="U113" i="22"/>
  <c r="T113" i="22" s="1"/>
  <c r="S113" i="22" s="1"/>
  <c r="R113" i="22" s="1"/>
  <c r="U28" i="22"/>
  <c r="T28" i="22" s="1"/>
  <c r="S28" i="22" s="1"/>
  <c r="R28" i="22" s="1"/>
  <c r="U61" i="22"/>
  <c r="T61" i="22" s="1"/>
  <c r="S61" i="22" s="1"/>
  <c r="R61" i="22" s="1"/>
  <c r="U112" i="22"/>
  <c r="T112" i="22" s="1"/>
  <c r="S112" i="22" s="1"/>
  <c r="R112" i="22" s="1"/>
  <c r="U180" i="22"/>
  <c r="T180" i="22" s="1"/>
  <c r="S180" i="22" s="1"/>
  <c r="R180" i="22" s="1"/>
  <c r="U107" i="22"/>
  <c r="T107" i="22" s="1"/>
  <c r="S107" i="22" s="1"/>
  <c r="R107" i="22" s="1"/>
  <c r="U162" i="22"/>
  <c r="T162" i="22" s="1"/>
  <c r="S162" i="22" s="1"/>
  <c r="R162" i="22" s="1"/>
  <c r="U234" i="22"/>
  <c r="T234" i="22" s="1"/>
  <c r="S234" i="22" s="1"/>
  <c r="R234" i="22" s="1"/>
  <c r="U140" i="22"/>
  <c r="T140" i="22" s="1"/>
  <c r="S140" i="22" s="1"/>
  <c r="R140" i="22" s="1"/>
  <c r="U58" i="22"/>
  <c r="T58" i="22" s="1"/>
  <c r="S58" i="22" s="1"/>
  <c r="R58" i="22" s="1"/>
  <c r="U96" i="22"/>
  <c r="T96" i="22" s="1"/>
  <c r="S96" i="22" s="1"/>
  <c r="R96" i="22" s="1"/>
  <c r="W245" i="20"/>
  <c r="I53" i="18"/>
  <c r="W252" i="20"/>
  <c r="AO16" i="7"/>
  <c r="I47" i="18"/>
  <c r="J77" i="18"/>
  <c r="J24" i="18"/>
  <c r="W94" i="20"/>
  <c r="D94" i="20"/>
  <c r="E94" i="20" s="1"/>
  <c r="F94" i="20" s="1"/>
  <c r="I266" i="18"/>
  <c r="E11" i="18"/>
  <c r="F39" i="19" s="1"/>
  <c r="J257" i="18"/>
  <c r="H291" i="20"/>
  <c r="I291" i="20" s="1"/>
  <c r="B291" i="6" s="1"/>
  <c r="BA291" i="6" s="1"/>
  <c r="I62" i="18"/>
  <c r="I177" i="18"/>
  <c r="J159" i="18"/>
  <c r="D66" i="19"/>
  <c r="V379" i="20"/>
  <c r="B379" i="20" s="1"/>
  <c r="D40" i="19"/>
  <c r="C15" i="19"/>
  <c r="AG142" i="20"/>
  <c r="AF142" i="20" s="1"/>
  <c r="AD142" i="20" s="1"/>
  <c r="AA142" i="20" s="1"/>
  <c r="Z142" i="20" s="1"/>
  <c r="Y142" i="20" s="1"/>
  <c r="AG355" i="20"/>
  <c r="AF355" i="20" s="1"/>
  <c r="AD355" i="20" s="1"/>
  <c r="AA355" i="20" s="1"/>
  <c r="Z355" i="20" s="1"/>
  <c r="Y355" i="20" s="1"/>
  <c r="AG312" i="20"/>
  <c r="AF312" i="20" s="1"/>
  <c r="AD312" i="20" s="1"/>
  <c r="AA312" i="20" s="1"/>
  <c r="Z312" i="20" s="1"/>
  <c r="Y312" i="20" s="1"/>
  <c r="AG289" i="20"/>
  <c r="AF289" i="20" s="1"/>
  <c r="AD289" i="20" s="1"/>
  <c r="AA289" i="20" s="1"/>
  <c r="Z289" i="20" s="1"/>
  <c r="Y289" i="20" s="1"/>
  <c r="AG197" i="20"/>
  <c r="AF197" i="20" s="1"/>
  <c r="AD197" i="20" s="1"/>
  <c r="AA197" i="20" s="1"/>
  <c r="Z197" i="20" s="1"/>
  <c r="Y197" i="20" s="1"/>
  <c r="AG227" i="20"/>
  <c r="AF227" i="20" s="1"/>
  <c r="AD227" i="20" s="1"/>
  <c r="AG344" i="20"/>
  <c r="AF344" i="20" s="1"/>
  <c r="AD344" i="20" s="1"/>
  <c r="AA344" i="20" s="1"/>
  <c r="Z344" i="20" s="1"/>
  <c r="Y344" i="20" s="1"/>
  <c r="AG308" i="20"/>
  <c r="AF308" i="20" s="1"/>
  <c r="AD308" i="20" s="1"/>
  <c r="AA308" i="20" s="1"/>
  <c r="Z308" i="20" s="1"/>
  <c r="Y308" i="20" s="1"/>
  <c r="AG262" i="20"/>
  <c r="AF262" i="20" s="1"/>
  <c r="AD262" i="20" s="1"/>
  <c r="AA262" i="20" s="1"/>
  <c r="Z262" i="20" s="1"/>
  <c r="Y262" i="20" s="1"/>
  <c r="AG277" i="20"/>
  <c r="AF277" i="20" s="1"/>
  <c r="AD277" i="20" s="1"/>
  <c r="AA277" i="20" s="1"/>
  <c r="Z277" i="20" s="1"/>
  <c r="Y277" i="20" s="1"/>
  <c r="AG365" i="20"/>
  <c r="AF365" i="20" s="1"/>
  <c r="AD365" i="20" s="1"/>
  <c r="AA365" i="20" s="1"/>
  <c r="Z365" i="20" s="1"/>
  <c r="Y365" i="20" s="1"/>
  <c r="AG279" i="20"/>
  <c r="AF279" i="20" s="1"/>
  <c r="AD279" i="20" s="1"/>
  <c r="AA279" i="20" s="1"/>
  <c r="Z279" i="20" s="1"/>
  <c r="Y279" i="20" s="1"/>
  <c r="AG128" i="20"/>
  <c r="AF128" i="20" s="1"/>
  <c r="AD128" i="20" s="1"/>
  <c r="AA128" i="20" s="1"/>
  <c r="Z128" i="20" s="1"/>
  <c r="Y128" i="20" s="1"/>
  <c r="AG319" i="20"/>
  <c r="AF319" i="20" s="1"/>
  <c r="AD319" i="20" s="1"/>
  <c r="AG329" i="20"/>
  <c r="AF329" i="20" s="1"/>
  <c r="AD329" i="20" s="1"/>
  <c r="AA329" i="20" s="1"/>
  <c r="Z329" i="20" s="1"/>
  <c r="Y329" i="20" s="1"/>
  <c r="AG169" i="20"/>
  <c r="AF169" i="20" s="1"/>
  <c r="AD169" i="20" s="1"/>
  <c r="AA169" i="20" s="1"/>
  <c r="Z169" i="20" s="1"/>
  <c r="Y169" i="20" s="1"/>
  <c r="AG288" i="20"/>
  <c r="AF288" i="20" s="1"/>
  <c r="AD288" i="20" s="1"/>
  <c r="AG135" i="20"/>
  <c r="AF135" i="20" s="1"/>
  <c r="AD135" i="20" s="1"/>
  <c r="AG345" i="20"/>
  <c r="AF345" i="20" s="1"/>
  <c r="AD345" i="20" s="1"/>
  <c r="AA345" i="20" s="1"/>
  <c r="Z345" i="20" s="1"/>
  <c r="Y345" i="20" s="1"/>
  <c r="AG294" i="20"/>
  <c r="AF294" i="20" s="1"/>
  <c r="AD294" i="20" s="1"/>
  <c r="AA294" i="20" s="1"/>
  <c r="Z294" i="20" s="1"/>
  <c r="Y294" i="20" s="1"/>
  <c r="AG215" i="20"/>
  <c r="AF215" i="20" s="1"/>
  <c r="AD215" i="20" s="1"/>
  <c r="AA215" i="20" s="1"/>
  <c r="Z215" i="20" s="1"/>
  <c r="Y215" i="20" s="1"/>
  <c r="AG138" i="20"/>
  <c r="AF138" i="20" s="1"/>
  <c r="AD138" i="20" s="1"/>
  <c r="AA138" i="20" s="1"/>
  <c r="Z138" i="20" s="1"/>
  <c r="Y138" i="20" s="1"/>
  <c r="AG204" i="20"/>
  <c r="AF204" i="20" s="1"/>
  <c r="AD204" i="20" s="1"/>
  <c r="AA204" i="20" s="1"/>
  <c r="Z204" i="20" s="1"/>
  <c r="Y204" i="20" s="1"/>
  <c r="AG256" i="20"/>
  <c r="AF256" i="20" s="1"/>
  <c r="AD256" i="20" s="1"/>
  <c r="AA256" i="20" s="1"/>
  <c r="Z256" i="20" s="1"/>
  <c r="Y256" i="20" s="1"/>
  <c r="AG154" i="20"/>
  <c r="AF154" i="20" s="1"/>
  <c r="AD154" i="20" s="1"/>
  <c r="AA154" i="20" s="1"/>
  <c r="Z154" i="20" s="1"/>
  <c r="Y154" i="20" s="1"/>
  <c r="AG129" i="20"/>
  <c r="AF129" i="20" s="1"/>
  <c r="AD129" i="20" s="1"/>
  <c r="AA129" i="20" s="1"/>
  <c r="Z129" i="20" s="1"/>
  <c r="Y129" i="20" s="1"/>
  <c r="AG285" i="20"/>
  <c r="AF285" i="20" s="1"/>
  <c r="AD285" i="20" s="1"/>
  <c r="AA285" i="20" s="1"/>
  <c r="Z285" i="20" s="1"/>
  <c r="Y285" i="20" s="1"/>
  <c r="AG335" i="20"/>
  <c r="AF335" i="20" s="1"/>
  <c r="AD335" i="20" s="1"/>
  <c r="AA335" i="20" s="1"/>
  <c r="Z335" i="20" s="1"/>
  <c r="Y335" i="20" s="1"/>
  <c r="AG132" i="20"/>
  <c r="AF132" i="20" s="1"/>
  <c r="AD132" i="20" s="1"/>
  <c r="AA132" i="20" s="1"/>
  <c r="Z132" i="20" s="1"/>
  <c r="Y132" i="20" s="1"/>
  <c r="AG253" i="20"/>
  <c r="AF253" i="20" s="1"/>
  <c r="AD253" i="20" s="1"/>
  <c r="AA253" i="20" s="1"/>
  <c r="Z253" i="20" s="1"/>
  <c r="Y253" i="20" s="1"/>
  <c r="AG377" i="20"/>
  <c r="AF377" i="20" s="1"/>
  <c r="AD377" i="20" s="1"/>
  <c r="AA377" i="20" s="1"/>
  <c r="Z377" i="20" s="1"/>
  <c r="Y377" i="20" s="1"/>
  <c r="AG350" i="20"/>
  <c r="AF350" i="20" s="1"/>
  <c r="AD350" i="20" s="1"/>
  <c r="AA350" i="20" s="1"/>
  <c r="Z350" i="20" s="1"/>
  <c r="Y350" i="20" s="1"/>
  <c r="AG310" i="20"/>
  <c r="AF310" i="20" s="1"/>
  <c r="AD310" i="20" s="1"/>
  <c r="AA310" i="20" s="1"/>
  <c r="Z310" i="20" s="1"/>
  <c r="Y310" i="20" s="1"/>
  <c r="AG287" i="20"/>
  <c r="AF287" i="20" s="1"/>
  <c r="AD287" i="20" s="1"/>
  <c r="AA287" i="20" s="1"/>
  <c r="Z287" i="20" s="1"/>
  <c r="Y287" i="20" s="1"/>
  <c r="AG144" i="20"/>
  <c r="AF144" i="20" s="1"/>
  <c r="AD144" i="20" s="1"/>
  <c r="AA144" i="20" s="1"/>
  <c r="Z144" i="20" s="1"/>
  <c r="Y144" i="20" s="1"/>
  <c r="AG314" i="20"/>
  <c r="AF314" i="20" s="1"/>
  <c r="AD314" i="20" s="1"/>
  <c r="AA314" i="20" s="1"/>
  <c r="Z314" i="20" s="1"/>
  <c r="Y314" i="20" s="1"/>
  <c r="AG342" i="20"/>
  <c r="AF342" i="20" s="1"/>
  <c r="AD342" i="20" s="1"/>
  <c r="AA342" i="20" s="1"/>
  <c r="Z342" i="20" s="1"/>
  <c r="Y342" i="20" s="1"/>
  <c r="AG303" i="20"/>
  <c r="AF303" i="20" s="1"/>
  <c r="AD303" i="20" s="1"/>
  <c r="AA303" i="20" s="1"/>
  <c r="Z303" i="20" s="1"/>
  <c r="Y303" i="20" s="1"/>
  <c r="AG106" i="20"/>
  <c r="AF106" i="20" s="1"/>
  <c r="AD106" i="20" s="1"/>
  <c r="AA106" i="20" s="1"/>
  <c r="Z106" i="20" s="1"/>
  <c r="Y106" i="20" s="1"/>
  <c r="AG111" i="20"/>
  <c r="AF111" i="20" s="1"/>
  <c r="AD111" i="20" s="1"/>
  <c r="AA111" i="20" s="1"/>
  <c r="Z111" i="20" s="1"/>
  <c r="Y111" i="20" s="1"/>
  <c r="AG127" i="20"/>
  <c r="AF127" i="20" s="1"/>
  <c r="AD127" i="20" s="1"/>
  <c r="AA127" i="20" s="1"/>
  <c r="Z127" i="20" s="1"/>
  <c r="Y127" i="20" s="1"/>
  <c r="AG283" i="20"/>
  <c r="AF283" i="20" s="1"/>
  <c r="AD283" i="20" s="1"/>
  <c r="AA283" i="20" s="1"/>
  <c r="Z283" i="20" s="1"/>
  <c r="Y283" i="20" s="1"/>
  <c r="AG150" i="20"/>
  <c r="AF150" i="20" s="1"/>
  <c r="AD150" i="20" s="1"/>
  <c r="AA150" i="20" s="1"/>
  <c r="Z150" i="20" s="1"/>
  <c r="Y150" i="20" s="1"/>
  <c r="AG245" i="20"/>
  <c r="AF245" i="20" s="1"/>
  <c r="AD245" i="20" s="1"/>
  <c r="AG325" i="20"/>
  <c r="AF325" i="20" s="1"/>
  <c r="AD325" i="20" s="1"/>
  <c r="AA325" i="20" s="1"/>
  <c r="Z325" i="20" s="1"/>
  <c r="Y325" i="20" s="1"/>
  <c r="AG115" i="20"/>
  <c r="AF115" i="20" s="1"/>
  <c r="AD115" i="20" s="1"/>
  <c r="AA115" i="20" s="1"/>
  <c r="Z115" i="20" s="1"/>
  <c r="Y115" i="20" s="1"/>
  <c r="AG367" i="20"/>
  <c r="AF367" i="20" s="1"/>
  <c r="AD367" i="20" s="1"/>
  <c r="AA367" i="20" s="1"/>
  <c r="Z367" i="20" s="1"/>
  <c r="Y367" i="20" s="1"/>
  <c r="AG261" i="20"/>
  <c r="AF261" i="20" s="1"/>
  <c r="AD261" i="20" s="1"/>
  <c r="AA261" i="20" s="1"/>
  <c r="Z261" i="20" s="1"/>
  <c r="Y261" i="20" s="1"/>
  <c r="AG155" i="20"/>
  <c r="AF155" i="20" s="1"/>
  <c r="AD155" i="20" s="1"/>
  <c r="AA155" i="20" s="1"/>
  <c r="Z155" i="20" s="1"/>
  <c r="Y155" i="20" s="1"/>
  <c r="AG286" i="20"/>
  <c r="AF286" i="20" s="1"/>
  <c r="AD286" i="20" s="1"/>
  <c r="AA286" i="20" s="1"/>
  <c r="Z286" i="20" s="1"/>
  <c r="Y286" i="20" s="1"/>
  <c r="AG251" i="20"/>
  <c r="AF251" i="20" s="1"/>
  <c r="AD251" i="20" s="1"/>
  <c r="AA251" i="20" s="1"/>
  <c r="Z251" i="20" s="1"/>
  <c r="Y251" i="20" s="1"/>
  <c r="AG369" i="20"/>
  <c r="AF369" i="20" s="1"/>
  <c r="AD369" i="20" s="1"/>
  <c r="AA369" i="20" s="1"/>
  <c r="Z369" i="20" s="1"/>
  <c r="Y369" i="20" s="1"/>
  <c r="AG209" i="20"/>
  <c r="AF209" i="20" s="1"/>
  <c r="AD209" i="20" s="1"/>
  <c r="AA209" i="20" s="1"/>
  <c r="Z209" i="20" s="1"/>
  <c r="Y209" i="20" s="1"/>
  <c r="AG271" i="20"/>
  <c r="AF271" i="20" s="1"/>
  <c r="AD271" i="20" s="1"/>
  <c r="AA271" i="20" s="1"/>
  <c r="Z271" i="20" s="1"/>
  <c r="Y271" i="20" s="1"/>
  <c r="AG356" i="20"/>
  <c r="AF356" i="20" s="1"/>
  <c r="AD356" i="20" s="1"/>
  <c r="AA356" i="20" s="1"/>
  <c r="Z356" i="20" s="1"/>
  <c r="Y356" i="20" s="1"/>
  <c r="AG302" i="20"/>
  <c r="AF302" i="20" s="1"/>
  <c r="AD302" i="20" s="1"/>
  <c r="AG276" i="20"/>
  <c r="AF276" i="20" s="1"/>
  <c r="AD276" i="20" s="1"/>
  <c r="AA276" i="20" s="1"/>
  <c r="Z276" i="20" s="1"/>
  <c r="Y276" i="20" s="1"/>
  <c r="AG146" i="20"/>
  <c r="AF146" i="20" s="1"/>
  <c r="AD146" i="20" s="1"/>
  <c r="AA146" i="20" s="1"/>
  <c r="Z146" i="20" s="1"/>
  <c r="Y146" i="20" s="1"/>
  <c r="AG152" i="20"/>
  <c r="AF152" i="20" s="1"/>
  <c r="AD152" i="20" s="1"/>
  <c r="AA152" i="20" s="1"/>
  <c r="Z152" i="20" s="1"/>
  <c r="Y152" i="20" s="1"/>
  <c r="AG318" i="20"/>
  <c r="AF318" i="20" s="1"/>
  <c r="AD318" i="20" s="1"/>
  <c r="AA318" i="20" s="1"/>
  <c r="Z318" i="20" s="1"/>
  <c r="Y318" i="20" s="1"/>
  <c r="AG171" i="20"/>
  <c r="AF171" i="20" s="1"/>
  <c r="AD171" i="20" s="1"/>
  <c r="AA171" i="20" s="1"/>
  <c r="Z171" i="20" s="1"/>
  <c r="Y171" i="20" s="1"/>
  <c r="AG292" i="20"/>
  <c r="AF292" i="20" s="1"/>
  <c r="AD292" i="20" s="1"/>
  <c r="AA292" i="20" s="1"/>
  <c r="Z292" i="20" s="1"/>
  <c r="Y292" i="20" s="1"/>
  <c r="AG315" i="20"/>
  <c r="AF315" i="20" s="1"/>
  <c r="AD315" i="20" s="1"/>
  <c r="AA315" i="20" s="1"/>
  <c r="Z315" i="20" s="1"/>
  <c r="Y315" i="20" s="1"/>
  <c r="AG244" i="20"/>
  <c r="AF244" i="20" s="1"/>
  <c r="AD244" i="20" s="1"/>
  <c r="AA244" i="20" s="1"/>
  <c r="Z244" i="20" s="1"/>
  <c r="Y244" i="20" s="1"/>
  <c r="AG187" i="20"/>
  <c r="AF187" i="20" s="1"/>
  <c r="AD187" i="20" s="1"/>
  <c r="AA187" i="20" s="1"/>
  <c r="Z187" i="20" s="1"/>
  <c r="Y187" i="20" s="1"/>
  <c r="AG336" i="20"/>
  <c r="AF336" i="20" s="1"/>
  <c r="AD336" i="20" s="1"/>
  <c r="AA336" i="20" s="1"/>
  <c r="Z336" i="20" s="1"/>
  <c r="Y336" i="20" s="1"/>
  <c r="AG275" i="20"/>
  <c r="AF275" i="20" s="1"/>
  <c r="AD275" i="20" s="1"/>
  <c r="AA275" i="20" s="1"/>
  <c r="Z275" i="20" s="1"/>
  <c r="Y275" i="20" s="1"/>
  <c r="AG164" i="20"/>
  <c r="AF164" i="20" s="1"/>
  <c r="AD164" i="20" s="1"/>
  <c r="AA164" i="20" s="1"/>
  <c r="Z164" i="20" s="1"/>
  <c r="Y164" i="20" s="1"/>
  <c r="AG274" i="20"/>
  <c r="AF274" i="20" s="1"/>
  <c r="AD274" i="20" s="1"/>
  <c r="AA274" i="20" s="1"/>
  <c r="Z274" i="20" s="1"/>
  <c r="Y274" i="20" s="1"/>
  <c r="AG162" i="20"/>
  <c r="AF162" i="20" s="1"/>
  <c r="AD162" i="20" s="1"/>
  <c r="AA162" i="20" s="1"/>
  <c r="Z162" i="20" s="1"/>
  <c r="Y162" i="20" s="1"/>
  <c r="AG375" i="20"/>
  <c r="AF375" i="20" s="1"/>
  <c r="AD375" i="20" s="1"/>
  <c r="AA375" i="20" s="1"/>
  <c r="Z375" i="20" s="1"/>
  <c r="Y375" i="20" s="1"/>
  <c r="AG200" i="20"/>
  <c r="AF200" i="20" s="1"/>
  <c r="AD200" i="20" s="1"/>
  <c r="AA200" i="20" s="1"/>
  <c r="Z200" i="20" s="1"/>
  <c r="Y200" i="20" s="1"/>
  <c r="AG139" i="20"/>
  <c r="AF139" i="20" s="1"/>
  <c r="AD139" i="20" s="1"/>
  <c r="AA139" i="20" s="1"/>
  <c r="Z139" i="20" s="1"/>
  <c r="Y139" i="20" s="1"/>
  <c r="AG248" i="20"/>
  <c r="AF248" i="20" s="1"/>
  <c r="AD248" i="20" s="1"/>
  <c r="AA248" i="20" s="1"/>
  <c r="Z248" i="20" s="1"/>
  <c r="Y248" i="20" s="1"/>
  <c r="AG153" i="20"/>
  <c r="AF153" i="20" s="1"/>
  <c r="AD153" i="20" s="1"/>
  <c r="AA153" i="20" s="1"/>
  <c r="Z153" i="20" s="1"/>
  <c r="Y153" i="20" s="1"/>
  <c r="AG183" i="20"/>
  <c r="AF183" i="20" s="1"/>
  <c r="AD183" i="20" s="1"/>
  <c r="AA183" i="20" s="1"/>
  <c r="Z183" i="20" s="1"/>
  <c r="Y183" i="20" s="1"/>
  <c r="AG145" i="20"/>
  <c r="AF145" i="20" s="1"/>
  <c r="AD145" i="20" s="1"/>
  <c r="AA145" i="20" s="1"/>
  <c r="Z145" i="20" s="1"/>
  <c r="Y145" i="20" s="1"/>
  <c r="AG301" i="20"/>
  <c r="AF301" i="20" s="1"/>
  <c r="AD301" i="20" s="1"/>
  <c r="AA301" i="20" s="1"/>
  <c r="Z301" i="20" s="1"/>
  <c r="Y301" i="20" s="1"/>
  <c r="AG264" i="20"/>
  <c r="AF264" i="20" s="1"/>
  <c r="AD264" i="20" s="1"/>
  <c r="AA264" i="20" s="1"/>
  <c r="Z264" i="20" s="1"/>
  <c r="Y264" i="20" s="1"/>
  <c r="AG320" i="20"/>
  <c r="AF320" i="20" s="1"/>
  <c r="AD320" i="20" s="1"/>
  <c r="AA320" i="20" s="1"/>
  <c r="Z320" i="20" s="1"/>
  <c r="Y320" i="20" s="1"/>
  <c r="AG202" i="20"/>
  <c r="AF202" i="20" s="1"/>
  <c r="AD202" i="20" s="1"/>
  <c r="AA202" i="20" s="1"/>
  <c r="Z202" i="20" s="1"/>
  <c r="Y202" i="20" s="1"/>
  <c r="AG331" i="20"/>
  <c r="AF331" i="20" s="1"/>
  <c r="AD331" i="20" s="1"/>
  <c r="AA331" i="20" s="1"/>
  <c r="Z331" i="20" s="1"/>
  <c r="Y331" i="20" s="1"/>
  <c r="AG206" i="20"/>
  <c r="AF206" i="20" s="1"/>
  <c r="AD206" i="20" s="1"/>
  <c r="AA206" i="20" s="1"/>
  <c r="Z206" i="20" s="1"/>
  <c r="Y206" i="20" s="1"/>
  <c r="AH104" i="20"/>
  <c r="AI381" i="20"/>
  <c r="AI382" i="20"/>
  <c r="AI383" i="20"/>
  <c r="AG259" i="20"/>
  <c r="AF259" i="20" s="1"/>
  <c r="AD259" i="20" s="1"/>
  <c r="AA259" i="20" s="1"/>
  <c r="Z259" i="20" s="1"/>
  <c r="Y259" i="20" s="1"/>
  <c r="AG267" i="20"/>
  <c r="AF267" i="20" s="1"/>
  <c r="AD267" i="20" s="1"/>
  <c r="AA267" i="20" s="1"/>
  <c r="Z267" i="20" s="1"/>
  <c r="Y267" i="20" s="1"/>
  <c r="AG255" i="20"/>
  <c r="AF255" i="20" s="1"/>
  <c r="AD255" i="20" s="1"/>
  <c r="AA255" i="20" s="1"/>
  <c r="Z255" i="20" s="1"/>
  <c r="Y255" i="20" s="1"/>
  <c r="AG137" i="20"/>
  <c r="AF137" i="20" s="1"/>
  <c r="AD137" i="20" s="1"/>
  <c r="AA137" i="20" s="1"/>
  <c r="Z137" i="20" s="1"/>
  <c r="Y137" i="20" s="1"/>
  <c r="AG175" i="20"/>
  <c r="AF175" i="20" s="1"/>
  <c r="AD175" i="20" s="1"/>
  <c r="AA175" i="20" s="1"/>
  <c r="Z175" i="20" s="1"/>
  <c r="Y175" i="20" s="1"/>
  <c r="AG341" i="20"/>
  <c r="AF341" i="20" s="1"/>
  <c r="AD341" i="20" s="1"/>
  <c r="AA341" i="20" s="1"/>
  <c r="Z341" i="20" s="1"/>
  <c r="Y341" i="20" s="1"/>
  <c r="AG216" i="20"/>
  <c r="AF216" i="20" s="1"/>
  <c r="AD216" i="20" s="1"/>
  <c r="AA216" i="20" s="1"/>
  <c r="Z216" i="20" s="1"/>
  <c r="Y216" i="20" s="1"/>
  <c r="AG372" i="20"/>
  <c r="AF372" i="20" s="1"/>
  <c r="AD372" i="20" s="1"/>
  <c r="AA372" i="20" s="1"/>
  <c r="Z372" i="20" s="1"/>
  <c r="Y372" i="20" s="1"/>
  <c r="AG346" i="20"/>
  <c r="AF346" i="20" s="1"/>
  <c r="AD346" i="20" s="1"/>
  <c r="AA346" i="20" s="1"/>
  <c r="Z346" i="20" s="1"/>
  <c r="Y346" i="20" s="1"/>
  <c r="AG338" i="20"/>
  <c r="AF338" i="20" s="1"/>
  <c r="AD338" i="20" s="1"/>
  <c r="AA338" i="20" s="1"/>
  <c r="Z338" i="20" s="1"/>
  <c r="Y338" i="20" s="1"/>
  <c r="AG243" i="20"/>
  <c r="AF243" i="20" s="1"/>
  <c r="AD243" i="20" s="1"/>
  <c r="AA243" i="20" s="1"/>
  <c r="Z243" i="20" s="1"/>
  <c r="Y243" i="20" s="1"/>
  <c r="AG112" i="20"/>
  <c r="AF112" i="20" s="1"/>
  <c r="AD112" i="20" s="1"/>
  <c r="AA112" i="20" s="1"/>
  <c r="Z112" i="20" s="1"/>
  <c r="Y112" i="20" s="1"/>
  <c r="AG191" i="20"/>
  <c r="AF191" i="20" s="1"/>
  <c r="AD191" i="20" s="1"/>
  <c r="AA191" i="20" s="1"/>
  <c r="Z191" i="20" s="1"/>
  <c r="Y191" i="20" s="1"/>
  <c r="AG130" i="20"/>
  <c r="AF130" i="20" s="1"/>
  <c r="AD130" i="20" s="1"/>
  <c r="AA130" i="20" s="1"/>
  <c r="Z130" i="20" s="1"/>
  <c r="Y130" i="20" s="1"/>
  <c r="AG122" i="20"/>
  <c r="AF122" i="20" s="1"/>
  <c r="AD122" i="20" s="1"/>
  <c r="AA122" i="20" s="1"/>
  <c r="Z122" i="20" s="1"/>
  <c r="Y122" i="20" s="1"/>
  <c r="AG201" i="20"/>
  <c r="AF201" i="20" s="1"/>
  <c r="AD201" i="20" s="1"/>
  <c r="AA201" i="20" s="1"/>
  <c r="Z201" i="20" s="1"/>
  <c r="Y201" i="20" s="1"/>
  <c r="AG168" i="20"/>
  <c r="AF168" i="20" s="1"/>
  <c r="AD168" i="20" s="1"/>
  <c r="AA168" i="20" s="1"/>
  <c r="Z168" i="20" s="1"/>
  <c r="Y168" i="20" s="1"/>
  <c r="AG366" i="20"/>
  <c r="AF366" i="20" s="1"/>
  <c r="AD366" i="20" s="1"/>
  <c r="AA366" i="20" s="1"/>
  <c r="Z366" i="20" s="1"/>
  <c r="Y366" i="20" s="1"/>
  <c r="AG370" i="20"/>
  <c r="AF370" i="20" s="1"/>
  <c r="AD370" i="20" s="1"/>
  <c r="AA370" i="20" s="1"/>
  <c r="Z370" i="20" s="1"/>
  <c r="Y370" i="20" s="1"/>
  <c r="AG134" i="20"/>
  <c r="AF134" i="20" s="1"/>
  <c r="AD134" i="20" s="1"/>
  <c r="AA134" i="20" s="1"/>
  <c r="Z134" i="20" s="1"/>
  <c r="Y134" i="20" s="1"/>
  <c r="AG339" i="20"/>
  <c r="AF339" i="20" s="1"/>
  <c r="AD339" i="20" s="1"/>
  <c r="AA339" i="20" s="1"/>
  <c r="Z339" i="20" s="1"/>
  <c r="Y339" i="20" s="1"/>
  <c r="AG213" i="20"/>
  <c r="AF213" i="20" s="1"/>
  <c r="AD213" i="20" s="1"/>
  <c r="AA213" i="20" s="1"/>
  <c r="Z213" i="20" s="1"/>
  <c r="Y213" i="20" s="1"/>
  <c r="AG306" i="20"/>
  <c r="AF306" i="20" s="1"/>
  <c r="AD306" i="20" s="1"/>
  <c r="AA306" i="20" s="1"/>
  <c r="Z306" i="20" s="1"/>
  <c r="Y306" i="20" s="1"/>
  <c r="AG177" i="20"/>
  <c r="AF177" i="20" s="1"/>
  <c r="AD177" i="20" s="1"/>
  <c r="AA177" i="20" s="1"/>
  <c r="Z177" i="20" s="1"/>
  <c r="Y177" i="20" s="1"/>
  <c r="AG225" i="20"/>
  <c r="AF225" i="20" s="1"/>
  <c r="AD225" i="20" s="1"/>
  <c r="AA225" i="20" s="1"/>
  <c r="Z225" i="20" s="1"/>
  <c r="Y225" i="20" s="1"/>
  <c r="AG352" i="20"/>
  <c r="AF352" i="20" s="1"/>
  <c r="AD352" i="20" s="1"/>
  <c r="AA352" i="20" s="1"/>
  <c r="Z352" i="20" s="1"/>
  <c r="Y352" i="20" s="1"/>
  <c r="AG357" i="20"/>
  <c r="AF357" i="20" s="1"/>
  <c r="AD357" i="20" s="1"/>
  <c r="AA357" i="20" s="1"/>
  <c r="Z357" i="20" s="1"/>
  <c r="Y357" i="20" s="1"/>
  <c r="AG234" i="20"/>
  <c r="AF234" i="20" s="1"/>
  <c r="AD234" i="20" s="1"/>
  <c r="AA234" i="20" s="1"/>
  <c r="Z234" i="20" s="1"/>
  <c r="Y234" i="20" s="1"/>
  <c r="AG327" i="20"/>
  <c r="AF327" i="20" s="1"/>
  <c r="AD327" i="20" s="1"/>
  <c r="AA327" i="20" s="1"/>
  <c r="Z327" i="20" s="1"/>
  <c r="Y327" i="20" s="1"/>
  <c r="AG210" i="20"/>
  <c r="AF210" i="20" s="1"/>
  <c r="AD210" i="20" s="1"/>
  <c r="AG157" i="20"/>
  <c r="AF157" i="20" s="1"/>
  <c r="AD157" i="20" s="1"/>
  <c r="AA157" i="20" s="1"/>
  <c r="Z157" i="20" s="1"/>
  <c r="Y157" i="20" s="1"/>
  <c r="AG207" i="20"/>
  <c r="AF207" i="20" s="1"/>
  <c r="AD207" i="20" s="1"/>
  <c r="AA207" i="20" s="1"/>
  <c r="Z207" i="20" s="1"/>
  <c r="Y207" i="20" s="1"/>
  <c r="AG269" i="20"/>
  <c r="AF269" i="20" s="1"/>
  <c r="AD269" i="20" s="1"/>
  <c r="AA269" i="20" s="1"/>
  <c r="Z269" i="20" s="1"/>
  <c r="Y269" i="20" s="1"/>
  <c r="AG220" i="20"/>
  <c r="AF220" i="20" s="1"/>
  <c r="AD220" i="20" s="1"/>
  <c r="AA220" i="20" s="1"/>
  <c r="Z220" i="20" s="1"/>
  <c r="Y220" i="20" s="1"/>
  <c r="AG232" i="20"/>
  <c r="AF232" i="20" s="1"/>
  <c r="AD232" i="20" s="1"/>
  <c r="AA232" i="20" s="1"/>
  <c r="Z232" i="20" s="1"/>
  <c r="Y232" i="20" s="1"/>
  <c r="AG110" i="20"/>
  <c r="AF110" i="20" s="1"/>
  <c r="AD110" i="20" s="1"/>
  <c r="AA110" i="20" s="1"/>
  <c r="Z110" i="20" s="1"/>
  <c r="Y110" i="20" s="1"/>
  <c r="AG272" i="20"/>
  <c r="AF272" i="20" s="1"/>
  <c r="AD272" i="20" s="1"/>
  <c r="AG300" i="20"/>
  <c r="AF300" i="20" s="1"/>
  <c r="AD300" i="20" s="1"/>
  <c r="AA300" i="20" s="1"/>
  <c r="Z300" i="20" s="1"/>
  <c r="Y300" i="20" s="1"/>
  <c r="AG126" i="20"/>
  <c r="AF126" i="20" s="1"/>
  <c r="AD126" i="20" s="1"/>
  <c r="AA126" i="20" s="1"/>
  <c r="Z126" i="20" s="1"/>
  <c r="Y126" i="20" s="1"/>
  <c r="AG141" i="20"/>
  <c r="AF141" i="20" s="1"/>
  <c r="AD141" i="20" s="1"/>
  <c r="AA141" i="20" s="1"/>
  <c r="Z141" i="20" s="1"/>
  <c r="Y141" i="20" s="1"/>
  <c r="AG260" i="20"/>
  <c r="AF260" i="20" s="1"/>
  <c r="AD260" i="20" s="1"/>
  <c r="AA260" i="20" s="1"/>
  <c r="Z260" i="20" s="1"/>
  <c r="Y260" i="20" s="1"/>
  <c r="AG228" i="20"/>
  <c r="AF228" i="20" s="1"/>
  <c r="AD228" i="20" s="1"/>
  <c r="AA228" i="20" s="1"/>
  <c r="Z228" i="20" s="1"/>
  <c r="Y228" i="20" s="1"/>
  <c r="AG105" i="20"/>
  <c r="AF105" i="20" s="1"/>
  <c r="AD105" i="20" s="1"/>
  <c r="AG174" i="20"/>
  <c r="AF174" i="20" s="1"/>
  <c r="AD174" i="20" s="1"/>
  <c r="AA174" i="20" s="1"/>
  <c r="Z174" i="20" s="1"/>
  <c r="Y174" i="20" s="1"/>
  <c r="AG273" i="20"/>
  <c r="AF273" i="20" s="1"/>
  <c r="AD273" i="20" s="1"/>
  <c r="AA273" i="20" s="1"/>
  <c r="Z273" i="20" s="1"/>
  <c r="Y273" i="20" s="1"/>
  <c r="AG136" i="20"/>
  <c r="AF136" i="20" s="1"/>
  <c r="AD136" i="20" s="1"/>
  <c r="AA136" i="20" s="1"/>
  <c r="Z136" i="20" s="1"/>
  <c r="Y136" i="20" s="1"/>
  <c r="AG160" i="20"/>
  <c r="AF160" i="20" s="1"/>
  <c r="AD160" i="20" s="1"/>
  <c r="AA160" i="20" s="1"/>
  <c r="Z160" i="20" s="1"/>
  <c r="Y160" i="20" s="1"/>
  <c r="AG263" i="20"/>
  <c r="AF263" i="20" s="1"/>
  <c r="AD263" i="20" s="1"/>
  <c r="AA263" i="20" s="1"/>
  <c r="Z263" i="20" s="1"/>
  <c r="Y263" i="20" s="1"/>
  <c r="AG247" i="20"/>
  <c r="AF247" i="20" s="1"/>
  <c r="AD247" i="20" s="1"/>
  <c r="AA247" i="20" s="1"/>
  <c r="Z247" i="20" s="1"/>
  <c r="Y247" i="20" s="1"/>
  <c r="AG166" i="20"/>
  <c r="AF166" i="20" s="1"/>
  <c r="AD166" i="20" s="1"/>
  <c r="AG249" i="20"/>
  <c r="AF249" i="20" s="1"/>
  <c r="AD249" i="20" s="1"/>
  <c r="AA249" i="20" s="1"/>
  <c r="Z249" i="20" s="1"/>
  <c r="Y249" i="20" s="1"/>
  <c r="AG190" i="20"/>
  <c r="AF190" i="20" s="1"/>
  <c r="AD190" i="20" s="1"/>
  <c r="AA190" i="20" s="1"/>
  <c r="Z190" i="20" s="1"/>
  <c r="Y190" i="20" s="1"/>
  <c r="AG337" i="20"/>
  <c r="AF337" i="20" s="1"/>
  <c r="AD337" i="20" s="1"/>
  <c r="AA337" i="20" s="1"/>
  <c r="Z337" i="20" s="1"/>
  <c r="Y337" i="20" s="1"/>
  <c r="AG278" i="20"/>
  <c r="AF278" i="20" s="1"/>
  <c r="AD278" i="20" s="1"/>
  <c r="AA278" i="20" s="1"/>
  <c r="Z278" i="20" s="1"/>
  <c r="Y278" i="20" s="1"/>
  <c r="AG222" i="20"/>
  <c r="AF222" i="20" s="1"/>
  <c r="AD222" i="20" s="1"/>
  <c r="AA222" i="20" s="1"/>
  <c r="Z222" i="20" s="1"/>
  <c r="Y222" i="20" s="1"/>
  <c r="AG211" i="20"/>
  <c r="AF211" i="20" s="1"/>
  <c r="AD211" i="20" s="1"/>
  <c r="AA211" i="20" s="1"/>
  <c r="Z211" i="20" s="1"/>
  <c r="Y211" i="20" s="1"/>
  <c r="AG313" i="20"/>
  <c r="AF313" i="20" s="1"/>
  <c r="AD313" i="20" s="1"/>
  <c r="AA313" i="20" s="1"/>
  <c r="Z313" i="20" s="1"/>
  <c r="Y313" i="20" s="1"/>
  <c r="AG223" i="20"/>
  <c r="AF223" i="20" s="1"/>
  <c r="AD223" i="20" s="1"/>
  <c r="AA223" i="20" s="1"/>
  <c r="Z223" i="20" s="1"/>
  <c r="Y223" i="20" s="1"/>
  <c r="AG113" i="20"/>
  <c r="AF113" i="20" s="1"/>
  <c r="AD113" i="20" s="1"/>
  <c r="AA113" i="20" s="1"/>
  <c r="Z113" i="20" s="1"/>
  <c r="Y113" i="20" s="1"/>
  <c r="AG114" i="20"/>
  <c r="AF114" i="20" s="1"/>
  <c r="AD114" i="20" s="1"/>
  <c r="AA114" i="20" s="1"/>
  <c r="Z114" i="20" s="1"/>
  <c r="Y114" i="20" s="1"/>
  <c r="AG229" i="20"/>
  <c r="AF229" i="20" s="1"/>
  <c r="AD229" i="20" s="1"/>
  <c r="AA229" i="20" s="1"/>
  <c r="Z229" i="20" s="1"/>
  <c r="Y229" i="20" s="1"/>
  <c r="AG241" i="20"/>
  <c r="AF241" i="20" s="1"/>
  <c r="AD241" i="20" s="1"/>
  <c r="AG214" i="20"/>
  <c r="AF214" i="20" s="1"/>
  <c r="AD214" i="20" s="1"/>
  <c r="AA214" i="20" s="1"/>
  <c r="Z214" i="20" s="1"/>
  <c r="Y214" i="20" s="1"/>
  <c r="AG291" i="20"/>
  <c r="AF291" i="20" s="1"/>
  <c r="AD291" i="20" s="1"/>
  <c r="AA291" i="20" s="1"/>
  <c r="Z291" i="20" s="1"/>
  <c r="Y291" i="20" s="1"/>
  <c r="AG265" i="20"/>
  <c r="AF265" i="20" s="1"/>
  <c r="AD265" i="20" s="1"/>
  <c r="AA265" i="20" s="1"/>
  <c r="Z265" i="20" s="1"/>
  <c r="Y265" i="20" s="1"/>
  <c r="AG230" i="20"/>
  <c r="AF230" i="20" s="1"/>
  <c r="AD230" i="20" s="1"/>
  <c r="AA230" i="20" s="1"/>
  <c r="Z230" i="20" s="1"/>
  <c r="Y230" i="20" s="1"/>
  <c r="AG240" i="20"/>
  <c r="AF240" i="20" s="1"/>
  <c r="AD240" i="20" s="1"/>
  <c r="AA240" i="20" s="1"/>
  <c r="Z240" i="20" s="1"/>
  <c r="Y240" i="20" s="1"/>
  <c r="AG250" i="20"/>
  <c r="AF250" i="20" s="1"/>
  <c r="AD250" i="20" s="1"/>
  <c r="AA250" i="20" s="1"/>
  <c r="Z250" i="20" s="1"/>
  <c r="Y250" i="20" s="1"/>
  <c r="AG317" i="20"/>
  <c r="AF317" i="20" s="1"/>
  <c r="AD317" i="20" s="1"/>
  <c r="AA317" i="20" s="1"/>
  <c r="Z317" i="20" s="1"/>
  <c r="Y317" i="20" s="1"/>
  <c r="AG257" i="20"/>
  <c r="AF257" i="20" s="1"/>
  <c r="AD257" i="20" s="1"/>
  <c r="AA257" i="20" s="1"/>
  <c r="Z257" i="20" s="1"/>
  <c r="Y257" i="20" s="1"/>
  <c r="AG226" i="20"/>
  <c r="AF226" i="20" s="1"/>
  <c r="AD226" i="20" s="1"/>
  <c r="AA226" i="20" s="1"/>
  <c r="Z226" i="20" s="1"/>
  <c r="Y226" i="20" s="1"/>
  <c r="AG266" i="20"/>
  <c r="AF266" i="20" s="1"/>
  <c r="AD266" i="20" s="1"/>
  <c r="AA266" i="20" s="1"/>
  <c r="Z266" i="20" s="1"/>
  <c r="Y266" i="20" s="1"/>
  <c r="AG124" i="20"/>
  <c r="AF124" i="20" s="1"/>
  <c r="AD124" i="20" s="1"/>
  <c r="AA124" i="20" s="1"/>
  <c r="Z124" i="20" s="1"/>
  <c r="Y124" i="20" s="1"/>
  <c r="AG194" i="20"/>
  <c r="AF194" i="20" s="1"/>
  <c r="AD194" i="20" s="1"/>
  <c r="AA194" i="20" s="1"/>
  <c r="Z194" i="20" s="1"/>
  <c r="Y194" i="20" s="1"/>
  <c r="AG235" i="20"/>
  <c r="AF235" i="20" s="1"/>
  <c r="AD235" i="20" s="1"/>
  <c r="AA235" i="20" s="1"/>
  <c r="Z235" i="20" s="1"/>
  <c r="Y235" i="20" s="1"/>
  <c r="AG217" i="20"/>
  <c r="AF217" i="20" s="1"/>
  <c r="AD217" i="20" s="1"/>
  <c r="AA217" i="20" s="1"/>
  <c r="Z217" i="20" s="1"/>
  <c r="Y217" i="20" s="1"/>
  <c r="AI12" i="22"/>
  <c r="AH379" i="20"/>
  <c r="AG379" i="20" s="1"/>
  <c r="AF379" i="20" s="1"/>
  <c r="AD379" i="20" s="1"/>
  <c r="AG290" i="20"/>
  <c r="AF290" i="20" s="1"/>
  <c r="AD290" i="20" s="1"/>
  <c r="AA290" i="20" s="1"/>
  <c r="Z290" i="20" s="1"/>
  <c r="Y290" i="20" s="1"/>
  <c r="AG233" i="20"/>
  <c r="AF233" i="20" s="1"/>
  <c r="AD233" i="20" s="1"/>
  <c r="AA233" i="20" s="1"/>
  <c r="Z233" i="20" s="1"/>
  <c r="Y233" i="20" s="1"/>
  <c r="AG179" i="20"/>
  <c r="AF179" i="20" s="1"/>
  <c r="AD179" i="20" s="1"/>
  <c r="AA179" i="20" s="1"/>
  <c r="Z179" i="20" s="1"/>
  <c r="Y179" i="20" s="1"/>
  <c r="AG108" i="20"/>
  <c r="AF108" i="20" s="1"/>
  <c r="AD108" i="20" s="1"/>
  <c r="AA108" i="20" s="1"/>
  <c r="Z108" i="20" s="1"/>
  <c r="Y108" i="20" s="1"/>
  <c r="AG107" i="20"/>
  <c r="AF107" i="20" s="1"/>
  <c r="AD107" i="20" s="1"/>
  <c r="AA107" i="20" s="1"/>
  <c r="Z107" i="20" s="1"/>
  <c r="Y107" i="20" s="1"/>
  <c r="AG298" i="20"/>
  <c r="AF298" i="20" s="1"/>
  <c r="AD298" i="20" s="1"/>
  <c r="AA298" i="20" s="1"/>
  <c r="Z298" i="20" s="1"/>
  <c r="Y298" i="20" s="1"/>
  <c r="AG131" i="20"/>
  <c r="AF131" i="20" s="1"/>
  <c r="AD131" i="20" s="1"/>
  <c r="AA131" i="20" s="1"/>
  <c r="Z131" i="20" s="1"/>
  <c r="Y131" i="20" s="1"/>
  <c r="AG161" i="20"/>
  <c r="AF161" i="20" s="1"/>
  <c r="AD161" i="20" s="1"/>
  <c r="AA161" i="20" s="1"/>
  <c r="Z161" i="20" s="1"/>
  <c r="Y161" i="20" s="1"/>
  <c r="AG219" i="20"/>
  <c r="AF219" i="20" s="1"/>
  <c r="AD219" i="20" s="1"/>
  <c r="AA219" i="20" s="1"/>
  <c r="Z219" i="20" s="1"/>
  <c r="Y219" i="20" s="1"/>
  <c r="AG208" i="20"/>
  <c r="AF208" i="20" s="1"/>
  <c r="AD208" i="20" s="1"/>
  <c r="AA208" i="20" s="1"/>
  <c r="Z208" i="20" s="1"/>
  <c r="Y208" i="20" s="1"/>
  <c r="AG359" i="20"/>
  <c r="AF359" i="20" s="1"/>
  <c r="AD359" i="20" s="1"/>
  <c r="AA359" i="20" s="1"/>
  <c r="Z359" i="20" s="1"/>
  <c r="Y359" i="20" s="1"/>
  <c r="AG148" i="20"/>
  <c r="AF148" i="20" s="1"/>
  <c r="AD148" i="20" s="1"/>
  <c r="AA148" i="20" s="1"/>
  <c r="Z148" i="20" s="1"/>
  <c r="Y148" i="20" s="1"/>
  <c r="AG316" i="20"/>
  <c r="AF316" i="20" s="1"/>
  <c r="AD316" i="20" s="1"/>
  <c r="AA316" i="20" s="1"/>
  <c r="Z316" i="20" s="1"/>
  <c r="Y316" i="20" s="1"/>
  <c r="AG224" i="20"/>
  <c r="AF224" i="20" s="1"/>
  <c r="AD224" i="20" s="1"/>
  <c r="AA224" i="20" s="1"/>
  <c r="Z224" i="20" s="1"/>
  <c r="Y224" i="20" s="1"/>
  <c r="AG354" i="20"/>
  <c r="AF354" i="20" s="1"/>
  <c r="AD354" i="20" s="1"/>
  <c r="AA354" i="20" s="1"/>
  <c r="Z354" i="20" s="1"/>
  <c r="Y354" i="20" s="1"/>
  <c r="AG116" i="20"/>
  <c r="AF116" i="20" s="1"/>
  <c r="AD116" i="20" s="1"/>
  <c r="AA116" i="20" s="1"/>
  <c r="Z116" i="20" s="1"/>
  <c r="Y116" i="20" s="1"/>
  <c r="AG133" i="20"/>
  <c r="AF133" i="20" s="1"/>
  <c r="AD133" i="20" s="1"/>
  <c r="AA133" i="20" s="1"/>
  <c r="Z133" i="20" s="1"/>
  <c r="Y133" i="20" s="1"/>
  <c r="AG186" i="20"/>
  <c r="AF186" i="20" s="1"/>
  <c r="AD186" i="20" s="1"/>
  <c r="AA186" i="20" s="1"/>
  <c r="Z186" i="20" s="1"/>
  <c r="Y186" i="20" s="1"/>
  <c r="AG254" i="20"/>
  <c r="AF254" i="20" s="1"/>
  <c r="AD254" i="20" s="1"/>
  <c r="AA254" i="20" s="1"/>
  <c r="Z254" i="20" s="1"/>
  <c r="Y254" i="20" s="1"/>
  <c r="AG376" i="20"/>
  <c r="AF376" i="20" s="1"/>
  <c r="AD376" i="20" s="1"/>
  <c r="AA376" i="20" s="1"/>
  <c r="Z376" i="20" s="1"/>
  <c r="Y376" i="20" s="1"/>
  <c r="AG324" i="20"/>
  <c r="AF324" i="20" s="1"/>
  <c r="AD324" i="20" s="1"/>
  <c r="AA324" i="20" s="1"/>
  <c r="Z324" i="20" s="1"/>
  <c r="Y324" i="20" s="1"/>
  <c r="AG189" i="20"/>
  <c r="AF189" i="20" s="1"/>
  <c r="AD189" i="20" s="1"/>
  <c r="AA189" i="20" s="1"/>
  <c r="Z189" i="20" s="1"/>
  <c r="Y189" i="20" s="1"/>
  <c r="AG363" i="20"/>
  <c r="AF363" i="20" s="1"/>
  <c r="AD363" i="20" s="1"/>
  <c r="AG170" i="20"/>
  <c r="AF170" i="20" s="1"/>
  <c r="AD170" i="20" s="1"/>
  <c r="AA170" i="20" s="1"/>
  <c r="Z170" i="20" s="1"/>
  <c r="Y170" i="20" s="1"/>
  <c r="AG340" i="20"/>
  <c r="AF340" i="20" s="1"/>
  <c r="AD340" i="20" s="1"/>
  <c r="AA340" i="20" s="1"/>
  <c r="Z340" i="20" s="1"/>
  <c r="Y340" i="20" s="1"/>
  <c r="AG343" i="20"/>
  <c r="AF343" i="20" s="1"/>
  <c r="AD343" i="20" s="1"/>
  <c r="AA343" i="20" s="1"/>
  <c r="Z343" i="20" s="1"/>
  <c r="Y343" i="20" s="1"/>
  <c r="AG358" i="20"/>
  <c r="AF358" i="20" s="1"/>
  <c r="AD358" i="20" s="1"/>
  <c r="AA358" i="20" s="1"/>
  <c r="Z358" i="20" s="1"/>
  <c r="Y358" i="20" s="1"/>
  <c r="AG212" i="20"/>
  <c r="AF212" i="20" s="1"/>
  <c r="AD212" i="20" s="1"/>
  <c r="AA212" i="20" s="1"/>
  <c r="Z212" i="20" s="1"/>
  <c r="Y212" i="20" s="1"/>
  <c r="AG158" i="20"/>
  <c r="AF158" i="20" s="1"/>
  <c r="AD158" i="20" s="1"/>
  <c r="AA158" i="20" s="1"/>
  <c r="Z158" i="20" s="1"/>
  <c r="Y158" i="20" s="1"/>
  <c r="AG184" i="20"/>
  <c r="AF184" i="20" s="1"/>
  <c r="AD184" i="20" s="1"/>
  <c r="AG347" i="20"/>
  <c r="AF347" i="20" s="1"/>
  <c r="AD347" i="20" s="1"/>
  <c r="AA347" i="20" s="1"/>
  <c r="Z347" i="20" s="1"/>
  <c r="Y347" i="20" s="1"/>
  <c r="AG119" i="20"/>
  <c r="AF119" i="20" s="1"/>
  <c r="AD119" i="20" s="1"/>
  <c r="AG246" i="20"/>
  <c r="AF246" i="20" s="1"/>
  <c r="AD246" i="20" s="1"/>
  <c r="AA246" i="20" s="1"/>
  <c r="Z246" i="20" s="1"/>
  <c r="Y246" i="20" s="1"/>
  <c r="AG198" i="20"/>
  <c r="AF198" i="20" s="1"/>
  <c r="AD198" i="20" s="1"/>
  <c r="AA198" i="20" s="1"/>
  <c r="Z198" i="20" s="1"/>
  <c r="Y198" i="20" s="1"/>
  <c r="AG323" i="20"/>
  <c r="AF323" i="20" s="1"/>
  <c r="AD323" i="20" s="1"/>
  <c r="AA323" i="20" s="1"/>
  <c r="Z323" i="20" s="1"/>
  <c r="Y323" i="20" s="1"/>
  <c r="AG151" i="20"/>
  <c r="AF151" i="20" s="1"/>
  <c r="AD151" i="20" s="1"/>
  <c r="AA151" i="20" s="1"/>
  <c r="Z151" i="20" s="1"/>
  <c r="Y151" i="20" s="1"/>
  <c r="AG123" i="20"/>
  <c r="AF123" i="20" s="1"/>
  <c r="AD123" i="20" s="1"/>
  <c r="AA123" i="20" s="1"/>
  <c r="Z123" i="20" s="1"/>
  <c r="Y123" i="20" s="1"/>
  <c r="AG192" i="20"/>
  <c r="AF192" i="20" s="1"/>
  <c r="AD192" i="20" s="1"/>
  <c r="AA192" i="20" s="1"/>
  <c r="Z192" i="20" s="1"/>
  <c r="Y192" i="20" s="1"/>
  <c r="AG295" i="20"/>
  <c r="AF295" i="20" s="1"/>
  <c r="AD295" i="20" s="1"/>
  <c r="AA295" i="20" s="1"/>
  <c r="Z295" i="20" s="1"/>
  <c r="Y295" i="20" s="1"/>
  <c r="AG109" i="20"/>
  <c r="AF109" i="20" s="1"/>
  <c r="AD109" i="20" s="1"/>
  <c r="AA109" i="20" s="1"/>
  <c r="Z109" i="20" s="1"/>
  <c r="Y109" i="20" s="1"/>
  <c r="AG334" i="20"/>
  <c r="AF334" i="20" s="1"/>
  <c r="AD334" i="20" s="1"/>
  <c r="AA334" i="20" s="1"/>
  <c r="Z334" i="20" s="1"/>
  <c r="Y334" i="20" s="1"/>
  <c r="AG203" i="20"/>
  <c r="AF203" i="20" s="1"/>
  <c r="AD203" i="20" s="1"/>
  <c r="AA203" i="20" s="1"/>
  <c r="Z203" i="20" s="1"/>
  <c r="Y203" i="20" s="1"/>
  <c r="AG322" i="20"/>
  <c r="AF322" i="20" s="1"/>
  <c r="AD322" i="20" s="1"/>
  <c r="AA322" i="20" s="1"/>
  <c r="Z322" i="20" s="1"/>
  <c r="Y322" i="20" s="1"/>
  <c r="AG333" i="20"/>
  <c r="AF333" i="20" s="1"/>
  <c r="AD333" i="20" s="1"/>
  <c r="AG330" i="20"/>
  <c r="AF330" i="20" s="1"/>
  <c r="AD330" i="20" s="1"/>
  <c r="AA330" i="20" s="1"/>
  <c r="Z330" i="20" s="1"/>
  <c r="Y330" i="20" s="1"/>
  <c r="AG121" i="20"/>
  <c r="AF121" i="20" s="1"/>
  <c r="AD121" i="20" s="1"/>
  <c r="AA121" i="20" s="1"/>
  <c r="Z121" i="20" s="1"/>
  <c r="Y121" i="20" s="1"/>
  <c r="AG361" i="20"/>
  <c r="AF361" i="20" s="1"/>
  <c r="AD361" i="20" s="1"/>
  <c r="AA361" i="20" s="1"/>
  <c r="Z361" i="20" s="1"/>
  <c r="Y361" i="20" s="1"/>
  <c r="AG188" i="20"/>
  <c r="AF188" i="20" s="1"/>
  <c r="AD188" i="20" s="1"/>
  <c r="AA188" i="20" s="1"/>
  <c r="Z188" i="20" s="1"/>
  <c r="Y188" i="20" s="1"/>
  <c r="AG307" i="20"/>
  <c r="AF307" i="20" s="1"/>
  <c r="AD307" i="20" s="1"/>
  <c r="AA307" i="20" s="1"/>
  <c r="Z307" i="20" s="1"/>
  <c r="Y307" i="20" s="1"/>
  <c r="AG143" i="20"/>
  <c r="AF143" i="20" s="1"/>
  <c r="AD143" i="20" s="1"/>
  <c r="AA143" i="20" s="1"/>
  <c r="Z143" i="20" s="1"/>
  <c r="Y143" i="20" s="1"/>
  <c r="AG309" i="20"/>
  <c r="AF309" i="20" s="1"/>
  <c r="AD309" i="20" s="1"/>
  <c r="AA309" i="20" s="1"/>
  <c r="Z309" i="20" s="1"/>
  <c r="Y309" i="20" s="1"/>
  <c r="AG125" i="20"/>
  <c r="AF125" i="20" s="1"/>
  <c r="AD125" i="20" s="1"/>
  <c r="AA125" i="20" s="1"/>
  <c r="Z125" i="20" s="1"/>
  <c r="Y125" i="20" s="1"/>
  <c r="AG270" i="20"/>
  <c r="AF270" i="20" s="1"/>
  <c r="AD270" i="20" s="1"/>
  <c r="AA270" i="20" s="1"/>
  <c r="Z270" i="20" s="1"/>
  <c r="Y270" i="20" s="1"/>
  <c r="AG182" i="20"/>
  <c r="AF182" i="20" s="1"/>
  <c r="AD182" i="20" s="1"/>
  <c r="AA182" i="20" s="1"/>
  <c r="Z182" i="20" s="1"/>
  <c r="Y182" i="20" s="1"/>
  <c r="AG252" i="20"/>
  <c r="AF252" i="20" s="1"/>
  <c r="AD252" i="20" s="1"/>
  <c r="AG159" i="20"/>
  <c r="AF159" i="20" s="1"/>
  <c r="AD159" i="20" s="1"/>
  <c r="AA159" i="20" s="1"/>
  <c r="Z159" i="20" s="1"/>
  <c r="Y159" i="20" s="1"/>
  <c r="AG173" i="20"/>
  <c r="AF173" i="20" s="1"/>
  <c r="AD173" i="20" s="1"/>
  <c r="AA173" i="20" s="1"/>
  <c r="Z173" i="20" s="1"/>
  <c r="Y173" i="20" s="1"/>
  <c r="AG163" i="20"/>
  <c r="AF163" i="20" s="1"/>
  <c r="AD163" i="20" s="1"/>
  <c r="AA163" i="20" s="1"/>
  <c r="Z163" i="20" s="1"/>
  <c r="Y163" i="20" s="1"/>
  <c r="AG351" i="20"/>
  <c r="AF351" i="20" s="1"/>
  <c r="AD351" i="20" s="1"/>
  <c r="AA351" i="20" s="1"/>
  <c r="Z351" i="20" s="1"/>
  <c r="Y351" i="20" s="1"/>
  <c r="AG185" i="20"/>
  <c r="AF185" i="20" s="1"/>
  <c r="AD185" i="20" s="1"/>
  <c r="AA185" i="20" s="1"/>
  <c r="Z185" i="20" s="1"/>
  <c r="Y185" i="20" s="1"/>
  <c r="AG140" i="20"/>
  <c r="AF140" i="20" s="1"/>
  <c r="AD140" i="20" s="1"/>
  <c r="AA140" i="20" s="1"/>
  <c r="Z140" i="20" s="1"/>
  <c r="Y140" i="20" s="1"/>
  <c r="AG242" i="20"/>
  <c r="AF242" i="20" s="1"/>
  <c r="AD242" i="20" s="1"/>
  <c r="AA242" i="20" s="1"/>
  <c r="Z242" i="20" s="1"/>
  <c r="Y242" i="20" s="1"/>
  <c r="AG304" i="20"/>
  <c r="AF304" i="20" s="1"/>
  <c r="AD304" i="20" s="1"/>
  <c r="AA304" i="20" s="1"/>
  <c r="Z304" i="20" s="1"/>
  <c r="Y304" i="20" s="1"/>
  <c r="AG258" i="20"/>
  <c r="AF258" i="20" s="1"/>
  <c r="AD258" i="20" s="1"/>
  <c r="AG328" i="20"/>
  <c r="AF328" i="20" s="1"/>
  <c r="AD328" i="20" s="1"/>
  <c r="AA328" i="20" s="1"/>
  <c r="Z328" i="20" s="1"/>
  <c r="Y328" i="20" s="1"/>
  <c r="AG180" i="20"/>
  <c r="AF180" i="20" s="1"/>
  <c r="AD180" i="20" s="1"/>
  <c r="AG221" i="20"/>
  <c r="AF221" i="20" s="1"/>
  <c r="AD221" i="20" s="1"/>
  <c r="AA221" i="20" s="1"/>
  <c r="Z221" i="20" s="1"/>
  <c r="Y221" i="20" s="1"/>
  <c r="AG293" i="20"/>
  <c r="AF293" i="20" s="1"/>
  <c r="AD293" i="20" s="1"/>
  <c r="AA293" i="20" s="1"/>
  <c r="Z293" i="20" s="1"/>
  <c r="Y293" i="20" s="1"/>
  <c r="AG348" i="20"/>
  <c r="AF348" i="20" s="1"/>
  <c r="AD348" i="20" s="1"/>
  <c r="AA348" i="20" s="1"/>
  <c r="Z348" i="20" s="1"/>
  <c r="Y348" i="20" s="1"/>
  <c r="AG297" i="20"/>
  <c r="AF297" i="20" s="1"/>
  <c r="AD297" i="20" s="1"/>
  <c r="AA297" i="20" s="1"/>
  <c r="Z297" i="20" s="1"/>
  <c r="Y297" i="20" s="1"/>
  <c r="AG364" i="20"/>
  <c r="AF364" i="20" s="1"/>
  <c r="AD364" i="20" s="1"/>
  <c r="AA364" i="20" s="1"/>
  <c r="Z364" i="20" s="1"/>
  <c r="Y364" i="20" s="1"/>
  <c r="AG178" i="20"/>
  <c r="AF178" i="20" s="1"/>
  <c r="AD178" i="20" s="1"/>
  <c r="AA178" i="20" s="1"/>
  <c r="Z178" i="20" s="1"/>
  <c r="Y178" i="20" s="1"/>
  <c r="AG120" i="20"/>
  <c r="AF120" i="20" s="1"/>
  <c r="AD120" i="20" s="1"/>
  <c r="AA120" i="20" s="1"/>
  <c r="Z120" i="20" s="1"/>
  <c r="Y120" i="20" s="1"/>
  <c r="AG117" i="20"/>
  <c r="AF117" i="20" s="1"/>
  <c r="AD117" i="20" s="1"/>
  <c r="AA117" i="20" s="1"/>
  <c r="Z117" i="20" s="1"/>
  <c r="Y117" i="20" s="1"/>
  <c r="AG196" i="20"/>
  <c r="AF196" i="20" s="1"/>
  <c r="AD196" i="20" s="1"/>
  <c r="AG305" i="20"/>
  <c r="AF305" i="20" s="1"/>
  <c r="AD305" i="20" s="1"/>
  <c r="AA305" i="20" s="1"/>
  <c r="Z305" i="20" s="1"/>
  <c r="Y305" i="20" s="1"/>
  <c r="AG362" i="20"/>
  <c r="AF362" i="20" s="1"/>
  <c r="AD362" i="20" s="1"/>
  <c r="AA362" i="20" s="1"/>
  <c r="Z362" i="20" s="1"/>
  <c r="Y362" i="20" s="1"/>
  <c r="AG280" i="20"/>
  <c r="AF280" i="20" s="1"/>
  <c r="AD280" i="20" s="1"/>
  <c r="AA280" i="20" s="1"/>
  <c r="Z280" i="20" s="1"/>
  <c r="Y280" i="20" s="1"/>
  <c r="AG118" i="20"/>
  <c r="AF118" i="20" s="1"/>
  <c r="AD118" i="20" s="1"/>
  <c r="AA118" i="20" s="1"/>
  <c r="Z118" i="20" s="1"/>
  <c r="Y118" i="20" s="1"/>
  <c r="AG165" i="20"/>
  <c r="AF165" i="20" s="1"/>
  <c r="AD165" i="20" s="1"/>
  <c r="AA165" i="20" s="1"/>
  <c r="Z165" i="20" s="1"/>
  <c r="Y165" i="20" s="1"/>
  <c r="AG193" i="20"/>
  <c r="AF193" i="20" s="1"/>
  <c r="AD193" i="20" s="1"/>
  <c r="AA193" i="20" s="1"/>
  <c r="Z193" i="20" s="1"/>
  <c r="Y193" i="20" s="1"/>
  <c r="AG205" i="20"/>
  <c r="AF205" i="20" s="1"/>
  <c r="AD205" i="20" s="1"/>
  <c r="AA205" i="20" s="1"/>
  <c r="Z205" i="20" s="1"/>
  <c r="Y205" i="20" s="1"/>
  <c r="AG172" i="20"/>
  <c r="AF172" i="20" s="1"/>
  <c r="AD172" i="20" s="1"/>
  <c r="AA172" i="20" s="1"/>
  <c r="Z172" i="20" s="1"/>
  <c r="Y172" i="20" s="1"/>
  <c r="AG149" i="20"/>
  <c r="AF149" i="20" s="1"/>
  <c r="AD149" i="20" s="1"/>
  <c r="AG281" i="20"/>
  <c r="AF281" i="20" s="1"/>
  <c r="AD281" i="20" s="1"/>
  <c r="AA281" i="20" s="1"/>
  <c r="Z281" i="20" s="1"/>
  <c r="Y281" i="20" s="1"/>
  <c r="AG282" i="20"/>
  <c r="AF282" i="20" s="1"/>
  <c r="AD282" i="20" s="1"/>
  <c r="AA282" i="20" s="1"/>
  <c r="Z282" i="20" s="1"/>
  <c r="Y282" i="20" s="1"/>
  <c r="AG237" i="20"/>
  <c r="AF237" i="20" s="1"/>
  <c r="AD237" i="20" s="1"/>
  <c r="AA237" i="20" s="1"/>
  <c r="Z237" i="20" s="1"/>
  <c r="Y237" i="20" s="1"/>
  <c r="AG156" i="20"/>
  <c r="AF156" i="20" s="1"/>
  <c r="AD156" i="20" s="1"/>
  <c r="AA156" i="20" s="1"/>
  <c r="Z156" i="20" s="1"/>
  <c r="Y156" i="20" s="1"/>
  <c r="AG176" i="20"/>
  <c r="AF176" i="20" s="1"/>
  <c r="AD176" i="20" s="1"/>
  <c r="AA176" i="20" s="1"/>
  <c r="Z176" i="20" s="1"/>
  <c r="Y176" i="20" s="1"/>
  <c r="AG231" i="20"/>
  <c r="AF231" i="20" s="1"/>
  <c r="AD231" i="20" s="1"/>
  <c r="AA231" i="20" s="1"/>
  <c r="Z231" i="20" s="1"/>
  <c r="Y231" i="20" s="1"/>
  <c r="AG147" i="20"/>
  <c r="AF147" i="20" s="1"/>
  <c r="AD147" i="20" s="1"/>
  <c r="AA147" i="20" s="1"/>
  <c r="Z147" i="20" s="1"/>
  <c r="Y147" i="20" s="1"/>
  <c r="AG299" i="20"/>
  <c r="AF299" i="20" s="1"/>
  <c r="AD299" i="20" s="1"/>
  <c r="AA299" i="20" s="1"/>
  <c r="Z299" i="20" s="1"/>
  <c r="Y299" i="20" s="1"/>
  <c r="AG368" i="20"/>
  <c r="AF368" i="20" s="1"/>
  <c r="AD368" i="20" s="1"/>
  <c r="AA368" i="20" s="1"/>
  <c r="Z368" i="20" s="1"/>
  <c r="Y368" i="20" s="1"/>
  <c r="AG373" i="20"/>
  <c r="AF373" i="20" s="1"/>
  <c r="AD373" i="20" s="1"/>
  <c r="AA373" i="20" s="1"/>
  <c r="Z373" i="20" s="1"/>
  <c r="Y373" i="20" s="1"/>
  <c r="AG378" i="20"/>
  <c r="AF378" i="20" s="1"/>
  <c r="AD378" i="20" s="1"/>
  <c r="AA378" i="20" s="1"/>
  <c r="Z378" i="20" s="1"/>
  <c r="Y378" i="20" s="1"/>
  <c r="AG311" i="20"/>
  <c r="AF311" i="20" s="1"/>
  <c r="AD311" i="20" s="1"/>
  <c r="AA311" i="20" s="1"/>
  <c r="Z311" i="20" s="1"/>
  <c r="Y311" i="20" s="1"/>
  <c r="AG332" i="20"/>
  <c r="AF332" i="20" s="1"/>
  <c r="AD332" i="20" s="1"/>
  <c r="AA332" i="20" s="1"/>
  <c r="Z332" i="20" s="1"/>
  <c r="Y332" i="20" s="1"/>
  <c r="AG199" i="20"/>
  <c r="AF199" i="20" s="1"/>
  <c r="AD199" i="20" s="1"/>
  <c r="AA199" i="20" s="1"/>
  <c r="Z199" i="20" s="1"/>
  <c r="Y199" i="20" s="1"/>
  <c r="AG218" i="20"/>
  <c r="AF218" i="20" s="1"/>
  <c r="AD218" i="20" s="1"/>
  <c r="AA218" i="20" s="1"/>
  <c r="Z218" i="20" s="1"/>
  <c r="Y218" i="20" s="1"/>
  <c r="AG371" i="20"/>
  <c r="AF371" i="20" s="1"/>
  <c r="AD371" i="20" s="1"/>
  <c r="AA371" i="20" s="1"/>
  <c r="Z371" i="20" s="1"/>
  <c r="Y371" i="20" s="1"/>
  <c r="AG181" i="20"/>
  <c r="AF181" i="20" s="1"/>
  <c r="AD181" i="20" s="1"/>
  <c r="AA181" i="20" s="1"/>
  <c r="Z181" i="20" s="1"/>
  <c r="Y181" i="20" s="1"/>
  <c r="AG167" i="20"/>
  <c r="AF167" i="20" s="1"/>
  <c r="AD167" i="20" s="1"/>
  <c r="AA167" i="20" s="1"/>
  <c r="Z167" i="20" s="1"/>
  <c r="Y167" i="20" s="1"/>
  <c r="AG284" i="20"/>
  <c r="AF284" i="20" s="1"/>
  <c r="AD284" i="20" s="1"/>
  <c r="AA284" i="20" s="1"/>
  <c r="Z284" i="20" s="1"/>
  <c r="Y284" i="20" s="1"/>
  <c r="AG296" i="20"/>
  <c r="AF296" i="20" s="1"/>
  <c r="AD296" i="20" s="1"/>
  <c r="AA296" i="20" s="1"/>
  <c r="Z296" i="20" s="1"/>
  <c r="Y296" i="20" s="1"/>
  <c r="AG236" i="20"/>
  <c r="AF236" i="20" s="1"/>
  <c r="AD236" i="20" s="1"/>
  <c r="AA236" i="20" s="1"/>
  <c r="Z236" i="20" s="1"/>
  <c r="Y236" i="20" s="1"/>
  <c r="AG353" i="20"/>
  <c r="AF353" i="20" s="1"/>
  <c r="AD353" i="20" s="1"/>
  <c r="AA353" i="20" s="1"/>
  <c r="Z353" i="20" s="1"/>
  <c r="Y353" i="20" s="1"/>
  <c r="AG321" i="20"/>
  <c r="AF321" i="20" s="1"/>
  <c r="AD321" i="20" s="1"/>
  <c r="AA321" i="20" s="1"/>
  <c r="Z321" i="20" s="1"/>
  <c r="Y321" i="20" s="1"/>
  <c r="AG239" i="20"/>
  <c r="AF239" i="20" s="1"/>
  <c r="AD239" i="20" s="1"/>
  <c r="AA239" i="20" s="1"/>
  <c r="Z239" i="20" s="1"/>
  <c r="Y239" i="20" s="1"/>
  <c r="AG326" i="20"/>
  <c r="AF326" i="20" s="1"/>
  <c r="AD326" i="20" s="1"/>
  <c r="AA326" i="20" s="1"/>
  <c r="Z326" i="20" s="1"/>
  <c r="Y326" i="20" s="1"/>
  <c r="AG238" i="20"/>
  <c r="AF238" i="20" s="1"/>
  <c r="AD238" i="20" s="1"/>
  <c r="AA238" i="20" s="1"/>
  <c r="Z238" i="20" s="1"/>
  <c r="Y238" i="20" s="1"/>
  <c r="AG374" i="20"/>
  <c r="AF374" i="20" s="1"/>
  <c r="AD374" i="20" s="1"/>
  <c r="AA374" i="20" s="1"/>
  <c r="Z374" i="20" s="1"/>
  <c r="Y374" i="20" s="1"/>
  <c r="AG360" i="20"/>
  <c r="AF360" i="20" s="1"/>
  <c r="AD360" i="20" s="1"/>
  <c r="AA360" i="20" s="1"/>
  <c r="Z360" i="20" s="1"/>
  <c r="Y360" i="20" s="1"/>
  <c r="AG268" i="20"/>
  <c r="AF268" i="20" s="1"/>
  <c r="AD268" i="20" s="1"/>
  <c r="AA268" i="20" s="1"/>
  <c r="Z268" i="20" s="1"/>
  <c r="Y268" i="20" s="1"/>
  <c r="AG195" i="20"/>
  <c r="AF195" i="20" s="1"/>
  <c r="AD195" i="20" s="1"/>
  <c r="AA195" i="20" s="1"/>
  <c r="Z195" i="20" s="1"/>
  <c r="Y195" i="20" s="1"/>
  <c r="AG349" i="20"/>
  <c r="AF349" i="20" s="1"/>
  <c r="AD349" i="20" s="1"/>
  <c r="AA54" i="20"/>
  <c r="Z54" i="20" s="1"/>
  <c r="Y54" i="20" s="1"/>
  <c r="G54" i="20"/>
  <c r="CB54" i="6" s="1"/>
  <c r="P305" i="22"/>
  <c r="V305" i="22" s="1"/>
  <c r="P287" i="22"/>
  <c r="V287" i="22" s="1"/>
  <c r="P321" i="22"/>
  <c r="V321" i="22" s="1"/>
  <c r="P240" i="22"/>
  <c r="V240" i="22" s="1"/>
  <c r="P111" i="22"/>
  <c r="V111" i="22" s="1"/>
  <c r="P345" i="22"/>
  <c r="V345" i="22" s="1"/>
  <c r="P274" i="22"/>
  <c r="V274" i="22" s="1"/>
  <c r="P124" i="22"/>
  <c r="V124" i="22" s="1"/>
  <c r="P143" i="22"/>
  <c r="V143" i="22" s="1"/>
  <c r="P53" i="22"/>
  <c r="V53" i="22" s="1"/>
  <c r="P281" i="22"/>
  <c r="V281" i="22" s="1"/>
  <c r="P146" i="22"/>
  <c r="V146" i="22" s="1"/>
  <c r="P105" i="22"/>
  <c r="V105" i="22" s="1"/>
  <c r="P43" i="22"/>
  <c r="V43" i="22" s="1"/>
  <c r="P351" i="22"/>
  <c r="V351" i="22" s="1"/>
  <c r="AJ12" i="18"/>
  <c r="AJ13" i="18" s="1"/>
  <c r="H83" i="20"/>
  <c r="J83" i="20" s="1"/>
  <c r="C83" i="6" s="1"/>
  <c r="H66" i="19"/>
  <c r="E66" i="19"/>
  <c r="F66" i="19"/>
  <c r="AA84" i="20"/>
  <c r="Z84" i="20" s="1"/>
  <c r="Y84" i="20" s="1"/>
  <c r="G84" i="20"/>
  <c r="CB84" i="6" s="1"/>
  <c r="J15" i="17"/>
  <c r="I15" i="17"/>
  <c r="AA381" i="17"/>
  <c r="AA9" i="17"/>
  <c r="AA383" i="17"/>
  <c r="Z15" i="17"/>
  <c r="AA382" i="17"/>
  <c r="AM8" i="17"/>
  <c r="AL9" i="17"/>
  <c r="G381" i="17"/>
  <c r="G383" i="17"/>
  <c r="G12" i="17" s="1"/>
  <c r="G382" i="17"/>
  <c r="F11" i="17"/>
  <c r="AB9" i="17"/>
  <c r="G14" i="19"/>
  <c r="AA28" i="20"/>
  <c r="Z28" i="20" s="1"/>
  <c r="Y28" i="20" s="1"/>
  <c r="G28" i="20"/>
  <c r="CB28" i="6" s="1"/>
  <c r="H28" i="20"/>
  <c r="H54" i="20"/>
  <c r="J302" i="18"/>
  <c r="I302" i="18"/>
  <c r="G62" i="20"/>
  <c r="CB62" i="6" s="1"/>
  <c r="AA62" i="20"/>
  <c r="Z62" i="20" s="1"/>
  <c r="Y62" i="20" s="1"/>
  <c r="U12" i="23"/>
  <c r="T379" i="22"/>
  <c r="AN16" i="7"/>
  <c r="AT11" i="7" s="1"/>
  <c r="U11" i="23" s="1"/>
  <c r="U10" i="23" s="1"/>
  <c r="T15" i="22"/>
  <c r="G244" i="20"/>
  <c r="CB244" i="6" s="1"/>
  <c r="H244" i="20"/>
  <c r="I196" i="18"/>
  <c r="J196" i="18"/>
  <c r="I269" i="18"/>
  <c r="J269" i="18"/>
  <c r="P187" i="22"/>
  <c r="V187" i="22" s="1"/>
  <c r="P268" i="22"/>
  <c r="V268" i="22" s="1"/>
  <c r="P290" i="22"/>
  <c r="V290" i="22" s="1"/>
  <c r="P158" i="22"/>
  <c r="V158" i="22" s="1"/>
  <c r="P164" i="22"/>
  <c r="V164" i="22" s="1"/>
  <c r="P186" i="22"/>
  <c r="V186" i="22" s="1"/>
  <c r="P338" i="22"/>
  <c r="V338" i="22" s="1"/>
  <c r="P129" i="22"/>
  <c r="V129" i="22" s="1"/>
  <c r="P188" i="22"/>
  <c r="V188" i="22" s="1"/>
  <c r="P24" i="22"/>
  <c r="V24" i="22" s="1"/>
  <c r="P25" i="22"/>
  <c r="V25" i="22" s="1"/>
  <c r="P297" i="22"/>
  <c r="V297" i="22" s="1"/>
  <c r="P117" i="22"/>
  <c r="V117" i="22" s="1"/>
  <c r="P201" i="22"/>
  <c r="V201" i="22" s="1"/>
  <c r="P119" i="22"/>
  <c r="P356" i="22"/>
  <c r="V356" i="22" s="1"/>
  <c r="P165" i="22"/>
  <c r="V165" i="22" s="1"/>
  <c r="P152" i="22"/>
  <c r="V152" i="22" s="1"/>
  <c r="P282" i="22"/>
  <c r="V282" i="22" s="1"/>
  <c r="P185" i="22"/>
  <c r="V185" i="22" s="1"/>
  <c r="P123" i="22"/>
  <c r="V123" i="22" s="1"/>
  <c r="P109" i="22"/>
  <c r="V109" i="22" s="1"/>
  <c r="P213" i="22"/>
  <c r="V213" i="22" s="1"/>
  <c r="P357" i="22"/>
  <c r="V357" i="22" s="1"/>
  <c r="P56" i="22"/>
  <c r="V56" i="22" s="1"/>
  <c r="P377" i="22"/>
  <c r="V377" i="22" s="1"/>
  <c r="P102" i="22"/>
  <c r="V102" i="22" s="1"/>
  <c r="P364" i="22"/>
  <c r="V364" i="22" s="1"/>
  <c r="P33" i="22"/>
  <c r="V33" i="22" s="1"/>
  <c r="H337" i="20"/>
  <c r="G337" i="20"/>
  <c r="CB337" i="6" s="1"/>
  <c r="G44" i="20"/>
  <c r="CB44" i="6" s="1"/>
  <c r="AA44" i="20"/>
  <c r="Z44" i="20" s="1"/>
  <c r="Y44" i="20" s="1"/>
  <c r="H44" i="20"/>
  <c r="H189" i="20"/>
  <c r="G189" i="20"/>
  <c r="CB189" i="6" s="1"/>
  <c r="H371" i="20"/>
  <c r="G371" i="20"/>
  <c r="CB371" i="6" s="1"/>
  <c r="H108" i="20"/>
  <c r="G108" i="20"/>
  <c r="CB108" i="6" s="1"/>
  <c r="G317" i="20"/>
  <c r="CB317" i="6" s="1"/>
  <c r="H317" i="20"/>
  <c r="G218" i="20"/>
  <c r="CB218" i="6" s="1"/>
  <c r="H218" i="20"/>
  <c r="G109" i="20"/>
  <c r="CB109" i="6" s="1"/>
  <c r="H109" i="20"/>
  <c r="G27" i="20"/>
  <c r="CB27" i="6" s="1"/>
  <c r="AA27" i="20"/>
  <c r="Z27" i="20" s="1"/>
  <c r="Y27" i="20" s="1"/>
  <c r="W180" i="20"/>
  <c r="D180" i="20"/>
  <c r="E180" i="20" s="1"/>
  <c r="F180" i="20" s="1"/>
  <c r="H376" i="20"/>
  <c r="G376" i="20"/>
  <c r="CB376" i="6" s="1"/>
  <c r="G236" i="20"/>
  <c r="CB236" i="6" s="1"/>
  <c r="H236" i="20"/>
  <c r="AA32" i="20"/>
  <c r="Z32" i="20" s="1"/>
  <c r="Y32" i="20" s="1"/>
  <c r="G32" i="20"/>
  <c r="CB32" i="6" s="1"/>
  <c r="H32" i="20"/>
  <c r="H111" i="20"/>
  <c r="G111" i="20"/>
  <c r="CB111" i="6" s="1"/>
  <c r="H306" i="20"/>
  <c r="G306" i="20"/>
  <c r="CB306" i="6" s="1"/>
  <c r="H240" i="20"/>
  <c r="G240" i="20"/>
  <c r="CB240" i="6" s="1"/>
  <c r="H123" i="20"/>
  <c r="G123" i="20"/>
  <c r="CB123" i="6" s="1"/>
  <c r="G133" i="20"/>
  <c r="CB133" i="6" s="1"/>
  <c r="H133" i="20"/>
  <c r="H251" i="20"/>
  <c r="G251" i="20"/>
  <c r="CB251" i="6" s="1"/>
  <c r="G87" i="20"/>
  <c r="CB87" i="6" s="1"/>
  <c r="AA87" i="20"/>
  <c r="Z87" i="20" s="1"/>
  <c r="Y87" i="20" s="1"/>
  <c r="G97" i="20"/>
  <c r="CB97" i="6" s="1"/>
  <c r="H97" i="20"/>
  <c r="AA97" i="20"/>
  <c r="Z97" i="20" s="1"/>
  <c r="Y97" i="20" s="1"/>
  <c r="AA22" i="20"/>
  <c r="Z22" i="20" s="1"/>
  <c r="Y22" i="20" s="1"/>
  <c r="G22" i="20"/>
  <c r="CB22" i="6" s="1"/>
  <c r="H22" i="20"/>
  <c r="G128" i="20"/>
  <c r="CB128" i="6" s="1"/>
  <c r="H128" i="20"/>
  <c r="G332" i="20"/>
  <c r="CB332" i="6" s="1"/>
  <c r="H332" i="20"/>
  <c r="G93" i="20"/>
  <c r="CB93" i="6" s="1"/>
  <c r="H93" i="20"/>
  <c r="AA93" i="20"/>
  <c r="Z93" i="20" s="1"/>
  <c r="Y93" i="20" s="1"/>
  <c r="G231" i="20"/>
  <c r="CB231" i="6" s="1"/>
  <c r="H231" i="20"/>
  <c r="AA53" i="20"/>
  <c r="Z53" i="20" s="1"/>
  <c r="Y53" i="20" s="1"/>
  <c r="G53" i="20"/>
  <c r="CB53" i="6" s="1"/>
  <c r="H233" i="20"/>
  <c r="G233" i="20"/>
  <c r="CB233" i="6" s="1"/>
  <c r="H38" i="20"/>
  <c r="G38" i="20"/>
  <c r="CB38" i="6" s="1"/>
  <c r="AA38" i="20"/>
  <c r="Z38" i="20" s="1"/>
  <c r="Y38" i="20" s="1"/>
  <c r="G279" i="20"/>
  <c r="CB279" i="6" s="1"/>
  <c r="H279" i="20"/>
  <c r="H256" i="20"/>
  <c r="G256" i="20"/>
  <c r="CB256" i="6" s="1"/>
  <c r="H238" i="20"/>
  <c r="G238" i="20"/>
  <c r="CB238" i="6" s="1"/>
  <c r="S381" i="20"/>
  <c r="S382" i="20"/>
  <c r="S383" i="20"/>
  <c r="R15" i="20"/>
  <c r="D46" i="20"/>
  <c r="E46" i="20" s="1"/>
  <c r="F46" i="20" s="1"/>
  <c r="W46" i="20"/>
  <c r="J363" i="18"/>
  <c r="I363" i="18"/>
  <c r="J146" i="18"/>
  <c r="I146" i="18"/>
  <c r="I319" i="18"/>
  <c r="J319" i="18"/>
  <c r="H168" i="20"/>
  <c r="G168" i="20"/>
  <c r="CB168" i="6" s="1"/>
  <c r="H170" i="20"/>
  <c r="G170" i="20"/>
  <c r="CB170" i="6" s="1"/>
  <c r="D74" i="20"/>
  <c r="E74" i="20" s="1"/>
  <c r="F74" i="20" s="1"/>
  <c r="W74" i="20"/>
  <c r="G322" i="20"/>
  <c r="CB322" i="6" s="1"/>
  <c r="H322" i="20"/>
  <c r="H324" i="20"/>
  <c r="G324" i="20"/>
  <c r="CB324" i="6" s="1"/>
  <c r="H285" i="20"/>
  <c r="G285" i="20"/>
  <c r="CB285" i="6" s="1"/>
  <c r="G235" i="20"/>
  <c r="CB235" i="6" s="1"/>
  <c r="H235" i="20"/>
  <c r="H287" i="20"/>
  <c r="G287" i="20"/>
  <c r="CB287" i="6" s="1"/>
  <c r="W333" i="20"/>
  <c r="D333" i="20"/>
  <c r="E333" i="20" s="1"/>
  <c r="F333" i="20" s="1"/>
  <c r="G164" i="20"/>
  <c r="CB164" i="6" s="1"/>
  <c r="H164" i="20"/>
  <c r="H190" i="20"/>
  <c r="G190" i="20"/>
  <c r="CB190" i="6" s="1"/>
  <c r="AA42" i="20"/>
  <c r="Z42" i="20" s="1"/>
  <c r="Y42" i="20" s="1"/>
  <c r="H42" i="20"/>
  <c r="G42" i="20"/>
  <c r="CB42" i="6" s="1"/>
  <c r="H139" i="20"/>
  <c r="G139" i="20"/>
  <c r="CB139" i="6" s="1"/>
  <c r="G126" i="20"/>
  <c r="CB126" i="6" s="1"/>
  <c r="H126" i="20"/>
  <c r="AA26" i="20"/>
  <c r="Z26" i="20" s="1"/>
  <c r="Y26" i="20" s="1"/>
  <c r="H26" i="20"/>
  <c r="G26" i="20"/>
  <c r="CB26" i="6" s="1"/>
  <c r="AA49" i="20"/>
  <c r="Z49" i="20" s="1"/>
  <c r="Y49" i="20" s="1"/>
  <c r="H49" i="20"/>
  <c r="G49" i="20"/>
  <c r="CB49" i="6" s="1"/>
  <c r="H174" i="20"/>
  <c r="G174" i="20"/>
  <c r="CB174" i="6" s="1"/>
  <c r="H253" i="20"/>
  <c r="G253" i="20"/>
  <c r="CB253" i="6" s="1"/>
  <c r="AA20" i="20"/>
  <c r="Z20" i="20" s="1"/>
  <c r="Y20" i="20" s="1"/>
  <c r="H20" i="20"/>
  <c r="G20" i="20"/>
  <c r="CB20" i="6" s="1"/>
  <c r="H45" i="20"/>
  <c r="G45" i="20"/>
  <c r="CB45" i="6" s="1"/>
  <c r="AA45" i="20"/>
  <c r="Z45" i="20" s="1"/>
  <c r="Y45" i="20" s="1"/>
  <c r="G55" i="20"/>
  <c r="CB55" i="6" s="1"/>
  <c r="AA55" i="20"/>
  <c r="Z55" i="20" s="1"/>
  <c r="Y55" i="20" s="1"/>
  <c r="H55" i="20"/>
  <c r="I288" i="18"/>
  <c r="J288" i="18"/>
  <c r="P215" i="22"/>
  <c r="V215" i="22" s="1"/>
  <c r="P361" i="22"/>
  <c r="V361" i="22" s="1"/>
  <c r="P211" i="22"/>
  <c r="V211" i="22" s="1"/>
  <c r="P16" i="22"/>
  <c r="V16" i="22" s="1"/>
  <c r="P112" i="22"/>
  <c r="V112" i="22" s="1"/>
  <c r="P262" i="22"/>
  <c r="V262" i="22" s="1"/>
  <c r="P341" i="22"/>
  <c r="V341" i="22" s="1"/>
  <c r="P374" i="22"/>
  <c r="V374" i="22" s="1"/>
  <c r="P93" i="22"/>
  <c r="V93" i="22" s="1"/>
  <c r="P224" i="22"/>
  <c r="V224" i="22" s="1"/>
  <c r="P235" i="22"/>
  <c r="V235" i="22" s="1"/>
  <c r="P376" i="22"/>
  <c r="V376" i="22" s="1"/>
  <c r="P249" i="22"/>
  <c r="V249" i="22" s="1"/>
  <c r="P271" i="22"/>
  <c r="V271" i="22" s="1"/>
  <c r="P50" i="22"/>
  <c r="V50" i="22" s="1"/>
  <c r="P239" i="22"/>
  <c r="V239" i="22" s="1"/>
  <c r="P236" i="22"/>
  <c r="V236" i="22" s="1"/>
  <c r="P76" i="22"/>
  <c r="V76" i="22" s="1"/>
  <c r="P100" i="22"/>
  <c r="V100" i="22" s="1"/>
  <c r="P114" i="22"/>
  <c r="V114" i="22" s="1"/>
  <c r="P353" i="22"/>
  <c r="V353" i="22" s="1"/>
  <c r="P44" i="22"/>
  <c r="V44" i="22" s="1"/>
  <c r="P223" i="22"/>
  <c r="V223" i="22" s="1"/>
  <c r="P328" i="22"/>
  <c r="V328" i="22" s="1"/>
  <c r="P207" i="22"/>
  <c r="V207" i="22" s="1"/>
  <c r="P237" i="22"/>
  <c r="V237" i="22" s="1"/>
  <c r="P173" i="22"/>
  <c r="V173" i="22" s="1"/>
  <c r="P208" i="22"/>
  <c r="V208" i="22" s="1"/>
  <c r="P265" i="22"/>
  <c r="V265" i="22" s="1"/>
  <c r="P115" i="22"/>
  <c r="V115" i="22" s="1"/>
  <c r="P46" i="22"/>
  <c r="V46" i="22" s="1"/>
  <c r="P148" i="22"/>
  <c r="V148" i="22" s="1"/>
  <c r="P284" i="22"/>
  <c r="V284" i="22" s="1"/>
  <c r="P31" i="22"/>
  <c r="V31" i="22" s="1"/>
  <c r="P189" i="22"/>
  <c r="V189" i="22" s="1"/>
  <c r="P80" i="22"/>
  <c r="V80" i="22" s="1"/>
  <c r="P176" i="22"/>
  <c r="V176" i="22" s="1"/>
  <c r="P63" i="22"/>
  <c r="V63" i="22" s="1"/>
  <c r="P310" i="22"/>
  <c r="V310" i="22" s="1"/>
  <c r="P157" i="22"/>
  <c r="V157" i="22" s="1"/>
  <c r="P299" i="22"/>
  <c r="V299" i="22" s="1"/>
  <c r="P312" i="22"/>
  <c r="V312" i="22" s="1"/>
  <c r="G214" i="20"/>
  <c r="CB214" i="6" s="1"/>
  <c r="H214" i="20"/>
  <c r="H106" i="20"/>
  <c r="G106" i="20"/>
  <c r="CB106" i="6" s="1"/>
  <c r="G137" i="20"/>
  <c r="CB137" i="6" s="1"/>
  <c r="H137" i="20"/>
  <c r="G267" i="20"/>
  <c r="CB267" i="6" s="1"/>
  <c r="H267" i="20"/>
  <c r="H182" i="20"/>
  <c r="G182" i="20"/>
  <c r="CB182" i="6" s="1"/>
  <c r="G215" i="20"/>
  <c r="CB215" i="6" s="1"/>
  <c r="H215" i="20"/>
  <c r="AA86" i="20"/>
  <c r="Z86" i="20" s="1"/>
  <c r="Y86" i="20" s="1"/>
  <c r="H86" i="20"/>
  <c r="G86" i="20"/>
  <c r="CB86" i="6" s="1"/>
  <c r="G205" i="20"/>
  <c r="CB205" i="6" s="1"/>
  <c r="H205" i="20"/>
  <c r="G95" i="20"/>
  <c r="CB95" i="6" s="1"/>
  <c r="AA95" i="20"/>
  <c r="Z95" i="20" s="1"/>
  <c r="Y95" i="20" s="1"/>
  <c r="G124" i="20"/>
  <c r="CB124" i="6" s="1"/>
  <c r="H124" i="20"/>
  <c r="H136" i="20"/>
  <c r="G136" i="20"/>
  <c r="CB136" i="6" s="1"/>
  <c r="H113" i="20"/>
  <c r="G113" i="20"/>
  <c r="CB113" i="6" s="1"/>
  <c r="W241" i="20"/>
  <c r="D241" i="20"/>
  <c r="E241" i="20" s="1"/>
  <c r="F241" i="20" s="1"/>
  <c r="G142" i="20"/>
  <c r="CB142" i="6" s="1"/>
  <c r="H142" i="20"/>
  <c r="H43" i="20"/>
  <c r="G43" i="20"/>
  <c r="CB43" i="6" s="1"/>
  <c r="AA43" i="20"/>
  <c r="Z43" i="20" s="1"/>
  <c r="Y43" i="20" s="1"/>
  <c r="G307" i="20"/>
  <c r="CB307" i="6" s="1"/>
  <c r="H307" i="20"/>
  <c r="AA24" i="20"/>
  <c r="Z24" i="20" s="1"/>
  <c r="Y24" i="20" s="1"/>
  <c r="H24" i="20"/>
  <c r="G24" i="20"/>
  <c r="CB24" i="6" s="1"/>
  <c r="H265" i="20"/>
  <c r="G265" i="20"/>
  <c r="CB265" i="6" s="1"/>
  <c r="G146" i="20"/>
  <c r="CB146" i="6" s="1"/>
  <c r="H316" i="20"/>
  <c r="G316" i="20"/>
  <c r="CB316" i="6" s="1"/>
  <c r="G162" i="20"/>
  <c r="CB162" i="6" s="1"/>
  <c r="H162" i="20"/>
  <c r="G328" i="20"/>
  <c r="CB328" i="6" s="1"/>
  <c r="H328" i="20"/>
  <c r="H81" i="20"/>
  <c r="G81" i="20"/>
  <c r="CB81" i="6" s="1"/>
  <c r="AA81" i="20"/>
  <c r="Z81" i="20" s="1"/>
  <c r="Y81" i="20" s="1"/>
  <c r="G118" i="20"/>
  <c r="CB118" i="6" s="1"/>
  <c r="H118" i="20"/>
  <c r="G237" i="20"/>
  <c r="CB237" i="6" s="1"/>
  <c r="H237" i="20"/>
  <c r="G248" i="20"/>
  <c r="CB248" i="6" s="1"/>
  <c r="H248" i="20"/>
  <c r="H347" i="20"/>
  <c r="G347" i="20"/>
  <c r="CB347" i="6" s="1"/>
  <c r="H50" i="20"/>
  <c r="G50" i="20"/>
  <c r="CB50" i="6" s="1"/>
  <c r="AA50" i="20"/>
  <c r="Z50" i="20" s="1"/>
  <c r="Y50" i="20" s="1"/>
  <c r="G329" i="20"/>
  <c r="CB329" i="6" s="1"/>
  <c r="H329" i="20"/>
  <c r="H281" i="20"/>
  <c r="G281" i="20"/>
  <c r="CB281" i="6" s="1"/>
  <c r="H242" i="20"/>
  <c r="G242" i="20"/>
  <c r="CB242" i="6" s="1"/>
  <c r="L66" i="19"/>
  <c r="H378" i="20"/>
  <c r="G378" i="20"/>
  <c r="CB378" i="6" s="1"/>
  <c r="H296" i="20"/>
  <c r="G296" i="20"/>
  <c r="CB296" i="6" s="1"/>
  <c r="G65" i="20"/>
  <c r="CB65" i="6" s="1"/>
  <c r="AA65" i="20"/>
  <c r="Z65" i="20" s="1"/>
  <c r="Y65" i="20" s="1"/>
  <c r="H65" i="20"/>
  <c r="H16" i="20"/>
  <c r="AA16" i="20"/>
  <c r="Z16" i="20" s="1"/>
  <c r="Y16" i="20" s="1"/>
  <c r="G16" i="20"/>
  <c r="CB16" i="6" s="1"/>
  <c r="H152" i="20"/>
  <c r="G152" i="20"/>
  <c r="CB152" i="6" s="1"/>
  <c r="H358" i="20"/>
  <c r="G358" i="20"/>
  <c r="CB358" i="6" s="1"/>
  <c r="G344" i="20"/>
  <c r="CB344" i="6" s="1"/>
  <c r="H344" i="20"/>
  <c r="G76" i="20"/>
  <c r="CB76" i="6" s="1"/>
  <c r="AA76" i="20"/>
  <c r="Z76" i="20" s="1"/>
  <c r="Y76" i="20" s="1"/>
  <c r="H76" i="20"/>
  <c r="G354" i="20"/>
  <c r="CB354" i="6" s="1"/>
  <c r="H354" i="20"/>
  <c r="G66" i="19"/>
  <c r="I252" i="18"/>
  <c r="J252" i="18"/>
  <c r="G188" i="20"/>
  <c r="CB188" i="6" s="1"/>
  <c r="H188" i="20"/>
  <c r="AA41" i="20"/>
  <c r="Z41" i="20" s="1"/>
  <c r="Y41" i="20" s="1"/>
  <c r="G41" i="20"/>
  <c r="CB41" i="6" s="1"/>
  <c r="H41" i="20"/>
  <c r="H259" i="20"/>
  <c r="G259" i="20"/>
  <c r="CB259" i="6" s="1"/>
  <c r="G198" i="20"/>
  <c r="CB198" i="6" s="1"/>
  <c r="H198" i="20"/>
  <c r="G266" i="20"/>
  <c r="CB266" i="6" s="1"/>
  <c r="H309" i="20"/>
  <c r="G309" i="20"/>
  <c r="CB309" i="6" s="1"/>
  <c r="D60" i="20"/>
  <c r="E60" i="20" s="1"/>
  <c r="F60" i="20" s="1"/>
  <c r="W60" i="20"/>
  <c r="H179" i="20"/>
  <c r="G179" i="20"/>
  <c r="CB179" i="6" s="1"/>
  <c r="G58" i="20"/>
  <c r="CB58" i="6" s="1"/>
  <c r="H58" i="20"/>
  <c r="AA58" i="20"/>
  <c r="Z58" i="20" s="1"/>
  <c r="Y58" i="20" s="1"/>
  <c r="G138" i="20"/>
  <c r="CB138" i="6" s="1"/>
  <c r="G350" i="20"/>
  <c r="CB350" i="6" s="1"/>
  <c r="H350" i="20"/>
  <c r="G209" i="20"/>
  <c r="CB209" i="6" s="1"/>
  <c r="H209" i="20"/>
  <c r="AA39" i="20"/>
  <c r="Z39" i="20" s="1"/>
  <c r="Y39" i="20" s="1"/>
  <c r="H39" i="20"/>
  <c r="G39" i="20"/>
  <c r="CB39" i="6" s="1"/>
  <c r="G158" i="20"/>
  <c r="CB158" i="6" s="1"/>
  <c r="H158" i="20"/>
  <c r="G59" i="20"/>
  <c r="CB59" i="6" s="1"/>
  <c r="AA59" i="20"/>
  <c r="Z59" i="20" s="1"/>
  <c r="Y59" i="20" s="1"/>
  <c r="G143" i="20"/>
  <c r="CB143" i="6" s="1"/>
  <c r="H143" i="20"/>
  <c r="H80" i="20"/>
  <c r="AA80" i="20"/>
  <c r="Z80" i="20" s="1"/>
  <c r="Y80" i="20" s="1"/>
  <c r="G80" i="20"/>
  <c r="CB80" i="6" s="1"/>
  <c r="G280" i="20"/>
  <c r="CB280" i="6" s="1"/>
  <c r="H280" i="20"/>
  <c r="G64" i="20"/>
  <c r="CB64" i="6" s="1"/>
  <c r="H64" i="20"/>
  <c r="AA64" i="20"/>
  <c r="Z64" i="20" s="1"/>
  <c r="Y64" i="20" s="1"/>
  <c r="H40" i="20"/>
  <c r="AA40" i="20"/>
  <c r="Z40" i="20" s="1"/>
  <c r="Y40" i="20" s="1"/>
  <c r="G40" i="20"/>
  <c r="CB40" i="6" s="1"/>
  <c r="H213" i="20"/>
  <c r="G213" i="20"/>
  <c r="CB213" i="6" s="1"/>
  <c r="H270" i="20"/>
  <c r="G270" i="20"/>
  <c r="CB270" i="6" s="1"/>
  <c r="H91" i="20"/>
  <c r="G91" i="20"/>
  <c r="CB91" i="6" s="1"/>
  <c r="AA91" i="20"/>
  <c r="Z91" i="20" s="1"/>
  <c r="Y91" i="20" s="1"/>
  <c r="G304" i="20"/>
  <c r="CB304" i="6" s="1"/>
  <c r="H304" i="20"/>
  <c r="G51" i="20"/>
  <c r="CB51" i="6" s="1"/>
  <c r="H51" i="20"/>
  <c r="AA51" i="20"/>
  <c r="Z51" i="20" s="1"/>
  <c r="Y51" i="20" s="1"/>
  <c r="H121" i="20"/>
  <c r="G121" i="20"/>
  <c r="CB121" i="6" s="1"/>
  <c r="H356" i="20"/>
  <c r="G356" i="20"/>
  <c r="CB356" i="6" s="1"/>
  <c r="G191" i="20"/>
  <c r="CB191" i="6" s="1"/>
  <c r="H191" i="20"/>
  <c r="G104" i="20"/>
  <c r="CB104" i="6" s="1"/>
  <c r="H104" i="20"/>
  <c r="G171" i="20"/>
  <c r="CB171" i="6" s="1"/>
  <c r="H171" i="20"/>
  <c r="G311" i="20"/>
  <c r="CB311" i="6" s="1"/>
  <c r="H311" i="20"/>
  <c r="G159" i="20"/>
  <c r="CB159" i="6" s="1"/>
  <c r="H159" i="20"/>
  <c r="G229" i="20"/>
  <c r="CB229" i="6" s="1"/>
  <c r="H229" i="20"/>
  <c r="H239" i="20"/>
  <c r="G239" i="20"/>
  <c r="CB239" i="6" s="1"/>
  <c r="G366" i="20"/>
  <c r="CB366" i="6" s="1"/>
  <c r="H366" i="20"/>
  <c r="G284" i="20"/>
  <c r="CB284" i="6" s="1"/>
  <c r="H284" i="20"/>
  <c r="H187" i="20"/>
  <c r="G187" i="20"/>
  <c r="CB187" i="6" s="1"/>
  <c r="H294" i="20"/>
  <c r="G294" i="20"/>
  <c r="CB294" i="6" s="1"/>
  <c r="G300" i="20"/>
  <c r="CB300" i="6" s="1"/>
  <c r="H300" i="20"/>
  <c r="H66" i="20"/>
  <c r="G66" i="20"/>
  <c r="CB66" i="6" s="1"/>
  <c r="AA66" i="20"/>
  <c r="Z66" i="20" s="1"/>
  <c r="Y66" i="20" s="1"/>
  <c r="I66" i="19"/>
  <c r="G308" i="20"/>
  <c r="CB308" i="6" s="1"/>
  <c r="H308" i="20"/>
  <c r="G340" i="20"/>
  <c r="CB340" i="6" s="1"/>
  <c r="H340" i="20"/>
  <c r="H305" i="20"/>
  <c r="G305" i="20"/>
  <c r="CB305" i="6" s="1"/>
  <c r="H199" i="20"/>
  <c r="G199" i="20"/>
  <c r="CB199" i="6" s="1"/>
  <c r="H361" i="20"/>
  <c r="G361" i="20"/>
  <c r="CB361" i="6" s="1"/>
  <c r="G61" i="20"/>
  <c r="CB61" i="6" s="1"/>
  <c r="H61" i="20"/>
  <c r="AA61" i="20"/>
  <c r="Z61" i="20" s="1"/>
  <c r="Y61" i="20" s="1"/>
  <c r="H360" i="20"/>
  <c r="G360" i="20"/>
  <c r="CB360" i="6" s="1"/>
  <c r="H262" i="20"/>
  <c r="G262" i="20"/>
  <c r="CB262" i="6" s="1"/>
  <c r="H151" i="20"/>
  <c r="G151" i="20"/>
  <c r="CB151" i="6" s="1"/>
  <c r="G56" i="20"/>
  <c r="CB56" i="6" s="1"/>
  <c r="AA56" i="20"/>
  <c r="Z56" i="20" s="1"/>
  <c r="Y56" i="20" s="1"/>
  <c r="H56" i="20"/>
  <c r="G264" i="20"/>
  <c r="CB264" i="6" s="1"/>
  <c r="H264" i="20"/>
  <c r="H178" i="20"/>
  <c r="G178" i="20"/>
  <c r="CB178" i="6" s="1"/>
  <c r="G303" i="20"/>
  <c r="CB303" i="6" s="1"/>
  <c r="H303" i="20"/>
  <c r="G192" i="20"/>
  <c r="CB192" i="6" s="1"/>
  <c r="H192" i="20"/>
  <c r="G345" i="20"/>
  <c r="CB345" i="6" s="1"/>
  <c r="H345" i="20"/>
  <c r="AA75" i="20"/>
  <c r="Z75" i="20" s="1"/>
  <c r="Y75" i="20" s="1"/>
  <c r="G75" i="20"/>
  <c r="CB75" i="6" s="1"/>
  <c r="H75" i="20"/>
  <c r="G110" i="20"/>
  <c r="CB110" i="6" s="1"/>
  <c r="H110" i="20"/>
  <c r="G34" i="20"/>
  <c r="CB34" i="6" s="1"/>
  <c r="H34" i="20"/>
  <c r="AA34" i="20"/>
  <c r="Z34" i="20" s="1"/>
  <c r="Y34" i="20" s="1"/>
  <c r="H175" i="20"/>
  <c r="G175" i="20"/>
  <c r="CB175" i="6" s="1"/>
  <c r="W272" i="20"/>
  <c r="D272" i="20"/>
  <c r="E272" i="20" s="1"/>
  <c r="F272" i="20" s="1"/>
  <c r="H112" i="20"/>
  <c r="G112" i="20"/>
  <c r="CB112" i="6" s="1"/>
  <c r="G37" i="20"/>
  <c r="CB37" i="6" s="1"/>
  <c r="H37" i="20"/>
  <c r="AA37" i="20"/>
  <c r="Z37" i="20" s="1"/>
  <c r="Y37" i="20" s="1"/>
  <c r="G208" i="20"/>
  <c r="CB208" i="6" s="1"/>
  <c r="H208" i="20"/>
  <c r="G250" i="20"/>
  <c r="CB250" i="6" s="1"/>
  <c r="H250" i="20"/>
  <c r="G249" i="20"/>
  <c r="CB249" i="6" s="1"/>
  <c r="H249" i="20"/>
  <c r="G223" i="20"/>
  <c r="CB223" i="6" s="1"/>
  <c r="H223" i="20"/>
  <c r="G195" i="20"/>
  <c r="CB195" i="6" s="1"/>
  <c r="H195" i="20"/>
  <c r="H153" i="20"/>
  <c r="G153" i="20"/>
  <c r="CB153" i="6" s="1"/>
  <c r="G186" i="20"/>
  <c r="CB186" i="6" s="1"/>
  <c r="H186" i="20"/>
  <c r="AA85" i="20"/>
  <c r="Z85" i="20" s="1"/>
  <c r="Y85" i="20" s="1"/>
  <c r="G85" i="20"/>
  <c r="CB85" i="6" s="1"/>
  <c r="H85" i="20"/>
  <c r="H230" i="20"/>
  <c r="G230" i="20"/>
  <c r="CB230" i="6" s="1"/>
  <c r="AA33" i="20"/>
  <c r="Z33" i="20" s="1"/>
  <c r="Y33" i="20" s="1"/>
  <c r="H33" i="20"/>
  <c r="G33" i="20"/>
  <c r="CB33" i="6" s="1"/>
  <c r="H330" i="20"/>
  <c r="G330" i="20"/>
  <c r="CB330" i="6" s="1"/>
  <c r="H359" i="20"/>
  <c r="G359" i="20"/>
  <c r="CB359" i="6" s="1"/>
  <c r="H147" i="20"/>
  <c r="G147" i="20"/>
  <c r="CB147" i="6" s="1"/>
  <c r="G150" i="20"/>
  <c r="CB150" i="6" s="1"/>
  <c r="H150" i="20"/>
  <c r="G155" i="20"/>
  <c r="CB155" i="6" s="1"/>
  <c r="H155" i="20"/>
  <c r="W119" i="20"/>
  <c r="D119" i="20"/>
  <c r="E119" i="20" s="1"/>
  <c r="F119" i="20" s="1"/>
  <c r="G331" i="20"/>
  <c r="CB331" i="6" s="1"/>
  <c r="H331" i="20"/>
  <c r="G368" i="20"/>
  <c r="CB368" i="6" s="1"/>
  <c r="H368" i="20"/>
  <c r="G132" i="20"/>
  <c r="CB132" i="6" s="1"/>
  <c r="H132" i="20"/>
  <c r="G160" i="20"/>
  <c r="CB160" i="6" s="1"/>
  <c r="H160" i="20"/>
  <c r="G364" i="20"/>
  <c r="CB364" i="6" s="1"/>
  <c r="H364" i="20"/>
  <c r="H204" i="20"/>
  <c r="I204" i="20" s="1"/>
  <c r="B204" i="6" s="1"/>
  <c r="BA204" i="6" s="1"/>
  <c r="J379" i="18"/>
  <c r="H84" i="20"/>
  <c r="AF15" i="20"/>
  <c r="J87" i="18"/>
  <c r="I87" i="18"/>
  <c r="J74" i="18"/>
  <c r="I74" i="18"/>
  <c r="I59" i="18"/>
  <c r="J59" i="18"/>
  <c r="J349" i="18"/>
  <c r="I349" i="18"/>
  <c r="P55" i="22"/>
  <c r="V55" i="22" s="1"/>
  <c r="P81" i="22"/>
  <c r="V81" i="22" s="1"/>
  <c r="P51" i="22"/>
  <c r="V51" i="22" s="1"/>
  <c r="P279" i="22"/>
  <c r="V279" i="22" s="1"/>
  <c r="P62" i="22"/>
  <c r="V62" i="22" s="1"/>
  <c r="P243" i="22"/>
  <c r="V243" i="22" s="1"/>
  <c r="P232" i="22"/>
  <c r="V232" i="22" s="1"/>
  <c r="P276" i="22"/>
  <c r="V276" i="22" s="1"/>
  <c r="P199" i="22"/>
  <c r="V199" i="22" s="1"/>
  <c r="P118" i="22"/>
  <c r="V118" i="22" s="1"/>
  <c r="P40" i="22"/>
  <c r="V40" i="22" s="1"/>
  <c r="P270" i="22"/>
  <c r="V270" i="22" s="1"/>
  <c r="P197" i="22"/>
  <c r="V197" i="22" s="1"/>
  <c r="P120" i="22"/>
  <c r="V120" i="22" s="1"/>
  <c r="P355" i="22"/>
  <c r="V355" i="22" s="1"/>
  <c r="P36" i="22"/>
  <c r="V36" i="22" s="1"/>
  <c r="P256" i="22"/>
  <c r="V256" i="22" s="1"/>
  <c r="P339" i="22"/>
  <c r="V339" i="22" s="1"/>
  <c r="P147" i="22"/>
  <c r="V147" i="22" s="1"/>
  <c r="P269" i="22"/>
  <c r="V269" i="22" s="1"/>
  <c r="P337" i="22"/>
  <c r="V337" i="22" s="1"/>
  <c r="P82" i="22"/>
  <c r="V82" i="22" s="1"/>
  <c r="P370" i="22"/>
  <c r="V370" i="22" s="1"/>
  <c r="P97" i="22"/>
  <c r="V97" i="22" s="1"/>
  <c r="P70" i="22"/>
  <c r="V70" i="22" s="1"/>
  <c r="P372" i="22"/>
  <c r="V372" i="22" s="1"/>
  <c r="P103" i="22"/>
  <c r="V103" i="22" s="1"/>
  <c r="P214" i="22"/>
  <c r="V214" i="22" s="1"/>
  <c r="P42" i="22"/>
  <c r="V42" i="22" s="1"/>
  <c r="P74" i="22"/>
  <c r="V74" i="22" s="1"/>
  <c r="D74" i="22" s="1"/>
  <c r="E74" i="22" s="1"/>
  <c r="F74" i="22" s="1"/>
  <c r="P362" i="22"/>
  <c r="V362" i="22" s="1"/>
  <c r="P241" i="22"/>
  <c r="P251" i="22"/>
  <c r="V251" i="22" s="1"/>
  <c r="P87" i="22"/>
  <c r="V87" i="22" s="1"/>
  <c r="P172" i="22"/>
  <c r="V172" i="22" s="1"/>
  <c r="P322" i="22"/>
  <c r="V322" i="22" s="1"/>
  <c r="P178" i="22"/>
  <c r="V178" i="22" s="1"/>
  <c r="P289" i="22"/>
  <c r="V289" i="22" s="1"/>
  <c r="P67" i="22"/>
  <c r="V67" i="22" s="1"/>
  <c r="P314" i="22"/>
  <c r="V314" i="22" s="1"/>
  <c r="P153" i="22"/>
  <c r="V153" i="22" s="1"/>
  <c r="P295" i="22"/>
  <c r="V295" i="22" s="1"/>
  <c r="P159" i="22"/>
  <c r="V159" i="22" s="1"/>
  <c r="P174" i="22"/>
  <c r="V174" i="22" s="1"/>
  <c r="P72" i="22"/>
  <c r="V72" i="22" s="1"/>
  <c r="P260" i="22"/>
  <c r="V260" i="22" s="1"/>
  <c r="P329" i="22"/>
  <c r="V329" i="22" s="1"/>
  <c r="P179" i="22"/>
  <c r="V179" i="22" s="1"/>
  <c r="P49" i="22"/>
  <c r="V49" i="22" s="1"/>
  <c r="P263" i="22"/>
  <c r="V263" i="22" s="1"/>
  <c r="P348" i="22"/>
  <c r="V348" i="22" s="1"/>
  <c r="P127" i="22"/>
  <c r="V127" i="22" s="1"/>
  <c r="P206" i="22"/>
  <c r="V206" i="22" s="1"/>
  <c r="P192" i="22"/>
  <c r="V192" i="22" s="1"/>
  <c r="P267" i="22"/>
  <c r="V267" i="22" s="1"/>
  <c r="V15" i="18"/>
  <c r="P381" i="18"/>
  <c r="P383" i="18"/>
  <c r="P382" i="18"/>
  <c r="I333" i="18"/>
  <c r="J333" i="18"/>
  <c r="H295" i="20"/>
  <c r="G295" i="20"/>
  <c r="CB295" i="6" s="1"/>
  <c r="H169" i="20"/>
  <c r="G169" i="20"/>
  <c r="CB169" i="6" s="1"/>
  <c r="H372" i="20"/>
  <c r="G372" i="20"/>
  <c r="CB372" i="6" s="1"/>
  <c r="G323" i="20"/>
  <c r="CB323" i="6" s="1"/>
  <c r="H323" i="20"/>
  <c r="G321" i="20"/>
  <c r="CB321" i="6" s="1"/>
  <c r="H321" i="20"/>
  <c r="G134" i="20"/>
  <c r="CB134" i="6" s="1"/>
  <c r="H134" i="20"/>
  <c r="G176" i="20"/>
  <c r="CB176" i="6" s="1"/>
  <c r="H176" i="20"/>
  <c r="G335" i="20"/>
  <c r="CB335" i="6" s="1"/>
  <c r="H335" i="20"/>
  <c r="H224" i="20"/>
  <c r="G224" i="20"/>
  <c r="CB224" i="6" s="1"/>
  <c r="G207" i="20"/>
  <c r="CB207" i="6" s="1"/>
  <c r="H207" i="20"/>
  <c r="G206" i="20"/>
  <c r="CB206" i="6" s="1"/>
  <c r="H206" i="20"/>
  <c r="H202" i="20"/>
  <c r="G202" i="20"/>
  <c r="CB202" i="6" s="1"/>
  <c r="AA57" i="20"/>
  <c r="Z57" i="20" s="1"/>
  <c r="Y57" i="20" s="1"/>
  <c r="G57" i="20"/>
  <c r="CB57" i="6" s="1"/>
  <c r="H57" i="20"/>
  <c r="G212" i="20"/>
  <c r="CB212" i="6" s="1"/>
  <c r="H212" i="20"/>
  <c r="H130" i="20"/>
  <c r="G130" i="20"/>
  <c r="CB130" i="6" s="1"/>
  <c r="AA90" i="20"/>
  <c r="Z90" i="20" s="1"/>
  <c r="Y90" i="20" s="1"/>
  <c r="G90" i="20"/>
  <c r="CB90" i="6" s="1"/>
  <c r="H90" i="20"/>
  <c r="AA99" i="20"/>
  <c r="Z99" i="20" s="1"/>
  <c r="Y99" i="20" s="1"/>
  <c r="G99" i="20"/>
  <c r="CB99" i="6" s="1"/>
  <c r="H99" i="20"/>
  <c r="H367" i="20"/>
  <c r="G367" i="20"/>
  <c r="CB367" i="6" s="1"/>
  <c r="H336" i="20"/>
  <c r="G336" i="20"/>
  <c r="CB336" i="6" s="1"/>
  <c r="H226" i="20"/>
  <c r="G226" i="20"/>
  <c r="CB226" i="6" s="1"/>
  <c r="G115" i="20"/>
  <c r="CB115" i="6" s="1"/>
  <c r="H115" i="20"/>
  <c r="G282" i="20"/>
  <c r="CB282" i="6" s="1"/>
  <c r="H282" i="20"/>
  <c r="H127" i="20"/>
  <c r="G127" i="20"/>
  <c r="CB127" i="6" s="1"/>
  <c r="H89" i="20"/>
  <c r="G89" i="20"/>
  <c r="CB89" i="6" s="1"/>
  <c r="AA89" i="20"/>
  <c r="Z89" i="20" s="1"/>
  <c r="Y89" i="20" s="1"/>
  <c r="G268" i="20"/>
  <c r="CB268" i="6" s="1"/>
  <c r="H268" i="20"/>
  <c r="G221" i="20"/>
  <c r="CB221" i="6" s="1"/>
  <c r="H221" i="20"/>
  <c r="H129" i="20"/>
  <c r="G129" i="20"/>
  <c r="CB129" i="6" s="1"/>
  <c r="H219" i="20"/>
  <c r="G219" i="20"/>
  <c r="CB219" i="6" s="1"/>
  <c r="G165" i="20"/>
  <c r="CB165" i="6" s="1"/>
  <c r="H165" i="20"/>
  <c r="G71" i="20"/>
  <c r="CB71" i="6" s="1"/>
  <c r="H71" i="20"/>
  <c r="AA71" i="20"/>
  <c r="Z71" i="20" s="1"/>
  <c r="Y71" i="20" s="1"/>
  <c r="G273" i="20"/>
  <c r="CB273" i="6" s="1"/>
  <c r="H273" i="20"/>
  <c r="H125" i="20"/>
  <c r="G125" i="20"/>
  <c r="CB125" i="6" s="1"/>
  <c r="I27" i="18"/>
  <c r="J27" i="18"/>
  <c r="H301" i="20"/>
  <c r="G301" i="20"/>
  <c r="CB301" i="6" s="1"/>
  <c r="G228" i="20"/>
  <c r="CB228" i="6" s="1"/>
  <c r="H228" i="20"/>
  <c r="G67" i="20"/>
  <c r="CB67" i="6" s="1"/>
  <c r="H67" i="20"/>
  <c r="AA67" i="20"/>
  <c r="Z67" i="20" s="1"/>
  <c r="Y67" i="20" s="1"/>
  <c r="H82" i="20"/>
  <c r="AA82" i="20"/>
  <c r="Z82" i="20" s="1"/>
  <c r="Y82" i="20" s="1"/>
  <c r="G82" i="20"/>
  <c r="CB82" i="6" s="1"/>
  <c r="G103" i="20"/>
  <c r="CB103" i="6" s="1"/>
  <c r="H103" i="20"/>
  <c r="AA103" i="20"/>
  <c r="Z103" i="20" s="1"/>
  <c r="Y103" i="20" s="1"/>
  <c r="H181" i="20"/>
  <c r="G181" i="20"/>
  <c r="CB181" i="6" s="1"/>
  <c r="H225" i="20"/>
  <c r="G225" i="20"/>
  <c r="CB225" i="6" s="1"/>
  <c r="H35" i="20"/>
  <c r="G35" i="20"/>
  <c r="CB35" i="6" s="1"/>
  <c r="AA35" i="20"/>
  <c r="Z35" i="20" s="1"/>
  <c r="Y35" i="20" s="1"/>
  <c r="G298" i="20"/>
  <c r="CB298" i="6" s="1"/>
  <c r="H298" i="20"/>
  <c r="G377" i="20"/>
  <c r="CB377" i="6" s="1"/>
  <c r="H377" i="20"/>
  <c r="C66" i="19"/>
  <c r="H200" i="20"/>
  <c r="G200" i="20"/>
  <c r="CB200" i="6" s="1"/>
  <c r="G312" i="20"/>
  <c r="CB312" i="6" s="1"/>
  <c r="H312" i="20"/>
  <c r="H326" i="20"/>
  <c r="G326" i="20"/>
  <c r="CB326" i="6" s="1"/>
  <c r="G18" i="20"/>
  <c r="CB18" i="6" s="1"/>
  <c r="H18" i="20"/>
  <c r="AA18" i="20"/>
  <c r="Z18" i="20" s="1"/>
  <c r="Y18" i="20" s="1"/>
  <c r="H278" i="20"/>
  <c r="G278" i="20"/>
  <c r="CB278" i="6" s="1"/>
  <c r="H271" i="20"/>
  <c r="G271" i="20"/>
  <c r="CB271" i="6" s="1"/>
  <c r="H144" i="20"/>
  <c r="G144" i="20"/>
  <c r="CB144" i="6" s="1"/>
  <c r="AA102" i="20"/>
  <c r="Z102" i="20" s="1"/>
  <c r="Y102" i="20" s="1"/>
  <c r="G102" i="20"/>
  <c r="CB102" i="6" s="1"/>
  <c r="H102" i="20"/>
  <c r="I46" i="18"/>
  <c r="J46" i="18"/>
  <c r="J138" i="18"/>
  <c r="I138" i="18"/>
  <c r="J95" i="18"/>
  <c r="I95" i="18"/>
  <c r="P19" i="22"/>
  <c r="V19" i="22" s="1"/>
  <c r="P106" i="22"/>
  <c r="V106" i="22" s="1"/>
  <c r="P45" i="22"/>
  <c r="V45" i="22" s="1"/>
  <c r="P137" i="22"/>
  <c r="V137" i="22" s="1"/>
  <c r="P273" i="22"/>
  <c r="V273" i="22" s="1"/>
  <c r="P194" i="22"/>
  <c r="V194" i="22" s="1"/>
  <c r="P59" i="22"/>
  <c r="V59" i="22" s="1"/>
  <c r="P319" i="22"/>
  <c r="V319" i="22" s="1"/>
  <c r="P61" i="22"/>
  <c r="V61" i="22" s="1"/>
  <c r="P308" i="22"/>
  <c r="V308" i="22" s="1"/>
  <c r="P167" i="22"/>
  <c r="V167" i="22" s="1"/>
  <c r="P317" i="22"/>
  <c r="V317" i="22" s="1"/>
  <c r="P354" i="22"/>
  <c r="V354" i="22" s="1"/>
  <c r="P155" i="22"/>
  <c r="V155" i="22" s="1"/>
  <c r="P57" i="22"/>
  <c r="V57" i="22" s="1"/>
  <c r="P307" i="22"/>
  <c r="V307" i="22" s="1"/>
  <c r="P168" i="22"/>
  <c r="V168" i="22" s="1"/>
  <c r="P149" i="22"/>
  <c r="P340" i="22"/>
  <c r="V340" i="22" s="1"/>
  <c r="P182" i="22"/>
  <c r="V182" i="22" s="1"/>
  <c r="P71" i="22"/>
  <c r="V71" i="22" s="1"/>
  <c r="P334" i="22"/>
  <c r="V334" i="22" s="1"/>
  <c r="P133" i="22"/>
  <c r="V133" i="22" s="1"/>
  <c r="P291" i="22"/>
  <c r="V291" i="22" s="1"/>
  <c r="P320" i="22"/>
  <c r="V320" i="22" s="1"/>
  <c r="P275" i="22"/>
  <c r="V275" i="22" s="1"/>
  <c r="P58" i="22"/>
  <c r="V58" i="22" s="1"/>
  <c r="P144" i="22"/>
  <c r="V144" i="22" s="1"/>
  <c r="P294" i="22"/>
  <c r="V294" i="22" s="1"/>
  <c r="P309" i="22"/>
  <c r="V309" i="22" s="1"/>
  <c r="P358" i="22"/>
  <c r="V358" i="22" s="1"/>
  <c r="P333" i="22"/>
  <c r="P134" i="22"/>
  <c r="V134" i="22" s="1"/>
  <c r="P183" i="22"/>
  <c r="V183" i="22" s="1"/>
  <c r="P101" i="22"/>
  <c r="V101" i="22" s="1"/>
  <c r="P216" i="22"/>
  <c r="V216" i="22" s="1"/>
  <c r="P259" i="22"/>
  <c r="V259" i="22" s="1"/>
  <c r="P352" i="22"/>
  <c r="V352" i="22" s="1"/>
  <c r="P257" i="22"/>
  <c r="V257" i="22" s="1"/>
  <c r="P121" i="22"/>
  <c r="V121" i="22" s="1"/>
  <c r="P369" i="22"/>
  <c r="V369" i="22" s="1"/>
  <c r="P60" i="22"/>
  <c r="P108" i="22"/>
  <c r="V108" i="22" s="1"/>
  <c r="P242" i="22"/>
  <c r="V242" i="22" s="1"/>
  <c r="P92" i="22"/>
  <c r="V92" i="22" s="1"/>
  <c r="P378" i="22"/>
  <c r="V378" i="22" s="1"/>
  <c r="P89" i="22"/>
  <c r="V89" i="22" s="1"/>
  <c r="P244" i="22"/>
  <c r="V244" i="22" s="1"/>
  <c r="P380" i="22"/>
  <c r="V380" i="22" s="1"/>
  <c r="P238" i="22"/>
  <c r="V238" i="22" s="1"/>
  <c r="H342" i="20"/>
  <c r="G342" i="20"/>
  <c r="CB342" i="6" s="1"/>
  <c r="G292" i="20"/>
  <c r="CB292" i="6" s="1"/>
  <c r="H292" i="20"/>
  <c r="G318" i="20"/>
  <c r="CB318" i="6" s="1"/>
  <c r="H318" i="20"/>
  <c r="D88" i="20"/>
  <c r="E88" i="20" s="1"/>
  <c r="F88" i="20" s="1"/>
  <c r="W88" i="20"/>
  <c r="H355" i="20"/>
  <c r="G355" i="20"/>
  <c r="CB355" i="6" s="1"/>
  <c r="G275" i="20"/>
  <c r="CB275" i="6" s="1"/>
  <c r="H275" i="20"/>
  <c r="W149" i="20"/>
  <c r="D149" i="20"/>
  <c r="E149" i="20" s="1"/>
  <c r="F149" i="20" s="1"/>
  <c r="H185" i="20"/>
  <c r="G185" i="20"/>
  <c r="CB185" i="6" s="1"/>
  <c r="G17" i="20"/>
  <c r="CB17" i="6" s="1"/>
  <c r="AA17" i="20"/>
  <c r="Z17" i="20" s="1"/>
  <c r="Y17" i="20" s="1"/>
  <c r="H17" i="20"/>
  <c r="H243" i="20"/>
  <c r="G243" i="20"/>
  <c r="CB243" i="6" s="1"/>
  <c r="G92" i="20"/>
  <c r="CB92" i="6" s="1"/>
  <c r="H92" i="20"/>
  <c r="AA92" i="20"/>
  <c r="Z92" i="20" s="1"/>
  <c r="Y92" i="20" s="1"/>
  <c r="G222" i="20"/>
  <c r="CB222" i="6" s="1"/>
  <c r="H222" i="20"/>
  <c r="H373" i="20"/>
  <c r="G373" i="20"/>
  <c r="CB373" i="6" s="1"/>
  <c r="H289" i="20"/>
  <c r="G289" i="20"/>
  <c r="CB289" i="6" s="1"/>
  <c r="H23" i="20"/>
  <c r="G23" i="20"/>
  <c r="CB23" i="6" s="1"/>
  <c r="AA23" i="20"/>
  <c r="Z23" i="20" s="1"/>
  <c r="Y23" i="20" s="1"/>
  <c r="H310" i="20"/>
  <c r="G310" i="20"/>
  <c r="CB310" i="6" s="1"/>
  <c r="G52" i="20"/>
  <c r="CB52" i="6" s="1"/>
  <c r="H52" i="20"/>
  <c r="AA52" i="20"/>
  <c r="Z52" i="20" s="1"/>
  <c r="Y52" i="20" s="1"/>
  <c r="H293" i="20"/>
  <c r="G293" i="20"/>
  <c r="CB293" i="6" s="1"/>
  <c r="AA78" i="20"/>
  <c r="Z78" i="20" s="1"/>
  <c r="Y78" i="20" s="1"/>
  <c r="G78" i="20"/>
  <c r="CB78" i="6" s="1"/>
  <c r="H78" i="20"/>
  <c r="G352" i="20"/>
  <c r="CB352" i="6" s="1"/>
  <c r="H352" i="20"/>
  <c r="G220" i="20"/>
  <c r="CB220" i="6" s="1"/>
  <c r="H220" i="20"/>
  <c r="H197" i="20"/>
  <c r="G197" i="20"/>
  <c r="CB197" i="6" s="1"/>
  <c r="G193" i="20"/>
  <c r="CB193" i="6" s="1"/>
  <c r="H193" i="20"/>
  <c r="G343" i="20"/>
  <c r="CB343" i="6" s="1"/>
  <c r="H343" i="20"/>
  <c r="H79" i="20"/>
  <c r="AA79" i="20"/>
  <c r="Z79" i="20" s="1"/>
  <c r="Y79" i="20" s="1"/>
  <c r="G79" i="20"/>
  <c r="CB79" i="6" s="1"/>
  <c r="D319" i="20"/>
  <c r="E319" i="20" s="1"/>
  <c r="F319" i="20" s="1"/>
  <c r="W319" i="20"/>
  <c r="G48" i="20"/>
  <c r="CB48" i="6" s="1"/>
  <c r="H48" i="20"/>
  <c r="AA48" i="20"/>
  <c r="Z48" i="20" s="1"/>
  <c r="Y48" i="20" s="1"/>
  <c r="H325" i="20"/>
  <c r="G325" i="20"/>
  <c r="CB325" i="6" s="1"/>
  <c r="G247" i="20"/>
  <c r="CB247" i="6" s="1"/>
  <c r="H247" i="20"/>
  <c r="W210" i="20"/>
  <c r="D210" i="20"/>
  <c r="E210" i="20" s="1"/>
  <c r="F210" i="20" s="1"/>
  <c r="H148" i="20"/>
  <c r="G148" i="20"/>
  <c r="CB148" i="6" s="1"/>
  <c r="D196" i="20"/>
  <c r="E196" i="20" s="1"/>
  <c r="F196" i="20" s="1"/>
  <c r="W196" i="20"/>
  <c r="G313" i="20"/>
  <c r="CB313" i="6" s="1"/>
  <c r="H313" i="20"/>
  <c r="G73" i="20"/>
  <c r="CB73" i="6" s="1"/>
  <c r="H73" i="20"/>
  <c r="AA73" i="20"/>
  <c r="Z73" i="20" s="1"/>
  <c r="Y73" i="20" s="1"/>
  <c r="G173" i="20"/>
  <c r="CB173" i="6" s="1"/>
  <c r="H173" i="20"/>
  <c r="D166" i="20"/>
  <c r="E166" i="20" s="1"/>
  <c r="F166" i="20" s="1"/>
  <c r="W166" i="20"/>
  <c r="G257" i="20"/>
  <c r="CB257" i="6" s="1"/>
  <c r="H257" i="20"/>
  <c r="G183" i="20"/>
  <c r="CB183" i="6" s="1"/>
  <c r="H183" i="20"/>
  <c r="AA19" i="20"/>
  <c r="Z19" i="20" s="1"/>
  <c r="Y19" i="20" s="1"/>
  <c r="H19" i="20"/>
  <c r="G19" i="20"/>
  <c r="CB19" i="6" s="1"/>
  <c r="G314" i="20"/>
  <c r="CB314" i="6" s="1"/>
  <c r="H314" i="20"/>
  <c r="H254" i="20"/>
  <c r="G254" i="20"/>
  <c r="CB254" i="6" s="1"/>
  <c r="AA36" i="20"/>
  <c r="Z36" i="20" s="1"/>
  <c r="Y36" i="20" s="1"/>
  <c r="G36" i="20"/>
  <c r="CB36" i="6" s="1"/>
  <c r="H36" i="20"/>
  <c r="AA77" i="20"/>
  <c r="Z77" i="20" s="1"/>
  <c r="Y77" i="20" s="1"/>
  <c r="H77" i="20"/>
  <c r="G77" i="20"/>
  <c r="CB77" i="6" s="1"/>
  <c r="H31" i="20"/>
  <c r="AA31" i="20"/>
  <c r="Z31" i="20" s="1"/>
  <c r="Y31" i="20" s="1"/>
  <c r="G31" i="20"/>
  <c r="CB31" i="6" s="1"/>
  <c r="G255" i="20"/>
  <c r="CB255" i="6" s="1"/>
  <c r="H255" i="20"/>
  <c r="G211" i="20"/>
  <c r="CB211" i="6" s="1"/>
  <c r="H211" i="20"/>
  <c r="H161" i="20"/>
  <c r="G161" i="20"/>
  <c r="CB161" i="6" s="1"/>
  <c r="H374" i="20"/>
  <c r="G374" i="20"/>
  <c r="CB374" i="6" s="1"/>
  <c r="G117" i="20"/>
  <c r="CB117" i="6" s="1"/>
  <c r="H117" i="20"/>
  <c r="G348" i="20"/>
  <c r="CB348" i="6" s="1"/>
  <c r="H348" i="20"/>
  <c r="W105" i="20"/>
  <c r="D105" i="20"/>
  <c r="E105" i="20" s="1"/>
  <c r="F105" i="20" s="1"/>
  <c r="G290" i="20"/>
  <c r="CB290" i="6" s="1"/>
  <c r="H290" i="20"/>
  <c r="H140" i="20"/>
  <c r="G140" i="20"/>
  <c r="CB140" i="6" s="1"/>
  <c r="H163" i="20"/>
  <c r="G163" i="20"/>
  <c r="CB163" i="6" s="1"/>
  <c r="G276" i="20"/>
  <c r="CB276" i="6" s="1"/>
  <c r="H276" i="20"/>
  <c r="H122" i="20"/>
  <c r="G122" i="20"/>
  <c r="CB122" i="6" s="1"/>
  <c r="G299" i="20"/>
  <c r="CB299" i="6" s="1"/>
  <c r="H299" i="20"/>
  <c r="G277" i="20"/>
  <c r="CB277" i="6" s="1"/>
  <c r="H277" i="20"/>
  <c r="G101" i="20"/>
  <c r="CB101" i="6" s="1"/>
  <c r="H101" i="20"/>
  <c r="AA101" i="20"/>
  <c r="Z101" i="20" s="1"/>
  <c r="Y101" i="20" s="1"/>
  <c r="H315" i="20"/>
  <c r="G315" i="20"/>
  <c r="CB315" i="6" s="1"/>
  <c r="G327" i="20"/>
  <c r="CB327" i="6" s="1"/>
  <c r="H327" i="20"/>
  <c r="H63" i="20"/>
  <c r="G63" i="20"/>
  <c r="CB63" i="6" s="1"/>
  <c r="AA63" i="20"/>
  <c r="Z63" i="20" s="1"/>
  <c r="Y63" i="20" s="1"/>
  <c r="G177" i="20"/>
  <c r="CB177" i="6" s="1"/>
  <c r="G21" i="20"/>
  <c r="CB21" i="6" s="1"/>
  <c r="AA21" i="20"/>
  <c r="Z21" i="20" s="1"/>
  <c r="Y21" i="20" s="1"/>
  <c r="H21" i="20"/>
  <c r="H362" i="20"/>
  <c r="G362" i="20"/>
  <c r="CB362" i="6" s="1"/>
  <c r="H261" i="20"/>
  <c r="G261" i="20"/>
  <c r="CB261" i="6" s="1"/>
  <c r="G263" i="20"/>
  <c r="CB263" i="6" s="1"/>
  <c r="H263" i="20"/>
  <c r="H334" i="20"/>
  <c r="G334" i="20"/>
  <c r="CB334" i="6" s="1"/>
  <c r="G357" i="20"/>
  <c r="CB357" i="6" s="1"/>
  <c r="H357" i="20"/>
  <c r="H283" i="20"/>
  <c r="G283" i="20"/>
  <c r="CB283" i="6" s="1"/>
  <c r="G320" i="20"/>
  <c r="CB320" i="6" s="1"/>
  <c r="H320" i="20"/>
  <c r="H246" i="20"/>
  <c r="G246" i="20"/>
  <c r="CB246" i="6" s="1"/>
  <c r="H116" i="20"/>
  <c r="G116" i="20"/>
  <c r="CB116" i="6" s="1"/>
  <c r="H365" i="20"/>
  <c r="G365" i="20"/>
  <c r="CB365" i="6" s="1"/>
  <c r="G353" i="20"/>
  <c r="CB353" i="6" s="1"/>
  <c r="H353" i="20"/>
  <c r="D288" i="20"/>
  <c r="E288" i="20" s="1"/>
  <c r="F288" i="20" s="1"/>
  <c r="W288" i="20"/>
  <c r="AA70" i="20"/>
  <c r="Z70" i="20" s="1"/>
  <c r="Y70" i="20" s="1"/>
  <c r="G70" i="20"/>
  <c r="CB70" i="6" s="1"/>
  <c r="H70" i="20"/>
  <c r="G120" i="20"/>
  <c r="CB120" i="6" s="1"/>
  <c r="H120" i="20"/>
  <c r="H201" i="20"/>
  <c r="G201" i="20"/>
  <c r="CB201" i="6" s="1"/>
  <c r="G269" i="20"/>
  <c r="CB269" i="6" s="1"/>
  <c r="D258" i="20"/>
  <c r="E258" i="20" s="1"/>
  <c r="F258" i="20" s="1"/>
  <c r="W258" i="20"/>
  <c r="AA96" i="20"/>
  <c r="Z96" i="20" s="1"/>
  <c r="Y96" i="20" s="1"/>
  <c r="H96" i="20"/>
  <c r="G96" i="20"/>
  <c r="CB96" i="6" s="1"/>
  <c r="D227" i="20"/>
  <c r="E227" i="20" s="1"/>
  <c r="F227" i="20" s="1"/>
  <c r="W227" i="20"/>
  <c r="H154" i="20"/>
  <c r="G154" i="20"/>
  <c r="CB154" i="6" s="1"/>
  <c r="G232" i="20"/>
  <c r="CB232" i="6" s="1"/>
  <c r="H232" i="20"/>
  <c r="D302" i="20"/>
  <c r="E302" i="20" s="1"/>
  <c r="F302" i="20" s="1"/>
  <c r="W302" i="20"/>
  <c r="H98" i="20"/>
  <c r="AA98" i="20"/>
  <c r="Z98" i="20" s="1"/>
  <c r="Y98" i="20" s="1"/>
  <c r="G98" i="20"/>
  <c r="CB98" i="6" s="1"/>
  <c r="H217" i="20"/>
  <c r="G217" i="20"/>
  <c r="CB217" i="6" s="1"/>
  <c r="H346" i="20"/>
  <c r="G346" i="20"/>
  <c r="CB346" i="6" s="1"/>
  <c r="H157" i="20"/>
  <c r="G157" i="20"/>
  <c r="CB157" i="6" s="1"/>
  <c r="H341" i="20"/>
  <c r="G341" i="20"/>
  <c r="CB341" i="6" s="1"/>
  <c r="G260" i="20"/>
  <c r="CB260" i="6" s="1"/>
  <c r="H260" i="20"/>
  <c r="H203" i="20"/>
  <c r="G203" i="20"/>
  <c r="CB203" i="6" s="1"/>
  <c r="G167" i="20"/>
  <c r="CB167" i="6" s="1"/>
  <c r="H167" i="20"/>
  <c r="H286" i="20"/>
  <c r="G286" i="20"/>
  <c r="CB286" i="6" s="1"/>
  <c r="H369" i="20"/>
  <c r="G369" i="20"/>
  <c r="CB369" i="6" s="1"/>
  <c r="G351" i="20"/>
  <c r="CB351" i="6" s="1"/>
  <c r="H351" i="20"/>
  <c r="H156" i="20"/>
  <c r="G156" i="20"/>
  <c r="CB156" i="6" s="1"/>
  <c r="W349" i="20"/>
  <c r="D349" i="20"/>
  <c r="E349" i="20" s="1"/>
  <c r="F349" i="20" s="1"/>
  <c r="G339" i="20"/>
  <c r="CB339" i="6" s="1"/>
  <c r="H339" i="20"/>
  <c r="G338" i="20"/>
  <c r="CB338" i="6" s="1"/>
  <c r="H338" i="20"/>
  <c r="W135" i="20"/>
  <c r="D135" i="20"/>
  <c r="E135" i="20" s="1"/>
  <c r="F135" i="20" s="1"/>
  <c r="W363" i="20"/>
  <c r="D363" i="20"/>
  <c r="E363" i="20" s="1"/>
  <c r="F363" i="20" s="1"/>
  <c r="H72" i="20"/>
  <c r="G72" i="20"/>
  <c r="CB72" i="6" s="1"/>
  <c r="AA72" i="20"/>
  <c r="Z72" i="20" s="1"/>
  <c r="Y72" i="20" s="1"/>
  <c r="G47" i="20"/>
  <c r="CB47" i="6" s="1"/>
  <c r="AA47" i="20"/>
  <c r="Z47" i="20" s="1"/>
  <c r="Y47" i="20" s="1"/>
  <c r="G25" i="20"/>
  <c r="CB25" i="6" s="1"/>
  <c r="AA25" i="20"/>
  <c r="Z25" i="20" s="1"/>
  <c r="Y25" i="20" s="1"/>
  <c r="H25" i="20"/>
  <c r="D29" i="20"/>
  <c r="E29" i="20" s="1"/>
  <c r="F29" i="20" s="1"/>
  <c r="W29" i="20"/>
  <c r="G107" i="20"/>
  <c r="CB107" i="6" s="1"/>
  <c r="H107" i="20"/>
  <c r="H234" i="20"/>
  <c r="G234" i="20"/>
  <c r="CB234" i="6" s="1"/>
  <c r="AA68" i="20"/>
  <c r="Z68" i="20" s="1"/>
  <c r="Y68" i="20" s="1"/>
  <c r="H68" i="20"/>
  <c r="G68" i="20"/>
  <c r="CB68" i="6" s="1"/>
  <c r="H141" i="20"/>
  <c r="G141" i="20"/>
  <c r="CB141" i="6" s="1"/>
  <c r="G131" i="20"/>
  <c r="CB131" i="6" s="1"/>
  <c r="H131" i="20"/>
  <c r="G216" i="20"/>
  <c r="CB216" i="6" s="1"/>
  <c r="H216" i="20"/>
  <c r="G30" i="20"/>
  <c r="CB30" i="6" s="1"/>
  <c r="AA30" i="20"/>
  <c r="Z30" i="20" s="1"/>
  <c r="Y30" i="20" s="1"/>
  <c r="H30" i="20"/>
  <c r="G145" i="20"/>
  <c r="CB145" i="6" s="1"/>
  <c r="H145" i="20"/>
  <c r="H375" i="20"/>
  <c r="G375" i="20"/>
  <c r="CB375" i="6" s="1"/>
  <c r="G370" i="20"/>
  <c r="CB370" i="6" s="1"/>
  <c r="H370" i="20"/>
  <c r="G274" i="20"/>
  <c r="CB274" i="6" s="1"/>
  <c r="H274" i="20"/>
  <c r="G114" i="20"/>
  <c r="CB114" i="6" s="1"/>
  <c r="H114" i="20"/>
  <c r="G69" i="20"/>
  <c r="CB69" i="6" s="1"/>
  <c r="H69" i="20"/>
  <c r="AA69" i="20"/>
  <c r="Z69" i="20" s="1"/>
  <c r="Y69" i="20" s="1"/>
  <c r="G194" i="20"/>
  <c r="CB194" i="6" s="1"/>
  <c r="H194" i="20"/>
  <c r="G297" i="20"/>
  <c r="CB297" i="6" s="1"/>
  <c r="H297" i="20"/>
  <c r="G172" i="20"/>
  <c r="CB172" i="6" s="1"/>
  <c r="H172" i="20"/>
  <c r="Q10" i="23"/>
  <c r="AE11" i="23" s="1"/>
  <c r="AS15" i="7"/>
  <c r="G245" i="20" l="1"/>
  <c r="CB245" i="6" s="1"/>
  <c r="H245" i="20"/>
  <c r="AA252" i="20"/>
  <c r="Z252" i="20" s="1"/>
  <c r="Y252" i="20" s="1"/>
  <c r="AA245" i="20"/>
  <c r="Z245" i="20" s="1"/>
  <c r="Y245" i="20" s="1"/>
  <c r="W62" i="20"/>
  <c r="D100" i="20"/>
  <c r="E100" i="20" s="1"/>
  <c r="F100" i="20" s="1"/>
  <c r="D184" i="20"/>
  <c r="E184" i="20" s="1"/>
  <c r="F184" i="20" s="1"/>
  <c r="W84" i="20"/>
  <c r="P95" i="22"/>
  <c r="V95" i="22" s="1"/>
  <c r="P86" i="22"/>
  <c r="V86" i="22" s="1"/>
  <c r="W86" i="22" s="1"/>
  <c r="P258" i="22"/>
  <c r="V258" i="22" s="1"/>
  <c r="P367" i="22"/>
  <c r="V367" i="22" s="1"/>
  <c r="W367" i="22" s="1"/>
  <c r="P343" i="22"/>
  <c r="V343" i="22" s="1"/>
  <c r="P107" i="22"/>
  <c r="V107" i="22" s="1"/>
  <c r="D107" i="22" s="1"/>
  <c r="E107" i="22" s="1"/>
  <c r="F107" i="22" s="1"/>
  <c r="P28" i="22"/>
  <c r="V28" i="22" s="1"/>
  <c r="P292" i="22"/>
  <c r="V292" i="22" s="1"/>
  <c r="D292" i="22" s="1"/>
  <c r="E292" i="22" s="1"/>
  <c r="F292" i="22" s="1"/>
  <c r="P23" i="22"/>
  <c r="V23" i="22" s="1"/>
  <c r="P302" i="22"/>
  <c r="V302" i="22" s="1"/>
  <c r="P156" i="22"/>
  <c r="V156" i="22" s="1"/>
  <c r="P330" i="22"/>
  <c r="V330" i="22" s="1"/>
  <c r="W330" i="22" s="1"/>
  <c r="P298" i="22"/>
  <c r="V298" i="22" s="1"/>
  <c r="P342" i="22"/>
  <c r="V342" i="22" s="1"/>
  <c r="D342" i="22" s="1"/>
  <c r="E342" i="22" s="1"/>
  <c r="F342" i="22" s="1"/>
  <c r="P316" i="22"/>
  <c r="V316" i="22" s="1"/>
  <c r="P272" i="22"/>
  <c r="AH40" i="7" s="1"/>
  <c r="P255" i="22"/>
  <c r="V255" i="22" s="1"/>
  <c r="P20" i="22"/>
  <c r="V20" i="22" s="1"/>
  <c r="W20" i="22" s="1"/>
  <c r="P91" i="22"/>
  <c r="V91" i="22" s="1"/>
  <c r="P332" i="22"/>
  <c r="V332" i="22" s="1"/>
  <c r="W332" i="22" s="1"/>
  <c r="P313" i="22"/>
  <c r="V313" i="22" s="1"/>
  <c r="P79" i="22"/>
  <c r="V79" i="22" s="1"/>
  <c r="W79" i="22" s="1"/>
  <c r="P365" i="22"/>
  <c r="V365" i="22" s="1"/>
  <c r="P217" i="22"/>
  <c r="V217" i="22" s="1"/>
  <c r="D217" i="22" s="1"/>
  <c r="E217" i="22" s="1"/>
  <c r="F217" i="22" s="1"/>
  <c r="P99" i="22"/>
  <c r="V99" i="22" s="1"/>
  <c r="P78" i="22"/>
  <c r="V78" i="22" s="1"/>
  <c r="W78" i="22" s="1"/>
  <c r="P195" i="22"/>
  <c r="V195" i="22" s="1"/>
  <c r="P324" i="22"/>
  <c r="V324" i="22" s="1"/>
  <c r="D324" i="22" s="1"/>
  <c r="E324" i="22" s="1"/>
  <c r="F324" i="22" s="1"/>
  <c r="P363" i="22"/>
  <c r="P266" i="22"/>
  <c r="V266" i="22" s="1"/>
  <c r="D266" i="22" s="1"/>
  <c r="E266" i="22" s="1"/>
  <c r="F266" i="22" s="1"/>
  <c r="P136" i="22"/>
  <c r="V136" i="22" s="1"/>
  <c r="P300" i="22"/>
  <c r="V300" i="22" s="1"/>
  <c r="D300" i="22" s="1"/>
  <c r="E300" i="22" s="1"/>
  <c r="F300" i="22" s="1"/>
  <c r="P222" i="22"/>
  <c r="V222" i="22" s="1"/>
  <c r="P35" i="22"/>
  <c r="V35" i="22" s="1"/>
  <c r="D35" i="22" s="1"/>
  <c r="E35" i="22" s="1"/>
  <c r="F35" i="22" s="1"/>
  <c r="P288" i="22"/>
  <c r="V288" i="22" s="1"/>
  <c r="P17" i="22"/>
  <c r="V17" i="22" s="1"/>
  <c r="W17" i="22" s="1"/>
  <c r="P231" i="22"/>
  <c r="V231" i="22" s="1"/>
  <c r="W231" i="22" s="1"/>
  <c r="P27" i="22"/>
  <c r="V27" i="22" s="1"/>
  <c r="D27" i="22" s="1"/>
  <c r="E27" i="22" s="1"/>
  <c r="F27" i="22" s="1"/>
  <c r="P254" i="22"/>
  <c r="V254" i="22" s="1"/>
  <c r="D254" i="22" s="1"/>
  <c r="E254" i="22" s="1"/>
  <c r="F254" i="22" s="1"/>
  <c r="P234" i="22"/>
  <c r="V234" i="22" s="1"/>
  <c r="D234" i="22" s="1"/>
  <c r="E234" i="22" s="1"/>
  <c r="F234" i="22" s="1"/>
  <c r="P346" i="22"/>
  <c r="V346" i="22" s="1"/>
  <c r="W346" i="22" s="1"/>
  <c r="P210" i="22"/>
  <c r="AH38" i="7" s="1"/>
  <c r="P286" i="22"/>
  <c r="V286" i="22" s="1"/>
  <c r="D286" i="22" s="1"/>
  <c r="E286" i="22" s="1"/>
  <c r="F286" i="22" s="1"/>
  <c r="P73" i="22"/>
  <c r="V73" i="22" s="1"/>
  <c r="D73" i="22" s="1"/>
  <c r="E73" i="22" s="1"/>
  <c r="F73" i="22" s="1"/>
  <c r="P184" i="22"/>
  <c r="V184" i="22" s="1"/>
  <c r="W184" i="22" s="1"/>
  <c r="P304" i="22"/>
  <c r="V304" i="22" s="1"/>
  <c r="D304" i="22" s="1"/>
  <c r="E304" i="22" s="1"/>
  <c r="F304" i="22" s="1"/>
  <c r="P170" i="22"/>
  <c r="V170" i="22" s="1"/>
  <c r="D170" i="22" s="1"/>
  <c r="E170" i="22" s="1"/>
  <c r="F170" i="22" s="1"/>
  <c r="P204" i="22"/>
  <c r="V204" i="22" s="1"/>
  <c r="W204" i="22" s="1"/>
  <c r="P39" i="22"/>
  <c r="V39" i="22" s="1"/>
  <c r="D39" i="22" s="1"/>
  <c r="E39" i="22" s="1"/>
  <c r="F39" i="22" s="1"/>
  <c r="P150" i="22"/>
  <c r="V150" i="22" s="1"/>
  <c r="D150" i="22" s="1"/>
  <c r="E150" i="22" s="1"/>
  <c r="F150" i="22" s="1"/>
  <c r="P306" i="22"/>
  <c r="V306" i="22" s="1"/>
  <c r="D306" i="22" s="1"/>
  <c r="E306" i="22" s="1"/>
  <c r="F306" i="22" s="1"/>
  <c r="P83" i="22"/>
  <c r="V83" i="22" s="1"/>
  <c r="W83" i="22" s="1"/>
  <c r="P126" i="22"/>
  <c r="V126" i="22" s="1"/>
  <c r="D126" i="22" s="1"/>
  <c r="E126" i="22" s="1"/>
  <c r="F126" i="22" s="1"/>
  <c r="P125" i="22"/>
  <c r="V125" i="22" s="1"/>
  <c r="W125" i="22" s="1"/>
  <c r="P261" i="22"/>
  <c r="V261" i="22" s="1"/>
  <c r="W261" i="22" s="1"/>
  <c r="P22" i="22"/>
  <c r="V22" i="22" s="1"/>
  <c r="W22" i="22" s="1"/>
  <c r="P212" i="22"/>
  <c r="V212" i="22" s="1"/>
  <c r="D212" i="22" s="1"/>
  <c r="E212" i="22" s="1"/>
  <c r="F212" i="22" s="1"/>
  <c r="P296" i="22"/>
  <c r="V296" i="22" s="1"/>
  <c r="W296" i="22" s="1"/>
  <c r="P138" i="22"/>
  <c r="V138" i="22" s="1"/>
  <c r="W138" i="22" s="1"/>
  <c r="P151" i="22"/>
  <c r="V151" i="22" s="1"/>
  <c r="W151" i="22" s="1"/>
  <c r="P69" i="22"/>
  <c r="V69" i="22" s="1"/>
  <c r="D69" i="22" s="1"/>
  <c r="E69" i="22" s="1"/>
  <c r="F69" i="22" s="1"/>
  <c r="P145" i="22"/>
  <c r="V145" i="22" s="1"/>
  <c r="W145" i="22" s="1"/>
  <c r="P77" i="22"/>
  <c r="V77" i="22" s="1"/>
  <c r="W77" i="22" s="1"/>
  <c r="P21" i="22"/>
  <c r="V21" i="22" s="1"/>
  <c r="D21" i="22" s="1"/>
  <c r="E21" i="22" s="1"/>
  <c r="F21" i="22" s="1"/>
  <c r="P366" i="22"/>
  <c r="V366" i="22" s="1"/>
  <c r="W366" i="22" s="1"/>
  <c r="P253" i="22"/>
  <c r="V253" i="22" s="1"/>
  <c r="D253" i="22" s="1"/>
  <c r="E253" i="22" s="1"/>
  <c r="F253" i="22" s="1"/>
  <c r="P220" i="22"/>
  <c r="V220" i="22" s="1"/>
  <c r="D220" i="22" s="1"/>
  <c r="E220" i="22" s="1"/>
  <c r="F220" i="22" s="1"/>
  <c r="P130" i="22"/>
  <c r="V130" i="22" s="1"/>
  <c r="D130" i="22" s="1"/>
  <c r="E130" i="22" s="1"/>
  <c r="F130" i="22" s="1"/>
  <c r="P350" i="22"/>
  <c r="V350" i="22" s="1"/>
  <c r="W350" i="22" s="1"/>
  <c r="P181" i="22"/>
  <c r="V181" i="22" s="1"/>
  <c r="W181" i="22" s="1"/>
  <c r="P203" i="22"/>
  <c r="V203" i="22" s="1"/>
  <c r="W203" i="22" s="1"/>
  <c r="P349" i="22"/>
  <c r="V349" i="22" s="1"/>
  <c r="W349" i="22" s="1"/>
  <c r="P84" i="22"/>
  <c r="V84" i="22" s="1"/>
  <c r="D84" i="22" s="1"/>
  <c r="E84" i="22" s="1"/>
  <c r="F84" i="22" s="1"/>
  <c r="P368" i="22"/>
  <c r="V368" i="22" s="1"/>
  <c r="W368" i="22" s="1"/>
  <c r="P190" i="22"/>
  <c r="V190" i="22" s="1"/>
  <c r="W190" i="22" s="1"/>
  <c r="P318" i="22"/>
  <c r="V318" i="22" s="1"/>
  <c r="D318" i="22" s="1"/>
  <c r="E318" i="22" s="1"/>
  <c r="F318" i="22" s="1"/>
  <c r="P154" i="22"/>
  <c r="V154" i="22" s="1"/>
  <c r="W154" i="22" s="1"/>
  <c r="P65" i="22"/>
  <c r="V65" i="22" s="1"/>
  <c r="D65" i="22" s="1"/>
  <c r="E65" i="22" s="1"/>
  <c r="F65" i="22" s="1"/>
  <c r="P160" i="22"/>
  <c r="V160" i="22" s="1"/>
  <c r="W160" i="22" s="1"/>
  <c r="P277" i="22"/>
  <c r="V277" i="22" s="1"/>
  <c r="D277" i="22" s="1"/>
  <c r="E277" i="22" s="1"/>
  <c r="F277" i="22" s="1"/>
  <c r="P326" i="22"/>
  <c r="V326" i="22" s="1"/>
  <c r="W326" i="22" s="1"/>
  <c r="P283" i="22"/>
  <c r="V283" i="22" s="1"/>
  <c r="D283" i="22" s="1"/>
  <c r="E283" i="22" s="1"/>
  <c r="F283" i="22" s="1"/>
  <c r="P98" i="22"/>
  <c r="V98" i="22" s="1"/>
  <c r="W98" i="22" s="1"/>
  <c r="P331" i="22"/>
  <c r="V331" i="22" s="1"/>
  <c r="W331" i="22" s="1"/>
  <c r="P278" i="22"/>
  <c r="V278" i="22" s="1"/>
  <c r="D278" i="22" s="1"/>
  <c r="E278" i="22" s="1"/>
  <c r="F278" i="22" s="1"/>
  <c r="P191" i="22"/>
  <c r="V191" i="22" s="1"/>
  <c r="W191" i="22" s="1"/>
  <c r="P37" i="22"/>
  <c r="V37" i="22" s="1"/>
  <c r="W37" i="22" s="1"/>
  <c r="P202" i="22"/>
  <c r="V202" i="22" s="1"/>
  <c r="W202" i="22" s="1"/>
  <c r="P245" i="22"/>
  <c r="V245" i="22" s="1"/>
  <c r="W245" i="22" s="1"/>
  <c r="P47" i="22"/>
  <c r="V47" i="22" s="1"/>
  <c r="W47" i="22" s="1"/>
  <c r="P315" i="22"/>
  <c r="V315" i="22" s="1"/>
  <c r="D315" i="22" s="1"/>
  <c r="E315" i="22" s="1"/>
  <c r="F315" i="22" s="1"/>
  <c r="P116" i="22"/>
  <c r="V116" i="22" s="1"/>
  <c r="D116" i="22" s="1"/>
  <c r="E116" i="22" s="1"/>
  <c r="F116" i="22" s="1"/>
  <c r="P250" i="22"/>
  <c r="V250" i="22" s="1"/>
  <c r="D250" i="22" s="1"/>
  <c r="E250" i="22" s="1"/>
  <c r="F250" i="22" s="1"/>
  <c r="P375" i="22"/>
  <c r="V375" i="22" s="1"/>
  <c r="D375" i="22" s="1"/>
  <c r="E375" i="22" s="1"/>
  <c r="F375" i="22" s="1"/>
  <c r="P200" i="22"/>
  <c r="V200" i="22" s="1"/>
  <c r="D200" i="22" s="1"/>
  <c r="E200" i="22" s="1"/>
  <c r="F200" i="22" s="1"/>
  <c r="P218" i="22"/>
  <c r="V218" i="22" s="1"/>
  <c r="D218" i="22" s="1"/>
  <c r="E218" i="22" s="1"/>
  <c r="F218" i="22" s="1"/>
  <c r="P88" i="22"/>
  <c r="AH34" i="7" s="1"/>
  <c r="P122" i="22"/>
  <c r="V122" i="22" s="1"/>
  <c r="W122" i="22" s="1"/>
  <c r="P280" i="22"/>
  <c r="V280" i="22" s="1"/>
  <c r="W280" i="22" s="1"/>
  <c r="P247" i="22"/>
  <c r="V247" i="22" s="1"/>
  <c r="D247" i="22" s="1"/>
  <c r="E247" i="22" s="1"/>
  <c r="F247" i="22" s="1"/>
  <c r="P64" i="22"/>
  <c r="V64" i="22" s="1"/>
  <c r="W64" i="22" s="1"/>
  <c r="P227" i="22"/>
  <c r="V227" i="22" s="1"/>
  <c r="W227" i="22" s="1"/>
  <c r="P246" i="22"/>
  <c r="V246" i="22" s="1"/>
  <c r="D246" i="22" s="1"/>
  <c r="E246" i="22" s="1"/>
  <c r="F246" i="22" s="1"/>
  <c r="P68" i="22"/>
  <c r="V68" i="22" s="1"/>
  <c r="W68" i="22" s="1"/>
  <c r="P66" i="22"/>
  <c r="V66" i="22" s="1"/>
  <c r="W66" i="22" s="1"/>
  <c r="P198" i="22"/>
  <c r="V198" i="22" s="1"/>
  <c r="W198" i="22" s="1"/>
  <c r="P175" i="22"/>
  <c r="V175" i="22" s="1"/>
  <c r="W175" i="22" s="1"/>
  <c r="P196" i="22"/>
  <c r="V196" i="22" s="1"/>
  <c r="W196" i="22" s="1"/>
  <c r="P169" i="22"/>
  <c r="V169" i="22" s="1"/>
  <c r="D169" i="22" s="1"/>
  <c r="E169" i="22" s="1"/>
  <c r="F169" i="22" s="1"/>
  <c r="U383" i="22"/>
  <c r="P54" i="22"/>
  <c r="V54" i="22" s="1"/>
  <c r="W54" i="22" s="1"/>
  <c r="P29" i="22"/>
  <c r="V29" i="22" s="1"/>
  <c r="P230" i="22"/>
  <c r="V230" i="22" s="1"/>
  <c r="D230" i="22" s="1"/>
  <c r="E230" i="22" s="1"/>
  <c r="F230" i="22" s="1"/>
  <c r="P41" i="22"/>
  <c r="V41" i="22" s="1"/>
  <c r="D41" i="22" s="1"/>
  <c r="E41" i="22" s="1"/>
  <c r="F41" i="22" s="1"/>
  <c r="H53" i="20"/>
  <c r="J53" i="20" s="1"/>
  <c r="C53" i="6" s="1"/>
  <c r="P225" i="22"/>
  <c r="V225" i="22" s="1"/>
  <c r="W225" i="22" s="1"/>
  <c r="P209" i="22"/>
  <c r="V209" i="22" s="1"/>
  <c r="W209" i="22" s="1"/>
  <c r="P34" i="22"/>
  <c r="V34" i="22" s="1"/>
  <c r="W34" i="22" s="1"/>
  <c r="P132" i="22"/>
  <c r="V132" i="22" s="1"/>
  <c r="D132" i="22" s="1"/>
  <c r="E132" i="22" s="1"/>
  <c r="F132" i="22" s="1"/>
  <c r="P139" i="22"/>
  <c r="V139" i="22" s="1"/>
  <c r="W139" i="22" s="1"/>
  <c r="P285" i="22"/>
  <c r="V285" i="22" s="1"/>
  <c r="W285" i="22" s="1"/>
  <c r="P135" i="22"/>
  <c r="V135" i="22" s="1"/>
  <c r="W135" i="22" s="1"/>
  <c r="P161" i="22"/>
  <c r="V161" i="22" s="1"/>
  <c r="W161" i="22" s="1"/>
  <c r="P162" i="22"/>
  <c r="V162" i="22" s="1"/>
  <c r="D162" i="22" s="1"/>
  <c r="E162" i="22" s="1"/>
  <c r="F162" i="22" s="1"/>
  <c r="P264" i="22"/>
  <c r="V264" i="22" s="1"/>
  <c r="D264" i="22" s="1"/>
  <c r="E264" i="22" s="1"/>
  <c r="F264" i="22" s="1"/>
  <c r="P32" i="22"/>
  <c r="V32" i="22" s="1"/>
  <c r="W32" i="22" s="1"/>
  <c r="P30" i="22"/>
  <c r="V30" i="22" s="1"/>
  <c r="D30" i="22" s="1"/>
  <c r="E30" i="22" s="1"/>
  <c r="F30" i="22" s="1"/>
  <c r="P301" i="22"/>
  <c r="V301" i="22" s="1"/>
  <c r="D301" i="22" s="1"/>
  <c r="E301" i="22" s="1"/>
  <c r="F301" i="22" s="1"/>
  <c r="P180" i="22"/>
  <c r="AH37" i="7" s="1"/>
  <c r="P75" i="22"/>
  <c r="V75" i="22" s="1"/>
  <c r="D75" i="22" s="1"/>
  <c r="E75" i="22" s="1"/>
  <c r="F75" i="22" s="1"/>
  <c r="P303" i="22"/>
  <c r="V303" i="22" s="1"/>
  <c r="D303" i="22" s="1"/>
  <c r="E303" i="22" s="1"/>
  <c r="F303" i="22" s="1"/>
  <c r="P373" i="22"/>
  <c r="V373" i="22" s="1"/>
  <c r="W373" i="22" s="1"/>
  <c r="P335" i="22"/>
  <c r="V335" i="22" s="1"/>
  <c r="W335" i="22" s="1"/>
  <c r="P163" i="22"/>
  <c r="V163" i="22" s="1"/>
  <c r="W163" i="22" s="1"/>
  <c r="P293" i="22"/>
  <c r="V293" i="22" s="1"/>
  <c r="D293" i="22" s="1"/>
  <c r="E293" i="22" s="1"/>
  <c r="F293" i="22" s="1"/>
  <c r="P141" i="22"/>
  <c r="V141" i="22" s="1"/>
  <c r="W141" i="22" s="1"/>
  <c r="P142" i="22"/>
  <c r="V142" i="22" s="1"/>
  <c r="D142" i="22" s="1"/>
  <c r="E142" i="22" s="1"/>
  <c r="F142" i="22" s="1"/>
  <c r="P327" i="22"/>
  <c r="V327" i="22" s="1"/>
  <c r="D327" i="22" s="1"/>
  <c r="E327" i="22" s="1"/>
  <c r="F327" i="22" s="1"/>
  <c r="P113" i="22"/>
  <c r="V113" i="22" s="1"/>
  <c r="D113" i="22" s="1"/>
  <c r="E113" i="22" s="1"/>
  <c r="F113" i="22" s="1"/>
  <c r="P229" i="22"/>
  <c r="V229" i="22" s="1"/>
  <c r="D229" i="22" s="1"/>
  <c r="E229" i="22" s="1"/>
  <c r="F229" i="22" s="1"/>
  <c r="P18" i="22"/>
  <c r="V18" i="22" s="1"/>
  <c r="W18" i="22" s="1"/>
  <c r="P205" i="22"/>
  <c r="V205" i="22" s="1"/>
  <c r="D205" i="22" s="1"/>
  <c r="E205" i="22" s="1"/>
  <c r="F205" i="22" s="1"/>
  <c r="P347" i="22"/>
  <c r="V347" i="22" s="1"/>
  <c r="D347" i="22" s="1"/>
  <c r="E347" i="22" s="1"/>
  <c r="F347" i="22" s="1"/>
  <c r="P166" i="22"/>
  <c r="V166" i="22" s="1"/>
  <c r="D166" i="22" s="1"/>
  <c r="E166" i="22" s="1"/>
  <c r="F166" i="22" s="1"/>
  <c r="P193" i="22"/>
  <c r="V193" i="22" s="1"/>
  <c r="W193" i="22" s="1"/>
  <c r="P96" i="22"/>
  <c r="V96" i="22" s="1"/>
  <c r="W96" i="22" s="1"/>
  <c r="P221" i="22"/>
  <c r="V221" i="22" s="1"/>
  <c r="W221" i="22" s="1"/>
  <c r="P344" i="22"/>
  <c r="V344" i="22" s="1"/>
  <c r="D344" i="22" s="1"/>
  <c r="E344" i="22" s="1"/>
  <c r="F344" i="22" s="1"/>
  <c r="U382" i="22"/>
  <c r="P128" i="22"/>
  <c r="V128" i="22" s="1"/>
  <c r="W128" i="22" s="1"/>
  <c r="P325" i="22"/>
  <c r="V325" i="22" s="1"/>
  <c r="D325" i="22" s="1"/>
  <c r="E325" i="22" s="1"/>
  <c r="F325" i="22" s="1"/>
  <c r="P360" i="22"/>
  <c r="V360" i="22" s="1"/>
  <c r="W360" i="22" s="1"/>
  <c r="P110" i="22"/>
  <c r="V110" i="22" s="1"/>
  <c r="W110" i="22" s="1"/>
  <c r="P252" i="22"/>
  <c r="V252" i="22" s="1"/>
  <c r="W252" i="22" s="1"/>
  <c r="P359" i="22"/>
  <c r="V359" i="22" s="1"/>
  <c r="D359" i="22" s="1"/>
  <c r="E359" i="22" s="1"/>
  <c r="F359" i="22" s="1"/>
  <c r="P48" i="22"/>
  <c r="V48" i="22" s="1"/>
  <c r="D48" i="22" s="1"/>
  <c r="E48" i="22" s="1"/>
  <c r="F48" i="22" s="1"/>
  <c r="P94" i="22"/>
  <c r="V94" i="22" s="1"/>
  <c r="D94" i="22" s="1"/>
  <c r="E94" i="22" s="1"/>
  <c r="F94" i="22" s="1"/>
  <c r="P140" i="22"/>
  <c r="V140" i="22" s="1"/>
  <c r="D140" i="22" s="1"/>
  <c r="E140" i="22" s="1"/>
  <c r="F140" i="22" s="1"/>
  <c r="P177" i="22"/>
  <c r="V177" i="22" s="1"/>
  <c r="W177" i="22" s="1"/>
  <c r="P336" i="22"/>
  <c r="V336" i="22" s="1"/>
  <c r="W336" i="22" s="1"/>
  <c r="P228" i="22"/>
  <c r="V228" i="22" s="1"/>
  <c r="D228" i="22" s="1"/>
  <c r="E228" i="22" s="1"/>
  <c r="F228" i="22" s="1"/>
  <c r="P90" i="22"/>
  <c r="V90" i="22" s="1"/>
  <c r="W90" i="22" s="1"/>
  <c r="P52" i="22"/>
  <c r="V52" i="22" s="1"/>
  <c r="D52" i="22" s="1"/>
  <c r="E52" i="22" s="1"/>
  <c r="F52" i="22" s="1"/>
  <c r="P104" i="22"/>
  <c r="V104" i="22" s="1"/>
  <c r="D104" i="22" s="1"/>
  <c r="E104" i="22" s="1"/>
  <c r="F104" i="22" s="1"/>
  <c r="P219" i="22"/>
  <c r="V219" i="22" s="1"/>
  <c r="D219" i="22" s="1"/>
  <c r="E219" i="22" s="1"/>
  <c r="F219" i="22" s="1"/>
  <c r="P226" i="22"/>
  <c r="V226" i="22" s="1"/>
  <c r="D226" i="22" s="1"/>
  <c r="E226" i="22" s="1"/>
  <c r="F226" i="22" s="1"/>
  <c r="P26" i="22"/>
  <c r="V26" i="22" s="1"/>
  <c r="D26" i="22" s="1"/>
  <c r="E26" i="22" s="1"/>
  <c r="F26" i="22" s="1"/>
  <c r="P131" i="22"/>
  <c r="V131" i="22" s="1"/>
  <c r="D131" i="22" s="1"/>
  <c r="E131" i="22" s="1"/>
  <c r="F131" i="22" s="1"/>
  <c r="P85" i="22"/>
  <c r="V85" i="22" s="1"/>
  <c r="D85" i="22" s="1"/>
  <c r="E85" i="22" s="1"/>
  <c r="F85" i="22" s="1"/>
  <c r="U381" i="22"/>
  <c r="P371" i="22"/>
  <c r="V371" i="22" s="1"/>
  <c r="D371" i="22" s="1"/>
  <c r="E371" i="22" s="1"/>
  <c r="F371" i="22" s="1"/>
  <c r="P233" i="22"/>
  <c r="V233" i="22" s="1"/>
  <c r="D233" i="22" s="1"/>
  <c r="E233" i="22" s="1"/>
  <c r="F233" i="22" s="1"/>
  <c r="P323" i="22"/>
  <c r="V323" i="22" s="1"/>
  <c r="W323" i="22" s="1"/>
  <c r="P248" i="22"/>
  <c r="V248" i="22" s="1"/>
  <c r="W248" i="22" s="1"/>
  <c r="P38" i="22"/>
  <c r="V38" i="22" s="1"/>
  <c r="D38" i="22" s="1"/>
  <c r="E38" i="22" s="1"/>
  <c r="F38" i="22" s="1"/>
  <c r="P171" i="22"/>
  <c r="V171" i="22" s="1"/>
  <c r="D171" i="22" s="1"/>
  <c r="E171" i="22" s="1"/>
  <c r="F171" i="22" s="1"/>
  <c r="P311" i="22"/>
  <c r="V311" i="22" s="1"/>
  <c r="W311" i="22" s="1"/>
  <c r="H47" i="20"/>
  <c r="I47" i="20" s="1"/>
  <c r="B47" i="6" s="1"/>
  <c r="BA47" i="6" s="1"/>
  <c r="AI11" i="23"/>
  <c r="AU16" i="7"/>
  <c r="J38" i="19"/>
  <c r="G94" i="20"/>
  <c r="CB94" i="6" s="1"/>
  <c r="AA94" i="20"/>
  <c r="Z94" i="20" s="1"/>
  <c r="Y94" i="20" s="1"/>
  <c r="H94" i="20"/>
  <c r="I94" i="20" s="1"/>
  <c r="B94" i="6" s="1"/>
  <c r="BA94" i="6" s="1"/>
  <c r="H62" i="20"/>
  <c r="J62" i="20" s="1"/>
  <c r="C62" i="6" s="1"/>
  <c r="H266" i="20"/>
  <c r="J266" i="20" s="1"/>
  <c r="C266" i="6" s="1"/>
  <c r="J291" i="20"/>
  <c r="C291" i="6" s="1"/>
  <c r="J204" i="20"/>
  <c r="C204" i="6" s="1"/>
  <c r="H269" i="20"/>
  <c r="J269" i="20" s="1"/>
  <c r="C269" i="6" s="1"/>
  <c r="I83" i="20"/>
  <c r="B83" i="6" s="1"/>
  <c r="BA83" i="6" s="1"/>
  <c r="H177" i="20"/>
  <c r="I177" i="20" s="1"/>
  <c r="B177" i="6" s="1"/>
  <c r="BA177" i="6" s="1"/>
  <c r="W74" i="22"/>
  <c r="M66" i="19"/>
  <c r="D14" i="19"/>
  <c r="G38" i="19"/>
  <c r="AI268" i="22"/>
  <c r="AH268" i="22" s="1"/>
  <c r="AI46" i="22"/>
  <c r="AH46" i="22" s="1"/>
  <c r="AI336" i="22"/>
  <c r="AH336" i="22" s="1"/>
  <c r="AI269" i="22"/>
  <c r="AH269" i="22" s="1"/>
  <c r="AI198" i="22"/>
  <c r="AH198" i="22" s="1"/>
  <c r="AI123" i="22"/>
  <c r="AH123" i="22" s="1"/>
  <c r="AI71" i="22"/>
  <c r="AH71" i="22" s="1"/>
  <c r="AI128" i="22"/>
  <c r="AH128" i="22" s="1"/>
  <c r="AI61" i="22"/>
  <c r="AH61" i="22" s="1"/>
  <c r="AI351" i="22"/>
  <c r="AH351" i="22" s="1"/>
  <c r="AI280" i="22"/>
  <c r="AH280" i="22" s="1"/>
  <c r="AI149" i="22"/>
  <c r="AH149" i="22" s="1"/>
  <c r="AI261" i="22"/>
  <c r="AH261" i="22" s="1"/>
  <c r="AI225" i="22"/>
  <c r="AH225" i="22" s="1"/>
  <c r="AI146" i="22"/>
  <c r="AH146" i="22" s="1"/>
  <c r="AI79" i="22"/>
  <c r="AH79" i="22" s="1"/>
  <c r="AI377" i="22"/>
  <c r="AH377" i="22" s="1"/>
  <c r="AI298" i="22"/>
  <c r="AH298" i="22" s="1"/>
  <c r="AI16" i="22"/>
  <c r="AH16" i="22" s="1"/>
  <c r="AI307" i="22"/>
  <c r="AH307" i="22" s="1"/>
  <c r="AI244" i="22"/>
  <c r="AH244" i="22" s="1"/>
  <c r="AI169" i="22"/>
  <c r="AH169" i="22" s="1"/>
  <c r="AI90" i="22"/>
  <c r="AH90" i="22" s="1"/>
  <c r="AI332" i="22"/>
  <c r="AH332" i="22" s="1"/>
  <c r="AI110" i="22"/>
  <c r="AH110" i="22" s="1"/>
  <c r="AI35" i="22"/>
  <c r="AH35" i="22" s="1"/>
  <c r="AI333" i="22"/>
  <c r="AH333" i="22" s="1"/>
  <c r="AI262" i="22"/>
  <c r="AH262" i="22" s="1"/>
  <c r="AI187" i="22"/>
  <c r="AH187" i="22" s="1"/>
  <c r="AI199" i="22"/>
  <c r="AH199" i="22" s="1"/>
  <c r="AI192" i="22"/>
  <c r="AH192" i="22" s="1"/>
  <c r="AI125" i="22"/>
  <c r="AH125" i="22" s="1"/>
  <c r="AI54" i="22"/>
  <c r="AH54" i="22" s="1"/>
  <c r="AI344" i="22"/>
  <c r="AH344" i="22" s="1"/>
  <c r="AI213" i="22"/>
  <c r="AH213" i="22" s="1"/>
  <c r="AI28" i="22"/>
  <c r="AH28" i="22" s="1"/>
  <c r="AI289" i="22"/>
  <c r="AH289" i="22" s="1"/>
  <c r="AI210" i="22"/>
  <c r="AH210" i="22" s="1"/>
  <c r="AI143" i="22"/>
  <c r="AH143" i="22" s="1"/>
  <c r="AI245" i="22"/>
  <c r="AH245" i="22" s="1"/>
  <c r="AI92" i="22"/>
  <c r="AH92" i="22" s="1"/>
  <c r="AI321" i="22"/>
  <c r="AH321" i="22" s="1"/>
  <c r="AI242" i="22"/>
  <c r="AH242" i="22" s="1"/>
  <c r="AI175" i="22"/>
  <c r="AH175" i="22" s="1"/>
  <c r="AI104" i="22"/>
  <c r="AH104" i="22" s="1"/>
  <c r="AI37" i="22"/>
  <c r="AH37" i="22" s="1"/>
  <c r="AI113" i="22"/>
  <c r="AH113" i="22" s="1"/>
  <c r="AI34" i="22"/>
  <c r="AH34" i="22" s="1"/>
  <c r="AI340" i="22"/>
  <c r="AH340" i="22" s="1"/>
  <c r="AI265" i="22"/>
  <c r="AH265" i="22" s="1"/>
  <c r="AI186" i="22"/>
  <c r="AH186" i="22" s="1"/>
  <c r="AI55" i="22"/>
  <c r="AH55" i="22" s="1"/>
  <c r="AI206" i="22"/>
  <c r="AH206" i="22" s="1"/>
  <c r="AI131" i="22"/>
  <c r="AH131" i="22" s="1"/>
  <c r="AI68" i="22"/>
  <c r="AH68" i="22" s="1"/>
  <c r="AI358" i="22"/>
  <c r="AH358" i="22" s="1"/>
  <c r="AI283" i="22"/>
  <c r="AH283" i="22" s="1"/>
  <c r="AI359" i="22"/>
  <c r="AH359" i="22" s="1"/>
  <c r="AI288" i="22"/>
  <c r="AH288" i="22" s="1"/>
  <c r="AI221" i="22"/>
  <c r="AH221" i="22" s="1"/>
  <c r="AI150" i="22"/>
  <c r="AH150" i="22" s="1"/>
  <c r="AI75" i="22"/>
  <c r="AH75" i="22" s="1"/>
  <c r="AI309" i="22"/>
  <c r="AH309" i="22" s="1"/>
  <c r="AI220" i="22"/>
  <c r="AH220" i="22" s="1"/>
  <c r="AI15" i="22"/>
  <c r="AI306" i="22"/>
  <c r="AH306" i="22" s="1"/>
  <c r="AI239" i="22"/>
  <c r="AH239" i="22" s="1"/>
  <c r="AI168" i="22"/>
  <c r="AH168" i="22" s="1"/>
  <c r="AI165" i="22"/>
  <c r="AH165" i="22" s="1"/>
  <c r="AI177" i="22"/>
  <c r="AH177" i="22" s="1"/>
  <c r="AI98" i="22"/>
  <c r="AH98" i="22" s="1"/>
  <c r="AI31" i="22"/>
  <c r="AH31" i="22" s="1"/>
  <c r="AI329" i="22"/>
  <c r="AH329" i="22" s="1"/>
  <c r="AI250" i="22"/>
  <c r="AH250" i="22" s="1"/>
  <c r="AI119" i="22"/>
  <c r="AH119" i="22" s="1"/>
  <c r="AI270" i="22"/>
  <c r="AH270" i="22" s="1"/>
  <c r="AI195" i="22"/>
  <c r="AH195" i="22" s="1"/>
  <c r="AI132" i="22"/>
  <c r="AH132" i="22" s="1"/>
  <c r="AI57" i="22"/>
  <c r="AH57" i="22" s="1"/>
  <c r="AI347" i="22"/>
  <c r="AH347" i="22" s="1"/>
  <c r="AI62" i="22"/>
  <c r="AH62" i="22" s="1"/>
  <c r="AI352" i="22"/>
  <c r="AH352" i="22" s="1"/>
  <c r="AI285" i="22"/>
  <c r="AH285" i="22" s="1"/>
  <c r="AI214" i="22"/>
  <c r="AH214" i="22" s="1"/>
  <c r="AI139" i="22"/>
  <c r="AH139" i="22" s="1"/>
  <c r="AI328" i="22"/>
  <c r="AH328" i="22" s="1"/>
  <c r="AI124" i="22"/>
  <c r="AH124" i="22" s="1"/>
  <c r="AI337" i="22"/>
  <c r="AH337" i="22" s="1"/>
  <c r="AI258" i="22"/>
  <c r="AH258" i="22" s="1"/>
  <c r="AI191" i="22"/>
  <c r="AH191" i="22" s="1"/>
  <c r="AI120" i="22"/>
  <c r="AH120" i="22" s="1"/>
  <c r="AI373" i="22"/>
  <c r="AH373" i="22" s="1"/>
  <c r="AI348" i="22"/>
  <c r="AH348" i="22" s="1"/>
  <c r="AI80" i="22"/>
  <c r="AH80" i="22" s="1"/>
  <c r="AI370" i="22"/>
  <c r="AH370" i="22" s="1"/>
  <c r="AI303" i="22"/>
  <c r="AH303" i="22" s="1"/>
  <c r="AI232" i="22"/>
  <c r="AH232" i="22" s="1"/>
  <c r="AI293" i="22"/>
  <c r="AH293" i="22" s="1"/>
  <c r="AI241" i="22"/>
  <c r="AH241" i="22" s="1"/>
  <c r="AI162" i="22"/>
  <c r="AH162" i="22" s="1"/>
  <c r="AI95" i="22"/>
  <c r="AH95" i="22" s="1"/>
  <c r="AI24" i="22"/>
  <c r="AH24" i="22" s="1"/>
  <c r="AI314" i="22"/>
  <c r="AH314" i="22" s="1"/>
  <c r="AI183" i="22"/>
  <c r="AH183" i="22" s="1"/>
  <c r="AI334" i="22"/>
  <c r="AH334" i="22" s="1"/>
  <c r="AI259" i="22"/>
  <c r="AH259" i="22" s="1"/>
  <c r="AI196" i="22"/>
  <c r="AH196" i="22" s="1"/>
  <c r="AI121" i="22"/>
  <c r="AH121" i="22" s="1"/>
  <c r="AI42" i="22"/>
  <c r="AH42" i="22" s="1"/>
  <c r="AI126" i="22"/>
  <c r="AH126" i="22" s="1"/>
  <c r="AI51" i="22"/>
  <c r="AH51" i="22" s="1"/>
  <c r="AI349" i="22"/>
  <c r="AH349" i="22" s="1"/>
  <c r="AI278" i="22"/>
  <c r="AH278" i="22" s="1"/>
  <c r="AI203" i="22"/>
  <c r="AH203" i="22" s="1"/>
  <c r="AI76" i="22"/>
  <c r="AH76" i="22" s="1"/>
  <c r="AI103" i="22"/>
  <c r="AH103" i="22" s="1"/>
  <c r="AI144" i="22"/>
  <c r="AH144" i="22" s="1"/>
  <c r="AI77" i="22"/>
  <c r="AH77" i="22" s="1"/>
  <c r="AI367" i="22"/>
  <c r="AH367" i="22" s="1"/>
  <c r="AI296" i="22"/>
  <c r="AH296" i="22" s="1"/>
  <c r="AI60" i="22"/>
  <c r="AH60" i="22" s="1"/>
  <c r="AI305" i="22"/>
  <c r="AH305" i="22" s="1"/>
  <c r="AI226" i="22"/>
  <c r="AH226" i="22" s="1"/>
  <c r="AI197" i="22"/>
  <c r="AH197" i="22" s="1"/>
  <c r="AI114" i="22"/>
  <c r="AH114" i="22" s="1"/>
  <c r="AI345" i="22"/>
  <c r="AH345" i="22" s="1"/>
  <c r="AI350" i="22"/>
  <c r="AH350" i="22" s="1"/>
  <c r="AI212" i="22"/>
  <c r="AH212" i="22" s="1"/>
  <c r="AI58" i="22"/>
  <c r="AH58" i="22" s="1"/>
  <c r="AI78" i="22"/>
  <c r="AH78" i="22" s="1"/>
  <c r="AI301" i="22"/>
  <c r="AH301" i="22" s="1"/>
  <c r="AI155" i="22"/>
  <c r="AH155" i="22" s="1"/>
  <c r="AI160" i="22"/>
  <c r="AH160" i="22" s="1"/>
  <c r="AI22" i="22"/>
  <c r="AH22" i="22" s="1"/>
  <c r="AI181" i="22"/>
  <c r="AH181" i="22" s="1"/>
  <c r="AI257" i="22"/>
  <c r="AH257" i="22" s="1"/>
  <c r="AI111" i="22"/>
  <c r="AH111" i="22" s="1"/>
  <c r="AI330" i="22"/>
  <c r="AH330" i="22" s="1"/>
  <c r="AI339" i="22"/>
  <c r="AH339" i="22" s="1"/>
  <c r="AI201" i="22"/>
  <c r="AH201" i="22" s="1"/>
  <c r="AI364" i="22"/>
  <c r="AH364" i="22" s="1"/>
  <c r="AI67" i="22"/>
  <c r="AH67" i="22" s="1"/>
  <c r="AI294" i="22"/>
  <c r="AH294" i="22" s="1"/>
  <c r="AI174" i="22"/>
  <c r="AH174" i="22" s="1"/>
  <c r="AI36" i="22"/>
  <c r="AH36" i="22" s="1"/>
  <c r="AI251" i="22"/>
  <c r="AH251" i="22" s="1"/>
  <c r="AI256" i="22"/>
  <c r="AH256" i="22" s="1"/>
  <c r="AI118" i="22"/>
  <c r="AH118" i="22" s="1"/>
  <c r="AI277" i="22"/>
  <c r="AH277" i="22" s="1"/>
  <c r="AI353" i="22"/>
  <c r="AH353" i="22" s="1"/>
  <c r="AI207" i="22"/>
  <c r="AH207" i="22" s="1"/>
  <c r="AI101" i="22"/>
  <c r="AH101" i="22" s="1"/>
  <c r="AI66" i="22"/>
  <c r="AH66" i="22" s="1"/>
  <c r="AI297" i="22"/>
  <c r="AH297" i="22" s="1"/>
  <c r="AI87" i="22"/>
  <c r="AH87" i="22" s="1"/>
  <c r="AI163" i="22"/>
  <c r="AH163" i="22" s="1"/>
  <c r="AI25" i="22"/>
  <c r="AH25" i="22" s="1"/>
  <c r="AI30" i="22"/>
  <c r="AH30" i="22" s="1"/>
  <c r="AI253" i="22"/>
  <c r="AH253" i="22" s="1"/>
  <c r="AI107" i="22"/>
  <c r="AH107" i="22" s="1"/>
  <c r="AI284" i="22"/>
  <c r="AH284" i="22" s="1"/>
  <c r="AI338" i="22"/>
  <c r="AH338" i="22" s="1"/>
  <c r="AI200" i="22"/>
  <c r="AH200" i="22" s="1"/>
  <c r="AI209" i="22"/>
  <c r="AH209" i="22" s="1"/>
  <c r="AI63" i="22"/>
  <c r="AH63" i="22" s="1"/>
  <c r="AI282" i="22"/>
  <c r="AH282" i="22" s="1"/>
  <c r="AI190" i="22"/>
  <c r="AH190" i="22" s="1"/>
  <c r="AI52" i="22"/>
  <c r="AH52" i="22" s="1"/>
  <c r="AI267" i="22"/>
  <c r="AH267" i="22" s="1"/>
  <c r="AI302" i="22"/>
  <c r="AH302" i="22" s="1"/>
  <c r="AI164" i="22"/>
  <c r="AH164" i="22" s="1"/>
  <c r="AI379" i="22"/>
  <c r="AI17" i="22"/>
  <c r="AH17" i="22" s="1"/>
  <c r="AI246" i="22"/>
  <c r="AH246" i="22" s="1"/>
  <c r="AI44" i="22"/>
  <c r="AH44" i="22" s="1"/>
  <c r="AI112" i="22"/>
  <c r="AH112" i="22" s="1"/>
  <c r="AI335" i="22"/>
  <c r="AH335" i="22" s="1"/>
  <c r="AI357" i="22"/>
  <c r="AH357" i="22" s="1"/>
  <c r="AI194" i="22"/>
  <c r="AH194" i="22" s="1"/>
  <c r="AI56" i="22"/>
  <c r="AH56" i="22" s="1"/>
  <c r="AI215" i="22"/>
  <c r="AH215" i="22" s="1"/>
  <c r="AI291" i="22"/>
  <c r="AH291" i="22" s="1"/>
  <c r="AI153" i="22"/>
  <c r="AH153" i="22" s="1"/>
  <c r="AI158" i="22"/>
  <c r="AH158" i="22" s="1"/>
  <c r="AI20" i="22"/>
  <c r="AH20" i="22" s="1"/>
  <c r="AI310" i="22"/>
  <c r="AH310" i="22" s="1"/>
  <c r="AI235" i="22"/>
  <c r="AH235" i="22" s="1"/>
  <c r="AI108" i="22"/>
  <c r="AH108" i="22" s="1"/>
  <c r="AI167" i="22"/>
  <c r="AH167" i="22" s="1"/>
  <c r="AI176" i="22"/>
  <c r="AH176" i="22" s="1"/>
  <c r="AI109" i="22"/>
  <c r="AH109" i="22" s="1"/>
  <c r="AI38" i="22"/>
  <c r="AH38" i="22" s="1"/>
  <c r="AI140" i="22"/>
  <c r="AH140" i="22" s="1"/>
  <c r="AI231" i="22"/>
  <c r="AH231" i="22" s="1"/>
  <c r="AI208" i="22"/>
  <c r="AH208" i="22" s="1"/>
  <c r="AI141" i="22"/>
  <c r="AH141" i="22" s="1"/>
  <c r="AI70" i="22"/>
  <c r="AH70" i="22" s="1"/>
  <c r="AI360" i="22"/>
  <c r="AH360" i="22" s="1"/>
  <c r="AI188" i="22"/>
  <c r="AH188" i="22" s="1"/>
  <c r="AI369" i="22"/>
  <c r="AH369" i="22" s="1"/>
  <c r="AI290" i="22"/>
  <c r="AH290" i="22" s="1"/>
  <c r="AI223" i="22"/>
  <c r="AH223" i="22" s="1"/>
  <c r="AI152" i="22"/>
  <c r="AH152" i="22" s="1"/>
  <c r="AI21" i="22"/>
  <c r="AH21" i="22" s="1"/>
  <c r="AI311" i="22"/>
  <c r="AH311" i="22" s="1"/>
  <c r="AI97" i="22"/>
  <c r="AH97" i="22" s="1"/>
  <c r="AI19" i="22"/>
  <c r="AH19" i="22" s="1"/>
  <c r="AI324" i="22"/>
  <c r="AH324" i="22" s="1"/>
  <c r="AI249" i="22"/>
  <c r="AH249" i="22" s="1"/>
  <c r="AI170" i="22"/>
  <c r="AH170" i="22" s="1"/>
  <c r="AI254" i="22"/>
  <c r="AH254" i="22" s="1"/>
  <c r="AI179" i="22"/>
  <c r="AH179" i="22" s="1"/>
  <c r="AI116" i="22"/>
  <c r="AH116" i="22" s="1"/>
  <c r="AI41" i="22"/>
  <c r="AH41" i="22" s="1"/>
  <c r="AI331" i="22"/>
  <c r="AH331" i="22" s="1"/>
  <c r="AI204" i="22"/>
  <c r="AH204" i="22" s="1"/>
  <c r="AI343" i="22"/>
  <c r="AH343" i="22" s="1"/>
  <c r="AI272" i="22"/>
  <c r="AH272" i="22" s="1"/>
  <c r="AI205" i="22"/>
  <c r="AH205" i="22" s="1"/>
  <c r="AI134" i="22"/>
  <c r="AH134" i="22" s="1"/>
  <c r="AI59" i="22"/>
  <c r="AH59" i="22" s="1"/>
  <c r="AI316" i="22"/>
  <c r="AH316" i="22" s="1"/>
  <c r="AI64" i="22"/>
  <c r="AH64" i="22" s="1"/>
  <c r="AI354" i="22"/>
  <c r="AH354" i="22" s="1"/>
  <c r="AI287" i="22"/>
  <c r="AH287" i="22" s="1"/>
  <c r="AI216" i="22"/>
  <c r="AH216" i="22" s="1"/>
  <c r="AI85" i="22"/>
  <c r="AH85" i="22" s="1"/>
  <c r="AI133" i="22"/>
  <c r="AH133" i="22" s="1"/>
  <c r="AI161" i="22"/>
  <c r="AH161" i="22" s="1"/>
  <c r="AI82" i="22"/>
  <c r="AH82" i="22" s="1"/>
  <c r="AI18" i="22"/>
  <c r="AH18" i="22" s="1"/>
  <c r="AI313" i="22"/>
  <c r="AH313" i="22" s="1"/>
  <c r="AI234" i="22"/>
  <c r="AH234" i="22" s="1"/>
  <c r="AI318" i="22"/>
  <c r="AH318" i="22" s="1"/>
  <c r="AI243" i="22"/>
  <c r="AH243" i="22" s="1"/>
  <c r="AI180" i="22"/>
  <c r="AH180" i="22" s="1"/>
  <c r="AI105" i="22"/>
  <c r="AH105" i="22" s="1"/>
  <c r="AI26" i="22"/>
  <c r="AH26" i="22" s="1"/>
  <c r="AI219" i="22"/>
  <c r="AH219" i="22" s="1"/>
  <c r="AI263" i="22"/>
  <c r="AH263" i="22" s="1"/>
  <c r="AI224" i="22"/>
  <c r="AH224" i="22" s="1"/>
  <c r="AI157" i="22"/>
  <c r="AH157" i="22" s="1"/>
  <c r="AI86" i="22"/>
  <c r="AH86" i="22" s="1"/>
  <c r="AI376" i="22"/>
  <c r="AH376" i="22" s="1"/>
  <c r="AI117" i="22"/>
  <c r="AH117" i="22" s="1"/>
  <c r="AI193" i="22"/>
  <c r="AH193" i="22" s="1"/>
  <c r="AI47" i="22"/>
  <c r="AH47" i="22" s="1"/>
  <c r="AI266" i="22"/>
  <c r="AH266" i="22" s="1"/>
  <c r="AI275" i="22"/>
  <c r="AH275" i="22" s="1"/>
  <c r="AI137" i="22"/>
  <c r="AH137" i="22" s="1"/>
  <c r="AI300" i="22"/>
  <c r="AH300" i="22" s="1"/>
  <c r="AI368" i="22"/>
  <c r="AH368" i="22" s="1"/>
  <c r="AI230" i="22"/>
  <c r="AH230" i="22" s="1"/>
  <c r="AI135" i="22"/>
  <c r="AH135" i="22" s="1"/>
  <c r="AI93" i="22"/>
  <c r="AH93" i="22" s="1"/>
  <c r="AI312" i="22"/>
  <c r="AH312" i="22" s="1"/>
  <c r="AI325" i="22"/>
  <c r="AH325" i="22" s="1"/>
  <c r="AI178" i="22"/>
  <c r="AH178" i="22" s="1"/>
  <c r="AI40" i="22"/>
  <c r="AH40" i="22" s="1"/>
  <c r="AI49" i="22"/>
  <c r="AH49" i="22" s="1"/>
  <c r="AI276" i="22"/>
  <c r="AH276" i="22" s="1"/>
  <c r="AI122" i="22"/>
  <c r="AH122" i="22" s="1"/>
  <c r="AI365" i="22"/>
  <c r="AH365" i="22" s="1"/>
  <c r="AI99" i="22"/>
  <c r="AH99" i="22" s="1"/>
  <c r="AI327" i="22"/>
  <c r="AH327" i="22" s="1"/>
  <c r="AI43" i="22"/>
  <c r="AH43" i="22" s="1"/>
  <c r="AI274" i="22"/>
  <c r="AH274" i="22" s="1"/>
  <c r="AI145" i="22"/>
  <c r="AH145" i="22" s="1"/>
  <c r="AI218" i="22"/>
  <c r="AH218" i="22" s="1"/>
  <c r="AI100" i="22"/>
  <c r="AH100" i="22" s="1"/>
  <c r="AI320" i="22"/>
  <c r="AH320" i="22" s="1"/>
  <c r="AI341" i="22"/>
  <c r="AH341" i="22" s="1"/>
  <c r="AI271" i="22"/>
  <c r="AH271" i="22" s="1"/>
  <c r="AI130" i="22"/>
  <c r="AH130" i="22" s="1"/>
  <c r="AI106" i="22"/>
  <c r="AH106" i="22" s="1"/>
  <c r="AI342" i="22"/>
  <c r="AH342" i="22" s="1"/>
  <c r="AI227" i="22"/>
  <c r="AH227" i="22" s="1"/>
  <c r="AI94" i="22"/>
  <c r="AH94" i="22" s="1"/>
  <c r="AI171" i="22"/>
  <c r="AH171" i="22" s="1"/>
  <c r="AI45" i="22"/>
  <c r="AH45" i="22" s="1"/>
  <c r="AI273" i="22"/>
  <c r="AH273" i="22" s="1"/>
  <c r="AI346" i="22"/>
  <c r="AH346" i="22" s="1"/>
  <c r="AI228" i="22"/>
  <c r="AH228" i="22" s="1"/>
  <c r="AI83" i="22"/>
  <c r="AH83" i="22" s="1"/>
  <c r="AI88" i="22"/>
  <c r="AH88" i="22" s="1"/>
  <c r="AI247" i="22"/>
  <c r="AH247" i="22" s="1"/>
  <c r="AI323" i="22"/>
  <c r="AH323" i="22" s="1"/>
  <c r="AI185" i="22"/>
  <c r="AH185" i="22" s="1"/>
  <c r="AI65" i="22"/>
  <c r="AH65" i="22" s="1"/>
  <c r="AI292" i="22"/>
  <c r="AH292" i="22" s="1"/>
  <c r="AI138" i="22"/>
  <c r="AH138" i="22" s="1"/>
  <c r="AI147" i="22"/>
  <c r="AH147" i="22" s="1"/>
  <c r="AI374" i="22"/>
  <c r="AH374" i="22" s="1"/>
  <c r="AI172" i="22"/>
  <c r="AH172" i="22" s="1"/>
  <c r="AI240" i="22"/>
  <c r="AH240" i="22" s="1"/>
  <c r="AI102" i="22"/>
  <c r="AH102" i="22" s="1"/>
  <c r="AI252" i="22"/>
  <c r="AH252" i="22" s="1"/>
  <c r="AI322" i="22"/>
  <c r="AH322" i="22" s="1"/>
  <c r="AI184" i="22"/>
  <c r="AH184" i="22" s="1"/>
  <c r="AI69" i="22"/>
  <c r="AH69" i="22" s="1"/>
  <c r="AI50" i="22"/>
  <c r="AH50" i="22" s="1"/>
  <c r="AI281" i="22"/>
  <c r="AH281" i="22" s="1"/>
  <c r="AI286" i="22"/>
  <c r="AH286" i="22" s="1"/>
  <c r="AI148" i="22"/>
  <c r="AH148" i="22" s="1"/>
  <c r="AI363" i="22"/>
  <c r="AH363" i="22" s="1"/>
  <c r="AI375" i="22"/>
  <c r="AH375" i="22" s="1"/>
  <c r="AI237" i="22"/>
  <c r="AH237" i="22" s="1"/>
  <c r="AI91" i="22"/>
  <c r="AH91" i="22" s="1"/>
  <c r="AI96" i="22"/>
  <c r="AH96" i="22" s="1"/>
  <c r="AI319" i="22"/>
  <c r="AH319" i="22" s="1"/>
  <c r="AI72" i="22"/>
  <c r="AH72" i="22" s="1"/>
  <c r="AI81" i="22"/>
  <c r="AH81" i="22" s="1"/>
  <c r="AI308" i="22"/>
  <c r="AH308" i="22" s="1"/>
  <c r="AI154" i="22"/>
  <c r="AH154" i="22" s="1"/>
  <c r="AI142" i="22"/>
  <c r="AH142" i="22" s="1"/>
  <c r="AI23" i="22"/>
  <c r="AH23" i="22" s="1"/>
  <c r="AI326" i="22"/>
  <c r="AH326" i="22" s="1"/>
  <c r="AI189" i="22"/>
  <c r="AH189" i="22" s="1"/>
  <c r="AI156" i="22"/>
  <c r="AH156" i="22" s="1"/>
  <c r="AI136" i="22"/>
  <c r="AH136" i="22" s="1"/>
  <c r="AI372" i="22"/>
  <c r="AH372" i="22" s="1"/>
  <c r="AI238" i="22"/>
  <c r="AH238" i="22" s="1"/>
  <c r="AI315" i="22"/>
  <c r="AH315" i="22" s="1"/>
  <c r="AI182" i="22"/>
  <c r="AH182" i="22" s="1"/>
  <c r="AI48" i="22"/>
  <c r="AH48" i="22" s="1"/>
  <c r="AI229" i="22"/>
  <c r="AH229" i="22" s="1"/>
  <c r="AI361" i="22"/>
  <c r="AH361" i="22" s="1"/>
  <c r="AI115" i="22"/>
  <c r="AH115" i="22" s="1"/>
  <c r="AI151" i="22"/>
  <c r="AH151" i="22" s="1"/>
  <c r="AI89" i="22"/>
  <c r="AH89" i="22" s="1"/>
  <c r="AI317" i="22"/>
  <c r="AH317" i="22" s="1"/>
  <c r="AI39" i="22"/>
  <c r="AH39" i="22" s="1"/>
  <c r="AI264" i="22"/>
  <c r="AH264" i="22" s="1"/>
  <c r="AI127" i="22"/>
  <c r="AH127" i="22" s="1"/>
  <c r="AI366" i="22"/>
  <c r="AH366" i="22" s="1"/>
  <c r="AI74" i="22"/>
  <c r="AH74" i="22" s="1"/>
  <c r="AI159" i="22"/>
  <c r="AH159" i="22" s="1"/>
  <c r="AI378" i="22"/>
  <c r="AH378" i="22" s="1"/>
  <c r="AI33" i="22"/>
  <c r="AH33" i="22" s="1"/>
  <c r="AI260" i="22"/>
  <c r="AH260" i="22" s="1"/>
  <c r="AI279" i="22"/>
  <c r="AH279" i="22" s="1"/>
  <c r="AI355" i="22"/>
  <c r="AH355" i="22" s="1"/>
  <c r="AI217" i="22"/>
  <c r="AH217" i="22" s="1"/>
  <c r="AI222" i="22"/>
  <c r="AH222" i="22" s="1"/>
  <c r="AI84" i="22"/>
  <c r="AH84" i="22" s="1"/>
  <c r="AI299" i="22"/>
  <c r="AH299" i="22" s="1"/>
  <c r="AI295" i="22"/>
  <c r="AH295" i="22" s="1"/>
  <c r="AI173" i="22"/>
  <c r="AH173" i="22" s="1"/>
  <c r="AI27" i="22"/>
  <c r="AH27" i="22" s="1"/>
  <c r="AI32" i="22"/>
  <c r="AH32" i="22" s="1"/>
  <c r="AI255" i="22"/>
  <c r="AH255" i="22" s="1"/>
  <c r="AI53" i="22"/>
  <c r="AH53" i="22" s="1"/>
  <c r="AI129" i="22"/>
  <c r="AH129" i="22" s="1"/>
  <c r="AI356" i="22"/>
  <c r="AH356" i="22" s="1"/>
  <c r="AI202" i="22"/>
  <c r="AH202" i="22" s="1"/>
  <c r="AI211" i="22"/>
  <c r="AH211" i="22" s="1"/>
  <c r="AI73" i="22"/>
  <c r="AH73" i="22" s="1"/>
  <c r="AI236" i="22"/>
  <c r="AH236" i="22" s="1"/>
  <c r="AI304" i="22"/>
  <c r="AH304" i="22" s="1"/>
  <c r="AI166" i="22"/>
  <c r="AH166" i="22" s="1"/>
  <c r="AI380" i="22"/>
  <c r="AH380" i="22" s="1"/>
  <c r="AI29" i="22"/>
  <c r="AH29" i="22" s="1"/>
  <c r="AI248" i="22"/>
  <c r="AH248" i="22" s="1"/>
  <c r="AI362" i="22"/>
  <c r="AH362" i="22" s="1"/>
  <c r="AI371" i="22"/>
  <c r="AH371" i="22" s="1"/>
  <c r="AI233" i="22"/>
  <c r="AH233" i="22" s="1"/>
  <c r="AG104" i="20"/>
  <c r="AH383" i="20"/>
  <c r="AH381" i="20"/>
  <c r="AH382" i="20"/>
  <c r="D351" i="22"/>
  <c r="E351" i="22" s="1"/>
  <c r="F351" i="22" s="1"/>
  <c r="W351" i="22"/>
  <c r="D43" i="22"/>
  <c r="E43" i="22" s="1"/>
  <c r="F43" i="22" s="1"/>
  <c r="W43" i="22"/>
  <c r="W222" i="22"/>
  <c r="D222" i="22"/>
  <c r="E222" i="22" s="1"/>
  <c r="F222" i="22" s="1"/>
  <c r="W371" i="22"/>
  <c r="W233" i="22"/>
  <c r="D146" i="22"/>
  <c r="E146" i="22" s="1"/>
  <c r="F146" i="22" s="1"/>
  <c r="W146" i="22"/>
  <c r="D17" i="22"/>
  <c r="E17" i="22" s="1"/>
  <c r="F17" i="22" s="1"/>
  <c r="D143" i="22"/>
  <c r="E143" i="22" s="1"/>
  <c r="F143" i="22" s="1"/>
  <c r="W143" i="22"/>
  <c r="W124" i="22"/>
  <c r="D124" i="22"/>
  <c r="E124" i="22" s="1"/>
  <c r="F124" i="22" s="1"/>
  <c r="W345" i="22"/>
  <c r="D345" i="22"/>
  <c r="E345" i="22" s="1"/>
  <c r="F345" i="22" s="1"/>
  <c r="D240" i="22"/>
  <c r="E240" i="22" s="1"/>
  <c r="F240" i="22" s="1"/>
  <c r="W240" i="22"/>
  <c r="W287" i="22"/>
  <c r="D287" i="22"/>
  <c r="E287" i="22" s="1"/>
  <c r="F287" i="22" s="1"/>
  <c r="W35" i="22"/>
  <c r="W281" i="22"/>
  <c r="D281" i="22"/>
  <c r="E281" i="22" s="1"/>
  <c r="F281" i="22" s="1"/>
  <c r="D53" i="22"/>
  <c r="E53" i="22" s="1"/>
  <c r="F53" i="22" s="1"/>
  <c r="W53" i="22"/>
  <c r="AH32" i="7"/>
  <c r="W274" i="22"/>
  <c r="D274" i="22"/>
  <c r="E274" i="22" s="1"/>
  <c r="F274" i="22" s="1"/>
  <c r="D111" i="22"/>
  <c r="E111" i="22" s="1"/>
  <c r="F111" i="22" s="1"/>
  <c r="W111" i="22"/>
  <c r="D321" i="22"/>
  <c r="E321" i="22" s="1"/>
  <c r="F321" i="22" s="1"/>
  <c r="W321" i="22"/>
  <c r="W305" i="22"/>
  <c r="D305" i="22"/>
  <c r="E305" i="22" s="1"/>
  <c r="F305" i="22" s="1"/>
  <c r="H146" i="20"/>
  <c r="I146" i="20" s="1"/>
  <c r="B146" i="6" s="1"/>
  <c r="BA146" i="6" s="1"/>
  <c r="D105" i="22"/>
  <c r="E105" i="22" s="1"/>
  <c r="F105" i="22" s="1"/>
  <c r="W105" i="22"/>
  <c r="W288" i="22"/>
  <c r="D288" i="22"/>
  <c r="E288" i="22" s="1"/>
  <c r="F288" i="22" s="1"/>
  <c r="G288" i="22" s="1"/>
  <c r="CC288" i="6" s="1"/>
  <c r="I172" i="20"/>
  <c r="B172" i="6" s="1"/>
  <c r="BA172" i="6" s="1"/>
  <c r="J172" i="20"/>
  <c r="C172" i="6" s="1"/>
  <c r="I297" i="20"/>
  <c r="B297" i="6" s="1"/>
  <c r="BA297" i="6" s="1"/>
  <c r="J297" i="20"/>
  <c r="C297" i="6" s="1"/>
  <c r="J274" i="20"/>
  <c r="C274" i="6" s="1"/>
  <c r="I274" i="20"/>
  <c r="B274" i="6" s="1"/>
  <c r="BA274" i="6" s="1"/>
  <c r="J30" i="20"/>
  <c r="C30" i="6" s="1"/>
  <c r="I30" i="20"/>
  <c r="B30" i="6" s="1"/>
  <c r="BA30" i="6" s="1"/>
  <c r="I216" i="20"/>
  <c r="B216" i="6" s="1"/>
  <c r="BA216" i="6" s="1"/>
  <c r="J216" i="20"/>
  <c r="C216" i="6" s="1"/>
  <c r="I131" i="20"/>
  <c r="B131" i="6" s="1"/>
  <c r="BA131" i="6" s="1"/>
  <c r="J131" i="20"/>
  <c r="C131" i="6" s="1"/>
  <c r="J141" i="20"/>
  <c r="C141" i="6" s="1"/>
  <c r="I141" i="20"/>
  <c r="B141" i="6" s="1"/>
  <c r="BA141" i="6" s="1"/>
  <c r="AA29" i="20"/>
  <c r="Z29" i="20" s="1"/>
  <c r="Y29" i="20" s="1"/>
  <c r="G29" i="20"/>
  <c r="CB29" i="6" s="1"/>
  <c r="H29" i="20"/>
  <c r="AA363" i="20"/>
  <c r="Z363" i="20" s="1"/>
  <c r="Y363" i="20" s="1"/>
  <c r="G363" i="20"/>
  <c r="CB363" i="6" s="1"/>
  <c r="H363" i="20"/>
  <c r="G135" i="20"/>
  <c r="CB135" i="6" s="1"/>
  <c r="H135" i="20"/>
  <c r="AA135" i="20"/>
  <c r="Z135" i="20" s="1"/>
  <c r="Y135" i="20" s="1"/>
  <c r="J338" i="20"/>
  <c r="C338" i="6" s="1"/>
  <c r="I338" i="20"/>
  <c r="B338" i="6" s="1"/>
  <c r="BA338" i="6" s="1"/>
  <c r="J339" i="20"/>
  <c r="C339" i="6" s="1"/>
  <c r="I339" i="20"/>
  <c r="B339" i="6" s="1"/>
  <c r="BA339" i="6" s="1"/>
  <c r="H349" i="20"/>
  <c r="G349" i="20"/>
  <c r="CB349" i="6" s="1"/>
  <c r="AA349" i="20"/>
  <c r="Z349" i="20" s="1"/>
  <c r="Y349" i="20" s="1"/>
  <c r="J286" i="20"/>
  <c r="C286" i="6" s="1"/>
  <c r="I286" i="20"/>
  <c r="B286" i="6" s="1"/>
  <c r="BA286" i="6" s="1"/>
  <c r="J260" i="20"/>
  <c r="C260" i="6" s="1"/>
  <c r="I260" i="20"/>
  <c r="B260" i="6" s="1"/>
  <c r="BA260" i="6" s="1"/>
  <c r="I157" i="20"/>
  <c r="B157" i="6" s="1"/>
  <c r="BA157" i="6" s="1"/>
  <c r="J157" i="20"/>
  <c r="C157" i="6" s="1"/>
  <c r="J346" i="20"/>
  <c r="C346" i="6" s="1"/>
  <c r="I346" i="20"/>
  <c r="B346" i="6" s="1"/>
  <c r="BA346" i="6" s="1"/>
  <c r="J217" i="20"/>
  <c r="C217" i="6" s="1"/>
  <c r="I217" i="20"/>
  <c r="B217" i="6" s="1"/>
  <c r="BA217" i="6" s="1"/>
  <c r="I232" i="20"/>
  <c r="B232" i="6" s="1"/>
  <c r="BA232" i="6" s="1"/>
  <c r="J232" i="20"/>
  <c r="C232" i="6" s="1"/>
  <c r="G258" i="20"/>
  <c r="CB258" i="6" s="1"/>
  <c r="AA258" i="20"/>
  <c r="Z258" i="20" s="1"/>
  <c r="Y258" i="20" s="1"/>
  <c r="H258" i="20"/>
  <c r="J201" i="20"/>
  <c r="C201" i="6" s="1"/>
  <c r="I201" i="20"/>
  <c r="B201" i="6" s="1"/>
  <c r="BA201" i="6" s="1"/>
  <c r="J70" i="20"/>
  <c r="C70" i="6" s="1"/>
  <c r="I70" i="20"/>
  <c r="B70" i="6" s="1"/>
  <c r="BA70" i="6" s="1"/>
  <c r="G288" i="20"/>
  <c r="CB288" i="6" s="1"/>
  <c r="AA288" i="20"/>
  <c r="Z288" i="20" s="1"/>
  <c r="Y288" i="20" s="1"/>
  <c r="H288" i="20"/>
  <c r="J353" i="20"/>
  <c r="C353" i="6" s="1"/>
  <c r="I353" i="20"/>
  <c r="B353" i="6" s="1"/>
  <c r="BA353" i="6" s="1"/>
  <c r="J246" i="20"/>
  <c r="C246" i="6" s="1"/>
  <c r="I246" i="20"/>
  <c r="B246" i="6" s="1"/>
  <c r="BA246" i="6" s="1"/>
  <c r="I283" i="20"/>
  <c r="B283" i="6" s="1"/>
  <c r="BA283" i="6" s="1"/>
  <c r="J283" i="20"/>
  <c r="C283" i="6" s="1"/>
  <c r="J357" i="20"/>
  <c r="C357" i="6" s="1"/>
  <c r="I357" i="20"/>
  <c r="B357" i="6" s="1"/>
  <c r="BA357" i="6" s="1"/>
  <c r="I334" i="20"/>
  <c r="B334" i="6" s="1"/>
  <c r="BA334" i="6" s="1"/>
  <c r="J334" i="20"/>
  <c r="C334" i="6" s="1"/>
  <c r="J263" i="20"/>
  <c r="C263" i="6" s="1"/>
  <c r="I263" i="20"/>
  <c r="B263" i="6" s="1"/>
  <c r="BA263" i="6" s="1"/>
  <c r="I261" i="20"/>
  <c r="B261" i="6" s="1"/>
  <c r="BA261" i="6" s="1"/>
  <c r="J261" i="20"/>
  <c r="C261" i="6" s="1"/>
  <c r="I362" i="20"/>
  <c r="B362" i="6" s="1"/>
  <c r="BA362" i="6" s="1"/>
  <c r="J362" i="20"/>
  <c r="C362" i="6" s="1"/>
  <c r="J21" i="20"/>
  <c r="C21" i="6" s="1"/>
  <c r="I21" i="20"/>
  <c r="B21" i="6" s="1"/>
  <c r="BA21" i="6" s="1"/>
  <c r="I63" i="20"/>
  <c r="B63" i="6" s="1"/>
  <c r="BA63" i="6" s="1"/>
  <c r="J63" i="20"/>
  <c r="C63" i="6" s="1"/>
  <c r="I327" i="20"/>
  <c r="B327" i="6" s="1"/>
  <c r="BA327" i="6" s="1"/>
  <c r="J327" i="20"/>
  <c r="C327" i="6" s="1"/>
  <c r="J101" i="20"/>
  <c r="C101" i="6" s="1"/>
  <c r="I101" i="20"/>
  <c r="B101" i="6" s="1"/>
  <c r="BA101" i="6" s="1"/>
  <c r="J277" i="20"/>
  <c r="C277" i="6" s="1"/>
  <c r="I277" i="20"/>
  <c r="B277" i="6" s="1"/>
  <c r="BA277" i="6" s="1"/>
  <c r="I122" i="20"/>
  <c r="B122" i="6" s="1"/>
  <c r="BA122" i="6" s="1"/>
  <c r="J122" i="20"/>
  <c r="C122" i="6" s="1"/>
  <c r="I276" i="20"/>
  <c r="B276" i="6" s="1"/>
  <c r="BA276" i="6" s="1"/>
  <c r="J276" i="20"/>
  <c r="C276" i="6" s="1"/>
  <c r="I163" i="20"/>
  <c r="B163" i="6" s="1"/>
  <c r="BA163" i="6" s="1"/>
  <c r="J163" i="20"/>
  <c r="C163" i="6" s="1"/>
  <c r="J348" i="20"/>
  <c r="C348" i="6" s="1"/>
  <c r="I348" i="20"/>
  <c r="B348" i="6" s="1"/>
  <c r="BA348" i="6" s="1"/>
  <c r="I117" i="20"/>
  <c r="B117" i="6" s="1"/>
  <c r="BA117" i="6" s="1"/>
  <c r="J117" i="20"/>
  <c r="C117" i="6" s="1"/>
  <c r="J161" i="20"/>
  <c r="C161" i="6" s="1"/>
  <c r="I161" i="20"/>
  <c r="B161" i="6" s="1"/>
  <c r="BA161" i="6" s="1"/>
  <c r="J211" i="20"/>
  <c r="C211" i="6" s="1"/>
  <c r="I211" i="20"/>
  <c r="B211" i="6" s="1"/>
  <c r="BA211" i="6" s="1"/>
  <c r="J255" i="20"/>
  <c r="C255" i="6" s="1"/>
  <c r="I255" i="20"/>
  <c r="B255" i="6" s="1"/>
  <c r="BA255" i="6" s="1"/>
  <c r="J254" i="20"/>
  <c r="C254" i="6" s="1"/>
  <c r="I254" i="20"/>
  <c r="B254" i="6" s="1"/>
  <c r="BA254" i="6" s="1"/>
  <c r="I314" i="20"/>
  <c r="B314" i="6" s="1"/>
  <c r="BA314" i="6" s="1"/>
  <c r="J314" i="20"/>
  <c r="C314" i="6" s="1"/>
  <c r="I183" i="20"/>
  <c r="B183" i="6" s="1"/>
  <c r="BA183" i="6" s="1"/>
  <c r="J183" i="20"/>
  <c r="C183" i="6" s="1"/>
  <c r="I257" i="20"/>
  <c r="B257" i="6" s="1"/>
  <c r="BA257" i="6" s="1"/>
  <c r="J257" i="20"/>
  <c r="C257" i="6" s="1"/>
  <c r="J73" i="20"/>
  <c r="C73" i="6" s="1"/>
  <c r="I73" i="20"/>
  <c r="B73" i="6" s="1"/>
  <c r="BA73" i="6" s="1"/>
  <c r="J313" i="20"/>
  <c r="C313" i="6" s="1"/>
  <c r="I313" i="20"/>
  <c r="B313" i="6" s="1"/>
  <c r="BA313" i="6" s="1"/>
  <c r="G196" i="20"/>
  <c r="CB196" i="6" s="1"/>
  <c r="H196" i="20"/>
  <c r="AA196" i="20"/>
  <c r="Z196" i="20" s="1"/>
  <c r="Y196" i="20" s="1"/>
  <c r="J148" i="20"/>
  <c r="C148" i="6" s="1"/>
  <c r="I148" i="20"/>
  <c r="B148" i="6" s="1"/>
  <c r="BA148" i="6" s="1"/>
  <c r="G210" i="20"/>
  <c r="CB210" i="6" s="1"/>
  <c r="H210" i="20"/>
  <c r="AA210" i="20"/>
  <c r="Z210" i="20" s="1"/>
  <c r="Y210" i="20" s="1"/>
  <c r="J247" i="20"/>
  <c r="C247" i="6" s="1"/>
  <c r="I247" i="20"/>
  <c r="B247" i="6" s="1"/>
  <c r="BA247" i="6" s="1"/>
  <c r="G319" i="20"/>
  <c r="CB319" i="6" s="1"/>
  <c r="AA319" i="20"/>
  <c r="Z319" i="20" s="1"/>
  <c r="Y319" i="20" s="1"/>
  <c r="H319" i="20"/>
  <c r="I193" i="20"/>
  <c r="B193" i="6" s="1"/>
  <c r="BA193" i="6" s="1"/>
  <c r="J193" i="20"/>
  <c r="C193" i="6" s="1"/>
  <c r="J197" i="20"/>
  <c r="C197" i="6" s="1"/>
  <c r="I197" i="20"/>
  <c r="B197" i="6" s="1"/>
  <c r="BA197" i="6" s="1"/>
  <c r="I52" i="20"/>
  <c r="B52" i="6" s="1"/>
  <c r="BA52" i="6" s="1"/>
  <c r="J52" i="20"/>
  <c r="C52" i="6" s="1"/>
  <c r="I310" i="20"/>
  <c r="B310" i="6" s="1"/>
  <c r="BA310" i="6" s="1"/>
  <c r="J310" i="20"/>
  <c r="C310" i="6" s="1"/>
  <c r="I289" i="20"/>
  <c r="B289" i="6" s="1"/>
  <c r="BA289" i="6" s="1"/>
  <c r="J289" i="20"/>
  <c r="C289" i="6" s="1"/>
  <c r="J222" i="20"/>
  <c r="C222" i="6" s="1"/>
  <c r="I222" i="20"/>
  <c r="B222" i="6" s="1"/>
  <c r="BA222" i="6" s="1"/>
  <c r="J92" i="20"/>
  <c r="C92" i="6" s="1"/>
  <c r="I92" i="20"/>
  <c r="B92" i="6" s="1"/>
  <c r="BA92" i="6" s="1"/>
  <c r="I243" i="20"/>
  <c r="B243" i="6" s="1"/>
  <c r="BA243" i="6" s="1"/>
  <c r="J243" i="20"/>
  <c r="C243" i="6" s="1"/>
  <c r="J185" i="20"/>
  <c r="C185" i="6" s="1"/>
  <c r="I185" i="20"/>
  <c r="B185" i="6" s="1"/>
  <c r="BA185" i="6" s="1"/>
  <c r="I275" i="20"/>
  <c r="B275" i="6" s="1"/>
  <c r="BA275" i="6" s="1"/>
  <c r="J275" i="20"/>
  <c r="C275" i="6" s="1"/>
  <c r="I355" i="20"/>
  <c r="B355" i="6" s="1"/>
  <c r="BA355" i="6" s="1"/>
  <c r="J355" i="20"/>
  <c r="C355" i="6" s="1"/>
  <c r="G88" i="20"/>
  <c r="CB88" i="6" s="1"/>
  <c r="AA88" i="20"/>
  <c r="Z88" i="20" s="1"/>
  <c r="Y88" i="20" s="1"/>
  <c r="H88" i="20"/>
  <c r="J318" i="20"/>
  <c r="C318" i="6" s="1"/>
  <c r="I318" i="20"/>
  <c r="B318" i="6" s="1"/>
  <c r="BA318" i="6" s="1"/>
  <c r="D238" i="22"/>
  <c r="E238" i="22" s="1"/>
  <c r="F238" i="22" s="1"/>
  <c r="W238" i="22"/>
  <c r="W89" i="22"/>
  <c r="D89" i="22"/>
  <c r="E89" i="22" s="1"/>
  <c r="F89" i="22" s="1"/>
  <c r="D92" i="22"/>
  <c r="E92" i="22" s="1"/>
  <c r="F92" i="22" s="1"/>
  <c r="W92" i="22"/>
  <c r="W242" i="22"/>
  <c r="D242" i="22"/>
  <c r="E242" i="22" s="1"/>
  <c r="F242" i="22" s="1"/>
  <c r="D108" i="22"/>
  <c r="E108" i="22" s="1"/>
  <c r="F108" i="22" s="1"/>
  <c r="W108" i="22"/>
  <c r="V60" i="22"/>
  <c r="AH33" i="7"/>
  <c r="D346" i="22"/>
  <c r="E346" i="22" s="1"/>
  <c r="F346" i="22" s="1"/>
  <c r="W257" i="22"/>
  <c r="D257" i="22"/>
  <c r="E257" i="22" s="1"/>
  <c r="F257" i="22" s="1"/>
  <c r="W107" i="22"/>
  <c r="W28" i="22"/>
  <c r="D28" i="22"/>
  <c r="E28" i="22" s="1"/>
  <c r="F28" i="22" s="1"/>
  <c r="D216" i="22"/>
  <c r="E216" i="22" s="1"/>
  <c r="F216" i="22" s="1"/>
  <c r="W216" i="22"/>
  <c r="W292" i="22"/>
  <c r="D134" i="22"/>
  <c r="E134" i="22" s="1"/>
  <c r="F134" i="22" s="1"/>
  <c r="W134" i="22"/>
  <c r="D23" i="22"/>
  <c r="E23" i="22" s="1"/>
  <c r="F23" i="22" s="1"/>
  <c r="W23" i="22"/>
  <c r="D358" i="22"/>
  <c r="E358" i="22" s="1"/>
  <c r="F358" i="22" s="1"/>
  <c r="W358" i="22"/>
  <c r="D294" i="22"/>
  <c r="E294" i="22" s="1"/>
  <c r="F294" i="22" s="1"/>
  <c r="W294" i="22"/>
  <c r="D58" i="22"/>
  <c r="E58" i="22" s="1"/>
  <c r="F58" i="22" s="1"/>
  <c r="W58" i="22"/>
  <c r="D275" i="22"/>
  <c r="E275" i="22" s="1"/>
  <c r="F275" i="22" s="1"/>
  <c r="W275" i="22"/>
  <c r="W320" i="22"/>
  <c r="D320" i="22"/>
  <c r="E320" i="22" s="1"/>
  <c r="F320" i="22" s="1"/>
  <c r="W291" i="22"/>
  <c r="D291" i="22"/>
  <c r="E291" i="22" s="1"/>
  <c r="F291" i="22" s="1"/>
  <c r="D133" i="22"/>
  <c r="E133" i="22" s="1"/>
  <c r="F133" i="22" s="1"/>
  <c r="W133" i="22"/>
  <c r="W71" i="22"/>
  <c r="D71" i="22"/>
  <c r="E71" i="22" s="1"/>
  <c r="F71" i="22" s="1"/>
  <c r="W182" i="22"/>
  <c r="D182" i="22"/>
  <c r="E182" i="22" s="1"/>
  <c r="F182" i="22" s="1"/>
  <c r="D340" i="22"/>
  <c r="E340" i="22" s="1"/>
  <c r="F340" i="22" s="1"/>
  <c r="W340" i="22"/>
  <c r="D168" i="22"/>
  <c r="E168" i="22" s="1"/>
  <c r="F168" i="22" s="1"/>
  <c r="W168" i="22"/>
  <c r="W57" i="22"/>
  <c r="D57" i="22"/>
  <c r="E57" i="22" s="1"/>
  <c r="F57" i="22" s="1"/>
  <c r="D155" i="22"/>
  <c r="E155" i="22" s="1"/>
  <c r="F155" i="22" s="1"/>
  <c r="W155" i="22"/>
  <c r="D354" i="22"/>
  <c r="E354" i="22" s="1"/>
  <c r="F354" i="22" s="1"/>
  <c r="W354" i="22"/>
  <c r="AH41" i="7"/>
  <c r="D317" i="22"/>
  <c r="E317" i="22" s="1"/>
  <c r="F317" i="22" s="1"/>
  <c r="W317" i="22"/>
  <c r="D167" i="22"/>
  <c r="E167" i="22" s="1"/>
  <c r="F167" i="22" s="1"/>
  <c r="W167" i="22"/>
  <c r="W61" i="22"/>
  <c r="D61" i="22"/>
  <c r="E61" i="22" s="1"/>
  <c r="F61" i="22" s="1"/>
  <c r="W156" i="22"/>
  <c r="D156" i="22"/>
  <c r="E156" i="22" s="1"/>
  <c r="F156" i="22" s="1"/>
  <c r="D194" i="22"/>
  <c r="E194" i="22" s="1"/>
  <c r="F194" i="22" s="1"/>
  <c r="W194" i="22"/>
  <c r="D137" i="22"/>
  <c r="E137" i="22" s="1"/>
  <c r="F137" i="22" s="1"/>
  <c r="W137" i="22"/>
  <c r="D45" i="22"/>
  <c r="E45" i="22" s="1"/>
  <c r="F45" i="22" s="1"/>
  <c r="W45" i="22"/>
  <c r="D106" i="22"/>
  <c r="E106" i="22" s="1"/>
  <c r="F106" i="22" s="1"/>
  <c r="W106" i="22"/>
  <c r="D298" i="22"/>
  <c r="E298" i="22" s="1"/>
  <c r="F298" i="22" s="1"/>
  <c r="W298" i="22"/>
  <c r="D19" i="22"/>
  <c r="E19" i="22" s="1"/>
  <c r="F19" i="22" s="1"/>
  <c r="W19" i="22"/>
  <c r="J144" i="20"/>
  <c r="C144" i="6" s="1"/>
  <c r="I144" i="20"/>
  <c r="B144" i="6" s="1"/>
  <c r="BA144" i="6" s="1"/>
  <c r="J278" i="20"/>
  <c r="C278" i="6" s="1"/>
  <c r="I278" i="20"/>
  <c r="B278" i="6" s="1"/>
  <c r="BA278" i="6" s="1"/>
  <c r="J18" i="20"/>
  <c r="C18" i="6" s="1"/>
  <c r="I18" i="20"/>
  <c r="B18" i="6" s="1"/>
  <c r="BA18" i="6" s="1"/>
  <c r="J326" i="20"/>
  <c r="C326" i="6" s="1"/>
  <c r="I326" i="20"/>
  <c r="B326" i="6" s="1"/>
  <c r="BA326" i="6" s="1"/>
  <c r="J35" i="20"/>
  <c r="C35" i="6" s="1"/>
  <c r="I35" i="20"/>
  <c r="B35" i="6" s="1"/>
  <c r="BA35" i="6" s="1"/>
  <c r="J181" i="20"/>
  <c r="C181" i="6" s="1"/>
  <c r="I181" i="20"/>
  <c r="B181" i="6" s="1"/>
  <c r="BA181" i="6" s="1"/>
  <c r="J103" i="20"/>
  <c r="C103" i="6" s="1"/>
  <c r="I103" i="20"/>
  <c r="B103" i="6" s="1"/>
  <c r="BA103" i="6" s="1"/>
  <c r="J82" i="20"/>
  <c r="C82" i="6" s="1"/>
  <c r="I82" i="20"/>
  <c r="B82" i="6" s="1"/>
  <c r="BA82" i="6" s="1"/>
  <c r="J67" i="20"/>
  <c r="C67" i="6" s="1"/>
  <c r="I67" i="20"/>
  <c r="B67" i="6" s="1"/>
  <c r="BA67" i="6" s="1"/>
  <c r="J228" i="20"/>
  <c r="C228" i="6" s="1"/>
  <c r="I228" i="20"/>
  <c r="B228" i="6" s="1"/>
  <c r="BA228" i="6" s="1"/>
  <c r="J165" i="20"/>
  <c r="C165" i="6" s="1"/>
  <c r="I165" i="20"/>
  <c r="B165" i="6" s="1"/>
  <c r="BA165" i="6" s="1"/>
  <c r="I219" i="20"/>
  <c r="B219" i="6" s="1"/>
  <c r="BA219" i="6" s="1"/>
  <c r="J219" i="20"/>
  <c r="C219" i="6" s="1"/>
  <c r="I268" i="20"/>
  <c r="B268" i="6" s="1"/>
  <c r="BA268" i="6" s="1"/>
  <c r="J268" i="20"/>
  <c r="C268" i="6" s="1"/>
  <c r="J89" i="20"/>
  <c r="C89" i="6" s="1"/>
  <c r="I89" i="20"/>
  <c r="B89" i="6" s="1"/>
  <c r="BA89" i="6" s="1"/>
  <c r="J226" i="20"/>
  <c r="C226" i="6" s="1"/>
  <c r="I226" i="20"/>
  <c r="B226" i="6" s="1"/>
  <c r="BA226" i="6" s="1"/>
  <c r="J336" i="20"/>
  <c r="C336" i="6" s="1"/>
  <c r="I336" i="20"/>
  <c r="B336" i="6" s="1"/>
  <c r="BA336" i="6" s="1"/>
  <c r="I90" i="20"/>
  <c r="B90" i="6" s="1"/>
  <c r="BA90" i="6" s="1"/>
  <c r="J90" i="20"/>
  <c r="C90" i="6" s="1"/>
  <c r="I130" i="20"/>
  <c r="B130" i="6" s="1"/>
  <c r="BA130" i="6" s="1"/>
  <c r="J130" i="20"/>
  <c r="C130" i="6" s="1"/>
  <c r="J212" i="20"/>
  <c r="C212" i="6" s="1"/>
  <c r="I212" i="20"/>
  <c r="B212" i="6" s="1"/>
  <c r="BA212" i="6" s="1"/>
  <c r="I202" i="20"/>
  <c r="B202" i="6" s="1"/>
  <c r="BA202" i="6" s="1"/>
  <c r="J202" i="20"/>
  <c r="C202" i="6" s="1"/>
  <c r="I206" i="20"/>
  <c r="B206" i="6" s="1"/>
  <c r="BA206" i="6" s="1"/>
  <c r="J206" i="20"/>
  <c r="C206" i="6" s="1"/>
  <c r="I207" i="20"/>
  <c r="B207" i="6" s="1"/>
  <c r="BA207" i="6" s="1"/>
  <c r="J207" i="20"/>
  <c r="C207" i="6" s="1"/>
  <c r="J335" i="20"/>
  <c r="C335" i="6" s="1"/>
  <c r="I335" i="20"/>
  <c r="B335" i="6" s="1"/>
  <c r="BA335" i="6" s="1"/>
  <c r="J134" i="20"/>
  <c r="C134" i="6" s="1"/>
  <c r="I134" i="20"/>
  <c r="B134" i="6" s="1"/>
  <c r="BA134" i="6" s="1"/>
  <c r="I323" i="20"/>
  <c r="B323" i="6" s="1"/>
  <c r="BA323" i="6" s="1"/>
  <c r="J323" i="20"/>
  <c r="C323" i="6" s="1"/>
  <c r="J169" i="20"/>
  <c r="C169" i="6" s="1"/>
  <c r="I169" i="20"/>
  <c r="B169" i="6" s="1"/>
  <c r="BA169" i="6" s="1"/>
  <c r="D267" i="22"/>
  <c r="E267" i="22" s="1"/>
  <c r="F267" i="22" s="1"/>
  <c r="W267" i="22"/>
  <c r="W206" i="22"/>
  <c r="D206" i="22"/>
  <c r="E206" i="22" s="1"/>
  <c r="F206" i="22" s="1"/>
  <c r="W348" i="22"/>
  <c r="D348" i="22"/>
  <c r="E348" i="22" s="1"/>
  <c r="F348" i="22" s="1"/>
  <c r="W263" i="22"/>
  <c r="D263" i="22"/>
  <c r="E263" i="22" s="1"/>
  <c r="F263" i="22" s="1"/>
  <c r="D49" i="22"/>
  <c r="E49" i="22" s="1"/>
  <c r="F49" i="22" s="1"/>
  <c r="W49" i="22"/>
  <c r="W179" i="22"/>
  <c r="D179" i="22"/>
  <c r="E179" i="22" s="1"/>
  <c r="F179" i="22" s="1"/>
  <c r="W329" i="22"/>
  <c r="D329" i="22"/>
  <c r="E329" i="22" s="1"/>
  <c r="F329" i="22" s="1"/>
  <c r="W72" i="22"/>
  <c r="D72" i="22"/>
  <c r="E72" i="22" s="1"/>
  <c r="F72" i="22" s="1"/>
  <c r="D159" i="22"/>
  <c r="E159" i="22" s="1"/>
  <c r="F159" i="22" s="1"/>
  <c r="W159" i="22"/>
  <c r="D314" i="22"/>
  <c r="E314" i="22" s="1"/>
  <c r="F314" i="22" s="1"/>
  <c r="W314" i="22"/>
  <c r="D289" i="22"/>
  <c r="E289" i="22" s="1"/>
  <c r="F289" i="22" s="1"/>
  <c r="W289" i="22"/>
  <c r="W87" i="22"/>
  <c r="D87" i="22"/>
  <c r="E87" i="22" s="1"/>
  <c r="F87" i="22" s="1"/>
  <c r="V241" i="22"/>
  <c r="AH39" i="7"/>
  <c r="D103" i="22"/>
  <c r="E103" i="22" s="1"/>
  <c r="F103" i="22" s="1"/>
  <c r="W103" i="22"/>
  <c r="W70" i="22"/>
  <c r="D70" i="22"/>
  <c r="E70" i="22" s="1"/>
  <c r="F70" i="22" s="1"/>
  <c r="W370" i="22"/>
  <c r="D370" i="22"/>
  <c r="E370" i="22" s="1"/>
  <c r="F370" i="22" s="1"/>
  <c r="W269" i="22"/>
  <c r="D269" i="22"/>
  <c r="E269" i="22" s="1"/>
  <c r="F269" i="22" s="1"/>
  <c r="W36" i="22"/>
  <c r="D36" i="22"/>
  <c r="E36" i="22" s="1"/>
  <c r="F36" i="22" s="1"/>
  <c r="W120" i="22"/>
  <c r="D120" i="22"/>
  <c r="E120" i="22" s="1"/>
  <c r="F120" i="22" s="1"/>
  <c r="W270" i="22"/>
  <c r="D270" i="22"/>
  <c r="E270" i="22" s="1"/>
  <c r="F270" i="22" s="1"/>
  <c r="D199" i="22"/>
  <c r="E199" i="22" s="1"/>
  <c r="F199" i="22" s="1"/>
  <c r="W199" i="22"/>
  <c r="D243" i="22"/>
  <c r="E243" i="22" s="1"/>
  <c r="F243" i="22" s="1"/>
  <c r="W243" i="22"/>
  <c r="D332" i="22"/>
  <c r="E332" i="22" s="1"/>
  <c r="F332" i="22" s="1"/>
  <c r="W51" i="22"/>
  <c r="D51" i="22"/>
  <c r="E51" i="22" s="1"/>
  <c r="F51" i="22" s="1"/>
  <c r="D81" i="22"/>
  <c r="E81" i="22" s="1"/>
  <c r="F81" i="22" s="1"/>
  <c r="W81" i="22"/>
  <c r="I245" i="20"/>
  <c r="B245" i="6" s="1"/>
  <c r="BA245" i="6" s="1"/>
  <c r="J245" i="20"/>
  <c r="C245" i="6" s="1"/>
  <c r="J364" i="20"/>
  <c r="C364" i="6" s="1"/>
  <c r="I364" i="20"/>
  <c r="B364" i="6" s="1"/>
  <c r="BA364" i="6" s="1"/>
  <c r="J160" i="20"/>
  <c r="C160" i="6" s="1"/>
  <c r="I160" i="20"/>
  <c r="B160" i="6" s="1"/>
  <c r="BA160" i="6" s="1"/>
  <c r="J132" i="20"/>
  <c r="C132" i="6" s="1"/>
  <c r="I132" i="20"/>
  <c r="B132" i="6" s="1"/>
  <c r="BA132" i="6" s="1"/>
  <c r="I155" i="20"/>
  <c r="B155" i="6" s="1"/>
  <c r="BA155" i="6" s="1"/>
  <c r="J155" i="20"/>
  <c r="C155" i="6" s="1"/>
  <c r="J359" i="20"/>
  <c r="C359" i="6" s="1"/>
  <c r="I359" i="20"/>
  <c r="B359" i="6" s="1"/>
  <c r="BA359" i="6" s="1"/>
  <c r="I330" i="20"/>
  <c r="B330" i="6" s="1"/>
  <c r="BA330" i="6" s="1"/>
  <c r="J330" i="20"/>
  <c r="C330" i="6" s="1"/>
  <c r="J85" i="20"/>
  <c r="C85" i="6" s="1"/>
  <c r="I85" i="20"/>
  <c r="B85" i="6" s="1"/>
  <c r="BA85" i="6" s="1"/>
  <c r="I153" i="20"/>
  <c r="B153" i="6" s="1"/>
  <c r="BA153" i="6" s="1"/>
  <c r="J153" i="20"/>
  <c r="C153" i="6" s="1"/>
  <c r="I249" i="20"/>
  <c r="B249" i="6" s="1"/>
  <c r="BA249" i="6" s="1"/>
  <c r="J249" i="20"/>
  <c r="C249" i="6" s="1"/>
  <c r="G272" i="20"/>
  <c r="CB272" i="6" s="1"/>
  <c r="H272" i="20"/>
  <c r="AA272" i="20"/>
  <c r="Z272" i="20" s="1"/>
  <c r="Y272" i="20" s="1"/>
  <c r="J175" i="20"/>
  <c r="C175" i="6" s="1"/>
  <c r="I175" i="20"/>
  <c r="B175" i="6" s="1"/>
  <c r="BA175" i="6" s="1"/>
  <c r="I110" i="20"/>
  <c r="B110" i="6" s="1"/>
  <c r="BA110" i="6" s="1"/>
  <c r="J110" i="20"/>
  <c r="C110" i="6" s="1"/>
  <c r="J75" i="20"/>
  <c r="C75" i="6" s="1"/>
  <c r="I75" i="20"/>
  <c r="B75" i="6" s="1"/>
  <c r="BA75" i="6" s="1"/>
  <c r="I192" i="20"/>
  <c r="B192" i="6" s="1"/>
  <c r="BA192" i="6" s="1"/>
  <c r="J192" i="20"/>
  <c r="C192" i="6" s="1"/>
  <c r="I303" i="20"/>
  <c r="B303" i="6" s="1"/>
  <c r="BA303" i="6" s="1"/>
  <c r="J303" i="20"/>
  <c r="C303" i="6" s="1"/>
  <c r="J178" i="20"/>
  <c r="C178" i="6" s="1"/>
  <c r="I178" i="20"/>
  <c r="B178" i="6" s="1"/>
  <c r="BA178" i="6" s="1"/>
  <c r="I56" i="20"/>
  <c r="B56" i="6" s="1"/>
  <c r="BA56" i="6" s="1"/>
  <c r="J56" i="20"/>
  <c r="C56" i="6" s="1"/>
  <c r="I262" i="20"/>
  <c r="B262" i="6" s="1"/>
  <c r="BA262" i="6" s="1"/>
  <c r="J262" i="20"/>
  <c r="C262" i="6" s="1"/>
  <c r="I199" i="20"/>
  <c r="B199" i="6" s="1"/>
  <c r="BA199" i="6" s="1"/>
  <c r="J199" i="20"/>
  <c r="C199" i="6" s="1"/>
  <c r="J305" i="20"/>
  <c r="C305" i="6" s="1"/>
  <c r="I305" i="20"/>
  <c r="B305" i="6" s="1"/>
  <c r="BA305" i="6" s="1"/>
  <c r="J340" i="20"/>
  <c r="C340" i="6" s="1"/>
  <c r="I340" i="20"/>
  <c r="B340" i="6" s="1"/>
  <c r="BA340" i="6" s="1"/>
  <c r="J308" i="20"/>
  <c r="C308" i="6" s="1"/>
  <c r="I308" i="20"/>
  <c r="B308" i="6" s="1"/>
  <c r="BA308" i="6" s="1"/>
  <c r="I187" i="20"/>
  <c r="B187" i="6" s="1"/>
  <c r="BA187" i="6" s="1"/>
  <c r="J187" i="20"/>
  <c r="C187" i="6" s="1"/>
  <c r="J229" i="20"/>
  <c r="C229" i="6" s="1"/>
  <c r="I229" i="20"/>
  <c r="B229" i="6" s="1"/>
  <c r="BA229" i="6" s="1"/>
  <c r="J311" i="20"/>
  <c r="C311" i="6" s="1"/>
  <c r="I311" i="20"/>
  <c r="B311" i="6" s="1"/>
  <c r="BA311" i="6" s="1"/>
  <c r="J104" i="20"/>
  <c r="C104" i="6" s="1"/>
  <c r="I104" i="20"/>
  <c r="B104" i="6" s="1"/>
  <c r="BA104" i="6" s="1"/>
  <c r="I356" i="20"/>
  <c r="B356" i="6" s="1"/>
  <c r="BA356" i="6" s="1"/>
  <c r="J356" i="20"/>
  <c r="C356" i="6" s="1"/>
  <c r="J121" i="20"/>
  <c r="C121" i="6" s="1"/>
  <c r="I121" i="20"/>
  <c r="B121" i="6" s="1"/>
  <c r="BA121" i="6" s="1"/>
  <c r="I91" i="20"/>
  <c r="B91" i="6" s="1"/>
  <c r="BA91" i="6" s="1"/>
  <c r="J91" i="20"/>
  <c r="C91" i="6" s="1"/>
  <c r="I213" i="20"/>
  <c r="B213" i="6" s="1"/>
  <c r="BA213" i="6" s="1"/>
  <c r="J213" i="20"/>
  <c r="C213" i="6" s="1"/>
  <c r="J80" i="20"/>
  <c r="C80" i="6" s="1"/>
  <c r="I80" i="20"/>
  <c r="B80" i="6" s="1"/>
  <c r="BA80" i="6" s="1"/>
  <c r="I143" i="20"/>
  <c r="B143" i="6" s="1"/>
  <c r="BA143" i="6" s="1"/>
  <c r="J143" i="20"/>
  <c r="C143" i="6" s="1"/>
  <c r="I350" i="20"/>
  <c r="B350" i="6" s="1"/>
  <c r="BA350" i="6" s="1"/>
  <c r="J350" i="20"/>
  <c r="C350" i="6" s="1"/>
  <c r="H138" i="20"/>
  <c r="J41" i="20"/>
  <c r="C41" i="6" s="1"/>
  <c r="I41" i="20"/>
  <c r="B41" i="6" s="1"/>
  <c r="BA41" i="6" s="1"/>
  <c r="I188" i="20"/>
  <c r="B188" i="6" s="1"/>
  <c r="BA188" i="6" s="1"/>
  <c r="J188" i="20"/>
  <c r="C188" i="6" s="1"/>
  <c r="I354" i="20"/>
  <c r="B354" i="6" s="1"/>
  <c r="BA354" i="6" s="1"/>
  <c r="J354" i="20"/>
  <c r="C354" i="6" s="1"/>
  <c r="J76" i="20"/>
  <c r="C76" i="6" s="1"/>
  <c r="I76" i="20"/>
  <c r="B76" i="6" s="1"/>
  <c r="BA76" i="6" s="1"/>
  <c r="I344" i="20"/>
  <c r="B344" i="6" s="1"/>
  <c r="BA344" i="6" s="1"/>
  <c r="J344" i="20"/>
  <c r="C344" i="6" s="1"/>
  <c r="J358" i="20"/>
  <c r="C358" i="6" s="1"/>
  <c r="I358" i="20"/>
  <c r="B358" i="6" s="1"/>
  <c r="BA358" i="6" s="1"/>
  <c r="J152" i="20"/>
  <c r="C152" i="6" s="1"/>
  <c r="I152" i="20"/>
  <c r="B152" i="6" s="1"/>
  <c r="BA152" i="6" s="1"/>
  <c r="J16" i="20"/>
  <c r="C16" i="6" s="1"/>
  <c r="I16" i="20"/>
  <c r="B16" i="6" s="1"/>
  <c r="BA16" i="6" s="1"/>
  <c r="J281" i="20"/>
  <c r="C281" i="6" s="1"/>
  <c r="I281" i="20"/>
  <c r="B281" i="6" s="1"/>
  <c r="BA281" i="6" s="1"/>
  <c r="I50" i="20"/>
  <c r="B50" i="6" s="1"/>
  <c r="BA50" i="6" s="1"/>
  <c r="J50" i="20"/>
  <c r="C50" i="6" s="1"/>
  <c r="I118" i="20"/>
  <c r="B118" i="6" s="1"/>
  <c r="BA118" i="6" s="1"/>
  <c r="J118" i="20"/>
  <c r="C118" i="6" s="1"/>
  <c r="J316" i="20"/>
  <c r="C316" i="6" s="1"/>
  <c r="I316" i="20"/>
  <c r="B316" i="6" s="1"/>
  <c r="BA316" i="6" s="1"/>
  <c r="J265" i="20"/>
  <c r="C265" i="6" s="1"/>
  <c r="I265" i="20"/>
  <c r="B265" i="6" s="1"/>
  <c r="BA265" i="6" s="1"/>
  <c r="I24" i="20"/>
  <c r="B24" i="6" s="1"/>
  <c r="BA24" i="6" s="1"/>
  <c r="J24" i="20"/>
  <c r="C24" i="6" s="1"/>
  <c r="I307" i="20"/>
  <c r="B307" i="6" s="1"/>
  <c r="BA307" i="6" s="1"/>
  <c r="J307" i="20"/>
  <c r="C307" i="6" s="1"/>
  <c r="J142" i="20"/>
  <c r="C142" i="6" s="1"/>
  <c r="I142" i="20"/>
  <c r="B142" i="6" s="1"/>
  <c r="BA142" i="6" s="1"/>
  <c r="I136" i="20"/>
  <c r="B136" i="6" s="1"/>
  <c r="BA136" i="6" s="1"/>
  <c r="J136" i="20"/>
  <c r="C136" i="6" s="1"/>
  <c r="J137" i="20"/>
  <c r="C137" i="6" s="1"/>
  <c r="I137" i="20"/>
  <c r="B137" i="6" s="1"/>
  <c r="BA137" i="6" s="1"/>
  <c r="I106" i="20"/>
  <c r="B106" i="6" s="1"/>
  <c r="BA106" i="6" s="1"/>
  <c r="J106" i="20"/>
  <c r="C106" i="6" s="1"/>
  <c r="D312" i="22"/>
  <c r="E312" i="22" s="1"/>
  <c r="F312" i="22" s="1"/>
  <c r="W312" i="22"/>
  <c r="W299" i="22"/>
  <c r="D299" i="22"/>
  <c r="E299" i="22" s="1"/>
  <c r="F299" i="22" s="1"/>
  <c r="D157" i="22"/>
  <c r="E157" i="22" s="1"/>
  <c r="F157" i="22" s="1"/>
  <c r="W157" i="22"/>
  <c r="D63" i="22"/>
  <c r="E63" i="22" s="1"/>
  <c r="F63" i="22" s="1"/>
  <c r="W63" i="22"/>
  <c r="D176" i="22"/>
  <c r="E176" i="22" s="1"/>
  <c r="F176" i="22" s="1"/>
  <c r="W176" i="22"/>
  <c r="D365" i="22"/>
  <c r="E365" i="22" s="1"/>
  <c r="F365" i="22" s="1"/>
  <c r="W365" i="22"/>
  <c r="W80" i="22"/>
  <c r="D80" i="22"/>
  <c r="E80" i="22" s="1"/>
  <c r="F80" i="22" s="1"/>
  <c r="W148" i="22"/>
  <c r="D148" i="22"/>
  <c r="E148" i="22" s="1"/>
  <c r="F148" i="22" s="1"/>
  <c r="D207" i="22"/>
  <c r="E207" i="22" s="1"/>
  <c r="F207" i="22" s="1"/>
  <c r="W207" i="22"/>
  <c r="W217" i="22"/>
  <c r="W114" i="22"/>
  <c r="D114" i="22"/>
  <c r="E114" i="22" s="1"/>
  <c r="F114" i="22" s="1"/>
  <c r="D236" i="22"/>
  <c r="E236" i="22" s="1"/>
  <c r="F236" i="22" s="1"/>
  <c r="W236" i="22"/>
  <c r="D50" i="22"/>
  <c r="E50" i="22" s="1"/>
  <c r="F50" i="22" s="1"/>
  <c r="W50" i="22"/>
  <c r="D271" i="22"/>
  <c r="E271" i="22" s="1"/>
  <c r="F271" i="22" s="1"/>
  <c r="W271" i="22"/>
  <c r="D376" i="22"/>
  <c r="E376" i="22" s="1"/>
  <c r="F376" i="22" s="1"/>
  <c r="W376" i="22"/>
  <c r="D235" i="22"/>
  <c r="E235" i="22" s="1"/>
  <c r="F235" i="22" s="1"/>
  <c r="W235" i="22"/>
  <c r="D93" i="22"/>
  <c r="E93" i="22" s="1"/>
  <c r="F93" i="22" s="1"/>
  <c r="W93" i="22"/>
  <c r="W341" i="22"/>
  <c r="D341" i="22"/>
  <c r="E341" i="22" s="1"/>
  <c r="F341" i="22" s="1"/>
  <c r="D262" i="22"/>
  <c r="E262" i="22" s="1"/>
  <c r="F262" i="22" s="1"/>
  <c r="W262" i="22"/>
  <c r="D112" i="22"/>
  <c r="E112" i="22" s="1"/>
  <c r="F112" i="22" s="1"/>
  <c r="W112" i="22"/>
  <c r="W211" i="22"/>
  <c r="D211" i="22"/>
  <c r="E211" i="22" s="1"/>
  <c r="F211" i="22" s="1"/>
  <c r="J45" i="20"/>
  <c r="C45" i="6" s="1"/>
  <c r="I45" i="20"/>
  <c r="B45" i="6" s="1"/>
  <c r="BA45" i="6" s="1"/>
  <c r="J20" i="20"/>
  <c r="C20" i="6" s="1"/>
  <c r="I20" i="20"/>
  <c r="B20" i="6" s="1"/>
  <c r="BA20" i="6" s="1"/>
  <c r="J253" i="20"/>
  <c r="C253" i="6" s="1"/>
  <c r="I253" i="20"/>
  <c r="B253" i="6" s="1"/>
  <c r="BA253" i="6" s="1"/>
  <c r="J26" i="20"/>
  <c r="C26" i="6" s="1"/>
  <c r="I26" i="20"/>
  <c r="B26" i="6" s="1"/>
  <c r="BA26" i="6" s="1"/>
  <c r="I126" i="20"/>
  <c r="B126" i="6" s="1"/>
  <c r="BA126" i="6" s="1"/>
  <c r="J126" i="20"/>
  <c r="C126" i="6" s="1"/>
  <c r="J235" i="20"/>
  <c r="C235" i="6" s="1"/>
  <c r="I235" i="20"/>
  <c r="B235" i="6" s="1"/>
  <c r="BA235" i="6" s="1"/>
  <c r="I324" i="20"/>
  <c r="B324" i="6" s="1"/>
  <c r="BA324" i="6" s="1"/>
  <c r="J324" i="20"/>
  <c r="C324" i="6" s="1"/>
  <c r="I322" i="20"/>
  <c r="B322" i="6" s="1"/>
  <c r="BA322" i="6" s="1"/>
  <c r="J322" i="20"/>
  <c r="C322" i="6" s="1"/>
  <c r="I170" i="20"/>
  <c r="B170" i="6" s="1"/>
  <c r="BA170" i="6" s="1"/>
  <c r="J170" i="20"/>
  <c r="C170" i="6" s="1"/>
  <c r="R383" i="20"/>
  <c r="R381" i="20"/>
  <c r="R382" i="20"/>
  <c r="P15" i="20"/>
  <c r="J238" i="20"/>
  <c r="C238" i="6" s="1"/>
  <c r="I238" i="20"/>
  <c r="B238" i="6" s="1"/>
  <c r="BA238" i="6" s="1"/>
  <c r="I231" i="20"/>
  <c r="B231" i="6" s="1"/>
  <c r="BA231" i="6" s="1"/>
  <c r="J231" i="20"/>
  <c r="C231" i="6" s="1"/>
  <c r="J93" i="20"/>
  <c r="C93" i="6" s="1"/>
  <c r="I93" i="20"/>
  <c r="B93" i="6" s="1"/>
  <c r="BA93" i="6" s="1"/>
  <c r="J128" i="20"/>
  <c r="C128" i="6" s="1"/>
  <c r="I128" i="20"/>
  <c r="B128" i="6" s="1"/>
  <c r="BA128" i="6" s="1"/>
  <c r="J22" i="20"/>
  <c r="C22" i="6" s="1"/>
  <c r="I22" i="20"/>
  <c r="B22" i="6" s="1"/>
  <c r="BA22" i="6" s="1"/>
  <c r="I97" i="20"/>
  <c r="B97" i="6" s="1"/>
  <c r="BA97" i="6" s="1"/>
  <c r="J97" i="20"/>
  <c r="C97" i="6" s="1"/>
  <c r="I240" i="20"/>
  <c r="B240" i="6" s="1"/>
  <c r="BA240" i="6" s="1"/>
  <c r="J240" i="20"/>
  <c r="C240" i="6" s="1"/>
  <c r="I111" i="20"/>
  <c r="B111" i="6" s="1"/>
  <c r="BA111" i="6" s="1"/>
  <c r="J111" i="20"/>
  <c r="C111" i="6" s="1"/>
  <c r="I236" i="20"/>
  <c r="B236" i="6" s="1"/>
  <c r="BA236" i="6" s="1"/>
  <c r="J236" i="20"/>
  <c r="C236" i="6" s="1"/>
  <c r="G180" i="20"/>
  <c r="CB180" i="6" s="1"/>
  <c r="AA180" i="20"/>
  <c r="Z180" i="20" s="1"/>
  <c r="Y180" i="20" s="1"/>
  <c r="H180" i="20"/>
  <c r="H27" i="20"/>
  <c r="I108" i="20"/>
  <c r="B108" i="6" s="1"/>
  <c r="BA108" i="6" s="1"/>
  <c r="J108" i="20"/>
  <c r="C108" i="6" s="1"/>
  <c r="J189" i="20"/>
  <c r="C189" i="6" s="1"/>
  <c r="I189" i="20"/>
  <c r="B189" i="6" s="1"/>
  <c r="BA189" i="6" s="1"/>
  <c r="W364" i="22"/>
  <c r="D364" i="22"/>
  <c r="E364" i="22" s="1"/>
  <c r="F364" i="22" s="1"/>
  <c r="W324" i="22"/>
  <c r="D64" i="22"/>
  <c r="E64" i="22" s="1"/>
  <c r="F64" i="22" s="1"/>
  <c r="W357" i="22"/>
  <c r="D357" i="22"/>
  <c r="E357" i="22" s="1"/>
  <c r="F357" i="22" s="1"/>
  <c r="W123" i="22"/>
  <c r="D123" i="22"/>
  <c r="E123" i="22" s="1"/>
  <c r="F123" i="22" s="1"/>
  <c r="W282" i="22"/>
  <c r="D282" i="22"/>
  <c r="E282" i="22" s="1"/>
  <c r="F282" i="22" s="1"/>
  <c r="W165" i="22"/>
  <c r="D165" i="22"/>
  <c r="E165" i="22" s="1"/>
  <c r="F165" i="22" s="1"/>
  <c r="AH35" i="7"/>
  <c r="V119" i="22"/>
  <c r="W266" i="22"/>
  <c r="D117" i="22"/>
  <c r="E117" i="22" s="1"/>
  <c r="F117" i="22" s="1"/>
  <c r="W117" i="22"/>
  <c r="D136" i="22"/>
  <c r="E136" i="22" s="1"/>
  <c r="F136" i="22" s="1"/>
  <c r="W136" i="22"/>
  <c r="W24" i="22"/>
  <c r="D24" i="22"/>
  <c r="E24" i="22" s="1"/>
  <c r="F24" i="22" s="1"/>
  <c r="D129" i="22"/>
  <c r="E129" i="22" s="1"/>
  <c r="F129" i="22" s="1"/>
  <c r="W129" i="22"/>
  <c r="W300" i="22"/>
  <c r="D158" i="22"/>
  <c r="E158" i="22" s="1"/>
  <c r="F158" i="22" s="1"/>
  <c r="W158" i="22"/>
  <c r="D187" i="22"/>
  <c r="E187" i="22" s="1"/>
  <c r="F187" i="22" s="1"/>
  <c r="W187" i="22"/>
  <c r="S379" i="22"/>
  <c r="R379" i="22" s="1"/>
  <c r="P379" i="22" s="1"/>
  <c r="Z9" i="17"/>
  <c r="Z383" i="17"/>
  <c r="Y15" i="17"/>
  <c r="Z382" i="17"/>
  <c r="Z381" i="17"/>
  <c r="AL7" i="17"/>
  <c r="I382" i="17"/>
  <c r="I381" i="17"/>
  <c r="I383" i="17"/>
  <c r="J194" i="20"/>
  <c r="C194" i="6" s="1"/>
  <c r="I194" i="20"/>
  <c r="B194" i="6" s="1"/>
  <c r="BA194" i="6" s="1"/>
  <c r="J69" i="20"/>
  <c r="C69" i="6" s="1"/>
  <c r="I69" i="20"/>
  <c r="B69" i="6" s="1"/>
  <c r="BA69" i="6" s="1"/>
  <c r="J114" i="20"/>
  <c r="C114" i="6" s="1"/>
  <c r="I114" i="20"/>
  <c r="B114" i="6" s="1"/>
  <c r="BA114" i="6" s="1"/>
  <c r="I370" i="20"/>
  <c r="B370" i="6" s="1"/>
  <c r="BA370" i="6" s="1"/>
  <c r="J370" i="20"/>
  <c r="C370" i="6" s="1"/>
  <c r="I375" i="20"/>
  <c r="B375" i="6" s="1"/>
  <c r="BA375" i="6" s="1"/>
  <c r="J375" i="20"/>
  <c r="C375" i="6" s="1"/>
  <c r="J145" i="20"/>
  <c r="C145" i="6" s="1"/>
  <c r="I145" i="20"/>
  <c r="B145" i="6" s="1"/>
  <c r="BA145" i="6" s="1"/>
  <c r="J68" i="20"/>
  <c r="C68" i="6" s="1"/>
  <c r="I68" i="20"/>
  <c r="B68" i="6" s="1"/>
  <c r="BA68" i="6" s="1"/>
  <c r="I234" i="20"/>
  <c r="B234" i="6" s="1"/>
  <c r="BA234" i="6" s="1"/>
  <c r="J234" i="20"/>
  <c r="C234" i="6" s="1"/>
  <c r="J107" i="20"/>
  <c r="C107" i="6" s="1"/>
  <c r="I107" i="20"/>
  <c r="B107" i="6" s="1"/>
  <c r="BA107" i="6" s="1"/>
  <c r="I25" i="20"/>
  <c r="B25" i="6" s="1"/>
  <c r="BA25" i="6" s="1"/>
  <c r="J25" i="20"/>
  <c r="C25" i="6" s="1"/>
  <c r="I72" i="20"/>
  <c r="B72" i="6" s="1"/>
  <c r="BA72" i="6" s="1"/>
  <c r="J72" i="20"/>
  <c r="C72" i="6" s="1"/>
  <c r="J156" i="20"/>
  <c r="C156" i="6" s="1"/>
  <c r="I156" i="20"/>
  <c r="B156" i="6" s="1"/>
  <c r="BA156" i="6" s="1"/>
  <c r="J351" i="20"/>
  <c r="C351" i="6" s="1"/>
  <c r="I351" i="20"/>
  <c r="B351" i="6" s="1"/>
  <c r="BA351" i="6" s="1"/>
  <c r="J369" i="20"/>
  <c r="C369" i="6" s="1"/>
  <c r="I369" i="20"/>
  <c r="B369" i="6" s="1"/>
  <c r="BA369" i="6" s="1"/>
  <c r="J167" i="20"/>
  <c r="C167" i="6" s="1"/>
  <c r="I167" i="20"/>
  <c r="B167" i="6" s="1"/>
  <c r="BA167" i="6" s="1"/>
  <c r="I203" i="20"/>
  <c r="B203" i="6" s="1"/>
  <c r="BA203" i="6" s="1"/>
  <c r="J203" i="20"/>
  <c r="C203" i="6" s="1"/>
  <c r="J341" i="20"/>
  <c r="C341" i="6" s="1"/>
  <c r="I341" i="20"/>
  <c r="B341" i="6" s="1"/>
  <c r="BA341" i="6" s="1"/>
  <c r="I98" i="20"/>
  <c r="B98" i="6" s="1"/>
  <c r="BA98" i="6" s="1"/>
  <c r="J98" i="20"/>
  <c r="C98" i="6" s="1"/>
  <c r="H302" i="20"/>
  <c r="G302" i="20"/>
  <c r="CB302" i="6" s="1"/>
  <c r="AA302" i="20"/>
  <c r="Z302" i="20" s="1"/>
  <c r="Y302" i="20" s="1"/>
  <c r="I154" i="20"/>
  <c r="B154" i="6" s="1"/>
  <c r="BA154" i="6" s="1"/>
  <c r="J154" i="20"/>
  <c r="C154" i="6" s="1"/>
  <c r="AA227" i="20"/>
  <c r="Z227" i="20" s="1"/>
  <c r="Y227" i="20" s="1"/>
  <c r="G227" i="20"/>
  <c r="CB227" i="6" s="1"/>
  <c r="H227" i="20"/>
  <c r="I96" i="20"/>
  <c r="B96" i="6" s="1"/>
  <c r="BA96" i="6" s="1"/>
  <c r="J96" i="20"/>
  <c r="C96" i="6" s="1"/>
  <c r="I120" i="20"/>
  <c r="B120" i="6" s="1"/>
  <c r="BA120" i="6" s="1"/>
  <c r="J120" i="20"/>
  <c r="C120" i="6" s="1"/>
  <c r="J365" i="20"/>
  <c r="C365" i="6" s="1"/>
  <c r="I365" i="20"/>
  <c r="B365" i="6" s="1"/>
  <c r="BA365" i="6" s="1"/>
  <c r="I116" i="20"/>
  <c r="B116" i="6" s="1"/>
  <c r="BA116" i="6" s="1"/>
  <c r="J116" i="20"/>
  <c r="C116" i="6" s="1"/>
  <c r="J320" i="20"/>
  <c r="C320" i="6" s="1"/>
  <c r="I320" i="20"/>
  <c r="B320" i="6" s="1"/>
  <c r="BA320" i="6" s="1"/>
  <c r="J315" i="20"/>
  <c r="C315" i="6" s="1"/>
  <c r="I315" i="20"/>
  <c r="B315" i="6" s="1"/>
  <c r="BA315" i="6" s="1"/>
  <c r="I299" i="20"/>
  <c r="B299" i="6" s="1"/>
  <c r="BA299" i="6" s="1"/>
  <c r="J299" i="20"/>
  <c r="C299" i="6" s="1"/>
  <c r="J140" i="20"/>
  <c r="C140" i="6" s="1"/>
  <c r="I140" i="20"/>
  <c r="B140" i="6" s="1"/>
  <c r="BA140" i="6" s="1"/>
  <c r="J290" i="20"/>
  <c r="C290" i="6" s="1"/>
  <c r="I290" i="20"/>
  <c r="B290" i="6" s="1"/>
  <c r="BA290" i="6" s="1"/>
  <c r="AA105" i="20"/>
  <c r="Z105" i="20" s="1"/>
  <c r="Y105" i="20" s="1"/>
  <c r="H105" i="20"/>
  <c r="G105" i="20"/>
  <c r="CB105" i="6" s="1"/>
  <c r="J374" i="20"/>
  <c r="C374" i="6" s="1"/>
  <c r="I374" i="20"/>
  <c r="B374" i="6" s="1"/>
  <c r="BA374" i="6" s="1"/>
  <c r="J31" i="20"/>
  <c r="C31" i="6" s="1"/>
  <c r="I31" i="20"/>
  <c r="B31" i="6" s="1"/>
  <c r="BA31" i="6" s="1"/>
  <c r="I77" i="20"/>
  <c r="B77" i="6" s="1"/>
  <c r="BA77" i="6" s="1"/>
  <c r="J77" i="20"/>
  <c r="C77" i="6" s="1"/>
  <c r="J36" i="20"/>
  <c r="C36" i="6" s="1"/>
  <c r="I36" i="20"/>
  <c r="B36" i="6" s="1"/>
  <c r="BA36" i="6" s="1"/>
  <c r="J19" i="20"/>
  <c r="C19" i="6" s="1"/>
  <c r="I19" i="20"/>
  <c r="B19" i="6" s="1"/>
  <c r="BA19" i="6" s="1"/>
  <c r="G166" i="20"/>
  <c r="CB166" i="6" s="1"/>
  <c r="H166" i="20"/>
  <c r="AA166" i="20"/>
  <c r="Z166" i="20" s="1"/>
  <c r="Y166" i="20" s="1"/>
  <c r="J173" i="20"/>
  <c r="C173" i="6" s="1"/>
  <c r="I173" i="20"/>
  <c r="B173" i="6" s="1"/>
  <c r="BA173" i="6" s="1"/>
  <c r="I325" i="20"/>
  <c r="B325" i="6" s="1"/>
  <c r="BA325" i="6" s="1"/>
  <c r="J325" i="20"/>
  <c r="C325" i="6" s="1"/>
  <c r="J48" i="20"/>
  <c r="C48" i="6" s="1"/>
  <c r="I48" i="20"/>
  <c r="B48" i="6" s="1"/>
  <c r="BA48" i="6" s="1"/>
  <c r="I79" i="20"/>
  <c r="B79" i="6" s="1"/>
  <c r="BA79" i="6" s="1"/>
  <c r="J79" i="20"/>
  <c r="C79" i="6" s="1"/>
  <c r="I343" i="20"/>
  <c r="B343" i="6" s="1"/>
  <c r="BA343" i="6" s="1"/>
  <c r="J343" i="20"/>
  <c r="C343" i="6" s="1"/>
  <c r="J220" i="20"/>
  <c r="C220" i="6" s="1"/>
  <c r="I220" i="20"/>
  <c r="B220" i="6" s="1"/>
  <c r="BA220" i="6" s="1"/>
  <c r="J352" i="20"/>
  <c r="C352" i="6" s="1"/>
  <c r="I352" i="20"/>
  <c r="B352" i="6" s="1"/>
  <c r="BA352" i="6" s="1"/>
  <c r="I78" i="20"/>
  <c r="B78" i="6" s="1"/>
  <c r="BA78" i="6" s="1"/>
  <c r="J78" i="20"/>
  <c r="C78" i="6" s="1"/>
  <c r="J293" i="20"/>
  <c r="C293" i="6" s="1"/>
  <c r="I293" i="20"/>
  <c r="B293" i="6" s="1"/>
  <c r="BA293" i="6" s="1"/>
  <c r="I23" i="20"/>
  <c r="B23" i="6" s="1"/>
  <c r="BA23" i="6" s="1"/>
  <c r="J23" i="20"/>
  <c r="C23" i="6" s="1"/>
  <c r="J373" i="20"/>
  <c r="C373" i="6" s="1"/>
  <c r="I373" i="20"/>
  <c r="B373" i="6" s="1"/>
  <c r="BA373" i="6" s="1"/>
  <c r="J17" i="20"/>
  <c r="C17" i="6" s="1"/>
  <c r="I17" i="20"/>
  <c r="B17" i="6" s="1"/>
  <c r="BA17" i="6" s="1"/>
  <c r="AA149" i="20"/>
  <c r="Z149" i="20" s="1"/>
  <c r="Y149" i="20" s="1"/>
  <c r="H149" i="20"/>
  <c r="G149" i="20"/>
  <c r="CB149" i="6" s="1"/>
  <c r="J292" i="20"/>
  <c r="C292" i="6" s="1"/>
  <c r="I292" i="20"/>
  <c r="B292" i="6" s="1"/>
  <c r="BA292" i="6" s="1"/>
  <c r="J342" i="20"/>
  <c r="C342" i="6" s="1"/>
  <c r="I342" i="20"/>
  <c r="B342" i="6" s="1"/>
  <c r="BA342" i="6" s="1"/>
  <c r="W95" i="22"/>
  <c r="D95" i="22"/>
  <c r="E95" i="22" s="1"/>
  <c r="F95" i="22" s="1"/>
  <c r="D86" i="22"/>
  <c r="E86" i="22" s="1"/>
  <c r="F86" i="22" s="1"/>
  <c r="D244" i="22"/>
  <c r="E244" i="22" s="1"/>
  <c r="F244" i="22" s="1"/>
  <c r="W244" i="22"/>
  <c r="W378" i="22"/>
  <c r="D378" i="22"/>
  <c r="E378" i="22" s="1"/>
  <c r="F378" i="22" s="1"/>
  <c r="D367" i="22"/>
  <c r="E367" i="22" s="1"/>
  <c r="F367" i="22" s="1"/>
  <c r="D343" i="22"/>
  <c r="E343" i="22" s="1"/>
  <c r="F343" i="22" s="1"/>
  <c r="W343" i="22"/>
  <c r="W369" i="22"/>
  <c r="D369" i="22"/>
  <c r="E369" i="22" s="1"/>
  <c r="F369" i="22" s="1"/>
  <c r="D121" i="22"/>
  <c r="E121" i="22" s="1"/>
  <c r="F121" i="22" s="1"/>
  <c r="W121" i="22"/>
  <c r="V210" i="22"/>
  <c r="W352" i="22"/>
  <c r="D352" i="22"/>
  <c r="E352" i="22" s="1"/>
  <c r="F352" i="22" s="1"/>
  <c r="D259" i="22"/>
  <c r="E259" i="22" s="1"/>
  <c r="F259" i="22" s="1"/>
  <c r="W259" i="22"/>
  <c r="W101" i="22"/>
  <c r="D101" i="22"/>
  <c r="E101" i="22" s="1"/>
  <c r="F101" i="22" s="1"/>
  <c r="D183" i="22"/>
  <c r="E183" i="22" s="1"/>
  <c r="F183" i="22" s="1"/>
  <c r="W183" i="22"/>
  <c r="AH42" i="7"/>
  <c r="V333" i="22"/>
  <c r="D309" i="22"/>
  <c r="E309" i="22" s="1"/>
  <c r="F309" i="22" s="1"/>
  <c r="W309" i="22"/>
  <c r="W144" i="22"/>
  <c r="D144" i="22"/>
  <c r="E144" i="22" s="1"/>
  <c r="F144" i="22" s="1"/>
  <c r="D334" i="22"/>
  <c r="E334" i="22" s="1"/>
  <c r="F334" i="22" s="1"/>
  <c r="W334" i="22"/>
  <c r="V149" i="22"/>
  <c r="AH36" i="7"/>
  <c r="D307" i="22"/>
  <c r="E307" i="22" s="1"/>
  <c r="F307" i="22" s="1"/>
  <c r="W307" i="22"/>
  <c r="W170" i="22"/>
  <c r="D308" i="22"/>
  <c r="E308" i="22" s="1"/>
  <c r="F308" i="22" s="1"/>
  <c r="W308" i="22"/>
  <c r="D319" i="22"/>
  <c r="E319" i="22" s="1"/>
  <c r="F319" i="22" s="1"/>
  <c r="W319" i="22"/>
  <c r="D59" i="22"/>
  <c r="E59" i="22" s="1"/>
  <c r="F59" i="22" s="1"/>
  <c r="W59" i="22"/>
  <c r="D273" i="22"/>
  <c r="E273" i="22" s="1"/>
  <c r="F273" i="22" s="1"/>
  <c r="W273" i="22"/>
  <c r="D330" i="22"/>
  <c r="E330" i="22" s="1"/>
  <c r="F330" i="22" s="1"/>
  <c r="J102" i="20"/>
  <c r="C102" i="6" s="1"/>
  <c r="I102" i="20"/>
  <c r="B102" i="6" s="1"/>
  <c r="BA102" i="6" s="1"/>
  <c r="I271" i="20"/>
  <c r="B271" i="6" s="1"/>
  <c r="BA271" i="6" s="1"/>
  <c r="J271" i="20"/>
  <c r="C271" i="6" s="1"/>
  <c r="J312" i="20"/>
  <c r="C312" i="6" s="1"/>
  <c r="I312" i="20"/>
  <c r="B312" i="6" s="1"/>
  <c r="BA312" i="6" s="1"/>
  <c r="J200" i="20"/>
  <c r="C200" i="6" s="1"/>
  <c r="I200" i="20"/>
  <c r="B200" i="6" s="1"/>
  <c r="BA200" i="6" s="1"/>
  <c r="I377" i="20"/>
  <c r="B377" i="6" s="1"/>
  <c r="BA377" i="6" s="1"/>
  <c r="J377" i="20"/>
  <c r="C377" i="6" s="1"/>
  <c r="J298" i="20"/>
  <c r="C298" i="6" s="1"/>
  <c r="I298" i="20"/>
  <c r="B298" i="6" s="1"/>
  <c r="BA298" i="6" s="1"/>
  <c r="I225" i="20"/>
  <c r="B225" i="6" s="1"/>
  <c r="BA225" i="6" s="1"/>
  <c r="J225" i="20"/>
  <c r="C225" i="6" s="1"/>
  <c r="J301" i="20"/>
  <c r="C301" i="6" s="1"/>
  <c r="I301" i="20"/>
  <c r="B301" i="6" s="1"/>
  <c r="BA301" i="6" s="1"/>
  <c r="J125" i="20"/>
  <c r="C125" i="6" s="1"/>
  <c r="I125" i="20"/>
  <c r="B125" i="6" s="1"/>
  <c r="BA125" i="6" s="1"/>
  <c r="I273" i="20"/>
  <c r="B273" i="6" s="1"/>
  <c r="BA273" i="6" s="1"/>
  <c r="J273" i="20"/>
  <c r="C273" i="6" s="1"/>
  <c r="J71" i="20"/>
  <c r="C71" i="6" s="1"/>
  <c r="I71" i="20"/>
  <c r="B71" i="6" s="1"/>
  <c r="BA71" i="6" s="1"/>
  <c r="I129" i="20"/>
  <c r="B129" i="6" s="1"/>
  <c r="BA129" i="6" s="1"/>
  <c r="J129" i="20"/>
  <c r="C129" i="6" s="1"/>
  <c r="J221" i="20"/>
  <c r="C221" i="6" s="1"/>
  <c r="I221" i="20"/>
  <c r="B221" i="6" s="1"/>
  <c r="BA221" i="6" s="1"/>
  <c r="I127" i="20"/>
  <c r="B127" i="6" s="1"/>
  <c r="BA127" i="6" s="1"/>
  <c r="J127" i="20"/>
  <c r="C127" i="6" s="1"/>
  <c r="I282" i="20"/>
  <c r="B282" i="6" s="1"/>
  <c r="BA282" i="6" s="1"/>
  <c r="J282" i="20"/>
  <c r="C282" i="6" s="1"/>
  <c r="I115" i="20"/>
  <c r="B115" i="6" s="1"/>
  <c r="BA115" i="6" s="1"/>
  <c r="J115" i="20"/>
  <c r="C115" i="6" s="1"/>
  <c r="J367" i="20"/>
  <c r="C367" i="6" s="1"/>
  <c r="I367" i="20"/>
  <c r="B367" i="6" s="1"/>
  <c r="BA367" i="6" s="1"/>
  <c r="J99" i="20"/>
  <c r="C99" i="6" s="1"/>
  <c r="I99" i="20"/>
  <c r="B99" i="6" s="1"/>
  <c r="BA99" i="6" s="1"/>
  <c r="J57" i="20"/>
  <c r="C57" i="6" s="1"/>
  <c r="I57" i="20"/>
  <c r="B57" i="6" s="1"/>
  <c r="BA57" i="6" s="1"/>
  <c r="J224" i="20"/>
  <c r="C224" i="6" s="1"/>
  <c r="I224" i="20"/>
  <c r="B224" i="6" s="1"/>
  <c r="BA224" i="6" s="1"/>
  <c r="J176" i="20"/>
  <c r="C176" i="6" s="1"/>
  <c r="I176" i="20"/>
  <c r="B176" i="6" s="1"/>
  <c r="BA176" i="6" s="1"/>
  <c r="J321" i="20"/>
  <c r="C321" i="6" s="1"/>
  <c r="I321" i="20"/>
  <c r="B321" i="6" s="1"/>
  <c r="BA321" i="6" s="1"/>
  <c r="I372" i="20"/>
  <c r="B372" i="6" s="1"/>
  <c r="BA372" i="6" s="1"/>
  <c r="J372" i="20"/>
  <c r="C372" i="6" s="1"/>
  <c r="J295" i="20"/>
  <c r="C295" i="6" s="1"/>
  <c r="I295" i="20"/>
  <c r="B295" i="6" s="1"/>
  <c r="BA295" i="6" s="1"/>
  <c r="V382" i="18"/>
  <c r="V383" i="18"/>
  <c r="B65" i="19"/>
  <c r="N65" i="19" s="1"/>
  <c r="V381" i="18"/>
  <c r="F15" i="18"/>
  <c r="D192" i="22"/>
  <c r="E192" i="22" s="1"/>
  <c r="F192" i="22" s="1"/>
  <c r="W192" i="22"/>
  <c r="W342" i="22"/>
  <c r="D127" i="22"/>
  <c r="E127" i="22" s="1"/>
  <c r="F127" i="22" s="1"/>
  <c r="W127" i="22"/>
  <c r="D138" i="22"/>
  <c r="E138" i="22" s="1"/>
  <c r="F138" i="22" s="1"/>
  <c r="W260" i="22"/>
  <c r="D260" i="22"/>
  <c r="E260" i="22" s="1"/>
  <c r="F260" i="22" s="1"/>
  <c r="D174" i="22"/>
  <c r="E174" i="22" s="1"/>
  <c r="F174" i="22" s="1"/>
  <c r="W174" i="22"/>
  <c r="D316" i="22"/>
  <c r="E316" i="22" s="1"/>
  <c r="F316" i="22" s="1"/>
  <c r="W316" i="22"/>
  <c r="D295" i="22"/>
  <c r="E295" i="22" s="1"/>
  <c r="F295" i="22" s="1"/>
  <c r="W295" i="22"/>
  <c r="W153" i="22"/>
  <c r="D153" i="22"/>
  <c r="E153" i="22" s="1"/>
  <c r="F153" i="22" s="1"/>
  <c r="D67" i="22"/>
  <c r="E67" i="22" s="1"/>
  <c r="F67" i="22" s="1"/>
  <c r="W67" i="22"/>
  <c r="D178" i="22"/>
  <c r="E178" i="22" s="1"/>
  <c r="F178" i="22" s="1"/>
  <c r="W178" i="22"/>
  <c r="W322" i="22"/>
  <c r="D322" i="22"/>
  <c r="E322" i="22" s="1"/>
  <c r="F322" i="22" s="1"/>
  <c r="D172" i="22"/>
  <c r="E172" i="22" s="1"/>
  <c r="F172" i="22" s="1"/>
  <c r="W172" i="22"/>
  <c r="D251" i="22"/>
  <c r="E251" i="22" s="1"/>
  <c r="F251" i="22" s="1"/>
  <c r="W251" i="22"/>
  <c r="W362" i="22"/>
  <c r="D362" i="22"/>
  <c r="E362" i="22" s="1"/>
  <c r="F362" i="22" s="1"/>
  <c r="V272" i="22"/>
  <c r="D42" i="22"/>
  <c r="E42" i="22" s="1"/>
  <c r="F42" i="22" s="1"/>
  <c r="W42" i="22"/>
  <c r="W214" i="22"/>
  <c r="D214" i="22"/>
  <c r="E214" i="22" s="1"/>
  <c r="F214" i="22" s="1"/>
  <c r="W372" i="22"/>
  <c r="D372" i="22"/>
  <c r="E372" i="22" s="1"/>
  <c r="F372" i="22" s="1"/>
  <c r="D255" i="22"/>
  <c r="E255" i="22" s="1"/>
  <c r="F255" i="22" s="1"/>
  <c r="W255" i="22"/>
  <c r="W97" i="22"/>
  <c r="D97" i="22"/>
  <c r="E97" i="22" s="1"/>
  <c r="F97" i="22" s="1"/>
  <c r="D82" i="22"/>
  <c r="E82" i="22" s="1"/>
  <c r="F82" i="22" s="1"/>
  <c r="W82" i="22"/>
  <c r="D337" i="22"/>
  <c r="E337" i="22" s="1"/>
  <c r="F337" i="22" s="1"/>
  <c r="W337" i="22"/>
  <c r="D20" i="22"/>
  <c r="E20" i="22" s="1"/>
  <c r="F20" i="22" s="1"/>
  <c r="D147" i="22"/>
  <c r="E147" i="22" s="1"/>
  <c r="F147" i="22" s="1"/>
  <c r="W147" i="22"/>
  <c r="D339" i="22"/>
  <c r="E339" i="22" s="1"/>
  <c r="F339" i="22" s="1"/>
  <c r="W339" i="22"/>
  <c r="W256" i="22"/>
  <c r="D256" i="22"/>
  <c r="E256" i="22" s="1"/>
  <c r="F256" i="22" s="1"/>
  <c r="W355" i="22"/>
  <c r="D355" i="22"/>
  <c r="E355" i="22" s="1"/>
  <c r="F355" i="22" s="1"/>
  <c r="D197" i="22"/>
  <c r="E197" i="22" s="1"/>
  <c r="F197" i="22" s="1"/>
  <c r="W197" i="22"/>
  <c r="D40" i="22"/>
  <c r="E40" i="22" s="1"/>
  <c r="F40" i="22" s="1"/>
  <c r="W40" i="22"/>
  <c r="W118" i="22"/>
  <c r="D118" i="22"/>
  <c r="E118" i="22" s="1"/>
  <c r="F118" i="22" s="1"/>
  <c r="D276" i="22"/>
  <c r="E276" i="22" s="1"/>
  <c r="F276" i="22" s="1"/>
  <c r="W276" i="22"/>
  <c r="W232" i="22"/>
  <c r="D232" i="22"/>
  <c r="E232" i="22" s="1"/>
  <c r="F232" i="22" s="1"/>
  <c r="D62" i="22"/>
  <c r="E62" i="22" s="1"/>
  <c r="F62" i="22" s="1"/>
  <c r="W62" i="22"/>
  <c r="D91" i="22"/>
  <c r="E91" i="22" s="1"/>
  <c r="F91" i="22" s="1"/>
  <c r="W91" i="22"/>
  <c r="D279" i="22"/>
  <c r="E279" i="22" s="1"/>
  <c r="F279" i="22" s="1"/>
  <c r="W279" i="22"/>
  <c r="W55" i="22"/>
  <c r="D55" i="22"/>
  <c r="E55" i="22" s="1"/>
  <c r="F55" i="22" s="1"/>
  <c r="AD15" i="20"/>
  <c r="I84" i="20"/>
  <c r="B84" i="6" s="1"/>
  <c r="BA84" i="6" s="1"/>
  <c r="J84" i="20"/>
  <c r="C84" i="6" s="1"/>
  <c r="J368" i="20"/>
  <c r="C368" i="6" s="1"/>
  <c r="I368" i="20"/>
  <c r="B368" i="6" s="1"/>
  <c r="BA368" i="6" s="1"/>
  <c r="J331" i="20"/>
  <c r="C331" i="6" s="1"/>
  <c r="I331" i="20"/>
  <c r="B331" i="6" s="1"/>
  <c r="BA331" i="6" s="1"/>
  <c r="G119" i="20"/>
  <c r="CB119" i="6" s="1"/>
  <c r="H119" i="20"/>
  <c r="AA119" i="20"/>
  <c r="Z119" i="20" s="1"/>
  <c r="Y119" i="20" s="1"/>
  <c r="I150" i="20"/>
  <c r="B150" i="6" s="1"/>
  <c r="BA150" i="6" s="1"/>
  <c r="J150" i="20"/>
  <c r="C150" i="6" s="1"/>
  <c r="J147" i="20"/>
  <c r="C147" i="6" s="1"/>
  <c r="I147" i="20"/>
  <c r="B147" i="6" s="1"/>
  <c r="BA147" i="6" s="1"/>
  <c r="J33" i="20"/>
  <c r="C33" i="6" s="1"/>
  <c r="I33" i="20"/>
  <c r="B33" i="6" s="1"/>
  <c r="BA33" i="6" s="1"/>
  <c r="I230" i="20"/>
  <c r="B230" i="6" s="1"/>
  <c r="BA230" i="6" s="1"/>
  <c r="J230" i="20"/>
  <c r="C230" i="6" s="1"/>
  <c r="I186" i="20"/>
  <c r="B186" i="6" s="1"/>
  <c r="BA186" i="6" s="1"/>
  <c r="J186" i="20"/>
  <c r="C186" i="6" s="1"/>
  <c r="J195" i="20"/>
  <c r="C195" i="6" s="1"/>
  <c r="I195" i="20"/>
  <c r="B195" i="6" s="1"/>
  <c r="BA195" i="6" s="1"/>
  <c r="I223" i="20"/>
  <c r="B223" i="6" s="1"/>
  <c r="BA223" i="6" s="1"/>
  <c r="J223" i="20"/>
  <c r="C223" i="6" s="1"/>
  <c r="I250" i="20"/>
  <c r="B250" i="6" s="1"/>
  <c r="BA250" i="6" s="1"/>
  <c r="J250" i="20"/>
  <c r="C250" i="6" s="1"/>
  <c r="J208" i="20"/>
  <c r="C208" i="6" s="1"/>
  <c r="I208" i="20"/>
  <c r="B208" i="6" s="1"/>
  <c r="BA208" i="6" s="1"/>
  <c r="J37" i="20"/>
  <c r="C37" i="6" s="1"/>
  <c r="I37" i="20"/>
  <c r="B37" i="6" s="1"/>
  <c r="BA37" i="6" s="1"/>
  <c r="J112" i="20"/>
  <c r="C112" i="6" s="1"/>
  <c r="I112" i="20"/>
  <c r="B112" i="6" s="1"/>
  <c r="BA112" i="6" s="1"/>
  <c r="I34" i="20"/>
  <c r="B34" i="6" s="1"/>
  <c r="BA34" i="6" s="1"/>
  <c r="J34" i="20"/>
  <c r="C34" i="6" s="1"/>
  <c r="J345" i="20"/>
  <c r="C345" i="6" s="1"/>
  <c r="I345" i="20"/>
  <c r="B345" i="6" s="1"/>
  <c r="BA345" i="6" s="1"/>
  <c r="J264" i="20"/>
  <c r="C264" i="6" s="1"/>
  <c r="I264" i="20"/>
  <c r="B264" i="6" s="1"/>
  <c r="BA264" i="6" s="1"/>
  <c r="I151" i="20"/>
  <c r="B151" i="6" s="1"/>
  <c r="BA151" i="6" s="1"/>
  <c r="J151" i="20"/>
  <c r="C151" i="6" s="1"/>
  <c r="J360" i="20"/>
  <c r="C360" i="6" s="1"/>
  <c r="I360" i="20"/>
  <c r="B360" i="6" s="1"/>
  <c r="BA360" i="6" s="1"/>
  <c r="I61" i="20"/>
  <c r="B61" i="6" s="1"/>
  <c r="BA61" i="6" s="1"/>
  <c r="J61" i="20"/>
  <c r="C61" i="6" s="1"/>
  <c r="J361" i="20"/>
  <c r="C361" i="6" s="1"/>
  <c r="I361" i="20"/>
  <c r="B361" i="6" s="1"/>
  <c r="BA361" i="6" s="1"/>
  <c r="I66" i="20"/>
  <c r="B66" i="6" s="1"/>
  <c r="BA66" i="6" s="1"/>
  <c r="J66" i="20"/>
  <c r="C66" i="6" s="1"/>
  <c r="I300" i="20"/>
  <c r="B300" i="6" s="1"/>
  <c r="BA300" i="6" s="1"/>
  <c r="J300" i="20"/>
  <c r="C300" i="6" s="1"/>
  <c r="I294" i="20"/>
  <c r="B294" i="6" s="1"/>
  <c r="BA294" i="6" s="1"/>
  <c r="J294" i="20"/>
  <c r="C294" i="6" s="1"/>
  <c r="I284" i="20"/>
  <c r="B284" i="6" s="1"/>
  <c r="BA284" i="6" s="1"/>
  <c r="J284" i="20"/>
  <c r="C284" i="6" s="1"/>
  <c r="J366" i="20"/>
  <c r="C366" i="6" s="1"/>
  <c r="I366" i="20"/>
  <c r="B366" i="6" s="1"/>
  <c r="BA366" i="6" s="1"/>
  <c r="J239" i="20"/>
  <c r="C239" i="6" s="1"/>
  <c r="I239" i="20"/>
  <c r="B239" i="6" s="1"/>
  <c r="BA239" i="6" s="1"/>
  <c r="I159" i="20"/>
  <c r="B159" i="6" s="1"/>
  <c r="BA159" i="6" s="1"/>
  <c r="J159" i="20"/>
  <c r="C159" i="6" s="1"/>
  <c r="I171" i="20"/>
  <c r="B171" i="6" s="1"/>
  <c r="BA171" i="6" s="1"/>
  <c r="J171" i="20"/>
  <c r="C171" i="6" s="1"/>
  <c r="I191" i="20"/>
  <c r="B191" i="6" s="1"/>
  <c r="BA191" i="6" s="1"/>
  <c r="J191" i="20"/>
  <c r="C191" i="6" s="1"/>
  <c r="J51" i="20"/>
  <c r="C51" i="6" s="1"/>
  <c r="I51" i="20"/>
  <c r="B51" i="6" s="1"/>
  <c r="BA51" i="6" s="1"/>
  <c r="J304" i="20"/>
  <c r="C304" i="6" s="1"/>
  <c r="I304" i="20"/>
  <c r="B304" i="6" s="1"/>
  <c r="BA304" i="6" s="1"/>
  <c r="J270" i="20"/>
  <c r="C270" i="6" s="1"/>
  <c r="I270" i="20"/>
  <c r="B270" i="6" s="1"/>
  <c r="BA270" i="6" s="1"/>
  <c r="J40" i="20"/>
  <c r="C40" i="6" s="1"/>
  <c r="I40" i="20"/>
  <c r="B40" i="6" s="1"/>
  <c r="BA40" i="6" s="1"/>
  <c r="J64" i="20"/>
  <c r="C64" i="6" s="1"/>
  <c r="I64" i="20"/>
  <c r="B64" i="6" s="1"/>
  <c r="BA64" i="6" s="1"/>
  <c r="I280" i="20"/>
  <c r="B280" i="6" s="1"/>
  <c r="BA280" i="6" s="1"/>
  <c r="J280" i="20"/>
  <c r="C280" i="6" s="1"/>
  <c r="H59" i="20"/>
  <c r="I158" i="20"/>
  <c r="B158" i="6" s="1"/>
  <c r="BA158" i="6" s="1"/>
  <c r="J158" i="20"/>
  <c r="C158" i="6" s="1"/>
  <c r="J39" i="20"/>
  <c r="C39" i="6" s="1"/>
  <c r="I39" i="20"/>
  <c r="B39" i="6" s="1"/>
  <c r="BA39" i="6" s="1"/>
  <c r="I209" i="20"/>
  <c r="B209" i="6" s="1"/>
  <c r="BA209" i="6" s="1"/>
  <c r="J209" i="20"/>
  <c r="C209" i="6" s="1"/>
  <c r="J58" i="20"/>
  <c r="C58" i="6" s="1"/>
  <c r="I58" i="20"/>
  <c r="B58" i="6" s="1"/>
  <c r="BA58" i="6" s="1"/>
  <c r="J179" i="20"/>
  <c r="C179" i="6" s="1"/>
  <c r="I179" i="20"/>
  <c r="B179" i="6" s="1"/>
  <c r="BA179" i="6" s="1"/>
  <c r="AA60" i="20"/>
  <c r="Z60" i="20" s="1"/>
  <c r="Y60" i="20" s="1"/>
  <c r="H60" i="20"/>
  <c r="G60" i="20"/>
  <c r="CB60" i="6" s="1"/>
  <c r="J309" i="20"/>
  <c r="C309" i="6" s="1"/>
  <c r="I309" i="20"/>
  <c r="B309" i="6" s="1"/>
  <c r="BA309" i="6" s="1"/>
  <c r="I198" i="20"/>
  <c r="B198" i="6" s="1"/>
  <c r="BA198" i="6" s="1"/>
  <c r="J198" i="20"/>
  <c r="C198" i="6" s="1"/>
  <c r="I259" i="20"/>
  <c r="B259" i="6" s="1"/>
  <c r="BA259" i="6" s="1"/>
  <c r="J259" i="20"/>
  <c r="C259" i="6" s="1"/>
  <c r="I65" i="20"/>
  <c r="B65" i="6" s="1"/>
  <c r="BA65" i="6" s="1"/>
  <c r="J65" i="20"/>
  <c r="C65" i="6" s="1"/>
  <c r="I296" i="20"/>
  <c r="B296" i="6" s="1"/>
  <c r="BA296" i="6" s="1"/>
  <c r="J296" i="20"/>
  <c r="C296" i="6" s="1"/>
  <c r="I378" i="20"/>
  <c r="B378" i="6" s="1"/>
  <c r="BA378" i="6" s="1"/>
  <c r="J378" i="20"/>
  <c r="C378" i="6" s="1"/>
  <c r="J242" i="20"/>
  <c r="C242" i="6" s="1"/>
  <c r="I242" i="20"/>
  <c r="B242" i="6" s="1"/>
  <c r="BA242" i="6" s="1"/>
  <c r="J329" i="20"/>
  <c r="C329" i="6" s="1"/>
  <c r="I329" i="20"/>
  <c r="B329" i="6" s="1"/>
  <c r="BA329" i="6" s="1"/>
  <c r="J347" i="20"/>
  <c r="C347" i="6" s="1"/>
  <c r="I347" i="20"/>
  <c r="B347" i="6" s="1"/>
  <c r="BA347" i="6" s="1"/>
  <c r="J248" i="20"/>
  <c r="C248" i="6" s="1"/>
  <c r="I248" i="20"/>
  <c r="B248" i="6" s="1"/>
  <c r="BA248" i="6" s="1"/>
  <c r="J237" i="20"/>
  <c r="C237" i="6" s="1"/>
  <c r="I237" i="20"/>
  <c r="B237" i="6" s="1"/>
  <c r="BA237" i="6" s="1"/>
  <c r="J81" i="20"/>
  <c r="C81" i="6" s="1"/>
  <c r="I81" i="20"/>
  <c r="B81" i="6" s="1"/>
  <c r="BA81" i="6" s="1"/>
  <c r="J328" i="20"/>
  <c r="C328" i="6" s="1"/>
  <c r="I328" i="20"/>
  <c r="B328" i="6" s="1"/>
  <c r="BA328" i="6" s="1"/>
  <c r="I162" i="20"/>
  <c r="B162" i="6" s="1"/>
  <c r="BA162" i="6" s="1"/>
  <c r="J162" i="20"/>
  <c r="C162" i="6" s="1"/>
  <c r="J43" i="20"/>
  <c r="C43" i="6" s="1"/>
  <c r="I43" i="20"/>
  <c r="B43" i="6" s="1"/>
  <c r="BA43" i="6" s="1"/>
  <c r="G241" i="20"/>
  <c r="CB241" i="6" s="1"/>
  <c r="AA241" i="20"/>
  <c r="Z241" i="20" s="1"/>
  <c r="Y241" i="20" s="1"/>
  <c r="H241" i="20"/>
  <c r="J113" i="20"/>
  <c r="C113" i="6" s="1"/>
  <c r="I113" i="20"/>
  <c r="B113" i="6" s="1"/>
  <c r="BA113" i="6" s="1"/>
  <c r="I124" i="20"/>
  <c r="B124" i="6" s="1"/>
  <c r="BA124" i="6" s="1"/>
  <c r="J124" i="20"/>
  <c r="C124" i="6" s="1"/>
  <c r="H95" i="20"/>
  <c r="J205" i="20"/>
  <c r="C205" i="6" s="1"/>
  <c r="I205" i="20"/>
  <c r="B205" i="6" s="1"/>
  <c r="BA205" i="6" s="1"/>
  <c r="I86" i="20"/>
  <c r="B86" i="6" s="1"/>
  <c r="BA86" i="6" s="1"/>
  <c r="J86" i="20"/>
  <c r="C86" i="6" s="1"/>
  <c r="I215" i="20"/>
  <c r="B215" i="6" s="1"/>
  <c r="BA215" i="6" s="1"/>
  <c r="J215" i="20"/>
  <c r="C215" i="6" s="1"/>
  <c r="J182" i="20"/>
  <c r="C182" i="6" s="1"/>
  <c r="I182" i="20"/>
  <c r="B182" i="6" s="1"/>
  <c r="BA182" i="6" s="1"/>
  <c r="I267" i="20"/>
  <c r="B267" i="6" s="1"/>
  <c r="BA267" i="6" s="1"/>
  <c r="J267" i="20"/>
  <c r="C267" i="6" s="1"/>
  <c r="J214" i="20"/>
  <c r="C214" i="6" s="1"/>
  <c r="I214" i="20"/>
  <c r="B214" i="6" s="1"/>
  <c r="BA214" i="6" s="1"/>
  <c r="W313" i="22"/>
  <c r="D313" i="22"/>
  <c r="E313" i="22" s="1"/>
  <c r="F313" i="22" s="1"/>
  <c r="D310" i="22"/>
  <c r="E310" i="22" s="1"/>
  <c r="F310" i="22" s="1"/>
  <c r="W310" i="22"/>
  <c r="D79" i="22"/>
  <c r="E79" i="22" s="1"/>
  <c r="F79" i="22" s="1"/>
  <c r="D98" i="22"/>
  <c r="E98" i="22" s="1"/>
  <c r="F98" i="22" s="1"/>
  <c r="W189" i="22"/>
  <c r="D189" i="22"/>
  <c r="E189" i="22" s="1"/>
  <c r="F189" i="22" s="1"/>
  <c r="W31" i="22"/>
  <c r="D31" i="22"/>
  <c r="E31" i="22" s="1"/>
  <c r="F31" i="22" s="1"/>
  <c r="W284" i="22"/>
  <c r="D284" i="22"/>
  <c r="E284" i="22" s="1"/>
  <c r="F284" i="22" s="1"/>
  <c r="D46" i="22"/>
  <c r="E46" i="22" s="1"/>
  <c r="F46" i="22" s="1"/>
  <c r="W46" i="22"/>
  <c r="D115" i="22"/>
  <c r="E115" i="22" s="1"/>
  <c r="F115" i="22" s="1"/>
  <c r="W115" i="22"/>
  <c r="W265" i="22"/>
  <c r="D265" i="22"/>
  <c r="E265" i="22" s="1"/>
  <c r="F265" i="22" s="1"/>
  <c r="W208" i="22"/>
  <c r="D208" i="22"/>
  <c r="E208" i="22" s="1"/>
  <c r="F208" i="22" s="1"/>
  <c r="W173" i="22"/>
  <c r="D173" i="22"/>
  <c r="E173" i="22" s="1"/>
  <c r="F173" i="22" s="1"/>
  <c r="D237" i="22"/>
  <c r="E237" i="22" s="1"/>
  <c r="F237" i="22" s="1"/>
  <c r="W237" i="22"/>
  <c r="D328" i="22"/>
  <c r="E328" i="22" s="1"/>
  <c r="F328" i="22" s="1"/>
  <c r="W328" i="22"/>
  <c r="W223" i="22"/>
  <c r="D223" i="22"/>
  <c r="E223" i="22" s="1"/>
  <c r="F223" i="22" s="1"/>
  <c r="W44" i="22"/>
  <c r="D44" i="22"/>
  <c r="E44" i="22" s="1"/>
  <c r="F44" i="22" s="1"/>
  <c r="W353" i="22"/>
  <c r="D353" i="22"/>
  <c r="E353" i="22" s="1"/>
  <c r="F353" i="22" s="1"/>
  <c r="D100" i="22"/>
  <c r="E100" i="22" s="1"/>
  <c r="F100" i="22" s="1"/>
  <c r="W100" i="22"/>
  <c r="D76" i="22"/>
  <c r="E76" i="22" s="1"/>
  <c r="F76" i="22" s="1"/>
  <c r="W76" i="22"/>
  <c r="D239" i="22"/>
  <c r="E239" i="22" s="1"/>
  <c r="F239" i="22" s="1"/>
  <c r="W239" i="22"/>
  <c r="W249" i="22"/>
  <c r="D249" i="22"/>
  <c r="E249" i="22" s="1"/>
  <c r="F249" i="22" s="1"/>
  <c r="D99" i="22"/>
  <c r="E99" i="22" s="1"/>
  <c r="F99" i="22" s="1"/>
  <c r="W99" i="22"/>
  <c r="D78" i="22"/>
  <c r="E78" i="22" s="1"/>
  <c r="F78" i="22" s="1"/>
  <c r="W224" i="22"/>
  <c r="D224" i="22"/>
  <c r="E224" i="22" s="1"/>
  <c r="F224" i="22" s="1"/>
  <c r="W374" i="22"/>
  <c r="D374" i="22"/>
  <c r="E374" i="22" s="1"/>
  <c r="F374" i="22" s="1"/>
  <c r="W16" i="22"/>
  <c r="D16" i="22"/>
  <c r="E16" i="22" s="1"/>
  <c r="F16" i="22" s="1"/>
  <c r="W361" i="22"/>
  <c r="D361" i="22"/>
  <c r="E361" i="22" s="1"/>
  <c r="F361" i="22" s="1"/>
  <c r="D215" i="22"/>
  <c r="E215" i="22" s="1"/>
  <c r="F215" i="22" s="1"/>
  <c r="W215" i="22"/>
  <c r="H252" i="20"/>
  <c r="I55" i="20"/>
  <c r="B55" i="6" s="1"/>
  <c r="BA55" i="6" s="1"/>
  <c r="J55" i="20"/>
  <c r="C55" i="6" s="1"/>
  <c r="D379" i="20"/>
  <c r="E379" i="20" s="1"/>
  <c r="F379" i="20" s="1"/>
  <c r="W379" i="20"/>
  <c r="I174" i="20"/>
  <c r="B174" i="6" s="1"/>
  <c r="BA174" i="6" s="1"/>
  <c r="J174" i="20"/>
  <c r="C174" i="6" s="1"/>
  <c r="J49" i="20"/>
  <c r="C49" i="6" s="1"/>
  <c r="I49" i="20"/>
  <c r="B49" i="6" s="1"/>
  <c r="BA49" i="6" s="1"/>
  <c r="J139" i="20"/>
  <c r="C139" i="6" s="1"/>
  <c r="I139" i="20"/>
  <c r="B139" i="6" s="1"/>
  <c r="BA139" i="6" s="1"/>
  <c r="I42" i="20"/>
  <c r="B42" i="6" s="1"/>
  <c r="BA42" i="6" s="1"/>
  <c r="J42" i="20"/>
  <c r="C42" i="6" s="1"/>
  <c r="I190" i="20"/>
  <c r="B190" i="6" s="1"/>
  <c r="BA190" i="6" s="1"/>
  <c r="J190" i="20"/>
  <c r="C190" i="6" s="1"/>
  <c r="J164" i="20"/>
  <c r="C164" i="6" s="1"/>
  <c r="I164" i="20"/>
  <c r="B164" i="6" s="1"/>
  <c r="BA164" i="6" s="1"/>
  <c r="G333" i="20"/>
  <c r="CB333" i="6" s="1"/>
  <c r="H333" i="20"/>
  <c r="AA333" i="20"/>
  <c r="Z333" i="20" s="1"/>
  <c r="Y333" i="20" s="1"/>
  <c r="I287" i="20"/>
  <c r="B287" i="6" s="1"/>
  <c r="BA287" i="6" s="1"/>
  <c r="J287" i="20"/>
  <c r="C287" i="6" s="1"/>
  <c r="J285" i="20"/>
  <c r="C285" i="6" s="1"/>
  <c r="I285" i="20"/>
  <c r="B285" i="6" s="1"/>
  <c r="BA285" i="6" s="1"/>
  <c r="AA74" i="20"/>
  <c r="Z74" i="20" s="1"/>
  <c r="Y74" i="20" s="1"/>
  <c r="G74" i="20"/>
  <c r="CB74" i="6" s="1"/>
  <c r="H74" i="20"/>
  <c r="J168" i="20"/>
  <c r="C168" i="6" s="1"/>
  <c r="I168" i="20"/>
  <c r="B168" i="6" s="1"/>
  <c r="BA168" i="6" s="1"/>
  <c r="G46" i="20"/>
  <c r="CB46" i="6" s="1"/>
  <c r="H46" i="20"/>
  <c r="AA46" i="20"/>
  <c r="Z46" i="20" s="1"/>
  <c r="Y46" i="20" s="1"/>
  <c r="J256" i="20"/>
  <c r="C256" i="6" s="1"/>
  <c r="I256" i="20"/>
  <c r="B256" i="6" s="1"/>
  <c r="BA256" i="6" s="1"/>
  <c r="I279" i="20"/>
  <c r="B279" i="6" s="1"/>
  <c r="BA279" i="6" s="1"/>
  <c r="J279" i="20"/>
  <c r="C279" i="6" s="1"/>
  <c r="J38" i="20"/>
  <c r="C38" i="6" s="1"/>
  <c r="I38" i="20"/>
  <c r="B38" i="6" s="1"/>
  <c r="BA38" i="6" s="1"/>
  <c r="I233" i="20"/>
  <c r="B233" i="6" s="1"/>
  <c r="BA233" i="6" s="1"/>
  <c r="J233" i="20"/>
  <c r="C233" i="6" s="1"/>
  <c r="J332" i="20"/>
  <c r="C332" i="6" s="1"/>
  <c r="I332" i="20"/>
  <c r="B332" i="6" s="1"/>
  <c r="BA332" i="6" s="1"/>
  <c r="H87" i="20"/>
  <c r="I251" i="20"/>
  <c r="B251" i="6" s="1"/>
  <c r="BA251" i="6" s="1"/>
  <c r="J251" i="20"/>
  <c r="C251" i="6" s="1"/>
  <c r="I133" i="20"/>
  <c r="B133" i="6" s="1"/>
  <c r="BA133" i="6" s="1"/>
  <c r="J133" i="20"/>
  <c r="C133" i="6" s="1"/>
  <c r="J123" i="20"/>
  <c r="C123" i="6" s="1"/>
  <c r="I123" i="20"/>
  <c r="B123" i="6" s="1"/>
  <c r="BA123" i="6" s="1"/>
  <c r="J306" i="20"/>
  <c r="C306" i="6" s="1"/>
  <c r="I306" i="20"/>
  <c r="B306" i="6" s="1"/>
  <c r="BA306" i="6" s="1"/>
  <c r="I32" i="20"/>
  <c r="B32" i="6" s="1"/>
  <c r="BA32" i="6" s="1"/>
  <c r="J32" i="20"/>
  <c r="C32" i="6" s="1"/>
  <c r="I376" i="20"/>
  <c r="B376" i="6" s="1"/>
  <c r="BA376" i="6" s="1"/>
  <c r="J376" i="20"/>
  <c r="C376" i="6" s="1"/>
  <c r="I109" i="20"/>
  <c r="B109" i="6" s="1"/>
  <c r="BA109" i="6" s="1"/>
  <c r="J109" i="20"/>
  <c r="C109" i="6" s="1"/>
  <c r="I218" i="20"/>
  <c r="B218" i="6" s="1"/>
  <c r="BA218" i="6" s="1"/>
  <c r="J218" i="20"/>
  <c r="C218" i="6" s="1"/>
  <c r="I317" i="20"/>
  <c r="B317" i="6" s="1"/>
  <c r="BA317" i="6" s="1"/>
  <c r="J317" i="20"/>
  <c r="C317" i="6" s="1"/>
  <c r="I371" i="20"/>
  <c r="B371" i="6" s="1"/>
  <c r="BA371" i="6" s="1"/>
  <c r="J371" i="20"/>
  <c r="C371" i="6" s="1"/>
  <c r="I44" i="20"/>
  <c r="B44" i="6" s="1"/>
  <c r="BA44" i="6" s="1"/>
  <c r="J44" i="20"/>
  <c r="C44" i="6" s="1"/>
  <c r="I337" i="20"/>
  <c r="B337" i="6" s="1"/>
  <c r="BA337" i="6" s="1"/>
  <c r="J337" i="20"/>
  <c r="C337" i="6" s="1"/>
  <c r="D195" i="22"/>
  <c r="E195" i="22" s="1"/>
  <c r="F195" i="22" s="1"/>
  <c r="W195" i="22"/>
  <c r="W33" i="22"/>
  <c r="D33" i="22"/>
  <c r="E33" i="22" s="1"/>
  <c r="F33" i="22" s="1"/>
  <c r="W102" i="22"/>
  <c r="D102" i="22"/>
  <c r="E102" i="22" s="1"/>
  <c r="F102" i="22" s="1"/>
  <c r="W377" i="22"/>
  <c r="D377" i="22"/>
  <c r="E377" i="22" s="1"/>
  <c r="F377" i="22" s="1"/>
  <c r="V363" i="22"/>
  <c r="AH43" i="7"/>
  <c r="D56" i="22"/>
  <c r="E56" i="22" s="1"/>
  <c r="F56" i="22" s="1"/>
  <c r="W56" i="22"/>
  <c r="D213" i="22"/>
  <c r="E213" i="22" s="1"/>
  <c r="F213" i="22" s="1"/>
  <c r="W213" i="22"/>
  <c r="D109" i="22"/>
  <c r="E109" i="22" s="1"/>
  <c r="F109" i="22" s="1"/>
  <c r="W109" i="22"/>
  <c r="D185" i="22"/>
  <c r="E185" i="22" s="1"/>
  <c r="F185" i="22" s="1"/>
  <c r="W185" i="22"/>
  <c r="W152" i="22"/>
  <c r="D152" i="22"/>
  <c r="E152" i="22" s="1"/>
  <c r="F152" i="22" s="1"/>
  <c r="W356" i="22"/>
  <c r="D356" i="22"/>
  <c r="E356" i="22" s="1"/>
  <c r="F356" i="22" s="1"/>
  <c r="D201" i="22"/>
  <c r="E201" i="22" s="1"/>
  <c r="F201" i="22" s="1"/>
  <c r="W201" i="22"/>
  <c r="W297" i="22"/>
  <c r="D297" i="22"/>
  <c r="E297" i="22" s="1"/>
  <c r="F297" i="22" s="1"/>
  <c r="D25" i="22"/>
  <c r="E25" i="22" s="1"/>
  <c r="F25" i="22" s="1"/>
  <c r="W25" i="22"/>
  <c r="D188" i="22"/>
  <c r="E188" i="22" s="1"/>
  <c r="F188" i="22" s="1"/>
  <c r="W188" i="22"/>
  <c r="D338" i="22"/>
  <c r="E338" i="22" s="1"/>
  <c r="F338" i="22" s="1"/>
  <c r="W338" i="22"/>
  <c r="D186" i="22"/>
  <c r="E186" i="22" s="1"/>
  <c r="F186" i="22" s="1"/>
  <c r="W186" i="22"/>
  <c r="D164" i="22"/>
  <c r="E164" i="22" s="1"/>
  <c r="F164" i="22" s="1"/>
  <c r="W164" i="22"/>
  <c r="D175" i="22"/>
  <c r="E175" i="22" s="1"/>
  <c r="F175" i="22" s="1"/>
  <c r="D290" i="22"/>
  <c r="E290" i="22" s="1"/>
  <c r="F290" i="22" s="1"/>
  <c r="W290" i="22"/>
  <c r="W268" i="22"/>
  <c r="D268" i="22"/>
  <c r="E268" i="22" s="1"/>
  <c r="F268" i="22" s="1"/>
  <c r="I244" i="20"/>
  <c r="B244" i="6" s="1"/>
  <c r="BA244" i="6" s="1"/>
  <c r="J244" i="20"/>
  <c r="C244" i="6" s="1"/>
  <c r="T382" i="22"/>
  <c r="T381" i="22"/>
  <c r="T383" i="22"/>
  <c r="S15" i="22"/>
  <c r="U26" i="23"/>
  <c r="T26" i="23" s="1"/>
  <c r="S26" i="23" s="1"/>
  <c r="R26" i="23" s="1"/>
  <c r="U312" i="23"/>
  <c r="T312" i="23" s="1"/>
  <c r="S312" i="23" s="1"/>
  <c r="R312" i="23" s="1"/>
  <c r="U251" i="23"/>
  <c r="T251" i="23" s="1"/>
  <c r="S251" i="23" s="1"/>
  <c r="R251" i="23" s="1"/>
  <c r="U366" i="23"/>
  <c r="T366" i="23" s="1"/>
  <c r="S366" i="23" s="1"/>
  <c r="R366" i="23" s="1"/>
  <c r="U121" i="23"/>
  <c r="T121" i="23" s="1"/>
  <c r="S121" i="23" s="1"/>
  <c r="R121" i="23" s="1"/>
  <c r="U161" i="23"/>
  <c r="T161" i="23" s="1"/>
  <c r="S161" i="23" s="1"/>
  <c r="R161" i="23" s="1"/>
  <c r="U296" i="23"/>
  <c r="T296" i="23" s="1"/>
  <c r="S296" i="23" s="1"/>
  <c r="R296" i="23" s="1"/>
  <c r="U235" i="23"/>
  <c r="T235" i="23" s="1"/>
  <c r="S235" i="23" s="1"/>
  <c r="R235" i="23" s="1"/>
  <c r="U305" i="23"/>
  <c r="T305" i="23" s="1"/>
  <c r="S305" i="23" s="1"/>
  <c r="R305" i="23" s="1"/>
  <c r="U195" i="23"/>
  <c r="T195" i="23" s="1"/>
  <c r="S195" i="23" s="1"/>
  <c r="R195" i="23" s="1"/>
  <c r="U83" i="23"/>
  <c r="T83" i="23" s="1"/>
  <c r="S83" i="23" s="1"/>
  <c r="R83" i="23" s="1"/>
  <c r="U99" i="23"/>
  <c r="T99" i="23" s="1"/>
  <c r="S99" i="23" s="1"/>
  <c r="R99" i="23" s="1"/>
  <c r="U135" i="23"/>
  <c r="T135" i="23" s="1"/>
  <c r="S135" i="23" s="1"/>
  <c r="R135" i="23" s="1"/>
  <c r="U70" i="23"/>
  <c r="T70" i="23" s="1"/>
  <c r="S70" i="23" s="1"/>
  <c r="R70" i="23" s="1"/>
  <c r="U309" i="23"/>
  <c r="T309" i="23" s="1"/>
  <c r="S309" i="23" s="1"/>
  <c r="R309" i="23" s="1"/>
  <c r="U50" i="23"/>
  <c r="T50" i="23" s="1"/>
  <c r="S50" i="23" s="1"/>
  <c r="R50" i="23" s="1"/>
  <c r="U281" i="23"/>
  <c r="T281" i="23" s="1"/>
  <c r="S281" i="23" s="1"/>
  <c r="R281" i="23" s="1"/>
  <c r="U183" i="23"/>
  <c r="T183" i="23" s="1"/>
  <c r="S183" i="23" s="1"/>
  <c r="R183" i="23" s="1"/>
  <c r="U118" i="23"/>
  <c r="T118" i="23" s="1"/>
  <c r="S118" i="23" s="1"/>
  <c r="R118" i="23" s="1"/>
  <c r="U193" i="23"/>
  <c r="T193" i="23" s="1"/>
  <c r="S193" i="23" s="1"/>
  <c r="R193" i="23" s="1"/>
  <c r="U162" i="23"/>
  <c r="T162" i="23" s="1"/>
  <c r="S162" i="23" s="1"/>
  <c r="R162" i="23" s="1"/>
  <c r="U164" i="23"/>
  <c r="T164" i="23" s="1"/>
  <c r="S164" i="23" s="1"/>
  <c r="R164" i="23" s="1"/>
  <c r="U307" i="23"/>
  <c r="T307" i="23" s="1"/>
  <c r="S307" i="23" s="1"/>
  <c r="R307" i="23" s="1"/>
  <c r="U359" i="23"/>
  <c r="T359" i="23" s="1"/>
  <c r="S359" i="23" s="1"/>
  <c r="R359" i="23" s="1"/>
  <c r="U294" i="23"/>
  <c r="T294" i="23" s="1"/>
  <c r="S294" i="23" s="1"/>
  <c r="R294" i="23" s="1"/>
  <c r="U111" i="23"/>
  <c r="T111" i="23" s="1"/>
  <c r="S111" i="23" s="1"/>
  <c r="R111" i="23" s="1"/>
  <c r="U116" i="23"/>
  <c r="T116" i="23" s="1"/>
  <c r="S116" i="23" s="1"/>
  <c r="R116" i="23" s="1"/>
  <c r="U76" i="23"/>
  <c r="T76" i="23" s="1"/>
  <c r="S76" i="23" s="1"/>
  <c r="R76" i="23" s="1"/>
  <c r="U343" i="23"/>
  <c r="T343" i="23" s="1"/>
  <c r="S343" i="23" s="1"/>
  <c r="R343" i="23" s="1"/>
  <c r="U278" i="23"/>
  <c r="T278" i="23" s="1"/>
  <c r="S278" i="23" s="1"/>
  <c r="R278" i="23" s="1"/>
  <c r="U348" i="23"/>
  <c r="T348" i="23" s="1"/>
  <c r="S348" i="23" s="1"/>
  <c r="R348" i="23" s="1"/>
  <c r="U64" i="23"/>
  <c r="T64" i="23" s="1"/>
  <c r="S64" i="23" s="1"/>
  <c r="R64" i="23" s="1"/>
  <c r="U16" i="23"/>
  <c r="T16" i="23" s="1"/>
  <c r="S16" i="23" s="1"/>
  <c r="R16" i="23" s="1"/>
  <c r="U30" i="23"/>
  <c r="T30" i="23" s="1"/>
  <c r="S30" i="23" s="1"/>
  <c r="R30" i="23" s="1"/>
  <c r="U314" i="23"/>
  <c r="T314" i="23" s="1"/>
  <c r="S314" i="23" s="1"/>
  <c r="R314" i="23" s="1"/>
  <c r="U237" i="23"/>
  <c r="T237" i="23" s="1"/>
  <c r="S237" i="23" s="1"/>
  <c r="R237" i="23" s="1"/>
  <c r="U335" i="23"/>
  <c r="T335" i="23" s="1"/>
  <c r="S335" i="23" s="1"/>
  <c r="R335" i="23" s="1"/>
  <c r="U361" i="23"/>
  <c r="T361" i="23" s="1"/>
  <c r="S361" i="23" s="1"/>
  <c r="R361" i="23" s="1"/>
  <c r="U291" i="23"/>
  <c r="T291" i="23" s="1"/>
  <c r="S291" i="23" s="1"/>
  <c r="R291" i="23" s="1"/>
  <c r="U330" i="23"/>
  <c r="T330" i="23" s="1"/>
  <c r="S330" i="23" s="1"/>
  <c r="R330" i="23" s="1"/>
  <c r="U285" i="23"/>
  <c r="T285" i="23" s="1"/>
  <c r="S285" i="23" s="1"/>
  <c r="R285" i="23" s="1"/>
  <c r="U220" i="23"/>
  <c r="T220" i="23" s="1"/>
  <c r="S220" i="23" s="1"/>
  <c r="R220" i="23" s="1"/>
  <c r="U117" i="23"/>
  <c r="T117" i="23" s="1"/>
  <c r="S117" i="23" s="1"/>
  <c r="R117" i="23" s="1"/>
  <c r="U371" i="23"/>
  <c r="T371" i="23" s="1"/>
  <c r="S371" i="23" s="1"/>
  <c r="R371" i="23" s="1"/>
  <c r="U345" i="23"/>
  <c r="T345" i="23" s="1"/>
  <c r="S345" i="23" s="1"/>
  <c r="R345" i="23" s="1"/>
  <c r="U292" i="23"/>
  <c r="T292" i="23" s="1"/>
  <c r="S292" i="23" s="1"/>
  <c r="R292" i="23" s="1"/>
  <c r="U184" i="23"/>
  <c r="T184" i="23" s="1"/>
  <c r="S184" i="23" s="1"/>
  <c r="R184" i="23" s="1"/>
  <c r="U123" i="23"/>
  <c r="T123" i="23" s="1"/>
  <c r="S123" i="23" s="1"/>
  <c r="R123" i="23" s="1"/>
  <c r="U325" i="23"/>
  <c r="T325" i="23" s="1"/>
  <c r="S325" i="23" s="1"/>
  <c r="R325" i="23" s="1"/>
  <c r="U180" i="23"/>
  <c r="T180" i="23" s="1"/>
  <c r="S180" i="23" s="1"/>
  <c r="R180" i="23" s="1"/>
  <c r="U362" i="23"/>
  <c r="T362" i="23" s="1"/>
  <c r="S362" i="23" s="1"/>
  <c r="R362" i="23" s="1"/>
  <c r="U317" i="23"/>
  <c r="T317" i="23" s="1"/>
  <c r="S317" i="23" s="1"/>
  <c r="R317" i="23" s="1"/>
  <c r="U252" i="23"/>
  <c r="T252" i="23" s="1"/>
  <c r="S252" i="23" s="1"/>
  <c r="R252" i="23" s="1"/>
  <c r="U245" i="23"/>
  <c r="T245" i="23" s="1"/>
  <c r="S245" i="23" s="1"/>
  <c r="R245" i="23" s="1"/>
  <c r="U153" i="23"/>
  <c r="T153" i="23" s="1"/>
  <c r="S153" i="23" s="1"/>
  <c r="R153" i="23" s="1"/>
  <c r="U217" i="23"/>
  <c r="T217" i="23" s="1"/>
  <c r="S217" i="23" s="1"/>
  <c r="R217" i="23" s="1"/>
  <c r="U357" i="23"/>
  <c r="T357" i="23" s="1"/>
  <c r="S357" i="23" s="1"/>
  <c r="R357" i="23" s="1"/>
  <c r="U152" i="23"/>
  <c r="T152" i="23" s="1"/>
  <c r="S152" i="23" s="1"/>
  <c r="R152" i="23" s="1"/>
  <c r="U91" i="23"/>
  <c r="T91" i="23" s="1"/>
  <c r="S91" i="23" s="1"/>
  <c r="R91" i="23" s="1"/>
  <c r="U21" i="23"/>
  <c r="T21" i="23" s="1"/>
  <c r="S21" i="23" s="1"/>
  <c r="R21" i="23" s="1"/>
  <c r="U25" i="23"/>
  <c r="T25" i="23" s="1"/>
  <c r="S25" i="23" s="1"/>
  <c r="R25" i="23" s="1"/>
  <c r="U332" i="23"/>
  <c r="T332" i="23" s="1"/>
  <c r="S332" i="23" s="1"/>
  <c r="R332" i="23" s="1"/>
  <c r="U200" i="23"/>
  <c r="T200" i="23" s="1"/>
  <c r="S200" i="23" s="1"/>
  <c r="R200" i="23" s="1"/>
  <c r="U139" i="23"/>
  <c r="T139" i="23" s="1"/>
  <c r="S139" i="23" s="1"/>
  <c r="R139" i="23" s="1"/>
  <c r="U209" i="23"/>
  <c r="T209" i="23" s="1"/>
  <c r="S209" i="23" s="1"/>
  <c r="R209" i="23" s="1"/>
  <c r="U174" i="23"/>
  <c r="T174" i="23" s="1"/>
  <c r="S174" i="23" s="1"/>
  <c r="R174" i="23" s="1"/>
  <c r="U100" i="23"/>
  <c r="T100" i="23" s="1"/>
  <c r="S100" i="23" s="1"/>
  <c r="R100" i="23" s="1"/>
  <c r="U223" i="23"/>
  <c r="T223" i="23" s="1"/>
  <c r="S223" i="23" s="1"/>
  <c r="R223" i="23" s="1"/>
  <c r="U231" i="23"/>
  <c r="T231" i="23" s="1"/>
  <c r="S231" i="23" s="1"/>
  <c r="R231" i="23" s="1"/>
  <c r="U166" i="23"/>
  <c r="T166" i="23" s="1"/>
  <c r="S166" i="23" s="1"/>
  <c r="R166" i="23" s="1"/>
  <c r="U334" i="23"/>
  <c r="T334" i="23" s="1"/>
  <c r="S334" i="23" s="1"/>
  <c r="R334" i="23" s="1"/>
  <c r="U126" i="23"/>
  <c r="T126" i="23" s="1"/>
  <c r="S126" i="23" s="1"/>
  <c r="R126" i="23" s="1"/>
  <c r="U208" i="23"/>
  <c r="T208" i="23" s="1"/>
  <c r="S208" i="23" s="1"/>
  <c r="R208" i="23" s="1"/>
  <c r="U215" i="23"/>
  <c r="T215" i="23" s="1"/>
  <c r="S215" i="23" s="1"/>
  <c r="R215" i="23" s="1"/>
  <c r="U150" i="23"/>
  <c r="T150" i="23" s="1"/>
  <c r="S150" i="23" s="1"/>
  <c r="R150" i="23" s="1"/>
  <c r="U257" i="23"/>
  <c r="T257" i="23" s="1"/>
  <c r="S257" i="23" s="1"/>
  <c r="R257" i="23" s="1"/>
  <c r="U290" i="23"/>
  <c r="T290" i="23" s="1"/>
  <c r="S290" i="23" s="1"/>
  <c r="R290" i="23" s="1"/>
  <c r="U313" i="23"/>
  <c r="T313" i="23" s="1"/>
  <c r="S313" i="23" s="1"/>
  <c r="R313" i="23" s="1"/>
  <c r="U179" i="23"/>
  <c r="T179" i="23" s="1"/>
  <c r="S179" i="23" s="1"/>
  <c r="R179" i="23" s="1"/>
  <c r="U186" i="23"/>
  <c r="T186" i="23" s="1"/>
  <c r="S186" i="23" s="1"/>
  <c r="R186" i="23" s="1"/>
  <c r="U109" i="23"/>
  <c r="T109" i="23" s="1"/>
  <c r="S109" i="23" s="1"/>
  <c r="R109" i="23" s="1"/>
  <c r="U194" i="23"/>
  <c r="T194" i="23" s="1"/>
  <c r="S194" i="23" s="1"/>
  <c r="R194" i="23" s="1"/>
  <c r="U276" i="23"/>
  <c r="T276" i="23" s="1"/>
  <c r="S276" i="23" s="1"/>
  <c r="R276" i="23" s="1"/>
  <c r="U127" i="23"/>
  <c r="T127" i="23" s="1"/>
  <c r="S127" i="23" s="1"/>
  <c r="R127" i="23" s="1"/>
  <c r="U202" i="23"/>
  <c r="T202" i="23" s="1"/>
  <c r="S202" i="23" s="1"/>
  <c r="R202" i="23" s="1"/>
  <c r="U310" i="23"/>
  <c r="T310" i="23" s="1"/>
  <c r="S310" i="23" s="1"/>
  <c r="R310" i="23" s="1"/>
  <c r="U19" i="23"/>
  <c r="T19" i="23" s="1"/>
  <c r="S19" i="23" s="1"/>
  <c r="R19" i="23" s="1"/>
  <c r="U192" i="23"/>
  <c r="T192" i="23" s="1"/>
  <c r="S192" i="23" s="1"/>
  <c r="R192" i="23" s="1"/>
  <c r="U304" i="23"/>
  <c r="T304" i="23" s="1"/>
  <c r="S304" i="23" s="1"/>
  <c r="R304" i="23" s="1"/>
  <c r="U261" i="23"/>
  <c r="T261" i="23" s="1"/>
  <c r="S261" i="23" s="1"/>
  <c r="R261" i="23" s="1"/>
  <c r="U197" i="23"/>
  <c r="T197" i="23" s="1"/>
  <c r="S197" i="23" s="1"/>
  <c r="R197" i="23" s="1"/>
  <c r="U282" i="23"/>
  <c r="T282" i="23" s="1"/>
  <c r="S282" i="23" s="1"/>
  <c r="R282" i="23" s="1"/>
  <c r="U56" i="23"/>
  <c r="T56" i="23" s="1"/>
  <c r="S56" i="23" s="1"/>
  <c r="R56" i="23" s="1"/>
  <c r="U205" i="23"/>
  <c r="T205" i="23" s="1"/>
  <c r="S205" i="23" s="1"/>
  <c r="R205" i="23" s="1"/>
  <c r="U358" i="23"/>
  <c r="T358" i="23" s="1"/>
  <c r="S358" i="23" s="1"/>
  <c r="R358" i="23" s="1"/>
  <c r="U207" i="23"/>
  <c r="T207" i="23" s="1"/>
  <c r="S207" i="23" s="1"/>
  <c r="R207" i="23" s="1"/>
  <c r="U367" i="23"/>
  <c r="T367" i="23" s="1"/>
  <c r="S367" i="23" s="1"/>
  <c r="R367" i="23" s="1"/>
  <c r="U233" i="23"/>
  <c r="T233" i="23" s="1"/>
  <c r="S233" i="23" s="1"/>
  <c r="R233" i="23" s="1"/>
  <c r="U265" i="23"/>
  <c r="T265" i="23" s="1"/>
  <c r="S265" i="23" s="1"/>
  <c r="R265" i="23" s="1"/>
  <c r="U210" i="23"/>
  <c r="T210" i="23" s="1"/>
  <c r="S210" i="23" s="1"/>
  <c r="R210" i="23" s="1"/>
  <c r="U140" i="23"/>
  <c r="T140" i="23" s="1"/>
  <c r="S140" i="23" s="1"/>
  <c r="R140" i="23" s="1"/>
  <c r="U234" i="23"/>
  <c r="T234" i="23" s="1"/>
  <c r="S234" i="23" s="1"/>
  <c r="R234" i="23" s="1"/>
  <c r="U40" i="23"/>
  <c r="T40" i="23" s="1"/>
  <c r="S40" i="23" s="1"/>
  <c r="R40" i="23" s="1"/>
  <c r="U189" i="23"/>
  <c r="T189" i="23" s="1"/>
  <c r="S189" i="23" s="1"/>
  <c r="R189" i="23" s="1"/>
  <c r="U342" i="23"/>
  <c r="T342" i="23" s="1"/>
  <c r="S342" i="23" s="1"/>
  <c r="R342" i="23" s="1"/>
  <c r="U124" i="23"/>
  <c r="T124" i="23" s="1"/>
  <c r="S124" i="23" s="1"/>
  <c r="R124" i="23" s="1"/>
  <c r="U49" i="23"/>
  <c r="T49" i="23" s="1"/>
  <c r="S49" i="23" s="1"/>
  <c r="R49" i="23" s="1"/>
  <c r="U32" i="23"/>
  <c r="T32" i="23" s="1"/>
  <c r="S32" i="23" s="1"/>
  <c r="R32" i="23" s="1"/>
  <c r="U320" i="23"/>
  <c r="T320" i="23" s="1"/>
  <c r="S320" i="23" s="1"/>
  <c r="R320" i="23" s="1"/>
  <c r="U287" i="23"/>
  <c r="T287" i="23" s="1"/>
  <c r="S287" i="23" s="1"/>
  <c r="R287" i="23" s="1"/>
  <c r="U243" i="23"/>
  <c r="T243" i="23" s="1"/>
  <c r="S243" i="23" s="1"/>
  <c r="R243" i="23" s="1"/>
  <c r="U144" i="23"/>
  <c r="T144" i="23" s="1"/>
  <c r="S144" i="23" s="1"/>
  <c r="R144" i="23" s="1"/>
  <c r="U133" i="23"/>
  <c r="T133" i="23" s="1"/>
  <c r="S133" i="23" s="1"/>
  <c r="R133" i="23" s="1"/>
  <c r="U274" i="23"/>
  <c r="T274" i="23" s="1"/>
  <c r="S274" i="23" s="1"/>
  <c r="R274" i="23" s="1"/>
  <c r="U250" i="23"/>
  <c r="T250" i="23" s="1"/>
  <c r="S250" i="23" s="1"/>
  <c r="R250" i="23" s="1"/>
  <c r="U24" i="23"/>
  <c r="T24" i="23" s="1"/>
  <c r="S24" i="23" s="1"/>
  <c r="R24" i="23" s="1"/>
  <c r="U173" i="23"/>
  <c r="T173" i="23" s="1"/>
  <c r="S173" i="23" s="1"/>
  <c r="R173" i="23" s="1"/>
  <c r="U326" i="23"/>
  <c r="T326" i="23" s="1"/>
  <c r="S326" i="23" s="1"/>
  <c r="R326" i="23" s="1"/>
  <c r="U79" i="23"/>
  <c r="T79" i="23" s="1"/>
  <c r="S79" i="23" s="1"/>
  <c r="R79" i="23" s="1"/>
  <c r="U239" i="23"/>
  <c r="T239" i="23" s="1"/>
  <c r="S239" i="23" s="1"/>
  <c r="R239" i="23" s="1"/>
  <c r="U105" i="23"/>
  <c r="T105" i="23" s="1"/>
  <c r="S105" i="23" s="1"/>
  <c r="R105" i="23" s="1"/>
  <c r="U372" i="23"/>
  <c r="T372" i="23" s="1"/>
  <c r="S372" i="23" s="1"/>
  <c r="R372" i="23" s="1"/>
  <c r="U338" i="23"/>
  <c r="T338" i="23" s="1"/>
  <c r="S338" i="23" s="1"/>
  <c r="R338" i="23" s="1"/>
  <c r="U172" i="23"/>
  <c r="T172" i="23" s="1"/>
  <c r="S172" i="23" s="1"/>
  <c r="R172" i="23" s="1"/>
  <c r="U266" i="23"/>
  <c r="T266" i="23" s="1"/>
  <c r="S266" i="23" s="1"/>
  <c r="R266" i="23" s="1"/>
  <c r="U72" i="23"/>
  <c r="T72" i="23" s="1"/>
  <c r="S72" i="23" s="1"/>
  <c r="R72" i="23" s="1"/>
  <c r="U221" i="23"/>
  <c r="T221" i="23" s="1"/>
  <c r="S221" i="23" s="1"/>
  <c r="R221" i="23" s="1"/>
  <c r="U374" i="23"/>
  <c r="T374" i="23" s="1"/>
  <c r="S374" i="23" s="1"/>
  <c r="R374" i="23" s="1"/>
  <c r="U156" i="23"/>
  <c r="T156" i="23" s="1"/>
  <c r="S156" i="23" s="1"/>
  <c r="R156" i="23" s="1"/>
  <c r="U81" i="23"/>
  <c r="T81" i="23" s="1"/>
  <c r="S81" i="23" s="1"/>
  <c r="R81" i="23" s="1"/>
  <c r="U160" i="23"/>
  <c r="T160" i="23" s="1"/>
  <c r="S160" i="23" s="1"/>
  <c r="R160" i="23" s="1"/>
  <c r="U85" i="23"/>
  <c r="T85" i="23" s="1"/>
  <c r="S85" i="23" s="1"/>
  <c r="R85" i="23" s="1"/>
  <c r="U69" i="23"/>
  <c r="T69" i="23" s="1"/>
  <c r="S69" i="23" s="1"/>
  <c r="R69" i="23" s="1"/>
  <c r="U178" i="23"/>
  <c r="T178" i="23" s="1"/>
  <c r="S178" i="23" s="1"/>
  <c r="R178" i="23" s="1"/>
  <c r="U242" i="23"/>
  <c r="T242" i="23" s="1"/>
  <c r="S242" i="23" s="1"/>
  <c r="R242" i="23" s="1"/>
  <c r="U368" i="23"/>
  <c r="T368" i="23" s="1"/>
  <c r="S368" i="23" s="1"/>
  <c r="R368" i="23" s="1"/>
  <c r="U138" i="23"/>
  <c r="T138" i="23" s="1"/>
  <c r="S138" i="23" s="1"/>
  <c r="R138" i="23" s="1"/>
  <c r="U103" i="23"/>
  <c r="T103" i="23" s="1"/>
  <c r="S103" i="23" s="1"/>
  <c r="R103" i="23" s="1"/>
  <c r="U248" i="23"/>
  <c r="T248" i="23" s="1"/>
  <c r="S248" i="23" s="1"/>
  <c r="R248" i="23" s="1"/>
  <c r="U38" i="23"/>
  <c r="T38" i="23" s="1"/>
  <c r="S38" i="23" s="1"/>
  <c r="R38" i="23" s="1"/>
  <c r="U187" i="23"/>
  <c r="T187" i="23" s="1"/>
  <c r="S187" i="23" s="1"/>
  <c r="R187" i="23" s="1"/>
  <c r="U181" i="23"/>
  <c r="T181" i="23" s="1"/>
  <c r="S181" i="23" s="1"/>
  <c r="R181" i="23" s="1"/>
  <c r="U110" i="23"/>
  <c r="T110" i="23" s="1"/>
  <c r="S110" i="23" s="1"/>
  <c r="R110" i="23" s="1"/>
  <c r="U260" i="23"/>
  <c r="T260" i="23" s="1"/>
  <c r="S260" i="23" s="1"/>
  <c r="R260" i="23" s="1"/>
  <c r="U377" i="23"/>
  <c r="T377" i="23" s="1"/>
  <c r="S377" i="23" s="1"/>
  <c r="R377" i="23" s="1"/>
  <c r="U329" i="23"/>
  <c r="T329" i="23" s="1"/>
  <c r="S329" i="23" s="1"/>
  <c r="R329" i="23" s="1"/>
  <c r="U33" i="23"/>
  <c r="T33" i="23" s="1"/>
  <c r="S33" i="23" s="1"/>
  <c r="R33" i="23" s="1"/>
  <c r="U87" i="23"/>
  <c r="T87" i="23" s="1"/>
  <c r="S87" i="23" s="1"/>
  <c r="R87" i="23" s="1"/>
  <c r="U232" i="23"/>
  <c r="T232" i="23" s="1"/>
  <c r="S232" i="23" s="1"/>
  <c r="R232" i="23" s="1"/>
  <c r="U22" i="23"/>
  <c r="T22" i="23" s="1"/>
  <c r="S22" i="23" s="1"/>
  <c r="R22" i="23" s="1"/>
  <c r="U171" i="23"/>
  <c r="T171" i="23" s="1"/>
  <c r="S171" i="23" s="1"/>
  <c r="R171" i="23" s="1"/>
  <c r="U364" i="23"/>
  <c r="T364" i="23" s="1"/>
  <c r="S364" i="23" s="1"/>
  <c r="R364" i="23" s="1"/>
  <c r="U241" i="23"/>
  <c r="T241" i="23" s="1"/>
  <c r="S241" i="23" s="1"/>
  <c r="R241" i="23" s="1"/>
  <c r="U142" i="23"/>
  <c r="T142" i="23" s="1"/>
  <c r="S142" i="23" s="1"/>
  <c r="R142" i="23" s="1"/>
  <c r="U302" i="23"/>
  <c r="T302" i="23" s="1"/>
  <c r="S302" i="23" s="1"/>
  <c r="R302" i="23" s="1"/>
  <c r="U80" i="23"/>
  <c r="T80" i="23" s="1"/>
  <c r="S80" i="23" s="1"/>
  <c r="R80" i="23" s="1"/>
  <c r="U339" i="23"/>
  <c r="T339" i="23" s="1"/>
  <c r="S339" i="23" s="1"/>
  <c r="R339" i="23" s="1"/>
  <c r="U324" i="23"/>
  <c r="T324" i="23" s="1"/>
  <c r="S324" i="23" s="1"/>
  <c r="R324" i="23" s="1"/>
  <c r="U95" i="23"/>
  <c r="T95" i="23" s="1"/>
  <c r="S95" i="23" s="1"/>
  <c r="R95" i="23" s="1"/>
  <c r="U58" i="23"/>
  <c r="T58" i="23" s="1"/>
  <c r="S58" i="23" s="1"/>
  <c r="R58" i="23" s="1"/>
  <c r="U199" i="23"/>
  <c r="T199" i="23" s="1"/>
  <c r="S199" i="23" s="1"/>
  <c r="R199" i="23" s="1"/>
  <c r="U344" i="23"/>
  <c r="T344" i="23" s="1"/>
  <c r="S344" i="23" s="1"/>
  <c r="R344" i="23" s="1"/>
  <c r="U134" i="23"/>
  <c r="T134" i="23" s="1"/>
  <c r="S134" i="23" s="1"/>
  <c r="R134" i="23" s="1"/>
  <c r="U283" i="23"/>
  <c r="T283" i="23" s="1"/>
  <c r="S283" i="23" s="1"/>
  <c r="R283" i="23" s="1"/>
  <c r="U206" i="23"/>
  <c r="T206" i="23" s="1"/>
  <c r="S206" i="23" s="1"/>
  <c r="R206" i="23" s="1"/>
  <c r="U131" i="23"/>
  <c r="T131" i="23" s="1"/>
  <c r="S131" i="23" s="1"/>
  <c r="R131" i="23" s="1"/>
  <c r="U336" i="23"/>
  <c r="T336" i="23" s="1"/>
  <c r="S336" i="23" s="1"/>
  <c r="R336" i="23" s="1"/>
  <c r="U356" i="23"/>
  <c r="T356" i="23" s="1"/>
  <c r="S356" i="23" s="1"/>
  <c r="R356" i="23" s="1"/>
  <c r="U147" i="23"/>
  <c r="T147" i="23" s="1"/>
  <c r="S147" i="23" s="1"/>
  <c r="R147" i="23" s="1"/>
  <c r="U353" i="23"/>
  <c r="T353" i="23" s="1"/>
  <c r="S353" i="23" s="1"/>
  <c r="R353" i="23" s="1"/>
  <c r="U247" i="23"/>
  <c r="T247" i="23" s="1"/>
  <c r="S247" i="23" s="1"/>
  <c r="R247" i="23" s="1"/>
  <c r="U29" i="23"/>
  <c r="T29" i="23" s="1"/>
  <c r="S29" i="23" s="1"/>
  <c r="R29" i="23" s="1"/>
  <c r="U182" i="23"/>
  <c r="T182" i="23" s="1"/>
  <c r="S182" i="23" s="1"/>
  <c r="R182" i="23" s="1"/>
  <c r="U331" i="23"/>
  <c r="T331" i="23" s="1"/>
  <c r="S331" i="23" s="1"/>
  <c r="R331" i="23" s="1"/>
  <c r="U321" i="23"/>
  <c r="T321" i="23" s="1"/>
  <c r="S321" i="23" s="1"/>
  <c r="R321" i="23" s="1"/>
  <c r="U130" i="23"/>
  <c r="T130" i="23" s="1"/>
  <c r="S130" i="23" s="1"/>
  <c r="R130" i="23" s="1"/>
  <c r="U47" i="23"/>
  <c r="T47" i="23" s="1"/>
  <c r="S47" i="23" s="1"/>
  <c r="R47" i="23" s="1"/>
  <c r="U212" i="23"/>
  <c r="T212" i="23" s="1"/>
  <c r="S212" i="23" s="1"/>
  <c r="R212" i="23" s="1"/>
  <c r="U355" i="23"/>
  <c r="T355" i="23" s="1"/>
  <c r="S355" i="23" s="1"/>
  <c r="R355" i="23" s="1"/>
  <c r="U62" i="23"/>
  <c r="T62" i="23" s="1"/>
  <c r="S62" i="23" s="1"/>
  <c r="R62" i="23" s="1"/>
  <c r="U51" i="23"/>
  <c r="T51" i="23" s="1"/>
  <c r="S51" i="23" s="1"/>
  <c r="R51" i="23" s="1"/>
  <c r="U52" i="23"/>
  <c r="T52" i="23" s="1"/>
  <c r="S52" i="23" s="1"/>
  <c r="R52" i="23" s="1"/>
  <c r="U154" i="23"/>
  <c r="T154" i="23" s="1"/>
  <c r="S154" i="23" s="1"/>
  <c r="R154" i="23" s="1"/>
  <c r="U295" i="23"/>
  <c r="T295" i="23" s="1"/>
  <c r="S295" i="23" s="1"/>
  <c r="R295" i="23" s="1"/>
  <c r="U77" i="23"/>
  <c r="T77" i="23" s="1"/>
  <c r="S77" i="23" s="1"/>
  <c r="R77" i="23" s="1"/>
  <c r="U230" i="23"/>
  <c r="T230" i="23" s="1"/>
  <c r="S230" i="23" s="1"/>
  <c r="R230" i="23" s="1"/>
  <c r="U66" i="23"/>
  <c r="T66" i="23" s="1"/>
  <c r="S66" i="23" s="1"/>
  <c r="R66" i="23" s="1"/>
  <c r="U226" i="23"/>
  <c r="T226" i="23" s="1"/>
  <c r="S226" i="23" s="1"/>
  <c r="R226" i="23" s="1"/>
  <c r="U148" i="23"/>
  <c r="T148" i="23" s="1"/>
  <c r="S148" i="23" s="1"/>
  <c r="R148" i="23" s="1"/>
  <c r="U57" i="23"/>
  <c r="T57" i="23" s="1"/>
  <c r="S57" i="23" s="1"/>
  <c r="R57" i="23" s="1"/>
  <c r="U255" i="23"/>
  <c r="T255" i="23" s="1"/>
  <c r="S255" i="23" s="1"/>
  <c r="R255" i="23" s="1"/>
  <c r="U379" i="23"/>
  <c r="U42" i="23"/>
  <c r="T42" i="23" s="1"/>
  <c r="S42" i="23" s="1"/>
  <c r="R42" i="23" s="1"/>
  <c r="U279" i="23"/>
  <c r="T279" i="23" s="1"/>
  <c r="S279" i="23" s="1"/>
  <c r="R279" i="23" s="1"/>
  <c r="U61" i="23"/>
  <c r="T61" i="23" s="1"/>
  <c r="S61" i="23" s="1"/>
  <c r="R61" i="23" s="1"/>
  <c r="U214" i="23"/>
  <c r="T214" i="23" s="1"/>
  <c r="S214" i="23" s="1"/>
  <c r="R214" i="23" s="1"/>
  <c r="U363" i="23"/>
  <c r="T363" i="23" s="1"/>
  <c r="S363" i="23" s="1"/>
  <c r="R363" i="23" s="1"/>
  <c r="U284" i="23"/>
  <c r="T284" i="23" s="1"/>
  <c r="S284" i="23" s="1"/>
  <c r="R284" i="23" s="1"/>
  <c r="U258" i="23"/>
  <c r="T258" i="23" s="1"/>
  <c r="S258" i="23" s="1"/>
  <c r="R258" i="23" s="1"/>
  <c r="U175" i="23"/>
  <c r="T175" i="23" s="1"/>
  <c r="S175" i="23" s="1"/>
  <c r="R175" i="23" s="1"/>
  <c r="U340" i="23"/>
  <c r="T340" i="23" s="1"/>
  <c r="S340" i="23" s="1"/>
  <c r="R340" i="23" s="1"/>
  <c r="U244" i="23"/>
  <c r="T244" i="23" s="1"/>
  <c r="S244" i="23" s="1"/>
  <c r="R244" i="23" s="1"/>
  <c r="U293" i="23"/>
  <c r="T293" i="23" s="1"/>
  <c r="S293" i="23" s="1"/>
  <c r="R293" i="23" s="1"/>
  <c r="U286" i="23"/>
  <c r="T286" i="23" s="1"/>
  <c r="S286" i="23" s="1"/>
  <c r="R286" i="23" s="1"/>
  <c r="U163" i="23"/>
  <c r="T163" i="23" s="1"/>
  <c r="S163" i="23" s="1"/>
  <c r="R163" i="23" s="1"/>
  <c r="U122" i="23"/>
  <c r="T122" i="23" s="1"/>
  <c r="S122" i="23" s="1"/>
  <c r="R122" i="23" s="1"/>
  <c r="U263" i="23"/>
  <c r="T263" i="23" s="1"/>
  <c r="S263" i="23" s="1"/>
  <c r="R263" i="23" s="1"/>
  <c r="U45" i="23"/>
  <c r="T45" i="23" s="1"/>
  <c r="S45" i="23" s="1"/>
  <c r="R45" i="23" s="1"/>
  <c r="U198" i="23"/>
  <c r="T198" i="23" s="1"/>
  <c r="S198" i="23" s="1"/>
  <c r="R198" i="23" s="1"/>
  <c r="U347" i="23"/>
  <c r="T347" i="23" s="1"/>
  <c r="S347" i="23" s="1"/>
  <c r="R347" i="23" s="1"/>
  <c r="U98" i="23"/>
  <c r="T98" i="23" s="1"/>
  <c r="S98" i="23" s="1"/>
  <c r="R98" i="23" s="1"/>
  <c r="U20" i="23"/>
  <c r="T20" i="23" s="1"/>
  <c r="S20" i="23" s="1"/>
  <c r="R20" i="23" s="1"/>
  <c r="U275" i="23"/>
  <c r="T275" i="23" s="1"/>
  <c r="S275" i="23" s="1"/>
  <c r="R275" i="23" s="1"/>
  <c r="U18" i="23"/>
  <c r="T18" i="23" s="1"/>
  <c r="S18" i="23" s="1"/>
  <c r="R18" i="23" s="1"/>
  <c r="U44" i="23"/>
  <c r="T44" i="23" s="1"/>
  <c r="S44" i="23" s="1"/>
  <c r="R44" i="23" s="1"/>
  <c r="U106" i="23"/>
  <c r="T106" i="23" s="1"/>
  <c r="S106" i="23" s="1"/>
  <c r="R106" i="23" s="1"/>
  <c r="U311" i="23"/>
  <c r="T311" i="23" s="1"/>
  <c r="S311" i="23" s="1"/>
  <c r="R311" i="23" s="1"/>
  <c r="U93" i="23"/>
  <c r="T93" i="23" s="1"/>
  <c r="S93" i="23" s="1"/>
  <c r="R93" i="23" s="1"/>
  <c r="U246" i="23"/>
  <c r="T246" i="23" s="1"/>
  <c r="S246" i="23" s="1"/>
  <c r="R246" i="23" s="1"/>
  <c r="U28" i="23"/>
  <c r="T28" i="23" s="1"/>
  <c r="S28" i="23" s="1"/>
  <c r="R28" i="23" s="1"/>
  <c r="U316" i="23"/>
  <c r="T316" i="23" s="1"/>
  <c r="S316" i="23" s="1"/>
  <c r="R316" i="23" s="1"/>
  <c r="U15" i="23"/>
  <c r="U303" i="23"/>
  <c r="T303" i="23" s="1"/>
  <c r="S303" i="23" s="1"/>
  <c r="R303" i="23" s="1"/>
  <c r="U169" i="23"/>
  <c r="T169" i="23" s="1"/>
  <c r="S169" i="23" s="1"/>
  <c r="R169" i="23" s="1"/>
  <c r="U137" i="23"/>
  <c r="T137" i="23" s="1"/>
  <c r="S137" i="23" s="1"/>
  <c r="R137" i="23" s="1"/>
  <c r="U165" i="23"/>
  <c r="T165" i="23" s="1"/>
  <c r="S165" i="23" s="1"/>
  <c r="R165" i="23" s="1"/>
  <c r="U158" i="23"/>
  <c r="T158" i="23" s="1"/>
  <c r="S158" i="23" s="1"/>
  <c r="R158" i="23" s="1"/>
  <c r="U63" i="23"/>
  <c r="T63" i="23" s="1"/>
  <c r="S63" i="23" s="1"/>
  <c r="R63" i="23" s="1"/>
  <c r="U346" i="23"/>
  <c r="T346" i="23" s="1"/>
  <c r="S346" i="23" s="1"/>
  <c r="R346" i="23" s="1"/>
  <c r="U120" i="23"/>
  <c r="T120" i="23" s="1"/>
  <c r="S120" i="23" s="1"/>
  <c r="R120" i="23" s="1"/>
  <c r="U269" i="23"/>
  <c r="T269" i="23" s="1"/>
  <c r="S269" i="23" s="1"/>
  <c r="R269" i="23" s="1"/>
  <c r="U59" i="23"/>
  <c r="T59" i="23" s="1"/>
  <c r="S59" i="23" s="1"/>
  <c r="R59" i="23" s="1"/>
  <c r="U96" i="23"/>
  <c r="T96" i="23" s="1"/>
  <c r="S96" i="23" s="1"/>
  <c r="R96" i="23" s="1"/>
  <c r="U256" i="23"/>
  <c r="T256" i="23" s="1"/>
  <c r="S256" i="23" s="1"/>
  <c r="R256" i="23" s="1"/>
  <c r="U31" i="23"/>
  <c r="T31" i="23" s="1"/>
  <c r="S31" i="23" s="1"/>
  <c r="R31" i="23" s="1"/>
  <c r="U94" i="23"/>
  <c r="T94" i="23" s="1"/>
  <c r="S94" i="23" s="1"/>
  <c r="R94" i="23" s="1"/>
  <c r="U35" i="23"/>
  <c r="T35" i="23" s="1"/>
  <c r="S35" i="23" s="1"/>
  <c r="R35" i="23" s="1"/>
  <c r="U204" i="23"/>
  <c r="T204" i="23" s="1"/>
  <c r="S204" i="23" s="1"/>
  <c r="R204" i="23" s="1"/>
  <c r="U298" i="23"/>
  <c r="T298" i="23" s="1"/>
  <c r="S298" i="23" s="1"/>
  <c r="R298" i="23" s="1"/>
  <c r="U104" i="23"/>
  <c r="T104" i="23" s="1"/>
  <c r="S104" i="23" s="1"/>
  <c r="R104" i="23" s="1"/>
  <c r="U253" i="23"/>
  <c r="T253" i="23" s="1"/>
  <c r="S253" i="23" s="1"/>
  <c r="R253" i="23" s="1"/>
  <c r="U43" i="23"/>
  <c r="T43" i="23" s="1"/>
  <c r="S43" i="23" s="1"/>
  <c r="R43" i="23" s="1"/>
  <c r="U188" i="23"/>
  <c r="T188" i="23" s="1"/>
  <c r="S188" i="23" s="1"/>
  <c r="R188" i="23" s="1"/>
  <c r="U113" i="23"/>
  <c r="T113" i="23" s="1"/>
  <c r="S113" i="23" s="1"/>
  <c r="R113" i="23" s="1"/>
  <c r="U352" i="23"/>
  <c r="T352" i="23" s="1"/>
  <c r="S352" i="23" s="1"/>
  <c r="R352" i="23" s="1"/>
  <c r="U213" i="23"/>
  <c r="T213" i="23" s="1"/>
  <c r="S213" i="23" s="1"/>
  <c r="R213" i="23" s="1"/>
  <c r="U222" i="23"/>
  <c r="T222" i="23" s="1"/>
  <c r="S222" i="23" s="1"/>
  <c r="R222" i="23" s="1"/>
  <c r="U319" i="23"/>
  <c r="T319" i="23" s="1"/>
  <c r="S319" i="23" s="1"/>
  <c r="R319" i="23" s="1"/>
  <c r="U114" i="23"/>
  <c r="T114" i="23" s="1"/>
  <c r="S114" i="23" s="1"/>
  <c r="R114" i="23" s="1"/>
  <c r="U240" i="23"/>
  <c r="T240" i="23" s="1"/>
  <c r="S240" i="23" s="1"/>
  <c r="R240" i="23" s="1"/>
  <c r="U74" i="23"/>
  <c r="T74" i="23" s="1"/>
  <c r="S74" i="23" s="1"/>
  <c r="R74" i="23" s="1"/>
  <c r="U71" i="23"/>
  <c r="T71" i="23" s="1"/>
  <c r="S71" i="23" s="1"/>
  <c r="R71" i="23" s="1"/>
  <c r="U216" i="23"/>
  <c r="T216" i="23" s="1"/>
  <c r="S216" i="23" s="1"/>
  <c r="R216" i="23" s="1"/>
  <c r="U365" i="23"/>
  <c r="T365" i="23" s="1"/>
  <c r="S365" i="23" s="1"/>
  <c r="R365" i="23" s="1"/>
  <c r="U155" i="23"/>
  <c r="T155" i="23" s="1"/>
  <c r="S155" i="23" s="1"/>
  <c r="R155" i="23" s="1"/>
  <c r="U53" i="23"/>
  <c r="T53" i="23" s="1"/>
  <c r="S53" i="23" s="1"/>
  <c r="R53" i="23" s="1"/>
  <c r="U277" i="23"/>
  <c r="T277" i="23" s="1"/>
  <c r="S277" i="23" s="1"/>
  <c r="R277" i="23" s="1"/>
  <c r="U115" i="23"/>
  <c r="T115" i="23" s="1"/>
  <c r="S115" i="23" s="1"/>
  <c r="R115" i="23" s="1"/>
  <c r="U36" i="23"/>
  <c r="T36" i="23" s="1"/>
  <c r="S36" i="23" s="1"/>
  <c r="R36" i="23" s="1"/>
  <c r="U48" i="23"/>
  <c r="T48" i="23" s="1"/>
  <c r="S48" i="23" s="1"/>
  <c r="R48" i="23" s="1"/>
  <c r="U97" i="23"/>
  <c r="T97" i="23" s="1"/>
  <c r="S97" i="23" s="1"/>
  <c r="R97" i="23" s="1"/>
  <c r="U119" i="23"/>
  <c r="T119" i="23" s="1"/>
  <c r="S119" i="23" s="1"/>
  <c r="R119" i="23" s="1"/>
  <c r="U264" i="23"/>
  <c r="T264" i="23" s="1"/>
  <c r="S264" i="23" s="1"/>
  <c r="R264" i="23" s="1"/>
  <c r="U54" i="23"/>
  <c r="T54" i="23" s="1"/>
  <c r="S54" i="23" s="1"/>
  <c r="R54" i="23" s="1"/>
  <c r="U203" i="23"/>
  <c r="T203" i="23" s="1"/>
  <c r="S203" i="23" s="1"/>
  <c r="R203" i="23" s="1"/>
  <c r="U65" i="23"/>
  <c r="T65" i="23" s="1"/>
  <c r="S65" i="23" s="1"/>
  <c r="R65" i="23" s="1"/>
  <c r="U273" i="23"/>
  <c r="T273" i="23" s="1"/>
  <c r="S273" i="23" s="1"/>
  <c r="R273" i="23" s="1"/>
  <c r="U270" i="23"/>
  <c r="T270" i="23" s="1"/>
  <c r="S270" i="23" s="1"/>
  <c r="R270" i="23" s="1"/>
  <c r="U67" i="23"/>
  <c r="T67" i="23" s="1"/>
  <c r="S67" i="23" s="1"/>
  <c r="R67" i="23" s="1"/>
  <c r="U229" i="23"/>
  <c r="T229" i="23" s="1"/>
  <c r="S229" i="23" s="1"/>
  <c r="R229" i="23" s="1"/>
  <c r="U211" i="23"/>
  <c r="T211" i="23" s="1"/>
  <c r="S211" i="23" s="1"/>
  <c r="R211" i="23" s="1"/>
  <c r="U196" i="23"/>
  <c r="T196" i="23" s="1"/>
  <c r="S196" i="23" s="1"/>
  <c r="R196" i="23" s="1"/>
  <c r="U82" i="23"/>
  <c r="T82" i="23" s="1"/>
  <c r="S82" i="23" s="1"/>
  <c r="R82" i="23" s="1"/>
  <c r="AS16" i="7"/>
  <c r="U167" i="23"/>
  <c r="T167" i="23" s="1"/>
  <c r="S167" i="23" s="1"/>
  <c r="R167" i="23" s="1"/>
  <c r="U102" i="23"/>
  <c r="T102" i="23" s="1"/>
  <c r="S102" i="23" s="1"/>
  <c r="R102" i="23" s="1"/>
  <c r="U78" i="23"/>
  <c r="T78" i="23" s="1"/>
  <c r="S78" i="23" s="1"/>
  <c r="R78" i="23" s="1"/>
  <c r="U191" i="23"/>
  <c r="T191" i="23" s="1"/>
  <c r="S191" i="23" s="1"/>
  <c r="R191" i="23" s="1"/>
  <c r="U350" i="23"/>
  <c r="T350" i="23" s="1"/>
  <c r="S350" i="23" s="1"/>
  <c r="R350" i="23" s="1"/>
  <c r="U151" i="23"/>
  <c r="T151" i="23" s="1"/>
  <c r="S151" i="23" s="1"/>
  <c r="R151" i="23" s="1"/>
  <c r="U86" i="23"/>
  <c r="T86" i="23" s="1"/>
  <c r="S86" i="23" s="1"/>
  <c r="R86" i="23" s="1"/>
  <c r="U129" i="23"/>
  <c r="T129" i="23" s="1"/>
  <c r="S129" i="23" s="1"/>
  <c r="R129" i="23" s="1"/>
  <c r="U34" i="23"/>
  <c r="T34" i="23" s="1"/>
  <c r="S34" i="23" s="1"/>
  <c r="R34" i="23" s="1"/>
  <c r="U17" i="23"/>
  <c r="T17" i="23" s="1"/>
  <c r="S17" i="23" s="1"/>
  <c r="R17" i="23" s="1"/>
  <c r="U68" i="23"/>
  <c r="T68" i="23" s="1"/>
  <c r="S68" i="23" s="1"/>
  <c r="R68" i="23" s="1"/>
  <c r="U55" i="23"/>
  <c r="T55" i="23" s="1"/>
  <c r="S55" i="23" s="1"/>
  <c r="R55" i="23" s="1"/>
  <c r="U280" i="23"/>
  <c r="T280" i="23" s="1"/>
  <c r="S280" i="23" s="1"/>
  <c r="R280" i="23" s="1"/>
  <c r="U219" i="23"/>
  <c r="T219" i="23" s="1"/>
  <c r="S219" i="23" s="1"/>
  <c r="R219" i="23" s="1"/>
  <c r="U238" i="23"/>
  <c r="T238" i="23" s="1"/>
  <c r="S238" i="23" s="1"/>
  <c r="R238" i="23" s="1"/>
  <c r="U249" i="23"/>
  <c r="T249" i="23" s="1"/>
  <c r="S249" i="23" s="1"/>
  <c r="R249" i="23" s="1"/>
  <c r="U225" i="23"/>
  <c r="T225" i="23" s="1"/>
  <c r="S225" i="23" s="1"/>
  <c r="R225" i="23" s="1"/>
  <c r="U328" i="23"/>
  <c r="T328" i="23" s="1"/>
  <c r="S328" i="23" s="1"/>
  <c r="R328" i="23" s="1"/>
  <c r="U267" i="23"/>
  <c r="T267" i="23" s="1"/>
  <c r="S267" i="23" s="1"/>
  <c r="R267" i="23" s="1"/>
  <c r="U337" i="23"/>
  <c r="T337" i="23" s="1"/>
  <c r="S337" i="23" s="1"/>
  <c r="R337" i="23" s="1"/>
  <c r="U323" i="23"/>
  <c r="T323" i="23" s="1"/>
  <c r="S323" i="23" s="1"/>
  <c r="R323" i="23" s="1"/>
  <c r="U318" i="23"/>
  <c r="T318" i="23" s="1"/>
  <c r="S318" i="23" s="1"/>
  <c r="R318" i="23" s="1"/>
  <c r="U201" i="23"/>
  <c r="T201" i="23" s="1"/>
  <c r="S201" i="23" s="1"/>
  <c r="R201" i="23" s="1"/>
  <c r="U218" i="23"/>
  <c r="T218" i="23" s="1"/>
  <c r="S218" i="23" s="1"/>
  <c r="R218" i="23" s="1"/>
  <c r="U141" i="23"/>
  <c r="T141" i="23" s="1"/>
  <c r="S141" i="23" s="1"/>
  <c r="R141" i="23" s="1"/>
  <c r="U322" i="23"/>
  <c r="T322" i="23" s="1"/>
  <c r="S322" i="23" s="1"/>
  <c r="R322" i="23" s="1"/>
  <c r="U41" i="23"/>
  <c r="T41" i="23" s="1"/>
  <c r="S41" i="23" s="1"/>
  <c r="R41" i="23" s="1"/>
  <c r="U370" i="23"/>
  <c r="T370" i="23" s="1"/>
  <c r="S370" i="23" s="1"/>
  <c r="R370" i="23" s="1"/>
  <c r="U170" i="23"/>
  <c r="T170" i="23" s="1"/>
  <c r="S170" i="23" s="1"/>
  <c r="R170" i="23" s="1"/>
  <c r="U125" i="23"/>
  <c r="T125" i="23" s="1"/>
  <c r="S125" i="23" s="1"/>
  <c r="R125" i="23" s="1"/>
  <c r="U60" i="23"/>
  <c r="T60" i="23" s="1"/>
  <c r="S60" i="23" s="1"/>
  <c r="R60" i="23" s="1"/>
  <c r="U143" i="23"/>
  <c r="T143" i="23" s="1"/>
  <c r="S143" i="23" s="1"/>
  <c r="R143" i="23" s="1"/>
  <c r="U297" i="23"/>
  <c r="T297" i="23" s="1"/>
  <c r="S297" i="23" s="1"/>
  <c r="R297" i="23" s="1"/>
  <c r="U37" i="23"/>
  <c r="T37" i="23" s="1"/>
  <c r="S37" i="23" s="1"/>
  <c r="R37" i="23" s="1"/>
  <c r="U132" i="23"/>
  <c r="T132" i="23" s="1"/>
  <c r="S132" i="23" s="1"/>
  <c r="R132" i="23" s="1"/>
  <c r="U88" i="23"/>
  <c r="T88" i="23" s="1"/>
  <c r="S88" i="23" s="1"/>
  <c r="R88" i="23" s="1"/>
  <c r="U27" i="23"/>
  <c r="T27" i="23" s="1"/>
  <c r="S27" i="23" s="1"/>
  <c r="R27" i="23" s="1"/>
  <c r="U128" i="23"/>
  <c r="T128" i="23" s="1"/>
  <c r="S128" i="23" s="1"/>
  <c r="R128" i="23" s="1"/>
  <c r="U159" i="23"/>
  <c r="T159" i="23" s="1"/>
  <c r="S159" i="23" s="1"/>
  <c r="R159" i="23" s="1"/>
  <c r="U236" i="23"/>
  <c r="T236" i="23" s="1"/>
  <c r="S236" i="23" s="1"/>
  <c r="R236" i="23" s="1"/>
  <c r="U136" i="23"/>
  <c r="T136" i="23" s="1"/>
  <c r="S136" i="23" s="1"/>
  <c r="R136" i="23" s="1"/>
  <c r="U75" i="23"/>
  <c r="T75" i="23" s="1"/>
  <c r="S75" i="23" s="1"/>
  <c r="R75" i="23" s="1"/>
  <c r="U145" i="23"/>
  <c r="T145" i="23" s="1"/>
  <c r="S145" i="23" s="1"/>
  <c r="R145" i="23" s="1"/>
  <c r="U341" i="23"/>
  <c r="T341" i="23" s="1"/>
  <c r="S341" i="23" s="1"/>
  <c r="R341" i="23" s="1"/>
  <c r="U254" i="23"/>
  <c r="T254" i="23" s="1"/>
  <c r="S254" i="23" s="1"/>
  <c r="R254" i="23" s="1"/>
  <c r="U112" i="23"/>
  <c r="T112" i="23" s="1"/>
  <c r="S112" i="23" s="1"/>
  <c r="R112" i="23" s="1"/>
  <c r="U39" i="23"/>
  <c r="T39" i="23" s="1"/>
  <c r="S39" i="23" s="1"/>
  <c r="R39" i="23" s="1"/>
  <c r="U333" i="23"/>
  <c r="T333" i="23" s="1"/>
  <c r="S333" i="23" s="1"/>
  <c r="R333" i="23" s="1"/>
  <c r="U288" i="23"/>
  <c r="T288" i="23" s="1"/>
  <c r="S288" i="23" s="1"/>
  <c r="R288" i="23" s="1"/>
  <c r="U149" i="23"/>
  <c r="T149" i="23" s="1"/>
  <c r="S149" i="23" s="1"/>
  <c r="R149" i="23" s="1"/>
  <c r="U101" i="23"/>
  <c r="T101" i="23" s="1"/>
  <c r="S101" i="23" s="1"/>
  <c r="R101" i="23" s="1"/>
  <c r="U268" i="23"/>
  <c r="T268" i="23" s="1"/>
  <c r="S268" i="23" s="1"/>
  <c r="R268" i="23" s="1"/>
  <c r="U168" i="23"/>
  <c r="T168" i="23" s="1"/>
  <c r="S168" i="23" s="1"/>
  <c r="R168" i="23" s="1"/>
  <c r="U107" i="23"/>
  <c r="T107" i="23" s="1"/>
  <c r="S107" i="23" s="1"/>
  <c r="R107" i="23" s="1"/>
  <c r="U177" i="23"/>
  <c r="T177" i="23" s="1"/>
  <c r="S177" i="23" s="1"/>
  <c r="R177" i="23" s="1"/>
  <c r="U46" i="23"/>
  <c r="T46" i="23" s="1"/>
  <c r="S46" i="23" s="1"/>
  <c r="R46" i="23" s="1"/>
  <c r="U185" i="23"/>
  <c r="T185" i="23" s="1"/>
  <c r="S185" i="23" s="1"/>
  <c r="R185" i="23" s="1"/>
  <c r="U351" i="23"/>
  <c r="T351" i="23" s="1"/>
  <c r="S351" i="23" s="1"/>
  <c r="R351" i="23" s="1"/>
  <c r="U378" i="23"/>
  <c r="T378" i="23" s="1"/>
  <c r="S378" i="23" s="1"/>
  <c r="R378" i="23" s="1"/>
  <c r="U301" i="23"/>
  <c r="T301" i="23" s="1"/>
  <c r="S301" i="23" s="1"/>
  <c r="R301" i="23" s="1"/>
  <c r="U224" i="23"/>
  <c r="T224" i="23" s="1"/>
  <c r="S224" i="23" s="1"/>
  <c r="R224" i="23" s="1"/>
  <c r="U176" i="23"/>
  <c r="T176" i="23" s="1"/>
  <c r="S176" i="23" s="1"/>
  <c r="R176" i="23" s="1"/>
  <c r="U73" i="23"/>
  <c r="T73" i="23" s="1"/>
  <c r="S73" i="23" s="1"/>
  <c r="R73" i="23" s="1"/>
  <c r="U23" i="23"/>
  <c r="T23" i="23" s="1"/>
  <c r="S23" i="23" s="1"/>
  <c r="R23" i="23" s="1"/>
  <c r="U349" i="23"/>
  <c r="T349" i="23" s="1"/>
  <c r="S349" i="23" s="1"/>
  <c r="R349" i="23" s="1"/>
  <c r="U300" i="23"/>
  <c r="T300" i="23" s="1"/>
  <c r="S300" i="23" s="1"/>
  <c r="R300" i="23" s="1"/>
  <c r="U373" i="23"/>
  <c r="T373" i="23" s="1"/>
  <c r="S373" i="23" s="1"/>
  <c r="R373" i="23" s="1"/>
  <c r="U306" i="23"/>
  <c r="T306" i="23" s="1"/>
  <c r="S306" i="23" s="1"/>
  <c r="R306" i="23" s="1"/>
  <c r="U89" i="23"/>
  <c r="T89" i="23" s="1"/>
  <c r="S89" i="23" s="1"/>
  <c r="R89" i="23" s="1"/>
  <c r="U90" i="23"/>
  <c r="T90" i="23" s="1"/>
  <c r="S90" i="23" s="1"/>
  <c r="R90" i="23" s="1"/>
  <c r="U376" i="23"/>
  <c r="T376" i="23" s="1"/>
  <c r="S376" i="23" s="1"/>
  <c r="R376" i="23" s="1"/>
  <c r="U315" i="23"/>
  <c r="T315" i="23" s="1"/>
  <c r="S315" i="23" s="1"/>
  <c r="R315" i="23" s="1"/>
  <c r="U259" i="23"/>
  <c r="T259" i="23" s="1"/>
  <c r="S259" i="23" s="1"/>
  <c r="R259" i="23" s="1"/>
  <c r="U228" i="23"/>
  <c r="T228" i="23" s="1"/>
  <c r="S228" i="23" s="1"/>
  <c r="R228" i="23" s="1"/>
  <c r="U289" i="23"/>
  <c r="T289" i="23" s="1"/>
  <c r="S289" i="23" s="1"/>
  <c r="R289" i="23" s="1"/>
  <c r="U360" i="23"/>
  <c r="T360" i="23" s="1"/>
  <c r="S360" i="23" s="1"/>
  <c r="R360" i="23" s="1"/>
  <c r="U299" i="23"/>
  <c r="T299" i="23" s="1"/>
  <c r="S299" i="23" s="1"/>
  <c r="R299" i="23" s="1"/>
  <c r="U369" i="23"/>
  <c r="T369" i="23" s="1"/>
  <c r="S369" i="23" s="1"/>
  <c r="R369" i="23" s="1"/>
  <c r="U84" i="23"/>
  <c r="T84" i="23" s="1"/>
  <c r="S84" i="23" s="1"/>
  <c r="R84" i="23" s="1"/>
  <c r="U190" i="23"/>
  <c r="T190" i="23" s="1"/>
  <c r="S190" i="23" s="1"/>
  <c r="R190" i="23" s="1"/>
  <c r="U308" i="23"/>
  <c r="T308" i="23" s="1"/>
  <c r="S308" i="23" s="1"/>
  <c r="R308" i="23" s="1"/>
  <c r="U327" i="23"/>
  <c r="T327" i="23" s="1"/>
  <c r="S327" i="23" s="1"/>
  <c r="R327" i="23" s="1"/>
  <c r="U262" i="23"/>
  <c r="T262" i="23" s="1"/>
  <c r="S262" i="23" s="1"/>
  <c r="R262" i="23" s="1"/>
  <c r="U354" i="23"/>
  <c r="T354" i="23" s="1"/>
  <c r="S354" i="23" s="1"/>
  <c r="R354" i="23" s="1"/>
  <c r="U227" i="23"/>
  <c r="T227" i="23" s="1"/>
  <c r="S227" i="23" s="1"/>
  <c r="R227" i="23" s="1"/>
  <c r="U108" i="23"/>
  <c r="T108" i="23" s="1"/>
  <c r="S108" i="23" s="1"/>
  <c r="R108" i="23" s="1"/>
  <c r="U375" i="23"/>
  <c r="T375" i="23" s="1"/>
  <c r="S375" i="23" s="1"/>
  <c r="R375" i="23" s="1"/>
  <c r="U157" i="23"/>
  <c r="T157" i="23" s="1"/>
  <c r="S157" i="23" s="1"/>
  <c r="R157" i="23" s="1"/>
  <c r="U92" i="23"/>
  <c r="T92" i="23" s="1"/>
  <c r="S92" i="23" s="1"/>
  <c r="R92" i="23" s="1"/>
  <c r="U271" i="23"/>
  <c r="T271" i="23" s="1"/>
  <c r="S271" i="23" s="1"/>
  <c r="R271" i="23" s="1"/>
  <c r="U146" i="23"/>
  <c r="T146" i="23" s="1"/>
  <c r="S146" i="23" s="1"/>
  <c r="R146" i="23" s="1"/>
  <c r="U272" i="23"/>
  <c r="T272" i="23" s="1"/>
  <c r="S272" i="23" s="1"/>
  <c r="R272" i="23" s="1"/>
  <c r="J54" i="20"/>
  <c r="C54" i="6" s="1"/>
  <c r="I54" i="20"/>
  <c r="B54" i="6" s="1"/>
  <c r="BA54" i="6" s="1"/>
  <c r="J28" i="20"/>
  <c r="C28" i="6" s="1"/>
  <c r="I28" i="20"/>
  <c r="B28" i="6" s="1"/>
  <c r="BA28" i="6" s="1"/>
  <c r="D7" i="6"/>
  <c r="W7" i="7"/>
  <c r="J382" i="17"/>
  <c r="J381" i="17"/>
  <c r="J383" i="17"/>
  <c r="Q62" i="23"/>
  <c r="P62" i="23" s="1"/>
  <c r="V62" i="23" s="1"/>
  <c r="Q261" i="23"/>
  <c r="Q118" i="23"/>
  <c r="Q163" i="23"/>
  <c r="Q67" i="23"/>
  <c r="Q149" i="23"/>
  <c r="Q354" i="23"/>
  <c r="P354" i="23" s="1"/>
  <c r="V354" i="23" s="1"/>
  <c r="Q184" i="23"/>
  <c r="P184" i="23" s="1"/>
  <c r="V184" i="23" s="1"/>
  <c r="Q225" i="23"/>
  <c r="Q49" i="23"/>
  <c r="P49" i="23" s="1"/>
  <c r="V49" i="23" s="1"/>
  <c r="Q237" i="23"/>
  <c r="P237" i="23" s="1"/>
  <c r="V237" i="23" s="1"/>
  <c r="Q360" i="23"/>
  <c r="Q80" i="23"/>
  <c r="P80" i="23" s="1"/>
  <c r="V80" i="23" s="1"/>
  <c r="Q357" i="23"/>
  <c r="P357" i="23" s="1"/>
  <c r="V357" i="23" s="1"/>
  <c r="Q306" i="23"/>
  <c r="P306" i="23" s="1"/>
  <c r="V306" i="23" s="1"/>
  <c r="Q355" i="23"/>
  <c r="Q217" i="23"/>
  <c r="P217" i="23" s="1"/>
  <c r="V217" i="23" s="1"/>
  <c r="Q275" i="23"/>
  <c r="Q20" i="23"/>
  <c r="P20" i="23" s="1"/>
  <c r="V20" i="23" s="1"/>
  <c r="Q174" i="23"/>
  <c r="Q47" i="23"/>
  <c r="Q263" i="23"/>
  <c r="Q254" i="23"/>
  <c r="Q239" i="23"/>
  <c r="Q63" i="23"/>
  <c r="P63" i="23" s="1"/>
  <c r="V63" i="23" s="1"/>
  <c r="Q356" i="23"/>
  <c r="Q311" i="23"/>
  <c r="Q92" i="23"/>
  <c r="Q318" i="23"/>
  <c r="P318" i="23" s="1"/>
  <c r="V318" i="23" s="1"/>
  <c r="Q23" i="23"/>
  <c r="Q271" i="23"/>
  <c r="P271" i="23" s="1"/>
  <c r="V271" i="23" s="1"/>
  <c r="Q158" i="23"/>
  <c r="Q100" i="23"/>
  <c r="Q152" i="23"/>
  <c r="Q314" i="23"/>
  <c r="Q168" i="23"/>
  <c r="Q147" i="23"/>
  <c r="Q106" i="23"/>
  <c r="Q180" i="23"/>
  <c r="P180" i="23" s="1"/>
  <c r="Q223" i="23"/>
  <c r="Q264" i="23"/>
  <c r="Q51" i="23"/>
  <c r="P51" i="23" s="1"/>
  <c r="V51" i="23" s="1"/>
  <c r="Q265" i="23"/>
  <c r="Q332" i="23"/>
  <c r="Q89" i="23"/>
  <c r="Q299" i="23"/>
  <c r="Q134" i="23"/>
  <c r="Q133" i="23"/>
  <c r="P133" i="23" s="1"/>
  <c r="V133" i="23" s="1"/>
  <c r="Q226" i="23"/>
  <c r="P226" i="23" s="1"/>
  <c r="V226" i="23" s="1"/>
  <c r="Q74" i="23"/>
  <c r="Q209" i="23"/>
  <c r="Q33" i="23"/>
  <c r="P33" i="23" s="1"/>
  <c r="V33" i="23" s="1"/>
  <c r="Q205" i="23"/>
  <c r="P205" i="23" s="1"/>
  <c r="V205" i="23" s="1"/>
  <c r="Q296" i="23"/>
  <c r="P296" i="23" s="1"/>
  <c r="V296" i="23" s="1"/>
  <c r="Q17" i="23"/>
  <c r="P17" i="23" s="1"/>
  <c r="V17" i="23" s="1"/>
  <c r="Q68" i="23"/>
  <c r="Q341" i="23"/>
  <c r="P341" i="23" s="1"/>
  <c r="V341" i="23" s="1"/>
  <c r="Q270" i="23"/>
  <c r="Q119" i="23"/>
  <c r="P119" i="23" s="1"/>
  <c r="Q375" i="23"/>
  <c r="Q178" i="23"/>
  <c r="P178" i="23" s="1"/>
  <c r="V178" i="23" s="1"/>
  <c r="Q161" i="23"/>
  <c r="Q124" i="23"/>
  <c r="P124" i="23" s="1"/>
  <c r="V124" i="23" s="1"/>
  <c r="Q202" i="23"/>
  <c r="P202" i="23" s="1"/>
  <c r="V202" i="23" s="1"/>
  <c r="Q323" i="23"/>
  <c r="Q109" i="23"/>
  <c r="P109" i="23" s="1"/>
  <c r="V109" i="23" s="1"/>
  <c r="Q366" i="23"/>
  <c r="P366" i="23" s="1"/>
  <c r="V366" i="23" s="1"/>
  <c r="Q104" i="23"/>
  <c r="Q185" i="23"/>
  <c r="Q186" i="23"/>
  <c r="Q256" i="23"/>
  <c r="P256" i="23" s="1"/>
  <c r="V256" i="23" s="1"/>
  <c r="Q229" i="23"/>
  <c r="Q53" i="23"/>
  <c r="P53" i="23" s="1"/>
  <c r="V53" i="23" s="1"/>
  <c r="Q344" i="23"/>
  <c r="Q305" i="23"/>
  <c r="Q96" i="23"/>
  <c r="P96" i="23" s="1"/>
  <c r="V96" i="23" s="1"/>
  <c r="Q66" i="23"/>
  <c r="Q218" i="23"/>
  <c r="Q251" i="23"/>
  <c r="Q211" i="23"/>
  <c r="Q240" i="23"/>
  <c r="P240" i="23" s="1"/>
  <c r="V240" i="23" s="1"/>
  <c r="Q39" i="23"/>
  <c r="Q253" i="23"/>
  <c r="Q308" i="23"/>
  <c r="Q77" i="23"/>
  <c r="Q287" i="23"/>
  <c r="Q70" i="23"/>
  <c r="P70" i="23" s="1"/>
  <c r="V70" i="23" s="1"/>
  <c r="Q44" i="23"/>
  <c r="P44" i="23" s="1"/>
  <c r="V44" i="23" s="1"/>
  <c r="Q329" i="23"/>
  <c r="P329" i="23" s="1"/>
  <c r="V329" i="23" s="1"/>
  <c r="Q222" i="23"/>
  <c r="P222" i="23" s="1"/>
  <c r="V222" i="23" s="1"/>
  <c r="Q107" i="23"/>
  <c r="P107" i="23" s="1"/>
  <c r="V107" i="23" s="1"/>
  <c r="Q363" i="23"/>
  <c r="P363" i="23" s="1"/>
  <c r="AE250" i="23"/>
  <c r="AE69" i="23"/>
  <c r="AE327" i="23"/>
  <c r="AE156" i="23"/>
  <c r="AE362" i="23"/>
  <c r="AE235" i="23"/>
  <c r="AE62" i="23"/>
  <c r="AE284" i="23"/>
  <c r="AE175" i="23"/>
  <c r="AE353" i="23"/>
  <c r="AE214" i="23"/>
  <c r="AE99" i="23"/>
  <c r="AE277" i="23"/>
  <c r="AE152" i="23"/>
  <c r="AE23" i="23"/>
  <c r="AE201" i="23"/>
  <c r="AE90" i="23"/>
  <c r="AE294" i="23"/>
  <c r="AE157" i="23"/>
  <c r="AE40" i="23"/>
  <c r="AE260" i="23"/>
  <c r="AE81" i="23"/>
  <c r="AE371" i="23"/>
  <c r="AE115" i="23"/>
  <c r="AE218" i="23"/>
  <c r="AE293" i="23"/>
  <c r="AE37" i="23"/>
  <c r="AE168" i="23"/>
  <c r="AE295" i="23"/>
  <c r="AE39" i="23"/>
  <c r="AE120" i="23"/>
  <c r="AE217" i="23"/>
  <c r="AE322" i="23"/>
  <c r="AE106" i="23"/>
  <c r="AE203" i="23"/>
  <c r="AE318" i="23"/>
  <c r="AE26" i="23"/>
  <c r="AE141" i="23"/>
  <c r="AE256" i="23"/>
  <c r="AE24" i="23"/>
  <c r="AE143" i="23"/>
  <c r="AE244" i="23"/>
  <c r="AE321" i="23"/>
  <c r="AE65" i="23"/>
  <c r="AE190" i="23"/>
  <c r="AE323" i="23"/>
  <c r="AE67" i="23"/>
  <c r="AE154" i="23"/>
  <c r="AE245" i="23"/>
  <c r="AE348" i="23"/>
  <c r="AE128" i="23"/>
  <c r="AE247" i="23"/>
  <c r="AE356" i="23"/>
  <c r="AE72" i="23"/>
  <c r="AE169" i="23"/>
  <c r="AE282" i="23"/>
  <c r="AE50" i="23"/>
  <c r="AE155" i="23"/>
  <c r="AE258" i="23"/>
  <c r="AE317" i="23"/>
  <c r="AE61" i="23"/>
  <c r="AE188" i="23"/>
  <c r="AE319" i="23"/>
  <c r="AE63" i="23"/>
  <c r="AE140" i="23"/>
  <c r="AE241" i="23"/>
  <c r="AE346" i="23"/>
  <c r="AE126" i="23"/>
  <c r="AE211" i="23"/>
  <c r="AE174" i="23"/>
  <c r="AE372" i="23"/>
  <c r="AE263" i="23"/>
  <c r="AE80" i="23"/>
  <c r="AE298" i="23"/>
  <c r="AE171" i="23"/>
  <c r="AE365" i="23"/>
  <c r="AE224" i="23"/>
  <c r="AE111" i="23"/>
  <c r="AE289" i="23"/>
  <c r="AE166" i="23"/>
  <c r="AE35" i="23"/>
  <c r="AE213" i="23"/>
  <c r="AE100" i="23"/>
  <c r="AE328" i="23"/>
  <c r="AE137" i="23"/>
  <c r="AE22" i="23"/>
  <c r="AE226" i="23"/>
  <c r="AE93" i="23"/>
  <c r="AE351" i="23"/>
  <c r="AE184" i="23"/>
  <c r="AE17" i="23"/>
  <c r="AE326" i="23"/>
  <c r="AE197" i="23"/>
  <c r="AE84" i="23"/>
  <c r="AE304" i="23"/>
  <c r="AE121" i="23"/>
  <c r="AE363" i="23"/>
  <c r="AE210" i="23"/>
  <c r="AE45" i="23"/>
  <c r="AE303" i="23"/>
  <c r="AE124" i="23"/>
  <c r="AE330" i="23"/>
  <c r="AE227" i="23"/>
  <c r="AE54" i="23"/>
  <c r="AE264" i="23"/>
  <c r="AE151" i="23"/>
  <c r="AE329" i="23"/>
  <c r="AE194" i="23"/>
  <c r="AE59" i="23"/>
  <c r="AE285" i="23"/>
  <c r="AE160" i="23"/>
  <c r="AE336" i="23"/>
  <c r="AE209" i="23"/>
  <c r="AE98" i="23"/>
  <c r="AE179" i="23"/>
  <c r="AE286" i="23"/>
  <c r="AE357" i="23"/>
  <c r="AE101" i="23"/>
  <c r="AE216" i="23"/>
  <c r="AE359" i="23"/>
  <c r="AE103" i="23"/>
  <c r="AE204" i="23"/>
  <c r="AE281" i="23"/>
  <c r="AE25" i="23"/>
  <c r="AE158" i="23"/>
  <c r="AE267" i="23"/>
  <c r="AE378" i="23"/>
  <c r="AE86" i="23"/>
  <c r="AE205" i="23"/>
  <c r="AE312" i="23"/>
  <c r="AE92" i="23"/>
  <c r="AE207" i="23"/>
  <c r="AE320" i="23"/>
  <c r="AE28" i="23"/>
  <c r="AE129" i="23"/>
  <c r="AE246" i="23"/>
  <c r="AE19" i="23"/>
  <c r="AE131" i="23"/>
  <c r="AE234" i="23"/>
  <c r="AE309" i="23"/>
  <c r="AE53" i="23"/>
  <c r="AE180" i="23"/>
  <c r="AE311" i="23"/>
  <c r="AE55" i="23"/>
  <c r="AE132" i="23"/>
  <c r="AE233" i="23"/>
  <c r="AE338" i="23"/>
  <c r="AE114" i="23"/>
  <c r="AE219" i="23"/>
  <c r="AE334" i="23"/>
  <c r="AE42" i="23"/>
  <c r="AE125" i="23"/>
  <c r="AE240" i="23"/>
  <c r="AE16" i="23"/>
  <c r="AE127" i="23"/>
  <c r="AE228" i="23"/>
  <c r="AE305" i="23"/>
  <c r="AE49" i="23"/>
  <c r="AE178" i="23"/>
  <c r="AE275" i="23"/>
  <c r="AE18" i="23"/>
  <c r="AE133" i="23"/>
  <c r="AE20" i="23"/>
  <c r="AE236" i="23"/>
  <c r="AE57" i="23"/>
  <c r="AE299" i="23"/>
  <c r="AE122" i="23"/>
  <c r="AE340" i="23"/>
  <c r="AE239" i="23"/>
  <c r="AE64" i="23"/>
  <c r="AE274" i="23"/>
  <c r="AE163" i="23"/>
  <c r="AE341" i="23"/>
  <c r="AE200" i="23"/>
  <c r="AE87" i="23"/>
  <c r="AE265" i="23"/>
  <c r="AE146" i="23"/>
  <c r="AE358" i="23"/>
  <c r="AE221" i="23"/>
  <c r="AE108" i="23"/>
  <c r="AE31" i="23"/>
  <c r="AE145" i="23"/>
  <c r="AE30" i="23"/>
  <c r="Q197" i="23"/>
  <c r="P197" i="23" s="1"/>
  <c r="V197" i="23" s="1"/>
  <c r="Q196" i="23"/>
  <c r="P196" i="23" s="1"/>
  <c r="V196" i="23" s="1"/>
  <c r="Q21" i="23"/>
  <c r="Q231" i="23"/>
  <c r="Q216" i="23"/>
  <c r="P216" i="23" s="1"/>
  <c r="V216" i="23" s="1"/>
  <c r="Q59" i="23"/>
  <c r="P59" i="23" s="1"/>
  <c r="V59" i="23" s="1"/>
  <c r="Q273" i="23"/>
  <c r="P273" i="23" s="1"/>
  <c r="V273" i="23" s="1"/>
  <c r="Q348" i="23"/>
  <c r="Q97" i="23"/>
  <c r="P97" i="23" s="1"/>
  <c r="V97" i="23" s="1"/>
  <c r="Q102" i="23"/>
  <c r="P102" i="23" s="1"/>
  <c r="V102" i="23" s="1"/>
  <c r="Q333" i="23"/>
  <c r="Q111" i="23"/>
  <c r="P111" i="23" s="1"/>
  <c r="V111" i="23" s="1"/>
  <c r="Q114" i="23"/>
  <c r="P114" i="23" s="1"/>
  <c r="V114" i="23" s="1"/>
  <c r="Q108" i="23"/>
  <c r="P108" i="23" s="1"/>
  <c r="V108" i="23" s="1"/>
  <c r="Q187" i="23"/>
  <c r="P187" i="23" s="1"/>
  <c r="V187" i="23" s="1"/>
  <c r="Q31" i="23"/>
  <c r="Q117" i="23"/>
  <c r="P117" i="23" s="1"/>
  <c r="V117" i="23" s="1"/>
  <c r="Q245" i="23"/>
  <c r="P245" i="23" s="1"/>
  <c r="V245" i="23" s="1"/>
  <c r="Q373" i="23"/>
  <c r="P373" i="23" s="1"/>
  <c r="V373" i="23" s="1"/>
  <c r="Q292" i="23"/>
  <c r="P292" i="23" s="1"/>
  <c r="V292" i="23" s="1"/>
  <c r="Q94" i="23"/>
  <c r="Q69" i="23"/>
  <c r="Q151" i="23"/>
  <c r="Q279" i="23"/>
  <c r="P279" i="23" s="1"/>
  <c r="V279" i="23" s="1"/>
  <c r="Q120" i="23"/>
  <c r="Q376" i="23"/>
  <c r="Q170" i="23"/>
  <c r="P170" i="23" s="1"/>
  <c r="V170" i="23" s="1"/>
  <c r="Q28" i="23"/>
  <c r="P28" i="23" s="1"/>
  <c r="V28" i="23" s="1"/>
  <c r="Q193" i="23"/>
  <c r="Q321" i="23"/>
  <c r="Q188" i="23"/>
  <c r="P188" i="23" s="1"/>
  <c r="V188" i="23" s="1"/>
  <c r="Q190" i="23"/>
  <c r="P190" i="23" s="1"/>
  <c r="V190" i="23" s="1"/>
  <c r="Q15" i="23"/>
  <c r="Q131" i="23"/>
  <c r="P131" i="23" s="1"/>
  <c r="V131" i="23" s="1"/>
  <c r="Q58" i="23"/>
  <c r="Q274" i="23"/>
  <c r="P274" i="23" s="1"/>
  <c r="V274" i="23" s="1"/>
  <c r="Q173" i="23"/>
  <c r="P173" i="23" s="1"/>
  <c r="V173" i="23" s="1"/>
  <c r="Q148" i="23"/>
  <c r="Q378" i="23"/>
  <c r="P378" i="23" s="1"/>
  <c r="V378" i="23" s="1"/>
  <c r="Q207" i="23"/>
  <c r="P207" i="23" s="1"/>
  <c r="V207" i="23" s="1"/>
  <c r="Q232" i="23"/>
  <c r="P232" i="23" s="1"/>
  <c r="V232" i="23" s="1"/>
  <c r="Q35" i="23"/>
  <c r="Q249" i="23"/>
  <c r="Q300" i="23"/>
  <c r="P300" i="23" s="1"/>
  <c r="V300" i="23" s="1"/>
  <c r="Q73" i="23"/>
  <c r="P73" i="23" s="1"/>
  <c r="V73" i="23" s="1"/>
  <c r="Q283" i="23"/>
  <c r="P283" i="23" s="1"/>
  <c r="V283" i="23" s="1"/>
  <c r="Q38" i="23"/>
  <c r="Q79" i="23"/>
  <c r="Q293" i="23"/>
  <c r="P293" i="23" s="1"/>
  <c r="V293" i="23" s="1"/>
  <c r="Q54" i="23"/>
  <c r="P54" i="23" s="1"/>
  <c r="V54" i="23" s="1"/>
  <c r="Q40" i="23"/>
  <c r="P40" i="23" s="1"/>
  <c r="V40" i="23" s="1"/>
  <c r="Q359" i="23"/>
  <c r="P359" i="23" s="1"/>
  <c r="V359" i="23" s="1"/>
  <c r="Q246" i="23"/>
  <c r="P246" i="23" s="1"/>
  <c r="V246" i="23" s="1"/>
  <c r="Q113" i="23"/>
  <c r="P113" i="23" s="1"/>
  <c r="V113" i="23" s="1"/>
  <c r="Q369" i="23"/>
  <c r="Q30" i="23"/>
  <c r="P30" i="23" s="1"/>
  <c r="V30" i="23" s="1"/>
  <c r="Q227" i="23"/>
  <c r="P227" i="23" s="1"/>
  <c r="V227" i="23" s="1"/>
  <c r="Q55" i="23"/>
  <c r="P55" i="23" s="1"/>
  <c r="V55" i="23" s="1"/>
  <c r="Q212" i="23"/>
  <c r="Q303" i="23"/>
  <c r="Q76" i="23"/>
  <c r="Q286" i="23"/>
  <c r="P286" i="23" s="1"/>
  <c r="V286" i="23" s="1"/>
  <c r="Q315" i="23"/>
  <c r="Q115" i="23"/>
  <c r="P115" i="23" s="1"/>
  <c r="V115" i="23" s="1"/>
  <c r="Q243" i="23"/>
  <c r="P243" i="23" s="1"/>
  <c r="V243" i="23" s="1"/>
  <c r="Q371" i="23"/>
  <c r="P371" i="23" s="1"/>
  <c r="V371" i="23" s="1"/>
  <c r="Q304" i="23"/>
  <c r="P304" i="23" s="1"/>
  <c r="V304" i="23" s="1"/>
  <c r="Q146" i="23"/>
  <c r="Q71" i="23"/>
  <c r="Q157" i="23"/>
  <c r="P157" i="23" s="1"/>
  <c r="V157" i="23" s="1"/>
  <c r="Q285" i="23"/>
  <c r="P285" i="23" s="1"/>
  <c r="V285" i="23" s="1"/>
  <c r="Q116" i="23"/>
  <c r="Q372" i="23"/>
  <c r="Q138" i="23"/>
  <c r="Q24" i="23"/>
  <c r="Q191" i="23"/>
  <c r="P191" i="23" s="1"/>
  <c r="V191" i="23" s="1"/>
  <c r="Q319" i="23"/>
  <c r="Q200" i="23"/>
  <c r="Q214" i="23"/>
  <c r="Q19" i="23"/>
  <c r="Q105" i="23"/>
  <c r="P105" i="23" s="1"/>
  <c r="V105" i="23" s="1"/>
  <c r="Q233" i="23"/>
  <c r="P233" i="23" s="1"/>
  <c r="V233" i="23" s="1"/>
  <c r="Q361" i="23"/>
  <c r="Q268" i="23"/>
  <c r="P268" i="23" s="1"/>
  <c r="V268" i="23" s="1"/>
  <c r="Q350" i="23"/>
  <c r="P350" i="23" s="1"/>
  <c r="V350" i="23" s="1"/>
  <c r="Q57" i="23"/>
  <c r="P57" i="23" s="1"/>
  <c r="V57" i="23" s="1"/>
  <c r="Q139" i="23"/>
  <c r="Q267" i="23"/>
  <c r="Q90" i="23"/>
  <c r="Q352" i="23"/>
  <c r="Q338" i="23"/>
  <c r="P338" i="23" s="1"/>
  <c r="V338" i="23" s="1"/>
  <c r="Q85" i="23"/>
  <c r="P85" i="23" s="1"/>
  <c r="V85" i="23" s="1"/>
  <c r="Q337" i="23"/>
  <c r="Q340" i="23"/>
  <c r="Q26" i="23"/>
  <c r="P26" i="23" s="1"/>
  <c r="V26" i="23" s="1"/>
  <c r="Q98" i="23"/>
  <c r="Q183" i="23"/>
  <c r="Q78" i="23"/>
  <c r="Q252" i="23"/>
  <c r="P252" i="23" s="1"/>
  <c r="V252" i="23" s="1"/>
  <c r="Q208" i="23"/>
  <c r="Q61" i="23"/>
  <c r="P61" i="23" s="1"/>
  <c r="V61" i="23" s="1"/>
  <c r="Q313" i="23"/>
  <c r="P313" i="23" s="1"/>
  <c r="V313" i="23" s="1"/>
  <c r="Q326" i="23"/>
  <c r="Q135" i="23"/>
  <c r="Q156" i="23"/>
  <c r="P156" i="23" s="1"/>
  <c r="V156" i="23" s="1"/>
  <c r="Q238" i="23"/>
  <c r="Q320" i="23"/>
  <c r="P320" i="23" s="1"/>
  <c r="V320" i="23" s="1"/>
  <c r="Q368" i="23"/>
  <c r="P368" i="23" s="1"/>
  <c r="V368" i="23" s="1"/>
  <c r="Q317" i="23"/>
  <c r="Q88" i="23"/>
  <c r="P88" i="23" s="1"/>
  <c r="Q324" i="23"/>
  <c r="Q60" i="23"/>
  <c r="Q362" i="23"/>
  <c r="P362" i="23" s="1"/>
  <c r="V362" i="23" s="1"/>
  <c r="Q364" i="23"/>
  <c r="P364" i="23" s="1"/>
  <c r="V364" i="23" s="1"/>
  <c r="Q277" i="23"/>
  <c r="P277" i="23" s="1"/>
  <c r="V277" i="23" s="1"/>
  <c r="Q101" i="23"/>
  <c r="Q182" i="23"/>
  <c r="P182" i="23" s="1"/>
  <c r="V182" i="23" s="1"/>
  <c r="Q353" i="23"/>
  <c r="P353" i="23" s="1"/>
  <c r="V353" i="23" s="1"/>
  <c r="Q195" i="23"/>
  <c r="Q276" i="23"/>
  <c r="Q99" i="23"/>
  <c r="Q347" i="23"/>
  <c r="P347" i="23" s="1"/>
  <c r="V347" i="23" s="1"/>
  <c r="Q334" i="23"/>
  <c r="P334" i="23" s="1"/>
  <c r="V334" i="23" s="1"/>
  <c r="Q177" i="23"/>
  <c r="Q141" i="23"/>
  <c r="P141" i="23" s="1"/>
  <c r="V141" i="23" s="1"/>
  <c r="Q46" i="23"/>
  <c r="P46" i="23" s="1"/>
  <c r="V46" i="23" s="1"/>
  <c r="Q112" i="23"/>
  <c r="Q189" i="23"/>
  <c r="P189" i="23" s="1"/>
  <c r="V189" i="23" s="1"/>
  <c r="Q122" i="23"/>
  <c r="Q351" i="23"/>
  <c r="P351" i="23" s="1"/>
  <c r="V351" i="23" s="1"/>
  <c r="Q342" i="23"/>
  <c r="P342" i="23" s="1"/>
  <c r="V342" i="23" s="1"/>
  <c r="Q137" i="23"/>
  <c r="Q50" i="23"/>
  <c r="Q258" i="23"/>
  <c r="Q171" i="23"/>
  <c r="P171" i="23" s="1"/>
  <c r="V171" i="23" s="1"/>
  <c r="Q160" i="23"/>
  <c r="Q282" i="23"/>
  <c r="Q34" i="23"/>
  <c r="Q167" i="23"/>
  <c r="P167" i="23" s="1"/>
  <c r="V167" i="23" s="1"/>
  <c r="Q346" i="23"/>
  <c r="Q220" i="23"/>
  <c r="Q144" i="23"/>
  <c r="P144" i="23" s="1"/>
  <c r="V144" i="23" s="1"/>
  <c r="Q29" i="23"/>
  <c r="Q281" i="23"/>
  <c r="Q198" i="23"/>
  <c r="P198" i="23" s="1"/>
  <c r="V198" i="23" s="1"/>
  <c r="Q213" i="23"/>
  <c r="P213" i="23" s="1"/>
  <c r="V213" i="23" s="1"/>
  <c r="Q228" i="23"/>
  <c r="Q37" i="23"/>
  <c r="P37" i="23" s="1"/>
  <c r="V37" i="23" s="1"/>
  <c r="Q247" i="23"/>
  <c r="P247" i="23" s="1"/>
  <c r="V247" i="23" s="1"/>
  <c r="Q312" i="23"/>
  <c r="P312" i="23" s="1"/>
  <c r="V312" i="23" s="1"/>
  <c r="Q75" i="23"/>
  <c r="Q289" i="23"/>
  <c r="Q22" i="23"/>
  <c r="Q32" i="23"/>
  <c r="P32" i="23" s="1"/>
  <c r="V32" i="23" s="1"/>
  <c r="Q230" i="23"/>
  <c r="Q365" i="23"/>
  <c r="P365" i="23" s="1"/>
  <c r="V365" i="23" s="1"/>
  <c r="Q143" i="23"/>
  <c r="Q370" i="23"/>
  <c r="P370" i="23" s="1"/>
  <c r="V370" i="23" s="1"/>
  <c r="Q172" i="23"/>
  <c r="Q219" i="23"/>
  <c r="P219" i="23" s="1"/>
  <c r="V219" i="23" s="1"/>
  <c r="Q16" i="23"/>
  <c r="P16" i="23" s="1"/>
  <c r="V16" i="23" s="1"/>
  <c r="Q260" i="23"/>
  <c r="P260" i="23" s="1"/>
  <c r="V260" i="23" s="1"/>
  <c r="Q295" i="23"/>
  <c r="Q91" i="23"/>
  <c r="Q126" i="23"/>
  <c r="Q358" i="23"/>
  <c r="Q175" i="23"/>
  <c r="Q236" i="23"/>
  <c r="P236" i="23" s="1"/>
  <c r="V236" i="23" s="1"/>
  <c r="Q64" i="23"/>
  <c r="Q339" i="23"/>
  <c r="Q294" i="23"/>
  <c r="P294" i="23" s="1"/>
  <c r="V294" i="23" s="1"/>
  <c r="Q125" i="23"/>
  <c r="P125" i="23" s="1"/>
  <c r="V125" i="23" s="1"/>
  <c r="Q379" i="23"/>
  <c r="Q162" i="23"/>
  <c r="Q159" i="23"/>
  <c r="P159" i="23" s="1"/>
  <c r="V159" i="23" s="1"/>
  <c r="Q136" i="23"/>
  <c r="Q298" i="23"/>
  <c r="P298" i="23" s="1"/>
  <c r="V298" i="23" s="1"/>
  <c r="Q201" i="23"/>
  <c r="Q204" i="23"/>
  <c r="Q25" i="23"/>
  <c r="Q235" i="23"/>
  <c r="Q288" i="23"/>
  <c r="AU15" i="7"/>
  <c r="AE325" i="23"/>
  <c r="AE192" i="23"/>
  <c r="AE71" i="23"/>
  <c r="AE249" i="23"/>
  <c r="AE134" i="23"/>
  <c r="AE350" i="23"/>
  <c r="AE173" i="23"/>
  <c r="AE52" i="23"/>
  <c r="AE280" i="23"/>
  <c r="AE97" i="23"/>
  <c r="AE355" i="23"/>
  <c r="AE202" i="23"/>
  <c r="AE21" i="23"/>
  <c r="AE279" i="23"/>
  <c r="AE96" i="23"/>
  <c r="AE310" i="23"/>
  <c r="AE187" i="23"/>
  <c r="AE379" i="23"/>
  <c r="AE268" i="23"/>
  <c r="AE159" i="23"/>
  <c r="AE337" i="23"/>
  <c r="AE198" i="23"/>
  <c r="AE243" i="23"/>
  <c r="AE354" i="23"/>
  <c r="AE70" i="23"/>
  <c r="AE165" i="23"/>
  <c r="AE276" i="23"/>
  <c r="AE48" i="23"/>
  <c r="AE167" i="23"/>
  <c r="AE272" i="23"/>
  <c r="AE345" i="23"/>
  <c r="AE89" i="23"/>
  <c r="AE206" i="23"/>
  <c r="AE331" i="23"/>
  <c r="AE75" i="23"/>
  <c r="AE162" i="23"/>
  <c r="AE269" i="23"/>
  <c r="AE376" i="23"/>
  <c r="AE148" i="23"/>
  <c r="AE271" i="23"/>
  <c r="AE15" i="23"/>
  <c r="AE88" i="23"/>
  <c r="AE193" i="23"/>
  <c r="AE306" i="23"/>
  <c r="AE82" i="23"/>
  <c r="AE195" i="23"/>
  <c r="AE302" i="23"/>
  <c r="AE373" i="23"/>
  <c r="AE117" i="23"/>
  <c r="AE232" i="23"/>
  <c r="AE375" i="23"/>
  <c r="AE119" i="23"/>
  <c r="AE220" i="23"/>
  <c r="AE297" i="23"/>
  <c r="AE41" i="23"/>
  <c r="AE170" i="23"/>
  <c r="AE283" i="23"/>
  <c r="AE27" i="23"/>
  <c r="AE102" i="23"/>
  <c r="AE189" i="23"/>
  <c r="AE300" i="23"/>
  <c r="AE68" i="23"/>
  <c r="AE191" i="23"/>
  <c r="AE296" i="23"/>
  <c r="AE369" i="23"/>
  <c r="AE113" i="23"/>
  <c r="AE230" i="23"/>
  <c r="AE339" i="23"/>
  <c r="AE83" i="23"/>
  <c r="AE261" i="23"/>
  <c r="AE144" i="23"/>
  <c r="AE368" i="23"/>
  <c r="AE185" i="23"/>
  <c r="AE66" i="23"/>
  <c r="AE278" i="23"/>
  <c r="AE109" i="23"/>
  <c r="AE367" i="23"/>
  <c r="AE212" i="23"/>
  <c r="AE33" i="23"/>
  <c r="AE291" i="23"/>
  <c r="AE118" i="23"/>
  <c r="AE316" i="23"/>
  <c r="AE215" i="23"/>
  <c r="AE36" i="23"/>
  <c r="AE254" i="23"/>
  <c r="AE123" i="23"/>
  <c r="AE349" i="23"/>
  <c r="AE208" i="23"/>
  <c r="AE95" i="23"/>
  <c r="AE273" i="23"/>
  <c r="AE150" i="23"/>
  <c r="AE94" i="23"/>
  <c r="AE308" i="23"/>
  <c r="AE199" i="23"/>
  <c r="AE377" i="23"/>
  <c r="AE238" i="23"/>
  <c r="AE107" i="23"/>
  <c r="AE301" i="23"/>
  <c r="AE172" i="23"/>
  <c r="AE47" i="23"/>
  <c r="AE225" i="23"/>
  <c r="AE110" i="23"/>
  <c r="AE342" i="23"/>
  <c r="AE149" i="23"/>
  <c r="AE32" i="23"/>
  <c r="AE252" i="23"/>
  <c r="AE73" i="23"/>
  <c r="AE315" i="23"/>
  <c r="AE138" i="23"/>
  <c r="AE29" i="23"/>
  <c r="AE287" i="23"/>
  <c r="AE104" i="23"/>
  <c r="AE314" i="23"/>
  <c r="AE307" i="23"/>
  <c r="AE51" i="23"/>
  <c r="AE130" i="23"/>
  <c r="AE229" i="23"/>
  <c r="AE332" i="23"/>
  <c r="AE112" i="23"/>
  <c r="AE231" i="23"/>
  <c r="AE344" i="23"/>
  <c r="AE56" i="23"/>
  <c r="AE153" i="23"/>
  <c r="AE266" i="23"/>
  <c r="AE38" i="23"/>
  <c r="AE139" i="23"/>
  <c r="AE242" i="23"/>
  <c r="AE333" i="23"/>
  <c r="AE77" i="23"/>
  <c r="AE196" i="23"/>
  <c r="AE335" i="23"/>
  <c r="AE79" i="23"/>
  <c r="AE164" i="23"/>
  <c r="AE257" i="23"/>
  <c r="AE370" i="23"/>
  <c r="AE142" i="23"/>
  <c r="AE259" i="23"/>
  <c r="AE366" i="23"/>
  <c r="AE78" i="23"/>
  <c r="AE181" i="23"/>
  <c r="AE292" i="23"/>
  <c r="AE60" i="23"/>
  <c r="AE183" i="23"/>
  <c r="AE288" i="23"/>
  <c r="AE361" i="23"/>
  <c r="AE105" i="23"/>
  <c r="AE222" i="23"/>
  <c r="AE347" i="23"/>
  <c r="AE91" i="23"/>
  <c r="AE182" i="23"/>
  <c r="AE253" i="23"/>
  <c r="AE364" i="23"/>
  <c r="AE136" i="23"/>
  <c r="AE255" i="23"/>
  <c r="AE360" i="23"/>
  <c r="AE76" i="23"/>
  <c r="AE177" i="23"/>
  <c r="AE290" i="23"/>
  <c r="AE58" i="23"/>
  <c r="AE147" i="23"/>
  <c r="AE34" i="23"/>
  <c r="AE248" i="23"/>
  <c r="AE135" i="23"/>
  <c r="AE313" i="23"/>
  <c r="AE186" i="23"/>
  <c r="AE43" i="23"/>
  <c r="AE237" i="23"/>
  <c r="AE116" i="23"/>
  <c r="AE352" i="23"/>
  <c r="AE161" i="23"/>
  <c r="AE46" i="23"/>
  <c r="AE270" i="23"/>
  <c r="AE85" i="23"/>
  <c r="AE343" i="23"/>
  <c r="AE176" i="23"/>
  <c r="AE374" i="23"/>
  <c r="AE251" i="23"/>
  <c r="AE74" i="23"/>
  <c r="AE324" i="23"/>
  <c r="AE223" i="23"/>
  <c r="AE44" i="23"/>
  <c r="AE262" i="23"/>
  <c r="Q36" i="23"/>
  <c r="Q325" i="23"/>
  <c r="P325" i="23" s="1"/>
  <c r="V325" i="23" s="1"/>
  <c r="Q206" i="23"/>
  <c r="Q103" i="23"/>
  <c r="Q327" i="23"/>
  <c r="P327" i="23" s="1"/>
  <c r="V327" i="23" s="1"/>
  <c r="Q374" i="23"/>
  <c r="Q145" i="23"/>
  <c r="Q82" i="23"/>
  <c r="P82" i="23" s="1"/>
  <c r="V82" i="23" s="1"/>
  <c r="Q322" i="23"/>
  <c r="P322" i="23" s="1"/>
  <c r="V322" i="23" s="1"/>
  <c r="Q291" i="23"/>
  <c r="P291" i="23" s="1"/>
  <c r="V291" i="23" s="1"/>
  <c r="Q52" i="23"/>
  <c r="P52" i="23" s="1"/>
  <c r="V52" i="23" s="1"/>
  <c r="Q290" i="23"/>
  <c r="P290" i="23" s="1"/>
  <c r="V290" i="23" s="1"/>
  <c r="Q367" i="23"/>
  <c r="Q153" i="23"/>
  <c r="P153" i="23" s="1"/>
  <c r="V153" i="23" s="1"/>
  <c r="Q41" i="23"/>
  <c r="Q192" i="23"/>
  <c r="Q95" i="23"/>
  <c r="Q181" i="23"/>
  <c r="Q309" i="23"/>
  <c r="Q164" i="23"/>
  <c r="Q142" i="23"/>
  <c r="P142" i="23" s="1"/>
  <c r="V142" i="23" s="1"/>
  <c r="Q250" i="23"/>
  <c r="P250" i="23" s="1"/>
  <c r="V250" i="23" s="1"/>
  <c r="Q72" i="23"/>
  <c r="P72" i="23" s="1"/>
  <c r="V72" i="23" s="1"/>
  <c r="Q215" i="23"/>
  <c r="Q343" i="23"/>
  <c r="Q248" i="23"/>
  <c r="P248" i="23" s="1"/>
  <c r="V248" i="23" s="1"/>
  <c r="Q310" i="23"/>
  <c r="P310" i="23" s="1"/>
  <c r="V310" i="23" s="1"/>
  <c r="Q43" i="23"/>
  <c r="Q129" i="23"/>
  <c r="P129" i="23" s="1"/>
  <c r="V129" i="23" s="1"/>
  <c r="Q257" i="23"/>
  <c r="Q18" i="23"/>
  <c r="P18" i="23" s="1"/>
  <c r="V18" i="23" s="1"/>
  <c r="Q316" i="23"/>
  <c r="P316" i="23" s="1"/>
  <c r="V316" i="23" s="1"/>
  <c r="Q194" i="23"/>
  <c r="P194" i="23" s="1"/>
  <c r="V194" i="23" s="1"/>
  <c r="Q81" i="23"/>
  <c r="Q259" i="23"/>
  <c r="Q336" i="23"/>
  <c r="P336" i="23" s="1"/>
  <c r="V336" i="23" s="1"/>
  <c r="Q87" i="23"/>
  <c r="P87" i="23" s="1"/>
  <c r="V87" i="23" s="1"/>
  <c r="Q301" i="23"/>
  <c r="Q110" i="23"/>
  <c r="Q56" i="23"/>
  <c r="P56" i="23" s="1"/>
  <c r="V56" i="23" s="1"/>
  <c r="Q335" i="23"/>
  <c r="Q278" i="23"/>
  <c r="Q121" i="23"/>
  <c r="Q377" i="23"/>
  <c r="P377" i="23" s="1"/>
  <c r="V377" i="23" s="1"/>
  <c r="Q130" i="23"/>
  <c r="P130" i="23" s="1"/>
  <c r="V130" i="23" s="1"/>
  <c r="Q155" i="23"/>
  <c r="P155" i="23" s="1"/>
  <c r="V155" i="23" s="1"/>
  <c r="Q128" i="23"/>
  <c r="P128" i="23" s="1"/>
  <c r="V128" i="23" s="1"/>
  <c r="Q234" i="23"/>
  <c r="Q165" i="23"/>
  <c r="P165" i="23" s="1"/>
  <c r="V165" i="23" s="1"/>
  <c r="Q132" i="23"/>
  <c r="P132" i="23" s="1"/>
  <c r="V132" i="23" s="1"/>
  <c r="Q266" i="23"/>
  <c r="Q199" i="23"/>
  <c r="P199" i="23" s="1"/>
  <c r="V199" i="23" s="1"/>
  <c r="Q280" i="23"/>
  <c r="Q27" i="23"/>
  <c r="P27" i="23" s="1"/>
  <c r="V27" i="23" s="1"/>
  <c r="Q241" i="23"/>
  <c r="Q284" i="23"/>
  <c r="Q65" i="23"/>
  <c r="P65" i="23" s="1"/>
  <c r="V65" i="23" s="1"/>
  <c r="Q272" i="23"/>
  <c r="Q269" i="23"/>
  <c r="Q93" i="23"/>
  <c r="Q150" i="23"/>
  <c r="Q345" i="23"/>
  <c r="P345" i="23" s="1"/>
  <c r="V345" i="23" s="1"/>
  <c r="Q123" i="23"/>
  <c r="P123" i="23" s="1"/>
  <c r="V123" i="23" s="1"/>
  <c r="Q210" i="23"/>
  <c r="Q179" i="23"/>
  <c r="Q307" i="23"/>
  <c r="P307" i="23" s="1"/>
  <c r="V307" i="23" s="1"/>
  <c r="Q176" i="23"/>
  <c r="P176" i="23" s="1"/>
  <c r="V176" i="23" s="1"/>
  <c r="Q166" i="23"/>
  <c r="Q154" i="23"/>
  <c r="Q84" i="23"/>
  <c r="P84" i="23" s="1"/>
  <c r="V84" i="23" s="1"/>
  <c r="Q221" i="23"/>
  <c r="Q349" i="23"/>
  <c r="P349" i="23" s="1"/>
  <c r="V349" i="23" s="1"/>
  <c r="Q244" i="23"/>
  <c r="P244" i="23" s="1"/>
  <c r="V244" i="23" s="1"/>
  <c r="Q302" i="23"/>
  <c r="P302" i="23" s="1"/>
  <c r="Q45" i="23"/>
  <c r="P45" i="23" s="1"/>
  <c r="V45" i="23" s="1"/>
  <c r="Q127" i="23"/>
  <c r="Q255" i="23"/>
  <c r="Q42" i="23"/>
  <c r="P42" i="23" s="1"/>
  <c r="V42" i="23" s="1"/>
  <c r="Q328" i="23"/>
  <c r="P328" i="23" s="1"/>
  <c r="V328" i="23" s="1"/>
  <c r="Q242" i="23"/>
  <c r="P242" i="23" s="1"/>
  <c r="V242" i="23" s="1"/>
  <c r="Q83" i="23"/>
  <c r="Q169" i="23"/>
  <c r="Q297" i="23"/>
  <c r="Q140" i="23"/>
  <c r="P140" i="23" s="1"/>
  <c r="V140" i="23" s="1"/>
  <c r="Q86" i="23"/>
  <c r="Q330" i="23"/>
  <c r="Q48" i="23"/>
  <c r="P48" i="23" s="1"/>
  <c r="V48" i="23" s="1"/>
  <c r="Q203" i="23"/>
  <c r="P203" i="23" s="1"/>
  <c r="V203" i="23" s="1"/>
  <c r="Q331" i="23"/>
  <c r="P331" i="23" s="1"/>
  <c r="V331" i="23" s="1"/>
  <c r="Q224" i="23"/>
  <c r="P224" i="23" s="1"/>
  <c r="V224" i="23" s="1"/>
  <c r="Q262" i="23"/>
  <c r="G74" i="22"/>
  <c r="CC74" i="6" s="1"/>
  <c r="G184" i="20" l="1"/>
  <c r="CB184" i="6" s="1"/>
  <c r="H184" i="20"/>
  <c r="AA100" i="20"/>
  <c r="Z100" i="20" s="1"/>
  <c r="Y100" i="20" s="1"/>
  <c r="H100" i="20"/>
  <c r="G100" i="20"/>
  <c r="CB100" i="6" s="1"/>
  <c r="AA184" i="20"/>
  <c r="Z184" i="20" s="1"/>
  <c r="Y184" i="20" s="1"/>
  <c r="AB4" i="6"/>
  <c r="D160" i="22"/>
  <c r="E160" i="22" s="1"/>
  <c r="F160" i="22" s="1"/>
  <c r="G160" i="22" s="1"/>
  <c r="CC160" i="6" s="1"/>
  <c r="W200" i="22"/>
  <c r="V88" i="22"/>
  <c r="D67" i="19" s="1"/>
  <c r="V180" i="22"/>
  <c r="W38" i="22"/>
  <c r="D292" i="23"/>
  <c r="E292" i="23" s="1"/>
  <c r="F292" i="23" s="1"/>
  <c r="W17" i="23"/>
  <c r="W217" i="23"/>
  <c r="W278" i="22"/>
  <c r="D350" i="22"/>
  <c r="E350" i="22" s="1"/>
  <c r="F350" i="22" s="1"/>
  <c r="G350" i="22" s="1"/>
  <c r="CC350" i="6" s="1"/>
  <c r="D190" i="22"/>
  <c r="E190" i="22" s="1"/>
  <c r="F190" i="22" s="1"/>
  <c r="D261" i="22"/>
  <c r="E261" i="22" s="1"/>
  <c r="F261" i="22" s="1"/>
  <c r="G261" i="22" s="1"/>
  <c r="CC261" i="6" s="1"/>
  <c r="W126" i="22"/>
  <c r="W286" i="22"/>
  <c r="W169" i="22"/>
  <c r="D245" i="22"/>
  <c r="E245" i="22" s="1"/>
  <c r="F245" i="22" s="1"/>
  <c r="G245" i="22" s="1"/>
  <c r="CC245" i="6" s="1"/>
  <c r="D154" i="22"/>
  <c r="E154" i="22" s="1"/>
  <c r="F154" i="22" s="1"/>
  <c r="W84" i="22"/>
  <c r="D366" i="22"/>
  <c r="E366" i="22" s="1"/>
  <c r="F366" i="22" s="1"/>
  <c r="D122" i="22"/>
  <c r="E122" i="22" s="1"/>
  <c r="F122" i="22" s="1"/>
  <c r="G122" i="22" s="1"/>
  <c r="CC122" i="6" s="1"/>
  <c r="D66" i="22"/>
  <c r="E66" i="22" s="1"/>
  <c r="F66" i="22" s="1"/>
  <c r="H66" i="22" s="1"/>
  <c r="W347" i="22"/>
  <c r="W250" i="22"/>
  <c r="W293" i="22"/>
  <c r="D77" i="22"/>
  <c r="E77" i="22" s="1"/>
  <c r="F77" i="22" s="1"/>
  <c r="H77" i="22" s="1"/>
  <c r="W212" i="22"/>
  <c r="W39" i="22"/>
  <c r="D184" i="22"/>
  <c r="E184" i="22" s="1"/>
  <c r="F184" i="22" s="1"/>
  <c r="W246" i="22"/>
  <c r="D280" i="22"/>
  <c r="E280" i="22" s="1"/>
  <c r="F280" i="22" s="1"/>
  <c r="H280" i="22" s="1"/>
  <c r="I53" i="20"/>
  <c r="W315" i="22"/>
  <c r="D37" i="22"/>
  <c r="E37" i="22" s="1"/>
  <c r="F37" i="22" s="1"/>
  <c r="H37" i="22" s="1"/>
  <c r="D326" i="22"/>
  <c r="E326" i="22" s="1"/>
  <c r="F326" i="22" s="1"/>
  <c r="G326" i="22" s="1"/>
  <c r="CC326" i="6" s="1"/>
  <c r="D203" i="22"/>
  <c r="E203" i="22" s="1"/>
  <c r="F203" i="22" s="1"/>
  <c r="H203" i="22" s="1"/>
  <c r="W220" i="22"/>
  <c r="W69" i="22"/>
  <c r="W306" i="22"/>
  <c r="W254" i="22"/>
  <c r="D231" i="22"/>
  <c r="E231" i="22" s="1"/>
  <c r="F231" i="22" s="1"/>
  <c r="H231" i="22" s="1"/>
  <c r="W230" i="22"/>
  <c r="D54" i="22"/>
  <c r="E54" i="22" s="1"/>
  <c r="F54" i="22" s="1"/>
  <c r="G54" i="22" s="1"/>
  <c r="CC54" i="6" s="1"/>
  <c r="D198" i="22"/>
  <c r="E198" i="22" s="1"/>
  <c r="F198" i="22" s="1"/>
  <c r="H198" i="22" s="1"/>
  <c r="D22" i="22"/>
  <c r="E22" i="22" s="1"/>
  <c r="F22" i="22" s="1"/>
  <c r="G22" i="22" s="1"/>
  <c r="CC22" i="6" s="1"/>
  <c r="D32" i="22"/>
  <c r="E32" i="22" s="1"/>
  <c r="F32" i="22" s="1"/>
  <c r="G32" i="22" s="1"/>
  <c r="CC32" i="6" s="1"/>
  <c r="D204" i="22"/>
  <c r="E204" i="22" s="1"/>
  <c r="F204" i="22" s="1"/>
  <c r="G204" i="22" s="1"/>
  <c r="CC204" i="6" s="1"/>
  <c r="D349" i="22"/>
  <c r="E349" i="22" s="1"/>
  <c r="F349" i="22" s="1"/>
  <c r="G349" i="22" s="1"/>
  <c r="CC349" i="6" s="1"/>
  <c r="D96" i="22"/>
  <c r="E96" i="22" s="1"/>
  <c r="F96" i="22" s="1"/>
  <c r="H96" i="22" s="1"/>
  <c r="D203" i="23"/>
  <c r="E203" i="23" s="1"/>
  <c r="F203" i="23" s="1"/>
  <c r="D84" i="23"/>
  <c r="E84" i="23" s="1"/>
  <c r="F84" i="23" s="1"/>
  <c r="D132" i="23"/>
  <c r="E132" i="23" s="1"/>
  <c r="F132" i="23" s="1"/>
  <c r="D250" i="23"/>
  <c r="E250" i="23" s="1"/>
  <c r="F250" i="23" s="1"/>
  <c r="W350" i="23"/>
  <c r="W285" i="23"/>
  <c r="D246" i="23"/>
  <c r="E246" i="23" s="1"/>
  <c r="F246" i="23" s="1"/>
  <c r="D293" i="23"/>
  <c r="E293" i="23" s="1"/>
  <c r="F293" i="23" s="1"/>
  <c r="W170" i="23"/>
  <c r="D184" i="23"/>
  <c r="E184" i="23" s="1"/>
  <c r="F184" i="23" s="1"/>
  <c r="W113" i="22"/>
  <c r="D161" i="22"/>
  <c r="E161" i="22" s="1"/>
  <c r="F161" i="22" s="1"/>
  <c r="G161" i="22" s="1"/>
  <c r="CC161" i="6" s="1"/>
  <c r="W132" i="22"/>
  <c r="D335" i="22"/>
  <c r="E335" i="22" s="1"/>
  <c r="F335" i="22" s="1"/>
  <c r="G335" i="22" s="1"/>
  <c r="CC335" i="6" s="1"/>
  <c r="W30" i="22"/>
  <c r="D221" i="22"/>
  <c r="E221" i="22" s="1"/>
  <c r="F221" i="22" s="1"/>
  <c r="G221" i="22" s="1"/>
  <c r="CC221" i="6" s="1"/>
  <c r="W247" i="22"/>
  <c r="D331" i="22"/>
  <c r="E331" i="22" s="1"/>
  <c r="F331" i="22" s="1"/>
  <c r="G331" i="22" s="1"/>
  <c r="CC331" i="6" s="1"/>
  <c r="D139" i="22"/>
  <c r="E139" i="22" s="1"/>
  <c r="F139" i="22" s="1"/>
  <c r="H139" i="22" s="1"/>
  <c r="D202" i="22"/>
  <c r="E202" i="22" s="1"/>
  <c r="F202" i="22" s="1"/>
  <c r="H202" i="22" s="1"/>
  <c r="W21" i="22"/>
  <c r="D27" i="23"/>
  <c r="E27" i="23" s="1"/>
  <c r="F27" i="23" s="1"/>
  <c r="D247" i="23"/>
  <c r="E247" i="23" s="1"/>
  <c r="F247" i="23" s="1"/>
  <c r="W198" i="23"/>
  <c r="D141" i="23"/>
  <c r="E141" i="23" s="1"/>
  <c r="F141" i="23" s="1"/>
  <c r="W277" i="23"/>
  <c r="W304" i="23"/>
  <c r="W227" i="23"/>
  <c r="D73" i="23"/>
  <c r="E73" i="23" s="1"/>
  <c r="F73" i="23" s="1"/>
  <c r="D373" i="23"/>
  <c r="E373" i="23" s="1"/>
  <c r="F373" i="23" s="1"/>
  <c r="D96" i="23"/>
  <c r="E96" i="23" s="1"/>
  <c r="F96" i="23" s="1"/>
  <c r="W202" i="23"/>
  <c r="D296" i="23"/>
  <c r="E296" i="23" s="1"/>
  <c r="F296" i="23" s="1"/>
  <c r="D227" i="22"/>
  <c r="E227" i="22" s="1"/>
  <c r="F227" i="22" s="1"/>
  <c r="G227" i="22" s="1"/>
  <c r="CC227" i="6" s="1"/>
  <c r="W229" i="22"/>
  <c r="W116" i="22"/>
  <c r="D141" i="22"/>
  <c r="E141" i="22" s="1"/>
  <c r="F141" i="22" s="1"/>
  <c r="H141" i="22" s="1"/>
  <c r="W65" i="22"/>
  <c r="D151" i="22"/>
  <c r="E151" i="22" s="1"/>
  <c r="F151" i="22" s="1"/>
  <c r="G151" i="22" s="1"/>
  <c r="CC151" i="6" s="1"/>
  <c r="D135" i="22"/>
  <c r="E135" i="22" s="1"/>
  <c r="F135" i="22" s="1"/>
  <c r="G135" i="22" s="1"/>
  <c r="CC135" i="6" s="1"/>
  <c r="W27" i="22"/>
  <c r="W375" i="22"/>
  <c r="W277" i="22"/>
  <c r="W130" i="22"/>
  <c r="D145" i="22"/>
  <c r="E145" i="22" s="1"/>
  <c r="F145" i="22" s="1"/>
  <c r="H145" i="22" s="1"/>
  <c r="W331" i="23"/>
  <c r="W65" i="23"/>
  <c r="W130" i="23"/>
  <c r="W327" i="23"/>
  <c r="W125" i="23"/>
  <c r="W32" i="23"/>
  <c r="D368" i="23"/>
  <c r="E368" i="23" s="1"/>
  <c r="F368" i="23" s="1"/>
  <c r="W191" i="23"/>
  <c r="D283" i="23"/>
  <c r="E283" i="23" s="1"/>
  <c r="F283" i="23" s="1"/>
  <c r="D196" i="23"/>
  <c r="E196" i="23" s="1"/>
  <c r="F196" i="23" s="1"/>
  <c r="G196" i="23" s="1"/>
  <c r="CD196" i="6" s="1"/>
  <c r="D205" i="23"/>
  <c r="E205" i="23" s="1"/>
  <c r="F205" i="23" s="1"/>
  <c r="D318" i="23"/>
  <c r="E318" i="23" s="1"/>
  <c r="F318" i="23" s="1"/>
  <c r="D196" i="22"/>
  <c r="E196" i="22" s="1"/>
  <c r="F196" i="22" s="1"/>
  <c r="G196" i="22" s="1"/>
  <c r="CC196" i="6" s="1"/>
  <c r="D68" i="22"/>
  <c r="E68" i="22" s="1"/>
  <c r="F68" i="22" s="1"/>
  <c r="H68" i="22" s="1"/>
  <c r="W166" i="22"/>
  <c r="W205" i="22"/>
  <c r="W327" i="22"/>
  <c r="W283" i="22"/>
  <c r="D163" i="22"/>
  <c r="E163" i="22" s="1"/>
  <c r="F163" i="22" s="1"/>
  <c r="G163" i="22" s="1"/>
  <c r="CC163" i="6" s="1"/>
  <c r="W318" i="22"/>
  <c r="D296" i="22"/>
  <c r="E296" i="22" s="1"/>
  <c r="F296" i="22" s="1"/>
  <c r="H296" i="22" s="1"/>
  <c r="W162" i="22"/>
  <c r="W150" i="22"/>
  <c r="W304" i="22"/>
  <c r="W73" i="22"/>
  <c r="D34" i="22"/>
  <c r="E34" i="22" s="1"/>
  <c r="F34" i="22" s="1"/>
  <c r="H34" i="22" s="1"/>
  <c r="D225" i="22"/>
  <c r="E225" i="22" s="1"/>
  <c r="F225" i="22" s="1"/>
  <c r="G225" i="22" s="1"/>
  <c r="CC225" i="6" s="1"/>
  <c r="W218" i="22"/>
  <c r="D47" i="22"/>
  <c r="E47" i="22" s="1"/>
  <c r="F47" i="22" s="1"/>
  <c r="H47" i="22" s="1"/>
  <c r="D191" i="22"/>
  <c r="E191" i="22" s="1"/>
  <c r="F191" i="22" s="1"/>
  <c r="H191" i="22" s="1"/>
  <c r="D368" i="22"/>
  <c r="E368" i="22" s="1"/>
  <c r="F368" i="22" s="1"/>
  <c r="G368" i="22" s="1"/>
  <c r="CC368" i="6" s="1"/>
  <c r="D181" i="22"/>
  <c r="E181" i="22" s="1"/>
  <c r="F181" i="22" s="1"/>
  <c r="G181" i="22" s="1"/>
  <c r="CC181" i="6" s="1"/>
  <c r="W253" i="22"/>
  <c r="D373" i="22"/>
  <c r="E373" i="22" s="1"/>
  <c r="F373" i="22" s="1"/>
  <c r="G373" i="22" s="1"/>
  <c r="CC373" i="6" s="1"/>
  <c r="W75" i="22"/>
  <c r="D125" i="22"/>
  <c r="E125" i="22" s="1"/>
  <c r="F125" i="22" s="1"/>
  <c r="G125" i="22" s="1"/>
  <c r="CC125" i="6" s="1"/>
  <c r="W234" i="22"/>
  <c r="D360" i="22"/>
  <c r="E360" i="22" s="1"/>
  <c r="F360" i="22" s="1"/>
  <c r="G360" i="22" s="1"/>
  <c r="CC360" i="6" s="1"/>
  <c r="W301" i="22"/>
  <c r="H35" i="22"/>
  <c r="I35" i="22" s="1"/>
  <c r="D83" i="22"/>
  <c r="E83" i="22" s="1"/>
  <c r="F83" i="22" s="1"/>
  <c r="W344" i="22"/>
  <c r="H281" i="22"/>
  <c r="I281" i="22" s="1"/>
  <c r="W41" i="22"/>
  <c r="D128" i="22"/>
  <c r="E128" i="22" s="1"/>
  <c r="F128" i="22" s="1"/>
  <c r="G128" i="22" s="1"/>
  <c r="CC128" i="6" s="1"/>
  <c r="H344" i="22"/>
  <c r="J344" i="22" s="1"/>
  <c r="H41" i="22"/>
  <c r="I41" i="22" s="1"/>
  <c r="D18" i="22"/>
  <c r="E18" i="22" s="1"/>
  <c r="F18" i="22" s="1"/>
  <c r="H18" i="22" s="1"/>
  <c r="W142" i="22"/>
  <c r="W264" i="22"/>
  <c r="D285" i="22"/>
  <c r="E285" i="22" s="1"/>
  <c r="F285" i="22" s="1"/>
  <c r="H285" i="22" s="1"/>
  <c r="D209" i="22"/>
  <c r="E209" i="22" s="1"/>
  <c r="F209" i="22" s="1"/>
  <c r="H209" i="22" s="1"/>
  <c r="W325" i="22"/>
  <c r="H305" i="22"/>
  <c r="I305" i="22" s="1"/>
  <c r="W303" i="22"/>
  <c r="D193" i="22"/>
  <c r="E193" i="22" s="1"/>
  <c r="F193" i="22" s="1"/>
  <c r="G193" i="22" s="1"/>
  <c r="CC193" i="6" s="1"/>
  <c r="W18" i="23"/>
  <c r="W142" i="23"/>
  <c r="D347" i="23"/>
  <c r="E347" i="23" s="1"/>
  <c r="F347" i="23" s="1"/>
  <c r="D30" i="23"/>
  <c r="E30" i="23" s="1"/>
  <c r="F30" i="23" s="1"/>
  <c r="D113" i="23"/>
  <c r="E113" i="23" s="1"/>
  <c r="F113" i="23" s="1"/>
  <c r="D90" i="22"/>
  <c r="E90" i="22" s="1"/>
  <c r="F90" i="22" s="1"/>
  <c r="G90" i="22" s="1"/>
  <c r="CC90" i="6" s="1"/>
  <c r="D336" i="22"/>
  <c r="E336" i="22" s="1"/>
  <c r="F336" i="22" s="1"/>
  <c r="H336" i="22" s="1"/>
  <c r="W140" i="23"/>
  <c r="D336" i="23"/>
  <c r="E336" i="23" s="1"/>
  <c r="F336" i="23" s="1"/>
  <c r="W248" i="23"/>
  <c r="W171" i="23"/>
  <c r="D252" i="23"/>
  <c r="E252" i="23" s="1"/>
  <c r="F252" i="23" s="1"/>
  <c r="W226" i="22"/>
  <c r="W48" i="22"/>
  <c r="W52" i="23"/>
  <c r="D219" i="23"/>
  <c r="E219" i="23" s="1"/>
  <c r="F219" i="23" s="1"/>
  <c r="W85" i="23"/>
  <c r="W371" i="23"/>
  <c r="D359" i="23"/>
  <c r="E359" i="23" s="1"/>
  <c r="F359" i="23" s="1"/>
  <c r="J47" i="20"/>
  <c r="C47" i="6" s="1"/>
  <c r="W131" i="22"/>
  <c r="W104" i="22"/>
  <c r="W140" i="22"/>
  <c r="D252" i="22"/>
  <c r="E252" i="22" s="1"/>
  <c r="F252" i="22" s="1"/>
  <c r="G252" i="22" s="1"/>
  <c r="CC252" i="6" s="1"/>
  <c r="W52" i="22"/>
  <c r="D177" i="22"/>
  <c r="E177" i="22" s="1"/>
  <c r="F177" i="22" s="1"/>
  <c r="G177" i="22" s="1"/>
  <c r="CC177" i="6" s="1"/>
  <c r="W26" i="22"/>
  <c r="W359" i="22"/>
  <c r="H222" i="22"/>
  <c r="I222" i="22" s="1"/>
  <c r="W171" i="22"/>
  <c r="D248" i="22"/>
  <c r="E248" i="22" s="1"/>
  <c r="F248" i="22" s="1"/>
  <c r="H248" i="22" s="1"/>
  <c r="W48" i="23"/>
  <c r="W128" i="23"/>
  <c r="D233" i="23"/>
  <c r="E233" i="23" s="1"/>
  <c r="F233" i="23" s="1"/>
  <c r="W131" i="23"/>
  <c r="D226" i="23"/>
  <c r="E226" i="23" s="1"/>
  <c r="F226" i="23" s="1"/>
  <c r="H143" i="22"/>
  <c r="I143" i="22" s="1"/>
  <c r="D325" i="23"/>
  <c r="E325" i="23" s="1"/>
  <c r="F325" i="23" s="1"/>
  <c r="D26" i="23"/>
  <c r="E26" i="23" s="1"/>
  <c r="F26" i="23" s="1"/>
  <c r="W85" i="22"/>
  <c r="W219" i="22"/>
  <c r="W228" i="22"/>
  <c r="J94" i="20"/>
  <c r="C94" i="6" s="1"/>
  <c r="W94" i="22"/>
  <c r="D110" i="22"/>
  <c r="E110" i="22" s="1"/>
  <c r="F110" i="22" s="1"/>
  <c r="H110" i="22" s="1"/>
  <c r="D311" i="22"/>
  <c r="E311" i="22" s="1"/>
  <c r="F311" i="22" s="1"/>
  <c r="H311" i="22" s="1"/>
  <c r="D323" i="22"/>
  <c r="E323" i="22" s="1"/>
  <c r="F323" i="22" s="1"/>
  <c r="H323" i="22" s="1"/>
  <c r="P262" i="23"/>
  <c r="V262" i="23" s="1"/>
  <c r="W262" i="23" s="1"/>
  <c r="P86" i="23"/>
  <c r="V86" i="23" s="1"/>
  <c r="W86" i="23" s="1"/>
  <c r="P297" i="23"/>
  <c r="V297" i="23" s="1"/>
  <c r="W297" i="23" s="1"/>
  <c r="P83" i="23"/>
  <c r="V83" i="23" s="1"/>
  <c r="W83" i="23" s="1"/>
  <c r="P255" i="23"/>
  <c r="V255" i="23" s="1"/>
  <c r="W255" i="23" s="1"/>
  <c r="P221" i="23"/>
  <c r="V221" i="23" s="1"/>
  <c r="W221" i="23" s="1"/>
  <c r="P154" i="23"/>
  <c r="V154" i="23" s="1"/>
  <c r="D154" i="23" s="1"/>
  <c r="E154" i="23" s="1"/>
  <c r="F154" i="23" s="1"/>
  <c r="P179" i="23"/>
  <c r="V179" i="23" s="1"/>
  <c r="W179" i="23" s="1"/>
  <c r="P150" i="23"/>
  <c r="V150" i="23" s="1"/>
  <c r="D150" i="23" s="1"/>
  <c r="E150" i="23" s="1"/>
  <c r="F150" i="23" s="1"/>
  <c r="P269" i="23"/>
  <c r="V269" i="23" s="1"/>
  <c r="W269" i="23" s="1"/>
  <c r="P241" i="23"/>
  <c r="V241" i="23" s="1"/>
  <c r="P280" i="23"/>
  <c r="V280" i="23" s="1"/>
  <c r="D280" i="23" s="1"/>
  <c r="E280" i="23" s="1"/>
  <c r="F280" i="23" s="1"/>
  <c r="P266" i="23"/>
  <c r="V266" i="23" s="1"/>
  <c r="W266" i="23" s="1"/>
  <c r="P121" i="23"/>
  <c r="V121" i="23" s="1"/>
  <c r="W121" i="23" s="1"/>
  <c r="P335" i="23"/>
  <c r="V335" i="23" s="1"/>
  <c r="D335" i="23" s="1"/>
  <c r="E335" i="23" s="1"/>
  <c r="F335" i="23" s="1"/>
  <c r="P110" i="23"/>
  <c r="V110" i="23" s="1"/>
  <c r="D110" i="23" s="1"/>
  <c r="E110" i="23" s="1"/>
  <c r="F110" i="23" s="1"/>
  <c r="P259" i="23"/>
  <c r="V259" i="23" s="1"/>
  <c r="W259" i="23" s="1"/>
  <c r="P343" i="23"/>
  <c r="V343" i="23" s="1"/>
  <c r="D343" i="23" s="1"/>
  <c r="E343" i="23" s="1"/>
  <c r="F343" i="23" s="1"/>
  <c r="P309" i="23"/>
  <c r="V309" i="23" s="1"/>
  <c r="W309" i="23" s="1"/>
  <c r="P95" i="23"/>
  <c r="V95" i="23" s="1"/>
  <c r="W95" i="23" s="1"/>
  <c r="P41" i="23"/>
  <c r="V41" i="23" s="1"/>
  <c r="D41" i="23" s="1"/>
  <c r="E41" i="23" s="1"/>
  <c r="F41" i="23" s="1"/>
  <c r="P367" i="23"/>
  <c r="V367" i="23" s="1"/>
  <c r="D367" i="23" s="1"/>
  <c r="E367" i="23" s="1"/>
  <c r="F367" i="23" s="1"/>
  <c r="P145" i="23"/>
  <c r="V145" i="23" s="1"/>
  <c r="W145" i="23" s="1"/>
  <c r="P206" i="23"/>
  <c r="V206" i="23" s="1"/>
  <c r="W206" i="23" s="1"/>
  <c r="P36" i="23"/>
  <c r="V36" i="23" s="1"/>
  <c r="D36" i="23" s="1"/>
  <c r="E36" i="23" s="1"/>
  <c r="F36" i="23" s="1"/>
  <c r="P288" i="23"/>
  <c r="V288" i="23" s="1"/>
  <c r="D288" i="23" s="1"/>
  <c r="E288" i="23" s="1"/>
  <c r="F288" i="23" s="1"/>
  <c r="P25" i="23"/>
  <c r="V25" i="23" s="1"/>
  <c r="D25" i="23" s="1"/>
  <c r="E25" i="23" s="1"/>
  <c r="F25" i="23" s="1"/>
  <c r="P201" i="23"/>
  <c r="V201" i="23" s="1"/>
  <c r="W201" i="23" s="1"/>
  <c r="P136" i="23"/>
  <c r="V136" i="23" s="1"/>
  <c r="W136" i="23" s="1"/>
  <c r="P162" i="23"/>
  <c r="V162" i="23" s="1"/>
  <c r="D162" i="23" s="1"/>
  <c r="E162" i="23" s="1"/>
  <c r="F162" i="23" s="1"/>
  <c r="P339" i="23"/>
  <c r="V339" i="23" s="1"/>
  <c r="W339" i="23" s="1"/>
  <c r="P358" i="23"/>
  <c r="V358" i="23" s="1"/>
  <c r="W358" i="23" s="1"/>
  <c r="P91" i="23"/>
  <c r="V91" i="23" s="1"/>
  <c r="D91" i="23" s="1"/>
  <c r="E91" i="23" s="1"/>
  <c r="F91" i="23" s="1"/>
  <c r="P289" i="23"/>
  <c r="V289" i="23" s="1"/>
  <c r="W289" i="23" s="1"/>
  <c r="P281" i="23"/>
  <c r="V281" i="23" s="1"/>
  <c r="D281" i="23" s="1"/>
  <c r="E281" i="23" s="1"/>
  <c r="F281" i="23" s="1"/>
  <c r="P346" i="23"/>
  <c r="V346" i="23" s="1"/>
  <c r="W346" i="23" s="1"/>
  <c r="P34" i="23"/>
  <c r="V34" i="23" s="1"/>
  <c r="D34" i="23" s="1"/>
  <c r="E34" i="23" s="1"/>
  <c r="F34" i="23" s="1"/>
  <c r="P160" i="23"/>
  <c r="V160" i="23" s="1"/>
  <c r="D160" i="23" s="1"/>
  <c r="E160" i="23" s="1"/>
  <c r="F160" i="23" s="1"/>
  <c r="P258" i="23"/>
  <c r="V258" i="23" s="1"/>
  <c r="W258" i="23" s="1"/>
  <c r="P137" i="23"/>
  <c r="V137" i="23" s="1"/>
  <c r="D137" i="23" s="1"/>
  <c r="E137" i="23" s="1"/>
  <c r="F137" i="23" s="1"/>
  <c r="P177" i="23"/>
  <c r="V177" i="23" s="1"/>
  <c r="W177" i="23" s="1"/>
  <c r="P276" i="23"/>
  <c r="V276" i="23" s="1"/>
  <c r="D276" i="23" s="1"/>
  <c r="E276" i="23" s="1"/>
  <c r="F276" i="23" s="1"/>
  <c r="P101" i="23"/>
  <c r="V101" i="23" s="1"/>
  <c r="W101" i="23" s="1"/>
  <c r="P60" i="23"/>
  <c r="AH45" i="7" s="1"/>
  <c r="P238" i="23"/>
  <c r="V238" i="23" s="1"/>
  <c r="D238" i="23" s="1"/>
  <c r="E238" i="23" s="1"/>
  <c r="F238" i="23" s="1"/>
  <c r="P135" i="23"/>
  <c r="V135" i="23" s="1"/>
  <c r="P208" i="23"/>
  <c r="V208" i="23" s="1"/>
  <c r="W208" i="23" s="1"/>
  <c r="P78" i="23"/>
  <c r="V78" i="23" s="1"/>
  <c r="D78" i="23" s="1"/>
  <c r="E78" i="23" s="1"/>
  <c r="F78" i="23" s="1"/>
  <c r="P98" i="23"/>
  <c r="V98" i="23" s="1"/>
  <c r="W98" i="23" s="1"/>
  <c r="P340" i="23"/>
  <c r="V340" i="23" s="1"/>
  <c r="D340" i="23" s="1"/>
  <c r="E340" i="23" s="1"/>
  <c r="F340" i="23" s="1"/>
  <c r="P352" i="23"/>
  <c r="V352" i="23" s="1"/>
  <c r="W352" i="23" s="1"/>
  <c r="P267" i="23"/>
  <c r="V267" i="23" s="1"/>
  <c r="D267" i="23" s="1"/>
  <c r="E267" i="23" s="1"/>
  <c r="F267" i="23" s="1"/>
  <c r="P19" i="23"/>
  <c r="V19" i="23" s="1"/>
  <c r="D19" i="23" s="1"/>
  <c r="E19" i="23" s="1"/>
  <c r="F19" i="23" s="1"/>
  <c r="P200" i="23"/>
  <c r="V200" i="23" s="1"/>
  <c r="D200" i="23" s="1"/>
  <c r="E200" i="23" s="1"/>
  <c r="F200" i="23" s="1"/>
  <c r="P138" i="23"/>
  <c r="V138" i="23" s="1"/>
  <c r="D138" i="23" s="1"/>
  <c r="E138" i="23" s="1"/>
  <c r="F138" i="23" s="1"/>
  <c r="P116" i="23"/>
  <c r="V116" i="23" s="1"/>
  <c r="W116" i="23" s="1"/>
  <c r="P146" i="23"/>
  <c r="V146" i="23" s="1"/>
  <c r="W146" i="23" s="1"/>
  <c r="P303" i="23"/>
  <c r="V303" i="23" s="1"/>
  <c r="D303" i="23" s="1"/>
  <c r="E303" i="23" s="1"/>
  <c r="F303" i="23" s="1"/>
  <c r="P79" i="23"/>
  <c r="V79" i="23" s="1"/>
  <c r="D79" i="23" s="1"/>
  <c r="E79" i="23" s="1"/>
  <c r="F79" i="23" s="1"/>
  <c r="P35" i="23"/>
  <c r="V35" i="23" s="1"/>
  <c r="W35" i="23" s="1"/>
  <c r="P148" i="23"/>
  <c r="V148" i="23" s="1"/>
  <c r="W148" i="23" s="1"/>
  <c r="P321" i="23"/>
  <c r="V321" i="23" s="1"/>
  <c r="D321" i="23" s="1"/>
  <c r="E321" i="23" s="1"/>
  <c r="F321" i="23" s="1"/>
  <c r="P376" i="23"/>
  <c r="V376" i="23" s="1"/>
  <c r="D376" i="23" s="1"/>
  <c r="E376" i="23" s="1"/>
  <c r="F376" i="23" s="1"/>
  <c r="P69" i="23"/>
  <c r="V69" i="23" s="1"/>
  <c r="D69" i="23" s="1"/>
  <c r="E69" i="23" s="1"/>
  <c r="F69" i="23" s="1"/>
  <c r="P31" i="23"/>
  <c r="V31" i="23" s="1"/>
  <c r="W31" i="23" s="1"/>
  <c r="P348" i="23"/>
  <c r="V348" i="23" s="1"/>
  <c r="D348" i="23" s="1"/>
  <c r="E348" i="23" s="1"/>
  <c r="F348" i="23" s="1"/>
  <c r="P231" i="23"/>
  <c r="V231" i="23" s="1"/>
  <c r="W231" i="23" s="1"/>
  <c r="P77" i="23"/>
  <c r="V77" i="23" s="1"/>
  <c r="D77" i="23" s="1"/>
  <c r="E77" i="23" s="1"/>
  <c r="F77" i="23" s="1"/>
  <c r="P251" i="23"/>
  <c r="V251" i="23" s="1"/>
  <c r="W251" i="23" s="1"/>
  <c r="P66" i="23"/>
  <c r="V66" i="23" s="1"/>
  <c r="W66" i="23" s="1"/>
  <c r="P305" i="23"/>
  <c r="V305" i="23" s="1"/>
  <c r="D305" i="23" s="1"/>
  <c r="E305" i="23" s="1"/>
  <c r="F305" i="23" s="1"/>
  <c r="P209" i="23"/>
  <c r="V209" i="23" s="1"/>
  <c r="D209" i="23" s="1"/>
  <c r="E209" i="23" s="1"/>
  <c r="F209" i="23" s="1"/>
  <c r="P134" i="23"/>
  <c r="V134" i="23" s="1"/>
  <c r="D134" i="23" s="1"/>
  <c r="E134" i="23" s="1"/>
  <c r="F134" i="23" s="1"/>
  <c r="P265" i="23"/>
  <c r="V265" i="23" s="1"/>
  <c r="W265" i="23" s="1"/>
  <c r="P314" i="23"/>
  <c r="V314" i="23" s="1"/>
  <c r="W314" i="23" s="1"/>
  <c r="P100" i="23"/>
  <c r="V100" i="23" s="1"/>
  <c r="D100" i="23" s="1"/>
  <c r="E100" i="23" s="1"/>
  <c r="F100" i="23" s="1"/>
  <c r="P118" i="23"/>
  <c r="V118" i="23" s="1"/>
  <c r="W118" i="23" s="1"/>
  <c r="H221" i="22"/>
  <c r="I221" i="22" s="1"/>
  <c r="I62" i="20"/>
  <c r="E14" i="19"/>
  <c r="P253" i="23"/>
  <c r="V253" i="23" s="1"/>
  <c r="W253" i="23" s="1"/>
  <c r="P185" i="23"/>
  <c r="V185" i="23" s="1"/>
  <c r="W185" i="23" s="1"/>
  <c r="P323" i="23"/>
  <c r="V323" i="23" s="1"/>
  <c r="D323" i="23" s="1"/>
  <c r="E323" i="23" s="1"/>
  <c r="F323" i="23" s="1"/>
  <c r="P89" i="23"/>
  <c r="V89" i="23" s="1"/>
  <c r="D89" i="23" s="1"/>
  <c r="E89" i="23" s="1"/>
  <c r="F89" i="23" s="1"/>
  <c r="P264" i="23"/>
  <c r="V264" i="23" s="1"/>
  <c r="W264" i="23" s="1"/>
  <c r="P147" i="23"/>
  <c r="V147" i="23" s="1"/>
  <c r="D147" i="23" s="1"/>
  <c r="E147" i="23" s="1"/>
  <c r="F147" i="23" s="1"/>
  <c r="P311" i="23"/>
  <c r="V311" i="23" s="1"/>
  <c r="D311" i="23" s="1"/>
  <c r="E311" i="23" s="1"/>
  <c r="F311" i="23" s="1"/>
  <c r="P254" i="23"/>
  <c r="V254" i="23" s="1"/>
  <c r="W254" i="23" s="1"/>
  <c r="P47" i="23"/>
  <c r="V47" i="23" s="1"/>
  <c r="D47" i="23" s="1"/>
  <c r="E47" i="23" s="1"/>
  <c r="F47" i="23" s="1"/>
  <c r="P225" i="23"/>
  <c r="V225" i="23" s="1"/>
  <c r="W225" i="23" s="1"/>
  <c r="P67" i="23"/>
  <c r="V67" i="23" s="1"/>
  <c r="W67" i="23" s="1"/>
  <c r="H230" i="22"/>
  <c r="I230" i="22" s="1"/>
  <c r="I269" i="20"/>
  <c r="I266" i="20"/>
  <c r="H233" i="22"/>
  <c r="I233" i="22" s="1"/>
  <c r="H287" i="22"/>
  <c r="J287" i="22" s="1"/>
  <c r="P330" i="23"/>
  <c r="V330" i="23" s="1"/>
  <c r="D330" i="23" s="1"/>
  <c r="E330" i="23" s="1"/>
  <c r="F330" i="23" s="1"/>
  <c r="P169" i="23"/>
  <c r="V169" i="23" s="1"/>
  <c r="W169" i="23" s="1"/>
  <c r="P127" i="23"/>
  <c r="V127" i="23" s="1"/>
  <c r="W127" i="23" s="1"/>
  <c r="P166" i="23"/>
  <c r="V166" i="23" s="1"/>
  <c r="P210" i="23"/>
  <c r="V210" i="23" s="1"/>
  <c r="P93" i="23"/>
  <c r="V93" i="23" s="1"/>
  <c r="D93" i="23" s="1"/>
  <c r="E93" i="23" s="1"/>
  <c r="F93" i="23" s="1"/>
  <c r="P272" i="23"/>
  <c r="AH52" i="7" s="1"/>
  <c r="P284" i="23"/>
  <c r="V284" i="23" s="1"/>
  <c r="D284" i="23" s="1"/>
  <c r="E284" i="23" s="1"/>
  <c r="F284" i="23" s="1"/>
  <c r="P234" i="23"/>
  <c r="V234" i="23" s="1"/>
  <c r="D234" i="23" s="1"/>
  <c r="E234" i="23" s="1"/>
  <c r="F234" i="23" s="1"/>
  <c r="P278" i="23"/>
  <c r="V278" i="23" s="1"/>
  <c r="W278" i="23" s="1"/>
  <c r="P301" i="23"/>
  <c r="V301" i="23" s="1"/>
  <c r="W301" i="23" s="1"/>
  <c r="P81" i="23"/>
  <c r="V81" i="23" s="1"/>
  <c r="W81" i="23" s="1"/>
  <c r="P257" i="23"/>
  <c r="V257" i="23" s="1"/>
  <c r="D257" i="23" s="1"/>
  <c r="E257" i="23" s="1"/>
  <c r="F257" i="23" s="1"/>
  <c r="P43" i="23"/>
  <c r="V43" i="23" s="1"/>
  <c r="W43" i="23" s="1"/>
  <c r="P215" i="23"/>
  <c r="V215" i="23" s="1"/>
  <c r="D215" i="23" s="1"/>
  <c r="E215" i="23" s="1"/>
  <c r="F215" i="23" s="1"/>
  <c r="P164" i="23"/>
  <c r="V164" i="23" s="1"/>
  <c r="W164" i="23" s="1"/>
  <c r="P181" i="23"/>
  <c r="V181" i="23" s="1"/>
  <c r="D181" i="23" s="1"/>
  <c r="E181" i="23" s="1"/>
  <c r="F181" i="23" s="1"/>
  <c r="P192" i="23"/>
  <c r="V192" i="23" s="1"/>
  <c r="D192" i="23" s="1"/>
  <c r="E192" i="23" s="1"/>
  <c r="F192" i="23" s="1"/>
  <c r="P374" i="23"/>
  <c r="V374" i="23" s="1"/>
  <c r="W374" i="23" s="1"/>
  <c r="P103" i="23"/>
  <c r="V103" i="23" s="1"/>
  <c r="W103" i="23" s="1"/>
  <c r="P235" i="23"/>
  <c r="V235" i="23" s="1"/>
  <c r="D235" i="23" s="1"/>
  <c r="E235" i="23" s="1"/>
  <c r="F235" i="23" s="1"/>
  <c r="P204" i="23"/>
  <c r="V204" i="23" s="1"/>
  <c r="D204" i="23" s="1"/>
  <c r="E204" i="23" s="1"/>
  <c r="F204" i="23" s="1"/>
  <c r="P64" i="23"/>
  <c r="V64" i="23" s="1"/>
  <c r="W64" i="23" s="1"/>
  <c r="P175" i="23"/>
  <c r="V175" i="23" s="1"/>
  <c r="W175" i="23" s="1"/>
  <c r="P126" i="23"/>
  <c r="V126" i="23" s="1"/>
  <c r="W126" i="23" s="1"/>
  <c r="P295" i="23"/>
  <c r="V295" i="23" s="1"/>
  <c r="W295" i="23" s="1"/>
  <c r="P172" i="23"/>
  <c r="V172" i="23" s="1"/>
  <c r="W172" i="23" s="1"/>
  <c r="P143" i="23"/>
  <c r="V143" i="23" s="1"/>
  <c r="D143" i="23" s="1"/>
  <c r="E143" i="23" s="1"/>
  <c r="F143" i="23" s="1"/>
  <c r="P230" i="23"/>
  <c r="V230" i="23" s="1"/>
  <c r="D230" i="23" s="1"/>
  <c r="E230" i="23" s="1"/>
  <c r="F230" i="23" s="1"/>
  <c r="P22" i="23"/>
  <c r="V22" i="23" s="1"/>
  <c r="W22" i="23" s="1"/>
  <c r="P75" i="23"/>
  <c r="V75" i="23" s="1"/>
  <c r="W75" i="23" s="1"/>
  <c r="P228" i="23"/>
  <c r="V228" i="23" s="1"/>
  <c r="D228" i="23" s="1"/>
  <c r="E228" i="23" s="1"/>
  <c r="F228" i="23" s="1"/>
  <c r="P29" i="23"/>
  <c r="AH44" i="7" s="1"/>
  <c r="P220" i="23"/>
  <c r="V220" i="23" s="1"/>
  <c r="D220" i="23" s="1"/>
  <c r="E220" i="23" s="1"/>
  <c r="F220" i="23" s="1"/>
  <c r="P282" i="23"/>
  <c r="V282" i="23" s="1"/>
  <c r="D282" i="23" s="1"/>
  <c r="E282" i="23" s="1"/>
  <c r="F282" i="23" s="1"/>
  <c r="P50" i="23"/>
  <c r="V50" i="23" s="1"/>
  <c r="D50" i="23" s="1"/>
  <c r="E50" i="23" s="1"/>
  <c r="F50" i="23" s="1"/>
  <c r="P122" i="23"/>
  <c r="V122" i="23" s="1"/>
  <c r="W122" i="23" s="1"/>
  <c r="P112" i="23"/>
  <c r="V112" i="23" s="1"/>
  <c r="W112" i="23" s="1"/>
  <c r="P99" i="23"/>
  <c r="V99" i="23" s="1"/>
  <c r="D99" i="23" s="1"/>
  <c r="E99" i="23" s="1"/>
  <c r="F99" i="23" s="1"/>
  <c r="P195" i="23"/>
  <c r="V195" i="23" s="1"/>
  <c r="D195" i="23" s="1"/>
  <c r="E195" i="23" s="1"/>
  <c r="F195" i="23" s="1"/>
  <c r="P324" i="23"/>
  <c r="V324" i="23" s="1"/>
  <c r="D324" i="23" s="1"/>
  <c r="E324" i="23" s="1"/>
  <c r="F324" i="23" s="1"/>
  <c r="P317" i="23"/>
  <c r="V317" i="23" s="1"/>
  <c r="D317" i="23" s="1"/>
  <c r="E317" i="23" s="1"/>
  <c r="F317" i="23" s="1"/>
  <c r="P326" i="23"/>
  <c r="V326" i="23" s="1"/>
  <c r="D326" i="23" s="1"/>
  <c r="E326" i="23" s="1"/>
  <c r="F326" i="23" s="1"/>
  <c r="P183" i="23"/>
  <c r="V183" i="23" s="1"/>
  <c r="D183" i="23" s="1"/>
  <c r="E183" i="23" s="1"/>
  <c r="F183" i="23" s="1"/>
  <c r="P337" i="23"/>
  <c r="V337" i="23" s="1"/>
  <c r="W337" i="23" s="1"/>
  <c r="P90" i="23"/>
  <c r="V90" i="23" s="1"/>
  <c r="W90" i="23" s="1"/>
  <c r="P139" i="23"/>
  <c r="V139" i="23" s="1"/>
  <c r="D139" i="23" s="1"/>
  <c r="E139" i="23" s="1"/>
  <c r="F139" i="23" s="1"/>
  <c r="P361" i="23"/>
  <c r="V361" i="23" s="1"/>
  <c r="D361" i="23" s="1"/>
  <c r="E361" i="23" s="1"/>
  <c r="F361" i="23" s="1"/>
  <c r="P214" i="23"/>
  <c r="V214" i="23" s="1"/>
  <c r="W214" i="23" s="1"/>
  <c r="P319" i="23"/>
  <c r="V319" i="23" s="1"/>
  <c r="D319" i="23" s="1"/>
  <c r="E319" i="23" s="1"/>
  <c r="F319" i="23" s="1"/>
  <c r="G319" i="23" s="1"/>
  <c r="CD319" i="6" s="1"/>
  <c r="P24" i="23"/>
  <c r="V24" i="23" s="1"/>
  <c r="W24" i="23" s="1"/>
  <c r="P372" i="23"/>
  <c r="V372" i="23" s="1"/>
  <c r="D372" i="23" s="1"/>
  <c r="E372" i="23" s="1"/>
  <c r="F372" i="23" s="1"/>
  <c r="P71" i="23"/>
  <c r="V71" i="23" s="1"/>
  <c r="W71" i="23" s="1"/>
  <c r="P315" i="23"/>
  <c r="V315" i="23" s="1"/>
  <c r="D315" i="23" s="1"/>
  <c r="E315" i="23" s="1"/>
  <c r="F315" i="23" s="1"/>
  <c r="P76" i="23"/>
  <c r="V76" i="23" s="1"/>
  <c r="D76" i="23" s="1"/>
  <c r="E76" i="23" s="1"/>
  <c r="F76" i="23" s="1"/>
  <c r="G76" i="23" s="1"/>
  <c r="CD76" i="6" s="1"/>
  <c r="P212" i="23"/>
  <c r="V212" i="23" s="1"/>
  <c r="D212" i="23" s="1"/>
  <c r="E212" i="23" s="1"/>
  <c r="F212" i="23" s="1"/>
  <c r="P369" i="23"/>
  <c r="V369" i="23" s="1"/>
  <c r="W369" i="23" s="1"/>
  <c r="P38" i="23"/>
  <c r="V38" i="23" s="1"/>
  <c r="W38" i="23" s="1"/>
  <c r="P249" i="23"/>
  <c r="V249" i="23" s="1"/>
  <c r="W249" i="23" s="1"/>
  <c r="P58" i="23"/>
  <c r="V58" i="23" s="1"/>
  <c r="W58" i="23" s="1"/>
  <c r="P193" i="23"/>
  <c r="V193" i="23" s="1"/>
  <c r="W193" i="23" s="1"/>
  <c r="P120" i="23"/>
  <c r="V120" i="23" s="1"/>
  <c r="W120" i="23" s="1"/>
  <c r="P151" i="23"/>
  <c r="V151" i="23" s="1"/>
  <c r="W151" i="23" s="1"/>
  <c r="P94" i="23"/>
  <c r="V94" i="23" s="1"/>
  <c r="W94" i="23" s="1"/>
  <c r="P333" i="23"/>
  <c r="V333" i="23" s="1"/>
  <c r="P21" i="23"/>
  <c r="V21" i="23" s="1"/>
  <c r="W21" i="23" s="1"/>
  <c r="P287" i="23"/>
  <c r="V287" i="23" s="1"/>
  <c r="D287" i="23" s="1"/>
  <c r="E287" i="23" s="1"/>
  <c r="F287" i="23" s="1"/>
  <c r="P218" i="23"/>
  <c r="V218" i="23" s="1"/>
  <c r="D218" i="23" s="1"/>
  <c r="E218" i="23" s="1"/>
  <c r="F218" i="23" s="1"/>
  <c r="P344" i="23"/>
  <c r="V344" i="23" s="1"/>
  <c r="D344" i="23" s="1"/>
  <c r="E344" i="23" s="1"/>
  <c r="F344" i="23" s="1"/>
  <c r="P229" i="23"/>
  <c r="V229" i="23" s="1"/>
  <c r="W229" i="23" s="1"/>
  <c r="P186" i="23"/>
  <c r="V186" i="23" s="1"/>
  <c r="W186" i="23" s="1"/>
  <c r="P104" i="23"/>
  <c r="V104" i="23" s="1"/>
  <c r="W104" i="23" s="1"/>
  <c r="P161" i="23"/>
  <c r="V161" i="23" s="1"/>
  <c r="D161" i="23" s="1"/>
  <c r="E161" i="23" s="1"/>
  <c r="F161" i="23" s="1"/>
  <c r="P270" i="23"/>
  <c r="V270" i="23" s="1"/>
  <c r="D270" i="23" s="1"/>
  <c r="E270" i="23" s="1"/>
  <c r="F270" i="23" s="1"/>
  <c r="P332" i="23"/>
  <c r="V332" i="23" s="1"/>
  <c r="D332" i="23" s="1"/>
  <c r="E332" i="23" s="1"/>
  <c r="F332" i="23" s="1"/>
  <c r="P223" i="23"/>
  <c r="V223" i="23" s="1"/>
  <c r="W223" i="23" s="1"/>
  <c r="P106" i="23"/>
  <c r="V106" i="23" s="1"/>
  <c r="W106" i="23" s="1"/>
  <c r="P152" i="23"/>
  <c r="V152" i="23" s="1"/>
  <c r="D152" i="23" s="1"/>
  <c r="E152" i="23" s="1"/>
  <c r="F152" i="23" s="1"/>
  <c r="P23" i="23"/>
  <c r="V23" i="23" s="1"/>
  <c r="D23" i="23" s="1"/>
  <c r="E23" i="23" s="1"/>
  <c r="F23" i="23" s="1"/>
  <c r="P356" i="23"/>
  <c r="V356" i="23" s="1"/>
  <c r="W356" i="23" s="1"/>
  <c r="P239" i="23"/>
  <c r="V239" i="23" s="1"/>
  <c r="W239" i="23" s="1"/>
  <c r="P174" i="23"/>
  <c r="V174" i="23" s="1"/>
  <c r="D174" i="23" s="1"/>
  <c r="E174" i="23" s="1"/>
  <c r="F174" i="23" s="1"/>
  <c r="P360" i="23"/>
  <c r="V360" i="23" s="1"/>
  <c r="W360" i="23" s="1"/>
  <c r="P149" i="23"/>
  <c r="V149" i="23" s="1"/>
  <c r="P261" i="23"/>
  <c r="V261" i="23" s="1"/>
  <c r="D261" i="23" s="1"/>
  <c r="E261" i="23" s="1"/>
  <c r="F261" i="23" s="1"/>
  <c r="J41" i="22"/>
  <c r="J177" i="20"/>
  <c r="C177" i="6" s="1"/>
  <c r="J281" i="22"/>
  <c r="J305" i="22"/>
  <c r="H54" i="22"/>
  <c r="I54" i="22" s="1"/>
  <c r="H371" i="22"/>
  <c r="I371" i="22" s="1"/>
  <c r="H38" i="22"/>
  <c r="I38" i="22" s="1"/>
  <c r="H124" i="22"/>
  <c r="I124" i="22" s="1"/>
  <c r="H345" i="22"/>
  <c r="I345" i="22" s="1"/>
  <c r="H17" i="22"/>
  <c r="I17" i="22" s="1"/>
  <c r="H43" i="22"/>
  <c r="I43" i="22" s="1"/>
  <c r="H351" i="22"/>
  <c r="I351" i="22" s="1"/>
  <c r="H111" i="22"/>
  <c r="H240" i="22"/>
  <c r="I240" i="22" s="1"/>
  <c r="J146" i="20"/>
  <c r="C146" i="6" s="1"/>
  <c r="H171" i="22"/>
  <c r="H321" i="22"/>
  <c r="J321" i="22" s="1"/>
  <c r="V379" i="22"/>
  <c r="B380" i="22" s="1"/>
  <c r="D41" i="19"/>
  <c r="H146" i="22"/>
  <c r="I146" i="22" s="1"/>
  <c r="AG233" i="22"/>
  <c r="AF233" i="22" s="1"/>
  <c r="AD233" i="22" s="1"/>
  <c r="AA233" i="22" s="1"/>
  <c r="Z233" i="22" s="1"/>
  <c r="Y233" i="22" s="1"/>
  <c r="AG362" i="22"/>
  <c r="AF362" i="22" s="1"/>
  <c r="AD362" i="22" s="1"/>
  <c r="AA362" i="22" s="1"/>
  <c r="Z362" i="22" s="1"/>
  <c r="Y362" i="22" s="1"/>
  <c r="AG29" i="22"/>
  <c r="AF29" i="22" s="1"/>
  <c r="AD29" i="22" s="1"/>
  <c r="AG166" i="22"/>
  <c r="AF166" i="22" s="1"/>
  <c r="AD166" i="22" s="1"/>
  <c r="AA166" i="22" s="1"/>
  <c r="Z166" i="22" s="1"/>
  <c r="Y166" i="22" s="1"/>
  <c r="AG236" i="22"/>
  <c r="AF236" i="22" s="1"/>
  <c r="AD236" i="22" s="1"/>
  <c r="AA236" i="22" s="1"/>
  <c r="Z236" i="22" s="1"/>
  <c r="Y236" i="22" s="1"/>
  <c r="AG211" i="22"/>
  <c r="AF211" i="22" s="1"/>
  <c r="AD211" i="22" s="1"/>
  <c r="AA211" i="22" s="1"/>
  <c r="Z211" i="22" s="1"/>
  <c r="Y211" i="22" s="1"/>
  <c r="AG356" i="22"/>
  <c r="AF356" i="22" s="1"/>
  <c r="AD356" i="22" s="1"/>
  <c r="AA356" i="22" s="1"/>
  <c r="Z356" i="22" s="1"/>
  <c r="Y356" i="22" s="1"/>
  <c r="AG53" i="22"/>
  <c r="AF53" i="22" s="1"/>
  <c r="AD53" i="22" s="1"/>
  <c r="AA53" i="22" s="1"/>
  <c r="Z53" i="22" s="1"/>
  <c r="Y53" i="22" s="1"/>
  <c r="AG32" i="22"/>
  <c r="AF32" i="22" s="1"/>
  <c r="AD32" i="22" s="1"/>
  <c r="AG173" i="22"/>
  <c r="AF173" i="22" s="1"/>
  <c r="AD173" i="22" s="1"/>
  <c r="AA173" i="22" s="1"/>
  <c r="Z173" i="22" s="1"/>
  <c r="Y173" i="22" s="1"/>
  <c r="AG299" i="22"/>
  <c r="AF299" i="22" s="1"/>
  <c r="AD299" i="22" s="1"/>
  <c r="AA299" i="22" s="1"/>
  <c r="Z299" i="22" s="1"/>
  <c r="Y299" i="22" s="1"/>
  <c r="AG222" i="22"/>
  <c r="AF222" i="22" s="1"/>
  <c r="AD222" i="22" s="1"/>
  <c r="AA222" i="22" s="1"/>
  <c r="Z222" i="22" s="1"/>
  <c r="Y222" i="22" s="1"/>
  <c r="AG355" i="22"/>
  <c r="AF355" i="22" s="1"/>
  <c r="AD355" i="22" s="1"/>
  <c r="AA355" i="22" s="1"/>
  <c r="Z355" i="22" s="1"/>
  <c r="Y355" i="22" s="1"/>
  <c r="AG260" i="22"/>
  <c r="AF260" i="22" s="1"/>
  <c r="AD260" i="22" s="1"/>
  <c r="AA260" i="22" s="1"/>
  <c r="Z260" i="22" s="1"/>
  <c r="Y260" i="22" s="1"/>
  <c r="AG378" i="22"/>
  <c r="AF378" i="22" s="1"/>
  <c r="AD378" i="22" s="1"/>
  <c r="AA378" i="22" s="1"/>
  <c r="Z378" i="22" s="1"/>
  <c r="Y378" i="22" s="1"/>
  <c r="AG74" i="22"/>
  <c r="AF74" i="22" s="1"/>
  <c r="AD74" i="22" s="1"/>
  <c r="AA74" i="22" s="1"/>
  <c r="Z74" i="22" s="1"/>
  <c r="Y74" i="22" s="1"/>
  <c r="AG127" i="22"/>
  <c r="AF127" i="22" s="1"/>
  <c r="AD127" i="22" s="1"/>
  <c r="AA127" i="22" s="1"/>
  <c r="Z127" i="22" s="1"/>
  <c r="Y127" i="22" s="1"/>
  <c r="AG39" i="22"/>
  <c r="AF39" i="22" s="1"/>
  <c r="AD39" i="22" s="1"/>
  <c r="AA39" i="22" s="1"/>
  <c r="Z39" i="22" s="1"/>
  <c r="Y39" i="22" s="1"/>
  <c r="AG89" i="22"/>
  <c r="AF89" i="22" s="1"/>
  <c r="AD89" i="22" s="1"/>
  <c r="AA89" i="22" s="1"/>
  <c r="Z89" i="22" s="1"/>
  <c r="Y89" i="22" s="1"/>
  <c r="AG115" i="22"/>
  <c r="AF115" i="22" s="1"/>
  <c r="AD115" i="22" s="1"/>
  <c r="AA115" i="22" s="1"/>
  <c r="Z115" i="22" s="1"/>
  <c r="Y115" i="22" s="1"/>
  <c r="AG229" i="22"/>
  <c r="AF229" i="22" s="1"/>
  <c r="AD229" i="22" s="1"/>
  <c r="AA229" i="22" s="1"/>
  <c r="Z229" i="22" s="1"/>
  <c r="Y229" i="22" s="1"/>
  <c r="AG182" i="22"/>
  <c r="AF182" i="22" s="1"/>
  <c r="AD182" i="22" s="1"/>
  <c r="AA182" i="22" s="1"/>
  <c r="Z182" i="22" s="1"/>
  <c r="Y182" i="22" s="1"/>
  <c r="AG238" i="22"/>
  <c r="AF238" i="22" s="1"/>
  <c r="AD238" i="22" s="1"/>
  <c r="AA238" i="22" s="1"/>
  <c r="Z238" i="22" s="1"/>
  <c r="Y238" i="22" s="1"/>
  <c r="AG136" i="22"/>
  <c r="AF136" i="22" s="1"/>
  <c r="AD136" i="22" s="1"/>
  <c r="AA136" i="22" s="1"/>
  <c r="Z136" i="22" s="1"/>
  <c r="Y136" i="22" s="1"/>
  <c r="AG189" i="22"/>
  <c r="AF189" i="22" s="1"/>
  <c r="AD189" i="22" s="1"/>
  <c r="AA189" i="22" s="1"/>
  <c r="Z189" i="22" s="1"/>
  <c r="Y189" i="22" s="1"/>
  <c r="AG23" i="22"/>
  <c r="AF23" i="22" s="1"/>
  <c r="AD23" i="22" s="1"/>
  <c r="AA23" i="22" s="1"/>
  <c r="Z23" i="22" s="1"/>
  <c r="Y23" i="22" s="1"/>
  <c r="AG154" i="22"/>
  <c r="AF154" i="22" s="1"/>
  <c r="AD154" i="22" s="1"/>
  <c r="AG81" i="22"/>
  <c r="AF81" i="22" s="1"/>
  <c r="AD81" i="22" s="1"/>
  <c r="AA81" i="22" s="1"/>
  <c r="Z81" i="22" s="1"/>
  <c r="Y81" i="22" s="1"/>
  <c r="AG319" i="22"/>
  <c r="AF319" i="22" s="1"/>
  <c r="AD319" i="22" s="1"/>
  <c r="AA319" i="22" s="1"/>
  <c r="Z319" i="22" s="1"/>
  <c r="Y319" i="22" s="1"/>
  <c r="AG91" i="22"/>
  <c r="AF91" i="22" s="1"/>
  <c r="AD91" i="22" s="1"/>
  <c r="AA91" i="22" s="1"/>
  <c r="Z91" i="22" s="1"/>
  <c r="Y91" i="22" s="1"/>
  <c r="AG375" i="22"/>
  <c r="AF375" i="22" s="1"/>
  <c r="AD375" i="22" s="1"/>
  <c r="AA375" i="22" s="1"/>
  <c r="Z375" i="22" s="1"/>
  <c r="Y375" i="22" s="1"/>
  <c r="AG148" i="22"/>
  <c r="AF148" i="22" s="1"/>
  <c r="AD148" i="22" s="1"/>
  <c r="AA148" i="22" s="1"/>
  <c r="Z148" i="22" s="1"/>
  <c r="Y148" i="22" s="1"/>
  <c r="AG281" i="22"/>
  <c r="AF281" i="22" s="1"/>
  <c r="AD281" i="22" s="1"/>
  <c r="AA281" i="22" s="1"/>
  <c r="Z281" i="22" s="1"/>
  <c r="Y281" i="22" s="1"/>
  <c r="AG69" i="22"/>
  <c r="AF69" i="22" s="1"/>
  <c r="AD69" i="22" s="1"/>
  <c r="AA69" i="22" s="1"/>
  <c r="Z69" i="22" s="1"/>
  <c r="Y69" i="22" s="1"/>
  <c r="AG322" i="22"/>
  <c r="AF322" i="22" s="1"/>
  <c r="AD322" i="22" s="1"/>
  <c r="AA322" i="22" s="1"/>
  <c r="Z322" i="22" s="1"/>
  <c r="Y322" i="22" s="1"/>
  <c r="AG102" i="22"/>
  <c r="AF102" i="22" s="1"/>
  <c r="AD102" i="22" s="1"/>
  <c r="AA102" i="22" s="1"/>
  <c r="Z102" i="22" s="1"/>
  <c r="Y102" i="22" s="1"/>
  <c r="AG172" i="22"/>
  <c r="AF172" i="22" s="1"/>
  <c r="AD172" i="22" s="1"/>
  <c r="AA172" i="22" s="1"/>
  <c r="Z172" i="22" s="1"/>
  <c r="Y172" i="22" s="1"/>
  <c r="AG147" i="22"/>
  <c r="AF147" i="22" s="1"/>
  <c r="AD147" i="22" s="1"/>
  <c r="AA147" i="22" s="1"/>
  <c r="Z147" i="22" s="1"/>
  <c r="Y147" i="22" s="1"/>
  <c r="AG292" i="22"/>
  <c r="AF292" i="22" s="1"/>
  <c r="AD292" i="22" s="1"/>
  <c r="AA292" i="22" s="1"/>
  <c r="Z292" i="22" s="1"/>
  <c r="Y292" i="22" s="1"/>
  <c r="AG185" i="22"/>
  <c r="AF185" i="22" s="1"/>
  <c r="AD185" i="22" s="1"/>
  <c r="AA185" i="22" s="1"/>
  <c r="Z185" i="22" s="1"/>
  <c r="Y185" i="22" s="1"/>
  <c r="AG247" i="22"/>
  <c r="AF247" i="22" s="1"/>
  <c r="AD247" i="22" s="1"/>
  <c r="AA247" i="22" s="1"/>
  <c r="Z247" i="22" s="1"/>
  <c r="Y247" i="22" s="1"/>
  <c r="AG83" i="22"/>
  <c r="AF83" i="22" s="1"/>
  <c r="AD83" i="22" s="1"/>
  <c r="AG346" i="22"/>
  <c r="AF346" i="22" s="1"/>
  <c r="AD346" i="22" s="1"/>
  <c r="AA346" i="22" s="1"/>
  <c r="Z346" i="22" s="1"/>
  <c r="Y346" i="22" s="1"/>
  <c r="AG45" i="22"/>
  <c r="AF45" i="22" s="1"/>
  <c r="AD45" i="22" s="1"/>
  <c r="AA45" i="22" s="1"/>
  <c r="Z45" i="22" s="1"/>
  <c r="Y45" i="22" s="1"/>
  <c r="AG94" i="22"/>
  <c r="AF94" i="22" s="1"/>
  <c r="AD94" i="22" s="1"/>
  <c r="AA94" i="22" s="1"/>
  <c r="Z94" i="22" s="1"/>
  <c r="Y94" i="22" s="1"/>
  <c r="AG342" i="22"/>
  <c r="AF342" i="22" s="1"/>
  <c r="AD342" i="22" s="1"/>
  <c r="AA342" i="22" s="1"/>
  <c r="Z342" i="22" s="1"/>
  <c r="Y342" i="22" s="1"/>
  <c r="AG130" i="22"/>
  <c r="AF130" i="22" s="1"/>
  <c r="AD130" i="22" s="1"/>
  <c r="AA130" i="22" s="1"/>
  <c r="Z130" i="22" s="1"/>
  <c r="Y130" i="22" s="1"/>
  <c r="AG341" i="22"/>
  <c r="AF341" i="22" s="1"/>
  <c r="AD341" i="22" s="1"/>
  <c r="AA341" i="22" s="1"/>
  <c r="Z341" i="22" s="1"/>
  <c r="Y341" i="22" s="1"/>
  <c r="AG100" i="22"/>
  <c r="AF100" i="22" s="1"/>
  <c r="AD100" i="22" s="1"/>
  <c r="AA100" i="22" s="1"/>
  <c r="Z100" i="22" s="1"/>
  <c r="Y100" i="22" s="1"/>
  <c r="AG145" i="22"/>
  <c r="AF145" i="22" s="1"/>
  <c r="AD145" i="22" s="1"/>
  <c r="AG43" i="22"/>
  <c r="AF43" i="22" s="1"/>
  <c r="AD43" i="22" s="1"/>
  <c r="AA43" i="22" s="1"/>
  <c r="Z43" i="22" s="1"/>
  <c r="Y43" i="22" s="1"/>
  <c r="AG99" i="22"/>
  <c r="AF99" i="22" s="1"/>
  <c r="AD99" i="22" s="1"/>
  <c r="AA99" i="22" s="1"/>
  <c r="Z99" i="22" s="1"/>
  <c r="Y99" i="22" s="1"/>
  <c r="AG122" i="22"/>
  <c r="AF122" i="22" s="1"/>
  <c r="AD122" i="22" s="1"/>
  <c r="AG49" i="22"/>
  <c r="AF49" i="22" s="1"/>
  <c r="AD49" i="22" s="1"/>
  <c r="AA49" i="22" s="1"/>
  <c r="Z49" i="22" s="1"/>
  <c r="Y49" i="22" s="1"/>
  <c r="AG178" i="22"/>
  <c r="AF178" i="22" s="1"/>
  <c r="AD178" i="22" s="1"/>
  <c r="AA178" i="22" s="1"/>
  <c r="Z178" i="22" s="1"/>
  <c r="Y178" i="22" s="1"/>
  <c r="AG312" i="22"/>
  <c r="AF312" i="22" s="1"/>
  <c r="AD312" i="22" s="1"/>
  <c r="AA312" i="22" s="1"/>
  <c r="Z312" i="22" s="1"/>
  <c r="Y312" i="22" s="1"/>
  <c r="AG135" i="22"/>
  <c r="AF135" i="22" s="1"/>
  <c r="AD135" i="22" s="1"/>
  <c r="AG368" i="22"/>
  <c r="AF368" i="22" s="1"/>
  <c r="AD368" i="22" s="1"/>
  <c r="AG137" i="22"/>
  <c r="AF137" i="22" s="1"/>
  <c r="AD137" i="22" s="1"/>
  <c r="AA137" i="22" s="1"/>
  <c r="Z137" i="22" s="1"/>
  <c r="Y137" i="22" s="1"/>
  <c r="AG266" i="22"/>
  <c r="AF266" i="22" s="1"/>
  <c r="AD266" i="22" s="1"/>
  <c r="AA266" i="22" s="1"/>
  <c r="Z266" i="22" s="1"/>
  <c r="Y266" i="22" s="1"/>
  <c r="AG193" i="22"/>
  <c r="AF193" i="22" s="1"/>
  <c r="AD193" i="22" s="1"/>
  <c r="AG376" i="22"/>
  <c r="AF376" i="22" s="1"/>
  <c r="AD376" i="22" s="1"/>
  <c r="AA376" i="22" s="1"/>
  <c r="Z376" i="22" s="1"/>
  <c r="Y376" i="22" s="1"/>
  <c r="AG157" i="22"/>
  <c r="AF157" i="22" s="1"/>
  <c r="AD157" i="22" s="1"/>
  <c r="AA157" i="22" s="1"/>
  <c r="Z157" i="22" s="1"/>
  <c r="Y157" i="22" s="1"/>
  <c r="AG263" i="22"/>
  <c r="AF263" i="22" s="1"/>
  <c r="AD263" i="22" s="1"/>
  <c r="AA263" i="22" s="1"/>
  <c r="Z263" i="22" s="1"/>
  <c r="Y263" i="22" s="1"/>
  <c r="AG26" i="22"/>
  <c r="AF26" i="22" s="1"/>
  <c r="AD26" i="22" s="1"/>
  <c r="AA26" i="22" s="1"/>
  <c r="Z26" i="22" s="1"/>
  <c r="Y26" i="22" s="1"/>
  <c r="AG180" i="22"/>
  <c r="AF180" i="22" s="1"/>
  <c r="AD180" i="22" s="1"/>
  <c r="AG318" i="22"/>
  <c r="AF318" i="22" s="1"/>
  <c r="AD318" i="22" s="1"/>
  <c r="AA318" i="22" s="1"/>
  <c r="Z318" i="22" s="1"/>
  <c r="Y318" i="22" s="1"/>
  <c r="AG313" i="22"/>
  <c r="AF313" i="22" s="1"/>
  <c r="AD313" i="22" s="1"/>
  <c r="AA313" i="22" s="1"/>
  <c r="Z313" i="22" s="1"/>
  <c r="Y313" i="22" s="1"/>
  <c r="AG82" i="22"/>
  <c r="AF82" i="22" s="1"/>
  <c r="AD82" i="22" s="1"/>
  <c r="AA82" i="22" s="1"/>
  <c r="Z82" i="22" s="1"/>
  <c r="Y82" i="22" s="1"/>
  <c r="AG133" i="22"/>
  <c r="AF133" i="22" s="1"/>
  <c r="AD133" i="22" s="1"/>
  <c r="AA133" i="22" s="1"/>
  <c r="Z133" i="22" s="1"/>
  <c r="Y133" i="22" s="1"/>
  <c r="AG216" i="22"/>
  <c r="AF216" i="22" s="1"/>
  <c r="AD216" i="22" s="1"/>
  <c r="AA216" i="22" s="1"/>
  <c r="Z216" i="22" s="1"/>
  <c r="Y216" i="22" s="1"/>
  <c r="AG354" i="22"/>
  <c r="AF354" i="22" s="1"/>
  <c r="AD354" i="22" s="1"/>
  <c r="AA354" i="22" s="1"/>
  <c r="Z354" i="22" s="1"/>
  <c r="Y354" i="22" s="1"/>
  <c r="AG316" i="22"/>
  <c r="AF316" i="22" s="1"/>
  <c r="AD316" i="22" s="1"/>
  <c r="AA316" i="22" s="1"/>
  <c r="Z316" i="22" s="1"/>
  <c r="Y316" i="22" s="1"/>
  <c r="AG134" i="22"/>
  <c r="AF134" i="22" s="1"/>
  <c r="AD134" i="22" s="1"/>
  <c r="AA134" i="22" s="1"/>
  <c r="Z134" i="22" s="1"/>
  <c r="Y134" i="22" s="1"/>
  <c r="AG272" i="22"/>
  <c r="AF272" i="22" s="1"/>
  <c r="AD272" i="22" s="1"/>
  <c r="AG204" i="22"/>
  <c r="AF204" i="22" s="1"/>
  <c r="AD204" i="22" s="1"/>
  <c r="AG41" i="22"/>
  <c r="AF41" i="22" s="1"/>
  <c r="AD41" i="22" s="1"/>
  <c r="AA41" i="22" s="1"/>
  <c r="Z41" i="22" s="1"/>
  <c r="Y41" i="22" s="1"/>
  <c r="AG179" i="22"/>
  <c r="AF179" i="22" s="1"/>
  <c r="AD179" i="22" s="1"/>
  <c r="AA179" i="22" s="1"/>
  <c r="Z179" i="22" s="1"/>
  <c r="Y179" i="22" s="1"/>
  <c r="AG170" i="22"/>
  <c r="AF170" i="22" s="1"/>
  <c r="AD170" i="22" s="1"/>
  <c r="AA170" i="22" s="1"/>
  <c r="Z170" i="22" s="1"/>
  <c r="Y170" i="22" s="1"/>
  <c r="AG324" i="22"/>
  <c r="AF324" i="22" s="1"/>
  <c r="AD324" i="22" s="1"/>
  <c r="AA324" i="22" s="1"/>
  <c r="Z324" i="22" s="1"/>
  <c r="Y324" i="22" s="1"/>
  <c r="AG97" i="22"/>
  <c r="AF97" i="22" s="1"/>
  <c r="AD97" i="22" s="1"/>
  <c r="AA97" i="22" s="1"/>
  <c r="Z97" i="22" s="1"/>
  <c r="Y97" i="22" s="1"/>
  <c r="AG21" i="22"/>
  <c r="AF21" i="22" s="1"/>
  <c r="AD21" i="22" s="1"/>
  <c r="AA21" i="22" s="1"/>
  <c r="Z21" i="22" s="1"/>
  <c r="Y21" i="22" s="1"/>
  <c r="AG223" i="22"/>
  <c r="AF223" i="22" s="1"/>
  <c r="AD223" i="22" s="1"/>
  <c r="AA223" i="22" s="1"/>
  <c r="Z223" i="22" s="1"/>
  <c r="Y223" i="22" s="1"/>
  <c r="AG369" i="22"/>
  <c r="AF369" i="22" s="1"/>
  <c r="AD369" i="22" s="1"/>
  <c r="AA369" i="22" s="1"/>
  <c r="Z369" i="22" s="1"/>
  <c r="Y369" i="22" s="1"/>
  <c r="AG360" i="22"/>
  <c r="AF360" i="22" s="1"/>
  <c r="AD360" i="22" s="1"/>
  <c r="AG141" i="22"/>
  <c r="AF141" i="22" s="1"/>
  <c r="AD141" i="22" s="1"/>
  <c r="AG231" i="22"/>
  <c r="AF231" i="22" s="1"/>
  <c r="AD231" i="22" s="1"/>
  <c r="AG38" i="22"/>
  <c r="AF38" i="22" s="1"/>
  <c r="AD38" i="22" s="1"/>
  <c r="AA38" i="22" s="1"/>
  <c r="Z38" i="22" s="1"/>
  <c r="Y38" i="22" s="1"/>
  <c r="AG176" i="22"/>
  <c r="AF176" i="22" s="1"/>
  <c r="AD176" i="22" s="1"/>
  <c r="AA176" i="22" s="1"/>
  <c r="Z176" i="22" s="1"/>
  <c r="Y176" i="22" s="1"/>
  <c r="AG108" i="22"/>
  <c r="AF108" i="22" s="1"/>
  <c r="AD108" i="22" s="1"/>
  <c r="AA108" i="22" s="1"/>
  <c r="Z108" i="22" s="1"/>
  <c r="Y108" i="22" s="1"/>
  <c r="AG310" i="22"/>
  <c r="AF310" i="22" s="1"/>
  <c r="AD310" i="22" s="1"/>
  <c r="AA310" i="22" s="1"/>
  <c r="Z310" i="22" s="1"/>
  <c r="Y310" i="22" s="1"/>
  <c r="AG158" i="22"/>
  <c r="AF158" i="22" s="1"/>
  <c r="AD158" i="22" s="1"/>
  <c r="AA158" i="22" s="1"/>
  <c r="Z158" i="22" s="1"/>
  <c r="Y158" i="22" s="1"/>
  <c r="AG291" i="22"/>
  <c r="AF291" i="22" s="1"/>
  <c r="AD291" i="22" s="1"/>
  <c r="AA291" i="22" s="1"/>
  <c r="Z291" i="22" s="1"/>
  <c r="Y291" i="22" s="1"/>
  <c r="AG56" i="22"/>
  <c r="AF56" i="22" s="1"/>
  <c r="AD56" i="22" s="1"/>
  <c r="AA56" i="22" s="1"/>
  <c r="Z56" i="22" s="1"/>
  <c r="Y56" i="22" s="1"/>
  <c r="AG357" i="22"/>
  <c r="AF357" i="22" s="1"/>
  <c r="AD357" i="22" s="1"/>
  <c r="AA357" i="22" s="1"/>
  <c r="Z357" i="22" s="1"/>
  <c r="Y357" i="22" s="1"/>
  <c r="AG112" i="22"/>
  <c r="AF112" i="22" s="1"/>
  <c r="AD112" i="22" s="1"/>
  <c r="AA112" i="22" s="1"/>
  <c r="Z112" i="22" s="1"/>
  <c r="Y112" i="22" s="1"/>
  <c r="AG246" i="22"/>
  <c r="AF246" i="22" s="1"/>
  <c r="AD246" i="22" s="1"/>
  <c r="AA246" i="22" s="1"/>
  <c r="Z246" i="22" s="1"/>
  <c r="Y246" i="22" s="1"/>
  <c r="AI12" i="23"/>
  <c r="AH379" i="22"/>
  <c r="AG379" i="22" s="1"/>
  <c r="AF379" i="22" s="1"/>
  <c r="AD379" i="22" s="1"/>
  <c r="AG302" i="22"/>
  <c r="AF302" i="22" s="1"/>
  <c r="AD302" i="22" s="1"/>
  <c r="AG52" i="22"/>
  <c r="AF52" i="22" s="1"/>
  <c r="AD52" i="22" s="1"/>
  <c r="AA52" i="22" s="1"/>
  <c r="Z52" i="22" s="1"/>
  <c r="Y52" i="22" s="1"/>
  <c r="AG282" i="22"/>
  <c r="AF282" i="22" s="1"/>
  <c r="AD282" i="22" s="1"/>
  <c r="AA282" i="22" s="1"/>
  <c r="Z282" i="22" s="1"/>
  <c r="Y282" i="22" s="1"/>
  <c r="AG209" i="22"/>
  <c r="AF209" i="22" s="1"/>
  <c r="AD209" i="22" s="1"/>
  <c r="AG338" i="22"/>
  <c r="AF338" i="22" s="1"/>
  <c r="AD338" i="22" s="1"/>
  <c r="AA338" i="22" s="1"/>
  <c r="Z338" i="22" s="1"/>
  <c r="Y338" i="22" s="1"/>
  <c r="AG107" i="22"/>
  <c r="AF107" i="22" s="1"/>
  <c r="AD107" i="22" s="1"/>
  <c r="AA107" i="22" s="1"/>
  <c r="Z107" i="22" s="1"/>
  <c r="Y107" i="22" s="1"/>
  <c r="AG30" i="22"/>
  <c r="AF30" i="22" s="1"/>
  <c r="AD30" i="22" s="1"/>
  <c r="AA30" i="22" s="1"/>
  <c r="Z30" i="22" s="1"/>
  <c r="Y30" i="22" s="1"/>
  <c r="AG163" i="22"/>
  <c r="AF163" i="22" s="1"/>
  <c r="AD163" i="22" s="1"/>
  <c r="AG297" i="22"/>
  <c r="AF297" i="22" s="1"/>
  <c r="AD297" i="22" s="1"/>
  <c r="AA297" i="22" s="1"/>
  <c r="Z297" i="22" s="1"/>
  <c r="Y297" i="22" s="1"/>
  <c r="AG101" i="22"/>
  <c r="AF101" i="22" s="1"/>
  <c r="AD101" i="22" s="1"/>
  <c r="AA101" i="22" s="1"/>
  <c r="Z101" i="22" s="1"/>
  <c r="Y101" i="22" s="1"/>
  <c r="AG353" i="22"/>
  <c r="AF353" i="22" s="1"/>
  <c r="AD353" i="22" s="1"/>
  <c r="AA353" i="22" s="1"/>
  <c r="Z353" i="22" s="1"/>
  <c r="Y353" i="22" s="1"/>
  <c r="AG118" i="22"/>
  <c r="AF118" i="22" s="1"/>
  <c r="AD118" i="22" s="1"/>
  <c r="AA118" i="22" s="1"/>
  <c r="Z118" i="22" s="1"/>
  <c r="Y118" i="22" s="1"/>
  <c r="AG251" i="22"/>
  <c r="AF251" i="22" s="1"/>
  <c r="AD251" i="22" s="1"/>
  <c r="AA251" i="22" s="1"/>
  <c r="Z251" i="22" s="1"/>
  <c r="Y251" i="22" s="1"/>
  <c r="AG174" i="22"/>
  <c r="AF174" i="22" s="1"/>
  <c r="AD174" i="22" s="1"/>
  <c r="AA174" i="22" s="1"/>
  <c r="Z174" i="22" s="1"/>
  <c r="Y174" i="22" s="1"/>
  <c r="AG67" i="22"/>
  <c r="AF67" i="22" s="1"/>
  <c r="AD67" i="22" s="1"/>
  <c r="AA67" i="22" s="1"/>
  <c r="Z67" i="22" s="1"/>
  <c r="Y67" i="22" s="1"/>
  <c r="AG201" i="22"/>
  <c r="AF201" i="22" s="1"/>
  <c r="AD201" i="22" s="1"/>
  <c r="AA201" i="22" s="1"/>
  <c r="Z201" i="22" s="1"/>
  <c r="Y201" i="22" s="1"/>
  <c r="AG330" i="22"/>
  <c r="AF330" i="22" s="1"/>
  <c r="AD330" i="22" s="1"/>
  <c r="AA330" i="22" s="1"/>
  <c r="Z330" i="22" s="1"/>
  <c r="Y330" i="22" s="1"/>
  <c r="AG257" i="22"/>
  <c r="AF257" i="22" s="1"/>
  <c r="AD257" i="22" s="1"/>
  <c r="AA257" i="22" s="1"/>
  <c r="Z257" i="22" s="1"/>
  <c r="Y257" i="22" s="1"/>
  <c r="AG22" i="22"/>
  <c r="AF22" i="22" s="1"/>
  <c r="AD22" i="22" s="1"/>
  <c r="AG155" i="22"/>
  <c r="AF155" i="22" s="1"/>
  <c r="AD155" i="22" s="1"/>
  <c r="AA155" i="22" s="1"/>
  <c r="Z155" i="22" s="1"/>
  <c r="Y155" i="22" s="1"/>
  <c r="AG78" i="22"/>
  <c r="AF78" i="22" s="1"/>
  <c r="AD78" i="22" s="1"/>
  <c r="AA78" i="22" s="1"/>
  <c r="Z78" i="22" s="1"/>
  <c r="Y78" i="22" s="1"/>
  <c r="AG212" i="22"/>
  <c r="AF212" i="22" s="1"/>
  <c r="AD212" i="22" s="1"/>
  <c r="AA212" i="22" s="1"/>
  <c r="Z212" i="22" s="1"/>
  <c r="Y212" i="22" s="1"/>
  <c r="AG345" i="22"/>
  <c r="AF345" i="22" s="1"/>
  <c r="AD345" i="22" s="1"/>
  <c r="AA345" i="22" s="1"/>
  <c r="Z345" i="22" s="1"/>
  <c r="Y345" i="22" s="1"/>
  <c r="AG197" i="22"/>
  <c r="AF197" i="22" s="1"/>
  <c r="AD197" i="22" s="1"/>
  <c r="AA197" i="22" s="1"/>
  <c r="Z197" i="22" s="1"/>
  <c r="Y197" i="22" s="1"/>
  <c r="AG305" i="22"/>
  <c r="AF305" i="22" s="1"/>
  <c r="AD305" i="22" s="1"/>
  <c r="AA305" i="22" s="1"/>
  <c r="Z305" i="22" s="1"/>
  <c r="Y305" i="22" s="1"/>
  <c r="AG296" i="22"/>
  <c r="AF296" i="22" s="1"/>
  <c r="AD296" i="22" s="1"/>
  <c r="AG77" i="22"/>
  <c r="AF77" i="22" s="1"/>
  <c r="AD77" i="22" s="1"/>
  <c r="AG103" i="22"/>
  <c r="AF103" i="22" s="1"/>
  <c r="AD103" i="22" s="1"/>
  <c r="AA103" i="22" s="1"/>
  <c r="Z103" i="22" s="1"/>
  <c r="Y103" i="22" s="1"/>
  <c r="AG203" i="22"/>
  <c r="AF203" i="22" s="1"/>
  <c r="AD203" i="22" s="1"/>
  <c r="AG349" i="22"/>
  <c r="AF349" i="22" s="1"/>
  <c r="AD349" i="22" s="1"/>
  <c r="AG126" i="22"/>
  <c r="AF126" i="22" s="1"/>
  <c r="AD126" i="22" s="1"/>
  <c r="AA126" i="22" s="1"/>
  <c r="Z126" i="22" s="1"/>
  <c r="Y126" i="22" s="1"/>
  <c r="AG121" i="22"/>
  <c r="AF121" i="22" s="1"/>
  <c r="AD121" i="22" s="1"/>
  <c r="AA121" i="22" s="1"/>
  <c r="Z121" i="22" s="1"/>
  <c r="Y121" i="22" s="1"/>
  <c r="AG259" i="22"/>
  <c r="AF259" i="22" s="1"/>
  <c r="AD259" i="22" s="1"/>
  <c r="AA259" i="22" s="1"/>
  <c r="Z259" i="22" s="1"/>
  <c r="Y259" i="22" s="1"/>
  <c r="AG183" i="22"/>
  <c r="AF183" i="22" s="1"/>
  <c r="AD183" i="22" s="1"/>
  <c r="AA183" i="22" s="1"/>
  <c r="Z183" i="22" s="1"/>
  <c r="Y183" i="22" s="1"/>
  <c r="AG24" i="22"/>
  <c r="AF24" i="22" s="1"/>
  <c r="AD24" i="22" s="1"/>
  <c r="AA24" i="22" s="1"/>
  <c r="Z24" i="22" s="1"/>
  <c r="Y24" i="22" s="1"/>
  <c r="AG162" i="22"/>
  <c r="AF162" i="22" s="1"/>
  <c r="AD162" i="22" s="1"/>
  <c r="AA162" i="22" s="1"/>
  <c r="Z162" i="22" s="1"/>
  <c r="Y162" i="22" s="1"/>
  <c r="AG293" i="22"/>
  <c r="AF293" i="22" s="1"/>
  <c r="AD293" i="22" s="1"/>
  <c r="AA293" i="22" s="1"/>
  <c r="Z293" i="22" s="1"/>
  <c r="Y293" i="22" s="1"/>
  <c r="AG303" i="22"/>
  <c r="AF303" i="22" s="1"/>
  <c r="AD303" i="22" s="1"/>
  <c r="AA303" i="22" s="1"/>
  <c r="Z303" i="22" s="1"/>
  <c r="Y303" i="22" s="1"/>
  <c r="AG80" i="22"/>
  <c r="AF80" i="22" s="1"/>
  <c r="AD80" i="22" s="1"/>
  <c r="AA80" i="22" s="1"/>
  <c r="Z80" i="22" s="1"/>
  <c r="Y80" i="22" s="1"/>
  <c r="AG373" i="22"/>
  <c r="AF373" i="22" s="1"/>
  <c r="AD373" i="22" s="1"/>
  <c r="AG191" i="22"/>
  <c r="AF191" i="22" s="1"/>
  <c r="AD191" i="22" s="1"/>
  <c r="AG337" i="22"/>
  <c r="AF337" i="22" s="1"/>
  <c r="AD337" i="22" s="1"/>
  <c r="AA337" i="22" s="1"/>
  <c r="Z337" i="22" s="1"/>
  <c r="Y337" i="22" s="1"/>
  <c r="AG328" i="22"/>
  <c r="AF328" i="22" s="1"/>
  <c r="AD328" i="22" s="1"/>
  <c r="AA328" i="22" s="1"/>
  <c r="Z328" i="22" s="1"/>
  <c r="Y328" i="22" s="1"/>
  <c r="AG214" i="22"/>
  <c r="AF214" i="22" s="1"/>
  <c r="AD214" i="22" s="1"/>
  <c r="AA214" i="22" s="1"/>
  <c r="Z214" i="22" s="1"/>
  <c r="Y214" i="22" s="1"/>
  <c r="AG352" i="22"/>
  <c r="AF352" i="22" s="1"/>
  <c r="AD352" i="22" s="1"/>
  <c r="AA352" i="22" s="1"/>
  <c r="Z352" i="22" s="1"/>
  <c r="Y352" i="22" s="1"/>
  <c r="AG347" i="22"/>
  <c r="AF347" i="22" s="1"/>
  <c r="AD347" i="22" s="1"/>
  <c r="AA347" i="22" s="1"/>
  <c r="Z347" i="22" s="1"/>
  <c r="Y347" i="22" s="1"/>
  <c r="AG132" i="22"/>
  <c r="AF132" i="22" s="1"/>
  <c r="AD132" i="22" s="1"/>
  <c r="AA132" i="22" s="1"/>
  <c r="Z132" i="22" s="1"/>
  <c r="Y132" i="22" s="1"/>
  <c r="AG270" i="22"/>
  <c r="AF270" i="22" s="1"/>
  <c r="AD270" i="22" s="1"/>
  <c r="AA270" i="22" s="1"/>
  <c r="Z270" i="22" s="1"/>
  <c r="Y270" i="22" s="1"/>
  <c r="AG250" i="22"/>
  <c r="AF250" i="22" s="1"/>
  <c r="AD250" i="22" s="1"/>
  <c r="AA250" i="22" s="1"/>
  <c r="Z250" i="22" s="1"/>
  <c r="Y250" i="22" s="1"/>
  <c r="AG31" i="22"/>
  <c r="AF31" i="22" s="1"/>
  <c r="AD31" i="22" s="1"/>
  <c r="AA31" i="22" s="1"/>
  <c r="Z31" i="22" s="1"/>
  <c r="Y31" i="22" s="1"/>
  <c r="AG177" i="22"/>
  <c r="AF177" i="22" s="1"/>
  <c r="AD177" i="22" s="1"/>
  <c r="AG168" i="22"/>
  <c r="AF168" i="22" s="1"/>
  <c r="AD168" i="22" s="1"/>
  <c r="AA168" i="22" s="1"/>
  <c r="Z168" i="22" s="1"/>
  <c r="Y168" i="22" s="1"/>
  <c r="AG306" i="22"/>
  <c r="AF306" i="22" s="1"/>
  <c r="AD306" i="22" s="1"/>
  <c r="AA306" i="22" s="1"/>
  <c r="Z306" i="22" s="1"/>
  <c r="Y306" i="22" s="1"/>
  <c r="AG220" i="22"/>
  <c r="AF220" i="22" s="1"/>
  <c r="AD220" i="22" s="1"/>
  <c r="AA220" i="22" s="1"/>
  <c r="Z220" i="22" s="1"/>
  <c r="Y220" i="22" s="1"/>
  <c r="AG75" i="22"/>
  <c r="AF75" i="22" s="1"/>
  <c r="AD75" i="22" s="1"/>
  <c r="AA75" i="22" s="1"/>
  <c r="Z75" i="22" s="1"/>
  <c r="Y75" i="22" s="1"/>
  <c r="AG221" i="22"/>
  <c r="AF221" i="22" s="1"/>
  <c r="AD221" i="22" s="1"/>
  <c r="AG359" i="22"/>
  <c r="AF359" i="22" s="1"/>
  <c r="AD359" i="22" s="1"/>
  <c r="AA359" i="22" s="1"/>
  <c r="Z359" i="22" s="1"/>
  <c r="Y359" i="22" s="1"/>
  <c r="AG358" i="22"/>
  <c r="AF358" i="22" s="1"/>
  <c r="AD358" i="22" s="1"/>
  <c r="AA358" i="22" s="1"/>
  <c r="Z358" i="22" s="1"/>
  <c r="Y358" i="22" s="1"/>
  <c r="AG131" i="22"/>
  <c r="AF131" i="22" s="1"/>
  <c r="AD131" i="22" s="1"/>
  <c r="AA131" i="22" s="1"/>
  <c r="Z131" i="22" s="1"/>
  <c r="Y131" i="22" s="1"/>
  <c r="AG55" i="22"/>
  <c r="AF55" i="22" s="1"/>
  <c r="AD55" i="22" s="1"/>
  <c r="AA55" i="22" s="1"/>
  <c r="Z55" i="22" s="1"/>
  <c r="Y55" i="22" s="1"/>
  <c r="AG265" i="22"/>
  <c r="AF265" i="22" s="1"/>
  <c r="AD265" i="22" s="1"/>
  <c r="AA265" i="22" s="1"/>
  <c r="Z265" i="22" s="1"/>
  <c r="Y265" i="22" s="1"/>
  <c r="AG34" i="22"/>
  <c r="AF34" i="22" s="1"/>
  <c r="AD34" i="22" s="1"/>
  <c r="AG37" i="22"/>
  <c r="AF37" i="22" s="1"/>
  <c r="AD37" i="22" s="1"/>
  <c r="AG175" i="22"/>
  <c r="AF175" i="22" s="1"/>
  <c r="AD175" i="22" s="1"/>
  <c r="AA175" i="22" s="1"/>
  <c r="Z175" i="22" s="1"/>
  <c r="Y175" i="22" s="1"/>
  <c r="AG321" i="22"/>
  <c r="AF321" i="22" s="1"/>
  <c r="AD321" i="22" s="1"/>
  <c r="AA321" i="22" s="1"/>
  <c r="Z321" i="22" s="1"/>
  <c r="Y321" i="22" s="1"/>
  <c r="AG245" i="22"/>
  <c r="AF245" i="22" s="1"/>
  <c r="AD245" i="22" s="1"/>
  <c r="AG210" i="22"/>
  <c r="AF210" i="22" s="1"/>
  <c r="AD210" i="22" s="1"/>
  <c r="AG28" i="22"/>
  <c r="AF28" i="22" s="1"/>
  <c r="AD28" i="22" s="1"/>
  <c r="AA28" i="22" s="1"/>
  <c r="Z28" i="22" s="1"/>
  <c r="Y28" i="22" s="1"/>
  <c r="AG344" i="22"/>
  <c r="AF344" i="22" s="1"/>
  <c r="AD344" i="22" s="1"/>
  <c r="AA344" i="22" s="1"/>
  <c r="Z344" i="22" s="1"/>
  <c r="Y344" i="22" s="1"/>
  <c r="AG125" i="22"/>
  <c r="AF125" i="22" s="1"/>
  <c r="AD125" i="22" s="1"/>
  <c r="AG199" i="22"/>
  <c r="AF199" i="22" s="1"/>
  <c r="AD199" i="22" s="1"/>
  <c r="AA199" i="22" s="1"/>
  <c r="Z199" i="22" s="1"/>
  <c r="Y199" i="22" s="1"/>
  <c r="AG262" i="22"/>
  <c r="AF262" i="22" s="1"/>
  <c r="AD262" i="22" s="1"/>
  <c r="AA262" i="22" s="1"/>
  <c r="Z262" i="22" s="1"/>
  <c r="Y262" i="22" s="1"/>
  <c r="AG35" i="22"/>
  <c r="AF35" i="22" s="1"/>
  <c r="AD35" i="22" s="1"/>
  <c r="AA35" i="22" s="1"/>
  <c r="Z35" i="22" s="1"/>
  <c r="Y35" i="22" s="1"/>
  <c r="AG332" i="22"/>
  <c r="AF332" i="22" s="1"/>
  <c r="AD332" i="22" s="1"/>
  <c r="AA332" i="22" s="1"/>
  <c r="Z332" i="22" s="1"/>
  <c r="Y332" i="22" s="1"/>
  <c r="AG169" i="22"/>
  <c r="AF169" i="22" s="1"/>
  <c r="AD169" i="22" s="1"/>
  <c r="AA169" i="22" s="1"/>
  <c r="Z169" i="22" s="1"/>
  <c r="Y169" i="22" s="1"/>
  <c r="AG307" i="22"/>
  <c r="AF307" i="22" s="1"/>
  <c r="AD307" i="22" s="1"/>
  <c r="AA307" i="22" s="1"/>
  <c r="Z307" i="22" s="1"/>
  <c r="Y307" i="22" s="1"/>
  <c r="AG298" i="22"/>
  <c r="AF298" i="22" s="1"/>
  <c r="AD298" i="22" s="1"/>
  <c r="AA298" i="22" s="1"/>
  <c r="Z298" i="22" s="1"/>
  <c r="Y298" i="22" s="1"/>
  <c r="AG79" i="22"/>
  <c r="AF79" i="22" s="1"/>
  <c r="AD79" i="22" s="1"/>
  <c r="AA79" i="22" s="1"/>
  <c r="Z79" i="22" s="1"/>
  <c r="Y79" i="22" s="1"/>
  <c r="AG225" i="22"/>
  <c r="AF225" i="22" s="1"/>
  <c r="AD225" i="22" s="1"/>
  <c r="AG149" i="22"/>
  <c r="AF149" i="22" s="1"/>
  <c r="AD149" i="22" s="1"/>
  <c r="AG351" i="22"/>
  <c r="AF351" i="22" s="1"/>
  <c r="AD351" i="22" s="1"/>
  <c r="AA351" i="22" s="1"/>
  <c r="Z351" i="22" s="1"/>
  <c r="Y351" i="22" s="1"/>
  <c r="AG128" i="22"/>
  <c r="AF128" i="22" s="1"/>
  <c r="AD128" i="22" s="1"/>
  <c r="AG123" i="22"/>
  <c r="AF123" i="22" s="1"/>
  <c r="AD123" i="22" s="1"/>
  <c r="AA123" i="22" s="1"/>
  <c r="Z123" i="22" s="1"/>
  <c r="Y123" i="22" s="1"/>
  <c r="AG269" i="22"/>
  <c r="AF269" i="22" s="1"/>
  <c r="AD269" i="22" s="1"/>
  <c r="AA269" i="22" s="1"/>
  <c r="Z269" i="22" s="1"/>
  <c r="Y269" i="22" s="1"/>
  <c r="AG46" i="22"/>
  <c r="AF46" i="22" s="1"/>
  <c r="AD46" i="22" s="1"/>
  <c r="AA46" i="22" s="1"/>
  <c r="Z46" i="22" s="1"/>
  <c r="Y46" i="22" s="1"/>
  <c r="AF104" i="20"/>
  <c r="AG383" i="20"/>
  <c r="AG382" i="20"/>
  <c r="AG381" i="20"/>
  <c r="AG371" i="22"/>
  <c r="AF371" i="22" s="1"/>
  <c r="AD371" i="22" s="1"/>
  <c r="AA371" i="22" s="1"/>
  <c r="Z371" i="22" s="1"/>
  <c r="Y371" i="22" s="1"/>
  <c r="AG248" i="22"/>
  <c r="AF248" i="22" s="1"/>
  <c r="AD248" i="22" s="1"/>
  <c r="AG380" i="22"/>
  <c r="AF380" i="22" s="1"/>
  <c r="AD380" i="22" s="1"/>
  <c r="AG304" i="22"/>
  <c r="AF304" i="22" s="1"/>
  <c r="AD304" i="22" s="1"/>
  <c r="AA304" i="22" s="1"/>
  <c r="Z304" i="22" s="1"/>
  <c r="Y304" i="22" s="1"/>
  <c r="AG73" i="22"/>
  <c r="AF73" i="22" s="1"/>
  <c r="AD73" i="22" s="1"/>
  <c r="AA73" i="22" s="1"/>
  <c r="Z73" i="22" s="1"/>
  <c r="Y73" i="22" s="1"/>
  <c r="AG202" i="22"/>
  <c r="AF202" i="22" s="1"/>
  <c r="AD202" i="22" s="1"/>
  <c r="AG129" i="22"/>
  <c r="AF129" i="22" s="1"/>
  <c r="AD129" i="22" s="1"/>
  <c r="AA129" i="22" s="1"/>
  <c r="Z129" i="22" s="1"/>
  <c r="Y129" i="22" s="1"/>
  <c r="AG255" i="22"/>
  <c r="AF255" i="22" s="1"/>
  <c r="AD255" i="22" s="1"/>
  <c r="AA255" i="22" s="1"/>
  <c r="Z255" i="22" s="1"/>
  <c r="Y255" i="22" s="1"/>
  <c r="AG27" i="22"/>
  <c r="AF27" i="22" s="1"/>
  <c r="AD27" i="22" s="1"/>
  <c r="AA27" i="22" s="1"/>
  <c r="Z27" i="22" s="1"/>
  <c r="Y27" i="22" s="1"/>
  <c r="AG295" i="22"/>
  <c r="AF295" i="22" s="1"/>
  <c r="AD295" i="22" s="1"/>
  <c r="AA295" i="22" s="1"/>
  <c r="Z295" i="22" s="1"/>
  <c r="Y295" i="22" s="1"/>
  <c r="AG84" i="22"/>
  <c r="AF84" i="22" s="1"/>
  <c r="AD84" i="22" s="1"/>
  <c r="AA84" i="22" s="1"/>
  <c r="Z84" i="22" s="1"/>
  <c r="Y84" i="22" s="1"/>
  <c r="AG217" i="22"/>
  <c r="AF217" i="22" s="1"/>
  <c r="AD217" i="22" s="1"/>
  <c r="AA217" i="22" s="1"/>
  <c r="Z217" i="22" s="1"/>
  <c r="Y217" i="22" s="1"/>
  <c r="AG279" i="22"/>
  <c r="AF279" i="22" s="1"/>
  <c r="AD279" i="22" s="1"/>
  <c r="AA279" i="22" s="1"/>
  <c r="Z279" i="22" s="1"/>
  <c r="Y279" i="22" s="1"/>
  <c r="AG33" i="22"/>
  <c r="AF33" i="22" s="1"/>
  <c r="AD33" i="22" s="1"/>
  <c r="AA33" i="22" s="1"/>
  <c r="Z33" i="22" s="1"/>
  <c r="Y33" i="22" s="1"/>
  <c r="AG159" i="22"/>
  <c r="AF159" i="22" s="1"/>
  <c r="AD159" i="22" s="1"/>
  <c r="AA159" i="22" s="1"/>
  <c r="Z159" i="22" s="1"/>
  <c r="Y159" i="22" s="1"/>
  <c r="AG366" i="22"/>
  <c r="AF366" i="22" s="1"/>
  <c r="AD366" i="22" s="1"/>
  <c r="AA366" i="22" s="1"/>
  <c r="Z366" i="22" s="1"/>
  <c r="Y366" i="22" s="1"/>
  <c r="AG264" i="22"/>
  <c r="AF264" i="22" s="1"/>
  <c r="AD264" i="22" s="1"/>
  <c r="AA264" i="22" s="1"/>
  <c r="Z264" i="22" s="1"/>
  <c r="Y264" i="22" s="1"/>
  <c r="AG317" i="22"/>
  <c r="AF317" i="22" s="1"/>
  <c r="AD317" i="22" s="1"/>
  <c r="AA317" i="22" s="1"/>
  <c r="Z317" i="22" s="1"/>
  <c r="Y317" i="22" s="1"/>
  <c r="AG151" i="22"/>
  <c r="AF151" i="22" s="1"/>
  <c r="AD151" i="22" s="1"/>
  <c r="AG361" i="22"/>
  <c r="AF361" i="22" s="1"/>
  <c r="AD361" i="22" s="1"/>
  <c r="AA361" i="22" s="1"/>
  <c r="Z361" i="22" s="1"/>
  <c r="Y361" i="22" s="1"/>
  <c r="AG48" i="22"/>
  <c r="AF48" i="22" s="1"/>
  <c r="AD48" i="22" s="1"/>
  <c r="AA48" i="22" s="1"/>
  <c r="Z48" i="22" s="1"/>
  <c r="Y48" i="22" s="1"/>
  <c r="AG315" i="22"/>
  <c r="AF315" i="22" s="1"/>
  <c r="AD315" i="22" s="1"/>
  <c r="AA315" i="22" s="1"/>
  <c r="Z315" i="22" s="1"/>
  <c r="Y315" i="22" s="1"/>
  <c r="AG372" i="22"/>
  <c r="AF372" i="22" s="1"/>
  <c r="AD372" i="22" s="1"/>
  <c r="AA372" i="22" s="1"/>
  <c r="Z372" i="22" s="1"/>
  <c r="Y372" i="22" s="1"/>
  <c r="AG156" i="22"/>
  <c r="AF156" i="22" s="1"/>
  <c r="AD156" i="22" s="1"/>
  <c r="AA156" i="22" s="1"/>
  <c r="Z156" i="22" s="1"/>
  <c r="Y156" i="22" s="1"/>
  <c r="AG326" i="22"/>
  <c r="AF326" i="22" s="1"/>
  <c r="AD326" i="22" s="1"/>
  <c r="AG142" i="22"/>
  <c r="AF142" i="22" s="1"/>
  <c r="AD142" i="22" s="1"/>
  <c r="AA142" i="22" s="1"/>
  <c r="Z142" i="22" s="1"/>
  <c r="Y142" i="22" s="1"/>
  <c r="AG308" i="22"/>
  <c r="AF308" i="22" s="1"/>
  <c r="AD308" i="22" s="1"/>
  <c r="AA308" i="22" s="1"/>
  <c r="Z308" i="22" s="1"/>
  <c r="Y308" i="22" s="1"/>
  <c r="AG72" i="22"/>
  <c r="AF72" i="22" s="1"/>
  <c r="AD72" i="22" s="1"/>
  <c r="AA72" i="22" s="1"/>
  <c r="Z72" i="22" s="1"/>
  <c r="Y72" i="22" s="1"/>
  <c r="AG96" i="22"/>
  <c r="AF96" i="22" s="1"/>
  <c r="AD96" i="22" s="1"/>
  <c r="AG237" i="22"/>
  <c r="AF237" i="22" s="1"/>
  <c r="AD237" i="22" s="1"/>
  <c r="AA237" i="22" s="1"/>
  <c r="Z237" i="22" s="1"/>
  <c r="Y237" i="22" s="1"/>
  <c r="AG363" i="22"/>
  <c r="AF363" i="22" s="1"/>
  <c r="AD363" i="22" s="1"/>
  <c r="AG286" i="22"/>
  <c r="AF286" i="22" s="1"/>
  <c r="AD286" i="22" s="1"/>
  <c r="AA286" i="22" s="1"/>
  <c r="Z286" i="22" s="1"/>
  <c r="Y286" i="22" s="1"/>
  <c r="AG50" i="22"/>
  <c r="AF50" i="22" s="1"/>
  <c r="AD50" i="22" s="1"/>
  <c r="AA50" i="22" s="1"/>
  <c r="Z50" i="22" s="1"/>
  <c r="Y50" i="22" s="1"/>
  <c r="AG184" i="22"/>
  <c r="AF184" i="22" s="1"/>
  <c r="AD184" i="22" s="1"/>
  <c r="AG252" i="22"/>
  <c r="AF252" i="22" s="1"/>
  <c r="AD252" i="22" s="1"/>
  <c r="AG240" i="22"/>
  <c r="AF240" i="22" s="1"/>
  <c r="AD240" i="22" s="1"/>
  <c r="AA240" i="22" s="1"/>
  <c r="Z240" i="22" s="1"/>
  <c r="Y240" i="22" s="1"/>
  <c r="AG374" i="22"/>
  <c r="AF374" i="22" s="1"/>
  <c r="AD374" i="22" s="1"/>
  <c r="AA374" i="22" s="1"/>
  <c r="Z374" i="22" s="1"/>
  <c r="Y374" i="22" s="1"/>
  <c r="AG138" i="22"/>
  <c r="AF138" i="22" s="1"/>
  <c r="AD138" i="22" s="1"/>
  <c r="AA138" i="22" s="1"/>
  <c r="Z138" i="22" s="1"/>
  <c r="Y138" i="22" s="1"/>
  <c r="AG65" i="22"/>
  <c r="AF65" i="22" s="1"/>
  <c r="AD65" i="22" s="1"/>
  <c r="AA65" i="22" s="1"/>
  <c r="Z65" i="22" s="1"/>
  <c r="Y65" i="22" s="1"/>
  <c r="AG323" i="22"/>
  <c r="AF323" i="22" s="1"/>
  <c r="AD323" i="22" s="1"/>
  <c r="AG88" i="22"/>
  <c r="AF88" i="22" s="1"/>
  <c r="AD88" i="22" s="1"/>
  <c r="AG228" i="22"/>
  <c r="AF228" i="22" s="1"/>
  <c r="AD228" i="22" s="1"/>
  <c r="AA228" i="22" s="1"/>
  <c r="Z228" i="22" s="1"/>
  <c r="Y228" i="22" s="1"/>
  <c r="AG273" i="22"/>
  <c r="AF273" i="22" s="1"/>
  <c r="AD273" i="22" s="1"/>
  <c r="AA273" i="22" s="1"/>
  <c r="Z273" i="22" s="1"/>
  <c r="Y273" i="22" s="1"/>
  <c r="AG171" i="22"/>
  <c r="AF171" i="22" s="1"/>
  <c r="AD171" i="22" s="1"/>
  <c r="AA171" i="22" s="1"/>
  <c r="Z171" i="22" s="1"/>
  <c r="Y171" i="22" s="1"/>
  <c r="AG227" i="22"/>
  <c r="AF227" i="22" s="1"/>
  <c r="AD227" i="22" s="1"/>
  <c r="AG106" i="22"/>
  <c r="AF106" i="22" s="1"/>
  <c r="AD106" i="22" s="1"/>
  <c r="AA106" i="22" s="1"/>
  <c r="Z106" i="22" s="1"/>
  <c r="Y106" i="22" s="1"/>
  <c r="AG271" i="22"/>
  <c r="AF271" i="22" s="1"/>
  <c r="AD271" i="22" s="1"/>
  <c r="AA271" i="22" s="1"/>
  <c r="Z271" i="22" s="1"/>
  <c r="Y271" i="22" s="1"/>
  <c r="AG320" i="22"/>
  <c r="AF320" i="22" s="1"/>
  <c r="AD320" i="22" s="1"/>
  <c r="AA320" i="22" s="1"/>
  <c r="Z320" i="22" s="1"/>
  <c r="Y320" i="22" s="1"/>
  <c r="AG218" i="22"/>
  <c r="AF218" i="22" s="1"/>
  <c r="AD218" i="22" s="1"/>
  <c r="AA218" i="22" s="1"/>
  <c r="Z218" i="22" s="1"/>
  <c r="Y218" i="22" s="1"/>
  <c r="AG274" i="22"/>
  <c r="AF274" i="22" s="1"/>
  <c r="AD274" i="22" s="1"/>
  <c r="AA274" i="22" s="1"/>
  <c r="Z274" i="22" s="1"/>
  <c r="Y274" i="22" s="1"/>
  <c r="AG327" i="22"/>
  <c r="AF327" i="22" s="1"/>
  <c r="AD327" i="22" s="1"/>
  <c r="AA327" i="22" s="1"/>
  <c r="Z327" i="22" s="1"/>
  <c r="Y327" i="22" s="1"/>
  <c r="AG365" i="22"/>
  <c r="AF365" i="22" s="1"/>
  <c r="AD365" i="22" s="1"/>
  <c r="AA365" i="22" s="1"/>
  <c r="Z365" i="22" s="1"/>
  <c r="Y365" i="22" s="1"/>
  <c r="AG276" i="22"/>
  <c r="AF276" i="22" s="1"/>
  <c r="AD276" i="22" s="1"/>
  <c r="AA276" i="22" s="1"/>
  <c r="Z276" i="22" s="1"/>
  <c r="Y276" i="22" s="1"/>
  <c r="AG40" i="22"/>
  <c r="AF40" i="22" s="1"/>
  <c r="AD40" i="22" s="1"/>
  <c r="AA40" i="22" s="1"/>
  <c r="Z40" i="22" s="1"/>
  <c r="Y40" i="22" s="1"/>
  <c r="AG325" i="22"/>
  <c r="AF325" i="22" s="1"/>
  <c r="AD325" i="22" s="1"/>
  <c r="AA325" i="22" s="1"/>
  <c r="Z325" i="22" s="1"/>
  <c r="Y325" i="22" s="1"/>
  <c r="AG93" i="22"/>
  <c r="AF93" i="22" s="1"/>
  <c r="AD93" i="22" s="1"/>
  <c r="AA93" i="22" s="1"/>
  <c r="Z93" i="22" s="1"/>
  <c r="Y93" i="22" s="1"/>
  <c r="AG230" i="22"/>
  <c r="AF230" i="22" s="1"/>
  <c r="AD230" i="22" s="1"/>
  <c r="AA230" i="22" s="1"/>
  <c r="Z230" i="22" s="1"/>
  <c r="Y230" i="22" s="1"/>
  <c r="AG300" i="22"/>
  <c r="AF300" i="22" s="1"/>
  <c r="AD300" i="22" s="1"/>
  <c r="AA300" i="22" s="1"/>
  <c r="Z300" i="22" s="1"/>
  <c r="Y300" i="22" s="1"/>
  <c r="AG275" i="22"/>
  <c r="AF275" i="22" s="1"/>
  <c r="AD275" i="22" s="1"/>
  <c r="AA275" i="22" s="1"/>
  <c r="Z275" i="22" s="1"/>
  <c r="Y275" i="22" s="1"/>
  <c r="AG47" i="22"/>
  <c r="AF47" i="22" s="1"/>
  <c r="AD47" i="22" s="1"/>
  <c r="AG117" i="22"/>
  <c r="AF117" i="22" s="1"/>
  <c r="AD117" i="22" s="1"/>
  <c r="AA117" i="22" s="1"/>
  <c r="Z117" i="22" s="1"/>
  <c r="Y117" i="22" s="1"/>
  <c r="AG86" i="22"/>
  <c r="AF86" i="22" s="1"/>
  <c r="AD86" i="22" s="1"/>
  <c r="AA86" i="22" s="1"/>
  <c r="Z86" i="22" s="1"/>
  <c r="Y86" i="22" s="1"/>
  <c r="AG224" i="22"/>
  <c r="AF224" i="22" s="1"/>
  <c r="AD224" i="22" s="1"/>
  <c r="AA224" i="22" s="1"/>
  <c r="Z224" i="22" s="1"/>
  <c r="Y224" i="22" s="1"/>
  <c r="AG219" i="22"/>
  <c r="AF219" i="22" s="1"/>
  <c r="AD219" i="22" s="1"/>
  <c r="AA219" i="22" s="1"/>
  <c r="Z219" i="22" s="1"/>
  <c r="Y219" i="22" s="1"/>
  <c r="AG105" i="22"/>
  <c r="AF105" i="22" s="1"/>
  <c r="AD105" i="22" s="1"/>
  <c r="AA105" i="22" s="1"/>
  <c r="Z105" i="22" s="1"/>
  <c r="Y105" i="22" s="1"/>
  <c r="AG243" i="22"/>
  <c r="AF243" i="22" s="1"/>
  <c r="AD243" i="22" s="1"/>
  <c r="AA243" i="22" s="1"/>
  <c r="Z243" i="22" s="1"/>
  <c r="Y243" i="22" s="1"/>
  <c r="AG234" i="22"/>
  <c r="AF234" i="22" s="1"/>
  <c r="AD234" i="22" s="1"/>
  <c r="AA234" i="22" s="1"/>
  <c r="Z234" i="22" s="1"/>
  <c r="Y234" i="22" s="1"/>
  <c r="AG18" i="22"/>
  <c r="AF18" i="22" s="1"/>
  <c r="AD18" i="22" s="1"/>
  <c r="AG161" i="22"/>
  <c r="AF161" i="22" s="1"/>
  <c r="AD161" i="22" s="1"/>
  <c r="AG85" i="22"/>
  <c r="AF85" i="22" s="1"/>
  <c r="AD85" i="22" s="1"/>
  <c r="AA85" i="22" s="1"/>
  <c r="Z85" i="22" s="1"/>
  <c r="Y85" i="22" s="1"/>
  <c r="AG287" i="22"/>
  <c r="AF287" i="22" s="1"/>
  <c r="AD287" i="22" s="1"/>
  <c r="AA287" i="22" s="1"/>
  <c r="Z287" i="22" s="1"/>
  <c r="Y287" i="22" s="1"/>
  <c r="AG64" i="22"/>
  <c r="AF64" i="22" s="1"/>
  <c r="AD64" i="22" s="1"/>
  <c r="AA64" i="22" s="1"/>
  <c r="Z64" i="22" s="1"/>
  <c r="Y64" i="22" s="1"/>
  <c r="AG59" i="22"/>
  <c r="AF59" i="22" s="1"/>
  <c r="AD59" i="22" s="1"/>
  <c r="AA59" i="22" s="1"/>
  <c r="Z59" i="22" s="1"/>
  <c r="Y59" i="22" s="1"/>
  <c r="AG205" i="22"/>
  <c r="AF205" i="22" s="1"/>
  <c r="AD205" i="22" s="1"/>
  <c r="AA205" i="22" s="1"/>
  <c r="Z205" i="22" s="1"/>
  <c r="Y205" i="22" s="1"/>
  <c r="AG343" i="22"/>
  <c r="AF343" i="22" s="1"/>
  <c r="AD343" i="22" s="1"/>
  <c r="AA343" i="22" s="1"/>
  <c r="Z343" i="22" s="1"/>
  <c r="Y343" i="22" s="1"/>
  <c r="AG331" i="22"/>
  <c r="AF331" i="22" s="1"/>
  <c r="AD331" i="22" s="1"/>
  <c r="AG116" i="22"/>
  <c r="AF116" i="22" s="1"/>
  <c r="AD116" i="22" s="1"/>
  <c r="AA116" i="22" s="1"/>
  <c r="Z116" i="22" s="1"/>
  <c r="Y116" i="22" s="1"/>
  <c r="AG254" i="22"/>
  <c r="AF254" i="22" s="1"/>
  <c r="AD254" i="22" s="1"/>
  <c r="AA254" i="22" s="1"/>
  <c r="Z254" i="22" s="1"/>
  <c r="Y254" i="22" s="1"/>
  <c r="AG249" i="22"/>
  <c r="AF249" i="22" s="1"/>
  <c r="AD249" i="22" s="1"/>
  <c r="AA249" i="22" s="1"/>
  <c r="Z249" i="22" s="1"/>
  <c r="Y249" i="22" s="1"/>
  <c r="AG19" i="22"/>
  <c r="AF19" i="22" s="1"/>
  <c r="AD19" i="22" s="1"/>
  <c r="AA19" i="22" s="1"/>
  <c r="Z19" i="22" s="1"/>
  <c r="Y19" i="22" s="1"/>
  <c r="AG311" i="22"/>
  <c r="AF311" i="22" s="1"/>
  <c r="AD311" i="22" s="1"/>
  <c r="AG152" i="22"/>
  <c r="AF152" i="22" s="1"/>
  <c r="AD152" i="22" s="1"/>
  <c r="AA152" i="22" s="1"/>
  <c r="Z152" i="22" s="1"/>
  <c r="Y152" i="22" s="1"/>
  <c r="AG290" i="22"/>
  <c r="AF290" i="22" s="1"/>
  <c r="AD290" i="22" s="1"/>
  <c r="AA290" i="22" s="1"/>
  <c r="Z290" i="22" s="1"/>
  <c r="Y290" i="22" s="1"/>
  <c r="AG188" i="22"/>
  <c r="AF188" i="22" s="1"/>
  <c r="AD188" i="22" s="1"/>
  <c r="AA188" i="22" s="1"/>
  <c r="Z188" i="22" s="1"/>
  <c r="Y188" i="22" s="1"/>
  <c r="AG70" i="22"/>
  <c r="AF70" i="22" s="1"/>
  <c r="AD70" i="22" s="1"/>
  <c r="AA70" i="22" s="1"/>
  <c r="Z70" i="22" s="1"/>
  <c r="Y70" i="22" s="1"/>
  <c r="AG208" i="22"/>
  <c r="AF208" i="22" s="1"/>
  <c r="AD208" i="22" s="1"/>
  <c r="AA208" i="22" s="1"/>
  <c r="Z208" i="22" s="1"/>
  <c r="Y208" i="22" s="1"/>
  <c r="AG140" i="22"/>
  <c r="AF140" i="22" s="1"/>
  <c r="AD140" i="22" s="1"/>
  <c r="AA140" i="22" s="1"/>
  <c r="Z140" i="22" s="1"/>
  <c r="Y140" i="22" s="1"/>
  <c r="AG109" i="22"/>
  <c r="AF109" i="22" s="1"/>
  <c r="AD109" i="22" s="1"/>
  <c r="AA109" i="22" s="1"/>
  <c r="Z109" i="22" s="1"/>
  <c r="Y109" i="22" s="1"/>
  <c r="AG167" i="22"/>
  <c r="AF167" i="22" s="1"/>
  <c r="AD167" i="22" s="1"/>
  <c r="AA167" i="22" s="1"/>
  <c r="Z167" i="22" s="1"/>
  <c r="Y167" i="22" s="1"/>
  <c r="AG235" i="22"/>
  <c r="AF235" i="22" s="1"/>
  <c r="AD235" i="22" s="1"/>
  <c r="AA235" i="22" s="1"/>
  <c r="Z235" i="22" s="1"/>
  <c r="Y235" i="22" s="1"/>
  <c r="AG20" i="22"/>
  <c r="AF20" i="22" s="1"/>
  <c r="AD20" i="22" s="1"/>
  <c r="AA20" i="22" s="1"/>
  <c r="Z20" i="22" s="1"/>
  <c r="Y20" i="22" s="1"/>
  <c r="AG153" i="22"/>
  <c r="AF153" i="22" s="1"/>
  <c r="AD153" i="22" s="1"/>
  <c r="AA153" i="22" s="1"/>
  <c r="Z153" i="22" s="1"/>
  <c r="Y153" i="22" s="1"/>
  <c r="AG215" i="22"/>
  <c r="AF215" i="22" s="1"/>
  <c r="AD215" i="22" s="1"/>
  <c r="AA215" i="22" s="1"/>
  <c r="Z215" i="22" s="1"/>
  <c r="Y215" i="22" s="1"/>
  <c r="AG194" i="22"/>
  <c r="AF194" i="22" s="1"/>
  <c r="AD194" i="22" s="1"/>
  <c r="AA194" i="22" s="1"/>
  <c r="Z194" i="22" s="1"/>
  <c r="Y194" i="22" s="1"/>
  <c r="AG335" i="22"/>
  <c r="AF335" i="22" s="1"/>
  <c r="AD335" i="22" s="1"/>
  <c r="AG44" i="22"/>
  <c r="AF44" i="22" s="1"/>
  <c r="AD44" i="22" s="1"/>
  <c r="AA44" i="22" s="1"/>
  <c r="Z44" i="22" s="1"/>
  <c r="Y44" i="22" s="1"/>
  <c r="AG17" i="22"/>
  <c r="AF17" i="22" s="1"/>
  <c r="AD17" i="22" s="1"/>
  <c r="AA17" i="22" s="1"/>
  <c r="Z17" i="22" s="1"/>
  <c r="Y17" i="22" s="1"/>
  <c r="AG164" i="22"/>
  <c r="AF164" i="22" s="1"/>
  <c r="AD164" i="22" s="1"/>
  <c r="AA164" i="22" s="1"/>
  <c r="Z164" i="22" s="1"/>
  <c r="Y164" i="22" s="1"/>
  <c r="AG267" i="22"/>
  <c r="AF267" i="22" s="1"/>
  <c r="AD267" i="22" s="1"/>
  <c r="AA267" i="22" s="1"/>
  <c r="Z267" i="22" s="1"/>
  <c r="Y267" i="22" s="1"/>
  <c r="AG190" i="22"/>
  <c r="AF190" i="22" s="1"/>
  <c r="AD190" i="22" s="1"/>
  <c r="AA190" i="22" s="1"/>
  <c r="Z190" i="22" s="1"/>
  <c r="Y190" i="22" s="1"/>
  <c r="AG63" i="22"/>
  <c r="AF63" i="22" s="1"/>
  <c r="AD63" i="22" s="1"/>
  <c r="AA63" i="22" s="1"/>
  <c r="Z63" i="22" s="1"/>
  <c r="Y63" i="22" s="1"/>
  <c r="AG200" i="22"/>
  <c r="AF200" i="22" s="1"/>
  <c r="AD200" i="22" s="1"/>
  <c r="AA200" i="22" s="1"/>
  <c r="Z200" i="22" s="1"/>
  <c r="Y200" i="22" s="1"/>
  <c r="AG284" i="22"/>
  <c r="AF284" i="22" s="1"/>
  <c r="AD284" i="22" s="1"/>
  <c r="AA284" i="22" s="1"/>
  <c r="Z284" i="22" s="1"/>
  <c r="Y284" i="22" s="1"/>
  <c r="AG253" i="22"/>
  <c r="AF253" i="22" s="1"/>
  <c r="AD253" i="22" s="1"/>
  <c r="AA253" i="22" s="1"/>
  <c r="Z253" i="22" s="1"/>
  <c r="Y253" i="22" s="1"/>
  <c r="AG25" i="22"/>
  <c r="AF25" i="22" s="1"/>
  <c r="AD25" i="22" s="1"/>
  <c r="AA25" i="22" s="1"/>
  <c r="Z25" i="22" s="1"/>
  <c r="Y25" i="22" s="1"/>
  <c r="AG87" i="22"/>
  <c r="AF87" i="22" s="1"/>
  <c r="AD87" i="22" s="1"/>
  <c r="AA87" i="22" s="1"/>
  <c r="Z87" i="22" s="1"/>
  <c r="Y87" i="22" s="1"/>
  <c r="AG66" i="22"/>
  <c r="AF66" i="22" s="1"/>
  <c r="AD66" i="22" s="1"/>
  <c r="AG207" i="22"/>
  <c r="AF207" i="22" s="1"/>
  <c r="AD207" i="22" s="1"/>
  <c r="AA207" i="22" s="1"/>
  <c r="Z207" i="22" s="1"/>
  <c r="Y207" i="22" s="1"/>
  <c r="AG277" i="22"/>
  <c r="AF277" i="22" s="1"/>
  <c r="AD277" i="22" s="1"/>
  <c r="AA277" i="22" s="1"/>
  <c r="Z277" i="22" s="1"/>
  <c r="Y277" i="22" s="1"/>
  <c r="AG256" i="22"/>
  <c r="AF256" i="22" s="1"/>
  <c r="AD256" i="22" s="1"/>
  <c r="AA256" i="22" s="1"/>
  <c r="Z256" i="22" s="1"/>
  <c r="Y256" i="22" s="1"/>
  <c r="AG36" i="22"/>
  <c r="AF36" i="22" s="1"/>
  <c r="AD36" i="22" s="1"/>
  <c r="AA36" i="22" s="1"/>
  <c r="Z36" i="22" s="1"/>
  <c r="Y36" i="22" s="1"/>
  <c r="AG294" i="22"/>
  <c r="AF294" i="22" s="1"/>
  <c r="AD294" i="22" s="1"/>
  <c r="AA294" i="22" s="1"/>
  <c r="Z294" i="22" s="1"/>
  <c r="Y294" i="22" s="1"/>
  <c r="AG364" i="22"/>
  <c r="AF364" i="22" s="1"/>
  <c r="AD364" i="22" s="1"/>
  <c r="AA364" i="22" s="1"/>
  <c r="Z364" i="22" s="1"/>
  <c r="Y364" i="22" s="1"/>
  <c r="AG339" i="22"/>
  <c r="AF339" i="22" s="1"/>
  <c r="AD339" i="22" s="1"/>
  <c r="AA339" i="22" s="1"/>
  <c r="Z339" i="22" s="1"/>
  <c r="Y339" i="22" s="1"/>
  <c r="AG111" i="22"/>
  <c r="AF111" i="22" s="1"/>
  <c r="AD111" i="22" s="1"/>
  <c r="AA111" i="22" s="1"/>
  <c r="Z111" i="22" s="1"/>
  <c r="Y111" i="22" s="1"/>
  <c r="AG181" i="22"/>
  <c r="AF181" i="22" s="1"/>
  <c r="AD181" i="22" s="1"/>
  <c r="AG160" i="22"/>
  <c r="AF160" i="22" s="1"/>
  <c r="AD160" i="22" s="1"/>
  <c r="AA160" i="22" s="1"/>
  <c r="Z160" i="22" s="1"/>
  <c r="Y160" i="22" s="1"/>
  <c r="AG301" i="22"/>
  <c r="AF301" i="22" s="1"/>
  <c r="AD301" i="22" s="1"/>
  <c r="AA301" i="22" s="1"/>
  <c r="Z301" i="22" s="1"/>
  <c r="Y301" i="22" s="1"/>
  <c r="AG58" i="22"/>
  <c r="AF58" i="22" s="1"/>
  <c r="AD58" i="22" s="1"/>
  <c r="AA58" i="22" s="1"/>
  <c r="Z58" i="22" s="1"/>
  <c r="Y58" i="22" s="1"/>
  <c r="AG350" i="22"/>
  <c r="AF350" i="22" s="1"/>
  <c r="AD350" i="22" s="1"/>
  <c r="AG114" i="22"/>
  <c r="AF114" i="22" s="1"/>
  <c r="AD114" i="22" s="1"/>
  <c r="AA114" i="22" s="1"/>
  <c r="Z114" i="22" s="1"/>
  <c r="Y114" i="22" s="1"/>
  <c r="AG226" i="22"/>
  <c r="AF226" i="22" s="1"/>
  <c r="AD226" i="22" s="1"/>
  <c r="AA226" i="22" s="1"/>
  <c r="Z226" i="22" s="1"/>
  <c r="Y226" i="22" s="1"/>
  <c r="AG60" i="22"/>
  <c r="AF60" i="22" s="1"/>
  <c r="AD60" i="22" s="1"/>
  <c r="AG367" i="22"/>
  <c r="AF367" i="22" s="1"/>
  <c r="AD367" i="22" s="1"/>
  <c r="AA367" i="22" s="1"/>
  <c r="Z367" i="22" s="1"/>
  <c r="Y367" i="22" s="1"/>
  <c r="AG144" i="22"/>
  <c r="AF144" i="22" s="1"/>
  <c r="AD144" i="22" s="1"/>
  <c r="AA144" i="22" s="1"/>
  <c r="Z144" i="22" s="1"/>
  <c r="Y144" i="22" s="1"/>
  <c r="AG76" i="22"/>
  <c r="AF76" i="22" s="1"/>
  <c r="AD76" i="22" s="1"/>
  <c r="AA76" i="22" s="1"/>
  <c r="Z76" i="22" s="1"/>
  <c r="Y76" i="22" s="1"/>
  <c r="AG278" i="22"/>
  <c r="AF278" i="22" s="1"/>
  <c r="AD278" i="22" s="1"/>
  <c r="AA278" i="22" s="1"/>
  <c r="Z278" i="22" s="1"/>
  <c r="Y278" i="22" s="1"/>
  <c r="AG51" i="22"/>
  <c r="AF51" i="22" s="1"/>
  <c r="AD51" i="22" s="1"/>
  <c r="AA51" i="22" s="1"/>
  <c r="Z51" i="22" s="1"/>
  <c r="Y51" i="22" s="1"/>
  <c r="AG42" i="22"/>
  <c r="AF42" i="22" s="1"/>
  <c r="AD42" i="22" s="1"/>
  <c r="AA42" i="22" s="1"/>
  <c r="Z42" i="22" s="1"/>
  <c r="Y42" i="22" s="1"/>
  <c r="AG196" i="22"/>
  <c r="AF196" i="22" s="1"/>
  <c r="AD196" i="22" s="1"/>
  <c r="AG334" i="22"/>
  <c r="AF334" i="22" s="1"/>
  <c r="AD334" i="22" s="1"/>
  <c r="AA334" i="22" s="1"/>
  <c r="Z334" i="22" s="1"/>
  <c r="Y334" i="22" s="1"/>
  <c r="AG314" i="22"/>
  <c r="AF314" i="22" s="1"/>
  <c r="AD314" i="22" s="1"/>
  <c r="AA314" i="22" s="1"/>
  <c r="Z314" i="22" s="1"/>
  <c r="Y314" i="22" s="1"/>
  <c r="AG95" i="22"/>
  <c r="AF95" i="22" s="1"/>
  <c r="AD95" i="22" s="1"/>
  <c r="AA95" i="22" s="1"/>
  <c r="Z95" i="22" s="1"/>
  <c r="Y95" i="22" s="1"/>
  <c r="AG241" i="22"/>
  <c r="AF241" i="22" s="1"/>
  <c r="AD241" i="22" s="1"/>
  <c r="AG232" i="22"/>
  <c r="AF232" i="22" s="1"/>
  <c r="AD232" i="22" s="1"/>
  <c r="AA232" i="22" s="1"/>
  <c r="Z232" i="22" s="1"/>
  <c r="Y232" i="22" s="1"/>
  <c r="AG370" i="22"/>
  <c r="AF370" i="22" s="1"/>
  <c r="AD370" i="22" s="1"/>
  <c r="AA370" i="22" s="1"/>
  <c r="Z370" i="22" s="1"/>
  <c r="Y370" i="22" s="1"/>
  <c r="AG348" i="22"/>
  <c r="AF348" i="22" s="1"/>
  <c r="AD348" i="22" s="1"/>
  <c r="AA348" i="22" s="1"/>
  <c r="Z348" i="22" s="1"/>
  <c r="Y348" i="22" s="1"/>
  <c r="AG120" i="22"/>
  <c r="AF120" i="22" s="1"/>
  <c r="AD120" i="22" s="1"/>
  <c r="AA120" i="22" s="1"/>
  <c r="Z120" i="22" s="1"/>
  <c r="Y120" i="22" s="1"/>
  <c r="AG258" i="22"/>
  <c r="AF258" i="22" s="1"/>
  <c r="AD258" i="22" s="1"/>
  <c r="AG124" i="22"/>
  <c r="AF124" i="22" s="1"/>
  <c r="AD124" i="22" s="1"/>
  <c r="AA124" i="22" s="1"/>
  <c r="Z124" i="22" s="1"/>
  <c r="Y124" i="22" s="1"/>
  <c r="AG139" i="22"/>
  <c r="AF139" i="22" s="1"/>
  <c r="AD139" i="22" s="1"/>
  <c r="AG285" i="22"/>
  <c r="AF285" i="22" s="1"/>
  <c r="AD285" i="22" s="1"/>
  <c r="AG62" i="22"/>
  <c r="AF62" i="22" s="1"/>
  <c r="AD62" i="22" s="1"/>
  <c r="AA62" i="22" s="1"/>
  <c r="Z62" i="22" s="1"/>
  <c r="Y62" i="22" s="1"/>
  <c r="AG57" i="22"/>
  <c r="AF57" i="22" s="1"/>
  <c r="AD57" i="22" s="1"/>
  <c r="AA57" i="22" s="1"/>
  <c r="Z57" i="22" s="1"/>
  <c r="Y57" i="22" s="1"/>
  <c r="AG195" i="22"/>
  <c r="AF195" i="22" s="1"/>
  <c r="AD195" i="22" s="1"/>
  <c r="AA195" i="22" s="1"/>
  <c r="Z195" i="22" s="1"/>
  <c r="Y195" i="22" s="1"/>
  <c r="AG119" i="22"/>
  <c r="AF119" i="22" s="1"/>
  <c r="AD119" i="22" s="1"/>
  <c r="AG329" i="22"/>
  <c r="AF329" i="22" s="1"/>
  <c r="AD329" i="22" s="1"/>
  <c r="AA329" i="22" s="1"/>
  <c r="Z329" i="22" s="1"/>
  <c r="Y329" i="22" s="1"/>
  <c r="AG98" i="22"/>
  <c r="AF98" i="22" s="1"/>
  <c r="AD98" i="22" s="1"/>
  <c r="AA98" i="22" s="1"/>
  <c r="Z98" i="22" s="1"/>
  <c r="Y98" i="22" s="1"/>
  <c r="AG165" i="22"/>
  <c r="AF165" i="22" s="1"/>
  <c r="AD165" i="22" s="1"/>
  <c r="AA165" i="22" s="1"/>
  <c r="Z165" i="22" s="1"/>
  <c r="Y165" i="22" s="1"/>
  <c r="AG239" i="22"/>
  <c r="AF239" i="22" s="1"/>
  <c r="AD239" i="22" s="1"/>
  <c r="AA239" i="22" s="1"/>
  <c r="Z239" i="22" s="1"/>
  <c r="Y239" i="22" s="1"/>
  <c r="AH15" i="22"/>
  <c r="AI381" i="22"/>
  <c r="AI383" i="22"/>
  <c r="AI382" i="22"/>
  <c r="AG309" i="22"/>
  <c r="AF309" i="22" s="1"/>
  <c r="AD309" i="22" s="1"/>
  <c r="AA309" i="22" s="1"/>
  <c r="Z309" i="22" s="1"/>
  <c r="Y309" i="22" s="1"/>
  <c r="AG150" i="22"/>
  <c r="AF150" i="22" s="1"/>
  <c r="AD150" i="22" s="1"/>
  <c r="AA150" i="22" s="1"/>
  <c r="Z150" i="22" s="1"/>
  <c r="Y150" i="22" s="1"/>
  <c r="AG288" i="22"/>
  <c r="AF288" i="22" s="1"/>
  <c r="AD288" i="22" s="1"/>
  <c r="AA288" i="22" s="1"/>
  <c r="Z288" i="22" s="1"/>
  <c r="Y288" i="22" s="1"/>
  <c r="AG283" i="22"/>
  <c r="AF283" i="22" s="1"/>
  <c r="AD283" i="22" s="1"/>
  <c r="AA283" i="22" s="1"/>
  <c r="Z283" i="22" s="1"/>
  <c r="Y283" i="22" s="1"/>
  <c r="AG68" i="22"/>
  <c r="AF68" i="22" s="1"/>
  <c r="AD68" i="22" s="1"/>
  <c r="AG206" i="22"/>
  <c r="AF206" i="22" s="1"/>
  <c r="AD206" i="22" s="1"/>
  <c r="AA206" i="22" s="1"/>
  <c r="Z206" i="22" s="1"/>
  <c r="Y206" i="22" s="1"/>
  <c r="AG186" i="22"/>
  <c r="AF186" i="22" s="1"/>
  <c r="AD186" i="22" s="1"/>
  <c r="AA186" i="22" s="1"/>
  <c r="Z186" i="22" s="1"/>
  <c r="Y186" i="22" s="1"/>
  <c r="AG340" i="22"/>
  <c r="AF340" i="22" s="1"/>
  <c r="AD340" i="22" s="1"/>
  <c r="AA340" i="22" s="1"/>
  <c r="Z340" i="22" s="1"/>
  <c r="Y340" i="22" s="1"/>
  <c r="AG113" i="22"/>
  <c r="AF113" i="22" s="1"/>
  <c r="AD113" i="22" s="1"/>
  <c r="AA113" i="22" s="1"/>
  <c r="Z113" i="22" s="1"/>
  <c r="Y113" i="22" s="1"/>
  <c r="AG104" i="22"/>
  <c r="AF104" i="22" s="1"/>
  <c r="AD104" i="22" s="1"/>
  <c r="AA104" i="22" s="1"/>
  <c r="Z104" i="22" s="1"/>
  <c r="Y104" i="22" s="1"/>
  <c r="AG242" i="22"/>
  <c r="AF242" i="22" s="1"/>
  <c r="AD242" i="22" s="1"/>
  <c r="AA242" i="22" s="1"/>
  <c r="Z242" i="22" s="1"/>
  <c r="Y242" i="22" s="1"/>
  <c r="AG92" i="22"/>
  <c r="AF92" i="22" s="1"/>
  <c r="AD92" i="22" s="1"/>
  <c r="AA92" i="22" s="1"/>
  <c r="Z92" i="22" s="1"/>
  <c r="Y92" i="22" s="1"/>
  <c r="AG143" i="22"/>
  <c r="AF143" i="22" s="1"/>
  <c r="AD143" i="22" s="1"/>
  <c r="AA143" i="22" s="1"/>
  <c r="Z143" i="22" s="1"/>
  <c r="Y143" i="22" s="1"/>
  <c r="AG289" i="22"/>
  <c r="AF289" i="22" s="1"/>
  <c r="AD289" i="22" s="1"/>
  <c r="AA289" i="22" s="1"/>
  <c r="Z289" i="22" s="1"/>
  <c r="Y289" i="22" s="1"/>
  <c r="AG213" i="22"/>
  <c r="AF213" i="22" s="1"/>
  <c r="AD213" i="22" s="1"/>
  <c r="AA213" i="22" s="1"/>
  <c r="Z213" i="22" s="1"/>
  <c r="Y213" i="22" s="1"/>
  <c r="AG54" i="22"/>
  <c r="AF54" i="22" s="1"/>
  <c r="AD54" i="22" s="1"/>
  <c r="AG192" i="22"/>
  <c r="AF192" i="22" s="1"/>
  <c r="AD192" i="22" s="1"/>
  <c r="AA192" i="22" s="1"/>
  <c r="Z192" i="22" s="1"/>
  <c r="Y192" i="22" s="1"/>
  <c r="AG187" i="22"/>
  <c r="AF187" i="22" s="1"/>
  <c r="AD187" i="22" s="1"/>
  <c r="AA187" i="22" s="1"/>
  <c r="Z187" i="22" s="1"/>
  <c r="Y187" i="22" s="1"/>
  <c r="AG333" i="22"/>
  <c r="AF333" i="22" s="1"/>
  <c r="AD333" i="22" s="1"/>
  <c r="AG110" i="22"/>
  <c r="AF110" i="22" s="1"/>
  <c r="AD110" i="22" s="1"/>
  <c r="AG90" i="22"/>
  <c r="AF90" i="22" s="1"/>
  <c r="AD90" i="22" s="1"/>
  <c r="AG244" i="22"/>
  <c r="AF244" i="22" s="1"/>
  <c r="AD244" i="22" s="1"/>
  <c r="AA244" i="22" s="1"/>
  <c r="Z244" i="22" s="1"/>
  <c r="Y244" i="22" s="1"/>
  <c r="AG16" i="22"/>
  <c r="AF16" i="22" s="1"/>
  <c r="AD16" i="22" s="1"/>
  <c r="AA16" i="22" s="1"/>
  <c r="Z16" i="22" s="1"/>
  <c r="Y16" i="22" s="1"/>
  <c r="AG377" i="22"/>
  <c r="AF377" i="22" s="1"/>
  <c r="AD377" i="22" s="1"/>
  <c r="AA377" i="22" s="1"/>
  <c r="Z377" i="22" s="1"/>
  <c r="Y377" i="22" s="1"/>
  <c r="AG146" i="22"/>
  <c r="AF146" i="22" s="1"/>
  <c r="AD146" i="22" s="1"/>
  <c r="AA146" i="22" s="1"/>
  <c r="Z146" i="22" s="1"/>
  <c r="Y146" i="22" s="1"/>
  <c r="AG261" i="22"/>
  <c r="AF261" i="22" s="1"/>
  <c r="AD261" i="22" s="1"/>
  <c r="AG280" i="22"/>
  <c r="AF280" i="22" s="1"/>
  <c r="AD280" i="22" s="1"/>
  <c r="AG61" i="22"/>
  <c r="AF61" i="22" s="1"/>
  <c r="AD61" i="22" s="1"/>
  <c r="AA61" i="22" s="1"/>
  <c r="Z61" i="22" s="1"/>
  <c r="Y61" i="22" s="1"/>
  <c r="AG71" i="22"/>
  <c r="AF71" i="22" s="1"/>
  <c r="AD71" i="22" s="1"/>
  <c r="AA71" i="22" s="1"/>
  <c r="Z71" i="22" s="1"/>
  <c r="Y71" i="22" s="1"/>
  <c r="AG198" i="22"/>
  <c r="AF198" i="22" s="1"/>
  <c r="AD198" i="22" s="1"/>
  <c r="AG336" i="22"/>
  <c r="AF336" i="22" s="1"/>
  <c r="AD336" i="22" s="1"/>
  <c r="AG268" i="22"/>
  <c r="AF268" i="22" s="1"/>
  <c r="AD268" i="22" s="1"/>
  <c r="AA268" i="22" s="1"/>
  <c r="Z268" i="22" s="1"/>
  <c r="Y268" i="22" s="1"/>
  <c r="H274" i="22"/>
  <c r="G305" i="22"/>
  <c r="CC305" i="6" s="1"/>
  <c r="G230" i="22"/>
  <c r="CC230" i="6" s="1"/>
  <c r="G274" i="22"/>
  <c r="CC274" i="6" s="1"/>
  <c r="W29" i="22"/>
  <c r="D29" i="22"/>
  <c r="E29" i="22" s="1"/>
  <c r="F29" i="22" s="1"/>
  <c r="G281" i="22"/>
  <c r="CC281" i="6" s="1"/>
  <c r="G35" i="22"/>
  <c r="CC35" i="6" s="1"/>
  <c r="G287" i="22"/>
  <c r="CC287" i="6" s="1"/>
  <c r="G38" i="22"/>
  <c r="CC38" i="6" s="1"/>
  <c r="G345" i="22"/>
  <c r="CC345" i="6" s="1"/>
  <c r="G124" i="22"/>
  <c r="CC124" i="6" s="1"/>
  <c r="G17" i="22"/>
  <c r="CC17" i="6" s="1"/>
  <c r="G233" i="22"/>
  <c r="CC233" i="6" s="1"/>
  <c r="G371" i="22"/>
  <c r="CC371" i="6" s="1"/>
  <c r="G222" i="22"/>
  <c r="CC222" i="6" s="1"/>
  <c r="G344" i="22"/>
  <c r="CC344" i="6" s="1"/>
  <c r="G41" i="22"/>
  <c r="CC41" i="6" s="1"/>
  <c r="G321" i="22"/>
  <c r="CC321" i="6" s="1"/>
  <c r="G111" i="22"/>
  <c r="CC111" i="6" s="1"/>
  <c r="G53" i="22"/>
  <c r="CC53" i="6" s="1"/>
  <c r="G171" i="22"/>
  <c r="CC171" i="6" s="1"/>
  <c r="G240" i="22"/>
  <c r="CC240" i="6" s="1"/>
  <c r="G143" i="22"/>
  <c r="CC143" i="6" s="1"/>
  <c r="G146" i="22"/>
  <c r="CC146" i="6" s="1"/>
  <c r="G43" i="22"/>
  <c r="CC43" i="6" s="1"/>
  <c r="G351" i="22"/>
  <c r="CC351" i="6" s="1"/>
  <c r="G105" i="22"/>
  <c r="CC105" i="6" s="1"/>
  <c r="S382" i="22"/>
  <c r="S381" i="22"/>
  <c r="S383" i="22"/>
  <c r="R15" i="22"/>
  <c r="H268" i="22"/>
  <c r="G268" i="22"/>
  <c r="CC268" i="6" s="1"/>
  <c r="G175" i="22"/>
  <c r="CC175" i="6" s="1"/>
  <c r="H175" i="22"/>
  <c r="G297" i="22"/>
  <c r="CC297" i="6" s="1"/>
  <c r="H297" i="22"/>
  <c r="G356" i="22"/>
  <c r="CC356" i="6" s="1"/>
  <c r="H356" i="22"/>
  <c r="H152" i="22"/>
  <c r="G152" i="22"/>
  <c r="CC152" i="6" s="1"/>
  <c r="G377" i="22"/>
  <c r="CC377" i="6" s="1"/>
  <c r="H377" i="22"/>
  <c r="H102" i="22"/>
  <c r="G102" i="22"/>
  <c r="CC102" i="6" s="1"/>
  <c r="H33" i="22"/>
  <c r="G33" i="22"/>
  <c r="CC33" i="6" s="1"/>
  <c r="J87" i="20"/>
  <c r="C87" i="6" s="1"/>
  <c r="I87" i="20"/>
  <c r="I46" i="20"/>
  <c r="J46" i="20"/>
  <c r="C46" i="6" s="1"/>
  <c r="J74" i="20"/>
  <c r="C74" i="6" s="1"/>
  <c r="I74" i="20"/>
  <c r="I333" i="20"/>
  <c r="B333" i="6" s="1"/>
  <c r="BA333" i="6" s="1"/>
  <c r="AJ4" i="6" s="1"/>
  <c r="J333" i="20"/>
  <c r="C333" i="6" s="1"/>
  <c r="J252" i="20"/>
  <c r="C252" i="6" s="1"/>
  <c r="I252" i="20"/>
  <c r="B252" i="6" s="1"/>
  <c r="BA252" i="6" s="1"/>
  <c r="G215" i="22"/>
  <c r="CC215" i="6" s="1"/>
  <c r="H215" i="22"/>
  <c r="G347" i="22"/>
  <c r="CC347" i="6" s="1"/>
  <c r="H347" i="22"/>
  <c r="G205" i="22"/>
  <c r="CC205" i="6" s="1"/>
  <c r="H205" i="22"/>
  <c r="H229" i="22"/>
  <c r="G229" i="22"/>
  <c r="CC229" i="6" s="1"/>
  <c r="G78" i="22"/>
  <c r="CC78" i="6" s="1"/>
  <c r="H78" i="22"/>
  <c r="H99" i="22"/>
  <c r="G99" i="22"/>
  <c r="CC99" i="6" s="1"/>
  <c r="G113" i="22"/>
  <c r="CC113" i="6" s="1"/>
  <c r="H113" i="22"/>
  <c r="G200" i="22"/>
  <c r="CC200" i="6" s="1"/>
  <c r="H200" i="22"/>
  <c r="H239" i="22"/>
  <c r="G239" i="22"/>
  <c r="CC239" i="6" s="1"/>
  <c r="H76" i="22"/>
  <c r="G76" i="22"/>
  <c r="CC76" i="6" s="1"/>
  <c r="G100" i="22"/>
  <c r="CC100" i="6" s="1"/>
  <c r="G250" i="22"/>
  <c r="CC250" i="6" s="1"/>
  <c r="H250" i="22"/>
  <c r="H328" i="22"/>
  <c r="G328" i="22"/>
  <c r="CC328" i="6" s="1"/>
  <c r="H237" i="22"/>
  <c r="G237" i="22"/>
  <c r="CC237" i="6" s="1"/>
  <c r="H115" i="22"/>
  <c r="G115" i="22"/>
  <c r="CC115" i="6" s="1"/>
  <c r="G46" i="22"/>
  <c r="CC46" i="6" s="1"/>
  <c r="G142" i="22"/>
  <c r="CC142" i="6" s="1"/>
  <c r="H142" i="22"/>
  <c r="G79" i="22"/>
  <c r="CC79" i="6" s="1"/>
  <c r="H79" i="22"/>
  <c r="H293" i="22"/>
  <c r="G293" i="22"/>
  <c r="CC293" i="6" s="1"/>
  <c r="H310" i="22"/>
  <c r="G310" i="22"/>
  <c r="CC310" i="6" s="1"/>
  <c r="H160" i="22"/>
  <c r="H65" i="22"/>
  <c r="G65" i="22"/>
  <c r="CC65" i="6" s="1"/>
  <c r="I241" i="20"/>
  <c r="B241" i="6" s="1"/>
  <c r="BA241" i="6" s="1"/>
  <c r="J241" i="20"/>
  <c r="C241" i="6" s="1"/>
  <c r="I60" i="20"/>
  <c r="B60" i="6" s="1"/>
  <c r="BA60" i="6" s="1"/>
  <c r="J60" i="20"/>
  <c r="C60" i="6" s="1"/>
  <c r="J59" i="20"/>
  <c r="C59" i="6" s="1"/>
  <c r="I59" i="20"/>
  <c r="J119" i="20"/>
  <c r="C119" i="6" s="1"/>
  <c r="I119" i="20"/>
  <c r="B119" i="6" s="1"/>
  <c r="BA119" i="6" s="1"/>
  <c r="U4" i="6" s="1"/>
  <c r="H55" i="22"/>
  <c r="G55" i="22"/>
  <c r="CC55" i="6" s="1"/>
  <c r="G318" i="22"/>
  <c r="CC318" i="6" s="1"/>
  <c r="H318" i="22"/>
  <c r="G190" i="22"/>
  <c r="CC190" i="6" s="1"/>
  <c r="H190" i="22"/>
  <c r="G232" i="22"/>
  <c r="CC232" i="6" s="1"/>
  <c r="H232" i="22"/>
  <c r="G118" i="22"/>
  <c r="CC118" i="6" s="1"/>
  <c r="H118" i="22"/>
  <c r="H355" i="22"/>
  <c r="G355" i="22"/>
  <c r="CC355" i="6" s="1"/>
  <c r="H256" i="22"/>
  <c r="G256" i="22"/>
  <c r="CC256" i="6" s="1"/>
  <c r="G97" i="22"/>
  <c r="CC97" i="6" s="1"/>
  <c r="H97" i="22"/>
  <c r="H372" i="22"/>
  <c r="G372" i="22"/>
  <c r="CC372" i="6" s="1"/>
  <c r="H214" i="22"/>
  <c r="G214" i="22"/>
  <c r="CC214" i="6" s="1"/>
  <c r="G362" i="22"/>
  <c r="CC362" i="6" s="1"/>
  <c r="H362" i="22"/>
  <c r="H322" i="22"/>
  <c r="G322" i="22"/>
  <c r="CC322" i="6" s="1"/>
  <c r="H153" i="22"/>
  <c r="G153" i="22"/>
  <c r="CC153" i="6" s="1"/>
  <c r="G260" i="22"/>
  <c r="CC260" i="6" s="1"/>
  <c r="H260" i="22"/>
  <c r="G138" i="22"/>
  <c r="CC138" i="6" s="1"/>
  <c r="F9" i="18"/>
  <c r="F383" i="18"/>
  <c r="AK10" i="18"/>
  <c r="AK12" i="18" s="1"/>
  <c r="AK13" i="18" s="1"/>
  <c r="AA15" i="18"/>
  <c r="AL10" i="18" s="1"/>
  <c r="AM10" i="18"/>
  <c r="F382" i="18"/>
  <c r="G15" i="18"/>
  <c r="CA15" i="6" s="1"/>
  <c r="H15" i="18"/>
  <c r="F381" i="18"/>
  <c r="H32" i="22"/>
  <c r="G150" i="22"/>
  <c r="CC150" i="6" s="1"/>
  <c r="H150" i="22"/>
  <c r="G170" i="22"/>
  <c r="CC170" i="6" s="1"/>
  <c r="H170" i="22"/>
  <c r="G304" i="22"/>
  <c r="CC304" i="6" s="1"/>
  <c r="H304" i="22"/>
  <c r="G285" i="22"/>
  <c r="CC285" i="6" s="1"/>
  <c r="H73" i="22"/>
  <c r="G73" i="22"/>
  <c r="CC73" i="6" s="1"/>
  <c r="H144" i="22"/>
  <c r="G144" i="22"/>
  <c r="CC144" i="6" s="1"/>
  <c r="L67" i="19"/>
  <c r="G101" i="22"/>
  <c r="CC101" i="6" s="1"/>
  <c r="H101" i="22"/>
  <c r="G352" i="22"/>
  <c r="CC352" i="6" s="1"/>
  <c r="H352" i="22"/>
  <c r="H67" i="19"/>
  <c r="G369" i="22"/>
  <c r="CC369" i="6" s="1"/>
  <c r="H369" i="22"/>
  <c r="G378" i="22"/>
  <c r="CC378" i="6" s="1"/>
  <c r="H378" i="22"/>
  <c r="G95" i="22"/>
  <c r="CC95" i="6" s="1"/>
  <c r="J166" i="20"/>
  <c r="C166" i="6" s="1"/>
  <c r="I166" i="20"/>
  <c r="I302" i="20"/>
  <c r="B302" i="6" s="1"/>
  <c r="BA302" i="6" s="1"/>
  <c r="AH4" i="6" s="1"/>
  <c r="J302" i="20"/>
  <c r="C302" i="6" s="1"/>
  <c r="H169" i="22"/>
  <c r="G169" i="22"/>
  <c r="CC169" i="6" s="1"/>
  <c r="H85" i="22"/>
  <c r="G85" i="22"/>
  <c r="CC85" i="6" s="1"/>
  <c r="G300" i="22"/>
  <c r="CC300" i="6" s="1"/>
  <c r="H300" i="22"/>
  <c r="H26" i="22"/>
  <c r="G26" i="22"/>
  <c r="CC26" i="6" s="1"/>
  <c r="H24" i="22"/>
  <c r="G24" i="22"/>
  <c r="CC24" i="6" s="1"/>
  <c r="G266" i="22"/>
  <c r="CC266" i="6" s="1"/>
  <c r="E67" i="19"/>
  <c r="G165" i="22"/>
  <c r="CC165" i="6" s="1"/>
  <c r="H165" i="22"/>
  <c r="H282" i="22"/>
  <c r="G282" i="22"/>
  <c r="CC282" i="6" s="1"/>
  <c r="G123" i="22"/>
  <c r="CC123" i="6" s="1"/>
  <c r="H123" i="22"/>
  <c r="G226" i="22"/>
  <c r="CC226" i="6" s="1"/>
  <c r="H226" i="22"/>
  <c r="H219" i="22"/>
  <c r="G219" i="22"/>
  <c r="CC219" i="6" s="1"/>
  <c r="G104" i="22"/>
  <c r="CC104" i="6" s="1"/>
  <c r="H104" i="22"/>
  <c r="G357" i="22"/>
  <c r="CC357" i="6" s="1"/>
  <c r="H357" i="22"/>
  <c r="G246" i="22"/>
  <c r="CC246" i="6" s="1"/>
  <c r="H246" i="22"/>
  <c r="G52" i="22"/>
  <c r="CC52" i="6" s="1"/>
  <c r="H52" i="22"/>
  <c r="H364" i="22"/>
  <c r="G364" i="22"/>
  <c r="CC364" i="6" s="1"/>
  <c r="G228" i="22"/>
  <c r="CC228" i="6" s="1"/>
  <c r="H228" i="22"/>
  <c r="J27" i="20"/>
  <c r="C27" i="6" s="1"/>
  <c r="I27" i="20"/>
  <c r="V15" i="20"/>
  <c r="P382" i="20"/>
  <c r="P381" i="20"/>
  <c r="P383" i="20"/>
  <c r="H140" i="22"/>
  <c r="G140" i="22"/>
  <c r="CC140" i="6" s="1"/>
  <c r="G112" i="22"/>
  <c r="CC112" i="6" s="1"/>
  <c r="H112" i="22"/>
  <c r="H262" i="22"/>
  <c r="G262" i="22"/>
  <c r="CC262" i="6" s="1"/>
  <c r="G93" i="22"/>
  <c r="CC93" i="6" s="1"/>
  <c r="H93" i="22"/>
  <c r="G235" i="22"/>
  <c r="CC235" i="6" s="1"/>
  <c r="H235" i="22"/>
  <c r="G376" i="22"/>
  <c r="CC376" i="6" s="1"/>
  <c r="H376" i="22"/>
  <c r="G218" i="22"/>
  <c r="CC218" i="6" s="1"/>
  <c r="H218" i="22"/>
  <c r="H271" i="22"/>
  <c r="G271" i="22"/>
  <c r="CC271" i="6" s="1"/>
  <c r="G50" i="22"/>
  <c r="CC50" i="6" s="1"/>
  <c r="H50" i="22"/>
  <c r="G236" i="22"/>
  <c r="CC236" i="6" s="1"/>
  <c r="H236" i="22"/>
  <c r="G375" i="22"/>
  <c r="CC375" i="6" s="1"/>
  <c r="H375" i="22"/>
  <c r="H48" i="22"/>
  <c r="G48" i="22"/>
  <c r="CC48" i="6" s="1"/>
  <c r="G217" i="22"/>
  <c r="CC217" i="6" s="1"/>
  <c r="H217" i="22"/>
  <c r="H207" i="22"/>
  <c r="G207" i="22"/>
  <c r="CC207" i="6" s="1"/>
  <c r="G315" i="22"/>
  <c r="CC315" i="6" s="1"/>
  <c r="H315" i="22"/>
  <c r="H278" i="22"/>
  <c r="G278" i="22"/>
  <c r="CC278" i="6" s="1"/>
  <c r="H365" i="22"/>
  <c r="G365" i="22"/>
  <c r="CC365" i="6" s="1"/>
  <c r="H176" i="22"/>
  <c r="G176" i="22"/>
  <c r="CC176" i="6" s="1"/>
  <c r="G277" i="22"/>
  <c r="CC277" i="6" s="1"/>
  <c r="H277" i="22"/>
  <c r="G63" i="22"/>
  <c r="CC63" i="6" s="1"/>
  <c r="H63" i="22"/>
  <c r="H157" i="22"/>
  <c r="G157" i="22"/>
  <c r="CC157" i="6" s="1"/>
  <c r="H312" i="22"/>
  <c r="G312" i="22"/>
  <c r="CC312" i="6" s="1"/>
  <c r="I138" i="20"/>
  <c r="J138" i="20"/>
  <c r="C138" i="6" s="1"/>
  <c r="I272" i="20"/>
  <c r="B272" i="6" s="1"/>
  <c r="BA272" i="6" s="1"/>
  <c r="J272" i="20"/>
  <c r="C272" i="6" s="1"/>
  <c r="G81" i="22"/>
  <c r="CC81" i="6" s="1"/>
  <c r="H81" i="22"/>
  <c r="H332" i="22"/>
  <c r="G332" i="22"/>
  <c r="CC332" i="6" s="1"/>
  <c r="H335" i="22"/>
  <c r="H243" i="22"/>
  <c r="G243" i="22"/>
  <c r="CC243" i="6" s="1"/>
  <c r="H84" i="22"/>
  <c r="G84" i="22"/>
  <c r="CC84" i="6" s="1"/>
  <c r="G199" i="22"/>
  <c r="CC199" i="6" s="1"/>
  <c r="H199" i="22"/>
  <c r="H130" i="22"/>
  <c r="G130" i="22"/>
  <c r="CC130" i="6" s="1"/>
  <c r="G103" i="22"/>
  <c r="CC103" i="6" s="1"/>
  <c r="H103" i="22"/>
  <c r="G253" i="22"/>
  <c r="CC253" i="6" s="1"/>
  <c r="H253" i="22"/>
  <c r="G366" i="22"/>
  <c r="CC366" i="6" s="1"/>
  <c r="H366" i="22"/>
  <c r="H21" i="22"/>
  <c r="G21" i="22"/>
  <c r="CC21" i="6" s="1"/>
  <c r="I67" i="19"/>
  <c r="G75" i="22"/>
  <c r="CC75" i="6" s="1"/>
  <c r="H75" i="22"/>
  <c r="G289" i="22"/>
  <c r="CC289" i="6" s="1"/>
  <c r="H289" i="22"/>
  <c r="G314" i="22"/>
  <c r="CC314" i="6" s="1"/>
  <c r="H314" i="22"/>
  <c r="G67" i="19"/>
  <c r="H159" i="22"/>
  <c r="G159" i="22"/>
  <c r="CC159" i="6" s="1"/>
  <c r="G301" i="22"/>
  <c r="CC301" i="6" s="1"/>
  <c r="H301" i="22"/>
  <c r="G49" i="22"/>
  <c r="CC49" i="6" s="1"/>
  <c r="H49" i="22"/>
  <c r="G267" i="22"/>
  <c r="CC267" i="6" s="1"/>
  <c r="H267" i="22"/>
  <c r="G83" i="22"/>
  <c r="CC83" i="6" s="1"/>
  <c r="G306" i="22"/>
  <c r="CC306" i="6" s="1"/>
  <c r="H306" i="22"/>
  <c r="H156" i="22"/>
  <c r="G156" i="22"/>
  <c r="CC156" i="6" s="1"/>
  <c r="H61" i="22"/>
  <c r="G61" i="22"/>
  <c r="CC61" i="6" s="1"/>
  <c r="K67" i="19"/>
  <c r="H57" i="22"/>
  <c r="G57" i="22"/>
  <c r="CC57" i="6" s="1"/>
  <c r="H182" i="22"/>
  <c r="G182" i="22"/>
  <c r="CC182" i="6" s="1"/>
  <c r="G71" i="22"/>
  <c r="CC71" i="6" s="1"/>
  <c r="H71" i="22"/>
  <c r="G291" i="22"/>
  <c r="CC291" i="6" s="1"/>
  <c r="H320" i="22"/>
  <c r="G320" i="22"/>
  <c r="CC320" i="6" s="1"/>
  <c r="G292" i="22"/>
  <c r="CC292" i="6" s="1"/>
  <c r="H292" i="22"/>
  <c r="H28" i="22"/>
  <c r="G28" i="22"/>
  <c r="CC28" i="6" s="1"/>
  <c r="G107" i="22"/>
  <c r="CC107" i="6" s="1"/>
  <c r="H107" i="22"/>
  <c r="H257" i="22"/>
  <c r="G257" i="22"/>
  <c r="CC257" i="6" s="1"/>
  <c r="H254" i="22"/>
  <c r="G254" i="22"/>
  <c r="CC254" i="6" s="1"/>
  <c r="W258" i="22"/>
  <c r="D258" i="22"/>
  <c r="E258" i="22" s="1"/>
  <c r="F258" i="22" s="1"/>
  <c r="H242" i="22"/>
  <c r="G242" i="22"/>
  <c r="CC242" i="6" s="1"/>
  <c r="G89" i="22"/>
  <c r="CC89" i="6" s="1"/>
  <c r="H89" i="22"/>
  <c r="G231" i="22"/>
  <c r="CC231" i="6" s="1"/>
  <c r="I88" i="20"/>
  <c r="B88" i="6" s="1"/>
  <c r="BA88" i="6" s="1"/>
  <c r="J88" i="20"/>
  <c r="C88" i="6" s="1"/>
  <c r="I196" i="20"/>
  <c r="B196" i="6" s="1"/>
  <c r="BA196" i="6" s="1"/>
  <c r="J196" i="20"/>
  <c r="C196" i="6" s="1"/>
  <c r="J288" i="20"/>
  <c r="C288" i="6" s="1"/>
  <c r="I288" i="20"/>
  <c r="I349" i="20"/>
  <c r="B349" i="6" s="1"/>
  <c r="BA349" i="6" s="1"/>
  <c r="AK4" i="6" s="1"/>
  <c r="J349" i="20"/>
  <c r="C349" i="6" s="1"/>
  <c r="J135" i="20"/>
  <c r="C135" i="6" s="1"/>
  <c r="I135" i="20"/>
  <c r="B135" i="6" s="1"/>
  <c r="BA135" i="6" s="1"/>
  <c r="J363" i="20"/>
  <c r="C363" i="6" s="1"/>
  <c r="I363" i="20"/>
  <c r="B363" i="6" s="1"/>
  <c r="BA363" i="6" s="1"/>
  <c r="AL4" i="6" s="1"/>
  <c r="H291" i="22"/>
  <c r="P308" i="23"/>
  <c r="V308" i="23" s="1"/>
  <c r="W308" i="23" s="1"/>
  <c r="P39" i="23"/>
  <c r="V39" i="23" s="1"/>
  <c r="W39" i="23" s="1"/>
  <c r="P211" i="23"/>
  <c r="V211" i="23" s="1"/>
  <c r="D211" i="23" s="1"/>
  <c r="E211" i="23" s="1"/>
  <c r="F211" i="23" s="1"/>
  <c r="P375" i="23"/>
  <c r="V375" i="23" s="1"/>
  <c r="W375" i="23" s="1"/>
  <c r="P68" i="23"/>
  <c r="V68" i="23" s="1"/>
  <c r="D68" i="23" s="1"/>
  <c r="E68" i="23" s="1"/>
  <c r="F68" i="23" s="1"/>
  <c r="P74" i="23"/>
  <c r="V74" i="23" s="1"/>
  <c r="P299" i="23"/>
  <c r="V299" i="23" s="1"/>
  <c r="D299" i="23" s="1"/>
  <c r="E299" i="23" s="1"/>
  <c r="F299" i="23" s="1"/>
  <c r="P168" i="23"/>
  <c r="V168" i="23" s="1"/>
  <c r="W168" i="23" s="1"/>
  <c r="P158" i="23"/>
  <c r="V158" i="23" s="1"/>
  <c r="W158" i="23" s="1"/>
  <c r="P92" i="23"/>
  <c r="V92" i="23" s="1"/>
  <c r="W92" i="23" s="1"/>
  <c r="P263" i="23"/>
  <c r="V263" i="23" s="1"/>
  <c r="D263" i="23" s="1"/>
  <c r="E263" i="23" s="1"/>
  <c r="F263" i="23" s="1"/>
  <c r="P275" i="23"/>
  <c r="V275" i="23" s="1"/>
  <c r="D275" i="23" s="1"/>
  <c r="E275" i="23" s="1"/>
  <c r="F275" i="23" s="1"/>
  <c r="P355" i="23"/>
  <c r="V355" i="23" s="1"/>
  <c r="W355" i="23" s="1"/>
  <c r="P163" i="23"/>
  <c r="V163" i="23" s="1"/>
  <c r="D163" i="23" s="1"/>
  <c r="E163" i="23" s="1"/>
  <c r="F163" i="23" s="1"/>
  <c r="T15" i="23"/>
  <c r="U382" i="23"/>
  <c r="U383" i="23"/>
  <c r="U381" i="23"/>
  <c r="AT16" i="7"/>
  <c r="AZ11" i="7" s="1"/>
  <c r="U11" i="24" s="1"/>
  <c r="U12" i="24"/>
  <c r="T379" i="23"/>
  <c r="S379" i="23" s="1"/>
  <c r="R379" i="23" s="1"/>
  <c r="G290" i="22"/>
  <c r="CC290" i="6" s="1"/>
  <c r="H290" i="22"/>
  <c r="H164" i="22"/>
  <c r="G164" i="22"/>
  <c r="CC164" i="6" s="1"/>
  <c r="G186" i="22"/>
  <c r="CC186" i="6" s="1"/>
  <c r="H186" i="22"/>
  <c r="G338" i="22"/>
  <c r="CC338" i="6" s="1"/>
  <c r="H338" i="22"/>
  <c r="H188" i="22"/>
  <c r="G188" i="22"/>
  <c r="CC188" i="6" s="1"/>
  <c r="G25" i="22"/>
  <c r="CC25" i="6" s="1"/>
  <c r="H25" i="22"/>
  <c r="G201" i="22"/>
  <c r="CC201" i="6" s="1"/>
  <c r="H201" i="22"/>
  <c r="G185" i="22"/>
  <c r="CC185" i="6" s="1"/>
  <c r="H185" i="22"/>
  <c r="G66" i="22"/>
  <c r="CC66" i="6" s="1"/>
  <c r="G109" i="22"/>
  <c r="CC109" i="6" s="1"/>
  <c r="H109" i="22"/>
  <c r="H213" i="22"/>
  <c r="G213" i="22"/>
  <c r="CC213" i="6" s="1"/>
  <c r="H56" i="22"/>
  <c r="G56" i="22"/>
  <c r="CC56" i="6" s="1"/>
  <c r="G166" i="22"/>
  <c r="CC166" i="6" s="1"/>
  <c r="H247" i="22"/>
  <c r="G247" i="22"/>
  <c r="CC247" i="6" s="1"/>
  <c r="G195" i="22"/>
  <c r="CC195" i="6" s="1"/>
  <c r="H195" i="22"/>
  <c r="G379" i="20"/>
  <c r="CB379" i="6" s="1"/>
  <c r="H379" i="20"/>
  <c r="AA379" i="20"/>
  <c r="Z379" i="20" s="1"/>
  <c r="Y379" i="20" s="1"/>
  <c r="H361" i="22"/>
  <c r="G361" i="22"/>
  <c r="CC361" i="6" s="1"/>
  <c r="H16" i="22"/>
  <c r="G16" i="22"/>
  <c r="CC16" i="6" s="1"/>
  <c r="H374" i="22"/>
  <c r="G374" i="22"/>
  <c r="CC374" i="6" s="1"/>
  <c r="G224" i="22"/>
  <c r="CC224" i="6" s="1"/>
  <c r="H224" i="22"/>
  <c r="H249" i="22"/>
  <c r="G249" i="22"/>
  <c r="CC249" i="6" s="1"/>
  <c r="H353" i="22"/>
  <c r="G353" i="22"/>
  <c r="CC353" i="6" s="1"/>
  <c r="H116" i="22"/>
  <c r="G116" i="22"/>
  <c r="CC116" i="6" s="1"/>
  <c r="G44" i="22"/>
  <c r="CC44" i="6" s="1"/>
  <c r="H44" i="22"/>
  <c r="H223" i="22"/>
  <c r="G223" i="22"/>
  <c r="CC223" i="6" s="1"/>
  <c r="H173" i="22"/>
  <c r="G173" i="22"/>
  <c r="CC173" i="6" s="1"/>
  <c r="G208" i="22"/>
  <c r="CC208" i="6" s="1"/>
  <c r="H208" i="22"/>
  <c r="H265" i="22"/>
  <c r="G265" i="22"/>
  <c r="CC265" i="6" s="1"/>
  <c r="H327" i="22"/>
  <c r="G327" i="22"/>
  <c r="CC327" i="6" s="1"/>
  <c r="G284" i="22"/>
  <c r="CC284" i="6" s="1"/>
  <c r="H284" i="22"/>
  <c r="H31" i="22"/>
  <c r="G31" i="22"/>
  <c r="CC31" i="6" s="1"/>
  <c r="G189" i="22"/>
  <c r="CC189" i="6" s="1"/>
  <c r="H189" i="22"/>
  <c r="G98" i="22"/>
  <c r="CC98" i="6" s="1"/>
  <c r="H98" i="22"/>
  <c r="G283" i="22"/>
  <c r="CC283" i="6" s="1"/>
  <c r="H283" i="22"/>
  <c r="H313" i="22"/>
  <c r="G313" i="22"/>
  <c r="CC313" i="6" s="1"/>
  <c r="I95" i="20"/>
  <c r="J95" i="20"/>
  <c r="C95" i="6" s="1"/>
  <c r="H279" i="22"/>
  <c r="G279" i="22"/>
  <c r="CC279" i="6" s="1"/>
  <c r="H91" i="22"/>
  <c r="G91" i="22"/>
  <c r="CC91" i="6" s="1"/>
  <c r="G62" i="22"/>
  <c r="CC62" i="6" s="1"/>
  <c r="H276" i="22"/>
  <c r="G276" i="22"/>
  <c r="CC276" i="6" s="1"/>
  <c r="H40" i="22"/>
  <c r="G40" i="22"/>
  <c r="CC40" i="6" s="1"/>
  <c r="G197" i="22"/>
  <c r="CC197" i="6" s="1"/>
  <c r="H197" i="22"/>
  <c r="H339" i="22"/>
  <c r="G339" i="22"/>
  <c r="CC339" i="6" s="1"/>
  <c r="H147" i="22"/>
  <c r="G147" i="22"/>
  <c r="CC147" i="6" s="1"/>
  <c r="G20" i="22"/>
  <c r="CC20" i="6" s="1"/>
  <c r="H20" i="22"/>
  <c r="H337" i="22"/>
  <c r="G337" i="22"/>
  <c r="CC337" i="6" s="1"/>
  <c r="H82" i="22"/>
  <c r="G82" i="22"/>
  <c r="CC82" i="6" s="1"/>
  <c r="H255" i="22"/>
  <c r="G255" i="22"/>
  <c r="CC255" i="6" s="1"/>
  <c r="H42" i="22"/>
  <c r="G42" i="22"/>
  <c r="CC42" i="6" s="1"/>
  <c r="D272" i="22"/>
  <c r="E272" i="22" s="1"/>
  <c r="F272" i="22" s="1"/>
  <c r="W272" i="22"/>
  <c r="G251" i="22"/>
  <c r="CC251" i="6" s="1"/>
  <c r="H251" i="22"/>
  <c r="H172" i="22"/>
  <c r="G172" i="22"/>
  <c r="CC172" i="6" s="1"/>
  <c r="G178" i="22"/>
  <c r="CC178" i="6" s="1"/>
  <c r="H178" i="22"/>
  <c r="H67" i="22"/>
  <c r="G67" i="22"/>
  <c r="CC67" i="6" s="1"/>
  <c r="H295" i="22"/>
  <c r="G295" i="22"/>
  <c r="CC295" i="6" s="1"/>
  <c r="G316" i="22"/>
  <c r="CC316" i="6" s="1"/>
  <c r="H316" i="22"/>
  <c r="G174" i="22"/>
  <c r="CC174" i="6" s="1"/>
  <c r="H174" i="22"/>
  <c r="H212" i="22"/>
  <c r="G212" i="22"/>
  <c r="CC212" i="6" s="1"/>
  <c r="H22" i="22"/>
  <c r="H127" i="22"/>
  <c r="G127" i="22"/>
  <c r="CC127" i="6" s="1"/>
  <c r="H261" i="22"/>
  <c r="G342" i="22"/>
  <c r="CC342" i="6" s="1"/>
  <c r="H342" i="22"/>
  <c r="H192" i="22"/>
  <c r="G192" i="22"/>
  <c r="CC192" i="6" s="1"/>
  <c r="G126" i="22"/>
  <c r="CC126" i="6" s="1"/>
  <c r="H126" i="22"/>
  <c r="G264" i="22"/>
  <c r="CC264" i="6" s="1"/>
  <c r="H264" i="22"/>
  <c r="H162" i="22"/>
  <c r="G162" i="22"/>
  <c r="CC162" i="6" s="1"/>
  <c r="H330" i="22"/>
  <c r="G330" i="22"/>
  <c r="CC330" i="6" s="1"/>
  <c r="H273" i="22"/>
  <c r="G273" i="22"/>
  <c r="CC273" i="6" s="1"/>
  <c r="G59" i="22"/>
  <c r="CC59" i="6" s="1"/>
  <c r="G319" i="22"/>
  <c r="CC319" i="6" s="1"/>
  <c r="G308" i="22"/>
  <c r="CC308" i="6" s="1"/>
  <c r="H308" i="22"/>
  <c r="G39" i="22"/>
  <c r="CC39" i="6" s="1"/>
  <c r="H39" i="22"/>
  <c r="H307" i="22"/>
  <c r="G307" i="22"/>
  <c r="CC307" i="6" s="1"/>
  <c r="F67" i="19"/>
  <c r="H334" i="22"/>
  <c r="G334" i="22"/>
  <c r="CC334" i="6" s="1"/>
  <c r="G184" i="22"/>
  <c r="CC184" i="6" s="1"/>
  <c r="G139" i="22"/>
  <c r="CC139" i="6" s="1"/>
  <c r="G132" i="22"/>
  <c r="CC132" i="6" s="1"/>
  <c r="H132" i="22"/>
  <c r="G309" i="22"/>
  <c r="CC309" i="6" s="1"/>
  <c r="H309" i="22"/>
  <c r="G286" i="22"/>
  <c r="CC286" i="6" s="1"/>
  <c r="H286" i="22"/>
  <c r="H183" i="22"/>
  <c r="G183" i="22"/>
  <c r="CC183" i="6" s="1"/>
  <c r="G259" i="22"/>
  <c r="CC259" i="6" s="1"/>
  <c r="H259" i="22"/>
  <c r="G121" i="22"/>
  <c r="CC121" i="6" s="1"/>
  <c r="H121" i="22"/>
  <c r="G343" i="22"/>
  <c r="CC343" i="6" s="1"/>
  <c r="H343" i="22"/>
  <c r="G367" i="22"/>
  <c r="CC367" i="6" s="1"/>
  <c r="H367" i="22"/>
  <c r="G27" i="22"/>
  <c r="CC27" i="6" s="1"/>
  <c r="H244" i="22"/>
  <c r="G244" i="22"/>
  <c r="CC244" i="6" s="1"/>
  <c r="G86" i="22"/>
  <c r="CC86" i="6" s="1"/>
  <c r="H86" i="22"/>
  <c r="I149" i="20"/>
  <c r="B149" i="6" s="1"/>
  <c r="BA149" i="6" s="1"/>
  <c r="W4" i="6" s="1"/>
  <c r="J149" i="20"/>
  <c r="C149" i="6" s="1"/>
  <c r="I105" i="20"/>
  <c r="J105" i="20"/>
  <c r="C105" i="6" s="1"/>
  <c r="J227" i="20"/>
  <c r="C227" i="6" s="1"/>
  <c r="I227" i="20"/>
  <c r="B227" i="6" s="1"/>
  <c r="BA227" i="6" s="1"/>
  <c r="AC4" i="6" s="1"/>
  <c r="H204" i="22"/>
  <c r="Y381" i="17"/>
  <c r="AM6" i="17"/>
  <c r="AM12" i="17" s="1"/>
  <c r="AL5" i="17"/>
  <c r="AL11" i="17" s="1"/>
  <c r="X9" i="17"/>
  <c r="Y11" i="17" s="1"/>
  <c r="Y382" i="17"/>
  <c r="Y383" i="17"/>
  <c r="H187" i="22"/>
  <c r="G187" i="22"/>
  <c r="CC187" i="6" s="1"/>
  <c r="H158" i="22"/>
  <c r="G158" i="22"/>
  <c r="CC158" i="6" s="1"/>
  <c r="H131" i="22"/>
  <c r="G131" i="22"/>
  <c r="CC131" i="6" s="1"/>
  <c r="G129" i="22"/>
  <c r="CC129" i="6" s="1"/>
  <c r="H129" i="22"/>
  <c r="G136" i="22"/>
  <c r="CC136" i="6" s="1"/>
  <c r="H136" i="22"/>
  <c r="H117" i="22"/>
  <c r="G117" i="22"/>
  <c r="CC117" i="6" s="1"/>
  <c r="G64" i="22"/>
  <c r="CC64" i="6" s="1"/>
  <c r="H64" i="22"/>
  <c r="G324" i="22"/>
  <c r="CC324" i="6" s="1"/>
  <c r="H324" i="22"/>
  <c r="G280" i="22"/>
  <c r="CC280" i="6" s="1"/>
  <c r="I180" i="20"/>
  <c r="B180" i="6" s="1"/>
  <c r="BA180" i="6" s="1"/>
  <c r="Y4" i="6" s="1"/>
  <c r="J180" i="20"/>
  <c r="C180" i="6" s="1"/>
  <c r="H211" i="22"/>
  <c r="G211" i="22"/>
  <c r="CC211" i="6" s="1"/>
  <c r="H341" i="22"/>
  <c r="G341" i="22"/>
  <c r="CC341" i="6" s="1"/>
  <c r="G94" i="22"/>
  <c r="CC94" i="6" s="1"/>
  <c r="H94" i="22"/>
  <c r="H114" i="22"/>
  <c r="G114" i="22"/>
  <c r="CC114" i="6" s="1"/>
  <c r="G359" i="22"/>
  <c r="CC359" i="6" s="1"/>
  <c r="H359" i="22"/>
  <c r="G47" i="22"/>
  <c r="CC47" i="6" s="1"/>
  <c r="H245" i="22"/>
  <c r="G202" i="22"/>
  <c r="CC202" i="6" s="1"/>
  <c r="G148" i="22"/>
  <c r="CC148" i="6" s="1"/>
  <c r="H148" i="22"/>
  <c r="H325" i="22"/>
  <c r="G325" i="22"/>
  <c r="CC325" i="6" s="1"/>
  <c r="H128" i="22"/>
  <c r="H80" i="22"/>
  <c r="G80" i="22"/>
  <c r="CC80" i="6" s="1"/>
  <c r="H326" i="22"/>
  <c r="H299" i="22"/>
  <c r="G299" i="22"/>
  <c r="CC299" i="6" s="1"/>
  <c r="G154" i="22"/>
  <c r="CC154" i="6" s="1"/>
  <c r="H154" i="22"/>
  <c r="H51" i="22"/>
  <c r="G51" i="22"/>
  <c r="CC51" i="6" s="1"/>
  <c r="H368" i="22"/>
  <c r="G270" i="22"/>
  <c r="CC270" i="6" s="1"/>
  <c r="H270" i="22"/>
  <c r="H120" i="22"/>
  <c r="G120" i="22"/>
  <c r="CC120" i="6" s="1"/>
  <c r="G36" i="22"/>
  <c r="CC36" i="6" s="1"/>
  <c r="H36" i="22"/>
  <c r="G269" i="22"/>
  <c r="CC269" i="6" s="1"/>
  <c r="H370" i="22"/>
  <c r="G370" i="22"/>
  <c r="CC370" i="6" s="1"/>
  <c r="G220" i="22"/>
  <c r="CC220" i="6" s="1"/>
  <c r="H220" i="22"/>
  <c r="H70" i="22"/>
  <c r="G70" i="22"/>
  <c r="CC70" i="6" s="1"/>
  <c r="G87" i="22"/>
  <c r="CC87" i="6" s="1"/>
  <c r="H303" i="22"/>
  <c r="G303" i="22"/>
  <c r="CC303" i="6" s="1"/>
  <c r="H69" i="22"/>
  <c r="G69" i="22"/>
  <c r="CC69" i="6" s="1"/>
  <c r="H72" i="22"/>
  <c r="G72" i="22"/>
  <c r="CC72" i="6" s="1"/>
  <c r="G329" i="22"/>
  <c r="CC329" i="6" s="1"/>
  <c r="H329" i="22"/>
  <c r="G179" i="22"/>
  <c r="CC179" i="6" s="1"/>
  <c r="H179" i="22"/>
  <c r="G263" i="22"/>
  <c r="CC263" i="6" s="1"/>
  <c r="H263" i="22"/>
  <c r="G348" i="22"/>
  <c r="CC348" i="6" s="1"/>
  <c r="H348" i="22"/>
  <c r="H206" i="22"/>
  <c r="G206" i="22"/>
  <c r="CC206" i="6" s="1"/>
  <c r="H30" i="22"/>
  <c r="G30" i="22"/>
  <c r="CC30" i="6" s="1"/>
  <c r="G19" i="22"/>
  <c r="CC19" i="6" s="1"/>
  <c r="H19" i="22"/>
  <c r="H298" i="22"/>
  <c r="G298" i="22"/>
  <c r="CC298" i="6" s="1"/>
  <c r="H106" i="22"/>
  <c r="G106" i="22"/>
  <c r="CC106" i="6" s="1"/>
  <c r="G45" i="22"/>
  <c r="CC45" i="6" s="1"/>
  <c r="H45" i="22"/>
  <c r="H137" i="22"/>
  <c r="G137" i="22"/>
  <c r="CC137" i="6" s="1"/>
  <c r="H194" i="22"/>
  <c r="G194" i="22"/>
  <c r="CC194" i="6" s="1"/>
  <c r="G167" i="22"/>
  <c r="CC167" i="6" s="1"/>
  <c r="H167" i="22"/>
  <c r="G317" i="22"/>
  <c r="CC317" i="6" s="1"/>
  <c r="H317" i="22"/>
  <c r="H354" i="22"/>
  <c r="G354" i="22"/>
  <c r="CC354" i="6" s="1"/>
  <c r="H155" i="22"/>
  <c r="G155" i="22"/>
  <c r="CC155" i="6" s="1"/>
  <c r="H168" i="22"/>
  <c r="G168" i="22"/>
  <c r="CC168" i="6" s="1"/>
  <c r="G340" i="22"/>
  <c r="CC340" i="6" s="1"/>
  <c r="H340" i="22"/>
  <c r="H133" i="22"/>
  <c r="G133" i="22"/>
  <c r="CC133" i="6" s="1"/>
  <c r="G275" i="22"/>
  <c r="CC275" i="6" s="1"/>
  <c r="H275" i="22"/>
  <c r="H58" i="22"/>
  <c r="G58" i="22"/>
  <c r="CC58" i="6" s="1"/>
  <c r="G294" i="22"/>
  <c r="CC294" i="6" s="1"/>
  <c r="H294" i="22"/>
  <c r="H358" i="22"/>
  <c r="G358" i="22"/>
  <c r="CC358" i="6" s="1"/>
  <c r="G23" i="22"/>
  <c r="CC23" i="6" s="1"/>
  <c r="H23" i="22"/>
  <c r="G134" i="22"/>
  <c r="CC134" i="6" s="1"/>
  <c r="H134" i="22"/>
  <c r="H216" i="22"/>
  <c r="G216" i="22"/>
  <c r="CC216" i="6" s="1"/>
  <c r="G346" i="22"/>
  <c r="CC346" i="6" s="1"/>
  <c r="H346" i="22"/>
  <c r="G234" i="22"/>
  <c r="CC234" i="6" s="1"/>
  <c r="H234" i="22"/>
  <c r="C67" i="19"/>
  <c r="G108" i="22"/>
  <c r="CC108" i="6" s="1"/>
  <c r="H108" i="22"/>
  <c r="J67" i="19"/>
  <c r="H92" i="22"/>
  <c r="G92" i="22"/>
  <c r="CC92" i="6" s="1"/>
  <c r="G238" i="22"/>
  <c r="CC238" i="6" s="1"/>
  <c r="H238" i="22"/>
  <c r="J319" i="20"/>
  <c r="C319" i="6" s="1"/>
  <c r="I319" i="20"/>
  <c r="J210" i="20"/>
  <c r="C210" i="6" s="1"/>
  <c r="I210" i="20"/>
  <c r="B210" i="6" s="1"/>
  <c r="BA210" i="6" s="1"/>
  <c r="AA4" i="6" s="1"/>
  <c r="J258" i="20"/>
  <c r="C258" i="6" s="1"/>
  <c r="I258" i="20"/>
  <c r="B258" i="6" s="1"/>
  <c r="BA258" i="6" s="1"/>
  <c r="J29" i="20"/>
  <c r="C29" i="6" s="1"/>
  <c r="I29" i="20"/>
  <c r="B29" i="6" s="1"/>
  <c r="BA29" i="6" s="1"/>
  <c r="O4" i="6" s="1"/>
  <c r="H83" i="22"/>
  <c r="D224" i="23"/>
  <c r="E224" i="23" s="1"/>
  <c r="F224" i="23" s="1"/>
  <c r="W224" i="23"/>
  <c r="W242" i="23"/>
  <c r="D242" i="23"/>
  <c r="E242" i="23" s="1"/>
  <c r="F242" i="23" s="1"/>
  <c r="D42" i="23"/>
  <c r="E42" i="23" s="1"/>
  <c r="F42" i="23" s="1"/>
  <c r="W42" i="23"/>
  <c r="V302" i="23"/>
  <c r="AH53" i="7"/>
  <c r="W84" i="23"/>
  <c r="D307" i="23"/>
  <c r="E307" i="23" s="1"/>
  <c r="F307" i="23" s="1"/>
  <c r="W307" i="23"/>
  <c r="W345" i="23"/>
  <c r="D345" i="23"/>
  <c r="E345" i="23" s="1"/>
  <c r="F345" i="23" s="1"/>
  <c r="W27" i="23"/>
  <c r="W199" i="23"/>
  <c r="D199" i="23"/>
  <c r="E199" i="23" s="1"/>
  <c r="F199" i="23" s="1"/>
  <c r="W132" i="23"/>
  <c r="D155" i="23"/>
  <c r="E155" i="23" s="1"/>
  <c r="F155" i="23" s="1"/>
  <c r="W155" i="23"/>
  <c r="D377" i="23"/>
  <c r="E377" i="23" s="1"/>
  <c r="F377" i="23" s="1"/>
  <c r="W377" i="23"/>
  <c r="W56" i="23"/>
  <c r="D56" i="23"/>
  <c r="E56" i="23" s="1"/>
  <c r="F56" i="23" s="1"/>
  <c r="W316" i="23"/>
  <c r="D316" i="23"/>
  <c r="E316" i="23" s="1"/>
  <c r="F316" i="23" s="1"/>
  <c r="W250" i="23"/>
  <c r="W153" i="23"/>
  <c r="D153" i="23"/>
  <c r="E153" i="23" s="1"/>
  <c r="F153" i="23" s="1"/>
  <c r="D290" i="23"/>
  <c r="E290" i="23" s="1"/>
  <c r="F290" i="23" s="1"/>
  <c r="W290" i="23"/>
  <c r="D291" i="23"/>
  <c r="E291" i="23" s="1"/>
  <c r="F291" i="23" s="1"/>
  <c r="W291" i="23"/>
  <c r="W82" i="23"/>
  <c r="D82" i="23"/>
  <c r="E82" i="23" s="1"/>
  <c r="F82" i="23" s="1"/>
  <c r="AE12" i="24"/>
  <c r="D298" i="23"/>
  <c r="E298" i="23" s="1"/>
  <c r="F298" i="23" s="1"/>
  <c r="W298" i="23"/>
  <c r="W159" i="23"/>
  <c r="D159" i="23"/>
  <c r="E159" i="23" s="1"/>
  <c r="F159" i="23" s="1"/>
  <c r="Q12" i="24"/>
  <c r="AT15" i="7"/>
  <c r="W294" i="23"/>
  <c r="D294" i="23"/>
  <c r="E294" i="23" s="1"/>
  <c r="F294" i="23" s="1"/>
  <c r="D16" i="23"/>
  <c r="E16" i="23" s="1"/>
  <c r="F16" i="23" s="1"/>
  <c r="W16" i="23"/>
  <c r="W247" i="23"/>
  <c r="D198" i="23"/>
  <c r="E198" i="23" s="1"/>
  <c r="F198" i="23" s="1"/>
  <c r="D167" i="23"/>
  <c r="E167" i="23" s="1"/>
  <c r="F167" i="23" s="1"/>
  <c r="W167" i="23"/>
  <c r="W342" i="23"/>
  <c r="D342" i="23"/>
  <c r="E342" i="23" s="1"/>
  <c r="F342" i="23" s="1"/>
  <c r="W334" i="23"/>
  <c r="D334" i="23"/>
  <c r="E334" i="23" s="1"/>
  <c r="F334" i="23" s="1"/>
  <c r="D182" i="23"/>
  <c r="E182" i="23" s="1"/>
  <c r="F182" i="23" s="1"/>
  <c r="W182" i="23"/>
  <c r="D277" i="23"/>
  <c r="E277" i="23" s="1"/>
  <c r="F277" i="23" s="1"/>
  <c r="W362" i="23"/>
  <c r="D362" i="23"/>
  <c r="E362" i="23" s="1"/>
  <c r="F362" i="23" s="1"/>
  <c r="W320" i="23"/>
  <c r="D320" i="23"/>
  <c r="E320" i="23" s="1"/>
  <c r="F320" i="23" s="1"/>
  <c r="D156" i="23"/>
  <c r="E156" i="23" s="1"/>
  <c r="F156" i="23" s="1"/>
  <c r="W156" i="23"/>
  <c r="W61" i="23"/>
  <c r="D61" i="23"/>
  <c r="E61" i="23" s="1"/>
  <c r="F61" i="23" s="1"/>
  <c r="D338" i="23"/>
  <c r="E338" i="23" s="1"/>
  <c r="F338" i="23" s="1"/>
  <c r="W338" i="23"/>
  <c r="D285" i="23"/>
  <c r="E285" i="23" s="1"/>
  <c r="F285" i="23" s="1"/>
  <c r="D243" i="23"/>
  <c r="E243" i="23" s="1"/>
  <c r="F243" i="23" s="1"/>
  <c r="W243" i="23"/>
  <c r="D40" i="23"/>
  <c r="E40" i="23" s="1"/>
  <c r="F40" i="23" s="1"/>
  <c r="W40" i="23"/>
  <c r="W293" i="23"/>
  <c r="W73" i="23"/>
  <c r="D232" i="23"/>
  <c r="E232" i="23" s="1"/>
  <c r="F232" i="23" s="1"/>
  <c r="W232" i="23"/>
  <c r="W378" i="23"/>
  <c r="D378" i="23"/>
  <c r="E378" i="23" s="1"/>
  <c r="F378" i="23" s="1"/>
  <c r="W173" i="23"/>
  <c r="D173" i="23"/>
  <c r="E173" i="23" s="1"/>
  <c r="F173" i="23" s="1"/>
  <c r="Q381" i="23"/>
  <c r="Q382" i="23"/>
  <c r="Q383" i="23"/>
  <c r="W188" i="23"/>
  <c r="D188" i="23"/>
  <c r="E188" i="23" s="1"/>
  <c r="F188" i="23" s="1"/>
  <c r="D170" i="23"/>
  <c r="E170" i="23" s="1"/>
  <c r="F170" i="23" s="1"/>
  <c r="W373" i="23"/>
  <c r="W117" i="23"/>
  <c r="D117" i="23"/>
  <c r="E117" i="23" s="1"/>
  <c r="F117" i="23" s="1"/>
  <c r="D187" i="23"/>
  <c r="E187" i="23" s="1"/>
  <c r="F187" i="23" s="1"/>
  <c r="W187" i="23"/>
  <c r="W114" i="23"/>
  <c r="D114" i="23"/>
  <c r="E114" i="23" s="1"/>
  <c r="F114" i="23" s="1"/>
  <c r="D97" i="23"/>
  <c r="E97" i="23" s="1"/>
  <c r="F97" i="23" s="1"/>
  <c r="W97" i="23"/>
  <c r="D273" i="23"/>
  <c r="E273" i="23" s="1"/>
  <c r="F273" i="23" s="1"/>
  <c r="W273" i="23"/>
  <c r="D216" i="23"/>
  <c r="E216" i="23" s="1"/>
  <c r="F216" i="23" s="1"/>
  <c r="W216" i="23"/>
  <c r="W197" i="23"/>
  <c r="D197" i="23"/>
  <c r="E197" i="23" s="1"/>
  <c r="F197" i="23" s="1"/>
  <c r="AH55" i="7"/>
  <c r="V363" i="23"/>
  <c r="W222" i="23"/>
  <c r="D222" i="23"/>
  <c r="E222" i="23" s="1"/>
  <c r="F222" i="23" s="1"/>
  <c r="D44" i="23"/>
  <c r="E44" i="23" s="1"/>
  <c r="F44" i="23" s="1"/>
  <c r="W44" i="23"/>
  <c r="W109" i="23"/>
  <c r="D109" i="23"/>
  <c r="E109" i="23" s="1"/>
  <c r="F109" i="23" s="1"/>
  <c r="D202" i="23"/>
  <c r="E202" i="23" s="1"/>
  <c r="F202" i="23" s="1"/>
  <c r="D33" i="23"/>
  <c r="E33" i="23" s="1"/>
  <c r="F33" i="23" s="1"/>
  <c r="W33" i="23"/>
  <c r="W133" i="23"/>
  <c r="D133" i="23"/>
  <c r="E133" i="23" s="1"/>
  <c r="F133" i="23" s="1"/>
  <c r="W51" i="23"/>
  <c r="D51" i="23"/>
  <c r="E51" i="23" s="1"/>
  <c r="F51" i="23" s="1"/>
  <c r="D357" i="23"/>
  <c r="E357" i="23" s="1"/>
  <c r="F357" i="23" s="1"/>
  <c r="W357" i="23"/>
  <c r="D49" i="23"/>
  <c r="E49" i="23" s="1"/>
  <c r="F49" i="23" s="1"/>
  <c r="W49" i="23"/>
  <c r="W184" i="23"/>
  <c r="D331" i="23"/>
  <c r="E331" i="23" s="1"/>
  <c r="F331" i="23" s="1"/>
  <c r="D328" i="23"/>
  <c r="E328" i="23" s="1"/>
  <c r="F328" i="23" s="1"/>
  <c r="W328" i="23"/>
  <c r="W45" i="23"/>
  <c r="D45" i="23"/>
  <c r="E45" i="23" s="1"/>
  <c r="F45" i="23" s="1"/>
  <c r="W244" i="23"/>
  <c r="D244" i="23"/>
  <c r="E244" i="23" s="1"/>
  <c r="F244" i="23" s="1"/>
  <c r="D176" i="23"/>
  <c r="E176" i="23" s="1"/>
  <c r="F176" i="23" s="1"/>
  <c r="W176" i="23"/>
  <c r="D123" i="23"/>
  <c r="E123" i="23" s="1"/>
  <c r="F123" i="23" s="1"/>
  <c r="W123" i="23"/>
  <c r="D165" i="23"/>
  <c r="E165" i="23" s="1"/>
  <c r="F165" i="23" s="1"/>
  <c r="W165" i="23"/>
  <c r="D130" i="23"/>
  <c r="E130" i="23" s="1"/>
  <c r="F130" i="23" s="1"/>
  <c r="D87" i="23"/>
  <c r="E87" i="23" s="1"/>
  <c r="F87" i="23" s="1"/>
  <c r="W87" i="23"/>
  <c r="W194" i="23"/>
  <c r="D194" i="23"/>
  <c r="E194" i="23" s="1"/>
  <c r="F194" i="23" s="1"/>
  <c r="W129" i="23"/>
  <c r="D129" i="23"/>
  <c r="E129" i="23" s="1"/>
  <c r="F129" i="23" s="1"/>
  <c r="W310" i="23"/>
  <c r="D310" i="23"/>
  <c r="E310" i="23" s="1"/>
  <c r="F310" i="23" s="1"/>
  <c r="W72" i="23"/>
  <c r="D72" i="23"/>
  <c r="E72" i="23" s="1"/>
  <c r="F72" i="23" s="1"/>
  <c r="W322" i="23"/>
  <c r="D322" i="23"/>
  <c r="E322" i="23" s="1"/>
  <c r="F322" i="23" s="1"/>
  <c r="AE381" i="23"/>
  <c r="AE382" i="23"/>
  <c r="AE383" i="23"/>
  <c r="D125" i="23"/>
  <c r="E125" i="23" s="1"/>
  <c r="F125" i="23" s="1"/>
  <c r="D236" i="23"/>
  <c r="E236" i="23" s="1"/>
  <c r="F236" i="23" s="1"/>
  <c r="W236" i="23"/>
  <c r="W260" i="23"/>
  <c r="D260" i="23"/>
  <c r="E260" i="23" s="1"/>
  <c r="F260" i="23" s="1"/>
  <c r="W370" i="23"/>
  <c r="D370" i="23"/>
  <c r="E370" i="23" s="1"/>
  <c r="F370" i="23" s="1"/>
  <c r="D365" i="23"/>
  <c r="E365" i="23" s="1"/>
  <c r="F365" i="23" s="1"/>
  <c r="W365" i="23"/>
  <c r="D312" i="23"/>
  <c r="E312" i="23" s="1"/>
  <c r="F312" i="23" s="1"/>
  <c r="W312" i="23"/>
  <c r="W37" i="23"/>
  <c r="D37" i="23"/>
  <c r="E37" i="23" s="1"/>
  <c r="F37" i="23" s="1"/>
  <c r="D213" i="23"/>
  <c r="E213" i="23" s="1"/>
  <c r="F213" i="23" s="1"/>
  <c r="W213" i="23"/>
  <c r="D144" i="23"/>
  <c r="E144" i="23" s="1"/>
  <c r="F144" i="23" s="1"/>
  <c r="W144" i="23"/>
  <c r="D351" i="23"/>
  <c r="E351" i="23" s="1"/>
  <c r="F351" i="23" s="1"/>
  <c r="W351" i="23"/>
  <c r="W189" i="23"/>
  <c r="D189" i="23"/>
  <c r="E189" i="23" s="1"/>
  <c r="F189" i="23" s="1"/>
  <c r="W347" i="23"/>
  <c r="W353" i="23"/>
  <c r="D353" i="23"/>
  <c r="E353" i="23" s="1"/>
  <c r="F353" i="23" s="1"/>
  <c r="D364" i="23"/>
  <c r="E364" i="23" s="1"/>
  <c r="F364" i="23" s="1"/>
  <c r="W364" i="23"/>
  <c r="V88" i="23"/>
  <c r="AH46" i="7"/>
  <c r="W368" i="23"/>
  <c r="W313" i="23"/>
  <c r="D313" i="23"/>
  <c r="E313" i="23" s="1"/>
  <c r="F313" i="23" s="1"/>
  <c r="D57" i="23"/>
  <c r="E57" i="23" s="1"/>
  <c r="F57" i="23" s="1"/>
  <c r="W57" i="23"/>
  <c r="D268" i="23"/>
  <c r="E268" i="23" s="1"/>
  <c r="F268" i="23" s="1"/>
  <c r="W268" i="23"/>
  <c r="W157" i="23"/>
  <c r="D157" i="23"/>
  <c r="E157" i="23" s="1"/>
  <c r="F157" i="23" s="1"/>
  <c r="D115" i="23"/>
  <c r="E115" i="23" s="1"/>
  <c r="F115" i="23" s="1"/>
  <c r="W115" i="23"/>
  <c r="W286" i="23"/>
  <c r="D286" i="23"/>
  <c r="E286" i="23" s="1"/>
  <c r="F286" i="23" s="1"/>
  <c r="D55" i="23"/>
  <c r="E55" i="23" s="1"/>
  <c r="F55" i="23" s="1"/>
  <c r="W55" i="23"/>
  <c r="D54" i="23"/>
  <c r="E54" i="23" s="1"/>
  <c r="F54" i="23" s="1"/>
  <c r="W54" i="23"/>
  <c r="W283" i="23"/>
  <c r="D300" i="23"/>
  <c r="E300" i="23" s="1"/>
  <c r="F300" i="23" s="1"/>
  <c r="W300" i="23"/>
  <c r="W207" i="23"/>
  <c r="D207" i="23"/>
  <c r="E207" i="23" s="1"/>
  <c r="F207" i="23" s="1"/>
  <c r="W274" i="23"/>
  <c r="D274" i="23"/>
  <c r="E274" i="23" s="1"/>
  <c r="F274" i="23" s="1"/>
  <c r="D190" i="23"/>
  <c r="E190" i="23" s="1"/>
  <c r="F190" i="23" s="1"/>
  <c r="W190" i="23"/>
  <c r="W28" i="23"/>
  <c r="D28" i="23"/>
  <c r="E28" i="23" s="1"/>
  <c r="F28" i="23" s="1"/>
  <c r="W279" i="23"/>
  <c r="D279" i="23"/>
  <c r="E279" i="23" s="1"/>
  <c r="F279" i="23" s="1"/>
  <c r="W292" i="23"/>
  <c r="W245" i="23"/>
  <c r="D245" i="23"/>
  <c r="E245" i="23" s="1"/>
  <c r="F245" i="23" s="1"/>
  <c r="D108" i="23"/>
  <c r="E108" i="23" s="1"/>
  <c r="F108" i="23" s="1"/>
  <c r="W108" i="23"/>
  <c r="D111" i="23"/>
  <c r="E111" i="23" s="1"/>
  <c r="F111" i="23" s="1"/>
  <c r="W111" i="23"/>
  <c r="W102" i="23"/>
  <c r="D102" i="23"/>
  <c r="E102" i="23" s="1"/>
  <c r="F102" i="23" s="1"/>
  <c r="D59" i="23"/>
  <c r="E59" i="23" s="1"/>
  <c r="F59" i="23" s="1"/>
  <c r="W59" i="23"/>
  <c r="W107" i="23"/>
  <c r="D107" i="23"/>
  <c r="E107" i="23" s="1"/>
  <c r="F107" i="23" s="1"/>
  <c r="W329" i="23"/>
  <c r="D329" i="23"/>
  <c r="E329" i="23" s="1"/>
  <c r="F329" i="23" s="1"/>
  <c r="W70" i="23"/>
  <c r="D70" i="23"/>
  <c r="E70" i="23" s="1"/>
  <c r="F70" i="23" s="1"/>
  <c r="D240" i="23"/>
  <c r="E240" i="23" s="1"/>
  <c r="F240" i="23" s="1"/>
  <c r="W240" i="23"/>
  <c r="D53" i="23"/>
  <c r="E53" i="23" s="1"/>
  <c r="F53" i="23" s="1"/>
  <c r="W53" i="23"/>
  <c r="W256" i="23"/>
  <c r="D256" i="23"/>
  <c r="E256" i="23" s="1"/>
  <c r="F256" i="23" s="1"/>
  <c r="W366" i="23"/>
  <c r="D366" i="23"/>
  <c r="E366" i="23" s="1"/>
  <c r="F366" i="23" s="1"/>
  <c r="D124" i="23"/>
  <c r="E124" i="23" s="1"/>
  <c r="F124" i="23" s="1"/>
  <c r="W124" i="23"/>
  <c r="W178" i="23"/>
  <c r="D178" i="23"/>
  <c r="E178" i="23" s="1"/>
  <c r="F178" i="23" s="1"/>
  <c r="AH47" i="7"/>
  <c r="V119" i="23"/>
  <c r="D341" i="23"/>
  <c r="E341" i="23" s="1"/>
  <c r="F341" i="23" s="1"/>
  <c r="W341" i="23"/>
  <c r="D17" i="23"/>
  <c r="E17" i="23" s="1"/>
  <c r="F17" i="23" s="1"/>
  <c r="W205" i="23"/>
  <c r="V180" i="23"/>
  <c r="AH49" i="7"/>
  <c r="D271" i="23"/>
  <c r="E271" i="23" s="1"/>
  <c r="F271" i="23" s="1"/>
  <c r="W271" i="23"/>
  <c r="W63" i="23"/>
  <c r="D63" i="23"/>
  <c r="E63" i="23" s="1"/>
  <c r="F63" i="23" s="1"/>
  <c r="D20" i="23"/>
  <c r="E20" i="23" s="1"/>
  <c r="F20" i="23" s="1"/>
  <c r="W20" i="23"/>
  <c r="D217" i="23"/>
  <c r="E217" i="23" s="1"/>
  <c r="F217" i="23" s="1"/>
  <c r="W306" i="23"/>
  <c r="D306" i="23"/>
  <c r="E306" i="23" s="1"/>
  <c r="F306" i="23" s="1"/>
  <c r="W80" i="23"/>
  <c r="D80" i="23"/>
  <c r="E80" i="23" s="1"/>
  <c r="F80" i="23" s="1"/>
  <c r="D237" i="23"/>
  <c r="E237" i="23" s="1"/>
  <c r="F237" i="23" s="1"/>
  <c r="W237" i="23"/>
  <c r="W354" i="23"/>
  <c r="D354" i="23"/>
  <c r="E354" i="23" s="1"/>
  <c r="F354" i="23" s="1"/>
  <c r="W62" i="23"/>
  <c r="D62" i="23"/>
  <c r="E62" i="23" s="1"/>
  <c r="F62" i="23" s="1"/>
  <c r="AA154" i="22" l="1"/>
  <c r="Z154" i="22" s="1"/>
  <c r="Y154" i="22" s="1"/>
  <c r="J100" i="20"/>
  <c r="C100" i="6" s="1"/>
  <c r="I100" i="20"/>
  <c r="I184" i="20"/>
  <c r="B184" i="6" s="1"/>
  <c r="BA184" i="6" s="1"/>
  <c r="J184" i="20"/>
  <c r="C184" i="6" s="1"/>
  <c r="Z4" i="6"/>
  <c r="AD4" i="6"/>
  <c r="H288" i="22"/>
  <c r="I288" i="22" s="1"/>
  <c r="H288" i="23" s="1"/>
  <c r="B288" i="6"/>
  <c r="BA288" i="6" s="1"/>
  <c r="AG4" i="6" s="1"/>
  <c r="H166" i="22"/>
  <c r="I166" i="22" s="1"/>
  <c r="B166" i="6"/>
  <c r="BA166" i="6" s="1"/>
  <c r="X4" i="6" s="1"/>
  <c r="H46" i="22"/>
  <c r="J46" i="22" s="1"/>
  <c r="B46" i="6"/>
  <c r="BA46" i="6" s="1"/>
  <c r="H266" i="22"/>
  <c r="I266" i="22" s="1"/>
  <c r="B266" i="6"/>
  <c r="BA266" i="6" s="1"/>
  <c r="AE4" i="6" s="1"/>
  <c r="H319" i="22"/>
  <c r="I319" i="22" s="1"/>
  <c r="H319" i="23" s="1"/>
  <c r="I319" i="23" s="1"/>
  <c r="B319" i="6"/>
  <c r="BA319" i="6" s="1"/>
  <c r="AI4" i="6" s="1"/>
  <c r="H105" i="22"/>
  <c r="J105" i="22" s="1"/>
  <c r="B105" i="6"/>
  <c r="BA105" i="6" s="1"/>
  <c r="H95" i="22"/>
  <c r="J95" i="22" s="1"/>
  <c r="B95" i="6"/>
  <c r="BA95" i="6" s="1"/>
  <c r="H138" i="22"/>
  <c r="I138" i="22" s="1"/>
  <c r="H138" i="23" s="1"/>
  <c r="B138" i="6"/>
  <c r="BA138" i="6" s="1"/>
  <c r="V4" i="6" s="1"/>
  <c r="H27" i="22"/>
  <c r="J27" i="22" s="1"/>
  <c r="B27" i="6"/>
  <c r="BA27" i="6" s="1"/>
  <c r="H59" i="22"/>
  <c r="J59" i="22" s="1"/>
  <c r="B59" i="6"/>
  <c r="BA59" i="6" s="1"/>
  <c r="H74" i="22"/>
  <c r="I74" i="22" s="1"/>
  <c r="B74" i="6"/>
  <c r="BA74" i="6" s="1"/>
  <c r="R4" i="6" s="1"/>
  <c r="H87" i="22"/>
  <c r="I87" i="22" s="1"/>
  <c r="H87" i="23" s="1"/>
  <c r="B87" i="6"/>
  <c r="BA87" i="6" s="1"/>
  <c r="S4" i="6" s="1"/>
  <c r="H269" i="22"/>
  <c r="J269" i="22" s="1"/>
  <c r="B269" i="6"/>
  <c r="BA269" i="6" s="1"/>
  <c r="AF4" i="6" s="1"/>
  <c r="H62" i="22"/>
  <c r="J62" i="22" s="1"/>
  <c r="B62" i="6"/>
  <c r="BA62" i="6" s="1"/>
  <c r="H53" i="22"/>
  <c r="I53" i="22" s="1"/>
  <c r="H53" i="23" s="1"/>
  <c r="B53" i="6"/>
  <c r="BA53" i="6" s="1"/>
  <c r="G296" i="22"/>
  <c r="CC296" i="6" s="1"/>
  <c r="H163" i="22"/>
  <c r="J163" i="22" s="1"/>
  <c r="H196" i="22"/>
  <c r="J196" i="22" s="1"/>
  <c r="H350" i="22"/>
  <c r="I350" i="22" s="1"/>
  <c r="H122" i="22"/>
  <c r="I122" i="22" s="1"/>
  <c r="H161" i="22"/>
  <c r="I161" i="22" s="1"/>
  <c r="H161" i="23" s="1"/>
  <c r="H331" i="22"/>
  <c r="I331" i="22" s="1"/>
  <c r="H331" i="23" s="1"/>
  <c r="G96" i="22"/>
  <c r="CC96" i="6" s="1"/>
  <c r="AA261" i="22"/>
  <c r="Z261" i="22" s="1"/>
  <c r="Y261" i="22" s="1"/>
  <c r="AA54" i="22"/>
  <c r="Z54" i="22" s="1"/>
  <c r="Y54" i="22" s="1"/>
  <c r="AA350" i="22"/>
  <c r="Z350" i="22" s="1"/>
  <c r="Y350" i="22" s="1"/>
  <c r="AA184" i="22"/>
  <c r="Z184" i="22" s="1"/>
  <c r="Y184" i="22" s="1"/>
  <c r="AA22" i="22"/>
  <c r="Z22" i="22" s="1"/>
  <c r="Y22" i="22" s="1"/>
  <c r="AA204" i="22"/>
  <c r="Z204" i="22" s="1"/>
  <c r="Y204" i="22" s="1"/>
  <c r="D227" i="23"/>
  <c r="E227" i="23" s="1"/>
  <c r="F227" i="23" s="1"/>
  <c r="G227" i="23" s="1"/>
  <c r="CD227" i="6" s="1"/>
  <c r="H227" i="22"/>
  <c r="I227" i="22" s="1"/>
  <c r="H225" i="22"/>
  <c r="I225" i="22" s="1"/>
  <c r="AA336" i="22"/>
  <c r="Z336" i="22" s="1"/>
  <c r="Y336" i="22" s="1"/>
  <c r="AA280" i="22"/>
  <c r="Z280" i="22" s="1"/>
  <c r="Y280" i="22" s="1"/>
  <c r="AA335" i="22"/>
  <c r="Z335" i="22" s="1"/>
  <c r="Y335" i="22" s="1"/>
  <c r="AA161" i="22"/>
  <c r="Z161" i="22" s="1"/>
  <c r="Y161" i="22" s="1"/>
  <c r="AA227" i="22"/>
  <c r="Z227" i="22" s="1"/>
  <c r="Y227" i="22" s="1"/>
  <c r="AA96" i="22"/>
  <c r="Z96" i="22" s="1"/>
  <c r="Y96" i="22" s="1"/>
  <c r="AA326" i="22"/>
  <c r="Z326" i="22" s="1"/>
  <c r="Y326" i="22" s="1"/>
  <c r="AA128" i="22"/>
  <c r="Z128" i="22" s="1"/>
  <c r="Y128" i="22" s="1"/>
  <c r="AA245" i="22"/>
  <c r="Z245" i="22" s="1"/>
  <c r="Y245" i="22" s="1"/>
  <c r="AA221" i="22"/>
  <c r="Z221" i="22" s="1"/>
  <c r="Y221" i="22" s="1"/>
  <c r="AA296" i="22"/>
  <c r="Z296" i="22" s="1"/>
  <c r="Y296" i="22" s="1"/>
  <c r="AA163" i="22"/>
  <c r="Z163" i="22" s="1"/>
  <c r="Y163" i="22" s="1"/>
  <c r="AA231" i="22"/>
  <c r="Z231" i="22" s="1"/>
  <c r="Y231" i="22" s="1"/>
  <c r="AA135" i="22"/>
  <c r="Z135" i="22" s="1"/>
  <c r="Y135" i="22" s="1"/>
  <c r="AA122" i="22"/>
  <c r="Z122" i="22" s="1"/>
  <c r="Y122" i="22" s="1"/>
  <c r="G37" i="22"/>
  <c r="CC37" i="6" s="1"/>
  <c r="G203" i="22"/>
  <c r="CC203" i="6" s="1"/>
  <c r="G77" i="22"/>
  <c r="CC77" i="6" s="1"/>
  <c r="G198" i="22"/>
  <c r="CC198" i="6" s="1"/>
  <c r="AA198" i="22"/>
  <c r="Z198" i="22" s="1"/>
  <c r="Y198" i="22" s="1"/>
  <c r="AA181" i="22"/>
  <c r="Z181" i="22" s="1"/>
  <c r="Y181" i="22" s="1"/>
  <c r="AA18" i="22"/>
  <c r="Z18" i="22" s="1"/>
  <c r="Y18" i="22" s="1"/>
  <c r="AA37" i="22"/>
  <c r="Z37" i="22" s="1"/>
  <c r="Y37" i="22" s="1"/>
  <c r="AA177" i="22"/>
  <c r="Z177" i="22" s="1"/>
  <c r="Y177" i="22" s="1"/>
  <c r="AA191" i="22"/>
  <c r="Z191" i="22" s="1"/>
  <c r="Y191" i="22" s="1"/>
  <c r="AA203" i="22"/>
  <c r="Z203" i="22" s="1"/>
  <c r="Y203" i="22" s="1"/>
  <c r="AA77" i="22"/>
  <c r="Z77" i="22" s="1"/>
  <c r="Y77" i="22" s="1"/>
  <c r="AA141" i="22"/>
  <c r="Z141" i="22" s="1"/>
  <c r="Y141" i="22" s="1"/>
  <c r="AA145" i="22"/>
  <c r="Z145" i="22" s="1"/>
  <c r="Y145" i="22" s="1"/>
  <c r="W96" i="23"/>
  <c r="W246" i="23"/>
  <c r="D350" i="23"/>
  <c r="E350" i="23" s="1"/>
  <c r="F350" i="23" s="1"/>
  <c r="G350" i="23" s="1"/>
  <c r="CD350" i="6" s="1"/>
  <c r="V272" i="23"/>
  <c r="W203" i="23"/>
  <c r="H349" i="22"/>
  <c r="J349" i="22" s="1"/>
  <c r="AA66" i="22"/>
  <c r="Z66" i="22" s="1"/>
  <c r="Y66" i="22" s="1"/>
  <c r="AA349" i="22"/>
  <c r="Z349" i="22" s="1"/>
  <c r="Y349" i="22" s="1"/>
  <c r="AA32" i="22"/>
  <c r="Z32" i="22" s="1"/>
  <c r="Y32" i="22" s="1"/>
  <c r="D191" i="23"/>
  <c r="E191" i="23" s="1"/>
  <c r="F191" i="23" s="1"/>
  <c r="G191" i="23" s="1"/>
  <c r="CD191" i="6" s="1"/>
  <c r="D266" i="23"/>
  <c r="E266" i="23" s="1"/>
  <c r="F266" i="23" s="1"/>
  <c r="G266" i="23" s="1"/>
  <c r="CD266" i="6" s="1"/>
  <c r="G191" i="22"/>
  <c r="CC191" i="6" s="1"/>
  <c r="AA139" i="22"/>
  <c r="Z139" i="22" s="1"/>
  <c r="Y139" i="22" s="1"/>
  <c r="H135" i="22"/>
  <c r="I135" i="22" s="1"/>
  <c r="AA196" i="22"/>
  <c r="Z196" i="22" s="1"/>
  <c r="Y196" i="22" s="1"/>
  <c r="AA331" i="22"/>
  <c r="Z331" i="22" s="1"/>
  <c r="Y331" i="22" s="1"/>
  <c r="AA47" i="22"/>
  <c r="Z47" i="22" s="1"/>
  <c r="Y47" i="22" s="1"/>
  <c r="AA202" i="22"/>
  <c r="Z202" i="22" s="1"/>
  <c r="Y202" i="22" s="1"/>
  <c r="AA225" i="22"/>
  <c r="Z225" i="22" s="1"/>
  <c r="Y225" i="22" s="1"/>
  <c r="AA368" i="22"/>
  <c r="Z368" i="22" s="1"/>
  <c r="Y368" i="22" s="1"/>
  <c r="AA83" i="22"/>
  <c r="Z83" i="22" s="1"/>
  <c r="Y83" i="22" s="1"/>
  <c r="W318" i="23"/>
  <c r="W296" i="23"/>
  <c r="D304" i="23"/>
  <c r="E304" i="23" s="1"/>
  <c r="F304" i="23" s="1"/>
  <c r="G304" i="23" s="1"/>
  <c r="CD304" i="6" s="1"/>
  <c r="W141" i="23"/>
  <c r="G145" i="22"/>
  <c r="CC145" i="6" s="1"/>
  <c r="H373" i="22"/>
  <c r="I373" i="22" s="1"/>
  <c r="H373" i="23" s="1"/>
  <c r="H181" i="22"/>
  <c r="I181" i="22" s="1"/>
  <c r="H181" i="23" s="1"/>
  <c r="H151" i="22"/>
  <c r="J151" i="22" s="1"/>
  <c r="G141" i="22"/>
  <c r="CC141" i="6" s="1"/>
  <c r="D371" i="23"/>
  <c r="E371" i="23" s="1"/>
  <c r="F371" i="23" s="1"/>
  <c r="G371" i="23" s="1"/>
  <c r="CD371" i="6" s="1"/>
  <c r="D32" i="23"/>
  <c r="E32" i="23" s="1"/>
  <c r="F32" i="23" s="1"/>
  <c r="G32" i="23" s="1"/>
  <c r="CD32" i="6" s="1"/>
  <c r="D327" i="23"/>
  <c r="E327" i="23" s="1"/>
  <c r="F327" i="23" s="1"/>
  <c r="D65" i="23"/>
  <c r="E65" i="23" s="1"/>
  <c r="F65" i="23" s="1"/>
  <c r="D140" i="23"/>
  <c r="E140" i="23" s="1"/>
  <c r="F140" i="23" s="1"/>
  <c r="G140" i="23" s="1"/>
  <c r="CD140" i="6" s="1"/>
  <c r="G18" i="22"/>
  <c r="CC18" i="6" s="1"/>
  <c r="H125" i="22"/>
  <c r="J125" i="22" s="1"/>
  <c r="H360" i="22"/>
  <c r="I360" i="22" s="1"/>
  <c r="G34" i="22"/>
  <c r="CC34" i="6" s="1"/>
  <c r="G68" i="22"/>
  <c r="CC68" i="6" s="1"/>
  <c r="AA151" i="22"/>
  <c r="Z151" i="22" s="1"/>
  <c r="Y151" i="22" s="1"/>
  <c r="D118" i="23"/>
  <c r="E118" i="23" s="1"/>
  <c r="F118" i="23" s="1"/>
  <c r="G209" i="22"/>
  <c r="CC209" i="6" s="1"/>
  <c r="W196" i="23"/>
  <c r="AA68" i="22"/>
  <c r="Z68" i="22" s="1"/>
  <c r="Y68" i="22" s="1"/>
  <c r="AA125" i="22"/>
  <c r="Z125" i="22" s="1"/>
  <c r="Y125" i="22" s="1"/>
  <c r="AA34" i="22"/>
  <c r="Z34" i="22" s="1"/>
  <c r="Y34" i="22" s="1"/>
  <c r="AA373" i="22"/>
  <c r="Z373" i="22" s="1"/>
  <c r="Y373" i="22" s="1"/>
  <c r="AA360" i="22"/>
  <c r="Z360" i="22" s="1"/>
  <c r="Y360" i="22" s="1"/>
  <c r="H193" i="22"/>
  <c r="I193" i="22" s="1"/>
  <c r="J35" i="22"/>
  <c r="W30" i="23"/>
  <c r="W219" i="23"/>
  <c r="D142" i="23"/>
  <c r="E142" i="23" s="1"/>
  <c r="F142" i="23" s="1"/>
  <c r="W252" i="23"/>
  <c r="D248" i="23"/>
  <c r="E248" i="23" s="1"/>
  <c r="F248" i="23" s="1"/>
  <c r="G248" i="23" s="1"/>
  <c r="CD248" i="6" s="1"/>
  <c r="H90" i="22"/>
  <c r="J90" i="22" s="1"/>
  <c r="G311" i="22"/>
  <c r="CC311" i="6" s="1"/>
  <c r="I344" i="22"/>
  <c r="W113" i="23"/>
  <c r="D18" i="23"/>
  <c r="E18" i="23" s="1"/>
  <c r="F18" i="23" s="1"/>
  <c r="G18" i="23" s="1"/>
  <c r="CD18" i="6" s="1"/>
  <c r="G336" i="22"/>
  <c r="CC336" i="6" s="1"/>
  <c r="G248" i="22"/>
  <c r="CC248" i="6" s="1"/>
  <c r="AA285" i="22"/>
  <c r="Z285" i="22" s="1"/>
  <c r="Y285" i="22" s="1"/>
  <c r="D251" i="23"/>
  <c r="E251" i="23" s="1"/>
  <c r="F251" i="23" s="1"/>
  <c r="G251" i="23" s="1"/>
  <c r="CD251" i="6" s="1"/>
  <c r="W233" i="23"/>
  <c r="D177" i="23"/>
  <c r="E177" i="23" s="1"/>
  <c r="F177" i="23" s="1"/>
  <c r="W34" i="23"/>
  <c r="H252" i="22"/>
  <c r="J252" i="22" s="1"/>
  <c r="AA90" i="22"/>
  <c r="Z90" i="22" s="1"/>
  <c r="Y90" i="22" s="1"/>
  <c r="AA252" i="22"/>
  <c r="Z252" i="22" s="1"/>
  <c r="Y252" i="22" s="1"/>
  <c r="AA209" i="22"/>
  <c r="Z209" i="22" s="1"/>
  <c r="Y209" i="22" s="1"/>
  <c r="AA193" i="22"/>
  <c r="Z193" i="22" s="1"/>
  <c r="Y193" i="22" s="1"/>
  <c r="D171" i="23"/>
  <c r="E171" i="23" s="1"/>
  <c r="F171" i="23" s="1"/>
  <c r="G171" i="23" s="1"/>
  <c r="CD171" i="6" s="1"/>
  <c r="W336" i="23"/>
  <c r="W359" i="23"/>
  <c r="D85" i="23"/>
  <c r="E85" i="23" s="1"/>
  <c r="F85" i="23" s="1"/>
  <c r="G85" i="23" s="1"/>
  <c r="CD85" i="6" s="1"/>
  <c r="D52" i="23"/>
  <c r="E52" i="23" s="1"/>
  <c r="F52" i="23" s="1"/>
  <c r="G52" i="23" s="1"/>
  <c r="CD52" i="6" s="1"/>
  <c r="W226" i="23"/>
  <c r="D146" i="23"/>
  <c r="E146" i="23" s="1"/>
  <c r="F146" i="23" s="1"/>
  <c r="G146" i="23" s="1"/>
  <c r="CD146" i="6" s="1"/>
  <c r="D98" i="23"/>
  <c r="E98" i="23" s="1"/>
  <c r="F98" i="23" s="1"/>
  <c r="G98" i="23" s="1"/>
  <c r="CD98" i="6" s="1"/>
  <c r="D339" i="23"/>
  <c r="E339" i="23" s="1"/>
  <c r="F339" i="23" s="1"/>
  <c r="G339" i="23" s="1"/>
  <c r="CD339" i="6" s="1"/>
  <c r="W41" i="23"/>
  <c r="D255" i="23"/>
  <c r="E255" i="23" s="1"/>
  <c r="F255" i="23" s="1"/>
  <c r="G255" i="23" s="1"/>
  <c r="CD255" i="6" s="1"/>
  <c r="W325" i="23"/>
  <c r="H177" i="22"/>
  <c r="I177" i="22" s="1"/>
  <c r="D131" i="23"/>
  <c r="E131" i="23" s="1"/>
  <c r="F131" i="23" s="1"/>
  <c r="G131" i="23" s="1"/>
  <c r="CD131" i="6" s="1"/>
  <c r="W134" i="23"/>
  <c r="D31" i="23"/>
  <c r="E31" i="23" s="1"/>
  <c r="F31" i="23" s="1"/>
  <c r="G31" i="23" s="1"/>
  <c r="CD31" i="6" s="1"/>
  <c r="D148" i="23"/>
  <c r="E148" i="23" s="1"/>
  <c r="F148" i="23" s="1"/>
  <c r="W19" i="23"/>
  <c r="W238" i="23"/>
  <c r="W281" i="23"/>
  <c r="W25" i="23"/>
  <c r="W36" i="23"/>
  <c r="W335" i="23"/>
  <c r="W150" i="23"/>
  <c r="D262" i="23"/>
  <c r="E262" i="23" s="1"/>
  <c r="F262" i="23" s="1"/>
  <c r="G262" i="23" s="1"/>
  <c r="CD262" i="6" s="1"/>
  <c r="D259" i="23"/>
  <c r="E259" i="23" s="1"/>
  <c r="F259" i="23" s="1"/>
  <c r="G259" i="23" s="1"/>
  <c r="CD259" i="6" s="1"/>
  <c r="D48" i="23"/>
  <c r="E48" i="23" s="1"/>
  <c r="F48" i="23" s="1"/>
  <c r="G48" i="23" s="1"/>
  <c r="CD48" i="6" s="1"/>
  <c r="AA311" i="22"/>
  <c r="Z311" i="22" s="1"/>
  <c r="Y311" i="22" s="1"/>
  <c r="AA248" i="22"/>
  <c r="Z248" i="22" s="1"/>
  <c r="Y248" i="22" s="1"/>
  <c r="J222" i="22"/>
  <c r="D128" i="23"/>
  <c r="E128" i="23" s="1"/>
  <c r="F128" i="23" s="1"/>
  <c r="G128" i="23" s="1"/>
  <c r="CD128" i="6" s="1"/>
  <c r="J221" i="22"/>
  <c r="W26" i="23"/>
  <c r="G110" i="22"/>
  <c r="CC110" i="6" s="1"/>
  <c r="G323" i="22"/>
  <c r="CC323" i="6" s="1"/>
  <c r="J230" i="22"/>
  <c r="J143" i="22"/>
  <c r="I323" i="22"/>
  <c r="H323" i="23" s="1"/>
  <c r="J323" i="22"/>
  <c r="AA110" i="22"/>
  <c r="Z110" i="22" s="1"/>
  <c r="Y110" i="22" s="1"/>
  <c r="AA323" i="22"/>
  <c r="Z323" i="22" s="1"/>
  <c r="Y323" i="22" s="1"/>
  <c r="D346" i="23"/>
  <c r="E346" i="23" s="1"/>
  <c r="F346" i="23" s="1"/>
  <c r="G346" i="23" s="1"/>
  <c r="CD346" i="6" s="1"/>
  <c r="D121" i="23"/>
  <c r="E121" i="23" s="1"/>
  <c r="F121" i="23" s="1"/>
  <c r="G121" i="23" s="1"/>
  <c r="CD121" i="6" s="1"/>
  <c r="D314" i="23"/>
  <c r="E314" i="23" s="1"/>
  <c r="F314" i="23" s="1"/>
  <c r="G314" i="23" s="1"/>
  <c r="CD314" i="6" s="1"/>
  <c r="W305" i="23"/>
  <c r="D231" i="23"/>
  <c r="E231" i="23" s="1"/>
  <c r="F231" i="23" s="1"/>
  <c r="G231" i="23" s="1"/>
  <c r="CD231" i="6" s="1"/>
  <c r="W376" i="23"/>
  <c r="W79" i="23"/>
  <c r="W138" i="23"/>
  <c r="D352" i="23"/>
  <c r="E352" i="23" s="1"/>
  <c r="F352" i="23" s="1"/>
  <c r="G352" i="23" s="1"/>
  <c r="CD352" i="6" s="1"/>
  <c r="D208" i="23"/>
  <c r="E208" i="23" s="1"/>
  <c r="F208" i="23" s="1"/>
  <c r="G208" i="23" s="1"/>
  <c r="CD208" i="6" s="1"/>
  <c r="D101" i="23"/>
  <c r="E101" i="23" s="1"/>
  <c r="F101" i="23" s="1"/>
  <c r="G101" i="23" s="1"/>
  <c r="CD101" i="6" s="1"/>
  <c r="W91" i="23"/>
  <c r="D136" i="23"/>
  <c r="E136" i="23" s="1"/>
  <c r="F136" i="23" s="1"/>
  <c r="G136" i="23" s="1"/>
  <c r="CD136" i="6" s="1"/>
  <c r="D145" i="23"/>
  <c r="E145" i="23" s="1"/>
  <c r="F145" i="23" s="1"/>
  <c r="G145" i="23" s="1"/>
  <c r="CD145" i="6" s="1"/>
  <c r="D309" i="23"/>
  <c r="E309" i="23" s="1"/>
  <c r="F309" i="23" s="1"/>
  <c r="G309" i="23" s="1"/>
  <c r="CD309" i="6" s="1"/>
  <c r="AH51" i="7"/>
  <c r="W154" i="23"/>
  <c r="D297" i="23"/>
  <c r="E297" i="23" s="1"/>
  <c r="F297" i="23" s="1"/>
  <c r="G297" i="23" s="1"/>
  <c r="CD297" i="6" s="1"/>
  <c r="W69" i="23"/>
  <c r="W100" i="23"/>
  <c r="W78" i="23"/>
  <c r="D185" i="23"/>
  <c r="E185" i="23" s="1"/>
  <c r="F185" i="23" s="1"/>
  <c r="G185" i="23" s="1"/>
  <c r="CD185" i="6" s="1"/>
  <c r="D116" i="23"/>
  <c r="E116" i="23" s="1"/>
  <c r="F116" i="23" s="1"/>
  <c r="G116" i="23" s="1"/>
  <c r="CD116" i="6" s="1"/>
  <c r="D201" i="23"/>
  <c r="E201" i="23" s="1"/>
  <c r="F201" i="23" s="1"/>
  <c r="G201" i="23" s="1"/>
  <c r="CD201" i="6" s="1"/>
  <c r="W367" i="23"/>
  <c r="D221" i="23"/>
  <c r="E221" i="23" s="1"/>
  <c r="F221" i="23" s="1"/>
  <c r="H221" i="23" s="1"/>
  <c r="D265" i="23"/>
  <c r="E265" i="23" s="1"/>
  <c r="F265" i="23" s="1"/>
  <c r="G265" i="23" s="1"/>
  <c r="CD265" i="6" s="1"/>
  <c r="W77" i="23"/>
  <c r="D35" i="23"/>
  <c r="E35" i="23" s="1"/>
  <c r="F35" i="23" s="1"/>
  <c r="H35" i="23" s="1"/>
  <c r="W267" i="23"/>
  <c r="W276" i="23"/>
  <c r="W137" i="23"/>
  <c r="D358" i="23"/>
  <c r="E358" i="23" s="1"/>
  <c r="F358" i="23" s="1"/>
  <c r="G358" i="23" s="1"/>
  <c r="CD358" i="6" s="1"/>
  <c r="W343" i="23"/>
  <c r="D269" i="23"/>
  <c r="E269" i="23" s="1"/>
  <c r="F269" i="23" s="1"/>
  <c r="G269" i="23" s="1"/>
  <c r="CD269" i="6" s="1"/>
  <c r="D86" i="23"/>
  <c r="E86" i="23" s="1"/>
  <c r="F86" i="23" s="1"/>
  <c r="G86" i="23" s="1"/>
  <c r="CD86" i="6" s="1"/>
  <c r="D225" i="23"/>
  <c r="E225" i="23" s="1"/>
  <c r="F225" i="23" s="1"/>
  <c r="G225" i="23" s="1"/>
  <c r="CD225" i="6" s="1"/>
  <c r="W147" i="23"/>
  <c r="W209" i="23"/>
  <c r="D66" i="23"/>
  <c r="E66" i="23" s="1"/>
  <c r="F66" i="23" s="1"/>
  <c r="G66" i="23" s="1"/>
  <c r="CD66" i="6" s="1"/>
  <c r="W348" i="23"/>
  <c r="W321" i="23"/>
  <c r="W303" i="23"/>
  <c r="W200" i="23"/>
  <c r="W340" i="23"/>
  <c r="V60" i="23"/>
  <c r="C68" i="19" s="1"/>
  <c r="W160" i="23"/>
  <c r="D289" i="23"/>
  <c r="E289" i="23" s="1"/>
  <c r="F289" i="23" s="1"/>
  <c r="G289" i="23" s="1"/>
  <c r="CD289" i="6" s="1"/>
  <c r="W162" i="23"/>
  <c r="W288" i="23"/>
  <c r="D206" i="23"/>
  <c r="E206" i="23" s="1"/>
  <c r="F206" i="23" s="1"/>
  <c r="G206" i="23" s="1"/>
  <c r="CD206" i="6" s="1"/>
  <c r="D95" i="23"/>
  <c r="E95" i="23" s="1"/>
  <c r="F95" i="23" s="1"/>
  <c r="G95" i="23" s="1"/>
  <c r="CD95" i="6" s="1"/>
  <c r="W110" i="23"/>
  <c r="W280" i="23"/>
  <c r="D179" i="23"/>
  <c r="E179" i="23" s="1"/>
  <c r="F179" i="23" s="1"/>
  <c r="G179" i="23" s="1"/>
  <c r="CD179" i="6" s="1"/>
  <c r="D83" i="23"/>
  <c r="E83" i="23" s="1"/>
  <c r="F83" i="23" s="1"/>
  <c r="G83" i="23" s="1"/>
  <c r="CD83" i="6" s="1"/>
  <c r="D254" i="23"/>
  <c r="E254" i="23" s="1"/>
  <c r="F254" i="23" s="1"/>
  <c r="G254" i="23" s="1"/>
  <c r="CD254" i="6" s="1"/>
  <c r="W89" i="23"/>
  <c r="D67" i="23"/>
  <c r="E67" i="23" s="1"/>
  <c r="F67" i="23" s="1"/>
  <c r="G67" i="23" s="1"/>
  <c r="CD67" i="6" s="1"/>
  <c r="W47" i="23"/>
  <c r="W311" i="23"/>
  <c r="D264" i="23"/>
  <c r="E264" i="23" s="1"/>
  <c r="F264" i="23" s="1"/>
  <c r="G264" i="23" s="1"/>
  <c r="CD264" i="6" s="1"/>
  <c r="W323" i="23"/>
  <c r="D253" i="23"/>
  <c r="E253" i="23" s="1"/>
  <c r="F253" i="23" s="1"/>
  <c r="G253" i="23" s="1"/>
  <c r="CD253" i="6" s="1"/>
  <c r="P379" i="23"/>
  <c r="V379" i="23" s="1"/>
  <c r="D379" i="23" s="1"/>
  <c r="E379" i="23" s="1"/>
  <c r="F379" i="23" s="1"/>
  <c r="F14" i="19"/>
  <c r="W282" i="23"/>
  <c r="W161" i="23"/>
  <c r="D126" i="23"/>
  <c r="E126" i="23" s="1"/>
  <c r="F126" i="23" s="1"/>
  <c r="G126" i="23" s="1"/>
  <c r="CD126" i="6" s="1"/>
  <c r="D356" i="23"/>
  <c r="E356" i="23" s="1"/>
  <c r="F356" i="23" s="1"/>
  <c r="G356" i="23" s="1"/>
  <c r="CD356" i="6" s="1"/>
  <c r="AH54" i="7"/>
  <c r="D24" i="23"/>
  <c r="E24" i="23" s="1"/>
  <c r="F24" i="23" s="1"/>
  <c r="G24" i="23" s="1"/>
  <c r="CD24" i="6" s="1"/>
  <c r="D337" i="23"/>
  <c r="E337" i="23" s="1"/>
  <c r="F337" i="23" s="1"/>
  <c r="G337" i="23" s="1"/>
  <c r="CD337" i="6" s="1"/>
  <c r="D75" i="23"/>
  <c r="E75" i="23" s="1"/>
  <c r="F75" i="23" s="1"/>
  <c r="G75" i="23" s="1"/>
  <c r="CD75" i="6" s="1"/>
  <c r="W257" i="23"/>
  <c r="D360" i="23"/>
  <c r="E360" i="23" s="1"/>
  <c r="F360" i="23" s="1"/>
  <c r="G360" i="23" s="1"/>
  <c r="CD360" i="6" s="1"/>
  <c r="D106" i="23"/>
  <c r="E106" i="23" s="1"/>
  <c r="F106" i="23" s="1"/>
  <c r="G106" i="23" s="1"/>
  <c r="CD106" i="6" s="1"/>
  <c r="W344" i="23"/>
  <c r="D151" i="23"/>
  <c r="E151" i="23" s="1"/>
  <c r="F151" i="23" s="1"/>
  <c r="G151" i="23" s="1"/>
  <c r="CD151" i="6" s="1"/>
  <c r="D369" i="23"/>
  <c r="E369" i="23" s="1"/>
  <c r="F369" i="23" s="1"/>
  <c r="G369" i="23" s="1"/>
  <c r="CD369" i="6" s="1"/>
  <c r="W99" i="23"/>
  <c r="V29" i="23"/>
  <c r="D29" i="23" s="1"/>
  <c r="E29" i="23" s="1"/>
  <c r="F29" i="23" s="1"/>
  <c r="D172" i="23"/>
  <c r="E172" i="23" s="1"/>
  <c r="F172" i="23" s="1"/>
  <c r="G172" i="23" s="1"/>
  <c r="CD172" i="6" s="1"/>
  <c r="W181" i="23"/>
  <c r="W234" i="23"/>
  <c r="AH50" i="7"/>
  <c r="W330" i="23"/>
  <c r="W317" i="23"/>
  <c r="D295" i="23"/>
  <c r="E295" i="23" s="1"/>
  <c r="F295" i="23" s="1"/>
  <c r="G295" i="23" s="1"/>
  <c r="CD295" i="6" s="1"/>
  <c r="W93" i="23"/>
  <c r="D94" i="23"/>
  <c r="E94" i="23" s="1"/>
  <c r="F94" i="23" s="1"/>
  <c r="G94" i="23" s="1"/>
  <c r="CD94" i="6" s="1"/>
  <c r="I287" i="22"/>
  <c r="H287" i="23" s="1"/>
  <c r="W261" i="23"/>
  <c r="D239" i="23"/>
  <c r="E239" i="23" s="1"/>
  <c r="F239" i="23" s="1"/>
  <c r="G239" i="23" s="1"/>
  <c r="CD239" i="6" s="1"/>
  <c r="W23" i="23"/>
  <c r="W332" i="23"/>
  <c r="D186" i="23"/>
  <c r="E186" i="23" s="1"/>
  <c r="F186" i="23" s="1"/>
  <c r="G186" i="23" s="1"/>
  <c r="CD186" i="6" s="1"/>
  <c r="W287" i="23"/>
  <c r="D193" i="23"/>
  <c r="E193" i="23" s="1"/>
  <c r="F193" i="23" s="1"/>
  <c r="G193" i="23" s="1"/>
  <c r="CD193" i="6" s="1"/>
  <c r="D249" i="23"/>
  <c r="E249" i="23" s="1"/>
  <c r="F249" i="23" s="1"/>
  <c r="G249" i="23" s="1"/>
  <c r="CD249" i="6" s="1"/>
  <c r="D71" i="23"/>
  <c r="E71" i="23" s="1"/>
  <c r="F71" i="23" s="1"/>
  <c r="G71" i="23" s="1"/>
  <c r="CD71" i="6" s="1"/>
  <c r="D214" i="23"/>
  <c r="E214" i="23" s="1"/>
  <c r="F214" i="23" s="1"/>
  <c r="G214" i="23" s="1"/>
  <c r="CD214" i="6" s="1"/>
  <c r="W139" i="23"/>
  <c r="W326" i="23"/>
  <c r="W324" i="23"/>
  <c r="D122" i="23"/>
  <c r="E122" i="23" s="1"/>
  <c r="F122" i="23" s="1"/>
  <c r="G122" i="23" s="1"/>
  <c r="CD122" i="6" s="1"/>
  <c r="W230" i="23"/>
  <c r="D64" i="23"/>
  <c r="E64" i="23" s="1"/>
  <c r="F64" i="23" s="1"/>
  <c r="G64" i="23" s="1"/>
  <c r="CD64" i="6" s="1"/>
  <c r="W235" i="23"/>
  <c r="D374" i="23"/>
  <c r="E374" i="23" s="1"/>
  <c r="F374" i="23" s="1"/>
  <c r="G374" i="23" s="1"/>
  <c r="CD374" i="6" s="1"/>
  <c r="W215" i="23"/>
  <c r="D301" i="23"/>
  <c r="E301" i="23" s="1"/>
  <c r="F301" i="23" s="1"/>
  <c r="G301" i="23" s="1"/>
  <c r="CD301" i="6" s="1"/>
  <c r="D127" i="23"/>
  <c r="E127" i="23" s="1"/>
  <c r="F127" i="23" s="1"/>
  <c r="G127" i="23" s="1"/>
  <c r="CD127" i="6" s="1"/>
  <c r="W76" i="23"/>
  <c r="J233" i="22"/>
  <c r="D104" i="23"/>
  <c r="E104" i="23" s="1"/>
  <c r="F104" i="23" s="1"/>
  <c r="G104" i="23" s="1"/>
  <c r="CD104" i="6" s="1"/>
  <c r="D38" i="23"/>
  <c r="E38" i="23" s="1"/>
  <c r="F38" i="23" s="1"/>
  <c r="G38" i="23" s="1"/>
  <c r="CD38" i="6" s="1"/>
  <c r="W220" i="23"/>
  <c r="D43" i="23"/>
  <c r="E43" i="23" s="1"/>
  <c r="F43" i="23" s="1"/>
  <c r="H43" i="23" s="1"/>
  <c r="W319" i="23"/>
  <c r="AH48" i="7"/>
  <c r="D223" i="23"/>
  <c r="E223" i="23" s="1"/>
  <c r="F223" i="23" s="1"/>
  <c r="G223" i="23" s="1"/>
  <c r="CD223" i="6" s="1"/>
  <c r="W218" i="23"/>
  <c r="W315" i="23"/>
  <c r="D90" i="23"/>
  <c r="E90" i="23" s="1"/>
  <c r="F90" i="23" s="1"/>
  <c r="G90" i="23" s="1"/>
  <c r="CD90" i="6" s="1"/>
  <c r="D112" i="23"/>
  <c r="E112" i="23" s="1"/>
  <c r="F112" i="23" s="1"/>
  <c r="G112" i="23" s="1"/>
  <c r="CD112" i="6" s="1"/>
  <c r="D22" i="23"/>
  <c r="E22" i="23" s="1"/>
  <c r="F22" i="23" s="1"/>
  <c r="G22" i="23" s="1"/>
  <c r="CD22" i="6" s="1"/>
  <c r="W192" i="23"/>
  <c r="D278" i="23"/>
  <c r="E278" i="23" s="1"/>
  <c r="F278" i="23" s="1"/>
  <c r="G278" i="23" s="1"/>
  <c r="CD278" i="6" s="1"/>
  <c r="W174" i="23"/>
  <c r="W152" i="23"/>
  <c r="W270" i="23"/>
  <c r="D229" i="23"/>
  <c r="E229" i="23" s="1"/>
  <c r="F229" i="23" s="1"/>
  <c r="G229" i="23" s="1"/>
  <c r="CD229" i="6" s="1"/>
  <c r="D21" i="23"/>
  <c r="E21" i="23" s="1"/>
  <c r="F21" i="23" s="1"/>
  <c r="G21" i="23" s="1"/>
  <c r="CD21" i="6" s="1"/>
  <c r="D120" i="23"/>
  <c r="E120" i="23" s="1"/>
  <c r="F120" i="23" s="1"/>
  <c r="G120" i="23" s="1"/>
  <c r="CD120" i="6" s="1"/>
  <c r="D58" i="23"/>
  <c r="E58" i="23" s="1"/>
  <c r="F58" i="23" s="1"/>
  <c r="G58" i="23" s="1"/>
  <c r="CD58" i="6" s="1"/>
  <c r="W212" i="23"/>
  <c r="W372" i="23"/>
  <c r="W361" i="23"/>
  <c r="W183" i="23"/>
  <c r="W195" i="23"/>
  <c r="W50" i="23"/>
  <c r="W228" i="23"/>
  <c r="W143" i="23"/>
  <c r="D175" i="23"/>
  <c r="E175" i="23" s="1"/>
  <c r="F175" i="23" s="1"/>
  <c r="G175" i="23" s="1"/>
  <c r="CD175" i="6" s="1"/>
  <c r="W204" i="23"/>
  <c r="D103" i="23"/>
  <c r="E103" i="23" s="1"/>
  <c r="F103" i="23" s="1"/>
  <c r="G103" i="23" s="1"/>
  <c r="CD103" i="6" s="1"/>
  <c r="D164" i="23"/>
  <c r="E164" i="23" s="1"/>
  <c r="F164" i="23" s="1"/>
  <c r="G164" i="23" s="1"/>
  <c r="CD164" i="6" s="1"/>
  <c r="D81" i="23"/>
  <c r="E81" i="23" s="1"/>
  <c r="F81" i="23" s="1"/>
  <c r="G81" i="23" s="1"/>
  <c r="CD81" i="6" s="1"/>
  <c r="W284" i="23"/>
  <c r="D169" i="23"/>
  <c r="E169" i="23" s="1"/>
  <c r="F169" i="23" s="1"/>
  <c r="G169" i="23" s="1"/>
  <c r="CD169" i="6" s="1"/>
  <c r="U10" i="24"/>
  <c r="U235" i="24" s="1"/>
  <c r="T235" i="24" s="1"/>
  <c r="S235" i="24" s="1"/>
  <c r="R235" i="24" s="1"/>
  <c r="D258" i="23"/>
  <c r="E258" i="23" s="1"/>
  <c r="F258" i="23" s="1"/>
  <c r="G258" i="23" s="1"/>
  <c r="CD258" i="6" s="1"/>
  <c r="D168" i="23"/>
  <c r="E168" i="23" s="1"/>
  <c r="F168" i="23" s="1"/>
  <c r="G168" i="23" s="1"/>
  <c r="CD168" i="6" s="1"/>
  <c r="W275" i="23"/>
  <c r="D375" i="23"/>
  <c r="E375" i="23" s="1"/>
  <c r="F375" i="23" s="1"/>
  <c r="G375" i="23" s="1"/>
  <c r="CD375" i="6" s="1"/>
  <c r="W163" i="23"/>
  <c r="D92" i="23"/>
  <c r="E92" i="23" s="1"/>
  <c r="F92" i="23" s="1"/>
  <c r="G92" i="23" s="1"/>
  <c r="CD92" i="6" s="1"/>
  <c r="D39" i="23"/>
  <c r="E39" i="23" s="1"/>
  <c r="F39" i="23" s="1"/>
  <c r="G39" i="23" s="1"/>
  <c r="CD39" i="6" s="1"/>
  <c r="W299" i="23"/>
  <c r="W68" i="23"/>
  <c r="J124" i="22"/>
  <c r="J371" i="22"/>
  <c r="J38" i="22"/>
  <c r="J54" i="22"/>
  <c r="W363" i="23"/>
  <c r="H29" i="22"/>
  <c r="J29" i="22" s="1"/>
  <c r="W379" i="22"/>
  <c r="J345" i="22"/>
  <c r="J351" i="22"/>
  <c r="J17" i="22"/>
  <c r="J240" i="22"/>
  <c r="J43" i="22"/>
  <c r="I111" i="22"/>
  <c r="H111" i="23" s="1"/>
  <c r="J111" i="22"/>
  <c r="I248" i="22"/>
  <c r="H248" i="23" s="1"/>
  <c r="J248" i="22"/>
  <c r="D180" i="23"/>
  <c r="E180" i="23" s="1"/>
  <c r="F180" i="23" s="1"/>
  <c r="M67" i="19"/>
  <c r="D379" i="22"/>
  <c r="E379" i="22" s="1"/>
  <c r="F379" i="22" s="1"/>
  <c r="AA379" i="22" s="1"/>
  <c r="Z379" i="22" s="1"/>
  <c r="Y379" i="22" s="1"/>
  <c r="I321" i="22"/>
  <c r="H321" i="23" s="1"/>
  <c r="J146" i="22"/>
  <c r="J193" i="22"/>
  <c r="W263" i="23"/>
  <c r="D308" i="23"/>
  <c r="E308" i="23" s="1"/>
  <c r="F308" i="23" s="1"/>
  <c r="G308" i="23" s="1"/>
  <c r="CD308" i="6" s="1"/>
  <c r="I171" i="22"/>
  <c r="J171" i="22"/>
  <c r="W149" i="23"/>
  <c r="D158" i="23"/>
  <c r="E158" i="23" s="1"/>
  <c r="F158" i="23" s="1"/>
  <c r="G158" i="23" s="1"/>
  <c r="CD158" i="6" s="1"/>
  <c r="W211" i="23"/>
  <c r="I311" i="22"/>
  <c r="H311" i="23" s="1"/>
  <c r="J311" i="22"/>
  <c r="J96" i="22"/>
  <c r="I96" i="22"/>
  <c r="H96" i="23" s="1"/>
  <c r="D355" i="23"/>
  <c r="E355" i="23" s="1"/>
  <c r="F355" i="23" s="1"/>
  <c r="G355" i="23" s="1"/>
  <c r="CD355" i="6" s="1"/>
  <c r="AH382" i="22"/>
  <c r="AH383" i="22"/>
  <c r="AH381" i="22"/>
  <c r="AG15" i="22"/>
  <c r="AF381" i="20"/>
  <c r="AF383" i="20"/>
  <c r="AD104" i="20"/>
  <c r="AF382" i="20"/>
  <c r="AI253" i="23"/>
  <c r="AH253" i="23" s="1"/>
  <c r="AI30" i="23"/>
  <c r="AH30" i="23" s="1"/>
  <c r="AI286" i="23"/>
  <c r="AH286" i="23" s="1"/>
  <c r="AI219" i="23"/>
  <c r="AH219" i="23" s="1"/>
  <c r="AI103" i="23"/>
  <c r="AH103" i="23" s="1"/>
  <c r="AI108" i="23"/>
  <c r="AH108" i="23" s="1"/>
  <c r="AI275" i="23"/>
  <c r="AH275" i="23" s="1"/>
  <c r="AI41" i="23"/>
  <c r="AH41" i="23" s="1"/>
  <c r="AI138" i="23"/>
  <c r="AH138" i="23" s="1"/>
  <c r="AI340" i="23"/>
  <c r="AH340" i="23" s="1"/>
  <c r="AI265" i="23"/>
  <c r="AH265" i="23" s="1"/>
  <c r="AI214" i="23"/>
  <c r="AH214" i="23" s="1"/>
  <c r="AI227" i="23"/>
  <c r="AH227" i="23" s="1"/>
  <c r="AI64" i="23"/>
  <c r="AH64" i="23" s="1"/>
  <c r="AI143" i="23"/>
  <c r="AH143" i="23" s="1"/>
  <c r="AI164" i="23"/>
  <c r="AH164" i="23" s="1"/>
  <c r="AI26" i="23"/>
  <c r="AH26" i="23" s="1"/>
  <c r="AI220" i="23"/>
  <c r="AH220" i="23" s="1"/>
  <c r="AI274" i="23"/>
  <c r="AH274" i="23" s="1"/>
  <c r="AI231" i="23"/>
  <c r="AH231" i="23" s="1"/>
  <c r="AI293" i="23"/>
  <c r="AH293" i="23" s="1"/>
  <c r="AI218" i="23"/>
  <c r="AH218" i="23" s="1"/>
  <c r="AI101" i="23"/>
  <c r="AH101" i="23" s="1"/>
  <c r="AI95" i="23"/>
  <c r="AH95" i="23" s="1"/>
  <c r="AI55" i="23"/>
  <c r="AH55" i="23" s="1"/>
  <c r="AI49" i="23"/>
  <c r="AH49" i="23" s="1"/>
  <c r="AI66" i="23"/>
  <c r="AH66" i="23" s="1"/>
  <c r="AI336" i="23"/>
  <c r="AH336" i="23" s="1"/>
  <c r="AI269" i="23"/>
  <c r="AH269" i="23" s="1"/>
  <c r="AI114" i="23"/>
  <c r="AH114" i="23" s="1"/>
  <c r="AI321" i="23"/>
  <c r="AH321" i="23" s="1"/>
  <c r="AI238" i="23"/>
  <c r="AH238" i="23" s="1"/>
  <c r="AI157" i="23"/>
  <c r="AH157" i="23" s="1"/>
  <c r="AI174" i="23"/>
  <c r="AH174" i="23" s="1"/>
  <c r="AI76" i="23"/>
  <c r="AH76" i="23" s="1"/>
  <c r="AI73" i="23"/>
  <c r="AH73" i="23" s="1"/>
  <c r="AI117" i="23"/>
  <c r="AH117" i="23" s="1"/>
  <c r="AI356" i="23"/>
  <c r="AH356" i="23" s="1"/>
  <c r="AI281" i="23"/>
  <c r="AH281" i="23" s="1"/>
  <c r="AI198" i="23"/>
  <c r="AH198" i="23" s="1"/>
  <c r="AI120" i="23"/>
  <c r="AH120" i="23" s="1"/>
  <c r="AI370" i="23"/>
  <c r="AH370" i="23" s="1"/>
  <c r="AI327" i="23"/>
  <c r="AH327" i="23" s="1"/>
  <c r="AI47" i="23"/>
  <c r="AH47" i="23" s="1"/>
  <c r="AI68" i="23"/>
  <c r="AH68" i="23" s="1"/>
  <c r="AI335" i="23"/>
  <c r="AH335" i="23" s="1"/>
  <c r="AI155" i="23"/>
  <c r="AH155" i="23" s="1"/>
  <c r="AI349" i="23"/>
  <c r="AH349" i="23" s="1"/>
  <c r="AI312" i="23"/>
  <c r="AH312" i="23" s="1"/>
  <c r="AI72" i="23"/>
  <c r="AH72" i="23" s="1"/>
  <c r="AI278" i="23"/>
  <c r="AH278" i="23" s="1"/>
  <c r="AI128" i="23"/>
  <c r="AH128" i="23" s="1"/>
  <c r="AI121" i="23"/>
  <c r="AH121" i="23" s="1"/>
  <c r="AI300" i="23"/>
  <c r="AH300" i="23" s="1"/>
  <c r="AI360" i="23"/>
  <c r="AH360" i="23" s="1"/>
  <c r="AI34" i="23"/>
  <c r="AH34" i="23" s="1"/>
  <c r="AI65" i="23"/>
  <c r="AH65" i="23" s="1"/>
  <c r="AI209" i="23"/>
  <c r="AH209" i="23" s="1"/>
  <c r="AI131" i="23"/>
  <c r="AH131" i="23" s="1"/>
  <c r="AI168" i="23"/>
  <c r="AH168" i="23" s="1"/>
  <c r="AI377" i="23"/>
  <c r="AH377" i="23" s="1"/>
  <c r="AI294" i="23"/>
  <c r="AH294" i="23" s="1"/>
  <c r="AI109" i="23"/>
  <c r="AH109" i="23" s="1"/>
  <c r="AI84" i="23"/>
  <c r="AH84" i="23" s="1"/>
  <c r="AI375" i="23"/>
  <c r="AH375" i="23" s="1"/>
  <c r="AI212" i="23"/>
  <c r="AH212" i="23" s="1"/>
  <c r="AI89" i="23"/>
  <c r="AH89" i="23" s="1"/>
  <c r="AI122" i="23"/>
  <c r="AH122" i="23" s="1"/>
  <c r="AI152" i="23"/>
  <c r="AH152" i="23" s="1"/>
  <c r="AI264" i="23"/>
  <c r="AH264" i="23" s="1"/>
  <c r="AI70" i="23"/>
  <c r="AH70" i="23" s="1"/>
  <c r="AI330" i="23"/>
  <c r="AH330" i="23" s="1"/>
  <c r="AI255" i="23"/>
  <c r="AH255" i="23" s="1"/>
  <c r="AI63" i="23"/>
  <c r="AH63" i="23" s="1"/>
  <c r="AI210" i="23"/>
  <c r="AH210" i="23" s="1"/>
  <c r="AI85" i="23"/>
  <c r="AH85" i="23" s="1"/>
  <c r="AI145" i="23"/>
  <c r="AH145" i="23" s="1"/>
  <c r="AI162" i="23"/>
  <c r="AH162" i="23" s="1"/>
  <c r="AI19" i="23"/>
  <c r="AH19" i="23" s="1"/>
  <c r="AI22" i="23"/>
  <c r="AH22" i="23" s="1"/>
  <c r="AI94" i="23"/>
  <c r="AH94" i="23" s="1"/>
  <c r="AI40" i="23"/>
  <c r="AH40" i="23" s="1"/>
  <c r="AI351" i="23"/>
  <c r="AH351" i="23" s="1"/>
  <c r="AI258" i="23"/>
  <c r="AH258" i="23" s="1"/>
  <c r="AI111" i="23"/>
  <c r="AH111" i="23" s="1"/>
  <c r="AI367" i="23"/>
  <c r="AH367" i="23" s="1"/>
  <c r="AI232" i="23"/>
  <c r="AH232" i="23" s="1"/>
  <c r="AI266" i="23"/>
  <c r="AH266" i="23" s="1"/>
  <c r="AI118" i="23"/>
  <c r="AH118" i="23" s="1"/>
  <c r="AI263" i="23"/>
  <c r="AH263" i="23" s="1"/>
  <c r="AI282" i="23"/>
  <c r="AH282" i="23" s="1"/>
  <c r="AI374" i="23"/>
  <c r="AH374" i="23" s="1"/>
  <c r="AI15" i="23"/>
  <c r="AI53" i="23"/>
  <c r="AH53" i="23" s="1"/>
  <c r="AI324" i="23"/>
  <c r="AH324" i="23" s="1"/>
  <c r="AI249" i="23"/>
  <c r="AH249" i="23" s="1"/>
  <c r="AI147" i="23"/>
  <c r="AH147" i="23" s="1"/>
  <c r="AI56" i="23"/>
  <c r="AH56" i="23" s="1"/>
  <c r="AI354" i="23"/>
  <c r="AH354" i="23" s="1"/>
  <c r="AI311" i="23"/>
  <c r="AH311" i="23" s="1"/>
  <c r="AI166" i="23"/>
  <c r="AH166" i="23" s="1"/>
  <c r="AI378" i="23"/>
  <c r="AH378" i="23" s="1"/>
  <c r="AI303" i="23"/>
  <c r="AH303" i="23" s="1"/>
  <c r="AI332" i="23"/>
  <c r="AH332" i="23" s="1"/>
  <c r="AI200" i="23"/>
  <c r="AH200" i="23" s="1"/>
  <c r="AI277" i="23"/>
  <c r="AH277" i="23" s="1"/>
  <c r="AI202" i="23"/>
  <c r="AH202" i="23" s="1"/>
  <c r="AI69" i="23"/>
  <c r="AH69" i="23" s="1"/>
  <c r="AI365" i="23"/>
  <c r="AH365" i="23" s="1"/>
  <c r="AI107" i="23"/>
  <c r="AH107" i="23" s="1"/>
  <c r="AI328" i="23"/>
  <c r="AH328" i="23" s="1"/>
  <c r="AI60" i="23"/>
  <c r="AH60" i="23" s="1"/>
  <c r="AI331" i="23"/>
  <c r="AH331" i="23" s="1"/>
  <c r="AI256" i="23"/>
  <c r="AH256" i="23" s="1"/>
  <c r="AI221" i="23"/>
  <c r="AH221" i="23" s="1"/>
  <c r="AI273" i="23"/>
  <c r="AH273" i="23" s="1"/>
  <c r="AI222" i="23"/>
  <c r="AH222" i="23" s="1"/>
  <c r="AI125" i="23"/>
  <c r="AH125" i="23" s="1"/>
  <c r="AI142" i="23"/>
  <c r="AH142" i="23" s="1"/>
  <c r="AI358" i="23"/>
  <c r="AH358" i="23" s="1"/>
  <c r="AI211" i="23"/>
  <c r="AH211" i="23" s="1"/>
  <c r="AI148" i="23"/>
  <c r="AH148" i="23" s="1"/>
  <c r="AI74" i="23"/>
  <c r="AH74" i="23" s="1"/>
  <c r="AI276" i="23"/>
  <c r="AH276" i="23" s="1"/>
  <c r="AI201" i="23"/>
  <c r="AH201" i="23" s="1"/>
  <c r="AI115" i="23"/>
  <c r="AH115" i="23" s="1"/>
  <c r="AI173" i="23"/>
  <c r="AH173" i="23" s="1"/>
  <c r="AI296" i="23"/>
  <c r="AH296" i="23" s="1"/>
  <c r="AI17" i="23"/>
  <c r="AH17" i="23" s="1"/>
  <c r="AI36" i="23"/>
  <c r="AH36" i="23" s="1"/>
  <c r="AI319" i="23"/>
  <c r="AH319" i="23" s="1"/>
  <c r="AI188" i="23"/>
  <c r="AH188" i="23" s="1"/>
  <c r="AI242" i="23"/>
  <c r="AH242" i="23" s="1"/>
  <c r="AI199" i="23"/>
  <c r="AH199" i="23" s="1"/>
  <c r="AI229" i="23"/>
  <c r="AH229" i="23" s="1"/>
  <c r="AI123" i="23"/>
  <c r="AH123" i="23" s="1"/>
  <c r="AI144" i="23"/>
  <c r="AH144" i="23" s="1"/>
  <c r="AI79" i="23"/>
  <c r="AH79" i="23" s="1"/>
  <c r="AI230" i="23"/>
  <c r="AH230" i="23" s="1"/>
  <c r="AI20" i="23"/>
  <c r="AH20" i="23" s="1"/>
  <c r="AI261" i="23"/>
  <c r="AH261" i="23" s="1"/>
  <c r="AI37" i="23"/>
  <c r="AH37" i="23" s="1"/>
  <c r="AI23" i="23"/>
  <c r="AH23" i="23" s="1"/>
  <c r="AI379" i="23"/>
  <c r="AI205" i="23"/>
  <c r="AH205" i="23" s="1"/>
  <c r="AI289" i="23"/>
  <c r="AH289" i="23" s="1"/>
  <c r="AI93" i="23"/>
  <c r="AH93" i="23" s="1"/>
  <c r="AI246" i="23"/>
  <c r="AH246" i="23" s="1"/>
  <c r="AI259" i="23"/>
  <c r="AH259" i="23" s="1"/>
  <c r="AI96" i="23"/>
  <c r="AH96" i="23" s="1"/>
  <c r="AI196" i="23"/>
  <c r="AH196" i="23" s="1"/>
  <c r="AI57" i="23"/>
  <c r="AH57" i="23" s="1"/>
  <c r="AI90" i="23"/>
  <c r="AH90" i="23" s="1"/>
  <c r="AI252" i="23"/>
  <c r="AH252" i="23" s="1"/>
  <c r="AI290" i="23"/>
  <c r="AH290" i="23" s="1"/>
  <c r="AI247" i="23"/>
  <c r="AH247" i="23" s="1"/>
  <c r="AI325" i="23"/>
  <c r="AH325" i="23" s="1"/>
  <c r="AI250" i="23"/>
  <c r="AH250" i="23" s="1"/>
  <c r="AI165" i="23"/>
  <c r="AH165" i="23" s="1"/>
  <c r="AI159" i="23"/>
  <c r="AH159" i="23" s="1"/>
  <c r="AI87" i="23"/>
  <c r="AH87" i="23" s="1"/>
  <c r="AI113" i="23"/>
  <c r="AH113" i="23" s="1"/>
  <c r="AI130" i="23"/>
  <c r="AH130" i="23" s="1"/>
  <c r="AI368" i="23"/>
  <c r="AH368" i="23" s="1"/>
  <c r="AI285" i="23"/>
  <c r="AH285" i="23" s="1"/>
  <c r="AI146" i="23"/>
  <c r="AH146" i="23" s="1"/>
  <c r="AI337" i="23"/>
  <c r="AH337" i="23" s="1"/>
  <c r="AI270" i="23"/>
  <c r="AH270" i="23" s="1"/>
  <c r="AI203" i="23"/>
  <c r="AH203" i="23" s="1"/>
  <c r="AI71" i="23"/>
  <c r="AH71" i="23" s="1"/>
  <c r="AI140" i="23"/>
  <c r="AH140" i="23" s="1"/>
  <c r="AI105" i="23"/>
  <c r="AH105" i="23" s="1"/>
  <c r="AI245" i="23"/>
  <c r="AH245" i="23" s="1"/>
  <c r="AI208" i="23"/>
  <c r="AH208" i="23" s="1"/>
  <c r="AI339" i="23"/>
  <c r="AH339" i="23" s="1"/>
  <c r="AI35" i="23"/>
  <c r="AH35" i="23" s="1"/>
  <c r="AI224" i="23"/>
  <c r="AH224" i="23" s="1"/>
  <c r="AI225" i="23"/>
  <c r="AH225" i="23" s="1"/>
  <c r="AI61" i="23"/>
  <c r="AH61" i="23" s="1"/>
  <c r="AI326" i="23"/>
  <c r="AH326" i="23" s="1"/>
  <c r="AI116" i="23"/>
  <c r="AH116" i="23" s="1"/>
  <c r="AI244" i="23"/>
  <c r="AH244" i="23" s="1"/>
  <c r="AI51" i="23"/>
  <c r="AH51" i="23" s="1"/>
  <c r="AI45" i="23"/>
  <c r="AH45" i="23" s="1"/>
  <c r="AI280" i="23"/>
  <c r="AH280" i="23" s="1"/>
  <c r="AI134" i="23"/>
  <c r="AH134" i="23" s="1"/>
  <c r="AI362" i="23"/>
  <c r="AH362" i="23" s="1"/>
  <c r="AI287" i="23"/>
  <c r="AH287" i="23" s="1"/>
  <c r="AI127" i="23"/>
  <c r="AH127" i="23" s="1"/>
  <c r="AI226" i="23"/>
  <c r="AH226" i="23" s="1"/>
  <c r="AI149" i="23"/>
  <c r="AH149" i="23" s="1"/>
  <c r="AI197" i="23"/>
  <c r="AH197" i="23" s="1"/>
  <c r="AI59" i="23"/>
  <c r="AH59" i="23" s="1"/>
  <c r="AI80" i="23"/>
  <c r="AH80" i="23" s="1"/>
  <c r="AI86" i="23"/>
  <c r="AH86" i="23" s="1"/>
  <c r="AI126" i="23"/>
  <c r="AH126" i="23" s="1"/>
  <c r="AI28" i="23"/>
  <c r="AH28" i="23" s="1"/>
  <c r="AI315" i="23"/>
  <c r="AH315" i="23" s="1"/>
  <c r="AI240" i="23"/>
  <c r="AH240" i="23" s="1"/>
  <c r="AI129" i="23"/>
  <c r="AH129" i="23" s="1"/>
  <c r="AI371" i="23"/>
  <c r="AH371" i="23" s="1"/>
  <c r="AI241" i="23"/>
  <c r="AH241" i="23" s="1"/>
  <c r="AI99" i="23"/>
  <c r="AH99" i="23" s="1"/>
  <c r="AI136" i="23"/>
  <c r="AH136" i="23" s="1"/>
  <c r="AI361" i="23"/>
  <c r="AH361" i="23" s="1"/>
  <c r="AI310" i="23"/>
  <c r="AH310" i="23" s="1"/>
  <c r="AI323" i="23"/>
  <c r="AH323" i="23" s="1"/>
  <c r="AI160" i="23"/>
  <c r="AH160" i="23" s="1"/>
  <c r="AI260" i="23"/>
  <c r="AH260" i="23" s="1"/>
  <c r="AI185" i="23"/>
  <c r="AH185" i="23" s="1"/>
  <c r="AI16" i="23"/>
  <c r="AH16" i="23" s="1"/>
  <c r="AI316" i="23"/>
  <c r="AH316" i="23" s="1"/>
  <c r="AI322" i="23"/>
  <c r="AH322" i="23" s="1"/>
  <c r="AI279" i="23"/>
  <c r="AH279" i="23" s="1"/>
  <c r="AI38" i="23"/>
  <c r="AH38" i="23" s="1"/>
  <c r="AI314" i="23"/>
  <c r="AH314" i="23" s="1"/>
  <c r="AI239" i="23"/>
  <c r="AH239" i="23" s="1"/>
  <c r="AI268" i="23"/>
  <c r="AH268" i="23" s="1"/>
  <c r="AI151" i="23"/>
  <c r="AH151" i="23" s="1"/>
  <c r="AI213" i="23"/>
  <c r="AH213" i="23" s="1"/>
  <c r="AI91" i="23"/>
  <c r="AH91" i="23" s="1"/>
  <c r="AI112" i="23"/>
  <c r="AH112" i="23" s="1"/>
  <c r="AI333" i="23"/>
  <c r="AH333" i="23" s="1"/>
  <c r="AI43" i="23"/>
  <c r="AH43" i="23" s="1"/>
  <c r="AI369" i="23"/>
  <c r="AH369" i="23" s="1"/>
  <c r="AI334" i="23"/>
  <c r="AH334" i="23" s="1"/>
  <c r="AI267" i="23"/>
  <c r="AH267" i="23" s="1"/>
  <c r="AI192" i="23"/>
  <c r="AH192" i="23" s="1"/>
  <c r="AI350" i="23"/>
  <c r="AH350" i="23" s="1"/>
  <c r="AI176" i="23"/>
  <c r="AH176" i="23" s="1"/>
  <c r="AI75" i="23"/>
  <c r="AH75" i="23" s="1"/>
  <c r="AI366" i="23"/>
  <c r="AH366" i="23" s="1"/>
  <c r="AI329" i="23"/>
  <c r="AH329" i="23" s="1"/>
  <c r="AI291" i="23"/>
  <c r="AH291" i="23" s="1"/>
  <c r="AI228" i="23"/>
  <c r="AH228" i="23" s="1"/>
  <c r="AI154" i="23"/>
  <c r="AH154" i="23" s="1"/>
  <c r="AI306" i="23"/>
  <c r="AH306" i="23" s="1"/>
  <c r="AI357" i="23"/>
  <c r="AH357" i="23" s="1"/>
  <c r="AI320" i="23"/>
  <c r="AH320" i="23" s="1"/>
  <c r="AI364" i="23"/>
  <c r="AH364" i="23" s="1"/>
  <c r="AI216" i="23"/>
  <c r="AH216" i="23" s="1"/>
  <c r="AI309" i="23"/>
  <c r="AH309" i="23" s="1"/>
  <c r="AI234" i="23"/>
  <c r="AH234" i="23" s="1"/>
  <c r="AI133" i="23"/>
  <c r="AH133" i="23" s="1"/>
  <c r="AI54" i="23"/>
  <c r="AH54" i="23" s="1"/>
  <c r="AI139" i="23"/>
  <c r="AH139" i="23" s="1"/>
  <c r="AI344" i="23"/>
  <c r="AH344" i="23" s="1"/>
  <c r="AI124" i="23"/>
  <c r="AH124" i="23" s="1"/>
  <c r="AI363" i="23"/>
  <c r="AH363" i="23" s="1"/>
  <c r="AI288" i="23"/>
  <c r="AH288" i="23" s="1"/>
  <c r="AI237" i="23"/>
  <c r="AH237" i="23" s="1"/>
  <c r="AI305" i="23"/>
  <c r="AH305" i="23" s="1"/>
  <c r="AI254" i="23"/>
  <c r="AH254" i="23" s="1"/>
  <c r="AI187" i="23"/>
  <c r="AH187" i="23" s="1"/>
  <c r="AI39" i="23"/>
  <c r="AH39" i="23" s="1"/>
  <c r="AI44" i="23"/>
  <c r="AH44" i="23" s="1"/>
  <c r="AI243" i="23"/>
  <c r="AH243" i="23" s="1"/>
  <c r="AI180" i="23"/>
  <c r="AH180" i="23" s="1"/>
  <c r="AI106" i="23"/>
  <c r="AH106" i="23" s="1"/>
  <c r="AI308" i="23"/>
  <c r="AH308" i="23" s="1"/>
  <c r="AI233" i="23"/>
  <c r="AH233" i="23" s="1"/>
  <c r="AI179" i="23"/>
  <c r="AH179" i="23" s="1"/>
  <c r="AI195" i="23"/>
  <c r="AH195" i="23" s="1"/>
  <c r="AI181" i="23"/>
  <c r="AH181" i="23" s="1"/>
  <c r="AI100" i="23"/>
  <c r="AH100" i="23" s="1"/>
  <c r="AI204" i="23"/>
  <c r="AH204" i="23" s="1"/>
  <c r="AI215" i="23"/>
  <c r="AH215" i="23" s="1"/>
  <c r="AI132" i="23"/>
  <c r="AH132" i="23" s="1"/>
  <c r="AI24" i="23"/>
  <c r="AH24" i="23" s="1"/>
  <c r="AI341" i="23"/>
  <c r="AH341" i="23" s="1"/>
  <c r="AI191" i="23"/>
  <c r="AH191" i="23" s="1"/>
  <c r="AI171" i="23"/>
  <c r="AH171" i="23" s="1"/>
  <c r="AI18" i="23"/>
  <c r="AH18" i="23" s="1"/>
  <c r="AI207" i="23"/>
  <c r="AH207" i="23" s="1"/>
  <c r="AI236" i="23"/>
  <c r="AH236" i="23" s="1"/>
  <c r="AI119" i="23"/>
  <c r="AH119" i="23" s="1"/>
  <c r="AI177" i="23"/>
  <c r="AH177" i="23" s="1"/>
  <c r="AI27" i="23"/>
  <c r="AH27" i="23" s="1"/>
  <c r="AI48" i="23"/>
  <c r="AH48" i="23" s="1"/>
  <c r="AI301" i="23"/>
  <c r="AH301" i="23" s="1"/>
  <c r="AI178" i="23"/>
  <c r="AH178" i="23" s="1"/>
  <c r="AI353" i="23"/>
  <c r="AH353" i="23" s="1"/>
  <c r="AI302" i="23"/>
  <c r="AH302" i="23" s="1"/>
  <c r="AI235" i="23"/>
  <c r="AH235" i="23" s="1"/>
  <c r="AI135" i="23"/>
  <c r="AH135" i="23" s="1"/>
  <c r="AI33" i="23"/>
  <c r="AH33" i="23" s="1"/>
  <c r="AI137" i="23"/>
  <c r="AH137" i="23" s="1"/>
  <c r="AI67" i="23"/>
  <c r="AH67" i="23" s="1"/>
  <c r="AI104" i="23"/>
  <c r="AH104" i="23" s="1"/>
  <c r="AI345" i="23"/>
  <c r="AH345" i="23" s="1"/>
  <c r="AI262" i="23"/>
  <c r="AH262" i="23" s="1"/>
  <c r="AI77" i="23"/>
  <c r="AH77" i="23" s="1"/>
  <c r="AI52" i="23"/>
  <c r="AH52" i="23" s="1"/>
  <c r="AI359" i="23"/>
  <c r="AH359" i="23" s="1"/>
  <c r="AI175" i="23"/>
  <c r="AH175" i="23" s="1"/>
  <c r="AI25" i="23"/>
  <c r="AH25" i="23" s="1"/>
  <c r="AI58" i="23"/>
  <c r="AH58" i="23" s="1"/>
  <c r="AI88" i="23"/>
  <c r="AH88" i="23" s="1"/>
  <c r="AI248" i="23"/>
  <c r="AH248" i="23" s="1"/>
  <c r="AI373" i="23"/>
  <c r="AH373" i="23" s="1"/>
  <c r="AI298" i="23"/>
  <c r="AH298" i="23" s="1"/>
  <c r="AI223" i="23"/>
  <c r="AH223" i="23" s="1"/>
  <c r="AI182" i="23"/>
  <c r="AH182" i="23" s="1"/>
  <c r="AI194" i="23"/>
  <c r="AH194" i="23" s="1"/>
  <c r="AI32" i="23"/>
  <c r="AH32" i="23" s="1"/>
  <c r="AI81" i="23"/>
  <c r="AH81" i="23" s="1"/>
  <c r="AI98" i="23"/>
  <c r="AH98" i="23" s="1"/>
  <c r="AI352" i="23"/>
  <c r="AH352" i="23" s="1"/>
  <c r="AI317" i="23"/>
  <c r="AH317" i="23" s="1"/>
  <c r="AI62" i="23"/>
  <c r="AH62" i="23" s="1"/>
  <c r="AI318" i="23"/>
  <c r="AH318" i="23" s="1"/>
  <c r="AI251" i="23"/>
  <c r="AH251" i="23" s="1"/>
  <c r="AI167" i="23"/>
  <c r="AH167" i="23" s="1"/>
  <c r="AI172" i="23"/>
  <c r="AH172" i="23" s="1"/>
  <c r="AI307" i="23"/>
  <c r="AH307" i="23" s="1"/>
  <c r="AI169" i="23"/>
  <c r="AH169" i="23" s="1"/>
  <c r="AI170" i="23"/>
  <c r="AH170" i="23" s="1"/>
  <c r="AI372" i="23"/>
  <c r="AH372" i="23" s="1"/>
  <c r="AI297" i="23"/>
  <c r="AH297" i="23" s="1"/>
  <c r="AI183" i="23"/>
  <c r="AH183" i="23" s="1"/>
  <c r="AI313" i="23"/>
  <c r="AH313" i="23" s="1"/>
  <c r="AI184" i="23"/>
  <c r="AH184" i="23" s="1"/>
  <c r="AI343" i="23"/>
  <c r="AH343" i="23" s="1"/>
  <c r="AI186" i="23"/>
  <c r="AH186" i="23" s="1"/>
  <c r="AI31" i="23"/>
  <c r="AH31" i="23" s="1"/>
  <c r="AI156" i="23"/>
  <c r="AH156" i="23" s="1"/>
  <c r="AI304" i="23"/>
  <c r="AH304" i="23" s="1"/>
  <c r="AI82" i="23"/>
  <c r="AH82" i="23" s="1"/>
  <c r="AI42" i="23"/>
  <c r="AH42" i="23" s="1"/>
  <c r="AI153" i="23"/>
  <c r="AH153" i="23" s="1"/>
  <c r="AI150" i="23"/>
  <c r="AH150" i="23" s="1"/>
  <c r="AI158" i="23"/>
  <c r="AH158" i="23" s="1"/>
  <c r="AI92" i="23"/>
  <c r="AH92" i="23" s="1"/>
  <c r="AI347" i="23"/>
  <c r="AH347" i="23" s="1"/>
  <c r="AI272" i="23"/>
  <c r="AH272" i="23" s="1"/>
  <c r="AI161" i="23"/>
  <c r="AH161" i="23" s="1"/>
  <c r="AI50" i="23"/>
  <c r="AH50" i="23" s="1"/>
  <c r="AI257" i="23"/>
  <c r="AH257" i="23" s="1"/>
  <c r="AI163" i="23"/>
  <c r="AH163" i="23" s="1"/>
  <c r="AI29" i="23"/>
  <c r="AH29" i="23" s="1"/>
  <c r="AI46" i="23"/>
  <c r="AH46" i="23" s="1"/>
  <c r="AI342" i="23"/>
  <c r="AH342" i="23" s="1"/>
  <c r="AI355" i="23"/>
  <c r="AH355" i="23" s="1"/>
  <c r="AI21" i="23"/>
  <c r="AH21" i="23" s="1"/>
  <c r="AI292" i="23"/>
  <c r="AH292" i="23" s="1"/>
  <c r="AI217" i="23"/>
  <c r="AH217" i="23" s="1"/>
  <c r="AI83" i="23"/>
  <c r="AH83" i="23" s="1"/>
  <c r="AI348" i="23"/>
  <c r="AH348" i="23" s="1"/>
  <c r="AI338" i="23"/>
  <c r="AH338" i="23" s="1"/>
  <c r="AI295" i="23"/>
  <c r="AH295" i="23" s="1"/>
  <c r="AI102" i="23"/>
  <c r="AH102" i="23" s="1"/>
  <c r="AI346" i="23"/>
  <c r="AH346" i="23" s="1"/>
  <c r="AI271" i="23"/>
  <c r="AH271" i="23" s="1"/>
  <c r="AI284" i="23"/>
  <c r="AH284" i="23" s="1"/>
  <c r="AI376" i="23"/>
  <c r="AH376" i="23" s="1"/>
  <c r="AI283" i="23"/>
  <c r="AH283" i="23" s="1"/>
  <c r="AI97" i="23"/>
  <c r="AH97" i="23" s="1"/>
  <c r="AI193" i="23"/>
  <c r="AH193" i="23" s="1"/>
  <c r="AI299" i="23"/>
  <c r="AH299" i="23" s="1"/>
  <c r="AI189" i="23"/>
  <c r="AH189" i="23" s="1"/>
  <c r="AI190" i="23"/>
  <c r="AH190" i="23" s="1"/>
  <c r="AI78" i="23"/>
  <c r="AH78" i="23" s="1"/>
  <c r="AI141" i="23"/>
  <c r="AH141" i="23" s="1"/>
  <c r="AI206" i="23"/>
  <c r="AH206" i="23" s="1"/>
  <c r="AI110" i="23"/>
  <c r="AH110" i="23" s="1"/>
  <c r="I274" i="22"/>
  <c r="H274" i="23" s="1"/>
  <c r="J274" i="22"/>
  <c r="G29" i="22"/>
  <c r="CC29" i="6" s="1"/>
  <c r="AA29" i="22"/>
  <c r="Z29" i="22" s="1"/>
  <c r="Y29" i="22" s="1"/>
  <c r="D119" i="23"/>
  <c r="E119" i="23" s="1"/>
  <c r="F119" i="23" s="1"/>
  <c r="D88" i="23"/>
  <c r="E88" i="23" s="1"/>
  <c r="F88" i="23" s="1"/>
  <c r="I196" i="22"/>
  <c r="H196" i="23" s="1"/>
  <c r="I196" i="23" s="1"/>
  <c r="J138" i="22"/>
  <c r="J319" i="22"/>
  <c r="J227" i="22"/>
  <c r="I95" i="22"/>
  <c r="I108" i="22"/>
  <c r="H108" i="23" s="1"/>
  <c r="J108" i="22"/>
  <c r="W60" i="22"/>
  <c r="D60" i="22"/>
  <c r="E60" i="22" s="1"/>
  <c r="F60" i="22" s="1"/>
  <c r="J234" i="22"/>
  <c r="I234" i="22"/>
  <c r="H234" i="23" s="1"/>
  <c r="I346" i="22"/>
  <c r="J346" i="22"/>
  <c r="I134" i="22"/>
  <c r="H134" i="23" s="1"/>
  <c r="J134" i="22"/>
  <c r="I294" i="22"/>
  <c r="H294" i="23" s="1"/>
  <c r="J294" i="22"/>
  <c r="J58" i="22"/>
  <c r="I58" i="22"/>
  <c r="J340" i="22"/>
  <c r="I340" i="22"/>
  <c r="H340" i="23" s="1"/>
  <c r="J168" i="22"/>
  <c r="I168" i="22"/>
  <c r="J354" i="22"/>
  <c r="I354" i="22"/>
  <c r="H354" i="23" s="1"/>
  <c r="J317" i="22"/>
  <c r="I317" i="22"/>
  <c r="H317" i="23" s="1"/>
  <c r="I194" i="22"/>
  <c r="H194" i="23" s="1"/>
  <c r="J194" i="22"/>
  <c r="I137" i="22"/>
  <c r="H137" i="23" s="1"/>
  <c r="J137" i="22"/>
  <c r="I45" i="22"/>
  <c r="H45" i="23" s="1"/>
  <c r="J45" i="22"/>
  <c r="J298" i="22"/>
  <c r="I298" i="22"/>
  <c r="H298" i="23" s="1"/>
  <c r="J206" i="22"/>
  <c r="I206" i="22"/>
  <c r="I348" i="22"/>
  <c r="H348" i="23" s="1"/>
  <c r="J348" i="22"/>
  <c r="J329" i="22"/>
  <c r="I329" i="22"/>
  <c r="H329" i="23" s="1"/>
  <c r="I145" i="22"/>
  <c r="J145" i="22"/>
  <c r="J303" i="22"/>
  <c r="I303" i="22"/>
  <c r="H303" i="23" s="1"/>
  <c r="J70" i="22"/>
  <c r="I70" i="22"/>
  <c r="H70" i="23" s="1"/>
  <c r="I269" i="22"/>
  <c r="J120" i="22"/>
  <c r="I120" i="22"/>
  <c r="J270" i="22"/>
  <c r="I270" i="22"/>
  <c r="H270" i="23" s="1"/>
  <c r="J368" i="22"/>
  <c r="I368" i="22"/>
  <c r="H368" i="23" s="1"/>
  <c r="J80" i="22"/>
  <c r="I80" i="22"/>
  <c r="H80" i="23" s="1"/>
  <c r="I325" i="22"/>
  <c r="H325" i="23" s="1"/>
  <c r="J325" i="22"/>
  <c r="I202" i="22"/>
  <c r="H202" i="23" s="1"/>
  <c r="J202" i="22"/>
  <c r="I47" i="22"/>
  <c r="H47" i="23" s="1"/>
  <c r="J47" i="22"/>
  <c r="I359" i="22"/>
  <c r="H359" i="23" s="1"/>
  <c r="J359" i="22"/>
  <c r="J114" i="22"/>
  <c r="I114" i="22"/>
  <c r="H114" i="23" s="1"/>
  <c r="J341" i="22"/>
  <c r="I341" i="22"/>
  <c r="H341" i="23" s="1"/>
  <c r="I211" i="22"/>
  <c r="H211" i="23" s="1"/>
  <c r="J211" i="22"/>
  <c r="J64" i="22"/>
  <c r="I64" i="22"/>
  <c r="I131" i="22"/>
  <c r="J131" i="22"/>
  <c r="J14" i="19"/>
  <c r="Z11" i="17"/>
  <c r="Z5" i="17" s="1"/>
  <c r="H14" i="19" s="1"/>
  <c r="AA11" i="17"/>
  <c r="AA5" i="17" s="1"/>
  <c r="I14" i="19" s="1"/>
  <c r="AK4" i="17"/>
  <c r="R14" i="19" s="1"/>
  <c r="N15" i="19" s="1"/>
  <c r="AM13" i="17"/>
  <c r="J204" i="22"/>
  <c r="I204" i="22"/>
  <c r="H204" i="23" s="1"/>
  <c r="I105" i="22"/>
  <c r="I343" i="22"/>
  <c r="H343" i="23" s="1"/>
  <c r="J343" i="22"/>
  <c r="I121" i="22"/>
  <c r="J121" i="22"/>
  <c r="J259" i="22"/>
  <c r="I259" i="22"/>
  <c r="I183" i="22"/>
  <c r="H183" i="23" s="1"/>
  <c r="J183" i="22"/>
  <c r="I309" i="22"/>
  <c r="J309" i="22"/>
  <c r="J132" i="22"/>
  <c r="I132" i="22"/>
  <c r="H132" i="23" s="1"/>
  <c r="I139" i="22"/>
  <c r="H139" i="23" s="1"/>
  <c r="J139" i="22"/>
  <c r="I39" i="22"/>
  <c r="J39" i="22"/>
  <c r="I192" i="22"/>
  <c r="H192" i="23" s="1"/>
  <c r="J192" i="22"/>
  <c r="J261" i="22"/>
  <c r="I261" i="22"/>
  <c r="H261" i="23" s="1"/>
  <c r="J296" i="22"/>
  <c r="I296" i="22"/>
  <c r="H296" i="23" s="1"/>
  <c r="I151" i="22"/>
  <c r="J174" i="22"/>
  <c r="I174" i="22"/>
  <c r="H174" i="23" s="1"/>
  <c r="I316" i="22"/>
  <c r="H316" i="23" s="1"/>
  <c r="J316" i="22"/>
  <c r="J295" i="22"/>
  <c r="I295" i="22"/>
  <c r="I67" i="22"/>
  <c r="J67" i="22"/>
  <c r="I251" i="22"/>
  <c r="J251" i="22"/>
  <c r="AA272" i="22"/>
  <c r="Z272" i="22" s="1"/>
  <c r="Y272" i="22" s="1"/>
  <c r="H272" i="22"/>
  <c r="G272" i="22"/>
  <c r="CC272" i="6" s="1"/>
  <c r="I82" i="22"/>
  <c r="H82" i="23" s="1"/>
  <c r="J82" i="22"/>
  <c r="J337" i="22"/>
  <c r="I337" i="22"/>
  <c r="J20" i="22"/>
  <c r="I20" i="22"/>
  <c r="H20" i="23" s="1"/>
  <c r="I147" i="22"/>
  <c r="H147" i="23" s="1"/>
  <c r="J147" i="22"/>
  <c r="I91" i="22"/>
  <c r="H91" i="23" s="1"/>
  <c r="J91" i="22"/>
  <c r="J283" i="22"/>
  <c r="I283" i="22"/>
  <c r="H283" i="23" s="1"/>
  <c r="J98" i="22"/>
  <c r="I98" i="22"/>
  <c r="J189" i="22"/>
  <c r="I189" i="22"/>
  <c r="H189" i="23" s="1"/>
  <c r="I31" i="22"/>
  <c r="J31" i="22"/>
  <c r="I327" i="22"/>
  <c r="J327" i="22"/>
  <c r="I265" i="22"/>
  <c r="J265" i="22"/>
  <c r="I223" i="22"/>
  <c r="J223" i="22"/>
  <c r="J116" i="22"/>
  <c r="I116" i="22"/>
  <c r="I249" i="22"/>
  <c r="J249" i="22"/>
  <c r="I16" i="22"/>
  <c r="H16" i="23" s="1"/>
  <c r="J16" i="22"/>
  <c r="J166" i="22"/>
  <c r="J185" i="22"/>
  <c r="I185" i="22"/>
  <c r="I164" i="22"/>
  <c r="J164" i="22"/>
  <c r="I291" i="22"/>
  <c r="H291" i="23" s="1"/>
  <c r="J291" i="22"/>
  <c r="J89" i="22"/>
  <c r="I89" i="22"/>
  <c r="H89" i="23" s="1"/>
  <c r="G258" i="22"/>
  <c r="CC258" i="6" s="1"/>
  <c r="AA258" i="22"/>
  <c r="Z258" i="22" s="1"/>
  <c r="Y258" i="22" s="1"/>
  <c r="H258" i="22"/>
  <c r="I254" i="22"/>
  <c r="J254" i="22"/>
  <c r="J107" i="22"/>
  <c r="I107" i="22"/>
  <c r="H107" i="23" s="1"/>
  <c r="I292" i="22"/>
  <c r="H292" i="23" s="1"/>
  <c r="J292" i="22"/>
  <c r="I182" i="22"/>
  <c r="H182" i="23" s="1"/>
  <c r="J182" i="22"/>
  <c r="I57" i="22"/>
  <c r="H57" i="23" s="1"/>
  <c r="J57" i="22"/>
  <c r="I156" i="22"/>
  <c r="H156" i="23" s="1"/>
  <c r="J156" i="22"/>
  <c r="J306" i="22"/>
  <c r="I306" i="22"/>
  <c r="H306" i="23" s="1"/>
  <c r="J49" i="22"/>
  <c r="I49" i="22"/>
  <c r="H49" i="23" s="1"/>
  <c r="I301" i="22"/>
  <c r="J301" i="22"/>
  <c r="J159" i="22"/>
  <c r="I159" i="22"/>
  <c r="H159" i="23" s="1"/>
  <c r="D180" i="22"/>
  <c r="E180" i="22" s="1"/>
  <c r="F180" i="22" s="1"/>
  <c r="W180" i="22"/>
  <c r="I21" i="22"/>
  <c r="J21" i="22"/>
  <c r="I203" i="22"/>
  <c r="H203" i="23" s="1"/>
  <c r="J203" i="22"/>
  <c r="I84" i="22"/>
  <c r="H84" i="23" s="1"/>
  <c r="J84" i="22"/>
  <c r="I243" i="22"/>
  <c r="H243" i="23" s="1"/>
  <c r="J243" i="22"/>
  <c r="I335" i="22"/>
  <c r="H335" i="23" s="1"/>
  <c r="J335" i="22"/>
  <c r="I157" i="22"/>
  <c r="H157" i="23" s="1"/>
  <c r="J157" i="22"/>
  <c r="I63" i="22"/>
  <c r="H63" i="23" s="1"/>
  <c r="J63" i="22"/>
  <c r="I277" i="22"/>
  <c r="H277" i="23" s="1"/>
  <c r="J277" i="22"/>
  <c r="J176" i="22"/>
  <c r="I176" i="22"/>
  <c r="H176" i="23" s="1"/>
  <c r="I191" i="22"/>
  <c r="J191" i="22"/>
  <c r="I315" i="22"/>
  <c r="H315" i="23" s="1"/>
  <c r="J315" i="22"/>
  <c r="J110" i="22"/>
  <c r="I110" i="22"/>
  <c r="H110" i="23" s="1"/>
  <c r="J217" i="22"/>
  <c r="I217" i="22"/>
  <c r="H217" i="23" s="1"/>
  <c r="J48" i="22"/>
  <c r="I48" i="22"/>
  <c r="I375" i="22"/>
  <c r="J375" i="22"/>
  <c r="I235" i="22"/>
  <c r="H235" i="23" s="1"/>
  <c r="J235" i="22"/>
  <c r="I93" i="22"/>
  <c r="H93" i="23" s="1"/>
  <c r="J93" i="22"/>
  <c r="I262" i="22"/>
  <c r="J262" i="22"/>
  <c r="B66" i="19"/>
  <c r="V380" i="20"/>
  <c r="V382" i="20" s="1"/>
  <c r="J122" i="22"/>
  <c r="I90" i="22"/>
  <c r="J104" i="22"/>
  <c r="I104" i="22"/>
  <c r="J282" i="22"/>
  <c r="I282" i="22"/>
  <c r="H282" i="23" s="1"/>
  <c r="J266" i="22"/>
  <c r="J24" i="22"/>
  <c r="I24" i="22"/>
  <c r="J85" i="22"/>
  <c r="I85" i="22"/>
  <c r="I169" i="22"/>
  <c r="J169" i="22"/>
  <c r="I378" i="22"/>
  <c r="H378" i="23" s="1"/>
  <c r="J378" i="22"/>
  <c r="J225" i="22"/>
  <c r="J369" i="22"/>
  <c r="I369" i="22"/>
  <c r="I34" i="22"/>
  <c r="H34" i="23" s="1"/>
  <c r="J34" i="22"/>
  <c r="W210" i="22"/>
  <c r="D210" i="22"/>
  <c r="E210" i="22" s="1"/>
  <c r="F210" i="22" s="1"/>
  <c r="I352" i="22"/>
  <c r="J352" i="22"/>
  <c r="D333" i="22"/>
  <c r="E333" i="22" s="1"/>
  <c r="F333" i="22" s="1"/>
  <c r="W333" i="22"/>
  <c r="J144" i="22"/>
  <c r="I144" i="22"/>
  <c r="H144" i="23" s="1"/>
  <c r="J73" i="22"/>
  <c r="I73" i="22"/>
  <c r="H73" i="23" s="1"/>
  <c r="J285" i="22"/>
  <c r="I285" i="22"/>
  <c r="H285" i="23" s="1"/>
  <c r="J170" i="22"/>
  <c r="I170" i="22"/>
  <c r="H170" i="23" s="1"/>
  <c r="I150" i="22"/>
  <c r="H150" i="23" s="1"/>
  <c r="J150" i="22"/>
  <c r="J161" i="22"/>
  <c r="G383" i="18"/>
  <c r="G12" i="18" s="1"/>
  <c r="G381" i="18"/>
  <c r="G382" i="18"/>
  <c r="F11" i="18"/>
  <c r="AB9" i="18"/>
  <c r="G15" i="19"/>
  <c r="I260" i="22"/>
  <c r="H260" i="23" s="1"/>
  <c r="J260" i="22"/>
  <c r="J153" i="22"/>
  <c r="I153" i="22"/>
  <c r="H153" i="23" s="1"/>
  <c r="I118" i="22"/>
  <c r="J118" i="22"/>
  <c r="J318" i="22"/>
  <c r="I318" i="22"/>
  <c r="H318" i="23" s="1"/>
  <c r="J160" i="22"/>
  <c r="I160" i="22"/>
  <c r="H160" i="23" s="1"/>
  <c r="J310" i="22"/>
  <c r="I310" i="22"/>
  <c r="H310" i="23" s="1"/>
  <c r="J293" i="22"/>
  <c r="I293" i="22"/>
  <c r="H293" i="23" s="1"/>
  <c r="I141" i="22"/>
  <c r="H141" i="23" s="1"/>
  <c r="J141" i="22"/>
  <c r="J331" i="22"/>
  <c r="I142" i="22"/>
  <c r="J142" i="22"/>
  <c r="I46" i="22"/>
  <c r="J237" i="22"/>
  <c r="I237" i="22"/>
  <c r="H237" i="23" s="1"/>
  <c r="J239" i="22"/>
  <c r="I239" i="22"/>
  <c r="I78" i="22"/>
  <c r="H78" i="23" s="1"/>
  <c r="J78" i="22"/>
  <c r="J205" i="22"/>
  <c r="I205" i="22"/>
  <c r="H205" i="23" s="1"/>
  <c r="I33" i="22"/>
  <c r="H33" i="23" s="1"/>
  <c r="J33" i="22"/>
  <c r="I102" i="22"/>
  <c r="H102" i="23" s="1"/>
  <c r="J102" i="22"/>
  <c r="I377" i="22"/>
  <c r="H377" i="23" s="1"/>
  <c r="J377" i="22"/>
  <c r="I68" i="22"/>
  <c r="H68" i="23" s="1"/>
  <c r="J68" i="22"/>
  <c r="I198" i="22"/>
  <c r="H198" i="23" s="1"/>
  <c r="J198" i="22"/>
  <c r="J175" i="22"/>
  <c r="I175" i="22"/>
  <c r="W380" i="22"/>
  <c r="D380" i="22"/>
  <c r="E380" i="22" s="1"/>
  <c r="F380" i="22" s="1"/>
  <c r="J83" i="22"/>
  <c r="I83" i="22"/>
  <c r="I238" i="22"/>
  <c r="H238" i="23" s="1"/>
  <c r="J238" i="22"/>
  <c r="J92" i="22"/>
  <c r="I92" i="22"/>
  <c r="J216" i="22"/>
  <c r="I216" i="22"/>
  <c r="H216" i="23" s="1"/>
  <c r="I23" i="22"/>
  <c r="H23" i="23" s="1"/>
  <c r="J23" i="22"/>
  <c r="J358" i="22"/>
  <c r="I358" i="22"/>
  <c r="J275" i="22"/>
  <c r="I275" i="22"/>
  <c r="H275" i="23" s="1"/>
  <c r="J133" i="22"/>
  <c r="I133" i="22"/>
  <c r="H133" i="23" s="1"/>
  <c r="I155" i="22"/>
  <c r="H155" i="23" s="1"/>
  <c r="J155" i="22"/>
  <c r="J167" i="22"/>
  <c r="I167" i="22"/>
  <c r="H167" i="23" s="1"/>
  <c r="J106" i="22"/>
  <c r="I106" i="22"/>
  <c r="I19" i="22"/>
  <c r="H19" i="23" s="1"/>
  <c r="J19" i="22"/>
  <c r="J30" i="22"/>
  <c r="I30" i="22"/>
  <c r="H30" i="23" s="1"/>
  <c r="J263" i="22"/>
  <c r="I263" i="22"/>
  <c r="H263" i="23" s="1"/>
  <c r="I179" i="22"/>
  <c r="J179" i="22"/>
  <c r="J72" i="22"/>
  <c r="I72" i="22"/>
  <c r="H72" i="23" s="1"/>
  <c r="I69" i="22"/>
  <c r="H69" i="23" s="1"/>
  <c r="J69" i="22"/>
  <c r="J87" i="22"/>
  <c r="J373" i="22"/>
  <c r="I220" i="22"/>
  <c r="H220" i="23" s="1"/>
  <c r="J220" i="22"/>
  <c r="J370" i="22"/>
  <c r="I370" i="22"/>
  <c r="H370" i="23" s="1"/>
  <c r="I36" i="22"/>
  <c r="H36" i="23" s="1"/>
  <c r="J36" i="22"/>
  <c r="I349" i="22"/>
  <c r="J51" i="22"/>
  <c r="I51" i="22"/>
  <c r="H51" i="23" s="1"/>
  <c r="J154" i="22"/>
  <c r="I154" i="22"/>
  <c r="H154" i="23" s="1"/>
  <c r="I299" i="22"/>
  <c r="H299" i="23" s="1"/>
  <c r="J299" i="22"/>
  <c r="J326" i="22"/>
  <c r="I326" i="22"/>
  <c r="H326" i="23" s="1"/>
  <c r="I128" i="22"/>
  <c r="J128" i="22"/>
  <c r="J37" i="22"/>
  <c r="I37" i="22"/>
  <c r="H37" i="23" s="1"/>
  <c r="I148" i="22"/>
  <c r="J148" i="22"/>
  <c r="J245" i="22"/>
  <c r="I245" i="22"/>
  <c r="H245" i="23" s="1"/>
  <c r="I94" i="22"/>
  <c r="J94" i="22"/>
  <c r="I280" i="22"/>
  <c r="H280" i="23" s="1"/>
  <c r="J280" i="22"/>
  <c r="I324" i="22"/>
  <c r="H324" i="23" s="1"/>
  <c r="J324" i="22"/>
  <c r="J117" i="22"/>
  <c r="I117" i="22"/>
  <c r="H117" i="23" s="1"/>
  <c r="J136" i="22"/>
  <c r="I136" i="22"/>
  <c r="I129" i="22"/>
  <c r="H129" i="23" s="1"/>
  <c r="J129" i="22"/>
  <c r="J158" i="22"/>
  <c r="I158" i="22"/>
  <c r="I187" i="22"/>
  <c r="H187" i="23" s="1"/>
  <c r="J187" i="22"/>
  <c r="AL13" i="17"/>
  <c r="AJ3" i="17"/>
  <c r="O14" i="19" s="1"/>
  <c r="M14" i="19" s="1"/>
  <c r="J86" i="22"/>
  <c r="I86" i="22"/>
  <c r="J244" i="22"/>
  <c r="I244" i="22"/>
  <c r="H244" i="23" s="1"/>
  <c r="I27" i="22"/>
  <c r="H27" i="23" s="1"/>
  <c r="J367" i="22"/>
  <c r="I367" i="22"/>
  <c r="H367" i="23" s="1"/>
  <c r="I286" i="22"/>
  <c r="H286" i="23" s="1"/>
  <c r="J286" i="22"/>
  <c r="I334" i="22"/>
  <c r="H334" i="23" s="1"/>
  <c r="J334" i="22"/>
  <c r="D149" i="22"/>
  <c r="W149" i="22"/>
  <c r="J307" i="22"/>
  <c r="I307" i="22"/>
  <c r="H307" i="23" s="1"/>
  <c r="J308" i="22"/>
  <c r="I308" i="22"/>
  <c r="I59" i="22"/>
  <c r="H59" i="23" s="1"/>
  <c r="J273" i="22"/>
  <c r="I273" i="22"/>
  <c r="H273" i="23" s="1"/>
  <c r="I330" i="22"/>
  <c r="H330" i="23" s="1"/>
  <c r="J330" i="22"/>
  <c r="J162" i="22"/>
  <c r="I162" i="22"/>
  <c r="H162" i="23" s="1"/>
  <c r="I264" i="22"/>
  <c r="J264" i="22"/>
  <c r="J126" i="22"/>
  <c r="I126" i="22"/>
  <c r="I342" i="22"/>
  <c r="H342" i="23" s="1"/>
  <c r="J342" i="22"/>
  <c r="J127" i="22"/>
  <c r="I127" i="22"/>
  <c r="J22" i="22"/>
  <c r="I22" i="22"/>
  <c r="J212" i="22"/>
  <c r="I212" i="22"/>
  <c r="H212" i="23" s="1"/>
  <c r="J178" i="22"/>
  <c r="I178" i="22"/>
  <c r="H178" i="23" s="1"/>
  <c r="J172" i="22"/>
  <c r="I172" i="22"/>
  <c r="J42" i="22"/>
  <c r="I42" i="22"/>
  <c r="H42" i="23" s="1"/>
  <c r="J255" i="22"/>
  <c r="I255" i="22"/>
  <c r="I339" i="22"/>
  <c r="J339" i="22"/>
  <c r="J197" i="22"/>
  <c r="I197" i="22"/>
  <c r="H197" i="23" s="1"/>
  <c r="J40" i="22"/>
  <c r="I40" i="22"/>
  <c r="H40" i="23" s="1"/>
  <c r="I276" i="22"/>
  <c r="H276" i="23" s="1"/>
  <c r="J276" i="22"/>
  <c r="I62" i="22"/>
  <c r="H62" i="23" s="1"/>
  <c r="I279" i="22"/>
  <c r="H279" i="23" s="1"/>
  <c r="J279" i="22"/>
  <c r="I313" i="22"/>
  <c r="H313" i="23" s="1"/>
  <c r="J313" i="22"/>
  <c r="I163" i="22"/>
  <c r="H163" i="23" s="1"/>
  <c r="I284" i="22"/>
  <c r="H284" i="23" s="1"/>
  <c r="J284" i="22"/>
  <c r="I208" i="22"/>
  <c r="J208" i="22"/>
  <c r="J173" i="22"/>
  <c r="I173" i="22"/>
  <c r="H173" i="23" s="1"/>
  <c r="I44" i="22"/>
  <c r="H44" i="23" s="1"/>
  <c r="J44" i="22"/>
  <c r="I353" i="22"/>
  <c r="H353" i="23" s="1"/>
  <c r="J353" i="22"/>
  <c r="J224" i="22"/>
  <c r="I224" i="22"/>
  <c r="H224" i="23" s="1"/>
  <c r="J374" i="22"/>
  <c r="I374" i="22"/>
  <c r="J18" i="22"/>
  <c r="I18" i="22"/>
  <c r="I361" i="22"/>
  <c r="H361" i="23" s="1"/>
  <c r="J361" i="22"/>
  <c r="J379" i="20"/>
  <c r="C379" i="6" s="1"/>
  <c r="I379" i="20"/>
  <c r="B379" i="6" s="1"/>
  <c r="BA379" i="6" s="1"/>
  <c r="AM4" i="6" s="1"/>
  <c r="I195" i="22"/>
  <c r="H195" i="23" s="1"/>
  <c r="J195" i="22"/>
  <c r="I247" i="22"/>
  <c r="H247" i="23" s="1"/>
  <c r="J247" i="22"/>
  <c r="D363" i="22"/>
  <c r="E363" i="22" s="1"/>
  <c r="F363" i="22" s="1"/>
  <c r="W363" i="22"/>
  <c r="J56" i="22"/>
  <c r="I56" i="22"/>
  <c r="H56" i="23" s="1"/>
  <c r="I213" i="22"/>
  <c r="H213" i="23" s="1"/>
  <c r="J213" i="22"/>
  <c r="J109" i="22"/>
  <c r="I109" i="22"/>
  <c r="H109" i="23" s="1"/>
  <c r="J66" i="22"/>
  <c r="I66" i="22"/>
  <c r="J201" i="22"/>
  <c r="I201" i="22"/>
  <c r="I25" i="22"/>
  <c r="H25" i="23" s="1"/>
  <c r="J25" i="22"/>
  <c r="I188" i="22"/>
  <c r="H188" i="23" s="1"/>
  <c r="J188" i="22"/>
  <c r="J338" i="22"/>
  <c r="I338" i="22"/>
  <c r="H338" i="23" s="1"/>
  <c r="I186" i="22"/>
  <c r="J186" i="22"/>
  <c r="I290" i="22"/>
  <c r="H290" i="23" s="1"/>
  <c r="J290" i="22"/>
  <c r="U66" i="24"/>
  <c r="T66" i="24" s="1"/>
  <c r="S66" i="24" s="1"/>
  <c r="R66" i="24" s="1"/>
  <c r="U192" i="24"/>
  <c r="T192" i="24" s="1"/>
  <c r="S192" i="24" s="1"/>
  <c r="R192" i="24" s="1"/>
  <c r="AY16" i="7"/>
  <c r="U19" i="24"/>
  <c r="T19" i="24" s="1"/>
  <c r="S19" i="24" s="1"/>
  <c r="R19" i="24" s="1"/>
  <c r="U88" i="24"/>
  <c r="T88" i="24" s="1"/>
  <c r="S88" i="24" s="1"/>
  <c r="R88" i="24" s="1"/>
  <c r="U176" i="24"/>
  <c r="T176" i="24" s="1"/>
  <c r="S176" i="24" s="1"/>
  <c r="R176" i="24" s="1"/>
  <c r="U64" i="24"/>
  <c r="T64" i="24" s="1"/>
  <c r="S64" i="24" s="1"/>
  <c r="R64" i="24" s="1"/>
  <c r="U168" i="24"/>
  <c r="T168" i="24" s="1"/>
  <c r="S168" i="24" s="1"/>
  <c r="R168" i="24" s="1"/>
  <c r="U114" i="24"/>
  <c r="T114" i="24" s="1"/>
  <c r="S114" i="24" s="1"/>
  <c r="R114" i="24" s="1"/>
  <c r="U295" i="24"/>
  <c r="T295" i="24" s="1"/>
  <c r="S295" i="24" s="1"/>
  <c r="R295" i="24" s="1"/>
  <c r="U38" i="24"/>
  <c r="T38" i="24" s="1"/>
  <c r="S38" i="24" s="1"/>
  <c r="R38" i="24" s="1"/>
  <c r="U82" i="24"/>
  <c r="T82" i="24" s="1"/>
  <c r="S82" i="24" s="1"/>
  <c r="R82" i="24" s="1"/>
  <c r="U258" i="24"/>
  <c r="T258" i="24" s="1"/>
  <c r="S258" i="24" s="1"/>
  <c r="R258" i="24" s="1"/>
  <c r="U364" i="24"/>
  <c r="T364" i="24" s="1"/>
  <c r="S364" i="24" s="1"/>
  <c r="R364" i="24" s="1"/>
  <c r="U115" i="24"/>
  <c r="T115" i="24" s="1"/>
  <c r="S115" i="24" s="1"/>
  <c r="R115" i="24" s="1"/>
  <c r="T381" i="23"/>
  <c r="T382" i="23"/>
  <c r="S15" i="23"/>
  <c r="T383" i="23"/>
  <c r="J288" i="22"/>
  <c r="I231" i="22"/>
  <c r="J231" i="22"/>
  <c r="J242" i="22"/>
  <c r="I242" i="22"/>
  <c r="H242" i="23" s="1"/>
  <c r="J257" i="22"/>
  <c r="I257" i="22"/>
  <c r="H257" i="23" s="1"/>
  <c r="J28" i="22"/>
  <c r="I28" i="22"/>
  <c r="H28" i="23" s="1"/>
  <c r="I320" i="22"/>
  <c r="H320" i="23" s="1"/>
  <c r="J320" i="22"/>
  <c r="I71" i="22"/>
  <c r="J71" i="22"/>
  <c r="W302" i="22"/>
  <c r="D302" i="22"/>
  <c r="E302" i="22" s="1"/>
  <c r="F302" i="22" s="1"/>
  <c r="J61" i="22"/>
  <c r="I61" i="22"/>
  <c r="H61" i="23" s="1"/>
  <c r="I267" i="22"/>
  <c r="H267" i="23" s="1"/>
  <c r="J267" i="22"/>
  <c r="I314" i="22"/>
  <c r="J314" i="22"/>
  <c r="I289" i="22"/>
  <c r="J289" i="22"/>
  <c r="I75" i="22"/>
  <c r="J75" i="22"/>
  <c r="W241" i="22"/>
  <c r="D241" i="22"/>
  <c r="E241" i="22" s="1"/>
  <c r="F241" i="22" s="1"/>
  <c r="I366" i="22"/>
  <c r="H366" i="23" s="1"/>
  <c r="J366" i="22"/>
  <c r="J253" i="22"/>
  <c r="I253" i="22"/>
  <c r="I103" i="22"/>
  <c r="J103" i="22"/>
  <c r="I130" i="22"/>
  <c r="H130" i="23" s="1"/>
  <c r="J130" i="22"/>
  <c r="J350" i="22"/>
  <c r="J199" i="22"/>
  <c r="I199" i="22"/>
  <c r="H199" i="23" s="1"/>
  <c r="I332" i="22"/>
  <c r="H332" i="23" s="1"/>
  <c r="J332" i="22"/>
  <c r="I81" i="22"/>
  <c r="J81" i="22"/>
  <c r="J312" i="22"/>
  <c r="I312" i="22"/>
  <c r="H312" i="23" s="1"/>
  <c r="I365" i="22"/>
  <c r="H365" i="23" s="1"/>
  <c r="J365" i="22"/>
  <c r="I278" i="22"/>
  <c r="J278" i="22"/>
  <c r="J207" i="22"/>
  <c r="I207" i="22"/>
  <c r="H207" i="23" s="1"/>
  <c r="J236" i="22"/>
  <c r="I236" i="22"/>
  <c r="H236" i="23" s="1"/>
  <c r="I50" i="22"/>
  <c r="H50" i="23" s="1"/>
  <c r="J50" i="22"/>
  <c r="J271" i="22"/>
  <c r="I271" i="22"/>
  <c r="H271" i="23" s="1"/>
  <c r="J218" i="22"/>
  <c r="I218" i="22"/>
  <c r="H218" i="23" s="1"/>
  <c r="I376" i="22"/>
  <c r="H376" i="23" s="1"/>
  <c r="J376" i="22"/>
  <c r="D88" i="22"/>
  <c r="E88" i="22" s="1"/>
  <c r="F88" i="22" s="1"/>
  <c r="W88" i="22"/>
  <c r="J112" i="22"/>
  <c r="I112" i="22"/>
  <c r="J140" i="22"/>
  <c r="I140" i="22"/>
  <c r="I336" i="22"/>
  <c r="H336" i="23" s="1"/>
  <c r="J336" i="22"/>
  <c r="I228" i="22"/>
  <c r="H228" i="23" s="1"/>
  <c r="J228" i="22"/>
  <c r="I364" i="22"/>
  <c r="H364" i="23" s="1"/>
  <c r="J364" i="22"/>
  <c r="I52" i="22"/>
  <c r="J52" i="22"/>
  <c r="I246" i="22"/>
  <c r="H246" i="23" s="1"/>
  <c r="J246" i="22"/>
  <c r="I357" i="22"/>
  <c r="H357" i="23" s="1"/>
  <c r="J357" i="22"/>
  <c r="J219" i="22"/>
  <c r="I219" i="22"/>
  <c r="H219" i="23" s="1"/>
  <c r="I226" i="22"/>
  <c r="H226" i="23" s="1"/>
  <c r="J226" i="22"/>
  <c r="J123" i="22"/>
  <c r="I123" i="22"/>
  <c r="H123" i="23" s="1"/>
  <c r="I165" i="22"/>
  <c r="H165" i="23" s="1"/>
  <c r="J165" i="22"/>
  <c r="W119" i="22"/>
  <c r="D119" i="22"/>
  <c r="E119" i="22" s="1"/>
  <c r="F119" i="22" s="1"/>
  <c r="I26" i="22"/>
  <c r="H26" i="23" s="1"/>
  <c r="J26" i="22"/>
  <c r="J300" i="22"/>
  <c r="I300" i="22"/>
  <c r="H300" i="23" s="1"/>
  <c r="J209" i="22"/>
  <c r="I209" i="22"/>
  <c r="H209" i="23" s="1"/>
  <c r="J101" i="22"/>
  <c r="I101" i="22"/>
  <c r="I304" i="22"/>
  <c r="J304" i="22"/>
  <c r="J32" i="22"/>
  <c r="I32" i="22"/>
  <c r="H32" i="23" s="1"/>
  <c r="J15" i="18"/>
  <c r="I15" i="18"/>
  <c r="AL9" i="18"/>
  <c r="AA383" i="18"/>
  <c r="AM8" i="18"/>
  <c r="AA382" i="18"/>
  <c r="AA381" i="18"/>
  <c r="AA9" i="18"/>
  <c r="Z15" i="18"/>
  <c r="AL8" i="18" s="1"/>
  <c r="J322" i="22"/>
  <c r="I322" i="22"/>
  <c r="H322" i="23" s="1"/>
  <c r="J77" i="22"/>
  <c r="I77" i="22"/>
  <c r="H77" i="23" s="1"/>
  <c r="J362" i="22"/>
  <c r="I362" i="22"/>
  <c r="H362" i="23" s="1"/>
  <c r="I214" i="22"/>
  <c r="J214" i="22"/>
  <c r="J372" i="22"/>
  <c r="I372" i="22"/>
  <c r="H372" i="23" s="1"/>
  <c r="I97" i="22"/>
  <c r="H97" i="23" s="1"/>
  <c r="J97" i="22"/>
  <c r="I256" i="22"/>
  <c r="H256" i="23" s="1"/>
  <c r="J256" i="22"/>
  <c r="J355" i="22"/>
  <c r="I355" i="22"/>
  <c r="I232" i="22"/>
  <c r="H232" i="23" s="1"/>
  <c r="J232" i="22"/>
  <c r="J190" i="22"/>
  <c r="I190" i="22"/>
  <c r="H190" i="23" s="1"/>
  <c r="J55" i="22"/>
  <c r="I55" i="22"/>
  <c r="H55" i="23" s="1"/>
  <c r="I65" i="22"/>
  <c r="H65" i="23" s="1"/>
  <c r="J65" i="22"/>
  <c r="J79" i="22"/>
  <c r="I79" i="22"/>
  <c r="H79" i="23" s="1"/>
  <c r="J115" i="22"/>
  <c r="I115" i="22"/>
  <c r="H115" i="23" s="1"/>
  <c r="J328" i="22"/>
  <c r="I328" i="22"/>
  <c r="H328" i="23" s="1"/>
  <c r="J250" i="22"/>
  <c r="I250" i="22"/>
  <c r="H250" i="23" s="1"/>
  <c r="J76" i="22"/>
  <c r="I76" i="22"/>
  <c r="H76" i="23" s="1"/>
  <c r="I200" i="22"/>
  <c r="H200" i="23" s="1"/>
  <c r="J200" i="22"/>
  <c r="I113" i="22"/>
  <c r="H113" i="23" s="1"/>
  <c r="J113" i="22"/>
  <c r="I99" i="22"/>
  <c r="H99" i="23" s="1"/>
  <c r="J99" i="22"/>
  <c r="I229" i="22"/>
  <c r="J229" i="22"/>
  <c r="J347" i="22"/>
  <c r="I347" i="22"/>
  <c r="H347" i="23" s="1"/>
  <c r="J215" i="22"/>
  <c r="I215" i="22"/>
  <c r="H215" i="23" s="1"/>
  <c r="I152" i="22"/>
  <c r="H152" i="23" s="1"/>
  <c r="J152" i="22"/>
  <c r="J356" i="22"/>
  <c r="I356" i="22"/>
  <c r="I297" i="22"/>
  <c r="J297" i="22"/>
  <c r="J268" i="22"/>
  <c r="I268" i="22"/>
  <c r="H268" i="23" s="1"/>
  <c r="R382" i="22"/>
  <c r="R381" i="22"/>
  <c r="R383" i="22"/>
  <c r="P15" i="22"/>
  <c r="G62" i="23"/>
  <c r="CD62" i="6" s="1"/>
  <c r="G118" i="23"/>
  <c r="CD118" i="6" s="1"/>
  <c r="G354" i="23"/>
  <c r="CD354" i="6" s="1"/>
  <c r="G80" i="23"/>
  <c r="CD80" i="6" s="1"/>
  <c r="G306" i="23"/>
  <c r="CD306" i="6" s="1"/>
  <c r="G217" i="23"/>
  <c r="CD217" i="6" s="1"/>
  <c r="G47" i="23"/>
  <c r="CD47" i="6" s="1"/>
  <c r="G63" i="23"/>
  <c r="CD63" i="6" s="1"/>
  <c r="G311" i="23"/>
  <c r="CD311" i="6" s="1"/>
  <c r="G147" i="23"/>
  <c r="CD147" i="6" s="1"/>
  <c r="G134" i="23"/>
  <c r="CD134" i="6" s="1"/>
  <c r="G17" i="23"/>
  <c r="CD17" i="6" s="1"/>
  <c r="H17" i="23"/>
  <c r="G178" i="23"/>
  <c r="CD178" i="6" s="1"/>
  <c r="G323" i="23"/>
  <c r="CD323" i="6" s="1"/>
  <c r="G366" i="23"/>
  <c r="CD366" i="6" s="1"/>
  <c r="G256" i="23"/>
  <c r="CD256" i="6" s="1"/>
  <c r="H305" i="23"/>
  <c r="G305" i="23"/>
  <c r="CD305" i="6" s="1"/>
  <c r="G77" i="23"/>
  <c r="CD77" i="6" s="1"/>
  <c r="G70" i="23"/>
  <c r="CD70" i="6" s="1"/>
  <c r="G329" i="23"/>
  <c r="CD329" i="6" s="1"/>
  <c r="G107" i="23"/>
  <c r="CD107" i="6" s="1"/>
  <c r="G348" i="23"/>
  <c r="CD348" i="6" s="1"/>
  <c r="G102" i="23"/>
  <c r="CD102" i="6" s="1"/>
  <c r="G245" i="23"/>
  <c r="CD245" i="6" s="1"/>
  <c r="G69" i="23"/>
  <c r="CD69" i="6" s="1"/>
  <c r="G279" i="23"/>
  <c r="CD279" i="6" s="1"/>
  <c r="G28" i="23"/>
  <c r="CD28" i="6" s="1"/>
  <c r="G321" i="23"/>
  <c r="CD321" i="6" s="1"/>
  <c r="G274" i="23"/>
  <c r="CD274" i="6" s="1"/>
  <c r="G148" i="23"/>
  <c r="CD148" i="6" s="1"/>
  <c r="G207" i="23"/>
  <c r="CD207" i="6" s="1"/>
  <c r="G359" i="23"/>
  <c r="CD359" i="6" s="1"/>
  <c r="G30" i="23"/>
  <c r="CD30" i="6" s="1"/>
  <c r="G303" i="23"/>
  <c r="CD303" i="6" s="1"/>
  <c r="G286" i="23"/>
  <c r="CD286" i="6" s="1"/>
  <c r="H146" i="23"/>
  <c r="G157" i="23"/>
  <c r="CD157" i="6" s="1"/>
  <c r="G200" i="23"/>
  <c r="CD200" i="6" s="1"/>
  <c r="G267" i="23"/>
  <c r="CD267" i="6" s="1"/>
  <c r="G340" i="23"/>
  <c r="CD340" i="6" s="1"/>
  <c r="G78" i="23"/>
  <c r="CD78" i="6" s="1"/>
  <c r="G313" i="23"/>
  <c r="CD313" i="6" s="1"/>
  <c r="F68" i="19"/>
  <c r="G238" i="23"/>
  <c r="CD238" i="6" s="1"/>
  <c r="G353" i="23"/>
  <c r="CD353" i="6" s="1"/>
  <c r="G347" i="23"/>
  <c r="CD347" i="6" s="1"/>
  <c r="G189" i="23"/>
  <c r="CD189" i="6" s="1"/>
  <c r="G137" i="23"/>
  <c r="CD137" i="6" s="1"/>
  <c r="G160" i="23"/>
  <c r="CD160" i="6" s="1"/>
  <c r="G281" i="23"/>
  <c r="CD281" i="6" s="1"/>
  <c r="H281" i="23"/>
  <c r="G37" i="23"/>
  <c r="CD37" i="6" s="1"/>
  <c r="G370" i="23"/>
  <c r="CD370" i="6" s="1"/>
  <c r="G260" i="23"/>
  <c r="CD260" i="6" s="1"/>
  <c r="G91" i="23"/>
  <c r="CD91" i="6" s="1"/>
  <c r="G125" i="23"/>
  <c r="CD125" i="6" s="1"/>
  <c r="G162" i="23"/>
  <c r="CD162" i="6" s="1"/>
  <c r="G25" i="23"/>
  <c r="CD25" i="6" s="1"/>
  <c r="G288" i="23"/>
  <c r="CD288" i="6" s="1"/>
  <c r="G36" i="23"/>
  <c r="CD36" i="6" s="1"/>
  <c r="G367" i="23"/>
  <c r="CD367" i="6" s="1"/>
  <c r="H41" i="23"/>
  <c r="G41" i="23"/>
  <c r="CD41" i="6" s="1"/>
  <c r="G142" i="23"/>
  <c r="CD142" i="6" s="1"/>
  <c r="G343" i="23"/>
  <c r="CD343" i="6" s="1"/>
  <c r="G87" i="23"/>
  <c r="CD87" i="6" s="1"/>
  <c r="G110" i="23"/>
  <c r="CD110" i="6" s="1"/>
  <c r="G335" i="23"/>
  <c r="CD335" i="6" s="1"/>
  <c r="G130" i="23"/>
  <c r="CD130" i="6" s="1"/>
  <c r="G165" i="23"/>
  <c r="CD165" i="6" s="1"/>
  <c r="G280" i="23"/>
  <c r="CD280" i="6" s="1"/>
  <c r="G65" i="23"/>
  <c r="CD65" i="6" s="1"/>
  <c r="G123" i="23"/>
  <c r="CD123" i="6" s="1"/>
  <c r="G176" i="23"/>
  <c r="CD176" i="6" s="1"/>
  <c r="G328" i="23"/>
  <c r="CD328" i="6" s="1"/>
  <c r="G331" i="23"/>
  <c r="CD331" i="6" s="1"/>
  <c r="G261" i="23"/>
  <c r="CD261" i="6" s="1"/>
  <c r="G163" i="23"/>
  <c r="CD163" i="6" s="1"/>
  <c r="G184" i="23"/>
  <c r="CD184" i="6" s="1"/>
  <c r="G275" i="23"/>
  <c r="CD275" i="6" s="1"/>
  <c r="G263" i="23"/>
  <c r="CD263" i="6" s="1"/>
  <c r="G51" i="23"/>
  <c r="CD51" i="6" s="1"/>
  <c r="G299" i="23"/>
  <c r="CD299" i="6" s="1"/>
  <c r="G133" i="23"/>
  <c r="CD133" i="6" s="1"/>
  <c r="D68" i="19"/>
  <c r="G109" i="23"/>
  <c r="CD109" i="6" s="1"/>
  <c r="G344" i="23"/>
  <c r="CD344" i="6" s="1"/>
  <c r="H344" i="23"/>
  <c r="G287" i="23"/>
  <c r="CD287" i="6" s="1"/>
  <c r="H222" i="23"/>
  <c r="G222" i="23"/>
  <c r="CD222" i="6" s="1"/>
  <c r="G216" i="23"/>
  <c r="CD216" i="6" s="1"/>
  <c r="G273" i="23"/>
  <c r="CD273" i="6" s="1"/>
  <c r="G97" i="23"/>
  <c r="CD97" i="6" s="1"/>
  <c r="G187" i="23"/>
  <c r="CD187" i="6" s="1"/>
  <c r="G170" i="23"/>
  <c r="CD170" i="6" s="1"/>
  <c r="G232" i="23"/>
  <c r="CD232" i="6" s="1"/>
  <c r="G293" i="23"/>
  <c r="CD293" i="6" s="1"/>
  <c r="G40" i="23"/>
  <c r="CD40" i="6" s="1"/>
  <c r="G243" i="23"/>
  <c r="CD243" i="6" s="1"/>
  <c r="E68" i="19"/>
  <c r="G361" i="23"/>
  <c r="CD361" i="6" s="1"/>
  <c r="G338" i="23"/>
  <c r="CD338" i="6" s="1"/>
  <c r="G26" i="23"/>
  <c r="CD26" i="6" s="1"/>
  <c r="G183" i="23"/>
  <c r="CD183" i="6" s="1"/>
  <c r="G156" i="23"/>
  <c r="CD156" i="6" s="1"/>
  <c r="G317" i="23"/>
  <c r="CD317" i="6" s="1"/>
  <c r="G324" i="23"/>
  <c r="CD324" i="6" s="1"/>
  <c r="G277" i="23"/>
  <c r="CD277" i="6" s="1"/>
  <c r="G182" i="23"/>
  <c r="CD182" i="6" s="1"/>
  <c r="G195" i="23"/>
  <c r="CD195" i="6" s="1"/>
  <c r="G99" i="23"/>
  <c r="CD99" i="6" s="1"/>
  <c r="G141" i="23"/>
  <c r="CD141" i="6" s="1"/>
  <c r="G50" i="23"/>
  <c r="CD50" i="6" s="1"/>
  <c r="G282" i="23"/>
  <c r="CD282" i="6" s="1"/>
  <c r="G167" i="23"/>
  <c r="CD167" i="6" s="1"/>
  <c r="G220" i="23"/>
  <c r="CD220" i="6" s="1"/>
  <c r="G198" i="23"/>
  <c r="CD198" i="6" s="1"/>
  <c r="G228" i="23"/>
  <c r="CD228" i="6" s="1"/>
  <c r="G247" i="23"/>
  <c r="CD247" i="6" s="1"/>
  <c r="G143" i="23"/>
  <c r="CD143" i="6" s="1"/>
  <c r="H143" i="23"/>
  <c r="G16" i="23"/>
  <c r="CD16" i="6" s="1"/>
  <c r="G159" i="23"/>
  <c r="CD159" i="6" s="1"/>
  <c r="G204" i="23"/>
  <c r="CD204" i="6" s="1"/>
  <c r="G235" i="23"/>
  <c r="CD235" i="6" s="1"/>
  <c r="G325" i="23"/>
  <c r="CD325" i="6" s="1"/>
  <c r="G82" i="23"/>
  <c r="CD82" i="6" s="1"/>
  <c r="G153" i="23"/>
  <c r="CD153" i="6" s="1"/>
  <c r="G250" i="23"/>
  <c r="CD250" i="6" s="1"/>
  <c r="G257" i="23"/>
  <c r="CD257" i="6" s="1"/>
  <c r="G316" i="23"/>
  <c r="CD316" i="6" s="1"/>
  <c r="G56" i="23"/>
  <c r="CD56" i="6" s="1"/>
  <c r="G234" i="23"/>
  <c r="CD234" i="6" s="1"/>
  <c r="G199" i="23"/>
  <c r="CD199" i="6" s="1"/>
  <c r="G345" i="23"/>
  <c r="CD345" i="6" s="1"/>
  <c r="H345" i="23"/>
  <c r="G68" i="19"/>
  <c r="W349" i="23"/>
  <c r="D349" i="23"/>
  <c r="E349" i="23" s="1"/>
  <c r="F349" i="23" s="1"/>
  <c r="G242" i="23"/>
  <c r="CD242" i="6" s="1"/>
  <c r="G330" i="23"/>
  <c r="CD330" i="6" s="1"/>
  <c r="G237" i="23"/>
  <c r="CD237" i="6" s="1"/>
  <c r="G20" i="23"/>
  <c r="CD20" i="6" s="1"/>
  <c r="G318" i="23"/>
  <c r="CD318" i="6" s="1"/>
  <c r="G271" i="23"/>
  <c r="CD271" i="6" s="1"/>
  <c r="G100" i="23"/>
  <c r="CD100" i="6" s="1"/>
  <c r="G89" i="23"/>
  <c r="CD89" i="6" s="1"/>
  <c r="G226" i="23"/>
  <c r="CD226" i="6" s="1"/>
  <c r="G209" i="23"/>
  <c r="CD209" i="6" s="1"/>
  <c r="G205" i="23"/>
  <c r="CD205" i="6" s="1"/>
  <c r="G341" i="23"/>
  <c r="CD341" i="6" s="1"/>
  <c r="G124" i="23"/>
  <c r="CD124" i="6" s="1"/>
  <c r="H124" i="23"/>
  <c r="G53" i="23"/>
  <c r="CD53" i="6" s="1"/>
  <c r="G240" i="23"/>
  <c r="CD240" i="6" s="1"/>
  <c r="H240" i="23"/>
  <c r="G59" i="23"/>
  <c r="CD59" i="6" s="1"/>
  <c r="G111" i="23"/>
  <c r="CD111" i="6" s="1"/>
  <c r="G108" i="23"/>
  <c r="CD108" i="6" s="1"/>
  <c r="G292" i="23"/>
  <c r="CD292" i="6" s="1"/>
  <c r="G376" i="23"/>
  <c r="CD376" i="6" s="1"/>
  <c r="G190" i="23"/>
  <c r="CD190" i="6" s="1"/>
  <c r="G300" i="23"/>
  <c r="CD300" i="6" s="1"/>
  <c r="G283" i="23"/>
  <c r="CD283" i="6" s="1"/>
  <c r="G79" i="23"/>
  <c r="CD79" i="6" s="1"/>
  <c r="H54" i="23"/>
  <c r="G54" i="23"/>
  <c r="CD54" i="6" s="1"/>
  <c r="G113" i="23"/>
  <c r="CD113" i="6" s="1"/>
  <c r="G55" i="23"/>
  <c r="CD55" i="6" s="1"/>
  <c r="G115" i="23"/>
  <c r="CD115" i="6" s="1"/>
  <c r="H371" i="23"/>
  <c r="G138" i="23"/>
  <c r="CD138" i="6" s="1"/>
  <c r="G19" i="23"/>
  <c r="CD19" i="6" s="1"/>
  <c r="G233" i="23"/>
  <c r="CD233" i="6" s="1"/>
  <c r="H233" i="23"/>
  <c r="G268" i="23"/>
  <c r="CD268" i="6" s="1"/>
  <c r="G57" i="23"/>
  <c r="CD57" i="6" s="1"/>
  <c r="W135" i="23"/>
  <c r="D135" i="23"/>
  <c r="E135" i="23" s="1"/>
  <c r="F135" i="23" s="1"/>
  <c r="G368" i="23"/>
  <c r="CD368" i="6" s="1"/>
  <c r="G364" i="23"/>
  <c r="CD364" i="6" s="1"/>
  <c r="G276" i="23"/>
  <c r="CD276" i="6" s="1"/>
  <c r="G177" i="23"/>
  <c r="CD177" i="6" s="1"/>
  <c r="D46" i="23"/>
  <c r="E46" i="23" s="1"/>
  <c r="F46" i="23" s="1"/>
  <c r="W46" i="23"/>
  <c r="G351" i="23"/>
  <c r="CD351" i="6" s="1"/>
  <c r="H351" i="23"/>
  <c r="G34" i="23"/>
  <c r="CD34" i="6" s="1"/>
  <c r="G144" i="23"/>
  <c r="CD144" i="6" s="1"/>
  <c r="G213" i="23"/>
  <c r="CD213" i="6" s="1"/>
  <c r="G312" i="23"/>
  <c r="CD312" i="6" s="1"/>
  <c r="G365" i="23"/>
  <c r="CD365" i="6" s="1"/>
  <c r="G219" i="23"/>
  <c r="CD219" i="6" s="1"/>
  <c r="G236" i="23"/>
  <c r="CD236" i="6" s="1"/>
  <c r="G327" i="23"/>
  <c r="CD327" i="6" s="1"/>
  <c r="G322" i="23"/>
  <c r="CD322" i="6" s="1"/>
  <c r="G72" i="23"/>
  <c r="CD72" i="6" s="1"/>
  <c r="G310" i="23"/>
  <c r="CD310" i="6" s="1"/>
  <c r="G129" i="23"/>
  <c r="CD129" i="6" s="1"/>
  <c r="G194" i="23"/>
  <c r="CD194" i="6" s="1"/>
  <c r="I68" i="19"/>
  <c r="G150" i="23"/>
  <c r="CD150" i="6" s="1"/>
  <c r="G154" i="23"/>
  <c r="CD154" i="6" s="1"/>
  <c r="G244" i="23"/>
  <c r="CD244" i="6" s="1"/>
  <c r="G45" i="23"/>
  <c r="CD45" i="6" s="1"/>
  <c r="G49" i="23"/>
  <c r="CD49" i="6" s="1"/>
  <c r="G357" i="23"/>
  <c r="CD357" i="6" s="1"/>
  <c r="G174" i="23"/>
  <c r="CD174" i="6" s="1"/>
  <c r="G23" i="23"/>
  <c r="CD23" i="6" s="1"/>
  <c r="G152" i="23"/>
  <c r="CD152" i="6" s="1"/>
  <c r="G332" i="23"/>
  <c r="CD332" i="6" s="1"/>
  <c r="D74" i="23"/>
  <c r="E74" i="23" s="1"/>
  <c r="F74" i="23" s="1"/>
  <c r="W74" i="23"/>
  <c r="G33" i="23"/>
  <c r="CD33" i="6" s="1"/>
  <c r="G296" i="23"/>
  <c r="CD296" i="6" s="1"/>
  <c r="G68" i="23"/>
  <c r="CD68" i="6" s="1"/>
  <c r="G270" i="23"/>
  <c r="CD270" i="6" s="1"/>
  <c r="G161" i="23"/>
  <c r="CD161" i="6" s="1"/>
  <c r="G202" i="23"/>
  <c r="CD202" i="6" s="1"/>
  <c r="G96" i="23"/>
  <c r="CD96" i="6" s="1"/>
  <c r="G218" i="23"/>
  <c r="CD218" i="6" s="1"/>
  <c r="G211" i="23"/>
  <c r="CD211" i="6" s="1"/>
  <c r="G44" i="23"/>
  <c r="CD44" i="6" s="1"/>
  <c r="G197" i="23"/>
  <c r="CD197" i="6" s="1"/>
  <c r="L68" i="19"/>
  <c r="G114" i="23"/>
  <c r="CD114" i="6" s="1"/>
  <c r="G117" i="23"/>
  <c r="CD117" i="6" s="1"/>
  <c r="G373" i="23"/>
  <c r="CD373" i="6" s="1"/>
  <c r="G188" i="23"/>
  <c r="CD188" i="6" s="1"/>
  <c r="G173" i="23"/>
  <c r="CD173" i="6" s="1"/>
  <c r="G378" i="23"/>
  <c r="CD378" i="6" s="1"/>
  <c r="G73" i="23"/>
  <c r="CD73" i="6" s="1"/>
  <c r="G246" i="23"/>
  <c r="CD246" i="6" s="1"/>
  <c r="G212" i="23"/>
  <c r="CD212" i="6" s="1"/>
  <c r="G315" i="23"/>
  <c r="CD315" i="6" s="1"/>
  <c r="G285" i="23"/>
  <c r="CD285" i="6" s="1"/>
  <c r="G372" i="23"/>
  <c r="CD372" i="6" s="1"/>
  <c r="W105" i="23"/>
  <c r="D105" i="23"/>
  <c r="E105" i="23" s="1"/>
  <c r="F105" i="23" s="1"/>
  <c r="G139" i="23"/>
  <c r="CD139" i="6" s="1"/>
  <c r="G252" i="23"/>
  <c r="CD252" i="6" s="1"/>
  <c r="G61" i="23"/>
  <c r="CD61" i="6" s="1"/>
  <c r="G326" i="23"/>
  <c r="CD326" i="6" s="1"/>
  <c r="G320" i="23"/>
  <c r="CD320" i="6" s="1"/>
  <c r="G362" i="23"/>
  <c r="CD362" i="6" s="1"/>
  <c r="G334" i="23"/>
  <c r="CD334" i="6" s="1"/>
  <c r="G342" i="23"/>
  <c r="CD342" i="6" s="1"/>
  <c r="H230" i="23"/>
  <c r="G230" i="23"/>
  <c r="CD230" i="6" s="1"/>
  <c r="G294" i="23"/>
  <c r="CD294" i="6" s="1"/>
  <c r="AY15" i="7"/>
  <c r="Q10" i="24"/>
  <c r="Q119" i="24" s="1"/>
  <c r="G298" i="23"/>
  <c r="CD298" i="6" s="1"/>
  <c r="AE304" i="24"/>
  <c r="G291" i="23"/>
  <c r="CD291" i="6" s="1"/>
  <c r="G290" i="23"/>
  <c r="CD290" i="6" s="1"/>
  <c r="G192" i="23"/>
  <c r="CD192" i="6" s="1"/>
  <c r="G181" i="23"/>
  <c r="CD181" i="6" s="1"/>
  <c r="G215" i="23"/>
  <c r="CD215" i="6" s="1"/>
  <c r="G336" i="23"/>
  <c r="CD336" i="6" s="1"/>
  <c r="G377" i="23"/>
  <c r="CD377" i="6" s="1"/>
  <c r="G155" i="23"/>
  <c r="CD155" i="6" s="1"/>
  <c r="G132" i="23"/>
  <c r="CD132" i="6" s="1"/>
  <c r="G27" i="23"/>
  <c r="CD27" i="6" s="1"/>
  <c r="G284" i="23"/>
  <c r="CD284" i="6" s="1"/>
  <c r="J68" i="19"/>
  <c r="G93" i="23"/>
  <c r="CD93" i="6" s="1"/>
  <c r="H68" i="19"/>
  <c r="G307" i="23"/>
  <c r="CD307" i="6" s="1"/>
  <c r="D166" i="23"/>
  <c r="E166" i="23" s="1"/>
  <c r="F166" i="23" s="1"/>
  <c r="W166" i="23"/>
  <c r="G84" i="23"/>
  <c r="CD84" i="6" s="1"/>
  <c r="K68" i="19"/>
  <c r="G42" i="23"/>
  <c r="CD42" i="6" s="1"/>
  <c r="G203" i="23"/>
  <c r="CD203" i="6" s="1"/>
  <c r="G224" i="23"/>
  <c r="CD224" i="6" s="1"/>
  <c r="I252" i="22" l="1"/>
  <c r="H252" i="23" s="1"/>
  <c r="I125" i="22"/>
  <c r="H125" i="23" s="1"/>
  <c r="J74" i="22"/>
  <c r="J53" i="22"/>
  <c r="H140" i="23"/>
  <c r="H346" i="23"/>
  <c r="H227" i="23"/>
  <c r="I227" i="23" s="1"/>
  <c r="H142" i="23"/>
  <c r="H118" i="23"/>
  <c r="H185" i="23"/>
  <c r="B100" i="6"/>
  <c r="BA100" i="6" s="1"/>
  <c r="T4" i="6" s="1"/>
  <c r="H100" i="22"/>
  <c r="H184" i="22"/>
  <c r="Q4" i="6"/>
  <c r="P4" i="6"/>
  <c r="U174" i="24"/>
  <c r="T174" i="24" s="1"/>
  <c r="S174" i="24" s="1"/>
  <c r="R174" i="24" s="1"/>
  <c r="U193" i="24"/>
  <c r="T193" i="24" s="1"/>
  <c r="S193" i="24" s="1"/>
  <c r="R193" i="24" s="1"/>
  <c r="U362" i="24"/>
  <c r="T362" i="24" s="1"/>
  <c r="S362" i="24" s="1"/>
  <c r="R362" i="24" s="1"/>
  <c r="U182" i="24"/>
  <c r="T182" i="24" s="1"/>
  <c r="S182" i="24" s="1"/>
  <c r="R182" i="24" s="1"/>
  <c r="U263" i="24"/>
  <c r="T263" i="24" s="1"/>
  <c r="S263" i="24" s="1"/>
  <c r="R263" i="24" s="1"/>
  <c r="U355" i="24"/>
  <c r="T355" i="24" s="1"/>
  <c r="S355" i="24" s="1"/>
  <c r="R355" i="24" s="1"/>
  <c r="U317" i="24"/>
  <c r="T317" i="24" s="1"/>
  <c r="S317" i="24" s="1"/>
  <c r="R317" i="24" s="1"/>
  <c r="U152" i="24"/>
  <c r="T152" i="24" s="1"/>
  <c r="S152" i="24" s="1"/>
  <c r="R152" i="24" s="1"/>
  <c r="U18" i="24"/>
  <c r="T18" i="24" s="1"/>
  <c r="S18" i="24" s="1"/>
  <c r="R18" i="24" s="1"/>
  <c r="U191" i="24"/>
  <c r="T191" i="24" s="1"/>
  <c r="S191" i="24" s="1"/>
  <c r="R191" i="24" s="1"/>
  <c r="U45" i="24"/>
  <c r="T45" i="24" s="1"/>
  <c r="S45" i="24" s="1"/>
  <c r="R45" i="24" s="1"/>
  <c r="U43" i="24"/>
  <c r="T43" i="24" s="1"/>
  <c r="S43" i="24" s="1"/>
  <c r="R43" i="24" s="1"/>
  <c r="U211" i="24"/>
  <c r="T211" i="24" s="1"/>
  <c r="S211" i="24" s="1"/>
  <c r="R211" i="24" s="1"/>
  <c r="U319" i="24"/>
  <c r="T319" i="24" s="1"/>
  <c r="S319" i="24" s="1"/>
  <c r="R319" i="24" s="1"/>
  <c r="U378" i="24"/>
  <c r="T378" i="24" s="1"/>
  <c r="S378" i="24" s="1"/>
  <c r="R378" i="24" s="1"/>
  <c r="J135" i="22"/>
  <c r="J360" i="22"/>
  <c r="H191" i="23"/>
  <c r="H121" i="23"/>
  <c r="J121" i="23" s="1"/>
  <c r="J181" i="22"/>
  <c r="H171" i="23"/>
  <c r="I171" i="23" s="1"/>
  <c r="H350" i="23"/>
  <c r="J350" i="23" s="1"/>
  <c r="H266" i="23"/>
  <c r="I266" i="23" s="1"/>
  <c r="H265" i="23"/>
  <c r="J265" i="23" s="1"/>
  <c r="H327" i="23"/>
  <c r="I327" i="23" s="1"/>
  <c r="H31" i="23"/>
  <c r="I31" i="23" s="1"/>
  <c r="H295" i="23"/>
  <c r="J295" i="23" s="1"/>
  <c r="H259" i="23"/>
  <c r="I259" i="23" s="1"/>
  <c r="H131" i="23"/>
  <c r="I131" i="23" s="1"/>
  <c r="I29" i="22"/>
  <c r="H29" i="23" s="1"/>
  <c r="H193" i="23"/>
  <c r="J193" i="23" s="1"/>
  <c r="H304" i="23"/>
  <c r="J304" i="23" s="1"/>
  <c r="H18" i="23"/>
  <c r="I18" i="23" s="1"/>
  <c r="H251" i="23"/>
  <c r="I251" i="23" s="1"/>
  <c r="H177" i="23"/>
  <c r="U280" i="24"/>
  <c r="T280" i="24" s="1"/>
  <c r="S280" i="24" s="1"/>
  <c r="R280" i="24" s="1"/>
  <c r="U86" i="24"/>
  <c r="T86" i="24" s="1"/>
  <c r="S86" i="24" s="1"/>
  <c r="R86" i="24" s="1"/>
  <c r="U215" i="24"/>
  <c r="T215" i="24" s="1"/>
  <c r="S215" i="24" s="1"/>
  <c r="R215" i="24" s="1"/>
  <c r="U307" i="24"/>
  <c r="T307" i="24" s="1"/>
  <c r="S307" i="24" s="1"/>
  <c r="R307" i="24" s="1"/>
  <c r="U336" i="24"/>
  <c r="T336" i="24" s="1"/>
  <c r="S336" i="24" s="1"/>
  <c r="R336" i="24" s="1"/>
  <c r="U180" i="24"/>
  <c r="T180" i="24" s="1"/>
  <c r="S180" i="24" s="1"/>
  <c r="R180" i="24" s="1"/>
  <c r="U79" i="24"/>
  <c r="T79" i="24" s="1"/>
  <c r="S79" i="24" s="1"/>
  <c r="R79" i="24" s="1"/>
  <c r="U164" i="24"/>
  <c r="T164" i="24" s="1"/>
  <c r="S164" i="24" s="1"/>
  <c r="R164" i="24" s="1"/>
  <c r="U20" i="24"/>
  <c r="T20" i="24" s="1"/>
  <c r="S20" i="24" s="1"/>
  <c r="R20" i="24" s="1"/>
  <c r="U291" i="24"/>
  <c r="T291" i="24" s="1"/>
  <c r="S291" i="24" s="1"/>
  <c r="R291" i="24" s="1"/>
  <c r="U56" i="24"/>
  <c r="T56" i="24" s="1"/>
  <c r="S56" i="24" s="1"/>
  <c r="R56" i="24" s="1"/>
  <c r="U327" i="24"/>
  <c r="T327" i="24" s="1"/>
  <c r="S327" i="24" s="1"/>
  <c r="R327" i="24" s="1"/>
  <c r="U274" i="24"/>
  <c r="T274" i="24" s="1"/>
  <c r="S274" i="24" s="1"/>
  <c r="R274" i="24" s="1"/>
  <c r="U116" i="24"/>
  <c r="T116" i="24" s="1"/>
  <c r="S116" i="24" s="1"/>
  <c r="R116" i="24" s="1"/>
  <c r="U321" i="24"/>
  <c r="T321" i="24" s="1"/>
  <c r="S321" i="24" s="1"/>
  <c r="R321" i="24" s="1"/>
  <c r="U167" i="24"/>
  <c r="T167" i="24" s="1"/>
  <c r="S167" i="24" s="1"/>
  <c r="R167" i="24" s="1"/>
  <c r="U93" i="24"/>
  <c r="T93" i="24" s="1"/>
  <c r="S93" i="24" s="1"/>
  <c r="R93" i="24" s="1"/>
  <c r="U223" i="24"/>
  <c r="T223" i="24" s="1"/>
  <c r="S223" i="24" s="1"/>
  <c r="R223" i="24" s="1"/>
  <c r="U240" i="24"/>
  <c r="T240" i="24" s="1"/>
  <c r="S240" i="24" s="1"/>
  <c r="R240" i="24" s="1"/>
  <c r="H85" i="23"/>
  <c r="I85" i="23" s="1"/>
  <c r="H254" i="23"/>
  <c r="J254" i="23" s="1"/>
  <c r="BA16" i="7"/>
  <c r="U340" i="24"/>
  <c r="T340" i="24" s="1"/>
  <c r="S340" i="24" s="1"/>
  <c r="R340" i="24" s="1"/>
  <c r="U203" i="24"/>
  <c r="T203" i="24" s="1"/>
  <c r="S203" i="24" s="1"/>
  <c r="R203" i="24" s="1"/>
  <c r="U226" i="24"/>
  <c r="T226" i="24" s="1"/>
  <c r="S226" i="24" s="1"/>
  <c r="R226" i="24" s="1"/>
  <c r="U293" i="24"/>
  <c r="T293" i="24" s="1"/>
  <c r="S293" i="24" s="1"/>
  <c r="R293" i="24" s="1"/>
  <c r="U311" i="24"/>
  <c r="T311" i="24" s="1"/>
  <c r="S311" i="24" s="1"/>
  <c r="R311" i="24" s="1"/>
  <c r="U98" i="24"/>
  <c r="T98" i="24" s="1"/>
  <c r="S98" i="24" s="1"/>
  <c r="R98" i="24" s="1"/>
  <c r="U267" i="24"/>
  <c r="T267" i="24" s="1"/>
  <c r="S267" i="24" s="1"/>
  <c r="R267" i="24" s="1"/>
  <c r="U143" i="24"/>
  <c r="T143" i="24" s="1"/>
  <c r="S143" i="24" s="1"/>
  <c r="R143" i="24" s="1"/>
  <c r="U69" i="24"/>
  <c r="T69" i="24" s="1"/>
  <c r="S69" i="24" s="1"/>
  <c r="R69" i="24" s="1"/>
  <c r="U276" i="24"/>
  <c r="T276" i="24" s="1"/>
  <c r="S276" i="24" s="1"/>
  <c r="R276" i="24" s="1"/>
  <c r="U331" i="24"/>
  <c r="T331" i="24" s="1"/>
  <c r="S331" i="24" s="1"/>
  <c r="R331" i="24" s="1"/>
  <c r="U346" i="24"/>
  <c r="T346" i="24" s="1"/>
  <c r="S346" i="24" s="1"/>
  <c r="R346" i="24" s="1"/>
  <c r="U275" i="24"/>
  <c r="T275" i="24" s="1"/>
  <c r="S275" i="24" s="1"/>
  <c r="R275" i="24" s="1"/>
  <c r="U125" i="24"/>
  <c r="T125" i="24" s="1"/>
  <c r="S125" i="24" s="1"/>
  <c r="R125" i="24" s="1"/>
  <c r="U257" i="24"/>
  <c r="T257" i="24" s="1"/>
  <c r="S257" i="24" s="1"/>
  <c r="R257" i="24" s="1"/>
  <c r="U212" i="24"/>
  <c r="T212" i="24" s="1"/>
  <c r="S212" i="24" s="1"/>
  <c r="R212" i="24" s="1"/>
  <c r="U310" i="24"/>
  <c r="T310" i="24" s="1"/>
  <c r="S310" i="24" s="1"/>
  <c r="R310" i="24" s="1"/>
  <c r="U171" i="24"/>
  <c r="T171" i="24" s="1"/>
  <c r="S171" i="24" s="1"/>
  <c r="R171" i="24" s="1"/>
  <c r="U297" i="24"/>
  <c r="T297" i="24" s="1"/>
  <c r="S297" i="24" s="1"/>
  <c r="R297" i="24" s="1"/>
  <c r="U289" i="24"/>
  <c r="T289" i="24" s="1"/>
  <c r="S289" i="24" s="1"/>
  <c r="R289" i="24" s="1"/>
  <c r="U44" i="24"/>
  <c r="T44" i="24" s="1"/>
  <c r="S44" i="24" s="1"/>
  <c r="R44" i="24" s="1"/>
  <c r="U221" i="24"/>
  <c r="T221" i="24" s="1"/>
  <c r="S221" i="24" s="1"/>
  <c r="R221" i="24" s="1"/>
  <c r="U341" i="24"/>
  <c r="T341" i="24" s="1"/>
  <c r="S341" i="24" s="1"/>
  <c r="R341" i="24" s="1"/>
  <c r="U145" i="24"/>
  <c r="T145" i="24" s="1"/>
  <c r="S145" i="24" s="1"/>
  <c r="R145" i="24" s="1"/>
  <c r="U354" i="24"/>
  <c r="T354" i="24" s="1"/>
  <c r="S354" i="24" s="1"/>
  <c r="R354" i="24" s="1"/>
  <c r="U165" i="24"/>
  <c r="T165" i="24" s="1"/>
  <c r="S165" i="24" s="1"/>
  <c r="R165" i="24" s="1"/>
  <c r="U78" i="24"/>
  <c r="T78" i="24" s="1"/>
  <c r="S78" i="24" s="1"/>
  <c r="R78" i="24" s="1"/>
  <c r="U298" i="24"/>
  <c r="T298" i="24" s="1"/>
  <c r="S298" i="24" s="1"/>
  <c r="R298" i="24" s="1"/>
  <c r="U281" i="24"/>
  <c r="T281" i="24" s="1"/>
  <c r="S281" i="24" s="1"/>
  <c r="R281" i="24" s="1"/>
  <c r="U89" i="24"/>
  <c r="T89" i="24" s="1"/>
  <c r="S89" i="24" s="1"/>
  <c r="R89" i="24" s="1"/>
  <c r="U181" i="24"/>
  <c r="T181" i="24" s="1"/>
  <c r="S181" i="24" s="1"/>
  <c r="R181" i="24" s="1"/>
  <c r="U379" i="24"/>
  <c r="U12" i="25" s="1"/>
  <c r="U209" i="24"/>
  <c r="T209" i="24" s="1"/>
  <c r="S209" i="24" s="1"/>
  <c r="R209" i="24" s="1"/>
  <c r="U128" i="24"/>
  <c r="T128" i="24" s="1"/>
  <c r="S128" i="24" s="1"/>
  <c r="R128" i="24" s="1"/>
  <c r="U326" i="24"/>
  <c r="T326" i="24" s="1"/>
  <c r="S326" i="24" s="1"/>
  <c r="R326" i="24" s="1"/>
  <c r="U35" i="24"/>
  <c r="T35" i="24" s="1"/>
  <c r="S35" i="24" s="1"/>
  <c r="R35" i="24" s="1"/>
  <c r="U59" i="24"/>
  <c r="T59" i="24" s="1"/>
  <c r="S59" i="24" s="1"/>
  <c r="R59" i="24" s="1"/>
  <c r="U339" i="24"/>
  <c r="T339" i="24" s="1"/>
  <c r="S339" i="24" s="1"/>
  <c r="R339" i="24" s="1"/>
  <c r="U328" i="24"/>
  <c r="T328" i="24" s="1"/>
  <c r="S328" i="24" s="1"/>
  <c r="R328" i="24" s="1"/>
  <c r="U360" i="24"/>
  <c r="T360" i="24" s="1"/>
  <c r="S360" i="24" s="1"/>
  <c r="R360" i="24" s="1"/>
  <c r="U30" i="24"/>
  <c r="T30" i="24" s="1"/>
  <c r="S30" i="24" s="1"/>
  <c r="R30" i="24" s="1"/>
  <c r="U196" i="24"/>
  <c r="T196" i="24" s="1"/>
  <c r="S196" i="24" s="1"/>
  <c r="R196" i="24" s="1"/>
  <c r="U245" i="24"/>
  <c r="T245" i="24" s="1"/>
  <c r="S245" i="24" s="1"/>
  <c r="R245" i="24" s="1"/>
  <c r="U123" i="24"/>
  <c r="T123" i="24" s="1"/>
  <c r="S123" i="24" s="1"/>
  <c r="R123" i="24" s="1"/>
  <c r="U187" i="24"/>
  <c r="T187" i="24" s="1"/>
  <c r="S187" i="24" s="1"/>
  <c r="R187" i="24" s="1"/>
  <c r="U304" i="24"/>
  <c r="T304" i="24" s="1"/>
  <c r="S304" i="24" s="1"/>
  <c r="R304" i="24" s="1"/>
  <c r="U375" i="24"/>
  <c r="T375" i="24" s="1"/>
  <c r="S375" i="24" s="1"/>
  <c r="R375" i="24" s="1"/>
  <c r="U208" i="24"/>
  <c r="T208" i="24" s="1"/>
  <c r="S208" i="24" s="1"/>
  <c r="R208" i="24" s="1"/>
  <c r="U219" i="24"/>
  <c r="T219" i="24" s="1"/>
  <c r="S219" i="24" s="1"/>
  <c r="R219" i="24" s="1"/>
  <c r="U102" i="24"/>
  <c r="T102" i="24" s="1"/>
  <c r="S102" i="24" s="1"/>
  <c r="R102" i="24" s="1"/>
  <c r="U373" i="24"/>
  <c r="T373" i="24" s="1"/>
  <c r="S373" i="24" s="1"/>
  <c r="R373" i="24" s="1"/>
  <c r="U312" i="24"/>
  <c r="T312" i="24" s="1"/>
  <c r="S312" i="24" s="1"/>
  <c r="R312" i="24" s="1"/>
  <c r="U237" i="24"/>
  <c r="T237" i="24" s="1"/>
  <c r="S237" i="24" s="1"/>
  <c r="R237" i="24" s="1"/>
  <c r="U71" i="24"/>
  <c r="T71" i="24" s="1"/>
  <c r="S71" i="24" s="1"/>
  <c r="R71" i="24" s="1"/>
  <c r="U184" i="24"/>
  <c r="T184" i="24" s="1"/>
  <c r="S184" i="24" s="1"/>
  <c r="R184" i="24" s="1"/>
  <c r="U268" i="24"/>
  <c r="T268" i="24" s="1"/>
  <c r="S268" i="24" s="1"/>
  <c r="R268" i="24" s="1"/>
  <c r="U126" i="24"/>
  <c r="T126" i="24" s="1"/>
  <c r="S126" i="24" s="1"/>
  <c r="R126" i="24" s="1"/>
  <c r="U205" i="24"/>
  <c r="T205" i="24" s="1"/>
  <c r="S205" i="24" s="1"/>
  <c r="R205" i="24" s="1"/>
  <c r="U367" i="24"/>
  <c r="T367" i="24" s="1"/>
  <c r="S367" i="24" s="1"/>
  <c r="R367" i="24" s="1"/>
  <c r="U57" i="24"/>
  <c r="T57" i="24" s="1"/>
  <c r="S57" i="24" s="1"/>
  <c r="R57" i="24" s="1"/>
  <c r="U124" i="24"/>
  <c r="T124" i="24" s="1"/>
  <c r="S124" i="24" s="1"/>
  <c r="R124" i="24" s="1"/>
  <c r="U250" i="24"/>
  <c r="T250" i="24" s="1"/>
  <c r="S250" i="24" s="1"/>
  <c r="R250" i="24" s="1"/>
  <c r="U264" i="24"/>
  <c r="T264" i="24" s="1"/>
  <c r="S264" i="24" s="1"/>
  <c r="R264" i="24" s="1"/>
  <c r="U113" i="24"/>
  <c r="T113" i="24" s="1"/>
  <c r="S113" i="24" s="1"/>
  <c r="R113" i="24" s="1"/>
  <c r="U137" i="24"/>
  <c r="T137" i="24" s="1"/>
  <c r="S137" i="24" s="1"/>
  <c r="R137" i="24" s="1"/>
  <c r="U348" i="24"/>
  <c r="T348" i="24" s="1"/>
  <c r="S348" i="24" s="1"/>
  <c r="R348" i="24" s="1"/>
  <c r="U36" i="24"/>
  <c r="T36" i="24" s="1"/>
  <c r="S36" i="24" s="1"/>
  <c r="R36" i="24" s="1"/>
  <c r="U261" i="24"/>
  <c r="T261" i="24" s="1"/>
  <c r="S261" i="24" s="1"/>
  <c r="R261" i="24" s="1"/>
  <c r="U246" i="24"/>
  <c r="T246" i="24" s="1"/>
  <c r="S246" i="24" s="1"/>
  <c r="R246" i="24" s="1"/>
  <c r="U87" i="24"/>
  <c r="T87" i="24" s="1"/>
  <c r="S87" i="24" s="1"/>
  <c r="R87" i="24" s="1"/>
  <c r="U260" i="24"/>
  <c r="T260" i="24" s="1"/>
  <c r="S260" i="24" s="1"/>
  <c r="R260" i="24" s="1"/>
  <c r="U217" i="24"/>
  <c r="T217" i="24" s="1"/>
  <c r="S217" i="24" s="1"/>
  <c r="R217" i="24" s="1"/>
  <c r="U149" i="24"/>
  <c r="T149" i="24" s="1"/>
  <c r="S149" i="24" s="1"/>
  <c r="R149" i="24" s="1"/>
  <c r="U251" i="24"/>
  <c r="T251" i="24" s="1"/>
  <c r="S251" i="24" s="1"/>
  <c r="R251" i="24" s="1"/>
  <c r="U166" i="24"/>
  <c r="T166" i="24" s="1"/>
  <c r="S166" i="24" s="1"/>
  <c r="R166" i="24" s="1"/>
  <c r="U32" i="24"/>
  <c r="T32" i="24" s="1"/>
  <c r="S32" i="24" s="1"/>
  <c r="R32" i="24" s="1"/>
  <c r="U200" i="24"/>
  <c r="T200" i="24" s="1"/>
  <c r="S200" i="24" s="1"/>
  <c r="R200" i="24" s="1"/>
  <c r="U369" i="24"/>
  <c r="T369" i="24" s="1"/>
  <c r="S369" i="24" s="1"/>
  <c r="R369" i="24" s="1"/>
  <c r="U52" i="24"/>
  <c r="T52" i="24" s="1"/>
  <c r="S52" i="24" s="1"/>
  <c r="R52" i="24" s="1"/>
  <c r="U278" i="24"/>
  <c r="T278" i="24" s="1"/>
  <c r="S278" i="24" s="1"/>
  <c r="R278" i="24" s="1"/>
  <c r="U118" i="24"/>
  <c r="T118" i="24" s="1"/>
  <c r="S118" i="24" s="1"/>
  <c r="R118" i="24" s="1"/>
  <c r="U34" i="24"/>
  <c r="T34" i="24" s="1"/>
  <c r="S34" i="24" s="1"/>
  <c r="R34" i="24" s="1"/>
  <c r="U325" i="24"/>
  <c r="T325" i="24" s="1"/>
  <c r="S325" i="24" s="1"/>
  <c r="R325" i="24" s="1"/>
  <c r="U169" i="24"/>
  <c r="T169" i="24" s="1"/>
  <c r="S169" i="24" s="1"/>
  <c r="R169" i="24" s="1"/>
  <c r="H52" i="23"/>
  <c r="J52" i="23" s="1"/>
  <c r="U204" i="24"/>
  <c r="T204" i="24" s="1"/>
  <c r="S204" i="24" s="1"/>
  <c r="R204" i="24" s="1"/>
  <c r="U61" i="24"/>
  <c r="T61" i="24" s="1"/>
  <c r="S61" i="24" s="1"/>
  <c r="R61" i="24" s="1"/>
  <c r="U308" i="24"/>
  <c r="T308" i="24" s="1"/>
  <c r="S308" i="24" s="1"/>
  <c r="R308" i="24" s="1"/>
  <c r="U229" i="24"/>
  <c r="T229" i="24" s="1"/>
  <c r="S229" i="24" s="1"/>
  <c r="R229" i="24" s="1"/>
  <c r="U374" i="24"/>
  <c r="T374" i="24" s="1"/>
  <c r="S374" i="24" s="1"/>
  <c r="R374" i="24" s="1"/>
  <c r="U372" i="24"/>
  <c r="T372" i="24" s="1"/>
  <c r="S372" i="24" s="1"/>
  <c r="R372" i="24" s="1"/>
  <c r="U214" i="24"/>
  <c r="T214" i="24" s="1"/>
  <c r="S214" i="24" s="1"/>
  <c r="R214" i="24" s="1"/>
  <c r="U365" i="24"/>
  <c r="T365" i="24" s="1"/>
  <c r="S365" i="24" s="1"/>
  <c r="R365" i="24" s="1"/>
  <c r="U249" i="24"/>
  <c r="T249" i="24" s="1"/>
  <c r="S249" i="24" s="1"/>
  <c r="R249" i="24" s="1"/>
  <c r="U277" i="24"/>
  <c r="T277" i="24" s="1"/>
  <c r="S277" i="24" s="1"/>
  <c r="R277" i="24" s="1"/>
  <c r="U186" i="24"/>
  <c r="T186" i="24" s="1"/>
  <c r="S186" i="24" s="1"/>
  <c r="R186" i="24" s="1"/>
  <c r="U333" i="24"/>
  <c r="T333" i="24" s="1"/>
  <c r="S333" i="24" s="1"/>
  <c r="R333" i="24" s="1"/>
  <c r="U54" i="24"/>
  <c r="T54" i="24" s="1"/>
  <c r="S54" i="24" s="1"/>
  <c r="R54" i="24" s="1"/>
  <c r="U233" i="24"/>
  <c r="T233" i="24" s="1"/>
  <c r="S233" i="24" s="1"/>
  <c r="R233" i="24" s="1"/>
  <c r="U162" i="24"/>
  <c r="T162" i="24" s="1"/>
  <c r="S162" i="24" s="1"/>
  <c r="R162" i="24" s="1"/>
  <c r="U131" i="24"/>
  <c r="T131" i="24" s="1"/>
  <c r="S131" i="24" s="1"/>
  <c r="R131" i="24" s="1"/>
  <c r="U352" i="24"/>
  <c r="T352" i="24" s="1"/>
  <c r="S352" i="24" s="1"/>
  <c r="R352" i="24" s="1"/>
  <c r="U28" i="24"/>
  <c r="T28" i="24" s="1"/>
  <c r="S28" i="24" s="1"/>
  <c r="R28" i="24" s="1"/>
  <c r="U106" i="24"/>
  <c r="T106" i="24" s="1"/>
  <c r="S106" i="24" s="1"/>
  <c r="R106" i="24" s="1"/>
  <c r="U345" i="24"/>
  <c r="T345" i="24" s="1"/>
  <c r="S345" i="24" s="1"/>
  <c r="R345" i="24" s="1"/>
  <c r="U300" i="24"/>
  <c r="T300" i="24" s="1"/>
  <c r="S300" i="24" s="1"/>
  <c r="R300" i="24" s="1"/>
  <c r="U139" i="24"/>
  <c r="T139" i="24" s="1"/>
  <c r="S139" i="24" s="1"/>
  <c r="R139" i="24" s="1"/>
  <c r="U26" i="24"/>
  <c r="T26" i="24" s="1"/>
  <c r="S26" i="24" s="1"/>
  <c r="R26" i="24" s="1"/>
  <c r="U273" i="24"/>
  <c r="T273" i="24" s="1"/>
  <c r="S273" i="24" s="1"/>
  <c r="R273" i="24" s="1"/>
  <c r="U279" i="24"/>
  <c r="T279" i="24" s="1"/>
  <c r="S279" i="24" s="1"/>
  <c r="R279" i="24" s="1"/>
  <c r="U158" i="24"/>
  <c r="T158" i="24" s="1"/>
  <c r="S158" i="24" s="1"/>
  <c r="R158" i="24" s="1"/>
  <c r="U141" i="24"/>
  <c r="T141" i="24" s="1"/>
  <c r="S141" i="24" s="1"/>
  <c r="R141" i="24" s="1"/>
  <c r="U225" i="24"/>
  <c r="T225" i="24" s="1"/>
  <c r="S225" i="24" s="1"/>
  <c r="R225" i="24" s="1"/>
  <c r="U247" i="24"/>
  <c r="T247" i="24" s="1"/>
  <c r="S247" i="24" s="1"/>
  <c r="R247" i="24" s="1"/>
  <c r="U122" i="24"/>
  <c r="T122" i="24" s="1"/>
  <c r="S122" i="24" s="1"/>
  <c r="R122" i="24" s="1"/>
  <c r="U77" i="24"/>
  <c r="T77" i="24" s="1"/>
  <c r="S77" i="24" s="1"/>
  <c r="R77" i="24" s="1"/>
  <c r="U282" i="24"/>
  <c r="T282" i="24" s="1"/>
  <c r="S282" i="24" s="1"/>
  <c r="R282" i="24" s="1"/>
  <c r="U269" i="24"/>
  <c r="T269" i="24" s="1"/>
  <c r="S269" i="24" s="1"/>
  <c r="R269" i="24" s="1"/>
  <c r="U353" i="24"/>
  <c r="T353" i="24" s="1"/>
  <c r="S353" i="24" s="1"/>
  <c r="R353" i="24" s="1"/>
  <c r="U73" i="24"/>
  <c r="T73" i="24" s="1"/>
  <c r="S73" i="24" s="1"/>
  <c r="R73" i="24" s="1"/>
  <c r="U242" i="24"/>
  <c r="T242" i="24" s="1"/>
  <c r="S242" i="24" s="1"/>
  <c r="R242" i="24" s="1"/>
  <c r="U241" i="24"/>
  <c r="T241" i="24" s="1"/>
  <c r="S241" i="24" s="1"/>
  <c r="R241" i="24" s="1"/>
  <c r="U253" i="24"/>
  <c r="T253" i="24" s="1"/>
  <c r="S253" i="24" s="1"/>
  <c r="R253" i="24" s="1"/>
  <c r="U359" i="24"/>
  <c r="T359" i="24" s="1"/>
  <c r="S359" i="24" s="1"/>
  <c r="R359" i="24" s="1"/>
  <c r="U189" i="24"/>
  <c r="T189" i="24" s="1"/>
  <c r="S189" i="24" s="1"/>
  <c r="R189" i="24" s="1"/>
  <c r="U299" i="24"/>
  <c r="T299" i="24" s="1"/>
  <c r="S299" i="24" s="1"/>
  <c r="R299" i="24" s="1"/>
  <c r="U120" i="24"/>
  <c r="T120" i="24" s="1"/>
  <c r="S120" i="24" s="1"/>
  <c r="R120" i="24" s="1"/>
  <c r="U329" i="24"/>
  <c r="T329" i="24" s="1"/>
  <c r="S329" i="24" s="1"/>
  <c r="R329" i="24" s="1"/>
  <c r="U70" i="24"/>
  <c r="T70" i="24" s="1"/>
  <c r="S70" i="24" s="1"/>
  <c r="R70" i="24" s="1"/>
  <c r="U363" i="24"/>
  <c r="T363" i="24" s="1"/>
  <c r="S363" i="24" s="1"/>
  <c r="R363" i="24" s="1"/>
  <c r="U175" i="24"/>
  <c r="T175" i="24" s="1"/>
  <c r="S175" i="24" s="1"/>
  <c r="R175" i="24" s="1"/>
  <c r="U270" i="24"/>
  <c r="T270" i="24" s="1"/>
  <c r="S270" i="24" s="1"/>
  <c r="R270" i="24" s="1"/>
  <c r="U334" i="24"/>
  <c r="T334" i="24" s="1"/>
  <c r="S334" i="24" s="1"/>
  <c r="R334" i="24" s="1"/>
  <c r="U39" i="24"/>
  <c r="T39" i="24" s="1"/>
  <c r="S39" i="24" s="1"/>
  <c r="R39" i="24" s="1"/>
  <c r="U315" i="24"/>
  <c r="T315" i="24" s="1"/>
  <c r="S315" i="24" s="1"/>
  <c r="R315" i="24" s="1"/>
  <c r="H48" i="23"/>
  <c r="I48" i="23" s="1"/>
  <c r="H208" i="23"/>
  <c r="J208" i="23" s="1"/>
  <c r="H339" i="23"/>
  <c r="J339" i="23" s="1"/>
  <c r="H148" i="23"/>
  <c r="J148" i="23" s="1"/>
  <c r="H128" i="23"/>
  <c r="J128" i="23" s="1"/>
  <c r="J177" i="22"/>
  <c r="H101" i="23"/>
  <c r="J101" i="23" s="1"/>
  <c r="H136" i="23"/>
  <c r="J136" i="23" s="1"/>
  <c r="H358" i="23"/>
  <c r="I358" i="23" s="1"/>
  <c r="H98" i="23"/>
  <c r="J98" i="23" s="1"/>
  <c r="H255" i="23"/>
  <c r="J255" i="23" s="1"/>
  <c r="H262" i="23"/>
  <c r="J262" i="23" s="1"/>
  <c r="H314" i="23"/>
  <c r="J314" i="23" s="1"/>
  <c r="H231" i="23"/>
  <c r="J231" i="23" s="1"/>
  <c r="H352" i="23"/>
  <c r="I352" i="23" s="1"/>
  <c r="H309" i="23"/>
  <c r="J309" i="23" s="1"/>
  <c r="H297" i="23"/>
  <c r="I297" i="23" s="1"/>
  <c r="H145" i="23"/>
  <c r="J145" i="23" s="1"/>
  <c r="G221" i="23"/>
  <c r="CD221" i="6" s="1"/>
  <c r="G35" i="23"/>
  <c r="CD35" i="6" s="1"/>
  <c r="G379" i="22"/>
  <c r="CC379" i="6" s="1"/>
  <c r="H214" i="23"/>
  <c r="I214" i="23" s="1"/>
  <c r="H112" i="23"/>
  <c r="I112" i="23" s="1"/>
  <c r="H253" i="23"/>
  <c r="J253" i="23" s="1"/>
  <c r="H201" i="23"/>
  <c r="I201" i="23" s="1"/>
  <c r="H66" i="23"/>
  <c r="I66" i="23" s="1"/>
  <c r="H86" i="23"/>
  <c r="J86" i="23" s="1"/>
  <c r="H83" i="23"/>
  <c r="J83" i="23" s="1"/>
  <c r="H116" i="23"/>
  <c r="J116" i="23" s="1"/>
  <c r="H278" i="23"/>
  <c r="J278" i="23" s="1"/>
  <c r="H81" i="23"/>
  <c r="I81" i="23" s="1"/>
  <c r="H103" i="23"/>
  <c r="J103" i="23" s="1"/>
  <c r="H71" i="23"/>
  <c r="J71" i="23" s="1"/>
  <c r="H179" i="23"/>
  <c r="J179" i="23" s="1"/>
  <c r="H269" i="23"/>
  <c r="J269" i="23" s="1"/>
  <c r="D42" i="19"/>
  <c r="H64" i="23"/>
  <c r="I64" i="23" s="1"/>
  <c r="H168" i="23"/>
  <c r="I168" i="23" s="1"/>
  <c r="H58" i="23"/>
  <c r="I58" i="23" s="1"/>
  <c r="H95" i="23"/>
  <c r="J95" i="23" s="1"/>
  <c r="W60" i="23"/>
  <c r="H38" i="23"/>
  <c r="I38" i="23" s="1"/>
  <c r="H172" i="23"/>
  <c r="J172" i="23" s="1"/>
  <c r="H22" i="23"/>
  <c r="I22" i="23" s="1"/>
  <c r="H127" i="23"/>
  <c r="I127" i="23" s="1"/>
  <c r="H126" i="23"/>
  <c r="J126" i="23" s="1"/>
  <c r="H308" i="23"/>
  <c r="I308" i="23" s="1"/>
  <c r="H158" i="23"/>
  <c r="J158" i="23" s="1"/>
  <c r="H106" i="23"/>
  <c r="I106" i="23" s="1"/>
  <c r="H225" i="23"/>
  <c r="J225" i="23" s="1"/>
  <c r="H169" i="23"/>
  <c r="J169" i="23" s="1"/>
  <c r="H90" i="23"/>
  <c r="I90" i="23" s="1"/>
  <c r="H67" i="23"/>
  <c r="I67" i="23" s="1"/>
  <c r="H206" i="23"/>
  <c r="I206" i="23" s="1"/>
  <c r="H289" i="23"/>
  <c r="J289" i="23" s="1"/>
  <c r="H264" i="23"/>
  <c r="J264" i="23" s="1"/>
  <c r="H239" i="23"/>
  <c r="I239" i="23" s="1"/>
  <c r="H369" i="23"/>
  <c r="J369" i="23" s="1"/>
  <c r="H24" i="23"/>
  <c r="I24" i="23" s="1"/>
  <c r="H104" i="23"/>
  <c r="J104" i="23" s="1"/>
  <c r="H122" i="23"/>
  <c r="I122" i="23" s="1"/>
  <c r="H375" i="23"/>
  <c r="J375" i="23" s="1"/>
  <c r="H21" i="23"/>
  <c r="J21" i="23" s="1"/>
  <c r="H301" i="23"/>
  <c r="I301" i="23" s="1"/>
  <c r="U53" i="24"/>
  <c r="T53" i="24" s="1"/>
  <c r="S53" i="24" s="1"/>
  <c r="R53" i="24" s="1"/>
  <c r="U236" i="24"/>
  <c r="T236" i="24" s="1"/>
  <c r="S236" i="24" s="1"/>
  <c r="R236" i="24" s="1"/>
  <c r="U285" i="24"/>
  <c r="T285" i="24" s="1"/>
  <c r="S285" i="24" s="1"/>
  <c r="R285" i="24" s="1"/>
  <c r="U361" i="24"/>
  <c r="T361" i="24" s="1"/>
  <c r="S361" i="24" s="1"/>
  <c r="R361" i="24" s="1"/>
  <c r="U159" i="24"/>
  <c r="T159" i="24" s="1"/>
  <c r="S159" i="24" s="1"/>
  <c r="R159" i="24" s="1"/>
  <c r="U22" i="24"/>
  <c r="T22" i="24" s="1"/>
  <c r="S22" i="24" s="1"/>
  <c r="R22" i="24" s="1"/>
  <c r="U194" i="24"/>
  <c r="T194" i="24" s="1"/>
  <c r="S194" i="24" s="1"/>
  <c r="R194" i="24" s="1"/>
  <c r="U206" i="24"/>
  <c r="T206" i="24" s="1"/>
  <c r="S206" i="24" s="1"/>
  <c r="R206" i="24" s="1"/>
  <c r="U25" i="24"/>
  <c r="T25" i="24" s="1"/>
  <c r="S25" i="24" s="1"/>
  <c r="R25" i="24" s="1"/>
  <c r="U135" i="24"/>
  <c r="T135" i="24" s="1"/>
  <c r="S135" i="24" s="1"/>
  <c r="R135" i="24" s="1"/>
  <c r="U234" i="24"/>
  <c r="T234" i="24" s="1"/>
  <c r="S234" i="24" s="1"/>
  <c r="R234" i="24" s="1"/>
  <c r="U238" i="24"/>
  <c r="T238" i="24" s="1"/>
  <c r="S238" i="24" s="1"/>
  <c r="R238" i="24" s="1"/>
  <c r="U46" i="24"/>
  <c r="T46" i="24" s="1"/>
  <c r="S46" i="24" s="1"/>
  <c r="R46" i="24" s="1"/>
  <c r="U153" i="24"/>
  <c r="T153" i="24" s="1"/>
  <c r="S153" i="24" s="1"/>
  <c r="R153" i="24" s="1"/>
  <c r="U23" i="24"/>
  <c r="T23" i="24" s="1"/>
  <c r="S23" i="24" s="1"/>
  <c r="R23" i="24" s="1"/>
  <c r="U157" i="24"/>
  <c r="T157" i="24" s="1"/>
  <c r="S157" i="24" s="1"/>
  <c r="R157" i="24" s="1"/>
  <c r="U179" i="24"/>
  <c r="T179" i="24" s="1"/>
  <c r="S179" i="24" s="1"/>
  <c r="R179" i="24" s="1"/>
  <c r="U108" i="24"/>
  <c r="T108" i="24" s="1"/>
  <c r="S108" i="24" s="1"/>
  <c r="R108" i="24" s="1"/>
  <c r="U76" i="24"/>
  <c r="T76" i="24" s="1"/>
  <c r="S76" i="24" s="1"/>
  <c r="R76" i="24" s="1"/>
  <c r="U117" i="24"/>
  <c r="T117" i="24" s="1"/>
  <c r="S117" i="24" s="1"/>
  <c r="R117" i="24" s="1"/>
  <c r="U323" i="24"/>
  <c r="T323" i="24" s="1"/>
  <c r="S323" i="24" s="1"/>
  <c r="R323" i="24" s="1"/>
  <c r="U16" i="24"/>
  <c r="T16" i="24" s="1"/>
  <c r="S16" i="24" s="1"/>
  <c r="R16" i="24" s="1"/>
  <c r="U178" i="24"/>
  <c r="T178" i="24" s="1"/>
  <c r="S178" i="24" s="1"/>
  <c r="R178" i="24" s="1"/>
  <c r="U133" i="24"/>
  <c r="T133" i="24" s="1"/>
  <c r="S133" i="24" s="1"/>
  <c r="R133" i="24" s="1"/>
  <c r="U350" i="24"/>
  <c r="T350" i="24" s="1"/>
  <c r="S350" i="24" s="1"/>
  <c r="R350" i="24" s="1"/>
  <c r="U161" i="24"/>
  <c r="T161" i="24" s="1"/>
  <c r="S161" i="24" s="1"/>
  <c r="R161" i="24" s="1"/>
  <c r="U132" i="24"/>
  <c r="T132" i="24" s="1"/>
  <c r="S132" i="24" s="1"/>
  <c r="R132" i="24" s="1"/>
  <c r="U342" i="24"/>
  <c r="T342" i="24" s="1"/>
  <c r="S342" i="24" s="1"/>
  <c r="R342" i="24" s="1"/>
  <c r="U110" i="24"/>
  <c r="T110" i="24" s="1"/>
  <c r="S110" i="24" s="1"/>
  <c r="R110" i="24" s="1"/>
  <c r="U105" i="24"/>
  <c r="T105" i="24" s="1"/>
  <c r="S105" i="24" s="1"/>
  <c r="R105" i="24" s="1"/>
  <c r="U330" i="24"/>
  <c r="T330" i="24" s="1"/>
  <c r="S330" i="24" s="1"/>
  <c r="R330" i="24" s="1"/>
  <c r="U210" i="24"/>
  <c r="T210" i="24" s="1"/>
  <c r="S210" i="24" s="1"/>
  <c r="R210" i="24" s="1"/>
  <c r="U377" i="24"/>
  <c r="T377" i="24" s="1"/>
  <c r="S377" i="24" s="1"/>
  <c r="R377" i="24" s="1"/>
  <c r="U63" i="24"/>
  <c r="T63" i="24" s="1"/>
  <c r="S63" i="24" s="1"/>
  <c r="R63" i="24" s="1"/>
  <c r="U368" i="24"/>
  <c r="T368" i="24" s="1"/>
  <c r="S368" i="24" s="1"/>
  <c r="R368" i="24" s="1"/>
  <c r="U222" i="24"/>
  <c r="T222" i="24" s="1"/>
  <c r="S222" i="24" s="1"/>
  <c r="R222" i="24" s="1"/>
  <c r="U303" i="24"/>
  <c r="T303" i="24" s="1"/>
  <c r="S303" i="24" s="1"/>
  <c r="R303" i="24" s="1"/>
  <c r="U155" i="24"/>
  <c r="T155" i="24" s="1"/>
  <c r="S155" i="24" s="1"/>
  <c r="R155" i="24" s="1"/>
  <c r="U271" i="24"/>
  <c r="T271" i="24" s="1"/>
  <c r="S271" i="24" s="1"/>
  <c r="R271" i="24" s="1"/>
  <c r="U91" i="24"/>
  <c r="T91" i="24" s="1"/>
  <c r="S91" i="24" s="1"/>
  <c r="R91" i="24" s="1"/>
  <c r="U314" i="24"/>
  <c r="T314" i="24" s="1"/>
  <c r="S314" i="24" s="1"/>
  <c r="R314" i="24" s="1"/>
  <c r="U160" i="24"/>
  <c r="T160" i="24" s="1"/>
  <c r="S160" i="24" s="1"/>
  <c r="R160" i="24" s="1"/>
  <c r="U24" i="24"/>
  <c r="T24" i="24" s="1"/>
  <c r="S24" i="24" s="1"/>
  <c r="R24" i="24" s="1"/>
  <c r="U81" i="24"/>
  <c r="T81" i="24" s="1"/>
  <c r="S81" i="24" s="1"/>
  <c r="R81" i="24" s="1"/>
  <c r="U199" i="24"/>
  <c r="T199" i="24" s="1"/>
  <c r="S199" i="24" s="1"/>
  <c r="R199" i="24" s="1"/>
  <c r="U130" i="24"/>
  <c r="T130" i="24" s="1"/>
  <c r="S130" i="24" s="1"/>
  <c r="R130" i="24" s="1"/>
  <c r="U163" i="24"/>
  <c r="T163" i="24" s="1"/>
  <c r="S163" i="24" s="1"/>
  <c r="R163" i="24" s="1"/>
  <c r="U144" i="24"/>
  <c r="T144" i="24" s="1"/>
  <c r="S144" i="24" s="1"/>
  <c r="R144" i="24" s="1"/>
  <c r="U170" i="24"/>
  <c r="T170" i="24" s="1"/>
  <c r="S170" i="24" s="1"/>
  <c r="R170" i="24" s="1"/>
  <c r="U207" i="24"/>
  <c r="T207" i="24" s="1"/>
  <c r="S207" i="24" s="1"/>
  <c r="R207" i="24" s="1"/>
  <c r="U83" i="24"/>
  <c r="T83" i="24" s="1"/>
  <c r="S83" i="24" s="1"/>
  <c r="R83" i="24" s="1"/>
  <c r="U146" i="24"/>
  <c r="T146" i="24" s="1"/>
  <c r="S146" i="24" s="1"/>
  <c r="R146" i="24" s="1"/>
  <c r="U67" i="24"/>
  <c r="T67" i="24" s="1"/>
  <c r="S67" i="24" s="1"/>
  <c r="R67" i="24" s="1"/>
  <c r="U49" i="24"/>
  <c r="T49" i="24" s="1"/>
  <c r="S49" i="24" s="1"/>
  <c r="R49" i="24" s="1"/>
  <c r="U109" i="24"/>
  <c r="T109" i="24" s="1"/>
  <c r="S109" i="24" s="1"/>
  <c r="R109" i="24" s="1"/>
  <c r="U90" i="24"/>
  <c r="T90" i="24" s="1"/>
  <c r="S90" i="24" s="1"/>
  <c r="R90" i="24" s="1"/>
  <c r="U40" i="24"/>
  <c r="T40" i="24" s="1"/>
  <c r="S40" i="24" s="1"/>
  <c r="R40" i="24" s="1"/>
  <c r="U347" i="24"/>
  <c r="T347" i="24" s="1"/>
  <c r="S347" i="24" s="1"/>
  <c r="R347" i="24" s="1"/>
  <c r="U96" i="24"/>
  <c r="T96" i="24" s="1"/>
  <c r="S96" i="24" s="1"/>
  <c r="R96" i="24" s="1"/>
  <c r="U337" i="24"/>
  <c r="T337" i="24" s="1"/>
  <c r="S337" i="24" s="1"/>
  <c r="R337" i="24" s="1"/>
  <c r="U244" i="24"/>
  <c r="T244" i="24" s="1"/>
  <c r="S244" i="24" s="1"/>
  <c r="R244" i="24" s="1"/>
  <c r="U287" i="24"/>
  <c r="T287" i="24" s="1"/>
  <c r="S287" i="24" s="1"/>
  <c r="R287" i="24" s="1"/>
  <c r="U255" i="24"/>
  <c r="T255" i="24" s="1"/>
  <c r="S255" i="24" s="1"/>
  <c r="R255" i="24" s="1"/>
  <c r="U190" i="24"/>
  <c r="T190" i="24" s="1"/>
  <c r="S190" i="24" s="1"/>
  <c r="R190" i="24" s="1"/>
  <c r="U283" i="24"/>
  <c r="T283" i="24" s="1"/>
  <c r="S283" i="24" s="1"/>
  <c r="R283" i="24" s="1"/>
  <c r="U150" i="24"/>
  <c r="T150" i="24" s="1"/>
  <c r="S150" i="24" s="1"/>
  <c r="R150" i="24" s="1"/>
  <c r="U47" i="24"/>
  <c r="T47" i="24" s="1"/>
  <c r="S47" i="24" s="1"/>
  <c r="R47" i="24" s="1"/>
  <c r="U343" i="24"/>
  <c r="T343" i="24" s="1"/>
  <c r="S343" i="24" s="1"/>
  <c r="R343" i="24" s="1"/>
  <c r="U272" i="24"/>
  <c r="T272" i="24" s="1"/>
  <c r="S272" i="24" s="1"/>
  <c r="R272" i="24" s="1"/>
  <c r="U292" i="24"/>
  <c r="T292" i="24" s="1"/>
  <c r="S292" i="24" s="1"/>
  <c r="R292" i="24" s="1"/>
  <c r="U42" i="24"/>
  <c r="T42" i="24" s="1"/>
  <c r="S42" i="24" s="1"/>
  <c r="R42" i="24" s="1"/>
  <c r="U252" i="24"/>
  <c r="T252" i="24" s="1"/>
  <c r="S252" i="24" s="1"/>
  <c r="R252" i="24" s="1"/>
  <c r="U92" i="24"/>
  <c r="T92" i="24" s="1"/>
  <c r="S92" i="24" s="1"/>
  <c r="R92" i="24" s="1"/>
  <c r="U288" i="24"/>
  <c r="T288" i="24" s="1"/>
  <c r="S288" i="24" s="1"/>
  <c r="R288" i="24" s="1"/>
  <c r="U305" i="24"/>
  <c r="T305" i="24" s="1"/>
  <c r="S305" i="24" s="1"/>
  <c r="R305" i="24" s="1"/>
  <c r="U72" i="24"/>
  <c r="T72" i="24" s="1"/>
  <c r="S72" i="24" s="1"/>
  <c r="R72" i="24" s="1"/>
  <c r="U243" i="24"/>
  <c r="T243" i="24" s="1"/>
  <c r="S243" i="24" s="1"/>
  <c r="R243" i="24" s="1"/>
  <c r="U29" i="24"/>
  <c r="T29" i="24" s="1"/>
  <c r="S29" i="24" s="1"/>
  <c r="R29" i="24" s="1"/>
  <c r="U142" i="24"/>
  <c r="T142" i="24" s="1"/>
  <c r="S142" i="24" s="1"/>
  <c r="R142" i="24" s="1"/>
  <c r="U332" i="24"/>
  <c r="T332" i="24" s="1"/>
  <c r="S332" i="24" s="1"/>
  <c r="R332" i="24" s="1"/>
  <c r="U148" i="24"/>
  <c r="T148" i="24" s="1"/>
  <c r="S148" i="24" s="1"/>
  <c r="R148" i="24" s="1"/>
  <c r="U248" i="24"/>
  <c r="T248" i="24" s="1"/>
  <c r="S248" i="24" s="1"/>
  <c r="R248" i="24" s="1"/>
  <c r="U216" i="24"/>
  <c r="T216" i="24" s="1"/>
  <c r="S216" i="24" s="1"/>
  <c r="R216" i="24" s="1"/>
  <c r="U218" i="24"/>
  <c r="T218" i="24" s="1"/>
  <c r="S218" i="24" s="1"/>
  <c r="R218" i="24" s="1"/>
  <c r="U296" i="24"/>
  <c r="T296" i="24" s="1"/>
  <c r="S296" i="24" s="1"/>
  <c r="R296" i="24" s="1"/>
  <c r="U62" i="24"/>
  <c r="T62" i="24" s="1"/>
  <c r="S62" i="24" s="1"/>
  <c r="R62" i="24" s="1"/>
  <c r="U65" i="24"/>
  <c r="T65" i="24" s="1"/>
  <c r="S65" i="24" s="1"/>
  <c r="R65" i="24" s="1"/>
  <c r="U33" i="24"/>
  <c r="T33" i="24" s="1"/>
  <c r="S33" i="24" s="1"/>
  <c r="R33" i="24" s="1"/>
  <c r="U85" i="24"/>
  <c r="T85" i="24" s="1"/>
  <c r="S85" i="24" s="1"/>
  <c r="R85" i="24" s="1"/>
  <c r="U231" i="24"/>
  <c r="T231" i="24" s="1"/>
  <c r="S231" i="24" s="1"/>
  <c r="R231" i="24" s="1"/>
  <c r="U136" i="24"/>
  <c r="T136" i="24" s="1"/>
  <c r="S136" i="24" s="1"/>
  <c r="R136" i="24" s="1"/>
  <c r="U31" i="24"/>
  <c r="T31" i="24" s="1"/>
  <c r="S31" i="24" s="1"/>
  <c r="R31" i="24" s="1"/>
  <c r="U313" i="24"/>
  <c r="T313" i="24" s="1"/>
  <c r="S313" i="24" s="1"/>
  <c r="R313" i="24" s="1"/>
  <c r="U370" i="24"/>
  <c r="T370" i="24" s="1"/>
  <c r="S370" i="24" s="1"/>
  <c r="R370" i="24" s="1"/>
  <c r="U101" i="24"/>
  <c r="T101" i="24" s="1"/>
  <c r="S101" i="24" s="1"/>
  <c r="R101" i="24" s="1"/>
  <c r="U318" i="24"/>
  <c r="T318" i="24" s="1"/>
  <c r="S318" i="24" s="1"/>
  <c r="R318" i="24" s="1"/>
  <c r="U111" i="24"/>
  <c r="T111" i="24" s="1"/>
  <c r="S111" i="24" s="1"/>
  <c r="R111" i="24" s="1"/>
  <c r="U134" i="24"/>
  <c r="T134" i="24" s="1"/>
  <c r="S134" i="24" s="1"/>
  <c r="R134" i="24" s="1"/>
  <c r="U284" i="24"/>
  <c r="T284" i="24" s="1"/>
  <c r="S284" i="24" s="1"/>
  <c r="R284" i="24" s="1"/>
  <c r="U103" i="24"/>
  <c r="T103" i="24" s="1"/>
  <c r="S103" i="24" s="1"/>
  <c r="R103" i="24" s="1"/>
  <c r="U320" i="24"/>
  <c r="T320" i="24" s="1"/>
  <c r="S320" i="24" s="1"/>
  <c r="R320" i="24" s="1"/>
  <c r="U75" i="24"/>
  <c r="T75" i="24" s="1"/>
  <c r="S75" i="24" s="1"/>
  <c r="R75" i="24" s="1"/>
  <c r="U195" i="24"/>
  <c r="T195" i="24" s="1"/>
  <c r="S195" i="24" s="1"/>
  <c r="R195" i="24" s="1"/>
  <c r="U107" i="24"/>
  <c r="T107" i="24" s="1"/>
  <c r="S107" i="24" s="1"/>
  <c r="R107" i="24" s="1"/>
  <c r="U366" i="24"/>
  <c r="T366" i="24" s="1"/>
  <c r="S366" i="24" s="1"/>
  <c r="R366" i="24" s="1"/>
  <c r="U41" i="24"/>
  <c r="T41" i="24" s="1"/>
  <c r="S41" i="24" s="1"/>
  <c r="R41" i="24" s="1"/>
  <c r="U266" i="24"/>
  <c r="T266" i="24" s="1"/>
  <c r="S266" i="24" s="1"/>
  <c r="R266" i="24" s="1"/>
  <c r="U338" i="24"/>
  <c r="T338" i="24" s="1"/>
  <c r="S338" i="24" s="1"/>
  <c r="R338" i="24" s="1"/>
  <c r="U121" i="24"/>
  <c r="T121" i="24" s="1"/>
  <c r="S121" i="24" s="1"/>
  <c r="R121" i="24" s="1"/>
  <c r="U100" i="24"/>
  <c r="T100" i="24" s="1"/>
  <c r="S100" i="24" s="1"/>
  <c r="R100" i="24" s="1"/>
  <c r="U322" i="24"/>
  <c r="T322" i="24" s="1"/>
  <c r="S322" i="24" s="1"/>
  <c r="R322" i="24" s="1"/>
  <c r="U129" i="24"/>
  <c r="T129" i="24" s="1"/>
  <c r="S129" i="24" s="1"/>
  <c r="R129" i="24" s="1"/>
  <c r="U68" i="24"/>
  <c r="T68" i="24" s="1"/>
  <c r="S68" i="24" s="1"/>
  <c r="R68" i="24" s="1"/>
  <c r="U201" i="24"/>
  <c r="T201" i="24" s="1"/>
  <c r="S201" i="24" s="1"/>
  <c r="R201" i="24" s="1"/>
  <c r="U55" i="24"/>
  <c r="T55" i="24" s="1"/>
  <c r="S55" i="24" s="1"/>
  <c r="R55" i="24" s="1"/>
  <c r="U17" i="24"/>
  <c r="T17" i="24" s="1"/>
  <c r="S17" i="24" s="1"/>
  <c r="R17" i="24" s="1"/>
  <c r="U185" i="24"/>
  <c r="T185" i="24" s="1"/>
  <c r="S185" i="24" s="1"/>
  <c r="R185" i="24" s="1"/>
  <c r="U127" i="24"/>
  <c r="T127" i="24" s="1"/>
  <c r="S127" i="24" s="1"/>
  <c r="R127" i="24" s="1"/>
  <c r="U37" i="24"/>
  <c r="T37" i="24" s="1"/>
  <c r="S37" i="24" s="1"/>
  <c r="R37" i="24" s="1"/>
  <c r="U254" i="24"/>
  <c r="T254" i="24" s="1"/>
  <c r="S254" i="24" s="1"/>
  <c r="R254" i="24" s="1"/>
  <c r="U239" i="24"/>
  <c r="T239" i="24" s="1"/>
  <c r="S239" i="24" s="1"/>
  <c r="R239" i="24" s="1"/>
  <c r="U27" i="24"/>
  <c r="T27" i="24" s="1"/>
  <c r="S27" i="24" s="1"/>
  <c r="R27" i="24" s="1"/>
  <c r="U335" i="24"/>
  <c r="T335" i="24" s="1"/>
  <c r="S335" i="24" s="1"/>
  <c r="R335" i="24" s="1"/>
  <c r="U104" i="24"/>
  <c r="T104" i="24" s="1"/>
  <c r="S104" i="24" s="1"/>
  <c r="R104" i="24" s="1"/>
  <c r="U154" i="24"/>
  <c r="T154" i="24" s="1"/>
  <c r="S154" i="24" s="1"/>
  <c r="R154" i="24" s="1"/>
  <c r="U371" i="24"/>
  <c r="T371" i="24" s="1"/>
  <c r="S371" i="24" s="1"/>
  <c r="R371" i="24" s="1"/>
  <c r="U344" i="24"/>
  <c r="T344" i="24" s="1"/>
  <c r="S344" i="24" s="1"/>
  <c r="R344" i="24" s="1"/>
  <c r="U294" i="24"/>
  <c r="T294" i="24" s="1"/>
  <c r="S294" i="24" s="1"/>
  <c r="R294" i="24" s="1"/>
  <c r="U376" i="24"/>
  <c r="T376" i="24" s="1"/>
  <c r="S376" i="24" s="1"/>
  <c r="R376" i="24" s="1"/>
  <c r="U230" i="24"/>
  <c r="T230" i="24" s="1"/>
  <c r="S230" i="24" s="1"/>
  <c r="R230" i="24" s="1"/>
  <c r="U84" i="24"/>
  <c r="T84" i="24" s="1"/>
  <c r="S84" i="24" s="1"/>
  <c r="R84" i="24" s="1"/>
  <c r="U309" i="24"/>
  <c r="T309" i="24" s="1"/>
  <c r="S309" i="24" s="1"/>
  <c r="R309" i="24" s="1"/>
  <c r="U97" i="24"/>
  <c r="T97" i="24" s="1"/>
  <c r="S97" i="24" s="1"/>
  <c r="R97" i="24" s="1"/>
  <c r="U50" i="24"/>
  <c r="T50" i="24" s="1"/>
  <c r="S50" i="24" s="1"/>
  <c r="R50" i="24" s="1"/>
  <c r="U197" i="24"/>
  <c r="T197" i="24" s="1"/>
  <c r="S197" i="24" s="1"/>
  <c r="R197" i="24" s="1"/>
  <c r="U51" i="24"/>
  <c r="T51" i="24" s="1"/>
  <c r="S51" i="24" s="1"/>
  <c r="R51" i="24" s="1"/>
  <c r="U290" i="24"/>
  <c r="T290" i="24" s="1"/>
  <c r="S290" i="24" s="1"/>
  <c r="R290" i="24" s="1"/>
  <c r="U99" i="24"/>
  <c r="T99" i="24" s="1"/>
  <c r="S99" i="24" s="1"/>
  <c r="R99" i="24" s="1"/>
  <c r="U357" i="24"/>
  <c r="T357" i="24" s="1"/>
  <c r="S357" i="24" s="1"/>
  <c r="R357" i="24" s="1"/>
  <c r="U301" i="24"/>
  <c r="T301" i="24" s="1"/>
  <c r="S301" i="24" s="1"/>
  <c r="R301" i="24" s="1"/>
  <c r="U358" i="24"/>
  <c r="T358" i="24" s="1"/>
  <c r="S358" i="24" s="1"/>
  <c r="R358" i="24" s="1"/>
  <c r="U213" i="24"/>
  <c r="T213" i="24" s="1"/>
  <c r="S213" i="24" s="1"/>
  <c r="R213" i="24" s="1"/>
  <c r="U324" i="24"/>
  <c r="T324" i="24" s="1"/>
  <c r="S324" i="24" s="1"/>
  <c r="R324" i="24" s="1"/>
  <c r="U80" i="24"/>
  <c r="T80" i="24" s="1"/>
  <c r="S80" i="24" s="1"/>
  <c r="R80" i="24" s="1"/>
  <c r="U151" i="24"/>
  <c r="T151" i="24" s="1"/>
  <c r="S151" i="24" s="1"/>
  <c r="R151" i="24" s="1"/>
  <c r="U259" i="24"/>
  <c r="T259" i="24" s="1"/>
  <c r="S259" i="24" s="1"/>
  <c r="R259" i="24" s="1"/>
  <c r="U140" i="24"/>
  <c r="T140" i="24" s="1"/>
  <c r="S140" i="24" s="1"/>
  <c r="R140" i="24" s="1"/>
  <c r="U21" i="24"/>
  <c r="T21" i="24" s="1"/>
  <c r="S21" i="24" s="1"/>
  <c r="R21" i="24" s="1"/>
  <c r="U302" i="24"/>
  <c r="T302" i="24" s="1"/>
  <c r="S302" i="24" s="1"/>
  <c r="R302" i="24" s="1"/>
  <c r="U15" i="24"/>
  <c r="U74" i="24"/>
  <c r="T74" i="24" s="1"/>
  <c r="S74" i="24" s="1"/>
  <c r="R74" i="24" s="1"/>
  <c r="U228" i="24"/>
  <c r="T228" i="24" s="1"/>
  <c r="S228" i="24" s="1"/>
  <c r="R228" i="24" s="1"/>
  <c r="U112" i="24"/>
  <c r="T112" i="24" s="1"/>
  <c r="S112" i="24" s="1"/>
  <c r="R112" i="24" s="1"/>
  <c r="U183" i="24"/>
  <c r="T183" i="24" s="1"/>
  <c r="S183" i="24" s="1"/>
  <c r="R183" i="24" s="1"/>
  <c r="U227" i="24"/>
  <c r="T227" i="24" s="1"/>
  <c r="S227" i="24" s="1"/>
  <c r="R227" i="24" s="1"/>
  <c r="U58" i="24"/>
  <c r="T58" i="24" s="1"/>
  <c r="S58" i="24" s="1"/>
  <c r="R58" i="24" s="1"/>
  <c r="U173" i="24"/>
  <c r="T173" i="24" s="1"/>
  <c r="S173" i="24" s="1"/>
  <c r="R173" i="24" s="1"/>
  <c r="U48" i="24"/>
  <c r="T48" i="24" s="1"/>
  <c r="S48" i="24" s="1"/>
  <c r="R48" i="24" s="1"/>
  <c r="U265" i="24"/>
  <c r="T265" i="24" s="1"/>
  <c r="S265" i="24" s="1"/>
  <c r="R265" i="24" s="1"/>
  <c r="U119" i="24"/>
  <c r="T119" i="24" s="1"/>
  <c r="S119" i="24" s="1"/>
  <c r="R119" i="24" s="1"/>
  <c r="U316" i="24"/>
  <c r="T316" i="24" s="1"/>
  <c r="S316" i="24" s="1"/>
  <c r="R316" i="24" s="1"/>
  <c r="U188" i="24"/>
  <c r="T188" i="24" s="1"/>
  <c r="S188" i="24" s="1"/>
  <c r="R188" i="24" s="1"/>
  <c r="U138" i="24"/>
  <c r="T138" i="24" s="1"/>
  <c r="S138" i="24" s="1"/>
  <c r="R138" i="24" s="1"/>
  <c r="U306" i="24"/>
  <c r="T306" i="24" s="1"/>
  <c r="S306" i="24" s="1"/>
  <c r="R306" i="24" s="1"/>
  <c r="U286" i="24"/>
  <c r="T286" i="24" s="1"/>
  <c r="S286" i="24" s="1"/>
  <c r="R286" i="24" s="1"/>
  <c r="U262" i="24"/>
  <c r="T262" i="24" s="1"/>
  <c r="S262" i="24" s="1"/>
  <c r="R262" i="24" s="1"/>
  <c r="U198" i="24"/>
  <c r="T198" i="24" s="1"/>
  <c r="S198" i="24" s="1"/>
  <c r="R198" i="24" s="1"/>
  <c r="U224" i="24"/>
  <c r="T224" i="24" s="1"/>
  <c r="S224" i="24" s="1"/>
  <c r="R224" i="24" s="1"/>
  <c r="U220" i="24"/>
  <c r="T220" i="24" s="1"/>
  <c r="S220" i="24" s="1"/>
  <c r="R220" i="24" s="1"/>
  <c r="U356" i="24"/>
  <c r="T356" i="24" s="1"/>
  <c r="S356" i="24" s="1"/>
  <c r="R356" i="24" s="1"/>
  <c r="U351" i="24"/>
  <c r="T351" i="24" s="1"/>
  <c r="S351" i="24" s="1"/>
  <c r="R351" i="24" s="1"/>
  <c r="U94" i="24"/>
  <c r="T94" i="24" s="1"/>
  <c r="S94" i="24" s="1"/>
  <c r="R94" i="24" s="1"/>
  <c r="U232" i="24"/>
  <c r="T232" i="24" s="1"/>
  <c r="S232" i="24" s="1"/>
  <c r="R232" i="24" s="1"/>
  <c r="U349" i="24"/>
  <c r="T349" i="24" s="1"/>
  <c r="S349" i="24" s="1"/>
  <c r="R349" i="24" s="1"/>
  <c r="U147" i="24"/>
  <c r="T147" i="24" s="1"/>
  <c r="S147" i="24" s="1"/>
  <c r="R147" i="24" s="1"/>
  <c r="U172" i="24"/>
  <c r="T172" i="24" s="1"/>
  <c r="S172" i="24" s="1"/>
  <c r="R172" i="24" s="1"/>
  <c r="U177" i="24"/>
  <c r="T177" i="24" s="1"/>
  <c r="S177" i="24" s="1"/>
  <c r="R177" i="24" s="1"/>
  <c r="U256" i="24"/>
  <c r="T256" i="24" s="1"/>
  <c r="S256" i="24" s="1"/>
  <c r="R256" i="24" s="1"/>
  <c r="U156" i="24"/>
  <c r="T156" i="24" s="1"/>
  <c r="S156" i="24" s="1"/>
  <c r="R156" i="24" s="1"/>
  <c r="U60" i="24"/>
  <c r="T60" i="24" s="1"/>
  <c r="S60" i="24" s="1"/>
  <c r="R60" i="24" s="1"/>
  <c r="U202" i="24"/>
  <c r="T202" i="24" s="1"/>
  <c r="S202" i="24" s="1"/>
  <c r="R202" i="24" s="1"/>
  <c r="U95" i="24"/>
  <c r="T95" i="24" s="1"/>
  <c r="S95" i="24" s="1"/>
  <c r="R95" i="24" s="1"/>
  <c r="N66" i="19"/>
  <c r="D363" i="23"/>
  <c r="E363" i="23" s="1"/>
  <c r="F363" i="23" s="1"/>
  <c r="G363" i="23" s="1"/>
  <c r="CD363" i="6" s="1"/>
  <c r="D60" i="23"/>
  <c r="E60" i="23" s="1"/>
  <c r="F60" i="23" s="1"/>
  <c r="G60" i="23" s="1"/>
  <c r="CD60" i="6" s="1"/>
  <c r="AE313" i="24"/>
  <c r="J39" i="19"/>
  <c r="H38" i="19"/>
  <c r="I38" i="19"/>
  <c r="AE183" i="24"/>
  <c r="AE84" i="24"/>
  <c r="AE160" i="24"/>
  <c r="AE258" i="24"/>
  <c r="AE37" i="24"/>
  <c r="Q16" i="24"/>
  <c r="P16" i="24" s="1"/>
  <c r="V16" i="24" s="1"/>
  <c r="W16" i="24" s="1"/>
  <c r="D149" i="23"/>
  <c r="E149" i="23" s="1"/>
  <c r="F149" i="23" s="1"/>
  <c r="G149" i="23" s="1"/>
  <c r="CD149" i="6" s="1"/>
  <c r="W29" i="23"/>
  <c r="W88" i="23"/>
  <c r="H356" i="23"/>
  <c r="J356" i="23" s="1"/>
  <c r="H75" i="23"/>
  <c r="I75" i="23" s="1"/>
  <c r="H374" i="23"/>
  <c r="J374" i="23" s="1"/>
  <c r="H360" i="23"/>
  <c r="I360" i="23" s="1"/>
  <c r="H249" i="23"/>
  <c r="J249" i="23" s="1"/>
  <c r="H337" i="23"/>
  <c r="I337" i="23" s="1"/>
  <c r="H151" i="23"/>
  <c r="I151" i="23" s="1"/>
  <c r="G43" i="23"/>
  <c r="CD43" i="6" s="1"/>
  <c r="H186" i="23"/>
  <c r="J186" i="23" s="1"/>
  <c r="H94" i="23"/>
  <c r="J94" i="23" s="1"/>
  <c r="H120" i="23"/>
  <c r="I120" i="23" s="1"/>
  <c r="H164" i="23"/>
  <c r="I164" i="23" s="1"/>
  <c r="H223" i="23"/>
  <c r="I223" i="23" s="1"/>
  <c r="H229" i="23"/>
  <c r="I229" i="23" s="1"/>
  <c r="H175" i="23"/>
  <c r="J175" i="23" s="1"/>
  <c r="H39" i="23"/>
  <c r="J39" i="23" s="1"/>
  <c r="W180" i="23"/>
  <c r="W379" i="23"/>
  <c r="H92" i="23"/>
  <c r="J92" i="23" s="1"/>
  <c r="M68" i="19"/>
  <c r="H379" i="22"/>
  <c r="J379" i="22" s="1"/>
  <c r="J76" i="23"/>
  <c r="J319" i="23"/>
  <c r="J196" i="23"/>
  <c r="I76" i="23"/>
  <c r="H355" i="23"/>
  <c r="I355" i="23" s="1"/>
  <c r="W119" i="23"/>
  <c r="D15" i="19"/>
  <c r="G39" i="19"/>
  <c r="AE299" i="24"/>
  <c r="AE51" i="24"/>
  <c r="AE22" i="24"/>
  <c r="AE363" i="24"/>
  <c r="AE66" i="24"/>
  <c r="AE233" i="24"/>
  <c r="Q48" i="24"/>
  <c r="Q274" i="24"/>
  <c r="P274" i="24" s="1"/>
  <c r="V274" i="24" s="1"/>
  <c r="W274" i="24" s="1"/>
  <c r="J227" i="23"/>
  <c r="Q19" i="24"/>
  <c r="P19" i="24" s="1"/>
  <c r="V19" i="24" s="1"/>
  <c r="D19" i="24" s="1"/>
  <c r="E19" i="24" s="1"/>
  <c r="F19" i="24" s="1"/>
  <c r="AE67" i="24"/>
  <c r="AE15" i="24"/>
  <c r="AE197" i="24"/>
  <c r="AE379" i="24"/>
  <c r="AE218" i="24"/>
  <c r="AE295" i="24"/>
  <c r="AE190" i="24"/>
  <c r="AE333" i="24"/>
  <c r="AE172" i="24"/>
  <c r="AE135" i="24"/>
  <c r="AE231" i="24"/>
  <c r="AE147" i="24"/>
  <c r="AE343" i="24"/>
  <c r="Q80" i="24"/>
  <c r="P80" i="24" s="1"/>
  <c r="V80" i="24" s="1"/>
  <c r="W80" i="24" s="1"/>
  <c r="Q230" i="24"/>
  <c r="Q110" i="24"/>
  <c r="Q53" i="24"/>
  <c r="P53" i="24" s="1"/>
  <c r="V53" i="24" s="1"/>
  <c r="D53" i="24" s="1"/>
  <c r="E53" i="24" s="1"/>
  <c r="F53" i="24" s="1"/>
  <c r="Q263" i="24"/>
  <c r="Q127" i="24"/>
  <c r="AG110" i="23"/>
  <c r="AF110" i="23" s="1"/>
  <c r="AD110" i="23" s="1"/>
  <c r="AA110" i="23" s="1"/>
  <c r="Z110" i="23" s="1"/>
  <c r="Y110" i="23" s="1"/>
  <c r="AG141" i="23"/>
  <c r="AF141" i="23" s="1"/>
  <c r="AD141" i="23" s="1"/>
  <c r="AA141" i="23" s="1"/>
  <c r="Z141" i="23" s="1"/>
  <c r="Y141" i="23" s="1"/>
  <c r="AG190" i="23"/>
  <c r="AF190" i="23" s="1"/>
  <c r="AD190" i="23" s="1"/>
  <c r="AA190" i="23" s="1"/>
  <c r="Z190" i="23" s="1"/>
  <c r="Y190" i="23" s="1"/>
  <c r="AG299" i="23"/>
  <c r="AF299" i="23" s="1"/>
  <c r="AD299" i="23" s="1"/>
  <c r="AA299" i="23" s="1"/>
  <c r="Z299" i="23" s="1"/>
  <c r="Y299" i="23" s="1"/>
  <c r="AG97" i="23"/>
  <c r="AF97" i="23" s="1"/>
  <c r="AD97" i="23" s="1"/>
  <c r="AA97" i="23" s="1"/>
  <c r="Z97" i="23" s="1"/>
  <c r="Y97" i="23" s="1"/>
  <c r="AG376" i="23"/>
  <c r="AF376" i="23" s="1"/>
  <c r="AD376" i="23" s="1"/>
  <c r="AA376" i="23" s="1"/>
  <c r="Z376" i="23" s="1"/>
  <c r="Y376" i="23" s="1"/>
  <c r="AG271" i="23"/>
  <c r="AF271" i="23" s="1"/>
  <c r="AD271" i="23" s="1"/>
  <c r="AA271" i="23" s="1"/>
  <c r="Z271" i="23" s="1"/>
  <c r="Y271" i="23" s="1"/>
  <c r="AG102" i="23"/>
  <c r="AF102" i="23" s="1"/>
  <c r="AD102" i="23" s="1"/>
  <c r="AA102" i="23" s="1"/>
  <c r="Z102" i="23" s="1"/>
  <c r="Y102" i="23" s="1"/>
  <c r="AG338" i="23"/>
  <c r="AF338" i="23" s="1"/>
  <c r="AD338" i="23" s="1"/>
  <c r="AA338" i="23" s="1"/>
  <c r="Z338" i="23" s="1"/>
  <c r="Y338" i="23" s="1"/>
  <c r="AG83" i="23"/>
  <c r="AF83" i="23" s="1"/>
  <c r="AD83" i="23" s="1"/>
  <c r="AA83" i="23" s="1"/>
  <c r="Z83" i="23" s="1"/>
  <c r="Y83" i="23" s="1"/>
  <c r="AG292" i="23"/>
  <c r="AF292" i="23" s="1"/>
  <c r="AD292" i="23" s="1"/>
  <c r="AA292" i="23" s="1"/>
  <c r="Z292" i="23" s="1"/>
  <c r="Y292" i="23" s="1"/>
  <c r="AG355" i="23"/>
  <c r="AF355" i="23" s="1"/>
  <c r="AD355" i="23" s="1"/>
  <c r="AA355" i="23" s="1"/>
  <c r="Z355" i="23" s="1"/>
  <c r="Y355" i="23" s="1"/>
  <c r="AG46" i="23"/>
  <c r="AF46" i="23" s="1"/>
  <c r="AD46" i="23" s="1"/>
  <c r="AA46" i="23" s="1"/>
  <c r="Z46" i="23" s="1"/>
  <c r="Y46" i="23" s="1"/>
  <c r="AG163" i="23"/>
  <c r="AF163" i="23" s="1"/>
  <c r="AD163" i="23" s="1"/>
  <c r="AA163" i="23" s="1"/>
  <c r="Z163" i="23" s="1"/>
  <c r="Y163" i="23" s="1"/>
  <c r="AG50" i="23"/>
  <c r="AF50" i="23" s="1"/>
  <c r="AD50" i="23" s="1"/>
  <c r="AA50" i="23" s="1"/>
  <c r="Z50" i="23" s="1"/>
  <c r="Y50" i="23" s="1"/>
  <c r="AG272" i="23"/>
  <c r="AF272" i="23" s="1"/>
  <c r="AD272" i="23" s="1"/>
  <c r="AG92" i="23"/>
  <c r="AF92" i="23" s="1"/>
  <c r="AD92" i="23" s="1"/>
  <c r="AA92" i="23" s="1"/>
  <c r="Z92" i="23" s="1"/>
  <c r="Y92" i="23" s="1"/>
  <c r="AG150" i="23"/>
  <c r="AF150" i="23" s="1"/>
  <c r="AD150" i="23" s="1"/>
  <c r="AA150" i="23" s="1"/>
  <c r="Z150" i="23" s="1"/>
  <c r="Y150" i="23" s="1"/>
  <c r="AG42" i="23"/>
  <c r="AF42" i="23" s="1"/>
  <c r="AD42" i="23" s="1"/>
  <c r="AA42" i="23" s="1"/>
  <c r="Z42" i="23" s="1"/>
  <c r="Y42" i="23" s="1"/>
  <c r="AG304" i="23"/>
  <c r="AF304" i="23" s="1"/>
  <c r="AD304" i="23" s="1"/>
  <c r="AA304" i="23" s="1"/>
  <c r="Z304" i="23" s="1"/>
  <c r="Y304" i="23" s="1"/>
  <c r="AG31" i="23"/>
  <c r="AF31" i="23" s="1"/>
  <c r="AD31" i="23" s="1"/>
  <c r="AA31" i="23" s="1"/>
  <c r="Z31" i="23" s="1"/>
  <c r="Y31" i="23" s="1"/>
  <c r="AG343" i="23"/>
  <c r="AF343" i="23" s="1"/>
  <c r="AD343" i="23" s="1"/>
  <c r="AA343" i="23" s="1"/>
  <c r="Z343" i="23" s="1"/>
  <c r="Y343" i="23" s="1"/>
  <c r="AG313" i="23"/>
  <c r="AF313" i="23" s="1"/>
  <c r="AD313" i="23" s="1"/>
  <c r="AA313" i="23" s="1"/>
  <c r="Z313" i="23" s="1"/>
  <c r="Y313" i="23" s="1"/>
  <c r="AG297" i="23"/>
  <c r="AF297" i="23" s="1"/>
  <c r="AD297" i="23" s="1"/>
  <c r="AA297" i="23" s="1"/>
  <c r="Z297" i="23" s="1"/>
  <c r="Y297" i="23" s="1"/>
  <c r="AG170" i="23"/>
  <c r="AF170" i="23" s="1"/>
  <c r="AD170" i="23" s="1"/>
  <c r="AA170" i="23" s="1"/>
  <c r="Z170" i="23" s="1"/>
  <c r="Y170" i="23" s="1"/>
  <c r="AG307" i="23"/>
  <c r="AF307" i="23" s="1"/>
  <c r="AD307" i="23" s="1"/>
  <c r="AA307" i="23" s="1"/>
  <c r="Z307" i="23" s="1"/>
  <c r="Y307" i="23" s="1"/>
  <c r="AG167" i="23"/>
  <c r="AF167" i="23" s="1"/>
  <c r="AD167" i="23" s="1"/>
  <c r="AA167" i="23" s="1"/>
  <c r="Z167" i="23" s="1"/>
  <c r="Y167" i="23" s="1"/>
  <c r="AG318" i="23"/>
  <c r="AF318" i="23" s="1"/>
  <c r="AD318" i="23" s="1"/>
  <c r="AA318" i="23" s="1"/>
  <c r="Z318" i="23" s="1"/>
  <c r="Y318" i="23" s="1"/>
  <c r="AG317" i="23"/>
  <c r="AF317" i="23" s="1"/>
  <c r="AD317" i="23" s="1"/>
  <c r="AA317" i="23" s="1"/>
  <c r="Z317" i="23" s="1"/>
  <c r="Y317" i="23" s="1"/>
  <c r="AG98" i="23"/>
  <c r="AF98" i="23" s="1"/>
  <c r="AD98" i="23" s="1"/>
  <c r="AA98" i="23" s="1"/>
  <c r="Z98" i="23" s="1"/>
  <c r="Y98" i="23" s="1"/>
  <c r="AG32" i="23"/>
  <c r="AF32" i="23" s="1"/>
  <c r="AD32" i="23" s="1"/>
  <c r="AA32" i="23" s="1"/>
  <c r="Z32" i="23" s="1"/>
  <c r="Y32" i="23" s="1"/>
  <c r="AG182" i="23"/>
  <c r="AF182" i="23" s="1"/>
  <c r="AD182" i="23" s="1"/>
  <c r="AA182" i="23" s="1"/>
  <c r="Z182" i="23" s="1"/>
  <c r="Y182" i="23" s="1"/>
  <c r="AG298" i="23"/>
  <c r="AF298" i="23" s="1"/>
  <c r="AD298" i="23" s="1"/>
  <c r="AA298" i="23" s="1"/>
  <c r="Z298" i="23" s="1"/>
  <c r="Y298" i="23" s="1"/>
  <c r="AG248" i="23"/>
  <c r="AF248" i="23" s="1"/>
  <c r="AD248" i="23" s="1"/>
  <c r="AA248" i="23" s="1"/>
  <c r="Z248" i="23" s="1"/>
  <c r="Y248" i="23" s="1"/>
  <c r="AG58" i="23"/>
  <c r="AF58" i="23" s="1"/>
  <c r="AD58" i="23" s="1"/>
  <c r="AA58" i="23" s="1"/>
  <c r="Z58" i="23" s="1"/>
  <c r="Y58" i="23" s="1"/>
  <c r="AG175" i="23"/>
  <c r="AF175" i="23" s="1"/>
  <c r="AD175" i="23" s="1"/>
  <c r="AA175" i="23" s="1"/>
  <c r="Z175" i="23" s="1"/>
  <c r="Y175" i="23" s="1"/>
  <c r="AG52" i="23"/>
  <c r="AF52" i="23" s="1"/>
  <c r="AD52" i="23" s="1"/>
  <c r="AA52" i="23" s="1"/>
  <c r="Z52" i="23" s="1"/>
  <c r="Y52" i="23" s="1"/>
  <c r="AG262" i="23"/>
  <c r="AF262" i="23" s="1"/>
  <c r="AD262" i="23" s="1"/>
  <c r="AA262" i="23" s="1"/>
  <c r="Z262" i="23" s="1"/>
  <c r="Y262" i="23" s="1"/>
  <c r="AG104" i="23"/>
  <c r="AF104" i="23" s="1"/>
  <c r="AD104" i="23" s="1"/>
  <c r="AA104" i="23" s="1"/>
  <c r="Z104" i="23" s="1"/>
  <c r="Y104" i="23" s="1"/>
  <c r="AG137" i="23"/>
  <c r="AF137" i="23" s="1"/>
  <c r="AD137" i="23" s="1"/>
  <c r="AA137" i="23" s="1"/>
  <c r="Z137" i="23" s="1"/>
  <c r="Y137" i="23" s="1"/>
  <c r="AG135" i="23"/>
  <c r="AF135" i="23" s="1"/>
  <c r="AD135" i="23" s="1"/>
  <c r="AA135" i="23" s="1"/>
  <c r="Z135" i="23" s="1"/>
  <c r="Y135" i="23" s="1"/>
  <c r="AG302" i="23"/>
  <c r="AF302" i="23" s="1"/>
  <c r="AD302" i="23" s="1"/>
  <c r="AG178" i="23"/>
  <c r="AF178" i="23" s="1"/>
  <c r="AD178" i="23" s="1"/>
  <c r="AA178" i="23" s="1"/>
  <c r="Z178" i="23" s="1"/>
  <c r="Y178" i="23" s="1"/>
  <c r="AG48" i="23"/>
  <c r="AF48" i="23" s="1"/>
  <c r="AD48" i="23" s="1"/>
  <c r="AA48" i="23" s="1"/>
  <c r="Z48" i="23" s="1"/>
  <c r="Y48" i="23" s="1"/>
  <c r="AG177" i="23"/>
  <c r="AF177" i="23" s="1"/>
  <c r="AD177" i="23" s="1"/>
  <c r="AA177" i="23" s="1"/>
  <c r="Z177" i="23" s="1"/>
  <c r="Y177" i="23" s="1"/>
  <c r="AG236" i="23"/>
  <c r="AF236" i="23" s="1"/>
  <c r="AD236" i="23" s="1"/>
  <c r="AA236" i="23" s="1"/>
  <c r="Z236" i="23" s="1"/>
  <c r="Y236" i="23" s="1"/>
  <c r="AG18" i="23"/>
  <c r="AF18" i="23" s="1"/>
  <c r="AD18" i="23" s="1"/>
  <c r="AA18" i="23" s="1"/>
  <c r="Z18" i="23" s="1"/>
  <c r="Y18" i="23" s="1"/>
  <c r="AG191" i="23"/>
  <c r="AF191" i="23" s="1"/>
  <c r="AD191" i="23" s="1"/>
  <c r="AA191" i="23" s="1"/>
  <c r="Z191" i="23" s="1"/>
  <c r="Y191" i="23" s="1"/>
  <c r="AG24" i="23"/>
  <c r="AF24" i="23" s="1"/>
  <c r="AD24" i="23" s="1"/>
  <c r="AA24" i="23" s="1"/>
  <c r="Z24" i="23" s="1"/>
  <c r="Y24" i="23" s="1"/>
  <c r="AG215" i="23"/>
  <c r="AF215" i="23" s="1"/>
  <c r="AD215" i="23" s="1"/>
  <c r="AA215" i="23" s="1"/>
  <c r="Z215" i="23" s="1"/>
  <c r="Y215" i="23" s="1"/>
  <c r="AG100" i="23"/>
  <c r="AF100" i="23" s="1"/>
  <c r="AD100" i="23" s="1"/>
  <c r="AA100" i="23" s="1"/>
  <c r="Z100" i="23" s="1"/>
  <c r="Y100" i="23" s="1"/>
  <c r="AG195" i="23"/>
  <c r="AF195" i="23" s="1"/>
  <c r="AD195" i="23" s="1"/>
  <c r="AA195" i="23" s="1"/>
  <c r="Z195" i="23" s="1"/>
  <c r="Y195" i="23" s="1"/>
  <c r="AG233" i="23"/>
  <c r="AF233" i="23" s="1"/>
  <c r="AD233" i="23" s="1"/>
  <c r="AA233" i="23" s="1"/>
  <c r="Z233" i="23" s="1"/>
  <c r="Y233" i="23" s="1"/>
  <c r="AG106" i="23"/>
  <c r="AF106" i="23" s="1"/>
  <c r="AD106" i="23" s="1"/>
  <c r="AA106" i="23" s="1"/>
  <c r="Z106" i="23" s="1"/>
  <c r="Y106" i="23" s="1"/>
  <c r="AG243" i="23"/>
  <c r="AF243" i="23" s="1"/>
  <c r="AD243" i="23" s="1"/>
  <c r="AA243" i="23" s="1"/>
  <c r="Z243" i="23" s="1"/>
  <c r="Y243" i="23" s="1"/>
  <c r="AG39" i="23"/>
  <c r="AF39" i="23" s="1"/>
  <c r="AD39" i="23" s="1"/>
  <c r="AA39" i="23" s="1"/>
  <c r="Z39" i="23" s="1"/>
  <c r="Y39" i="23" s="1"/>
  <c r="AG254" i="23"/>
  <c r="AF254" i="23" s="1"/>
  <c r="AD254" i="23" s="1"/>
  <c r="AA254" i="23" s="1"/>
  <c r="Z254" i="23" s="1"/>
  <c r="Y254" i="23" s="1"/>
  <c r="AG237" i="23"/>
  <c r="AF237" i="23" s="1"/>
  <c r="AD237" i="23" s="1"/>
  <c r="AA237" i="23" s="1"/>
  <c r="Z237" i="23" s="1"/>
  <c r="Y237" i="23" s="1"/>
  <c r="AG363" i="23"/>
  <c r="AF363" i="23" s="1"/>
  <c r="AD363" i="23" s="1"/>
  <c r="AA363" i="23" s="1"/>
  <c r="Z363" i="23" s="1"/>
  <c r="Y363" i="23" s="1"/>
  <c r="AG344" i="23"/>
  <c r="AF344" i="23" s="1"/>
  <c r="AD344" i="23" s="1"/>
  <c r="AA344" i="23" s="1"/>
  <c r="Z344" i="23" s="1"/>
  <c r="Y344" i="23" s="1"/>
  <c r="AG54" i="23"/>
  <c r="AF54" i="23" s="1"/>
  <c r="AD54" i="23" s="1"/>
  <c r="AA54" i="23" s="1"/>
  <c r="Z54" i="23" s="1"/>
  <c r="Y54" i="23" s="1"/>
  <c r="AG234" i="23"/>
  <c r="AF234" i="23" s="1"/>
  <c r="AD234" i="23" s="1"/>
  <c r="AA234" i="23" s="1"/>
  <c r="Z234" i="23" s="1"/>
  <c r="Y234" i="23" s="1"/>
  <c r="AG216" i="23"/>
  <c r="AF216" i="23" s="1"/>
  <c r="AD216" i="23" s="1"/>
  <c r="AA216" i="23" s="1"/>
  <c r="Z216" i="23" s="1"/>
  <c r="Y216" i="23" s="1"/>
  <c r="AG320" i="23"/>
  <c r="AF320" i="23" s="1"/>
  <c r="AD320" i="23" s="1"/>
  <c r="AA320" i="23" s="1"/>
  <c r="Z320" i="23" s="1"/>
  <c r="Y320" i="23" s="1"/>
  <c r="AG306" i="23"/>
  <c r="AF306" i="23" s="1"/>
  <c r="AD306" i="23" s="1"/>
  <c r="AA306" i="23" s="1"/>
  <c r="Z306" i="23" s="1"/>
  <c r="Y306" i="23" s="1"/>
  <c r="AG228" i="23"/>
  <c r="AF228" i="23" s="1"/>
  <c r="AD228" i="23" s="1"/>
  <c r="AA228" i="23" s="1"/>
  <c r="Z228" i="23" s="1"/>
  <c r="Y228" i="23" s="1"/>
  <c r="AG329" i="23"/>
  <c r="AF329" i="23" s="1"/>
  <c r="AD329" i="23" s="1"/>
  <c r="AA329" i="23" s="1"/>
  <c r="Z329" i="23" s="1"/>
  <c r="Y329" i="23" s="1"/>
  <c r="AG75" i="23"/>
  <c r="AF75" i="23" s="1"/>
  <c r="AD75" i="23" s="1"/>
  <c r="AA75" i="23" s="1"/>
  <c r="Z75" i="23" s="1"/>
  <c r="Y75" i="23" s="1"/>
  <c r="AG350" i="23"/>
  <c r="AF350" i="23" s="1"/>
  <c r="AD350" i="23" s="1"/>
  <c r="AA350" i="23" s="1"/>
  <c r="Z350" i="23" s="1"/>
  <c r="Y350" i="23" s="1"/>
  <c r="AG267" i="23"/>
  <c r="AF267" i="23" s="1"/>
  <c r="AD267" i="23" s="1"/>
  <c r="AA267" i="23" s="1"/>
  <c r="Z267" i="23" s="1"/>
  <c r="Y267" i="23" s="1"/>
  <c r="AG369" i="23"/>
  <c r="AF369" i="23" s="1"/>
  <c r="AD369" i="23" s="1"/>
  <c r="AA369" i="23" s="1"/>
  <c r="Z369" i="23" s="1"/>
  <c r="Y369" i="23" s="1"/>
  <c r="AG333" i="23"/>
  <c r="AF333" i="23" s="1"/>
  <c r="AD333" i="23" s="1"/>
  <c r="AG91" i="23"/>
  <c r="AF91" i="23" s="1"/>
  <c r="AD91" i="23" s="1"/>
  <c r="AA91" i="23" s="1"/>
  <c r="Z91" i="23" s="1"/>
  <c r="Y91" i="23" s="1"/>
  <c r="AG151" i="23"/>
  <c r="AF151" i="23" s="1"/>
  <c r="AD151" i="23" s="1"/>
  <c r="AA151" i="23" s="1"/>
  <c r="Z151" i="23" s="1"/>
  <c r="Y151" i="23" s="1"/>
  <c r="AG239" i="23"/>
  <c r="AF239" i="23" s="1"/>
  <c r="AD239" i="23" s="1"/>
  <c r="AA239" i="23" s="1"/>
  <c r="Z239" i="23" s="1"/>
  <c r="Y239" i="23" s="1"/>
  <c r="AG38" i="23"/>
  <c r="AF38" i="23" s="1"/>
  <c r="AD38" i="23" s="1"/>
  <c r="AA38" i="23" s="1"/>
  <c r="Z38" i="23" s="1"/>
  <c r="Y38" i="23" s="1"/>
  <c r="AG322" i="23"/>
  <c r="AF322" i="23" s="1"/>
  <c r="AD322" i="23" s="1"/>
  <c r="AA322" i="23" s="1"/>
  <c r="Z322" i="23" s="1"/>
  <c r="Y322" i="23" s="1"/>
  <c r="AG16" i="23"/>
  <c r="AF16" i="23" s="1"/>
  <c r="AD16" i="23" s="1"/>
  <c r="AA16" i="23" s="1"/>
  <c r="Z16" i="23" s="1"/>
  <c r="Y16" i="23" s="1"/>
  <c r="AG260" i="23"/>
  <c r="AF260" i="23" s="1"/>
  <c r="AD260" i="23" s="1"/>
  <c r="AA260" i="23" s="1"/>
  <c r="Z260" i="23" s="1"/>
  <c r="Y260" i="23" s="1"/>
  <c r="AG323" i="23"/>
  <c r="AF323" i="23" s="1"/>
  <c r="AD323" i="23" s="1"/>
  <c r="AA323" i="23" s="1"/>
  <c r="Z323" i="23" s="1"/>
  <c r="Y323" i="23" s="1"/>
  <c r="AG361" i="23"/>
  <c r="AF361" i="23" s="1"/>
  <c r="AD361" i="23" s="1"/>
  <c r="AA361" i="23" s="1"/>
  <c r="Z361" i="23" s="1"/>
  <c r="Y361" i="23" s="1"/>
  <c r="AG99" i="23"/>
  <c r="AF99" i="23" s="1"/>
  <c r="AD99" i="23" s="1"/>
  <c r="AA99" i="23" s="1"/>
  <c r="Z99" i="23" s="1"/>
  <c r="Y99" i="23" s="1"/>
  <c r="AG371" i="23"/>
  <c r="AF371" i="23" s="1"/>
  <c r="AD371" i="23" s="1"/>
  <c r="AA371" i="23" s="1"/>
  <c r="Z371" i="23" s="1"/>
  <c r="Y371" i="23" s="1"/>
  <c r="AG240" i="23"/>
  <c r="AF240" i="23" s="1"/>
  <c r="AD240" i="23" s="1"/>
  <c r="AA240" i="23" s="1"/>
  <c r="Z240" i="23" s="1"/>
  <c r="Y240" i="23" s="1"/>
  <c r="AG28" i="23"/>
  <c r="AF28" i="23" s="1"/>
  <c r="AD28" i="23" s="1"/>
  <c r="AA28" i="23" s="1"/>
  <c r="Z28" i="23" s="1"/>
  <c r="Y28" i="23" s="1"/>
  <c r="AG86" i="23"/>
  <c r="AF86" i="23" s="1"/>
  <c r="AD86" i="23" s="1"/>
  <c r="AA86" i="23" s="1"/>
  <c r="Z86" i="23" s="1"/>
  <c r="Y86" i="23" s="1"/>
  <c r="AG59" i="23"/>
  <c r="AF59" i="23" s="1"/>
  <c r="AD59" i="23" s="1"/>
  <c r="AA59" i="23" s="1"/>
  <c r="Z59" i="23" s="1"/>
  <c r="Y59" i="23" s="1"/>
  <c r="AG149" i="23"/>
  <c r="AF149" i="23" s="1"/>
  <c r="AD149" i="23" s="1"/>
  <c r="AA149" i="23" s="1"/>
  <c r="Z149" i="23" s="1"/>
  <c r="Y149" i="23" s="1"/>
  <c r="AG127" i="23"/>
  <c r="AF127" i="23" s="1"/>
  <c r="AD127" i="23" s="1"/>
  <c r="AA127" i="23" s="1"/>
  <c r="Z127" i="23" s="1"/>
  <c r="Y127" i="23" s="1"/>
  <c r="AG362" i="23"/>
  <c r="AF362" i="23" s="1"/>
  <c r="AD362" i="23" s="1"/>
  <c r="AA362" i="23" s="1"/>
  <c r="Z362" i="23" s="1"/>
  <c r="Y362" i="23" s="1"/>
  <c r="AG280" i="23"/>
  <c r="AF280" i="23" s="1"/>
  <c r="AD280" i="23" s="1"/>
  <c r="AA280" i="23" s="1"/>
  <c r="Z280" i="23" s="1"/>
  <c r="Y280" i="23" s="1"/>
  <c r="AG51" i="23"/>
  <c r="AF51" i="23" s="1"/>
  <c r="AD51" i="23" s="1"/>
  <c r="AA51" i="23" s="1"/>
  <c r="Z51" i="23" s="1"/>
  <c r="Y51" i="23" s="1"/>
  <c r="AG116" i="23"/>
  <c r="AF116" i="23" s="1"/>
  <c r="AD116" i="23" s="1"/>
  <c r="AA116" i="23" s="1"/>
  <c r="Z116" i="23" s="1"/>
  <c r="Y116" i="23" s="1"/>
  <c r="AG61" i="23"/>
  <c r="AF61" i="23" s="1"/>
  <c r="AD61" i="23" s="1"/>
  <c r="AA61" i="23" s="1"/>
  <c r="Z61" i="23" s="1"/>
  <c r="Y61" i="23" s="1"/>
  <c r="AG224" i="23"/>
  <c r="AF224" i="23" s="1"/>
  <c r="AD224" i="23" s="1"/>
  <c r="AA224" i="23" s="1"/>
  <c r="Z224" i="23" s="1"/>
  <c r="Y224" i="23" s="1"/>
  <c r="AG339" i="23"/>
  <c r="AF339" i="23" s="1"/>
  <c r="AD339" i="23" s="1"/>
  <c r="AA339" i="23" s="1"/>
  <c r="Z339" i="23" s="1"/>
  <c r="Y339" i="23" s="1"/>
  <c r="AG245" i="23"/>
  <c r="AF245" i="23" s="1"/>
  <c r="AD245" i="23" s="1"/>
  <c r="AA245" i="23" s="1"/>
  <c r="Z245" i="23" s="1"/>
  <c r="Y245" i="23" s="1"/>
  <c r="AG140" i="23"/>
  <c r="AF140" i="23" s="1"/>
  <c r="AD140" i="23" s="1"/>
  <c r="AA140" i="23" s="1"/>
  <c r="Z140" i="23" s="1"/>
  <c r="Y140" i="23" s="1"/>
  <c r="AG203" i="23"/>
  <c r="AF203" i="23" s="1"/>
  <c r="AD203" i="23" s="1"/>
  <c r="AA203" i="23" s="1"/>
  <c r="Z203" i="23" s="1"/>
  <c r="Y203" i="23" s="1"/>
  <c r="AG337" i="23"/>
  <c r="AF337" i="23" s="1"/>
  <c r="AD337" i="23" s="1"/>
  <c r="AA337" i="23" s="1"/>
  <c r="Z337" i="23" s="1"/>
  <c r="Y337" i="23" s="1"/>
  <c r="AG285" i="23"/>
  <c r="AF285" i="23" s="1"/>
  <c r="AD285" i="23" s="1"/>
  <c r="AA285" i="23" s="1"/>
  <c r="Z285" i="23" s="1"/>
  <c r="Y285" i="23" s="1"/>
  <c r="AG130" i="23"/>
  <c r="AF130" i="23" s="1"/>
  <c r="AD130" i="23" s="1"/>
  <c r="AA130" i="23" s="1"/>
  <c r="Z130" i="23" s="1"/>
  <c r="Y130" i="23" s="1"/>
  <c r="AG87" i="23"/>
  <c r="AF87" i="23" s="1"/>
  <c r="AD87" i="23" s="1"/>
  <c r="AA87" i="23" s="1"/>
  <c r="Z87" i="23" s="1"/>
  <c r="Y87" i="23" s="1"/>
  <c r="AG165" i="23"/>
  <c r="AF165" i="23" s="1"/>
  <c r="AD165" i="23" s="1"/>
  <c r="AA165" i="23" s="1"/>
  <c r="Z165" i="23" s="1"/>
  <c r="Y165" i="23" s="1"/>
  <c r="AG325" i="23"/>
  <c r="AF325" i="23" s="1"/>
  <c r="AD325" i="23" s="1"/>
  <c r="AA325" i="23" s="1"/>
  <c r="Z325" i="23" s="1"/>
  <c r="Y325" i="23" s="1"/>
  <c r="AG290" i="23"/>
  <c r="AF290" i="23" s="1"/>
  <c r="AD290" i="23" s="1"/>
  <c r="AA290" i="23" s="1"/>
  <c r="Z290" i="23" s="1"/>
  <c r="Y290" i="23" s="1"/>
  <c r="AG90" i="23"/>
  <c r="AF90" i="23" s="1"/>
  <c r="AD90" i="23" s="1"/>
  <c r="AA90" i="23" s="1"/>
  <c r="Z90" i="23" s="1"/>
  <c r="Y90" i="23" s="1"/>
  <c r="AG196" i="23"/>
  <c r="AF196" i="23" s="1"/>
  <c r="AD196" i="23" s="1"/>
  <c r="AA196" i="23" s="1"/>
  <c r="Z196" i="23" s="1"/>
  <c r="Y196" i="23" s="1"/>
  <c r="AG259" i="23"/>
  <c r="AF259" i="23" s="1"/>
  <c r="AD259" i="23" s="1"/>
  <c r="AA259" i="23" s="1"/>
  <c r="Z259" i="23" s="1"/>
  <c r="Y259" i="23" s="1"/>
  <c r="AG93" i="23"/>
  <c r="AF93" i="23" s="1"/>
  <c r="AD93" i="23" s="1"/>
  <c r="AA93" i="23" s="1"/>
  <c r="Z93" i="23" s="1"/>
  <c r="Y93" i="23" s="1"/>
  <c r="AG205" i="23"/>
  <c r="AF205" i="23" s="1"/>
  <c r="AD205" i="23" s="1"/>
  <c r="AA205" i="23" s="1"/>
  <c r="Z205" i="23" s="1"/>
  <c r="Y205" i="23" s="1"/>
  <c r="AG23" i="23"/>
  <c r="AF23" i="23" s="1"/>
  <c r="AD23" i="23" s="1"/>
  <c r="AA23" i="23" s="1"/>
  <c r="Z23" i="23" s="1"/>
  <c r="Y23" i="23" s="1"/>
  <c r="AG261" i="23"/>
  <c r="AF261" i="23" s="1"/>
  <c r="AD261" i="23" s="1"/>
  <c r="AA261" i="23" s="1"/>
  <c r="Z261" i="23" s="1"/>
  <c r="Y261" i="23" s="1"/>
  <c r="AG230" i="23"/>
  <c r="AF230" i="23" s="1"/>
  <c r="AD230" i="23" s="1"/>
  <c r="AA230" i="23" s="1"/>
  <c r="Z230" i="23" s="1"/>
  <c r="Y230" i="23" s="1"/>
  <c r="AG144" i="23"/>
  <c r="AF144" i="23" s="1"/>
  <c r="AD144" i="23" s="1"/>
  <c r="AA144" i="23" s="1"/>
  <c r="Z144" i="23" s="1"/>
  <c r="Y144" i="23" s="1"/>
  <c r="AG229" i="23"/>
  <c r="AF229" i="23" s="1"/>
  <c r="AD229" i="23" s="1"/>
  <c r="AA229" i="23" s="1"/>
  <c r="Z229" i="23" s="1"/>
  <c r="Y229" i="23" s="1"/>
  <c r="AG242" i="23"/>
  <c r="AF242" i="23" s="1"/>
  <c r="AD242" i="23" s="1"/>
  <c r="AA242" i="23" s="1"/>
  <c r="Z242" i="23" s="1"/>
  <c r="Y242" i="23" s="1"/>
  <c r="AG319" i="23"/>
  <c r="AF319" i="23" s="1"/>
  <c r="AD319" i="23" s="1"/>
  <c r="AA319" i="23" s="1"/>
  <c r="Z319" i="23" s="1"/>
  <c r="Y319" i="23" s="1"/>
  <c r="AG17" i="23"/>
  <c r="AF17" i="23" s="1"/>
  <c r="AD17" i="23" s="1"/>
  <c r="AA17" i="23" s="1"/>
  <c r="Z17" i="23" s="1"/>
  <c r="Y17" i="23" s="1"/>
  <c r="AG173" i="23"/>
  <c r="AF173" i="23" s="1"/>
  <c r="AD173" i="23" s="1"/>
  <c r="AA173" i="23" s="1"/>
  <c r="Z173" i="23" s="1"/>
  <c r="Y173" i="23" s="1"/>
  <c r="AG201" i="23"/>
  <c r="AF201" i="23" s="1"/>
  <c r="AD201" i="23" s="1"/>
  <c r="AA201" i="23" s="1"/>
  <c r="Z201" i="23" s="1"/>
  <c r="Y201" i="23" s="1"/>
  <c r="AG74" i="23"/>
  <c r="AF74" i="23" s="1"/>
  <c r="AD74" i="23" s="1"/>
  <c r="AA74" i="23" s="1"/>
  <c r="Z74" i="23" s="1"/>
  <c r="Y74" i="23" s="1"/>
  <c r="AG211" i="23"/>
  <c r="AF211" i="23" s="1"/>
  <c r="AD211" i="23" s="1"/>
  <c r="AA211" i="23" s="1"/>
  <c r="Z211" i="23" s="1"/>
  <c r="Y211" i="23" s="1"/>
  <c r="AG142" i="23"/>
  <c r="AF142" i="23" s="1"/>
  <c r="AD142" i="23" s="1"/>
  <c r="AA142" i="23" s="1"/>
  <c r="Z142" i="23" s="1"/>
  <c r="Y142" i="23" s="1"/>
  <c r="AG222" i="23"/>
  <c r="AF222" i="23" s="1"/>
  <c r="AD222" i="23" s="1"/>
  <c r="AA222" i="23" s="1"/>
  <c r="Z222" i="23" s="1"/>
  <c r="Y222" i="23" s="1"/>
  <c r="AG221" i="23"/>
  <c r="AF221" i="23" s="1"/>
  <c r="AD221" i="23" s="1"/>
  <c r="AA221" i="23" s="1"/>
  <c r="Z221" i="23" s="1"/>
  <c r="Y221" i="23" s="1"/>
  <c r="AG331" i="23"/>
  <c r="AF331" i="23" s="1"/>
  <c r="AD331" i="23" s="1"/>
  <c r="AA331" i="23" s="1"/>
  <c r="Z331" i="23" s="1"/>
  <c r="Y331" i="23" s="1"/>
  <c r="AG328" i="23"/>
  <c r="AF328" i="23" s="1"/>
  <c r="AD328" i="23" s="1"/>
  <c r="AA328" i="23" s="1"/>
  <c r="Z328" i="23" s="1"/>
  <c r="Y328" i="23" s="1"/>
  <c r="AG365" i="23"/>
  <c r="AF365" i="23" s="1"/>
  <c r="AD365" i="23" s="1"/>
  <c r="AA365" i="23" s="1"/>
  <c r="Z365" i="23" s="1"/>
  <c r="Y365" i="23" s="1"/>
  <c r="AG202" i="23"/>
  <c r="AF202" i="23" s="1"/>
  <c r="AD202" i="23" s="1"/>
  <c r="AA202" i="23" s="1"/>
  <c r="Z202" i="23" s="1"/>
  <c r="Y202" i="23" s="1"/>
  <c r="AG200" i="23"/>
  <c r="AF200" i="23" s="1"/>
  <c r="AD200" i="23" s="1"/>
  <c r="AA200" i="23" s="1"/>
  <c r="Z200" i="23" s="1"/>
  <c r="Y200" i="23" s="1"/>
  <c r="AG303" i="23"/>
  <c r="AF303" i="23" s="1"/>
  <c r="AD303" i="23" s="1"/>
  <c r="AA303" i="23" s="1"/>
  <c r="Z303" i="23" s="1"/>
  <c r="Y303" i="23" s="1"/>
  <c r="AG166" i="23"/>
  <c r="AF166" i="23" s="1"/>
  <c r="AD166" i="23" s="1"/>
  <c r="AA166" i="23" s="1"/>
  <c r="Z166" i="23" s="1"/>
  <c r="Y166" i="23" s="1"/>
  <c r="AG354" i="23"/>
  <c r="AF354" i="23" s="1"/>
  <c r="AD354" i="23" s="1"/>
  <c r="AA354" i="23" s="1"/>
  <c r="Z354" i="23" s="1"/>
  <c r="Y354" i="23" s="1"/>
  <c r="AG147" i="23"/>
  <c r="AF147" i="23" s="1"/>
  <c r="AD147" i="23" s="1"/>
  <c r="AA147" i="23" s="1"/>
  <c r="Z147" i="23" s="1"/>
  <c r="Y147" i="23" s="1"/>
  <c r="AG324" i="23"/>
  <c r="AF324" i="23" s="1"/>
  <c r="AD324" i="23" s="1"/>
  <c r="AA324" i="23" s="1"/>
  <c r="Z324" i="23" s="1"/>
  <c r="Y324" i="23" s="1"/>
  <c r="AI383" i="23"/>
  <c r="AI382" i="23"/>
  <c r="AI381" i="23"/>
  <c r="AH15" i="23"/>
  <c r="AG282" i="23"/>
  <c r="AF282" i="23" s="1"/>
  <c r="AD282" i="23" s="1"/>
  <c r="AA282" i="23" s="1"/>
  <c r="Z282" i="23" s="1"/>
  <c r="Y282" i="23" s="1"/>
  <c r="AG118" i="23"/>
  <c r="AF118" i="23" s="1"/>
  <c r="AD118" i="23" s="1"/>
  <c r="AA118" i="23" s="1"/>
  <c r="Z118" i="23" s="1"/>
  <c r="Y118" i="23" s="1"/>
  <c r="AG232" i="23"/>
  <c r="AF232" i="23" s="1"/>
  <c r="AD232" i="23" s="1"/>
  <c r="AA232" i="23" s="1"/>
  <c r="Z232" i="23" s="1"/>
  <c r="Y232" i="23" s="1"/>
  <c r="AG111" i="23"/>
  <c r="AF111" i="23" s="1"/>
  <c r="AD111" i="23" s="1"/>
  <c r="AA111" i="23" s="1"/>
  <c r="Z111" i="23" s="1"/>
  <c r="Y111" i="23" s="1"/>
  <c r="AG351" i="23"/>
  <c r="AF351" i="23" s="1"/>
  <c r="AD351" i="23" s="1"/>
  <c r="AA351" i="23" s="1"/>
  <c r="Z351" i="23" s="1"/>
  <c r="Y351" i="23" s="1"/>
  <c r="AG94" i="23"/>
  <c r="AF94" i="23" s="1"/>
  <c r="AD94" i="23" s="1"/>
  <c r="AA94" i="23" s="1"/>
  <c r="Z94" i="23" s="1"/>
  <c r="Y94" i="23" s="1"/>
  <c r="AG19" i="23"/>
  <c r="AF19" i="23" s="1"/>
  <c r="AD19" i="23" s="1"/>
  <c r="AA19" i="23" s="1"/>
  <c r="Z19" i="23" s="1"/>
  <c r="Y19" i="23" s="1"/>
  <c r="AG145" i="23"/>
  <c r="AF145" i="23" s="1"/>
  <c r="AD145" i="23" s="1"/>
  <c r="AA145" i="23" s="1"/>
  <c r="Z145" i="23" s="1"/>
  <c r="Y145" i="23" s="1"/>
  <c r="AG210" i="23"/>
  <c r="AF210" i="23" s="1"/>
  <c r="AD210" i="23" s="1"/>
  <c r="AG255" i="23"/>
  <c r="AF255" i="23" s="1"/>
  <c r="AD255" i="23" s="1"/>
  <c r="AA255" i="23" s="1"/>
  <c r="Z255" i="23" s="1"/>
  <c r="Y255" i="23" s="1"/>
  <c r="AG70" i="23"/>
  <c r="AF70" i="23" s="1"/>
  <c r="AD70" i="23" s="1"/>
  <c r="AA70" i="23" s="1"/>
  <c r="Z70" i="23" s="1"/>
  <c r="Y70" i="23" s="1"/>
  <c r="AG152" i="23"/>
  <c r="AF152" i="23" s="1"/>
  <c r="AD152" i="23" s="1"/>
  <c r="AA152" i="23" s="1"/>
  <c r="Z152" i="23" s="1"/>
  <c r="Y152" i="23" s="1"/>
  <c r="AG89" i="23"/>
  <c r="AF89" i="23" s="1"/>
  <c r="AD89" i="23" s="1"/>
  <c r="AA89" i="23" s="1"/>
  <c r="Z89" i="23" s="1"/>
  <c r="Y89" i="23" s="1"/>
  <c r="AG375" i="23"/>
  <c r="AF375" i="23" s="1"/>
  <c r="AD375" i="23" s="1"/>
  <c r="AA375" i="23" s="1"/>
  <c r="Z375" i="23" s="1"/>
  <c r="Y375" i="23" s="1"/>
  <c r="AG109" i="23"/>
  <c r="AF109" i="23" s="1"/>
  <c r="AD109" i="23" s="1"/>
  <c r="AA109" i="23" s="1"/>
  <c r="Z109" i="23" s="1"/>
  <c r="Y109" i="23" s="1"/>
  <c r="AG377" i="23"/>
  <c r="AF377" i="23" s="1"/>
  <c r="AD377" i="23" s="1"/>
  <c r="AA377" i="23" s="1"/>
  <c r="Z377" i="23" s="1"/>
  <c r="Y377" i="23" s="1"/>
  <c r="AG131" i="23"/>
  <c r="AF131" i="23" s="1"/>
  <c r="AD131" i="23" s="1"/>
  <c r="AA131" i="23" s="1"/>
  <c r="Z131" i="23" s="1"/>
  <c r="Y131" i="23" s="1"/>
  <c r="AG65" i="23"/>
  <c r="AF65" i="23" s="1"/>
  <c r="AD65" i="23" s="1"/>
  <c r="AA65" i="23" s="1"/>
  <c r="Z65" i="23" s="1"/>
  <c r="Y65" i="23" s="1"/>
  <c r="AG360" i="23"/>
  <c r="AF360" i="23" s="1"/>
  <c r="AD360" i="23" s="1"/>
  <c r="AA360" i="23" s="1"/>
  <c r="Z360" i="23" s="1"/>
  <c r="Y360" i="23" s="1"/>
  <c r="AG121" i="23"/>
  <c r="AF121" i="23" s="1"/>
  <c r="AD121" i="23" s="1"/>
  <c r="AA121" i="23" s="1"/>
  <c r="Z121" i="23" s="1"/>
  <c r="Y121" i="23" s="1"/>
  <c r="AG278" i="23"/>
  <c r="AF278" i="23" s="1"/>
  <c r="AD278" i="23" s="1"/>
  <c r="AA278" i="23" s="1"/>
  <c r="Z278" i="23" s="1"/>
  <c r="Y278" i="23" s="1"/>
  <c r="AG312" i="23"/>
  <c r="AF312" i="23" s="1"/>
  <c r="AD312" i="23" s="1"/>
  <c r="AA312" i="23" s="1"/>
  <c r="Z312" i="23" s="1"/>
  <c r="Y312" i="23" s="1"/>
  <c r="AG155" i="23"/>
  <c r="AF155" i="23" s="1"/>
  <c r="AD155" i="23" s="1"/>
  <c r="AA155" i="23" s="1"/>
  <c r="Z155" i="23" s="1"/>
  <c r="Y155" i="23" s="1"/>
  <c r="AG68" i="23"/>
  <c r="AF68" i="23" s="1"/>
  <c r="AD68" i="23" s="1"/>
  <c r="AA68" i="23" s="1"/>
  <c r="Z68" i="23" s="1"/>
  <c r="Y68" i="23" s="1"/>
  <c r="AG327" i="23"/>
  <c r="AF327" i="23" s="1"/>
  <c r="AD327" i="23" s="1"/>
  <c r="AA327" i="23" s="1"/>
  <c r="Z327" i="23" s="1"/>
  <c r="Y327" i="23" s="1"/>
  <c r="AG120" i="23"/>
  <c r="AF120" i="23" s="1"/>
  <c r="AD120" i="23" s="1"/>
  <c r="AA120" i="23" s="1"/>
  <c r="Z120" i="23" s="1"/>
  <c r="Y120" i="23" s="1"/>
  <c r="AG281" i="23"/>
  <c r="AF281" i="23" s="1"/>
  <c r="AD281" i="23" s="1"/>
  <c r="AA281" i="23" s="1"/>
  <c r="Z281" i="23" s="1"/>
  <c r="Y281" i="23" s="1"/>
  <c r="AG117" i="23"/>
  <c r="AF117" i="23" s="1"/>
  <c r="AD117" i="23" s="1"/>
  <c r="AA117" i="23" s="1"/>
  <c r="Z117" i="23" s="1"/>
  <c r="Y117" i="23" s="1"/>
  <c r="AG76" i="23"/>
  <c r="AF76" i="23" s="1"/>
  <c r="AD76" i="23" s="1"/>
  <c r="AA76" i="23" s="1"/>
  <c r="Z76" i="23" s="1"/>
  <c r="Y76" i="23" s="1"/>
  <c r="AG157" i="23"/>
  <c r="AF157" i="23" s="1"/>
  <c r="AD157" i="23" s="1"/>
  <c r="AA157" i="23" s="1"/>
  <c r="Z157" i="23" s="1"/>
  <c r="Y157" i="23" s="1"/>
  <c r="AG321" i="23"/>
  <c r="AF321" i="23" s="1"/>
  <c r="AD321" i="23" s="1"/>
  <c r="AA321" i="23" s="1"/>
  <c r="Z321" i="23" s="1"/>
  <c r="Y321" i="23" s="1"/>
  <c r="AG269" i="23"/>
  <c r="AF269" i="23" s="1"/>
  <c r="AD269" i="23" s="1"/>
  <c r="AA269" i="23" s="1"/>
  <c r="Z269" i="23" s="1"/>
  <c r="Y269" i="23" s="1"/>
  <c r="AG66" i="23"/>
  <c r="AF66" i="23" s="1"/>
  <c r="AD66" i="23" s="1"/>
  <c r="AA66" i="23" s="1"/>
  <c r="Z66" i="23" s="1"/>
  <c r="Y66" i="23" s="1"/>
  <c r="AG55" i="23"/>
  <c r="AF55" i="23" s="1"/>
  <c r="AD55" i="23" s="1"/>
  <c r="AA55" i="23" s="1"/>
  <c r="Z55" i="23" s="1"/>
  <c r="Y55" i="23" s="1"/>
  <c r="AG101" i="23"/>
  <c r="AF101" i="23" s="1"/>
  <c r="AD101" i="23" s="1"/>
  <c r="AA101" i="23" s="1"/>
  <c r="Z101" i="23" s="1"/>
  <c r="Y101" i="23" s="1"/>
  <c r="AG293" i="23"/>
  <c r="AF293" i="23" s="1"/>
  <c r="AD293" i="23" s="1"/>
  <c r="AA293" i="23" s="1"/>
  <c r="Z293" i="23" s="1"/>
  <c r="Y293" i="23" s="1"/>
  <c r="AG274" i="23"/>
  <c r="AF274" i="23" s="1"/>
  <c r="AD274" i="23" s="1"/>
  <c r="AA274" i="23" s="1"/>
  <c r="Z274" i="23" s="1"/>
  <c r="Y274" i="23" s="1"/>
  <c r="AG26" i="23"/>
  <c r="AF26" i="23" s="1"/>
  <c r="AD26" i="23" s="1"/>
  <c r="AA26" i="23" s="1"/>
  <c r="Z26" i="23" s="1"/>
  <c r="Y26" i="23" s="1"/>
  <c r="AG143" i="23"/>
  <c r="AF143" i="23" s="1"/>
  <c r="AD143" i="23" s="1"/>
  <c r="AA143" i="23" s="1"/>
  <c r="Z143" i="23" s="1"/>
  <c r="Y143" i="23" s="1"/>
  <c r="AG227" i="23"/>
  <c r="AF227" i="23" s="1"/>
  <c r="AD227" i="23" s="1"/>
  <c r="AA227" i="23" s="1"/>
  <c r="Z227" i="23" s="1"/>
  <c r="Y227" i="23" s="1"/>
  <c r="AG265" i="23"/>
  <c r="AF265" i="23" s="1"/>
  <c r="AD265" i="23" s="1"/>
  <c r="AA265" i="23" s="1"/>
  <c r="Z265" i="23" s="1"/>
  <c r="Y265" i="23" s="1"/>
  <c r="AG138" i="23"/>
  <c r="AF138" i="23" s="1"/>
  <c r="AD138" i="23" s="1"/>
  <c r="AA138" i="23" s="1"/>
  <c r="Z138" i="23" s="1"/>
  <c r="Y138" i="23" s="1"/>
  <c r="AG275" i="23"/>
  <c r="AF275" i="23" s="1"/>
  <c r="AD275" i="23" s="1"/>
  <c r="AA275" i="23" s="1"/>
  <c r="Z275" i="23" s="1"/>
  <c r="Y275" i="23" s="1"/>
  <c r="AG103" i="23"/>
  <c r="AF103" i="23" s="1"/>
  <c r="AD103" i="23" s="1"/>
  <c r="AA103" i="23" s="1"/>
  <c r="Z103" i="23" s="1"/>
  <c r="Y103" i="23" s="1"/>
  <c r="AG286" i="23"/>
  <c r="AF286" i="23" s="1"/>
  <c r="AD286" i="23" s="1"/>
  <c r="AA286" i="23" s="1"/>
  <c r="Z286" i="23" s="1"/>
  <c r="Y286" i="23" s="1"/>
  <c r="AG253" i="23"/>
  <c r="AF253" i="23" s="1"/>
  <c r="AD253" i="23" s="1"/>
  <c r="AA253" i="23" s="1"/>
  <c r="Z253" i="23" s="1"/>
  <c r="Y253" i="23" s="1"/>
  <c r="AA104" i="20"/>
  <c r="Z104" i="20" s="1"/>
  <c r="Y104" i="20" s="1"/>
  <c r="AD381" i="20"/>
  <c r="AD383" i="20"/>
  <c r="AD382" i="20"/>
  <c r="AE280" i="24"/>
  <c r="AE224" i="24"/>
  <c r="AE108" i="24"/>
  <c r="AE94" i="24"/>
  <c r="AE230" i="24"/>
  <c r="AE370" i="24"/>
  <c r="AE260" i="24"/>
  <c r="AE104" i="24"/>
  <c r="AE253" i="24"/>
  <c r="AE342" i="24"/>
  <c r="AE20" i="24"/>
  <c r="AE207" i="24"/>
  <c r="AE191" i="24"/>
  <c r="AE330" i="24"/>
  <c r="AE162" i="24"/>
  <c r="AE49" i="24"/>
  <c r="AE347" i="24"/>
  <c r="AE232" i="24"/>
  <c r="AE142" i="24"/>
  <c r="AE33" i="24"/>
  <c r="AE193" i="24"/>
  <c r="AE28" i="24"/>
  <c r="AE269" i="24"/>
  <c r="AE345" i="24"/>
  <c r="AE237" i="24"/>
  <c r="AE238" i="24"/>
  <c r="Q353" i="24"/>
  <c r="P353" i="24" s="1"/>
  <c r="V353" i="24" s="1"/>
  <c r="D353" i="24" s="1"/>
  <c r="E353" i="24" s="1"/>
  <c r="F353" i="24" s="1"/>
  <c r="Q51" i="24"/>
  <c r="P51" i="24" s="1"/>
  <c r="V51" i="24" s="1"/>
  <c r="D51" i="24" s="1"/>
  <c r="E51" i="24" s="1"/>
  <c r="F51" i="24" s="1"/>
  <c r="Q118" i="24"/>
  <c r="P118" i="24" s="1"/>
  <c r="V118" i="24" s="1"/>
  <c r="W118" i="24" s="1"/>
  <c r="Q262" i="24"/>
  <c r="P262" i="24" s="1"/>
  <c r="V262" i="24" s="1"/>
  <c r="D262" i="24" s="1"/>
  <c r="E262" i="24" s="1"/>
  <c r="F262" i="24" s="1"/>
  <c r="Q220" i="24"/>
  <c r="Q303" i="24"/>
  <c r="P303" i="24" s="1"/>
  <c r="V303" i="24" s="1"/>
  <c r="D303" i="24" s="1"/>
  <c r="E303" i="24" s="1"/>
  <c r="F303" i="24" s="1"/>
  <c r="Q238" i="24"/>
  <c r="P238" i="24" s="1"/>
  <c r="V238" i="24" s="1"/>
  <c r="W238" i="24" s="1"/>
  <c r="Q202" i="24"/>
  <c r="P202" i="24" s="1"/>
  <c r="V202" i="24" s="1"/>
  <c r="W202" i="24" s="1"/>
  <c r="Q226" i="24"/>
  <c r="P226" i="24" s="1"/>
  <c r="V226" i="24" s="1"/>
  <c r="D226" i="24" s="1"/>
  <c r="E226" i="24" s="1"/>
  <c r="F226" i="24" s="1"/>
  <c r="AJ5" i="20"/>
  <c r="AK5" i="20"/>
  <c r="AG206" i="23"/>
  <c r="AF206" i="23" s="1"/>
  <c r="AD206" i="23" s="1"/>
  <c r="AA206" i="23" s="1"/>
  <c r="Z206" i="23" s="1"/>
  <c r="Y206" i="23" s="1"/>
  <c r="AG78" i="23"/>
  <c r="AF78" i="23" s="1"/>
  <c r="AD78" i="23" s="1"/>
  <c r="AA78" i="23" s="1"/>
  <c r="Z78" i="23" s="1"/>
  <c r="Y78" i="23" s="1"/>
  <c r="AG189" i="23"/>
  <c r="AF189" i="23" s="1"/>
  <c r="AD189" i="23" s="1"/>
  <c r="AA189" i="23" s="1"/>
  <c r="Z189" i="23" s="1"/>
  <c r="Y189" i="23" s="1"/>
  <c r="AG193" i="23"/>
  <c r="AF193" i="23" s="1"/>
  <c r="AD193" i="23" s="1"/>
  <c r="AA193" i="23" s="1"/>
  <c r="Z193" i="23" s="1"/>
  <c r="Y193" i="23" s="1"/>
  <c r="AG283" i="23"/>
  <c r="AF283" i="23" s="1"/>
  <c r="AD283" i="23" s="1"/>
  <c r="AA283" i="23" s="1"/>
  <c r="Z283" i="23" s="1"/>
  <c r="Y283" i="23" s="1"/>
  <c r="AG284" i="23"/>
  <c r="AF284" i="23" s="1"/>
  <c r="AD284" i="23" s="1"/>
  <c r="AA284" i="23" s="1"/>
  <c r="Z284" i="23" s="1"/>
  <c r="Y284" i="23" s="1"/>
  <c r="AG346" i="23"/>
  <c r="AF346" i="23" s="1"/>
  <c r="AD346" i="23" s="1"/>
  <c r="AA346" i="23" s="1"/>
  <c r="Z346" i="23" s="1"/>
  <c r="Y346" i="23" s="1"/>
  <c r="AG295" i="23"/>
  <c r="AF295" i="23" s="1"/>
  <c r="AD295" i="23" s="1"/>
  <c r="AA295" i="23" s="1"/>
  <c r="Z295" i="23" s="1"/>
  <c r="Y295" i="23" s="1"/>
  <c r="AG348" i="23"/>
  <c r="AF348" i="23" s="1"/>
  <c r="AD348" i="23" s="1"/>
  <c r="AA348" i="23" s="1"/>
  <c r="Z348" i="23" s="1"/>
  <c r="Y348" i="23" s="1"/>
  <c r="AG217" i="23"/>
  <c r="AF217" i="23" s="1"/>
  <c r="AD217" i="23" s="1"/>
  <c r="AA217" i="23" s="1"/>
  <c r="Z217" i="23" s="1"/>
  <c r="Y217" i="23" s="1"/>
  <c r="AG21" i="23"/>
  <c r="AF21" i="23" s="1"/>
  <c r="AD21" i="23" s="1"/>
  <c r="AA21" i="23" s="1"/>
  <c r="Z21" i="23" s="1"/>
  <c r="Y21" i="23" s="1"/>
  <c r="AG342" i="23"/>
  <c r="AF342" i="23" s="1"/>
  <c r="AD342" i="23" s="1"/>
  <c r="AA342" i="23" s="1"/>
  <c r="Z342" i="23" s="1"/>
  <c r="Y342" i="23" s="1"/>
  <c r="AG29" i="23"/>
  <c r="AF29" i="23" s="1"/>
  <c r="AD29" i="23" s="1"/>
  <c r="AA29" i="23" s="1"/>
  <c r="Z29" i="23" s="1"/>
  <c r="Y29" i="23" s="1"/>
  <c r="AG257" i="23"/>
  <c r="AF257" i="23" s="1"/>
  <c r="AD257" i="23" s="1"/>
  <c r="AA257" i="23" s="1"/>
  <c r="Z257" i="23" s="1"/>
  <c r="Y257" i="23" s="1"/>
  <c r="AG161" i="23"/>
  <c r="AF161" i="23" s="1"/>
  <c r="AD161" i="23" s="1"/>
  <c r="AA161" i="23" s="1"/>
  <c r="Z161" i="23" s="1"/>
  <c r="Y161" i="23" s="1"/>
  <c r="AG347" i="23"/>
  <c r="AF347" i="23" s="1"/>
  <c r="AD347" i="23" s="1"/>
  <c r="AA347" i="23" s="1"/>
  <c r="Z347" i="23" s="1"/>
  <c r="Y347" i="23" s="1"/>
  <c r="AG158" i="23"/>
  <c r="AF158" i="23" s="1"/>
  <c r="AD158" i="23" s="1"/>
  <c r="AA158" i="23" s="1"/>
  <c r="Z158" i="23" s="1"/>
  <c r="Y158" i="23" s="1"/>
  <c r="AG153" i="23"/>
  <c r="AF153" i="23" s="1"/>
  <c r="AD153" i="23" s="1"/>
  <c r="AA153" i="23" s="1"/>
  <c r="Z153" i="23" s="1"/>
  <c r="Y153" i="23" s="1"/>
  <c r="AG82" i="23"/>
  <c r="AF82" i="23" s="1"/>
  <c r="AD82" i="23" s="1"/>
  <c r="AA82" i="23" s="1"/>
  <c r="Z82" i="23" s="1"/>
  <c r="Y82" i="23" s="1"/>
  <c r="AG156" i="23"/>
  <c r="AF156" i="23" s="1"/>
  <c r="AD156" i="23" s="1"/>
  <c r="AA156" i="23" s="1"/>
  <c r="Z156" i="23" s="1"/>
  <c r="Y156" i="23" s="1"/>
  <c r="AG186" i="23"/>
  <c r="AF186" i="23" s="1"/>
  <c r="AD186" i="23" s="1"/>
  <c r="AA186" i="23" s="1"/>
  <c r="Z186" i="23" s="1"/>
  <c r="Y186" i="23" s="1"/>
  <c r="AG184" i="23"/>
  <c r="AF184" i="23" s="1"/>
  <c r="AD184" i="23" s="1"/>
  <c r="AA184" i="23" s="1"/>
  <c r="Z184" i="23" s="1"/>
  <c r="Y184" i="23" s="1"/>
  <c r="AG183" i="23"/>
  <c r="AF183" i="23" s="1"/>
  <c r="AD183" i="23" s="1"/>
  <c r="AA183" i="23" s="1"/>
  <c r="Z183" i="23" s="1"/>
  <c r="Y183" i="23" s="1"/>
  <c r="AG372" i="23"/>
  <c r="AF372" i="23" s="1"/>
  <c r="AD372" i="23" s="1"/>
  <c r="AA372" i="23" s="1"/>
  <c r="Z372" i="23" s="1"/>
  <c r="Y372" i="23" s="1"/>
  <c r="AG169" i="23"/>
  <c r="AF169" i="23" s="1"/>
  <c r="AD169" i="23" s="1"/>
  <c r="AA169" i="23" s="1"/>
  <c r="Z169" i="23" s="1"/>
  <c r="Y169" i="23" s="1"/>
  <c r="AG172" i="23"/>
  <c r="AF172" i="23" s="1"/>
  <c r="AD172" i="23" s="1"/>
  <c r="AA172" i="23" s="1"/>
  <c r="Z172" i="23" s="1"/>
  <c r="Y172" i="23" s="1"/>
  <c r="AG251" i="23"/>
  <c r="AF251" i="23" s="1"/>
  <c r="AD251" i="23" s="1"/>
  <c r="AA251" i="23" s="1"/>
  <c r="Z251" i="23" s="1"/>
  <c r="Y251" i="23" s="1"/>
  <c r="AG62" i="23"/>
  <c r="AF62" i="23" s="1"/>
  <c r="AD62" i="23" s="1"/>
  <c r="AA62" i="23" s="1"/>
  <c r="Z62" i="23" s="1"/>
  <c r="Y62" i="23" s="1"/>
  <c r="AG352" i="23"/>
  <c r="AF352" i="23" s="1"/>
  <c r="AD352" i="23" s="1"/>
  <c r="AA352" i="23" s="1"/>
  <c r="Z352" i="23" s="1"/>
  <c r="Y352" i="23" s="1"/>
  <c r="AG81" i="23"/>
  <c r="AF81" i="23" s="1"/>
  <c r="AD81" i="23" s="1"/>
  <c r="AA81" i="23" s="1"/>
  <c r="Z81" i="23" s="1"/>
  <c r="Y81" i="23" s="1"/>
  <c r="AG194" i="23"/>
  <c r="AF194" i="23" s="1"/>
  <c r="AD194" i="23" s="1"/>
  <c r="AA194" i="23" s="1"/>
  <c r="Z194" i="23" s="1"/>
  <c r="Y194" i="23" s="1"/>
  <c r="AG223" i="23"/>
  <c r="AF223" i="23" s="1"/>
  <c r="AD223" i="23" s="1"/>
  <c r="AA223" i="23" s="1"/>
  <c r="Z223" i="23" s="1"/>
  <c r="Y223" i="23" s="1"/>
  <c r="AG373" i="23"/>
  <c r="AF373" i="23" s="1"/>
  <c r="AD373" i="23" s="1"/>
  <c r="AA373" i="23" s="1"/>
  <c r="Z373" i="23" s="1"/>
  <c r="Y373" i="23" s="1"/>
  <c r="AG88" i="23"/>
  <c r="AF88" i="23" s="1"/>
  <c r="AD88" i="23" s="1"/>
  <c r="AA88" i="23" s="1"/>
  <c r="Z88" i="23" s="1"/>
  <c r="Y88" i="23" s="1"/>
  <c r="AG25" i="23"/>
  <c r="AF25" i="23" s="1"/>
  <c r="AD25" i="23" s="1"/>
  <c r="AA25" i="23" s="1"/>
  <c r="Z25" i="23" s="1"/>
  <c r="Y25" i="23" s="1"/>
  <c r="AG359" i="23"/>
  <c r="AF359" i="23" s="1"/>
  <c r="AD359" i="23" s="1"/>
  <c r="AA359" i="23" s="1"/>
  <c r="Z359" i="23" s="1"/>
  <c r="Y359" i="23" s="1"/>
  <c r="AG77" i="23"/>
  <c r="AF77" i="23" s="1"/>
  <c r="AD77" i="23" s="1"/>
  <c r="AA77" i="23" s="1"/>
  <c r="Z77" i="23" s="1"/>
  <c r="Y77" i="23" s="1"/>
  <c r="AG345" i="23"/>
  <c r="AF345" i="23" s="1"/>
  <c r="AD345" i="23" s="1"/>
  <c r="AA345" i="23" s="1"/>
  <c r="Z345" i="23" s="1"/>
  <c r="Y345" i="23" s="1"/>
  <c r="AG67" i="23"/>
  <c r="AF67" i="23" s="1"/>
  <c r="AD67" i="23" s="1"/>
  <c r="AA67" i="23" s="1"/>
  <c r="Z67" i="23" s="1"/>
  <c r="Y67" i="23" s="1"/>
  <c r="AG33" i="23"/>
  <c r="AF33" i="23" s="1"/>
  <c r="AD33" i="23" s="1"/>
  <c r="AA33" i="23" s="1"/>
  <c r="Z33" i="23" s="1"/>
  <c r="Y33" i="23" s="1"/>
  <c r="AG235" i="23"/>
  <c r="AF235" i="23" s="1"/>
  <c r="AD235" i="23" s="1"/>
  <c r="AA235" i="23" s="1"/>
  <c r="Z235" i="23" s="1"/>
  <c r="Y235" i="23" s="1"/>
  <c r="AG353" i="23"/>
  <c r="AF353" i="23" s="1"/>
  <c r="AD353" i="23" s="1"/>
  <c r="AA353" i="23" s="1"/>
  <c r="Z353" i="23" s="1"/>
  <c r="Y353" i="23" s="1"/>
  <c r="AG301" i="23"/>
  <c r="AF301" i="23" s="1"/>
  <c r="AD301" i="23" s="1"/>
  <c r="AA301" i="23" s="1"/>
  <c r="Z301" i="23" s="1"/>
  <c r="Y301" i="23" s="1"/>
  <c r="AG27" i="23"/>
  <c r="AF27" i="23" s="1"/>
  <c r="AD27" i="23" s="1"/>
  <c r="AA27" i="23" s="1"/>
  <c r="Z27" i="23" s="1"/>
  <c r="Y27" i="23" s="1"/>
  <c r="AG119" i="23"/>
  <c r="AF119" i="23" s="1"/>
  <c r="AD119" i="23" s="1"/>
  <c r="AA119" i="23" s="1"/>
  <c r="Z119" i="23" s="1"/>
  <c r="Y119" i="23" s="1"/>
  <c r="AG207" i="23"/>
  <c r="AF207" i="23" s="1"/>
  <c r="AD207" i="23" s="1"/>
  <c r="AA207" i="23" s="1"/>
  <c r="Z207" i="23" s="1"/>
  <c r="Y207" i="23" s="1"/>
  <c r="AG171" i="23"/>
  <c r="AF171" i="23" s="1"/>
  <c r="AD171" i="23" s="1"/>
  <c r="AA171" i="23" s="1"/>
  <c r="Z171" i="23" s="1"/>
  <c r="Y171" i="23" s="1"/>
  <c r="AG341" i="23"/>
  <c r="AF341" i="23" s="1"/>
  <c r="AD341" i="23" s="1"/>
  <c r="AA341" i="23" s="1"/>
  <c r="Z341" i="23" s="1"/>
  <c r="Y341" i="23" s="1"/>
  <c r="AG132" i="23"/>
  <c r="AF132" i="23" s="1"/>
  <c r="AD132" i="23" s="1"/>
  <c r="AA132" i="23" s="1"/>
  <c r="Z132" i="23" s="1"/>
  <c r="Y132" i="23" s="1"/>
  <c r="AG204" i="23"/>
  <c r="AF204" i="23" s="1"/>
  <c r="AD204" i="23" s="1"/>
  <c r="AA204" i="23" s="1"/>
  <c r="Z204" i="23" s="1"/>
  <c r="Y204" i="23" s="1"/>
  <c r="AG181" i="23"/>
  <c r="AF181" i="23" s="1"/>
  <c r="AD181" i="23" s="1"/>
  <c r="AA181" i="23" s="1"/>
  <c r="Z181" i="23" s="1"/>
  <c r="Y181" i="23" s="1"/>
  <c r="AG179" i="23"/>
  <c r="AF179" i="23" s="1"/>
  <c r="AD179" i="23" s="1"/>
  <c r="AA179" i="23" s="1"/>
  <c r="Z179" i="23" s="1"/>
  <c r="Y179" i="23" s="1"/>
  <c r="AG308" i="23"/>
  <c r="AF308" i="23" s="1"/>
  <c r="AD308" i="23" s="1"/>
  <c r="AA308" i="23" s="1"/>
  <c r="Z308" i="23" s="1"/>
  <c r="Y308" i="23" s="1"/>
  <c r="AG180" i="23"/>
  <c r="AF180" i="23" s="1"/>
  <c r="AD180" i="23" s="1"/>
  <c r="AA180" i="23" s="1"/>
  <c r="Z180" i="23" s="1"/>
  <c r="Y180" i="23" s="1"/>
  <c r="AG44" i="23"/>
  <c r="AF44" i="23" s="1"/>
  <c r="AD44" i="23" s="1"/>
  <c r="AA44" i="23" s="1"/>
  <c r="Z44" i="23" s="1"/>
  <c r="Y44" i="23" s="1"/>
  <c r="AG187" i="23"/>
  <c r="AF187" i="23" s="1"/>
  <c r="AD187" i="23" s="1"/>
  <c r="AA187" i="23" s="1"/>
  <c r="Z187" i="23" s="1"/>
  <c r="Y187" i="23" s="1"/>
  <c r="AG305" i="23"/>
  <c r="AF305" i="23" s="1"/>
  <c r="AD305" i="23" s="1"/>
  <c r="AA305" i="23" s="1"/>
  <c r="Z305" i="23" s="1"/>
  <c r="Y305" i="23" s="1"/>
  <c r="AG288" i="23"/>
  <c r="AF288" i="23" s="1"/>
  <c r="AD288" i="23" s="1"/>
  <c r="AA288" i="23" s="1"/>
  <c r="Z288" i="23" s="1"/>
  <c r="Y288" i="23" s="1"/>
  <c r="AG124" i="23"/>
  <c r="AF124" i="23" s="1"/>
  <c r="AD124" i="23" s="1"/>
  <c r="AA124" i="23" s="1"/>
  <c r="Z124" i="23" s="1"/>
  <c r="Y124" i="23" s="1"/>
  <c r="AG139" i="23"/>
  <c r="AF139" i="23" s="1"/>
  <c r="AD139" i="23" s="1"/>
  <c r="AA139" i="23" s="1"/>
  <c r="Z139" i="23" s="1"/>
  <c r="Y139" i="23" s="1"/>
  <c r="AG133" i="23"/>
  <c r="AF133" i="23" s="1"/>
  <c r="AD133" i="23" s="1"/>
  <c r="AA133" i="23" s="1"/>
  <c r="Z133" i="23" s="1"/>
  <c r="Y133" i="23" s="1"/>
  <c r="AG309" i="23"/>
  <c r="AF309" i="23" s="1"/>
  <c r="AD309" i="23" s="1"/>
  <c r="AA309" i="23" s="1"/>
  <c r="Z309" i="23" s="1"/>
  <c r="Y309" i="23" s="1"/>
  <c r="AG364" i="23"/>
  <c r="AF364" i="23" s="1"/>
  <c r="AD364" i="23" s="1"/>
  <c r="AA364" i="23" s="1"/>
  <c r="Z364" i="23" s="1"/>
  <c r="Y364" i="23" s="1"/>
  <c r="AG357" i="23"/>
  <c r="AF357" i="23" s="1"/>
  <c r="AD357" i="23" s="1"/>
  <c r="AA357" i="23" s="1"/>
  <c r="Z357" i="23" s="1"/>
  <c r="Y357" i="23" s="1"/>
  <c r="AG154" i="23"/>
  <c r="AF154" i="23" s="1"/>
  <c r="AD154" i="23" s="1"/>
  <c r="AA154" i="23" s="1"/>
  <c r="Z154" i="23" s="1"/>
  <c r="Y154" i="23" s="1"/>
  <c r="AG291" i="23"/>
  <c r="AF291" i="23" s="1"/>
  <c r="AD291" i="23" s="1"/>
  <c r="AA291" i="23" s="1"/>
  <c r="Z291" i="23" s="1"/>
  <c r="Y291" i="23" s="1"/>
  <c r="AG366" i="23"/>
  <c r="AF366" i="23" s="1"/>
  <c r="AD366" i="23" s="1"/>
  <c r="AA366" i="23" s="1"/>
  <c r="Z366" i="23" s="1"/>
  <c r="Y366" i="23" s="1"/>
  <c r="AG176" i="23"/>
  <c r="AF176" i="23" s="1"/>
  <c r="AD176" i="23" s="1"/>
  <c r="AA176" i="23" s="1"/>
  <c r="Z176" i="23" s="1"/>
  <c r="Y176" i="23" s="1"/>
  <c r="AG192" i="23"/>
  <c r="AF192" i="23" s="1"/>
  <c r="AD192" i="23" s="1"/>
  <c r="AA192" i="23" s="1"/>
  <c r="Z192" i="23" s="1"/>
  <c r="Y192" i="23" s="1"/>
  <c r="AG334" i="23"/>
  <c r="AF334" i="23" s="1"/>
  <c r="AD334" i="23" s="1"/>
  <c r="AA334" i="23" s="1"/>
  <c r="Z334" i="23" s="1"/>
  <c r="Y334" i="23" s="1"/>
  <c r="AG43" i="23"/>
  <c r="AF43" i="23" s="1"/>
  <c r="AD43" i="23" s="1"/>
  <c r="AA43" i="23" s="1"/>
  <c r="Z43" i="23" s="1"/>
  <c r="Y43" i="23" s="1"/>
  <c r="AG112" i="23"/>
  <c r="AF112" i="23" s="1"/>
  <c r="AD112" i="23" s="1"/>
  <c r="AA112" i="23" s="1"/>
  <c r="Z112" i="23" s="1"/>
  <c r="Y112" i="23" s="1"/>
  <c r="AG213" i="23"/>
  <c r="AF213" i="23" s="1"/>
  <c r="AD213" i="23" s="1"/>
  <c r="AA213" i="23" s="1"/>
  <c r="Z213" i="23" s="1"/>
  <c r="Y213" i="23" s="1"/>
  <c r="AG268" i="23"/>
  <c r="AF268" i="23" s="1"/>
  <c r="AD268" i="23" s="1"/>
  <c r="AA268" i="23" s="1"/>
  <c r="Z268" i="23" s="1"/>
  <c r="Y268" i="23" s="1"/>
  <c r="AG314" i="23"/>
  <c r="AF314" i="23" s="1"/>
  <c r="AD314" i="23" s="1"/>
  <c r="AA314" i="23" s="1"/>
  <c r="Z314" i="23" s="1"/>
  <c r="Y314" i="23" s="1"/>
  <c r="AG279" i="23"/>
  <c r="AF279" i="23" s="1"/>
  <c r="AD279" i="23" s="1"/>
  <c r="AA279" i="23" s="1"/>
  <c r="Z279" i="23" s="1"/>
  <c r="Y279" i="23" s="1"/>
  <c r="AG316" i="23"/>
  <c r="AF316" i="23" s="1"/>
  <c r="AD316" i="23" s="1"/>
  <c r="AA316" i="23" s="1"/>
  <c r="Z316" i="23" s="1"/>
  <c r="Y316" i="23" s="1"/>
  <c r="AG185" i="23"/>
  <c r="AF185" i="23" s="1"/>
  <c r="AD185" i="23" s="1"/>
  <c r="AA185" i="23" s="1"/>
  <c r="Z185" i="23" s="1"/>
  <c r="Y185" i="23" s="1"/>
  <c r="AG160" i="23"/>
  <c r="AF160" i="23" s="1"/>
  <c r="AD160" i="23" s="1"/>
  <c r="AA160" i="23" s="1"/>
  <c r="Z160" i="23" s="1"/>
  <c r="Y160" i="23" s="1"/>
  <c r="AG310" i="23"/>
  <c r="AF310" i="23" s="1"/>
  <c r="AD310" i="23" s="1"/>
  <c r="AA310" i="23" s="1"/>
  <c r="Z310" i="23" s="1"/>
  <c r="Y310" i="23" s="1"/>
  <c r="AG136" i="23"/>
  <c r="AF136" i="23" s="1"/>
  <c r="AD136" i="23" s="1"/>
  <c r="AA136" i="23" s="1"/>
  <c r="Z136" i="23" s="1"/>
  <c r="Y136" i="23" s="1"/>
  <c r="AG241" i="23"/>
  <c r="AF241" i="23" s="1"/>
  <c r="AD241" i="23" s="1"/>
  <c r="AG129" i="23"/>
  <c r="AF129" i="23" s="1"/>
  <c r="AD129" i="23" s="1"/>
  <c r="AA129" i="23" s="1"/>
  <c r="Z129" i="23" s="1"/>
  <c r="Y129" i="23" s="1"/>
  <c r="AG315" i="23"/>
  <c r="AF315" i="23" s="1"/>
  <c r="AD315" i="23" s="1"/>
  <c r="AA315" i="23" s="1"/>
  <c r="Z315" i="23" s="1"/>
  <c r="Y315" i="23" s="1"/>
  <c r="AG126" i="23"/>
  <c r="AF126" i="23" s="1"/>
  <c r="AD126" i="23" s="1"/>
  <c r="AA126" i="23" s="1"/>
  <c r="Z126" i="23" s="1"/>
  <c r="Y126" i="23" s="1"/>
  <c r="AG80" i="23"/>
  <c r="AF80" i="23" s="1"/>
  <c r="AD80" i="23" s="1"/>
  <c r="AA80" i="23" s="1"/>
  <c r="Z80" i="23" s="1"/>
  <c r="Y80" i="23" s="1"/>
  <c r="AG197" i="23"/>
  <c r="AF197" i="23" s="1"/>
  <c r="AD197" i="23" s="1"/>
  <c r="AA197" i="23" s="1"/>
  <c r="Z197" i="23" s="1"/>
  <c r="Y197" i="23" s="1"/>
  <c r="AG226" i="23"/>
  <c r="AF226" i="23" s="1"/>
  <c r="AD226" i="23" s="1"/>
  <c r="AA226" i="23" s="1"/>
  <c r="Z226" i="23" s="1"/>
  <c r="Y226" i="23" s="1"/>
  <c r="AG287" i="23"/>
  <c r="AF287" i="23" s="1"/>
  <c r="AD287" i="23" s="1"/>
  <c r="AA287" i="23" s="1"/>
  <c r="Z287" i="23" s="1"/>
  <c r="Y287" i="23" s="1"/>
  <c r="AG134" i="23"/>
  <c r="AF134" i="23" s="1"/>
  <c r="AD134" i="23" s="1"/>
  <c r="AA134" i="23" s="1"/>
  <c r="Z134" i="23" s="1"/>
  <c r="Y134" i="23" s="1"/>
  <c r="AG45" i="23"/>
  <c r="AF45" i="23" s="1"/>
  <c r="AD45" i="23" s="1"/>
  <c r="AA45" i="23" s="1"/>
  <c r="Z45" i="23" s="1"/>
  <c r="Y45" i="23" s="1"/>
  <c r="AG244" i="23"/>
  <c r="AF244" i="23" s="1"/>
  <c r="AD244" i="23" s="1"/>
  <c r="AA244" i="23" s="1"/>
  <c r="Z244" i="23" s="1"/>
  <c r="Y244" i="23" s="1"/>
  <c r="AG326" i="23"/>
  <c r="AF326" i="23" s="1"/>
  <c r="AD326" i="23" s="1"/>
  <c r="AA326" i="23" s="1"/>
  <c r="Z326" i="23" s="1"/>
  <c r="Y326" i="23" s="1"/>
  <c r="AG225" i="23"/>
  <c r="AF225" i="23" s="1"/>
  <c r="AD225" i="23" s="1"/>
  <c r="AA225" i="23" s="1"/>
  <c r="Z225" i="23" s="1"/>
  <c r="Y225" i="23" s="1"/>
  <c r="AG35" i="23"/>
  <c r="AF35" i="23" s="1"/>
  <c r="AD35" i="23" s="1"/>
  <c r="AA35" i="23" s="1"/>
  <c r="Z35" i="23" s="1"/>
  <c r="Y35" i="23" s="1"/>
  <c r="AG208" i="23"/>
  <c r="AF208" i="23" s="1"/>
  <c r="AD208" i="23" s="1"/>
  <c r="AA208" i="23" s="1"/>
  <c r="Z208" i="23" s="1"/>
  <c r="Y208" i="23" s="1"/>
  <c r="AG105" i="23"/>
  <c r="AF105" i="23" s="1"/>
  <c r="AD105" i="23" s="1"/>
  <c r="AA105" i="23" s="1"/>
  <c r="Z105" i="23" s="1"/>
  <c r="Y105" i="23" s="1"/>
  <c r="AG71" i="23"/>
  <c r="AF71" i="23" s="1"/>
  <c r="AD71" i="23" s="1"/>
  <c r="AA71" i="23" s="1"/>
  <c r="Z71" i="23" s="1"/>
  <c r="Y71" i="23" s="1"/>
  <c r="AG270" i="23"/>
  <c r="AF270" i="23" s="1"/>
  <c r="AD270" i="23" s="1"/>
  <c r="AA270" i="23" s="1"/>
  <c r="Z270" i="23" s="1"/>
  <c r="Y270" i="23" s="1"/>
  <c r="AG146" i="23"/>
  <c r="AF146" i="23" s="1"/>
  <c r="AD146" i="23" s="1"/>
  <c r="AA146" i="23" s="1"/>
  <c r="Z146" i="23" s="1"/>
  <c r="Y146" i="23" s="1"/>
  <c r="AG368" i="23"/>
  <c r="AF368" i="23" s="1"/>
  <c r="AD368" i="23" s="1"/>
  <c r="AA368" i="23" s="1"/>
  <c r="Z368" i="23" s="1"/>
  <c r="Y368" i="23" s="1"/>
  <c r="AG113" i="23"/>
  <c r="AF113" i="23" s="1"/>
  <c r="AD113" i="23" s="1"/>
  <c r="AA113" i="23" s="1"/>
  <c r="Z113" i="23" s="1"/>
  <c r="Y113" i="23" s="1"/>
  <c r="AG159" i="23"/>
  <c r="AF159" i="23" s="1"/>
  <c r="AD159" i="23" s="1"/>
  <c r="AA159" i="23" s="1"/>
  <c r="Z159" i="23" s="1"/>
  <c r="Y159" i="23" s="1"/>
  <c r="AG250" i="23"/>
  <c r="AF250" i="23" s="1"/>
  <c r="AD250" i="23" s="1"/>
  <c r="AA250" i="23" s="1"/>
  <c r="Z250" i="23" s="1"/>
  <c r="Y250" i="23" s="1"/>
  <c r="AG247" i="23"/>
  <c r="AF247" i="23" s="1"/>
  <c r="AD247" i="23" s="1"/>
  <c r="AA247" i="23" s="1"/>
  <c r="Z247" i="23" s="1"/>
  <c r="Y247" i="23" s="1"/>
  <c r="AG252" i="23"/>
  <c r="AF252" i="23" s="1"/>
  <c r="AD252" i="23" s="1"/>
  <c r="AA252" i="23" s="1"/>
  <c r="Z252" i="23" s="1"/>
  <c r="Y252" i="23" s="1"/>
  <c r="AG57" i="23"/>
  <c r="AF57" i="23" s="1"/>
  <c r="AD57" i="23" s="1"/>
  <c r="AA57" i="23" s="1"/>
  <c r="Z57" i="23" s="1"/>
  <c r="Y57" i="23" s="1"/>
  <c r="AG96" i="23"/>
  <c r="AF96" i="23" s="1"/>
  <c r="AD96" i="23" s="1"/>
  <c r="AA96" i="23" s="1"/>
  <c r="Z96" i="23" s="1"/>
  <c r="Y96" i="23" s="1"/>
  <c r="AG246" i="23"/>
  <c r="AF246" i="23" s="1"/>
  <c r="AD246" i="23" s="1"/>
  <c r="AA246" i="23" s="1"/>
  <c r="Z246" i="23" s="1"/>
  <c r="Y246" i="23" s="1"/>
  <c r="AG289" i="23"/>
  <c r="AF289" i="23" s="1"/>
  <c r="AD289" i="23" s="1"/>
  <c r="AA289" i="23" s="1"/>
  <c r="Z289" i="23" s="1"/>
  <c r="Y289" i="23" s="1"/>
  <c r="AH379" i="23"/>
  <c r="AI12" i="24"/>
  <c r="AG37" i="23"/>
  <c r="AF37" i="23" s="1"/>
  <c r="AD37" i="23" s="1"/>
  <c r="AA37" i="23" s="1"/>
  <c r="Z37" i="23" s="1"/>
  <c r="Y37" i="23" s="1"/>
  <c r="AG20" i="23"/>
  <c r="AF20" i="23" s="1"/>
  <c r="AD20" i="23" s="1"/>
  <c r="AA20" i="23" s="1"/>
  <c r="Z20" i="23" s="1"/>
  <c r="Y20" i="23" s="1"/>
  <c r="AG79" i="23"/>
  <c r="AF79" i="23" s="1"/>
  <c r="AD79" i="23" s="1"/>
  <c r="AA79" i="23" s="1"/>
  <c r="Z79" i="23" s="1"/>
  <c r="Y79" i="23" s="1"/>
  <c r="AG123" i="23"/>
  <c r="AF123" i="23" s="1"/>
  <c r="AD123" i="23" s="1"/>
  <c r="AA123" i="23" s="1"/>
  <c r="Z123" i="23" s="1"/>
  <c r="Y123" i="23" s="1"/>
  <c r="AG199" i="23"/>
  <c r="AF199" i="23" s="1"/>
  <c r="AD199" i="23" s="1"/>
  <c r="AA199" i="23" s="1"/>
  <c r="Z199" i="23" s="1"/>
  <c r="Y199" i="23" s="1"/>
  <c r="AG188" i="23"/>
  <c r="AF188" i="23" s="1"/>
  <c r="AD188" i="23" s="1"/>
  <c r="AA188" i="23" s="1"/>
  <c r="Z188" i="23" s="1"/>
  <c r="Y188" i="23" s="1"/>
  <c r="AG36" i="23"/>
  <c r="AF36" i="23" s="1"/>
  <c r="AD36" i="23" s="1"/>
  <c r="AA36" i="23" s="1"/>
  <c r="Z36" i="23" s="1"/>
  <c r="Y36" i="23" s="1"/>
  <c r="AG296" i="23"/>
  <c r="AF296" i="23" s="1"/>
  <c r="AD296" i="23" s="1"/>
  <c r="AA296" i="23" s="1"/>
  <c r="Z296" i="23" s="1"/>
  <c r="Y296" i="23" s="1"/>
  <c r="AG115" i="23"/>
  <c r="AF115" i="23" s="1"/>
  <c r="AD115" i="23" s="1"/>
  <c r="AA115" i="23" s="1"/>
  <c r="Z115" i="23" s="1"/>
  <c r="Y115" i="23" s="1"/>
  <c r="AG276" i="23"/>
  <c r="AF276" i="23" s="1"/>
  <c r="AD276" i="23" s="1"/>
  <c r="AA276" i="23" s="1"/>
  <c r="Z276" i="23" s="1"/>
  <c r="Y276" i="23" s="1"/>
  <c r="AG148" i="23"/>
  <c r="AF148" i="23" s="1"/>
  <c r="AD148" i="23" s="1"/>
  <c r="AA148" i="23" s="1"/>
  <c r="Z148" i="23" s="1"/>
  <c r="Y148" i="23" s="1"/>
  <c r="AG358" i="23"/>
  <c r="AF358" i="23" s="1"/>
  <c r="AD358" i="23" s="1"/>
  <c r="AA358" i="23" s="1"/>
  <c r="Z358" i="23" s="1"/>
  <c r="Y358" i="23" s="1"/>
  <c r="AG125" i="23"/>
  <c r="AF125" i="23" s="1"/>
  <c r="AD125" i="23" s="1"/>
  <c r="AA125" i="23" s="1"/>
  <c r="Z125" i="23" s="1"/>
  <c r="Y125" i="23" s="1"/>
  <c r="AG273" i="23"/>
  <c r="AF273" i="23" s="1"/>
  <c r="AD273" i="23" s="1"/>
  <c r="AA273" i="23" s="1"/>
  <c r="Z273" i="23" s="1"/>
  <c r="Y273" i="23" s="1"/>
  <c r="AG256" i="23"/>
  <c r="AF256" i="23" s="1"/>
  <c r="AD256" i="23" s="1"/>
  <c r="AA256" i="23" s="1"/>
  <c r="Z256" i="23" s="1"/>
  <c r="Y256" i="23" s="1"/>
  <c r="AG60" i="23"/>
  <c r="AF60" i="23" s="1"/>
  <c r="AD60" i="23" s="1"/>
  <c r="AG107" i="23"/>
  <c r="AF107" i="23" s="1"/>
  <c r="AD107" i="23" s="1"/>
  <c r="AA107" i="23" s="1"/>
  <c r="Z107" i="23" s="1"/>
  <c r="Y107" i="23" s="1"/>
  <c r="AG69" i="23"/>
  <c r="AF69" i="23" s="1"/>
  <c r="AD69" i="23" s="1"/>
  <c r="AA69" i="23" s="1"/>
  <c r="Z69" i="23" s="1"/>
  <c r="Y69" i="23" s="1"/>
  <c r="AG277" i="23"/>
  <c r="AF277" i="23" s="1"/>
  <c r="AD277" i="23" s="1"/>
  <c r="AA277" i="23" s="1"/>
  <c r="Z277" i="23" s="1"/>
  <c r="Y277" i="23" s="1"/>
  <c r="AG332" i="23"/>
  <c r="AF332" i="23" s="1"/>
  <c r="AD332" i="23" s="1"/>
  <c r="AA332" i="23" s="1"/>
  <c r="Z332" i="23" s="1"/>
  <c r="Y332" i="23" s="1"/>
  <c r="AG378" i="23"/>
  <c r="AF378" i="23" s="1"/>
  <c r="AD378" i="23" s="1"/>
  <c r="AA378" i="23" s="1"/>
  <c r="Z378" i="23" s="1"/>
  <c r="Y378" i="23" s="1"/>
  <c r="AG311" i="23"/>
  <c r="AF311" i="23" s="1"/>
  <c r="AD311" i="23" s="1"/>
  <c r="AA311" i="23" s="1"/>
  <c r="Z311" i="23" s="1"/>
  <c r="Y311" i="23" s="1"/>
  <c r="AG56" i="23"/>
  <c r="AF56" i="23" s="1"/>
  <c r="AD56" i="23" s="1"/>
  <c r="AA56" i="23" s="1"/>
  <c r="Z56" i="23" s="1"/>
  <c r="Y56" i="23" s="1"/>
  <c r="AG249" i="23"/>
  <c r="AF249" i="23" s="1"/>
  <c r="AD249" i="23" s="1"/>
  <c r="AA249" i="23" s="1"/>
  <c r="Z249" i="23" s="1"/>
  <c r="Y249" i="23" s="1"/>
  <c r="AG53" i="23"/>
  <c r="AF53" i="23" s="1"/>
  <c r="AD53" i="23" s="1"/>
  <c r="AA53" i="23" s="1"/>
  <c r="Z53" i="23" s="1"/>
  <c r="Y53" i="23" s="1"/>
  <c r="AG374" i="23"/>
  <c r="AF374" i="23" s="1"/>
  <c r="AD374" i="23" s="1"/>
  <c r="AA374" i="23" s="1"/>
  <c r="Z374" i="23" s="1"/>
  <c r="Y374" i="23" s="1"/>
  <c r="AG263" i="23"/>
  <c r="AF263" i="23" s="1"/>
  <c r="AD263" i="23" s="1"/>
  <c r="AA263" i="23" s="1"/>
  <c r="Z263" i="23" s="1"/>
  <c r="Y263" i="23" s="1"/>
  <c r="AG266" i="23"/>
  <c r="AF266" i="23" s="1"/>
  <c r="AD266" i="23" s="1"/>
  <c r="AA266" i="23" s="1"/>
  <c r="Z266" i="23" s="1"/>
  <c r="Y266" i="23" s="1"/>
  <c r="AG367" i="23"/>
  <c r="AF367" i="23" s="1"/>
  <c r="AD367" i="23" s="1"/>
  <c r="AA367" i="23" s="1"/>
  <c r="Z367" i="23" s="1"/>
  <c r="Y367" i="23" s="1"/>
  <c r="AG258" i="23"/>
  <c r="AF258" i="23" s="1"/>
  <c r="AD258" i="23" s="1"/>
  <c r="AA258" i="23" s="1"/>
  <c r="Z258" i="23" s="1"/>
  <c r="Y258" i="23" s="1"/>
  <c r="AG40" i="23"/>
  <c r="AF40" i="23" s="1"/>
  <c r="AD40" i="23" s="1"/>
  <c r="AA40" i="23" s="1"/>
  <c r="Z40" i="23" s="1"/>
  <c r="Y40" i="23" s="1"/>
  <c r="AG22" i="23"/>
  <c r="AF22" i="23" s="1"/>
  <c r="AD22" i="23" s="1"/>
  <c r="AA22" i="23" s="1"/>
  <c r="Z22" i="23" s="1"/>
  <c r="Y22" i="23" s="1"/>
  <c r="AG162" i="23"/>
  <c r="AF162" i="23" s="1"/>
  <c r="AD162" i="23" s="1"/>
  <c r="AA162" i="23" s="1"/>
  <c r="Z162" i="23" s="1"/>
  <c r="Y162" i="23" s="1"/>
  <c r="AG85" i="23"/>
  <c r="AF85" i="23" s="1"/>
  <c r="AD85" i="23" s="1"/>
  <c r="AA85" i="23" s="1"/>
  <c r="Z85" i="23" s="1"/>
  <c r="Y85" i="23" s="1"/>
  <c r="AG63" i="23"/>
  <c r="AF63" i="23" s="1"/>
  <c r="AD63" i="23" s="1"/>
  <c r="AA63" i="23" s="1"/>
  <c r="Z63" i="23" s="1"/>
  <c r="Y63" i="23" s="1"/>
  <c r="AG330" i="23"/>
  <c r="AF330" i="23" s="1"/>
  <c r="AD330" i="23" s="1"/>
  <c r="AA330" i="23" s="1"/>
  <c r="Z330" i="23" s="1"/>
  <c r="Y330" i="23" s="1"/>
  <c r="AG264" i="23"/>
  <c r="AF264" i="23" s="1"/>
  <c r="AD264" i="23" s="1"/>
  <c r="AA264" i="23" s="1"/>
  <c r="Z264" i="23" s="1"/>
  <c r="Y264" i="23" s="1"/>
  <c r="AG122" i="23"/>
  <c r="AF122" i="23" s="1"/>
  <c r="AD122" i="23" s="1"/>
  <c r="AA122" i="23" s="1"/>
  <c r="Z122" i="23" s="1"/>
  <c r="Y122" i="23" s="1"/>
  <c r="AG212" i="23"/>
  <c r="AF212" i="23" s="1"/>
  <c r="AD212" i="23" s="1"/>
  <c r="AA212" i="23" s="1"/>
  <c r="Z212" i="23" s="1"/>
  <c r="Y212" i="23" s="1"/>
  <c r="AG84" i="23"/>
  <c r="AF84" i="23" s="1"/>
  <c r="AD84" i="23" s="1"/>
  <c r="AA84" i="23" s="1"/>
  <c r="Z84" i="23" s="1"/>
  <c r="Y84" i="23" s="1"/>
  <c r="AG294" i="23"/>
  <c r="AF294" i="23" s="1"/>
  <c r="AD294" i="23" s="1"/>
  <c r="AA294" i="23" s="1"/>
  <c r="Z294" i="23" s="1"/>
  <c r="Y294" i="23" s="1"/>
  <c r="AG168" i="23"/>
  <c r="AF168" i="23" s="1"/>
  <c r="AD168" i="23" s="1"/>
  <c r="AA168" i="23" s="1"/>
  <c r="Z168" i="23" s="1"/>
  <c r="Y168" i="23" s="1"/>
  <c r="AG209" i="23"/>
  <c r="AF209" i="23" s="1"/>
  <c r="AD209" i="23" s="1"/>
  <c r="AA209" i="23" s="1"/>
  <c r="Z209" i="23" s="1"/>
  <c r="Y209" i="23" s="1"/>
  <c r="AG34" i="23"/>
  <c r="AF34" i="23" s="1"/>
  <c r="AD34" i="23" s="1"/>
  <c r="AA34" i="23" s="1"/>
  <c r="Z34" i="23" s="1"/>
  <c r="Y34" i="23" s="1"/>
  <c r="AG300" i="23"/>
  <c r="AF300" i="23" s="1"/>
  <c r="AD300" i="23" s="1"/>
  <c r="AA300" i="23" s="1"/>
  <c r="Z300" i="23" s="1"/>
  <c r="Y300" i="23" s="1"/>
  <c r="AG128" i="23"/>
  <c r="AF128" i="23" s="1"/>
  <c r="AD128" i="23" s="1"/>
  <c r="AA128" i="23" s="1"/>
  <c r="Z128" i="23" s="1"/>
  <c r="Y128" i="23" s="1"/>
  <c r="AG72" i="23"/>
  <c r="AF72" i="23" s="1"/>
  <c r="AD72" i="23" s="1"/>
  <c r="AA72" i="23" s="1"/>
  <c r="Z72" i="23" s="1"/>
  <c r="Y72" i="23" s="1"/>
  <c r="AG349" i="23"/>
  <c r="AF349" i="23" s="1"/>
  <c r="AD349" i="23" s="1"/>
  <c r="AA349" i="23" s="1"/>
  <c r="Z349" i="23" s="1"/>
  <c r="Y349" i="23" s="1"/>
  <c r="AG335" i="23"/>
  <c r="AF335" i="23" s="1"/>
  <c r="AD335" i="23" s="1"/>
  <c r="AA335" i="23" s="1"/>
  <c r="Z335" i="23" s="1"/>
  <c r="Y335" i="23" s="1"/>
  <c r="AG47" i="23"/>
  <c r="AF47" i="23" s="1"/>
  <c r="AD47" i="23" s="1"/>
  <c r="AA47" i="23" s="1"/>
  <c r="Z47" i="23" s="1"/>
  <c r="Y47" i="23" s="1"/>
  <c r="AG370" i="23"/>
  <c r="AF370" i="23" s="1"/>
  <c r="AD370" i="23" s="1"/>
  <c r="AA370" i="23" s="1"/>
  <c r="Z370" i="23" s="1"/>
  <c r="Y370" i="23" s="1"/>
  <c r="AG198" i="23"/>
  <c r="AF198" i="23" s="1"/>
  <c r="AD198" i="23" s="1"/>
  <c r="AA198" i="23" s="1"/>
  <c r="Z198" i="23" s="1"/>
  <c r="Y198" i="23" s="1"/>
  <c r="AG356" i="23"/>
  <c r="AF356" i="23" s="1"/>
  <c r="AD356" i="23" s="1"/>
  <c r="AA356" i="23" s="1"/>
  <c r="Z356" i="23" s="1"/>
  <c r="Y356" i="23" s="1"/>
  <c r="AG73" i="23"/>
  <c r="AF73" i="23" s="1"/>
  <c r="AD73" i="23" s="1"/>
  <c r="AA73" i="23" s="1"/>
  <c r="Z73" i="23" s="1"/>
  <c r="Y73" i="23" s="1"/>
  <c r="AG174" i="23"/>
  <c r="AF174" i="23" s="1"/>
  <c r="AD174" i="23" s="1"/>
  <c r="AA174" i="23" s="1"/>
  <c r="Z174" i="23" s="1"/>
  <c r="Y174" i="23" s="1"/>
  <c r="AG238" i="23"/>
  <c r="AF238" i="23" s="1"/>
  <c r="AD238" i="23" s="1"/>
  <c r="AA238" i="23" s="1"/>
  <c r="Z238" i="23" s="1"/>
  <c r="Y238" i="23" s="1"/>
  <c r="AG114" i="23"/>
  <c r="AF114" i="23" s="1"/>
  <c r="AD114" i="23" s="1"/>
  <c r="AA114" i="23" s="1"/>
  <c r="Z114" i="23" s="1"/>
  <c r="Y114" i="23" s="1"/>
  <c r="AG336" i="23"/>
  <c r="AF336" i="23" s="1"/>
  <c r="AD336" i="23" s="1"/>
  <c r="AA336" i="23" s="1"/>
  <c r="Z336" i="23" s="1"/>
  <c r="Y336" i="23" s="1"/>
  <c r="AG49" i="23"/>
  <c r="AF49" i="23" s="1"/>
  <c r="AD49" i="23" s="1"/>
  <c r="AA49" i="23" s="1"/>
  <c r="Z49" i="23" s="1"/>
  <c r="Y49" i="23" s="1"/>
  <c r="AG95" i="23"/>
  <c r="AF95" i="23" s="1"/>
  <c r="AD95" i="23" s="1"/>
  <c r="AA95" i="23" s="1"/>
  <c r="Z95" i="23" s="1"/>
  <c r="Y95" i="23" s="1"/>
  <c r="AG218" i="23"/>
  <c r="AF218" i="23" s="1"/>
  <c r="AD218" i="23" s="1"/>
  <c r="AA218" i="23" s="1"/>
  <c r="Z218" i="23" s="1"/>
  <c r="Y218" i="23" s="1"/>
  <c r="AG231" i="23"/>
  <c r="AF231" i="23" s="1"/>
  <c r="AD231" i="23" s="1"/>
  <c r="AA231" i="23" s="1"/>
  <c r="Z231" i="23" s="1"/>
  <c r="Y231" i="23" s="1"/>
  <c r="AG220" i="23"/>
  <c r="AF220" i="23" s="1"/>
  <c r="AD220" i="23" s="1"/>
  <c r="AA220" i="23" s="1"/>
  <c r="Z220" i="23" s="1"/>
  <c r="Y220" i="23" s="1"/>
  <c r="AG164" i="23"/>
  <c r="AF164" i="23" s="1"/>
  <c r="AD164" i="23" s="1"/>
  <c r="AA164" i="23" s="1"/>
  <c r="Z164" i="23" s="1"/>
  <c r="Y164" i="23" s="1"/>
  <c r="AG64" i="23"/>
  <c r="AF64" i="23" s="1"/>
  <c r="AD64" i="23" s="1"/>
  <c r="AA64" i="23" s="1"/>
  <c r="Z64" i="23" s="1"/>
  <c r="Y64" i="23" s="1"/>
  <c r="AG214" i="23"/>
  <c r="AF214" i="23" s="1"/>
  <c r="AD214" i="23" s="1"/>
  <c r="AA214" i="23" s="1"/>
  <c r="Z214" i="23" s="1"/>
  <c r="Y214" i="23" s="1"/>
  <c r="AG340" i="23"/>
  <c r="AF340" i="23" s="1"/>
  <c r="AD340" i="23" s="1"/>
  <c r="AA340" i="23" s="1"/>
  <c r="Z340" i="23" s="1"/>
  <c r="Y340" i="23" s="1"/>
  <c r="AG41" i="23"/>
  <c r="AF41" i="23" s="1"/>
  <c r="AD41" i="23" s="1"/>
  <c r="AA41" i="23" s="1"/>
  <c r="Z41" i="23" s="1"/>
  <c r="Y41" i="23" s="1"/>
  <c r="AG108" i="23"/>
  <c r="AF108" i="23" s="1"/>
  <c r="AD108" i="23" s="1"/>
  <c r="AA108" i="23" s="1"/>
  <c r="Z108" i="23" s="1"/>
  <c r="Y108" i="23" s="1"/>
  <c r="AG219" i="23"/>
  <c r="AF219" i="23" s="1"/>
  <c r="AD219" i="23" s="1"/>
  <c r="AA219" i="23" s="1"/>
  <c r="Z219" i="23" s="1"/>
  <c r="Y219" i="23" s="1"/>
  <c r="AG30" i="23"/>
  <c r="AF30" i="23" s="1"/>
  <c r="AD30" i="23" s="1"/>
  <c r="AA30" i="23" s="1"/>
  <c r="Z30" i="23" s="1"/>
  <c r="Y30" i="23" s="1"/>
  <c r="AG383" i="22"/>
  <c r="AF15" i="22"/>
  <c r="AG382" i="22"/>
  <c r="AG381" i="22"/>
  <c r="BA15" i="7"/>
  <c r="Q267" i="24"/>
  <c r="P267" i="24" s="1"/>
  <c r="V267" i="24" s="1"/>
  <c r="D267" i="24" s="1"/>
  <c r="E267" i="24" s="1"/>
  <c r="F267" i="24" s="1"/>
  <c r="Q71" i="24"/>
  <c r="Q341" i="24"/>
  <c r="P341" i="24" s="1"/>
  <c r="V341" i="24" s="1"/>
  <c r="D341" i="24" s="1"/>
  <c r="E341" i="24" s="1"/>
  <c r="F341" i="24" s="1"/>
  <c r="Q15" i="24"/>
  <c r="Q269" i="24"/>
  <c r="P269" i="24" s="1"/>
  <c r="V269" i="24" s="1"/>
  <c r="W269" i="24" s="1"/>
  <c r="Q290" i="24"/>
  <c r="Q277" i="24"/>
  <c r="P277" i="24" s="1"/>
  <c r="V277" i="24" s="1"/>
  <c r="D277" i="24" s="1"/>
  <c r="E277" i="24" s="1"/>
  <c r="F277" i="24" s="1"/>
  <c r="Q160" i="24"/>
  <c r="P160" i="24" s="1"/>
  <c r="V160" i="24" s="1"/>
  <c r="D160" i="24" s="1"/>
  <c r="E160" i="24" s="1"/>
  <c r="F160" i="24" s="1"/>
  <c r="Q237" i="24"/>
  <c r="P237" i="24" s="1"/>
  <c r="V237" i="24" s="1"/>
  <c r="D237" i="24" s="1"/>
  <c r="E237" i="24" s="1"/>
  <c r="F237" i="24" s="1"/>
  <c r="Q209" i="24"/>
  <c r="P209" i="24" s="1"/>
  <c r="V209" i="24" s="1"/>
  <c r="W209" i="24" s="1"/>
  <c r="Q46" i="24"/>
  <c r="P46" i="24" s="1"/>
  <c r="V46" i="24" s="1"/>
  <c r="W46" i="24" s="1"/>
  <c r="Q215" i="24"/>
  <c r="P215" i="24" s="1"/>
  <c r="V215" i="24" s="1"/>
  <c r="D215" i="24" s="1"/>
  <c r="E215" i="24" s="1"/>
  <c r="F215" i="24" s="1"/>
  <c r="Q362" i="24"/>
  <c r="P362" i="24" s="1"/>
  <c r="V362" i="24" s="1"/>
  <c r="D362" i="24" s="1"/>
  <c r="E362" i="24" s="1"/>
  <c r="F362" i="24" s="1"/>
  <c r="Q134" i="24"/>
  <c r="P134" i="24" s="1"/>
  <c r="V134" i="24" s="1"/>
  <c r="W134" i="24" s="1"/>
  <c r="Q316" i="24"/>
  <c r="P316" i="24" s="1"/>
  <c r="V316" i="24" s="1"/>
  <c r="W316" i="24" s="1"/>
  <c r="Q77" i="24"/>
  <c r="Q317" i="24"/>
  <c r="P317" i="24" s="1"/>
  <c r="V317" i="24" s="1"/>
  <c r="W317" i="24" s="1"/>
  <c r="Q361" i="24"/>
  <c r="P361" i="24" s="1"/>
  <c r="V361" i="24" s="1"/>
  <c r="W361" i="24" s="1"/>
  <c r="Q129" i="24"/>
  <c r="P129" i="24" s="1"/>
  <c r="V129" i="24" s="1"/>
  <c r="W129" i="24" s="1"/>
  <c r="Q116" i="24"/>
  <c r="Q183" i="24"/>
  <c r="P183" i="24" s="1"/>
  <c r="V183" i="24" s="1"/>
  <c r="W183" i="24" s="1"/>
  <c r="Q182" i="24"/>
  <c r="P182" i="24" s="1"/>
  <c r="V182" i="24" s="1"/>
  <c r="W182" i="24" s="1"/>
  <c r="Q323" i="24"/>
  <c r="P323" i="24" s="1"/>
  <c r="V323" i="24" s="1"/>
  <c r="W323" i="24" s="1"/>
  <c r="Q153" i="24"/>
  <c r="P153" i="24" s="1"/>
  <c r="V153" i="24" s="1"/>
  <c r="D153" i="24" s="1"/>
  <c r="E153" i="24" s="1"/>
  <c r="F153" i="24" s="1"/>
  <c r="Q281" i="24"/>
  <c r="P281" i="24" s="1"/>
  <c r="V281" i="24" s="1"/>
  <c r="W281" i="24" s="1"/>
  <c r="Q288" i="24"/>
  <c r="P288" i="24" s="1"/>
  <c r="V288" i="24" s="1"/>
  <c r="Q113" i="24"/>
  <c r="P113" i="24" s="1"/>
  <c r="V113" i="24" s="1"/>
  <c r="W113" i="24" s="1"/>
  <c r="Q356" i="24"/>
  <c r="P356" i="24" s="1"/>
  <c r="V356" i="24" s="1"/>
  <c r="D356" i="24" s="1"/>
  <c r="E356" i="24" s="1"/>
  <c r="F356" i="24" s="1"/>
  <c r="Q241" i="24"/>
  <c r="P241" i="24" s="1"/>
  <c r="V241" i="24" s="1"/>
  <c r="Q284" i="24"/>
  <c r="Q305" i="24"/>
  <c r="P305" i="24" s="1"/>
  <c r="V305" i="24" s="1"/>
  <c r="W305" i="24" s="1"/>
  <c r="Q126" i="24"/>
  <c r="P126" i="24" s="1"/>
  <c r="V126" i="24" s="1"/>
  <c r="D126" i="24" s="1"/>
  <c r="E126" i="24" s="1"/>
  <c r="F126" i="24" s="1"/>
  <c r="Q330" i="24"/>
  <c r="P330" i="24" s="1"/>
  <c r="V330" i="24" s="1"/>
  <c r="D330" i="24" s="1"/>
  <c r="E330" i="24" s="1"/>
  <c r="F330" i="24" s="1"/>
  <c r="Q287" i="24"/>
  <c r="P287" i="24" s="1"/>
  <c r="V287" i="24" s="1"/>
  <c r="W287" i="24" s="1"/>
  <c r="Q345" i="24"/>
  <c r="P345" i="24" s="1"/>
  <c r="V345" i="24" s="1"/>
  <c r="W345" i="24" s="1"/>
  <c r="Q154" i="24"/>
  <c r="Q333" i="24"/>
  <c r="P333" i="24" s="1"/>
  <c r="V333" i="24" s="1"/>
  <c r="Q251" i="24"/>
  <c r="Q52" i="24"/>
  <c r="P52" i="24" s="1"/>
  <c r="V52" i="24" s="1"/>
  <c r="W52" i="24" s="1"/>
  <c r="Q368" i="24"/>
  <c r="Q312" i="24"/>
  <c r="P312" i="24" s="1"/>
  <c r="V312" i="24" s="1"/>
  <c r="D312" i="24" s="1"/>
  <c r="E312" i="24" s="1"/>
  <c r="F312" i="24" s="1"/>
  <c r="AE346" i="24"/>
  <c r="AE217" i="24"/>
  <c r="AE16" i="24"/>
  <c r="AE245" i="24"/>
  <c r="AE118" i="24"/>
  <c r="AE256" i="24"/>
  <c r="AE374" i="24"/>
  <c r="AE250" i="24"/>
  <c r="AE303" i="24"/>
  <c r="AE165" i="24"/>
  <c r="AE173" i="24"/>
  <c r="AE371" i="24"/>
  <c r="AE194" i="24"/>
  <c r="AE168" i="24"/>
  <c r="AE44" i="24"/>
  <c r="AE184" i="24"/>
  <c r="AE352" i="24"/>
  <c r="AE272" i="24"/>
  <c r="AE136" i="24"/>
  <c r="AE337" i="24"/>
  <c r="AE282" i="24"/>
  <c r="AE368" i="24"/>
  <c r="AE92" i="24"/>
  <c r="AE63" i="24"/>
  <c r="AE261" i="24"/>
  <c r="AE79" i="24"/>
  <c r="AE296" i="24"/>
  <c r="AE163" i="24"/>
  <c r="AE176" i="24"/>
  <c r="AE36" i="24"/>
  <c r="AE149" i="24"/>
  <c r="AE243" i="24"/>
  <c r="AE121" i="24"/>
  <c r="AE137" i="24"/>
  <c r="AE339" i="24"/>
  <c r="AE80" i="24"/>
  <c r="AE378" i="24"/>
  <c r="AE287" i="24"/>
  <c r="AE206" i="24"/>
  <c r="Q325" i="24"/>
  <c r="P325" i="24" s="1"/>
  <c r="V325" i="24" s="1"/>
  <c r="D325" i="24" s="1"/>
  <c r="E325" i="24" s="1"/>
  <c r="F325" i="24" s="1"/>
  <c r="Q221" i="24"/>
  <c r="Q194" i="24"/>
  <c r="P194" i="24" s="1"/>
  <c r="V194" i="24" s="1"/>
  <c r="W194" i="24" s="1"/>
  <c r="Q117" i="24"/>
  <c r="P117" i="24" s="1"/>
  <c r="V117" i="24" s="1"/>
  <c r="W117" i="24" s="1"/>
  <c r="Q148" i="24"/>
  <c r="P148" i="24" s="1"/>
  <c r="V148" i="24" s="1"/>
  <c r="W148" i="24" s="1"/>
  <c r="Q199" i="24"/>
  <c r="Q255" i="24"/>
  <c r="P255" i="24" s="1"/>
  <c r="V255" i="24" s="1"/>
  <c r="W255" i="24" s="1"/>
  <c r="Q70" i="24"/>
  <c r="P70" i="24" s="1"/>
  <c r="V70" i="24" s="1"/>
  <c r="W70" i="24" s="1"/>
  <c r="Q103" i="24"/>
  <c r="P103" i="24" s="1"/>
  <c r="V103" i="24" s="1"/>
  <c r="D103" i="24" s="1"/>
  <c r="E103" i="24" s="1"/>
  <c r="F103" i="24" s="1"/>
  <c r="Q318" i="24"/>
  <c r="P318" i="24" s="1"/>
  <c r="V318" i="24" s="1"/>
  <c r="D318" i="24" s="1"/>
  <c r="E318" i="24" s="1"/>
  <c r="F318" i="24" s="1"/>
  <c r="Q373" i="24"/>
  <c r="P373" i="24" s="1"/>
  <c r="V373" i="24" s="1"/>
  <c r="W373" i="24" s="1"/>
  <c r="Q96" i="24"/>
  <c r="Q106" i="24"/>
  <c r="P106" i="24" s="1"/>
  <c r="V106" i="24" s="1"/>
  <c r="W106" i="24" s="1"/>
  <c r="Q155" i="24"/>
  <c r="P155" i="24" s="1"/>
  <c r="V155" i="24" s="1"/>
  <c r="W155" i="24" s="1"/>
  <c r="Q273" i="24"/>
  <c r="P273" i="24" s="1"/>
  <c r="V273" i="24" s="1"/>
  <c r="D273" i="24" s="1"/>
  <c r="E273" i="24" s="1"/>
  <c r="F273" i="24" s="1"/>
  <c r="Q145" i="24"/>
  <c r="Q100" i="24"/>
  <c r="P100" i="24" s="1"/>
  <c r="V100" i="24" s="1"/>
  <c r="D100" i="24" s="1"/>
  <c r="E100" i="24" s="1"/>
  <c r="F100" i="24" s="1"/>
  <c r="Q339" i="24"/>
  <c r="Q130" i="24"/>
  <c r="P130" i="24" s="1"/>
  <c r="V130" i="24" s="1"/>
  <c r="D130" i="24" s="1"/>
  <c r="E130" i="24" s="1"/>
  <c r="F130" i="24" s="1"/>
  <c r="Q150" i="24"/>
  <c r="P150" i="24" s="1"/>
  <c r="V150" i="24" s="1"/>
  <c r="D150" i="24" s="1"/>
  <c r="E150" i="24" s="1"/>
  <c r="F150" i="24" s="1"/>
  <c r="Q217" i="24"/>
  <c r="P217" i="24" s="1"/>
  <c r="V217" i="24" s="1"/>
  <c r="W217" i="24" s="1"/>
  <c r="AE18" i="24"/>
  <c r="AE301" i="24"/>
  <c r="AE114" i="24"/>
  <c r="AE279" i="24"/>
  <c r="AE331" i="24"/>
  <c r="AE47" i="24"/>
  <c r="AE81" i="24"/>
  <c r="AE312" i="24"/>
  <c r="AE365" i="24"/>
  <c r="AE131" i="24"/>
  <c r="AE146" i="24"/>
  <c r="AE192" i="24"/>
  <c r="AE215" i="24"/>
  <c r="AE52" i="24"/>
  <c r="AE314" i="24"/>
  <c r="AE117" i="24"/>
  <c r="AE174" i="24"/>
  <c r="AE275" i="24"/>
  <c r="AE45" i="24"/>
  <c r="AE48" i="24"/>
  <c r="AE151" i="24"/>
  <c r="AE216" i="24"/>
  <c r="AE76" i="24"/>
  <c r="AE188" i="24"/>
  <c r="AE324" i="24"/>
  <c r="AE187" i="24"/>
  <c r="AE164" i="24"/>
  <c r="AE202" i="24"/>
  <c r="AE285" i="24"/>
  <c r="AE83" i="24"/>
  <c r="AE122" i="24"/>
  <c r="AE351" i="24"/>
  <c r="AE244" i="24"/>
  <c r="AE281" i="24"/>
  <c r="AE27" i="24"/>
  <c r="AE229" i="24"/>
  <c r="AE246" i="24"/>
  <c r="AE267" i="24"/>
  <c r="AE78" i="24"/>
  <c r="AE364" i="24"/>
  <c r="AE124" i="24"/>
  <c r="AE262" i="24"/>
  <c r="AE59" i="24"/>
  <c r="AE102" i="24"/>
  <c r="AE105" i="24"/>
  <c r="AE175" i="24"/>
  <c r="AE327" i="24"/>
  <c r="AE225" i="24"/>
  <c r="AE82" i="24"/>
  <c r="AE355" i="24"/>
  <c r="AE53" i="24"/>
  <c r="AE271" i="24"/>
  <c r="AE220" i="24"/>
  <c r="AE201" i="24"/>
  <c r="AE356" i="24"/>
  <c r="AE54" i="24"/>
  <c r="AE251" i="24"/>
  <c r="AE57" i="24"/>
  <c r="AE132" i="24"/>
  <c r="AE127" i="24"/>
  <c r="AE297" i="24"/>
  <c r="AE270" i="24"/>
  <c r="AE367" i="24"/>
  <c r="AE199" i="24"/>
  <c r="AE97" i="24"/>
  <c r="AE17" i="24"/>
  <c r="AE227" i="24"/>
  <c r="AE266" i="24"/>
  <c r="AE349" i="24"/>
  <c r="AE154" i="24"/>
  <c r="AE278" i="24"/>
  <c r="AE354" i="24"/>
  <c r="AE214" i="24"/>
  <c r="AE236" i="24"/>
  <c r="AE316" i="24"/>
  <c r="AE30" i="24"/>
  <c r="AE171" i="24"/>
  <c r="AE166" i="24"/>
  <c r="AE69" i="24"/>
  <c r="AE306" i="24"/>
  <c r="AE32" i="24"/>
  <c r="AE326" i="24"/>
  <c r="AE77" i="24"/>
  <c r="AE170" i="24"/>
  <c r="AE179" i="24"/>
  <c r="AE221" i="24"/>
  <c r="AE88" i="24"/>
  <c r="AE212" i="24"/>
  <c r="AE290" i="24"/>
  <c r="AE150" i="24"/>
  <c r="AE181" i="24"/>
  <c r="Q111" i="24"/>
  <c r="P111" i="24" s="1"/>
  <c r="V111" i="24" s="1"/>
  <c r="D111" i="24" s="1"/>
  <c r="E111" i="24" s="1"/>
  <c r="F111" i="24" s="1"/>
  <c r="Q350" i="24"/>
  <c r="Q58" i="24"/>
  <c r="P58" i="24" s="1"/>
  <c r="V58" i="24" s="1"/>
  <c r="W58" i="24" s="1"/>
  <c r="Q27" i="24"/>
  <c r="P27" i="24" s="1"/>
  <c r="V27" i="24" s="1"/>
  <c r="D27" i="24" s="1"/>
  <c r="E27" i="24" s="1"/>
  <c r="F27" i="24" s="1"/>
  <c r="Q31" i="24"/>
  <c r="P31" i="24" s="1"/>
  <c r="V31" i="24" s="1"/>
  <c r="D31" i="24" s="1"/>
  <c r="E31" i="24" s="1"/>
  <c r="F31" i="24" s="1"/>
  <c r="Q379" i="24"/>
  <c r="Q94" i="24"/>
  <c r="P94" i="24" s="1"/>
  <c r="V94" i="24" s="1"/>
  <c r="W94" i="24" s="1"/>
  <c r="Q265" i="24"/>
  <c r="Q135" i="24"/>
  <c r="P135" i="24" s="1"/>
  <c r="V135" i="24" s="1"/>
  <c r="W135" i="24" s="1"/>
  <c r="Q250" i="24"/>
  <c r="Q294" i="24"/>
  <c r="P294" i="24" s="1"/>
  <c r="V294" i="24" s="1"/>
  <c r="D294" i="24" s="1"/>
  <c r="E294" i="24" s="1"/>
  <c r="F294" i="24" s="1"/>
  <c r="Q177" i="24"/>
  <c r="Q86" i="24"/>
  <c r="P86" i="24" s="1"/>
  <c r="V86" i="24" s="1"/>
  <c r="W86" i="24" s="1"/>
  <c r="Q340" i="24"/>
  <c r="P340" i="24" s="1"/>
  <c r="V340" i="24" s="1"/>
  <c r="D340" i="24" s="1"/>
  <c r="E340" i="24" s="1"/>
  <c r="F340" i="24" s="1"/>
  <c r="Q157" i="24"/>
  <c r="P157" i="24" s="1"/>
  <c r="V157" i="24" s="1"/>
  <c r="D157" i="24" s="1"/>
  <c r="E157" i="24" s="1"/>
  <c r="F157" i="24" s="1"/>
  <c r="Q225" i="24"/>
  <c r="P225" i="24" s="1"/>
  <c r="V225" i="24" s="1"/>
  <c r="W225" i="24" s="1"/>
  <c r="Q223" i="24"/>
  <c r="P223" i="24" s="1"/>
  <c r="V223" i="24" s="1"/>
  <c r="W223" i="24" s="1"/>
  <c r="Q190" i="24"/>
  <c r="P190" i="24" s="1"/>
  <c r="V190" i="24" s="1"/>
  <c r="W190" i="24" s="1"/>
  <c r="Q296" i="24"/>
  <c r="P296" i="24" s="1"/>
  <c r="V296" i="24" s="1"/>
  <c r="W296" i="24" s="1"/>
  <c r="Q204" i="24"/>
  <c r="Q166" i="24"/>
  <c r="P166" i="24" s="1"/>
  <c r="V166" i="24" s="1"/>
  <c r="D166" i="24" s="1"/>
  <c r="E166" i="24" s="1"/>
  <c r="F166" i="24" s="1"/>
  <c r="Q252" i="24"/>
  <c r="P252" i="24" s="1"/>
  <c r="V252" i="24" s="1"/>
  <c r="W252" i="24" s="1"/>
  <c r="Q282" i="24"/>
  <c r="P282" i="24" s="1"/>
  <c r="V282" i="24" s="1"/>
  <c r="D282" i="24" s="1"/>
  <c r="E282" i="24" s="1"/>
  <c r="F282" i="24" s="1"/>
  <c r="Q187" i="24"/>
  <c r="P187" i="24" s="1"/>
  <c r="V187" i="24" s="1"/>
  <c r="W187" i="24" s="1"/>
  <c r="Q132" i="24"/>
  <c r="P132" i="24" s="1"/>
  <c r="V132" i="24" s="1"/>
  <c r="W132" i="24" s="1"/>
  <c r="Q271" i="24"/>
  <c r="Q83" i="24"/>
  <c r="P83" i="24" s="1"/>
  <c r="V83" i="24" s="1"/>
  <c r="D83" i="24" s="1"/>
  <c r="E83" i="24" s="1"/>
  <c r="F83" i="24" s="1"/>
  <c r="Q324" i="24"/>
  <c r="Q222" i="24"/>
  <c r="P222" i="24" s="1"/>
  <c r="V222" i="24" s="1"/>
  <c r="W222" i="24" s="1"/>
  <c r="Q138" i="24"/>
  <c r="Q64" i="24"/>
  <c r="P64" i="24" s="1"/>
  <c r="V64" i="24" s="1"/>
  <c r="W64" i="24" s="1"/>
  <c r="Q366" i="24"/>
  <c r="Q24" i="24"/>
  <c r="P24" i="24" s="1"/>
  <c r="V24" i="24" s="1"/>
  <c r="D24" i="24" s="1"/>
  <c r="E24" i="24" s="1"/>
  <c r="F24" i="24" s="1"/>
  <c r="Q235" i="24"/>
  <c r="P235" i="24" s="1"/>
  <c r="V235" i="24" s="1"/>
  <c r="W235" i="24" s="1"/>
  <c r="Q369" i="24"/>
  <c r="P369" i="24" s="1"/>
  <c r="V369" i="24" s="1"/>
  <c r="W369" i="24" s="1"/>
  <c r="Q363" i="24"/>
  <c r="Q184" i="24"/>
  <c r="P184" i="24" s="1"/>
  <c r="V184" i="24" s="1"/>
  <c r="D184" i="24" s="1"/>
  <c r="E184" i="24" s="1"/>
  <c r="F184" i="24" s="1"/>
  <c r="Q102" i="24"/>
  <c r="Q321" i="24"/>
  <c r="P321" i="24" s="1"/>
  <c r="V321" i="24" s="1"/>
  <c r="D321" i="24" s="1"/>
  <c r="E321" i="24" s="1"/>
  <c r="F321" i="24" s="1"/>
  <c r="Q247" i="24"/>
  <c r="Q59" i="24"/>
  <c r="P59" i="24" s="1"/>
  <c r="V59" i="24" s="1"/>
  <c r="W59" i="24" s="1"/>
  <c r="Q63" i="24"/>
  <c r="P63" i="24" s="1"/>
  <c r="V63" i="24" s="1"/>
  <c r="W63" i="24" s="1"/>
  <c r="Q115" i="24"/>
  <c r="P115" i="24" s="1"/>
  <c r="V115" i="24" s="1"/>
  <c r="W115" i="24" s="1"/>
  <c r="Q327" i="24"/>
  <c r="Q141" i="24"/>
  <c r="P141" i="24" s="1"/>
  <c r="V141" i="24" s="1"/>
  <c r="D141" i="24" s="1"/>
  <c r="E141" i="24" s="1"/>
  <c r="F141" i="24" s="1"/>
  <c r="Q18" i="24"/>
  <c r="Q34" i="24"/>
  <c r="P34" i="24" s="1"/>
  <c r="V34" i="24" s="1"/>
  <c r="D34" i="24" s="1"/>
  <c r="E34" i="24" s="1"/>
  <c r="F34" i="24" s="1"/>
  <c r="Q306" i="24"/>
  <c r="P306" i="24" s="1"/>
  <c r="V306" i="24" s="1"/>
  <c r="D306" i="24" s="1"/>
  <c r="E306" i="24" s="1"/>
  <c r="F306" i="24" s="1"/>
  <c r="Q32" i="24"/>
  <c r="P32" i="24" s="1"/>
  <c r="V32" i="24" s="1"/>
  <c r="W32" i="24" s="1"/>
  <c r="Q178" i="24"/>
  <c r="Q337" i="24"/>
  <c r="P337" i="24" s="1"/>
  <c r="V337" i="24" s="1"/>
  <c r="D337" i="24" s="1"/>
  <c r="E337" i="24" s="1"/>
  <c r="F337" i="24" s="1"/>
  <c r="Q196" i="24"/>
  <c r="Q376" i="24"/>
  <c r="P376" i="24" s="1"/>
  <c r="V376" i="24" s="1"/>
  <c r="D376" i="24" s="1"/>
  <c r="E376" i="24" s="1"/>
  <c r="F376" i="24" s="1"/>
  <c r="Q66" i="24"/>
  <c r="P66" i="24" s="1"/>
  <c r="V66" i="24" s="1"/>
  <c r="D66" i="24" s="1"/>
  <c r="E66" i="24" s="1"/>
  <c r="F66" i="24" s="1"/>
  <c r="Q97" i="24"/>
  <c r="P97" i="24" s="1"/>
  <c r="V97" i="24" s="1"/>
  <c r="W97" i="24" s="1"/>
  <c r="Q227" i="24"/>
  <c r="Q22" i="24"/>
  <c r="P22" i="24" s="1"/>
  <c r="V22" i="24" s="1"/>
  <c r="W22" i="24" s="1"/>
  <c r="Q95" i="24"/>
  <c r="P95" i="24" s="1"/>
  <c r="V95" i="24" s="1"/>
  <c r="W95" i="24" s="1"/>
  <c r="Q285" i="24"/>
  <c r="P285" i="24" s="1"/>
  <c r="V285" i="24" s="1"/>
  <c r="W285" i="24" s="1"/>
  <c r="Q146" i="24"/>
  <c r="P146" i="24" s="1"/>
  <c r="V146" i="24" s="1"/>
  <c r="W146" i="24" s="1"/>
  <c r="Q254" i="24"/>
  <c r="P254" i="24" s="1"/>
  <c r="V254" i="24" s="1"/>
  <c r="W254" i="24" s="1"/>
  <c r="Q276" i="24"/>
  <c r="Q264" i="24"/>
  <c r="P264" i="24" s="1"/>
  <c r="V264" i="24" s="1"/>
  <c r="W264" i="24" s="1"/>
  <c r="Q357" i="24"/>
  <c r="Q216" i="24"/>
  <c r="P216" i="24" s="1"/>
  <c r="V216" i="24" s="1"/>
  <c r="W216" i="24" s="1"/>
  <c r="Q29" i="24"/>
  <c r="P29" i="24" s="1"/>
  <c r="V29" i="24" s="1"/>
  <c r="Q131" i="24"/>
  <c r="P131" i="24" s="1"/>
  <c r="V131" i="24" s="1"/>
  <c r="W131" i="24" s="1"/>
  <c r="Q101" i="24"/>
  <c r="Q79" i="24"/>
  <c r="P79" i="24" s="1"/>
  <c r="V79" i="24" s="1"/>
  <c r="W79" i="24" s="1"/>
  <c r="Q89" i="24"/>
  <c r="Q28" i="24"/>
  <c r="P28" i="24" s="1"/>
  <c r="V28" i="24" s="1"/>
  <c r="W28" i="24" s="1"/>
  <c r="Q81" i="24"/>
  <c r="P81" i="24" s="1"/>
  <c r="V81" i="24" s="1"/>
  <c r="D81" i="24" s="1"/>
  <c r="E81" i="24" s="1"/>
  <c r="F81" i="24" s="1"/>
  <c r="Q231" i="24"/>
  <c r="P231" i="24" s="1"/>
  <c r="V231" i="24" s="1"/>
  <c r="W231" i="24" s="1"/>
  <c r="Q198" i="24"/>
  <c r="Q378" i="24"/>
  <c r="P378" i="24" s="1"/>
  <c r="V378" i="24" s="1"/>
  <c r="D378" i="24" s="1"/>
  <c r="E378" i="24" s="1"/>
  <c r="F378" i="24" s="1"/>
  <c r="Q289" i="24"/>
  <c r="Q149" i="24"/>
  <c r="P149" i="24" s="1"/>
  <c r="V149" i="24" s="1"/>
  <c r="Q123" i="24"/>
  <c r="Q62" i="24"/>
  <c r="P62" i="24" s="1"/>
  <c r="V62" i="24" s="1"/>
  <c r="W62" i="24" s="1"/>
  <c r="Q229" i="24"/>
  <c r="P229" i="24" s="1"/>
  <c r="V229" i="24" s="1"/>
  <c r="W229" i="24" s="1"/>
  <c r="Q72" i="24"/>
  <c r="P72" i="24" s="1"/>
  <c r="V72" i="24" s="1"/>
  <c r="W72" i="24" s="1"/>
  <c r="Q257" i="24"/>
  <c r="P257" i="24" s="1"/>
  <c r="V257" i="24" s="1"/>
  <c r="D257" i="24" s="1"/>
  <c r="E257" i="24" s="1"/>
  <c r="F257" i="24" s="1"/>
  <c r="I61" i="23"/>
  <c r="J61" i="23"/>
  <c r="J133" i="23"/>
  <c r="I133" i="23"/>
  <c r="J259" i="23"/>
  <c r="V15" i="22"/>
  <c r="AJ6" i="22" s="1"/>
  <c r="P382" i="22"/>
  <c r="P383" i="22"/>
  <c r="P381" i="22"/>
  <c r="AL7" i="18"/>
  <c r="Y15" i="18"/>
  <c r="AL6" i="18" s="1"/>
  <c r="AL12" i="18" s="1"/>
  <c r="AJ4" i="18" s="1"/>
  <c r="P15" i="19" s="1"/>
  <c r="Z9" i="18"/>
  <c r="Z381" i="18"/>
  <c r="Z383" i="18"/>
  <c r="Z382" i="18"/>
  <c r="J382" i="18"/>
  <c r="J383" i="18"/>
  <c r="J381" i="18"/>
  <c r="AA88" i="22"/>
  <c r="Z88" i="22" s="1"/>
  <c r="Y88" i="22" s="1"/>
  <c r="H88" i="22"/>
  <c r="G88" i="22"/>
  <c r="CC88" i="6" s="1"/>
  <c r="S381" i="23"/>
  <c r="S382" i="23"/>
  <c r="S383" i="23"/>
  <c r="R15" i="23"/>
  <c r="T15" i="24"/>
  <c r="U382" i="24"/>
  <c r="E149" i="22"/>
  <c r="AC7" i="7"/>
  <c r="E7" i="6"/>
  <c r="AA333" i="22"/>
  <c r="Z333" i="22" s="1"/>
  <c r="Y333" i="22" s="1"/>
  <c r="H333" i="22"/>
  <c r="G333" i="22"/>
  <c r="CC333" i="6" s="1"/>
  <c r="V383" i="20"/>
  <c r="J258" i="22"/>
  <c r="I258" i="22"/>
  <c r="H258" i="23" s="1"/>
  <c r="I258" i="23" s="1"/>
  <c r="I272" i="22"/>
  <c r="J272" i="22"/>
  <c r="Q211" i="24"/>
  <c r="P211" i="24" s="1"/>
  <c r="V211" i="24" s="1"/>
  <c r="D211" i="24" s="1"/>
  <c r="E211" i="24" s="1"/>
  <c r="F211" i="24" s="1"/>
  <c r="Q161" i="24"/>
  <c r="P161" i="24" s="1"/>
  <c r="V161" i="24" s="1"/>
  <c r="D161" i="24" s="1"/>
  <c r="E161" i="24" s="1"/>
  <c r="F161" i="24" s="1"/>
  <c r="Q82" i="24"/>
  <c r="P82" i="24" s="1"/>
  <c r="V82" i="24" s="1"/>
  <c r="W82" i="24" s="1"/>
  <c r="Q360" i="24"/>
  <c r="Q20" i="24"/>
  <c r="P20" i="24" s="1"/>
  <c r="V20" i="24" s="1"/>
  <c r="D20" i="24" s="1"/>
  <c r="E20" i="24" s="1"/>
  <c r="F20" i="24" s="1"/>
  <c r="Q240" i="24"/>
  <c r="P240" i="24" s="1"/>
  <c r="V240" i="24" s="1"/>
  <c r="W240" i="24" s="1"/>
  <c r="Q297" i="24"/>
  <c r="P297" i="24" s="1"/>
  <c r="V297" i="24" s="1"/>
  <c r="D297" i="24" s="1"/>
  <c r="E297" i="24" s="1"/>
  <c r="F297" i="24" s="1"/>
  <c r="Q73" i="24"/>
  <c r="Q23" i="24"/>
  <c r="P23" i="24" s="1"/>
  <c r="V23" i="24" s="1"/>
  <c r="D23" i="24" s="1"/>
  <c r="E23" i="24" s="1"/>
  <c r="F23" i="24" s="1"/>
  <c r="Q121" i="24"/>
  <c r="Q374" i="24"/>
  <c r="P374" i="24" s="1"/>
  <c r="V374" i="24" s="1"/>
  <c r="W374" i="24" s="1"/>
  <c r="Q49" i="24"/>
  <c r="P49" i="24" s="1"/>
  <c r="V49" i="24" s="1"/>
  <c r="D49" i="24" s="1"/>
  <c r="E49" i="24" s="1"/>
  <c r="F49" i="24" s="1"/>
  <c r="Q69" i="24"/>
  <c r="P69" i="24" s="1"/>
  <c r="V69" i="24" s="1"/>
  <c r="D69" i="24" s="1"/>
  <c r="E69" i="24" s="1"/>
  <c r="F69" i="24" s="1"/>
  <c r="I383" i="18"/>
  <c r="I382" i="18"/>
  <c r="I381" i="18"/>
  <c r="AA119" i="22"/>
  <c r="Z119" i="22" s="1"/>
  <c r="Y119" i="22" s="1"/>
  <c r="G119" i="22"/>
  <c r="CC119" i="6" s="1"/>
  <c r="H119" i="22"/>
  <c r="G241" i="22"/>
  <c r="CC241" i="6" s="1"/>
  <c r="H241" i="22"/>
  <c r="AA241" i="22"/>
  <c r="Z241" i="22" s="1"/>
  <c r="Y241" i="22" s="1"/>
  <c r="H302" i="22"/>
  <c r="G302" i="22"/>
  <c r="CC302" i="6" s="1"/>
  <c r="AA302" i="22"/>
  <c r="Z302" i="22" s="1"/>
  <c r="Y302" i="22" s="1"/>
  <c r="T379" i="24"/>
  <c r="S379" i="24" s="1"/>
  <c r="R379" i="24" s="1"/>
  <c r="G363" i="22"/>
  <c r="CC363" i="6" s="1"/>
  <c r="AA363" i="22"/>
  <c r="Z363" i="22" s="1"/>
  <c r="Y363" i="22" s="1"/>
  <c r="H363" i="22"/>
  <c r="H380" i="22"/>
  <c r="G380" i="22"/>
  <c r="CC380" i="6" s="1"/>
  <c r="AA380" i="22"/>
  <c r="Z380" i="22" s="1"/>
  <c r="Y380" i="22" s="1"/>
  <c r="H210" i="22"/>
  <c r="G210" i="22"/>
  <c r="CC210" i="6" s="1"/>
  <c r="AA210" i="22"/>
  <c r="Z210" i="22" s="1"/>
  <c r="Y210" i="22" s="1"/>
  <c r="AK6" i="20"/>
  <c r="B382" i="20"/>
  <c r="B383" i="20"/>
  <c r="B381" i="20"/>
  <c r="W15" i="20"/>
  <c r="H9" i="20"/>
  <c r="B16" i="19" s="1"/>
  <c r="AJ6" i="20"/>
  <c r="D15" i="20"/>
  <c r="AJ7" i="20" s="1"/>
  <c r="V381" i="20"/>
  <c r="AA180" i="22"/>
  <c r="Z180" i="22" s="1"/>
  <c r="Y180" i="22" s="1"/>
  <c r="G180" i="22"/>
  <c r="CC180" i="6" s="1"/>
  <c r="H180" i="22"/>
  <c r="H60" i="22"/>
  <c r="G60" i="22"/>
  <c r="CC60" i="6" s="1"/>
  <c r="AA60" i="22"/>
  <c r="Z60" i="22" s="1"/>
  <c r="Y60" i="22" s="1"/>
  <c r="AE348" i="24"/>
  <c r="AE62" i="24"/>
  <c r="AE235" i="24"/>
  <c r="AE198" i="24"/>
  <c r="AE133" i="24"/>
  <c r="AE338" i="24"/>
  <c r="AE377" i="24"/>
  <c r="AE294" i="24"/>
  <c r="AE26" i="24"/>
  <c r="AE328" i="24"/>
  <c r="AE113" i="24"/>
  <c r="AE157" i="24"/>
  <c r="AE126" i="24"/>
  <c r="AE350" i="24"/>
  <c r="AE21" i="24"/>
  <c r="AE56" i="24"/>
  <c r="AE264" i="24"/>
  <c r="AE223" i="24"/>
  <c r="AE289" i="24"/>
  <c r="AE180" i="24"/>
  <c r="AE55" i="24"/>
  <c r="AE153" i="24"/>
  <c r="AE112" i="24"/>
  <c r="AE155" i="24"/>
  <c r="AE226" i="24"/>
  <c r="AE357" i="24"/>
  <c r="AE291" i="24"/>
  <c r="AE308" i="24"/>
  <c r="AE58" i="24"/>
  <c r="AE41" i="24"/>
  <c r="AE360" i="24"/>
  <c r="AE140" i="24"/>
  <c r="AE177" i="24"/>
  <c r="AE111" i="24"/>
  <c r="AE284" i="24"/>
  <c r="AE341" i="24"/>
  <c r="AE107" i="24"/>
  <c r="AE134" i="24"/>
  <c r="AE375" i="24"/>
  <c r="AE274" i="24"/>
  <c r="AE249" i="24"/>
  <c r="AE228" i="24"/>
  <c r="AE319" i="24"/>
  <c r="AE361" i="24"/>
  <c r="AE302" i="24"/>
  <c r="AE61" i="24"/>
  <c r="AE273" i="24"/>
  <c r="AE71" i="24"/>
  <c r="AE106" i="24"/>
  <c r="AE323" i="24"/>
  <c r="AE242" i="24"/>
  <c r="AE98" i="24"/>
  <c r="AE23" i="24"/>
  <c r="AE257" i="24"/>
  <c r="AE75" i="24"/>
  <c r="AE309" i="24"/>
  <c r="AE268" i="24"/>
  <c r="AE143" i="24"/>
  <c r="AE209" i="24"/>
  <c r="AE156" i="24"/>
  <c r="AE376" i="24"/>
  <c r="AE73" i="24"/>
  <c r="AE74" i="24"/>
  <c r="AE292" i="24"/>
  <c r="AE259" i="24"/>
  <c r="AE325" i="24"/>
  <c r="AE210" i="24"/>
  <c r="AE123" i="24"/>
  <c r="AE128" i="24"/>
  <c r="AE185" i="24"/>
  <c r="AE87" i="24"/>
  <c r="AE196" i="24"/>
  <c r="AE321" i="24"/>
  <c r="AE255" i="24"/>
  <c r="AE248" i="24"/>
  <c r="AE40" i="24"/>
  <c r="AE359" i="24"/>
  <c r="AE334" i="24"/>
  <c r="AE110" i="24"/>
  <c r="AE125" i="24"/>
  <c r="AE145" i="24"/>
  <c r="AE344" i="24"/>
  <c r="AE42" i="24"/>
  <c r="AE195" i="24"/>
  <c r="AE178" i="24"/>
  <c r="AE34" i="24"/>
  <c r="AE320" i="24"/>
  <c r="AE129" i="24"/>
  <c r="AE90" i="24"/>
  <c r="AE39" i="24"/>
  <c r="AE241" i="24"/>
  <c r="AE93" i="24"/>
  <c r="AE318" i="24"/>
  <c r="AE24" i="24"/>
  <c r="AE159" i="24"/>
  <c r="AE148" i="24"/>
  <c r="AE89" i="24"/>
  <c r="AE219" i="24"/>
  <c r="AE38" i="24"/>
  <c r="AE340" i="24"/>
  <c r="AE72" i="24"/>
  <c r="AE366" i="24"/>
  <c r="AE189" i="24"/>
  <c r="AE254" i="24"/>
  <c r="AE211" i="24"/>
  <c r="AE277" i="24"/>
  <c r="AE186" i="24"/>
  <c r="AE43" i="24"/>
  <c r="AE109" i="24"/>
  <c r="AE100" i="24"/>
  <c r="AE310" i="24"/>
  <c r="AE311" i="24"/>
  <c r="AE19" i="24"/>
  <c r="AE240" i="24"/>
  <c r="AE322" i="24"/>
  <c r="AE96" i="24"/>
  <c r="AE101" i="24"/>
  <c r="AE35" i="24"/>
  <c r="AE182" i="24"/>
  <c r="AE205" i="24"/>
  <c r="AE139" i="24"/>
  <c r="AE234" i="24"/>
  <c r="AE373" i="24"/>
  <c r="AE307" i="24"/>
  <c r="AE300" i="24"/>
  <c r="AE335" i="24"/>
  <c r="AE252" i="24"/>
  <c r="AE265" i="24"/>
  <c r="AE31" i="24"/>
  <c r="AE86" i="24"/>
  <c r="AE315" i="24"/>
  <c r="AE91" i="24"/>
  <c r="AE293" i="24"/>
  <c r="AE276" i="24"/>
  <c r="AE203" i="24"/>
  <c r="AE46" i="24"/>
  <c r="AE332" i="24"/>
  <c r="AE222" i="24"/>
  <c r="AE213" i="24"/>
  <c r="AE362" i="24"/>
  <c r="AE68" i="24"/>
  <c r="AE247" i="24"/>
  <c r="AE208" i="24"/>
  <c r="AE130" i="24"/>
  <c r="AE99" i="24"/>
  <c r="AE152" i="24"/>
  <c r="AE167" i="24"/>
  <c r="AE369" i="24"/>
  <c r="AE29" i="24"/>
  <c r="AE60" i="24"/>
  <c r="AE286" i="24"/>
  <c r="AE263" i="24"/>
  <c r="AE329" i="24"/>
  <c r="AE200" i="24"/>
  <c r="AE95" i="24"/>
  <c r="AE161" i="24"/>
  <c r="AE116" i="24"/>
  <c r="AE336" i="24"/>
  <c r="AE25" i="24"/>
  <c r="AE50" i="24"/>
  <c r="AE283" i="24"/>
  <c r="AE288" i="24"/>
  <c r="AE70" i="24"/>
  <c r="AE65" i="24"/>
  <c r="AE372" i="24"/>
  <c r="AE120" i="24"/>
  <c r="AE169" i="24"/>
  <c r="AE103" i="24"/>
  <c r="AE204" i="24"/>
  <c r="AE305" i="24"/>
  <c r="AE239" i="24"/>
  <c r="AE158" i="24"/>
  <c r="AE85" i="24"/>
  <c r="AE298" i="24"/>
  <c r="AE353" i="24"/>
  <c r="AE119" i="24"/>
  <c r="AE144" i="24"/>
  <c r="AE64" i="24"/>
  <c r="AE358" i="24"/>
  <c r="AE141" i="24"/>
  <c r="AE138" i="24"/>
  <c r="AE115" i="24"/>
  <c r="AE317" i="24"/>
  <c r="Q207" i="24"/>
  <c r="P207" i="24" s="1"/>
  <c r="V207" i="24" s="1"/>
  <c r="W207" i="24" s="1"/>
  <c r="Q272" i="24"/>
  <c r="P272" i="24" s="1"/>
  <c r="AH64" i="7" s="1"/>
  <c r="Q354" i="24"/>
  <c r="P354" i="24" s="1"/>
  <c r="V354" i="24" s="1"/>
  <c r="W354" i="24" s="1"/>
  <c r="Q76" i="24"/>
  <c r="P76" i="24" s="1"/>
  <c r="V76" i="24" s="1"/>
  <c r="D76" i="24" s="1"/>
  <c r="E76" i="24" s="1"/>
  <c r="F76" i="24" s="1"/>
  <c r="Q320" i="24"/>
  <c r="Q197" i="24"/>
  <c r="P197" i="24" s="1"/>
  <c r="V197" i="24" s="1"/>
  <c r="W197" i="24" s="1"/>
  <c r="Q300" i="24"/>
  <c r="Q107" i="24"/>
  <c r="P107" i="24" s="1"/>
  <c r="V107" i="24" s="1"/>
  <c r="W107" i="24" s="1"/>
  <c r="Q275" i="24"/>
  <c r="P275" i="24" s="1"/>
  <c r="V275" i="24" s="1"/>
  <c r="W275" i="24" s="1"/>
  <c r="Q136" i="24"/>
  <c r="P136" i="24" s="1"/>
  <c r="V136" i="24" s="1"/>
  <c r="D136" i="24" s="1"/>
  <c r="E136" i="24" s="1"/>
  <c r="F136" i="24" s="1"/>
  <c r="Q286" i="24"/>
  <c r="Q331" i="24"/>
  <c r="P331" i="24" s="1"/>
  <c r="V331" i="24" s="1"/>
  <c r="D331" i="24" s="1"/>
  <c r="E331" i="24" s="1"/>
  <c r="F331" i="24" s="1"/>
  <c r="Q68" i="24"/>
  <c r="Q246" i="24"/>
  <c r="P246" i="24" s="1"/>
  <c r="V246" i="24" s="1"/>
  <c r="W246" i="24" s="1"/>
  <c r="Q105" i="24"/>
  <c r="P105" i="24" s="1"/>
  <c r="V105" i="24" s="1"/>
  <c r="W105" i="24" s="1"/>
  <c r="Q152" i="24"/>
  <c r="P152" i="24" s="1"/>
  <c r="V152" i="24" s="1"/>
  <c r="D152" i="24" s="1"/>
  <c r="E152" i="24" s="1"/>
  <c r="F152" i="24" s="1"/>
  <c r="Q205" i="24"/>
  <c r="Q291" i="24"/>
  <c r="P291" i="24" s="1"/>
  <c r="V291" i="24" s="1"/>
  <c r="D291" i="24" s="1"/>
  <c r="E291" i="24" s="1"/>
  <c r="F291" i="24" s="1"/>
  <c r="Q61" i="24"/>
  <c r="P61" i="24" s="1"/>
  <c r="V61" i="24" s="1"/>
  <c r="D61" i="24" s="1"/>
  <c r="E61" i="24" s="1"/>
  <c r="F61" i="24" s="1"/>
  <c r="Q75" i="24"/>
  <c r="P75" i="24" s="1"/>
  <c r="V75" i="24" s="1"/>
  <c r="W75" i="24" s="1"/>
  <c r="Q352" i="24"/>
  <c r="Q332" i="24"/>
  <c r="P332" i="24" s="1"/>
  <c r="V332" i="24" s="1"/>
  <c r="D332" i="24" s="1"/>
  <c r="E332" i="24" s="1"/>
  <c r="F332" i="24" s="1"/>
  <c r="Q74" i="24"/>
  <c r="Q245" i="24"/>
  <c r="P245" i="24" s="1"/>
  <c r="V245" i="24" s="1"/>
  <c r="D245" i="24" s="1"/>
  <c r="E245" i="24" s="1"/>
  <c r="F245" i="24" s="1"/>
  <c r="Q128" i="24"/>
  <c r="Q375" i="24"/>
  <c r="P375" i="24" s="1"/>
  <c r="V375" i="24" s="1"/>
  <c r="W375" i="24" s="1"/>
  <c r="Q270" i="24"/>
  <c r="Q60" i="24"/>
  <c r="P60" i="24" s="1"/>
  <c r="AH57" i="7" s="1"/>
  <c r="Q280" i="24"/>
  <c r="P280" i="24" s="1"/>
  <c r="V280" i="24" s="1"/>
  <c r="D280" i="24" s="1"/>
  <c r="E280" i="24" s="1"/>
  <c r="F280" i="24" s="1"/>
  <c r="Q370" i="24"/>
  <c r="P370" i="24" s="1"/>
  <c r="V370" i="24" s="1"/>
  <c r="W370" i="24" s="1"/>
  <c r="Q143" i="24"/>
  <c r="Q174" i="24"/>
  <c r="P174" i="24" s="1"/>
  <c r="V174" i="24" s="1"/>
  <c r="W174" i="24" s="1"/>
  <c r="Q228" i="24"/>
  <c r="P228" i="24" s="1"/>
  <c r="V228" i="24" s="1"/>
  <c r="W228" i="24" s="1"/>
  <c r="Q364" i="24"/>
  <c r="P364" i="24" s="1"/>
  <c r="V364" i="24" s="1"/>
  <c r="W364" i="24" s="1"/>
  <c r="Q208" i="24"/>
  <c r="Q260" i="24"/>
  <c r="P260" i="24" s="1"/>
  <c r="V260" i="24" s="1"/>
  <c r="D260" i="24" s="1"/>
  <c r="E260" i="24" s="1"/>
  <c r="F260" i="24" s="1"/>
  <c r="Q56" i="24"/>
  <c r="P56" i="24" s="1"/>
  <c r="V56" i="24" s="1"/>
  <c r="D56" i="24" s="1"/>
  <c r="E56" i="24" s="1"/>
  <c r="F56" i="24" s="1"/>
  <c r="Q57" i="24"/>
  <c r="P57" i="24" s="1"/>
  <c r="V57" i="24" s="1"/>
  <c r="D57" i="24" s="1"/>
  <c r="E57" i="24" s="1"/>
  <c r="F57" i="24" s="1"/>
  <c r="Q65" i="24"/>
  <c r="Q181" i="24"/>
  <c r="P181" i="24" s="1"/>
  <c r="V181" i="24" s="1"/>
  <c r="W181" i="24" s="1"/>
  <c r="Q162" i="24"/>
  <c r="Q301" i="24"/>
  <c r="P301" i="24" s="1"/>
  <c r="V301" i="24" s="1"/>
  <c r="D301" i="24" s="1"/>
  <c r="E301" i="24" s="1"/>
  <c r="F301" i="24" s="1"/>
  <c r="Q191" i="24"/>
  <c r="P191" i="24" s="1"/>
  <c r="V191" i="24" s="1"/>
  <c r="W191" i="24" s="1"/>
  <c r="Q186" i="24"/>
  <c r="P186" i="24" s="1"/>
  <c r="V186" i="24" s="1"/>
  <c r="W186" i="24" s="1"/>
  <c r="Q243" i="24"/>
  <c r="Q377" i="24"/>
  <c r="P377" i="24" s="1"/>
  <c r="V377" i="24" s="1"/>
  <c r="D377" i="24" s="1"/>
  <c r="E377" i="24" s="1"/>
  <c r="F377" i="24" s="1"/>
  <c r="Q50" i="24"/>
  <c r="P50" i="24" s="1"/>
  <c r="V50" i="24" s="1"/>
  <c r="W50" i="24" s="1"/>
  <c r="Q319" i="24"/>
  <c r="P319" i="24" s="1"/>
  <c r="V319" i="24" s="1"/>
  <c r="D319" i="24" s="1"/>
  <c r="E319" i="24" s="1"/>
  <c r="F319" i="24" s="1"/>
  <c r="G319" i="24" s="1"/>
  <c r="CE319" i="6" s="1"/>
  <c r="Q180" i="24"/>
  <c r="Q315" i="24"/>
  <c r="P315" i="24" s="1"/>
  <c r="V315" i="24" s="1"/>
  <c r="W315" i="24" s="1"/>
  <c r="Q193" i="24"/>
  <c r="P193" i="24" s="1"/>
  <c r="V193" i="24" s="1"/>
  <c r="W193" i="24" s="1"/>
  <c r="Q158" i="24"/>
  <c r="P158" i="24" s="1"/>
  <c r="V158" i="24" s="1"/>
  <c r="W158" i="24" s="1"/>
  <c r="Q175" i="24"/>
  <c r="P175" i="24" s="1"/>
  <c r="V175" i="24" s="1"/>
  <c r="W175" i="24" s="1"/>
  <c r="Q329" i="24"/>
  <c r="P329" i="24" s="1"/>
  <c r="V329" i="24" s="1"/>
  <c r="W329" i="24" s="1"/>
  <c r="Q234" i="24"/>
  <c r="Q44" i="24"/>
  <c r="P44" i="24" s="1"/>
  <c r="V44" i="24" s="1"/>
  <c r="D44" i="24" s="1"/>
  <c r="E44" i="24" s="1"/>
  <c r="F44" i="24" s="1"/>
  <c r="Q302" i="24"/>
  <c r="Q359" i="24"/>
  <c r="P359" i="24" s="1"/>
  <c r="V359" i="24" s="1"/>
  <c r="W359" i="24" s="1"/>
  <c r="Q112" i="24"/>
  <c r="Q261" i="24"/>
  <c r="P261" i="24" s="1"/>
  <c r="V261" i="24" s="1"/>
  <c r="W261" i="24" s="1"/>
  <c r="Q90" i="24"/>
  <c r="P90" i="24" s="1"/>
  <c r="V90" i="24" s="1"/>
  <c r="D90" i="24" s="1"/>
  <c r="E90" i="24" s="1"/>
  <c r="F90" i="24" s="1"/>
  <c r="Q349" i="24"/>
  <c r="P349" i="24" s="1"/>
  <c r="V349" i="24" s="1"/>
  <c r="W349" i="24" s="1"/>
  <c r="Q336" i="24"/>
  <c r="P336" i="24" s="1"/>
  <c r="V336" i="24" s="1"/>
  <c r="D336" i="24" s="1"/>
  <c r="E336" i="24" s="1"/>
  <c r="F336" i="24" s="1"/>
  <c r="Q43" i="24"/>
  <c r="P43" i="24" s="1"/>
  <c r="V43" i="24" s="1"/>
  <c r="W43" i="24" s="1"/>
  <c r="Q189" i="24"/>
  <c r="P189" i="24" s="1"/>
  <c r="V189" i="24" s="1"/>
  <c r="W189" i="24" s="1"/>
  <c r="Q307" i="24"/>
  <c r="P307" i="24" s="1"/>
  <c r="V307" i="24" s="1"/>
  <c r="W307" i="24" s="1"/>
  <c r="Q179" i="24"/>
  <c r="Q168" i="24"/>
  <c r="P168" i="24" s="1"/>
  <c r="V168" i="24" s="1"/>
  <c r="D168" i="24" s="1"/>
  <c r="E168" i="24" s="1"/>
  <c r="F168" i="24" s="1"/>
  <c r="Q169" i="24"/>
  <c r="Q165" i="24"/>
  <c r="P165" i="24" s="1"/>
  <c r="V165" i="24" s="1"/>
  <c r="W165" i="24" s="1"/>
  <c r="Q84" i="24"/>
  <c r="Q206" i="24"/>
  <c r="P206" i="24" s="1"/>
  <c r="V206" i="24" s="1"/>
  <c r="W206" i="24" s="1"/>
  <c r="Q36" i="24"/>
  <c r="P36" i="24" s="1"/>
  <c r="V36" i="24" s="1"/>
  <c r="D36" i="24" s="1"/>
  <c r="E36" i="24" s="1"/>
  <c r="F36" i="24" s="1"/>
  <c r="Q367" i="24"/>
  <c r="P367" i="24" s="1"/>
  <c r="V367" i="24" s="1"/>
  <c r="W367" i="24" s="1"/>
  <c r="Q147" i="24"/>
  <c r="Q258" i="24"/>
  <c r="P258" i="24" s="1"/>
  <c r="V258" i="24" s="1"/>
  <c r="W258" i="24" s="1"/>
  <c r="Q259" i="24"/>
  <c r="P259" i="24" s="1"/>
  <c r="V259" i="24" s="1"/>
  <c r="W259" i="24" s="1"/>
  <c r="Q170" i="24"/>
  <c r="P170" i="24" s="1"/>
  <c r="V170" i="24" s="1"/>
  <c r="D170" i="24" s="1"/>
  <c r="E170" i="24" s="1"/>
  <c r="F170" i="24" s="1"/>
  <c r="Q159" i="24"/>
  <c r="Q244" i="24"/>
  <c r="P244" i="24" s="1"/>
  <c r="V244" i="24" s="1"/>
  <c r="D244" i="24" s="1"/>
  <c r="E244" i="24" s="1"/>
  <c r="F244" i="24" s="1"/>
  <c r="Q114" i="24"/>
  <c r="P114" i="24" s="1"/>
  <c r="V114" i="24" s="1"/>
  <c r="W114" i="24" s="1"/>
  <c r="Q322" i="24"/>
  <c r="P322" i="24" s="1"/>
  <c r="V322" i="24" s="1"/>
  <c r="D322" i="24" s="1"/>
  <c r="E322" i="24" s="1"/>
  <c r="F322" i="24" s="1"/>
  <c r="Q125" i="24"/>
  <c r="Q212" i="24"/>
  <c r="P212" i="24" s="1"/>
  <c r="V212" i="24" s="1"/>
  <c r="D212" i="24" s="1"/>
  <c r="E212" i="24" s="1"/>
  <c r="F212" i="24" s="1"/>
  <c r="Q122" i="24"/>
  <c r="P122" i="24" s="1"/>
  <c r="V122" i="24" s="1"/>
  <c r="D122" i="24" s="1"/>
  <c r="E122" i="24" s="1"/>
  <c r="F122" i="24" s="1"/>
  <c r="Q292" i="24"/>
  <c r="P292" i="24" s="1"/>
  <c r="V292" i="24" s="1"/>
  <c r="D292" i="24" s="1"/>
  <c r="E292" i="24" s="1"/>
  <c r="F292" i="24" s="1"/>
  <c r="Q248" i="24"/>
  <c r="P248" i="24" s="1"/>
  <c r="V248" i="24" s="1"/>
  <c r="D248" i="24" s="1"/>
  <c r="E248" i="24" s="1"/>
  <c r="F248" i="24" s="1"/>
  <c r="Q140" i="24"/>
  <c r="P140" i="24" s="1"/>
  <c r="V140" i="24" s="1"/>
  <c r="D140" i="24" s="1"/>
  <c r="E140" i="24" s="1"/>
  <c r="F140" i="24" s="1"/>
  <c r="Q42" i="24"/>
  <c r="Q334" i="24"/>
  <c r="P334" i="24" s="1"/>
  <c r="V334" i="24" s="1"/>
  <c r="D334" i="24" s="1"/>
  <c r="E334" i="24" s="1"/>
  <c r="F334" i="24" s="1"/>
  <c r="Q203" i="24"/>
  <c r="Q328" i="24"/>
  <c r="P328" i="24" s="1"/>
  <c r="V328" i="24" s="1"/>
  <c r="D328" i="24" s="1"/>
  <c r="E328" i="24" s="1"/>
  <c r="F328" i="24" s="1"/>
  <c r="Q91" i="24"/>
  <c r="P91" i="24" s="1"/>
  <c r="V91" i="24" s="1"/>
  <c r="D91" i="24" s="1"/>
  <c r="E91" i="24" s="1"/>
  <c r="F91" i="24" s="1"/>
  <c r="Q242" i="24"/>
  <c r="P242" i="24" s="1"/>
  <c r="V242" i="24" s="1"/>
  <c r="W242" i="24" s="1"/>
  <c r="Q314" i="24"/>
  <c r="Q38" i="24"/>
  <c r="P38" i="24" s="1"/>
  <c r="V38" i="24" s="1"/>
  <c r="W38" i="24" s="1"/>
  <c r="Q365" i="24"/>
  <c r="P365" i="24" s="1"/>
  <c r="V365" i="24" s="1"/>
  <c r="W365" i="24" s="1"/>
  <c r="Q326" i="24"/>
  <c r="P326" i="24" s="1"/>
  <c r="V326" i="24" s="1"/>
  <c r="D326" i="24" s="1"/>
  <c r="E326" i="24" s="1"/>
  <c r="F326" i="24" s="1"/>
  <c r="Q173" i="24"/>
  <c r="Q167" i="24"/>
  <c r="P167" i="24" s="1"/>
  <c r="V167" i="24" s="1"/>
  <c r="D167" i="24" s="1"/>
  <c r="E167" i="24" s="1"/>
  <c r="F167" i="24" s="1"/>
  <c r="Q236" i="24"/>
  <c r="P236" i="24" s="1"/>
  <c r="V236" i="24" s="1"/>
  <c r="W236" i="24" s="1"/>
  <c r="Q78" i="24"/>
  <c r="P78" i="24" s="1"/>
  <c r="V78" i="24" s="1"/>
  <c r="W78" i="24" s="1"/>
  <c r="Q347" i="24"/>
  <c r="P347" i="24" s="1"/>
  <c r="V347" i="24" s="1"/>
  <c r="D347" i="24" s="1"/>
  <c r="E347" i="24" s="1"/>
  <c r="F347" i="24" s="1"/>
  <c r="Q85" i="24"/>
  <c r="P85" i="24" s="1"/>
  <c r="V85" i="24" s="1"/>
  <c r="W85" i="24" s="1"/>
  <c r="Q293" i="24"/>
  <c r="Q109" i="24"/>
  <c r="P109" i="24" s="1"/>
  <c r="V109" i="24" s="1"/>
  <c r="D109" i="24" s="1"/>
  <c r="E109" i="24" s="1"/>
  <c r="F109" i="24" s="1"/>
  <c r="Q47" i="24"/>
  <c r="Q310" i="24"/>
  <c r="P310" i="24" s="1"/>
  <c r="V310" i="24" s="1"/>
  <c r="W310" i="24" s="1"/>
  <c r="Q355" i="24"/>
  <c r="P355" i="24" s="1"/>
  <c r="V355" i="24" s="1"/>
  <c r="W355" i="24" s="1"/>
  <c r="Q108" i="24"/>
  <c r="P108" i="24" s="1"/>
  <c r="V108" i="24" s="1"/>
  <c r="W108" i="24" s="1"/>
  <c r="Q33" i="24"/>
  <c r="P33" i="24" s="1"/>
  <c r="V33" i="24" s="1"/>
  <c r="W33" i="24" s="1"/>
  <c r="Q200" i="24"/>
  <c r="P200" i="24" s="1"/>
  <c r="V200" i="24" s="1"/>
  <c r="D200" i="24" s="1"/>
  <c r="E200" i="24" s="1"/>
  <c r="F200" i="24" s="1"/>
  <c r="Q176" i="24"/>
  <c r="P176" i="24" s="1"/>
  <c r="V176" i="24" s="1"/>
  <c r="W176" i="24" s="1"/>
  <c r="Q195" i="24"/>
  <c r="P195" i="24" s="1"/>
  <c r="V195" i="24" s="1"/>
  <c r="W195" i="24" s="1"/>
  <c r="Q35" i="24"/>
  <c r="Q210" i="24"/>
  <c r="P210" i="24" s="1"/>
  <c r="AH62" i="7" s="1"/>
  <c r="Q311" i="24"/>
  <c r="P311" i="24" s="1"/>
  <c r="V311" i="24" s="1"/>
  <c r="D311" i="24" s="1"/>
  <c r="E311" i="24" s="1"/>
  <c r="F311" i="24" s="1"/>
  <c r="Q171" i="24"/>
  <c r="P171" i="24" s="1"/>
  <c r="V171" i="24" s="1"/>
  <c r="W171" i="24" s="1"/>
  <c r="Q188" i="24"/>
  <c r="P188" i="24" s="1"/>
  <c r="V188" i="24" s="1"/>
  <c r="W188" i="24" s="1"/>
  <c r="Q224" i="24"/>
  <c r="P224" i="24" s="1"/>
  <c r="V224" i="24" s="1"/>
  <c r="D224" i="24" s="1"/>
  <c r="E224" i="24" s="1"/>
  <c r="F224" i="24" s="1"/>
  <c r="Q253" i="24"/>
  <c r="P253" i="24" s="1"/>
  <c r="V253" i="24" s="1"/>
  <c r="D253" i="24" s="1"/>
  <c r="E253" i="24" s="1"/>
  <c r="F253" i="24" s="1"/>
  <c r="Q104" i="24"/>
  <c r="P104" i="24" s="1"/>
  <c r="V104" i="24" s="1"/>
  <c r="W104" i="24" s="1"/>
  <c r="Q351" i="24"/>
  <c r="Q342" i="24"/>
  <c r="P342" i="24" s="1"/>
  <c r="V342" i="24" s="1"/>
  <c r="W342" i="24" s="1"/>
  <c r="Q55" i="24"/>
  <c r="Q348" i="24"/>
  <c r="P348" i="24" s="1"/>
  <c r="V348" i="24" s="1"/>
  <c r="W348" i="24" s="1"/>
  <c r="Q164" i="24"/>
  <c r="P164" i="24" s="1"/>
  <c r="V164" i="24" s="1"/>
  <c r="D164" i="24" s="1"/>
  <c r="E164" i="24" s="1"/>
  <c r="F164" i="24" s="1"/>
  <c r="Q344" i="24"/>
  <c r="P344" i="24" s="1"/>
  <c r="V344" i="24" s="1"/>
  <c r="D344" i="24" s="1"/>
  <c r="E344" i="24" s="1"/>
  <c r="F344" i="24" s="1"/>
  <c r="Q98" i="24"/>
  <c r="Q45" i="24"/>
  <c r="P45" i="24" s="1"/>
  <c r="V45" i="24" s="1"/>
  <c r="W45" i="24" s="1"/>
  <c r="Q120" i="24"/>
  <c r="P120" i="24" s="1"/>
  <c r="V120" i="24" s="1"/>
  <c r="D120" i="24" s="1"/>
  <c r="E120" i="24" s="1"/>
  <c r="F120" i="24" s="1"/>
  <c r="Q256" i="24"/>
  <c r="P256" i="24" s="1"/>
  <c r="V256" i="24" s="1"/>
  <c r="D256" i="24" s="1"/>
  <c r="E256" i="24" s="1"/>
  <c r="F256" i="24" s="1"/>
  <c r="Q233" i="24"/>
  <c r="P233" i="24" s="1"/>
  <c r="V233" i="24" s="1"/>
  <c r="D233" i="24" s="1"/>
  <c r="E233" i="24" s="1"/>
  <c r="F233" i="24" s="1"/>
  <c r="Q17" i="24"/>
  <c r="P17" i="24" s="1"/>
  <c r="V17" i="24" s="1"/>
  <c r="D17" i="24" s="1"/>
  <c r="E17" i="24" s="1"/>
  <c r="F17" i="24" s="1"/>
  <c r="Q213" i="24"/>
  <c r="P213" i="24" s="1"/>
  <c r="V213" i="24" s="1"/>
  <c r="W213" i="24" s="1"/>
  <c r="Q137" i="24"/>
  <c r="P137" i="24" s="1"/>
  <c r="V137" i="24" s="1"/>
  <c r="W137" i="24" s="1"/>
  <c r="Q92" i="24"/>
  <c r="Q338" i="24"/>
  <c r="P338" i="24" s="1"/>
  <c r="V338" i="24" s="1"/>
  <c r="D338" i="24" s="1"/>
  <c r="E338" i="24" s="1"/>
  <c r="F338" i="24" s="1"/>
  <c r="Q26" i="24"/>
  <c r="Q266" i="24"/>
  <c r="P266" i="24" s="1"/>
  <c r="V266" i="24" s="1"/>
  <c r="D266" i="24" s="1"/>
  <c r="E266" i="24" s="1"/>
  <c r="F266" i="24" s="1"/>
  <c r="Q87" i="24"/>
  <c r="Q358" i="24"/>
  <c r="P358" i="24" s="1"/>
  <c r="V358" i="24" s="1"/>
  <c r="W358" i="24" s="1"/>
  <c r="Q335" i="24"/>
  <c r="Q88" i="24"/>
  <c r="P88" i="24" s="1"/>
  <c r="V88" i="24" s="1"/>
  <c r="Q37" i="24"/>
  <c r="Q185" i="24"/>
  <c r="P185" i="24" s="1"/>
  <c r="V185" i="24" s="1"/>
  <c r="D185" i="24" s="1"/>
  <c r="E185" i="24" s="1"/>
  <c r="F185" i="24" s="1"/>
  <c r="Q172" i="24"/>
  <c r="P172" i="24" s="1"/>
  <c r="V172" i="24" s="1"/>
  <c r="D172" i="24" s="1"/>
  <c r="E172" i="24" s="1"/>
  <c r="F172" i="24" s="1"/>
  <c r="Q201" i="24"/>
  <c r="P201" i="24" s="1"/>
  <c r="V201" i="24" s="1"/>
  <c r="D201" i="24" s="1"/>
  <c r="E201" i="24" s="1"/>
  <c r="F201" i="24" s="1"/>
  <c r="Q295" i="24"/>
  <c r="P295" i="24" s="1"/>
  <c r="V295" i="24" s="1"/>
  <c r="D295" i="24" s="1"/>
  <c r="E295" i="24" s="1"/>
  <c r="F295" i="24" s="1"/>
  <c r="Q93" i="24"/>
  <c r="P93" i="24" s="1"/>
  <c r="V93" i="24" s="1"/>
  <c r="W93" i="24" s="1"/>
  <c r="Q67" i="24"/>
  <c r="Q163" i="24"/>
  <c r="P163" i="24" s="1"/>
  <c r="V163" i="24" s="1"/>
  <c r="D163" i="24" s="1"/>
  <c r="E163" i="24" s="1"/>
  <c r="F163" i="24" s="1"/>
  <c r="Q192" i="24"/>
  <c r="P192" i="24" s="1"/>
  <c r="V192" i="24" s="1"/>
  <c r="W192" i="24" s="1"/>
  <c r="Q232" i="24"/>
  <c r="P232" i="24" s="1"/>
  <c r="V232" i="24" s="1"/>
  <c r="D232" i="24" s="1"/>
  <c r="E232" i="24" s="1"/>
  <c r="F232" i="24" s="1"/>
  <c r="Q249" i="24"/>
  <c r="Q124" i="24"/>
  <c r="P124" i="24" s="1"/>
  <c r="V124" i="24" s="1"/>
  <c r="D124" i="24" s="1"/>
  <c r="E124" i="24" s="1"/>
  <c r="F124" i="24" s="1"/>
  <c r="Q371" i="24"/>
  <c r="P371" i="24" s="1"/>
  <c r="V371" i="24" s="1"/>
  <c r="W371" i="24" s="1"/>
  <c r="Q278" i="24"/>
  <c r="P278" i="24" s="1"/>
  <c r="V278" i="24" s="1"/>
  <c r="W278" i="24" s="1"/>
  <c r="Q40" i="24"/>
  <c r="Q218" i="24"/>
  <c r="P218" i="24" s="1"/>
  <c r="V218" i="24" s="1"/>
  <c r="W218" i="24" s="1"/>
  <c r="Q309" i="24"/>
  <c r="P309" i="24" s="1"/>
  <c r="V309" i="24" s="1"/>
  <c r="D309" i="24" s="1"/>
  <c r="E309" i="24" s="1"/>
  <c r="F309" i="24" s="1"/>
  <c r="Q239" i="24"/>
  <c r="P239" i="24" s="1"/>
  <c r="V239" i="24" s="1"/>
  <c r="W239" i="24" s="1"/>
  <c r="Q299" i="24"/>
  <c r="Q308" i="24"/>
  <c r="P308" i="24" s="1"/>
  <c r="V308" i="24" s="1"/>
  <c r="W308" i="24" s="1"/>
  <c r="Q219" i="24"/>
  <c r="P219" i="24" s="1"/>
  <c r="V219" i="24" s="1"/>
  <c r="W219" i="24" s="1"/>
  <c r="Q25" i="24"/>
  <c r="P25" i="24" s="1"/>
  <c r="V25" i="24" s="1"/>
  <c r="D25" i="24" s="1"/>
  <c r="E25" i="24" s="1"/>
  <c r="F25" i="24" s="1"/>
  <c r="Q214" i="24"/>
  <c r="Q144" i="24"/>
  <c r="P144" i="24" s="1"/>
  <c r="V144" i="24" s="1"/>
  <c r="D144" i="24" s="1"/>
  <c r="E144" i="24" s="1"/>
  <c r="F144" i="24" s="1"/>
  <c r="Q99" i="24"/>
  <c r="P99" i="24" s="1"/>
  <c r="V99" i="24" s="1"/>
  <c r="W99" i="24" s="1"/>
  <c r="Q279" i="24"/>
  <c r="P279" i="24" s="1"/>
  <c r="V279" i="24" s="1"/>
  <c r="W279" i="24" s="1"/>
  <c r="Q156" i="24"/>
  <c r="Q133" i="24"/>
  <c r="P133" i="24" s="1"/>
  <c r="V133" i="24" s="1"/>
  <c r="W133" i="24" s="1"/>
  <c r="Q304" i="24"/>
  <c r="Q151" i="24"/>
  <c r="P151" i="24" s="1"/>
  <c r="V151" i="24" s="1"/>
  <c r="D151" i="24" s="1"/>
  <c r="E151" i="24" s="1"/>
  <c r="F151" i="24" s="1"/>
  <c r="Q21" i="24"/>
  <c r="P21" i="24" s="1"/>
  <c r="V21" i="24" s="1"/>
  <c r="W21" i="24" s="1"/>
  <c r="Q372" i="24"/>
  <c r="P372" i="24" s="1"/>
  <c r="V372" i="24" s="1"/>
  <c r="D372" i="24" s="1"/>
  <c r="E372" i="24" s="1"/>
  <c r="F372" i="24" s="1"/>
  <c r="Q139" i="24"/>
  <c r="P139" i="24" s="1"/>
  <c r="V139" i="24" s="1"/>
  <c r="W139" i="24" s="1"/>
  <c r="Q39" i="24"/>
  <c r="P39" i="24" s="1"/>
  <c r="V39" i="24" s="1"/>
  <c r="D39" i="24" s="1"/>
  <c r="E39" i="24" s="1"/>
  <c r="F39" i="24" s="1"/>
  <c r="Q41" i="24"/>
  <c r="P41" i="24" s="1"/>
  <c r="V41" i="24" s="1"/>
  <c r="Q346" i="24"/>
  <c r="P346" i="24" s="1"/>
  <c r="V346" i="24" s="1"/>
  <c r="W346" i="24" s="1"/>
  <c r="Q54" i="24"/>
  <c r="Q30" i="24"/>
  <c r="P30" i="24" s="1"/>
  <c r="V30" i="24" s="1"/>
  <c r="W30" i="24" s="1"/>
  <c r="Q298" i="24"/>
  <c r="Q268" i="24"/>
  <c r="P268" i="24" s="1"/>
  <c r="V268" i="24" s="1"/>
  <c r="D268" i="24" s="1"/>
  <c r="E268" i="24" s="1"/>
  <c r="F268" i="24" s="1"/>
  <c r="Q343" i="24"/>
  <c r="P343" i="24" s="1"/>
  <c r="V343" i="24" s="1"/>
  <c r="W343" i="24" s="1"/>
  <c r="Q313" i="24"/>
  <c r="P313" i="24" s="1"/>
  <c r="V313" i="24" s="1"/>
  <c r="W313" i="24" s="1"/>
  <c r="D105" i="24"/>
  <c r="E105" i="24" s="1"/>
  <c r="F105" i="24" s="1"/>
  <c r="G105" i="24" s="1"/>
  <c r="CE105" i="6" s="1"/>
  <c r="Q142" i="24"/>
  <c r="P142" i="24" s="1"/>
  <c r="V142" i="24" s="1"/>
  <c r="I224" i="23"/>
  <c r="J224" i="23"/>
  <c r="D302" i="23"/>
  <c r="E302" i="23" s="1"/>
  <c r="F302" i="23" s="1"/>
  <c r="W302" i="23"/>
  <c r="I84" i="23"/>
  <c r="J84" i="23"/>
  <c r="H166" i="23"/>
  <c r="G166" i="23"/>
  <c r="CD166" i="6" s="1"/>
  <c r="D272" i="23"/>
  <c r="E272" i="23" s="1"/>
  <c r="F272" i="23" s="1"/>
  <c r="W272" i="23"/>
  <c r="J27" i="23"/>
  <c r="I27" i="23"/>
  <c r="I132" i="23"/>
  <c r="J132" i="23"/>
  <c r="I377" i="23"/>
  <c r="J377" i="23"/>
  <c r="J215" i="23"/>
  <c r="I215" i="23"/>
  <c r="J181" i="23"/>
  <c r="I181" i="23"/>
  <c r="J291" i="23"/>
  <c r="I291" i="23"/>
  <c r="AE12" i="25"/>
  <c r="J298" i="23"/>
  <c r="I298" i="23"/>
  <c r="AZ15" i="7"/>
  <c r="Q12" i="25"/>
  <c r="I294" i="23"/>
  <c r="J294" i="23"/>
  <c r="I326" i="23"/>
  <c r="J326" i="23"/>
  <c r="I139" i="23"/>
  <c r="J139" i="23"/>
  <c r="I350" i="23"/>
  <c r="H105" i="23"/>
  <c r="G105" i="23"/>
  <c r="CD105" i="6" s="1"/>
  <c r="J372" i="23"/>
  <c r="I372" i="23"/>
  <c r="J212" i="23"/>
  <c r="I212" i="23"/>
  <c r="I73" i="23"/>
  <c r="J73" i="23"/>
  <c r="J378" i="23"/>
  <c r="I378" i="23"/>
  <c r="I173" i="23"/>
  <c r="J173" i="23"/>
  <c r="J188" i="23"/>
  <c r="I188" i="23"/>
  <c r="J218" i="23"/>
  <c r="I218" i="23"/>
  <c r="J161" i="23"/>
  <c r="I161" i="23"/>
  <c r="G74" i="23"/>
  <c r="CD74" i="6" s="1"/>
  <c r="J332" i="23"/>
  <c r="I332" i="23"/>
  <c r="I174" i="23"/>
  <c r="J174" i="23"/>
  <c r="I357" i="23"/>
  <c r="J357" i="23"/>
  <c r="H74" i="23"/>
  <c r="J150" i="23"/>
  <c r="I150" i="23"/>
  <c r="I121" i="23"/>
  <c r="J72" i="23"/>
  <c r="I72" i="23"/>
  <c r="I322" i="23"/>
  <c r="J322" i="23"/>
  <c r="I236" i="23"/>
  <c r="J236" i="23"/>
  <c r="J365" i="23"/>
  <c r="I365" i="23"/>
  <c r="J351" i="23"/>
  <c r="I351" i="23"/>
  <c r="J276" i="23"/>
  <c r="I276" i="23"/>
  <c r="J364" i="23"/>
  <c r="I364" i="23"/>
  <c r="G88" i="23"/>
  <c r="CD88" i="6" s="1"/>
  <c r="J368" i="23"/>
  <c r="I368" i="23"/>
  <c r="I57" i="23"/>
  <c r="J57" i="23"/>
  <c r="I268" i="23"/>
  <c r="J268" i="23"/>
  <c r="J233" i="23"/>
  <c r="I233" i="23"/>
  <c r="I19" i="23"/>
  <c r="J19" i="23"/>
  <c r="I191" i="23"/>
  <c r="J191" i="23"/>
  <c r="J115" i="23"/>
  <c r="I115" i="23"/>
  <c r="J113" i="23"/>
  <c r="I113" i="23"/>
  <c r="J79" i="23"/>
  <c r="I79" i="23"/>
  <c r="I283" i="23"/>
  <c r="J283" i="23"/>
  <c r="I376" i="23"/>
  <c r="J376" i="23"/>
  <c r="I59" i="23"/>
  <c r="J59" i="23"/>
  <c r="I240" i="23"/>
  <c r="J240" i="23"/>
  <c r="I53" i="23"/>
  <c r="J53" i="23"/>
  <c r="J341" i="23"/>
  <c r="I341" i="23"/>
  <c r="J205" i="23"/>
  <c r="I205" i="23"/>
  <c r="I209" i="23"/>
  <c r="J209" i="23"/>
  <c r="J226" i="23"/>
  <c r="I226" i="23"/>
  <c r="I89" i="23"/>
  <c r="J89" i="23"/>
  <c r="G180" i="23"/>
  <c r="CD180" i="6" s="1"/>
  <c r="I271" i="23"/>
  <c r="J271" i="23"/>
  <c r="J20" i="23"/>
  <c r="I20" i="23"/>
  <c r="J330" i="23"/>
  <c r="I330" i="23"/>
  <c r="I242" i="23"/>
  <c r="J242" i="23"/>
  <c r="G349" i="23"/>
  <c r="CD349" i="6" s="1"/>
  <c r="H349" i="23"/>
  <c r="J199" i="23"/>
  <c r="I199" i="23"/>
  <c r="I56" i="23"/>
  <c r="J56" i="23"/>
  <c r="J257" i="23"/>
  <c r="I257" i="23"/>
  <c r="I82" i="23"/>
  <c r="J82" i="23"/>
  <c r="J16" i="23"/>
  <c r="I16" i="23"/>
  <c r="I143" i="23"/>
  <c r="J143" i="23"/>
  <c r="G29" i="23"/>
  <c r="CD29" i="6" s="1"/>
  <c r="I50" i="23"/>
  <c r="J50" i="23"/>
  <c r="I141" i="23"/>
  <c r="J141" i="23"/>
  <c r="J99" i="23"/>
  <c r="I99" i="23"/>
  <c r="I195" i="23"/>
  <c r="J195" i="23"/>
  <c r="I182" i="23"/>
  <c r="J182" i="23"/>
  <c r="I317" i="23"/>
  <c r="J317" i="23"/>
  <c r="I156" i="23"/>
  <c r="J156" i="23"/>
  <c r="J183" i="23"/>
  <c r="I183" i="23"/>
  <c r="J26" i="23"/>
  <c r="I26" i="23"/>
  <c r="J361" i="23"/>
  <c r="I361" i="23"/>
  <c r="J243" i="23"/>
  <c r="I243" i="23"/>
  <c r="J40" i="23"/>
  <c r="I40" i="23"/>
  <c r="J293" i="23"/>
  <c r="I293" i="23"/>
  <c r="J232" i="23"/>
  <c r="I232" i="23"/>
  <c r="I170" i="23"/>
  <c r="J170" i="23"/>
  <c r="J187" i="23"/>
  <c r="I187" i="23"/>
  <c r="J97" i="23"/>
  <c r="I97" i="23"/>
  <c r="I287" i="23"/>
  <c r="J287" i="23"/>
  <c r="J109" i="23"/>
  <c r="I109" i="23"/>
  <c r="I299" i="23"/>
  <c r="J299" i="23"/>
  <c r="J275" i="23"/>
  <c r="I275" i="23"/>
  <c r="J261" i="23"/>
  <c r="I261" i="23"/>
  <c r="J331" i="23"/>
  <c r="I331" i="23"/>
  <c r="J176" i="23"/>
  <c r="I176" i="23"/>
  <c r="I123" i="23"/>
  <c r="J123" i="23"/>
  <c r="J266" i="23"/>
  <c r="I128" i="23"/>
  <c r="I87" i="23"/>
  <c r="J87" i="23"/>
  <c r="J18" i="23"/>
  <c r="I162" i="23"/>
  <c r="J162" i="23"/>
  <c r="I125" i="23"/>
  <c r="J125" i="23"/>
  <c r="I91" i="23"/>
  <c r="J91" i="23"/>
  <c r="I260" i="23"/>
  <c r="J260" i="23"/>
  <c r="I370" i="23"/>
  <c r="J370" i="23"/>
  <c r="J137" i="23"/>
  <c r="I137" i="23"/>
  <c r="J189" i="23"/>
  <c r="I189" i="23"/>
  <c r="J313" i="23"/>
  <c r="I313" i="23"/>
  <c r="J78" i="23"/>
  <c r="I78" i="23"/>
  <c r="I200" i="23"/>
  <c r="J200" i="23"/>
  <c r="J157" i="23"/>
  <c r="I157" i="23"/>
  <c r="I146" i="23"/>
  <c r="J146" i="23"/>
  <c r="J207" i="23"/>
  <c r="I207" i="23"/>
  <c r="J131" i="23"/>
  <c r="I279" i="23"/>
  <c r="J279" i="23"/>
  <c r="J69" i="23"/>
  <c r="I69" i="23"/>
  <c r="I245" i="23"/>
  <c r="J245" i="23"/>
  <c r="I102" i="23"/>
  <c r="J102" i="23"/>
  <c r="I348" i="23"/>
  <c r="J348" i="23"/>
  <c r="I107" i="23"/>
  <c r="J107" i="23"/>
  <c r="I305" i="23"/>
  <c r="J305" i="23"/>
  <c r="I366" i="23"/>
  <c r="J366" i="23"/>
  <c r="G119" i="23"/>
  <c r="CD119" i="6" s="1"/>
  <c r="J217" i="23"/>
  <c r="I217" i="23"/>
  <c r="J118" i="23"/>
  <c r="I118" i="23"/>
  <c r="J203" i="23"/>
  <c r="I203" i="23"/>
  <c r="I42" i="23"/>
  <c r="J42" i="23"/>
  <c r="I307" i="23"/>
  <c r="J307" i="23"/>
  <c r="D210" i="23"/>
  <c r="E210" i="23" s="1"/>
  <c r="F210" i="23" s="1"/>
  <c r="W210" i="23"/>
  <c r="I93" i="23"/>
  <c r="J93" i="23"/>
  <c r="J284" i="23"/>
  <c r="I284" i="23"/>
  <c r="I155" i="23"/>
  <c r="J155" i="23"/>
  <c r="J336" i="23"/>
  <c r="I336" i="23"/>
  <c r="J192" i="23"/>
  <c r="I192" i="23"/>
  <c r="I290" i="23"/>
  <c r="J290" i="23"/>
  <c r="Q283" i="24"/>
  <c r="I295" i="23"/>
  <c r="J230" i="23"/>
  <c r="I230" i="23"/>
  <c r="I342" i="23"/>
  <c r="J342" i="23"/>
  <c r="J334" i="23"/>
  <c r="I334" i="23"/>
  <c r="I362" i="23"/>
  <c r="J362" i="23"/>
  <c r="J320" i="23"/>
  <c r="I320" i="23"/>
  <c r="J252" i="23"/>
  <c r="I252" i="23"/>
  <c r="J285" i="23"/>
  <c r="I285" i="23"/>
  <c r="I315" i="23"/>
  <c r="J315" i="23"/>
  <c r="J246" i="23"/>
  <c r="I246" i="23"/>
  <c r="I193" i="23"/>
  <c r="J373" i="23"/>
  <c r="I373" i="23"/>
  <c r="J117" i="23"/>
  <c r="I117" i="23"/>
  <c r="J114" i="23"/>
  <c r="I114" i="23"/>
  <c r="D333" i="23"/>
  <c r="E333" i="23" s="1"/>
  <c r="F333" i="23" s="1"/>
  <c r="W333" i="23"/>
  <c r="J197" i="23"/>
  <c r="I197" i="23"/>
  <c r="J44" i="23"/>
  <c r="I44" i="23"/>
  <c r="I211" i="23"/>
  <c r="J211" i="23"/>
  <c r="I96" i="23"/>
  <c r="J96" i="23"/>
  <c r="I202" i="23"/>
  <c r="J202" i="23"/>
  <c r="I270" i="23"/>
  <c r="J270" i="23"/>
  <c r="J68" i="23"/>
  <c r="I68" i="23"/>
  <c r="J296" i="23"/>
  <c r="I296" i="23"/>
  <c r="J33" i="23"/>
  <c r="I33" i="23"/>
  <c r="I152" i="23"/>
  <c r="J152" i="23"/>
  <c r="J23" i="23"/>
  <c r="I23" i="23"/>
  <c r="J49" i="23"/>
  <c r="I49" i="23"/>
  <c r="J45" i="23"/>
  <c r="I45" i="23"/>
  <c r="J244" i="23"/>
  <c r="I244" i="23"/>
  <c r="J221" i="23"/>
  <c r="I221" i="23"/>
  <c r="I154" i="23"/>
  <c r="J154" i="23"/>
  <c r="D241" i="23"/>
  <c r="E241" i="23" s="1"/>
  <c r="F241" i="23" s="1"/>
  <c r="W241" i="23"/>
  <c r="J194" i="23"/>
  <c r="I194" i="23"/>
  <c r="I129" i="23"/>
  <c r="J129" i="23"/>
  <c r="J310" i="23"/>
  <c r="I310" i="23"/>
  <c r="J327" i="23"/>
  <c r="J219" i="23"/>
  <c r="I219" i="23"/>
  <c r="J32" i="23"/>
  <c r="I32" i="23"/>
  <c r="J312" i="23"/>
  <c r="I312" i="23"/>
  <c r="J213" i="23"/>
  <c r="I213" i="23"/>
  <c r="J144" i="23"/>
  <c r="I144" i="23"/>
  <c r="I346" i="23"/>
  <c r="J346" i="23"/>
  <c r="J34" i="23"/>
  <c r="I34" i="23"/>
  <c r="H46" i="23"/>
  <c r="G46" i="23"/>
  <c r="CD46" i="6" s="1"/>
  <c r="I177" i="23"/>
  <c r="G135" i="23"/>
  <c r="CD135" i="6" s="1"/>
  <c r="H135" i="23"/>
  <c r="J138" i="23"/>
  <c r="I138" i="23"/>
  <c r="J371" i="23"/>
  <c r="I371" i="23"/>
  <c r="J55" i="23"/>
  <c r="I55" i="23"/>
  <c r="J54" i="23"/>
  <c r="I54" i="23"/>
  <c r="J300" i="23"/>
  <c r="I300" i="23"/>
  <c r="J35" i="23"/>
  <c r="I35" i="23"/>
  <c r="J190" i="23"/>
  <c r="I190" i="23"/>
  <c r="J292" i="23"/>
  <c r="I292" i="23"/>
  <c r="J31" i="23"/>
  <c r="J108" i="23"/>
  <c r="I108" i="23"/>
  <c r="I111" i="23"/>
  <c r="J111" i="23"/>
  <c r="J185" i="23"/>
  <c r="I185" i="23"/>
  <c r="J124" i="23"/>
  <c r="I124" i="23"/>
  <c r="I265" i="23"/>
  <c r="I318" i="23"/>
  <c r="J318" i="23"/>
  <c r="I237" i="23"/>
  <c r="J237" i="23"/>
  <c r="I140" i="23"/>
  <c r="J140" i="23"/>
  <c r="I345" i="23"/>
  <c r="J345" i="23"/>
  <c r="I234" i="23"/>
  <c r="J234" i="23"/>
  <c r="J316" i="23"/>
  <c r="I316" i="23"/>
  <c r="I43" i="23"/>
  <c r="J43" i="23"/>
  <c r="J248" i="23"/>
  <c r="I248" i="23"/>
  <c r="J250" i="23"/>
  <c r="I250" i="23"/>
  <c r="I153" i="23"/>
  <c r="J153" i="23"/>
  <c r="J325" i="23"/>
  <c r="I325" i="23"/>
  <c r="J235" i="23"/>
  <c r="I235" i="23"/>
  <c r="J204" i="23"/>
  <c r="I204" i="23"/>
  <c r="I159" i="23"/>
  <c r="J159" i="23"/>
  <c r="G379" i="23"/>
  <c r="CD379" i="6" s="1"/>
  <c r="I247" i="23"/>
  <c r="J247" i="23"/>
  <c r="J228" i="23"/>
  <c r="I228" i="23"/>
  <c r="J198" i="23"/>
  <c r="I198" i="23"/>
  <c r="J220" i="23"/>
  <c r="I220" i="23"/>
  <c r="I167" i="23"/>
  <c r="J167" i="23"/>
  <c r="J282" i="23"/>
  <c r="I282" i="23"/>
  <c r="J171" i="23"/>
  <c r="I277" i="23"/>
  <c r="J277" i="23"/>
  <c r="J324" i="23"/>
  <c r="I324" i="23"/>
  <c r="J338" i="23"/>
  <c r="I338" i="23"/>
  <c r="I304" i="23"/>
  <c r="I273" i="23"/>
  <c r="J273" i="23"/>
  <c r="J216" i="23"/>
  <c r="I216" i="23"/>
  <c r="J222" i="23"/>
  <c r="I222" i="23"/>
  <c r="I344" i="23"/>
  <c r="J344" i="23"/>
  <c r="J51" i="23"/>
  <c r="I51" i="23"/>
  <c r="J263" i="23"/>
  <c r="I263" i="23"/>
  <c r="I163" i="23"/>
  <c r="J163" i="23"/>
  <c r="J347" i="23"/>
  <c r="I347" i="23"/>
  <c r="I328" i="23"/>
  <c r="J328" i="23"/>
  <c r="I65" i="23"/>
  <c r="J65" i="23"/>
  <c r="J280" i="23"/>
  <c r="I280" i="23"/>
  <c r="I165" i="23"/>
  <c r="J165" i="23"/>
  <c r="I130" i="23"/>
  <c r="J130" i="23"/>
  <c r="J335" i="23"/>
  <c r="I335" i="23"/>
  <c r="J110" i="23"/>
  <c r="I110" i="23"/>
  <c r="I343" i="23"/>
  <c r="J343" i="23"/>
  <c r="J142" i="23"/>
  <c r="I142" i="23"/>
  <c r="J41" i="23"/>
  <c r="I41" i="23"/>
  <c r="J367" i="23"/>
  <c r="I367" i="23"/>
  <c r="I36" i="23"/>
  <c r="J36" i="23"/>
  <c r="J288" i="23"/>
  <c r="I288" i="23"/>
  <c r="I25" i="23"/>
  <c r="J25" i="23"/>
  <c r="J37" i="23"/>
  <c r="I37" i="23"/>
  <c r="J281" i="23"/>
  <c r="I281" i="23"/>
  <c r="I160" i="23"/>
  <c r="J160" i="23"/>
  <c r="I353" i="23"/>
  <c r="J353" i="23"/>
  <c r="I238" i="23"/>
  <c r="J238" i="23"/>
  <c r="J340" i="23"/>
  <c r="I340" i="23"/>
  <c r="J267" i="23"/>
  <c r="I267" i="23"/>
  <c r="I286" i="23"/>
  <c r="J286" i="23"/>
  <c r="I303" i="23"/>
  <c r="J303" i="23"/>
  <c r="J30" i="23"/>
  <c r="I30" i="23"/>
  <c r="I359" i="23"/>
  <c r="J359" i="23"/>
  <c r="I274" i="23"/>
  <c r="J274" i="23"/>
  <c r="J321" i="23"/>
  <c r="I321" i="23"/>
  <c r="J28" i="23"/>
  <c r="I28" i="23"/>
  <c r="J329" i="23"/>
  <c r="I329" i="23"/>
  <c r="J70" i="23"/>
  <c r="I70" i="23"/>
  <c r="J77" i="23"/>
  <c r="I77" i="23"/>
  <c r="J256" i="23"/>
  <c r="I256" i="23"/>
  <c r="I323" i="23"/>
  <c r="J323" i="23"/>
  <c r="J178" i="23"/>
  <c r="I178" i="23"/>
  <c r="J17" i="23"/>
  <c r="I17" i="23"/>
  <c r="I134" i="23"/>
  <c r="J134" i="23"/>
  <c r="J147" i="23"/>
  <c r="I147" i="23"/>
  <c r="J311" i="23"/>
  <c r="I311" i="23"/>
  <c r="I63" i="23"/>
  <c r="J63" i="23"/>
  <c r="I47" i="23"/>
  <c r="J47" i="23"/>
  <c r="J306" i="23"/>
  <c r="I306" i="23"/>
  <c r="J80" i="23"/>
  <c r="I80" i="23"/>
  <c r="I354" i="23"/>
  <c r="J354" i="23"/>
  <c r="J62" i="23"/>
  <c r="I62" i="23"/>
  <c r="I184" i="22" l="1"/>
  <c r="H184" i="23" s="1"/>
  <c r="J184" i="22"/>
  <c r="J100" i="22"/>
  <c r="I100" i="22"/>
  <c r="H100" i="23" s="1"/>
  <c r="B31" i="19"/>
  <c r="P283" i="24"/>
  <c r="V283" i="24" s="1"/>
  <c r="P379" i="24"/>
  <c r="P180" i="24"/>
  <c r="V180" i="24" s="1"/>
  <c r="AZ16" i="7"/>
  <c r="BF11" i="7" s="1"/>
  <c r="U11" i="25" s="1"/>
  <c r="U383" i="24"/>
  <c r="P18" i="24"/>
  <c r="V18" i="24" s="1"/>
  <c r="W18" i="24" s="1"/>
  <c r="P327" i="24"/>
  <c r="V327" i="24" s="1"/>
  <c r="D327" i="24" s="1"/>
  <c r="E327" i="24" s="1"/>
  <c r="F327" i="24" s="1"/>
  <c r="P116" i="24"/>
  <c r="V116" i="24" s="1"/>
  <c r="D116" i="24" s="1"/>
  <c r="E116" i="24" s="1"/>
  <c r="F116" i="24" s="1"/>
  <c r="P263" i="24"/>
  <c r="V263" i="24" s="1"/>
  <c r="D263" i="24" s="1"/>
  <c r="E263" i="24" s="1"/>
  <c r="F263" i="24" s="1"/>
  <c r="J85" i="23"/>
  <c r="J122" i="23"/>
  <c r="J177" i="23"/>
  <c r="J251" i="23"/>
  <c r="I339" i="23"/>
  <c r="I94" i="23"/>
  <c r="I145" i="23"/>
  <c r="I254" i="23"/>
  <c r="I208" i="23"/>
  <c r="I52" i="23"/>
  <c r="I98" i="23"/>
  <c r="I179" i="23"/>
  <c r="J90" i="23"/>
  <c r="D16" i="24"/>
  <c r="E16" i="24" s="1"/>
  <c r="F16" i="24" s="1"/>
  <c r="G16" i="24" s="1"/>
  <c r="CE16" i="6" s="1"/>
  <c r="I262" i="23"/>
  <c r="H262" i="24" s="1"/>
  <c r="I231" i="23"/>
  <c r="I136" i="23"/>
  <c r="H136" i="24" s="1"/>
  <c r="I148" i="23"/>
  <c r="J301" i="23"/>
  <c r="W330" i="24"/>
  <c r="P127" i="24"/>
  <c r="V127" i="24" s="1"/>
  <c r="D127" i="24" s="1"/>
  <c r="E127" i="24" s="1"/>
  <c r="F127" i="24" s="1"/>
  <c r="H127" i="24" s="1"/>
  <c r="P230" i="24"/>
  <c r="V230" i="24" s="1"/>
  <c r="D230" i="24" s="1"/>
  <c r="E230" i="24" s="1"/>
  <c r="F230" i="24" s="1"/>
  <c r="H230" i="24" s="1"/>
  <c r="P48" i="24"/>
  <c r="V48" i="24" s="1"/>
  <c r="D48" i="24" s="1"/>
  <c r="E48" i="24" s="1"/>
  <c r="F48" i="24" s="1"/>
  <c r="G48" i="24" s="1"/>
  <c r="CE48" i="6" s="1"/>
  <c r="I101" i="23"/>
  <c r="I255" i="23"/>
  <c r="P298" i="24"/>
  <c r="V298" i="24" s="1"/>
  <c r="W298" i="24" s="1"/>
  <c r="P54" i="24"/>
  <c r="V54" i="24" s="1"/>
  <c r="W54" i="24" s="1"/>
  <c r="P304" i="24"/>
  <c r="V304" i="24" s="1"/>
  <c r="W304" i="24" s="1"/>
  <c r="P156" i="24"/>
  <c r="V156" i="24" s="1"/>
  <c r="W156" i="24" s="1"/>
  <c r="P214" i="24"/>
  <c r="V214" i="24" s="1"/>
  <c r="W214" i="24" s="1"/>
  <c r="P299" i="24"/>
  <c r="V299" i="24" s="1"/>
  <c r="W299" i="24" s="1"/>
  <c r="P40" i="24"/>
  <c r="V40" i="24" s="1"/>
  <c r="D40" i="24" s="1"/>
  <c r="E40" i="24" s="1"/>
  <c r="F40" i="24" s="1"/>
  <c r="G40" i="24" s="1"/>
  <c r="CE40" i="6" s="1"/>
  <c r="P249" i="24"/>
  <c r="V249" i="24" s="1"/>
  <c r="D249" i="24" s="1"/>
  <c r="E249" i="24" s="1"/>
  <c r="F249" i="24" s="1"/>
  <c r="G249" i="24" s="1"/>
  <c r="CE249" i="6" s="1"/>
  <c r="P67" i="24"/>
  <c r="V67" i="24" s="1"/>
  <c r="W67" i="24" s="1"/>
  <c r="P37" i="24"/>
  <c r="V37" i="24" s="1"/>
  <c r="D37" i="24" s="1"/>
  <c r="E37" i="24" s="1"/>
  <c r="F37" i="24" s="1"/>
  <c r="G37" i="24" s="1"/>
  <c r="CE37" i="6" s="1"/>
  <c r="P335" i="24"/>
  <c r="V335" i="24" s="1"/>
  <c r="W335" i="24" s="1"/>
  <c r="P87" i="24"/>
  <c r="V87" i="24" s="1"/>
  <c r="D87" i="24" s="1"/>
  <c r="E87" i="24" s="1"/>
  <c r="F87" i="24" s="1"/>
  <c r="G87" i="24" s="1"/>
  <c r="CE87" i="6" s="1"/>
  <c r="P26" i="24"/>
  <c r="V26" i="24" s="1"/>
  <c r="D26" i="24" s="1"/>
  <c r="E26" i="24" s="1"/>
  <c r="F26" i="24" s="1"/>
  <c r="H26" i="24" s="1"/>
  <c r="P92" i="24"/>
  <c r="V92" i="24" s="1"/>
  <c r="D92" i="24" s="1"/>
  <c r="E92" i="24" s="1"/>
  <c r="F92" i="24" s="1"/>
  <c r="G92" i="24" s="1"/>
  <c r="CE92" i="6" s="1"/>
  <c r="P98" i="24"/>
  <c r="V98" i="24" s="1"/>
  <c r="D98" i="24" s="1"/>
  <c r="E98" i="24" s="1"/>
  <c r="F98" i="24" s="1"/>
  <c r="G98" i="24" s="1"/>
  <c r="CE98" i="6" s="1"/>
  <c r="P55" i="24"/>
  <c r="V55" i="24" s="1"/>
  <c r="D55" i="24" s="1"/>
  <c r="E55" i="24" s="1"/>
  <c r="F55" i="24" s="1"/>
  <c r="G55" i="24" s="1"/>
  <c r="CE55" i="6" s="1"/>
  <c r="P351" i="24"/>
  <c r="V351" i="24" s="1"/>
  <c r="D351" i="24" s="1"/>
  <c r="E351" i="24" s="1"/>
  <c r="F351" i="24" s="1"/>
  <c r="G351" i="24" s="1"/>
  <c r="CE351" i="6" s="1"/>
  <c r="P35" i="24"/>
  <c r="V35" i="24" s="1"/>
  <c r="W35" i="24" s="1"/>
  <c r="P47" i="24"/>
  <c r="V47" i="24" s="1"/>
  <c r="D47" i="24" s="1"/>
  <c r="E47" i="24" s="1"/>
  <c r="F47" i="24" s="1"/>
  <c r="G47" i="24" s="1"/>
  <c r="CE47" i="6" s="1"/>
  <c r="P293" i="24"/>
  <c r="V293" i="24" s="1"/>
  <c r="W293" i="24" s="1"/>
  <c r="P173" i="24"/>
  <c r="V173" i="24" s="1"/>
  <c r="W173" i="24" s="1"/>
  <c r="P314" i="24"/>
  <c r="V314" i="24" s="1"/>
  <c r="D314" i="24" s="1"/>
  <c r="E314" i="24" s="1"/>
  <c r="F314" i="24" s="1"/>
  <c r="G314" i="24" s="1"/>
  <c r="CE314" i="6" s="1"/>
  <c r="P203" i="24"/>
  <c r="V203" i="24" s="1"/>
  <c r="W203" i="24" s="1"/>
  <c r="P42" i="24"/>
  <c r="V42" i="24" s="1"/>
  <c r="D42" i="24" s="1"/>
  <c r="E42" i="24" s="1"/>
  <c r="F42" i="24" s="1"/>
  <c r="H42" i="24" s="1"/>
  <c r="P125" i="24"/>
  <c r="V125" i="24" s="1"/>
  <c r="D125" i="24" s="1"/>
  <c r="E125" i="24" s="1"/>
  <c r="F125" i="24" s="1"/>
  <c r="G125" i="24" s="1"/>
  <c r="CE125" i="6" s="1"/>
  <c r="P159" i="24"/>
  <c r="V159" i="24" s="1"/>
  <c r="D159" i="24" s="1"/>
  <c r="E159" i="24" s="1"/>
  <c r="F159" i="24" s="1"/>
  <c r="H159" i="24" s="1"/>
  <c r="P147" i="24"/>
  <c r="V147" i="24" s="1"/>
  <c r="W147" i="24" s="1"/>
  <c r="P84" i="24"/>
  <c r="V84" i="24" s="1"/>
  <c r="W84" i="24" s="1"/>
  <c r="P169" i="24"/>
  <c r="V169" i="24" s="1"/>
  <c r="W169" i="24" s="1"/>
  <c r="P179" i="24"/>
  <c r="V179" i="24" s="1"/>
  <c r="W179" i="24" s="1"/>
  <c r="P112" i="24"/>
  <c r="V112" i="24" s="1"/>
  <c r="D112" i="24" s="1"/>
  <c r="E112" i="24" s="1"/>
  <c r="F112" i="24" s="1"/>
  <c r="H112" i="24" s="1"/>
  <c r="P302" i="24"/>
  <c r="V302" i="24" s="1"/>
  <c r="W302" i="24" s="1"/>
  <c r="P234" i="24"/>
  <c r="V234" i="24" s="1"/>
  <c r="W234" i="24" s="1"/>
  <c r="P243" i="24"/>
  <c r="V243" i="24" s="1"/>
  <c r="D243" i="24" s="1"/>
  <c r="E243" i="24" s="1"/>
  <c r="F243" i="24" s="1"/>
  <c r="H243" i="24" s="1"/>
  <c r="P162" i="24"/>
  <c r="V162" i="24" s="1"/>
  <c r="D162" i="24" s="1"/>
  <c r="E162" i="24" s="1"/>
  <c r="F162" i="24" s="1"/>
  <c r="H162" i="24" s="1"/>
  <c r="P65" i="24"/>
  <c r="V65" i="24" s="1"/>
  <c r="D65" i="24" s="1"/>
  <c r="E65" i="24" s="1"/>
  <c r="F65" i="24" s="1"/>
  <c r="G65" i="24" s="1"/>
  <c r="CE65" i="6" s="1"/>
  <c r="P208" i="24"/>
  <c r="V208" i="24" s="1"/>
  <c r="W208" i="24" s="1"/>
  <c r="P143" i="24"/>
  <c r="V143" i="24" s="1"/>
  <c r="D143" i="24" s="1"/>
  <c r="E143" i="24" s="1"/>
  <c r="F143" i="24" s="1"/>
  <c r="H143" i="24" s="1"/>
  <c r="P270" i="24"/>
  <c r="V270" i="24" s="1"/>
  <c r="W270" i="24" s="1"/>
  <c r="P128" i="24"/>
  <c r="V128" i="24" s="1"/>
  <c r="D128" i="24" s="1"/>
  <c r="E128" i="24" s="1"/>
  <c r="F128" i="24" s="1"/>
  <c r="H128" i="24" s="1"/>
  <c r="P74" i="24"/>
  <c r="V74" i="24" s="1"/>
  <c r="D74" i="24" s="1"/>
  <c r="E74" i="24" s="1"/>
  <c r="F74" i="24" s="1"/>
  <c r="G74" i="24" s="1"/>
  <c r="CE74" i="6" s="1"/>
  <c r="P352" i="24"/>
  <c r="V352" i="24" s="1"/>
  <c r="D352" i="24" s="1"/>
  <c r="E352" i="24" s="1"/>
  <c r="F352" i="24" s="1"/>
  <c r="H352" i="24" s="1"/>
  <c r="P205" i="24"/>
  <c r="V205" i="24" s="1"/>
  <c r="D205" i="24" s="1"/>
  <c r="E205" i="24" s="1"/>
  <c r="F205" i="24" s="1"/>
  <c r="H205" i="24" s="1"/>
  <c r="P68" i="24"/>
  <c r="V68" i="24" s="1"/>
  <c r="W68" i="24" s="1"/>
  <c r="P286" i="24"/>
  <c r="V286" i="24" s="1"/>
  <c r="W286" i="24" s="1"/>
  <c r="P300" i="24"/>
  <c r="V300" i="24" s="1"/>
  <c r="W300" i="24" s="1"/>
  <c r="P320" i="24"/>
  <c r="V320" i="24" s="1"/>
  <c r="D320" i="24" s="1"/>
  <c r="E320" i="24" s="1"/>
  <c r="F320" i="24" s="1"/>
  <c r="H320" i="24" s="1"/>
  <c r="J48" i="23"/>
  <c r="P121" i="24"/>
  <c r="V121" i="24" s="1"/>
  <c r="W121" i="24" s="1"/>
  <c r="P73" i="24"/>
  <c r="V73" i="24" s="1"/>
  <c r="D73" i="24" s="1"/>
  <c r="E73" i="24" s="1"/>
  <c r="F73" i="24" s="1"/>
  <c r="G73" i="24" s="1"/>
  <c r="CE73" i="6" s="1"/>
  <c r="P360" i="24"/>
  <c r="V360" i="24" s="1"/>
  <c r="D360" i="24" s="1"/>
  <c r="E360" i="24" s="1"/>
  <c r="F360" i="24" s="1"/>
  <c r="G360" i="24" s="1"/>
  <c r="CE360" i="6" s="1"/>
  <c r="U381" i="24"/>
  <c r="P123" i="24"/>
  <c r="V123" i="24" s="1"/>
  <c r="D123" i="24" s="1"/>
  <c r="E123" i="24" s="1"/>
  <c r="F123" i="24" s="1"/>
  <c r="G123" i="24" s="1"/>
  <c r="CE123" i="6" s="1"/>
  <c r="P289" i="24"/>
  <c r="V289" i="24" s="1"/>
  <c r="W289" i="24" s="1"/>
  <c r="P198" i="24"/>
  <c r="V198" i="24" s="1"/>
  <c r="D198" i="24" s="1"/>
  <c r="E198" i="24" s="1"/>
  <c r="F198" i="24" s="1"/>
  <c r="G198" i="24" s="1"/>
  <c r="CE198" i="6" s="1"/>
  <c r="P89" i="24"/>
  <c r="V89" i="24" s="1"/>
  <c r="W89" i="24" s="1"/>
  <c r="P101" i="24"/>
  <c r="V101" i="24" s="1"/>
  <c r="W101" i="24" s="1"/>
  <c r="P357" i="24"/>
  <c r="V357" i="24" s="1"/>
  <c r="W357" i="24" s="1"/>
  <c r="P276" i="24"/>
  <c r="V276" i="24" s="1"/>
  <c r="D276" i="24" s="1"/>
  <c r="E276" i="24" s="1"/>
  <c r="F276" i="24" s="1"/>
  <c r="H276" i="24" s="1"/>
  <c r="P227" i="24"/>
  <c r="V227" i="24" s="1"/>
  <c r="W227" i="24" s="1"/>
  <c r="P196" i="24"/>
  <c r="V196" i="24" s="1"/>
  <c r="D196" i="24" s="1"/>
  <c r="E196" i="24" s="1"/>
  <c r="F196" i="24" s="1"/>
  <c r="G196" i="24" s="1"/>
  <c r="CE196" i="6" s="1"/>
  <c r="P178" i="24"/>
  <c r="V178" i="24" s="1"/>
  <c r="W178" i="24" s="1"/>
  <c r="P247" i="24"/>
  <c r="V247" i="24" s="1"/>
  <c r="D247" i="24" s="1"/>
  <c r="E247" i="24" s="1"/>
  <c r="F247" i="24" s="1"/>
  <c r="H247" i="24" s="1"/>
  <c r="P102" i="24"/>
  <c r="V102" i="24" s="1"/>
  <c r="W102" i="24" s="1"/>
  <c r="P363" i="24"/>
  <c r="V363" i="24" s="1"/>
  <c r="P366" i="24"/>
  <c r="V366" i="24" s="1"/>
  <c r="D366" i="24" s="1"/>
  <c r="E366" i="24" s="1"/>
  <c r="F366" i="24" s="1"/>
  <c r="G366" i="24" s="1"/>
  <c r="CE366" i="6" s="1"/>
  <c r="P138" i="24"/>
  <c r="V138" i="24" s="1"/>
  <c r="W138" i="24" s="1"/>
  <c r="P324" i="24"/>
  <c r="V324" i="24" s="1"/>
  <c r="W324" i="24" s="1"/>
  <c r="P271" i="24"/>
  <c r="V271" i="24" s="1"/>
  <c r="D271" i="24" s="1"/>
  <c r="E271" i="24" s="1"/>
  <c r="F271" i="24" s="1"/>
  <c r="H271" i="24" s="1"/>
  <c r="P204" i="24"/>
  <c r="V204" i="24" s="1"/>
  <c r="W204" i="24" s="1"/>
  <c r="P177" i="24"/>
  <c r="V177" i="24" s="1"/>
  <c r="W177" i="24" s="1"/>
  <c r="P250" i="24"/>
  <c r="V250" i="24" s="1"/>
  <c r="D250" i="24" s="1"/>
  <c r="E250" i="24" s="1"/>
  <c r="F250" i="24" s="1"/>
  <c r="G250" i="24" s="1"/>
  <c r="CE250" i="6" s="1"/>
  <c r="P265" i="24"/>
  <c r="V265" i="24" s="1"/>
  <c r="W265" i="24" s="1"/>
  <c r="P350" i="24"/>
  <c r="V350" i="24" s="1"/>
  <c r="D350" i="24" s="1"/>
  <c r="E350" i="24" s="1"/>
  <c r="F350" i="24" s="1"/>
  <c r="H350" i="24" s="1"/>
  <c r="P339" i="24"/>
  <c r="V339" i="24" s="1"/>
  <c r="W339" i="24" s="1"/>
  <c r="P145" i="24"/>
  <c r="V145" i="24" s="1"/>
  <c r="W145" i="24" s="1"/>
  <c r="P96" i="24"/>
  <c r="V96" i="24" s="1"/>
  <c r="W96" i="24" s="1"/>
  <c r="P199" i="24"/>
  <c r="V199" i="24" s="1"/>
  <c r="D199" i="24" s="1"/>
  <c r="E199" i="24" s="1"/>
  <c r="F199" i="24" s="1"/>
  <c r="H199" i="24" s="1"/>
  <c r="P221" i="24"/>
  <c r="V221" i="24" s="1"/>
  <c r="D221" i="24" s="1"/>
  <c r="E221" i="24" s="1"/>
  <c r="F221" i="24" s="1"/>
  <c r="H221" i="24" s="1"/>
  <c r="P368" i="24"/>
  <c r="V368" i="24" s="1"/>
  <c r="D368" i="24" s="1"/>
  <c r="E368" i="24" s="1"/>
  <c r="F368" i="24" s="1"/>
  <c r="G368" i="24" s="1"/>
  <c r="CE368" i="6" s="1"/>
  <c r="P251" i="24"/>
  <c r="V251" i="24" s="1"/>
  <c r="D251" i="24" s="1"/>
  <c r="E251" i="24" s="1"/>
  <c r="F251" i="24" s="1"/>
  <c r="G251" i="24" s="1"/>
  <c r="CE251" i="6" s="1"/>
  <c r="P154" i="24"/>
  <c r="V154" i="24" s="1"/>
  <c r="D154" i="24" s="1"/>
  <c r="E154" i="24" s="1"/>
  <c r="F154" i="24" s="1"/>
  <c r="G154" i="24" s="1"/>
  <c r="CE154" i="6" s="1"/>
  <c r="P284" i="24"/>
  <c r="V284" i="24" s="1"/>
  <c r="D284" i="24" s="1"/>
  <c r="E284" i="24" s="1"/>
  <c r="F284" i="24" s="1"/>
  <c r="H284" i="24" s="1"/>
  <c r="P77" i="24"/>
  <c r="V77" i="24" s="1"/>
  <c r="W77" i="24" s="1"/>
  <c r="P290" i="24"/>
  <c r="V290" i="24" s="1"/>
  <c r="D290" i="24" s="1"/>
  <c r="E290" i="24" s="1"/>
  <c r="F290" i="24" s="1"/>
  <c r="H290" i="24" s="1"/>
  <c r="P71" i="24"/>
  <c r="V71" i="24" s="1"/>
  <c r="W71" i="24" s="1"/>
  <c r="P220" i="24"/>
  <c r="V220" i="24" s="1"/>
  <c r="W220" i="24" s="1"/>
  <c r="P110" i="24"/>
  <c r="V110" i="24" s="1"/>
  <c r="W110" i="24" s="1"/>
  <c r="I253" i="23"/>
  <c r="H253" i="24" s="1"/>
  <c r="I309" i="23"/>
  <c r="H309" i="24" s="1"/>
  <c r="J297" i="23"/>
  <c r="J358" i="23"/>
  <c r="J112" i="23"/>
  <c r="I169" i="23"/>
  <c r="I289" i="23"/>
  <c r="J352" i="23"/>
  <c r="J81" i="23"/>
  <c r="I314" i="23"/>
  <c r="H314" i="24" s="1"/>
  <c r="J66" i="23"/>
  <c r="I278" i="23"/>
  <c r="I83" i="23"/>
  <c r="H83" i="24" s="1"/>
  <c r="J214" i="23"/>
  <c r="I158" i="23"/>
  <c r="J58" i="23"/>
  <c r="I116" i="23"/>
  <c r="H116" i="24" s="1"/>
  <c r="I116" i="24" s="1"/>
  <c r="I269" i="23"/>
  <c r="I71" i="23"/>
  <c r="J64" i="23"/>
  <c r="J201" i="23"/>
  <c r="I86" i="23"/>
  <c r="I225" i="23"/>
  <c r="J206" i="23"/>
  <c r="J22" i="23"/>
  <c r="J38" i="23"/>
  <c r="I104" i="23"/>
  <c r="I95" i="23"/>
  <c r="J168" i="23"/>
  <c r="I126" i="23"/>
  <c r="H126" i="24" s="1"/>
  <c r="I103" i="23"/>
  <c r="H103" i="24" s="1"/>
  <c r="I264" i="23"/>
  <c r="I369" i="23"/>
  <c r="I375" i="23"/>
  <c r="J127" i="23"/>
  <c r="J106" i="23"/>
  <c r="J308" i="23"/>
  <c r="I172" i="23"/>
  <c r="H172" i="24" s="1"/>
  <c r="J67" i="23"/>
  <c r="J239" i="23"/>
  <c r="I21" i="23"/>
  <c r="J24" i="23"/>
  <c r="P119" i="24"/>
  <c r="AA60" i="23"/>
  <c r="Z60" i="23" s="1"/>
  <c r="Y60" i="23" s="1"/>
  <c r="E15" i="19"/>
  <c r="I374" i="23"/>
  <c r="J151" i="23"/>
  <c r="I356" i="23"/>
  <c r="H356" i="24" s="1"/>
  <c r="I186" i="23"/>
  <c r="AE382" i="24"/>
  <c r="J75" i="23"/>
  <c r="I249" i="23"/>
  <c r="J337" i="23"/>
  <c r="J360" i="23"/>
  <c r="J120" i="23"/>
  <c r="I39" i="23"/>
  <c r="H39" i="24" s="1"/>
  <c r="D22" i="24"/>
  <c r="E22" i="24" s="1"/>
  <c r="F22" i="24" s="1"/>
  <c r="G22" i="24" s="1"/>
  <c r="CE22" i="6" s="1"/>
  <c r="J229" i="23"/>
  <c r="J164" i="23"/>
  <c r="J355" i="23"/>
  <c r="D62" i="24"/>
  <c r="E62" i="24" s="1"/>
  <c r="F62" i="24" s="1"/>
  <c r="G62" i="24" s="1"/>
  <c r="CE62" i="6" s="1"/>
  <c r="W103" i="24"/>
  <c r="D28" i="24"/>
  <c r="E28" i="24" s="1"/>
  <c r="F28" i="24" s="1"/>
  <c r="H28" i="24" s="1"/>
  <c r="D129" i="24"/>
  <c r="E129" i="24" s="1"/>
  <c r="F129" i="24" s="1"/>
  <c r="H129" i="24" s="1"/>
  <c r="I129" i="24" s="1"/>
  <c r="D296" i="24"/>
  <c r="E296" i="24" s="1"/>
  <c r="F296" i="24" s="1"/>
  <c r="H296" i="24" s="1"/>
  <c r="W53" i="24"/>
  <c r="J223" i="23"/>
  <c r="I175" i="23"/>
  <c r="W100" i="24"/>
  <c r="W321" i="24"/>
  <c r="AH63" i="7"/>
  <c r="D345" i="24"/>
  <c r="E345" i="24" s="1"/>
  <c r="F345" i="24" s="1"/>
  <c r="H345" i="24" s="1"/>
  <c r="D194" i="24"/>
  <c r="E194" i="24" s="1"/>
  <c r="F194" i="24" s="1"/>
  <c r="G194" i="24" s="1"/>
  <c r="CE194" i="6" s="1"/>
  <c r="D52" i="24"/>
  <c r="E52" i="24" s="1"/>
  <c r="F52" i="24" s="1"/>
  <c r="G52" i="24" s="1"/>
  <c r="CE52" i="6" s="1"/>
  <c r="W267" i="24"/>
  <c r="W211" i="24"/>
  <c r="D269" i="24"/>
  <c r="E269" i="24" s="1"/>
  <c r="F269" i="24" s="1"/>
  <c r="G269" i="24" s="1"/>
  <c r="CE269" i="6" s="1"/>
  <c r="D131" i="24"/>
  <c r="E131" i="24" s="1"/>
  <c r="F131" i="24" s="1"/>
  <c r="H131" i="24" s="1"/>
  <c r="D254" i="24"/>
  <c r="E254" i="24" s="1"/>
  <c r="F254" i="24" s="1"/>
  <c r="D316" i="24"/>
  <c r="E316" i="24" s="1"/>
  <c r="F316" i="24" s="1"/>
  <c r="H316" i="24" s="1"/>
  <c r="D106" i="24"/>
  <c r="E106" i="24" s="1"/>
  <c r="F106" i="24" s="1"/>
  <c r="G106" i="24" s="1"/>
  <c r="CE106" i="6" s="1"/>
  <c r="D183" i="24"/>
  <c r="E183" i="24" s="1"/>
  <c r="F183" i="24" s="1"/>
  <c r="H183" i="24" s="1"/>
  <c r="D369" i="24"/>
  <c r="E369" i="24" s="1"/>
  <c r="F369" i="24" s="1"/>
  <c r="D113" i="24"/>
  <c r="E113" i="24" s="1"/>
  <c r="F113" i="24" s="1"/>
  <c r="H113" i="24" s="1"/>
  <c r="W282" i="24"/>
  <c r="W157" i="24"/>
  <c r="W312" i="24"/>
  <c r="I92" i="23"/>
  <c r="D72" i="24"/>
  <c r="E72" i="24" s="1"/>
  <c r="F72" i="24" s="1"/>
  <c r="H72" i="24" s="1"/>
  <c r="W341" i="24"/>
  <c r="D231" i="24"/>
  <c r="E231" i="24" s="1"/>
  <c r="F231" i="24" s="1"/>
  <c r="W277" i="24"/>
  <c r="W237" i="24"/>
  <c r="D202" i="24"/>
  <c r="E202" i="24" s="1"/>
  <c r="F202" i="24" s="1"/>
  <c r="H202" i="24" s="1"/>
  <c r="W362" i="24"/>
  <c r="D97" i="24"/>
  <c r="E97" i="24" s="1"/>
  <c r="F97" i="24" s="1"/>
  <c r="G97" i="24" s="1"/>
  <c r="CE97" i="6" s="1"/>
  <c r="W337" i="24"/>
  <c r="D317" i="24"/>
  <c r="E317" i="24" s="1"/>
  <c r="F317" i="24" s="1"/>
  <c r="G317" i="24" s="1"/>
  <c r="CE317" i="6" s="1"/>
  <c r="W303" i="24"/>
  <c r="W141" i="24"/>
  <c r="D59" i="24"/>
  <c r="E59" i="24" s="1"/>
  <c r="F59" i="24" s="1"/>
  <c r="H59" i="24" s="1"/>
  <c r="D323" i="24"/>
  <c r="E323" i="24" s="1"/>
  <c r="F323" i="24" s="1"/>
  <c r="G323" i="24" s="1"/>
  <c r="CE323" i="6" s="1"/>
  <c r="D281" i="24"/>
  <c r="E281" i="24" s="1"/>
  <c r="F281" i="24" s="1"/>
  <c r="H281" i="24" s="1"/>
  <c r="W262" i="24"/>
  <c r="D222" i="24"/>
  <c r="E222" i="24" s="1"/>
  <c r="F222" i="24" s="1"/>
  <c r="G222" i="24" s="1"/>
  <c r="CE222" i="6" s="1"/>
  <c r="D132" i="24"/>
  <c r="E132" i="24" s="1"/>
  <c r="F132" i="24" s="1"/>
  <c r="H132" i="24" s="1"/>
  <c r="D305" i="24"/>
  <c r="E305" i="24" s="1"/>
  <c r="F305" i="24" s="1"/>
  <c r="H305" i="24" s="1"/>
  <c r="D148" i="24"/>
  <c r="E148" i="24" s="1"/>
  <c r="F148" i="24" s="1"/>
  <c r="G148" i="24" s="1"/>
  <c r="CE148" i="6" s="1"/>
  <c r="W51" i="24"/>
  <c r="W294" i="24"/>
  <c r="AH66" i="7"/>
  <c r="D58" i="24"/>
  <c r="E58" i="24" s="1"/>
  <c r="F58" i="24" s="1"/>
  <c r="H58" i="24" s="1"/>
  <c r="W325" i="24"/>
  <c r="D135" i="24"/>
  <c r="E135" i="24" s="1"/>
  <c r="F135" i="24" s="1"/>
  <c r="G135" i="24" s="1"/>
  <c r="CE135" i="6" s="1"/>
  <c r="I379" i="22"/>
  <c r="H379" i="23" s="1"/>
  <c r="J379" i="23" s="1"/>
  <c r="W109" i="24"/>
  <c r="W23" i="24"/>
  <c r="W69" i="24"/>
  <c r="D82" i="24"/>
  <c r="E82" i="24" s="1"/>
  <c r="F82" i="24" s="1"/>
  <c r="G82" i="24" s="1"/>
  <c r="CE82" i="6" s="1"/>
  <c r="D239" i="24"/>
  <c r="E239" i="24" s="1"/>
  <c r="F239" i="24" s="1"/>
  <c r="G239" i="24" s="1"/>
  <c r="CE239" i="6" s="1"/>
  <c r="W57" i="24"/>
  <c r="D258" i="24"/>
  <c r="E258" i="24" s="1"/>
  <c r="F258" i="24" s="1"/>
  <c r="G258" i="24" s="1"/>
  <c r="CE258" i="6" s="1"/>
  <c r="D374" i="24"/>
  <c r="E374" i="24" s="1"/>
  <c r="F374" i="24" s="1"/>
  <c r="D217" i="24"/>
  <c r="E217" i="24" s="1"/>
  <c r="F217" i="24" s="1"/>
  <c r="G217" i="24" s="1"/>
  <c r="CE217" i="6" s="1"/>
  <c r="W297" i="24"/>
  <c r="W20" i="24"/>
  <c r="AH60" i="7"/>
  <c r="W378" i="24"/>
  <c r="W130" i="24"/>
  <c r="D79" i="24"/>
  <c r="E79" i="24" s="1"/>
  <c r="F79" i="24" s="1"/>
  <c r="H79" i="24" s="1"/>
  <c r="D216" i="24"/>
  <c r="E216" i="24" s="1"/>
  <c r="F216" i="24" s="1"/>
  <c r="G216" i="24" s="1"/>
  <c r="CE216" i="6" s="1"/>
  <c r="D264" i="24"/>
  <c r="E264" i="24" s="1"/>
  <c r="F264" i="24" s="1"/>
  <c r="D285" i="24"/>
  <c r="E285" i="24" s="1"/>
  <c r="F285" i="24" s="1"/>
  <c r="G285" i="24" s="1"/>
  <c r="CE285" i="6" s="1"/>
  <c r="W273" i="24"/>
  <c r="W376" i="24"/>
  <c r="D32" i="24"/>
  <c r="E32" i="24" s="1"/>
  <c r="F32" i="24" s="1"/>
  <c r="H32" i="24" s="1"/>
  <c r="W34" i="24"/>
  <c r="D115" i="24"/>
  <c r="E115" i="24" s="1"/>
  <c r="F115" i="24" s="1"/>
  <c r="H115" i="24" s="1"/>
  <c r="J115" i="24" s="1"/>
  <c r="D373" i="24"/>
  <c r="E373" i="24" s="1"/>
  <c r="F373" i="24" s="1"/>
  <c r="G373" i="24" s="1"/>
  <c r="CE373" i="6" s="1"/>
  <c r="W184" i="24"/>
  <c r="W24" i="24"/>
  <c r="D64" i="24"/>
  <c r="E64" i="24" s="1"/>
  <c r="F64" i="24" s="1"/>
  <c r="G64" i="24" s="1"/>
  <c r="CE64" i="6" s="1"/>
  <c r="W83" i="24"/>
  <c r="D255" i="24"/>
  <c r="E255" i="24" s="1"/>
  <c r="F255" i="24" s="1"/>
  <c r="W166" i="24"/>
  <c r="D223" i="24"/>
  <c r="E223" i="24" s="1"/>
  <c r="F223" i="24" s="1"/>
  <c r="H223" i="24" s="1"/>
  <c r="D86" i="24"/>
  <c r="E86" i="24" s="1"/>
  <c r="F86" i="24" s="1"/>
  <c r="G86" i="24" s="1"/>
  <c r="CE86" i="6" s="1"/>
  <c r="D94" i="24"/>
  <c r="E94" i="24" s="1"/>
  <c r="F94" i="24" s="1"/>
  <c r="W31" i="24"/>
  <c r="W111" i="24"/>
  <c r="D46" i="24"/>
  <c r="E46" i="24" s="1"/>
  <c r="F46" i="24" s="1"/>
  <c r="G46" i="24" s="1"/>
  <c r="CE46" i="6" s="1"/>
  <c r="W17" i="24"/>
  <c r="D206" i="24"/>
  <c r="E206" i="24" s="1"/>
  <c r="F206" i="24" s="1"/>
  <c r="H206" i="24" s="1"/>
  <c r="W331" i="24"/>
  <c r="W185" i="24"/>
  <c r="D171" i="24"/>
  <c r="E171" i="24" s="1"/>
  <c r="F171" i="24" s="1"/>
  <c r="H171" i="24" s="1"/>
  <c r="W334" i="24"/>
  <c r="D329" i="24"/>
  <c r="E329" i="24" s="1"/>
  <c r="F329" i="24" s="1"/>
  <c r="G329" i="24" s="1"/>
  <c r="CE329" i="6" s="1"/>
  <c r="D375" i="24"/>
  <c r="E375" i="24" s="1"/>
  <c r="F375" i="24" s="1"/>
  <c r="G375" i="24" s="1"/>
  <c r="CE375" i="6" s="1"/>
  <c r="W76" i="24"/>
  <c r="D279" i="24"/>
  <c r="E279" i="24" s="1"/>
  <c r="F279" i="24" s="1"/>
  <c r="G279" i="24" s="1"/>
  <c r="CE279" i="6" s="1"/>
  <c r="W232" i="24"/>
  <c r="D358" i="24"/>
  <c r="E358" i="24" s="1"/>
  <c r="F358" i="24" s="1"/>
  <c r="H358" i="24" s="1"/>
  <c r="D348" i="24"/>
  <c r="E348" i="24" s="1"/>
  <c r="F348" i="24" s="1"/>
  <c r="G348" i="24" s="1"/>
  <c r="CE348" i="6" s="1"/>
  <c r="D195" i="24"/>
  <c r="E195" i="24" s="1"/>
  <c r="F195" i="24" s="1"/>
  <c r="H195" i="24" s="1"/>
  <c r="W326" i="24"/>
  <c r="W322" i="24"/>
  <c r="D43" i="24"/>
  <c r="E43" i="24" s="1"/>
  <c r="F43" i="24" s="1"/>
  <c r="H43" i="24" s="1"/>
  <c r="W377" i="24"/>
  <c r="D370" i="24"/>
  <c r="E370" i="24" s="1"/>
  <c r="F370" i="24" s="1"/>
  <c r="G370" i="24" s="1"/>
  <c r="CE370" i="6" s="1"/>
  <c r="W291" i="24"/>
  <c r="D107" i="24"/>
  <c r="E107" i="24" s="1"/>
  <c r="F107" i="24" s="1"/>
  <c r="H107" i="24" s="1"/>
  <c r="W81" i="24"/>
  <c r="W27" i="24"/>
  <c r="D240" i="24"/>
  <c r="E240" i="24" s="1"/>
  <c r="F240" i="24" s="1"/>
  <c r="H240" i="24" s="1"/>
  <c r="D361" i="24"/>
  <c r="E361" i="24" s="1"/>
  <c r="F361" i="24" s="1"/>
  <c r="G361" i="24" s="1"/>
  <c r="CE361" i="6" s="1"/>
  <c r="D18" i="24"/>
  <c r="E18" i="24" s="1"/>
  <c r="F18" i="24" s="1"/>
  <c r="H18" i="24" s="1"/>
  <c r="W318" i="24"/>
  <c r="D70" i="24"/>
  <c r="E70" i="24" s="1"/>
  <c r="F70" i="24" s="1"/>
  <c r="G70" i="24" s="1"/>
  <c r="CE70" i="6" s="1"/>
  <c r="D118" i="24"/>
  <c r="E118" i="24" s="1"/>
  <c r="F118" i="24" s="1"/>
  <c r="H118" i="24" s="1"/>
  <c r="W257" i="24"/>
  <c r="W161" i="24"/>
  <c r="W160" i="24"/>
  <c r="W263" i="24"/>
  <c r="D146" i="24"/>
  <c r="E146" i="24" s="1"/>
  <c r="F146" i="24" s="1"/>
  <c r="G146" i="24" s="1"/>
  <c r="CE146" i="6" s="1"/>
  <c r="D95" i="24"/>
  <c r="E95" i="24" s="1"/>
  <c r="F95" i="24" s="1"/>
  <c r="G95" i="24" s="1"/>
  <c r="CE95" i="6" s="1"/>
  <c r="W66" i="24"/>
  <c r="D155" i="24"/>
  <c r="E155" i="24" s="1"/>
  <c r="F155" i="24" s="1"/>
  <c r="H155" i="24" s="1"/>
  <c r="W116" i="24"/>
  <c r="D274" i="24"/>
  <c r="E274" i="24" s="1"/>
  <c r="F274" i="24" s="1"/>
  <c r="G274" i="24" s="1"/>
  <c r="CE274" i="6" s="1"/>
  <c r="W153" i="24"/>
  <c r="W356" i="24"/>
  <c r="D287" i="24"/>
  <c r="E287" i="24" s="1"/>
  <c r="F287" i="24" s="1"/>
  <c r="G287" i="24" s="1"/>
  <c r="CE287" i="6" s="1"/>
  <c r="W340" i="24"/>
  <c r="D117" i="24"/>
  <c r="E117" i="24" s="1"/>
  <c r="F117" i="24" s="1"/>
  <c r="G117" i="24" s="1"/>
  <c r="CE117" i="6" s="1"/>
  <c r="W353" i="24"/>
  <c r="V379" i="24"/>
  <c r="D379" i="24" s="1"/>
  <c r="E379" i="24" s="1"/>
  <c r="F379" i="24" s="1"/>
  <c r="D43" i="19"/>
  <c r="D41" i="24"/>
  <c r="E41" i="24" s="1"/>
  <c r="F41" i="24" s="1"/>
  <c r="G41" i="24" s="1"/>
  <c r="CE41" i="6" s="1"/>
  <c r="W41" i="24"/>
  <c r="W49" i="24"/>
  <c r="D229" i="24"/>
  <c r="E229" i="24" s="1"/>
  <c r="F229" i="24" s="1"/>
  <c r="G229" i="24" s="1"/>
  <c r="CE229" i="6" s="1"/>
  <c r="W150" i="24"/>
  <c r="W226" i="24"/>
  <c r="AH56" i="7"/>
  <c r="D209" i="24"/>
  <c r="E209" i="24" s="1"/>
  <c r="F209" i="24" s="1"/>
  <c r="H209" i="24" s="1"/>
  <c r="W215" i="24"/>
  <c r="W19" i="24"/>
  <c r="D134" i="24"/>
  <c r="E134" i="24" s="1"/>
  <c r="F134" i="24" s="1"/>
  <c r="H134" i="24" s="1"/>
  <c r="D238" i="24"/>
  <c r="E238" i="24" s="1"/>
  <c r="F238" i="24" s="1"/>
  <c r="G238" i="24" s="1"/>
  <c r="CE238" i="6" s="1"/>
  <c r="W306" i="24"/>
  <c r="W327" i="24"/>
  <c r="D63" i="24"/>
  <c r="E63" i="24" s="1"/>
  <c r="F63" i="24" s="1"/>
  <c r="G63" i="24" s="1"/>
  <c r="CE63" i="6" s="1"/>
  <c r="D182" i="24"/>
  <c r="E182" i="24" s="1"/>
  <c r="F182" i="24" s="1"/>
  <c r="H182" i="24" s="1"/>
  <c r="D235" i="24"/>
  <c r="E235" i="24" s="1"/>
  <c r="F235" i="24" s="1"/>
  <c r="G235" i="24" s="1"/>
  <c r="CE235" i="6" s="1"/>
  <c r="D187" i="24"/>
  <c r="E187" i="24" s="1"/>
  <c r="F187" i="24" s="1"/>
  <c r="G187" i="24" s="1"/>
  <c r="CE187" i="6" s="1"/>
  <c r="D252" i="24"/>
  <c r="E252" i="24" s="1"/>
  <c r="F252" i="24" s="1"/>
  <c r="H252" i="24" s="1"/>
  <c r="W126" i="24"/>
  <c r="D190" i="24"/>
  <c r="E190" i="24" s="1"/>
  <c r="F190" i="24" s="1"/>
  <c r="G190" i="24" s="1"/>
  <c r="CE190" i="6" s="1"/>
  <c r="D225" i="24"/>
  <c r="E225" i="24" s="1"/>
  <c r="F225" i="24" s="1"/>
  <c r="D80" i="24"/>
  <c r="E80" i="24" s="1"/>
  <c r="F80" i="24" s="1"/>
  <c r="H80" i="24" s="1"/>
  <c r="J258" i="23"/>
  <c r="W25" i="24"/>
  <c r="D278" i="24"/>
  <c r="E278" i="24" s="1"/>
  <c r="F278" i="24" s="1"/>
  <c r="D93" i="24"/>
  <c r="E93" i="24" s="1"/>
  <c r="F93" i="24" s="1"/>
  <c r="G93" i="24" s="1"/>
  <c r="CE93" i="6" s="1"/>
  <c r="AH58" i="7"/>
  <c r="W338" i="24"/>
  <c r="D45" i="24"/>
  <c r="E45" i="24" s="1"/>
  <c r="F45" i="24" s="1"/>
  <c r="G45" i="24" s="1"/>
  <c r="CE45" i="6" s="1"/>
  <c r="D104" i="24"/>
  <c r="E104" i="24" s="1"/>
  <c r="F104" i="24" s="1"/>
  <c r="V210" i="24"/>
  <c r="D108" i="24"/>
  <c r="E108" i="24" s="1"/>
  <c r="F108" i="24" s="1"/>
  <c r="G108" i="24" s="1"/>
  <c r="CE108" i="6" s="1"/>
  <c r="D78" i="24"/>
  <c r="E78" i="24" s="1"/>
  <c r="F78" i="24" s="1"/>
  <c r="G78" i="24" s="1"/>
  <c r="CE78" i="6" s="1"/>
  <c r="D242" i="24"/>
  <c r="E242" i="24" s="1"/>
  <c r="F242" i="24" s="1"/>
  <c r="H242" i="24" s="1"/>
  <c r="W292" i="24"/>
  <c r="W170" i="24"/>
  <c r="W168" i="24"/>
  <c r="D359" i="24"/>
  <c r="E359" i="24" s="1"/>
  <c r="F359" i="24" s="1"/>
  <c r="H359" i="24" s="1"/>
  <c r="D315" i="24"/>
  <c r="E315" i="24" s="1"/>
  <c r="F315" i="24" s="1"/>
  <c r="G315" i="24" s="1"/>
  <c r="CE315" i="6" s="1"/>
  <c r="W301" i="24"/>
  <c r="D364" i="24"/>
  <c r="E364" i="24" s="1"/>
  <c r="F364" i="24" s="1"/>
  <c r="H364" i="24" s="1"/>
  <c r="V60" i="24"/>
  <c r="W332" i="24"/>
  <c r="D246" i="24"/>
  <c r="E246" i="24" s="1"/>
  <c r="F246" i="24" s="1"/>
  <c r="G246" i="24" s="1"/>
  <c r="CE246" i="6" s="1"/>
  <c r="W136" i="24"/>
  <c r="D197" i="24"/>
  <c r="E197" i="24" s="1"/>
  <c r="F197" i="24" s="1"/>
  <c r="G197" i="24" s="1"/>
  <c r="CE197" i="6" s="1"/>
  <c r="V272" i="24"/>
  <c r="W372" i="24"/>
  <c r="D349" i="24"/>
  <c r="E349" i="24" s="1"/>
  <c r="F349" i="24" s="1"/>
  <c r="G349" i="24" s="1"/>
  <c r="CE349" i="6" s="1"/>
  <c r="AG379" i="23"/>
  <c r="AF379" i="23" s="1"/>
  <c r="AD379" i="23" s="1"/>
  <c r="AA379" i="23" s="1"/>
  <c r="Z379" i="23" s="1"/>
  <c r="Y379" i="23" s="1"/>
  <c r="AG15" i="23"/>
  <c r="AH383" i="23"/>
  <c r="AH382" i="23"/>
  <c r="AH381" i="23"/>
  <c r="AF381" i="22"/>
  <c r="AD15" i="22"/>
  <c r="AF383" i="22"/>
  <c r="AF382" i="22"/>
  <c r="AI32" i="24"/>
  <c r="AH32" i="24" s="1"/>
  <c r="AG32" i="24" s="1"/>
  <c r="AF32" i="24" s="1"/>
  <c r="AI202" i="24"/>
  <c r="AH202" i="24" s="1"/>
  <c r="AG202" i="24" s="1"/>
  <c r="AF202" i="24" s="1"/>
  <c r="AI340" i="24"/>
  <c r="AH340" i="24" s="1"/>
  <c r="AG340" i="24" s="1"/>
  <c r="AF340" i="24" s="1"/>
  <c r="AI141" i="24"/>
  <c r="AH141" i="24" s="1"/>
  <c r="AG141" i="24" s="1"/>
  <c r="AF141" i="24" s="1"/>
  <c r="AI279" i="24"/>
  <c r="AH279" i="24" s="1"/>
  <c r="AG279" i="24" s="1"/>
  <c r="AF279" i="24" s="1"/>
  <c r="AI52" i="24"/>
  <c r="AH52" i="24" s="1"/>
  <c r="AG52" i="24" s="1"/>
  <c r="AF52" i="24" s="1"/>
  <c r="AI273" i="24"/>
  <c r="AH273" i="24" s="1"/>
  <c r="AG273" i="24" s="1"/>
  <c r="AF273" i="24" s="1"/>
  <c r="AI135" i="24"/>
  <c r="AH135" i="24" s="1"/>
  <c r="AI358" i="24"/>
  <c r="AH358" i="24" s="1"/>
  <c r="AG358" i="24" s="1"/>
  <c r="AF358" i="24" s="1"/>
  <c r="AI226" i="24"/>
  <c r="AH226" i="24" s="1"/>
  <c r="AG226" i="24" s="1"/>
  <c r="AF226" i="24" s="1"/>
  <c r="AI88" i="24"/>
  <c r="AH88" i="24" s="1"/>
  <c r="AG88" i="24" s="1"/>
  <c r="AF88" i="24" s="1"/>
  <c r="AI307" i="24"/>
  <c r="AH307" i="24" s="1"/>
  <c r="AG307" i="24" s="1"/>
  <c r="AF307" i="24" s="1"/>
  <c r="AI300" i="24"/>
  <c r="AH300" i="24" s="1"/>
  <c r="AG300" i="24" s="1"/>
  <c r="AF300" i="24" s="1"/>
  <c r="AI85" i="24"/>
  <c r="AH85" i="24" s="1"/>
  <c r="AG85" i="24" s="1"/>
  <c r="AF85" i="24" s="1"/>
  <c r="AI223" i="24"/>
  <c r="AH223" i="24" s="1"/>
  <c r="AG223" i="24" s="1"/>
  <c r="AF223" i="24" s="1"/>
  <c r="AI377" i="24"/>
  <c r="AH377" i="24" s="1"/>
  <c r="AG377" i="24" s="1"/>
  <c r="AF377" i="24" s="1"/>
  <c r="AI158" i="24"/>
  <c r="AH158" i="24" s="1"/>
  <c r="AG158" i="24" s="1"/>
  <c r="AF158" i="24" s="1"/>
  <c r="AI175" i="24"/>
  <c r="AH175" i="24" s="1"/>
  <c r="AG175" i="24" s="1"/>
  <c r="AF175" i="24" s="1"/>
  <c r="AI37" i="24"/>
  <c r="AH37" i="24" s="1"/>
  <c r="AI252" i="24"/>
  <c r="AH252" i="24" s="1"/>
  <c r="AG252" i="24" s="1"/>
  <c r="AF252" i="24" s="1"/>
  <c r="AI128" i="24"/>
  <c r="AH128" i="24" s="1"/>
  <c r="AG128" i="24" s="1"/>
  <c r="AF128" i="24" s="1"/>
  <c r="AI347" i="24"/>
  <c r="AH347" i="24" s="1"/>
  <c r="AG347" i="24" s="1"/>
  <c r="AF347" i="24" s="1"/>
  <c r="AI201" i="24"/>
  <c r="AH201" i="24" s="1"/>
  <c r="AG201" i="24" s="1"/>
  <c r="AF201" i="24" s="1"/>
  <c r="AI45" i="24"/>
  <c r="AH45" i="24" s="1"/>
  <c r="AG45" i="24" s="1"/>
  <c r="AF45" i="24" s="1"/>
  <c r="AI183" i="24"/>
  <c r="AH183" i="24" s="1"/>
  <c r="AI321" i="24"/>
  <c r="AH321" i="24" s="1"/>
  <c r="AG321" i="24" s="1"/>
  <c r="AF321" i="24" s="1"/>
  <c r="AI118" i="24"/>
  <c r="AH118" i="24" s="1"/>
  <c r="AG118" i="24" s="1"/>
  <c r="AF118" i="24" s="1"/>
  <c r="AI264" i="24"/>
  <c r="AH264" i="24" s="1"/>
  <c r="AG264" i="24" s="1"/>
  <c r="AF264" i="24" s="1"/>
  <c r="AI33" i="24"/>
  <c r="AH33" i="24" s="1"/>
  <c r="AG33" i="24" s="1"/>
  <c r="AF33" i="24" s="1"/>
  <c r="AI292" i="24"/>
  <c r="AH292" i="24" s="1"/>
  <c r="AG292" i="24" s="1"/>
  <c r="AF292" i="24" s="1"/>
  <c r="AI154" i="24"/>
  <c r="AH154" i="24" s="1"/>
  <c r="AG154" i="24" s="1"/>
  <c r="AF154" i="24" s="1"/>
  <c r="AI15" i="24"/>
  <c r="AI241" i="24"/>
  <c r="AH241" i="24" s="1"/>
  <c r="AG241" i="24" s="1"/>
  <c r="AF241" i="24" s="1"/>
  <c r="AI103" i="24"/>
  <c r="AH103" i="24" s="1"/>
  <c r="AG103" i="24" s="1"/>
  <c r="AF103" i="24" s="1"/>
  <c r="AI326" i="24"/>
  <c r="AH326" i="24" s="1"/>
  <c r="AG326" i="24" s="1"/>
  <c r="AF326" i="24" s="1"/>
  <c r="AI281" i="24"/>
  <c r="AH281" i="24" s="1"/>
  <c r="AG281" i="24" s="1"/>
  <c r="AF281" i="24" s="1"/>
  <c r="AI62" i="24"/>
  <c r="AH62" i="24" s="1"/>
  <c r="AG62" i="24" s="1"/>
  <c r="AF62" i="24" s="1"/>
  <c r="AI208" i="24"/>
  <c r="AH208" i="24" s="1"/>
  <c r="AG208" i="24" s="1"/>
  <c r="AF208" i="24" s="1"/>
  <c r="AI362" i="24"/>
  <c r="AH362" i="24" s="1"/>
  <c r="AG362" i="24" s="1"/>
  <c r="AF362" i="24" s="1"/>
  <c r="AI139" i="24"/>
  <c r="AH139" i="24" s="1"/>
  <c r="AG139" i="24" s="1"/>
  <c r="AF139" i="24" s="1"/>
  <c r="AI194" i="24"/>
  <c r="AH194" i="24" s="1"/>
  <c r="AG194" i="24" s="1"/>
  <c r="AF194" i="24" s="1"/>
  <c r="AI56" i="24"/>
  <c r="AH56" i="24" s="1"/>
  <c r="AG56" i="24" s="1"/>
  <c r="AF56" i="24" s="1"/>
  <c r="AI275" i="24"/>
  <c r="AH275" i="24" s="1"/>
  <c r="AG275" i="24" s="1"/>
  <c r="AF275" i="24" s="1"/>
  <c r="AI143" i="24"/>
  <c r="AH143" i="24" s="1"/>
  <c r="AG143" i="24" s="1"/>
  <c r="AF143" i="24" s="1"/>
  <c r="AI366" i="24"/>
  <c r="AH366" i="24" s="1"/>
  <c r="AG366" i="24" s="1"/>
  <c r="AF366" i="24" s="1"/>
  <c r="AI220" i="24"/>
  <c r="AH220" i="24" s="1"/>
  <c r="AG220" i="24" s="1"/>
  <c r="AF220" i="24" s="1"/>
  <c r="AI22" i="24"/>
  <c r="AH22" i="24" s="1"/>
  <c r="AI168" i="24"/>
  <c r="AH168" i="24" s="1"/>
  <c r="AG168" i="24" s="1"/>
  <c r="AF168" i="24" s="1"/>
  <c r="AI306" i="24"/>
  <c r="AH306" i="24" s="1"/>
  <c r="AG306" i="24" s="1"/>
  <c r="AF306" i="24" s="1"/>
  <c r="AI99" i="24"/>
  <c r="AH99" i="24" s="1"/>
  <c r="AG99" i="24" s="1"/>
  <c r="AF99" i="24" s="1"/>
  <c r="AI245" i="24"/>
  <c r="AH245" i="24" s="1"/>
  <c r="AG245" i="24" s="1"/>
  <c r="AF245" i="24" s="1"/>
  <c r="AI96" i="24"/>
  <c r="AH96" i="24" s="1"/>
  <c r="AG96" i="24" s="1"/>
  <c r="AF96" i="24" s="1"/>
  <c r="AI315" i="24"/>
  <c r="AH315" i="24" s="1"/>
  <c r="AG315" i="24" s="1"/>
  <c r="AF315" i="24" s="1"/>
  <c r="AI169" i="24"/>
  <c r="AH169" i="24" s="1"/>
  <c r="AG169" i="24" s="1"/>
  <c r="AF169" i="24" s="1"/>
  <c r="AI368" i="24"/>
  <c r="AH368" i="24" s="1"/>
  <c r="AG368" i="24" s="1"/>
  <c r="AF368" i="24" s="1"/>
  <c r="AI260" i="24"/>
  <c r="AH260" i="24" s="1"/>
  <c r="AG260" i="24" s="1"/>
  <c r="AF260" i="24" s="1"/>
  <c r="AI122" i="24"/>
  <c r="AH122" i="24" s="1"/>
  <c r="AG122" i="24" s="1"/>
  <c r="AF122" i="24" s="1"/>
  <c r="AI349" i="24"/>
  <c r="AH349" i="24" s="1"/>
  <c r="AG349" i="24" s="1"/>
  <c r="AF349" i="24" s="1"/>
  <c r="AI266" i="24"/>
  <c r="AH266" i="24" s="1"/>
  <c r="AG266" i="24" s="1"/>
  <c r="AF266" i="24" s="1"/>
  <c r="AI43" i="24"/>
  <c r="AH43" i="24" s="1"/>
  <c r="AG43" i="24" s="1"/>
  <c r="AF43" i="24" s="1"/>
  <c r="AI205" i="24"/>
  <c r="AH205" i="24" s="1"/>
  <c r="AG205" i="24" s="1"/>
  <c r="AF205" i="24" s="1"/>
  <c r="AI343" i="24"/>
  <c r="AH343" i="24" s="1"/>
  <c r="AI116" i="24"/>
  <c r="AH116" i="24" s="1"/>
  <c r="AG116" i="24" s="1"/>
  <c r="AF116" i="24" s="1"/>
  <c r="AI209" i="24"/>
  <c r="AH209" i="24" s="1"/>
  <c r="AG209" i="24" s="1"/>
  <c r="AF209" i="24" s="1"/>
  <c r="AI71" i="24"/>
  <c r="AH71" i="24" s="1"/>
  <c r="AG71" i="24" s="1"/>
  <c r="AF71" i="24" s="1"/>
  <c r="AI294" i="24"/>
  <c r="AH294" i="24" s="1"/>
  <c r="AG294" i="24" s="1"/>
  <c r="AF294" i="24" s="1"/>
  <c r="AI162" i="24"/>
  <c r="AH162" i="24" s="1"/>
  <c r="AG162" i="24" s="1"/>
  <c r="AF162" i="24" s="1"/>
  <c r="AI24" i="24"/>
  <c r="AH24" i="24" s="1"/>
  <c r="AG24" i="24" s="1"/>
  <c r="AF24" i="24" s="1"/>
  <c r="AI243" i="24"/>
  <c r="AH243" i="24" s="1"/>
  <c r="AG243" i="24" s="1"/>
  <c r="AF243" i="24" s="1"/>
  <c r="AI364" i="24"/>
  <c r="AH364" i="24" s="1"/>
  <c r="AG364" i="24" s="1"/>
  <c r="AF364" i="24" s="1"/>
  <c r="AI149" i="24"/>
  <c r="AH149" i="24" s="1"/>
  <c r="AG149" i="24" s="1"/>
  <c r="AF149" i="24" s="1"/>
  <c r="AI287" i="24"/>
  <c r="AH287" i="24" s="1"/>
  <c r="AG287" i="24" s="1"/>
  <c r="AF287" i="24" s="1"/>
  <c r="AI76" i="24"/>
  <c r="AH76" i="24" s="1"/>
  <c r="AG76" i="24" s="1"/>
  <c r="AF76" i="24" s="1"/>
  <c r="AI222" i="24"/>
  <c r="AH222" i="24" s="1"/>
  <c r="AG222" i="24" s="1"/>
  <c r="AF222" i="24" s="1"/>
  <c r="AI111" i="24"/>
  <c r="AH111" i="24" s="1"/>
  <c r="AG111" i="24" s="1"/>
  <c r="AF111" i="24" s="1"/>
  <c r="AI334" i="24"/>
  <c r="AH334" i="24" s="1"/>
  <c r="AG334" i="24" s="1"/>
  <c r="AF334" i="24" s="1"/>
  <c r="AI188" i="24"/>
  <c r="AH188" i="24" s="1"/>
  <c r="AG188" i="24" s="1"/>
  <c r="AF188" i="24" s="1"/>
  <c r="AI64" i="24"/>
  <c r="AH64" i="24" s="1"/>
  <c r="AG64" i="24" s="1"/>
  <c r="AF64" i="24" s="1"/>
  <c r="AI283" i="24"/>
  <c r="AH283" i="24" s="1"/>
  <c r="AG283" i="24" s="1"/>
  <c r="AF283" i="24" s="1"/>
  <c r="AI137" i="24"/>
  <c r="AH137" i="24" s="1"/>
  <c r="AG137" i="24" s="1"/>
  <c r="AF137" i="24" s="1"/>
  <c r="AI109" i="24"/>
  <c r="AH109" i="24" s="1"/>
  <c r="AG109" i="24" s="1"/>
  <c r="AF109" i="24" s="1"/>
  <c r="AI247" i="24"/>
  <c r="AH247" i="24" s="1"/>
  <c r="AG247" i="24" s="1"/>
  <c r="AF247" i="24" s="1"/>
  <c r="AI20" i="24"/>
  <c r="AH20" i="24" s="1"/>
  <c r="AG20" i="24" s="1"/>
  <c r="AF20" i="24" s="1"/>
  <c r="AI182" i="24"/>
  <c r="AH182" i="24" s="1"/>
  <c r="AG182" i="24" s="1"/>
  <c r="AF182" i="24" s="1"/>
  <c r="AI328" i="24"/>
  <c r="AH328" i="24" s="1"/>
  <c r="AG328" i="24" s="1"/>
  <c r="AF328" i="24" s="1"/>
  <c r="AI97" i="24"/>
  <c r="AH97" i="24" s="1"/>
  <c r="AG97" i="24" s="1"/>
  <c r="AF97" i="24" s="1"/>
  <c r="AI228" i="24"/>
  <c r="AH228" i="24" s="1"/>
  <c r="AG228" i="24" s="1"/>
  <c r="AF228" i="24" s="1"/>
  <c r="AI90" i="24"/>
  <c r="AH90" i="24" s="1"/>
  <c r="AG90" i="24" s="1"/>
  <c r="AF90" i="24" s="1"/>
  <c r="AI317" i="24"/>
  <c r="AH317" i="24" s="1"/>
  <c r="AG317" i="24" s="1"/>
  <c r="AF317" i="24" s="1"/>
  <c r="AI177" i="24"/>
  <c r="AH177" i="24" s="1"/>
  <c r="AG177" i="24" s="1"/>
  <c r="AF177" i="24" s="1"/>
  <c r="AI39" i="24"/>
  <c r="AH39" i="24" s="1"/>
  <c r="AG39" i="24" s="1"/>
  <c r="AF39" i="24" s="1"/>
  <c r="AI262" i="24"/>
  <c r="AH262" i="24" s="1"/>
  <c r="AG262" i="24" s="1"/>
  <c r="AF262" i="24" s="1"/>
  <c r="AI126" i="24"/>
  <c r="AH126" i="24" s="1"/>
  <c r="AG126" i="24" s="1"/>
  <c r="AF126" i="24" s="1"/>
  <c r="AI355" i="24"/>
  <c r="AH355" i="24" s="1"/>
  <c r="AG355" i="24" s="1"/>
  <c r="AF355" i="24" s="1"/>
  <c r="AI274" i="24"/>
  <c r="AH274" i="24" s="1"/>
  <c r="AG274" i="24" s="1"/>
  <c r="AF274" i="24" s="1"/>
  <c r="AI282" i="24"/>
  <c r="AH282" i="24" s="1"/>
  <c r="AG282" i="24" s="1"/>
  <c r="AF282" i="24" s="1"/>
  <c r="AI369" i="24"/>
  <c r="AH369" i="24" s="1"/>
  <c r="AG369" i="24" s="1"/>
  <c r="AF369" i="24" s="1"/>
  <c r="AI93" i="24"/>
  <c r="AH93" i="24" s="1"/>
  <c r="AG93" i="24" s="1"/>
  <c r="AF93" i="24" s="1"/>
  <c r="AI299" i="24"/>
  <c r="AH299" i="24" s="1"/>
  <c r="AI234" i="24"/>
  <c r="AH234" i="24" s="1"/>
  <c r="AG234" i="24" s="1"/>
  <c r="AF234" i="24" s="1"/>
  <c r="AI322" i="24"/>
  <c r="AH322" i="24" s="1"/>
  <c r="AG322" i="24" s="1"/>
  <c r="AF322" i="24" s="1"/>
  <c r="AI38" i="24"/>
  <c r="AH38" i="24" s="1"/>
  <c r="AG38" i="24" s="1"/>
  <c r="AF38" i="24" s="1"/>
  <c r="AI133" i="24"/>
  <c r="AH133" i="24" s="1"/>
  <c r="AG133" i="24" s="1"/>
  <c r="AF133" i="24" s="1"/>
  <c r="AI259" i="24"/>
  <c r="AH259" i="24" s="1"/>
  <c r="AG259" i="24" s="1"/>
  <c r="AF259" i="24" s="1"/>
  <c r="AI178" i="24"/>
  <c r="AH178" i="24" s="1"/>
  <c r="AG178" i="24" s="1"/>
  <c r="AF178" i="24" s="1"/>
  <c r="AI117" i="24"/>
  <c r="AH117" i="24" s="1"/>
  <c r="AG117" i="24" s="1"/>
  <c r="AF117" i="24" s="1"/>
  <c r="AI78" i="24"/>
  <c r="AH78" i="24" s="1"/>
  <c r="AG78" i="24" s="1"/>
  <c r="AF78" i="24" s="1"/>
  <c r="AI240" i="24"/>
  <c r="AH240" i="24" s="1"/>
  <c r="AG240" i="24" s="1"/>
  <c r="AF240" i="24" s="1"/>
  <c r="AI179" i="24"/>
  <c r="AH179" i="24" s="1"/>
  <c r="AG179" i="24" s="1"/>
  <c r="AF179" i="24" s="1"/>
  <c r="AI138" i="24"/>
  <c r="AH138" i="24" s="1"/>
  <c r="AG138" i="24" s="1"/>
  <c r="AF138" i="24" s="1"/>
  <c r="AI77" i="24"/>
  <c r="AH77" i="24" s="1"/>
  <c r="AG77" i="24" s="1"/>
  <c r="AF77" i="24" s="1"/>
  <c r="AI353" i="24"/>
  <c r="AH353" i="24" s="1"/>
  <c r="AG353" i="24" s="1"/>
  <c r="AF353" i="24" s="1"/>
  <c r="AI199" i="24"/>
  <c r="AH199" i="24" s="1"/>
  <c r="AG199" i="24" s="1"/>
  <c r="AF199" i="24" s="1"/>
  <c r="AI290" i="24"/>
  <c r="AH290" i="24" s="1"/>
  <c r="AG290" i="24" s="1"/>
  <c r="AF290" i="24" s="1"/>
  <c r="AI371" i="24"/>
  <c r="AH371" i="24" s="1"/>
  <c r="AG371" i="24" s="1"/>
  <c r="AF371" i="24" s="1"/>
  <c r="AI21" i="24"/>
  <c r="AH21" i="24" s="1"/>
  <c r="AG21" i="24" s="1"/>
  <c r="AF21" i="24" s="1"/>
  <c r="AI313" i="24"/>
  <c r="AH313" i="24" s="1"/>
  <c r="AI239" i="24"/>
  <c r="AH239" i="24" s="1"/>
  <c r="AG239" i="24" s="1"/>
  <c r="AF239" i="24" s="1"/>
  <c r="AI316" i="24"/>
  <c r="AH316" i="24" s="1"/>
  <c r="AG316" i="24" s="1"/>
  <c r="AF316" i="24" s="1"/>
  <c r="AI46" i="24"/>
  <c r="AH46" i="24" s="1"/>
  <c r="AG46" i="24" s="1"/>
  <c r="AF46" i="24" s="1"/>
  <c r="AI342" i="24"/>
  <c r="AH342" i="24" s="1"/>
  <c r="AG342" i="24" s="1"/>
  <c r="AF342" i="24" s="1"/>
  <c r="AI257" i="24"/>
  <c r="AH257" i="24" s="1"/>
  <c r="AG257" i="24" s="1"/>
  <c r="AF257" i="24" s="1"/>
  <c r="AI200" i="24"/>
  <c r="AH200" i="24" s="1"/>
  <c r="AG200" i="24" s="1"/>
  <c r="AF200" i="24" s="1"/>
  <c r="AI356" i="24"/>
  <c r="AH356" i="24" s="1"/>
  <c r="AG356" i="24" s="1"/>
  <c r="AF356" i="24" s="1"/>
  <c r="AI319" i="24"/>
  <c r="AH319" i="24" s="1"/>
  <c r="AG319" i="24" s="1"/>
  <c r="AF319" i="24" s="1"/>
  <c r="AI167" i="24"/>
  <c r="AH167" i="24" s="1"/>
  <c r="AG167" i="24" s="1"/>
  <c r="AF167" i="24" s="1"/>
  <c r="AI217" i="24"/>
  <c r="AH217" i="24" s="1"/>
  <c r="AG217" i="24" s="1"/>
  <c r="AF217" i="24" s="1"/>
  <c r="AI144" i="24"/>
  <c r="AH144" i="24" s="1"/>
  <c r="AG144" i="24" s="1"/>
  <c r="AF144" i="24" s="1"/>
  <c r="AI75" i="24"/>
  <c r="AH75" i="24" s="1"/>
  <c r="AG75" i="24" s="1"/>
  <c r="AF75" i="24" s="1"/>
  <c r="AI120" i="24"/>
  <c r="AH120" i="24" s="1"/>
  <c r="AG120" i="24" s="1"/>
  <c r="AF120" i="24" s="1"/>
  <c r="AI207" i="24"/>
  <c r="AH207" i="24" s="1"/>
  <c r="AG207" i="24" s="1"/>
  <c r="AF207" i="24" s="1"/>
  <c r="AI284" i="24"/>
  <c r="AH284" i="24" s="1"/>
  <c r="AG284" i="24" s="1"/>
  <c r="AF284" i="24" s="1"/>
  <c r="AI104" i="24"/>
  <c r="AH104" i="24" s="1"/>
  <c r="AG104" i="24" s="1"/>
  <c r="AF104" i="24" s="1"/>
  <c r="AI35" i="24"/>
  <c r="AH35" i="24" s="1"/>
  <c r="AG35" i="24" s="1"/>
  <c r="AF35" i="24" s="1"/>
  <c r="AI160" i="24"/>
  <c r="AH160" i="24" s="1"/>
  <c r="AI233" i="24"/>
  <c r="AH233" i="24" s="1"/>
  <c r="AI324" i="24"/>
  <c r="AH324" i="24" s="1"/>
  <c r="AG324" i="24" s="1"/>
  <c r="AF324" i="24" s="1"/>
  <c r="AI278" i="24"/>
  <c r="AH278" i="24" s="1"/>
  <c r="AG278" i="24" s="1"/>
  <c r="AF278" i="24" s="1"/>
  <c r="AI272" i="24"/>
  <c r="AH272" i="24" s="1"/>
  <c r="AG272" i="24" s="1"/>
  <c r="AF272" i="24" s="1"/>
  <c r="AI203" i="24"/>
  <c r="AH203" i="24" s="1"/>
  <c r="AG203" i="24" s="1"/>
  <c r="AF203" i="24" s="1"/>
  <c r="AI357" i="24"/>
  <c r="AH357" i="24" s="1"/>
  <c r="AG357" i="24" s="1"/>
  <c r="AF357" i="24" s="1"/>
  <c r="AI79" i="24"/>
  <c r="AH79" i="24" s="1"/>
  <c r="AG79" i="24" s="1"/>
  <c r="AF79" i="24" s="1"/>
  <c r="AI156" i="24"/>
  <c r="AH156" i="24" s="1"/>
  <c r="AG156" i="24" s="1"/>
  <c r="AF156" i="24" s="1"/>
  <c r="AI232" i="24"/>
  <c r="AH232" i="24" s="1"/>
  <c r="AG232" i="24" s="1"/>
  <c r="AF232" i="24" s="1"/>
  <c r="AI163" i="24"/>
  <c r="AH163" i="24" s="1"/>
  <c r="AG163" i="24" s="1"/>
  <c r="AF163" i="24" s="1"/>
  <c r="AI82" i="24"/>
  <c r="AH82" i="24" s="1"/>
  <c r="AG82" i="24" s="1"/>
  <c r="AF82" i="24" s="1"/>
  <c r="AI105" i="24"/>
  <c r="AH105" i="24" s="1"/>
  <c r="AG105" i="24" s="1"/>
  <c r="AF105" i="24" s="1"/>
  <c r="AI196" i="24"/>
  <c r="AH196" i="24" s="1"/>
  <c r="AG196" i="24" s="1"/>
  <c r="AF196" i="24" s="1"/>
  <c r="AI285" i="24"/>
  <c r="AH285" i="24" s="1"/>
  <c r="AG285" i="24" s="1"/>
  <c r="AF285" i="24" s="1"/>
  <c r="AI107" i="24"/>
  <c r="AH107" i="24" s="1"/>
  <c r="AG107" i="24" s="1"/>
  <c r="AF107" i="24" s="1"/>
  <c r="AI42" i="24"/>
  <c r="AH42" i="24" s="1"/>
  <c r="AG42" i="24" s="1"/>
  <c r="AF42" i="24" s="1"/>
  <c r="AI145" i="24"/>
  <c r="AH145" i="24" s="1"/>
  <c r="AG145" i="24" s="1"/>
  <c r="AF145" i="24" s="1"/>
  <c r="AI230" i="24"/>
  <c r="AH230" i="24" s="1"/>
  <c r="AG230" i="24" s="1"/>
  <c r="AF230" i="24" s="1"/>
  <c r="AI325" i="24"/>
  <c r="AH325" i="24" s="1"/>
  <c r="AG325" i="24" s="1"/>
  <c r="AF325" i="24" s="1"/>
  <c r="AI365" i="24"/>
  <c r="AH365" i="24" s="1"/>
  <c r="AG365" i="24" s="1"/>
  <c r="AF365" i="24" s="1"/>
  <c r="AI351" i="24"/>
  <c r="AH351" i="24" s="1"/>
  <c r="AG351" i="24" s="1"/>
  <c r="AF351" i="24" s="1"/>
  <c r="AI286" i="24"/>
  <c r="AH286" i="24" s="1"/>
  <c r="AG286" i="24" s="1"/>
  <c r="AF286" i="24" s="1"/>
  <c r="AI270" i="24"/>
  <c r="AH270" i="24" s="1"/>
  <c r="AG270" i="24" s="1"/>
  <c r="AF270" i="24" s="1"/>
  <c r="AI48" i="24"/>
  <c r="AH48" i="24" s="1"/>
  <c r="AG48" i="24" s="1"/>
  <c r="AF48" i="24" s="1"/>
  <c r="AI73" i="24"/>
  <c r="AH73" i="24" s="1"/>
  <c r="AG73" i="24" s="1"/>
  <c r="AF73" i="24" s="1"/>
  <c r="AI311" i="24"/>
  <c r="AH311" i="24" s="1"/>
  <c r="AG311" i="24" s="1"/>
  <c r="AF311" i="24" s="1"/>
  <c r="AI246" i="24"/>
  <c r="AH246" i="24" s="1"/>
  <c r="AG246" i="24" s="1"/>
  <c r="AF246" i="24" s="1"/>
  <c r="AI161" i="24"/>
  <c r="AH161" i="24" s="1"/>
  <c r="AG161" i="24" s="1"/>
  <c r="AF161" i="24" s="1"/>
  <c r="AI26" i="24"/>
  <c r="AH26" i="24" s="1"/>
  <c r="AG26" i="24" s="1"/>
  <c r="AF26" i="24" s="1"/>
  <c r="AI113" i="24"/>
  <c r="AH113" i="24" s="1"/>
  <c r="AG113" i="24" s="1"/>
  <c r="AF113" i="24" s="1"/>
  <c r="AI198" i="24"/>
  <c r="AH198" i="24" s="1"/>
  <c r="AG198" i="24" s="1"/>
  <c r="AF198" i="24" s="1"/>
  <c r="AI190" i="24"/>
  <c r="AH190" i="24" s="1"/>
  <c r="AI121" i="24"/>
  <c r="AH121" i="24" s="1"/>
  <c r="AG121" i="24" s="1"/>
  <c r="AF121" i="24" s="1"/>
  <c r="AI66" i="24"/>
  <c r="AH66" i="24" s="1"/>
  <c r="AI147" i="24"/>
  <c r="AH147" i="24" s="1"/>
  <c r="AI238" i="24"/>
  <c r="AH238" i="24" s="1"/>
  <c r="AG238" i="24" s="1"/>
  <c r="AF238" i="24" s="1"/>
  <c r="AI150" i="24"/>
  <c r="AH150" i="24" s="1"/>
  <c r="AG150" i="24" s="1"/>
  <c r="AF150" i="24" s="1"/>
  <c r="AI65" i="24"/>
  <c r="AH65" i="24" s="1"/>
  <c r="AG65" i="24" s="1"/>
  <c r="AF65" i="24" s="1"/>
  <c r="AI373" i="24"/>
  <c r="AH373" i="24" s="1"/>
  <c r="AG373" i="24" s="1"/>
  <c r="AF373" i="24" s="1"/>
  <c r="AI187" i="24"/>
  <c r="AH187" i="24" s="1"/>
  <c r="AG187" i="24" s="1"/>
  <c r="AF187" i="24" s="1"/>
  <c r="AI127" i="24"/>
  <c r="AH127" i="24" s="1"/>
  <c r="AG127" i="24" s="1"/>
  <c r="AF127" i="24" s="1"/>
  <c r="AI359" i="24"/>
  <c r="AH359" i="24" s="1"/>
  <c r="AG359" i="24" s="1"/>
  <c r="AF359" i="24" s="1"/>
  <c r="AI25" i="24"/>
  <c r="AH25" i="24" s="1"/>
  <c r="AG25" i="24" s="1"/>
  <c r="AF25" i="24" s="1"/>
  <c r="AI333" i="24"/>
  <c r="AH333" i="24" s="1"/>
  <c r="AI244" i="24"/>
  <c r="AH244" i="24" s="1"/>
  <c r="AG244" i="24" s="1"/>
  <c r="AF244" i="24" s="1"/>
  <c r="AI312" i="24"/>
  <c r="AH312" i="24" s="1"/>
  <c r="AG312" i="24" s="1"/>
  <c r="AF312" i="24" s="1"/>
  <c r="AI34" i="24"/>
  <c r="AH34" i="24" s="1"/>
  <c r="AG34" i="24" s="1"/>
  <c r="AF34" i="24" s="1"/>
  <c r="AI115" i="24"/>
  <c r="AH115" i="24" s="1"/>
  <c r="AG115" i="24" s="1"/>
  <c r="AF115" i="24" s="1"/>
  <c r="AI131" i="24"/>
  <c r="AH131" i="24" s="1"/>
  <c r="AG131" i="24" s="1"/>
  <c r="AF131" i="24" s="1"/>
  <c r="AI277" i="24"/>
  <c r="AH277" i="24" s="1"/>
  <c r="AG277" i="24" s="1"/>
  <c r="AF277" i="24" s="1"/>
  <c r="AI50" i="24"/>
  <c r="AH50" i="24" s="1"/>
  <c r="AG50" i="24" s="1"/>
  <c r="AF50" i="24" s="1"/>
  <c r="AI204" i="24"/>
  <c r="AH204" i="24" s="1"/>
  <c r="AG204" i="24" s="1"/>
  <c r="AF204" i="24" s="1"/>
  <c r="AI350" i="24"/>
  <c r="AH350" i="24" s="1"/>
  <c r="AG350" i="24" s="1"/>
  <c r="AF350" i="24" s="1"/>
  <c r="AI352" i="24"/>
  <c r="AH352" i="24" s="1"/>
  <c r="AG352" i="24" s="1"/>
  <c r="AF352" i="24" s="1"/>
  <c r="AI206" i="24"/>
  <c r="AH206" i="24" s="1"/>
  <c r="AG206" i="24" s="1"/>
  <c r="AF206" i="24" s="1"/>
  <c r="AI60" i="24"/>
  <c r="AH60" i="24" s="1"/>
  <c r="AG60" i="24" s="1"/>
  <c r="AF60" i="24" s="1"/>
  <c r="AI112" i="24"/>
  <c r="AH112" i="24" s="1"/>
  <c r="AG112" i="24" s="1"/>
  <c r="AF112" i="24" s="1"/>
  <c r="AI155" i="24"/>
  <c r="AH155" i="24" s="1"/>
  <c r="AG155" i="24" s="1"/>
  <c r="AF155" i="24" s="1"/>
  <c r="AI378" i="24"/>
  <c r="AH378" i="24" s="1"/>
  <c r="AG378" i="24" s="1"/>
  <c r="AF378" i="24" s="1"/>
  <c r="AI237" i="24"/>
  <c r="AH237" i="24" s="1"/>
  <c r="AG237" i="24" s="1"/>
  <c r="AF237" i="24" s="1"/>
  <c r="AI375" i="24"/>
  <c r="AH375" i="24" s="1"/>
  <c r="AG375" i="24" s="1"/>
  <c r="AF375" i="24" s="1"/>
  <c r="AI148" i="24"/>
  <c r="AH148" i="24" s="1"/>
  <c r="AG148" i="24" s="1"/>
  <c r="AF148" i="24" s="1"/>
  <c r="AI310" i="24"/>
  <c r="AH310" i="24" s="1"/>
  <c r="AG310" i="24" s="1"/>
  <c r="AF310" i="24" s="1"/>
  <c r="AI87" i="24"/>
  <c r="AH87" i="24" s="1"/>
  <c r="AG87" i="24" s="1"/>
  <c r="AF87" i="24" s="1"/>
  <c r="AI225" i="24"/>
  <c r="AH225" i="24" s="1"/>
  <c r="AG225" i="24" s="1"/>
  <c r="AF225" i="24" s="1"/>
  <c r="AI100" i="24"/>
  <c r="AH100" i="24" s="1"/>
  <c r="AG100" i="24" s="1"/>
  <c r="AF100" i="24" s="1"/>
  <c r="AI327" i="24"/>
  <c r="AH327" i="24" s="1"/>
  <c r="AG327" i="24" s="1"/>
  <c r="AF327" i="24" s="1"/>
  <c r="AI189" i="24"/>
  <c r="AH189" i="24" s="1"/>
  <c r="AG189" i="24" s="1"/>
  <c r="AF189" i="24" s="1"/>
  <c r="AI49" i="24"/>
  <c r="AH49" i="24" s="1"/>
  <c r="AG49" i="24" s="1"/>
  <c r="AF49" i="24" s="1"/>
  <c r="AI280" i="24"/>
  <c r="AH280" i="24" s="1"/>
  <c r="AG280" i="24" s="1"/>
  <c r="AF280" i="24" s="1"/>
  <c r="AI134" i="24"/>
  <c r="AH134" i="24" s="1"/>
  <c r="AG134" i="24" s="1"/>
  <c r="AF134" i="24" s="1"/>
  <c r="AI108" i="24"/>
  <c r="AH108" i="24" s="1"/>
  <c r="AG108" i="24" s="1"/>
  <c r="AF108" i="24" s="1"/>
  <c r="AI254" i="24"/>
  <c r="AH254" i="24" s="1"/>
  <c r="AG254" i="24" s="1"/>
  <c r="AF254" i="24" s="1"/>
  <c r="AI31" i="24"/>
  <c r="AH31" i="24" s="1"/>
  <c r="AG31" i="24" s="1"/>
  <c r="AF31" i="24" s="1"/>
  <c r="AI185" i="24"/>
  <c r="AH185" i="24" s="1"/>
  <c r="AG185" i="24" s="1"/>
  <c r="AF185" i="24" s="1"/>
  <c r="AI331" i="24"/>
  <c r="AH331" i="24" s="1"/>
  <c r="AG331" i="24" s="1"/>
  <c r="AF331" i="24" s="1"/>
  <c r="AI367" i="24"/>
  <c r="AH367" i="24" s="1"/>
  <c r="AG367" i="24" s="1"/>
  <c r="AF367" i="24" s="1"/>
  <c r="AI229" i="24"/>
  <c r="AH229" i="24" s="1"/>
  <c r="AG229" i="24" s="1"/>
  <c r="AF229" i="24" s="1"/>
  <c r="AI83" i="24"/>
  <c r="AH83" i="24" s="1"/>
  <c r="AG83" i="24" s="1"/>
  <c r="AF83" i="24" s="1"/>
  <c r="AI320" i="24"/>
  <c r="AH320" i="24" s="1"/>
  <c r="AG320" i="24" s="1"/>
  <c r="AF320" i="24" s="1"/>
  <c r="AI174" i="24"/>
  <c r="AH174" i="24" s="1"/>
  <c r="AG174" i="24" s="1"/>
  <c r="AF174" i="24" s="1"/>
  <c r="AI28" i="24"/>
  <c r="AH28" i="24" s="1"/>
  <c r="AG28" i="24" s="1"/>
  <c r="AF28" i="24" s="1"/>
  <c r="AI214" i="24"/>
  <c r="AH214" i="24" s="1"/>
  <c r="AG214" i="24" s="1"/>
  <c r="AF214" i="24" s="1"/>
  <c r="AI360" i="24"/>
  <c r="AH360" i="24" s="1"/>
  <c r="AG360" i="24" s="1"/>
  <c r="AF360" i="24" s="1"/>
  <c r="AI129" i="24"/>
  <c r="AH129" i="24" s="1"/>
  <c r="AG129" i="24" s="1"/>
  <c r="AF129" i="24" s="1"/>
  <c r="AI291" i="24"/>
  <c r="AH291" i="24" s="1"/>
  <c r="AG291" i="24" s="1"/>
  <c r="AF291" i="24" s="1"/>
  <c r="AI72" i="24"/>
  <c r="AH72" i="24" s="1"/>
  <c r="AG72" i="24" s="1"/>
  <c r="AF72" i="24" s="1"/>
  <c r="AI210" i="24"/>
  <c r="AH210" i="24" s="1"/>
  <c r="AG210" i="24" s="1"/>
  <c r="AF210" i="24" s="1"/>
  <c r="AI123" i="24"/>
  <c r="AH123" i="24" s="1"/>
  <c r="AG123" i="24" s="1"/>
  <c r="AF123" i="24" s="1"/>
  <c r="AI346" i="24"/>
  <c r="AH346" i="24" s="1"/>
  <c r="AG346" i="24" s="1"/>
  <c r="AF346" i="24" s="1"/>
  <c r="AI191" i="24"/>
  <c r="AH191" i="24" s="1"/>
  <c r="AG191" i="24" s="1"/>
  <c r="AF191" i="24" s="1"/>
  <c r="AI68" i="24"/>
  <c r="AH68" i="24" s="1"/>
  <c r="AG68" i="24" s="1"/>
  <c r="AF68" i="24" s="1"/>
  <c r="AI295" i="24"/>
  <c r="AH295" i="24" s="1"/>
  <c r="AI157" i="24"/>
  <c r="AH157" i="24" s="1"/>
  <c r="AG157" i="24" s="1"/>
  <c r="AF157" i="24" s="1"/>
  <c r="AI89" i="24"/>
  <c r="AH89" i="24" s="1"/>
  <c r="AG89" i="24" s="1"/>
  <c r="AF89" i="24" s="1"/>
  <c r="AI235" i="24"/>
  <c r="AH235" i="24" s="1"/>
  <c r="AG235" i="24" s="1"/>
  <c r="AF235" i="24" s="1"/>
  <c r="AI18" i="24"/>
  <c r="AH18" i="24" s="1"/>
  <c r="AG18" i="24" s="1"/>
  <c r="AF18" i="24" s="1"/>
  <c r="AI170" i="24"/>
  <c r="AH170" i="24" s="1"/>
  <c r="AG170" i="24" s="1"/>
  <c r="AF170" i="24" s="1"/>
  <c r="AI308" i="24"/>
  <c r="AH308" i="24" s="1"/>
  <c r="AG308" i="24" s="1"/>
  <c r="AF308" i="24" s="1"/>
  <c r="AI16" i="24"/>
  <c r="AH16" i="24" s="1"/>
  <c r="AG16" i="24" s="1"/>
  <c r="AF16" i="24" s="1"/>
  <c r="AI248" i="24"/>
  <c r="AH248" i="24" s="1"/>
  <c r="AG248" i="24" s="1"/>
  <c r="AF248" i="24" s="1"/>
  <c r="AI102" i="24"/>
  <c r="AH102" i="24" s="1"/>
  <c r="AG102" i="24" s="1"/>
  <c r="AF102" i="24" s="1"/>
  <c r="AI335" i="24"/>
  <c r="AH335" i="24" s="1"/>
  <c r="AG335" i="24" s="1"/>
  <c r="AF335" i="24" s="1"/>
  <c r="AI197" i="24"/>
  <c r="AH197" i="24" s="1"/>
  <c r="AI51" i="24"/>
  <c r="AH51" i="24" s="1"/>
  <c r="AI195" i="24"/>
  <c r="AH195" i="24" s="1"/>
  <c r="AG195" i="24" s="1"/>
  <c r="AF195" i="24" s="1"/>
  <c r="AI341" i="24"/>
  <c r="AH341" i="24" s="1"/>
  <c r="AG341" i="24" s="1"/>
  <c r="AF341" i="24" s="1"/>
  <c r="AI114" i="24"/>
  <c r="AH114" i="24" s="1"/>
  <c r="AG114" i="24" s="1"/>
  <c r="AF114" i="24" s="1"/>
  <c r="AI268" i="24"/>
  <c r="AH268" i="24" s="1"/>
  <c r="AG268" i="24" s="1"/>
  <c r="AF268" i="24" s="1"/>
  <c r="AI53" i="24"/>
  <c r="AH53" i="24" s="1"/>
  <c r="AG53" i="24" s="1"/>
  <c r="AF53" i="24" s="1"/>
  <c r="AI288" i="24"/>
  <c r="AH288" i="24" s="1"/>
  <c r="AG288" i="24" s="1"/>
  <c r="AF288" i="24" s="1"/>
  <c r="AI142" i="24"/>
  <c r="AH142" i="24" s="1"/>
  <c r="AG142" i="24" s="1"/>
  <c r="AF142" i="24" s="1"/>
  <c r="AI361" i="24"/>
  <c r="AH361" i="24" s="1"/>
  <c r="AG361" i="24" s="1"/>
  <c r="AF361" i="24" s="1"/>
  <c r="AI176" i="24"/>
  <c r="AH176" i="24" s="1"/>
  <c r="AG176" i="24" s="1"/>
  <c r="AF176" i="24" s="1"/>
  <c r="AI91" i="24"/>
  <c r="AH91" i="24" s="1"/>
  <c r="AG91" i="24" s="1"/>
  <c r="AF91" i="24" s="1"/>
  <c r="AI314" i="24"/>
  <c r="AH314" i="24" s="1"/>
  <c r="AG314" i="24" s="1"/>
  <c r="AF314" i="24" s="1"/>
  <c r="AI301" i="24"/>
  <c r="AH301" i="24" s="1"/>
  <c r="AG301" i="24" s="1"/>
  <c r="AF301" i="24" s="1"/>
  <c r="AI74" i="24"/>
  <c r="AH74" i="24" s="1"/>
  <c r="AG74" i="24" s="1"/>
  <c r="AF74" i="24" s="1"/>
  <c r="AI212" i="24"/>
  <c r="AH212" i="24" s="1"/>
  <c r="AG212" i="24" s="1"/>
  <c r="AF212" i="24" s="1"/>
  <c r="AI374" i="24"/>
  <c r="AH374" i="24" s="1"/>
  <c r="AG374" i="24" s="1"/>
  <c r="AF374" i="24" s="1"/>
  <c r="AI151" i="24"/>
  <c r="AH151" i="24" s="1"/>
  <c r="AG151" i="24" s="1"/>
  <c r="AF151" i="24" s="1"/>
  <c r="AI289" i="24"/>
  <c r="AH289" i="24" s="1"/>
  <c r="AG289" i="24" s="1"/>
  <c r="AF289" i="24" s="1"/>
  <c r="AI36" i="24"/>
  <c r="AH36" i="24" s="1"/>
  <c r="AG36" i="24" s="1"/>
  <c r="AF36" i="24" s="1"/>
  <c r="AI263" i="24"/>
  <c r="AH263" i="24" s="1"/>
  <c r="AG263" i="24" s="1"/>
  <c r="AF263" i="24" s="1"/>
  <c r="AI125" i="24"/>
  <c r="AH125" i="24" s="1"/>
  <c r="AG125" i="24" s="1"/>
  <c r="AF125" i="24" s="1"/>
  <c r="AI354" i="24"/>
  <c r="AH354" i="24" s="1"/>
  <c r="AG354" i="24" s="1"/>
  <c r="AF354" i="24" s="1"/>
  <c r="AI216" i="24"/>
  <c r="AH216" i="24" s="1"/>
  <c r="AG216" i="24" s="1"/>
  <c r="AF216" i="24" s="1"/>
  <c r="AI70" i="24"/>
  <c r="AH70" i="24" s="1"/>
  <c r="AG70" i="24" s="1"/>
  <c r="AF70" i="24" s="1"/>
  <c r="AI172" i="24"/>
  <c r="AH172" i="24" s="1"/>
  <c r="AI318" i="24"/>
  <c r="AH318" i="24" s="1"/>
  <c r="AG318" i="24" s="1"/>
  <c r="AF318" i="24" s="1"/>
  <c r="AI95" i="24"/>
  <c r="AH95" i="24" s="1"/>
  <c r="AG95" i="24" s="1"/>
  <c r="AF95" i="24" s="1"/>
  <c r="AI249" i="24"/>
  <c r="AH249" i="24" s="1"/>
  <c r="AG249" i="24" s="1"/>
  <c r="AF249" i="24" s="1"/>
  <c r="AI30" i="24"/>
  <c r="AH30" i="24" s="1"/>
  <c r="AG30" i="24" s="1"/>
  <c r="AF30" i="24" s="1"/>
  <c r="AI303" i="24"/>
  <c r="AH303" i="24" s="1"/>
  <c r="AG303" i="24" s="1"/>
  <c r="AF303" i="24" s="1"/>
  <c r="AI165" i="24"/>
  <c r="AH165" i="24" s="1"/>
  <c r="AG165" i="24" s="1"/>
  <c r="AF165" i="24" s="1"/>
  <c r="AI19" i="24"/>
  <c r="AH19" i="24" s="1"/>
  <c r="AG19" i="24" s="1"/>
  <c r="AF19" i="24" s="1"/>
  <c r="AI256" i="24"/>
  <c r="AH256" i="24" s="1"/>
  <c r="AG256" i="24" s="1"/>
  <c r="AF256" i="24" s="1"/>
  <c r="AI110" i="24"/>
  <c r="AH110" i="24" s="1"/>
  <c r="AG110" i="24" s="1"/>
  <c r="AF110" i="24" s="1"/>
  <c r="AI329" i="24"/>
  <c r="AH329" i="24" s="1"/>
  <c r="AG329" i="24" s="1"/>
  <c r="AF329" i="24" s="1"/>
  <c r="AI345" i="24"/>
  <c r="AH345" i="24" s="1"/>
  <c r="AG345" i="24" s="1"/>
  <c r="AF345" i="24" s="1"/>
  <c r="AI193" i="24"/>
  <c r="AH193" i="24" s="1"/>
  <c r="AG193" i="24" s="1"/>
  <c r="AF193" i="24" s="1"/>
  <c r="AI136" i="24"/>
  <c r="AH136" i="24" s="1"/>
  <c r="AG136" i="24" s="1"/>
  <c r="AF136" i="24" s="1"/>
  <c r="AI59" i="24"/>
  <c r="AH59" i="24" s="1"/>
  <c r="AG59" i="24" s="1"/>
  <c r="AF59" i="24" s="1"/>
  <c r="AI255" i="24"/>
  <c r="AH255" i="24" s="1"/>
  <c r="AG255" i="24" s="1"/>
  <c r="AF255" i="24" s="1"/>
  <c r="AI231" i="24"/>
  <c r="AH231" i="24" s="1"/>
  <c r="AI153" i="24"/>
  <c r="AH153" i="24" s="1"/>
  <c r="AG153" i="24" s="1"/>
  <c r="AF153" i="24" s="1"/>
  <c r="AI80" i="24"/>
  <c r="AH80" i="24" s="1"/>
  <c r="AG80" i="24" s="1"/>
  <c r="AF80" i="24" s="1"/>
  <c r="AI372" i="24"/>
  <c r="AH372" i="24" s="1"/>
  <c r="AG372" i="24" s="1"/>
  <c r="AF372" i="24" s="1"/>
  <c r="AI184" i="24"/>
  <c r="AH184" i="24" s="1"/>
  <c r="AG184" i="24" s="1"/>
  <c r="AF184" i="24" s="1"/>
  <c r="AI271" i="24"/>
  <c r="AH271" i="24" s="1"/>
  <c r="AG271" i="24" s="1"/>
  <c r="AF271" i="24" s="1"/>
  <c r="AI348" i="24"/>
  <c r="AH348" i="24" s="1"/>
  <c r="AG348" i="24" s="1"/>
  <c r="AF348" i="24" s="1"/>
  <c r="AI40" i="24"/>
  <c r="AH40" i="24" s="1"/>
  <c r="AG40" i="24" s="1"/>
  <c r="AF40" i="24" s="1"/>
  <c r="AI332" i="24"/>
  <c r="AH332" i="24" s="1"/>
  <c r="AG332" i="24" s="1"/>
  <c r="AF332" i="24" s="1"/>
  <c r="AI224" i="24"/>
  <c r="AH224" i="24" s="1"/>
  <c r="AG224" i="24" s="1"/>
  <c r="AF224" i="24" s="1"/>
  <c r="AI297" i="24"/>
  <c r="AH297" i="24" s="1"/>
  <c r="AG297" i="24" s="1"/>
  <c r="AF297" i="24" s="1"/>
  <c r="AI27" i="24"/>
  <c r="AH27" i="24" s="1"/>
  <c r="AG27" i="24" s="1"/>
  <c r="AF27" i="24" s="1"/>
  <c r="AI67" i="24"/>
  <c r="AH67" i="24" s="1"/>
  <c r="AI276" i="24"/>
  <c r="AH276" i="24" s="1"/>
  <c r="AG276" i="24" s="1"/>
  <c r="AF276" i="24" s="1"/>
  <c r="AI215" i="24"/>
  <c r="AH215" i="24" s="1"/>
  <c r="AG215" i="24" s="1"/>
  <c r="AF215" i="24" s="1"/>
  <c r="AI337" i="24"/>
  <c r="AH337" i="24" s="1"/>
  <c r="AG337" i="24" s="1"/>
  <c r="AF337" i="24" s="1"/>
  <c r="AI61" i="24"/>
  <c r="AH61" i="24" s="1"/>
  <c r="AG61" i="24" s="1"/>
  <c r="AF61" i="24" s="1"/>
  <c r="AI152" i="24"/>
  <c r="AH152" i="24" s="1"/>
  <c r="AG152" i="24" s="1"/>
  <c r="AF152" i="24" s="1"/>
  <c r="AI236" i="24"/>
  <c r="AH236" i="24" s="1"/>
  <c r="AG236" i="24" s="1"/>
  <c r="AF236" i="24" s="1"/>
  <c r="AI159" i="24"/>
  <c r="AH159" i="24" s="1"/>
  <c r="AG159" i="24" s="1"/>
  <c r="AF159" i="24" s="1"/>
  <c r="AI94" i="24"/>
  <c r="AH94" i="24" s="1"/>
  <c r="AG94" i="24" s="1"/>
  <c r="AF94" i="24" s="1"/>
  <c r="AI101" i="24"/>
  <c r="AH101" i="24" s="1"/>
  <c r="AG101" i="24" s="1"/>
  <c r="AF101" i="24" s="1"/>
  <c r="AI192" i="24"/>
  <c r="AH192" i="24" s="1"/>
  <c r="AG192" i="24" s="1"/>
  <c r="AF192" i="24" s="1"/>
  <c r="AI265" i="24"/>
  <c r="AH265" i="24" s="1"/>
  <c r="AG265" i="24" s="1"/>
  <c r="AF265" i="24" s="1"/>
  <c r="AI119" i="24"/>
  <c r="AH119" i="24" s="1"/>
  <c r="AG119" i="24" s="1"/>
  <c r="AF119" i="24" s="1"/>
  <c r="AI54" i="24"/>
  <c r="AH54" i="24" s="1"/>
  <c r="AG54" i="24" s="1"/>
  <c r="AF54" i="24" s="1"/>
  <c r="AI338" i="24"/>
  <c r="AH338" i="24" s="1"/>
  <c r="AG338" i="24" s="1"/>
  <c r="AF338" i="24" s="1"/>
  <c r="AI218" i="24"/>
  <c r="AH218" i="24" s="1"/>
  <c r="AI305" i="24"/>
  <c r="AH305" i="24" s="1"/>
  <c r="AG305" i="24" s="1"/>
  <c r="AF305" i="24" s="1"/>
  <c r="AI29" i="24"/>
  <c r="AH29" i="24" s="1"/>
  <c r="AG29" i="24" s="1"/>
  <c r="AF29" i="24" s="1"/>
  <c r="AI363" i="24"/>
  <c r="AH363" i="24" s="1"/>
  <c r="AI298" i="24"/>
  <c r="AH298" i="24" s="1"/>
  <c r="AG298" i="24" s="1"/>
  <c r="AF298" i="24" s="1"/>
  <c r="AI258" i="24"/>
  <c r="AH258" i="24" s="1"/>
  <c r="AI339" i="24"/>
  <c r="AH339" i="24" s="1"/>
  <c r="AG339" i="24" s="1"/>
  <c r="AF339" i="24" s="1"/>
  <c r="AI69" i="24"/>
  <c r="AH69" i="24" s="1"/>
  <c r="AG69" i="24" s="1"/>
  <c r="AF69" i="24" s="1"/>
  <c r="AI323" i="24"/>
  <c r="AH323" i="24" s="1"/>
  <c r="AG323" i="24" s="1"/>
  <c r="AF323" i="24" s="1"/>
  <c r="AI242" i="24"/>
  <c r="AH242" i="24" s="1"/>
  <c r="AG242" i="24" s="1"/>
  <c r="AF242" i="24" s="1"/>
  <c r="AI181" i="24"/>
  <c r="AH181" i="24" s="1"/>
  <c r="AG181" i="24" s="1"/>
  <c r="AF181" i="24" s="1"/>
  <c r="AI379" i="24"/>
  <c r="AI304" i="24"/>
  <c r="AH304" i="24" s="1"/>
  <c r="AI186" i="24"/>
  <c r="AH186" i="24" s="1"/>
  <c r="AG186" i="24" s="1"/>
  <c r="AF186" i="24" s="1"/>
  <c r="AI55" i="24"/>
  <c r="AH55" i="24" s="1"/>
  <c r="AG55" i="24" s="1"/>
  <c r="AF55" i="24" s="1"/>
  <c r="AI57" i="24"/>
  <c r="AH57" i="24" s="1"/>
  <c r="AG57" i="24" s="1"/>
  <c r="AF57" i="24" s="1"/>
  <c r="AI130" i="24"/>
  <c r="AH130" i="24" s="1"/>
  <c r="AG130" i="24" s="1"/>
  <c r="AF130" i="24" s="1"/>
  <c r="AI211" i="24"/>
  <c r="AH211" i="24" s="1"/>
  <c r="AG211" i="24" s="1"/>
  <c r="AF211" i="24" s="1"/>
  <c r="AI302" i="24"/>
  <c r="AH302" i="24" s="1"/>
  <c r="AG302" i="24" s="1"/>
  <c r="AF302" i="24" s="1"/>
  <c r="AI86" i="24"/>
  <c r="AH86" i="24" s="1"/>
  <c r="AG86" i="24" s="1"/>
  <c r="AF86" i="24" s="1"/>
  <c r="AI370" i="24"/>
  <c r="AH370" i="24" s="1"/>
  <c r="AG370" i="24" s="1"/>
  <c r="AF370" i="24" s="1"/>
  <c r="AI309" i="24"/>
  <c r="AH309" i="24" s="1"/>
  <c r="AG309" i="24" s="1"/>
  <c r="AF309" i="24" s="1"/>
  <c r="AI251" i="24"/>
  <c r="AH251" i="24" s="1"/>
  <c r="AG251" i="24" s="1"/>
  <c r="AF251" i="24" s="1"/>
  <c r="AI63" i="24"/>
  <c r="AH63" i="24" s="1"/>
  <c r="AG63" i="24" s="1"/>
  <c r="AF63" i="24" s="1"/>
  <c r="AI58" i="24"/>
  <c r="AH58" i="24" s="1"/>
  <c r="AG58" i="24" s="1"/>
  <c r="AF58" i="24" s="1"/>
  <c r="AI330" i="24"/>
  <c r="AH330" i="24" s="1"/>
  <c r="AG330" i="24" s="1"/>
  <c r="AF330" i="24" s="1"/>
  <c r="AI269" i="24"/>
  <c r="AH269" i="24" s="1"/>
  <c r="AG269" i="24" s="1"/>
  <c r="AF269" i="24" s="1"/>
  <c r="AI180" i="24"/>
  <c r="AH180" i="24" s="1"/>
  <c r="AG180" i="24" s="1"/>
  <c r="AF180" i="24" s="1"/>
  <c r="AI376" i="24"/>
  <c r="AH376" i="24" s="1"/>
  <c r="AG376" i="24" s="1"/>
  <c r="AF376" i="24" s="1"/>
  <c r="AI98" i="24"/>
  <c r="AH98" i="24" s="1"/>
  <c r="AG98" i="24" s="1"/>
  <c r="AF98" i="24" s="1"/>
  <c r="AI250" i="24"/>
  <c r="AH250" i="24" s="1"/>
  <c r="AG250" i="24" s="1"/>
  <c r="AF250" i="24" s="1"/>
  <c r="AI213" i="24"/>
  <c r="AH213" i="24" s="1"/>
  <c r="AG213" i="24" s="1"/>
  <c r="AF213" i="24" s="1"/>
  <c r="AI140" i="24"/>
  <c r="AH140" i="24" s="1"/>
  <c r="AG140" i="24" s="1"/>
  <c r="AF140" i="24" s="1"/>
  <c r="AI47" i="24"/>
  <c r="AH47" i="24" s="1"/>
  <c r="AG47" i="24" s="1"/>
  <c r="AF47" i="24" s="1"/>
  <c r="AI124" i="24"/>
  <c r="AH124" i="24" s="1"/>
  <c r="AG124" i="24" s="1"/>
  <c r="AF124" i="24" s="1"/>
  <c r="AI219" i="24"/>
  <c r="AH219" i="24" s="1"/>
  <c r="AG219" i="24" s="1"/>
  <c r="AF219" i="24" s="1"/>
  <c r="AI173" i="24"/>
  <c r="AH173" i="24" s="1"/>
  <c r="AG173" i="24" s="1"/>
  <c r="AF173" i="24" s="1"/>
  <c r="AI84" i="24"/>
  <c r="AH84" i="24" s="1"/>
  <c r="AI23" i="24"/>
  <c r="AH23" i="24" s="1"/>
  <c r="AG23" i="24" s="1"/>
  <c r="AF23" i="24" s="1"/>
  <c r="AI164" i="24"/>
  <c r="AH164" i="24" s="1"/>
  <c r="AG164" i="24" s="1"/>
  <c r="AF164" i="24" s="1"/>
  <c r="AI253" i="24"/>
  <c r="AH253" i="24" s="1"/>
  <c r="AG253" i="24" s="1"/>
  <c r="AF253" i="24" s="1"/>
  <c r="AI344" i="24"/>
  <c r="AH344" i="24" s="1"/>
  <c r="AG344" i="24" s="1"/>
  <c r="AF344" i="24" s="1"/>
  <c r="AI44" i="24"/>
  <c r="AH44" i="24" s="1"/>
  <c r="AG44" i="24" s="1"/>
  <c r="AF44" i="24" s="1"/>
  <c r="AI336" i="24"/>
  <c r="AH336" i="24" s="1"/>
  <c r="AG336" i="24" s="1"/>
  <c r="AF336" i="24" s="1"/>
  <c r="AI267" i="24"/>
  <c r="AH267" i="24" s="1"/>
  <c r="AG267" i="24" s="1"/>
  <c r="AF267" i="24" s="1"/>
  <c r="AI293" i="24"/>
  <c r="AH293" i="24" s="1"/>
  <c r="AG293" i="24" s="1"/>
  <c r="AF293" i="24" s="1"/>
  <c r="AI17" i="24"/>
  <c r="AH17" i="24" s="1"/>
  <c r="AG17" i="24" s="1"/>
  <c r="AF17" i="24" s="1"/>
  <c r="AI92" i="24"/>
  <c r="AH92" i="24" s="1"/>
  <c r="AG92" i="24" s="1"/>
  <c r="AF92" i="24" s="1"/>
  <c r="AI296" i="24"/>
  <c r="AH296" i="24" s="1"/>
  <c r="AG296" i="24" s="1"/>
  <c r="AF296" i="24" s="1"/>
  <c r="AI227" i="24"/>
  <c r="AH227" i="24" s="1"/>
  <c r="AG227" i="24" s="1"/>
  <c r="AF227" i="24" s="1"/>
  <c r="AI146" i="24"/>
  <c r="AH146" i="24" s="1"/>
  <c r="AG146" i="24" s="1"/>
  <c r="AF146" i="24" s="1"/>
  <c r="AI41" i="24"/>
  <c r="AH41" i="24" s="1"/>
  <c r="AG41" i="24" s="1"/>
  <c r="AF41" i="24" s="1"/>
  <c r="AI132" i="24"/>
  <c r="AH132" i="24" s="1"/>
  <c r="AG132" i="24" s="1"/>
  <c r="AF132" i="24" s="1"/>
  <c r="AI221" i="24"/>
  <c r="AH221" i="24" s="1"/>
  <c r="AG221" i="24" s="1"/>
  <c r="AF221" i="24" s="1"/>
  <c r="AI171" i="24"/>
  <c r="AH171" i="24" s="1"/>
  <c r="AG171" i="24" s="1"/>
  <c r="AF171" i="24" s="1"/>
  <c r="AI106" i="24"/>
  <c r="AH106" i="24" s="1"/>
  <c r="AG106" i="24" s="1"/>
  <c r="AF106" i="24" s="1"/>
  <c r="AI81" i="24"/>
  <c r="AH81" i="24" s="1"/>
  <c r="AG81" i="24" s="1"/>
  <c r="AF81" i="24" s="1"/>
  <c r="AI166" i="24"/>
  <c r="AH166" i="24" s="1"/>
  <c r="AG166" i="24" s="1"/>
  <c r="AF166" i="24" s="1"/>
  <c r="AI261" i="24"/>
  <c r="AH261" i="24" s="1"/>
  <c r="AG261" i="24" s="1"/>
  <c r="AF261" i="24" s="1"/>
  <c r="AD193" i="24"/>
  <c r="I60" i="22"/>
  <c r="H60" i="23" s="1"/>
  <c r="J60" i="22"/>
  <c r="J180" i="22"/>
  <c r="I180" i="22"/>
  <c r="H180" i="23" s="1"/>
  <c r="AJ5" i="22"/>
  <c r="D15" i="22"/>
  <c r="AJ8" i="22" s="1"/>
  <c r="B382" i="22"/>
  <c r="B383" i="22"/>
  <c r="AK6" i="22"/>
  <c r="B381" i="22"/>
  <c r="W15" i="22"/>
  <c r="H9" i="22"/>
  <c r="B17" i="19" s="1"/>
  <c r="J380" i="22"/>
  <c r="I380" i="22"/>
  <c r="H380" i="23" s="1"/>
  <c r="U10" i="25"/>
  <c r="U159" i="25" s="1"/>
  <c r="T159" i="25" s="1"/>
  <c r="S159" i="25" s="1"/>
  <c r="R159" i="25" s="1"/>
  <c r="F149" i="22"/>
  <c r="R383" i="23"/>
  <c r="R381" i="23"/>
  <c r="R382" i="23"/>
  <c r="P15" i="23"/>
  <c r="V381" i="22"/>
  <c r="V382" i="22"/>
  <c r="B67" i="19"/>
  <c r="N67" i="19" s="1"/>
  <c r="V383" i="22"/>
  <c r="D383" i="20"/>
  <c r="E15" i="20"/>
  <c r="AJ8" i="20"/>
  <c r="D382" i="20"/>
  <c r="D9" i="20"/>
  <c r="D11" i="20" s="1"/>
  <c r="D381" i="20"/>
  <c r="I210" i="22"/>
  <c r="H210" i="23" s="1"/>
  <c r="J210" i="22"/>
  <c r="I363" i="22"/>
  <c r="H363" i="23" s="1"/>
  <c r="I363" i="23" s="1"/>
  <c r="J363" i="22"/>
  <c r="AI11" i="25"/>
  <c r="BE16" i="7"/>
  <c r="U32" i="25"/>
  <c r="T32" i="25" s="1"/>
  <c r="S32" i="25" s="1"/>
  <c r="R32" i="25" s="1"/>
  <c r="U54" i="25"/>
  <c r="T54" i="25" s="1"/>
  <c r="S54" i="25" s="1"/>
  <c r="R54" i="25" s="1"/>
  <c r="U91" i="25"/>
  <c r="T91" i="25" s="1"/>
  <c r="S91" i="25" s="1"/>
  <c r="R91" i="25" s="1"/>
  <c r="U19" i="25"/>
  <c r="T19" i="25" s="1"/>
  <c r="S19" i="25" s="1"/>
  <c r="R19" i="25" s="1"/>
  <c r="U79" i="25"/>
  <c r="T79" i="25" s="1"/>
  <c r="S79" i="25" s="1"/>
  <c r="R79" i="25" s="1"/>
  <c r="U28" i="25"/>
  <c r="T28" i="25" s="1"/>
  <c r="S28" i="25" s="1"/>
  <c r="R28" i="25" s="1"/>
  <c r="J302" i="22"/>
  <c r="I302" i="22"/>
  <c r="H302" i="23" s="1"/>
  <c r="I241" i="22"/>
  <c r="H241" i="23" s="1"/>
  <c r="J241" i="22"/>
  <c r="J119" i="22"/>
  <c r="I119" i="22"/>
  <c r="H119" i="23" s="1"/>
  <c r="I119" i="23" s="1"/>
  <c r="J333" i="22"/>
  <c r="I333" i="22"/>
  <c r="H333" i="23" s="1"/>
  <c r="S15" i="24"/>
  <c r="T382" i="24"/>
  <c r="T383" i="24"/>
  <c r="T381" i="24"/>
  <c r="J88" i="22"/>
  <c r="I88" i="22"/>
  <c r="H88" i="23" s="1"/>
  <c r="I88" i="23" s="1"/>
  <c r="AL5" i="18"/>
  <c r="AL11" i="18" s="1"/>
  <c r="Y383" i="18"/>
  <c r="Y381" i="18"/>
  <c r="AM6" i="18"/>
  <c r="AM12" i="18" s="1"/>
  <c r="Y382" i="18"/>
  <c r="X9" i="18"/>
  <c r="AH61" i="7"/>
  <c r="D343" i="24"/>
  <c r="E343" i="24" s="1"/>
  <c r="F343" i="24" s="1"/>
  <c r="H343" i="24" s="1"/>
  <c r="D275" i="24"/>
  <c r="E275" i="24" s="1"/>
  <c r="F275" i="24" s="1"/>
  <c r="G275" i="24" s="1"/>
  <c r="CE275" i="6" s="1"/>
  <c r="D354" i="24"/>
  <c r="E354" i="24" s="1"/>
  <c r="F354" i="24" s="1"/>
  <c r="H354" i="24" s="1"/>
  <c r="D207" i="24"/>
  <c r="E207" i="24" s="1"/>
  <c r="F207" i="24" s="1"/>
  <c r="G207" i="24" s="1"/>
  <c r="CE207" i="6" s="1"/>
  <c r="D313" i="24"/>
  <c r="E313" i="24" s="1"/>
  <c r="F313" i="24" s="1"/>
  <c r="H313" i="24" s="1"/>
  <c r="W268" i="24"/>
  <c r="D30" i="24"/>
  <c r="E30" i="24" s="1"/>
  <c r="F30" i="24" s="1"/>
  <c r="G30" i="24" s="1"/>
  <c r="CE30" i="6" s="1"/>
  <c r="D346" i="24"/>
  <c r="E346" i="24" s="1"/>
  <c r="F346" i="24" s="1"/>
  <c r="H346" i="24" s="1"/>
  <c r="W151" i="24"/>
  <c r="D133" i="24"/>
  <c r="E133" i="24" s="1"/>
  <c r="F133" i="24" s="1"/>
  <c r="H133" i="24" s="1"/>
  <c r="W144" i="24"/>
  <c r="D308" i="24"/>
  <c r="E308" i="24" s="1"/>
  <c r="F308" i="24" s="1"/>
  <c r="H308" i="24" s="1"/>
  <c r="D218" i="24"/>
  <c r="E218" i="24" s="1"/>
  <c r="F218" i="24" s="1"/>
  <c r="G218" i="24" s="1"/>
  <c r="CE218" i="6" s="1"/>
  <c r="W124" i="24"/>
  <c r="W163" i="24"/>
  <c r="W201" i="24"/>
  <c r="W266" i="24"/>
  <c r="D137" i="24"/>
  <c r="E137" i="24" s="1"/>
  <c r="F137" i="24" s="1"/>
  <c r="G137" i="24" s="1"/>
  <c r="CE137" i="6" s="1"/>
  <c r="W256" i="24"/>
  <c r="W344" i="24"/>
  <c r="D342" i="24"/>
  <c r="E342" i="24" s="1"/>
  <c r="F342" i="24" s="1"/>
  <c r="G342" i="24" s="1"/>
  <c r="CE342" i="6" s="1"/>
  <c r="W224" i="24"/>
  <c r="W200" i="24"/>
  <c r="D310" i="24"/>
  <c r="E310" i="24" s="1"/>
  <c r="F310" i="24" s="1"/>
  <c r="H310" i="24" s="1"/>
  <c r="D85" i="24"/>
  <c r="E85" i="24" s="1"/>
  <c r="F85" i="24" s="1"/>
  <c r="W167" i="24"/>
  <c r="D38" i="24"/>
  <c r="E38" i="24" s="1"/>
  <c r="F38" i="24" s="1"/>
  <c r="H38" i="24" s="1"/>
  <c r="W328" i="24"/>
  <c r="W140" i="24"/>
  <c r="W212" i="24"/>
  <c r="W244" i="24"/>
  <c r="D367" i="24"/>
  <c r="E367" i="24" s="1"/>
  <c r="F367" i="24" s="1"/>
  <c r="H367" i="24" s="1"/>
  <c r="D165" i="24"/>
  <c r="E165" i="24" s="1"/>
  <c r="F165" i="24" s="1"/>
  <c r="D307" i="24"/>
  <c r="E307" i="24" s="1"/>
  <c r="F307" i="24" s="1"/>
  <c r="G307" i="24" s="1"/>
  <c r="CE307" i="6" s="1"/>
  <c r="D261" i="24"/>
  <c r="E261" i="24" s="1"/>
  <c r="F261" i="24" s="1"/>
  <c r="W44" i="24"/>
  <c r="D158" i="24"/>
  <c r="E158" i="24" s="1"/>
  <c r="F158" i="24" s="1"/>
  <c r="G158" i="24" s="1"/>
  <c r="CE158" i="6" s="1"/>
  <c r="D186" i="24"/>
  <c r="E186" i="24" s="1"/>
  <c r="F186" i="24" s="1"/>
  <c r="G186" i="24" s="1"/>
  <c r="CE186" i="6" s="1"/>
  <c r="D181" i="24"/>
  <c r="E181" i="24" s="1"/>
  <c r="F181" i="24" s="1"/>
  <c r="W260" i="24"/>
  <c r="D174" i="24"/>
  <c r="E174" i="24" s="1"/>
  <c r="F174" i="24" s="1"/>
  <c r="H174" i="24" s="1"/>
  <c r="W245" i="24"/>
  <c r="D75" i="24"/>
  <c r="E75" i="24" s="1"/>
  <c r="F75" i="24" s="1"/>
  <c r="W152" i="24"/>
  <c r="W39" i="24"/>
  <c r="AH65" i="7"/>
  <c r="W36" i="24"/>
  <c r="D189" i="24"/>
  <c r="E189" i="24" s="1"/>
  <c r="F189" i="24" s="1"/>
  <c r="H189" i="24" s="1"/>
  <c r="W336" i="24"/>
  <c r="D175" i="24"/>
  <c r="E175" i="24" s="1"/>
  <c r="F175" i="24" s="1"/>
  <c r="D193" i="24"/>
  <c r="E193" i="24" s="1"/>
  <c r="F193" i="24" s="1"/>
  <c r="D50" i="24"/>
  <c r="E50" i="24" s="1"/>
  <c r="F50" i="24" s="1"/>
  <c r="G50" i="24" s="1"/>
  <c r="CE50" i="6" s="1"/>
  <c r="D191" i="24"/>
  <c r="E191" i="24" s="1"/>
  <c r="F191" i="24" s="1"/>
  <c r="G191" i="24" s="1"/>
  <c r="CE191" i="6" s="1"/>
  <c r="W56" i="24"/>
  <c r="D228" i="24"/>
  <c r="E228" i="24" s="1"/>
  <c r="F228" i="24" s="1"/>
  <c r="G228" i="24" s="1"/>
  <c r="CE228" i="6" s="1"/>
  <c r="W280" i="24"/>
  <c r="W142" i="24"/>
  <c r="D142" i="24"/>
  <c r="E142" i="24" s="1"/>
  <c r="F142" i="24" s="1"/>
  <c r="H142" i="24" s="1"/>
  <c r="I142" i="24" s="1"/>
  <c r="D99" i="24"/>
  <c r="E99" i="24" s="1"/>
  <c r="F99" i="24" s="1"/>
  <c r="D219" i="24"/>
  <c r="E219" i="24" s="1"/>
  <c r="F219" i="24" s="1"/>
  <c r="H219" i="24" s="1"/>
  <c r="W309" i="24"/>
  <c r="D371" i="24"/>
  <c r="E371" i="24" s="1"/>
  <c r="F371" i="24" s="1"/>
  <c r="D192" i="24"/>
  <c r="E192" i="24" s="1"/>
  <c r="F192" i="24" s="1"/>
  <c r="W295" i="24"/>
  <c r="W172" i="24"/>
  <c r="D213" i="24"/>
  <c r="E213" i="24" s="1"/>
  <c r="F213" i="24" s="1"/>
  <c r="H213" i="24" s="1"/>
  <c r="W233" i="24"/>
  <c r="W120" i="24"/>
  <c r="W164" i="24"/>
  <c r="W253" i="24"/>
  <c r="D188" i="24"/>
  <c r="E188" i="24" s="1"/>
  <c r="F188" i="24" s="1"/>
  <c r="G188" i="24" s="1"/>
  <c r="CE188" i="6" s="1"/>
  <c r="W311" i="24"/>
  <c r="D176" i="24"/>
  <c r="E176" i="24" s="1"/>
  <c r="F176" i="24" s="1"/>
  <c r="H176" i="24" s="1"/>
  <c r="D33" i="24"/>
  <c r="E33" i="24" s="1"/>
  <c r="F33" i="24" s="1"/>
  <c r="G33" i="24" s="1"/>
  <c r="CE33" i="6" s="1"/>
  <c r="D355" i="24"/>
  <c r="E355" i="24" s="1"/>
  <c r="F355" i="24" s="1"/>
  <c r="H355" i="24" s="1"/>
  <c r="W347" i="24"/>
  <c r="D236" i="24"/>
  <c r="E236" i="24" s="1"/>
  <c r="F236" i="24" s="1"/>
  <c r="H236" i="24" s="1"/>
  <c r="D365" i="24"/>
  <c r="E365" i="24" s="1"/>
  <c r="F365" i="24" s="1"/>
  <c r="H365" i="24" s="1"/>
  <c r="W91" i="24"/>
  <c r="W248" i="24"/>
  <c r="W122" i="24"/>
  <c r="D114" i="24"/>
  <c r="E114" i="24" s="1"/>
  <c r="F114" i="24" s="1"/>
  <c r="G114" i="24" s="1"/>
  <c r="CE114" i="6" s="1"/>
  <c r="D259" i="24"/>
  <c r="E259" i="24" s="1"/>
  <c r="F259" i="24" s="1"/>
  <c r="G259" i="24" s="1"/>
  <c r="CE259" i="6" s="1"/>
  <c r="W90" i="24"/>
  <c r="W61" i="24"/>
  <c r="D139" i="24"/>
  <c r="E139" i="24" s="1"/>
  <c r="F139" i="24" s="1"/>
  <c r="D21" i="24"/>
  <c r="E21" i="24" s="1"/>
  <c r="F21" i="24" s="1"/>
  <c r="G21" i="24" s="1"/>
  <c r="CE21" i="6" s="1"/>
  <c r="H319" i="24"/>
  <c r="J319" i="24" s="1"/>
  <c r="AE383" i="24"/>
  <c r="AE381" i="24"/>
  <c r="W319" i="24"/>
  <c r="H328" i="24"/>
  <c r="J328" i="24" s="1"/>
  <c r="H140" i="24"/>
  <c r="I140" i="24" s="1"/>
  <c r="H327" i="24"/>
  <c r="I327" i="24" s="1"/>
  <c r="H372" i="24"/>
  <c r="J372" i="24" s="1"/>
  <c r="H248" i="24"/>
  <c r="J248" i="24" s="1"/>
  <c r="H292" i="24"/>
  <c r="I292" i="24" s="1"/>
  <c r="H69" i="24"/>
  <c r="J69" i="24" s="1"/>
  <c r="H257" i="24"/>
  <c r="I257" i="24" s="1"/>
  <c r="I135" i="23"/>
  <c r="J135" i="23"/>
  <c r="J46" i="23"/>
  <c r="I46" i="23"/>
  <c r="AA241" i="23"/>
  <c r="Z241" i="23" s="1"/>
  <c r="Y241" i="23" s="1"/>
  <c r="G241" i="23"/>
  <c r="CD241" i="6" s="1"/>
  <c r="W283" i="24"/>
  <c r="D283" i="24"/>
  <c r="E283" i="24" s="1"/>
  <c r="F283" i="24" s="1"/>
  <c r="H283" i="24" s="1"/>
  <c r="G268" i="24"/>
  <c r="CE268" i="6" s="1"/>
  <c r="H151" i="24"/>
  <c r="G151" i="24"/>
  <c r="CE151" i="6" s="1"/>
  <c r="H144" i="24"/>
  <c r="G144" i="24"/>
  <c r="CE144" i="6" s="1"/>
  <c r="H25" i="24"/>
  <c r="G25" i="24"/>
  <c r="CE25" i="6" s="1"/>
  <c r="H124" i="24"/>
  <c r="G124" i="24"/>
  <c r="CE124" i="6" s="1"/>
  <c r="H232" i="24"/>
  <c r="G232" i="24"/>
  <c r="CE232" i="6" s="1"/>
  <c r="H163" i="24"/>
  <c r="G163" i="24"/>
  <c r="CE163" i="6" s="1"/>
  <c r="G201" i="24"/>
  <c r="CE201" i="6" s="1"/>
  <c r="H201" i="24"/>
  <c r="G172" i="24"/>
  <c r="CE172" i="6" s="1"/>
  <c r="H185" i="24"/>
  <c r="G185" i="24"/>
  <c r="CE185" i="6" s="1"/>
  <c r="G266" i="24"/>
  <c r="CE266" i="6" s="1"/>
  <c r="H266" i="24"/>
  <c r="H338" i="24"/>
  <c r="G338" i="24"/>
  <c r="CE338" i="6" s="1"/>
  <c r="G17" i="24"/>
  <c r="CE17" i="6" s="1"/>
  <c r="H17" i="24"/>
  <c r="G256" i="24"/>
  <c r="CE256" i="6" s="1"/>
  <c r="H256" i="24"/>
  <c r="G120" i="24"/>
  <c r="CE120" i="6" s="1"/>
  <c r="H120" i="24"/>
  <c r="G344" i="24"/>
  <c r="CE344" i="6" s="1"/>
  <c r="H344" i="24"/>
  <c r="G164" i="24"/>
  <c r="CE164" i="6" s="1"/>
  <c r="H164" i="24"/>
  <c r="H224" i="24"/>
  <c r="G224" i="24"/>
  <c r="CE224" i="6" s="1"/>
  <c r="G200" i="24"/>
  <c r="CE200" i="6" s="1"/>
  <c r="H200" i="24"/>
  <c r="G109" i="24"/>
  <c r="CE109" i="6" s="1"/>
  <c r="H109" i="24"/>
  <c r="G347" i="24"/>
  <c r="CE347" i="6" s="1"/>
  <c r="H347" i="24"/>
  <c r="H167" i="24"/>
  <c r="G167" i="24"/>
  <c r="CE167" i="6" s="1"/>
  <c r="H326" i="24"/>
  <c r="G326" i="24"/>
  <c r="CE326" i="6" s="1"/>
  <c r="G328" i="24"/>
  <c r="CE328" i="6" s="1"/>
  <c r="G334" i="24"/>
  <c r="CE334" i="6" s="1"/>
  <c r="H334" i="24"/>
  <c r="G140" i="24"/>
  <c r="CE140" i="6" s="1"/>
  <c r="G248" i="24"/>
  <c r="CE248" i="6" s="1"/>
  <c r="G292" i="24"/>
  <c r="CE292" i="6" s="1"/>
  <c r="G212" i="24"/>
  <c r="CE212" i="6" s="1"/>
  <c r="G322" i="24"/>
  <c r="CE322" i="6" s="1"/>
  <c r="H322" i="24"/>
  <c r="H244" i="24"/>
  <c r="G244" i="24"/>
  <c r="CE244" i="6" s="1"/>
  <c r="H170" i="24"/>
  <c r="G170" i="24"/>
  <c r="CE170" i="6" s="1"/>
  <c r="H36" i="24"/>
  <c r="G36" i="24"/>
  <c r="CE36" i="6" s="1"/>
  <c r="H168" i="24"/>
  <c r="G168" i="24"/>
  <c r="CE168" i="6" s="1"/>
  <c r="H44" i="24"/>
  <c r="G44" i="24"/>
  <c r="CE44" i="6" s="1"/>
  <c r="H377" i="24"/>
  <c r="G377" i="24"/>
  <c r="CE377" i="6" s="1"/>
  <c r="G301" i="24"/>
  <c r="CE301" i="6" s="1"/>
  <c r="H301" i="24"/>
  <c r="G162" i="24"/>
  <c r="CE162" i="6" s="1"/>
  <c r="H57" i="24"/>
  <c r="G57" i="24"/>
  <c r="CE57" i="6" s="1"/>
  <c r="G56" i="24"/>
  <c r="CE56" i="6" s="1"/>
  <c r="H56" i="24"/>
  <c r="H260" i="24"/>
  <c r="G260" i="24"/>
  <c r="CE260" i="6" s="1"/>
  <c r="G280" i="24"/>
  <c r="CE280" i="6" s="1"/>
  <c r="H280" i="24"/>
  <c r="H245" i="24"/>
  <c r="G245" i="24"/>
  <c r="CE245" i="6" s="1"/>
  <c r="G332" i="24"/>
  <c r="CE332" i="6" s="1"/>
  <c r="H332" i="24"/>
  <c r="H291" i="24"/>
  <c r="G291" i="24"/>
  <c r="CE291" i="6" s="1"/>
  <c r="G152" i="24"/>
  <c r="CE152" i="6" s="1"/>
  <c r="H152" i="24"/>
  <c r="G331" i="24"/>
  <c r="CE331" i="6" s="1"/>
  <c r="H331" i="24"/>
  <c r="G136" i="24"/>
  <c r="CE136" i="6" s="1"/>
  <c r="G76" i="24"/>
  <c r="CE76" i="6" s="1"/>
  <c r="G210" i="23"/>
  <c r="CD210" i="6" s="1"/>
  <c r="AA210" i="23"/>
  <c r="Z210" i="23" s="1"/>
  <c r="Y210" i="23" s="1"/>
  <c r="J29" i="23"/>
  <c r="I29" i="23"/>
  <c r="H268" i="24"/>
  <c r="I74" i="23"/>
  <c r="J74" i="23"/>
  <c r="H212" i="24"/>
  <c r="G39" i="24"/>
  <c r="CE39" i="6" s="1"/>
  <c r="G372" i="24"/>
  <c r="CE372" i="6" s="1"/>
  <c r="G23" i="24"/>
  <c r="CE23" i="6" s="1"/>
  <c r="H23" i="24"/>
  <c r="H297" i="24"/>
  <c r="G297" i="24"/>
  <c r="CE297" i="6" s="1"/>
  <c r="H20" i="24"/>
  <c r="G20" i="24"/>
  <c r="CE20" i="6" s="1"/>
  <c r="G341" i="24"/>
  <c r="CE341" i="6" s="1"/>
  <c r="H341" i="24"/>
  <c r="H161" i="24"/>
  <c r="G161" i="24"/>
  <c r="CE161" i="6" s="1"/>
  <c r="G150" i="24"/>
  <c r="CE150" i="6" s="1"/>
  <c r="H150" i="24"/>
  <c r="G211" i="24"/>
  <c r="CE211" i="6" s="1"/>
  <c r="H211" i="24"/>
  <c r="Q382" i="24"/>
  <c r="Q381" i="24"/>
  <c r="H378" i="24"/>
  <c r="G378" i="24"/>
  <c r="CE378" i="6" s="1"/>
  <c r="G130" i="24"/>
  <c r="CE130" i="6" s="1"/>
  <c r="H130" i="24"/>
  <c r="G81" i="24"/>
  <c r="CE81" i="6" s="1"/>
  <c r="H81" i="24"/>
  <c r="H160" i="24"/>
  <c r="G160" i="24"/>
  <c r="CE160" i="6" s="1"/>
  <c r="G100" i="24"/>
  <c r="CE100" i="6" s="1"/>
  <c r="G19" i="24"/>
  <c r="CE19" i="6" s="1"/>
  <c r="H19" i="24"/>
  <c r="H362" i="24"/>
  <c r="G362" i="24"/>
  <c r="CE362" i="6" s="1"/>
  <c r="G273" i="24"/>
  <c r="CE273" i="6" s="1"/>
  <c r="H273" i="24"/>
  <c r="H376" i="24"/>
  <c r="G376" i="24"/>
  <c r="CE376" i="6" s="1"/>
  <c r="H337" i="24"/>
  <c r="G337" i="24"/>
  <c r="CE337" i="6" s="1"/>
  <c r="H34" i="24"/>
  <c r="G34" i="24"/>
  <c r="CE34" i="6" s="1"/>
  <c r="G303" i="24"/>
  <c r="CE303" i="6" s="1"/>
  <c r="H303" i="24"/>
  <c r="G141" i="24"/>
  <c r="CE141" i="6" s="1"/>
  <c r="H141" i="24"/>
  <c r="G321" i="24"/>
  <c r="CE321" i="6" s="1"/>
  <c r="H321" i="24"/>
  <c r="G184" i="24"/>
  <c r="CE184" i="6" s="1"/>
  <c r="H318" i="24"/>
  <c r="G318" i="24"/>
  <c r="CE318" i="6" s="1"/>
  <c r="G153" i="24"/>
  <c r="CE153" i="6" s="1"/>
  <c r="H153" i="24"/>
  <c r="H24" i="24"/>
  <c r="G24" i="24"/>
  <c r="CE24" i="6" s="1"/>
  <c r="G103" i="24"/>
  <c r="CE103" i="6" s="1"/>
  <c r="D288" i="24"/>
  <c r="E288" i="24" s="1"/>
  <c r="F288" i="24" s="1"/>
  <c r="W288" i="24"/>
  <c r="G262" i="24"/>
  <c r="CE262" i="6" s="1"/>
  <c r="G356" i="24"/>
  <c r="CE356" i="6" s="1"/>
  <c r="G340" i="24"/>
  <c r="CE340" i="6" s="1"/>
  <c r="H340" i="24"/>
  <c r="G221" i="24"/>
  <c r="CE221" i="6" s="1"/>
  <c r="G27" i="24"/>
  <c r="CE27" i="6" s="1"/>
  <c r="H27" i="24"/>
  <c r="H312" i="24"/>
  <c r="G312" i="24"/>
  <c r="CE312" i="6" s="1"/>
  <c r="H272" i="23"/>
  <c r="AA272" i="23"/>
  <c r="Z272" i="23" s="1"/>
  <c r="Y272" i="23" s="1"/>
  <c r="G272" i="23"/>
  <c r="CD272" i="6" s="1"/>
  <c r="H76" i="24"/>
  <c r="G333" i="23"/>
  <c r="CD333" i="6" s="1"/>
  <c r="AA333" i="23"/>
  <c r="Z333" i="23" s="1"/>
  <c r="Y333" i="23" s="1"/>
  <c r="G309" i="24"/>
  <c r="CE309" i="6" s="1"/>
  <c r="G295" i="24"/>
  <c r="CE295" i="6" s="1"/>
  <c r="H295" i="24"/>
  <c r="G233" i="24"/>
  <c r="CE233" i="6" s="1"/>
  <c r="H233" i="24"/>
  <c r="G253" i="24"/>
  <c r="CE253" i="6" s="1"/>
  <c r="G311" i="24"/>
  <c r="CE311" i="6" s="1"/>
  <c r="H311" i="24"/>
  <c r="H91" i="24"/>
  <c r="G91" i="24"/>
  <c r="CE91" i="6" s="1"/>
  <c r="H122" i="24"/>
  <c r="G122" i="24"/>
  <c r="CE122" i="6" s="1"/>
  <c r="G336" i="24"/>
  <c r="CE336" i="6" s="1"/>
  <c r="H336" i="24"/>
  <c r="G90" i="24"/>
  <c r="CE90" i="6" s="1"/>
  <c r="H90" i="24"/>
  <c r="G61" i="24"/>
  <c r="CE61" i="6" s="1"/>
  <c r="H61" i="24"/>
  <c r="J349" i="23"/>
  <c r="I349" i="23"/>
  <c r="I105" i="23"/>
  <c r="H105" i="24" s="1"/>
  <c r="I105" i="24" s="1"/>
  <c r="J105" i="23"/>
  <c r="G69" i="24"/>
  <c r="CE69" i="6" s="1"/>
  <c r="G257" i="24"/>
  <c r="CE257" i="6" s="1"/>
  <c r="H49" i="24"/>
  <c r="G49" i="24"/>
  <c r="CE49" i="6" s="1"/>
  <c r="G267" i="24"/>
  <c r="CE267" i="6" s="1"/>
  <c r="H267" i="24"/>
  <c r="Q383" i="24"/>
  <c r="G226" i="24"/>
  <c r="CE226" i="6" s="1"/>
  <c r="H226" i="24"/>
  <c r="G277" i="24"/>
  <c r="CE277" i="6" s="1"/>
  <c r="H277" i="24"/>
  <c r="H263" i="24"/>
  <c r="G263" i="24"/>
  <c r="CE263" i="6" s="1"/>
  <c r="D29" i="24"/>
  <c r="E29" i="24" s="1"/>
  <c r="F29" i="24" s="1"/>
  <c r="W29" i="24"/>
  <c r="G237" i="24"/>
  <c r="CE237" i="6" s="1"/>
  <c r="H237" i="24"/>
  <c r="H215" i="24"/>
  <c r="G215" i="24"/>
  <c r="CE215" i="6" s="1"/>
  <c r="G66" i="24"/>
  <c r="CE66" i="6" s="1"/>
  <c r="H66" i="24"/>
  <c r="G53" i="24"/>
  <c r="CE53" i="6" s="1"/>
  <c r="H53" i="24"/>
  <c r="G306" i="24"/>
  <c r="CE306" i="6" s="1"/>
  <c r="H306" i="24"/>
  <c r="G327" i="24"/>
  <c r="CE327" i="6" s="1"/>
  <c r="G116" i="24"/>
  <c r="CE116" i="6" s="1"/>
  <c r="G83" i="24"/>
  <c r="CE83" i="6" s="1"/>
  <c r="G271" i="24"/>
  <c r="CE271" i="6" s="1"/>
  <c r="G282" i="24"/>
  <c r="CE282" i="6" s="1"/>
  <c r="H282" i="24"/>
  <c r="G166" i="24"/>
  <c r="CE166" i="6" s="1"/>
  <c r="G126" i="24"/>
  <c r="CE126" i="6" s="1"/>
  <c r="G330" i="24"/>
  <c r="CE330" i="6" s="1"/>
  <c r="H330" i="24"/>
  <c r="G157" i="24"/>
  <c r="CE157" i="6" s="1"/>
  <c r="H157" i="24"/>
  <c r="G51" i="24"/>
  <c r="CE51" i="6" s="1"/>
  <c r="H51" i="24"/>
  <c r="G294" i="24"/>
  <c r="CE294" i="6" s="1"/>
  <c r="H294" i="24"/>
  <c r="G353" i="24"/>
  <c r="CE353" i="6" s="1"/>
  <c r="H353" i="24"/>
  <c r="BE15" i="7"/>
  <c r="Q10" i="25"/>
  <c r="AE11" i="25" s="1"/>
  <c r="H31" i="24"/>
  <c r="G31" i="24"/>
  <c r="CE31" i="6" s="1"/>
  <c r="H111" i="24"/>
  <c r="G111" i="24"/>
  <c r="CE111" i="6" s="1"/>
  <c r="G325" i="24"/>
  <c r="CE325" i="6" s="1"/>
  <c r="H325" i="24"/>
  <c r="J166" i="23"/>
  <c r="I166" i="23"/>
  <c r="H166" i="24" s="1"/>
  <c r="G302" i="23"/>
  <c r="CD302" i="6" s="1"/>
  <c r="AA302" i="23"/>
  <c r="Z302" i="23" s="1"/>
  <c r="Y302" i="23" s="1"/>
  <c r="J100" i="23" l="1"/>
  <c r="I100" i="23"/>
  <c r="H100" i="24" s="1"/>
  <c r="I100" i="24" s="1"/>
  <c r="J184" i="23"/>
  <c r="I184" i="23"/>
  <c r="H184" i="24" s="1"/>
  <c r="J184" i="24" s="1"/>
  <c r="H198" i="24"/>
  <c r="H360" i="24"/>
  <c r="J360" i="24" s="1"/>
  <c r="D234" i="24"/>
  <c r="E234" i="24" s="1"/>
  <c r="F234" i="24" s="1"/>
  <c r="G234" i="24" s="1"/>
  <c r="CE234" i="6" s="1"/>
  <c r="G128" i="24"/>
  <c r="CE128" i="6" s="1"/>
  <c r="G243" i="24"/>
  <c r="CE243" i="6" s="1"/>
  <c r="D121" i="24"/>
  <c r="E121" i="24" s="1"/>
  <c r="F121" i="24" s="1"/>
  <c r="G121" i="24" s="1"/>
  <c r="CE121" i="6" s="1"/>
  <c r="H374" i="24"/>
  <c r="I374" i="24" s="1"/>
  <c r="H231" i="24"/>
  <c r="J231" i="24" s="1"/>
  <c r="H254" i="24"/>
  <c r="J254" i="24" s="1"/>
  <c r="H369" i="24"/>
  <c r="J369" i="24" s="1"/>
  <c r="H351" i="24"/>
  <c r="J351" i="24" s="1"/>
  <c r="W162" i="24"/>
  <c r="D169" i="24"/>
  <c r="E169" i="24" s="1"/>
  <c r="F169" i="24" s="1"/>
  <c r="H169" i="24" s="1"/>
  <c r="H94" i="24"/>
  <c r="J94" i="24" s="1"/>
  <c r="W230" i="24"/>
  <c r="H366" i="24"/>
  <c r="J366" i="24" s="1"/>
  <c r="H73" i="24"/>
  <c r="J73" i="24" s="1"/>
  <c r="H87" i="24"/>
  <c r="J87" i="24" s="1"/>
  <c r="U126" i="25"/>
  <c r="T126" i="25" s="1"/>
  <c r="S126" i="25" s="1"/>
  <c r="R126" i="25" s="1"/>
  <c r="U228" i="25"/>
  <c r="T228" i="25" s="1"/>
  <c r="S228" i="25" s="1"/>
  <c r="R228" i="25" s="1"/>
  <c r="H65" i="24"/>
  <c r="J65" i="24" s="1"/>
  <c r="G42" i="24"/>
  <c r="CE42" i="6" s="1"/>
  <c r="H55" i="24"/>
  <c r="J55" i="24" s="1"/>
  <c r="W352" i="24"/>
  <c r="W92" i="24"/>
  <c r="D156" i="24"/>
  <c r="E156" i="24" s="1"/>
  <c r="F156" i="24" s="1"/>
  <c r="G156" i="24" s="1"/>
  <c r="CE156" i="6" s="1"/>
  <c r="W65" i="24"/>
  <c r="W368" i="24"/>
  <c r="W199" i="24"/>
  <c r="W366" i="24"/>
  <c r="D102" i="24"/>
  <c r="E102" i="24" s="1"/>
  <c r="F102" i="24" s="1"/>
  <c r="G102" i="24" s="1"/>
  <c r="CE102" i="6" s="1"/>
  <c r="D77" i="24"/>
  <c r="E77" i="24" s="1"/>
  <c r="F77" i="24" s="1"/>
  <c r="G77" i="24" s="1"/>
  <c r="CE77" i="6" s="1"/>
  <c r="D357" i="24"/>
  <c r="E357" i="24" s="1"/>
  <c r="F357" i="24" s="1"/>
  <c r="H357" i="24" s="1"/>
  <c r="J357" i="24" s="1"/>
  <c r="H98" i="24"/>
  <c r="I98" i="24" s="1"/>
  <c r="G350" i="24"/>
  <c r="CE350" i="6" s="1"/>
  <c r="H154" i="24"/>
  <c r="I154" i="24" s="1"/>
  <c r="G199" i="24"/>
  <c r="CE199" i="6" s="1"/>
  <c r="K69" i="19"/>
  <c r="G143" i="24"/>
  <c r="CE143" i="6" s="1"/>
  <c r="G69" i="19"/>
  <c r="D302" i="24"/>
  <c r="E302" i="24" s="1"/>
  <c r="F302" i="24" s="1"/>
  <c r="G302" i="24" s="1"/>
  <c r="CE302" i="6" s="1"/>
  <c r="H37" i="24"/>
  <c r="J37" i="24" s="1"/>
  <c r="H368" i="24"/>
  <c r="I368" i="24" s="1"/>
  <c r="H250" i="24"/>
  <c r="I250" i="24" s="1"/>
  <c r="G127" i="24"/>
  <c r="CE127" i="6" s="1"/>
  <c r="G352" i="24"/>
  <c r="CE352" i="6" s="1"/>
  <c r="G159" i="24"/>
  <c r="CE159" i="6" s="1"/>
  <c r="W37" i="24"/>
  <c r="W249" i="24"/>
  <c r="D179" i="24"/>
  <c r="E179" i="24" s="1"/>
  <c r="F179" i="24" s="1"/>
  <c r="H179" i="24" s="1"/>
  <c r="I179" i="24" s="1"/>
  <c r="D84" i="24"/>
  <c r="E84" i="24" s="1"/>
  <c r="F84" i="24" s="1"/>
  <c r="H84" i="24" s="1"/>
  <c r="J84" i="24" s="1"/>
  <c r="D300" i="24"/>
  <c r="E300" i="24" s="1"/>
  <c r="F300" i="24" s="1"/>
  <c r="H300" i="24" s="1"/>
  <c r="I300" i="24" s="1"/>
  <c r="D68" i="24"/>
  <c r="E68" i="24" s="1"/>
  <c r="F68" i="24" s="1"/>
  <c r="G68" i="24" s="1"/>
  <c r="CE68" i="6" s="1"/>
  <c r="W350" i="24"/>
  <c r="W250" i="24"/>
  <c r="H255" i="24"/>
  <c r="I255" i="24" s="1"/>
  <c r="H264" i="24"/>
  <c r="J264" i="24" s="1"/>
  <c r="H92" i="24"/>
  <c r="I92" i="24" s="1"/>
  <c r="W48" i="24"/>
  <c r="H48" i="24"/>
  <c r="I48" i="24" s="1"/>
  <c r="W159" i="24"/>
  <c r="W42" i="24"/>
  <c r="W314" i="24"/>
  <c r="D293" i="24"/>
  <c r="E293" i="24" s="1"/>
  <c r="F293" i="24" s="1"/>
  <c r="H293" i="24" s="1"/>
  <c r="J293" i="24" s="1"/>
  <c r="D35" i="24"/>
  <c r="E35" i="24" s="1"/>
  <c r="F35" i="24" s="1"/>
  <c r="G35" i="24" s="1"/>
  <c r="CE35" i="6" s="1"/>
  <c r="W55" i="24"/>
  <c r="W87" i="24"/>
  <c r="D299" i="24"/>
  <c r="E299" i="24" s="1"/>
  <c r="F299" i="24" s="1"/>
  <c r="G299" i="24" s="1"/>
  <c r="CE299" i="6" s="1"/>
  <c r="W128" i="24"/>
  <c r="W143" i="24"/>
  <c r="W243" i="24"/>
  <c r="D54" i="24"/>
  <c r="E54" i="24" s="1"/>
  <c r="F54" i="24" s="1"/>
  <c r="H54" i="24" s="1"/>
  <c r="J54" i="24" s="1"/>
  <c r="D324" i="24"/>
  <c r="E324" i="24" s="1"/>
  <c r="F324" i="24" s="1"/>
  <c r="H324" i="24" s="1"/>
  <c r="J324" i="24" s="1"/>
  <c r="D145" i="24"/>
  <c r="E145" i="24" s="1"/>
  <c r="F145" i="24" s="1"/>
  <c r="G145" i="24" s="1"/>
  <c r="CE145" i="6" s="1"/>
  <c r="D289" i="24"/>
  <c r="E289" i="24" s="1"/>
  <c r="F289" i="24" s="1"/>
  <c r="G289" i="24" s="1"/>
  <c r="CE289" i="6" s="1"/>
  <c r="D71" i="24"/>
  <c r="E71" i="24" s="1"/>
  <c r="F71" i="24" s="1"/>
  <c r="H71" i="24" s="1"/>
  <c r="J71" i="24" s="1"/>
  <c r="D110" i="24"/>
  <c r="E110" i="24" s="1"/>
  <c r="F110" i="24" s="1"/>
  <c r="H110" i="24" s="1"/>
  <c r="I110" i="24" s="1"/>
  <c r="D178" i="24"/>
  <c r="E178" i="24" s="1"/>
  <c r="F178" i="24" s="1"/>
  <c r="H178" i="24" s="1"/>
  <c r="J178" i="24" s="1"/>
  <c r="W73" i="24"/>
  <c r="D204" i="24"/>
  <c r="E204" i="24" s="1"/>
  <c r="F204" i="24" s="1"/>
  <c r="G204" i="24" s="1"/>
  <c r="CE204" i="6" s="1"/>
  <c r="D227" i="24"/>
  <c r="E227" i="24" s="1"/>
  <c r="F227" i="24" s="1"/>
  <c r="G227" i="24" s="1"/>
  <c r="CE227" i="6" s="1"/>
  <c r="W154" i="24"/>
  <c r="D89" i="24"/>
  <c r="E89" i="24" s="1"/>
  <c r="F89" i="24" s="1"/>
  <c r="H89" i="24" s="1"/>
  <c r="J89" i="24" s="1"/>
  <c r="W127" i="24"/>
  <c r="H249" i="24"/>
  <c r="I249" i="24" s="1"/>
  <c r="D265" i="24"/>
  <c r="E265" i="24" s="1"/>
  <c r="F265" i="24" s="1"/>
  <c r="G265" i="24" s="1"/>
  <c r="CE265" i="6" s="1"/>
  <c r="G230" i="24"/>
  <c r="CE230" i="6" s="1"/>
  <c r="I69" i="19"/>
  <c r="H16" i="24"/>
  <c r="I16" i="24" s="1"/>
  <c r="G276" i="24"/>
  <c r="CE276" i="6" s="1"/>
  <c r="G320" i="24"/>
  <c r="CE320" i="6" s="1"/>
  <c r="H125" i="24"/>
  <c r="I125" i="24" s="1"/>
  <c r="H40" i="24"/>
  <c r="I40" i="24" s="1"/>
  <c r="W112" i="24"/>
  <c r="W360" i="24"/>
  <c r="W74" i="24"/>
  <c r="W284" i="24"/>
  <c r="D138" i="24"/>
  <c r="E138" i="24" s="1"/>
  <c r="F138" i="24" s="1"/>
  <c r="H138" i="24" s="1"/>
  <c r="J138" i="24" s="1"/>
  <c r="W247" i="24"/>
  <c r="L69" i="19"/>
  <c r="G284" i="24"/>
  <c r="CE284" i="6" s="1"/>
  <c r="H251" i="24"/>
  <c r="J251" i="24" s="1"/>
  <c r="G247" i="24"/>
  <c r="CE247" i="6" s="1"/>
  <c r="G290" i="24"/>
  <c r="CE290" i="6" s="1"/>
  <c r="H123" i="24"/>
  <c r="J123" i="24" s="1"/>
  <c r="G205" i="24"/>
  <c r="CE205" i="6" s="1"/>
  <c r="G112" i="24"/>
  <c r="CE112" i="6" s="1"/>
  <c r="H47" i="24"/>
  <c r="I47" i="24" s="1"/>
  <c r="G26" i="24"/>
  <c r="CE26" i="6" s="1"/>
  <c r="W98" i="24"/>
  <c r="W320" i="24"/>
  <c r="W196" i="24"/>
  <c r="J69" i="19"/>
  <c r="H69" i="19"/>
  <c r="H225" i="24"/>
  <c r="J225" i="24" s="1"/>
  <c r="AH67" i="7"/>
  <c r="D101" i="24"/>
  <c r="E101" i="24" s="1"/>
  <c r="F101" i="24" s="1"/>
  <c r="G101" i="24" s="1"/>
  <c r="CE101" i="6" s="1"/>
  <c r="W290" i="24"/>
  <c r="W123" i="24"/>
  <c r="U302" i="25"/>
  <c r="T302" i="25" s="1"/>
  <c r="S302" i="25" s="1"/>
  <c r="R302" i="25" s="1"/>
  <c r="U184" i="25"/>
  <c r="T184" i="25" s="1"/>
  <c r="S184" i="25" s="1"/>
  <c r="R184" i="25" s="1"/>
  <c r="F69" i="19"/>
  <c r="D69" i="19"/>
  <c r="W205" i="24"/>
  <c r="W125" i="24"/>
  <c r="D203" i="24"/>
  <c r="E203" i="24" s="1"/>
  <c r="F203" i="24" s="1"/>
  <c r="G203" i="24" s="1"/>
  <c r="CE203" i="6" s="1"/>
  <c r="D173" i="24"/>
  <c r="E173" i="24" s="1"/>
  <c r="F173" i="24" s="1"/>
  <c r="H173" i="24" s="1"/>
  <c r="I173" i="24" s="1"/>
  <c r="W47" i="24"/>
  <c r="W351" i="24"/>
  <c r="W26" i="24"/>
  <c r="D335" i="24"/>
  <c r="E335" i="24" s="1"/>
  <c r="F335" i="24" s="1"/>
  <c r="H335" i="24" s="1"/>
  <c r="J335" i="24" s="1"/>
  <c r="D67" i="24"/>
  <c r="E67" i="24" s="1"/>
  <c r="F67" i="24" s="1"/>
  <c r="H67" i="24" s="1"/>
  <c r="I67" i="24" s="1"/>
  <c r="W40" i="24"/>
  <c r="D214" i="24"/>
  <c r="E214" i="24" s="1"/>
  <c r="F214" i="24" s="1"/>
  <c r="H214" i="24" s="1"/>
  <c r="J214" i="24" s="1"/>
  <c r="D270" i="24"/>
  <c r="E270" i="24" s="1"/>
  <c r="F270" i="24" s="1"/>
  <c r="G270" i="24" s="1"/>
  <c r="CE270" i="6" s="1"/>
  <c r="D208" i="24"/>
  <c r="E208" i="24" s="1"/>
  <c r="F208" i="24" s="1"/>
  <c r="H208" i="24" s="1"/>
  <c r="J208" i="24" s="1"/>
  <c r="D147" i="24"/>
  <c r="E147" i="24" s="1"/>
  <c r="F147" i="24" s="1"/>
  <c r="H147" i="24" s="1"/>
  <c r="I147" i="24" s="1"/>
  <c r="D286" i="24"/>
  <c r="E286" i="24" s="1"/>
  <c r="F286" i="24" s="1"/>
  <c r="H286" i="24" s="1"/>
  <c r="I286" i="24" s="1"/>
  <c r="D304" i="24"/>
  <c r="E304" i="24" s="1"/>
  <c r="F304" i="24" s="1"/>
  <c r="H304" i="24" s="1"/>
  <c r="J304" i="24" s="1"/>
  <c r="D298" i="24"/>
  <c r="E298" i="24" s="1"/>
  <c r="F298" i="24" s="1"/>
  <c r="G298" i="24" s="1"/>
  <c r="CE298" i="6" s="1"/>
  <c r="U92" i="25"/>
  <c r="T92" i="25" s="1"/>
  <c r="S92" i="25" s="1"/>
  <c r="R92" i="25" s="1"/>
  <c r="U62" i="25"/>
  <c r="T62" i="25" s="1"/>
  <c r="S62" i="25" s="1"/>
  <c r="R62" i="25" s="1"/>
  <c r="U70" i="25"/>
  <c r="T70" i="25" s="1"/>
  <c r="S70" i="25" s="1"/>
  <c r="R70" i="25" s="1"/>
  <c r="U53" i="25"/>
  <c r="T53" i="25" s="1"/>
  <c r="S53" i="25" s="1"/>
  <c r="R53" i="25" s="1"/>
  <c r="U37" i="25"/>
  <c r="T37" i="25" s="1"/>
  <c r="S37" i="25" s="1"/>
  <c r="R37" i="25" s="1"/>
  <c r="U280" i="25"/>
  <c r="T280" i="25" s="1"/>
  <c r="S280" i="25" s="1"/>
  <c r="R280" i="25" s="1"/>
  <c r="U368" i="25"/>
  <c r="T368" i="25" s="1"/>
  <c r="S368" i="25" s="1"/>
  <c r="R368" i="25" s="1"/>
  <c r="U318" i="25"/>
  <c r="T318" i="25" s="1"/>
  <c r="S318" i="25" s="1"/>
  <c r="R318" i="25" s="1"/>
  <c r="U227" i="25"/>
  <c r="T227" i="25" s="1"/>
  <c r="S227" i="25" s="1"/>
  <c r="R227" i="25" s="1"/>
  <c r="U288" i="25"/>
  <c r="T288" i="25" s="1"/>
  <c r="S288" i="25" s="1"/>
  <c r="R288" i="25" s="1"/>
  <c r="AD191" i="24"/>
  <c r="AA191" i="24" s="1"/>
  <c r="Z191" i="24" s="1"/>
  <c r="Y191" i="24" s="1"/>
  <c r="W221" i="24"/>
  <c r="D177" i="24"/>
  <c r="E177" i="24" s="1"/>
  <c r="F177" i="24" s="1"/>
  <c r="H177" i="24" s="1"/>
  <c r="J177" i="24" s="1"/>
  <c r="D220" i="24"/>
  <c r="E220" i="24" s="1"/>
  <c r="F220" i="24" s="1"/>
  <c r="G220" i="24" s="1"/>
  <c r="CE220" i="6" s="1"/>
  <c r="W276" i="24"/>
  <c r="W198" i="24"/>
  <c r="W251" i="24"/>
  <c r="W271" i="24"/>
  <c r="H196" i="24"/>
  <c r="J196" i="24" s="1"/>
  <c r="D96" i="24"/>
  <c r="E96" i="24" s="1"/>
  <c r="F96" i="24" s="1"/>
  <c r="G96" i="24" s="1"/>
  <c r="CE96" i="6" s="1"/>
  <c r="D339" i="24"/>
  <c r="E339" i="24" s="1"/>
  <c r="F339" i="24" s="1"/>
  <c r="G339" i="24" s="1"/>
  <c r="CE339" i="6" s="1"/>
  <c r="U305" i="25"/>
  <c r="T305" i="25" s="1"/>
  <c r="S305" i="25" s="1"/>
  <c r="R305" i="25" s="1"/>
  <c r="H278" i="24"/>
  <c r="J278" i="24" s="1"/>
  <c r="U234" i="25"/>
  <c r="T234" i="25" s="1"/>
  <c r="S234" i="25" s="1"/>
  <c r="R234" i="25" s="1"/>
  <c r="U347" i="25"/>
  <c r="T347" i="25" s="1"/>
  <c r="S347" i="25" s="1"/>
  <c r="R347" i="25" s="1"/>
  <c r="U301" i="25"/>
  <c r="T301" i="25" s="1"/>
  <c r="S301" i="25" s="1"/>
  <c r="R301" i="25" s="1"/>
  <c r="U166" i="25"/>
  <c r="T166" i="25" s="1"/>
  <c r="S166" i="25" s="1"/>
  <c r="R166" i="25" s="1"/>
  <c r="U291" i="25"/>
  <c r="T291" i="25" s="1"/>
  <c r="S291" i="25" s="1"/>
  <c r="R291" i="25" s="1"/>
  <c r="U108" i="25"/>
  <c r="T108" i="25" s="1"/>
  <c r="S108" i="25" s="1"/>
  <c r="R108" i="25" s="1"/>
  <c r="U265" i="25"/>
  <c r="T265" i="25" s="1"/>
  <c r="S265" i="25" s="1"/>
  <c r="R265" i="25" s="1"/>
  <c r="U188" i="25"/>
  <c r="T188" i="25" s="1"/>
  <c r="S188" i="25" s="1"/>
  <c r="R188" i="25" s="1"/>
  <c r="U112" i="25"/>
  <c r="T112" i="25" s="1"/>
  <c r="S112" i="25" s="1"/>
  <c r="R112" i="25" s="1"/>
  <c r="U331" i="25"/>
  <c r="T331" i="25" s="1"/>
  <c r="S331" i="25" s="1"/>
  <c r="R331" i="25" s="1"/>
  <c r="U115" i="25"/>
  <c r="T115" i="25" s="1"/>
  <c r="S115" i="25" s="1"/>
  <c r="R115" i="25" s="1"/>
  <c r="H104" i="24"/>
  <c r="J104" i="24" s="1"/>
  <c r="AH59" i="7"/>
  <c r="V119" i="24"/>
  <c r="E40" i="19"/>
  <c r="BG16" i="7"/>
  <c r="U60" i="25"/>
  <c r="T60" i="25" s="1"/>
  <c r="S60" i="25" s="1"/>
  <c r="R60" i="25" s="1"/>
  <c r="U30" i="25"/>
  <c r="T30" i="25" s="1"/>
  <c r="S30" i="25" s="1"/>
  <c r="R30" i="25" s="1"/>
  <c r="U15" i="25"/>
  <c r="U81" i="25"/>
  <c r="T81" i="25" s="1"/>
  <c r="S81" i="25" s="1"/>
  <c r="R81" i="25" s="1"/>
  <c r="U25" i="25"/>
  <c r="T25" i="25" s="1"/>
  <c r="S25" i="25" s="1"/>
  <c r="R25" i="25" s="1"/>
  <c r="U86" i="25"/>
  <c r="T86" i="25" s="1"/>
  <c r="S86" i="25" s="1"/>
  <c r="R86" i="25" s="1"/>
  <c r="U57" i="25"/>
  <c r="T57" i="25" s="1"/>
  <c r="S57" i="25" s="1"/>
  <c r="R57" i="25" s="1"/>
  <c r="U27" i="25"/>
  <c r="T27" i="25" s="1"/>
  <c r="S27" i="25" s="1"/>
  <c r="R27" i="25" s="1"/>
  <c r="U103" i="25"/>
  <c r="T103" i="25" s="1"/>
  <c r="S103" i="25" s="1"/>
  <c r="R103" i="25" s="1"/>
  <c r="U102" i="25"/>
  <c r="T102" i="25" s="1"/>
  <c r="S102" i="25" s="1"/>
  <c r="R102" i="25" s="1"/>
  <c r="U67" i="25"/>
  <c r="T67" i="25" s="1"/>
  <c r="S67" i="25" s="1"/>
  <c r="R67" i="25" s="1"/>
  <c r="U146" i="25"/>
  <c r="T146" i="25" s="1"/>
  <c r="S146" i="25" s="1"/>
  <c r="R146" i="25" s="1"/>
  <c r="U365" i="25"/>
  <c r="T365" i="25" s="1"/>
  <c r="S365" i="25" s="1"/>
  <c r="R365" i="25" s="1"/>
  <c r="U211" i="25"/>
  <c r="T211" i="25" s="1"/>
  <c r="S211" i="25" s="1"/>
  <c r="R211" i="25" s="1"/>
  <c r="U201" i="25"/>
  <c r="T201" i="25" s="1"/>
  <c r="S201" i="25" s="1"/>
  <c r="R201" i="25" s="1"/>
  <c r="U244" i="25"/>
  <c r="T244" i="25" s="1"/>
  <c r="S244" i="25" s="1"/>
  <c r="R244" i="25" s="1"/>
  <c r="U378" i="25"/>
  <c r="T378" i="25" s="1"/>
  <c r="S378" i="25" s="1"/>
  <c r="R378" i="25" s="1"/>
  <c r="U113" i="25"/>
  <c r="T113" i="25" s="1"/>
  <c r="S113" i="25" s="1"/>
  <c r="R113" i="25" s="1"/>
  <c r="U167" i="25"/>
  <c r="T167" i="25" s="1"/>
  <c r="S167" i="25" s="1"/>
  <c r="R167" i="25" s="1"/>
  <c r="U242" i="25"/>
  <c r="T242" i="25" s="1"/>
  <c r="S242" i="25" s="1"/>
  <c r="R242" i="25" s="1"/>
  <c r="U376" i="25"/>
  <c r="T376" i="25" s="1"/>
  <c r="S376" i="25" s="1"/>
  <c r="R376" i="25" s="1"/>
  <c r="U285" i="25"/>
  <c r="T285" i="25" s="1"/>
  <c r="S285" i="25" s="1"/>
  <c r="R285" i="25" s="1"/>
  <c r="U165" i="25"/>
  <c r="T165" i="25" s="1"/>
  <c r="S165" i="25" s="1"/>
  <c r="R165" i="25" s="1"/>
  <c r="U245" i="25"/>
  <c r="T245" i="25" s="1"/>
  <c r="S245" i="25" s="1"/>
  <c r="R245" i="25" s="1"/>
  <c r="U219" i="25"/>
  <c r="T219" i="25" s="1"/>
  <c r="S219" i="25" s="1"/>
  <c r="R219" i="25" s="1"/>
  <c r="U212" i="25"/>
  <c r="T212" i="25" s="1"/>
  <c r="S212" i="25" s="1"/>
  <c r="R212" i="25" s="1"/>
  <c r="U300" i="25"/>
  <c r="T300" i="25" s="1"/>
  <c r="S300" i="25" s="1"/>
  <c r="R300" i="25" s="1"/>
  <c r="U164" i="25"/>
  <c r="T164" i="25" s="1"/>
  <c r="S164" i="25" s="1"/>
  <c r="R164" i="25" s="1"/>
  <c r="U284" i="25"/>
  <c r="T284" i="25" s="1"/>
  <c r="S284" i="25" s="1"/>
  <c r="R284" i="25" s="1"/>
  <c r="U314" i="25"/>
  <c r="T314" i="25" s="1"/>
  <c r="S314" i="25" s="1"/>
  <c r="R314" i="25" s="1"/>
  <c r="U169" i="25"/>
  <c r="T169" i="25" s="1"/>
  <c r="S169" i="25" s="1"/>
  <c r="R169" i="25" s="1"/>
  <c r="U263" i="25"/>
  <c r="T263" i="25" s="1"/>
  <c r="S263" i="25" s="1"/>
  <c r="R263" i="25" s="1"/>
  <c r="U338" i="25"/>
  <c r="T338" i="25" s="1"/>
  <c r="S338" i="25" s="1"/>
  <c r="R338" i="25" s="1"/>
  <c r="AD260" i="24"/>
  <c r="AA260" i="24" s="1"/>
  <c r="Z260" i="24" s="1"/>
  <c r="Y260" i="24" s="1"/>
  <c r="AD347" i="24"/>
  <c r="AA347" i="24" s="1"/>
  <c r="Z347" i="24" s="1"/>
  <c r="Y347" i="24" s="1"/>
  <c r="F15" i="19"/>
  <c r="U267" i="25"/>
  <c r="T267" i="25" s="1"/>
  <c r="S267" i="25" s="1"/>
  <c r="R267" i="25" s="1"/>
  <c r="U74" i="25"/>
  <c r="T74" i="25" s="1"/>
  <c r="S74" i="25" s="1"/>
  <c r="R74" i="25" s="1"/>
  <c r="U50" i="25"/>
  <c r="T50" i="25" s="1"/>
  <c r="S50" i="25" s="1"/>
  <c r="R50" i="25" s="1"/>
  <c r="U63" i="25"/>
  <c r="T63" i="25" s="1"/>
  <c r="S63" i="25" s="1"/>
  <c r="R63" i="25" s="1"/>
  <c r="U35" i="25"/>
  <c r="T35" i="25" s="1"/>
  <c r="S35" i="25" s="1"/>
  <c r="R35" i="25" s="1"/>
  <c r="U72" i="25"/>
  <c r="T72" i="25" s="1"/>
  <c r="S72" i="25" s="1"/>
  <c r="R72" i="25" s="1"/>
  <c r="U95" i="25"/>
  <c r="T95" i="25" s="1"/>
  <c r="S95" i="25" s="1"/>
  <c r="R95" i="25" s="1"/>
  <c r="U29" i="25"/>
  <c r="T29" i="25" s="1"/>
  <c r="S29" i="25" s="1"/>
  <c r="R29" i="25" s="1"/>
  <c r="U51" i="25"/>
  <c r="T51" i="25" s="1"/>
  <c r="S51" i="25" s="1"/>
  <c r="R51" i="25" s="1"/>
  <c r="U73" i="25"/>
  <c r="T73" i="25" s="1"/>
  <c r="S73" i="25" s="1"/>
  <c r="R73" i="25" s="1"/>
  <c r="U39" i="25"/>
  <c r="T39" i="25" s="1"/>
  <c r="S39" i="25" s="1"/>
  <c r="R39" i="25" s="1"/>
  <c r="U59" i="25"/>
  <c r="T59" i="25" s="1"/>
  <c r="S59" i="25" s="1"/>
  <c r="R59" i="25" s="1"/>
  <c r="U76" i="25"/>
  <c r="T76" i="25" s="1"/>
  <c r="S76" i="25" s="1"/>
  <c r="R76" i="25" s="1"/>
  <c r="U84" i="25"/>
  <c r="T84" i="25" s="1"/>
  <c r="S84" i="25" s="1"/>
  <c r="R84" i="25" s="1"/>
  <c r="U64" i="25"/>
  <c r="T64" i="25" s="1"/>
  <c r="S64" i="25" s="1"/>
  <c r="R64" i="25" s="1"/>
  <c r="U80" i="25"/>
  <c r="T80" i="25" s="1"/>
  <c r="S80" i="25" s="1"/>
  <c r="R80" i="25" s="1"/>
  <c r="U23" i="25"/>
  <c r="T23" i="25" s="1"/>
  <c r="S23" i="25" s="1"/>
  <c r="R23" i="25" s="1"/>
  <c r="U43" i="25"/>
  <c r="T43" i="25" s="1"/>
  <c r="S43" i="25" s="1"/>
  <c r="R43" i="25" s="1"/>
  <c r="U66" i="25"/>
  <c r="T66" i="25" s="1"/>
  <c r="S66" i="25" s="1"/>
  <c r="R66" i="25" s="1"/>
  <c r="U71" i="25"/>
  <c r="T71" i="25" s="1"/>
  <c r="S71" i="25" s="1"/>
  <c r="R71" i="25" s="1"/>
  <c r="U49" i="25"/>
  <c r="T49" i="25" s="1"/>
  <c r="S49" i="25" s="1"/>
  <c r="R49" i="25" s="1"/>
  <c r="U42" i="25"/>
  <c r="T42" i="25" s="1"/>
  <c r="S42" i="25" s="1"/>
  <c r="R42" i="25" s="1"/>
  <c r="U36" i="25"/>
  <c r="T36" i="25" s="1"/>
  <c r="S36" i="25" s="1"/>
  <c r="R36" i="25" s="1"/>
  <c r="U342" i="25"/>
  <c r="T342" i="25" s="1"/>
  <c r="S342" i="25" s="1"/>
  <c r="R342" i="25" s="1"/>
  <c r="U222" i="25"/>
  <c r="T222" i="25" s="1"/>
  <c r="S222" i="25" s="1"/>
  <c r="R222" i="25" s="1"/>
  <c r="U332" i="25"/>
  <c r="T332" i="25" s="1"/>
  <c r="S332" i="25" s="1"/>
  <c r="R332" i="25" s="1"/>
  <c r="U177" i="25"/>
  <c r="T177" i="25" s="1"/>
  <c r="S177" i="25" s="1"/>
  <c r="R177" i="25" s="1"/>
  <c r="U320" i="25"/>
  <c r="T320" i="25" s="1"/>
  <c r="S320" i="25" s="1"/>
  <c r="R320" i="25" s="1"/>
  <c r="U193" i="25"/>
  <c r="T193" i="25" s="1"/>
  <c r="S193" i="25" s="1"/>
  <c r="R193" i="25" s="1"/>
  <c r="U119" i="25"/>
  <c r="T119" i="25" s="1"/>
  <c r="S119" i="25" s="1"/>
  <c r="R119" i="25" s="1"/>
  <c r="U259" i="25"/>
  <c r="T259" i="25" s="1"/>
  <c r="S259" i="25" s="1"/>
  <c r="R259" i="25" s="1"/>
  <c r="U210" i="25"/>
  <c r="T210" i="25" s="1"/>
  <c r="S210" i="25" s="1"/>
  <c r="R210" i="25" s="1"/>
  <c r="U286" i="25"/>
  <c r="T286" i="25" s="1"/>
  <c r="S286" i="25" s="1"/>
  <c r="R286" i="25" s="1"/>
  <c r="U247" i="25"/>
  <c r="T247" i="25" s="1"/>
  <c r="S247" i="25" s="1"/>
  <c r="R247" i="25" s="1"/>
  <c r="U140" i="25"/>
  <c r="T140" i="25" s="1"/>
  <c r="S140" i="25" s="1"/>
  <c r="R140" i="25" s="1"/>
  <c r="U335" i="25"/>
  <c r="T335" i="25" s="1"/>
  <c r="S335" i="25" s="1"/>
  <c r="R335" i="25" s="1"/>
  <c r="U260" i="25"/>
  <c r="T260" i="25" s="1"/>
  <c r="S260" i="25" s="1"/>
  <c r="R260" i="25" s="1"/>
  <c r="U120" i="25"/>
  <c r="T120" i="25" s="1"/>
  <c r="S120" i="25" s="1"/>
  <c r="R120" i="25" s="1"/>
  <c r="U233" i="25"/>
  <c r="T233" i="25" s="1"/>
  <c r="S233" i="25" s="1"/>
  <c r="R233" i="25" s="1"/>
  <c r="U333" i="25"/>
  <c r="T333" i="25" s="1"/>
  <c r="S333" i="25" s="1"/>
  <c r="R333" i="25" s="1"/>
  <c r="U276" i="25"/>
  <c r="T276" i="25" s="1"/>
  <c r="S276" i="25" s="1"/>
  <c r="R276" i="25" s="1"/>
  <c r="U144" i="25"/>
  <c r="T144" i="25" s="1"/>
  <c r="S144" i="25" s="1"/>
  <c r="R144" i="25" s="1"/>
  <c r="U346" i="25"/>
  <c r="T346" i="25" s="1"/>
  <c r="S346" i="25" s="1"/>
  <c r="R346" i="25" s="1"/>
  <c r="U243" i="25"/>
  <c r="T243" i="25" s="1"/>
  <c r="S243" i="25" s="1"/>
  <c r="R243" i="25" s="1"/>
  <c r="U194" i="25"/>
  <c r="T194" i="25" s="1"/>
  <c r="S194" i="25" s="1"/>
  <c r="R194" i="25" s="1"/>
  <c r="U379" i="25"/>
  <c r="T379" i="25" s="1"/>
  <c r="S379" i="25" s="1"/>
  <c r="R379" i="25" s="1"/>
  <c r="U328" i="25"/>
  <c r="T328" i="25" s="1"/>
  <c r="S328" i="25" s="1"/>
  <c r="R328" i="25" s="1"/>
  <c r="U161" i="25"/>
  <c r="T161" i="25" s="1"/>
  <c r="S161" i="25" s="1"/>
  <c r="R161" i="25" s="1"/>
  <c r="U311" i="25"/>
  <c r="T311" i="25" s="1"/>
  <c r="S311" i="25" s="1"/>
  <c r="R311" i="25" s="1"/>
  <c r="U143" i="25"/>
  <c r="T143" i="25" s="1"/>
  <c r="S143" i="25" s="1"/>
  <c r="R143" i="25" s="1"/>
  <c r="U192" i="25"/>
  <c r="T192" i="25" s="1"/>
  <c r="S192" i="25" s="1"/>
  <c r="R192" i="25" s="1"/>
  <c r="U141" i="25"/>
  <c r="T141" i="25" s="1"/>
  <c r="S141" i="25" s="1"/>
  <c r="R141" i="25" s="1"/>
  <c r="U149" i="25"/>
  <c r="T149" i="25" s="1"/>
  <c r="S149" i="25" s="1"/>
  <c r="R149" i="25" s="1"/>
  <c r="U282" i="25"/>
  <c r="T282" i="25" s="1"/>
  <c r="S282" i="25" s="1"/>
  <c r="R282" i="25" s="1"/>
  <c r="U326" i="25"/>
  <c r="T326" i="25" s="1"/>
  <c r="S326" i="25" s="1"/>
  <c r="R326" i="25" s="1"/>
  <c r="U130" i="25"/>
  <c r="T130" i="25" s="1"/>
  <c r="S130" i="25" s="1"/>
  <c r="R130" i="25" s="1"/>
  <c r="U206" i="25"/>
  <c r="T206" i="25" s="1"/>
  <c r="S206" i="25" s="1"/>
  <c r="R206" i="25" s="1"/>
  <c r="U327" i="25"/>
  <c r="T327" i="25" s="1"/>
  <c r="S327" i="25" s="1"/>
  <c r="R327" i="25" s="1"/>
  <c r="U255" i="25"/>
  <c r="T255" i="25" s="1"/>
  <c r="S255" i="25" s="1"/>
  <c r="R255" i="25" s="1"/>
  <c r="U304" i="25"/>
  <c r="T304" i="25" s="1"/>
  <c r="S304" i="25" s="1"/>
  <c r="R304" i="25" s="1"/>
  <c r="U125" i="25"/>
  <c r="T125" i="25" s="1"/>
  <c r="S125" i="25" s="1"/>
  <c r="R125" i="25" s="1"/>
  <c r="U296" i="25"/>
  <c r="T296" i="25" s="1"/>
  <c r="S296" i="25" s="1"/>
  <c r="R296" i="25" s="1"/>
  <c r="U118" i="25"/>
  <c r="T118" i="25" s="1"/>
  <c r="S118" i="25" s="1"/>
  <c r="R118" i="25" s="1"/>
  <c r="U235" i="25"/>
  <c r="T235" i="25" s="1"/>
  <c r="S235" i="25" s="1"/>
  <c r="R235" i="25" s="1"/>
  <c r="U329" i="25"/>
  <c r="T329" i="25" s="1"/>
  <c r="S329" i="25" s="1"/>
  <c r="R329" i="25" s="1"/>
  <c r="U173" i="25"/>
  <c r="T173" i="25" s="1"/>
  <c r="S173" i="25" s="1"/>
  <c r="R173" i="25" s="1"/>
  <c r="U116" i="25"/>
  <c r="T116" i="25" s="1"/>
  <c r="S116" i="25" s="1"/>
  <c r="R116" i="25" s="1"/>
  <c r="U240" i="25"/>
  <c r="T240" i="25" s="1"/>
  <c r="S240" i="25" s="1"/>
  <c r="R240" i="25" s="1"/>
  <c r="AD108" i="24"/>
  <c r="AA108" i="24" s="1"/>
  <c r="Z108" i="24" s="1"/>
  <c r="Y108" i="24" s="1"/>
  <c r="AD20" i="24"/>
  <c r="AA20" i="24" s="1"/>
  <c r="Z20" i="24" s="1"/>
  <c r="Y20" i="24" s="1"/>
  <c r="AD162" i="24"/>
  <c r="AA162" i="24" s="1"/>
  <c r="Z162" i="24" s="1"/>
  <c r="Y162" i="24" s="1"/>
  <c r="AD142" i="24"/>
  <c r="AA142" i="24" s="1"/>
  <c r="Z142" i="24" s="1"/>
  <c r="Y142" i="24" s="1"/>
  <c r="AD269" i="24"/>
  <c r="AA269" i="24" s="1"/>
  <c r="Z269" i="24" s="1"/>
  <c r="Y269" i="24" s="1"/>
  <c r="U354" i="25"/>
  <c r="T354" i="25" s="1"/>
  <c r="S354" i="25" s="1"/>
  <c r="R354" i="25" s="1"/>
  <c r="U250" i="25"/>
  <c r="T250" i="25" s="1"/>
  <c r="S250" i="25" s="1"/>
  <c r="R250" i="25" s="1"/>
  <c r="U190" i="25"/>
  <c r="T190" i="25" s="1"/>
  <c r="S190" i="25" s="1"/>
  <c r="R190" i="25" s="1"/>
  <c r="G32" i="24"/>
  <c r="CE32" i="6" s="1"/>
  <c r="G132" i="24"/>
  <c r="CE132" i="6" s="1"/>
  <c r="H258" i="24"/>
  <c r="I258" i="24" s="1"/>
  <c r="AA193" i="24"/>
  <c r="Z193" i="24" s="1"/>
  <c r="Y193" i="24" s="1"/>
  <c r="U163" i="25"/>
  <c r="T163" i="25" s="1"/>
  <c r="S163" i="25" s="1"/>
  <c r="R163" i="25" s="1"/>
  <c r="U174" i="25"/>
  <c r="T174" i="25" s="1"/>
  <c r="S174" i="25" s="1"/>
  <c r="R174" i="25" s="1"/>
  <c r="U186" i="25"/>
  <c r="T186" i="25" s="1"/>
  <c r="S186" i="25" s="1"/>
  <c r="R186" i="25" s="1"/>
  <c r="G28" i="24"/>
  <c r="CE28" i="6" s="1"/>
  <c r="H62" i="24"/>
  <c r="I62" i="24" s="1"/>
  <c r="H22" i="24"/>
  <c r="J22" i="24" s="1"/>
  <c r="G296" i="24"/>
  <c r="CE296" i="6" s="1"/>
  <c r="G281" i="24"/>
  <c r="CE281" i="6" s="1"/>
  <c r="H52" i="24"/>
  <c r="J52" i="24" s="1"/>
  <c r="H63" i="24"/>
  <c r="J63" i="24" s="1"/>
  <c r="G264" i="24"/>
  <c r="CE264" i="6" s="1"/>
  <c r="G345" i="24"/>
  <c r="CE345" i="6" s="1"/>
  <c r="H323" i="24"/>
  <c r="I323" i="24" s="1"/>
  <c r="G369" i="24"/>
  <c r="CE369" i="6" s="1"/>
  <c r="H375" i="24"/>
  <c r="J375" i="24" s="1"/>
  <c r="H373" i="24"/>
  <c r="J373" i="24" s="1"/>
  <c r="H106" i="24"/>
  <c r="J106" i="24" s="1"/>
  <c r="G254" i="24"/>
  <c r="CE254" i="6" s="1"/>
  <c r="H269" i="24"/>
  <c r="I269" i="24" s="1"/>
  <c r="G72" i="24"/>
  <c r="CE72" i="6" s="1"/>
  <c r="H194" i="24"/>
  <c r="J194" i="24" s="1"/>
  <c r="I379" i="23"/>
  <c r="H379" i="24" s="1"/>
  <c r="G59" i="24"/>
  <c r="CE59" i="6" s="1"/>
  <c r="G129" i="24"/>
  <c r="CE129" i="6" s="1"/>
  <c r="H95" i="24"/>
  <c r="I95" i="24" s="1"/>
  <c r="G231" i="24"/>
  <c r="CE231" i="6" s="1"/>
  <c r="H82" i="24"/>
  <c r="I82" i="24" s="1"/>
  <c r="G374" i="24"/>
  <c r="CE374" i="6" s="1"/>
  <c r="H279" i="24"/>
  <c r="J279" i="24" s="1"/>
  <c r="G305" i="24"/>
  <c r="CE305" i="6" s="1"/>
  <c r="H222" i="24"/>
  <c r="J222" i="24" s="1"/>
  <c r="G359" i="24"/>
  <c r="CE359" i="6" s="1"/>
  <c r="G104" i="24"/>
  <c r="CE104" i="6" s="1"/>
  <c r="H239" i="24"/>
  <c r="I239" i="24" s="1"/>
  <c r="G58" i="24"/>
  <c r="CE58" i="6" s="1"/>
  <c r="G316" i="24"/>
  <c r="CE316" i="6" s="1"/>
  <c r="H148" i="24"/>
  <c r="I148" i="24" s="1"/>
  <c r="G113" i="24"/>
  <c r="CE113" i="6" s="1"/>
  <c r="G183" i="24"/>
  <c r="CE183" i="6" s="1"/>
  <c r="H97" i="24"/>
  <c r="I97" i="24" s="1"/>
  <c r="G202" i="24"/>
  <c r="CE202" i="6" s="1"/>
  <c r="G131" i="24"/>
  <c r="CE131" i="6" s="1"/>
  <c r="G94" i="24"/>
  <c r="CE94" i="6" s="1"/>
  <c r="G255" i="24"/>
  <c r="CE255" i="6" s="1"/>
  <c r="H317" i="24"/>
  <c r="J317" i="24" s="1"/>
  <c r="H146" i="24"/>
  <c r="J146" i="24" s="1"/>
  <c r="H135" i="24"/>
  <c r="I135" i="24" s="1"/>
  <c r="H41" i="24"/>
  <c r="J41" i="24" s="1"/>
  <c r="H175" i="24"/>
  <c r="J175" i="24" s="1"/>
  <c r="H246" i="24"/>
  <c r="J246" i="24" s="1"/>
  <c r="H370" i="24"/>
  <c r="J370" i="24" s="1"/>
  <c r="H93" i="24"/>
  <c r="J93" i="24" s="1"/>
  <c r="H235" i="24"/>
  <c r="J235" i="24" s="1"/>
  <c r="G182" i="24"/>
  <c r="CE182" i="6" s="1"/>
  <c r="H285" i="24"/>
  <c r="J285" i="24" s="1"/>
  <c r="H216" i="24"/>
  <c r="I216" i="24" s="1"/>
  <c r="G206" i="24"/>
  <c r="CE206" i="6" s="1"/>
  <c r="G195" i="24"/>
  <c r="CE195" i="6" s="1"/>
  <c r="G358" i="24"/>
  <c r="CE358" i="6" s="1"/>
  <c r="H86" i="24"/>
  <c r="I86" i="24" s="1"/>
  <c r="G134" i="24"/>
  <c r="CE134" i="6" s="1"/>
  <c r="G79" i="24"/>
  <c r="CE79" i="6" s="1"/>
  <c r="H217" i="24"/>
  <c r="J217" i="24" s="1"/>
  <c r="H197" i="24"/>
  <c r="I197" i="24" s="1"/>
  <c r="H329" i="24"/>
  <c r="I329" i="24" s="1"/>
  <c r="G171" i="24"/>
  <c r="CE171" i="6" s="1"/>
  <c r="G80" i="24"/>
  <c r="CE80" i="6" s="1"/>
  <c r="G223" i="24"/>
  <c r="CE223" i="6" s="1"/>
  <c r="H64" i="24"/>
  <c r="J64" i="24" s="1"/>
  <c r="H361" i="24"/>
  <c r="I361" i="24" s="1"/>
  <c r="H74" i="24"/>
  <c r="I74" i="24" s="1"/>
  <c r="U55" i="25"/>
  <c r="T55" i="25" s="1"/>
  <c r="S55" i="25" s="1"/>
  <c r="R55" i="25" s="1"/>
  <c r="U75" i="25"/>
  <c r="T75" i="25" s="1"/>
  <c r="S75" i="25" s="1"/>
  <c r="R75" i="25" s="1"/>
  <c r="U87" i="25"/>
  <c r="T87" i="25" s="1"/>
  <c r="S87" i="25" s="1"/>
  <c r="R87" i="25" s="1"/>
  <c r="U31" i="25"/>
  <c r="T31" i="25" s="1"/>
  <c r="S31" i="25" s="1"/>
  <c r="R31" i="25" s="1"/>
  <c r="U26" i="25"/>
  <c r="T26" i="25" s="1"/>
  <c r="S26" i="25" s="1"/>
  <c r="R26" i="25" s="1"/>
  <c r="U45" i="25"/>
  <c r="T45" i="25" s="1"/>
  <c r="S45" i="25" s="1"/>
  <c r="R45" i="25" s="1"/>
  <c r="U97" i="25"/>
  <c r="T97" i="25" s="1"/>
  <c r="S97" i="25" s="1"/>
  <c r="R97" i="25" s="1"/>
  <c r="U88" i="25"/>
  <c r="T88" i="25" s="1"/>
  <c r="S88" i="25" s="1"/>
  <c r="R88" i="25" s="1"/>
  <c r="U61" i="25"/>
  <c r="T61" i="25" s="1"/>
  <c r="S61" i="25" s="1"/>
  <c r="R61" i="25" s="1"/>
  <c r="U46" i="25"/>
  <c r="T46" i="25" s="1"/>
  <c r="S46" i="25" s="1"/>
  <c r="R46" i="25" s="1"/>
  <c r="U58" i="25"/>
  <c r="T58" i="25" s="1"/>
  <c r="S58" i="25" s="1"/>
  <c r="R58" i="25" s="1"/>
  <c r="U77" i="25"/>
  <c r="T77" i="25" s="1"/>
  <c r="S77" i="25" s="1"/>
  <c r="R77" i="25" s="1"/>
  <c r="U20" i="25"/>
  <c r="T20" i="25" s="1"/>
  <c r="S20" i="25" s="1"/>
  <c r="R20" i="25" s="1"/>
  <c r="U90" i="25"/>
  <c r="T90" i="25" s="1"/>
  <c r="S90" i="25" s="1"/>
  <c r="R90" i="25" s="1"/>
  <c r="U47" i="25"/>
  <c r="T47" i="25" s="1"/>
  <c r="S47" i="25" s="1"/>
  <c r="R47" i="25" s="1"/>
  <c r="U56" i="25"/>
  <c r="T56" i="25" s="1"/>
  <c r="S56" i="25" s="1"/>
  <c r="R56" i="25" s="1"/>
  <c r="U16" i="25"/>
  <c r="T16" i="25" s="1"/>
  <c r="S16" i="25" s="1"/>
  <c r="R16" i="25" s="1"/>
  <c r="U94" i="25"/>
  <c r="T94" i="25" s="1"/>
  <c r="S94" i="25" s="1"/>
  <c r="R94" i="25" s="1"/>
  <c r="U68" i="25"/>
  <c r="T68" i="25" s="1"/>
  <c r="S68" i="25" s="1"/>
  <c r="R68" i="25" s="1"/>
  <c r="U65" i="25"/>
  <c r="T65" i="25" s="1"/>
  <c r="S65" i="25" s="1"/>
  <c r="R65" i="25" s="1"/>
  <c r="U44" i="25"/>
  <c r="T44" i="25" s="1"/>
  <c r="S44" i="25" s="1"/>
  <c r="R44" i="25" s="1"/>
  <c r="U17" i="25"/>
  <c r="T17" i="25" s="1"/>
  <c r="S17" i="25" s="1"/>
  <c r="R17" i="25" s="1"/>
  <c r="U101" i="25"/>
  <c r="T101" i="25" s="1"/>
  <c r="S101" i="25" s="1"/>
  <c r="R101" i="25" s="1"/>
  <c r="U33" i="25"/>
  <c r="T33" i="25" s="1"/>
  <c r="S33" i="25" s="1"/>
  <c r="R33" i="25" s="1"/>
  <c r="U18" i="25"/>
  <c r="T18" i="25" s="1"/>
  <c r="S18" i="25" s="1"/>
  <c r="R18" i="25" s="1"/>
  <c r="U24" i="25"/>
  <c r="T24" i="25" s="1"/>
  <c r="S24" i="25" s="1"/>
  <c r="R24" i="25" s="1"/>
  <c r="U21" i="25"/>
  <c r="T21" i="25" s="1"/>
  <c r="S21" i="25" s="1"/>
  <c r="R21" i="25" s="1"/>
  <c r="U22" i="25"/>
  <c r="T22" i="25" s="1"/>
  <c r="S22" i="25" s="1"/>
  <c r="R22" i="25" s="1"/>
  <c r="U82" i="25"/>
  <c r="T82" i="25" s="1"/>
  <c r="S82" i="25" s="1"/>
  <c r="R82" i="25" s="1"/>
  <c r="U38" i="25"/>
  <c r="T38" i="25" s="1"/>
  <c r="S38" i="25" s="1"/>
  <c r="R38" i="25" s="1"/>
  <c r="U98" i="25"/>
  <c r="T98" i="25" s="1"/>
  <c r="S98" i="25" s="1"/>
  <c r="R98" i="25" s="1"/>
  <c r="U69" i="25"/>
  <c r="T69" i="25" s="1"/>
  <c r="S69" i="25" s="1"/>
  <c r="R69" i="25" s="1"/>
  <c r="U89" i="25"/>
  <c r="T89" i="25" s="1"/>
  <c r="S89" i="25" s="1"/>
  <c r="R89" i="25" s="1"/>
  <c r="U96" i="25"/>
  <c r="T96" i="25" s="1"/>
  <c r="S96" i="25" s="1"/>
  <c r="R96" i="25" s="1"/>
  <c r="U85" i="25"/>
  <c r="T85" i="25" s="1"/>
  <c r="S85" i="25" s="1"/>
  <c r="R85" i="25" s="1"/>
  <c r="U48" i="25"/>
  <c r="T48" i="25" s="1"/>
  <c r="S48" i="25" s="1"/>
  <c r="R48" i="25" s="1"/>
  <c r="U100" i="25"/>
  <c r="T100" i="25" s="1"/>
  <c r="S100" i="25" s="1"/>
  <c r="R100" i="25" s="1"/>
  <c r="U52" i="25"/>
  <c r="T52" i="25" s="1"/>
  <c r="S52" i="25" s="1"/>
  <c r="R52" i="25" s="1"/>
  <c r="U99" i="25"/>
  <c r="T99" i="25" s="1"/>
  <c r="S99" i="25" s="1"/>
  <c r="R99" i="25" s="1"/>
  <c r="U34" i="25"/>
  <c r="T34" i="25" s="1"/>
  <c r="S34" i="25" s="1"/>
  <c r="R34" i="25" s="1"/>
  <c r="U83" i="25"/>
  <c r="T83" i="25" s="1"/>
  <c r="S83" i="25" s="1"/>
  <c r="R83" i="25" s="1"/>
  <c r="U40" i="25"/>
  <c r="T40" i="25" s="1"/>
  <c r="S40" i="25" s="1"/>
  <c r="R40" i="25" s="1"/>
  <c r="U41" i="25"/>
  <c r="T41" i="25" s="1"/>
  <c r="S41" i="25" s="1"/>
  <c r="R41" i="25" s="1"/>
  <c r="U93" i="25"/>
  <c r="T93" i="25" s="1"/>
  <c r="S93" i="25" s="1"/>
  <c r="R93" i="25" s="1"/>
  <c r="U78" i="25"/>
  <c r="T78" i="25" s="1"/>
  <c r="S78" i="25" s="1"/>
  <c r="R78" i="25" s="1"/>
  <c r="U179" i="25"/>
  <c r="T179" i="25" s="1"/>
  <c r="S179" i="25" s="1"/>
  <c r="R179" i="25" s="1"/>
  <c r="U128" i="25"/>
  <c r="T128" i="25" s="1"/>
  <c r="S128" i="25" s="1"/>
  <c r="R128" i="25" s="1"/>
  <c r="U289" i="25"/>
  <c r="T289" i="25" s="1"/>
  <c r="S289" i="25" s="1"/>
  <c r="R289" i="25" s="1"/>
  <c r="U373" i="25"/>
  <c r="T373" i="25" s="1"/>
  <c r="S373" i="25" s="1"/>
  <c r="R373" i="25" s="1"/>
  <c r="U185" i="25"/>
  <c r="T185" i="25" s="1"/>
  <c r="S185" i="25" s="1"/>
  <c r="R185" i="25" s="1"/>
  <c r="U230" i="25"/>
  <c r="T230" i="25" s="1"/>
  <c r="S230" i="25" s="1"/>
  <c r="R230" i="25" s="1"/>
  <c r="U271" i="25"/>
  <c r="T271" i="25" s="1"/>
  <c r="S271" i="25" s="1"/>
  <c r="R271" i="25" s="1"/>
  <c r="U196" i="25"/>
  <c r="T196" i="25" s="1"/>
  <c r="S196" i="25" s="1"/>
  <c r="R196" i="25" s="1"/>
  <c r="U133" i="25"/>
  <c r="T133" i="25" s="1"/>
  <c r="S133" i="25" s="1"/>
  <c r="R133" i="25" s="1"/>
  <c r="U266" i="25"/>
  <c r="T266" i="25" s="1"/>
  <c r="S266" i="25" s="1"/>
  <c r="R266" i="25" s="1"/>
  <c r="U374" i="25"/>
  <c r="T374" i="25" s="1"/>
  <c r="S374" i="25" s="1"/>
  <c r="R374" i="25" s="1"/>
  <c r="U340" i="25"/>
  <c r="T340" i="25" s="1"/>
  <c r="S340" i="25" s="1"/>
  <c r="R340" i="25" s="1"/>
  <c r="U277" i="25"/>
  <c r="T277" i="25" s="1"/>
  <c r="S277" i="25" s="1"/>
  <c r="R277" i="25" s="1"/>
  <c r="U298" i="25"/>
  <c r="T298" i="25" s="1"/>
  <c r="S298" i="25" s="1"/>
  <c r="R298" i="25" s="1"/>
  <c r="U348" i="25"/>
  <c r="T348" i="25" s="1"/>
  <c r="S348" i="25" s="1"/>
  <c r="R348" i="25" s="1"/>
  <c r="U150" i="25"/>
  <c r="T150" i="25" s="1"/>
  <c r="S150" i="25" s="1"/>
  <c r="R150" i="25" s="1"/>
  <c r="U319" i="25"/>
  <c r="T319" i="25" s="1"/>
  <c r="S319" i="25" s="1"/>
  <c r="R319" i="25" s="1"/>
  <c r="U353" i="25"/>
  <c r="T353" i="25" s="1"/>
  <c r="S353" i="25" s="1"/>
  <c r="R353" i="25" s="1"/>
  <c r="U139" i="25"/>
  <c r="T139" i="25" s="1"/>
  <c r="S139" i="25" s="1"/>
  <c r="R139" i="25" s="1"/>
  <c r="U181" i="25"/>
  <c r="T181" i="25" s="1"/>
  <c r="S181" i="25" s="1"/>
  <c r="R181" i="25" s="1"/>
  <c r="U344" i="25"/>
  <c r="T344" i="25" s="1"/>
  <c r="S344" i="25" s="1"/>
  <c r="R344" i="25" s="1"/>
  <c r="U122" i="25"/>
  <c r="T122" i="25" s="1"/>
  <c r="S122" i="25" s="1"/>
  <c r="R122" i="25" s="1"/>
  <c r="U249" i="25"/>
  <c r="T249" i="25" s="1"/>
  <c r="S249" i="25" s="1"/>
  <c r="R249" i="25" s="1"/>
  <c r="U275" i="25"/>
  <c r="T275" i="25" s="1"/>
  <c r="S275" i="25" s="1"/>
  <c r="R275" i="25" s="1"/>
  <c r="U317" i="25"/>
  <c r="T317" i="25" s="1"/>
  <c r="S317" i="25" s="1"/>
  <c r="R317" i="25" s="1"/>
  <c r="U226" i="25"/>
  <c r="T226" i="25" s="1"/>
  <c r="S226" i="25" s="1"/>
  <c r="R226" i="25" s="1"/>
  <c r="U369" i="25"/>
  <c r="T369" i="25" s="1"/>
  <c r="S369" i="25" s="1"/>
  <c r="R369" i="25" s="1"/>
  <c r="U155" i="25"/>
  <c r="T155" i="25" s="1"/>
  <c r="S155" i="25" s="1"/>
  <c r="R155" i="25" s="1"/>
  <c r="U197" i="25"/>
  <c r="T197" i="25" s="1"/>
  <c r="S197" i="25" s="1"/>
  <c r="R197" i="25" s="1"/>
  <c r="U360" i="25"/>
  <c r="T360" i="25" s="1"/>
  <c r="S360" i="25" s="1"/>
  <c r="R360" i="25" s="1"/>
  <c r="U330" i="25"/>
  <c r="T330" i="25" s="1"/>
  <c r="S330" i="25" s="1"/>
  <c r="R330" i="25" s="1"/>
  <c r="U124" i="25"/>
  <c r="T124" i="25" s="1"/>
  <c r="S124" i="25" s="1"/>
  <c r="R124" i="25" s="1"/>
  <c r="U182" i="25"/>
  <c r="T182" i="25" s="1"/>
  <c r="S182" i="25" s="1"/>
  <c r="R182" i="25" s="1"/>
  <c r="U351" i="25"/>
  <c r="T351" i="25" s="1"/>
  <c r="S351" i="25" s="1"/>
  <c r="R351" i="25" s="1"/>
  <c r="U129" i="25"/>
  <c r="T129" i="25" s="1"/>
  <c r="S129" i="25" s="1"/>
  <c r="R129" i="25" s="1"/>
  <c r="U171" i="25"/>
  <c r="T171" i="25" s="1"/>
  <c r="S171" i="25" s="1"/>
  <c r="R171" i="25" s="1"/>
  <c r="U213" i="25"/>
  <c r="T213" i="25" s="1"/>
  <c r="S213" i="25" s="1"/>
  <c r="R213" i="25" s="1"/>
  <c r="U104" i="25"/>
  <c r="T104" i="25" s="1"/>
  <c r="S104" i="25" s="1"/>
  <c r="R104" i="25" s="1"/>
  <c r="U215" i="25"/>
  <c r="T215" i="25" s="1"/>
  <c r="S215" i="25" s="1"/>
  <c r="R215" i="25" s="1"/>
  <c r="U217" i="25"/>
  <c r="T217" i="25" s="1"/>
  <c r="S217" i="25" s="1"/>
  <c r="R217" i="25" s="1"/>
  <c r="U364" i="25"/>
  <c r="T364" i="25" s="1"/>
  <c r="S364" i="25" s="1"/>
  <c r="R364" i="25" s="1"/>
  <c r="U134" i="25"/>
  <c r="T134" i="25" s="1"/>
  <c r="S134" i="25" s="1"/>
  <c r="R134" i="25" s="1"/>
  <c r="U303" i="25"/>
  <c r="T303" i="25" s="1"/>
  <c r="S303" i="25" s="1"/>
  <c r="R303" i="25" s="1"/>
  <c r="U337" i="25"/>
  <c r="T337" i="25" s="1"/>
  <c r="S337" i="25" s="1"/>
  <c r="R337" i="25" s="1"/>
  <c r="U123" i="25"/>
  <c r="T123" i="25" s="1"/>
  <c r="S123" i="25" s="1"/>
  <c r="R123" i="25" s="1"/>
  <c r="U270" i="25"/>
  <c r="T270" i="25" s="1"/>
  <c r="S270" i="25" s="1"/>
  <c r="R270" i="25" s="1"/>
  <c r="U352" i="25"/>
  <c r="T352" i="25" s="1"/>
  <c r="S352" i="25" s="1"/>
  <c r="R352" i="25" s="1"/>
  <c r="U106" i="25"/>
  <c r="T106" i="25" s="1"/>
  <c r="S106" i="25" s="1"/>
  <c r="R106" i="25" s="1"/>
  <c r="U214" i="25"/>
  <c r="T214" i="25" s="1"/>
  <c r="S214" i="25" s="1"/>
  <c r="R214" i="25" s="1"/>
  <c r="U308" i="25"/>
  <c r="T308" i="25" s="1"/>
  <c r="S308" i="25" s="1"/>
  <c r="R308" i="25" s="1"/>
  <c r="U152" i="25"/>
  <c r="T152" i="25" s="1"/>
  <c r="S152" i="25" s="1"/>
  <c r="R152" i="25" s="1"/>
  <c r="U204" i="25"/>
  <c r="T204" i="25" s="1"/>
  <c r="S204" i="25" s="1"/>
  <c r="R204" i="25" s="1"/>
  <c r="U358" i="25"/>
  <c r="T358" i="25" s="1"/>
  <c r="S358" i="25" s="1"/>
  <c r="R358" i="25" s="1"/>
  <c r="U290" i="25"/>
  <c r="T290" i="25" s="1"/>
  <c r="S290" i="25" s="1"/>
  <c r="R290" i="25" s="1"/>
  <c r="U366" i="25"/>
  <c r="T366" i="25" s="1"/>
  <c r="S366" i="25" s="1"/>
  <c r="R366" i="25" s="1"/>
  <c r="U231" i="25"/>
  <c r="T231" i="25" s="1"/>
  <c r="S231" i="25" s="1"/>
  <c r="R231" i="25" s="1"/>
  <c r="U355" i="25"/>
  <c r="T355" i="25" s="1"/>
  <c r="S355" i="25" s="1"/>
  <c r="R355" i="25" s="1"/>
  <c r="U287" i="25"/>
  <c r="T287" i="25" s="1"/>
  <c r="S287" i="25" s="1"/>
  <c r="R287" i="25" s="1"/>
  <c r="U363" i="25"/>
  <c r="T363" i="25" s="1"/>
  <c r="S363" i="25" s="1"/>
  <c r="R363" i="25" s="1"/>
  <c r="U208" i="25"/>
  <c r="T208" i="25" s="1"/>
  <c r="S208" i="25" s="1"/>
  <c r="R208" i="25" s="1"/>
  <c r="U279" i="25"/>
  <c r="T279" i="25" s="1"/>
  <c r="S279" i="25" s="1"/>
  <c r="R279" i="25" s="1"/>
  <c r="U153" i="25"/>
  <c r="T153" i="25" s="1"/>
  <c r="S153" i="25" s="1"/>
  <c r="R153" i="25" s="1"/>
  <c r="U195" i="25"/>
  <c r="T195" i="25" s="1"/>
  <c r="S195" i="25" s="1"/>
  <c r="R195" i="25" s="1"/>
  <c r="U221" i="25"/>
  <c r="T221" i="25" s="1"/>
  <c r="S221" i="25" s="1"/>
  <c r="R221" i="25" s="1"/>
  <c r="U239" i="25"/>
  <c r="T239" i="25" s="1"/>
  <c r="S239" i="25" s="1"/>
  <c r="R239" i="25" s="1"/>
  <c r="U273" i="25"/>
  <c r="T273" i="25" s="1"/>
  <c r="S273" i="25" s="1"/>
  <c r="R273" i="25" s="1"/>
  <c r="U315" i="25"/>
  <c r="T315" i="25" s="1"/>
  <c r="S315" i="25" s="1"/>
  <c r="R315" i="25" s="1"/>
  <c r="U357" i="25"/>
  <c r="T357" i="25" s="1"/>
  <c r="S357" i="25" s="1"/>
  <c r="R357" i="25" s="1"/>
  <c r="U264" i="25"/>
  <c r="T264" i="25" s="1"/>
  <c r="S264" i="25" s="1"/>
  <c r="R264" i="25" s="1"/>
  <c r="U137" i="25"/>
  <c r="T137" i="25" s="1"/>
  <c r="S137" i="25" s="1"/>
  <c r="R137" i="25" s="1"/>
  <c r="U237" i="25"/>
  <c r="T237" i="25" s="1"/>
  <c r="S237" i="25" s="1"/>
  <c r="R237" i="25" s="1"/>
  <c r="U180" i="25"/>
  <c r="T180" i="25" s="1"/>
  <c r="S180" i="25" s="1"/>
  <c r="R180" i="25" s="1"/>
  <c r="U117" i="25"/>
  <c r="T117" i="25" s="1"/>
  <c r="S117" i="25" s="1"/>
  <c r="R117" i="25" s="1"/>
  <c r="U183" i="25"/>
  <c r="T183" i="25" s="1"/>
  <c r="S183" i="25" s="1"/>
  <c r="R183" i="25" s="1"/>
  <c r="U339" i="25"/>
  <c r="T339" i="25" s="1"/>
  <c r="S339" i="25" s="1"/>
  <c r="R339" i="25" s="1"/>
  <c r="U162" i="25"/>
  <c r="T162" i="25" s="1"/>
  <c r="S162" i="25" s="1"/>
  <c r="R162" i="25" s="1"/>
  <c r="U238" i="25"/>
  <c r="T238" i="25" s="1"/>
  <c r="S238" i="25" s="1"/>
  <c r="R238" i="25" s="1"/>
  <c r="U359" i="25"/>
  <c r="T359" i="25" s="1"/>
  <c r="S359" i="25" s="1"/>
  <c r="R359" i="25" s="1"/>
  <c r="U316" i="25"/>
  <c r="T316" i="25" s="1"/>
  <c r="S316" i="25" s="1"/>
  <c r="R316" i="25" s="1"/>
  <c r="U269" i="25"/>
  <c r="T269" i="25" s="1"/>
  <c r="S269" i="25" s="1"/>
  <c r="R269" i="25" s="1"/>
  <c r="U306" i="25"/>
  <c r="T306" i="25" s="1"/>
  <c r="S306" i="25" s="1"/>
  <c r="R306" i="25" s="1"/>
  <c r="U154" i="25"/>
  <c r="T154" i="25" s="1"/>
  <c r="S154" i="25" s="1"/>
  <c r="R154" i="25" s="1"/>
  <c r="U170" i="25"/>
  <c r="T170" i="25" s="1"/>
  <c r="S170" i="25" s="1"/>
  <c r="R170" i="25" s="1"/>
  <c r="U220" i="25"/>
  <c r="T220" i="25" s="1"/>
  <c r="S220" i="25" s="1"/>
  <c r="R220" i="25" s="1"/>
  <c r="U278" i="25"/>
  <c r="T278" i="25" s="1"/>
  <c r="S278" i="25" s="1"/>
  <c r="R278" i="25" s="1"/>
  <c r="U191" i="25"/>
  <c r="T191" i="25" s="1"/>
  <c r="S191" i="25" s="1"/>
  <c r="R191" i="25" s="1"/>
  <c r="U225" i="25"/>
  <c r="T225" i="25" s="1"/>
  <c r="S225" i="25" s="1"/>
  <c r="R225" i="25" s="1"/>
  <c r="U372" i="25"/>
  <c r="T372" i="25" s="1"/>
  <c r="S372" i="25" s="1"/>
  <c r="R372" i="25" s="1"/>
  <c r="U158" i="25"/>
  <c r="T158" i="25" s="1"/>
  <c r="S158" i="25" s="1"/>
  <c r="R158" i="25" s="1"/>
  <c r="U135" i="25"/>
  <c r="T135" i="25" s="1"/>
  <c r="S135" i="25" s="1"/>
  <c r="R135" i="25" s="1"/>
  <c r="U377" i="25"/>
  <c r="T377" i="25" s="1"/>
  <c r="S377" i="25" s="1"/>
  <c r="R377" i="25" s="1"/>
  <c r="U189" i="25"/>
  <c r="T189" i="25" s="1"/>
  <c r="S189" i="25" s="1"/>
  <c r="R189" i="25" s="1"/>
  <c r="U132" i="25"/>
  <c r="T132" i="25" s="1"/>
  <c r="S132" i="25" s="1"/>
  <c r="R132" i="25" s="1"/>
  <c r="U232" i="25"/>
  <c r="T232" i="25" s="1"/>
  <c r="S232" i="25" s="1"/>
  <c r="R232" i="25" s="1"/>
  <c r="U356" i="25"/>
  <c r="T356" i="25" s="1"/>
  <c r="S356" i="25" s="1"/>
  <c r="R356" i="25" s="1"/>
  <c r="U151" i="25"/>
  <c r="T151" i="25" s="1"/>
  <c r="S151" i="25" s="1"/>
  <c r="R151" i="25" s="1"/>
  <c r="AD280" i="24"/>
  <c r="AA280" i="24" s="1"/>
  <c r="Z280" i="24" s="1"/>
  <c r="Y280" i="24" s="1"/>
  <c r="AD230" i="24"/>
  <c r="AA230" i="24" s="1"/>
  <c r="Z230" i="24" s="1"/>
  <c r="Y230" i="24" s="1"/>
  <c r="AD253" i="24"/>
  <c r="AA253" i="24" s="1"/>
  <c r="Z253" i="24" s="1"/>
  <c r="Y253" i="24" s="1"/>
  <c r="AD237" i="24"/>
  <c r="AA237" i="24" s="1"/>
  <c r="Z237" i="24" s="1"/>
  <c r="Y237" i="24" s="1"/>
  <c r="H46" i="24"/>
  <c r="I46" i="24" s="1"/>
  <c r="G18" i="24"/>
  <c r="CE18" i="6" s="1"/>
  <c r="H228" i="24"/>
  <c r="J228" i="24" s="1"/>
  <c r="G278" i="24"/>
  <c r="CE278" i="6" s="1"/>
  <c r="H287" i="24"/>
  <c r="J287" i="24" s="1"/>
  <c r="H190" i="24"/>
  <c r="I190" i="24" s="1"/>
  <c r="G118" i="24"/>
  <c r="CE118" i="6" s="1"/>
  <c r="H70" i="24"/>
  <c r="I70" i="24" s="1"/>
  <c r="G115" i="24"/>
  <c r="CE115" i="6" s="1"/>
  <c r="G107" i="24"/>
  <c r="CE107" i="6" s="1"/>
  <c r="C69" i="19"/>
  <c r="G43" i="24"/>
  <c r="CE43" i="6" s="1"/>
  <c r="G242" i="24"/>
  <c r="CE242" i="6" s="1"/>
  <c r="H108" i="24"/>
  <c r="J108" i="24" s="1"/>
  <c r="H348" i="24"/>
  <c r="I348" i="24" s="1"/>
  <c r="W379" i="24"/>
  <c r="H187" i="24"/>
  <c r="J187" i="24" s="1"/>
  <c r="G240" i="24"/>
  <c r="CE240" i="6" s="1"/>
  <c r="H274" i="24"/>
  <c r="I274" i="24" s="1"/>
  <c r="G354" i="24"/>
  <c r="CE354" i="6" s="1"/>
  <c r="G300" i="24"/>
  <c r="CE300" i="6" s="1"/>
  <c r="G193" i="24"/>
  <c r="CE193" i="6" s="1"/>
  <c r="G308" i="24"/>
  <c r="CE308" i="6" s="1"/>
  <c r="J119" i="23"/>
  <c r="I343" i="24"/>
  <c r="J343" i="24"/>
  <c r="H218" i="24"/>
  <c r="J218" i="24" s="1"/>
  <c r="G343" i="24"/>
  <c r="CE343" i="6" s="1"/>
  <c r="M69" i="19"/>
  <c r="J180" i="23"/>
  <c r="G155" i="24"/>
  <c r="CE155" i="6" s="1"/>
  <c r="H186" i="24"/>
  <c r="J186" i="24" s="1"/>
  <c r="D210" i="24"/>
  <c r="E210" i="24" s="1"/>
  <c r="F210" i="24" s="1"/>
  <c r="H117" i="24"/>
  <c r="I117" i="24" s="1"/>
  <c r="G225" i="24"/>
  <c r="CE225" i="6" s="1"/>
  <c r="H229" i="24"/>
  <c r="I229" i="24" s="1"/>
  <c r="G252" i="24"/>
  <c r="CE252" i="6" s="1"/>
  <c r="W272" i="24"/>
  <c r="G364" i="24"/>
  <c r="CE364" i="6" s="1"/>
  <c r="H315" i="24"/>
  <c r="I315" i="24" s="1"/>
  <c r="H78" i="24"/>
  <c r="J78" i="24" s="1"/>
  <c r="H45" i="24"/>
  <c r="I45" i="24" s="1"/>
  <c r="I180" i="23"/>
  <c r="H238" i="24"/>
  <c r="J238" i="24" s="1"/>
  <c r="G209" i="24"/>
  <c r="CE209" i="6" s="1"/>
  <c r="G367" i="24"/>
  <c r="CE367" i="6" s="1"/>
  <c r="G310" i="24"/>
  <c r="CE310" i="6" s="1"/>
  <c r="H307" i="24"/>
  <c r="J307" i="24" s="1"/>
  <c r="H137" i="24"/>
  <c r="J137" i="24" s="1"/>
  <c r="G133" i="24"/>
  <c r="CE133" i="6" s="1"/>
  <c r="G346" i="24"/>
  <c r="CE346" i="6" s="1"/>
  <c r="J88" i="23"/>
  <c r="J363" i="23"/>
  <c r="H349" i="24"/>
  <c r="I349" i="24" s="1"/>
  <c r="H275" i="24"/>
  <c r="J275" i="24" s="1"/>
  <c r="H193" i="24"/>
  <c r="J193" i="24" s="1"/>
  <c r="AG304" i="24"/>
  <c r="AF304" i="24" s="1"/>
  <c r="AD304" i="24" s="1"/>
  <c r="AG218" i="24"/>
  <c r="AF218" i="24" s="1"/>
  <c r="AD218" i="24" s="1"/>
  <c r="AA218" i="24" s="1"/>
  <c r="Z218" i="24" s="1"/>
  <c r="Y218" i="24" s="1"/>
  <c r="AG197" i="24"/>
  <c r="AF197" i="24" s="1"/>
  <c r="AD197" i="24" s="1"/>
  <c r="AA197" i="24" s="1"/>
  <c r="Z197" i="24" s="1"/>
  <c r="Y197" i="24" s="1"/>
  <c r="AG333" i="24"/>
  <c r="AF333" i="24" s="1"/>
  <c r="AD333" i="24" s="1"/>
  <c r="AG66" i="24"/>
  <c r="AF66" i="24" s="1"/>
  <c r="AD66" i="24" s="1"/>
  <c r="AA66" i="24" s="1"/>
  <c r="Z66" i="24" s="1"/>
  <c r="Y66" i="24" s="1"/>
  <c r="AG190" i="24"/>
  <c r="AF190" i="24" s="1"/>
  <c r="AD190" i="24" s="1"/>
  <c r="AA190" i="24" s="1"/>
  <c r="Z190" i="24" s="1"/>
  <c r="Y190" i="24" s="1"/>
  <c r="AG160" i="24"/>
  <c r="AF160" i="24" s="1"/>
  <c r="AD160" i="24" s="1"/>
  <c r="AA160" i="24" s="1"/>
  <c r="Z160" i="24" s="1"/>
  <c r="Y160" i="24" s="1"/>
  <c r="AG313" i="24"/>
  <c r="AF313" i="24" s="1"/>
  <c r="AD313" i="24" s="1"/>
  <c r="AA313" i="24" s="1"/>
  <c r="Z313" i="24" s="1"/>
  <c r="Y313" i="24" s="1"/>
  <c r="AG299" i="24"/>
  <c r="AF299" i="24" s="1"/>
  <c r="AD299" i="24" s="1"/>
  <c r="AA299" i="24" s="1"/>
  <c r="Z299" i="24" s="1"/>
  <c r="Y299" i="24" s="1"/>
  <c r="AG22" i="24"/>
  <c r="AF22" i="24" s="1"/>
  <c r="AD22" i="24" s="1"/>
  <c r="AA22" i="24" s="1"/>
  <c r="Z22" i="24" s="1"/>
  <c r="Y22" i="24" s="1"/>
  <c r="AG183" i="24"/>
  <c r="AF183" i="24" s="1"/>
  <c r="AD183" i="24" s="1"/>
  <c r="AA183" i="24" s="1"/>
  <c r="Z183" i="24" s="1"/>
  <c r="Y183" i="24" s="1"/>
  <c r="AG37" i="24"/>
  <c r="AF37" i="24" s="1"/>
  <c r="AD37" i="24" s="1"/>
  <c r="AA37" i="24" s="1"/>
  <c r="Z37" i="24" s="1"/>
  <c r="Y37" i="24" s="1"/>
  <c r="AD245" i="24"/>
  <c r="AA245" i="24" s="1"/>
  <c r="Z245" i="24" s="1"/>
  <c r="Y245" i="24" s="1"/>
  <c r="AD250" i="24"/>
  <c r="AA250" i="24" s="1"/>
  <c r="Z250" i="24" s="1"/>
  <c r="Y250" i="24" s="1"/>
  <c r="AD371" i="24"/>
  <c r="AA371" i="24" s="1"/>
  <c r="Z371" i="24" s="1"/>
  <c r="Y371" i="24" s="1"/>
  <c r="AD184" i="24"/>
  <c r="AA184" i="24" s="1"/>
  <c r="Z184" i="24" s="1"/>
  <c r="Y184" i="24" s="1"/>
  <c r="AD337" i="24"/>
  <c r="AA337" i="24" s="1"/>
  <c r="Z337" i="24" s="1"/>
  <c r="Y337" i="24" s="1"/>
  <c r="AD63" i="24"/>
  <c r="AA63" i="24" s="1"/>
  <c r="Z63" i="24" s="1"/>
  <c r="Y63" i="24" s="1"/>
  <c r="AD163" i="24"/>
  <c r="AA163" i="24" s="1"/>
  <c r="Z163" i="24" s="1"/>
  <c r="Y163" i="24" s="1"/>
  <c r="AD243" i="24"/>
  <c r="AA243" i="24" s="1"/>
  <c r="Z243" i="24" s="1"/>
  <c r="Y243" i="24" s="1"/>
  <c r="AD80" i="24"/>
  <c r="AA80" i="24" s="1"/>
  <c r="Z80" i="24" s="1"/>
  <c r="Y80" i="24" s="1"/>
  <c r="AD301" i="24"/>
  <c r="AA301" i="24" s="1"/>
  <c r="Z301" i="24" s="1"/>
  <c r="Y301" i="24" s="1"/>
  <c r="AD47" i="24"/>
  <c r="AA47" i="24" s="1"/>
  <c r="Z47" i="24" s="1"/>
  <c r="Y47" i="24" s="1"/>
  <c r="AD131" i="24"/>
  <c r="AA131" i="24" s="1"/>
  <c r="Z131" i="24" s="1"/>
  <c r="Y131" i="24" s="1"/>
  <c r="AD52" i="24"/>
  <c r="AA52" i="24" s="1"/>
  <c r="Z52" i="24" s="1"/>
  <c r="Y52" i="24" s="1"/>
  <c r="AD275" i="24"/>
  <c r="AA275" i="24" s="1"/>
  <c r="Z275" i="24" s="1"/>
  <c r="Y275" i="24" s="1"/>
  <c r="AD216" i="24"/>
  <c r="AA216" i="24" s="1"/>
  <c r="Z216" i="24" s="1"/>
  <c r="Y216" i="24" s="1"/>
  <c r="AD187" i="24"/>
  <c r="AA187" i="24" s="1"/>
  <c r="Z187" i="24" s="1"/>
  <c r="Y187" i="24" s="1"/>
  <c r="AD83" i="24"/>
  <c r="AA83" i="24" s="1"/>
  <c r="Z83" i="24" s="1"/>
  <c r="Y83" i="24" s="1"/>
  <c r="AD281" i="24"/>
  <c r="AA281" i="24" s="1"/>
  <c r="Z281" i="24" s="1"/>
  <c r="Y281" i="24" s="1"/>
  <c r="AD267" i="24"/>
  <c r="AA267" i="24" s="1"/>
  <c r="Z267" i="24" s="1"/>
  <c r="Y267" i="24" s="1"/>
  <c r="AD262" i="24"/>
  <c r="AA262" i="24" s="1"/>
  <c r="Z262" i="24" s="1"/>
  <c r="Y262" i="24" s="1"/>
  <c r="AD175" i="24"/>
  <c r="AA175" i="24" s="1"/>
  <c r="Z175" i="24" s="1"/>
  <c r="Y175" i="24" s="1"/>
  <c r="AD355" i="24"/>
  <c r="AA355" i="24" s="1"/>
  <c r="Z355" i="24" s="1"/>
  <c r="Y355" i="24" s="1"/>
  <c r="AD201" i="24"/>
  <c r="AA201" i="24" s="1"/>
  <c r="Z201" i="24" s="1"/>
  <c r="Y201" i="24" s="1"/>
  <c r="AD57" i="24"/>
  <c r="AA57" i="24" s="1"/>
  <c r="Z57" i="24" s="1"/>
  <c r="Y57" i="24" s="1"/>
  <c r="AD270" i="24"/>
  <c r="AD17" i="24"/>
  <c r="AA17" i="24" s="1"/>
  <c r="Z17" i="24" s="1"/>
  <c r="Y17" i="24" s="1"/>
  <c r="AD154" i="24"/>
  <c r="AA154" i="24" s="1"/>
  <c r="Z154" i="24" s="1"/>
  <c r="Y154" i="24" s="1"/>
  <c r="AD236" i="24"/>
  <c r="AA236" i="24" s="1"/>
  <c r="Z236" i="24" s="1"/>
  <c r="Y236" i="24" s="1"/>
  <c r="AD166" i="24"/>
  <c r="AA166" i="24" s="1"/>
  <c r="Z166" i="24" s="1"/>
  <c r="Y166" i="24" s="1"/>
  <c r="AD326" i="24"/>
  <c r="AA326" i="24" s="1"/>
  <c r="Z326" i="24" s="1"/>
  <c r="Y326" i="24" s="1"/>
  <c r="AD221" i="24"/>
  <c r="AA221" i="24" s="1"/>
  <c r="Z221" i="24" s="1"/>
  <c r="Y221" i="24" s="1"/>
  <c r="AD150" i="24"/>
  <c r="AA150" i="24" s="1"/>
  <c r="Z150" i="24" s="1"/>
  <c r="Y150" i="24" s="1"/>
  <c r="AD348" i="24"/>
  <c r="AA348" i="24" s="1"/>
  <c r="Z348" i="24" s="1"/>
  <c r="Y348" i="24" s="1"/>
  <c r="AD133" i="24"/>
  <c r="AA133" i="24" s="1"/>
  <c r="Z133" i="24" s="1"/>
  <c r="Y133" i="24" s="1"/>
  <c r="AD26" i="24"/>
  <c r="AA26" i="24" s="1"/>
  <c r="Z26" i="24" s="1"/>
  <c r="Y26" i="24" s="1"/>
  <c r="AD126" i="24"/>
  <c r="AA126" i="24" s="1"/>
  <c r="Z126" i="24" s="1"/>
  <c r="Y126" i="24" s="1"/>
  <c r="AD264" i="24"/>
  <c r="AA264" i="24" s="1"/>
  <c r="Z264" i="24" s="1"/>
  <c r="Y264" i="24" s="1"/>
  <c r="AD55" i="24"/>
  <c r="AA55" i="24" s="1"/>
  <c r="Z55" i="24" s="1"/>
  <c r="Y55" i="24" s="1"/>
  <c r="AD226" i="24"/>
  <c r="AA226" i="24" s="1"/>
  <c r="Z226" i="24" s="1"/>
  <c r="Y226" i="24" s="1"/>
  <c r="AD58" i="24"/>
  <c r="AA58" i="24" s="1"/>
  <c r="Z58" i="24" s="1"/>
  <c r="Y58" i="24" s="1"/>
  <c r="AD177" i="24"/>
  <c r="AD107" i="24"/>
  <c r="AA107" i="24" s="1"/>
  <c r="Z107" i="24" s="1"/>
  <c r="Y107" i="24" s="1"/>
  <c r="AD249" i="24"/>
  <c r="AA249" i="24" s="1"/>
  <c r="Z249" i="24" s="1"/>
  <c r="Y249" i="24" s="1"/>
  <c r="AD302" i="24"/>
  <c r="AD106" i="24"/>
  <c r="AA106" i="24" s="1"/>
  <c r="Z106" i="24" s="1"/>
  <c r="Y106" i="24" s="1"/>
  <c r="AD23" i="24"/>
  <c r="AA23" i="24" s="1"/>
  <c r="Z23" i="24" s="1"/>
  <c r="Y23" i="24" s="1"/>
  <c r="AD268" i="24"/>
  <c r="AA268" i="24" s="1"/>
  <c r="Z268" i="24" s="1"/>
  <c r="Y268" i="24" s="1"/>
  <c r="AD376" i="24"/>
  <c r="AA376" i="24" s="1"/>
  <c r="Z376" i="24" s="1"/>
  <c r="Y376" i="24" s="1"/>
  <c r="AD259" i="24"/>
  <c r="AA259" i="24" s="1"/>
  <c r="Z259" i="24" s="1"/>
  <c r="Y259" i="24" s="1"/>
  <c r="AD128" i="24"/>
  <c r="AA128" i="24" s="1"/>
  <c r="Z128" i="24" s="1"/>
  <c r="Y128" i="24" s="1"/>
  <c r="AD321" i="24"/>
  <c r="AA321" i="24" s="1"/>
  <c r="Z321" i="24" s="1"/>
  <c r="Y321" i="24" s="1"/>
  <c r="AD359" i="24"/>
  <c r="AA359" i="24" s="1"/>
  <c r="Z359" i="24" s="1"/>
  <c r="Y359" i="24" s="1"/>
  <c r="AD145" i="24"/>
  <c r="AD178" i="24"/>
  <c r="AD90" i="24"/>
  <c r="AA90" i="24" s="1"/>
  <c r="Z90" i="24" s="1"/>
  <c r="Y90" i="24" s="1"/>
  <c r="AD318" i="24"/>
  <c r="AA318" i="24" s="1"/>
  <c r="Z318" i="24" s="1"/>
  <c r="Y318" i="24" s="1"/>
  <c r="AD89" i="24"/>
  <c r="AD72" i="24"/>
  <c r="AA72" i="24" s="1"/>
  <c r="Z72" i="24" s="1"/>
  <c r="Y72" i="24" s="1"/>
  <c r="AD211" i="24"/>
  <c r="AA211" i="24" s="1"/>
  <c r="Z211" i="24" s="1"/>
  <c r="Y211" i="24" s="1"/>
  <c r="AD109" i="24"/>
  <c r="AA109" i="24" s="1"/>
  <c r="Z109" i="24" s="1"/>
  <c r="Y109" i="24" s="1"/>
  <c r="AD19" i="24"/>
  <c r="AA19" i="24" s="1"/>
  <c r="Z19" i="24" s="1"/>
  <c r="Y19" i="24" s="1"/>
  <c r="AD101" i="24"/>
  <c r="AD139" i="24"/>
  <c r="AD300" i="24"/>
  <c r="AD31" i="24"/>
  <c r="AA31" i="24" s="1"/>
  <c r="Z31" i="24" s="1"/>
  <c r="Y31" i="24" s="1"/>
  <c r="AD293" i="24"/>
  <c r="AD332" i="24"/>
  <c r="AA332" i="24" s="1"/>
  <c r="Z332" i="24" s="1"/>
  <c r="Y332" i="24" s="1"/>
  <c r="AD68" i="24"/>
  <c r="AD99" i="24"/>
  <c r="AA99" i="24" s="1"/>
  <c r="Z99" i="24" s="1"/>
  <c r="Y99" i="24" s="1"/>
  <c r="AD29" i="24"/>
  <c r="AA29" i="24" s="1"/>
  <c r="Z29" i="24" s="1"/>
  <c r="Y29" i="24" s="1"/>
  <c r="AD329" i="24"/>
  <c r="AA329" i="24" s="1"/>
  <c r="Z329" i="24" s="1"/>
  <c r="Y329" i="24" s="1"/>
  <c r="AD116" i="24"/>
  <c r="AA116" i="24" s="1"/>
  <c r="Z116" i="24" s="1"/>
  <c r="Y116" i="24" s="1"/>
  <c r="AD283" i="24"/>
  <c r="AA283" i="24" s="1"/>
  <c r="Z283" i="24" s="1"/>
  <c r="Y283" i="24" s="1"/>
  <c r="AD372" i="24"/>
  <c r="AA372" i="24" s="1"/>
  <c r="Z372" i="24" s="1"/>
  <c r="Y372" i="24" s="1"/>
  <c r="AD204" i="24"/>
  <c r="AD85" i="24"/>
  <c r="AA85" i="24" s="1"/>
  <c r="Z85" i="24" s="1"/>
  <c r="Y85" i="24" s="1"/>
  <c r="AD144" i="24"/>
  <c r="AA144" i="24" s="1"/>
  <c r="Z144" i="24" s="1"/>
  <c r="Y144" i="24" s="1"/>
  <c r="AD138" i="24"/>
  <c r="AG381" i="23"/>
  <c r="AG383" i="23"/>
  <c r="AG382" i="23"/>
  <c r="AF15" i="23"/>
  <c r="AD94" i="24"/>
  <c r="AA94" i="24" s="1"/>
  <c r="Z94" i="24" s="1"/>
  <c r="Y94" i="24" s="1"/>
  <c r="AD104" i="24"/>
  <c r="AA104" i="24" s="1"/>
  <c r="Z104" i="24" s="1"/>
  <c r="Y104" i="24" s="1"/>
  <c r="AD207" i="24"/>
  <c r="AA207" i="24" s="1"/>
  <c r="Z207" i="24" s="1"/>
  <c r="Y207" i="24" s="1"/>
  <c r="AD49" i="24"/>
  <c r="AA49" i="24" s="1"/>
  <c r="Z49" i="24" s="1"/>
  <c r="Y49" i="24" s="1"/>
  <c r="AD33" i="24"/>
  <c r="AA33" i="24" s="1"/>
  <c r="Z33" i="24" s="1"/>
  <c r="Y33" i="24" s="1"/>
  <c r="AD345" i="24"/>
  <c r="AA345" i="24" s="1"/>
  <c r="Z345" i="24" s="1"/>
  <c r="Y345" i="24" s="1"/>
  <c r="AD346" i="24"/>
  <c r="AA346" i="24" s="1"/>
  <c r="Z346" i="24" s="1"/>
  <c r="Y346" i="24" s="1"/>
  <c r="AD118" i="24"/>
  <c r="AA118" i="24" s="1"/>
  <c r="Z118" i="24" s="1"/>
  <c r="Y118" i="24" s="1"/>
  <c r="AD303" i="24"/>
  <c r="AA303" i="24" s="1"/>
  <c r="Z303" i="24" s="1"/>
  <c r="Y303" i="24" s="1"/>
  <c r="AD194" i="24"/>
  <c r="AA194" i="24" s="1"/>
  <c r="Z194" i="24" s="1"/>
  <c r="Y194" i="24" s="1"/>
  <c r="AD352" i="24"/>
  <c r="AA352" i="24" s="1"/>
  <c r="Z352" i="24" s="1"/>
  <c r="Y352" i="24" s="1"/>
  <c r="AD282" i="24"/>
  <c r="AA282" i="24" s="1"/>
  <c r="Z282" i="24" s="1"/>
  <c r="Y282" i="24" s="1"/>
  <c r="AD261" i="24"/>
  <c r="AA261" i="24" s="1"/>
  <c r="Z261" i="24" s="1"/>
  <c r="Y261" i="24" s="1"/>
  <c r="AD176" i="24"/>
  <c r="AA176" i="24" s="1"/>
  <c r="Z176" i="24" s="1"/>
  <c r="Y176" i="24" s="1"/>
  <c r="AD121" i="24"/>
  <c r="AA121" i="24" s="1"/>
  <c r="Z121" i="24" s="1"/>
  <c r="Y121" i="24" s="1"/>
  <c r="AD378" i="24"/>
  <c r="AA378" i="24" s="1"/>
  <c r="Z378" i="24" s="1"/>
  <c r="Y378" i="24" s="1"/>
  <c r="AD18" i="24"/>
  <c r="AA18" i="24" s="1"/>
  <c r="Z18" i="24" s="1"/>
  <c r="Y18" i="24" s="1"/>
  <c r="AD331" i="24"/>
  <c r="AA331" i="24" s="1"/>
  <c r="Z331" i="24" s="1"/>
  <c r="Y331" i="24" s="1"/>
  <c r="AD365" i="24"/>
  <c r="AA365" i="24" s="1"/>
  <c r="Z365" i="24" s="1"/>
  <c r="Y365" i="24" s="1"/>
  <c r="AD215" i="24"/>
  <c r="AA215" i="24" s="1"/>
  <c r="Z215" i="24" s="1"/>
  <c r="Y215" i="24" s="1"/>
  <c r="AD174" i="24"/>
  <c r="AA174" i="24" s="1"/>
  <c r="Z174" i="24" s="1"/>
  <c r="Y174" i="24" s="1"/>
  <c r="AD151" i="24"/>
  <c r="AA151" i="24" s="1"/>
  <c r="Z151" i="24" s="1"/>
  <c r="Y151" i="24" s="1"/>
  <c r="AD324" i="24"/>
  <c r="AD285" i="24"/>
  <c r="AA285" i="24" s="1"/>
  <c r="Z285" i="24" s="1"/>
  <c r="Y285" i="24" s="1"/>
  <c r="AD244" i="24"/>
  <c r="AA244" i="24" s="1"/>
  <c r="Z244" i="24" s="1"/>
  <c r="Y244" i="24" s="1"/>
  <c r="AD246" i="24"/>
  <c r="AA246" i="24" s="1"/>
  <c r="Z246" i="24" s="1"/>
  <c r="Y246" i="24" s="1"/>
  <c r="AD124" i="24"/>
  <c r="AA124" i="24" s="1"/>
  <c r="Z124" i="24" s="1"/>
  <c r="Y124" i="24" s="1"/>
  <c r="AD105" i="24"/>
  <c r="AA105" i="24" s="1"/>
  <c r="Z105" i="24" s="1"/>
  <c r="Y105" i="24" s="1"/>
  <c r="AD82" i="24"/>
  <c r="AA82" i="24" s="1"/>
  <c r="Z82" i="24" s="1"/>
  <c r="Y82" i="24" s="1"/>
  <c r="AD220" i="24"/>
  <c r="AD251" i="24"/>
  <c r="AA251" i="24" s="1"/>
  <c r="Z251" i="24" s="1"/>
  <c r="Y251" i="24" s="1"/>
  <c r="AD297" i="24"/>
  <c r="AA297" i="24" s="1"/>
  <c r="Z297" i="24" s="1"/>
  <c r="Y297" i="24" s="1"/>
  <c r="AD97" i="24"/>
  <c r="AA97" i="24" s="1"/>
  <c r="Z97" i="24" s="1"/>
  <c r="Y97" i="24" s="1"/>
  <c r="AD349" i="24"/>
  <c r="AA349" i="24" s="1"/>
  <c r="Z349" i="24" s="1"/>
  <c r="Y349" i="24" s="1"/>
  <c r="AD214" i="24"/>
  <c r="AD171" i="24"/>
  <c r="AA171" i="24" s="1"/>
  <c r="Z171" i="24" s="1"/>
  <c r="Y171" i="24" s="1"/>
  <c r="AD32" i="24"/>
  <c r="AA32" i="24" s="1"/>
  <c r="Z32" i="24" s="1"/>
  <c r="Y32" i="24" s="1"/>
  <c r="AD179" i="24"/>
  <c r="AD290" i="24"/>
  <c r="AA290" i="24" s="1"/>
  <c r="Z290" i="24" s="1"/>
  <c r="Y290" i="24" s="1"/>
  <c r="AD198" i="24"/>
  <c r="AA198" i="24" s="1"/>
  <c r="Z198" i="24" s="1"/>
  <c r="Y198" i="24" s="1"/>
  <c r="AD294" i="24"/>
  <c r="AA294" i="24" s="1"/>
  <c r="Z294" i="24" s="1"/>
  <c r="Y294" i="24" s="1"/>
  <c r="AD157" i="24"/>
  <c r="AA157" i="24" s="1"/>
  <c r="Z157" i="24" s="1"/>
  <c r="Y157" i="24" s="1"/>
  <c r="AD56" i="24"/>
  <c r="AA56" i="24" s="1"/>
  <c r="Z56" i="24" s="1"/>
  <c r="Y56" i="24" s="1"/>
  <c r="AD180" i="24"/>
  <c r="AD155" i="24"/>
  <c r="AA155" i="24" s="1"/>
  <c r="Z155" i="24" s="1"/>
  <c r="Y155" i="24" s="1"/>
  <c r="AD308" i="24"/>
  <c r="AA308" i="24" s="1"/>
  <c r="Z308" i="24" s="1"/>
  <c r="Y308" i="24" s="1"/>
  <c r="AD140" i="24"/>
  <c r="AA140" i="24" s="1"/>
  <c r="Z140" i="24" s="1"/>
  <c r="Y140" i="24" s="1"/>
  <c r="AD341" i="24"/>
  <c r="AA341" i="24" s="1"/>
  <c r="Z341" i="24" s="1"/>
  <c r="Y341" i="24" s="1"/>
  <c r="AD274" i="24"/>
  <c r="AA274" i="24" s="1"/>
  <c r="Z274" i="24" s="1"/>
  <c r="Y274" i="24" s="1"/>
  <c r="AD361" i="24"/>
  <c r="AA361" i="24" s="1"/>
  <c r="Z361" i="24" s="1"/>
  <c r="Y361" i="24" s="1"/>
  <c r="AD71" i="24"/>
  <c r="AD98" i="24"/>
  <c r="AA98" i="24" s="1"/>
  <c r="Z98" i="24" s="1"/>
  <c r="Y98" i="24" s="1"/>
  <c r="AD309" i="24"/>
  <c r="AA309" i="24" s="1"/>
  <c r="Z309" i="24" s="1"/>
  <c r="Y309" i="24" s="1"/>
  <c r="AD156" i="24"/>
  <c r="AD292" i="24"/>
  <c r="AA292" i="24" s="1"/>
  <c r="Z292" i="24" s="1"/>
  <c r="Y292" i="24" s="1"/>
  <c r="AD123" i="24"/>
  <c r="AA123" i="24" s="1"/>
  <c r="Z123" i="24" s="1"/>
  <c r="Y123" i="24" s="1"/>
  <c r="AD196" i="24"/>
  <c r="AA196" i="24" s="1"/>
  <c r="Z196" i="24" s="1"/>
  <c r="Y196" i="24" s="1"/>
  <c r="AD40" i="24"/>
  <c r="AA40" i="24" s="1"/>
  <c r="Z40" i="24" s="1"/>
  <c r="Y40" i="24" s="1"/>
  <c r="AD125" i="24"/>
  <c r="AA125" i="24" s="1"/>
  <c r="Z125" i="24" s="1"/>
  <c r="Y125" i="24" s="1"/>
  <c r="AD195" i="24"/>
  <c r="AA195" i="24" s="1"/>
  <c r="Z195" i="24" s="1"/>
  <c r="Y195" i="24" s="1"/>
  <c r="AD129" i="24"/>
  <c r="AA129" i="24" s="1"/>
  <c r="Z129" i="24" s="1"/>
  <c r="Y129" i="24" s="1"/>
  <c r="AD93" i="24"/>
  <c r="AA93" i="24" s="1"/>
  <c r="Z93" i="24" s="1"/>
  <c r="Y93" i="24" s="1"/>
  <c r="AD148" i="24"/>
  <c r="AA148" i="24" s="1"/>
  <c r="Z148" i="24" s="1"/>
  <c r="Y148" i="24" s="1"/>
  <c r="AD340" i="24"/>
  <c r="AA340" i="24" s="1"/>
  <c r="Z340" i="24" s="1"/>
  <c r="Y340" i="24" s="1"/>
  <c r="AD254" i="24"/>
  <c r="AA254" i="24" s="1"/>
  <c r="Z254" i="24" s="1"/>
  <c r="Y254" i="24" s="1"/>
  <c r="AD43" i="24"/>
  <c r="AA43" i="24" s="1"/>
  <c r="Z43" i="24" s="1"/>
  <c r="Y43" i="24" s="1"/>
  <c r="AD311" i="24"/>
  <c r="AA311" i="24" s="1"/>
  <c r="Z311" i="24" s="1"/>
  <c r="Y311" i="24" s="1"/>
  <c r="AD96" i="24"/>
  <c r="AD205" i="24"/>
  <c r="AA205" i="24" s="1"/>
  <c r="Z205" i="24" s="1"/>
  <c r="Y205" i="24" s="1"/>
  <c r="AD307" i="24"/>
  <c r="AA307" i="24" s="1"/>
  <c r="Z307" i="24" s="1"/>
  <c r="Y307" i="24" s="1"/>
  <c r="AD265" i="24"/>
  <c r="AD91" i="24"/>
  <c r="AA91" i="24" s="1"/>
  <c r="Z91" i="24" s="1"/>
  <c r="Y91" i="24" s="1"/>
  <c r="AD46" i="24"/>
  <c r="AA46" i="24" s="1"/>
  <c r="Z46" i="24" s="1"/>
  <c r="Y46" i="24" s="1"/>
  <c r="AD362" i="24"/>
  <c r="AA362" i="24" s="1"/>
  <c r="Z362" i="24" s="1"/>
  <c r="Y362" i="24" s="1"/>
  <c r="AD130" i="24"/>
  <c r="AA130" i="24" s="1"/>
  <c r="Z130" i="24" s="1"/>
  <c r="Y130" i="24" s="1"/>
  <c r="AD369" i="24"/>
  <c r="AA369" i="24" s="1"/>
  <c r="Z369" i="24" s="1"/>
  <c r="Y369" i="24" s="1"/>
  <c r="AD263" i="24"/>
  <c r="AA263" i="24" s="1"/>
  <c r="Z263" i="24" s="1"/>
  <c r="Y263" i="24" s="1"/>
  <c r="AD161" i="24"/>
  <c r="AA161" i="24" s="1"/>
  <c r="Z161" i="24" s="1"/>
  <c r="Y161" i="24" s="1"/>
  <c r="AD50" i="24"/>
  <c r="AA50" i="24" s="1"/>
  <c r="Z50" i="24" s="1"/>
  <c r="Y50" i="24" s="1"/>
  <c r="AD65" i="24"/>
  <c r="AA65" i="24" s="1"/>
  <c r="Z65" i="24" s="1"/>
  <c r="Y65" i="24" s="1"/>
  <c r="AD103" i="24"/>
  <c r="AA103" i="24" s="1"/>
  <c r="Z103" i="24" s="1"/>
  <c r="Y103" i="24" s="1"/>
  <c r="AD158" i="24"/>
  <c r="AA158" i="24" s="1"/>
  <c r="Z158" i="24" s="1"/>
  <c r="Y158" i="24" s="1"/>
  <c r="AD119" i="24"/>
  <c r="AD141" i="24"/>
  <c r="AA141" i="24" s="1"/>
  <c r="Z141" i="24" s="1"/>
  <c r="Y141" i="24" s="1"/>
  <c r="AA139" i="24"/>
  <c r="Z139" i="24" s="1"/>
  <c r="Y139" i="24" s="1"/>
  <c r="AJ9" i="20"/>
  <c r="AJ11" i="20" s="1"/>
  <c r="AK7" i="20"/>
  <c r="AG84" i="24"/>
  <c r="AF84" i="24" s="1"/>
  <c r="AD84" i="24" s="1"/>
  <c r="AH379" i="24"/>
  <c r="AI12" i="25"/>
  <c r="AI299" i="25" s="1"/>
  <c r="AH299" i="25" s="1"/>
  <c r="AG299" i="25" s="1"/>
  <c r="AF299" i="25" s="1"/>
  <c r="AG258" i="24"/>
  <c r="AF258" i="24" s="1"/>
  <c r="AD258" i="24" s="1"/>
  <c r="AA258" i="24" s="1"/>
  <c r="Z258" i="24" s="1"/>
  <c r="Y258" i="24" s="1"/>
  <c r="AG363" i="24"/>
  <c r="AF363" i="24" s="1"/>
  <c r="AD363" i="24" s="1"/>
  <c r="AG67" i="24"/>
  <c r="AF67" i="24" s="1"/>
  <c r="AD67" i="24" s="1"/>
  <c r="AG231" i="24"/>
  <c r="AF231" i="24" s="1"/>
  <c r="AD231" i="24" s="1"/>
  <c r="AA231" i="24" s="1"/>
  <c r="Z231" i="24" s="1"/>
  <c r="Y231" i="24" s="1"/>
  <c r="AG172" i="24"/>
  <c r="AF172" i="24" s="1"/>
  <c r="AD172" i="24" s="1"/>
  <c r="AA172" i="24" s="1"/>
  <c r="Z172" i="24" s="1"/>
  <c r="Y172" i="24" s="1"/>
  <c r="AG51" i="24"/>
  <c r="AF51" i="24" s="1"/>
  <c r="AD51" i="24" s="1"/>
  <c r="AA51" i="24" s="1"/>
  <c r="Z51" i="24" s="1"/>
  <c r="Y51" i="24" s="1"/>
  <c r="AG295" i="24"/>
  <c r="AF295" i="24" s="1"/>
  <c r="AD295" i="24" s="1"/>
  <c r="AA295" i="24" s="1"/>
  <c r="Z295" i="24" s="1"/>
  <c r="Y295" i="24" s="1"/>
  <c r="AG147" i="24"/>
  <c r="AF147" i="24" s="1"/>
  <c r="AD147" i="24" s="1"/>
  <c r="AG233" i="24"/>
  <c r="AF233" i="24" s="1"/>
  <c r="AD233" i="24" s="1"/>
  <c r="AA233" i="24" s="1"/>
  <c r="Z233" i="24" s="1"/>
  <c r="Y233" i="24" s="1"/>
  <c r="AG343" i="24"/>
  <c r="AF343" i="24" s="1"/>
  <c r="AD343" i="24" s="1"/>
  <c r="AA343" i="24" s="1"/>
  <c r="Z343" i="24" s="1"/>
  <c r="Y343" i="24" s="1"/>
  <c r="AI382" i="24"/>
  <c r="AI381" i="24"/>
  <c r="AI383" i="24"/>
  <c r="AH15" i="24"/>
  <c r="AG135" i="24"/>
  <c r="AF135" i="24" s="1"/>
  <c r="AD135" i="24" s="1"/>
  <c r="AA135" i="24" s="1"/>
  <c r="Z135" i="24" s="1"/>
  <c r="Y135" i="24" s="1"/>
  <c r="AD383" i="22"/>
  <c r="AD382" i="22"/>
  <c r="AD381" i="22"/>
  <c r="AD217" i="24"/>
  <c r="AA217" i="24" s="1"/>
  <c r="Z217" i="24" s="1"/>
  <c r="Y217" i="24" s="1"/>
  <c r="AD256" i="24"/>
  <c r="AA256" i="24" s="1"/>
  <c r="Z256" i="24" s="1"/>
  <c r="Y256" i="24" s="1"/>
  <c r="AD165" i="24"/>
  <c r="AA165" i="24" s="1"/>
  <c r="Z165" i="24" s="1"/>
  <c r="Y165" i="24" s="1"/>
  <c r="AD168" i="24"/>
  <c r="AA168" i="24" s="1"/>
  <c r="Z168" i="24" s="1"/>
  <c r="Y168" i="24" s="1"/>
  <c r="AD272" i="24"/>
  <c r="AD368" i="24"/>
  <c r="AA368" i="24" s="1"/>
  <c r="Z368" i="24" s="1"/>
  <c r="Y368" i="24" s="1"/>
  <c r="AD79" i="24"/>
  <c r="AA79" i="24" s="1"/>
  <c r="Z79" i="24" s="1"/>
  <c r="Y79" i="24" s="1"/>
  <c r="AD36" i="24"/>
  <c r="AA36" i="24" s="1"/>
  <c r="Z36" i="24" s="1"/>
  <c r="Y36" i="24" s="1"/>
  <c r="AD137" i="24"/>
  <c r="AA137" i="24" s="1"/>
  <c r="Z137" i="24" s="1"/>
  <c r="Y137" i="24" s="1"/>
  <c r="AD287" i="24"/>
  <c r="AA287" i="24" s="1"/>
  <c r="Z287" i="24" s="1"/>
  <c r="Y287" i="24" s="1"/>
  <c r="AD279" i="24"/>
  <c r="AA279" i="24" s="1"/>
  <c r="Z279" i="24" s="1"/>
  <c r="Y279" i="24" s="1"/>
  <c r="AD312" i="24"/>
  <c r="AA312" i="24" s="1"/>
  <c r="Z312" i="24" s="1"/>
  <c r="Y312" i="24" s="1"/>
  <c r="AD192" i="24"/>
  <c r="AA192" i="24" s="1"/>
  <c r="Z192" i="24" s="1"/>
  <c r="Y192" i="24" s="1"/>
  <c r="AD117" i="24"/>
  <c r="AA117" i="24" s="1"/>
  <c r="Z117" i="24" s="1"/>
  <c r="Y117" i="24" s="1"/>
  <c r="AD48" i="24"/>
  <c r="AA48" i="24" s="1"/>
  <c r="Z48" i="24" s="1"/>
  <c r="Y48" i="24" s="1"/>
  <c r="AD188" i="24"/>
  <c r="AA188" i="24" s="1"/>
  <c r="Z188" i="24" s="1"/>
  <c r="Y188" i="24" s="1"/>
  <c r="AD202" i="24"/>
  <c r="AA202" i="24" s="1"/>
  <c r="Z202" i="24" s="1"/>
  <c r="Y202" i="24" s="1"/>
  <c r="AD351" i="24"/>
  <c r="AA351" i="24" s="1"/>
  <c r="Z351" i="24" s="1"/>
  <c r="Y351" i="24" s="1"/>
  <c r="AD229" i="24"/>
  <c r="AA229" i="24" s="1"/>
  <c r="Z229" i="24" s="1"/>
  <c r="Y229" i="24" s="1"/>
  <c r="AD364" i="24"/>
  <c r="AA364" i="24" s="1"/>
  <c r="Z364" i="24" s="1"/>
  <c r="Y364" i="24" s="1"/>
  <c r="AD102" i="24"/>
  <c r="AD225" i="24"/>
  <c r="AA225" i="24" s="1"/>
  <c r="Z225" i="24" s="1"/>
  <c r="Y225" i="24" s="1"/>
  <c r="AD271" i="24"/>
  <c r="AA271" i="24" s="1"/>
  <c r="Z271" i="24" s="1"/>
  <c r="Y271" i="24" s="1"/>
  <c r="AD54" i="24"/>
  <c r="AD127" i="24"/>
  <c r="AA127" i="24" s="1"/>
  <c r="Z127" i="24" s="1"/>
  <c r="Y127" i="24" s="1"/>
  <c r="AD199" i="24"/>
  <c r="AA199" i="24" s="1"/>
  <c r="Z199" i="24" s="1"/>
  <c r="Y199" i="24" s="1"/>
  <c r="AD266" i="24"/>
  <c r="AA266" i="24" s="1"/>
  <c r="Z266" i="24" s="1"/>
  <c r="Y266" i="24" s="1"/>
  <c r="AD354" i="24"/>
  <c r="AA354" i="24" s="1"/>
  <c r="Z354" i="24" s="1"/>
  <c r="Y354" i="24" s="1"/>
  <c r="AD30" i="24"/>
  <c r="AA30" i="24" s="1"/>
  <c r="Z30" i="24" s="1"/>
  <c r="Y30" i="24" s="1"/>
  <c r="AD306" i="24"/>
  <c r="AA306" i="24" s="1"/>
  <c r="Z306" i="24" s="1"/>
  <c r="Y306" i="24" s="1"/>
  <c r="AD170" i="24"/>
  <c r="AA170" i="24" s="1"/>
  <c r="Z170" i="24" s="1"/>
  <c r="Y170" i="24" s="1"/>
  <c r="AD212" i="24"/>
  <c r="AA212" i="24" s="1"/>
  <c r="Z212" i="24" s="1"/>
  <c r="Y212" i="24" s="1"/>
  <c r="AD235" i="24"/>
  <c r="AA235" i="24" s="1"/>
  <c r="Z235" i="24" s="1"/>
  <c r="Y235" i="24" s="1"/>
  <c r="AD377" i="24"/>
  <c r="AA377" i="24" s="1"/>
  <c r="Z377" i="24" s="1"/>
  <c r="Y377" i="24" s="1"/>
  <c r="AD113" i="24"/>
  <c r="AA113" i="24" s="1"/>
  <c r="Z113" i="24" s="1"/>
  <c r="Y113" i="24" s="1"/>
  <c r="AD21" i="24"/>
  <c r="AA21" i="24" s="1"/>
  <c r="Z21" i="24" s="1"/>
  <c r="Y21" i="24" s="1"/>
  <c r="AD289" i="24"/>
  <c r="AD112" i="24"/>
  <c r="AA112" i="24" s="1"/>
  <c r="Z112" i="24" s="1"/>
  <c r="Y112" i="24" s="1"/>
  <c r="AD291" i="24"/>
  <c r="AA291" i="24" s="1"/>
  <c r="Z291" i="24" s="1"/>
  <c r="Y291" i="24" s="1"/>
  <c r="AD360" i="24"/>
  <c r="AA360" i="24" s="1"/>
  <c r="Z360" i="24" s="1"/>
  <c r="Y360" i="24" s="1"/>
  <c r="AD284" i="24"/>
  <c r="AA284" i="24" s="1"/>
  <c r="Z284" i="24" s="1"/>
  <c r="Y284" i="24" s="1"/>
  <c r="AD375" i="24"/>
  <c r="AA375" i="24" s="1"/>
  <c r="Z375" i="24" s="1"/>
  <c r="Y375" i="24" s="1"/>
  <c r="AD319" i="24"/>
  <c r="AA319" i="24" s="1"/>
  <c r="Z319" i="24" s="1"/>
  <c r="Y319" i="24" s="1"/>
  <c r="AD273" i="24"/>
  <c r="AA273" i="24" s="1"/>
  <c r="Z273" i="24" s="1"/>
  <c r="Y273" i="24" s="1"/>
  <c r="AD242" i="24"/>
  <c r="AA242" i="24" s="1"/>
  <c r="Z242" i="24" s="1"/>
  <c r="Y242" i="24" s="1"/>
  <c r="AD75" i="24"/>
  <c r="AA75" i="24" s="1"/>
  <c r="Z75" i="24" s="1"/>
  <c r="Y75" i="24" s="1"/>
  <c r="AD209" i="24"/>
  <c r="AA209" i="24" s="1"/>
  <c r="Z209" i="24" s="1"/>
  <c r="Y209" i="24" s="1"/>
  <c r="AD74" i="24"/>
  <c r="AA74" i="24" s="1"/>
  <c r="Z74" i="24" s="1"/>
  <c r="Y74" i="24" s="1"/>
  <c r="AD210" i="24"/>
  <c r="AD87" i="24"/>
  <c r="AA87" i="24" s="1"/>
  <c r="Z87" i="24" s="1"/>
  <c r="Y87" i="24" s="1"/>
  <c r="AD248" i="24"/>
  <c r="AA248" i="24" s="1"/>
  <c r="Z248" i="24" s="1"/>
  <c r="Y248" i="24" s="1"/>
  <c r="AD110" i="24"/>
  <c r="AD42" i="24"/>
  <c r="AA42" i="24" s="1"/>
  <c r="Z42" i="24" s="1"/>
  <c r="Y42" i="24" s="1"/>
  <c r="AD320" i="24"/>
  <c r="AA320" i="24" s="1"/>
  <c r="Z320" i="24" s="1"/>
  <c r="Y320" i="24" s="1"/>
  <c r="AD241" i="24"/>
  <c r="AD159" i="24"/>
  <c r="AA159" i="24" s="1"/>
  <c r="Z159" i="24" s="1"/>
  <c r="Y159" i="24" s="1"/>
  <c r="AD38" i="24"/>
  <c r="AA38" i="24" s="1"/>
  <c r="Z38" i="24" s="1"/>
  <c r="Y38" i="24" s="1"/>
  <c r="AD189" i="24"/>
  <c r="AA189" i="24" s="1"/>
  <c r="Z189" i="24" s="1"/>
  <c r="Y189" i="24" s="1"/>
  <c r="AD186" i="24"/>
  <c r="AA186" i="24" s="1"/>
  <c r="Z186" i="24" s="1"/>
  <c r="Y186" i="24" s="1"/>
  <c r="AD310" i="24"/>
  <c r="AA310" i="24" s="1"/>
  <c r="Z310" i="24" s="1"/>
  <c r="Y310" i="24" s="1"/>
  <c r="AD322" i="24"/>
  <c r="AA322" i="24" s="1"/>
  <c r="Z322" i="24" s="1"/>
  <c r="Y322" i="24" s="1"/>
  <c r="AD182" i="24"/>
  <c r="AA182" i="24" s="1"/>
  <c r="Z182" i="24" s="1"/>
  <c r="Y182" i="24" s="1"/>
  <c r="AD373" i="24"/>
  <c r="AA373" i="24" s="1"/>
  <c r="Z373" i="24" s="1"/>
  <c r="Y373" i="24" s="1"/>
  <c r="AD252" i="24"/>
  <c r="AA252" i="24" s="1"/>
  <c r="Z252" i="24" s="1"/>
  <c r="Y252" i="24" s="1"/>
  <c r="AD315" i="24"/>
  <c r="AA315" i="24" s="1"/>
  <c r="Z315" i="24" s="1"/>
  <c r="Y315" i="24" s="1"/>
  <c r="AD203" i="24"/>
  <c r="AD213" i="24"/>
  <c r="AA213" i="24" s="1"/>
  <c r="Z213" i="24" s="1"/>
  <c r="Y213" i="24" s="1"/>
  <c r="AD208" i="24"/>
  <c r="AD167" i="24"/>
  <c r="AA167" i="24" s="1"/>
  <c r="Z167" i="24" s="1"/>
  <c r="Y167" i="24" s="1"/>
  <c r="AD286" i="24"/>
  <c r="AD95" i="24"/>
  <c r="AA95" i="24" s="1"/>
  <c r="Z95" i="24" s="1"/>
  <c r="Y95" i="24" s="1"/>
  <c r="AD25" i="24"/>
  <c r="AA25" i="24" s="1"/>
  <c r="Z25" i="24" s="1"/>
  <c r="Y25" i="24" s="1"/>
  <c r="AD70" i="24"/>
  <c r="AA70" i="24" s="1"/>
  <c r="Z70" i="24" s="1"/>
  <c r="Y70" i="24" s="1"/>
  <c r="AD169" i="24"/>
  <c r="AD239" i="24"/>
  <c r="AA239" i="24" s="1"/>
  <c r="Z239" i="24" s="1"/>
  <c r="Y239" i="24" s="1"/>
  <c r="AD353" i="24"/>
  <c r="AA353" i="24" s="1"/>
  <c r="Z353" i="24" s="1"/>
  <c r="Y353" i="24" s="1"/>
  <c r="AD358" i="24"/>
  <c r="AA358" i="24" s="1"/>
  <c r="Z358" i="24" s="1"/>
  <c r="Y358" i="24" s="1"/>
  <c r="AD317" i="24"/>
  <c r="AA317" i="24" s="1"/>
  <c r="Z317" i="24" s="1"/>
  <c r="Y317" i="24" s="1"/>
  <c r="AD224" i="24"/>
  <c r="AA224" i="24" s="1"/>
  <c r="Z224" i="24" s="1"/>
  <c r="Y224" i="24" s="1"/>
  <c r="AD370" i="24"/>
  <c r="AA370" i="24" s="1"/>
  <c r="Z370" i="24" s="1"/>
  <c r="Y370" i="24" s="1"/>
  <c r="AD342" i="24"/>
  <c r="AA342" i="24" s="1"/>
  <c r="Z342" i="24" s="1"/>
  <c r="Y342" i="24" s="1"/>
  <c r="AD330" i="24"/>
  <c r="AA330" i="24" s="1"/>
  <c r="Z330" i="24" s="1"/>
  <c r="Y330" i="24" s="1"/>
  <c r="AD232" i="24"/>
  <c r="AA232" i="24" s="1"/>
  <c r="Z232" i="24" s="1"/>
  <c r="Y232" i="24" s="1"/>
  <c r="AD28" i="24"/>
  <c r="AA28" i="24" s="1"/>
  <c r="Z28" i="24" s="1"/>
  <c r="Y28" i="24" s="1"/>
  <c r="AD238" i="24"/>
  <c r="AA238" i="24" s="1"/>
  <c r="Z238" i="24" s="1"/>
  <c r="Y238" i="24" s="1"/>
  <c r="AD16" i="24"/>
  <c r="AA16" i="24" s="1"/>
  <c r="Z16" i="24" s="1"/>
  <c r="Y16" i="24" s="1"/>
  <c r="AD374" i="24"/>
  <c r="AA374" i="24" s="1"/>
  <c r="Z374" i="24" s="1"/>
  <c r="Y374" i="24" s="1"/>
  <c r="AD173" i="24"/>
  <c r="AD44" i="24"/>
  <c r="AA44" i="24" s="1"/>
  <c r="Z44" i="24" s="1"/>
  <c r="Y44" i="24" s="1"/>
  <c r="AD136" i="24"/>
  <c r="AA136" i="24" s="1"/>
  <c r="Z136" i="24" s="1"/>
  <c r="Y136" i="24" s="1"/>
  <c r="AD92" i="24"/>
  <c r="AA92" i="24" s="1"/>
  <c r="Z92" i="24" s="1"/>
  <c r="Y92" i="24" s="1"/>
  <c r="AD296" i="24"/>
  <c r="AA296" i="24" s="1"/>
  <c r="Z296" i="24" s="1"/>
  <c r="Y296" i="24" s="1"/>
  <c r="AD149" i="24"/>
  <c r="AD339" i="24"/>
  <c r="AD206" i="24"/>
  <c r="AA206" i="24" s="1"/>
  <c r="Z206" i="24" s="1"/>
  <c r="Y206" i="24" s="1"/>
  <c r="AD114" i="24"/>
  <c r="AA114" i="24" s="1"/>
  <c r="Z114" i="24" s="1"/>
  <c r="Y114" i="24" s="1"/>
  <c r="AD81" i="24"/>
  <c r="AA81" i="24" s="1"/>
  <c r="Z81" i="24" s="1"/>
  <c r="Y81" i="24" s="1"/>
  <c r="AD146" i="24"/>
  <c r="AA146" i="24" s="1"/>
  <c r="Z146" i="24" s="1"/>
  <c r="Y146" i="24" s="1"/>
  <c r="AD314" i="24"/>
  <c r="AA314" i="24" s="1"/>
  <c r="Z314" i="24" s="1"/>
  <c r="Y314" i="24" s="1"/>
  <c r="AD45" i="24"/>
  <c r="AA45" i="24" s="1"/>
  <c r="Z45" i="24" s="1"/>
  <c r="Y45" i="24" s="1"/>
  <c r="AD76" i="24"/>
  <c r="AA76" i="24" s="1"/>
  <c r="Z76" i="24" s="1"/>
  <c r="Y76" i="24" s="1"/>
  <c r="AD164" i="24"/>
  <c r="AA164" i="24" s="1"/>
  <c r="Z164" i="24" s="1"/>
  <c r="Y164" i="24" s="1"/>
  <c r="AD122" i="24"/>
  <c r="AA122" i="24" s="1"/>
  <c r="Z122" i="24" s="1"/>
  <c r="Y122" i="24" s="1"/>
  <c r="AD27" i="24"/>
  <c r="AA27" i="24" s="1"/>
  <c r="Z27" i="24" s="1"/>
  <c r="Y27" i="24" s="1"/>
  <c r="AD78" i="24"/>
  <c r="AA78" i="24" s="1"/>
  <c r="Z78" i="24" s="1"/>
  <c r="Y78" i="24" s="1"/>
  <c r="AD59" i="24"/>
  <c r="AA59" i="24" s="1"/>
  <c r="Z59" i="24" s="1"/>
  <c r="Y59" i="24" s="1"/>
  <c r="AD327" i="24"/>
  <c r="AA327" i="24" s="1"/>
  <c r="Z327" i="24" s="1"/>
  <c r="Y327" i="24" s="1"/>
  <c r="AD53" i="24"/>
  <c r="AA53" i="24" s="1"/>
  <c r="Z53" i="24" s="1"/>
  <c r="Y53" i="24" s="1"/>
  <c r="AD356" i="24"/>
  <c r="AA356" i="24" s="1"/>
  <c r="Z356" i="24" s="1"/>
  <c r="Y356" i="24" s="1"/>
  <c r="AD132" i="24"/>
  <c r="AA132" i="24" s="1"/>
  <c r="Z132" i="24" s="1"/>
  <c r="Y132" i="24" s="1"/>
  <c r="AD367" i="24"/>
  <c r="AA367" i="24" s="1"/>
  <c r="Z367" i="24" s="1"/>
  <c r="Y367" i="24" s="1"/>
  <c r="AD227" i="24"/>
  <c r="AD278" i="24"/>
  <c r="AA278" i="24" s="1"/>
  <c r="Z278" i="24" s="1"/>
  <c r="Y278" i="24" s="1"/>
  <c r="AD316" i="24"/>
  <c r="AA316" i="24" s="1"/>
  <c r="Z316" i="24" s="1"/>
  <c r="Y316" i="24" s="1"/>
  <c r="AD69" i="24"/>
  <c r="AA69" i="24" s="1"/>
  <c r="Z69" i="24" s="1"/>
  <c r="Y69" i="24" s="1"/>
  <c r="AD77" i="24"/>
  <c r="AD88" i="24"/>
  <c r="AD181" i="24"/>
  <c r="AA181" i="24" s="1"/>
  <c r="Z181" i="24" s="1"/>
  <c r="Y181" i="24" s="1"/>
  <c r="AD62" i="24"/>
  <c r="AA62" i="24" s="1"/>
  <c r="Z62" i="24" s="1"/>
  <c r="Y62" i="24" s="1"/>
  <c r="AD338" i="24"/>
  <c r="AA338" i="24" s="1"/>
  <c r="Z338" i="24" s="1"/>
  <c r="Y338" i="24" s="1"/>
  <c r="AD328" i="24"/>
  <c r="AA328" i="24" s="1"/>
  <c r="Z328" i="24" s="1"/>
  <c r="Y328" i="24" s="1"/>
  <c r="AD350" i="24"/>
  <c r="AA350" i="24" s="1"/>
  <c r="Z350" i="24" s="1"/>
  <c r="Y350" i="24" s="1"/>
  <c r="AD223" i="24"/>
  <c r="AA223" i="24" s="1"/>
  <c r="Z223" i="24" s="1"/>
  <c r="Y223" i="24" s="1"/>
  <c r="AD153" i="24"/>
  <c r="AA153" i="24" s="1"/>
  <c r="Z153" i="24" s="1"/>
  <c r="Y153" i="24" s="1"/>
  <c r="AD357" i="24"/>
  <c r="AD41" i="24"/>
  <c r="AA41" i="24" s="1"/>
  <c r="Z41" i="24" s="1"/>
  <c r="Y41" i="24" s="1"/>
  <c r="AD111" i="24"/>
  <c r="AA111" i="24" s="1"/>
  <c r="Z111" i="24" s="1"/>
  <c r="Y111" i="24" s="1"/>
  <c r="AD134" i="24"/>
  <c r="AA134" i="24" s="1"/>
  <c r="Z134" i="24" s="1"/>
  <c r="Y134" i="24" s="1"/>
  <c r="AD228" i="24"/>
  <c r="AA228" i="24" s="1"/>
  <c r="Z228" i="24" s="1"/>
  <c r="Y228" i="24" s="1"/>
  <c r="AD61" i="24"/>
  <c r="AA61" i="24" s="1"/>
  <c r="Z61" i="24" s="1"/>
  <c r="Y61" i="24" s="1"/>
  <c r="AD323" i="24"/>
  <c r="AA323" i="24" s="1"/>
  <c r="Z323" i="24" s="1"/>
  <c r="Y323" i="24" s="1"/>
  <c r="AD257" i="24"/>
  <c r="AA257" i="24" s="1"/>
  <c r="Z257" i="24" s="1"/>
  <c r="Y257" i="24" s="1"/>
  <c r="AD143" i="24"/>
  <c r="AA143" i="24" s="1"/>
  <c r="Z143" i="24" s="1"/>
  <c r="Y143" i="24" s="1"/>
  <c r="AD73" i="24"/>
  <c r="AA73" i="24" s="1"/>
  <c r="Z73" i="24" s="1"/>
  <c r="Y73" i="24" s="1"/>
  <c r="AD325" i="24"/>
  <c r="AA325" i="24" s="1"/>
  <c r="Z325" i="24" s="1"/>
  <c r="Y325" i="24" s="1"/>
  <c r="AD185" i="24"/>
  <c r="AA185" i="24" s="1"/>
  <c r="Z185" i="24" s="1"/>
  <c r="Y185" i="24" s="1"/>
  <c r="AD255" i="24"/>
  <c r="AA255" i="24" s="1"/>
  <c r="Z255" i="24" s="1"/>
  <c r="Y255" i="24" s="1"/>
  <c r="AD334" i="24"/>
  <c r="AA334" i="24" s="1"/>
  <c r="Z334" i="24" s="1"/>
  <c r="Y334" i="24" s="1"/>
  <c r="AD344" i="24"/>
  <c r="AA344" i="24" s="1"/>
  <c r="Z344" i="24" s="1"/>
  <c r="Y344" i="24" s="1"/>
  <c r="AD34" i="24"/>
  <c r="AA34" i="24" s="1"/>
  <c r="Z34" i="24" s="1"/>
  <c r="Y34" i="24" s="1"/>
  <c r="AD39" i="24"/>
  <c r="AA39" i="24" s="1"/>
  <c r="Z39" i="24" s="1"/>
  <c r="Y39" i="24" s="1"/>
  <c r="AD24" i="24"/>
  <c r="AA24" i="24" s="1"/>
  <c r="Z24" i="24" s="1"/>
  <c r="Y24" i="24" s="1"/>
  <c r="AD219" i="24"/>
  <c r="AA219" i="24" s="1"/>
  <c r="Z219" i="24" s="1"/>
  <c r="Y219" i="24" s="1"/>
  <c r="AD366" i="24"/>
  <c r="AA366" i="24" s="1"/>
  <c r="Z366" i="24" s="1"/>
  <c r="Y366" i="24" s="1"/>
  <c r="AD277" i="24"/>
  <c r="AA277" i="24" s="1"/>
  <c r="Z277" i="24" s="1"/>
  <c r="Y277" i="24" s="1"/>
  <c r="AD100" i="24"/>
  <c r="AA100" i="24" s="1"/>
  <c r="Z100" i="24" s="1"/>
  <c r="Y100" i="24" s="1"/>
  <c r="AD240" i="24"/>
  <c r="AA240" i="24" s="1"/>
  <c r="Z240" i="24" s="1"/>
  <c r="Y240" i="24" s="1"/>
  <c r="AD35" i="24"/>
  <c r="AD234" i="24"/>
  <c r="AA234" i="24" s="1"/>
  <c r="Z234" i="24" s="1"/>
  <c r="Y234" i="24" s="1"/>
  <c r="AD335" i="24"/>
  <c r="AD86" i="24"/>
  <c r="AA86" i="24" s="1"/>
  <c r="Z86" i="24" s="1"/>
  <c r="Y86" i="24" s="1"/>
  <c r="AD276" i="24"/>
  <c r="AA276" i="24" s="1"/>
  <c r="Z276" i="24" s="1"/>
  <c r="Y276" i="24" s="1"/>
  <c r="AD222" i="24"/>
  <c r="AA222" i="24" s="1"/>
  <c r="Z222" i="24" s="1"/>
  <c r="Y222" i="24" s="1"/>
  <c r="AD247" i="24"/>
  <c r="AA247" i="24" s="1"/>
  <c r="Z247" i="24" s="1"/>
  <c r="Y247" i="24" s="1"/>
  <c r="AD152" i="24"/>
  <c r="AA152" i="24" s="1"/>
  <c r="Z152" i="24" s="1"/>
  <c r="Y152" i="24" s="1"/>
  <c r="AD60" i="24"/>
  <c r="AD200" i="24"/>
  <c r="AA200" i="24" s="1"/>
  <c r="Z200" i="24" s="1"/>
  <c r="Y200" i="24" s="1"/>
  <c r="AD336" i="24"/>
  <c r="AA336" i="24" s="1"/>
  <c r="Z336" i="24" s="1"/>
  <c r="Y336" i="24" s="1"/>
  <c r="AD288" i="24"/>
  <c r="AA288" i="24" s="1"/>
  <c r="Z288" i="24" s="1"/>
  <c r="Y288" i="24" s="1"/>
  <c r="AD120" i="24"/>
  <c r="AA120" i="24" s="1"/>
  <c r="Z120" i="24" s="1"/>
  <c r="Y120" i="24" s="1"/>
  <c r="AD305" i="24"/>
  <c r="AA305" i="24" s="1"/>
  <c r="Z305" i="24" s="1"/>
  <c r="Y305" i="24" s="1"/>
  <c r="AD298" i="24"/>
  <c r="AD64" i="24"/>
  <c r="AA64" i="24" s="1"/>
  <c r="Z64" i="24" s="1"/>
  <c r="Y64" i="24" s="1"/>
  <c r="AD115" i="24"/>
  <c r="AA115" i="24" s="1"/>
  <c r="Z115" i="24" s="1"/>
  <c r="Y115" i="24" s="1"/>
  <c r="G181" i="24"/>
  <c r="CE181" i="6" s="1"/>
  <c r="H165" i="24"/>
  <c r="I165" i="24" s="1"/>
  <c r="U309" i="25"/>
  <c r="T309" i="25" s="1"/>
  <c r="S309" i="25" s="1"/>
  <c r="R309" i="25" s="1"/>
  <c r="U216" i="25"/>
  <c r="T216" i="25" s="1"/>
  <c r="S216" i="25" s="1"/>
  <c r="R216" i="25" s="1"/>
  <c r="U375" i="25"/>
  <c r="T375" i="25" s="1"/>
  <c r="S375" i="25" s="1"/>
  <c r="R375" i="25" s="1"/>
  <c r="U121" i="25"/>
  <c r="T121" i="25" s="1"/>
  <c r="S121" i="25" s="1"/>
  <c r="R121" i="25" s="1"/>
  <c r="U268" i="25"/>
  <c r="T268" i="25" s="1"/>
  <c r="S268" i="25" s="1"/>
  <c r="R268" i="25" s="1"/>
  <c r="U294" i="25"/>
  <c r="T294" i="25" s="1"/>
  <c r="S294" i="25" s="1"/>
  <c r="R294" i="25" s="1"/>
  <c r="U207" i="25"/>
  <c r="T207" i="25" s="1"/>
  <c r="S207" i="25" s="1"/>
  <c r="R207" i="25" s="1"/>
  <c r="U241" i="25"/>
  <c r="T241" i="25" s="1"/>
  <c r="S241" i="25" s="1"/>
  <c r="R241" i="25" s="1"/>
  <c r="U283" i="25"/>
  <c r="T283" i="25" s="1"/>
  <c r="S283" i="25" s="1"/>
  <c r="R283" i="25" s="1"/>
  <c r="U325" i="25"/>
  <c r="T325" i="25" s="1"/>
  <c r="S325" i="25" s="1"/>
  <c r="R325" i="25" s="1"/>
  <c r="U310" i="25"/>
  <c r="T310" i="25" s="1"/>
  <c r="S310" i="25" s="1"/>
  <c r="R310" i="25" s="1"/>
  <c r="U236" i="25"/>
  <c r="T236" i="25" s="1"/>
  <c r="S236" i="25" s="1"/>
  <c r="R236" i="25" s="1"/>
  <c r="U156" i="25"/>
  <c r="T156" i="25" s="1"/>
  <c r="S156" i="25" s="1"/>
  <c r="R156" i="25" s="1"/>
  <c r="U297" i="25"/>
  <c r="T297" i="25" s="1"/>
  <c r="S297" i="25" s="1"/>
  <c r="R297" i="25" s="1"/>
  <c r="U258" i="25"/>
  <c r="T258" i="25" s="1"/>
  <c r="S258" i="25" s="1"/>
  <c r="R258" i="25" s="1"/>
  <c r="U256" i="25"/>
  <c r="T256" i="25" s="1"/>
  <c r="S256" i="25" s="1"/>
  <c r="R256" i="25" s="1"/>
  <c r="U202" i="25"/>
  <c r="T202" i="25" s="1"/>
  <c r="S202" i="25" s="1"/>
  <c r="R202" i="25" s="1"/>
  <c r="U370" i="25"/>
  <c r="T370" i="25" s="1"/>
  <c r="S370" i="25" s="1"/>
  <c r="R370" i="25" s="1"/>
  <c r="U343" i="25"/>
  <c r="T343" i="25" s="1"/>
  <c r="S343" i="25" s="1"/>
  <c r="R343" i="25" s="1"/>
  <c r="U157" i="25"/>
  <c r="T157" i="25" s="1"/>
  <c r="S157" i="25" s="1"/>
  <c r="R157" i="25" s="1"/>
  <c r="U224" i="25"/>
  <c r="T224" i="25" s="1"/>
  <c r="S224" i="25" s="1"/>
  <c r="R224" i="25" s="1"/>
  <c r="U274" i="25"/>
  <c r="T274" i="25" s="1"/>
  <c r="S274" i="25" s="1"/>
  <c r="R274" i="25" s="1"/>
  <c r="U110" i="25"/>
  <c r="T110" i="25" s="1"/>
  <c r="S110" i="25" s="1"/>
  <c r="R110" i="25" s="1"/>
  <c r="U107" i="25"/>
  <c r="T107" i="25" s="1"/>
  <c r="S107" i="25" s="1"/>
  <c r="R107" i="25" s="1"/>
  <c r="U198" i="25"/>
  <c r="T198" i="25" s="1"/>
  <c r="S198" i="25" s="1"/>
  <c r="R198" i="25" s="1"/>
  <c r="U334" i="25"/>
  <c r="T334" i="25" s="1"/>
  <c r="S334" i="25" s="1"/>
  <c r="R334" i="25" s="1"/>
  <c r="H191" i="24"/>
  <c r="J191" i="24" s="1"/>
  <c r="H139" i="24"/>
  <c r="J139" i="24" s="1"/>
  <c r="H30" i="24"/>
  <c r="J30" i="24" s="1"/>
  <c r="U252" i="25"/>
  <c r="T252" i="25" s="1"/>
  <c r="S252" i="25" s="1"/>
  <c r="R252" i="25" s="1"/>
  <c r="U223" i="25"/>
  <c r="T223" i="25" s="1"/>
  <c r="S223" i="25" s="1"/>
  <c r="R223" i="25" s="1"/>
  <c r="U148" i="25"/>
  <c r="T148" i="25" s="1"/>
  <c r="S148" i="25" s="1"/>
  <c r="R148" i="25" s="1"/>
  <c r="U272" i="25"/>
  <c r="T272" i="25" s="1"/>
  <c r="S272" i="25" s="1"/>
  <c r="R272" i="25" s="1"/>
  <c r="U105" i="25"/>
  <c r="T105" i="25" s="1"/>
  <c r="S105" i="25" s="1"/>
  <c r="R105" i="25" s="1"/>
  <c r="U371" i="25"/>
  <c r="T371" i="25" s="1"/>
  <c r="S371" i="25" s="1"/>
  <c r="R371" i="25" s="1"/>
  <c r="U322" i="25"/>
  <c r="T322" i="25" s="1"/>
  <c r="S322" i="25" s="1"/>
  <c r="R322" i="25" s="1"/>
  <c r="U142" i="25"/>
  <c r="T142" i="25" s="1"/>
  <c r="S142" i="25" s="1"/>
  <c r="R142" i="25" s="1"/>
  <c r="U199" i="25"/>
  <c r="T199" i="25" s="1"/>
  <c r="S199" i="25" s="1"/>
  <c r="R199" i="25" s="1"/>
  <c r="U109" i="25"/>
  <c r="T109" i="25" s="1"/>
  <c r="S109" i="25" s="1"/>
  <c r="R109" i="25" s="1"/>
  <c r="U350" i="25"/>
  <c r="T350" i="25" s="1"/>
  <c r="S350" i="25" s="1"/>
  <c r="R350" i="25" s="1"/>
  <c r="U253" i="25"/>
  <c r="T253" i="25" s="1"/>
  <c r="S253" i="25" s="1"/>
  <c r="R253" i="25" s="1"/>
  <c r="U168" i="25"/>
  <c r="T168" i="25" s="1"/>
  <c r="S168" i="25" s="1"/>
  <c r="R168" i="25" s="1"/>
  <c r="U178" i="25"/>
  <c r="T178" i="25" s="1"/>
  <c r="S178" i="25" s="1"/>
  <c r="R178" i="25" s="1"/>
  <c r="U336" i="25"/>
  <c r="T336" i="25" s="1"/>
  <c r="S336" i="25" s="1"/>
  <c r="R336" i="25" s="1"/>
  <c r="U172" i="25"/>
  <c r="T172" i="25" s="1"/>
  <c r="S172" i="25" s="1"/>
  <c r="R172" i="25" s="1"/>
  <c r="U111" i="25"/>
  <c r="T111" i="25" s="1"/>
  <c r="S111" i="25" s="1"/>
  <c r="R111" i="25" s="1"/>
  <c r="U292" i="25"/>
  <c r="T292" i="25" s="1"/>
  <c r="S292" i="25" s="1"/>
  <c r="R292" i="25" s="1"/>
  <c r="U160" i="25"/>
  <c r="T160" i="25" s="1"/>
  <c r="S160" i="25" s="1"/>
  <c r="R160" i="25" s="1"/>
  <c r="AJ3" i="18"/>
  <c r="O15" i="19" s="1"/>
  <c r="M15" i="19" s="1"/>
  <c r="AL13" i="18"/>
  <c r="S382" i="24"/>
  <c r="S381" i="24"/>
  <c r="S383" i="24"/>
  <c r="R15" i="24"/>
  <c r="AI281" i="25"/>
  <c r="AH281" i="25" s="1"/>
  <c r="AG281" i="25" s="1"/>
  <c r="AF281" i="25" s="1"/>
  <c r="AI340" i="25"/>
  <c r="AH340" i="25" s="1"/>
  <c r="AG340" i="25" s="1"/>
  <c r="AF340" i="25" s="1"/>
  <c r="AI373" i="25"/>
  <c r="AH373" i="25" s="1"/>
  <c r="AG373" i="25" s="1"/>
  <c r="AF373" i="25" s="1"/>
  <c r="AI155" i="25"/>
  <c r="AH155" i="25" s="1"/>
  <c r="AG155" i="25" s="1"/>
  <c r="AF155" i="25" s="1"/>
  <c r="AI185" i="25"/>
  <c r="AH185" i="25" s="1"/>
  <c r="AG185" i="25" s="1"/>
  <c r="AF185" i="25" s="1"/>
  <c r="AI177" i="25"/>
  <c r="AH177" i="25" s="1"/>
  <c r="AG177" i="25" s="1"/>
  <c r="AF177" i="25" s="1"/>
  <c r="AI361" i="25"/>
  <c r="AH361" i="25" s="1"/>
  <c r="AG361" i="25" s="1"/>
  <c r="AF361" i="25" s="1"/>
  <c r="AI238" i="25"/>
  <c r="AH238" i="25" s="1"/>
  <c r="AG238" i="25" s="1"/>
  <c r="AF238" i="25" s="1"/>
  <c r="AI356" i="25"/>
  <c r="AH356" i="25" s="1"/>
  <c r="AG356" i="25" s="1"/>
  <c r="AF356" i="25" s="1"/>
  <c r="AI115" i="25"/>
  <c r="AH115" i="25" s="1"/>
  <c r="AG115" i="25" s="1"/>
  <c r="AF115" i="25" s="1"/>
  <c r="AI106" i="25"/>
  <c r="AH106" i="25" s="1"/>
  <c r="AG106" i="25" s="1"/>
  <c r="AF106" i="25" s="1"/>
  <c r="AI290" i="25"/>
  <c r="AH290" i="25" s="1"/>
  <c r="AG290" i="25" s="1"/>
  <c r="AF290" i="25" s="1"/>
  <c r="AI355" i="25"/>
  <c r="AH355" i="25" s="1"/>
  <c r="AG355" i="25" s="1"/>
  <c r="AF355" i="25" s="1"/>
  <c r="AI252" i="25"/>
  <c r="AH252" i="25" s="1"/>
  <c r="AG252" i="25" s="1"/>
  <c r="AF252" i="25" s="1"/>
  <c r="AI157" i="25"/>
  <c r="AH157" i="25" s="1"/>
  <c r="AG157" i="25" s="1"/>
  <c r="AF157" i="25" s="1"/>
  <c r="AI341" i="25"/>
  <c r="AH341" i="25" s="1"/>
  <c r="AG341" i="25" s="1"/>
  <c r="AF341" i="25" s="1"/>
  <c r="AI348" i="25"/>
  <c r="AH348" i="25" s="1"/>
  <c r="AG348" i="25" s="1"/>
  <c r="AF348" i="25" s="1"/>
  <c r="AI274" i="25"/>
  <c r="AH274" i="25" s="1"/>
  <c r="AG274" i="25" s="1"/>
  <c r="AF274" i="25" s="1"/>
  <c r="AI140" i="25"/>
  <c r="AH140" i="25" s="1"/>
  <c r="AG140" i="25" s="1"/>
  <c r="AF140" i="25" s="1"/>
  <c r="AI200" i="25"/>
  <c r="AH200" i="25" s="1"/>
  <c r="AG200" i="25" s="1"/>
  <c r="AF200" i="25" s="1"/>
  <c r="AI258" i="25"/>
  <c r="AH258" i="25" s="1"/>
  <c r="AG258" i="25" s="1"/>
  <c r="AF258" i="25" s="1"/>
  <c r="AI104" i="25"/>
  <c r="AH104" i="25" s="1"/>
  <c r="AG104" i="25" s="1"/>
  <c r="AF104" i="25" s="1"/>
  <c r="AI171" i="25"/>
  <c r="AH171" i="25" s="1"/>
  <c r="AG171" i="25" s="1"/>
  <c r="AF171" i="25" s="1"/>
  <c r="AI206" i="25"/>
  <c r="AH206" i="25" s="1"/>
  <c r="AG206" i="25" s="1"/>
  <c r="AF206" i="25" s="1"/>
  <c r="AI113" i="25"/>
  <c r="AH113" i="25" s="1"/>
  <c r="AG113" i="25" s="1"/>
  <c r="AF113" i="25" s="1"/>
  <c r="AI257" i="25"/>
  <c r="AH257" i="25" s="1"/>
  <c r="AG257" i="25" s="1"/>
  <c r="AF257" i="25" s="1"/>
  <c r="AI317" i="25"/>
  <c r="AH317" i="25" s="1"/>
  <c r="AG317" i="25" s="1"/>
  <c r="AF317" i="25" s="1"/>
  <c r="AI284" i="25"/>
  <c r="AH284" i="25" s="1"/>
  <c r="AG284" i="25" s="1"/>
  <c r="AF284" i="25" s="1"/>
  <c r="AI339" i="25"/>
  <c r="AH339" i="25" s="1"/>
  <c r="AG339" i="25" s="1"/>
  <c r="AF339" i="25" s="1"/>
  <c r="AI149" i="25"/>
  <c r="AH149" i="25" s="1"/>
  <c r="AG149" i="25" s="1"/>
  <c r="AF149" i="25" s="1"/>
  <c r="AI243" i="25"/>
  <c r="AH243" i="25" s="1"/>
  <c r="AG243" i="25" s="1"/>
  <c r="AF243" i="25" s="1"/>
  <c r="AI235" i="25"/>
  <c r="AH235" i="25" s="1"/>
  <c r="AG235" i="25" s="1"/>
  <c r="AF235" i="25" s="1"/>
  <c r="AI210" i="25"/>
  <c r="AH210" i="25" s="1"/>
  <c r="AG210" i="25" s="1"/>
  <c r="AF210" i="25" s="1"/>
  <c r="AI322" i="25"/>
  <c r="AH322" i="25" s="1"/>
  <c r="AG322" i="25" s="1"/>
  <c r="AF322" i="25" s="1"/>
  <c r="P381" i="23"/>
  <c r="P383" i="23"/>
  <c r="P382" i="23"/>
  <c r="V15" i="23"/>
  <c r="U295" i="25"/>
  <c r="T295" i="25" s="1"/>
  <c r="S295" i="25" s="1"/>
  <c r="R295" i="25" s="1"/>
  <c r="U361" i="25"/>
  <c r="T361" i="25" s="1"/>
  <c r="S361" i="25" s="1"/>
  <c r="R361" i="25" s="1"/>
  <c r="U147" i="25"/>
  <c r="T147" i="25" s="1"/>
  <c r="S147" i="25" s="1"/>
  <c r="R147" i="25" s="1"/>
  <c r="U205" i="25"/>
  <c r="T205" i="25" s="1"/>
  <c r="S205" i="25" s="1"/>
  <c r="R205" i="25" s="1"/>
  <c r="U114" i="25"/>
  <c r="T114" i="25" s="1"/>
  <c r="S114" i="25" s="1"/>
  <c r="R114" i="25" s="1"/>
  <c r="U257" i="25"/>
  <c r="T257" i="25" s="1"/>
  <c r="S257" i="25" s="1"/>
  <c r="R257" i="25" s="1"/>
  <c r="U299" i="25"/>
  <c r="T299" i="25" s="1"/>
  <c r="S299" i="25" s="1"/>
  <c r="R299" i="25" s="1"/>
  <c r="U341" i="25"/>
  <c r="T341" i="25" s="1"/>
  <c r="S341" i="25" s="1"/>
  <c r="R341" i="25" s="1"/>
  <c r="U248" i="25"/>
  <c r="T248" i="25" s="1"/>
  <c r="S248" i="25" s="1"/>
  <c r="R248" i="25" s="1"/>
  <c r="U218" i="25"/>
  <c r="T218" i="25" s="1"/>
  <c r="S218" i="25" s="1"/>
  <c r="R218" i="25" s="1"/>
  <c r="U345" i="25"/>
  <c r="T345" i="25" s="1"/>
  <c r="S345" i="25" s="1"/>
  <c r="R345" i="25" s="1"/>
  <c r="U131" i="25"/>
  <c r="T131" i="25" s="1"/>
  <c r="S131" i="25" s="1"/>
  <c r="R131" i="25" s="1"/>
  <c r="U262" i="25"/>
  <c r="T262" i="25" s="1"/>
  <c r="S262" i="25" s="1"/>
  <c r="R262" i="25" s="1"/>
  <c r="U175" i="25"/>
  <c r="T175" i="25" s="1"/>
  <c r="S175" i="25" s="1"/>
  <c r="R175" i="25" s="1"/>
  <c r="U209" i="25"/>
  <c r="T209" i="25" s="1"/>
  <c r="S209" i="25" s="1"/>
  <c r="R209" i="25" s="1"/>
  <c r="U251" i="25"/>
  <c r="T251" i="25" s="1"/>
  <c r="S251" i="25" s="1"/>
  <c r="R251" i="25" s="1"/>
  <c r="U293" i="25"/>
  <c r="T293" i="25" s="1"/>
  <c r="S293" i="25" s="1"/>
  <c r="R293" i="25" s="1"/>
  <c r="U200" i="25"/>
  <c r="T200" i="25" s="1"/>
  <c r="S200" i="25" s="1"/>
  <c r="R200" i="25" s="1"/>
  <c r="U362" i="25"/>
  <c r="T362" i="25" s="1"/>
  <c r="S362" i="25" s="1"/>
  <c r="R362" i="25" s="1"/>
  <c r="U323" i="25"/>
  <c r="T323" i="25" s="1"/>
  <c r="S323" i="25" s="1"/>
  <c r="R323" i="25" s="1"/>
  <c r="U127" i="25"/>
  <c r="T127" i="25" s="1"/>
  <c r="S127" i="25" s="1"/>
  <c r="R127" i="25" s="1"/>
  <c r="U203" i="25"/>
  <c r="T203" i="25" s="1"/>
  <c r="S203" i="25" s="1"/>
  <c r="R203" i="25" s="1"/>
  <c r="U176" i="25"/>
  <c r="T176" i="25" s="1"/>
  <c r="S176" i="25" s="1"/>
  <c r="R176" i="25" s="1"/>
  <c r="U313" i="25"/>
  <c r="T313" i="25" s="1"/>
  <c r="S313" i="25" s="1"/>
  <c r="R313" i="25" s="1"/>
  <c r="U324" i="25"/>
  <c r="T324" i="25" s="1"/>
  <c r="S324" i="25" s="1"/>
  <c r="R324" i="25" s="1"/>
  <c r="U261" i="25"/>
  <c r="T261" i="25" s="1"/>
  <c r="S261" i="25" s="1"/>
  <c r="R261" i="25" s="1"/>
  <c r="U138" i="25"/>
  <c r="T138" i="25" s="1"/>
  <c r="S138" i="25" s="1"/>
  <c r="R138" i="25" s="1"/>
  <c r="U246" i="25"/>
  <c r="T246" i="25" s="1"/>
  <c r="S246" i="25" s="1"/>
  <c r="R246" i="25" s="1"/>
  <c r="U321" i="25"/>
  <c r="T321" i="25" s="1"/>
  <c r="S321" i="25" s="1"/>
  <c r="R321" i="25" s="1"/>
  <c r="U254" i="25"/>
  <c r="T254" i="25" s="1"/>
  <c r="S254" i="25" s="1"/>
  <c r="R254" i="25" s="1"/>
  <c r="U312" i="25"/>
  <c r="T312" i="25" s="1"/>
  <c r="S312" i="25" s="1"/>
  <c r="R312" i="25" s="1"/>
  <c r="U281" i="25"/>
  <c r="T281" i="25" s="1"/>
  <c r="S281" i="25" s="1"/>
  <c r="R281" i="25" s="1"/>
  <c r="U307" i="25"/>
  <c r="T307" i="25" s="1"/>
  <c r="S307" i="25" s="1"/>
  <c r="R307" i="25" s="1"/>
  <c r="U349" i="25"/>
  <c r="T349" i="25" s="1"/>
  <c r="S349" i="25" s="1"/>
  <c r="R349" i="25" s="1"/>
  <c r="U367" i="25"/>
  <c r="T367" i="25" s="1"/>
  <c r="S367" i="25" s="1"/>
  <c r="R367" i="25" s="1"/>
  <c r="U145" i="25"/>
  <c r="T145" i="25" s="1"/>
  <c r="S145" i="25" s="1"/>
  <c r="R145" i="25" s="1"/>
  <c r="U187" i="25"/>
  <c r="T187" i="25" s="1"/>
  <c r="S187" i="25" s="1"/>
  <c r="R187" i="25" s="1"/>
  <c r="U229" i="25"/>
  <c r="T229" i="25" s="1"/>
  <c r="S229" i="25" s="1"/>
  <c r="R229" i="25" s="1"/>
  <c r="U136" i="25"/>
  <c r="T136" i="25" s="1"/>
  <c r="S136" i="25" s="1"/>
  <c r="R136" i="25" s="1"/>
  <c r="J380" i="23"/>
  <c r="I380" i="23"/>
  <c r="H380" i="24" s="1"/>
  <c r="AJ7" i="22"/>
  <c r="D383" i="22"/>
  <c r="E15" i="22"/>
  <c r="AJ10" i="22" s="1"/>
  <c r="AJ12" i="22" s="1"/>
  <c r="D382" i="22"/>
  <c r="D9" i="22"/>
  <c r="D11" i="22" s="1"/>
  <c r="D381" i="22"/>
  <c r="J15" i="19"/>
  <c r="AA11" i="18"/>
  <c r="AA5" i="18" s="1"/>
  <c r="I15" i="19" s="1"/>
  <c r="Z11" i="18"/>
  <c r="Z5" i="18" s="1"/>
  <c r="H15" i="19" s="1"/>
  <c r="Y11" i="18"/>
  <c r="AM13" i="18"/>
  <c r="AK4" i="18"/>
  <c r="R15" i="19" s="1"/>
  <c r="T15" i="25"/>
  <c r="E9" i="20"/>
  <c r="E11" i="20" s="1"/>
  <c r="AJ10" i="20"/>
  <c r="AJ12" i="20" s="1"/>
  <c r="E381" i="20"/>
  <c r="E382" i="20"/>
  <c r="E383" i="20"/>
  <c r="F15" i="20"/>
  <c r="AK8" i="20"/>
  <c r="G149" i="22"/>
  <c r="CC149" i="6" s="1"/>
  <c r="H149" i="22"/>
  <c r="AA149" i="22"/>
  <c r="BF16" i="7"/>
  <c r="I60" i="23"/>
  <c r="J60" i="23"/>
  <c r="H207" i="24"/>
  <c r="J207" i="24" s="1"/>
  <c r="G75" i="24"/>
  <c r="CE75" i="6" s="1"/>
  <c r="G174" i="24"/>
  <c r="CE174" i="6" s="1"/>
  <c r="H158" i="24"/>
  <c r="J158" i="24" s="1"/>
  <c r="H261" i="24"/>
  <c r="J261" i="24" s="1"/>
  <c r="G38" i="24"/>
  <c r="CE38" i="6" s="1"/>
  <c r="H75" i="24"/>
  <c r="I75" i="24" s="1"/>
  <c r="G261" i="24"/>
  <c r="CE261" i="6" s="1"/>
  <c r="H85" i="24"/>
  <c r="J85" i="24" s="1"/>
  <c r="H342" i="24"/>
  <c r="J342" i="24" s="1"/>
  <c r="G313" i="24"/>
  <c r="CE313" i="6" s="1"/>
  <c r="H181" i="24"/>
  <c r="I181" i="24" s="1"/>
  <c r="G165" i="24"/>
  <c r="CE165" i="6" s="1"/>
  <c r="G85" i="24"/>
  <c r="CE85" i="6" s="1"/>
  <c r="I319" i="24"/>
  <c r="H203" i="24"/>
  <c r="J203" i="24" s="1"/>
  <c r="H234" i="24"/>
  <c r="J234" i="24" s="1"/>
  <c r="G189" i="24"/>
  <c r="CE189" i="6" s="1"/>
  <c r="H188" i="24"/>
  <c r="J188" i="24" s="1"/>
  <c r="G213" i="24"/>
  <c r="CE213" i="6" s="1"/>
  <c r="I372" i="24"/>
  <c r="G365" i="24"/>
  <c r="CE365" i="6" s="1"/>
  <c r="G355" i="24"/>
  <c r="CE355" i="6" s="1"/>
  <c r="G176" i="24"/>
  <c r="CE176" i="6" s="1"/>
  <c r="G192" i="24"/>
  <c r="CE192" i="6" s="1"/>
  <c r="G371" i="24"/>
  <c r="CE371" i="6" s="1"/>
  <c r="G236" i="24"/>
  <c r="CE236" i="6" s="1"/>
  <c r="G139" i="24"/>
  <c r="CE139" i="6" s="1"/>
  <c r="H50" i="24"/>
  <c r="I50" i="24" s="1"/>
  <c r="G175" i="24"/>
  <c r="CE175" i="6" s="1"/>
  <c r="H114" i="24"/>
  <c r="I114" i="24" s="1"/>
  <c r="H192" i="24"/>
  <c r="J192" i="24" s="1"/>
  <c r="H371" i="24"/>
  <c r="J371" i="24" s="1"/>
  <c r="G219" i="24"/>
  <c r="CE219" i="6" s="1"/>
  <c r="H99" i="24"/>
  <c r="I99" i="24" s="1"/>
  <c r="H259" i="24"/>
  <c r="I259" i="24" s="1"/>
  <c r="G99" i="24"/>
  <c r="CE99" i="6" s="1"/>
  <c r="I328" i="24"/>
  <c r="H21" i="24"/>
  <c r="I21" i="24" s="1"/>
  <c r="H33" i="24"/>
  <c r="J33" i="24" s="1"/>
  <c r="G142" i="24"/>
  <c r="CE142" i="6" s="1"/>
  <c r="J142" i="24"/>
  <c r="J116" i="24"/>
  <c r="J327" i="24"/>
  <c r="J257" i="24"/>
  <c r="I248" i="24"/>
  <c r="I69" i="24"/>
  <c r="J292" i="24"/>
  <c r="J140" i="24"/>
  <c r="J129" i="24"/>
  <c r="I115" i="24"/>
  <c r="J105" i="24"/>
  <c r="I302" i="23"/>
  <c r="J302" i="23"/>
  <c r="J111" i="24"/>
  <c r="I111" i="24"/>
  <c r="I31" i="24"/>
  <c r="J31" i="24"/>
  <c r="Q58" i="25"/>
  <c r="Q221" i="25"/>
  <c r="Q318" i="25"/>
  <c r="P318" i="25" s="1"/>
  <c r="V318" i="25" s="1"/>
  <c r="Q317" i="25"/>
  <c r="Q153" i="25"/>
  <c r="Q307" i="25"/>
  <c r="Q28" i="25"/>
  <c r="P28" i="25" s="1"/>
  <c r="V28" i="25" s="1"/>
  <c r="Q85" i="25"/>
  <c r="Q50" i="25"/>
  <c r="Q196" i="25"/>
  <c r="Q142" i="25"/>
  <c r="Q203" i="25"/>
  <c r="Q125" i="25"/>
  <c r="Q210" i="25"/>
  <c r="Q84" i="25"/>
  <c r="P84" i="25" s="1"/>
  <c r="V84" i="25" s="1"/>
  <c r="Q57" i="25"/>
  <c r="Q275" i="25"/>
  <c r="Q220" i="25"/>
  <c r="Q126" i="25"/>
  <c r="P126" i="25" s="1"/>
  <c r="V126" i="25" s="1"/>
  <c r="Q207" i="25"/>
  <c r="Q349" i="25"/>
  <c r="Q366" i="25"/>
  <c r="Q107" i="25"/>
  <c r="Q208" i="25"/>
  <c r="Q63" i="25"/>
  <c r="P63" i="25" s="1"/>
  <c r="V63" i="25" s="1"/>
  <c r="Q282" i="25"/>
  <c r="Q342" i="25"/>
  <c r="P342" i="25" s="1"/>
  <c r="V342" i="25" s="1"/>
  <c r="Q199" i="25"/>
  <c r="Q262" i="25"/>
  <c r="Q27" i="25"/>
  <c r="Q144" i="25"/>
  <c r="P144" i="25" s="1"/>
  <c r="V144" i="25" s="1"/>
  <c r="Q138" i="25"/>
  <c r="Q95" i="25"/>
  <c r="Q378" i="25"/>
  <c r="Q337" i="25"/>
  <c r="Q163" i="25"/>
  <c r="Q297" i="25"/>
  <c r="Q300" i="25"/>
  <c r="Q231" i="25"/>
  <c r="Q30" i="25"/>
  <c r="Q198" i="25"/>
  <c r="Q80" i="25"/>
  <c r="Q127" i="25"/>
  <c r="Q369" i="25"/>
  <c r="Q174" i="25"/>
  <c r="P174" i="25" s="1"/>
  <c r="V174" i="25" s="1"/>
  <c r="Q263" i="25"/>
  <c r="Q345" i="25"/>
  <c r="Q88" i="25"/>
  <c r="Q55" i="25"/>
  <c r="Q281" i="25"/>
  <c r="Q224" i="25"/>
  <c r="Q102" i="25"/>
  <c r="Q213" i="25"/>
  <c r="Q375" i="25"/>
  <c r="Q344" i="25"/>
  <c r="Q113" i="25"/>
  <c r="Q162" i="25"/>
  <c r="Q253" i="25"/>
  <c r="Q280" i="25"/>
  <c r="P280" i="25" s="1"/>
  <c r="V280" i="25" s="1"/>
  <c r="Q214" i="25"/>
  <c r="Q185" i="25"/>
  <c r="Q347" i="25"/>
  <c r="Q356" i="25"/>
  <c r="Q117" i="25"/>
  <c r="Q178" i="25"/>
  <c r="Q132" i="25"/>
  <c r="Q15" i="25"/>
  <c r="Q235" i="25"/>
  <c r="Q251" i="25"/>
  <c r="Q164" i="25"/>
  <c r="Q101" i="25"/>
  <c r="Q331" i="25"/>
  <c r="Q278" i="25"/>
  <c r="Q237" i="25"/>
  <c r="Q250" i="25"/>
  <c r="Q355" i="25"/>
  <c r="Q193" i="25"/>
  <c r="Q246" i="25"/>
  <c r="Q264" i="25"/>
  <c r="Q261" i="25"/>
  <c r="Q35" i="25"/>
  <c r="Q128" i="25"/>
  <c r="Q170" i="25"/>
  <c r="Q103" i="25"/>
  <c r="Q370" i="25"/>
  <c r="Q236" i="25"/>
  <c r="Q98" i="25"/>
  <c r="Q36" i="25"/>
  <c r="Q165" i="25"/>
  <c r="P165" i="25" s="1"/>
  <c r="V165" i="25" s="1"/>
  <c r="Q306" i="25"/>
  <c r="Q22" i="25"/>
  <c r="BG15" i="7"/>
  <c r="AE352" i="25"/>
  <c r="AE138" i="25"/>
  <c r="AE285" i="25"/>
  <c r="AE71" i="25"/>
  <c r="AE222" i="25"/>
  <c r="AE369" i="25"/>
  <c r="AE155" i="25"/>
  <c r="AE290" i="25"/>
  <c r="AE76" i="25"/>
  <c r="AE223" i="25"/>
  <c r="AE374" i="25"/>
  <c r="AE144" i="25"/>
  <c r="AE291" i="25"/>
  <c r="AE77" i="25"/>
  <c r="AE228" i="25"/>
  <c r="AE375" i="25"/>
  <c r="AE161" i="25"/>
  <c r="AE312" i="25"/>
  <c r="AE82" i="25"/>
  <c r="AE293" i="25"/>
  <c r="AE79" i="25"/>
  <c r="AE230" i="25"/>
  <c r="AE377" i="25"/>
  <c r="AE256" i="25"/>
  <c r="AE147" i="25"/>
  <c r="AE42" i="25"/>
  <c r="AE298" i="25"/>
  <c r="AE189" i="25"/>
  <c r="AE84" i="25"/>
  <c r="AE340" i="25"/>
  <c r="AE231" i="25"/>
  <c r="AE126" i="25"/>
  <c r="AE15" i="25"/>
  <c r="AE273" i="25"/>
  <c r="AE168" i="25"/>
  <c r="AE59" i="25"/>
  <c r="AE315" i="25"/>
  <c r="AE194" i="25"/>
  <c r="AE85" i="25"/>
  <c r="AE341" i="25"/>
  <c r="AE236" i="25"/>
  <c r="AE127" i="25"/>
  <c r="AE22" i="25"/>
  <c r="AE278" i="25"/>
  <c r="AE169" i="25"/>
  <c r="AE48" i="25"/>
  <c r="AE304" i="25"/>
  <c r="AE195" i="25"/>
  <c r="AE90" i="25"/>
  <c r="AE346" i="25"/>
  <c r="AE237" i="25"/>
  <c r="AE132" i="25"/>
  <c r="AE23" i="25"/>
  <c r="AE279" i="25"/>
  <c r="AE174" i="25"/>
  <c r="AE65" i="25"/>
  <c r="AE321" i="25"/>
  <c r="AE216" i="25"/>
  <c r="AE107" i="25"/>
  <c r="AE363" i="25"/>
  <c r="AE242" i="25"/>
  <c r="AE133" i="25"/>
  <c r="AE28" i="25"/>
  <c r="AE284" i="25"/>
  <c r="AE175" i="25"/>
  <c r="AE70" i="25"/>
  <c r="AE326" i="25"/>
  <c r="AE217" i="25"/>
  <c r="AE160" i="25"/>
  <c r="AE307" i="25"/>
  <c r="AE93" i="25"/>
  <c r="AE244" i="25"/>
  <c r="AE30" i="25"/>
  <c r="AE177" i="25"/>
  <c r="AE328" i="25"/>
  <c r="AE98" i="25"/>
  <c r="AE245" i="25"/>
  <c r="AE31" i="25"/>
  <c r="AE182" i="25"/>
  <c r="AE329" i="25"/>
  <c r="AE99" i="25"/>
  <c r="AE250" i="25"/>
  <c r="AE36" i="25"/>
  <c r="AE183" i="25"/>
  <c r="AE334" i="25"/>
  <c r="AE120" i="25"/>
  <c r="AE267" i="25"/>
  <c r="AE338" i="25"/>
  <c r="AE124" i="25"/>
  <c r="AE271" i="25"/>
  <c r="AE57" i="25"/>
  <c r="AE224" i="25"/>
  <c r="AE371" i="25"/>
  <c r="AE157" i="25"/>
  <c r="AE308" i="25"/>
  <c r="AE94" i="25"/>
  <c r="AE241" i="25"/>
  <c r="AE27" i="25"/>
  <c r="AE162" i="25"/>
  <c r="AE309" i="25"/>
  <c r="AE95" i="25"/>
  <c r="AE246" i="25"/>
  <c r="AE17" i="25"/>
  <c r="AE163" i="25"/>
  <c r="AE314" i="25"/>
  <c r="AE100" i="25"/>
  <c r="AE247" i="25"/>
  <c r="AE33" i="25"/>
  <c r="AE184" i="25"/>
  <c r="AE331" i="25"/>
  <c r="AE165" i="25"/>
  <c r="AE316" i="25"/>
  <c r="AE102" i="25"/>
  <c r="AE249" i="25"/>
  <c r="AE192" i="25"/>
  <c r="AE83" i="25"/>
  <c r="AE339" i="25"/>
  <c r="AE234" i="25"/>
  <c r="AE125" i="25"/>
  <c r="AE20" i="25"/>
  <c r="AE276" i="25"/>
  <c r="AE167" i="25"/>
  <c r="AE62" i="25"/>
  <c r="AE318" i="25"/>
  <c r="AE209" i="25"/>
  <c r="AE104" i="25"/>
  <c r="AE360" i="25"/>
  <c r="AE251" i="25"/>
  <c r="AE130" i="25"/>
  <c r="AE21" i="25"/>
  <c r="AE277" i="25"/>
  <c r="AE172" i="25"/>
  <c r="AE63" i="25"/>
  <c r="AE319" i="25"/>
  <c r="AE214" i="25"/>
  <c r="AE105" i="25"/>
  <c r="AE361" i="25"/>
  <c r="AE240" i="25"/>
  <c r="AE131" i="25"/>
  <c r="AE26" i="25"/>
  <c r="AE282" i="25"/>
  <c r="AE173" i="25"/>
  <c r="AE68" i="25"/>
  <c r="AE324" i="25"/>
  <c r="AE215" i="25"/>
  <c r="AE110" i="25"/>
  <c r="AE366" i="25"/>
  <c r="AE257" i="25"/>
  <c r="AE152" i="25"/>
  <c r="AE43" i="25"/>
  <c r="AE299" i="25"/>
  <c r="AE178" i="25"/>
  <c r="AE69" i="25"/>
  <c r="AE325" i="25"/>
  <c r="AE220" i="25"/>
  <c r="AE111" i="25"/>
  <c r="AE367" i="25"/>
  <c r="AE262" i="25"/>
  <c r="AE153" i="25"/>
  <c r="AE32" i="25"/>
  <c r="AE179" i="25"/>
  <c r="AE330" i="25"/>
  <c r="AE116" i="25"/>
  <c r="AE263" i="25"/>
  <c r="AE49" i="25"/>
  <c r="AE200" i="25"/>
  <c r="AE347" i="25"/>
  <c r="AE117" i="25"/>
  <c r="AE268" i="25"/>
  <c r="AE54" i="25"/>
  <c r="AE201" i="25"/>
  <c r="AE336" i="25"/>
  <c r="AE122" i="25"/>
  <c r="AE269" i="25"/>
  <c r="AE55" i="25"/>
  <c r="AE206" i="25"/>
  <c r="AE353" i="25"/>
  <c r="AE139" i="25"/>
  <c r="AE274" i="25"/>
  <c r="AE357" i="25"/>
  <c r="AE143" i="25"/>
  <c r="AE294" i="25"/>
  <c r="Q172" i="25"/>
  <c r="Q157" i="25"/>
  <c r="Q354" i="25"/>
  <c r="P354" i="25" s="1"/>
  <c r="V354" i="25" s="1"/>
  <c r="Q315" i="25"/>
  <c r="Q119" i="25"/>
  <c r="P119" i="25" s="1"/>
  <c r="Q20" i="25"/>
  <c r="Q234" i="25"/>
  <c r="P234" i="25" s="1"/>
  <c r="V234" i="25" s="1"/>
  <c r="Q89" i="25"/>
  <c r="Q96" i="25"/>
  <c r="Q66" i="25"/>
  <c r="Q51" i="25"/>
  <c r="Q156" i="25"/>
  <c r="Q277" i="25"/>
  <c r="Q21" i="25"/>
  <c r="Q232" i="25"/>
  <c r="Q239" i="25"/>
  <c r="Q182" i="25"/>
  <c r="Q308" i="25"/>
  <c r="Q177" i="25"/>
  <c r="Q334" i="25"/>
  <c r="Q339" i="25"/>
  <c r="Q139" i="25"/>
  <c r="Q186" i="25"/>
  <c r="Q61" i="25"/>
  <c r="Q152" i="25"/>
  <c r="Q279" i="25"/>
  <c r="Q23" i="25"/>
  <c r="Q212" i="25"/>
  <c r="Q249" i="25"/>
  <c r="Q110" i="25"/>
  <c r="Q288" i="25"/>
  <c r="P288" i="25" s="1"/>
  <c r="V288" i="25" s="1"/>
  <c r="Q211" i="25"/>
  <c r="Q230" i="25"/>
  <c r="Q320" i="25"/>
  <c r="Q181" i="25"/>
  <c r="Q330" i="25"/>
  <c r="Q343" i="25"/>
  <c r="Q143" i="25"/>
  <c r="Q376" i="25"/>
  <c r="P376" i="25" s="1"/>
  <c r="V376" i="25" s="1"/>
  <c r="Q202" i="25"/>
  <c r="Q81" i="25"/>
  <c r="Q112" i="25"/>
  <c r="Q34" i="25"/>
  <c r="Q43" i="25"/>
  <c r="Q123" i="25"/>
  <c r="Q350" i="25"/>
  <c r="Q365" i="25"/>
  <c r="P365" i="25" s="1"/>
  <c r="V365" i="25" s="1"/>
  <c r="Q191" i="25"/>
  <c r="Q190" i="25"/>
  <c r="P190" i="25" s="1"/>
  <c r="V190" i="25" s="1"/>
  <c r="Q252" i="25"/>
  <c r="Q259" i="25"/>
  <c r="Q41" i="25"/>
  <c r="Q116" i="25"/>
  <c r="Q146" i="25"/>
  <c r="Q109" i="25"/>
  <c r="Q309" i="25"/>
  <c r="Q361" i="25"/>
  <c r="Q91" i="25"/>
  <c r="P91" i="25" s="1"/>
  <c r="V91" i="25" s="1"/>
  <c r="Q226" i="25"/>
  <c r="Q16" i="25"/>
  <c r="Q129" i="25"/>
  <c r="Q333" i="25"/>
  <c r="Q360" i="25"/>
  <c r="Q159" i="25"/>
  <c r="P159" i="25" s="1"/>
  <c r="V159" i="25" s="1"/>
  <c r="Q359" i="25"/>
  <c r="Q305" i="25"/>
  <c r="Q197" i="25"/>
  <c r="Q304" i="25"/>
  <c r="Q166" i="25"/>
  <c r="P166" i="25" s="1"/>
  <c r="V166" i="25" s="1"/>
  <c r="Q227" i="25"/>
  <c r="Q256" i="25"/>
  <c r="Q46" i="25"/>
  <c r="Q265" i="25"/>
  <c r="P265" i="25" s="1"/>
  <c r="V265" i="25" s="1"/>
  <c r="Q180" i="25"/>
  <c r="Q39" i="25"/>
  <c r="Q17" i="25"/>
  <c r="Q120" i="25"/>
  <c r="P120" i="25" s="1"/>
  <c r="V120" i="25" s="1"/>
  <c r="Q77" i="25"/>
  <c r="Q303" i="25"/>
  <c r="Q76" i="25"/>
  <c r="Q187" i="25"/>
  <c r="Q206" i="25"/>
  <c r="Q292" i="25"/>
  <c r="Q255" i="25"/>
  <c r="Q37" i="25"/>
  <c r="P37" i="25" s="1"/>
  <c r="V37" i="25" s="1"/>
  <c r="Q124" i="25"/>
  <c r="Q130" i="25"/>
  <c r="P130" i="25" s="1"/>
  <c r="V130" i="25" s="1"/>
  <c r="Q105" i="25"/>
  <c r="Q368" i="25"/>
  <c r="P368" i="25" s="1"/>
  <c r="V368" i="25" s="1"/>
  <c r="Q335" i="25"/>
  <c r="Q173" i="25"/>
  <c r="P173" i="25" s="1"/>
  <c r="V173" i="25" s="1"/>
  <c r="Q332" i="25"/>
  <c r="Q222" i="25"/>
  <c r="Q183" i="25"/>
  <c r="Q357" i="25"/>
  <c r="Q358" i="25"/>
  <c r="Q115" i="25"/>
  <c r="P115" i="25" s="1"/>
  <c r="V115" i="25" s="1"/>
  <c r="Q218" i="25"/>
  <c r="Q104" i="25"/>
  <c r="Q47" i="25"/>
  <c r="Q241" i="25"/>
  <c r="Q298" i="25"/>
  <c r="Q296" i="25"/>
  <c r="P296" i="25" s="1"/>
  <c r="V296" i="25" s="1"/>
  <c r="Q24" i="25"/>
  <c r="Q87" i="25"/>
  <c r="Q106" i="25"/>
  <c r="Q160" i="25"/>
  <c r="Q19" i="25"/>
  <c r="P19" i="25" s="1"/>
  <c r="V19" i="25" s="1"/>
  <c r="Q245" i="25"/>
  <c r="Q294" i="25"/>
  <c r="Q301" i="25"/>
  <c r="P301" i="25" s="1"/>
  <c r="V301" i="25" s="1"/>
  <c r="Q145" i="25"/>
  <c r="Q290" i="25"/>
  <c r="Q329" i="25"/>
  <c r="Q289" i="25"/>
  <c r="Q72" i="25"/>
  <c r="Q131" i="25"/>
  <c r="Q373" i="25"/>
  <c r="Q158" i="25"/>
  <c r="Q268" i="25"/>
  <c r="Q283" i="25"/>
  <c r="Q65" i="25"/>
  <c r="Q100" i="25"/>
  <c r="Q242" i="25"/>
  <c r="Q133" i="25"/>
  <c r="Q340" i="25"/>
  <c r="Q363" i="25"/>
  <c r="Q201" i="25"/>
  <c r="Q150" i="25"/>
  <c r="Q248" i="25"/>
  <c r="P248" i="25" s="1"/>
  <c r="V248" i="25" s="1"/>
  <c r="Q269" i="25"/>
  <c r="Q59" i="25"/>
  <c r="Q266" i="25"/>
  <c r="Q346" i="25"/>
  <c r="Q195" i="25"/>
  <c r="Q244" i="25"/>
  <c r="Q45" i="25"/>
  <c r="Q93" i="25"/>
  <c r="Q82" i="25"/>
  <c r="Q148" i="25"/>
  <c r="Q25" i="25"/>
  <c r="P25" i="25" s="1"/>
  <c r="V25" i="25" s="1"/>
  <c r="Q243" i="25"/>
  <c r="Q284" i="25"/>
  <c r="P284" i="25" s="1"/>
  <c r="V284" i="25" s="1"/>
  <c r="Q254" i="25"/>
  <c r="Q175" i="25"/>
  <c r="Q311" i="25"/>
  <c r="Q48" i="25"/>
  <c r="Q75" i="25"/>
  <c r="Q94" i="25"/>
  <c r="Q215" i="25"/>
  <c r="Q316" i="25"/>
  <c r="Q326" i="25"/>
  <c r="Q147" i="25"/>
  <c r="Q319" i="25"/>
  <c r="Q40" i="25"/>
  <c r="Q79" i="25"/>
  <c r="P79" i="25" s="1"/>
  <c r="V79" i="25" s="1"/>
  <c r="Q273" i="25"/>
  <c r="Q240" i="25"/>
  <c r="Q348" i="25"/>
  <c r="Q33" i="25"/>
  <c r="Q114" i="25"/>
  <c r="Q372" i="25"/>
  <c r="Q169" i="25"/>
  <c r="P169" i="25" s="1"/>
  <c r="V169" i="25" s="1"/>
  <c r="Q302" i="25"/>
  <c r="P302" i="25" s="1"/>
  <c r="Q18" i="25"/>
  <c r="Q155" i="25"/>
  <c r="Q313" i="25"/>
  <c r="Q379" i="25"/>
  <c r="Q223" i="25"/>
  <c r="Q62" i="25"/>
  <c r="Q188" i="25"/>
  <c r="P188" i="25" s="1"/>
  <c r="V188" i="25" s="1"/>
  <c r="Q291" i="25"/>
  <c r="Q73" i="25"/>
  <c r="P73" i="25" s="1"/>
  <c r="V73" i="25" s="1"/>
  <c r="Q52" i="25"/>
  <c r="Q274" i="25"/>
  <c r="Q141" i="25"/>
  <c r="Q312" i="25"/>
  <c r="Q97" i="25"/>
  <c r="Q327" i="25"/>
  <c r="P327" i="25" s="1"/>
  <c r="V327" i="25" s="1"/>
  <c r="Q293" i="25"/>
  <c r="P293" i="25" s="1"/>
  <c r="V293" i="25" s="1"/>
  <c r="Q233" i="25"/>
  <c r="Q184" i="25"/>
  <c r="Q70" i="25"/>
  <c r="P70" i="25" s="1"/>
  <c r="V70" i="25" s="1"/>
  <c r="AE96" i="25"/>
  <c r="AE243" i="25"/>
  <c r="AE29" i="25"/>
  <c r="AE180" i="25"/>
  <c r="AE327" i="25"/>
  <c r="AE113" i="25"/>
  <c r="AE264" i="25"/>
  <c r="AE34" i="25"/>
  <c r="AE181" i="25"/>
  <c r="AE332" i="25"/>
  <c r="AE118" i="25"/>
  <c r="AE265" i="25"/>
  <c r="AE35" i="25"/>
  <c r="AE186" i="25"/>
  <c r="AE333" i="25"/>
  <c r="AE119" i="25"/>
  <c r="AE270" i="25"/>
  <c r="AE56" i="25"/>
  <c r="AE203" i="25"/>
  <c r="AE37" i="25"/>
  <c r="AE188" i="25"/>
  <c r="AE335" i="25"/>
  <c r="AE121" i="25"/>
  <c r="AE128" i="25"/>
  <c r="AE19" i="25"/>
  <c r="AE275" i="25"/>
  <c r="AE170" i="25"/>
  <c r="AE61" i="25"/>
  <c r="AE317" i="25"/>
  <c r="AE212" i="25"/>
  <c r="AE103" i="25"/>
  <c r="AE359" i="25"/>
  <c r="AE254" i="25"/>
  <c r="AE145" i="25"/>
  <c r="AE40" i="25"/>
  <c r="AE296" i="25"/>
  <c r="AE187" i="25"/>
  <c r="AE66" i="25"/>
  <c r="AE322" i="25"/>
  <c r="AE213" i="25"/>
  <c r="AE108" i="25"/>
  <c r="AE364" i="25"/>
  <c r="AE255" i="25"/>
  <c r="AE150" i="25"/>
  <c r="AE41" i="25"/>
  <c r="AE297" i="25"/>
  <c r="AE176" i="25"/>
  <c r="AE67" i="25"/>
  <c r="AE323" i="25"/>
  <c r="AE218" i="25"/>
  <c r="AE109" i="25"/>
  <c r="AE365" i="25"/>
  <c r="AE260" i="25"/>
  <c r="AE151" i="25"/>
  <c r="AE46" i="25"/>
  <c r="AE302" i="25"/>
  <c r="AE193" i="25"/>
  <c r="AE88" i="25"/>
  <c r="AE344" i="25"/>
  <c r="AE235" i="25"/>
  <c r="AE114" i="25"/>
  <c r="AE370" i="25"/>
  <c r="AE261" i="25"/>
  <c r="AE156" i="25"/>
  <c r="AE47" i="25"/>
  <c r="AE303" i="25"/>
  <c r="AE198" i="25"/>
  <c r="AE89" i="25"/>
  <c r="AE345" i="25"/>
  <c r="AE51" i="25"/>
  <c r="AE202" i="25"/>
  <c r="AE349" i="25"/>
  <c r="AE135" i="25"/>
  <c r="AE286" i="25"/>
  <c r="AE72" i="25"/>
  <c r="AE219" i="25"/>
  <c r="AE354" i="25"/>
  <c r="AE140" i="25"/>
  <c r="AE287" i="25"/>
  <c r="AE73" i="25"/>
  <c r="AE208" i="25"/>
  <c r="AE355" i="25"/>
  <c r="AE141" i="25"/>
  <c r="AE292" i="25"/>
  <c r="AE78" i="25"/>
  <c r="AE225" i="25"/>
  <c r="AE376" i="25"/>
  <c r="AE146" i="25"/>
  <c r="AE229" i="25"/>
  <c r="AE18" i="25"/>
  <c r="AE166" i="25"/>
  <c r="AE313" i="25"/>
  <c r="AE115" i="25"/>
  <c r="AE266" i="25"/>
  <c r="AE52" i="25"/>
  <c r="AE199" i="25"/>
  <c r="AE350" i="25"/>
  <c r="AE136" i="25"/>
  <c r="AE283" i="25"/>
  <c r="AE53" i="25"/>
  <c r="AE204" i="25"/>
  <c r="AE351" i="25"/>
  <c r="AE137" i="25"/>
  <c r="AE272" i="25"/>
  <c r="AE58" i="25"/>
  <c r="AE205" i="25"/>
  <c r="AE356" i="25"/>
  <c r="AE142" i="25"/>
  <c r="AE289" i="25"/>
  <c r="AE75" i="25"/>
  <c r="AE210" i="25"/>
  <c r="AE60" i="25"/>
  <c r="AE207" i="25"/>
  <c r="AE358" i="25"/>
  <c r="AE64" i="25"/>
  <c r="AE320" i="25"/>
  <c r="AE211" i="25"/>
  <c r="AE106" i="25"/>
  <c r="AE362" i="25"/>
  <c r="AE253" i="25"/>
  <c r="AE148" i="25"/>
  <c r="AE39" i="25"/>
  <c r="AE295" i="25"/>
  <c r="AE190" i="25"/>
  <c r="AE81" i="25"/>
  <c r="AE337" i="25"/>
  <c r="AE232" i="25"/>
  <c r="AE123" i="25"/>
  <c r="AE379" i="25"/>
  <c r="AE258" i="25"/>
  <c r="AE149" i="25"/>
  <c r="AE44" i="25"/>
  <c r="AE300" i="25"/>
  <c r="AE191" i="25"/>
  <c r="AE86" i="25"/>
  <c r="AE342" i="25"/>
  <c r="AE233" i="25"/>
  <c r="AE112" i="25"/>
  <c r="AE368" i="25"/>
  <c r="AE259" i="25"/>
  <c r="AE154" i="25"/>
  <c r="AE45" i="25"/>
  <c r="AE301" i="25"/>
  <c r="AE196" i="25"/>
  <c r="AE87" i="25"/>
  <c r="AE343" i="25"/>
  <c r="AE238" i="25"/>
  <c r="AE129" i="25"/>
  <c r="AE24" i="25"/>
  <c r="AE280" i="25"/>
  <c r="AE171" i="25"/>
  <c r="AE50" i="25"/>
  <c r="AE306" i="25"/>
  <c r="AE197" i="25"/>
  <c r="AE92" i="25"/>
  <c r="AE348" i="25"/>
  <c r="AE239" i="25"/>
  <c r="AE134" i="25"/>
  <c r="AE25" i="25"/>
  <c r="AE281" i="25"/>
  <c r="AE288" i="25"/>
  <c r="AE74" i="25"/>
  <c r="AE221" i="25"/>
  <c r="AE372" i="25"/>
  <c r="AE158" i="25"/>
  <c r="AE305" i="25"/>
  <c r="AE91" i="25"/>
  <c r="AE226" i="25"/>
  <c r="AE373" i="25"/>
  <c r="AE159" i="25"/>
  <c r="AE310" i="25"/>
  <c r="AE80" i="25"/>
  <c r="AE227" i="25"/>
  <c r="AE378" i="25"/>
  <c r="AE164" i="25"/>
  <c r="AE311" i="25"/>
  <c r="AE97" i="25"/>
  <c r="AE248" i="25"/>
  <c r="AE16" i="25"/>
  <c r="AE101" i="25"/>
  <c r="AE252" i="25"/>
  <c r="AE38" i="25"/>
  <c r="AE185" i="25"/>
  <c r="Q285" i="25"/>
  <c r="Q29" i="25"/>
  <c r="Q216" i="25"/>
  <c r="Q247" i="25"/>
  <c r="Q86" i="25"/>
  <c r="Q276" i="25"/>
  <c r="Q217" i="25"/>
  <c r="Q238" i="25"/>
  <c r="Q322" i="25"/>
  <c r="Q179" i="25"/>
  <c r="Q324" i="25"/>
  <c r="Q353" i="25"/>
  <c r="Q149" i="25"/>
  <c r="Q362" i="25"/>
  <c r="P362" i="25" s="1"/>
  <c r="V362" i="25" s="1"/>
  <c r="Q299" i="25"/>
  <c r="Q111" i="25"/>
  <c r="Q68" i="25"/>
  <c r="Q74" i="25"/>
  <c r="Q49" i="25"/>
  <c r="Q176" i="25"/>
  <c r="P176" i="25" s="1"/>
  <c r="V176" i="25" s="1"/>
  <c r="Q267" i="25"/>
  <c r="Q44" i="25"/>
  <c r="Q189" i="25"/>
  <c r="Q321" i="25"/>
  <c r="P321" i="25" s="1"/>
  <c r="V321" i="25" s="1"/>
  <c r="Q351" i="25"/>
  <c r="Q151" i="25"/>
  <c r="Q352" i="25"/>
  <c r="Q325" i="25"/>
  <c r="Q121" i="25"/>
  <c r="Q32" i="25"/>
  <c r="P32" i="25" s="1"/>
  <c r="V32" i="25" s="1"/>
  <c r="Q194" i="25"/>
  <c r="Q83" i="25"/>
  <c r="Q92" i="25"/>
  <c r="P92" i="25" s="1"/>
  <c r="V92" i="25" s="1"/>
  <c r="Q90" i="25"/>
  <c r="Q53" i="25"/>
  <c r="P53" i="25" s="1"/>
  <c r="V53" i="25" s="1"/>
  <c r="Q168" i="25"/>
  <c r="Q271" i="25"/>
  <c r="Q54" i="25"/>
  <c r="P54" i="25" s="1"/>
  <c r="V54" i="25" s="1"/>
  <c r="Q260" i="25"/>
  <c r="Q209" i="25"/>
  <c r="P209" i="25" s="1"/>
  <c r="V209" i="25" s="1"/>
  <c r="Q270" i="25"/>
  <c r="Q371" i="25"/>
  <c r="Q171" i="25"/>
  <c r="Q204" i="25"/>
  <c r="Q323" i="25"/>
  <c r="Q161" i="25"/>
  <c r="Q328" i="25"/>
  <c r="Q310" i="25"/>
  <c r="Q229" i="25"/>
  <c r="Q38" i="25"/>
  <c r="Q192" i="25"/>
  <c r="Q42" i="25"/>
  <c r="Q71" i="25"/>
  <c r="P71" i="25" s="1"/>
  <c r="V71" i="25" s="1"/>
  <c r="Q56" i="25"/>
  <c r="Q377" i="25"/>
  <c r="Q140" i="25"/>
  <c r="Q134" i="25"/>
  <c r="Q219" i="25"/>
  <c r="Q272" i="25"/>
  <c r="Q78" i="25"/>
  <c r="Q257" i="25"/>
  <c r="Q228" i="25"/>
  <c r="P228" i="25" s="1"/>
  <c r="V228" i="25" s="1"/>
  <c r="Q31" i="25"/>
  <c r="Q287" i="25"/>
  <c r="Q136" i="25"/>
  <c r="Q69" i="25"/>
  <c r="Q154" i="25"/>
  <c r="Q60" i="25"/>
  <c r="Q99" i="25"/>
  <c r="Q258" i="25"/>
  <c r="Q374" i="25"/>
  <c r="Q137" i="25"/>
  <c r="Q341" i="25"/>
  <c r="Q336" i="25"/>
  <c r="Q167" i="25"/>
  <c r="P167" i="25" s="1"/>
  <c r="V167" i="25" s="1"/>
  <c r="Q367" i="25"/>
  <c r="P367" i="25" s="1"/>
  <c r="V367" i="25" s="1"/>
  <c r="Q286" i="25"/>
  <c r="Q205" i="25"/>
  <c r="Q364" i="25"/>
  <c r="Q122" i="25"/>
  <c r="Q314" i="25"/>
  <c r="Q225" i="25"/>
  <c r="Q118" i="25"/>
  <c r="Q200" i="25"/>
  <c r="Q26" i="25"/>
  <c r="Q67" i="25"/>
  <c r="Q64" i="25"/>
  <c r="Q295" i="25"/>
  <c r="P295" i="25" s="1"/>
  <c r="V295" i="25" s="1"/>
  <c r="Q135" i="25"/>
  <c r="Q338" i="25"/>
  <c r="Q108" i="25"/>
  <c r="P108" i="25" s="1"/>
  <c r="V108" i="25" s="1"/>
  <c r="I353" i="24"/>
  <c r="J353" i="24"/>
  <c r="J154" i="24"/>
  <c r="I51" i="24"/>
  <c r="J51" i="24"/>
  <c r="J230" i="24"/>
  <c r="I230" i="24"/>
  <c r="J199" i="24"/>
  <c r="I199" i="24"/>
  <c r="J252" i="24"/>
  <c r="I252" i="24"/>
  <c r="I271" i="24"/>
  <c r="J271" i="24"/>
  <c r="J83" i="24"/>
  <c r="I83" i="24"/>
  <c r="I113" i="24"/>
  <c r="J113" i="24"/>
  <c r="I182" i="24"/>
  <c r="J182" i="24"/>
  <c r="J32" i="24"/>
  <c r="I32" i="24"/>
  <c r="J53" i="24"/>
  <c r="I53" i="24"/>
  <c r="I155" i="24"/>
  <c r="J155" i="24"/>
  <c r="I254" i="24"/>
  <c r="I264" i="24"/>
  <c r="I237" i="24"/>
  <c r="J237" i="24"/>
  <c r="G29" i="24"/>
  <c r="CE29" i="6" s="1"/>
  <c r="H29" i="24"/>
  <c r="I79" i="24"/>
  <c r="J79" i="24"/>
  <c r="J277" i="24"/>
  <c r="I277" i="24"/>
  <c r="J226" i="24"/>
  <c r="I226" i="24"/>
  <c r="J28" i="24"/>
  <c r="I28" i="24"/>
  <c r="I72" i="24"/>
  <c r="J72" i="24"/>
  <c r="J374" i="24"/>
  <c r="J61" i="24"/>
  <c r="I61" i="24"/>
  <c r="W60" i="24"/>
  <c r="D60" i="24"/>
  <c r="E60" i="24" s="1"/>
  <c r="F60" i="24" s="1"/>
  <c r="J143" i="24"/>
  <c r="I143" i="24"/>
  <c r="J174" i="24"/>
  <c r="I174" i="24"/>
  <c r="I364" i="24"/>
  <c r="J364" i="24"/>
  <c r="W180" i="24"/>
  <c r="D180" i="24"/>
  <c r="E180" i="24" s="1"/>
  <c r="F180" i="24" s="1"/>
  <c r="I359" i="24"/>
  <c r="J359" i="24"/>
  <c r="I90" i="24"/>
  <c r="J90" i="24"/>
  <c r="J206" i="24"/>
  <c r="I206" i="24"/>
  <c r="J367" i="24"/>
  <c r="I367" i="24"/>
  <c r="J91" i="24"/>
  <c r="I91" i="24"/>
  <c r="I242" i="24"/>
  <c r="J242" i="24"/>
  <c r="I310" i="24"/>
  <c r="J310" i="24"/>
  <c r="I311" i="24"/>
  <c r="J311" i="24"/>
  <c r="I171" i="24"/>
  <c r="J171" i="24"/>
  <c r="J253" i="24"/>
  <c r="I253" i="24"/>
  <c r="J213" i="24"/>
  <c r="I213" i="24"/>
  <c r="I358" i="24"/>
  <c r="J358" i="24"/>
  <c r="I295" i="24"/>
  <c r="J295" i="24"/>
  <c r="J309" i="24"/>
  <c r="I309" i="24"/>
  <c r="J308" i="24"/>
  <c r="I308" i="24"/>
  <c r="I76" i="24"/>
  <c r="J76" i="24"/>
  <c r="I312" i="24"/>
  <c r="J312" i="24"/>
  <c r="J80" i="24"/>
  <c r="I80" i="24"/>
  <c r="J58" i="24"/>
  <c r="I58" i="24"/>
  <c r="G379" i="24"/>
  <c r="CE379" i="6" s="1"/>
  <c r="J345" i="24"/>
  <c r="I345" i="24"/>
  <c r="J296" i="24"/>
  <c r="I296" i="24"/>
  <c r="J255" i="24"/>
  <c r="I132" i="24"/>
  <c r="J132" i="24"/>
  <c r="I103" i="24"/>
  <c r="J103" i="24"/>
  <c r="J281" i="24"/>
  <c r="I281" i="24"/>
  <c r="J153" i="24"/>
  <c r="I153" i="24"/>
  <c r="I34" i="24"/>
  <c r="J34" i="24"/>
  <c r="J337" i="24"/>
  <c r="I337" i="24"/>
  <c r="I376" i="24"/>
  <c r="J376" i="24"/>
  <c r="J19" i="24"/>
  <c r="I19" i="24"/>
  <c r="J209" i="24"/>
  <c r="I209" i="24"/>
  <c r="J81" i="24"/>
  <c r="I81" i="24"/>
  <c r="I198" i="24"/>
  <c r="J198" i="24"/>
  <c r="I378" i="24"/>
  <c r="J378" i="24"/>
  <c r="J211" i="24"/>
  <c r="I211" i="24"/>
  <c r="W149" i="24"/>
  <c r="D149" i="24"/>
  <c r="E149" i="24" s="1"/>
  <c r="F149" i="24" s="1"/>
  <c r="J341" i="24"/>
  <c r="I341" i="24"/>
  <c r="I20" i="24"/>
  <c r="J20" i="24"/>
  <c r="J297" i="24"/>
  <c r="I297" i="24"/>
  <c r="J23" i="24"/>
  <c r="I23" i="24"/>
  <c r="I39" i="24"/>
  <c r="J39" i="24"/>
  <c r="J212" i="24"/>
  <c r="I212" i="24"/>
  <c r="J283" i="24"/>
  <c r="I283" i="24"/>
  <c r="I210" i="23"/>
  <c r="J210" i="23"/>
  <c r="J320" i="24"/>
  <c r="I320" i="24"/>
  <c r="J136" i="24"/>
  <c r="I136" i="24"/>
  <c r="I205" i="24"/>
  <c r="J205" i="24"/>
  <c r="I352" i="24"/>
  <c r="J352" i="24"/>
  <c r="J245" i="24"/>
  <c r="I245" i="24"/>
  <c r="J56" i="24"/>
  <c r="I56" i="24"/>
  <c r="J57" i="24"/>
  <c r="I57" i="24"/>
  <c r="J162" i="24"/>
  <c r="I162" i="24"/>
  <c r="J243" i="24"/>
  <c r="I243" i="24"/>
  <c r="J377" i="24"/>
  <c r="I377" i="24"/>
  <c r="J36" i="24"/>
  <c r="I36" i="24"/>
  <c r="I170" i="24"/>
  <c r="J170" i="24"/>
  <c r="I244" i="24"/>
  <c r="J244" i="24"/>
  <c r="J322" i="24"/>
  <c r="I322" i="24"/>
  <c r="J334" i="24"/>
  <c r="I334" i="24"/>
  <c r="I365" i="24"/>
  <c r="J365" i="24"/>
  <c r="I236" i="24"/>
  <c r="J236" i="24"/>
  <c r="J347" i="24"/>
  <c r="I347" i="24"/>
  <c r="I109" i="24"/>
  <c r="J109" i="24"/>
  <c r="I355" i="24"/>
  <c r="J355" i="24"/>
  <c r="I200" i="24"/>
  <c r="J200" i="24"/>
  <c r="I176" i="24"/>
  <c r="J176" i="24"/>
  <c r="J344" i="24"/>
  <c r="I344" i="24"/>
  <c r="J120" i="24"/>
  <c r="I120" i="24"/>
  <c r="I338" i="24"/>
  <c r="J338" i="24"/>
  <c r="I266" i="24"/>
  <c r="J266" i="24"/>
  <c r="W88" i="24"/>
  <c r="D88" i="24"/>
  <c r="E88" i="24" s="1"/>
  <c r="F88" i="24" s="1"/>
  <c r="J185" i="24"/>
  <c r="I185" i="24"/>
  <c r="J172" i="24"/>
  <c r="I172" i="24"/>
  <c r="I124" i="24"/>
  <c r="J124" i="24"/>
  <c r="J219" i="24"/>
  <c r="I219" i="24"/>
  <c r="J25" i="24"/>
  <c r="I25" i="24"/>
  <c r="J166" i="24"/>
  <c r="I166" i="24"/>
  <c r="J325" i="24"/>
  <c r="I325" i="24"/>
  <c r="I350" i="24"/>
  <c r="J350" i="24"/>
  <c r="D333" i="24"/>
  <c r="E333" i="24" s="1"/>
  <c r="F333" i="24" s="1"/>
  <c r="W333" i="24"/>
  <c r="I294" i="24"/>
  <c r="J294" i="24"/>
  <c r="I157" i="24"/>
  <c r="J157" i="24"/>
  <c r="I330" i="24"/>
  <c r="J330" i="24"/>
  <c r="I126" i="24"/>
  <c r="J126" i="24"/>
  <c r="J118" i="24"/>
  <c r="I118" i="24"/>
  <c r="I282" i="24"/>
  <c r="J282" i="24"/>
  <c r="J284" i="24"/>
  <c r="I284" i="24"/>
  <c r="I369" i="24"/>
  <c r="J59" i="24"/>
  <c r="I59" i="24"/>
  <c r="I183" i="24"/>
  <c r="J183" i="24"/>
  <c r="J18" i="24"/>
  <c r="I18" i="24"/>
  <c r="J306" i="24"/>
  <c r="I306" i="24"/>
  <c r="J66" i="24"/>
  <c r="I66" i="24"/>
  <c r="I134" i="24"/>
  <c r="J134" i="24"/>
  <c r="J215" i="24"/>
  <c r="I215" i="24"/>
  <c r="I202" i="24"/>
  <c r="J202" i="24"/>
  <c r="I263" i="24"/>
  <c r="J263" i="24"/>
  <c r="J131" i="24"/>
  <c r="I131" i="24"/>
  <c r="I267" i="24"/>
  <c r="J267" i="24"/>
  <c r="I49" i="24"/>
  <c r="J49" i="24"/>
  <c r="I107" i="24"/>
  <c r="J107" i="24"/>
  <c r="I65" i="24"/>
  <c r="J336" i="24"/>
  <c r="I336" i="24"/>
  <c r="I43" i="24"/>
  <c r="J43" i="24"/>
  <c r="I189" i="24"/>
  <c r="J189" i="24"/>
  <c r="J122" i="24"/>
  <c r="I122" i="24"/>
  <c r="I38" i="24"/>
  <c r="J38" i="24"/>
  <c r="J195" i="24"/>
  <c r="I195" i="24"/>
  <c r="I233" i="24"/>
  <c r="J233" i="24"/>
  <c r="I37" i="24"/>
  <c r="I133" i="24"/>
  <c r="J133" i="24"/>
  <c r="J346" i="24"/>
  <c r="I346" i="24"/>
  <c r="I313" i="24"/>
  <c r="J313" i="24"/>
  <c r="J333" i="23"/>
  <c r="I333" i="23"/>
  <c r="J272" i="23"/>
  <c r="I272" i="23"/>
  <c r="J368" i="24"/>
  <c r="J27" i="24"/>
  <c r="I27" i="24"/>
  <c r="J221" i="24"/>
  <c r="I221" i="24"/>
  <c r="J250" i="24"/>
  <c r="I177" i="24"/>
  <c r="J340" i="24"/>
  <c r="I340" i="24"/>
  <c r="I223" i="24"/>
  <c r="J223" i="24"/>
  <c r="I305" i="24"/>
  <c r="J305" i="24"/>
  <c r="W241" i="24"/>
  <c r="D241" i="24"/>
  <c r="E241" i="24" s="1"/>
  <c r="F241" i="24" s="1"/>
  <c r="I356" i="24"/>
  <c r="J356" i="24"/>
  <c r="I262" i="24"/>
  <c r="J262" i="24"/>
  <c r="G288" i="24"/>
  <c r="CE288" i="6" s="1"/>
  <c r="H288" i="24"/>
  <c r="J24" i="24"/>
  <c r="I24" i="24"/>
  <c r="W363" i="24"/>
  <c r="D363" i="24"/>
  <c r="E363" i="24" s="1"/>
  <c r="F363" i="24" s="1"/>
  <c r="I318" i="24"/>
  <c r="J318" i="24"/>
  <c r="I184" i="24"/>
  <c r="I321" i="24"/>
  <c r="J321" i="24"/>
  <c r="I247" i="24"/>
  <c r="J247" i="24"/>
  <c r="I141" i="24"/>
  <c r="J141" i="24"/>
  <c r="J303" i="24"/>
  <c r="I303" i="24"/>
  <c r="I316" i="24"/>
  <c r="J316" i="24"/>
  <c r="I273" i="24"/>
  <c r="J273" i="24"/>
  <c r="J362" i="24"/>
  <c r="I362" i="24"/>
  <c r="I276" i="24"/>
  <c r="J276" i="24"/>
  <c r="I160" i="24"/>
  <c r="J160" i="24"/>
  <c r="J290" i="24"/>
  <c r="I290" i="24"/>
  <c r="I130" i="24"/>
  <c r="J130" i="24"/>
  <c r="I127" i="24"/>
  <c r="J127" i="24"/>
  <c r="J150" i="24"/>
  <c r="I150" i="24"/>
  <c r="J161" i="24"/>
  <c r="I161" i="24"/>
  <c r="I240" i="24"/>
  <c r="J240" i="24"/>
  <c r="I268" i="24"/>
  <c r="J268" i="24"/>
  <c r="I42" i="24"/>
  <c r="J42" i="24"/>
  <c r="J354" i="24"/>
  <c r="I354" i="24"/>
  <c r="J300" i="24"/>
  <c r="I331" i="24"/>
  <c r="J331" i="24"/>
  <c r="J152" i="24"/>
  <c r="I152" i="24"/>
  <c r="J291" i="24"/>
  <c r="I291" i="24"/>
  <c r="I332" i="24"/>
  <c r="J332" i="24"/>
  <c r="I128" i="24"/>
  <c r="J128" i="24"/>
  <c r="I280" i="24"/>
  <c r="J280" i="24"/>
  <c r="J260" i="24"/>
  <c r="I260" i="24"/>
  <c r="I301" i="24"/>
  <c r="J301" i="24"/>
  <c r="I44" i="24"/>
  <c r="J44" i="24"/>
  <c r="I112" i="24"/>
  <c r="J112" i="24"/>
  <c r="J168" i="24"/>
  <c r="I168" i="24"/>
  <c r="J159" i="24"/>
  <c r="I159" i="24"/>
  <c r="J314" i="24"/>
  <c r="I314" i="24"/>
  <c r="I326" i="24"/>
  <c r="J326" i="24"/>
  <c r="I167" i="24"/>
  <c r="J167" i="24"/>
  <c r="I224" i="24"/>
  <c r="J224" i="24"/>
  <c r="I164" i="24"/>
  <c r="J164" i="24"/>
  <c r="I256" i="24"/>
  <c r="J256" i="24"/>
  <c r="J17" i="24"/>
  <c r="I17" i="24"/>
  <c r="I26" i="24"/>
  <c r="J26" i="24"/>
  <c r="I201" i="24"/>
  <c r="J201" i="24"/>
  <c r="I163" i="24"/>
  <c r="J163" i="24"/>
  <c r="I232" i="24"/>
  <c r="J232" i="24"/>
  <c r="J144" i="24"/>
  <c r="I144" i="24"/>
  <c r="J151" i="24"/>
  <c r="I151" i="24"/>
  <c r="G283" i="24"/>
  <c r="CE283" i="6" s="1"/>
  <c r="J241" i="23"/>
  <c r="I241" i="23"/>
  <c r="I360" i="24" l="1"/>
  <c r="J98" i="24"/>
  <c r="I231" i="24"/>
  <c r="J100" i="24"/>
  <c r="I94" i="24"/>
  <c r="J92" i="24"/>
  <c r="I366" i="24"/>
  <c r="J274" i="24"/>
  <c r="J125" i="24"/>
  <c r="I87" i="24"/>
  <c r="G54" i="24"/>
  <c r="CE54" i="6" s="1"/>
  <c r="H77" i="24"/>
  <c r="J77" i="24" s="1"/>
  <c r="H121" i="24"/>
  <c r="J121" i="24" s="1"/>
  <c r="J249" i="24"/>
  <c r="I357" i="24"/>
  <c r="I351" i="24"/>
  <c r="I55" i="24"/>
  <c r="G84" i="24"/>
  <c r="CE84" i="6" s="1"/>
  <c r="AA289" i="24"/>
  <c r="Z289" i="24" s="1"/>
  <c r="Y289" i="24" s="1"/>
  <c r="AA324" i="24"/>
  <c r="Z324" i="24" s="1"/>
  <c r="Y324" i="24" s="1"/>
  <c r="AA89" i="24"/>
  <c r="Z89" i="24" s="1"/>
  <c r="Y89" i="24" s="1"/>
  <c r="G110" i="24"/>
  <c r="CE110" i="6" s="1"/>
  <c r="I89" i="24"/>
  <c r="J110" i="24"/>
  <c r="J40" i="24"/>
  <c r="J147" i="24"/>
  <c r="I225" i="24"/>
  <c r="I73" i="24"/>
  <c r="P184" i="25"/>
  <c r="V184" i="25" s="1"/>
  <c r="P227" i="25"/>
  <c r="V227" i="25" s="1"/>
  <c r="P331" i="25"/>
  <c r="V331" i="25" s="1"/>
  <c r="P347" i="25"/>
  <c r="V347" i="25" s="1"/>
  <c r="D347" i="25" s="1"/>
  <c r="E347" i="25" s="1"/>
  <c r="F347" i="25" s="1"/>
  <c r="AA169" i="24"/>
  <c r="Z169" i="24" s="1"/>
  <c r="Y169" i="24" s="1"/>
  <c r="G357" i="24"/>
  <c r="CE357" i="6" s="1"/>
  <c r="I169" i="24"/>
  <c r="J169" i="24"/>
  <c r="I178" i="24"/>
  <c r="I138" i="24"/>
  <c r="I251" i="24"/>
  <c r="G169" i="24"/>
  <c r="CE169" i="6" s="1"/>
  <c r="G179" i="24"/>
  <c r="CE179" i="6" s="1"/>
  <c r="I41" i="24"/>
  <c r="J48" i="24"/>
  <c r="I293" i="24"/>
  <c r="J16" i="24"/>
  <c r="I335" i="24"/>
  <c r="I324" i="24"/>
  <c r="H156" i="24"/>
  <c r="J156" i="24" s="1"/>
  <c r="G173" i="24"/>
  <c r="CE173" i="6" s="1"/>
  <c r="AA77" i="24"/>
  <c r="Z77" i="24" s="1"/>
  <c r="Y77" i="24" s="1"/>
  <c r="AA156" i="24"/>
  <c r="Z156" i="24" s="1"/>
  <c r="Y156" i="24" s="1"/>
  <c r="AA179" i="24"/>
  <c r="Z179" i="24" s="1"/>
  <c r="Y179" i="24" s="1"/>
  <c r="AA300" i="24"/>
  <c r="Z300" i="24" s="1"/>
  <c r="Y300" i="24" s="1"/>
  <c r="AA357" i="24"/>
  <c r="Z357" i="24" s="1"/>
  <c r="Y357" i="24" s="1"/>
  <c r="AA102" i="24"/>
  <c r="Z102" i="24" s="1"/>
  <c r="Y102" i="24" s="1"/>
  <c r="AA71" i="24"/>
  <c r="Z71" i="24" s="1"/>
  <c r="Y71" i="24" s="1"/>
  <c r="AA204" i="24"/>
  <c r="Z204" i="24" s="1"/>
  <c r="Y204" i="24" s="1"/>
  <c r="AA145" i="24"/>
  <c r="Z145" i="24" s="1"/>
  <c r="Y145" i="24" s="1"/>
  <c r="H35" i="24"/>
  <c r="I35" i="24" s="1"/>
  <c r="H102" i="24"/>
  <c r="I102" i="24" s="1"/>
  <c r="H145" i="24"/>
  <c r="I145" i="24" s="1"/>
  <c r="J286" i="24"/>
  <c r="J47" i="24"/>
  <c r="H302" i="24"/>
  <c r="J302" i="24" s="1"/>
  <c r="I54" i="24"/>
  <c r="H68" i="24"/>
  <c r="J68" i="24" s="1"/>
  <c r="AA35" i="24"/>
  <c r="Z35" i="24" s="1"/>
  <c r="Y35" i="24" s="1"/>
  <c r="AA54" i="24"/>
  <c r="Z54" i="24" s="1"/>
  <c r="Y54" i="24" s="1"/>
  <c r="AA84" i="24"/>
  <c r="Z84" i="24" s="1"/>
  <c r="Y84" i="24" s="1"/>
  <c r="AA68" i="24"/>
  <c r="Z68" i="24" s="1"/>
  <c r="Y68" i="24" s="1"/>
  <c r="AA178" i="24"/>
  <c r="Z178" i="24" s="1"/>
  <c r="Y178" i="24" s="1"/>
  <c r="AA302" i="24"/>
  <c r="Z302" i="24" s="1"/>
  <c r="Y302" i="24" s="1"/>
  <c r="H265" i="24"/>
  <c r="J265" i="24" s="1"/>
  <c r="G178" i="24"/>
  <c r="CE178" i="6" s="1"/>
  <c r="H204" i="24"/>
  <c r="J204" i="24" s="1"/>
  <c r="G71" i="24"/>
  <c r="CE71" i="6" s="1"/>
  <c r="I123" i="24"/>
  <c r="I304" i="24"/>
  <c r="J173" i="24"/>
  <c r="G293" i="24"/>
  <c r="CE293" i="6" s="1"/>
  <c r="H299" i="24"/>
  <c r="I299" i="24" s="1"/>
  <c r="AA335" i="24"/>
  <c r="Z335" i="24" s="1"/>
  <c r="Y335" i="24" s="1"/>
  <c r="AA227" i="24"/>
  <c r="Z227" i="24" s="1"/>
  <c r="Y227" i="24" s="1"/>
  <c r="AA339" i="24"/>
  <c r="Z339" i="24" s="1"/>
  <c r="Y339" i="24" s="1"/>
  <c r="AA173" i="24"/>
  <c r="Z173" i="24" s="1"/>
  <c r="Y173" i="24" s="1"/>
  <c r="AA110" i="24"/>
  <c r="Z110" i="24" s="1"/>
  <c r="Y110" i="24" s="1"/>
  <c r="AA147" i="24"/>
  <c r="Z147" i="24" s="1"/>
  <c r="Y147" i="24" s="1"/>
  <c r="AA293" i="24"/>
  <c r="Z293" i="24" s="1"/>
  <c r="Y293" i="24" s="1"/>
  <c r="AA101" i="24"/>
  <c r="Z101" i="24" s="1"/>
  <c r="Y101" i="24" s="1"/>
  <c r="H289" i="24"/>
  <c r="J289" i="24" s="1"/>
  <c r="H227" i="24"/>
  <c r="G324" i="24"/>
  <c r="CE324" i="6" s="1"/>
  <c r="G89" i="24"/>
  <c r="CE89" i="6" s="1"/>
  <c r="G177" i="24"/>
  <c r="CE177" i="6" s="1"/>
  <c r="H339" i="24"/>
  <c r="J339" i="24" s="1"/>
  <c r="AA265" i="24"/>
  <c r="Z265" i="24" s="1"/>
  <c r="Y265" i="24" s="1"/>
  <c r="G138" i="24"/>
  <c r="CE138" i="6" s="1"/>
  <c r="G286" i="24"/>
  <c r="CE286" i="6" s="1"/>
  <c r="J67" i="24"/>
  <c r="AA138" i="24"/>
  <c r="Z138" i="24" s="1"/>
  <c r="Y138" i="24" s="1"/>
  <c r="H220" i="24"/>
  <c r="J220" i="24" s="1"/>
  <c r="G147" i="24"/>
  <c r="CE147" i="6" s="1"/>
  <c r="H270" i="24"/>
  <c r="J270" i="24" s="1"/>
  <c r="AA177" i="24"/>
  <c r="Z177" i="24" s="1"/>
  <c r="Y177" i="24" s="1"/>
  <c r="AA270" i="24"/>
  <c r="Z270" i="24" s="1"/>
  <c r="Y270" i="24" s="1"/>
  <c r="AA304" i="24"/>
  <c r="Z304" i="24" s="1"/>
  <c r="Y304" i="24" s="1"/>
  <c r="G335" i="24"/>
  <c r="CE335" i="6" s="1"/>
  <c r="H101" i="24"/>
  <c r="I101" i="24" s="1"/>
  <c r="G304" i="24"/>
  <c r="CE304" i="6" s="1"/>
  <c r="I196" i="24"/>
  <c r="I208" i="24"/>
  <c r="I214" i="24"/>
  <c r="AA67" i="24"/>
  <c r="Z67" i="24" s="1"/>
  <c r="Y67" i="24" s="1"/>
  <c r="AA214" i="24"/>
  <c r="Z214" i="24" s="1"/>
  <c r="Y214" i="24" s="1"/>
  <c r="H96" i="24"/>
  <c r="J96" i="24" s="1"/>
  <c r="P291" i="25"/>
  <c r="V291" i="25" s="1"/>
  <c r="D291" i="25" s="1"/>
  <c r="E291" i="25" s="1"/>
  <c r="F291" i="25" s="1"/>
  <c r="P62" i="25"/>
  <c r="V62" i="25" s="1"/>
  <c r="W62" i="25" s="1"/>
  <c r="P305" i="25"/>
  <c r="V305" i="25" s="1"/>
  <c r="W305" i="25" s="1"/>
  <c r="P112" i="25"/>
  <c r="V112" i="25" s="1"/>
  <c r="D112" i="25" s="1"/>
  <c r="E112" i="25" s="1"/>
  <c r="F112" i="25" s="1"/>
  <c r="G214" i="24"/>
  <c r="CE214" i="6" s="1"/>
  <c r="G67" i="24"/>
  <c r="CE67" i="6" s="1"/>
  <c r="G208" i="24"/>
  <c r="CE208" i="6" s="1"/>
  <c r="AA298" i="24"/>
  <c r="Z298" i="24" s="1"/>
  <c r="Y298" i="24" s="1"/>
  <c r="AA286" i="24"/>
  <c r="Z286" i="24" s="1"/>
  <c r="Y286" i="24" s="1"/>
  <c r="AA208" i="24"/>
  <c r="Z208" i="24" s="1"/>
  <c r="Y208" i="24" s="1"/>
  <c r="AA203" i="24"/>
  <c r="Z203" i="24" s="1"/>
  <c r="Y203" i="24" s="1"/>
  <c r="AA96" i="24"/>
  <c r="Z96" i="24" s="1"/>
  <c r="Y96" i="24" s="1"/>
  <c r="AA220" i="24"/>
  <c r="Z220" i="24" s="1"/>
  <c r="Y220" i="24" s="1"/>
  <c r="H298" i="24"/>
  <c r="J298" i="24" s="1"/>
  <c r="I71" i="24"/>
  <c r="I278" i="24"/>
  <c r="P122" i="25"/>
  <c r="V122" i="25" s="1"/>
  <c r="W122" i="25" s="1"/>
  <c r="P137" i="25"/>
  <c r="V137" i="25" s="1"/>
  <c r="D137" i="25" s="1"/>
  <c r="E137" i="25" s="1"/>
  <c r="F137" i="25" s="1"/>
  <c r="P258" i="25"/>
  <c r="V258" i="25" s="1"/>
  <c r="W258" i="25" s="1"/>
  <c r="P287" i="25"/>
  <c r="V287" i="25" s="1"/>
  <c r="W287" i="25" s="1"/>
  <c r="P78" i="25"/>
  <c r="V78" i="25" s="1"/>
  <c r="W78" i="25" s="1"/>
  <c r="P140" i="25"/>
  <c r="V140" i="25" s="1"/>
  <c r="W140" i="25" s="1"/>
  <c r="P310" i="25"/>
  <c r="V310" i="25" s="1"/>
  <c r="W310" i="25" s="1"/>
  <c r="P204" i="25"/>
  <c r="V204" i="25" s="1"/>
  <c r="D204" i="25" s="1"/>
  <c r="E204" i="25" s="1"/>
  <c r="F204" i="25" s="1"/>
  <c r="P371" i="25"/>
  <c r="V371" i="25" s="1"/>
  <c r="D371" i="25" s="1"/>
  <c r="E371" i="25" s="1"/>
  <c r="F371" i="25" s="1"/>
  <c r="P83" i="25"/>
  <c r="V83" i="25" s="1"/>
  <c r="D83" i="25" s="1"/>
  <c r="E83" i="25" s="1"/>
  <c r="F83" i="25" s="1"/>
  <c r="P151" i="25"/>
  <c r="V151" i="25" s="1"/>
  <c r="D151" i="25" s="1"/>
  <c r="E151" i="25" s="1"/>
  <c r="F151" i="25" s="1"/>
  <c r="P44" i="25"/>
  <c r="V44" i="25" s="1"/>
  <c r="W44" i="25" s="1"/>
  <c r="P353" i="25"/>
  <c r="V353" i="25" s="1"/>
  <c r="W353" i="25" s="1"/>
  <c r="P276" i="25"/>
  <c r="V276" i="25" s="1"/>
  <c r="D276" i="25" s="1"/>
  <c r="E276" i="25" s="1"/>
  <c r="F276" i="25" s="1"/>
  <c r="P97" i="25"/>
  <c r="V97" i="25" s="1"/>
  <c r="D97" i="25" s="1"/>
  <c r="E97" i="25" s="1"/>
  <c r="F97" i="25" s="1"/>
  <c r="P155" i="25"/>
  <c r="V155" i="25" s="1"/>
  <c r="W155" i="25" s="1"/>
  <c r="P372" i="25"/>
  <c r="V372" i="25" s="1"/>
  <c r="D372" i="25" s="1"/>
  <c r="E372" i="25" s="1"/>
  <c r="F372" i="25" s="1"/>
  <c r="P326" i="25"/>
  <c r="V326" i="25" s="1"/>
  <c r="W326" i="25" s="1"/>
  <c r="P311" i="25"/>
  <c r="V311" i="25" s="1"/>
  <c r="D311" i="25" s="1"/>
  <c r="E311" i="25" s="1"/>
  <c r="F311" i="25" s="1"/>
  <c r="P244" i="25"/>
  <c r="V244" i="25" s="1"/>
  <c r="D244" i="25" s="1"/>
  <c r="E244" i="25" s="1"/>
  <c r="F244" i="25" s="1"/>
  <c r="P346" i="25"/>
  <c r="V346" i="25" s="1"/>
  <c r="W346" i="25" s="1"/>
  <c r="P340" i="25"/>
  <c r="V340" i="25" s="1"/>
  <c r="D340" i="25" s="1"/>
  <c r="E340" i="25" s="1"/>
  <c r="F340" i="25" s="1"/>
  <c r="P242" i="25"/>
  <c r="V242" i="25" s="1"/>
  <c r="D242" i="25" s="1"/>
  <c r="E242" i="25" s="1"/>
  <c r="F242" i="25" s="1"/>
  <c r="P268" i="25"/>
  <c r="V268" i="25" s="1"/>
  <c r="W268" i="25" s="1"/>
  <c r="P373" i="25"/>
  <c r="V373" i="25" s="1"/>
  <c r="D373" i="25" s="1"/>
  <c r="E373" i="25" s="1"/>
  <c r="F373" i="25" s="1"/>
  <c r="P329" i="25"/>
  <c r="V329" i="25" s="1"/>
  <c r="D329" i="25" s="1"/>
  <c r="E329" i="25" s="1"/>
  <c r="F329" i="25" s="1"/>
  <c r="P106" i="25"/>
  <c r="V106" i="25" s="1"/>
  <c r="D106" i="25" s="1"/>
  <c r="E106" i="25" s="1"/>
  <c r="F106" i="25" s="1"/>
  <c r="P298" i="25"/>
  <c r="V298" i="25" s="1"/>
  <c r="W298" i="25" s="1"/>
  <c r="P47" i="25"/>
  <c r="V47" i="25" s="1"/>
  <c r="D47" i="25" s="1"/>
  <c r="E47" i="25" s="1"/>
  <c r="F47" i="25" s="1"/>
  <c r="P183" i="25"/>
  <c r="V183" i="25" s="1"/>
  <c r="D183" i="25" s="1"/>
  <c r="E183" i="25" s="1"/>
  <c r="F183" i="25" s="1"/>
  <c r="P124" i="25"/>
  <c r="V124" i="25" s="1"/>
  <c r="W124" i="25" s="1"/>
  <c r="P255" i="25"/>
  <c r="V255" i="25" s="1"/>
  <c r="D255" i="25" s="1"/>
  <c r="E255" i="25" s="1"/>
  <c r="F255" i="25" s="1"/>
  <c r="P206" i="25"/>
  <c r="V206" i="25" s="1"/>
  <c r="D206" i="25" s="1"/>
  <c r="E206" i="25" s="1"/>
  <c r="F206" i="25" s="1"/>
  <c r="P76" i="25"/>
  <c r="V76" i="25" s="1"/>
  <c r="D76" i="25" s="1"/>
  <c r="E76" i="25" s="1"/>
  <c r="F76" i="25" s="1"/>
  <c r="P180" i="25"/>
  <c r="AH73" i="7" s="1"/>
  <c r="P16" i="25"/>
  <c r="V16" i="25" s="1"/>
  <c r="W16" i="25" s="1"/>
  <c r="P309" i="25"/>
  <c r="V309" i="25" s="1"/>
  <c r="W309" i="25" s="1"/>
  <c r="P146" i="25"/>
  <c r="V146" i="25" s="1"/>
  <c r="D146" i="25" s="1"/>
  <c r="E146" i="25" s="1"/>
  <c r="F146" i="25" s="1"/>
  <c r="P41" i="25"/>
  <c r="V41" i="25" s="1"/>
  <c r="W41" i="25" s="1"/>
  <c r="P191" i="25"/>
  <c r="V191" i="25" s="1"/>
  <c r="W191" i="25" s="1"/>
  <c r="P202" i="25"/>
  <c r="V202" i="25" s="1"/>
  <c r="W202" i="25" s="1"/>
  <c r="P211" i="25"/>
  <c r="V211" i="25" s="1"/>
  <c r="W211" i="25" s="1"/>
  <c r="P110" i="25"/>
  <c r="V110" i="25" s="1"/>
  <c r="D110" i="25" s="1"/>
  <c r="E110" i="25" s="1"/>
  <c r="F110" i="25" s="1"/>
  <c r="P212" i="25"/>
  <c r="V212" i="25" s="1"/>
  <c r="W212" i="25" s="1"/>
  <c r="P61" i="25"/>
  <c r="V61" i="25" s="1"/>
  <c r="W61" i="25" s="1"/>
  <c r="P308" i="25"/>
  <c r="V308" i="25" s="1"/>
  <c r="W308" i="25" s="1"/>
  <c r="P21" i="25"/>
  <c r="V21" i="25" s="1"/>
  <c r="W21" i="25" s="1"/>
  <c r="P156" i="25"/>
  <c r="V156" i="25" s="1"/>
  <c r="W156" i="25" s="1"/>
  <c r="P66" i="25"/>
  <c r="V66" i="25" s="1"/>
  <c r="D66" i="25" s="1"/>
  <c r="E66" i="25" s="1"/>
  <c r="F66" i="25" s="1"/>
  <c r="P89" i="25"/>
  <c r="V89" i="25" s="1"/>
  <c r="W89" i="25" s="1"/>
  <c r="P20" i="25"/>
  <c r="V20" i="25" s="1"/>
  <c r="W20" i="25" s="1"/>
  <c r="P36" i="25"/>
  <c r="V36" i="25" s="1"/>
  <c r="D36" i="25" s="1"/>
  <c r="E36" i="25" s="1"/>
  <c r="F36" i="25" s="1"/>
  <c r="P128" i="25"/>
  <c r="V128" i="25" s="1"/>
  <c r="W128" i="25" s="1"/>
  <c r="P164" i="25"/>
  <c r="V164" i="25" s="1"/>
  <c r="D164" i="25" s="1"/>
  <c r="E164" i="25" s="1"/>
  <c r="F164" i="25" s="1"/>
  <c r="P113" i="25"/>
  <c r="V113" i="25" s="1"/>
  <c r="W113" i="25" s="1"/>
  <c r="P102" i="25"/>
  <c r="V102" i="25" s="1"/>
  <c r="D102" i="25" s="1"/>
  <c r="E102" i="25" s="1"/>
  <c r="F102" i="25" s="1"/>
  <c r="P263" i="25"/>
  <c r="V263" i="25" s="1"/>
  <c r="W263" i="25" s="1"/>
  <c r="P30" i="25"/>
  <c r="V30" i="25" s="1"/>
  <c r="D30" i="25" s="1"/>
  <c r="E30" i="25" s="1"/>
  <c r="F30" i="25" s="1"/>
  <c r="P163" i="25"/>
  <c r="V163" i="25" s="1"/>
  <c r="D163" i="25" s="1"/>
  <c r="E163" i="25" s="1"/>
  <c r="F163" i="25" s="1"/>
  <c r="P27" i="25"/>
  <c r="V27" i="25" s="1"/>
  <c r="W27" i="25" s="1"/>
  <c r="P208" i="25"/>
  <c r="V208" i="25" s="1"/>
  <c r="W208" i="25" s="1"/>
  <c r="P220" i="25"/>
  <c r="V220" i="25" s="1"/>
  <c r="W220" i="25" s="1"/>
  <c r="P196" i="25"/>
  <c r="V196" i="25" s="1"/>
  <c r="P85" i="25"/>
  <c r="V85" i="25" s="1"/>
  <c r="W85" i="25" s="1"/>
  <c r="P221" i="25"/>
  <c r="V221" i="25" s="1"/>
  <c r="D221" i="25" s="1"/>
  <c r="E221" i="25" s="1"/>
  <c r="F221" i="25" s="1"/>
  <c r="I104" i="24"/>
  <c r="J323" i="24"/>
  <c r="I52" i="24"/>
  <c r="J258" i="24"/>
  <c r="P135" i="25"/>
  <c r="V135" i="25" s="1"/>
  <c r="W135" i="25" s="1"/>
  <c r="P26" i="25"/>
  <c r="V26" i="25" s="1"/>
  <c r="W26" i="25" s="1"/>
  <c r="P314" i="25"/>
  <c r="V314" i="25" s="1"/>
  <c r="W314" i="25" s="1"/>
  <c r="P341" i="25"/>
  <c r="V341" i="25" s="1"/>
  <c r="D341" i="25" s="1"/>
  <c r="E341" i="25" s="1"/>
  <c r="F341" i="25" s="1"/>
  <c r="P99" i="25"/>
  <c r="V99" i="25" s="1"/>
  <c r="D99" i="25" s="1"/>
  <c r="E99" i="25" s="1"/>
  <c r="F99" i="25" s="1"/>
  <c r="P154" i="25"/>
  <c r="V154" i="25" s="1"/>
  <c r="D154" i="25" s="1"/>
  <c r="E154" i="25" s="1"/>
  <c r="F154" i="25" s="1"/>
  <c r="P257" i="25"/>
  <c r="V257" i="25" s="1"/>
  <c r="D257" i="25" s="1"/>
  <c r="E257" i="25" s="1"/>
  <c r="F257" i="25" s="1"/>
  <c r="P134" i="25"/>
  <c r="V134" i="25" s="1"/>
  <c r="W134" i="25" s="1"/>
  <c r="P229" i="25"/>
  <c r="V229" i="25" s="1"/>
  <c r="W229" i="25" s="1"/>
  <c r="P323" i="25"/>
  <c r="V323" i="25" s="1"/>
  <c r="D323" i="25" s="1"/>
  <c r="E323" i="25" s="1"/>
  <c r="F323" i="25" s="1"/>
  <c r="P171" i="25"/>
  <c r="V171" i="25" s="1"/>
  <c r="D171" i="25" s="1"/>
  <c r="E171" i="25" s="1"/>
  <c r="F171" i="25" s="1"/>
  <c r="P270" i="25"/>
  <c r="V270" i="25" s="1"/>
  <c r="D270" i="25" s="1"/>
  <c r="E270" i="25" s="1"/>
  <c r="F270" i="25" s="1"/>
  <c r="P351" i="25"/>
  <c r="V351" i="25" s="1"/>
  <c r="W351" i="25" s="1"/>
  <c r="P189" i="25"/>
  <c r="V189" i="25" s="1"/>
  <c r="W189" i="25" s="1"/>
  <c r="P267" i="25"/>
  <c r="V267" i="25" s="1"/>
  <c r="D267" i="25" s="1"/>
  <c r="E267" i="25" s="1"/>
  <c r="F267" i="25" s="1"/>
  <c r="P68" i="25"/>
  <c r="V68" i="25" s="1"/>
  <c r="W68" i="25" s="1"/>
  <c r="P217" i="25"/>
  <c r="V217" i="25" s="1"/>
  <c r="W217" i="25" s="1"/>
  <c r="P86" i="25"/>
  <c r="V86" i="25" s="1"/>
  <c r="D86" i="25" s="1"/>
  <c r="E86" i="25" s="1"/>
  <c r="F86" i="25" s="1"/>
  <c r="P285" i="25"/>
  <c r="V285" i="25" s="1"/>
  <c r="D285" i="25" s="1"/>
  <c r="E285" i="25" s="1"/>
  <c r="F285" i="25" s="1"/>
  <c r="P313" i="25"/>
  <c r="V313" i="25" s="1"/>
  <c r="W313" i="25" s="1"/>
  <c r="P18" i="25"/>
  <c r="V18" i="25" s="1"/>
  <c r="D18" i="25" s="1"/>
  <c r="E18" i="25" s="1"/>
  <c r="F18" i="25" s="1"/>
  <c r="P273" i="25"/>
  <c r="V273" i="25" s="1"/>
  <c r="D273" i="25" s="1"/>
  <c r="E273" i="25" s="1"/>
  <c r="F273" i="25" s="1"/>
  <c r="P175" i="25"/>
  <c r="V175" i="25" s="1"/>
  <c r="W175" i="25" s="1"/>
  <c r="P82" i="25"/>
  <c r="V82" i="25" s="1"/>
  <c r="W82" i="25" s="1"/>
  <c r="P266" i="25"/>
  <c r="V266" i="25" s="1"/>
  <c r="W266" i="25" s="1"/>
  <c r="P269" i="25"/>
  <c r="V269" i="25" s="1"/>
  <c r="D269" i="25" s="1"/>
  <c r="E269" i="25" s="1"/>
  <c r="F269" i="25" s="1"/>
  <c r="P150" i="25"/>
  <c r="V150" i="25" s="1"/>
  <c r="W150" i="25" s="1"/>
  <c r="P100" i="25"/>
  <c r="V100" i="25" s="1"/>
  <c r="D100" i="25" s="1"/>
  <c r="E100" i="25" s="1"/>
  <c r="F100" i="25" s="1"/>
  <c r="P131" i="25"/>
  <c r="V131" i="25" s="1"/>
  <c r="W131" i="25" s="1"/>
  <c r="P290" i="25"/>
  <c r="V290" i="25" s="1"/>
  <c r="W290" i="25" s="1"/>
  <c r="P245" i="25"/>
  <c r="V245" i="25" s="1"/>
  <c r="D245" i="25" s="1"/>
  <c r="E245" i="25" s="1"/>
  <c r="F245" i="25" s="1"/>
  <c r="P87" i="25"/>
  <c r="V87" i="25" s="1"/>
  <c r="W87" i="25" s="1"/>
  <c r="P104" i="25"/>
  <c r="V104" i="25" s="1"/>
  <c r="D104" i="25" s="1"/>
  <c r="E104" i="25" s="1"/>
  <c r="F104" i="25" s="1"/>
  <c r="P357" i="25"/>
  <c r="V357" i="25" s="1"/>
  <c r="W357" i="25" s="1"/>
  <c r="P359" i="25"/>
  <c r="V359" i="25" s="1"/>
  <c r="D359" i="25" s="1"/>
  <c r="E359" i="25" s="1"/>
  <c r="F359" i="25" s="1"/>
  <c r="P360" i="25"/>
  <c r="V360" i="25" s="1"/>
  <c r="D360" i="25" s="1"/>
  <c r="E360" i="25" s="1"/>
  <c r="F360" i="25" s="1"/>
  <c r="P226" i="25"/>
  <c r="V226" i="25" s="1"/>
  <c r="D226" i="25" s="1"/>
  <c r="E226" i="25" s="1"/>
  <c r="F226" i="25" s="1"/>
  <c r="P361" i="25"/>
  <c r="V361" i="25" s="1"/>
  <c r="D361" i="25" s="1"/>
  <c r="E361" i="25" s="1"/>
  <c r="F361" i="25" s="1"/>
  <c r="P81" i="25"/>
  <c r="V81" i="25" s="1"/>
  <c r="D81" i="25" s="1"/>
  <c r="E81" i="25" s="1"/>
  <c r="F81" i="25" s="1"/>
  <c r="P181" i="25"/>
  <c r="V181" i="25" s="1"/>
  <c r="W181" i="25" s="1"/>
  <c r="P230" i="25"/>
  <c r="V230" i="25" s="1"/>
  <c r="D230" i="25" s="1"/>
  <c r="E230" i="25" s="1"/>
  <c r="F230" i="25" s="1"/>
  <c r="P232" i="25"/>
  <c r="V232" i="25" s="1"/>
  <c r="W232" i="25" s="1"/>
  <c r="P98" i="25"/>
  <c r="V98" i="25" s="1"/>
  <c r="D98" i="25" s="1"/>
  <c r="E98" i="25" s="1"/>
  <c r="F98" i="25" s="1"/>
  <c r="P101" i="25"/>
  <c r="V101" i="25" s="1"/>
  <c r="D101" i="25" s="1"/>
  <c r="E101" i="25" s="1"/>
  <c r="F101" i="25" s="1"/>
  <c r="P251" i="25"/>
  <c r="V251" i="25" s="1"/>
  <c r="W251" i="25" s="1"/>
  <c r="P162" i="25"/>
  <c r="V162" i="25" s="1"/>
  <c r="D162" i="25" s="1"/>
  <c r="E162" i="25" s="1"/>
  <c r="F162" i="25" s="1"/>
  <c r="P55" i="25"/>
  <c r="V55" i="25" s="1"/>
  <c r="D55" i="25" s="1"/>
  <c r="E55" i="25" s="1"/>
  <c r="F55" i="25" s="1"/>
  <c r="P231" i="25"/>
  <c r="V231" i="25" s="1"/>
  <c r="W231" i="25" s="1"/>
  <c r="P337" i="25"/>
  <c r="V337" i="25" s="1"/>
  <c r="W337" i="25" s="1"/>
  <c r="P349" i="25"/>
  <c r="V349" i="25" s="1"/>
  <c r="P275" i="25"/>
  <c r="V275" i="25" s="1"/>
  <c r="W275" i="25" s="1"/>
  <c r="P153" i="25"/>
  <c r="V153" i="25" s="1"/>
  <c r="W153" i="25" s="1"/>
  <c r="P58" i="25"/>
  <c r="V58" i="25" s="1"/>
  <c r="D58" i="25" s="1"/>
  <c r="E58" i="25" s="1"/>
  <c r="F58" i="25" s="1"/>
  <c r="E69" i="19"/>
  <c r="P138" i="25"/>
  <c r="V138" i="25" s="1"/>
  <c r="D138" i="25" s="1"/>
  <c r="E138" i="25" s="1"/>
  <c r="F138" i="25" s="1"/>
  <c r="P307" i="25"/>
  <c r="V307" i="25" s="1"/>
  <c r="W307" i="25" s="1"/>
  <c r="E41" i="19"/>
  <c r="P338" i="25"/>
  <c r="V338" i="25" s="1"/>
  <c r="W338" i="25" s="1"/>
  <c r="P67" i="25"/>
  <c r="V67" i="25" s="1"/>
  <c r="W67" i="25" s="1"/>
  <c r="P225" i="25"/>
  <c r="V225" i="25" s="1"/>
  <c r="D225" i="25" s="1"/>
  <c r="E225" i="25" s="1"/>
  <c r="F225" i="25" s="1"/>
  <c r="P60" i="25"/>
  <c r="AH69" i="7" s="1"/>
  <c r="P69" i="25"/>
  <c r="V69" i="25" s="1"/>
  <c r="D69" i="25" s="1"/>
  <c r="E69" i="25" s="1"/>
  <c r="F69" i="25" s="1"/>
  <c r="P219" i="25"/>
  <c r="V219" i="25" s="1"/>
  <c r="W219" i="25" s="1"/>
  <c r="P56" i="25"/>
  <c r="V56" i="25" s="1"/>
  <c r="W56" i="25" s="1"/>
  <c r="P42" i="25"/>
  <c r="V42" i="25" s="1"/>
  <c r="W42" i="25" s="1"/>
  <c r="P38" i="25"/>
  <c r="V38" i="25" s="1"/>
  <c r="D38" i="25" s="1"/>
  <c r="E38" i="25" s="1"/>
  <c r="F38" i="25" s="1"/>
  <c r="P161" i="25"/>
  <c r="V161" i="25" s="1"/>
  <c r="W161" i="25" s="1"/>
  <c r="P90" i="25"/>
  <c r="V90" i="25" s="1"/>
  <c r="D90" i="25" s="1"/>
  <c r="E90" i="25" s="1"/>
  <c r="F90" i="25" s="1"/>
  <c r="P74" i="25"/>
  <c r="V74" i="25" s="1"/>
  <c r="P179" i="25"/>
  <c r="V179" i="25" s="1"/>
  <c r="W179" i="25" s="1"/>
  <c r="P238" i="25"/>
  <c r="V238" i="25" s="1"/>
  <c r="D238" i="25" s="1"/>
  <c r="E238" i="25" s="1"/>
  <c r="F238" i="25" s="1"/>
  <c r="P247" i="25"/>
  <c r="V247" i="25" s="1"/>
  <c r="W247" i="25" s="1"/>
  <c r="P29" i="25"/>
  <c r="AH68" i="7" s="1"/>
  <c r="P141" i="25"/>
  <c r="V141" i="25" s="1"/>
  <c r="W141" i="25" s="1"/>
  <c r="P52" i="25"/>
  <c r="V52" i="25" s="1"/>
  <c r="D52" i="25" s="1"/>
  <c r="E52" i="25" s="1"/>
  <c r="F52" i="25" s="1"/>
  <c r="P33" i="25"/>
  <c r="V33" i="25" s="1"/>
  <c r="D33" i="25" s="1"/>
  <c r="E33" i="25" s="1"/>
  <c r="F33" i="25" s="1"/>
  <c r="P240" i="25"/>
  <c r="V240" i="25" s="1"/>
  <c r="D240" i="25" s="1"/>
  <c r="E240" i="25" s="1"/>
  <c r="F240" i="25" s="1"/>
  <c r="P319" i="25"/>
  <c r="V319" i="25" s="1"/>
  <c r="D319" i="25" s="1"/>
  <c r="E319" i="25" s="1"/>
  <c r="F319" i="25" s="1"/>
  <c r="P215" i="25"/>
  <c r="V215" i="25" s="1"/>
  <c r="W215" i="25" s="1"/>
  <c r="P75" i="25"/>
  <c r="V75" i="25" s="1"/>
  <c r="W75" i="25" s="1"/>
  <c r="P243" i="25"/>
  <c r="V243" i="25" s="1"/>
  <c r="D243" i="25" s="1"/>
  <c r="E243" i="25" s="1"/>
  <c r="F243" i="25" s="1"/>
  <c r="P93" i="25"/>
  <c r="V93" i="25" s="1"/>
  <c r="D93" i="25" s="1"/>
  <c r="E93" i="25" s="1"/>
  <c r="F93" i="25" s="1"/>
  <c r="P59" i="25"/>
  <c r="V59" i="25" s="1"/>
  <c r="D59" i="25" s="1"/>
  <c r="E59" i="25" s="1"/>
  <c r="F59" i="25" s="1"/>
  <c r="P201" i="25"/>
  <c r="V201" i="25" s="1"/>
  <c r="D201" i="25" s="1"/>
  <c r="E201" i="25" s="1"/>
  <c r="F201" i="25" s="1"/>
  <c r="P65" i="25"/>
  <c r="V65" i="25" s="1"/>
  <c r="W65" i="25" s="1"/>
  <c r="P72" i="25"/>
  <c r="V72" i="25" s="1"/>
  <c r="D72" i="25" s="1"/>
  <c r="E72" i="25" s="1"/>
  <c r="F72" i="25" s="1"/>
  <c r="P24" i="25"/>
  <c r="V24" i="25" s="1"/>
  <c r="D24" i="25" s="1"/>
  <c r="E24" i="25" s="1"/>
  <c r="F24" i="25" s="1"/>
  <c r="P358" i="25"/>
  <c r="V358" i="25" s="1"/>
  <c r="D358" i="25" s="1"/>
  <c r="E358" i="25" s="1"/>
  <c r="F358" i="25" s="1"/>
  <c r="P332" i="25"/>
  <c r="V332" i="25" s="1"/>
  <c r="D332" i="25" s="1"/>
  <c r="E332" i="25" s="1"/>
  <c r="F332" i="25" s="1"/>
  <c r="P335" i="25"/>
  <c r="V335" i="25" s="1"/>
  <c r="W335" i="25" s="1"/>
  <c r="P77" i="25"/>
  <c r="V77" i="25" s="1"/>
  <c r="W77" i="25" s="1"/>
  <c r="P17" i="25"/>
  <c r="V17" i="25" s="1"/>
  <c r="W17" i="25" s="1"/>
  <c r="P46" i="25"/>
  <c r="V46" i="25" s="1"/>
  <c r="D46" i="25" s="1"/>
  <c r="E46" i="25" s="1"/>
  <c r="F46" i="25" s="1"/>
  <c r="H46" i="25" s="1"/>
  <c r="P304" i="25"/>
  <c r="V304" i="25" s="1"/>
  <c r="W304" i="25" s="1"/>
  <c r="P333" i="25"/>
  <c r="AH78" i="7" s="1"/>
  <c r="P43" i="25"/>
  <c r="V43" i="25" s="1"/>
  <c r="D43" i="25" s="1"/>
  <c r="E43" i="25" s="1"/>
  <c r="F43" i="25" s="1"/>
  <c r="P143" i="25"/>
  <c r="V143" i="25" s="1"/>
  <c r="W143" i="25" s="1"/>
  <c r="P330" i="25"/>
  <c r="V330" i="25" s="1"/>
  <c r="W330" i="25" s="1"/>
  <c r="P320" i="25"/>
  <c r="V320" i="25" s="1"/>
  <c r="W320" i="25" s="1"/>
  <c r="P279" i="25"/>
  <c r="V279" i="25" s="1"/>
  <c r="W279" i="25" s="1"/>
  <c r="P139" i="25"/>
  <c r="V139" i="25" s="1"/>
  <c r="W139" i="25" s="1"/>
  <c r="P239" i="25"/>
  <c r="V239" i="25" s="1"/>
  <c r="D239" i="25" s="1"/>
  <c r="E239" i="25" s="1"/>
  <c r="F239" i="25" s="1"/>
  <c r="P315" i="25"/>
  <c r="V315" i="25" s="1"/>
  <c r="W315" i="25" s="1"/>
  <c r="P306" i="25"/>
  <c r="V306" i="25" s="1"/>
  <c r="D306" i="25" s="1"/>
  <c r="E306" i="25" s="1"/>
  <c r="F306" i="25" s="1"/>
  <c r="P103" i="25"/>
  <c r="V103" i="25" s="1"/>
  <c r="D103" i="25" s="1"/>
  <c r="E103" i="25" s="1"/>
  <c r="F103" i="25" s="1"/>
  <c r="P355" i="25"/>
  <c r="V355" i="25" s="1"/>
  <c r="W355" i="25" s="1"/>
  <c r="P237" i="25"/>
  <c r="V237" i="25" s="1"/>
  <c r="W237" i="25" s="1"/>
  <c r="P235" i="25"/>
  <c r="V235" i="25" s="1"/>
  <c r="W235" i="25" s="1"/>
  <c r="P132" i="25"/>
  <c r="V132" i="25" s="1"/>
  <c r="D132" i="25" s="1"/>
  <c r="E132" i="25" s="1"/>
  <c r="F132" i="25" s="1"/>
  <c r="P117" i="25"/>
  <c r="V117" i="25" s="1"/>
  <c r="W117" i="25" s="1"/>
  <c r="P214" i="25"/>
  <c r="V214" i="25" s="1"/>
  <c r="D214" i="25" s="1"/>
  <c r="E214" i="25" s="1"/>
  <c r="F214" i="25" s="1"/>
  <c r="P88" i="25"/>
  <c r="V88" i="25" s="1"/>
  <c r="P369" i="25"/>
  <c r="V369" i="25" s="1"/>
  <c r="D369" i="25" s="1"/>
  <c r="E369" i="25" s="1"/>
  <c r="F369" i="25" s="1"/>
  <c r="P80" i="25"/>
  <c r="V80" i="25" s="1"/>
  <c r="W80" i="25" s="1"/>
  <c r="P300" i="25"/>
  <c r="V300" i="25" s="1"/>
  <c r="D300" i="25" s="1"/>
  <c r="E300" i="25" s="1"/>
  <c r="F300" i="25" s="1"/>
  <c r="P378" i="25"/>
  <c r="V378" i="25" s="1"/>
  <c r="D378" i="25" s="1"/>
  <c r="E378" i="25" s="1"/>
  <c r="F378" i="25" s="1"/>
  <c r="P282" i="25"/>
  <c r="V282" i="25" s="1"/>
  <c r="W282" i="25" s="1"/>
  <c r="P366" i="25"/>
  <c r="V366" i="25" s="1"/>
  <c r="W366" i="25" s="1"/>
  <c r="P57" i="25"/>
  <c r="V57" i="25" s="1"/>
  <c r="D57" i="25" s="1"/>
  <c r="E57" i="25" s="1"/>
  <c r="F57" i="25" s="1"/>
  <c r="P210" i="25"/>
  <c r="V210" i="25" s="1"/>
  <c r="P317" i="25"/>
  <c r="V317" i="25" s="1"/>
  <c r="W317" i="25" s="1"/>
  <c r="AI306" i="25"/>
  <c r="AH306" i="25" s="1"/>
  <c r="AG306" i="25" s="1"/>
  <c r="AF306" i="25" s="1"/>
  <c r="AI285" i="25"/>
  <c r="AH285" i="25" s="1"/>
  <c r="AG285" i="25" s="1"/>
  <c r="AF285" i="25" s="1"/>
  <c r="AI321" i="25"/>
  <c r="AH321" i="25" s="1"/>
  <c r="AG321" i="25" s="1"/>
  <c r="AF321" i="25" s="1"/>
  <c r="AI280" i="25"/>
  <c r="AH280" i="25" s="1"/>
  <c r="AG280" i="25" s="1"/>
  <c r="AF280" i="25" s="1"/>
  <c r="AI325" i="25"/>
  <c r="AH325" i="25" s="1"/>
  <c r="AG325" i="25" s="1"/>
  <c r="AF325" i="25" s="1"/>
  <c r="AI330" i="25"/>
  <c r="AH330" i="25" s="1"/>
  <c r="AG330" i="25" s="1"/>
  <c r="AF330" i="25" s="1"/>
  <c r="AI187" i="25"/>
  <c r="AH187" i="25" s="1"/>
  <c r="AG187" i="25" s="1"/>
  <c r="AF187" i="25" s="1"/>
  <c r="AI245" i="25"/>
  <c r="AH245" i="25" s="1"/>
  <c r="AG245" i="25" s="1"/>
  <c r="AF245" i="25" s="1"/>
  <c r="AI262" i="25"/>
  <c r="AH262" i="25" s="1"/>
  <c r="AG262" i="25" s="1"/>
  <c r="AF262" i="25" s="1"/>
  <c r="AI297" i="25"/>
  <c r="AH297" i="25" s="1"/>
  <c r="AG297" i="25" s="1"/>
  <c r="AF297" i="25" s="1"/>
  <c r="AI230" i="25"/>
  <c r="AH230" i="25" s="1"/>
  <c r="AG230" i="25" s="1"/>
  <c r="AF230" i="25" s="1"/>
  <c r="AI240" i="25"/>
  <c r="AH240" i="25" s="1"/>
  <c r="AG240" i="25" s="1"/>
  <c r="AF240" i="25" s="1"/>
  <c r="AI352" i="25"/>
  <c r="AH352" i="25" s="1"/>
  <c r="AG352" i="25" s="1"/>
  <c r="AF352" i="25" s="1"/>
  <c r="AI178" i="25"/>
  <c r="AH178" i="25" s="1"/>
  <c r="AG178" i="25" s="1"/>
  <c r="AF178" i="25" s="1"/>
  <c r="AI221" i="25"/>
  <c r="AH221" i="25" s="1"/>
  <c r="AG221" i="25" s="1"/>
  <c r="AF221" i="25" s="1"/>
  <c r="AI365" i="25"/>
  <c r="AH365" i="25" s="1"/>
  <c r="AG365" i="25" s="1"/>
  <c r="AF365" i="25" s="1"/>
  <c r="AI212" i="25"/>
  <c r="AH212" i="25" s="1"/>
  <c r="AG212" i="25" s="1"/>
  <c r="AF212" i="25" s="1"/>
  <c r="AI333" i="25"/>
  <c r="AH333" i="25" s="1"/>
  <c r="AG333" i="25" s="1"/>
  <c r="AF333" i="25" s="1"/>
  <c r="AI366" i="25"/>
  <c r="AH366" i="25" s="1"/>
  <c r="AG366" i="25" s="1"/>
  <c r="AF366" i="25" s="1"/>
  <c r="AI169" i="25"/>
  <c r="AH169" i="25" s="1"/>
  <c r="AG169" i="25" s="1"/>
  <c r="AF169" i="25" s="1"/>
  <c r="AI241" i="25"/>
  <c r="AH241" i="25" s="1"/>
  <c r="AG241" i="25" s="1"/>
  <c r="AF241" i="25" s="1"/>
  <c r="AI378" i="25"/>
  <c r="AH378" i="25" s="1"/>
  <c r="AG378" i="25" s="1"/>
  <c r="AF378" i="25" s="1"/>
  <c r="AI237" i="25"/>
  <c r="AH237" i="25" s="1"/>
  <c r="AG237" i="25" s="1"/>
  <c r="AF237" i="25" s="1"/>
  <c r="AI118" i="25"/>
  <c r="AH118" i="25" s="1"/>
  <c r="AG118" i="25" s="1"/>
  <c r="AF118" i="25" s="1"/>
  <c r="AI295" i="25"/>
  <c r="AH295" i="25" s="1"/>
  <c r="AG295" i="25" s="1"/>
  <c r="AF295" i="25" s="1"/>
  <c r="AI198" i="25"/>
  <c r="AH198" i="25" s="1"/>
  <c r="AG198" i="25" s="1"/>
  <c r="AF198" i="25" s="1"/>
  <c r="AI220" i="25"/>
  <c r="AH220" i="25" s="1"/>
  <c r="AG220" i="25" s="1"/>
  <c r="AF220" i="25" s="1"/>
  <c r="AI172" i="25"/>
  <c r="AH172" i="25" s="1"/>
  <c r="AG172" i="25" s="1"/>
  <c r="AF172" i="25" s="1"/>
  <c r="AI349" i="25"/>
  <c r="AH349" i="25" s="1"/>
  <c r="AG349" i="25" s="1"/>
  <c r="AF349" i="25" s="1"/>
  <c r="AI338" i="25"/>
  <c r="AH338" i="25" s="1"/>
  <c r="AG338" i="25" s="1"/>
  <c r="AF338" i="25" s="1"/>
  <c r="AI334" i="25"/>
  <c r="AH334" i="25" s="1"/>
  <c r="AG334" i="25" s="1"/>
  <c r="AF334" i="25" s="1"/>
  <c r="AI368" i="25"/>
  <c r="AH368" i="25" s="1"/>
  <c r="AG368" i="25" s="1"/>
  <c r="AF368" i="25" s="1"/>
  <c r="AI201" i="25"/>
  <c r="AH201" i="25" s="1"/>
  <c r="AG201" i="25" s="1"/>
  <c r="AF201" i="25" s="1"/>
  <c r="AI160" i="25"/>
  <c r="AH160" i="25" s="1"/>
  <c r="AG160" i="25" s="1"/>
  <c r="AF160" i="25" s="1"/>
  <c r="AI375" i="25"/>
  <c r="AH375" i="25" s="1"/>
  <c r="AG375" i="25" s="1"/>
  <c r="AF375" i="25" s="1"/>
  <c r="H39" i="19"/>
  <c r="I39" i="19"/>
  <c r="P64" i="25"/>
  <c r="V64" i="25" s="1"/>
  <c r="W64" i="25" s="1"/>
  <c r="P118" i="25"/>
  <c r="V118" i="25" s="1"/>
  <c r="D118" i="25" s="1"/>
  <c r="E118" i="25" s="1"/>
  <c r="F118" i="25" s="1"/>
  <c r="P364" i="25"/>
  <c r="V364" i="25" s="1"/>
  <c r="W364" i="25" s="1"/>
  <c r="P286" i="25"/>
  <c r="V286" i="25" s="1"/>
  <c r="D286" i="25" s="1"/>
  <c r="E286" i="25" s="1"/>
  <c r="F286" i="25" s="1"/>
  <c r="P374" i="25"/>
  <c r="V374" i="25" s="1"/>
  <c r="D374" i="25" s="1"/>
  <c r="E374" i="25" s="1"/>
  <c r="F374" i="25" s="1"/>
  <c r="P31" i="25"/>
  <c r="V31" i="25" s="1"/>
  <c r="W31" i="25" s="1"/>
  <c r="P377" i="25"/>
  <c r="V377" i="25" s="1"/>
  <c r="W377" i="25" s="1"/>
  <c r="P192" i="25"/>
  <c r="V192" i="25" s="1"/>
  <c r="W192" i="25" s="1"/>
  <c r="P328" i="25"/>
  <c r="V328" i="25" s="1"/>
  <c r="W328" i="25" s="1"/>
  <c r="P260" i="25"/>
  <c r="V260" i="25" s="1"/>
  <c r="D260" i="25" s="1"/>
  <c r="E260" i="25" s="1"/>
  <c r="F260" i="25" s="1"/>
  <c r="P271" i="25"/>
  <c r="V271" i="25" s="1"/>
  <c r="D271" i="25" s="1"/>
  <c r="E271" i="25" s="1"/>
  <c r="F271" i="25" s="1"/>
  <c r="P194" i="25"/>
  <c r="V194" i="25" s="1"/>
  <c r="D194" i="25" s="1"/>
  <c r="E194" i="25" s="1"/>
  <c r="F194" i="25" s="1"/>
  <c r="P352" i="25"/>
  <c r="V352" i="25" s="1"/>
  <c r="D352" i="25" s="1"/>
  <c r="E352" i="25" s="1"/>
  <c r="F352" i="25" s="1"/>
  <c r="P49" i="25"/>
  <c r="V49" i="25" s="1"/>
  <c r="W49" i="25" s="1"/>
  <c r="P149" i="25"/>
  <c r="AH72" i="7" s="1"/>
  <c r="P233" i="25"/>
  <c r="V233" i="25" s="1"/>
  <c r="D233" i="25" s="1"/>
  <c r="E233" i="25" s="1"/>
  <c r="F233" i="25" s="1"/>
  <c r="P348" i="25"/>
  <c r="V348" i="25" s="1"/>
  <c r="D348" i="25" s="1"/>
  <c r="E348" i="25" s="1"/>
  <c r="F348" i="25" s="1"/>
  <c r="P40" i="25"/>
  <c r="V40" i="25" s="1"/>
  <c r="W40" i="25" s="1"/>
  <c r="P316" i="25"/>
  <c r="V316" i="25" s="1"/>
  <c r="W316" i="25" s="1"/>
  <c r="P94" i="25"/>
  <c r="V94" i="25" s="1"/>
  <c r="D94" i="25" s="1"/>
  <c r="E94" i="25" s="1"/>
  <c r="F94" i="25" s="1"/>
  <c r="P48" i="25"/>
  <c r="V48" i="25" s="1"/>
  <c r="W48" i="25" s="1"/>
  <c r="P45" i="25"/>
  <c r="V45" i="25" s="1"/>
  <c r="W45" i="25" s="1"/>
  <c r="P195" i="25"/>
  <c r="V195" i="25" s="1"/>
  <c r="D195" i="25" s="1"/>
  <c r="E195" i="25" s="1"/>
  <c r="F195" i="25" s="1"/>
  <c r="P363" i="25"/>
  <c r="AH79" i="7" s="1"/>
  <c r="P133" i="25"/>
  <c r="V133" i="25" s="1"/>
  <c r="W133" i="25" s="1"/>
  <c r="P158" i="25"/>
  <c r="V158" i="25" s="1"/>
  <c r="W158" i="25" s="1"/>
  <c r="P289" i="25"/>
  <c r="V289" i="25" s="1"/>
  <c r="D289" i="25" s="1"/>
  <c r="E289" i="25" s="1"/>
  <c r="F289" i="25" s="1"/>
  <c r="P222" i="25"/>
  <c r="V222" i="25" s="1"/>
  <c r="W222" i="25" s="1"/>
  <c r="P303" i="25"/>
  <c r="V303" i="25" s="1"/>
  <c r="W303" i="25" s="1"/>
  <c r="P39" i="25"/>
  <c r="V39" i="25" s="1"/>
  <c r="D39" i="25" s="1"/>
  <c r="E39" i="25" s="1"/>
  <c r="F39" i="25" s="1"/>
  <c r="P197" i="25"/>
  <c r="V197" i="25" s="1"/>
  <c r="D197" i="25" s="1"/>
  <c r="E197" i="25" s="1"/>
  <c r="F197" i="25" s="1"/>
  <c r="P129" i="25"/>
  <c r="V129" i="25" s="1"/>
  <c r="W129" i="25" s="1"/>
  <c r="P116" i="25"/>
  <c r="V116" i="25" s="1"/>
  <c r="D116" i="25" s="1"/>
  <c r="E116" i="25" s="1"/>
  <c r="F116" i="25" s="1"/>
  <c r="P259" i="25"/>
  <c r="V259" i="25" s="1"/>
  <c r="D259" i="25" s="1"/>
  <c r="E259" i="25" s="1"/>
  <c r="F259" i="25" s="1"/>
  <c r="P123" i="25"/>
  <c r="V123" i="25" s="1"/>
  <c r="D123" i="25" s="1"/>
  <c r="E123" i="25" s="1"/>
  <c r="F123" i="25" s="1"/>
  <c r="P34" i="25"/>
  <c r="V34" i="25" s="1"/>
  <c r="W34" i="25" s="1"/>
  <c r="P249" i="25"/>
  <c r="V249" i="25" s="1"/>
  <c r="D249" i="25" s="1"/>
  <c r="E249" i="25" s="1"/>
  <c r="F249" i="25" s="1"/>
  <c r="P23" i="25"/>
  <c r="V23" i="25" s="1"/>
  <c r="D23" i="25" s="1"/>
  <c r="E23" i="25" s="1"/>
  <c r="F23" i="25" s="1"/>
  <c r="P152" i="25"/>
  <c r="V152" i="25" s="1"/>
  <c r="D152" i="25" s="1"/>
  <c r="E152" i="25" s="1"/>
  <c r="F152" i="25" s="1"/>
  <c r="P186" i="25"/>
  <c r="V186" i="25" s="1"/>
  <c r="W186" i="25" s="1"/>
  <c r="P339" i="25"/>
  <c r="V339" i="25" s="1"/>
  <c r="D339" i="25" s="1"/>
  <c r="E339" i="25" s="1"/>
  <c r="F339" i="25" s="1"/>
  <c r="P177" i="25"/>
  <c r="V177" i="25" s="1"/>
  <c r="D177" i="25" s="1"/>
  <c r="E177" i="25" s="1"/>
  <c r="F177" i="25" s="1"/>
  <c r="P182" i="25"/>
  <c r="V182" i="25" s="1"/>
  <c r="W182" i="25" s="1"/>
  <c r="P277" i="25"/>
  <c r="V277" i="25" s="1"/>
  <c r="D277" i="25" s="1"/>
  <c r="E277" i="25" s="1"/>
  <c r="F277" i="25" s="1"/>
  <c r="P51" i="25"/>
  <c r="V51" i="25" s="1"/>
  <c r="W51" i="25" s="1"/>
  <c r="P96" i="25"/>
  <c r="V96" i="25" s="1"/>
  <c r="D96" i="25" s="1"/>
  <c r="E96" i="25" s="1"/>
  <c r="F96" i="25" s="1"/>
  <c r="P22" i="25"/>
  <c r="V22" i="25" s="1"/>
  <c r="D22" i="25" s="1"/>
  <c r="E22" i="25" s="1"/>
  <c r="F22" i="25" s="1"/>
  <c r="P170" i="25"/>
  <c r="V170" i="25" s="1"/>
  <c r="W170" i="25" s="1"/>
  <c r="P35" i="25"/>
  <c r="V35" i="25" s="1"/>
  <c r="W35" i="25" s="1"/>
  <c r="P264" i="25"/>
  <c r="V264" i="25" s="1"/>
  <c r="D264" i="25" s="1"/>
  <c r="E264" i="25" s="1"/>
  <c r="F264" i="25" s="1"/>
  <c r="P193" i="25"/>
  <c r="V193" i="25" s="1"/>
  <c r="W193" i="25" s="1"/>
  <c r="P250" i="25"/>
  <c r="V250" i="25" s="1"/>
  <c r="D250" i="25" s="1"/>
  <c r="E250" i="25" s="1"/>
  <c r="F250" i="25" s="1"/>
  <c r="P278" i="25"/>
  <c r="V278" i="25" s="1"/>
  <c r="W278" i="25" s="1"/>
  <c r="P356" i="25"/>
  <c r="V356" i="25" s="1"/>
  <c r="D356" i="25" s="1"/>
  <c r="E356" i="25" s="1"/>
  <c r="F356" i="25" s="1"/>
  <c r="P185" i="25"/>
  <c r="V185" i="25" s="1"/>
  <c r="D185" i="25" s="1"/>
  <c r="E185" i="25" s="1"/>
  <c r="F185" i="25" s="1"/>
  <c r="P344" i="25"/>
  <c r="V344" i="25" s="1"/>
  <c r="D344" i="25" s="1"/>
  <c r="E344" i="25" s="1"/>
  <c r="F344" i="25" s="1"/>
  <c r="P213" i="25"/>
  <c r="V213" i="25" s="1"/>
  <c r="D213" i="25" s="1"/>
  <c r="E213" i="25" s="1"/>
  <c r="F213" i="25" s="1"/>
  <c r="P95" i="25"/>
  <c r="V95" i="25" s="1"/>
  <c r="D95" i="25" s="1"/>
  <c r="E95" i="25" s="1"/>
  <c r="F95" i="25" s="1"/>
  <c r="P125" i="25"/>
  <c r="V125" i="25" s="1"/>
  <c r="D125" i="25" s="1"/>
  <c r="E125" i="25" s="1"/>
  <c r="F125" i="25" s="1"/>
  <c r="P50" i="25"/>
  <c r="V50" i="25" s="1"/>
  <c r="D50" i="25" s="1"/>
  <c r="E50" i="25" s="1"/>
  <c r="F50" i="25" s="1"/>
  <c r="AI173" i="25"/>
  <c r="AH173" i="25" s="1"/>
  <c r="AG173" i="25" s="1"/>
  <c r="AF173" i="25" s="1"/>
  <c r="AI255" i="25"/>
  <c r="AH255" i="25" s="1"/>
  <c r="AG255" i="25" s="1"/>
  <c r="AF255" i="25" s="1"/>
  <c r="AI369" i="25"/>
  <c r="AH369" i="25" s="1"/>
  <c r="AG369" i="25" s="1"/>
  <c r="AF369" i="25" s="1"/>
  <c r="AI121" i="25"/>
  <c r="AH121" i="25" s="1"/>
  <c r="AG121" i="25" s="1"/>
  <c r="AF121" i="25" s="1"/>
  <c r="AI328" i="25"/>
  <c r="AH328" i="25" s="1"/>
  <c r="AG328" i="25" s="1"/>
  <c r="AF328" i="25" s="1"/>
  <c r="AI351" i="25"/>
  <c r="AH351" i="25" s="1"/>
  <c r="AG351" i="25" s="1"/>
  <c r="AF351" i="25" s="1"/>
  <c r="AI167" i="25"/>
  <c r="AH167" i="25" s="1"/>
  <c r="AG167" i="25" s="1"/>
  <c r="AF167" i="25" s="1"/>
  <c r="AI217" i="25"/>
  <c r="AH217" i="25" s="1"/>
  <c r="AG217" i="25" s="1"/>
  <c r="AF217" i="25" s="1"/>
  <c r="AI129" i="25"/>
  <c r="AH129" i="25" s="1"/>
  <c r="AG129" i="25" s="1"/>
  <c r="AF129" i="25" s="1"/>
  <c r="AI233" i="25"/>
  <c r="AH233" i="25" s="1"/>
  <c r="AG233" i="25" s="1"/>
  <c r="AF233" i="25" s="1"/>
  <c r="AI263" i="25"/>
  <c r="AH263" i="25" s="1"/>
  <c r="AG263" i="25" s="1"/>
  <c r="AF263" i="25" s="1"/>
  <c r="AI166" i="25"/>
  <c r="AH166" i="25" s="1"/>
  <c r="AG166" i="25" s="1"/>
  <c r="AF166" i="25" s="1"/>
  <c r="AI193" i="25"/>
  <c r="AH193" i="25" s="1"/>
  <c r="AG193" i="25" s="1"/>
  <c r="AF193" i="25" s="1"/>
  <c r="AI151" i="25"/>
  <c r="AH151" i="25" s="1"/>
  <c r="AG151" i="25" s="1"/>
  <c r="AF151" i="25" s="1"/>
  <c r="AI216" i="25"/>
  <c r="AH216" i="25" s="1"/>
  <c r="AG216" i="25" s="1"/>
  <c r="AF216" i="25" s="1"/>
  <c r="AI288" i="25"/>
  <c r="AH288" i="25" s="1"/>
  <c r="AG288" i="25" s="1"/>
  <c r="AF288" i="25" s="1"/>
  <c r="AI119" i="25"/>
  <c r="AH119" i="25" s="1"/>
  <c r="AG119" i="25" s="1"/>
  <c r="AF119" i="25" s="1"/>
  <c r="AI364" i="25"/>
  <c r="AH364" i="25" s="1"/>
  <c r="AG364" i="25" s="1"/>
  <c r="AF364" i="25" s="1"/>
  <c r="AI180" i="25"/>
  <c r="AH180" i="25" s="1"/>
  <c r="AG180" i="25" s="1"/>
  <c r="AF180" i="25" s="1"/>
  <c r="AI267" i="25"/>
  <c r="AH267" i="25" s="1"/>
  <c r="AG267" i="25" s="1"/>
  <c r="AF267" i="25" s="1"/>
  <c r="AI122" i="25"/>
  <c r="AH122" i="25" s="1"/>
  <c r="AG122" i="25" s="1"/>
  <c r="AF122" i="25" s="1"/>
  <c r="AI346" i="25"/>
  <c r="AH346" i="25" s="1"/>
  <c r="AG346" i="25" s="1"/>
  <c r="AF346" i="25" s="1"/>
  <c r="AI309" i="25"/>
  <c r="AH309" i="25" s="1"/>
  <c r="AG309" i="25" s="1"/>
  <c r="AF309" i="25" s="1"/>
  <c r="AI276" i="25"/>
  <c r="AH276" i="25" s="1"/>
  <c r="AG276" i="25" s="1"/>
  <c r="AF276" i="25" s="1"/>
  <c r="AI188" i="25"/>
  <c r="AH188" i="25" s="1"/>
  <c r="AG188" i="25" s="1"/>
  <c r="AF188" i="25" s="1"/>
  <c r="AI247" i="25"/>
  <c r="AH247" i="25" s="1"/>
  <c r="AG247" i="25" s="1"/>
  <c r="AF247" i="25" s="1"/>
  <c r="AI343" i="25"/>
  <c r="AH343" i="25" s="1"/>
  <c r="AG343" i="25" s="1"/>
  <c r="AF343" i="25" s="1"/>
  <c r="AI342" i="25"/>
  <c r="AH342" i="25" s="1"/>
  <c r="AG342" i="25" s="1"/>
  <c r="AF342" i="25" s="1"/>
  <c r="AI158" i="25"/>
  <c r="AH158" i="25" s="1"/>
  <c r="AG158" i="25" s="1"/>
  <c r="AF158" i="25" s="1"/>
  <c r="AI336" i="25"/>
  <c r="AH336" i="25" s="1"/>
  <c r="AG336" i="25" s="1"/>
  <c r="AF336" i="25" s="1"/>
  <c r="AI259" i="25"/>
  <c r="AH259" i="25" s="1"/>
  <c r="AG259" i="25" s="1"/>
  <c r="AF259" i="25" s="1"/>
  <c r="AI329" i="25"/>
  <c r="AH329" i="25" s="1"/>
  <c r="AG329" i="25" s="1"/>
  <c r="AF329" i="25" s="1"/>
  <c r="AI145" i="25"/>
  <c r="AH145" i="25" s="1"/>
  <c r="AG145" i="25" s="1"/>
  <c r="AF145" i="25" s="1"/>
  <c r="AI153" i="25"/>
  <c r="AH153" i="25" s="1"/>
  <c r="AG153" i="25" s="1"/>
  <c r="AF153" i="25" s="1"/>
  <c r="AI163" i="25"/>
  <c r="AH163" i="25" s="1"/>
  <c r="AG163" i="25" s="1"/>
  <c r="AF163" i="25" s="1"/>
  <c r="AI282" i="25"/>
  <c r="AH282" i="25" s="1"/>
  <c r="AG282" i="25" s="1"/>
  <c r="AF282" i="25" s="1"/>
  <c r="AI323" i="25"/>
  <c r="AH323" i="25" s="1"/>
  <c r="AG323" i="25" s="1"/>
  <c r="AF323" i="25" s="1"/>
  <c r="AI127" i="25"/>
  <c r="AH127" i="25" s="1"/>
  <c r="AG127" i="25" s="1"/>
  <c r="AF127" i="25" s="1"/>
  <c r="AI203" i="25"/>
  <c r="AH203" i="25" s="1"/>
  <c r="AG203" i="25" s="1"/>
  <c r="AF203" i="25" s="1"/>
  <c r="AI199" i="25"/>
  <c r="AH199" i="25" s="1"/>
  <c r="AG199" i="25" s="1"/>
  <c r="AF199" i="25" s="1"/>
  <c r="AI275" i="25"/>
  <c r="AH275" i="25" s="1"/>
  <c r="AG275" i="25" s="1"/>
  <c r="AF275" i="25" s="1"/>
  <c r="AI249" i="25"/>
  <c r="AH249" i="25" s="1"/>
  <c r="AG249" i="25" s="1"/>
  <c r="AF249" i="25" s="1"/>
  <c r="AI311" i="25"/>
  <c r="AH311" i="25" s="1"/>
  <c r="AG311" i="25" s="1"/>
  <c r="AF311" i="25" s="1"/>
  <c r="AI156" i="25"/>
  <c r="AH156" i="25" s="1"/>
  <c r="AG156" i="25" s="1"/>
  <c r="AF156" i="25" s="1"/>
  <c r="AI353" i="25"/>
  <c r="AH353" i="25" s="1"/>
  <c r="AG353" i="25" s="1"/>
  <c r="AF353" i="25" s="1"/>
  <c r="AI332" i="25"/>
  <c r="AH332" i="25" s="1"/>
  <c r="AG332" i="25" s="1"/>
  <c r="AF332" i="25" s="1"/>
  <c r="AI265" i="25"/>
  <c r="AH265" i="25" s="1"/>
  <c r="AG265" i="25" s="1"/>
  <c r="AF265" i="25" s="1"/>
  <c r="AI253" i="25"/>
  <c r="AH253" i="25" s="1"/>
  <c r="AG253" i="25" s="1"/>
  <c r="AF253" i="25" s="1"/>
  <c r="AI337" i="25"/>
  <c r="AH337" i="25" s="1"/>
  <c r="AG337" i="25" s="1"/>
  <c r="AF337" i="25" s="1"/>
  <c r="AI146" i="25"/>
  <c r="AH146" i="25" s="1"/>
  <c r="AG146" i="25" s="1"/>
  <c r="AF146" i="25" s="1"/>
  <c r="AI232" i="25"/>
  <c r="AH232" i="25" s="1"/>
  <c r="AG232" i="25" s="1"/>
  <c r="AF232" i="25" s="1"/>
  <c r="AI289" i="25"/>
  <c r="AH289" i="25" s="1"/>
  <c r="AG289" i="25" s="1"/>
  <c r="AF289" i="25" s="1"/>
  <c r="AI154" i="25"/>
  <c r="AH154" i="25" s="1"/>
  <c r="AG154" i="25" s="1"/>
  <c r="AF154" i="25" s="1"/>
  <c r="AI130" i="25"/>
  <c r="AH130" i="25" s="1"/>
  <c r="AG130" i="25" s="1"/>
  <c r="AF130" i="25" s="1"/>
  <c r="AI214" i="25"/>
  <c r="AH214" i="25" s="1"/>
  <c r="AG214" i="25" s="1"/>
  <c r="AF214" i="25" s="1"/>
  <c r="AI139" i="25"/>
  <c r="AH139" i="25" s="1"/>
  <c r="AG139" i="25" s="1"/>
  <c r="AF139" i="25" s="1"/>
  <c r="AI135" i="25"/>
  <c r="AH135" i="25" s="1"/>
  <c r="AG135" i="25" s="1"/>
  <c r="AF135" i="25" s="1"/>
  <c r="AI211" i="25"/>
  <c r="AH211" i="25" s="1"/>
  <c r="AG211" i="25" s="1"/>
  <c r="AF211" i="25" s="1"/>
  <c r="AI271" i="25"/>
  <c r="AH271" i="25" s="1"/>
  <c r="AG271" i="25" s="1"/>
  <c r="AF271" i="25" s="1"/>
  <c r="AI250" i="25"/>
  <c r="AH250" i="25" s="1"/>
  <c r="AG250" i="25" s="1"/>
  <c r="AF250" i="25" s="1"/>
  <c r="AI242" i="25"/>
  <c r="AH242" i="25" s="1"/>
  <c r="AG242" i="25" s="1"/>
  <c r="AF242" i="25" s="1"/>
  <c r="AI260" i="25"/>
  <c r="AH260" i="25" s="1"/>
  <c r="AG260" i="25" s="1"/>
  <c r="AF260" i="25" s="1"/>
  <c r="AI226" i="25"/>
  <c r="AH226" i="25" s="1"/>
  <c r="AG226" i="25" s="1"/>
  <c r="AF226" i="25" s="1"/>
  <c r="AI159" i="25"/>
  <c r="AH159" i="25" s="1"/>
  <c r="AG159" i="25" s="1"/>
  <c r="AF159" i="25" s="1"/>
  <c r="AI298" i="25"/>
  <c r="AH298" i="25" s="1"/>
  <c r="AG298" i="25" s="1"/>
  <c r="AF298" i="25" s="1"/>
  <c r="AI126" i="25"/>
  <c r="AH126" i="25" s="1"/>
  <c r="AG126" i="25" s="1"/>
  <c r="AF126" i="25" s="1"/>
  <c r="AI165" i="25"/>
  <c r="AH165" i="25" s="1"/>
  <c r="AG165" i="25" s="1"/>
  <c r="AF165" i="25" s="1"/>
  <c r="AI123" i="25"/>
  <c r="AH123" i="25" s="1"/>
  <c r="AG123" i="25" s="1"/>
  <c r="AF123" i="25" s="1"/>
  <c r="AI272" i="25"/>
  <c r="AH272" i="25" s="1"/>
  <c r="AG272" i="25" s="1"/>
  <c r="AF272" i="25" s="1"/>
  <c r="P121" i="25"/>
  <c r="V121" i="25" s="1"/>
  <c r="D121" i="25" s="1"/>
  <c r="E121" i="25" s="1"/>
  <c r="F121" i="25" s="1"/>
  <c r="P322" i="25"/>
  <c r="V322" i="25" s="1"/>
  <c r="D322" i="25" s="1"/>
  <c r="E322" i="25" s="1"/>
  <c r="F322" i="25" s="1"/>
  <c r="P216" i="25"/>
  <c r="V216" i="25" s="1"/>
  <c r="W216" i="25" s="1"/>
  <c r="AD311" i="25"/>
  <c r="AD159" i="25"/>
  <c r="AD281" i="25"/>
  <c r="AD348" i="25"/>
  <c r="AD280" i="25"/>
  <c r="AD342" i="25"/>
  <c r="AD258" i="25"/>
  <c r="AD253" i="25"/>
  <c r="AD106" i="25"/>
  <c r="AD351" i="25"/>
  <c r="AD355" i="25"/>
  <c r="AD140" i="25"/>
  <c r="AD235" i="25"/>
  <c r="AD113" i="25"/>
  <c r="AD243" i="25"/>
  <c r="P274" i="25"/>
  <c r="V274" i="25" s="1"/>
  <c r="D274" i="25" s="1"/>
  <c r="E274" i="25" s="1"/>
  <c r="F274" i="25" s="1"/>
  <c r="P160" i="25"/>
  <c r="V160" i="25" s="1"/>
  <c r="W160" i="25" s="1"/>
  <c r="P241" i="25"/>
  <c r="AH75" i="7" s="1"/>
  <c r="P256" i="25"/>
  <c r="V256" i="25" s="1"/>
  <c r="W256" i="25" s="1"/>
  <c r="AD274" i="25"/>
  <c r="AD353" i="25"/>
  <c r="AD201" i="25"/>
  <c r="AD361" i="25"/>
  <c r="AD339" i="25"/>
  <c r="AD241" i="25"/>
  <c r="AD321" i="25"/>
  <c r="AD155" i="25"/>
  <c r="P370" i="25"/>
  <c r="V370" i="25" s="1"/>
  <c r="D370" i="25" s="1"/>
  <c r="E370" i="25" s="1"/>
  <c r="F370" i="25" s="1"/>
  <c r="P297" i="25"/>
  <c r="V297" i="25" s="1"/>
  <c r="D297" i="25" s="1"/>
  <c r="E297" i="25" s="1"/>
  <c r="F297" i="25" s="1"/>
  <c r="P107" i="25"/>
  <c r="V107" i="25" s="1"/>
  <c r="D107" i="25" s="1"/>
  <c r="E107" i="25" s="1"/>
  <c r="F107" i="25" s="1"/>
  <c r="AI239" i="25"/>
  <c r="AH239" i="25" s="1"/>
  <c r="AG239" i="25" s="1"/>
  <c r="AF239" i="25" s="1"/>
  <c r="AI110" i="25"/>
  <c r="AH110" i="25" s="1"/>
  <c r="AG110" i="25" s="1"/>
  <c r="AF110" i="25" s="1"/>
  <c r="AI108" i="25"/>
  <c r="AH108" i="25" s="1"/>
  <c r="AG108" i="25" s="1"/>
  <c r="AF108" i="25" s="1"/>
  <c r="AI184" i="25"/>
  <c r="AH184" i="25" s="1"/>
  <c r="AG184" i="25" s="1"/>
  <c r="AF184" i="25" s="1"/>
  <c r="AI222" i="25"/>
  <c r="AH222" i="25" s="1"/>
  <c r="AG222" i="25" s="1"/>
  <c r="AF222" i="25" s="1"/>
  <c r="AI147" i="25"/>
  <c r="AH147" i="25" s="1"/>
  <c r="AG147" i="25" s="1"/>
  <c r="AF147" i="25" s="1"/>
  <c r="AI143" i="25"/>
  <c r="AH143" i="25" s="1"/>
  <c r="AG143" i="25" s="1"/>
  <c r="AF143" i="25" s="1"/>
  <c r="AI264" i="25"/>
  <c r="AH264" i="25" s="1"/>
  <c r="AG264" i="25" s="1"/>
  <c r="AF264" i="25" s="1"/>
  <c r="AI261" i="25"/>
  <c r="AH261" i="25" s="1"/>
  <c r="AG261" i="25" s="1"/>
  <c r="AF261" i="25" s="1"/>
  <c r="AI279" i="25"/>
  <c r="AH279" i="25" s="1"/>
  <c r="AG279" i="25" s="1"/>
  <c r="AF279" i="25" s="1"/>
  <c r="AI204" i="25"/>
  <c r="AH204" i="25" s="1"/>
  <c r="AG204" i="25" s="1"/>
  <c r="AF204" i="25" s="1"/>
  <c r="AI137" i="25"/>
  <c r="AH137" i="25" s="1"/>
  <c r="AG137" i="25" s="1"/>
  <c r="AF137" i="25" s="1"/>
  <c r="AI234" i="25"/>
  <c r="AH234" i="25" s="1"/>
  <c r="AG234" i="25" s="1"/>
  <c r="AF234" i="25" s="1"/>
  <c r="AI318" i="25"/>
  <c r="AH318" i="25" s="1"/>
  <c r="AG318" i="25" s="1"/>
  <c r="AF318" i="25" s="1"/>
  <c r="AI335" i="25"/>
  <c r="AH335" i="25" s="1"/>
  <c r="AG335" i="25" s="1"/>
  <c r="AF335" i="25" s="1"/>
  <c r="AI291" i="25"/>
  <c r="AH291" i="25" s="1"/>
  <c r="AG291" i="25" s="1"/>
  <c r="AF291" i="25" s="1"/>
  <c r="AI196" i="25"/>
  <c r="AH196" i="25" s="1"/>
  <c r="AG196" i="25" s="1"/>
  <c r="AF196" i="25" s="1"/>
  <c r="AI363" i="25"/>
  <c r="AH363" i="25" s="1"/>
  <c r="AG363" i="25" s="1"/>
  <c r="AF363" i="25" s="1"/>
  <c r="AI300" i="25"/>
  <c r="AH300" i="25" s="1"/>
  <c r="AG300" i="25" s="1"/>
  <c r="AF300" i="25" s="1"/>
  <c r="AI376" i="25"/>
  <c r="AH376" i="25" s="1"/>
  <c r="AG376" i="25" s="1"/>
  <c r="AF376" i="25" s="1"/>
  <c r="AI116" i="25"/>
  <c r="AH116" i="25" s="1"/>
  <c r="AG116" i="25" s="1"/>
  <c r="AF116" i="25" s="1"/>
  <c r="AI192" i="25"/>
  <c r="AH192" i="25" s="1"/>
  <c r="AG192" i="25" s="1"/>
  <c r="AF192" i="25" s="1"/>
  <c r="AI229" i="25"/>
  <c r="AH229" i="25" s="1"/>
  <c r="AG229" i="25" s="1"/>
  <c r="AF229" i="25" s="1"/>
  <c r="AI313" i="25"/>
  <c r="AH313" i="25" s="1"/>
  <c r="AG313" i="25" s="1"/>
  <c r="AF313" i="25" s="1"/>
  <c r="AI292" i="25"/>
  <c r="AH292" i="25" s="1"/>
  <c r="AG292" i="25" s="1"/>
  <c r="AF292" i="25" s="1"/>
  <c r="AI251" i="25"/>
  <c r="AH251" i="25" s="1"/>
  <c r="AG251" i="25" s="1"/>
  <c r="AF251" i="25" s="1"/>
  <c r="AI218" i="25"/>
  <c r="AH218" i="25" s="1"/>
  <c r="AG218" i="25" s="1"/>
  <c r="AF218" i="25" s="1"/>
  <c r="AI112" i="25"/>
  <c r="AH112" i="25" s="1"/>
  <c r="AG112" i="25" s="1"/>
  <c r="AF112" i="25" s="1"/>
  <c r="AI182" i="25"/>
  <c r="AH182" i="25" s="1"/>
  <c r="AG182" i="25" s="1"/>
  <c r="AF182" i="25" s="1"/>
  <c r="AI170" i="25"/>
  <c r="AH170" i="25" s="1"/>
  <c r="AG170" i="25" s="1"/>
  <c r="AF170" i="25" s="1"/>
  <c r="AI254" i="25"/>
  <c r="AH254" i="25" s="1"/>
  <c r="AG254" i="25" s="1"/>
  <c r="AF254" i="25" s="1"/>
  <c r="AI331" i="25"/>
  <c r="AH331" i="25" s="1"/>
  <c r="AG331" i="25" s="1"/>
  <c r="AF331" i="25" s="1"/>
  <c r="AI186" i="25"/>
  <c r="AH186" i="25" s="1"/>
  <c r="AG186" i="25" s="1"/>
  <c r="AF186" i="25" s="1"/>
  <c r="AI324" i="25"/>
  <c r="AH324" i="25" s="1"/>
  <c r="AG324" i="25" s="1"/>
  <c r="AF324" i="25" s="1"/>
  <c r="AI213" i="25"/>
  <c r="AH213" i="25" s="1"/>
  <c r="AG213" i="25" s="1"/>
  <c r="AF213" i="25" s="1"/>
  <c r="AI150" i="25"/>
  <c r="AH150" i="25" s="1"/>
  <c r="AG150" i="25" s="1"/>
  <c r="AF150" i="25" s="1"/>
  <c r="AI138" i="25"/>
  <c r="AH138" i="25" s="1"/>
  <c r="AG138" i="25" s="1"/>
  <c r="AF138" i="25" s="1"/>
  <c r="AI327" i="25"/>
  <c r="AH327" i="25" s="1"/>
  <c r="AG327" i="25" s="1"/>
  <c r="AF327" i="25" s="1"/>
  <c r="AI256" i="25"/>
  <c r="AH256" i="25" s="1"/>
  <c r="AG256" i="25" s="1"/>
  <c r="AF256" i="25" s="1"/>
  <c r="AI357" i="25"/>
  <c r="AH357" i="25" s="1"/>
  <c r="AG357" i="25" s="1"/>
  <c r="AF357" i="25" s="1"/>
  <c r="AI377" i="25"/>
  <c r="AH377" i="25" s="1"/>
  <c r="AG377" i="25" s="1"/>
  <c r="AF377" i="25" s="1"/>
  <c r="AI269" i="25"/>
  <c r="AH269" i="25" s="1"/>
  <c r="AG269" i="25" s="1"/>
  <c r="AF269" i="25" s="1"/>
  <c r="AI114" i="25"/>
  <c r="AH114" i="25" s="1"/>
  <c r="AG114" i="25" s="1"/>
  <c r="AF114" i="25" s="1"/>
  <c r="AI132" i="25"/>
  <c r="AH132" i="25" s="1"/>
  <c r="AG132" i="25" s="1"/>
  <c r="AF132" i="25" s="1"/>
  <c r="AI162" i="25"/>
  <c r="AH162" i="25" s="1"/>
  <c r="AG162" i="25" s="1"/>
  <c r="AF162" i="25" s="1"/>
  <c r="AI246" i="25"/>
  <c r="AH246" i="25" s="1"/>
  <c r="AG246" i="25" s="1"/>
  <c r="AF246" i="25" s="1"/>
  <c r="AI125" i="25"/>
  <c r="AH125" i="25" s="1"/>
  <c r="AG125" i="25" s="1"/>
  <c r="AF125" i="25" s="1"/>
  <c r="AI209" i="25"/>
  <c r="AH209" i="25" s="1"/>
  <c r="AG209" i="25" s="1"/>
  <c r="AF209" i="25" s="1"/>
  <c r="AI283" i="25"/>
  <c r="AH283" i="25" s="1"/>
  <c r="AG283" i="25" s="1"/>
  <c r="AF283" i="25" s="1"/>
  <c r="AI326" i="25"/>
  <c r="AH326" i="25" s="1"/>
  <c r="AG326" i="25" s="1"/>
  <c r="AF326" i="25" s="1"/>
  <c r="AI314" i="25"/>
  <c r="AH314" i="25" s="1"/>
  <c r="AG314" i="25" s="1"/>
  <c r="AF314" i="25" s="1"/>
  <c r="AI144" i="25"/>
  <c r="AH144" i="25" s="1"/>
  <c r="AG144" i="25" s="1"/>
  <c r="AF144" i="25" s="1"/>
  <c r="AI111" i="25"/>
  <c r="AH111" i="25" s="1"/>
  <c r="AG111" i="25" s="1"/>
  <c r="AF111" i="25" s="1"/>
  <c r="AI304" i="25"/>
  <c r="AH304" i="25" s="1"/>
  <c r="AG304" i="25" s="1"/>
  <c r="AF304" i="25" s="1"/>
  <c r="AI191" i="25"/>
  <c r="AH191" i="25" s="1"/>
  <c r="AG191" i="25" s="1"/>
  <c r="AF191" i="25" s="1"/>
  <c r="AI120" i="25"/>
  <c r="AH120" i="25" s="1"/>
  <c r="AG120" i="25" s="1"/>
  <c r="AF120" i="25" s="1"/>
  <c r="AI372" i="25"/>
  <c r="AH372" i="25" s="1"/>
  <c r="AG372" i="25" s="1"/>
  <c r="AF372" i="25" s="1"/>
  <c r="AI305" i="25"/>
  <c r="AH305" i="25" s="1"/>
  <c r="AG305" i="25" s="1"/>
  <c r="AF305" i="25" s="1"/>
  <c r="AI141" i="25"/>
  <c r="AH141" i="25" s="1"/>
  <c r="AG141" i="25" s="1"/>
  <c r="AF141" i="25" s="1"/>
  <c r="AI133" i="25"/>
  <c r="AH133" i="25" s="1"/>
  <c r="AG133" i="25" s="1"/>
  <c r="AF133" i="25" s="1"/>
  <c r="AI302" i="25"/>
  <c r="AH302" i="25" s="1"/>
  <c r="AG302" i="25" s="1"/>
  <c r="AF302" i="25" s="1"/>
  <c r="AI354" i="25"/>
  <c r="AH354" i="25" s="1"/>
  <c r="AG354" i="25" s="1"/>
  <c r="AF354" i="25" s="1"/>
  <c r="AI287" i="25"/>
  <c r="AH287" i="25" s="1"/>
  <c r="AG287" i="25" s="1"/>
  <c r="AF287" i="25" s="1"/>
  <c r="AI107" i="25"/>
  <c r="AH107" i="25" s="1"/>
  <c r="AG107" i="25" s="1"/>
  <c r="AF107" i="25" s="1"/>
  <c r="AI359" i="25"/>
  <c r="AH359" i="25" s="1"/>
  <c r="AG359" i="25" s="1"/>
  <c r="AF359" i="25" s="1"/>
  <c r="AI179" i="25"/>
  <c r="AH179" i="25" s="1"/>
  <c r="AG179" i="25" s="1"/>
  <c r="AF179" i="25" s="1"/>
  <c r="AI207" i="25"/>
  <c r="AH207" i="25" s="1"/>
  <c r="AG207" i="25" s="1"/>
  <c r="AF207" i="25" s="1"/>
  <c r="AI296" i="25"/>
  <c r="AH296" i="25" s="1"/>
  <c r="AG296" i="25" s="1"/>
  <c r="AF296" i="25" s="1"/>
  <c r="AI270" i="25"/>
  <c r="AH270" i="25" s="1"/>
  <c r="AG270" i="25" s="1"/>
  <c r="AF270" i="25" s="1"/>
  <c r="AI197" i="25"/>
  <c r="AH197" i="25" s="1"/>
  <c r="AG197" i="25" s="1"/>
  <c r="AF197" i="25" s="1"/>
  <c r="AI134" i="25"/>
  <c r="AH134" i="25" s="1"/>
  <c r="AG134" i="25" s="1"/>
  <c r="AF134" i="25" s="1"/>
  <c r="AI215" i="25"/>
  <c r="AH215" i="25" s="1"/>
  <c r="AG215" i="25" s="1"/>
  <c r="AF215" i="25" s="1"/>
  <c r="AI176" i="25"/>
  <c r="AH176" i="25" s="1"/>
  <c r="AG176" i="25" s="1"/>
  <c r="AF176" i="25" s="1"/>
  <c r="AI194" i="25"/>
  <c r="AH194" i="25" s="1"/>
  <c r="AG194" i="25" s="1"/>
  <c r="AF194" i="25" s="1"/>
  <c r="AI236" i="25"/>
  <c r="AH236" i="25" s="1"/>
  <c r="AG236" i="25" s="1"/>
  <c r="AF236" i="25" s="1"/>
  <c r="AI278" i="25"/>
  <c r="AH278" i="25" s="1"/>
  <c r="AG278" i="25" s="1"/>
  <c r="AF278" i="25" s="1"/>
  <c r="AI312" i="25"/>
  <c r="AH312" i="25" s="1"/>
  <c r="AG312" i="25" s="1"/>
  <c r="AF312" i="25" s="1"/>
  <c r="AI266" i="25"/>
  <c r="AH266" i="25" s="1"/>
  <c r="AG266" i="25" s="1"/>
  <c r="AF266" i="25" s="1"/>
  <c r="AI308" i="25"/>
  <c r="AH308" i="25" s="1"/>
  <c r="AG308" i="25" s="1"/>
  <c r="AF308" i="25" s="1"/>
  <c r="AI350" i="25"/>
  <c r="AH350" i="25" s="1"/>
  <c r="AG350" i="25" s="1"/>
  <c r="AF350" i="25" s="1"/>
  <c r="AI128" i="25"/>
  <c r="AH128" i="25" s="1"/>
  <c r="AG128" i="25" s="1"/>
  <c r="AF128" i="25" s="1"/>
  <c r="AI347" i="25"/>
  <c r="AH347" i="25" s="1"/>
  <c r="AG347" i="25" s="1"/>
  <c r="AF347" i="25" s="1"/>
  <c r="AI358" i="25"/>
  <c r="AH358" i="25" s="1"/>
  <c r="AG358" i="25" s="1"/>
  <c r="AF358" i="25" s="1"/>
  <c r="AI136" i="25"/>
  <c r="AH136" i="25" s="1"/>
  <c r="AG136" i="25" s="1"/>
  <c r="AF136" i="25" s="1"/>
  <c r="AI164" i="25"/>
  <c r="AH164" i="25" s="1"/>
  <c r="AG164" i="25" s="1"/>
  <c r="AF164" i="25" s="1"/>
  <c r="AI208" i="25"/>
  <c r="AH208" i="25" s="1"/>
  <c r="AG208" i="25" s="1"/>
  <c r="AF208" i="25" s="1"/>
  <c r="AI370" i="25"/>
  <c r="AH370" i="25" s="1"/>
  <c r="AG370" i="25" s="1"/>
  <c r="AF370" i="25" s="1"/>
  <c r="AI303" i="25"/>
  <c r="AH303" i="25" s="1"/>
  <c r="AG303" i="25" s="1"/>
  <c r="AF303" i="25" s="1"/>
  <c r="AI174" i="25"/>
  <c r="AH174" i="25" s="1"/>
  <c r="AG174" i="25" s="1"/>
  <c r="AF174" i="25" s="1"/>
  <c r="AI131" i="25"/>
  <c r="AH131" i="25" s="1"/>
  <c r="AG131" i="25" s="1"/>
  <c r="AF131" i="25" s="1"/>
  <c r="AI181" i="25"/>
  <c r="AH181" i="25" s="1"/>
  <c r="AG181" i="25" s="1"/>
  <c r="AF181" i="25" s="1"/>
  <c r="AI223" i="25"/>
  <c r="AH223" i="25" s="1"/>
  <c r="AG223" i="25" s="1"/>
  <c r="AF223" i="25" s="1"/>
  <c r="AI374" i="25"/>
  <c r="AH374" i="25" s="1"/>
  <c r="AG374" i="25" s="1"/>
  <c r="AF374" i="25" s="1"/>
  <c r="AI152" i="25"/>
  <c r="AH152" i="25" s="1"/>
  <c r="AG152" i="25" s="1"/>
  <c r="AF152" i="25" s="1"/>
  <c r="AI362" i="25"/>
  <c r="AH362" i="25" s="1"/>
  <c r="AG362" i="25" s="1"/>
  <c r="AF362" i="25" s="1"/>
  <c r="AI148" i="25"/>
  <c r="AH148" i="25" s="1"/>
  <c r="AG148" i="25" s="1"/>
  <c r="AF148" i="25" s="1"/>
  <c r="AI190" i="25"/>
  <c r="AH190" i="25" s="1"/>
  <c r="AG190" i="25" s="1"/>
  <c r="AF190" i="25" s="1"/>
  <c r="AI224" i="25"/>
  <c r="AH224" i="25" s="1"/>
  <c r="AG224" i="25" s="1"/>
  <c r="AF224" i="25" s="1"/>
  <c r="AI371" i="25"/>
  <c r="AH371" i="25" s="1"/>
  <c r="AG371" i="25" s="1"/>
  <c r="AF371" i="25" s="1"/>
  <c r="AI293" i="25"/>
  <c r="AH293" i="25" s="1"/>
  <c r="AG293" i="25" s="1"/>
  <c r="AF293" i="25" s="1"/>
  <c r="AI345" i="25"/>
  <c r="AH345" i="25" s="1"/>
  <c r="AG345" i="25" s="1"/>
  <c r="AF345" i="25" s="1"/>
  <c r="AI205" i="25"/>
  <c r="AH205" i="25" s="1"/>
  <c r="AG205" i="25" s="1"/>
  <c r="AF205" i="25" s="1"/>
  <c r="AI142" i="25"/>
  <c r="AH142" i="25" s="1"/>
  <c r="AG142" i="25" s="1"/>
  <c r="AF142" i="25" s="1"/>
  <c r="AI379" i="25"/>
  <c r="AH379" i="25" s="1"/>
  <c r="AG379" i="25" s="1"/>
  <c r="AF379" i="25" s="1"/>
  <c r="AI367" i="25"/>
  <c r="AH367" i="25" s="1"/>
  <c r="AG367" i="25" s="1"/>
  <c r="AF367" i="25" s="1"/>
  <c r="AI301" i="25"/>
  <c r="AH301" i="25" s="1"/>
  <c r="AG301" i="25" s="1"/>
  <c r="AF301" i="25" s="1"/>
  <c r="AI195" i="25"/>
  <c r="AH195" i="25" s="1"/>
  <c r="AG195" i="25" s="1"/>
  <c r="AF195" i="25" s="1"/>
  <c r="AI277" i="25"/>
  <c r="AH277" i="25" s="1"/>
  <c r="AG277" i="25" s="1"/>
  <c r="AF277" i="25" s="1"/>
  <c r="AI319" i="25"/>
  <c r="AH319" i="25" s="1"/>
  <c r="AG319" i="25" s="1"/>
  <c r="AF319" i="25" s="1"/>
  <c r="AI105" i="25"/>
  <c r="AH105" i="25" s="1"/>
  <c r="AG105" i="25" s="1"/>
  <c r="AF105" i="25" s="1"/>
  <c r="AI248" i="25"/>
  <c r="AH248" i="25" s="1"/>
  <c r="AG248" i="25" s="1"/>
  <c r="AF248" i="25" s="1"/>
  <c r="AI202" i="25"/>
  <c r="AH202" i="25" s="1"/>
  <c r="AG202" i="25" s="1"/>
  <c r="AF202" i="25" s="1"/>
  <c r="AI244" i="25"/>
  <c r="AH244" i="25" s="1"/>
  <c r="AG244" i="25" s="1"/>
  <c r="AF244" i="25" s="1"/>
  <c r="AI286" i="25"/>
  <c r="AH286" i="25" s="1"/>
  <c r="AG286" i="25" s="1"/>
  <c r="AF286" i="25" s="1"/>
  <c r="AI320" i="25"/>
  <c r="AH320" i="25" s="1"/>
  <c r="AG320" i="25" s="1"/>
  <c r="AF320" i="25" s="1"/>
  <c r="AI219" i="25"/>
  <c r="AH219" i="25" s="1"/>
  <c r="AG219" i="25" s="1"/>
  <c r="AF219" i="25" s="1"/>
  <c r="AI124" i="25"/>
  <c r="AH124" i="25" s="1"/>
  <c r="AG124" i="25" s="1"/>
  <c r="AF124" i="25" s="1"/>
  <c r="AI294" i="25"/>
  <c r="AH294" i="25" s="1"/>
  <c r="AG294" i="25" s="1"/>
  <c r="AF294" i="25" s="1"/>
  <c r="AI360" i="25"/>
  <c r="AH360" i="25" s="1"/>
  <c r="AG360" i="25" s="1"/>
  <c r="AF360" i="25" s="1"/>
  <c r="AI183" i="25"/>
  <c r="AH183" i="25" s="1"/>
  <c r="AG183" i="25" s="1"/>
  <c r="AF183" i="25" s="1"/>
  <c r="AI227" i="25"/>
  <c r="AH227" i="25" s="1"/>
  <c r="AG227" i="25" s="1"/>
  <c r="AF227" i="25" s="1"/>
  <c r="AI175" i="25"/>
  <c r="AH175" i="25" s="1"/>
  <c r="AG175" i="25" s="1"/>
  <c r="AF175" i="25" s="1"/>
  <c r="AI109" i="25"/>
  <c r="AH109" i="25" s="1"/>
  <c r="AG109" i="25" s="1"/>
  <c r="AF109" i="25" s="1"/>
  <c r="AI225" i="25"/>
  <c r="AH225" i="25" s="1"/>
  <c r="AG225" i="25" s="1"/>
  <c r="AF225" i="25" s="1"/>
  <c r="AI315" i="25"/>
  <c r="AH315" i="25" s="1"/>
  <c r="AG315" i="25" s="1"/>
  <c r="AF315" i="25" s="1"/>
  <c r="AI117" i="25"/>
  <c r="AH117" i="25" s="1"/>
  <c r="AG117" i="25" s="1"/>
  <c r="AF117" i="25" s="1"/>
  <c r="AI268" i="25"/>
  <c r="AH268" i="25" s="1"/>
  <c r="AG268" i="25" s="1"/>
  <c r="AF268" i="25" s="1"/>
  <c r="AI310" i="25"/>
  <c r="AH310" i="25" s="1"/>
  <c r="AG310" i="25" s="1"/>
  <c r="AF310" i="25" s="1"/>
  <c r="AI344" i="25"/>
  <c r="AH344" i="25" s="1"/>
  <c r="AG344" i="25" s="1"/>
  <c r="AF344" i="25" s="1"/>
  <c r="AI189" i="25"/>
  <c r="AH189" i="25" s="1"/>
  <c r="AG189" i="25" s="1"/>
  <c r="AF189" i="25" s="1"/>
  <c r="AI231" i="25"/>
  <c r="AH231" i="25" s="1"/>
  <c r="AG231" i="25" s="1"/>
  <c r="AF231" i="25" s="1"/>
  <c r="AI273" i="25"/>
  <c r="AH273" i="25" s="1"/>
  <c r="AG273" i="25" s="1"/>
  <c r="AF273" i="25" s="1"/>
  <c r="AI307" i="25"/>
  <c r="AH307" i="25" s="1"/>
  <c r="AG307" i="25" s="1"/>
  <c r="AF307" i="25" s="1"/>
  <c r="AI316" i="25"/>
  <c r="AH316" i="25" s="1"/>
  <c r="AG316" i="25" s="1"/>
  <c r="AF316" i="25" s="1"/>
  <c r="AI168" i="25"/>
  <c r="AH168" i="25" s="1"/>
  <c r="AG168" i="25" s="1"/>
  <c r="AF168" i="25" s="1"/>
  <c r="AI228" i="25"/>
  <c r="AH228" i="25" s="1"/>
  <c r="AG228" i="25" s="1"/>
  <c r="AF228" i="25" s="1"/>
  <c r="AI161" i="25"/>
  <c r="AH161" i="25" s="1"/>
  <c r="AG161" i="25" s="1"/>
  <c r="AF161" i="25" s="1"/>
  <c r="AD294" i="25"/>
  <c r="AD234" i="25"/>
  <c r="AD363" i="25"/>
  <c r="AD312" i="25"/>
  <c r="P253" i="25"/>
  <c r="V253" i="25" s="1"/>
  <c r="W253" i="25" s="1"/>
  <c r="P375" i="25"/>
  <c r="V375" i="25" s="1"/>
  <c r="D375" i="25" s="1"/>
  <c r="E375" i="25" s="1"/>
  <c r="F375" i="25" s="1"/>
  <c r="P207" i="25"/>
  <c r="V207" i="25" s="1"/>
  <c r="D207" i="25" s="1"/>
  <c r="E207" i="25" s="1"/>
  <c r="F207" i="25" s="1"/>
  <c r="I375" i="24"/>
  <c r="J62" i="24"/>
  <c r="I106" i="24"/>
  <c r="I108" i="24"/>
  <c r="J190" i="24"/>
  <c r="I222" i="24"/>
  <c r="I96" i="24"/>
  <c r="I22" i="24"/>
  <c r="I121" i="24"/>
  <c r="I279" i="24"/>
  <c r="I63" i="24"/>
  <c r="I146" i="24"/>
  <c r="J86" i="24"/>
  <c r="J239" i="24"/>
  <c r="I370" i="24"/>
  <c r="J82" i="24"/>
  <c r="J95" i="24"/>
  <c r="I373" i="24"/>
  <c r="J315" i="24"/>
  <c r="J97" i="24"/>
  <c r="J179" i="24"/>
  <c r="I194" i="24"/>
  <c r="I217" i="24"/>
  <c r="I85" i="24"/>
  <c r="I93" i="24"/>
  <c r="J269" i="24"/>
  <c r="I228" i="24"/>
  <c r="J148" i="24"/>
  <c r="J361" i="24"/>
  <c r="I235" i="24"/>
  <c r="I204" i="24"/>
  <c r="I307" i="24"/>
  <c r="J197" i="24"/>
  <c r="J70" i="24"/>
  <c r="I175" i="24"/>
  <c r="J45" i="24"/>
  <c r="I339" i="24"/>
  <c r="I285" i="24"/>
  <c r="I371" i="24"/>
  <c r="I64" i="24"/>
  <c r="I287" i="24"/>
  <c r="I218" i="24"/>
  <c r="J329" i="24"/>
  <c r="I317" i="24"/>
  <c r="I78" i="24"/>
  <c r="I246" i="24"/>
  <c r="J216" i="24"/>
  <c r="I186" i="24"/>
  <c r="J74" i="24"/>
  <c r="J46" i="24"/>
  <c r="J165" i="24"/>
  <c r="J181" i="24"/>
  <c r="I265" i="24"/>
  <c r="I238" i="24"/>
  <c r="W210" i="24"/>
  <c r="I193" i="24"/>
  <c r="D272" i="24"/>
  <c r="E272" i="24" s="1"/>
  <c r="F272" i="24" s="1"/>
  <c r="H272" i="24" s="1"/>
  <c r="J135" i="24"/>
  <c r="I77" i="24"/>
  <c r="J117" i="24"/>
  <c r="I137" i="24"/>
  <c r="J229" i="24"/>
  <c r="I187" i="24"/>
  <c r="J348" i="24"/>
  <c r="I275" i="24"/>
  <c r="I158" i="24"/>
  <c r="J349" i="24"/>
  <c r="AJ13" i="20"/>
  <c r="I139" i="24"/>
  <c r="J114" i="24"/>
  <c r="I191" i="24"/>
  <c r="I207" i="24"/>
  <c r="C16" i="19"/>
  <c r="C31" i="19" s="1"/>
  <c r="F40" i="19"/>
  <c r="P336" i="25"/>
  <c r="V336" i="25" s="1"/>
  <c r="W336" i="25" s="1"/>
  <c r="P168" i="25"/>
  <c r="V168" i="25" s="1"/>
  <c r="D168" i="25" s="1"/>
  <c r="E168" i="25" s="1"/>
  <c r="F168" i="25" s="1"/>
  <c r="P325" i="25"/>
  <c r="V325" i="25" s="1"/>
  <c r="W325" i="25" s="1"/>
  <c r="P111" i="25"/>
  <c r="V111" i="25" s="1"/>
  <c r="D111" i="25" s="1"/>
  <c r="E111" i="25" s="1"/>
  <c r="F111" i="25" s="1"/>
  <c r="AD185" i="25"/>
  <c r="AD252" i="25"/>
  <c r="AD373" i="25"/>
  <c r="AD306" i="25"/>
  <c r="AD171" i="25"/>
  <c r="AD238" i="25"/>
  <c r="AD149" i="25"/>
  <c r="AD295" i="25"/>
  <c r="AD210" i="25"/>
  <c r="AD356" i="25"/>
  <c r="AD115" i="25"/>
  <c r="AD166" i="25"/>
  <c r="AD322" i="25"/>
  <c r="AD317" i="25"/>
  <c r="P148" i="25"/>
  <c r="V148" i="25" s="1"/>
  <c r="W148" i="25" s="1"/>
  <c r="P294" i="25"/>
  <c r="V294" i="25" s="1"/>
  <c r="D294" i="25" s="1"/>
  <c r="E294" i="25" s="1"/>
  <c r="F294" i="25" s="1"/>
  <c r="P105" i="25"/>
  <c r="V105" i="25" s="1"/>
  <c r="W105" i="25" s="1"/>
  <c r="P252" i="25"/>
  <c r="V252" i="25" s="1"/>
  <c r="D252" i="25" s="1"/>
  <c r="E252" i="25" s="1"/>
  <c r="F252" i="25" s="1"/>
  <c r="P350" i="25"/>
  <c r="V350" i="25" s="1"/>
  <c r="D350" i="25" s="1"/>
  <c r="E350" i="25" s="1"/>
  <c r="F350" i="25" s="1"/>
  <c r="P334" i="25"/>
  <c r="V334" i="25" s="1"/>
  <c r="D334" i="25" s="1"/>
  <c r="E334" i="25" s="1"/>
  <c r="F334" i="25" s="1"/>
  <c r="P157" i="25"/>
  <c r="V157" i="25" s="1"/>
  <c r="D157" i="25" s="1"/>
  <c r="E157" i="25" s="1"/>
  <c r="F157" i="25" s="1"/>
  <c r="AD206" i="25"/>
  <c r="AD200" i="25"/>
  <c r="AD325" i="25"/>
  <c r="AD257" i="25"/>
  <c r="AD104" i="25"/>
  <c r="AD249" i="25"/>
  <c r="AD157" i="25"/>
  <c r="AD250" i="25"/>
  <c r="AD177" i="25"/>
  <c r="AD284" i="25"/>
  <c r="AD341" i="25"/>
  <c r="AD340" i="25"/>
  <c r="AD230" i="25"/>
  <c r="AD290" i="25"/>
  <c r="P236" i="25"/>
  <c r="V236" i="25" s="1"/>
  <c r="D236" i="25" s="1"/>
  <c r="E236" i="25" s="1"/>
  <c r="F236" i="25" s="1"/>
  <c r="P199" i="25"/>
  <c r="V199" i="25" s="1"/>
  <c r="D199" i="25" s="1"/>
  <c r="E199" i="25" s="1"/>
  <c r="F199" i="25" s="1"/>
  <c r="J21" i="24"/>
  <c r="AH381" i="24"/>
  <c r="AH382" i="24"/>
  <c r="AH383" i="24"/>
  <c r="AG15" i="24"/>
  <c r="AI77" i="25"/>
  <c r="AH77" i="25" s="1"/>
  <c r="AG77" i="25" s="1"/>
  <c r="AF77" i="25" s="1"/>
  <c r="AI102" i="25"/>
  <c r="AH102" i="25" s="1"/>
  <c r="AG102" i="25" s="1"/>
  <c r="AF102" i="25" s="1"/>
  <c r="AI51" i="25"/>
  <c r="AH51" i="25" s="1"/>
  <c r="AG51" i="25" s="1"/>
  <c r="AF51" i="25" s="1"/>
  <c r="AI84" i="25"/>
  <c r="AH84" i="25" s="1"/>
  <c r="AG84" i="25" s="1"/>
  <c r="AF84" i="25" s="1"/>
  <c r="AI88" i="25"/>
  <c r="AH88" i="25" s="1"/>
  <c r="AG88" i="25" s="1"/>
  <c r="AF88" i="25" s="1"/>
  <c r="AI46" i="25"/>
  <c r="AH46" i="25" s="1"/>
  <c r="AG46" i="25" s="1"/>
  <c r="AF46" i="25" s="1"/>
  <c r="AI80" i="25"/>
  <c r="AH80" i="25" s="1"/>
  <c r="AG80" i="25" s="1"/>
  <c r="AF80" i="25" s="1"/>
  <c r="AI72" i="25"/>
  <c r="AH72" i="25" s="1"/>
  <c r="AG72" i="25" s="1"/>
  <c r="AF72" i="25" s="1"/>
  <c r="AI30" i="25"/>
  <c r="AH30" i="25" s="1"/>
  <c r="AG30" i="25" s="1"/>
  <c r="AF30" i="25" s="1"/>
  <c r="AI63" i="25"/>
  <c r="AH63" i="25" s="1"/>
  <c r="AG63" i="25" s="1"/>
  <c r="AF63" i="25" s="1"/>
  <c r="AI48" i="25"/>
  <c r="AH48" i="25" s="1"/>
  <c r="AG48" i="25" s="1"/>
  <c r="AF48" i="25" s="1"/>
  <c r="AI69" i="25"/>
  <c r="AH69" i="25" s="1"/>
  <c r="AG69" i="25" s="1"/>
  <c r="AF69" i="25" s="1"/>
  <c r="AI58" i="25"/>
  <c r="AH58" i="25" s="1"/>
  <c r="AG58" i="25" s="1"/>
  <c r="AF58" i="25" s="1"/>
  <c r="AI79" i="25"/>
  <c r="AH79" i="25" s="1"/>
  <c r="AG79" i="25" s="1"/>
  <c r="AF79" i="25" s="1"/>
  <c r="AI39" i="25"/>
  <c r="AH39" i="25" s="1"/>
  <c r="AG39" i="25" s="1"/>
  <c r="AF39" i="25" s="1"/>
  <c r="AI76" i="25"/>
  <c r="AH76" i="25" s="1"/>
  <c r="AG76" i="25" s="1"/>
  <c r="AF76" i="25" s="1"/>
  <c r="AI23" i="25"/>
  <c r="AH23" i="25" s="1"/>
  <c r="AG23" i="25" s="1"/>
  <c r="AF23" i="25" s="1"/>
  <c r="AI97" i="25"/>
  <c r="AH97" i="25" s="1"/>
  <c r="AG97" i="25" s="1"/>
  <c r="AF97" i="25" s="1"/>
  <c r="AI38" i="25"/>
  <c r="AH38" i="25" s="1"/>
  <c r="AG38" i="25" s="1"/>
  <c r="AF38" i="25" s="1"/>
  <c r="AI19" i="25"/>
  <c r="AH19" i="25" s="1"/>
  <c r="AG19" i="25" s="1"/>
  <c r="AF19" i="25" s="1"/>
  <c r="AI52" i="25"/>
  <c r="AH52" i="25" s="1"/>
  <c r="AG52" i="25" s="1"/>
  <c r="AF52" i="25" s="1"/>
  <c r="AI22" i="25"/>
  <c r="AH22" i="25" s="1"/>
  <c r="AG22" i="25" s="1"/>
  <c r="AF22" i="25" s="1"/>
  <c r="AI68" i="25"/>
  <c r="AH68" i="25" s="1"/>
  <c r="AG68" i="25" s="1"/>
  <c r="AF68" i="25" s="1"/>
  <c r="AI32" i="25"/>
  <c r="AH32" i="25" s="1"/>
  <c r="AG32" i="25" s="1"/>
  <c r="AF32" i="25" s="1"/>
  <c r="AI70" i="25"/>
  <c r="AH70" i="25" s="1"/>
  <c r="AG70" i="25" s="1"/>
  <c r="AF70" i="25" s="1"/>
  <c r="AI57" i="25"/>
  <c r="AH57" i="25" s="1"/>
  <c r="AG57" i="25" s="1"/>
  <c r="AF57" i="25" s="1"/>
  <c r="AI82" i="25"/>
  <c r="AH82" i="25" s="1"/>
  <c r="AG82" i="25" s="1"/>
  <c r="AF82" i="25" s="1"/>
  <c r="AI74" i="25"/>
  <c r="AH74" i="25" s="1"/>
  <c r="AG74" i="25" s="1"/>
  <c r="AF74" i="25" s="1"/>
  <c r="AI45" i="25"/>
  <c r="AH45" i="25" s="1"/>
  <c r="AG45" i="25" s="1"/>
  <c r="AF45" i="25" s="1"/>
  <c r="AI24" i="25"/>
  <c r="AH24" i="25" s="1"/>
  <c r="AG24" i="25" s="1"/>
  <c r="AF24" i="25" s="1"/>
  <c r="AI47" i="25"/>
  <c r="AH47" i="25" s="1"/>
  <c r="AG47" i="25" s="1"/>
  <c r="AF47" i="25" s="1"/>
  <c r="AI66" i="25"/>
  <c r="AH66" i="25" s="1"/>
  <c r="AG66" i="25" s="1"/>
  <c r="AF66" i="25" s="1"/>
  <c r="AI92" i="25"/>
  <c r="AH92" i="25" s="1"/>
  <c r="AG92" i="25" s="1"/>
  <c r="AF92" i="25" s="1"/>
  <c r="AI40" i="25"/>
  <c r="AH40" i="25" s="1"/>
  <c r="AG40" i="25" s="1"/>
  <c r="AF40" i="25" s="1"/>
  <c r="AI103" i="25"/>
  <c r="AH103" i="25" s="1"/>
  <c r="AG103" i="25" s="1"/>
  <c r="AF103" i="25" s="1"/>
  <c r="AI31" i="25"/>
  <c r="AH31" i="25" s="1"/>
  <c r="AG31" i="25" s="1"/>
  <c r="AF31" i="25" s="1"/>
  <c r="AI49" i="25"/>
  <c r="AH49" i="25" s="1"/>
  <c r="AG49" i="25" s="1"/>
  <c r="AF49" i="25" s="1"/>
  <c r="AI91" i="25"/>
  <c r="AH91" i="25" s="1"/>
  <c r="AG91" i="25" s="1"/>
  <c r="AF91" i="25" s="1"/>
  <c r="AI100" i="25"/>
  <c r="AH100" i="25" s="1"/>
  <c r="AG100" i="25" s="1"/>
  <c r="AF100" i="25" s="1"/>
  <c r="AI37" i="25"/>
  <c r="AH37" i="25" s="1"/>
  <c r="AG37" i="25" s="1"/>
  <c r="AF37" i="25" s="1"/>
  <c r="AI20" i="25"/>
  <c r="AH20" i="25" s="1"/>
  <c r="AG20" i="25" s="1"/>
  <c r="AF20" i="25" s="1"/>
  <c r="AI65" i="25"/>
  <c r="AH65" i="25" s="1"/>
  <c r="AG65" i="25" s="1"/>
  <c r="AF65" i="25" s="1"/>
  <c r="AI55" i="25"/>
  <c r="AH55" i="25" s="1"/>
  <c r="AG55" i="25" s="1"/>
  <c r="AF55" i="25" s="1"/>
  <c r="AI29" i="25"/>
  <c r="AH29" i="25" s="1"/>
  <c r="AG29" i="25" s="1"/>
  <c r="AF29" i="25" s="1"/>
  <c r="AI67" i="25"/>
  <c r="AH67" i="25" s="1"/>
  <c r="AG67" i="25" s="1"/>
  <c r="AF67" i="25" s="1"/>
  <c r="AI25" i="25"/>
  <c r="AH25" i="25" s="1"/>
  <c r="AG25" i="25" s="1"/>
  <c r="AF25" i="25" s="1"/>
  <c r="AI17" i="25"/>
  <c r="AH17" i="25" s="1"/>
  <c r="AG17" i="25" s="1"/>
  <c r="AF17" i="25" s="1"/>
  <c r="AI15" i="25"/>
  <c r="AH15" i="25" s="1"/>
  <c r="AG15" i="25" s="1"/>
  <c r="AI42" i="25"/>
  <c r="AH42" i="25" s="1"/>
  <c r="AG42" i="25" s="1"/>
  <c r="AF42" i="25" s="1"/>
  <c r="AI54" i="25"/>
  <c r="AH54" i="25" s="1"/>
  <c r="AG54" i="25" s="1"/>
  <c r="AF54" i="25" s="1"/>
  <c r="AI28" i="25"/>
  <c r="AH28" i="25" s="1"/>
  <c r="AG28" i="25" s="1"/>
  <c r="AF28" i="25" s="1"/>
  <c r="AI36" i="25"/>
  <c r="AH36" i="25" s="1"/>
  <c r="AG36" i="25" s="1"/>
  <c r="AF36" i="25" s="1"/>
  <c r="AI64" i="25"/>
  <c r="AH64" i="25" s="1"/>
  <c r="AG64" i="25" s="1"/>
  <c r="AF64" i="25" s="1"/>
  <c r="AI93" i="25"/>
  <c r="AH93" i="25" s="1"/>
  <c r="AG93" i="25" s="1"/>
  <c r="AF93" i="25" s="1"/>
  <c r="AI21" i="25"/>
  <c r="AH21" i="25" s="1"/>
  <c r="AG21" i="25" s="1"/>
  <c r="AF21" i="25" s="1"/>
  <c r="AI87" i="25"/>
  <c r="AH87" i="25" s="1"/>
  <c r="AG87" i="25" s="1"/>
  <c r="AF87" i="25" s="1"/>
  <c r="AI35" i="25"/>
  <c r="AH35" i="25" s="1"/>
  <c r="AG35" i="25" s="1"/>
  <c r="AF35" i="25" s="1"/>
  <c r="AI89" i="25"/>
  <c r="AH89" i="25" s="1"/>
  <c r="AG89" i="25" s="1"/>
  <c r="AF89" i="25" s="1"/>
  <c r="AI81" i="25"/>
  <c r="AH81" i="25" s="1"/>
  <c r="AG81" i="25" s="1"/>
  <c r="AF81" i="25" s="1"/>
  <c r="AI43" i="25"/>
  <c r="AH43" i="25" s="1"/>
  <c r="AG43" i="25" s="1"/>
  <c r="AF43" i="25" s="1"/>
  <c r="AI34" i="25"/>
  <c r="AH34" i="25" s="1"/>
  <c r="AG34" i="25" s="1"/>
  <c r="AF34" i="25" s="1"/>
  <c r="AI90" i="25"/>
  <c r="AH90" i="25" s="1"/>
  <c r="AG90" i="25" s="1"/>
  <c r="AF90" i="25" s="1"/>
  <c r="AI59" i="25"/>
  <c r="AH59" i="25" s="1"/>
  <c r="AG59" i="25" s="1"/>
  <c r="AF59" i="25" s="1"/>
  <c r="AI101" i="25"/>
  <c r="AH101" i="25" s="1"/>
  <c r="AG101" i="25" s="1"/>
  <c r="AF101" i="25" s="1"/>
  <c r="AI94" i="25"/>
  <c r="AH94" i="25" s="1"/>
  <c r="AG94" i="25" s="1"/>
  <c r="AF94" i="25" s="1"/>
  <c r="AI56" i="25"/>
  <c r="AH56" i="25" s="1"/>
  <c r="AG56" i="25" s="1"/>
  <c r="AF56" i="25" s="1"/>
  <c r="AI85" i="25"/>
  <c r="AH85" i="25" s="1"/>
  <c r="AG85" i="25" s="1"/>
  <c r="AF85" i="25" s="1"/>
  <c r="AI50" i="25"/>
  <c r="AH50" i="25" s="1"/>
  <c r="AG50" i="25" s="1"/>
  <c r="AF50" i="25" s="1"/>
  <c r="AI61" i="25"/>
  <c r="AH61" i="25" s="1"/>
  <c r="AG61" i="25" s="1"/>
  <c r="AF61" i="25" s="1"/>
  <c r="AI78" i="25"/>
  <c r="AH78" i="25" s="1"/>
  <c r="AG78" i="25" s="1"/>
  <c r="AF78" i="25" s="1"/>
  <c r="AI18" i="25"/>
  <c r="AH18" i="25" s="1"/>
  <c r="AG18" i="25" s="1"/>
  <c r="AF18" i="25" s="1"/>
  <c r="AI83" i="25"/>
  <c r="AH83" i="25" s="1"/>
  <c r="AG83" i="25" s="1"/>
  <c r="AF83" i="25" s="1"/>
  <c r="AI44" i="25"/>
  <c r="AH44" i="25" s="1"/>
  <c r="AG44" i="25" s="1"/>
  <c r="AF44" i="25" s="1"/>
  <c r="AI62" i="25"/>
  <c r="AH62" i="25" s="1"/>
  <c r="AG62" i="25" s="1"/>
  <c r="AF62" i="25" s="1"/>
  <c r="AI95" i="25"/>
  <c r="AH95" i="25" s="1"/>
  <c r="AG95" i="25" s="1"/>
  <c r="AF95" i="25" s="1"/>
  <c r="AI75" i="25"/>
  <c r="AH75" i="25" s="1"/>
  <c r="AG75" i="25" s="1"/>
  <c r="AF75" i="25" s="1"/>
  <c r="AI26" i="25"/>
  <c r="AH26" i="25" s="1"/>
  <c r="AG26" i="25" s="1"/>
  <c r="AF26" i="25" s="1"/>
  <c r="AI16" i="25"/>
  <c r="AH16" i="25" s="1"/>
  <c r="AG16" i="25" s="1"/>
  <c r="AF16" i="25" s="1"/>
  <c r="AI60" i="25"/>
  <c r="AH60" i="25" s="1"/>
  <c r="AG60" i="25" s="1"/>
  <c r="AF60" i="25" s="1"/>
  <c r="AI73" i="25"/>
  <c r="AH73" i="25" s="1"/>
  <c r="AG73" i="25" s="1"/>
  <c r="AF73" i="25" s="1"/>
  <c r="AI98" i="25"/>
  <c r="AH98" i="25" s="1"/>
  <c r="AG98" i="25" s="1"/>
  <c r="AF98" i="25" s="1"/>
  <c r="AI86" i="25"/>
  <c r="AH86" i="25" s="1"/>
  <c r="AG86" i="25" s="1"/>
  <c r="AF86" i="25" s="1"/>
  <c r="AI33" i="25"/>
  <c r="AH33" i="25" s="1"/>
  <c r="AG33" i="25" s="1"/>
  <c r="AF33" i="25" s="1"/>
  <c r="AI27" i="25"/>
  <c r="AH27" i="25" s="1"/>
  <c r="AG27" i="25" s="1"/>
  <c r="AF27" i="25" s="1"/>
  <c r="AI96" i="25"/>
  <c r="AH96" i="25" s="1"/>
  <c r="AG96" i="25" s="1"/>
  <c r="AF96" i="25" s="1"/>
  <c r="AI53" i="25"/>
  <c r="AH53" i="25" s="1"/>
  <c r="AG53" i="25" s="1"/>
  <c r="AF53" i="25" s="1"/>
  <c r="AI99" i="25"/>
  <c r="AH99" i="25" s="1"/>
  <c r="AG99" i="25" s="1"/>
  <c r="AF99" i="25" s="1"/>
  <c r="AI71" i="25"/>
  <c r="AH71" i="25" s="1"/>
  <c r="AG71" i="25" s="1"/>
  <c r="AF71" i="25" s="1"/>
  <c r="AI41" i="25"/>
  <c r="AH41" i="25" s="1"/>
  <c r="AG41" i="25" s="1"/>
  <c r="AF41" i="25" s="1"/>
  <c r="AD57" i="25"/>
  <c r="AK9" i="20"/>
  <c r="AK11" i="20" s="1"/>
  <c r="AM9" i="20"/>
  <c r="J75" i="24"/>
  <c r="P200" i="25"/>
  <c r="V200" i="25" s="1"/>
  <c r="W200" i="25" s="1"/>
  <c r="P205" i="25"/>
  <c r="V205" i="25" s="1"/>
  <c r="W205" i="25" s="1"/>
  <c r="AD87" i="25"/>
  <c r="P254" i="25"/>
  <c r="V254" i="25" s="1"/>
  <c r="D254" i="25" s="1"/>
  <c r="E254" i="25" s="1"/>
  <c r="F254" i="25" s="1"/>
  <c r="P145" i="25"/>
  <c r="V145" i="25" s="1"/>
  <c r="W145" i="25" s="1"/>
  <c r="P218" i="25"/>
  <c r="V218" i="25" s="1"/>
  <c r="D218" i="25" s="1"/>
  <c r="E218" i="25" s="1"/>
  <c r="F218" i="25" s="1"/>
  <c r="AD71" i="25"/>
  <c r="P261" i="25"/>
  <c r="V261" i="25" s="1"/>
  <c r="W261" i="25" s="1"/>
  <c r="P246" i="25"/>
  <c r="V246" i="25" s="1"/>
  <c r="W246" i="25" s="1"/>
  <c r="P281" i="25"/>
  <c r="V281" i="25" s="1"/>
  <c r="W281" i="25" s="1"/>
  <c r="P203" i="25"/>
  <c r="V203" i="25" s="1"/>
  <c r="W203" i="25" s="1"/>
  <c r="AG379" i="24"/>
  <c r="AF379" i="24" s="1"/>
  <c r="AD379" i="24" s="1"/>
  <c r="AA379" i="24" s="1"/>
  <c r="Z379" i="24" s="1"/>
  <c r="Y379" i="24" s="1"/>
  <c r="AF383" i="23"/>
  <c r="AF381" i="23"/>
  <c r="AF382" i="23"/>
  <c r="AD15" i="23"/>
  <c r="I192" i="24"/>
  <c r="I84" i="24"/>
  <c r="I261" i="24"/>
  <c r="I203" i="24"/>
  <c r="I342" i="24"/>
  <c r="J259" i="24"/>
  <c r="P136" i="25"/>
  <c r="V136" i="25" s="1"/>
  <c r="D136" i="25" s="1"/>
  <c r="E136" i="25" s="1"/>
  <c r="F136" i="25" s="1"/>
  <c r="P272" i="25"/>
  <c r="V272" i="25" s="1"/>
  <c r="P299" i="25"/>
  <c r="V299" i="25" s="1"/>
  <c r="W299" i="25" s="1"/>
  <c r="P324" i="25"/>
  <c r="V324" i="25" s="1"/>
  <c r="D324" i="25" s="1"/>
  <c r="E324" i="25" s="1"/>
  <c r="F324" i="25" s="1"/>
  <c r="AD142" i="25"/>
  <c r="AD313" i="25"/>
  <c r="AD302" i="25"/>
  <c r="P312" i="25"/>
  <c r="V312" i="25" s="1"/>
  <c r="D312" i="25" s="1"/>
  <c r="E312" i="25" s="1"/>
  <c r="F312" i="25" s="1"/>
  <c r="P223" i="25"/>
  <c r="V223" i="25" s="1"/>
  <c r="W223" i="25" s="1"/>
  <c r="P114" i="25"/>
  <c r="V114" i="25" s="1"/>
  <c r="D114" i="25" s="1"/>
  <c r="E114" i="25" s="1"/>
  <c r="F114" i="25" s="1"/>
  <c r="P147" i="25"/>
  <c r="V147" i="25" s="1"/>
  <c r="W147" i="25" s="1"/>
  <c r="P283" i="25"/>
  <c r="V283" i="25" s="1"/>
  <c r="W283" i="25" s="1"/>
  <c r="P292" i="25"/>
  <c r="V292" i="25" s="1"/>
  <c r="W292" i="25" s="1"/>
  <c r="P187" i="25"/>
  <c r="V187" i="25" s="1"/>
  <c r="D187" i="25" s="1"/>
  <c r="E187" i="25" s="1"/>
  <c r="F187" i="25" s="1"/>
  <c r="P109" i="25"/>
  <c r="V109" i="25" s="1"/>
  <c r="D109" i="25" s="1"/>
  <c r="E109" i="25" s="1"/>
  <c r="F109" i="25" s="1"/>
  <c r="P343" i="25"/>
  <c r="V343" i="25" s="1"/>
  <c r="D343" i="25" s="1"/>
  <c r="E343" i="25" s="1"/>
  <c r="F343" i="25" s="1"/>
  <c r="P172" i="25"/>
  <c r="V172" i="25" s="1"/>
  <c r="W172" i="25" s="1"/>
  <c r="AD268" i="25"/>
  <c r="AD299" i="25"/>
  <c r="AD314" i="25"/>
  <c r="AD236" i="25"/>
  <c r="P178" i="25"/>
  <c r="V178" i="25" s="1"/>
  <c r="D178" i="25" s="1"/>
  <c r="E178" i="25" s="1"/>
  <c r="F178" i="25" s="1"/>
  <c r="P224" i="25"/>
  <c r="V224" i="25" s="1"/>
  <c r="D224" i="25" s="1"/>
  <c r="E224" i="25" s="1"/>
  <c r="F224" i="25" s="1"/>
  <c r="P345" i="25"/>
  <c r="V345" i="25" s="1"/>
  <c r="D345" i="25" s="1"/>
  <c r="E345" i="25" s="1"/>
  <c r="F345" i="25" s="1"/>
  <c r="P127" i="25"/>
  <c r="V127" i="25" s="1"/>
  <c r="D127" i="25" s="1"/>
  <c r="E127" i="25" s="1"/>
  <c r="F127" i="25" s="1"/>
  <c r="P198" i="25"/>
  <c r="V198" i="25" s="1"/>
  <c r="D198" i="25" s="1"/>
  <c r="E198" i="25" s="1"/>
  <c r="F198" i="25" s="1"/>
  <c r="P262" i="25"/>
  <c r="V262" i="25" s="1"/>
  <c r="W262" i="25" s="1"/>
  <c r="P142" i="25"/>
  <c r="V142" i="25" s="1"/>
  <c r="D142" i="25" s="1"/>
  <c r="E142" i="25" s="1"/>
  <c r="F142" i="25" s="1"/>
  <c r="I30" i="24"/>
  <c r="U381" i="25"/>
  <c r="U382" i="25"/>
  <c r="U383" i="25"/>
  <c r="J149" i="22"/>
  <c r="I149" i="22"/>
  <c r="H149" i="23" s="1"/>
  <c r="J380" i="24"/>
  <c r="I380" i="24"/>
  <c r="H380" i="25" s="1"/>
  <c r="V381" i="23"/>
  <c r="V382" i="23"/>
  <c r="V383" i="23"/>
  <c r="B68" i="19"/>
  <c r="N68" i="19" s="1"/>
  <c r="R381" i="24"/>
  <c r="R383" i="24"/>
  <c r="R382" i="24"/>
  <c r="P15" i="24"/>
  <c r="Z149" i="22"/>
  <c r="F382" i="20"/>
  <c r="F381" i="20"/>
  <c r="AM10" i="20"/>
  <c r="AA15" i="20"/>
  <c r="AK10" i="20"/>
  <c r="AK12" i="20" s="1"/>
  <c r="F383" i="20"/>
  <c r="H15" i="20"/>
  <c r="F9" i="20"/>
  <c r="G15" i="20"/>
  <c r="CB15" i="6" s="1"/>
  <c r="S15" i="25"/>
  <c r="T381" i="25"/>
  <c r="T383" i="25"/>
  <c r="T382" i="25"/>
  <c r="AJ9" i="22"/>
  <c r="AJ11" i="22" s="1"/>
  <c r="AJ13" i="22" s="1"/>
  <c r="E382" i="22"/>
  <c r="AK8" i="22"/>
  <c r="E383" i="22"/>
  <c r="E381" i="22"/>
  <c r="E9" i="22"/>
  <c r="E11" i="22" s="1"/>
  <c r="F15" i="22"/>
  <c r="I188" i="24"/>
  <c r="I234" i="24"/>
  <c r="J99" i="24"/>
  <c r="J50" i="24"/>
  <c r="I33" i="24"/>
  <c r="AA363" i="24"/>
  <c r="Z363" i="24" s="1"/>
  <c r="Y363" i="24" s="1"/>
  <c r="G363" i="24"/>
  <c r="CE363" i="6" s="1"/>
  <c r="H363" i="24"/>
  <c r="J288" i="24"/>
  <c r="I288" i="24"/>
  <c r="G333" i="24"/>
  <c r="CE333" i="6" s="1"/>
  <c r="AA333" i="24"/>
  <c r="Z333" i="24" s="1"/>
  <c r="Y333" i="24" s="1"/>
  <c r="H333" i="24"/>
  <c r="G210" i="24"/>
  <c r="CE210" i="6" s="1"/>
  <c r="H210" i="24"/>
  <c r="AA210" i="24"/>
  <c r="Z210" i="24" s="1"/>
  <c r="Y210" i="24" s="1"/>
  <c r="I29" i="24"/>
  <c r="J29" i="24"/>
  <c r="W295" i="25"/>
  <c r="D295" i="25"/>
  <c r="E295" i="25" s="1"/>
  <c r="F295" i="25" s="1"/>
  <c r="D367" i="25"/>
  <c r="E367" i="25" s="1"/>
  <c r="F367" i="25" s="1"/>
  <c r="W367" i="25"/>
  <c r="D228" i="25"/>
  <c r="E228" i="25" s="1"/>
  <c r="F228" i="25" s="1"/>
  <c r="W228" i="25"/>
  <c r="W209" i="25"/>
  <c r="D209" i="25"/>
  <c r="E209" i="25" s="1"/>
  <c r="F209" i="25" s="1"/>
  <c r="D54" i="25"/>
  <c r="E54" i="25" s="1"/>
  <c r="F54" i="25" s="1"/>
  <c r="W54" i="25"/>
  <c r="D32" i="25"/>
  <c r="E32" i="25" s="1"/>
  <c r="F32" i="25" s="1"/>
  <c r="W32" i="25"/>
  <c r="W321" i="25"/>
  <c r="D321" i="25"/>
  <c r="E321" i="25" s="1"/>
  <c r="F321" i="25" s="1"/>
  <c r="D176" i="25"/>
  <c r="E176" i="25" s="1"/>
  <c r="F176" i="25" s="1"/>
  <c r="W176" i="25"/>
  <c r="W362" i="25"/>
  <c r="D362" i="25"/>
  <c r="E362" i="25" s="1"/>
  <c r="F362" i="25" s="1"/>
  <c r="W184" i="25"/>
  <c r="D184" i="25"/>
  <c r="E184" i="25" s="1"/>
  <c r="F184" i="25" s="1"/>
  <c r="D293" i="25"/>
  <c r="E293" i="25" s="1"/>
  <c r="F293" i="25" s="1"/>
  <c r="W293" i="25"/>
  <c r="BF15" i="7"/>
  <c r="P379" i="25"/>
  <c r="AH77" i="7"/>
  <c r="V302" i="25"/>
  <c r="W79" i="25"/>
  <c r="D79" i="25"/>
  <c r="E79" i="25" s="1"/>
  <c r="F79" i="25" s="1"/>
  <c r="D248" i="25"/>
  <c r="E248" i="25" s="1"/>
  <c r="F248" i="25" s="1"/>
  <c r="W248" i="25"/>
  <c r="W19" i="25"/>
  <c r="D19" i="25"/>
  <c r="E19" i="25" s="1"/>
  <c r="F19" i="25" s="1"/>
  <c r="V180" i="25"/>
  <c r="D159" i="25"/>
  <c r="E159" i="25" s="1"/>
  <c r="F159" i="25" s="1"/>
  <c r="W159" i="25"/>
  <c r="D91" i="25"/>
  <c r="E91" i="25" s="1"/>
  <c r="F91" i="25" s="1"/>
  <c r="W91" i="25"/>
  <c r="D331" i="25"/>
  <c r="E331" i="25" s="1"/>
  <c r="F331" i="25" s="1"/>
  <c r="W331" i="25"/>
  <c r="G241" i="24"/>
  <c r="CE241" i="6" s="1"/>
  <c r="H241" i="24"/>
  <c r="AA241" i="24"/>
  <c r="Z241" i="24" s="1"/>
  <c r="Y241" i="24" s="1"/>
  <c r="G88" i="24"/>
  <c r="CE88" i="6" s="1"/>
  <c r="H88" i="24"/>
  <c r="AA88" i="24"/>
  <c r="Z88" i="24" s="1"/>
  <c r="Y88" i="24" s="1"/>
  <c r="G149" i="24"/>
  <c r="CE149" i="6" s="1"/>
  <c r="AA149" i="24"/>
  <c r="Z149" i="24" s="1"/>
  <c r="Y149" i="24" s="1"/>
  <c r="I379" i="24"/>
  <c r="J379" i="24"/>
  <c r="AA180" i="24"/>
  <c r="Z180" i="24" s="1"/>
  <c r="Y180" i="24" s="1"/>
  <c r="H180" i="24"/>
  <c r="G180" i="24"/>
  <c r="CE180" i="6" s="1"/>
  <c r="H60" i="24"/>
  <c r="AA60" i="24"/>
  <c r="Z60" i="24" s="1"/>
  <c r="Y60" i="24" s="1"/>
  <c r="G60" i="24"/>
  <c r="CE60" i="6" s="1"/>
  <c r="W108" i="25"/>
  <c r="D108" i="25"/>
  <c r="E108" i="25" s="1"/>
  <c r="F108" i="25" s="1"/>
  <c r="D167" i="25"/>
  <c r="E167" i="25" s="1"/>
  <c r="F167" i="25" s="1"/>
  <c r="W167" i="25"/>
  <c r="W71" i="25"/>
  <c r="D71" i="25"/>
  <c r="E71" i="25" s="1"/>
  <c r="F71" i="25" s="1"/>
  <c r="W53" i="25"/>
  <c r="D53" i="25"/>
  <c r="E53" i="25" s="1"/>
  <c r="F53" i="25" s="1"/>
  <c r="D92" i="25"/>
  <c r="E92" i="25" s="1"/>
  <c r="F92" i="25" s="1"/>
  <c r="W92" i="25"/>
  <c r="W70" i="25"/>
  <c r="D70" i="25"/>
  <c r="E70" i="25" s="1"/>
  <c r="F70" i="25" s="1"/>
  <c r="W327" i="25"/>
  <c r="D327" i="25"/>
  <c r="E327" i="25" s="1"/>
  <c r="F327" i="25" s="1"/>
  <c r="W73" i="25"/>
  <c r="D73" i="25"/>
  <c r="E73" i="25" s="1"/>
  <c r="F73" i="25" s="1"/>
  <c r="W188" i="25"/>
  <c r="D188" i="25"/>
  <c r="E188" i="25" s="1"/>
  <c r="F188" i="25" s="1"/>
  <c r="D169" i="25"/>
  <c r="E169" i="25" s="1"/>
  <c r="F169" i="25" s="1"/>
  <c r="W169" i="25"/>
  <c r="W284" i="25"/>
  <c r="D284" i="25"/>
  <c r="E284" i="25" s="1"/>
  <c r="F284" i="25" s="1"/>
  <c r="D25" i="25"/>
  <c r="E25" i="25" s="1"/>
  <c r="F25" i="25" s="1"/>
  <c r="W25" i="25"/>
  <c r="W301" i="25"/>
  <c r="D301" i="25"/>
  <c r="E301" i="25" s="1"/>
  <c r="F301" i="25" s="1"/>
  <c r="D296" i="25"/>
  <c r="E296" i="25" s="1"/>
  <c r="F296" i="25" s="1"/>
  <c r="W296" i="25"/>
  <c r="D115" i="25"/>
  <c r="E115" i="25" s="1"/>
  <c r="F115" i="25" s="1"/>
  <c r="W115" i="25"/>
  <c r="W173" i="25"/>
  <c r="D173" i="25"/>
  <c r="E173" i="25" s="1"/>
  <c r="F173" i="25" s="1"/>
  <c r="W368" i="25"/>
  <c r="D368" i="25"/>
  <c r="E368" i="25" s="1"/>
  <c r="F368" i="25" s="1"/>
  <c r="W130" i="25"/>
  <c r="D130" i="25"/>
  <c r="E130" i="25" s="1"/>
  <c r="F130" i="25" s="1"/>
  <c r="D37" i="25"/>
  <c r="E37" i="25" s="1"/>
  <c r="F37" i="25" s="1"/>
  <c r="W37" i="25"/>
  <c r="W120" i="25"/>
  <c r="D120" i="25"/>
  <c r="E120" i="25" s="1"/>
  <c r="F120" i="25" s="1"/>
  <c r="W265" i="25"/>
  <c r="D265" i="25"/>
  <c r="E265" i="25" s="1"/>
  <c r="F265" i="25" s="1"/>
  <c r="D190" i="25"/>
  <c r="E190" i="25" s="1"/>
  <c r="F190" i="25" s="1"/>
  <c r="W190" i="25"/>
  <c r="D365" i="25"/>
  <c r="E365" i="25" s="1"/>
  <c r="F365" i="25" s="1"/>
  <c r="W365" i="25"/>
  <c r="W376" i="25"/>
  <c r="D376" i="25"/>
  <c r="E376" i="25" s="1"/>
  <c r="F376" i="25" s="1"/>
  <c r="W234" i="25"/>
  <c r="D234" i="25"/>
  <c r="E234" i="25" s="1"/>
  <c r="F234" i="25" s="1"/>
  <c r="V119" i="25"/>
  <c r="AH71" i="7"/>
  <c r="W354" i="25"/>
  <c r="D354" i="25"/>
  <c r="E354" i="25" s="1"/>
  <c r="F354" i="25" s="1"/>
  <c r="AE382" i="25"/>
  <c r="AE383" i="25"/>
  <c r="AE381" i="25"/>
  <c r="W165" i="25"/>
  <c r="D165" i="25"/>
  <c r="E165" i="25" s="1"/>
  <c r="F165" i="25" s="1"/>
  <c r="Q381" i="25"/>
  <c r="Q382" i="25"/>
  <c r="Q383" i="25"/>
  <c r="W280" i="25"/>
  <c r="D280" i="25"/>
  <c r="E280" i="25" s="1"/>
  <c r="F280" i="25" s="1"/>
  <c r="W174" i="25"/>
  <c r="D174" i="25"/>
  <c r="E174" i="25" s="1"/>
  <c r="F174" i="25" s="1"/>
  <c r="D144" i="25"/>
  <c r="E144" i="25" s="1"/>
  <c r="F144" i="25" s="1"/>
  <c r="W144" i="25"/>
  <c r="W342" i="25"/>
  <c r="D342" i="25"/>
  <c r="E342" i="25" s="1"/>
  <c r="F342" i="25" s="1"/>
  <c r="W63" i="25"/>
  <c r="D63" i="25"/>
  <c r="E63" i="25" s="1"/>
  <c r="F63" i="25" s="1"/>
  <c r="D126" i="25"/>
  <c r="E126" i="25" s="1"/>
  <c r="F126" i="25" s="1"/>
  <c r="W126" i="25"/>
  <c r="W84" i="25"/>
  <c r="D84" i="25"/>
  <c r="E84" i="25" s="1"/>
  <c r="F84" i="25" s="1"/>
  <c r="W28" i="25"/>
  <c r="D28" i="25"/>
  <c r="E28" i="25" s="1"/>
  <c r="F28" i="25" s="1"/>
  <c r="W318" i="25"/>
  <c r="D318" i="25"/>
  <c r="E318" i="25" s="1"/>
  <c r="F318" i="25" s="1"/>
  <c r="J101" i="24" l="1"/>
  <c r="AD130" i="25"/>
  <c r="AD282" i="25"/>
  <c r="AD151" i="25"/>
  <c r="AD156" i="25"/>
  <c r="W347" i="25"/>
  <c r="AD126" i="25"/>
  <c r="AD127" i="25"/>
  <c r="AA127" i="25" s="1"/>
  <c r="Z127" i="25" s="1"/>
  <c r="Y127" i="25" s="1"/>
  <c r="AD336" i="25"/>
  <c r="AD139" i="25"/>
  <c r="AD260" i="25"/>
  <c r="AD221" i="25"/>
  <c r="AD334" i="25"/>
  <c r="AD220" i="25"/>
  <c r="AD212" i="25"/>
  <c r="AD146" i="25"/>
  <c r="AA146" i="25" s="1"/>
  <c r="Z146" i="25" s="1"/>
  <c r="Y146" i="25" s="1"/>
  <c r="I156" i="24"/>
  <c r="I68" i="24"/>
  <c r="AD377" i="25"/>
  <c r="AD124" i="25"/>
  <c r="AD360" i="25"/>
  <c r="AD367" i="25"/>
  <c r="AD128" i="25"/>
  <c r="AD191" i="25"/>
  <c r="W255" i="25"/>
  <c r="W245" i="25"/>
  <c r="J299" i="24"/>
  <c r="I302" i="24"/>
  <c r="J102" i="24"/>
  <c r="I289" i="24"/>
  <c r="H289" i="25" s="1"/>
  <c r="D89" i="25"/>
  <c r="E89" i="25" s="1"/>
  <c r="F89" i="25" s="1"/>
  <c r="H89" i="25" s="1"/>
  <c r="W204" i="25"/>
  <c r="J35" i="24"/>
  <c r="J145" i="24"/>
  <c r="J227" i="24"/>
  <c r="I227" i="24"/>
  <c r="D27" i="25"/>
  <c r="E27" i="25" s="1"/>
  <c r="F27" i="25" s="1"/>
  <c r="H27" i="25" s="1"/>
  <c r="W112" i="25"/>
  <c r="D75" i="25"/>
  <c r="E75" i="25" s="1"/>
  <c r="F75" i="25" s="1"/>
  <c r="H75" i="25" s="1"/>
  <c r="W291" i="25"/>
  <c r="D258" i="25"/>
  <c r="E258" i="25" s="1"/>
  <c r="F258" i="25" s="1"/>
  <c r="AA258" i="25" s="1"/>
  <c r="Z258" i="25" s="1"/>
  <c r="Y258" i="25" s="1"/>
  <c r="W171" i="25"/>
  <c r="W102" i="25"/>
  <c r="D212" i="25"/>
  <c r="E212" i="25" s="1"/>
  <c r="F212" i="25" s="1"/>
  <c r="AA212" i="25" s="1"/>
  <c r="Z212" i="25" s="1"/>
  <c r="Y212" i="25" s="1"/>
  <c r="D16" i="25"/>
  <c r="E16" i="25" s="1"/>
  <c r="F16" i="25" s="1"/>
  <c r="G16" i="25" s="1"/>
  <c r="CF16" i="6" s="1"/>
  <c r="W329" i="25"/>
  <c r="D62" i="25"/>
  <c r="E62" i="25" s="1"/>
  <c r="F62" i="25" s="1"/>
  <c r="H62" i="25" s="1"/>
  <c r="W276" i="25"/>
  <c r="W137" i="25"/>
  <c r="W359" i="25"/>
  <c r="W39" i="25"/>
  <c r="D175" i="25"/>
  <c r="E175" i="25" s="1"/>
  <c r="F175" i="25" s="1"/>
  <c r="G175" i="25" s="1"/>
  <c r="CF175" i="6" s="1"/>
  <c r="D85" i="25"/>
  <c r="E85" i="25" s="1"/>
  <c r="F85" i="25" s="1"/>
  <c r="G85" i="25" s="1"/>
  <c r="CF85" i="6" s="1"/>
  <c r="W30" i="25"/>
  <c r="W164" i="25"/>
  <c r="W239" i="25"/>
  <c r="D330" i="25"/>
  <c r="E330" i="25" s="1"/>
  <c r="F330" i="25" s="1"/>
  <c r="D191" i="25"/>
  <c r="E191" i="25" s="1"/>
  <c r="F191" i="25" s="1"/>
  <c r="H191" i="25" s="1"/>
  <c r="D304" i="25"/>
  <c r="E304" i="25" s="1"/>
  <c r="F304" i="25" s="1"/>
  <c r="G304" i="25" s="1"/>
  <c r="CF304" i="6" s="1"/>
  <c r="W358" i="25"/>
  <c r="W340" i="25"/>
  <c r="D155" i="25"/>
  <c r="E155" i="25" s="1"/>
  <c r="F155" i="25" s="1"/>
  <c r="G155" i="25" s="1"/>
  <c r="CF155" i="6" s="1"/>
  <c r="D44" i="25"/>
  <c r="E44" i="25" s="1"/>
  <c r="F44" i="25" s="1"/>
  <c r="H44" i="25" s="1"/>
  <c r="D287" i="25"/>
  <c r="E287" i="25" s="1"/>
  <c r="F287" i="25" s="1"/>
  <c r="G287" i="25" s="1"/>
  <c r="CF287" i="6" s="1"/>
  <c r="I220" i="24"/>
  <c r="D202" i="25"/>
  <c r="E202" i="25" s="1"/>
  <c r="F202" i="25" s="1"/>
  <c r="G202" i="25" s="1"/>
  <c r="CF202" i="6" s="1"/>
  <c r="D305" i="25"/>
  <c r="E305" i="25" s="1"/>
  <c r="F305" i="25" s="1"/>
  <c r="G305" i="25" s="1"/>
  <c r="CF305" i="6" s="1"/>
  <c r="W58" i="25"/>
  <c r="W81" i="25"/>
  <c r="V241" i="25"/>
  <c r="D241" i="25" s="1"/>
  <c r="E241" i="25" s="1"/>
  <c r="F241" i="25" s="1"/>
  <c r="V363" i="25"/>
  <c r="W363" i="25" s="1"/>
  <c r="W267" i="25"/>
  <c r="W257" i="25"/>
  <c r="D220" i="25"/>
  <c r="E220" i="25" s="1"/>
  <c r="F220" i="25" s="1"/>
  <c r="AA220" i="25" s="1"/>
  <c r="Z220" i="25" s="1"/>
  <c r="Y220" i="25" s="1"/>
  <c r="W378" i="25"/>
  <c r="AH70" i="7"/>
  <c r="D235" i="25"/>
  <c r="E235" i="25" s="1"/>
  <c r="F235" i="25" s="1"/>
  <c r="AA235" i="25" s="1"/>
  <c r="Z235" i="25" s="1"/>
  <c r="Y235" i="25" s="1"/>
  <c r="W36" i="25"/>
  <c r="D156" i="25"/>
  <c r="E156" i="25" s="1"/>
  <c r="F156" i="25" s="1"/>
  <c r="AA156" i="25" s="1"/>
  <c r="Z156" i="25" s="1"/>
  <c r="Y156" i="25" s="1"/>
  <c r="D308" i="25"/>
  <c r="E308" i="25" s="1"/>
  <c r="F308" i="25" s="1"/>
  <c r="G308" i="25" s="1"/>
  <c r="CF308" i="6" s="1"/>
  <c r="D211" i="25"/>
  <c r="E211" i="25" s="1"/>
  <c r="F211" i="25" s="1"/>
  <c r="H211" i="25" s="1"/>
  <c r="W146" i="25"/>
  <c r="W76" i="25"/>
  <c r="W183" i="25"/>
  <c r="D298" i="25"/>
  <c r="E298" i="25" s="1"/>
  <c r="F298" i="25" s="1"/>
  <c r="G298" i="25" s="1"/>
  <c r="CF298" i="6" s="1"/>
  <c r="D268" i="25"/>
  <c r="E268" i="25" s="1"/>
  <c r="F268" i="25" s="1"/>
  <c r="AA268" i="25" s="1"/>
  <c r="Z268" i="25" s="1"/>
  <c r="Y268" i="25" s="1"/>
  <c r="W244" i="25"/>
  <c r="D326" i="25"/>
  <c r="E326" i="25" s="1"/>
  <c r="F326" i="25" s="1"/>
  <c r="H326" i="25" s="1"/>
  <c r="D179" i="25"/>
  <c r="E179" i="25" s="1"/>
  <c r="F179" i="25" s="1"/>
  <c r="G179" i="25" s="1"/>
  <c r="CF179" i="6" s="1"/>
  <c r="W83" i="25"/>
  <c r="D140" i="25"/>
  <c r="E140" i="25" s="1"/>
  <c r="F140" i="25" s="1"/>
  <c r="H140" i="25" s="1"/>
  <c r="W69" i="25"/>
  <c r="I298" i="24"/>
  <c r="I270" i="24"/>
  <c r="H270" i="25" s="1"/>
  <c r="AD222" i="25"/>
  <c r="AD168" i="25"/>
  <c r="AA168" i="25" s="1"/>
  <c r="Z168" i="25" s="1"/>
  <c r="Y168" i="25" s="1"/>
  <c r="AD174" i="25"/>
  <c r="AA174" i="25" s="1"/>
  <c r="Z174" i="25" s="1"/>
  <c r="Y174" i="25" s="1"/>
  <c r="AD308" i="25"/>
  <c r="AA308" i="25" s="1"/>
  <c r="Z308" i="25" s="1"/>
  <c r="Y308" i="25" s="1"/>
  <c r="AD125" i="25"/>
  <c r="AA125" i="25" s="1"/>
  <c r="Z125" i="25" s="1"/>
  <c r="Y125" i="25" s="1"/>
  <c r="AD116" i="25"/>
  <c r="AA116" i="25" s="1"/>
  <c r="Z116" i="25" s="1"/>
  <c r="Y116" i="25" s="1"/>
  <c r="AD186" i="25"/>
  <c r="AD213" i="25"/>
  <c r="AA213" i="25" s="1"/>
  <c r="Z213" i="25" s="1"/>
  <c r="Y213" i="25" s="1"/>
  <c r="AD320" i="25"/>
  <c r="AD134" i="25"/>
  <c r="AD83" i="25"/>
  <c r="AA83" i="25" s="1"/>
  <c r="Z83" i="25" s="1"/>
  <c r="Y83" i="25" s="1"/>
  <c r="AD46" i="25"/>
  <c r="AA46" i="25" s="1"/>
  <c r="Z46" i="25" s="1"/>
  <c r="Y46" i="25" s="1"/>
  <c r="AD97" i="25"/>
  <c r="AA97" i="25" s="1"/>
  <c r="Z97" i="25" s="1"/>
  <c r="Y97" i="25" s="1"/>
  <c r="AD79" i="25"/>
  <c r="AD330" i="25"/>
  <c r="AD333" i="25"/>
  <c r="AD135" i="25"/>
  <c r="AD232" i="25"/>
  <c r="W66" i="25"/>
  <c r="W110" i="25"/>
  <c r="D275" i="25"/>
  <c r="E275" i="25" s="1"/>
  <c r="F275" i="25" s="1"/>
  <c r="H275" i="25" s="1"/>
  <c r="W98" i="25"/>
  <c r="W226" i="25"/>
  <c r="D131" i="25"/>
  <c r="E131" i="25" s="1"/>
  <c r="F131" i="25" s="1"/>
  <c r="G131" i="25" s="1"/>
  <c r="CF131" i="6" s="1"/>
  <c r="D266" i="25"/>
  <c r="E266" i="25" s="1"/>
  <c r="F266" i="25" s="1"/>
  <c r="G266" i="25" s="1"/>
  <c r="CF266" i="6" s="1"/>
  <c r="W274" i="25"/>
  <c r="D351" i="25"/>
  <c r="E351" i="25" s="1"/>
  <c r="F351" i="25" s="1"/>
  <c r="G351" i="25" s="1"/>
  <c r="CF351" i="6" s="1"/>
  <c r="D229" i="25"/>
  <c r="E229" i="25" s="1"/>
  <c r="F229" i="25" s="1"/>
  <c r="G229" i="25" s="1"/>
  <c r="CF229" i="6" s="1"/>
  <c r="D366" i="25"/>
  <c r="E366" i="25" s="1"/>
  <c r="F366" i="25" s="1"/>
  <c r="H366" i="25" s="1"/>
  <c r="D17" i="25"/>
  <c r="E17" i="25" s="1"/>
  <c r="F17" i="25" s="1"/>
  <c r="G17" i="25" s="1"/>
  <c r="CF17" i="6" s="1"/>
  <c r="W201" i="25"/>
  <c r="W33" i="25"/>
  <c r="W38" i="25"/>
  <c r="D338" i="25"/>
  <c r="E338" i="25" s="1"/>
  <c r="F338" i="25" s="1"/>
  <c r="G338" i="25" s="1"/>
  <c r="CF338" i="6" s="1"/>
  <c r="D135" i="25"/>
  <c r="E135" i="25" s="1"/>
  <c r="F135" i="25" s="1"/>
  <c r="G135" i="25" s="1"/>
  <c r="CF135" i="6" s="1"/>
  <c r="D124" i="25"/>
  <c r="E124" i="25" s="1"/>
  <c r="F124" i="25" s="1"/>
  <c r="AA124" i="25" s="1"/>
  <c r="Z124" i="25" s="1"/>
  <c r="Y124" i="25" s="1"/>
  <c r="W47" i="25"/>
  <c r="W97" i="25"/>
  <c r="D353" i="25"/>
  <c r="E353" i="25" s="1"/>
  <c r="F353" i="25" s="1"/>
  <c r="G353" i="25" s="1"/>
  <c r="CF353" i="6" s="1"/>
  <c r="D263" i="25"/>
  <c r="E263" i="25" s="1"/>
  <c r="F263" i="25" s="1"/>
  <c r="H263" i="25" s="1"/>
  <c r="D113" i="25"/>
  <c r="E113" i="25" s="1"/>
  <c r="F113" i="25" s="1"/>
  <c r="H113" i="25" s="1"/>
  <c r="D128" i="25"/>
  <c r="E128" i="25" s="1"/>
  <c r="F128" i="25" s="1"/>
  <c r="H128" i="25" s="1"/>
  <c r="D309" i="25"/>
  <c r="E309" i="25" s="1"/>
  <c r="F309" i="25" s="1"/>
  <c r="H309" i="25" s="1"/>
  <c r="W373" i="25"/>
  <c r="W311" i="25"/>
  <c r="W371" i="25"/>
  <c r="W221" i="25"/>
  <c r="D208" i="25"/>
  <c r="E208" i="25" s="1"/>
  <c r="F208" i="25" s="1"/>
  <c r="G208" i="25" s="1"/>
  <c r="CF208" i="6" s="1"/>
  <c r="W163" i="25"/>
  <c r="D20" i="25"/>
  <c r="E20" i="25" s="1"/>
  <c r="F20" i="25" s="1"/>
  <c r="G20" i="25" s="1"/>
  <c r="CF20" i="6" s="1"/>
  <c r="D21" i="25"/>
  <c r="E21" i="25" s="1"/>
  <c r="F21" i="25" s="1"/>
  <c r="H21" i="25" s="1"/>
  <c r="D61" i="25"/>
  <c r="E61" i="25" s="1"/>
  <c r="F61" i="25" s="1"/>
  <c r="H61" i="25" s="1"/>
  <c r="D41" i="25"/>
  <c r="E41" i="25" s="1"/>
  <c r="F41" i="25" s="1"/>
  <c r="G41" i="25" s="1"/>
  <c r="CF41" i="6" s="1"/>
  <c r="W206" i="25"/>
  <c r="W106" i="25"/>
  <c r="W242" i="25"/>
  <c r="D346" i="25"/>
  <c r="E346" i="25" s="1"/>
  <c r="F346" i="25" s="1"/>
  <c r="G346" i="25" s="1"/>
  <c r="CF346" i="6" s="1"/>
  <c r="W372" i="25"/>
  <c r="W151" i="25"/>
  <c r="D310" i="25"/>
  <c r="E310" i="25" s="1"/>
  <c r="F310" i="25" s="1"/>
  <c r="H310" i="25" s="1"/>
  <c r="D78" i="25"/>
  <c r="E78" i="25" s="1"/>
  <c r="F78" i="25" s="1"/>
  <c r="G78" i="25" s="1"/>
  <c r="CF78" i="6" s="1"/>
  <c r="D122" i="25"/>
  <c r="E122" i="25" s="1"/>
  <c r="F122" i="25" s="1"/>
  <c r="H122" i="25" s="1"/>
  <c r="AD228" i="25"/>
  <c r="AA228" i="25" s="1"/>
  <c r="Z228" i="25" s="1"/>
  <c r="Y228" i="25" s="1"/>
  <c r="AD304" i="25"/>
  <c r="AD107" i="25"/>
  <c r="AA107" i="25" s="1"/>
  <c r="Z107" i="25" s="1"/>
  <c r="Y107" i="25" s="1"/>
  <c r="AD215" i="25"/>
  <c r="AD305" i="25"/>
  <c r="AA305" i="25" s="1"/>
  <c r="Z305" i="25" s="1"/>
  <c r="Y305" i="25" s="1"/>
  <c r="AD31" i="25"/>
  <c r="AD32" i="25"/>
  <c r="AA32" i="25" s="1"/>
  <c r="Z32" i="25" s="1"/>
  <c r="Y32" i="25" s="1"/>
  <c r="AD19" i="25"/>
  <c r="AA19" i="25" s="1"/>
  <c r="Z19" i="25" s="1"/>
  <c r="Y19" i="25" s="1"/>
  <c r="AD78" i="25"/>
  <c r="AD25" i="25"/>
  <c r="AA25" i="25" s="1"/>
  <c r="Z25" i="25" s="1"/>
  <c r="Y25" i="25" s="1"/>
  <c r="AD22" i="25"/>
  <c r="AA22" i="25" s="1"/>
  <c r="Z22" i="25" s="1"/>
  <c r="Y22" i="25" s="1"/>
  <c r="AD240" i="25"/>
  <c r="AA240" i="25" s="1"/>
  <c r="Z240" i="25" s="1"/>
  <c r="Y240" i="25" s="1"/>
  <c r="AD316" i="25"/>
  <c r="AD318" i="25"/>
  <c r="AA318" i="25" s="1"/>
  <c r="Z318" i="25" s="1"/>
  <c r="Y318" i="25" s="1"/>
  <c r="AD328" i="25"/>
  <c r="AI381" i="25"/>
  <c r="AD326" i="25"/>
  <c r="AD192" i="25"/>
  <c r="AD209" i="25"/>
  <c r="AD277" i="25"/>
  <c r="AA277" i="25" s="1"/>
  <c r="Z277" i="25" s="1"/>
  <c r="Y277" i="25" s="1"/>
  <c r="AD179" i="25"/>
  <c r="AD347" i="25"/>
  <c r="AA347" i="25" s="1"/>
  <c r="Z347" i="25" s="1"/>
  <c r="Y347" i="25" s="1"/>
  <c r="AD286" i="25"/>
  <c r="AA286" i="25" s="1"/>
  <c r="Z286" i="25" s="1"/>
  <c r="Y286" i="25" s="1"/>
  <c r="AD136" i="25"/>
  <c r="AA136" i="25" s="1"/>
  <c r="Z136" i="25" s="1"/>
  <c r="Y136" i="25" s="1"/>
  <c r="AD58" i="25"/>
  <c r="AA58" i="25" s="1"/>
  <c r="Z58" i="25" s="1"/>
  <c r="Y58" i="25" s="1"/>
  <c r="AD67" i="25"/>
  <c r="AD375" i="25"/>
  <c r="AA375" i="25" s="1"/>
  <c r="Z375" i="25" s="1"/>
  <c r="Y375" i="25" s="1"/>
  <c r="AD346" i="25"/>
  <c r="AD217" i="25"/>
  <c r="AD329" i="25"/>
  <c r="AA329" i="25" s="1"/>
  <c r="Z329" i="25" s="1"/>
  <c r="Y329" i="25" s="1"/>
  <c r="AD262" i="25"/>
  <c r="AD121" i="25"/>
  <c r="AA121" i="25" s="1"/>
  <c r="Z121" i="25" s="1"/>
  <c r="Y121" i="25" s="1"/>
  <c r="AD187" i="25"/>
  <c r="AD255" i="25"/>
  <c r="AA255" i="25" s="1"/>
  <c r="Z255" i="25" s="1"/>
  <c r="Y255" i="25" s="1"/>
  <c r="AD289" i="25"/>
  <c r="AA289" i="25" s="1"/>
  <c r="Z289" i="25" s="1"/>
  <c r="Y289" i="25" s="1"/>
  <c r="AD211" i="25"/>
  <c r="AD233" i="25"/>
  <c r="AA233" i="25" s="1"/>
  <c r="Z233" i="25" s="1"/>
  <c r="Y233" i="25" s="1"/>
  <c r="AD288" i="25"/>
  <c r="AD194" i="25"/>
  <c r="AA194" i="25" s="1"/>
  <c r="Z194" i="25" s="1"/>
  <c r="Y194" i="25" s="1"/>
  <c r="AD120" i="25"/>
  <c r="AA120" i="25" s="1"/>
  <c r="Z120" i="25" s="1"/>
  <c r="Y120" i="25" s="1"/>
  <c r="AD110" i="25"/>
  <c r="AA110" i="25" s="1"/>
  <c r="Z110" i="25" s="1"/>
  <c r="Y110" i="25" s="1"/>
  <c r="AD352" i="25"/>
  <c r="AA352" i="25" s="1"/>
  <c r="Z352" i="25" s="1"/>
  <c r="Y352" i="25" s="1"/>
  <c r="AD237" i="25"/>
  <c r="AD267" i="25"/>
  <c r="AA267" i="25" s="1"/>
  <c r="Z267" i="25" s="1"/>
  <c r="Y267" i="25" s="1"/>
  <c r="AD247" i="25"/>
  <c r="AD276" i="25"/>
  <c r="AA276" i="25" s="1"/>
  <c r="Z276" i="25" s="1"/>
  <c r="Y276" i="25" s="1"/>
  <c r="AD366" i="25"/>
  <c r="AD153" i="25"/>
  <c r="AD332" i="25"/>
  <c r="AA332" i="25" s="1"/>
  <c r="Z332" i="25" s="1"/>
  <c r="Y332" i="25" s="1"/>
  <c r="AD364" i="25"/>
  <c r="AD349" i="25"/>
  <c r="AD199" i="25"/>
  <c r="AA199" i="25" s="1"/>
  <c r="Z199" i="25" s="1"/>
  <c r="Y199" i="25" s="1"/>
  <c r="W339" i="25"/>
  <c r="D87" i="25"/>
  <c r="E87" i="25" s="1"/>
  <c r="F87" i="25" s="1"/>
  <c r="G87" i="25" s="1"/>
  <c r="CF87" i="6" s="1"/>
  <c r="D290" i="25"/>
  <c r="E290" i="25" s="1"/>
  <c r="F290" i="25" s="1"/>
  <c r="H290" i="25" s="1"/>
  <c r="W100" i="25"/>
  <c r="W323" i="25"/>
  <c r="D134" i="25"/>
  <c r="E134" i="25" s="1"/>
  <c r="F134" i="25" s="1"/>
  <c r="H134" i="25" s="1"/>
  <c r="W154" i="25"/>
  <c r="W125" i="25"/>
  <c r="D231" i="25"/>
  <c r="E231" i="25" s="1"/>
  <c r="F231" i="25" s="1"/>
  <c r="G231" i="25" s="1"/>
  <c r="CF231" i="6" s="1"/>
  <c r="W101" i="25"/>
  <c r="D26" i="25"/>
  <c r="E26" i="25" s="1"/>
  <c r="F26" i="25" s="1"/>
  <c r="H26" i="25" s="1"/>
  <c r="D182" i="25"/>
  <c r="E182" i="25" s="1"/>
  <c r="F182" i="25" s="1"/>
  <c r="H182" i="25" s="1"/>
  <c r="W361" i="25"/>
  <c r="W360" i="25"/>
  <c r="W195" i="25"/>
  <c r="W348" i="25"/>
  <c r="W86" i="25"/>
  <c r="D189" i="25"/>
  <c r="E189" i="25" s="1"/>
  <c r="F189" i="25" s="1"/>
  <c r="H189" i="25" s="1"/>
  <c r="W341" i="25"/>
  <c r="W138" i="25"/>
  <c r="W103" i="25"/>
  <c r="V29" i="25"/>
  <c r="W29" i="25" s="1"/>
  <c r="D337" i="25"/>
  <c r="E337" i="25" s="1"/>
  <c r="F337" i="25" s="1"/>
  <c r="G337" i="25" s="1"/>
  <c r="CF337" i="6" s="1"/>
  <c r="W55" i="25"/>
  <c r="D251" i="25"/>
  <c r="E251" i="25" s="1"/>
  <c r="F251" i="25" s="1"/>
  <c r="H251" i="25" s="1"/>
  <c r="W250" i="25"/>
  <c r="W230" i="25"/>
  <c r="W104" i="25"/>
  <c r="D150" i="25"/>
  <c r="E150" i="25" s="1"/>
  <c r="F150" i="25" s="1"/>
  <c r="G150" i="25" s="1"/>
  <c r="CF150" i="6" s="1"/>
  <c r="W94" i="25"/>
  <c r="W18" i="25"/>
  <c r="W285" i="25"/>
  <c r="D217" i="25"/>
  <c r="E217" i="25" s="1"/>
  <c r="F217" i="25" s="1"/>
  <c r="G217" i="25" s="1"/>
  <c r="CF217" i="6" s="1"/>
  <c r="W121" i="25"/>
  <c r="D31" i="25"/>
  <c r="E31" i="25" s="1"/>
  <c r="F31" i="25" s="1"/>
  <c r="G31" i="25" s="1"/>
  <c r="CF31" i="6" s="1"/>
  <c r="W99" i="25"/>
  <c r="D314" i="25"/>
  <c r="E314" i="25" s="1"/>
  <c r="F314" i="25" s="1"/>
  <c r="H314" i="25" s="1"/>
  <c r="D307" i="25"/>
  <c r="E307" i="25" s="1"/>
  <c r="F307" i="25" s="1"/>
  <c r="H307" i="25" s="1"/>
  <c r="AH74" i="7"/>
  <c r="D80" i="25"/>
  <c r="E80" i="25" s="1"/>
  <c r="F80" i="25" s="1"/>
  <c r="G80" i="25" s="1"/>
  <c r="CF80" i="6" s="1"/>
  <c r="D117" i="25"/>
  <c r="E117" i="25" s="1"/>
  <c r="F117" i="25" s="1"/>
  <c r="G117" i="25" s="1"/>
  <c r="CF117" i="6" s="1"/>
  <c r="D355" i="25"/>
  <c r="E355" i="25" s="1"/>
  <c r="F355" i="25" s="1"/>
  <c r="AA355" i="25" s="1"/>
  <c r="Z355" i="25" s="1"/>
  <c r="Y355" i="25" s="1"/>
  <c r="W306" i="25"/>
  <c r="D279" i="25"/>
  <c r="E279" i="25" s="1"/>
  <c r="F279" i="25" s="1"/>
  <c r="H279" i="25" s="1"/>
  <c r="W43" i="25"/>
  <c r="D335" i="25"/>
  <c r="E335" i="25" s="1"/>
  <c r="F335" i="25" s="1"/>
  <c r="H335" i="25" s="1"/>
  <c r="W72" i="25"/>
  <c r="W93" i="25"/>
  <c r="W319" i="25"/>
  <c r="D141" i="25"/>
  <c r="E141" i="25" s="1"/>
  <c r="F141" i="25" s="1"/>
  <c r="G141" i="25" s="1"/>
  <c r="CF141" i="6" s="1"/>
  <c r="D247" i="25"/>
  <c r="E247" i="25" s="1"/>
  <c r="F247" i="25" s="1"/>
  <c r="G247" i="25" s="1"/>
  <c r="CF247" i="6" s="1"/>
  <c r="W90" i="25"/>
  <c r="D56" i="25"/>
  <c r="E56" i="25" s="1"/>
  <c r="F56" i="25" s="1"/>
  <c r="H56" i="25" s="1"/>
  <c r="W225" i="25"/>
  <c r="W107" i="25"/>
  <c r="W356" i="25"/>
  <c r="D170" i="25"/>
  <c r="E170" i="25" s="1"/>
  <c r="F170" i="25" s="1"/>
  <c r="G170" i="25" s="1"/>
  <c r="CF170" i="6" s="1"/>
  <c r="W96" i="25"/>
  <c r="W177" i="25"/>
  <c r="W23" i="25"/>
  <c r="D34" i="25"/>
  <c r="E34" i="25" s="1"/>
  <c r="F34" i="25" s="1"/>
  <c r="H34" i="25" s="1"/>
  <c r="D129" i="25"/>
  <c r="E129" i="25" s="1"/>
  <c r="F129" i="25" s="1"/>
  <c r="G129" i="25" s="1"/>
  <c r="CF129" i="6" s="1"/>
  <c r="D158" i="25"/>
  <c r="E158" i="25" s="1"/>
  <c r="F158" i="25" s="1"/>
  <c r="H158" i="25" s="1"/>
  <c r="D216" i="25"/>
  <c r="E216" i="25" s="1"/>
  <c r="F216" i="25" s="1"/>
  <c r="H216" i="25" s="1"/>
  <c r="W260" i="25"/>
  <c r="W118" i="25"/>
  <c r="W375" i="25"/>
  <c r="D153" i="25"/>
  <c r="E153" i="25" s="1"/>
  <c r="F153" i="25" s="1"/>
  <c r="G153" i="25" s="1"/>
  <c r="CF153" i="6" s="1"/>
  <c r="W162" i="25"/>
  <c r="D232" i="25"/>
  <c r="E232" i="25" s="1"/>
  <c r="F232" i="25" s="1"/>
  <c r="H232" i="25" s="1"/>
  <c r="D181" i="25"/>
  <c r="E181" i="25" s="1"/>
  <c r="F181" i="25" s="1"/>
  <c r="H181" i="25" s="1"/>
  <c r="W123" i="25"/>
  <c r="D357" i="25"/>
  <c r="E357" i="25" s="1"/>
  <c r="F357" i="25" s="1"/>
  <c r="H357" i="25" s="1"/>
  <c r="D160" i="25"/>
  <c r="E160" i="25" s="1"/>
  <c r="F160" i="25" s="1"/>
  <c r="H160" i="25" s="1"/>
  <c r="W269" i="25"/>
  <c r="D82" i="25"/>
  <c r="E82" i="25" s="1"/>
  <c r="F82" i="25" s="1"/>
  <c r="G82" i="25" s="1"/>
  <c r="CF82" i="6" s="1"/>
  <c r="W273" i="25"/>
  <c r="D313" i="25"/>
  <c r="E313" i="25" s="1"/>
  <c r="F313" i="25" s="1"/>
  <c r="G313" i="25" s="1"/>
  <c r="CF313" i="6" s="1"/>
  <c r="D68" i="25"/>
  <c r="E68" i="25" s="1"/>
  <c r="F68" i="25" s="1"/>
  <c r="G68" i="25" s="1"/>
  <c r="CF68" i="6" s="1"/>
  <c r="W270" i="25"/>
  <c r="D377" i="25"/>
  <c r="E377" i="25" s="1"/>
  <c r="F377" i="25" s="1"/>
  <c r="G377" i="25" s="1"/>
  <c r="CF377" i="6" s="1"/>
  <c r="W374" i="25"/>
  <c r="D317" i="25"/>
  <c r="E317" i="25" s="1"/>
  <c r="F317" i="25" s="1"/>
  <c r="AA317" i="25" s="1"/>
  <c r="Z317" i="25" s="1"/>
  <c r="Y317" i="25" s="1"/>
  <c r="W57" i="25"/>
  <c r="V333" i="25"/>
  <c r="L70" i="19" s="1"/>
  <c r="D65" i="25"/>
  <c r="E65" i="25" s="1"/>
  <c r="F65" i="25" s="1"/>
  <c r="G65" i="25" s="1"/>
  <c r="CF65" i="6" s="1"/>
  <c r="V60" i="25"/>
  <c r="C70" i="19" s="1"/>
  <c r="W213" i="25"/>
  <c r="V149" i="25"/>
  <c r="D143" i="25"/>
  <c r="E143" i="25" s="1"/>
  <c r="F143" i="25" s="1"/>
  <c r="H143" i="25" s="1"/>
  <c r="W240" i="25"/>
  <c r="AI383" i="25"/>
  <c r="AD374" i="25"/>
  <c r="AA374" i="25" s="1"/>
  <c r="Z374" i="25" s="1"/>
  <c r="Y374" i="25" s="1"/>
  <c r="AD161" i="25"/>
  <c r="AD231" i="25"/>
  <c r="AD315" i="25"/>
  <c r="AD182" i="25"/>
  <c r="AD371" i="25"/>
  <c r="AA371" i="25" s="1"/>
  <c r="Z371" i="25" s="1"/>
  <c r="Y371" i="25" s="1"/>
  <c r="AD162" i="25"/>
  <c r="AA162" i="25" s="1"/>
  <c r="Z162" i="25" s="1"/>
  <c r="Y162" i="25" s="1"/>
  <c r="AD143" i="25"/>
  <c r="AD335" i="25"/>
  <c r="AD359" i="25"/>
  <c r="AA359" i="25" s="1"/>
  <c r="Z359" i="25" s="1"/>
  <c r="Y359" i="25" s="1"/>
  <c r="AD218" i="25"/>
  <c r="AA218" i="25" s="1"/>
  <c r="Z218" i="25" s="1"/>
  <c r="Y218" i="25" s="1"/>
  <c r="AD370" i="25"/>
  <c r="AA370" i="25" s="1"/>
  <c r="Z370" i="25" s="1"/>
  <c r="Y370" i="25" s="1"/>
  <c r="AD292" i="25"/>
  <c r="AD358" i="25"/>
  <c r="AA358" i="25" s="1"/>
  <c r="Z358" i="25" s="1"/>
  <c r="Y358" i="25" s="1"/>
  <c r="AD190" i="25"/>
  <c r="AA190" i="25" s="1"/>
  <c r="Z190" i="25" s="1"/>
  <c r="Y190" i="25" s="1"/>
  <c r="AD196" i="25"/>
  <c r="AD372" i="25"/>
  <c r="AA372" i="25" s="1"/>
  <c r="Z372" i="25" s="1"/>
  <c r="Y372" i="25" s="1"/>
  <c r="AD248" i="25"/>
  <c r="AA248" i="25" s="1"/>
  <c r="Z248" i="25" s="1"/>
  <c r="Y248" i="25" s="1"/>
  <c r="AD65" i="25"/>
  <c r="AD27" i="25"/>
  <c r="AD43" i="25"/>
  <c r="AA43" i="25" s="1"/>
  <c r="Z43" i="25" s="1"/>
  <c r="Y43" i="25" s="1"/>
  <c r="AD54" i="25"/>
  <c r="AA54" i="25" s="1"/>
  <c r="Z54" i="25" s="1"/>
  <c r="Y54" i="25" s="1"/>
  <c r="AD29" i="25"/>
  <c r="AD40" i="25"/>
  <c r="AD72" i="25"/>
  <c r="AA72" i="25" s="1"/>
  <c r="Z72" i="25" s="1"/>
  <c r="Y72" i="25" s="1"/>
  <c r="AD24" i="25"/>
  <c r="AA24" i="25" s="1"/>
  <c r="Z24" i="25" s="1"/>
  <c r="Y24" i="25" s="1"/>
  <c r="AD91" i="25"/>
  <c r="AA91" i="25" s="1"/>
  <c r="Z91" i="25" s="1"/>
  <c r="Y91" i="25" s="1"/>
  <c r="AD84" i="25"/>
  <c r="AA84" i="25" s="1"/>
  <c r="Z84" i="25" s="1"/>
  <c r="Y84" i="25" s="1"/>
  <c r="AD90" i="25"/>
  <c r="AA90" i="25" s="1"/>
  <c r="Z90" i="25" s="1"/>
  <c r="Y90" i="25" s="1"/>
  <c r="AD102" i="25"/>
  <c r="AA102" i="25" s="1"/>
  <c r="Z102" i="25" s="1"/>
  <c r="Y102" i="25" s="1"/>
  <c r="AD369" i="25"/>
  <c r="AA369" i="25" s="1"/>
  <c r="Z369" i="25" s="1"/>
  <c r="Y369" i="25" s="1"/>
  <c r="AD271" i="25"/>
  <c r="AA271" i="25" s="1"/>
  <c r="Z271" i="25" s="1"/>
  <c r="Y271" i="25" s="1"/>
  <c r="AD309" i="25"/>
  <c r="AD188" i="25"/>
  <c r="AA188" i="25" s="1"/>
  <c r="Z188" i="25" s="1"/>
  <c r="Y188" i="25" s="1"/>
  <c r="AD323" i="25"/>
  <c r="AA323" i="25" s="1"/>
  <c r="Z323" i="25" s="1"/>
  <c r="Y323" i="25" s="1"/>
  <c r="AD193" i="25"/>
  <c r="AD154" i="25"/>
  <c r="AA154" i="25" s="1"/>
  <c r="Z154" i="25" s="1"/>
  <c r="Y154" i="25" s="1"/>
  <c r="AD158" i="25"/>
  <c r="AD138" i="25"/>
  <c r="AA138" i="25" s="1"/>
  <c r="Z138" i="25" s="1"/>
  <c r="Y138" i="25" s="1"/>
  <c r="AD256" i="25"/>
  <c r="AD285" i="25"/>
  <c r="AA285" i="25" s="1"/>
  <c r="Z285" i="25" s="1"/>
  <c r="Y285" i="25" s="1"/>
  <c r="AD298" i="25"/>
  <c r="AD275" i="25"/>
  <c r="AD145" i="25"/>
  <c r="AD297" i="25"/>
  <c r="AA297" i="25" s="1"/>
  <c r="Z297" i="25" s="1"/>
  <c r="Y297" i="25" s="1"/>
  <c r="AD337" i="25"/>
  <c r="AJ5" i="23"/>
  <c r="AK5" i="23"/>
  <c r="AD307" i="25"/>
  <c r="W119" i="24"/>
  <c r="D119" i="24"/>
  <c r="E119" i="24" s="1"/>
  <c r="F119" i="24" s="1"/>
  <c r="W297" i="25"/>
  <c r="D278" i="25"/>
  <c r="E278" i="25" s="1"/>
  <c r="F278" i="25" s="1"/>
  <c r="H278" i="25" s="1"/>
  <c r="D193" i="25"/>
  <c r="E193" i="25" s="1"/>
  <c r="F193" i="25" s="1"/>
  <c r="AA193" i="25" s="1"/>
  <c r="Z193" i="25" s="1"/>
  <c r="Y193" i="25" s="1"/>
  <c r="W22" i="25"/>
  <c r="W300" i="25"/>
  <c r="W132" i="25"/>
  <c r="D139" i="25"/>
  <c r="E139" i="25" s="1"/>
  <c r="F139" i="25" s="1"/>
  <c r="H139" i="25" s="1"/>
  <c r="W332" i="25"/>
  <c r="W243" i="25"/>
  <c r="D42" i="25"/>
  <c r="E42" i="25" s="1"/>
  <c r="F42" i="25" s="1"/>
  <c r="H42" i="25" s="1"/>
  <c r="AD62" i="25"/>
  <c r="AD242" i="25"/>
  <c r="AA242" i="25" s="1"/>
  <c r="Z242" i="25" s="1"/>
  <c r="Y242" i="25" s="1"/>
  <c r="AD165" i="25"/>
  <c r="AA165" i="25" s="1"/>
  <c r="Z165" i="25" s="1"/>
  <c r="Y165" i="25" s="1"/>
  <c r="AD214" i="25"/>
  <c r="AA214" i="25" s="1"/>
  <c r="Z214" i="25" s="1"/>
  <c r="Y214" i="25" s="1"/>
  <c r="AD265" i="25"/>
  <c r="AA265" i="25" s="1"/>
  <c r="Z265" i="25" s="1"/>
  <c r="Y265" i="25" s="1"/>
  <c r="AD343" i="25"/>
  <c r="AA343" i="25" s="1"/>
  <c r="Z343" i="25" s="1"/>
  <c r="Y343" i="25" s="1"/>
  <c r="G46" i="25"/>
  <c r="CF46" i="6" s="1"/>
  <c r="W185" i="25"/>
  <c r="D35" i="25"/>
  <c r="E35" i="25" s="1"/>
  <c r="F35" i="25" s="1"/>
  <c r="G35" i="25" s="1"/>
  <c r="CF35" i="6" s="1"/>
  <c r="W370" i="25"/>
  <c r="D51" i="25"/>
  <c r="E51" i="25" s="1"/>
  <c r="F51" i="25" s="1"/>
  <c r="G51" i="25" s="1"/>
  <c r="CF51" i="6" s="1"/>
  <c r="W152" i="25"/>
  <c r="W249" i="25"/>
  <c r="W116" i="25"/>
  <c r="W197" i="25"/>
  <c r="D256" i="25"/>
  <c r="E256" i="25" s="1"/>
  <c r="F256" i="25" s="1"/>
  <c r="D303" i="25"/>
  <c r="E303" i="25" s="1"/>
  <c r="F303" i="25" s="1"/>
  <c r="G303" i="25" s="1"/>
  <c r="CF303" i="6" s="1"/>
  <c r="W289" i="25"/>
  <c r="D133" i="25"/>
  <c r="E133" i="25" s="1"/>
  <c r="F133" i="25" s="1"/>
  <c r="H133" i="25" s="1"/>
  <c r="D48" i="25"/>
  <c r="E48" i="25" s="1"/>
  <c r="F48" i="25" s="1"/>
  <c r="H48" i="25" s="1"/>
  <c r="D316" i="25"/>
  <c r="E316" i="25" s="1"/>
  <c r="F316" i="25" s="1"/>
  <c r="AA316" i="25" s="1"/>
  <c r="Z316" i="25" s="1"/>
  <c r="Y316" i="25" s="1"/>
  <c r="W322" i="25"/>
  <c r="W352" i="25"/>
  <c r="W271" i="25"/>
  <c r="D328" i="25"/>
  <c r="E328" i="25" s="1"/>
  <c r="F328" i="25" s="1"/>
  <c r="AA328" i="25" s="1"/>
  <c r="Z328" i="25" s="1"/>
  <c r="Y328" i="25" s="1"/>
  <c r="D364" i="25"/>
  <c r="E364" i="25" s="1"/>
  <c r="F364" i="25" s="1"/>
  <c r="G364" i="25" s="1"/>
  <c r="CF364" i="6" s="1"/>
  <c r="D64" i="25"/>
  <c r="E64" i="25" s="1"/>
  <c r="F64" i="25" s="1"/>
  <c r="G64" i="25" s="1"/>
  <c r="CF64" i="6" s="1"/>
  <c r="D282" i="25"/>
  <c r="E282" i="25" s="1"/>
  <c r="F282" i="25" s="1"/>
  <c r="H282" i="25" s="1"/>
  <c r="W369" i="25"/>
  <c r="W214" i="25"/>
  <c r="D237" i="25"/>
  <c r="E237" i="25" s="1"/>
  <c r="F237" i="25" s="1"/>
  <c r="G237" i="25" s="1"/>
  <c r="CF237" i="6" s="1"/>
  <c r="D315" i="25"/>
  <c r="E315" i="25" s="1"/>
  <c r="F315" i="25" s="1"/>
  <c r="H315" i="25" s="1"/>
  <c r="D320" i="25"/>
  <c r="E320" i="25" s="1"/>
  <c r="F320" i="25" s="1"/>
  <c r="G320" i="25" s="1"/>
  <c r="CF320" i="6" s="1"/>
  <c r="D77" i="25"/>
  <c r="E77" i="25" s="1"/>
  <c r="F77" i="25" s="1"/>
  <c r="H77" i="25" s="1"/>
  <c r="W24" i="25"/>
  <c r="W59" i="25"/>
  <c r="D215" i="25"/>
  <c r="E215" i="25" s="1"/>
  <c r="F215" i="25" s="1"/>
  <c r="G215" i="25" s="1"/>
  <c r="CF215" i="6" s="1"/>
  <c r="W52" i="25"/>
  <c r="W238" i="25"/>
  <c r="D161" i="25"/>
  <c r="E161" i="25" s="1"/>
  <c r="F161" i="25" s="1"/>
  <c r="H161" i="25" s="1"/>
  <c r="D219" i="25"/>
  <c r="E219" i="25" s="1"/>
  <c r="F219" i="25" s="1"/>
  <c r="G219" i="25" s="1"/>
  <c r="CF219" i="6" s="1"/>
  <c r="D67" i="25"/>
  <c r="E67" i="25" s="1"/>
  <c r="F67" i="25" s="1"/>
  <c r="H67" i="25" s="1"/>
  <c r="W46" i="25"/>
  <c r="AH383" i="25"/>
  <c r="AD291" i="25"/>
  <c r="AA291" i="25" s="1"/>
  <c r="Z291" i="25" s="1"/>
  <c r="Y291" i="25" s="1"/>
  <c r="AD147" i="25"/>
  <c r="AD175" i="25"/>
  <c r="AD184" i="25"/>
  <c r="AA184" i="25" s="1"/>
  <c r="Z184" i="25" s="1"/>
  <c r="Y184" i="25" s="1"/>
  <c r="AD131" i="25"/>
  <c r="AD152" i="25"/>
  <c r="AA152" i="25" s="1"/>
  <c r="Z152" i="25" s="1"/>
  <c r="Y152" i="25" s="1"/>
  <c r="AD296" i="25"/>
  <c r="AA296" i="25" s="1"/>
  <c r="Z296" i="25" s="1"/>
  <c r="Y296" i="25" s="1"/>
  <c r="AD150" i="25"/>
  <c r="AD303" i="25"/>
  <c r="AD219" i="25"/>
  <c r="AD225" i="25"/>
  <c r="AA225" i="25" s="1"/>
  <c r="Z225" i="25" s="1"/>
  <c r="Y225" i="25" s="1"/>
  <c r="AD266" i="25"/>
  <c r="AD205" i="25"/>
  <c r="AD112" i="25"/>
  <c r="AA112" i="25" s="1"/>
  <c r="Z112" i="25" s="1"/>
  <c r="Y112" i="25" s="1"/>
  <c r="AD197" i="25"/>
  <c r="AA197" i="25" s="1"/>
  <c r="Z197" i="25" s="1"/>
  <c r="Y197" i="25" s="1"/>
  <c r="AD59" i="25"/>
  <c r="AA59" i="25" s="1"/>
  <c r="Z59" i="25" s="1"/>
  <c r="Y59" i="25" s="1"/>
  <c r="AD98" i="25"/>
  <c r="AA98" i="25" s="1"/>
  <c r="Z98" i="25" s="1"/>
  <c r="Y98" i="25" s="1"/>
  <c r="AD94" i="25"/>
  <c r="AA94" i="25" s="1"/>
  <c r="Z94" i="25" s="1"/>
  <c r="Y94" i="25" s="1"/>
  <c r="AD100" i="25"/>
  <c r="AA100" i="25" s="1"/>
  <c r="Z100" i="25" s="1"/>
  <c r="Y100" i="25" s="1"/>
  <c r="AD20" i="25"/>
  <c r="AD60" i="25"/>
  <c r="AD216" i="25"/>
  <c r="AD338" i="25"/>
  <c r="AD163" i="25"/>
  <c r="AA163" i="25" s="1"/>
  <c r="Z163" i="25" s="1"/>
  <c r="Y163" i="25" s="1"/>
  <c r="AD167" i="25"/>
  <c r="AA167" i="25" s="1"/>
  <c r="Z167" i="25" s="1"/>
  <c r="Y167" i="25" s="1"/>
  <c r="AD172" i="25"/>
  <c r="AD173" i="25"/>
  <c r="AA173" i="25" s="1"/>
  <c r="Z173" i="25" s="1"/>
  <c r="Y173" i="25" s="1"/>
  <c r="AD178" i="25"/>
  <c r="AA178" i="25" s="1"/>
  <c r="Z178" i="25" s="1"/>
  <c r="Y178" i="25" s="1"/>
  <c r="AD263" i="25"/>
  <c r="AD118" i="25"/>
  <c r="AA118" i="25" s="1"/>
  <c r="Z118" i="25" s="1"/>
  <c r="Y118" i="25" s="1"/>
  <c r="AD203" i="25"/>
  <c r="AD198" i="25"/>
  <c r="AA198" i="25" s="1"/>
  <c r="Z198" i="25" s="1"/>
  <c r="Y198" i="25" s="1"/>
  <c r="AD368" i="25"/>
  <c r="AA368" i="25" s="1"/>
  <c r="Z368" i="25" s="1"/>
  <c r="Y368" i="25" s="1"/>
  <c r="AD144" i="25"/>
  <c r="AA144" i="25" s="1"/>
  <c r="Z144" i="25" s="1"/>
  <c r="Y144" i="25" s="1"/>
  <c r="AD293" i="25"/>
  <c r="AA293" i="25" s="1"/>
  <c r="Z293" i="25" s="1"/>
  <c r="Y293" i="25" s="1"/>
  <c r="AD189" i="25"/>
  <c r="AD132" i="25"/>
  <c r="AA132" i="25" s="1"/>
  <c r="Z132" i="25" s="1"/>
  <c r="Y132" i="25" s="1"/>
  <c r="AD246" i="25"/>
  <c r="AD105" i="25"/>
  <c r="AD269" i="25"/>
  <c r="AA269" i="25" s="1"/>
  <c r="Z269" i="25" s="1"/>
  <c r="Y269" i="25" s="1"/>
  <c r="AD169" i="25"/>
  <c r="AA169" i="25" s="1"/>
  <c r="Z169" i="25" s="1"/>
  <c r="Y169" i="25" s="1"/>
  <c r="AD160" i="25"/>
  <c r="AD245" i="25"/>
  <c r="AA245" i="25" s="1"/>
  <c r="Z245" i="25" s="1"/>
  <c r="Y245" i="25" s="1"/>
  <c r="AD122" i="25"/>
  <c r="AD180" i="25"/>
  <c r="AD119" i="25"/>
  <c r="AD365" i="25"/>
  <c r="AA365" i="25" s="1"/>
  <c r="Z365" i="25" s="1"/>
  <c r="Y365" i="25" s="1"/>
  <c r="AD272" i="25"/>
  <c r="AD259" i="25"/>
  <c r="AA259" i="25" s="1"/>
  <c r="Z259" i="25" s="1"/>
  <c r="Y259" i="25" s="1"/>
  <c r="AD129" i="25"/>
  <c r="AD226" i="25"/>
  <c r="AA226" i="25" s="1"/>
  <c r="Z226" i="25" s="1"/>
  <c r="Y226" i="25" s="1"/>
  <c r="AD378" i="25"/>
  <c r="AA378" i="25" s="1"/>
  <c r="Z378" i="25" s="1"/>
  <c r="Y378" i="25" s="1"/>
  <c r="W50" i="25"/>
  <c r="W95" i="25"/>
  <c r="W344" i="25"/>
  <c r="W264" i="25"/>
  <c r="W277" i="25"/>
  <c r="D186" i="25"/>
  <c r="E186" i="25" s="1"/>
  <c r="F186" i="25" s="1"/>
  <c r="H186" i="25" s="1"/>
  <c r="W259" i="25"/>
  <c r="D222" i="25"/>
  <c r="E222" i="25" s="1"/>
  <c r="F222" i="25" s="1"/>
  <c r="D45" i="25"/>
  <c r="E45" i="25" s="1"/>
  <c r="F45" i="25" s="1"/>
  <c r="G45" i="25" s="1"/>
  <c r="CF45" i="6" s="1"/>
  <c r="D40" i="25"/>
  <c r="E40" i="25" s="1"/>
  <c r="F40" i="25" s="1"/>
  <c r="W233" i="25"/>
  <c r="D49" i="25"/>
  <c r="E49" i="25" s="1"/>
  <c r="F49" i="25" s="1"/>
  <c r="G49" i="25" s="1"/>
  <c r="CF49" i="6" s="1"/>
  <c r="W194" i="25"/>
  <c r="D192" i="25"/>
  <c r="E192" i="25" s="1"/>
  <c r="F192" i="25" s="1"/>
  <c r="G192" i="25" s="1"/>
  <c r="CF192" i="6" s="1"/>
  <c r="W286" i="25"/>
  <c r="W207" i="25"/>
  <c r="AD96" i="25"/>
  <c r="AA96" i="25" s="1"/>
  <c r="Z96" i="25" s="1"/>
  <c r="Y96" i="25" s="1"/>
  <c r="AD35" i="25"/>
  <c r="AD103" i="25"/>
  <c r="AA103" i="25" s="1"/>
  <c r="Z103" i="25" s="1"/>
  <c r="Y103" i="25" s="1"/>
  <c r="AD41" i="25"/>
  <c r="AD47" i="25"/>
  <c r="AA47" i="25" s="1"/>
  <c r="Z47" i="25" s="1"/>
  <c r="Y47" i="25" s="1"/>
  <c r="AD51" i="25"/>
  <c r="AD80" i="25"/>
  <c r="AD223" i="25"/>
  <c r="AD273" i="25"/>
  <c r="AA273" i="25" s="1"/>
  <c r="Z273" i="25" s="1"/>
  <c r="Y273" i="25" s="1"/>
  <c r="AD278" i="25"/>
  <c r="AD279" i="25"/>
  <c r="AD133" i="25"/>
  <c r="AD183" i="25"/>
  <c r="AA183" i="25" s="1"/>
  <c r="Z183" i="25" s="1"/>
  <c r="Y183" i="25" s="1"/>
  <c r="AD224" i="25"/>
  <c r="AA224" i="25" s="1"/>
  <c r="Z224" i="25" s="1"/>
  <c r="Y224" i="25" s="1"/>
  <c r="AD331" i="25"/>
  <c r="AA331" i="25" s="1"/>
  <c r="Z331" i="25" s="1"/>
  <c r="Y331" i="25" s="1"/>
  <c r="AD251" i="25"/>
  <c r="AD324" i="25"/>
  <c r="AA324" i="25" s="1"/>
  <c r="Z324" i="25" s="1"/>
  <c r="Y324" i="25" s="1"/>
  <c r="AD117" i="25"/>
  <c r="AD357" i="25"/>
  <c r="AD123" i="25"/>
  <c r="AA123" i="25" s="1"/>
  <c r="Z123" i="25" s="1"/>
  <c r="Y123" i="25" s="1"/>
  <c r="AD86" i="25"/>
  <c r="AA86" i="25" s="1"/>
  <c r="Z86" i="25" s="1"/>
  <c r="Y86" i="25" s="1"/>
  <c r="AD16" i="25"/>
  <c r="AD36" i="25"/>
  <c r="AA36" i="25" s="1"/>
  <c r="Z36" i="25" s="1"/>
  <c r="Y36" i="25" s="1"/>
  <c r="AD73" i="25"/>
  <c r="AA73" i="25" s="1"/>
  <c r="Z73" i="25" s="1"/>
  <c r="Y73" i="25" s="1"/>
  <c r="AD74" i="25"/>
  <c r="AD195" i="25"/>
  <c r="AA195" i="25" s="1"/>
  <c r="Z195" i="25" s="1"/>
  <c r="Y195" i="25" s="1"/>
  <c r="AD244" i="25"/>
  <c r="AA244" i="25" s="1"/>
  <c r="Z244" i="25" s="1"/>
  <c r="Y244" i="25" s="1"/>
  <c r="AD319" i="25"/>
  <c r="AA319" i="25" s="1"/>
  <c r="Z319" i="25" s="1"/>
  <c r="Y319" i="25" s="1"/>
  <c r="AD111" i="25"/>
  <c r="AA111" i="25" s="1"/>
  <c r="Z111" i="25" s="1"/>
  <c r="Y111" i="25" s="1"/>
  <c r="AD264" i="25"/>
  <c r="AA264" i="25" s="1"/>
  <c r="Z264" i="25" s="1"/>
  <c r="Y264" i="25" s="1"/>
  <c r="AD170" i="25"/>
  <c r="AD109" i="25"/>
  <c r="AA109" i="25" s="1"/>
  <c r="Z109" i="25" s="1"/>
  <c r="Y109" i="25" s="1"/>
  <c r="AD345" i="25"/>
  <c r="AA345" i="25" s="1"/>
  <c r="Z345" i="25" s="1"/>
  <c r="Y345" i="25" s="1"/>
  <c r="AD208" i="25"/>
  <c r="AD283" i="25"/>
  <c r="AD362" i="25"/>
  <c r="AA362" i="25" s="1"/>
  <c r="Z362" i="25" s="1"/>
  <c r="Y362" i="25" s="1"/>
  <c r="AD310" i="25"/>
  <c r="AD327" i="25"/>
  <c r="AA327" i="25" s="1"/>
  <c r="Z327" i="25" s="1"/>
  <c r="Y327" i="25" s="1"/>
  <c r="AD254" i="25"/>
  <c r="AA254" i="25" s="1"/>
  <c r="Z254" i="25" s="1"/>
  <c r="Y254" i="25" s="1"/>
  <c r="AD344" i="25"/>
  <c r="AA344" i="25" s="1"/>
  <c r="Z344" i="25" s="1"/>
  <c r="Y344" i="25" s="1"/>
  <c r="AD202" i="25"/>
  <c r="AD141" i="25"/>
  <c r="AD350" i="25"/>
  <c r="AA350" i="25" s="1"/>
  <c r="Z350" i="25" s="1"/>
  <c r="Y350" i="25" s="1"/>
  <c r="AD207" i="25"/>
  <c r="AA207" i="25" s="1"/>
  <c r="Z207" i="25" s="1"/>
  <c r="Y207" i="25" s="1"/>
  <c r="AD379" i="25"/>
  <c r="AD239" i="25"/>
  <c r="AA239" i="25" s="1"/>
  <c r="Z239" i="25" s="1"/>
  <c r="Y239" i="25" s="1"/>
  <c r="AD270" i="25"/>
  <c r="AA270" i="25" s="1"/>
  <c r="Z270" i="25" s="1"/>
  <c r="Y270" i="25" s="1"/>
  <c r="AD176" i="25"/>
  <c r="AA176" i="25" s="1"/>
  <c r="Z176" i="25" s="1"/>
  <c r="Y176" i="25" s="1"/>
  <c r="AD114" i="25"/>
  <c r="AA114" i="25" s="1"/>
  <c r="Z114" i="25" s="1"/>
  <c r="Y114" i="25" s="1"/>
  <c r="AD354" i="25"/>
  <c r="AA354" i="25" s="1"/>
  <c r="Z354" i="25" s="1"/>
  <c r="Y354" i="25" s="1"/>
  <c r="AD229" i="25"/>
  <c r="AD137" i="25"/>
  <c r="AA137" i="25" s="1"/>
  <c r="Z137" i="25" s="1"/>
  <c r="Y137" i="25" s="1"/>
  <c r="AD301" i="25"/>
  <c r="AA301" i="25" s="1"/>
  <c r="Z301" i="25" s="1"/>
  <c r="Y301" i="25" s="1"/>
  <c r="AD164" i="25"/>
  <c r="AA164" i="25" s="1"/>
  <c r="Z164" i="25" s="1"/>
  <c r="Y164" i="25" s="1"/>
  <c r="AD181" i="25"/>
  <c r="AD108" i="25"/>
  <c r="AA108" i="25" s="1"/>
  <c r="Z108" i="25" s="1"/>
  <c r="Y108" i="25" s="1"/>
  <c r="AD261" i="25"/>
  <c r="AD287" i="25"/>
  <c r="AD376" i="25"/>
  <c r="AA376" i="25" s="1"/>
  <c r="Z376" i="25" s="1"/>
  <c r="Y376" i="25" s="1"/>
  <c r="AD204" i="25"/>
  <c r="AA204" i="25" s="1"/>
  <c r="Z204" i="25" s="1"/>
  <c r="Y204" i="25" s="1"/>
  <c r="AD148" i="25"/>
  <c r="AD300" i="25"/>
  <c r="AA300" i="25" s="1"/>
  <c r="Z300" i="25" s="1"/>
  <c r="Y300" i="25" s="1"/>
  <c r="AD227" i="25"/>
  <c r="D253" i="25"/>
  <c r="E253" i="25" s="1"/>
  <c r="F253" i="25" s="1"/>
  <c r="G253" i="25" s="1"/>
  <c r="CF253" i="6" s="1"/>
  <c r="W136" i="25"/>
  <c r="W252" i="25"/>
  <c r="W218" i="25"/>
  <c r="D325" i="25"/>
  <c r="E325" i="25" s="1"/>
  <c r="F325" i="25" s="1"/>
  <c r="H325" i="25" s="1"/>
  <c r="D262" i="25"/>
  <c r="E262" i="25" s="1"/>
  <c r="F262" i="25" s="1"/>
  <c r="AA272" i="24"/>
  <c r="Z272" i="24" s="1"/>
  <c r="Y272" i="24" s="1"/>
  <c r="D223" i="25"/>
  <c r="E223" i="25" s="1"/>
  <c r="F223" i="25" s="1"/>
  <c r="W236" i="25"/>
  <c r="W224" i="25"/>
  <c r="W109" i="25"/>
  <c r="D292" i="25"/>
  <c r="E292" i="25" s="1"/>
  <c r="F292" i="25" s="1"/>
  <c r="D299" i="25"/>
  <c r="E299" i="25" s="1"/>
  <c r="F299" i="25" s="1"/>
  <c r="H299" i="25" s="1"/>
  <c r="D281" i="25"/>
  <c r="E281" i="25" s="1"/>
  <c r="F281" i="25" s="1"/>
  <c r="AA281" i="25" s="1"/>
  <c r="Z281" i="25" s="1"/>
  <c r="Y281" i="25" s="1"/>
  <c r="W334" i="25"/>
  <c r="W324" i="25"/>
  <c r="AH76" i="7"/>
  <c r="G272" i="24"/>
  <c r="CE272" i="6" s="1"/>
  <c r="D203" i="25"/>
  <c r="E203" i="25" s="1"/>
  <c r="F203" i="25" s="1"/>
  <c r="H203" i="25" s="1"/>
  <c r="W142" i="25"/>
  <c r="W111" i="25"/>
  <c r="W343" i="25"/>
  <c r="W157" i="25"/>
  <c r="W350" i="25"/>
  <c r="D148" i="25"/>
  <c r="E148" i="25" s="1"/>
  <c r="F148" i="25" s="1"/>
  <c r="G148" i="25" s="1"/>
  <c r="CF148" i="6" s="1"/>
  <c r="D200" i="25"/>
  <c r="E200" i="25" s="1"/>
  <c r="F200" i="25" s="1"/>
  <c r="G200" i="25" s="1"/>
  <c r="CF200" i="6" s="1"/>
  <c r="W127" i="25"/>
  <c r="D172" i="25"/>
  <c r="E172" i="25" s="1"/>
  <c r="F172" i="25" s="1"/>
  <c r="G172" i="25" s="1"/>
  <c r="CF172" i="6" s="1"/>
  <c r="D147" i="25"/>
  <c r="E147" i="25" s="1"/>
  <c r="F147" i="25" s="1"/>
  <c r="H147" i="25" s="1"/>
  <c r="D261" i="25"/>
  <c r="E261" i="25" s="1"/>
  <c r="F261" i="25" s="1"/>
  <c r="G261" i="25" s="1"/>
  <c r="CF261" i="6" s="1"/>
  <c r="W294" i="25"/>
  <c r="W254" i="25"/>
  <c r="D336" i="25"/>
  <c r="E336" i="25" s="1"/>
  <c r="F336" i="25" s="1"/>
  <c r="G336" i="25" s="1"/>
  <c r="CF336" i="6" s="1"/>
  <c r="W198" i="25"/>
  <c r="W345" i="25"/>
  <c r="W178" i="25"/>
  <c r="W187" i="25"/>
  <c r="D283" i="25"/>
  <c r="E283" i="25" s="1"/>
  <c r="F283" i="25" s="1"/>
  <c r="G283" i="25" s="1"/>
  <c r="CF283" i="6" s="1"/>
  <c r="W114" i="25"/>
  <c r="W312" i="25"/>
  <c r="W199" i="25"/>
  <c r="D246" i="25"/>
  <c r="E246" i="25" s="1"/>
  <c r="F246" i="25" s="1"/>
  <c r="G246" i="25" s="1"/>
  <c r="CF246" i="6" s="1"/>
  <c r="D145" i="25"/>
  <c r="E145" i="25" s="1"/>
  <c r="F145" i="25" s="1"/>
  <c r="W168" i="25"/>
  <c r="D105" i="25"/>
  <c r="E105" i="25" s="1"/>
  <c r="F105" i="25" s="1"/>
  <c r="H105" i="25" s="1"/>
  <c r="J105" i="25" s="1"/>
  <c r="D205" i="25"/>
  <c r="E205" i="25" s="1"/>
  <c r="F205" i="25" s="1"/>
  <c r="H205" i="25" s="1"/>
  <c r="V379" i="25"/>
  <c r="D44" i="19"/>
  <c r="D33" i="19" s="1"/>
  <c r="C17" i="19"/>
  <c r="F41" i="19"/>
  <c r="AI382" i="25"/>
  <c r="AH381" i="25"/>
  <c r="AH382" i="25"/>
  <c r="AD77" i="25"/>
  <c r="AD48" i="25"/>
  <c r="AD70" i="25"/>
  <c r="AA70" i="25" s="1"/>
  <c r="Z70" i="25" s="1"/>
  <c r="Y70" i="25" s="1"/>
  <c r="AD21" i="25"/>
  <c r="AD52" i="25"/>
  <c r="AA52" i="25" s="1"/>
  <c r="Z52" i="25" s="1"/>
  <c r="Y52" i="25" s="1"/>
  <c r="AD81" i="25"/>
  <c r="AA81" i="25" s="1"/>
  <c r="Z81" i="25" s="1"/>
  <c r="Y81" i="25" s="1"/>
  <c r="AD92" i="25"/>
  <c r="AA92" i="25" s="1"/>
  <c r="Z92" i="25" s="1"/>
  <c r="Y92" i="25" s="1"/>
  <c r="AD23" i="25"/>
  <c r="AA23" i="25" s="1"/>
  <c r="Z23" i="25" s="1"/>
  <c r="Y23" i="25" s="1"/>
  <c r="AD88" i="25"/>
  <c r="AD38" i="25"/>
  <c r="AA38" i="25" s="1"/>
  <c r="Z38" i="25" s="1"/>
  <c r="Y38" i="25" s="1"/>
  <c r="AK13" i="20"/>
  <c r="AD381" i="23"/>
  <c r="AD383" i="23"/>
  <c r="AD382" i="23"/>
  <c r="AD42" i="25"/>
  <c r="AD33" i="25"/>
  <c r="AA33" i="25" s="1"/>
  <c r="Z33" i="25" s="1"/>
  <c r="Y33" i="25" s="1"/>
  <c r="AD26" i="25"/>
  <c r="AD64" i="25"/>
  <c r="AD34" i="25"/>
  <c r="AD44" i="25"/>
  <c r="AG381" i="24"/>
  <c r="AF15" i="24"/>
  <c r="AG383" i="24"/>
  <c r="AG382" i="24"/>
  <c r="AD76" i="25"/>
  <c r="AA76" i="25" s="1"/>
  <c r="Z76" i="25" s="1"/>
  <c r="Y76" i="25" s="1"/>
  <c r="AD85" i="25"/>
  <c r="AD93" i="25"/>
  <c r="AA93" i="25" s="1"/>
  <c r="Z93" i="25" s="1"/>
  <c r="Y93" i="25" s="1"/>
  <c r="AD99" i="25"/>
  <c r="AA99" i="25" s="1"/>
  <c r="Z99" i="25" s="1"/>
  <c r="Y99" i="25" s="1"/>
  <c r="AD17" i="25"/>
  <c r="AD68" i="25"/>
  <c r="AD49" i="25"/>
  <c r="AD56" i="25"/>
  <c r="AD61" i="25"/>
  <c r="AD89" i="25"/>
  <c r="AA89" i="25" s="1"/>
  <c r="Z89" i="25" s="1"/>
  <c r="Y89" i="25" s="1"/>
  <c r="AD53" i="25"/>
  <c r="AA53" i="25" s="1"/>
  <c r="Z53" i="25" s="1"/>
  <c r="Y53" i="25" s="1"/>
  <c r="AD39" i="25"/>
  <c r="AA39" i="25" s="1"/>
  <c r="Z39" i="25" s="1"/>
  <c r="Y39" i="25" s="1"/>
  <c r="AD50" i="25"/>
  <c r="AA50" i="25" s="1"/>
  <c r="Z50" i="25" s="1"/>
  <c r="Y50" i="25" s="1"/>
  <c r="AL9" i="20"/>
  <c r="AM7" i="20"/>
  <c r="AD82" i="25"/>
  <c r="AD28" i="25"/>
  <c r="AA28" i="25" s="1"/>
  <c r="Z28" i="25" s="1"/>
  <c r="Y28" i="25" s="1"/>
  <c r="AD30" i="25"/>
  <c r="AA30" i="25" s="1"/>
  <c r="Z30" i="25" s="1"/>
  <c r="Y30" i="25" s="1"/>
  <c r="AD95" i="25"/>
  <c r="AA95" i="25" s="1"/>
  <c r="Z95" i="25" s="1"/>
  <c r="Y95" i="25" s="1"/>
  <c r="AD63" i="25"/>
  <c r="AA63" i="25" s="1"/>
  <c r="Z63" i="25" s="1"/>
  <c r="Y63" i="25" s="1"/>
  <c r="AD69" i="25"/>
  <c r="AA69" i="25" s="1"/>
  <c r="Z69" i="25" s="1"/>
  <c r="Y69" i="25" s="1"/>
  <c r="AD55" i="25"/>
  <c r="AA55" i="25" s="1"/>
  <c r="Z55" i="25" s="1"/>
  <c r="Y55" i="25" s="1"/>
  <c r="AD37" i="25"/>
  <c r="AA37" i="25" s="1"/>
  <c r="Z37" i="25" s="1"/>
  <c r="Y37" i="25" s="1"/>
  <c r="AD66" i="25"/>
  <c r="AA66" i="25" s="1"/>
  <c r="Z66" i="25" s="1"/>
  <c r="Y66" i="25" s="1"/>
  <c r="AD18" i="25"/>
  <c r="AA18" i="25" s="1"/>
  <c r="Z18" i="25" s="1"/>
  <c r="Y18" i="25" s="1"/>
  <c r="AD75" i="25"/>
  <c r="AA75" i="25" s="1"/>
  <c r="Z75" i="25" s="1"/>
  <c r="Y75" i="25" s="1"/>
  <c r="AD45" i="25"/>
  <c r="AA45" i="25" s="1"/>
  <c r="Z45" i="25" s="1"/>
  <c r="Y45" i="25" s="1"/>
  <c r="AD101" i="25"/>
  <c r="AA101" i="25" s="1"/>
  <c r="Z101" i="25" s="1"/>
  <c r="Y101" i="25" s="1"/>
  <c r="AM10" i="22"/>
  <c r="AK10" i="22"/>
  <c r="AK12" i="22" s="1"/>
  <c r="AK13" i="22" s="1"/>
  <c r="F381" i="22"/>
  <c r="F383" i="22"/>
  <c r="G15" i="22"/>
  <c r="CC15" i="6" s="1"/>
  <c r="F382" i="22"/>
  <c r="AA15" i="22"/>
  <c r="AL10" i="22" s="1"/>
  <c r="F9" i="22"/>
  <c r="S381" i="25"/>
  <c r="S383" i="25"/>
  <c r="S382" i="25"/>
  <c r="R15" i="25"/>
  <c r="G16" i="19"/>
  <c r="AB9" i="20"/>
  <c r="F11" i="20"/>
  <c r="AM8" i="20"/>
  <c r="AL10" i="20"/>
  <c r="AA9" i="20"/>
  <c r="Z15" i="20"/>
  <c r="AL7" i="20" s="1"/>
  <c r="AA381" i="20"/>
  <c r="AA383" i="20"/>
  <c r="AA382" i="20"/>
  <c r="P383" i="24"/>
  <c r="V15" i="24"/>
  <c r="AJ6" i="24" s="1"/>
  <c r="P382" i="24"/>
  <c r="P381" i="24"/>
  <c r="AG381" i="25"/>
  <c r="AG383" i="25"/>
  <c r="AG382" i="25"/>
  <c r="AF15" i="25"/>
  <c r="I380" i="25"/>
  <c r="J380" i="25"/>
  <c r="I149" i="23"/>
  <c r="H149" i="24" s="1"/>
  <c r="I149" i="24" s="1"/>
  <c r="J149" i="23"/>
  <c r="G382" i="20"/>
  <c r="G381" i="20"/>
  <c r="G383" i="20"/>
  <c r="G12" i="20" s="1"/>
  <c r="J15" i="20"/>
  <c r="C15" i="6" s="1"/>
  <c r="I15" i="20"/>
  <c r="Y149" i="22"/>
  <c r="B383" i="23"/>
  <c r="W15" i="23"/>
  <c r="B381" i="23"/>
  <c r="AK6" i="23"/>
  <c r="D15" i="23"/>
  <c r="AJ7" i="23" s="1"/>
  <c r="B382" i="23"/>
  <c r="AJ6" i="23"/>
  <c r="H9" i="23"/>
  <c r="B18" i="19" s="1"/>
  <c r="K70" i="19"/>
  <c r="K58" i="19" s="1"/>
  <c r="G70" i="19"/>
  <c r="G58" i="19" s="1"/>
  <c r="G318" i="25"/>
  <c r="CF318" i="6" s="1"/>
  <c r="H318" i="25"/>
  <c r="H28" i="25"/>
  <c r="G28" i="25"/>
  <c r="CF28" i="6" s="1"/>
  <c r="G50" i="25"/>
  <c r="CF50" i="6" s="1"/>
  <c r="H50" i="25"/>
  <c r="G142" i="25"/>
  <c r="CF142" i="6" s="1"/>
  <c r="AA142" i="25"/>
  <c r="Z142" i="25" s="1"/>
  <c r="Y142" i="25" s="1"/>
  <c r="H142" i="25"/>
  <c r="H125" i="25"/>
  <c r="G125" i="25"/>
  <c r="CF125" i="6" s="1"/>
  <c r="H84" i="25"/>
  <c r="G84" i="25"/>
  <c r="CF84" i="6" s="1"/>
  <c r="H63" i="25"/>
  <c r="G63" i="25"/>
  <c r="CF63" i="6" s="1"/>
  <c r="H342" i="25"/>
  <c r="G342" i="25"/>
  <c r="CF342" i="6" s="1"/>
  <c r="AA342" i="25"/>
  <c r="Z342" i="25" s="1"/>
  <c r="Y342" i="25" s="1"/>
  <c r="G127" i="25"/>
  <c r="CF127" i="6" s="1"/>
  <c r="H127" i="25"/>
  <c r="H174" i="25"/>
  <c r="G174" i="25"/>
  <c r="CF174" i="6" s="1"/>
  <c r="G55" i="25"/>
  <c r="CF55" i="6" s="1"/>
  <c r="H55" i="25"/>
  <c r="G213" i="25"/>
  <c r="CF213" i="6" s="1"/>
  <c r="H213" i="25"/>
  <c r="G280" i="25"/>
  <c r="CF280" i="6" s="1"/>
  <c r="H280" i="25"/>
  <c r="AA280" i="25"/>
  <c r="Z280" i="25" s="1"/>
  <c r="Y280" i="25" s="1"/>
  <c r="AA185" i="25"/>
  <c r="Z185" i="25" s="1"/>
  <c r="Y185" i="25" s="1"/>
  <c r="H185" i="25"/>
  <c r="G185" i="25"/>
  <c r="CF185" i="6" s="1"/>
  <c r="H250" i="25"/>
  <c r="AA250" i="25"/>
  <c r="Z250" i="25" s="1"/>
  <c r="Y250" i="25" s="1"/>
  <c r="G250" i="25"/>
  <c r="CF250" i="6" s="1"/>
  <c r="G264" i="25"/>
  <c r="CF264" i="6" s="1"/>
  <c r="H264" i="25"/>
  <c r="G370" i="25"/>
  <c r="CF370" i="6" s="1"/>
  <c r="H370" i="25"/>
  <c r="G165" i="25"/>
  <c r="CF165" i="6" s="1"/>
  <c r="H165" i="25"/>
  <c r="H22" i="25"/>
  <c r="G22" i="25"/>
  <c r="CF22" i="6" s="1"/>
  <c r="G354" i="25"/>
  <c r="CF354" i="6" s="1"/>
  <c r="H354" i="25"/>
  <c r="H234" i="25"/>
  <c r="G234" i="25"/>
  <c r="CF234" i="6" s="1"/>
  <c r="AA234" i="25"/>
  <c r="Z234" i="25" s="1"/>
  <c r="Y234" i="25" s="1"/>
  <c r="AA249" i="25"/>
  <c r="Z249" i="25" s="1"/>
  <c r="Y249" i="25" s="1"/>
  <c r="H249" i="25"/>
  <c r="G249" i="25"/>
  <c r="CF249" i="6" s="1"/>
  <c r="W288" i="25"/>
  <c r="D288" i="25"/>
  <c r="E288" i="25" s="1"/>
  <c r="F288" i="25" s="1"/>
  <c r="G230" i="25"/>
  <c r="CF230" i="6" s="1"/>
  <c r="AA230" i="25"/>
  <c r="Z230" i="25" s="1"/>
  <c r="Y230" i="25" s="1"/>
  <c r="H230" i="25"/>
  <c r="G343" i="25"/>
  <c r="CF343" i="6" s="1"/>
  <c r="H343" i="25"/>
  <c r="G376" i="25"/>
  <c r="CF376" i="6" s="1"/>
  <c r="H376" i="25"/>
  <c r="G81" i="25"/>
  <c r="CF81" i="6" s="1"/>
  <c r="H81" i="25"/>
  <c r="G123" i="25"/>
  <c r="CF123" i="6" s="1"/>
  <c r="H123" i="25"/>
  <c r="G259" i="25"/>
  <c r="CF259" i="6" s="1"/>
  <c r="H259" i="25"/>
  <c r="H116" i="25"/>
  <c r="G116" i="25"/>
  <c r="CF116" i="6" s="1"/>
  <c r="H109" i="25"/>
  <c r="G109" i="25"/>
  <c r="CF109" i="6" s="1"/>
  <c r="H361" i="25"/>
  <c r="G361" i="25"/>
  <c r="CF361" i="6" s="1"/>
  <c r="AA361" i="25"/>
  <c r="Z361" i="25" s="1"/>
  <c r="Y361" i="25" s="1"/>
  <c r="H226" i="25"/>
  <c r="G226" i="25"/>
  <c r="CF226" i="6" s="1"/>
  <c r="G359" i="25"/>
  <c r="CF359" i="6" s="1"/>
  <c r="H359" i="25"/>
  <c r="G265" i="25"/>
  <c r="CF265" i="6" s="1"/>
  <c r="H265" i="25"/>
  <c r="H120" i="25"/>
  <c r="G120" i="25"/>
  <c r="CF120" i="6" s="1"/>
  <c r="H130" i="25"/>
  <c r="AA130" i="25"/>
  <c r="Z130" i="25" s="1"/>
  <c r="Y130" i="25" s="1"/>
  <c r="G130" i="25"/>
  <c r="CF130" i="6" s="1"/>
  <c r="G368" i="25"/>
  <c r="CF368" i="6" s="1"/>
  <c r="H368" i="25"/>
  <c r="H173" i="25"/>
  <c r="G173" i="25"/>
  <c r="CF173" i="6" s="1"/>
  <c r="AA104" i="25"/>
  <c r="Z104" i="25" s="1"/>
  <c r="Y104" i="25" s="1"/>
  <c r="H104" i="25"/>
  <c r="G104" i="25"/>
  <c r="CF104" i="6" s="1"/>
  <c r="H301" i="25"/>
  <c r="G301" i="25"/>
  <c r="CF301" i="6" s="1"/>
  <c r="H195" i="25"/>
  <c r="G195" i="25"/>
  <c r="CF195" i="6" s="1"/>
  <c r="AA284" i="25"/>
  <c r="Z284" i="25" s="1"/>
  <c r="Y284" i="25" s="1"/>
  <c r="G284" i="25"/>
  <c r="CF284" i="6" s="1"/>
  <c r="H284" i="25"/>
  <c r="G188" i="25"/>
  <c r="CF188" i="6" s="1"/>
  <c r="H188" i="25"/>
  <c r="G73" i="25"/>
  <c r="CF73" i="6" s="1"/>
  <c r="H73" i="25"/>
  <c r="H327" i="25"/>
  <c r="G327" i="25"/>
  <c r="CF327" i="6" s="1"/>
  <c r="G70" i="25"/>
  <c r="CF70" i="6" s="1"/>
  <c r="H70" i="25"/>
  <c r="G285" i="25"/>
  <c r="CF285" i="6" s="1"/>
  <c r="H285" i="25"/>
  <c r="H86" i="25"/>
  <c r="G86" i="25"/>
  <c r="CF86" i="6" s="1"/>
  <c r="H267" i="25"/>
  <c r="G267" i="25"/>
  <c r="CF267" i="6" s="1"/>
  <c r="H53" i="25"/>
  <c r="G53" i="25"/>
  <c r="CF53" i="6" s="1"/>
  <c r="G271" i="25"/>
  <c r="CF271" i="6" s="1"/>
  <c r="H271" i="25"/>
  <c r="AA71" i="25"/>
  <c r="Z71" i="25" s="1"/>
  <c r="Y71" i="25" s="1"/>
  <c r="G71" i="25"/>
  <c r="CF71" i="6" s="1"/>
  <c r="H71" i="25"/>
  <c r="G374" i="25"/>
  <c r="CF374" i="6" s="1"/>
  <c r="H374" i="25"/>
  <c r="H341" i="25"/>
  <c r="AA341" i="25"/>
  <c r="Z341" i="25" s="1"/>
  <c r="Y341" i="25" s="1"/>
  <c r="G341" i="25"/>
  <c r="CF341" i="6" s="1"/>
  <c r="H108" i="25"/>
  <c r="G108" i="25"/>
  <c r="CF108" i="6" s="1"/>
  <c r="I272" i="24"/>
  <c r="J272" i="24"/>
  <c r="I241" i="24"/>
  <c r="J241" i="24"/>
  <c r="H221" i="25"/>
  <c r="AA221" i="25"/>
  <c r="Z221" i="25" s="1"/>
  <c r="Y221" i="25" s="1"/>
  <c r="G221" i="25"/>
  <c r="CF221" i="6" s="1"/>
  <c r="H70" i="19"/>
  <c r="AA57" i="25"/>
  <c r="Z57" i="25" s="1"/>
  <c r="Y57" i="25" s="1"/>
  <c r="G57" i="25"/>
  <c r="CF57" i="6" s="1"/>
  <c r="H57" i="25"/>
  <c r="H138" i="25"/>
  <c r="G138" i="25"/>
  <c r="CF138" i="6" s="1"/>
  <c r="H378" i="25"/>
  <c r="G378" i="25"/>
  <c r="CF378" i="6" s="1"/>
  <c r="G300" i="25"/>
  <c r="CF300" i="6" s="1"/>
  <c r="H300" i="25"/>
  <c r="H30" i="25"/>
  <c r="G30" i="25"/>
  <c r="CF30" i="6" s="1"/>
  <c r="G369" i="25"/>
  <c r="CF369" i="6" s="1"/>
  <c r="H369" i="25"/>
  <c r="W88" i="25"/>
  <c r="D88" i="25"/>
  <c r="E88" i="25" s="1"/>
  <c r="F88" i="25" s="1"/>
  <c r="H375" i="25"/>
  <c r="G375" i="25"/>
  <c r="CF375" i="6" s="1"/>
  <c r="H214" i="25"/>
  <c r="G214" i="25"/>
  <c r="CF214" i="6" s="1"/>
  <c r="H347" i="25"/>
  <c r="G347" i="25"/>
  <c r="CF347" i="6" s="1"/>
  <c r="G132" i="25"/>
  <c r="CF132" i="6" s="1"/>
  <c r="H132" i="25"/>
  <c r="H164" i="25"/>
  <c r="G164" i="25"/>
  <c r="CF164" i="6" s="1"/>
  <c r="H103" i="25"/>
  <c r="G103" i="25"/>
  <c r="CF103" i="6" s="1"/>
  <c r="G236" i="25"/>
  <c r="CF236" i="6" s="1"/>
  <c r="H236" i="25"/>
  <c r="AA236" i="25"/>
  <c r="Z236" i="25" s="1"/>
  <c r="Y236" i="25" s="1"/>
  <c r="H36" i="25"/>
  <c r="G36" i="25"/>
  <c r="CF36" i="6" s="1"/>
  <c r="G306" i="25"/>
  <c r="CF306" i="6" s="1"/>
  <c r="H306" i="25"/>
  <c r="AA306" i="25"/>
  <c r="Z306" i="25" s="1"/>
  <c r="Y306" i="25" s="1"/>
  <c r="H239" i="25"/>
  <c r="G239" i="25"/>
  <c r="CF239" i="6" s="1"/>
  <c r="H110" i="25"/>
  <c r="G110" i="25"/>
  <c r="CF110" i="6" s="1"/>
  <c r="G43" i="25"/>
  <c r="CF43" i="6" s="1"/>
  <c r="H43" i="25"/>
  <c r="AA252" i="25"/>
  <c r="Z252" i="25" s="1"/>
  <c r="Y252" i="25" s="1"/>
  <c r="G252" i="25"/>
  <c r="CF252" i="6" s="1"/>
  <c r="H252" i="25"/>
  <c r="D180" i="25"/>
  <c r="E180" i="25" s="1"/>
  <c r="F180" i="25" s="1"/>
  <c r="W180" i="25"/>
  <c r="H206" i="25"/>
  <c r="G206" i="25"/>
  <c r="CF206" i="6" s="1"/>
  <c r="AA206" i="25"/>
  <c r="Z206" i="25" s="1"/>
  <c r="Y206" i="25" s="1"/>
  <c r="H19" i="25"/>
  <c r="G19" i="25"/>
  <c r="CF19" i="6" s="1"/>
  <c r="H329" i="25"/>
  <c r="G329" i="25"/>
  <c r="CF329" i="6" s="1"/>
  <c r="G340" i="25"/>
  <c r="CF340" i="6" s="1"/>
  <c r="AA340" i="25"/>
  <c r="Z340" i="25" s="1"/>
  <c r="Y340" i="25" s="1"/>
  <c r="H340" i="25"/>
  <c r="G311" i="25"/>
  <c r="CF311" i="6" s="1"/>
  <c r="AA311" i="25"/>
  <c r="Z311" i="25" s="1"/>
  <c r="Y311" i="25" s="1"/>
  <c r="H311" i="25"/>
  <c r="G79" i="25"/>
  <c r="CF79" i="6" s="1"/>
  <c r="H79" i="25"/>
  <c r="AA79" i="25"/>
  <c r="Z79" i="25" s="1"/>
  <c r="Y79" i="25" s="1"/>
  <c r="G372" i="25"/>
  <c r="CF372" i="6" s="1"/>
  <c r="H372" i="25"/>
  <c r="D302" i="25"/>
  <c r="E302" i="25" s="1"/>
  <c r="F302" i="25" s="1"/>
  <c r="W302" i="25"/>
  <c r="G291" i="25"/>
  <c r="CF291" i="6" s="1"/>
  <c r="H291" i="25"/>
  <c r="G97" i="25"/>
  <c r="CF97" i="6" s="1"/>
  <c r="H97" i="25"/>
  <c r="G184" i="25"/>
  <c r="CF184" i="6" s="1"/>
  <c r="H184" i="25"/>
  <c r="H362" i="25"/>
  <c r="G362" i="25"/>
  <c r="CF362" i="6" s="1"/>
  <c r="H111" i="25"/>
  <c r="G111" i="25"/>
  <c r="CF111" i="6" s="1"/>
  <c r="D70" i="19"/>
  <c r="AA321" i="25"/>
  <c r="Z321" i="25" s="1"/>
  <c r="Y321" i="25" s="1"/>
  <c r="H321" i="25"/>
  <c r="G321" i="25"/>
  <c r="CF321" i="6" s="1"/>
  <c r="H83" i="25"/>
  <c r="G83" i="25"/>
  <c r="CF83" i="6" s="1"/>
  <c r="H90" i="25"/>
  <c r="G90" i="25"/>
  <c r="CF90" i="6" s="1"/>
  <c r="AA209" i="25"/>
  <c r="Z209" i="25" s="1"/>
  <c r="Y209" i="25" s="1"/>
  <c r="H209" i="25"/>
  <c r="G209" i="25"/>
  <c r="CF209" i="6" s="1"/>
  <c r="H204" i="25"/>
  <c r="G204" i="25"/>
  <c r="CF204" i="6" s="1"/>
  <c r="H38" i="25"/>
  <c r="G38" i="25"/>
  <c r="CF38" i="6" s="1"/>
  <c r="G69" i="25"/>
  <c r="CF69" i="6" s="1"/>
  <c r="H69" i="25"/>
  <c r="H137" i="25"/>
  <c r="G137" i="25"/>
  <c r="CF137" i="6" s="1"/>
  <c r="H225" i="25"/>
  <c r="G225" i="25"/>
  <c r="CF225" i="6" s="1"/>
  <c r="H295" i="25"/>
  <c r="G295" i="25"/>
  <c r="CF295" i="6" s="1"/>
  <c r="AA295" i="25"/>
  <c r="Z295" i="25" s="1"/>
  <c r="Y295" i="25" s="1"/>
  <c r="I333" i="24"/>
  <c r="J333" i="24"/>
  <c r="G58" i="25"/>
  <c r="CF58" i="6" s="1"/>
  <c r="H58" i="25"/>
  <c r="H126" i="25"/>
  <c r="G126" i="25"/>
  <c r="CF126" i="6" s="1"/>
  <c r="AA126" i="25"/>
  <c r="Z126" i="25" s="1"/>
  <c r="Y126" i="25" s="1"/>
  <c r="D349" i="25"/>
  <c r="E349" i="25" s="1"/>
  <c r="F349" i="25" s="1"/>
  <c r="W349" i="25"/>
  <c r="G107" i="25"/>
  <c r="CF107" i="6" s="1"/>
  <c r="H107" i="25"/>
  <c r="G144" i="25"/>
  <c r="CF144" i="6" s="1"/>
  <c r="H144" i="25"/>
  <c r="H95" i="25"/>
  <c r="G95" i="25"/>
  <c r="CF95" i="6" s="1"/>
  <c r="H297" i="25"/>
  <c r="G297" i="25"/>
  <c r="CF297" i="6" s="1"/>
  <c r="G198" i="25"/>
  <c r="CF198" i="6" s="1"/>
  <c r="H198" i="25"/>
  <c r="H345" i="25"/>
  <c r="G345" i="25"/>
  <c r="CF345" i="6" s="1"/>
  <c r="G224" i="25"/>
  <c r="CF224" i="6" s="1"/>
  <c r="H224" i="25"/>
  <c r="H344" i="25"/>
  <c r="G344" i="25"/>
  <c r="CF344" i="6" s="1"/>
  <c r="H162" i="25"/>
  <c r="G162" i="25"/>
  <c r="CF162" i="6" s="1"/>
  <c r="H356" i="25"/>
  <c r="G356" i="25"/>
  <c r="CF356" i="6" s="1"/>
  <c r="AA356" i="25"/>
  <c r="Z356" i="25" s="1"/>
  <c r="Y356" i="25" s="1"/>
  <c r="G178" i="25"/>
  <c r="CF178" i="6" s="1"/>
  <c r="H178" i="25"/>
  <c r="G101" i="25"/>
  <c r="CF101" i="6" s="1"/>
  <c r="H101" i="25"/>
  <c r="G98" i="25"/>
  <c r="CF98" i="6" s="1"/>
  <c r="H98" i="25"/>
  <c r="E70" i="19"/>
  <c r="H96" i="25"/>
  <c r="G96" i="25"/>
  <c r="CF96" i="6" s="1"/>
  <c r="H277" i="25"/>
  <c r="G277" i="25"/>
  <c r="CF277" i="6" s="1"/>
  <c r="G177" i="25"/>
  <c r="CF177" i="6" s="1"/>
  <c r="AA177" i="25"/>
  <c r="Z177" i="25" s="1"/>
  <c r="Y177" i="25" s="1"/>
  <c r="H177" i="25"/>
  <c r="AA339" i="25"/>
  <c r="Z339" i="25" s="1"/>
  <c r="Y339" i="25" s="1"/>
  <c r="G339" i="25"/>
  <c r="CF339" i="6" s="1"/>
  <c r="H339" i="25"/>
  <c r="H152" i="25"/>
  <c r="G152" i="25"/>
  <c r="CF152" i="6" s="1"/>
  <c r="H23" i="25"/>
  <c r="G23" i="25"/>
  <c r="CF23" i="6" s="1"/>
  <c r="H365" i="25"/>
  <c r="G365" i="25"/>
  <c r="CF365" i="6" s="1"/>
  <c r="H190" i="25"/>
  <c r="G190" i="25"/>
  <c r="CF190" i="6" s="1"/>
  <c r="G360" i="25"/>
  <c r="CF360" i="6" s="1"/>
  <c r="H360" i="25"/>
  <c r="AA360" i="25"/>
  <c r="Z360" i="25" s="1"/>
  <c r="Y360" i="25" s="1"/>
  <c r="G197" i="25"/>
  <c r="CF197" i="6" s="1"/>
  <c r="H197" i="25"/>
  <c r="W166" i="25"/>
  <c r="D166" i="25"/>
  <c r="E166" i="25" s="1"/>
  <c r="F166" i="25" s="1"/>
  <c r="G39" i="25"/>
  <c r="CF39" i="6" s="1"/>
  <c r="H39" i="25"/>
  <c r="G187" i="25"/>
  <c r="CF187" i="6" s="1"/>
  <c r="H187" i="25"/>
  <c r="AA187" i="25"/>
  <c r="Z187" i="25" s="1"/>
  <c r="Y187" i="25" s="1"/>
  <c r="G37" i="25"/>
  <c r="CF37" i="6" s="1"/>
  <c r="H37" i="25"/>
  <c r="H115" i="25"/>
  <c r="G115" i="25"/>
  <c r="CF115" i="6" s="1"/>
  <c r="AA115" i="25"/>
  <c r="Z115" i="25" s="1"/>
  <c r="Y115" i="25" s="1"/>
  <c r="H296" i="25"/>
  <c r="G296" i="25"/>
  <c r="CF296" i="6" s="1"/>
  <c r="G245" i="25"/>
  <c r="CF245" i="6" s="1"/>
  <c r="H245" i="25"/>
  <c r="G289" i="25"/>
  <c r="CF289" i="6" s="1"/>
  <c r="G100" i="25"/>
  <c r="CF100" i="6" s="1"/>
  <c r="H100" i="25"/>
  <c r="G269" i="25"/>
  <c r="CF269" i="6" s="1"/>
  <c r="H269" i="25"/>
  <c r="G25" i="25"/>
  <c r="CF25" i="6" s="1"/>
  <c r="H94" i="25"/>
  <c r="G94" i="25"/>
  <c r="CF94" i="6" s="1"/>
  <c r="G273" i="25"/>
  <c r="CF273" i="6" s="1"/>
  <c r="H273" i="25"/>
  <c r="H348" i="25"/>
  <c r="AA348" i="25"/>
  <c r="Z348" i="25" s="1"/>
  <c r="Y348" i="25" s="1"/>
  <c r="G348" i="25"/>
  <c r="CF348" i="6" s="1"/>
  <c r="H114" i="25"/>
  <c r="G114" i="25"/>
  <c r="CF114" i="6" s="1"/>
  <c r="G169" i="25"/>
  <c r="CF169" i="6" s="1"/>
  <c r="H169" i="25"/>
  <c r="H18" i="25"/>
  <c r="G18" i="25"/>
  <c r="CF18" i="6" s="1"/>
  <c r="H274" i="25"/>
  <c r="AA274" i="25"/>
  <c r="Z274" i="25" s="1"/>
  <c r="Y274" i="25" s="1"/>
  <c r="G274" i="25"/>
  <c r="CF274" i="6" s="1"/>
  <c r="G312" i="25"/>
  <c r="CF312" i="6" s="1"/>
  <c r="H312" i="25"/>
  <c r="AA312" i="25"/>
  <c r="Z312" i="25" s="1"/>
  <c r="Y312" i="25" s="1"/>
  <c r="H233" i="25"/>
  <c r="G233" i="25"/>
  <c r="CF233" i="6" s="1"/>
  <c r="G322" i="25"/>
  <c r="CF322" i="6" s="1"/>
  <c r="AA322" i="25"/>
  <c r="Z322" i="25" s="1"/>
  <c r="Y322" i="25" s="1"/>
  <c r="H322" i="25"/>
  <c r="G324" i="25"/>
  <c r="CF324" i="6" s="1"/>
  <c r="H324" i="25"/>
  <c r="H352" i="25"/>
  <c r="G352" i="25"/>
  <c r="CF352" i="6" s="1"/>
  <c r="G121" i="25"/>
  <c r="CF121" i="6" s="1"/>
  <c r="H121" i="25"/>
  <c r="G194" i="25"/>
  <c r="CF194" i="6" s="1"/>
  <c r="H194" i="25"/>
  <c r="G92" i="25"/>
  <c r="CF92" i="6" s="1"/>
  <c r="H92" i="25"/>
  <c r="H260" i="25"/>
  <c r="AA260" i="25"/>
  <c r="Z260" i="25" s="1"/>
  <c r="Y260" i="25" s="1"/>
  <c r="G260" i="25"/>
  <c r="CF260" i="6" s="1"/>
  <c r="G270" i="25"/>
  <c r="CF270" i="6" s="1"/>
  <c r="H171" i="25"/>
  <c r="G171" i="25"/>
  <c r="CF171" i="6" s="1"/>
  <c r="AA171" i="25"/>
  <c r="Z171" i="25" s="1"/>
  <c r="Y171" i="25" s="1"/>
  <c r="G323" i="25"/>
  <c r="CF323" i="6" s="1"/>
  <c r="H323" i="25"/>
  <c r="J70" i="19"/>
  <c r="H257" i="25"/>
  <c r="G257" i="25"/>
  <c r="CF257" i="6" s="1"/>
  <c r="AA257" i="25"/>
  <c r="Z257" i="25" s="1"/>
  <c r="Y257" i="25" s="1"/>
  <c r="H136" i="25"/>
  <c r="G136" i="25"/>
  <c r="CF136" i="6" s="1"/>
  <c r="G154" i="25"/>
  <c r="CF154" i="6" s="1"/>
  <c r="H154" i="25"/>
  <c r="G99" i="25"/>
  <c r="CF99" i="6" s="1"/>
  <c r="H99" i="25"/>
  <c r="G167" i="25"/>
  <c r="CF167" i="6" s="1"/>
  <c r="H167" i="25"/>
  <c r="H286" i="25"/>
  <c r="G286" i="25"/>
  <c r="CF286" i="6" s="1"/>
  <c r="G118" i="25"/>
  <c r="CF118" i="6" s="1"/>
  <c r="H118" i="25"/>
  <c r="I60" i="24"/>
  <c r="J60" i="24"/>
  <c r="J180" i="24"/>
  <c r="I180" i="24"/>
  <c r="J88" i="24"/>
  <c r="I88" i="24"/>
  <c r="H25" i="25"/>
  <c r="W196" i="25"/>
  <c r="D196" i="25"/>
  <c r="E196" i="25" s="1"/>
  <c r="F196" i="25" s="1"/>
  <c r="W210" i="25"/>
  <c r="D210" i="25"/>
  <c r="E210" i="25" s="1"/>
  <c r="F210" i="25" s="1"/>
  <c r="H207" i="25"/>
  <c r="G207" i="25"/>
  <c r="CF207" i="6" s="1"/>
  <c r="H199" i="25"/>
  <c r="G199" i="25"/>
  <c r="CF199" i="6" s="1"/>
  <c r="H163" i="25"/>
  <c r="G163" i="25"/>
  <c r="CF163" i="6" s="1"/>
  <c r="H102" i="25"/>
  <c r="G102" i="25"/>
  <c r="CF102" i="6" s="1"/>
  <c r="G331" i="25"/>
  <c r="CF331" i="6" s="1"/>
  <c r="H331" i="25"/>
  <c r="G157" i="25"/>
  <c r="CF157" i="6" s="1"/>
  <c r="AA157" i="25"/>
  <c r="Z157" i="25" s="1"/>
  <c r="Y157" i="25" s="1"/>
  <c r="H157" i="25"/>
  <c r="G89" i="25"/>
  <c r="CF89" i="6" s="1"/>
  <c r="H66" i="25"/>
  <c r="G66" i="25"/>
  <c r="CF66" i="6" s="1"/>
  <c r="H334" i="25"/>
  <c r="AA334" i="25"/>
  <c r="Z334" i="25" s="1"/>
  <c r="Y334" i="25" s="1"/>
  <c r="G334" i="25"/>
  <c r="CF334" i="6" s="1"/>
  <c r="H330" i="25"/>
  <c r="H112" i="25"/>
  <c r="G112" i="25"/>
  <c r="CF112" i="6" s="1"/>
  <c r="H350" i="25"/>
  <c r="G350" i="25"/>
  <c r="CF350" i="6" s="1"/>
  <c r="G146" i="25"/>
  <c r="CF146" i="6" s="1"/>
  <c r="H146" i="25"/>
  <c r="H91" i="25"/>
  <c r="G91" i="25"/>
  <c r="CF91" i="6" s="1"/>
  <c r="AA159" i="25"/>
  <c r="Z159" i="25" s="1"/>
  <c r="Y159" i="25" s="1"/>
  <c r="G159" i="25"/>
  <c r="CF159" i="6" s="1"/>
  <c r="H159" i="25"/>
  <c r="D227" i="25"/>
  <c r="E227" i="25" s="1"/>
  <c r="F227" i="25" s="1"/>
  <c r="W227" i="25"/>
  <c r="H76" i="25"/>
  <c r="G76" i="25"/>
  <c r="CF76" i="6" s="1"/>
  <c r="H255" i="25"/>
  <c r="G255" i="25"/>
  <c r="CF255" i="6" s="1"/>
  <c r="G332" i="25"/>
  <c r="CF332" i="6" s="1"/>
  <c r="H332" i="25"/>
  <c r="G183" i="25"/>
  <c r="CF183" i="6" s="1"/>
  <c r="H183" i="25"/>
  <c r="G358" i="25"/>
  <c r="CF358" i="6" s="1"/>
  <c r="H358" i="25"/>
  <c r="G218" i="25"/>
  <c r="CF218" i="6" s="1"/>
  <c r="H218" i="25"/>
  <c r="G47" i="25"/>
  <c r="CF47" i="6" s="1"/>
  <c r="H47" i="25"/>
  <c r="H24" i="25"/>
  <c r="G24" i="25"/>
  <c r="CF24" i="6" s="1"/>
  <c r="G106" i="25"/>
  <c r="CF106" i="6" s="1"/>
  <c r="AA106" i="25"/>
  <c r="Z106" i="25" s="1"/>
  <c r="Y106" i="25" s="1"/>
  <c r="H106" i="25"/>
  <c r="H294" i="25"/>
  <c r="G294" i="25"/>
  <c r="CF294" i="6" s="1"/>
  <c r="AA294" i="25"/>
  <c r="Z294" i="25" s="1"/>
  <c r="Y294" i="25" s="1"/>
  <c r="G72" i="25"/>
  <c r="CF72" i="6" s="1"/>
  <c r="H72" i="25"/>
  <c r="H373" i="25"/>
  <c r="G373" i="25"/>
  <c r="CF373" i="6" s="1"/>
  <c r="AA373" i="25"/>
  <c r="Z373" i="25" s="1"/>
  <c r="Y373" i="25" s="1"/>
  <c r="H242" i="25"/>
  <c r="G242" i="25"/>
  <c r="CF242" i="6" s="1"/>
  <c r="G201" i="25"/>
  <c r="CF201" i="6" s="1"/>
  <c r="H201" i="25"/>
  <c r="AA201" i="25"/>
  <c r="Z201" i="25" s="1"/>
  <c r="Y201" i="25" s="1"/>
  <c r="H248" i="25"/>
  <c r="G248" i="25"/>
  <c r="CF248" i="6" s="1"/>
  <c r="H59" i="25"/>
  <c r="G59" i="25"/>
  <c r="CF59" i="6" s="1"/>
  <c r="G244" i="25"/>
  <c r="CF244" i="6" s="1"/>
  <c r="H244" i="25"/>
  <c r="H93" i="25"/>
  <c r="G93" i="25"/>
  <c r="CF93" i="6" s="1"/>
  <c r="G243" i="25"/>
  <c r="CF243" i="6" s="1"/>
  <c r="H243" i="25"/>
  <c r="AA243" i="25"/>
  <c r="Z243" i="25" s="1"/>
  <c r="Y243" i="25" s="1"/>
  <c r="H254" i="25"/>
  <c r="G254" i="25"/>
  <c r="CF254" i="6" s="1"/>
  <c r="G319" i="25"/>
  <c r="CF319" i="6" s="1"/>
  <c r="H319" i="25"/>
  <c r="H240" i="25"/>
  <c r="G240" i="25"/>
  <c r="CF240" i="6" s="1"/>
  <c r="G33" i="25"/>
  <c r="CF33" i="6" s="1"/>
  <c r="H33" i="25"/>
  <c r="H52" i="25"/>
  <c r="G52" i="25"/>
  <c r="CF52" i="6" s="1"/>
  <c r="G293" i="25"/>
  <c r="CF293" i="6" s="1"/>
  <c r="H293" i="25"/>
  <c r="H276" i="25"/>
  <c r="G276" i="25"/>
  <c r="CF276" i="6" s="1"/>
  <c r="G238" i="25"/>
  <c r="CF238" i="6" s="1"/>
  <c r="AA238" i="25"/>
  <c r="Z238" i="25" s="1"/>
  <c r="Y238" i="25" s="1"/>
  <c r="H238" i="25"/>
  <c r="W74" i="25"/>
  <c r="D74" i="25"/>
  <c r="E74" i="25" s="1"/>
  <c r="F74" i="25" s="1"/>
  <c r="G176" i="25"/>
  <c r="CF176" i="6" s="1"/>
  <c r="H176" i="25"/>
  <c r="H151" i="25"/>
  <c r="AA151" i="25"/>
  <c r="Z151" i="25" s="1"/>
  <c r="Y151" i="25" s="1"/>
  <c r="G151" i="25"/>
  <c r="CF151" i="6" s="1"/>
  <c r="H32" i="25"/>
  <c r="G32" i="25"/>
  <c r="CF32" i="6" s="1"/>
  <c r="H168" i="25"/>
  <c r="G168" i="25"/>
  <c r="CF168" i="6" s="1"/>
  <c r="G54" i="25"/>
  <c r="CF54" i="6" s="1"/>
  <c r="H54" i="25"/>
  <c r="H371" i="25"/>
  <c r="G371" i="25"/>
  <c r="CF371" i="6" s="1"/>
  <c r="G228" i="25"/>
  <c r="CF228" i="6" s="1"/>
  <c r="H228" i="25"/>
  <c r="G367" i="25"/>
  <c r="CF367" i="6" s="1"/>
  <c r="H367" i="25"/>
  <c r="AA367" i="25"/>
  <c r="Z367" i="25" s="1"/>
  <c r="Y367" i="25" s="1"/>
  <c r="I210" i="24"/>
  <c r="J210" i="24"/>
  <c r="J363" i="24"/>
  <c r="I363" i="24"/>
  <c r="J46" i="25"/>
  <c r="I46" i="25"/>
  <c r="C13" i="6" l="1"/>
  <c r="C12" i="6"/>
  <c r="H15" i="22"/>
  <c r="B15" i="6"/>
  <c r="J40" i="19"/>
  <c r="G31" i="19"/>
  <c r="AA179" i="25"/>
  <c r="Z179" i="25" s="1"/>
  <c r="Y179" i="25" s="1"/>
  <c r="G62" i="25"/>
  <c r="CF62" i="6" s="1"/>
  <c r="H304" i="25"/>
  <c r="I304" i="25" s="1"/>
  <c r="H305" i="25"/>
  <c r="I305" i="25" s="1"/>
  <c r="G235" i="25"/>
  <c r="CF235" i="6" s="1"/>
  <c r="G326" i="25"/>
  <c r="CF326" i="6" s="1"/>
  <c r="G212" i="25"/>
  <c r="CF212" i="6" s="1"/>
  <c r="H308" i="25"/>
  <c r="I308" i="25" s="1"/>
  <c r="G220" i="25"/>
  <c r="CF220" i="6" s="1"/>
  <c r="H202" i="25"/>
  <c r="J202" i="25" s="1"/>
  <c r="H268" i="25"/>
  <c r="J268" i="25" s="1"/>
  <c r="H212" i="25"/>
  <c r="I212" i="25" s="1"/>
  <c r="W241" i="25"/>
  <c r="I70" i="19"/>
  <c r="I59" i="19" s="1"/>
  <c r="H175" i="25"/>
  <c r="J175" i="25" s="1"/>
  <c r="AA287" i="25"/>
  <c r="Z287" i="25" s="1"/>
  <c r="Y287" i="25" s="1"/>
  <c r="AA20" i="25"/>
  <c r="Z20" i="25" s="1"/>
  <c r="Y20" i="25" s="1"/>
  <c r="AA307" i="25"/>
  <c r="Z307" i="25" s="1"/>
  <c r="Y307" i="25" s="1"/>
  <c r="AA65" i="25"/>
  <c r="Z65" i="25" s="1"/>
  <c r="Y65" i="25" s="1"/>
  <c r="AA335" i="25"/>
  <c r="Z335" i="25" s="1"/>
  <c r="Y335" i="25" s="1"/>
  <c r="AA182" i="25"/>
  <c r="Z182" i="25" s="1"/>
  <c r="Y182" i="25" s="1"/>
  <c r="AA330" i="25"/>
  <c r="Z330" i="25" s="1"/>
  <c r="Y330" i="25" s="1"/>
  <c r="G44" i="25"/>
  <c r="CF44" i="6" s="1"/>
  <c r="G330" i="25"/>
  <c r="CF330" i="6" s="1"/>
  <c r="H85" i="25"/>
  <c r="I85" i="25" s="1"/>
  <c r="G75" i="25"/>
  <c r="CF75" i="6" s="1"/>
  <c r="H16" i="25"/>
  <c r="J16" i="25" s="1"/>
  <c r="G27" i="25"/>
  <c r="CF27" i="6" s="1"/>
  <c r="H258" i="25"/>
  <c r="J258" i="25" s="1"/>
  <c r="G156" i="25"/>
  <c r="CF156" i="6" s="1"/>
  <c r="G258" i="25"/>
  <c r="CF258" i="6" s="1"/>
  <c r="AA62" i="25"/>
  <c r="Z62" i="25" s="1"/>
  <c r="Y62" i="25" s="1"/>
  <c r="AA337" i="25"/>
  <c r="Z337" i="25" s="1"/>
  <c r="Y337" i="25" s="1"/>
  <c r="AA298" i="25"/>
  <c r="Z298" i="25" s="1"/>
  <c r="Y298" i="25" s="1"/>
  <c r="AA158" i="25"/>
  <c r="Z158" i="25" s="1"/>
  <c r="Y158" i="25" s="1"/>
  <c r="AA27" i="25"/>
  <c r="Z27" i="25" s="1"/>
  <c r="Y27" i="25" s="1"/>
  <c r="AA85" i="25"/>
  <c r="Z85" i="25" s="1"/>
  <c r="Y85" i="25" s="1"/>
  <c r="AA44" i="25"/>
  <c r="Z44" i="25" s="1"/>
  <c r="Y44" i="25" s="1"/>
  <c r="AA16" i="25"/>
  <c r="Z16" i="25" s="1"/>
  <c r="Y16" i="25" s="1"/>
  <c r="AA304" i="25"/>
  <c r="Z304" i="25" s="1"/>
  <c r="Y304" i="25" s="1"/>
  <c r="G268" i="25"/>
  <c r="CF268" i="6" s="1"/>
  <c r="H287" i="25"/>
  <c r="I287" i="25" s="1"/>
  <c r="H155" i="25"/>
  <c r="I155" i="25" s="1"/>
  <c r="AA191" i="25"/>
  <c r="Z191" i="25" s="1"/>
  <c r="Y191" i="25" s="1"/>
  <c r="H220" i="25"/>
  <c r="I220" i="25" s="1"/>
  <c r="H131" i="25"/>
  <c r="J131" i="25" s="1"/>
  <c r="AA155" i="25"/>
  <c r="Z155" i="25" s="1"/>
  <c r="Y155" i="25" s="1"/>
  <c r="G191" i="25"/>
  <c r="CF191" i="6" s="1"/>
  <c r="AA202" i="25"/>
  <c r="Z202" i="25" s="1"/>
  <c r="Y202" i="25" s="1"/>
  <c r="AA175" i="25"/>
  <c r="Z175" i="25" s="1"/>
  <c r="Y175" i="25" s="1"/>
  <c r="AA326" i="25"/>
  <c r="Z326" i="25" s="1"/>
  <c r="Y326" i="25" s="1"/>
  <c r="H298" i="25"/>
  <c r="I298" i="25" s="1"/>
  <c r="D363" i="25"/>
  <c r="E363" i="25" s="1"/>
  <c r="F363" i="25" s="1"/>
  <c r="AA363" i="25" s="1"/>
  <c r="Z363" i="25" s="1"/>
  <c r="Y363" i="25" s="1"/>
  <c r="G140" i="25"/>
  <c r="CF140" i="6" s="1"/>
  <c r="G211" i="25"/>
  <c r="CF211" i="6" s="1"/>
  <c r="H156" i="25"/>
  <c r="I156" i="25" s="1"/>
  <c r="H179" i="25"/>
  <c r="I179" i="25" s="1"/>
  <c r="AA140" i="25"/>
  <c r="Z140" i="25" s="1"/>
  <c r="Y140" i="25" s="1"/>
  <c r="AA353" i="25"/>
  <c r="Z353" i="25" s="1"/>
  <c r="Y353" i="25" s="1"/>
  <c r="H235" i="25"/>
  <c r="J235" i="25" s="1"/>
  <c r="M70" i="19"/>
  <c r="M58" i="19" s="1"/>
  <c r="AA211" i="25"/>
  <c r="Z211" i="25" s="1"/>
  <c r="Y211" i="25" s="1"/>
  <c r="H78" i="25"/>
  <c r="I78" i="25" s="1"/>
  <c r="G113" i="25"/>
  <c r="CF113" i="6" s="1"/>
  <c r="AA56" i="25"/>
  <c r="Z56" i="25" s="1"/>
  <c r="Y56" i="25" s="1"/>
  <c r="AA68" i="25"/>
  <c r="Z68" i="25" s="1"/>
  <c r="Y68" i="25" s="1"/>
  <c r="AA64" i="25"/>
  <c r="Z64" i="25" s="1"/>
  <c r="Y64" i="25" s="1"/>
  <c r="AA21" i="25"/>
  <c r="Z21" i="25" s="1"/>
  <c r="Y21" i="25" s="1"/>
  <c r="AA145" i="25"/>
  <c r="Z145" i="25" s="1"/>
  <c r="Y145" i="25" s="1"/>
  <c r="AA117" i="25"/>
  <c r="Z117" i="25" s="1"/>
  <c r="Y117" i="25" s="1"/>
  <c r="AA41" i="25"/>
  <c r="Z41" i="25" s="1"/>
  <c r="Y41" i="25" s="1"/>
  <c r="AA40" i="25"/>
  <c r="Z40" i="25" s="1"/>
  <c r="Y40" i="25" s="1"/>
  <c r="AA222" i="25"/>
  <c r="Z222" i="25" s="1"/>
  <c r="Y222" i="25" s="1"/>
  <c r="AA61" i="25"/>
  <c r="Z61" i="25" s="1"/>
  <c r="Y61" i="25" s="1"/>
  <c r="AA17" i="25"/>
  <c r="Z17" i="25" s="1"/>
  <c r="Y17" i="25" s="1"/>
  <c r="AA42" i="25"/>
  <c r="Z42" i="25" s="1"/>
  <c r="Y42" i="25" s="1"/>
  <c r="AA77" i="25"/>
  <c r="Z77" i="25" s="1"/>
  <c r="Y77" i="25" s="1"/>
  <c r="AA292" i="25"/>
  <c r="Z292" i="25" s="1"/>
  <c r="Y292" i="25" s="1"/>
  <c r="AA229" i="25"/>
  <c r="Z229" i="25" s="1"/>
  <c r="Y229" i="25" s="1"/>
  <c r="AA310" i="25"/>
  <c r="Z310" i="25" s="1"/>
  <c r="Y310" i="25" s="1"/>
  <c r="AA279" i="25"/>
  <c r="Z279" i="25" s="1"/>
  <c r="Y279" i="25" s="1"/>
  <c r="AA80" i="25"/>
  <c r="Z80" i="25" s="1"/>
  <c r="Y80" i="25" s="1"/>
  <c r="AA263" i="25"/>
  <c r="Z263" i="25" s="1"/>
  <c r="Y263" i="25" s="1"/>
  <c r="AA338" i="25"/>
  <c r="Z338" i="25" s="1"/>
  <c r="Y338" i="25" s="1"/>
  <c r="H338" i="25"/>
  <c r="J338" i="25" s="1"/>
  <c r="H229" i="25"/>
  <c r="I229" i="25" s="1"/>
  <c r="H17" i="25"/>
  <c r="I17" i="25" s="1"/>
  <c r="AA366" i="25"/>
  <c r="Z366" i="25" s="1"/>
  <c r="Y366" i="25" s="1"/>
  <c r="H351" i="25"/>
  <c r="J351" i="25" s="1"/>
  <c r="H266" i="25"/>
  <c r="I266" i="25" s="1"/>
  <c r="G275" i="25"/>
  <c r="CF275" i="6" s="1"/>
  <c r="G309" i="25"/>
  <c r="CF309" i="6" s="1"/>
  <c r="G366" i="25"/>
  <c r="CF366" i="6" s="1"/>
  <c r="AA351" i="25"/>
  <c r="Z351" i="25" s="1"/>
  <c r="Y351" i="25" s="1"/>
  <c r="AA135" i="25"/>
  <c r="Z135" i="25" s="1"/>
  <c r="Y135" i="25" s="1"/>
  <c r="G263" i="25"/>
  <c r="CF263" i="6" s="1"/>
  <c r="AA189" i="25"/>
  <c r="Z189" i="25" s="1"/>
  <c r="Y189" i="25" s="1"/>
  <c r="AA131" i="25"/>
  <c r="Z131" i="25" s="1"/>
  <c r="Y131" i="25" s="1"/>
  <c r="H346" i="25"/>
  <c r="I346" i="25" s="1"/>
  <c r="AA113" i="25"/>
  <c r="Z113" i="25" s="1"/>
  <c r="Y113" i="25" s="1"/>
  <c r="H353" i="25"/>
  <c r="J353" i="25" s="1"/>
  <c r="H41" i="25"/>
  <c r="J41" i="25" s="1"/>
  <c r="G21" i="25"/>
  <c r="CF21" i="6" s="1"/>
  <c r="H135" i="25"/>
  <c r="J135" i="25" s="1"/>
  <c r="AA266" i="25"/>
  <c r="Z266" i="25" s="1"/>
  <c r="Y266" i="25" s="1"/>
  <c r="AA275" i="25"/>
  <c r="Z275" i="25" s="1"/>
  <c r="Y275" i="25" s="1"/>
  <c r="G124" i="25"/>
  <c r="CF124" i="6" s="1"/>
  <c r="H80" i="25"/>
  <c r="I80" i="25" s="1"/>
  <c r="H208" i="25"/>
  <c r="I208" i="25" s="1"/>
  <c r="AA309" i="25"/>
  <c r="Z309" i="25" s="1"/>
  <c r="Y309" i="25" s="1"/>
  <c r="H20" i="25"/>
  <c r="I20" i="25" s="1"/>
  <c r="H124" i="25"/>
  <c r="J124" i="25" s="1"/>
  <c r="G61" i="25"/>
  <c r="CF61" i="6" s="1"/>
  <c r="G134" i="25"/>
  <c r="CF134" i="6" s="1"/>
  <c r="G122" i="25"/>
  <c r="CF122" i="6" s="1"/>
  <c r="G310" i="25"/>
  <c r="CF310" i="6" s="1"/>
  <c r="D29" i="25"/>
  <c r="E29" i="25" s="1"/>
  <c r="F29" i="25" s="1"/>
  <c r="H29" i="25" s="1"/>
  <c r="H141" i="25"/>
  <c r="I141" i="25" s="1"/>
  <c r="G128" i="25"/>
  <c r="CF128" i="6" s="1"/>
  <c r="G216" i="25"/>
  <c r="CF216" i="6" s="1"/>
  <c r="G160" i="25"/>
  <c r="CF160" i="6" s="1"/>
  <c r="G279" i="25"/>
  <c r="CF279" i="6" s="1"/>
  <c r="H313" i="25"/>
  <c r="J313" i="25" s="1"/>
  <c r="H82" i="25"/>
  <c r="I82" i="25" s="1"/>
  <c r="G182" i="25"/>
  <c r="CF182" i="6" s="1"/>
  <c r="AA128" i="25"/>
  <c r="Z128" i="25" s="1"/>
  <c r="Y128" i="25" s="1"/>
  <c r="H87" i="25"/>
  <c r="I87" i="25" s="1"/>
  <c r="G232" i="25"/>
  <c r="CF232" i="6" s="1"/>
  <c r="AA208" i="25"/>
  <c r="Z208" i="25" s="1"/>
  <c r="Y208" i="25" s="1"/>
  <c r="AA122" i="25"/>
  <c r="Z122" i="25" s="1"/>
  <c r="Y122" i="25" s="1"/>
  <c r="AA78" i="25"/>
  <c r="Z78" i="25" s="1"/>
  <c r="Y78" i="25" s="1"/>
  <c r="AA346" i="25"/>
  <c r="Z346" i="25" s="1"/>
  <c r="Y346" i="25" s="1"/>
  <c r="AA217" i="25"/>
  <c r="Z217" i="25" s="1"/>
  <c r="Y217" i="25" s="1"/>
  <c r="H150" i="25"/>
  <c r="J150" i="25" s="1"/>
  <c r="G56" i="25"/>
  <c r="CF56" i="6" s="1"/>
  <c r="H247" i="25"/>
  <c r="J247" i="25" s="1"/>
  <c r="H170" i="25"/>
  <c r="J170" i="25" s="1"/>
  <c r="D333" i="25"/>
  <c r="E333" i="25" s="1"/>
  <c r="F333" i="25" s="1"/>
  <c r="H237" i="25"/>
  <c r="I237" i="25" s="1"/>
  <c r="AA314" i="25"/>
  <c r="Z314" i="25" s="1"/>
  <c r="Y314" i="25" s="1"/>
  <c r="G34" i="25"/>
  <c r="CF34" i="6" s="1"/>
  <c r="G26" i="25"/>
  <c r="CF26" i="6" s="1"/>
  <c r="AA31" i="25"/>
  <c r="Z31" i="25" s="1"/>
  <c r="Y31" i="25" s="1"/>
  <c r="AA247" i="25"/>
  <c r="Z247" i="25" s="1"/>
  <c r="Y247" i="25" s="1"/>
  <c r="G314" i="25"/>
  <c r="CF314" i="6" s="1"/>
  <c r="AA290" i="25"/>
  <c r="Z290" i="25" s="1"/>
  <c r="Y290" i="25" s="1"/>
  <c r="G251" i="25"/>
  <c r="CF251" i="6" s="1"/>
  <c r="H231" i="25"/>
  <c r="I231" i="25" s="1"/>
  <c r="H117" i="25"/>
  <c r="I117" i="25" s="1"/>
  <c r="H377" i="25"/>
  <c r="J377" i="25" s="1"/>
  <c r="H192" i="25"/>
  <c r="I192" i="25" s="1"/>
  <c r="H68" i="25"/>
  <c r="J68" i="25" s="1"/>
  <c r="G40" i="25"/>
  <c r="CF40" i="6" s="1"/>
  <c r="G158" i="25"/>
  <c r="CF158" i="6" s="1"/>
  <c r="G357" i="25"/>
  <c r="CF357" i="6" s="1"/>
  <c r="AA303" i="25"/>
  <c r="Z303" i="25" s="1"/>
  <c r="Y303" i="25" s="1"/>
  <c r="G186" i="25"/>
  <c r="CF186" i="6" s="1"/>
  <c r="H337" i="25"/>
  <c r="I337" i="25" s="1"/>
  <c r="H217" i="25"/>
  <c r="I217" i="25" s="1"/>
  <c r="G290" i="25"/>
  <c r="CF290" i="6" s="1"/>
  <c r="H51" i="25"/>
  <c r="J51" i="25" s="1"/>
  <c r="AA251" i="25"/>
  <c r="Z251" i="25" s="1"/>
  <c r="Y251" i="25" s="1"/>
  <c r="H215" i="25"/>
  <c r="J215" i="25" s="1"/>
  <c r="G317" i="25"/>
  <c r="CF317" i="6" s="1"/>
  <c r="H64" i="25"/>
  <c r="I64" i="25" s="1"/>
  <c r="H31" i="25"/>
  <c r="I31" i="25" s="1"/>
  <c r="H328" i="25"/>
  <c r="J328" i="25" s="1"/>
  <c r="G316" i="25"/>
  <c r="CF316" i="6" s="1"/>
  <c r="G193" i="25"/>
  <c r="CF193" i="6" s="1"/>
  <c r="AA262" i="25"/>
  <c r="Z262" i="25" s="1"/>
  <c r="Y262" i="25" s="1"/>
  <c r="G307" i="25"/>
  <c r="CF307" i="6" s="1"/>
  <c r="AA134" i="25"/>
  <c r="Z134" i="25" s="1"/>
  <c r="Y134" i="25" s="1"/>
  <c r="G335" i="25"/>
  <c r="CF335" i="6" s="1"/>
  <c r="H355" i="25"/>
  <c r="I355" i="25" s="1"/>
  <c r="G189" i="25"/>
  <c r="CF189" i="6" s="1"/>
  <c r="AA87" i="25"/>
  <c r="Z87" i="25" s="1"/>
  <c r="Y87" i="25" s="1"/>
  <c r="AA34" i="25"/>
  <c r="Z34" i="25" s="1"/>
  <c r="Y34" i="25" s="1"/>
  <c r="AA26" i="25"/>
  <c r="Z26" i="25" s="1"/>
  <c r="Y26" i="25" s="1"/>
  <c r="AA170" i="25"/>
  <c r="Z170" i="25" s="1"/>
  <c r="Y170" i="25" s="1"/>
  <c r="AA150" i="25"/>
  <c r="Z150" i="25" s="1"/>
  <c r="Y150" i="25" s="1"/>
  <c r="AA231" i="25"/>
  <c r="Z231" i="25" s="1"/>
  <c r="Y231" i="25" s="1"/>
  <c r="AA313" i="25"/>
  <c r="Z313" i="25" s="1"/>
  <c r="Y313" i="25" s="1"/>
  <c r="H129" i="25"/>
  <c r="J129" i="25" s="1"/>
  <c r="H65" i="25"/>
  <c r="J65" i="25" s="1"/>
  <c r="G355" i="25"/>
  <c r="CF355" i="6" s="1"/>
  <c r="F70" i="19"/>
  <c r="F57" i="19" s="1"/>
  <c r="AA232" i="25"/>
  <c r="Z232" i="25" s="1"/>
  <c r="Y232" i="25" s="1"/>
  <c r="H153" i="25"/>
  <c r="I153" i="25" s="1"/>
  <c r="AA141" i="25"/>
  <c r="Z141" i="25" s="1"/>
  <c r="Y141" i="25" s="1"/>
  <c r="H262" i="25"/>
  <c r="J262" i="25" s="1"/>
  <c r="AA153" i="25"/>
  <c r="Z153" i="25" s="1"/>
  <c r="Y153" i="25" s="1"/>
  <c r="AA82" i="25"/>
  <c r="Z82" i="25" s="1"/>
  <c r="Y82" i="25" s="1"/>
  <c r="AA129" i="25"/>
  <c r="Z129" i="25" s="1"/>
  <c r="Y129" i="25" s="1"/>
  <c r="AA160" i="25"/>
  <c r="Z160" i="25" s="1"/>
  <c r="Y160" i="25" s="1"/>
  <c r="AA216" i="25"/>
  <c r="Z216" i="25" s="1"/>
  <c r="Y216" i="25" s="1"/>
  <c r="AA161" i="25"/>
  <c r="Z161" i="25" s="1"/>
  <c r="Y161" i="25" s="1"/>
  <c r="W60" i="25"/>
  <c r="AA143" i="25"/>
  <c r="Z143" i="25" s="1"/>
  <c r="Y143" i="25" s="1"/>
  <c r="AA320" i="25"/>
  <c r="Z320" i="25" s="1"/>
  <c r="Y320" i="25" s="1"/>
  <c r="AA139" i="25"/>
  <c r="Z139" i="25" s="1"/>
  <c r="Y139" i="25" s="1"/>
  <c r="AA237" i="25"/>
  <c r="Z237" i="25" s="1"/>
  <c r="Y237" i="25" s="1"/>
  <c r="AA215" i="25"/>
  <c r="Z215" i="25" s="1"/>
  <c r="Y215" i="25" s="1"/>
  <c r="AA253" i="25"/>
  <c r="Z253" i="25" s="1"/>
  <c r="Y253" i="25" s="1"/>
  <c r="G328" i="25"/>
  <c r="CF328" i="6" s="1"/>
  <c r="H49" i="25"/>
  <c r="J49" i="25" s="1"/>
  <c r="H316" i="25"/>
  <c r="J316" i="25" s="1"/>
  <c r="G222" i="25"/>
  <c r="CF222" i="6" s="1"/>
  <c r="H303" i="25"/>
  <c r="I303" i="25" s="1"/>
  <c r="AA186" i="25"/>
  <c r="Z186" i="25" s="1"/>
  <c r="Y186" i="25" s="1"/>
  <c r="AA219" i="25"/>
  <c r="Z219" i="25" s="1"/>
  <c r="Y219" i="25" s="1"/>
  <c r="AA133" i="25"/>
  <c r="Z133" i="25" s="1"/>
  <c r="Y133" i="25" s="1"/>
  <c r="AA51" i="25"/>
  <c r="Z51" i="25" s="1"/>
  <c r="Y51" i="25" s="1"/>
  <c r="AA35" i="25"/>
  <c r="Z35" i="25" s="1"/>
  <c r="Y35" i="25" s="1"/>
  <c r="AA181" i="25"/>
  <c r="Z181" i="25" s="1"/>
  <c r="Y181" i="25" s="1"/>
  <c r="H219" i="25"/>
  <c r="J219" i="25" s="1"/>
  <c r="G143" i="25"/>
  <c r="CF143" i="6" s="1"/>
  <c r="H320" i="25"/>
  <c r="J320" i="25" s="1"/>
  <c r="G139" i="25"/>
  <c r="CF139" i="6" s="1"/>
  <c r="G133" i="25"/>
  <c r="CF133" i="6" s="1"/>
  <c r="G181" i="25"/>
  <c r="CF181" i="6" s="1"/>
  <c r="H253" i="25"/>
  <c r="J253" i="25" s="1"/>
  <c r="H317" i="25"/>
  <c r="I317" i="25" s="1"/>
  <c r="AA377" i="25"/>
  <c r="Z377" i="25" s="1"/>
  <c r="Y377" i="25" s="1"/>
  <c r="AA192" i="25"/>
  <c r="Z192" i="25" s="1"/>
  <c r="Y192" i="25" s="1"/>
  <c r="H40" i="25"/>
  <c r="I40" i="25" s="1"/>
  <c r="H222" i="25"/>
  <c r="I222" i="25" s="1"/>
  <c r="H35" i="25"/>
  <c r="J35" i="25" s="1"/>
  <c r="H193" i="25"/>
  <c r="J193" i="25" s="1"/>
  <c r="AA357" i="25"/>
  <c r="Z357" i="25" s="1"/>
  <c r="Y357" i="25" s="1"/>
  <c r="AA315" i="25"/>
  <c r="Z315" i="25" s="1"/>
  <c r="Y315" i="25" s="1"/>
  <c r="AA256" i="25"/>
  <c r="Z256" i="25" s="1"/>
  <c r="Y256" i="25" s="1"/>
  <c r="AA67" i="25"/>
  <c r="Z67" i="25" s="1"/>
  <c r="Y67" i="25" s="1"/>
  <c r="G48" i="25"/>
  <c r="CF48" i="6" s="1"/>
  <c r="G42" i="25"/>
  <c r="CF42" i="6" s="1"/>
  <c r="G282" i="25"/>
  <c r="CF282" i="6" s="1"/>
  <c r="AA364" i="25"/>
  <c r="Z364" i="25" s="1"/>
  <c r="Y364" i="25" s="1"/>
  <c r="G77" i="25"/>
  <c r="CF77" i="6" s="1"/>
  <c r="AA223" i="25"/>
  <c r="Z223" i="25" s="1"/>
  <c r="Y223" i="25" s="1"/>
  <c r="AA278" i="25"/>
  <c r="Z278" i="25" s="1"/>
  <c r="Y278" i="25" s="1"/>
  <c r="G119" i="24"/>
  <c r="CE119" i="6" s="1"/>
  <c r="H119" i="24"/>
  <c r="AA119" i="24"/>
  <c r="Z119" i="24" s="1"/>
  <c r="Y119" i="24" s="1"/>
  <c r="G67" i="25"/>
  <c r="CF67" i="6" s="1"/>
  <c r="AA282" i="25"/>
  <c r="Z282" i="25" s="1"/>
  <c r="Y282" i="25" s="1"/>
  <c r="H364" i="25"/>
  <c r="I364" i="25" s="1"/>
  <c r="H256" i="25"/>
  <c r="I256" i="25" s="1"/>
  <c r="G278" i="25"/>
  <c r="CF278" i="6" s="1"/>
  <c r="H45" i="25"/>
  <c r="I45" i="25" s="1"/>
  <c r="G161" i="25"/>
  <c r="CF161" i="6" s="1"/>
  <c r="G315" i="25"/>
  <c r="CF315" i="6" s="1"/>
  <c r="G256" i="25"/>
  <c r="CF256" i="6" s="1"/>
  <c r="AA48" i="25"/>
  <c r="Z48" i="25" s="1"/>
  <c r="Y48" i="25" s="1"/>
  <c r="AA49" i="25"/>
  <c r="Z49" i="25" s="1"/>
  <c r="Y49" i="25" s="1"/>
  <c r="G325" i="25"/>
  <c r="CF325" i="6" s="1"/>
  <c r="AA299" i="25"/>
  <c r="Z299" i="25" s="1"/>
  <c r="Y299" i="25" s="1"/>
  <c r="AA325" i="25"/>
  <c r="Z325" i="25" s="1"/>
  <c r="Y325" i="25" s="1"/>
  <c r="G147" i="25"/>
  <c r="CF147" i="6" s="1"/>
  <c r="H223" i="25"/>
  <c r="J223" i="25" s="1"/>
  <c r="G223" i="25"/>
  <c r="CF223" i="6" s="1"/>
  <c r="G292" i="25"/>
  <c r="CF292" i="6" s="1"/>
  <c r="H281" i="25"/>
  <c r="I281" i="25" s="1"/>
  <c r="G262" i="25"/>
  <c r="CF262" i="6" s="1"/>
  <c r="H200" i="25"/>
  <c r="J200" i="25" s="1"/>
  <c r="H292" i="25"/>
  <c r="J292" i="25" s="1"/>
  <c r="G281" i="25"/>
  <c r="CF281" i="6" s="1"/>
  <c r="G299" i="25"/>
  <c r="CF299" i="6" s="1"/>
  <c r="H336" i="25"/>
  <c r="I336" i="25" s="1"/>
  <c r="G203" i="25"/>
  <c r="CF203" i="6" s="1"/>
  <c r="AA148" i="25"/>
  <c r="Z148" i="25" s="1"/>
  <c r="Y148" i="25" s="1"/>
  <c r="G145" i="25"/>
  <c r="CF145" i="6" s="1"/>
  <c r="AA203" i="25"/>
  <c r="Z203" i="25" s="1"/>
  <c r="Y203" i="25" s="1"/>
  <c r="AA200" i="25"/>
  <c r="Z200" i="25" s="1"/>
  <c r="Y200" i="25" s="1"/>
  <c r="H261" i="25"/>
  <c r="I261" i="25" s="1"/>
  <c r="H172" i="25"/>
  <c r="I172" i="25" s="1"/>
  <c r="AA205" i="25"/>
  <c r="Z205" i="25" s="1"/>
  <c r="Y205" i="25" s="1"/>
  <c r="AA336" i="25"/>
  <c r="Z336" i="25" s="1"/>
  <c r="Y336" i="25" s="1"/>
  <c r="H148" i="25"/>
  <c r="J148" i="25" s="1"/>
  <c r="AA261" i="25"/>
  <c r="Z261" i="25" s="1"/>
  <c r="Y261" i="25" s="1"/>
  <c r="AA172" i="25"/>
  <c r="Z172" i="25" s="1"/>
  <c r="Y172" i="25" s="1"/>
  <c r="AA246" i="25"/>
  <c r="Z246" i="25" s="1"/>
  <c r="Y246" i="25" s="1"/>
  <c r="I105" i="25"/>
  <c r="AA147" i="25"/>
  <c r="Z147" i="25" s="1"/>
  <c r="Y147" i="25" s="1"/>
  <c r="AA283" i="25"/>
  <c r="Z283" i="25" s="1"/>
  <c r="Y283" i="25" s="1"/>
  <c r="G205" i="25"/>
  <c r="CF205" i="6" s="1"/>
  <c r="H246" i="25"/>
  <c r="I246" i="25" s="1"/>
  <c r="H283" i="25"/>
  <c r="I283" i="25" s="1"/>
  <c r="H145" i="25"/>
  <c r="J145" i="25" s="1"/>
  <c r="AA105" i="25"/>
  <c r="Z105" i="25" s="1"/>
  <c r="Y105" i="25" s="1"/>
  <c r="J149" i="24"/>
  <c r="G105" i="25"/>
  <c r="CF105" i="6" s="1"/>
  <c r="W379" i="25"/>
  <c r="D16" i="19"/>
  <c r="D31" i="19" s="1"/>
  <c r="G40" i="19"/>
  <c r="AF381" i="24"/>
  <c r="AD15" i="24"/>
  <c r="AF383" i="24"/>
  <c r="AF382" i="24"/>
  <c r="G59" i="19"/>
  <c r="J15" i="22"/>
  <c r="I15" i="22"/>
  <c r="AJ5" i="24"/>
  <c r="D15" i="24"/>
  <c r="AJ8" i="24" s="1"/>
  <c r="H9" i="24"/>
  <c r="B19" i="19" s="1"/>
  <c r="B383" i="24"/>
  <c r="W15" i="24"/>
  <c r="B381" i="24"/>
  <c r="B382" i="24"/>
  <c r="AK6" i="24"/>
  <c r="D383" i="23"/>
  <c r="D382" i="23"/>
  <c r="AJ8" i="23"/>
  <c r="D381" i="23"/>
  <c r="E15" i="23"/>
  <c r="D9" i="23"/>
  <c r="D11" i="23" s="1"/>
  <c r="J383" i="20"/>
  <c r="J382" i="20"/>
  <c r="J381" i="20"/>
  <c r="Z381" i="20"/>
  <c r="Y15" i="20"/>
  <c r="AL8" i="20"/>
  <c r="Z382" i="20"/>
  <c r="Z383" i="20"/>
  <c r="Z9" i="20"/>
  <c r="AL9" i="22"/>
  <c r="AA383" i="22"/>
  <c r="AA9" i="22"/>
  <c r="AM8" i="22"/>
  <c r="Z15" i="22"/>
  <c r="AL8" i="22" s="1"/>
  <c r="AA382" i="22"/>
  <c r="AA381" i="22"/>
  <c r="I382" i="20"/>
  <c r="I383" i="20"/>
  <c r="I381" i="20"/>
  <c r="AI7" i="7"/>
  <c r="F7" i="6"/>
  <c r="AF381" i="25"/>
  <c r="AF382" i="25"/>
  <c r="AF383" i="25"/>
  <c r="AD15" i="25"/>
  <c r="V383" i="24"/>
  <c r="B69" i="19"/>
  <c r="N69" i="19" s="1"/>
  <c r="V381" i="24"/>
  <c r="V382" i="24"/>
  <c r="R381" i="25"/>
  <c r="R383" i="25"/>
  <c r="R382" i="25"/>
  <c r="P15" i="25"/>
  <c r="G17" i="19"/>
  <c r="J41" i="19" s="1"/>
  <c r="AB9" i="22"/>
  <c r="F11" i="22"/>
  <c r="G382" i="22"/>
  <c r="G383" i="22"/>
  <c r="G12" i="22" s="1"/>
  <c r="G381" i="22"/>
  <c r="K57" i="19"/>
  <c r="G57" i="19"/>
  <c r="K59" i="19"/>
  <c r="C57" i="19"/>
  <c r="C59" i="19"/>
  <c r="C58" i="19"/>
  <c r="J56" i="25"/>
  <c r="I56" i="25"/>
  <c r="J371" i="25"/>
  <c r="I371" i="25"/>
  <c r="J168" i="25"/>
  <c r="I168" i="25"/>
  <c r="I151" i="25"/>
  <c r="J151" i="25"/>
  <c r="I238" i="25"/>
  <c r="J238" i="25"/>
  <c r="I52" i="25"/>
  <c r="J52" i="25"/>
  <c r="I33" i="25"/>
  <c r="J33" i="25"/>
  <c r="J254" i="25"/>
  <c r="I254" i="25"/>
  <c r="I243" i="25"/>
  <c r="J243" i="25"/>
  <c r="J244" i="25"/>
  <c r="I244" i="25"/>
  <c r="J59" i="25"/>
  <c r="I59" i="25"/>
  <c r="J248" i="25"/>
  <c r="I248" i="25"/>
  <c r="I242" i="25"/>
  <c r="J242" i="25"/>
  <c r="J72" i="25"/>
  <c r="I72" i="25"/>
  <c r="J294" i="25"/>
  <c r="I294" i="25"/>
  <c r="J24" i="25"/>
  <c r="I24" i="25"/>
  <c r="I183" i="25"/>
  <c r="J183" i="25"/>
  <c r="I332" i="25"/>
  <c r="J332" i="25"/>
  <c r="L58" i="19"/>
  <c r="L57" i="19"/>
  <c r="L59" i="19"/>
  <c r="I91" i="25"/>
  <c r="J91" i="25"/>
  <c r="I146" i="25"/>
  <c r="J146" i="25"/>
  <c r="J112" i="25"/>
  <c r="I112" i="25"/>
  <c r="I143" i="25"/>
  <c r="J143" i="25"/>
  <c r="J279" i="25"/>
  <c r="I279" i="25"/>
  <c r="J139" i="25"/>
  <c r="I139" i="25"/>
  <c r="I89" i="25"/>
  <c r="J89" i="25"/>
  <c r="J315" i="25"/>
  <c r="I315" i="25"/>
  <c r="I157" i="25"/>
  <c r="J157" i="25"/>
  <c r="I113" i="25"/>
  <c r="J113" i="25"/>
  <c r="J199" i="25"/>
  <c r="I199" i="25"/>
  <c r="I282" i="25"/>
  <c r="J282" i="25"/>
  <c r="J207" i="25"/>
  <c r="I207" i="25"/>
  <c r="J307" i="25"/>
  <c r="I307" i="25"/>
  <c r="J25" i="25"/>
  <c r="I25" i="25"/>
  <c r="J286" i="25"/>
  <c r="I286" i="25"/>
  <c r="I167" i="25"/>
  <c r="J167" i="25"/>
  <c r="I99" i="25"/>
  <c r="J99" i="25"/>
  <c r="J136" i="25"/>
  <c r="I136" i="25"/>
  <c r="J58" i="19"/>
  <c r="J59" i="19"/>
  <c r="J57" i="19"/>
  <c r="I134" i="25"/>
  <c r="J134" i="25"/>
  <c r="I323" i="25"/>
  <c r="J323" i="25"/>
  <c r="J92" i="25"/>
  <c r="I92" i="25"/>
  <c r="J194" i="25"/>
  <c r="I194" i="25"/>
  <c r="I121" i="25"/>
  <c r="J121" i="25"/>
  <c r="I324" i="25"/>
  <c r="J324" i="25"/>
  <c r="J322" i="25"/>
  <c r="I322" i="25"/>
  <c r="J233" i="25"/>
  <c r="I233" i="25"/>
  <c r="I312" i="25"/>
  <c r="J312" i="25"/>
  <c r="J274" i="25"/>
  <c r="I274" i="25"/>
  <c r="J18" i="25"/>
  <c r="I18" i="25"/>
  <c r="I169" i="25"/>
  <c r="J169" i="25"/>
  <c r="J348" i="25"/>
  <c r="I348" i="25"/>
  <c r="J273" i="25"/>
  <c r="I273" i="25"/>
  <c r="J94" i="25"/>
  <c r="I94" i="25"/>
  <c r="I48" i="25"/>
  <c r="J48" i="25"/>
  <c r="I269" i="25"/>
  <c r="J269" i="25"/>
  <c r="I290" i="25"/>
  <c r="J290" i="25"/>
  <c r="I296" i="25"/>
  <c r="J296" i="25"/>
  <c r="H241" i="25"/>
  <c r="G241" i="25"/>
  <c r="CF241" i="6" s="1"/>
  <c r="AA241" i="25"/>
  <c r="Z241" i="25" s="1"/>
  <c r="Y241" i="25" s="1"/>
  <c r="J37" i="25"/>
  <c r="I37" i="25"/>
  <c r="J39" i="25"/>
  <c r="I39" i="25"/>
  <c r="I197" i="25"/>
  <c r="J197" i="25"/>
  <c r="J34" i="25"/>
  <c r="I34" i="25"/>
  <c r="I181" i="25"/>
  <c r="J181" i="25"/>
  <c r="J23" i="25"/>
  <c r="I23" i="25"/>
  <c r="J177" i="25"/>
  <c r="I177" i="25"/>
  <c r="I277" i="25"/>
  <c r="J277" i="25"/>
  <c r="W119" i="25"/>
  <c r="D119" i="25"/>
  <c r="E119" i="25" s="1"/>
  <c r="F119" i="25" s="1"/>
  <c r="J98" i="25"/>
  <c r="I98" i="25"/>
  <c r="J251" i="25"/>
  <c r="I251" i="25"/>
  <c r="I356" i="25"/>
  <c r="J356" i="25"/>
  <c r="J344" i="25"/>
  <c r="I344" i="25"/>
  <c r="I345" i="25"/>
  <c r="J345" i="25"/>
  <c r="J95" i="25"/>
  <c r="I95" i="25"/>
  <c r="J144" i="25"/>
  <c r="I144" i="25"/>
  <c r="AA349" i="25"/>
  <c r="Z349" i="25" s="1"/>
  <c r="Y349" i="25" s="1"/>
  <c r="G349" i="25"/>
  <c r="CF349" i="6" s="1"/>
  <c r="H349" i="25"/>
  <c r="I275" i="25"/>
  <c r="J275" i="25"/>
  <c r="J58" i="25"/>
  <c r="I58" i="25"/>
  <c r="J295" i="25"/>
  <c r="I295" i="25"/>
  <c r="J225" i="25"/>
  <c r="I225" i="25"/>
  <c r="J122" i="25"/>
  <c r="I122" i="25"/>
  <c r="I137" i="25"/>
  <c r="J137" i="25"/>
  <c r="I69" i="25"/>
  <c r="J69" i="25"/>
  <c r="I38" i="25"/>
  <c r="J38" i="25"/>
  <c r="I204" i="25"/>
  <c r="J204" i="25"/>
  <c r="I209" i="25"/>
  <c r="J209" i="25"/>
  <c r="J90" i="25"/>
  <c r="I90" i="25"/>
  <c r="I83" i="25"/>
  <c r="J83" i="25"/>
  <c r="I321" i="25"/>
  <c r="J321" i="25"/>
  <c r="D59" i="19"/>
  <c r="D58" i="19"/>
  <c r="D57" i="19"/>
  <c r="J184" i="25"/>
  <c r="I184" i="25"/>
  <c r="G302" i="25"/>
  <c r="CF302" i="6" s="1"/>
  <c r="H302" i="25"/>
  <c r="AA302" i="25"/>
  <c r="Z302" i="25" s="1"/>
  <c r="Y302" i="25" s="1"/>
  <c r="J372" i="25"/>
  <c r="I372" i="25"/>
  <c r="J340" i="25"/>
  <c r="I340" i="25"/>
  <c r="J19" i="25"/>
  <c r="I19" i="25"/>
  <c r="I335" i="25"/>
  <c r="J335" i="25"/>
  <c r="J77" i="25"/>
  <c r="I77" i="25"/>
  <c r="J191" i="25"/>
  <c r="I191" i="25"/>
  <c r="I211" i="25"/>
  <c r="J211" i="25"/>
  <c r="I306" i="25"/>
  <c r="J306" i="25"/>
  <c r="I36" i="25"/>
  <c r="J36" i="25"/>
  <c r="J236" i="25"/>
  <c r="I236" i="25"/>
  <c r="I103" i="25"/>
  <c r="J103" i="25"/>
  <c r="I132" i="25"/>
  <c r="J132" i="25"/>
  <c r="J300" i="25"/>
  <c r="I300" i="25"/>
  <c r="I203" i="25"/>
  <c r="J203" i="25"/>
  <c r="I108" i="25"/>
  <c r="J108" i="25"/>
  <c r="I26" i="25"/>
  <c r="J26" i="25"/>
  <c r="J271" i="25"/>
  <c r="I271" i="25"/>
  <c r="I53" i="25"/>
  <c r="J53" i="25"/>
  <c r="J267" i="25"/>
  <c r="I267" i="25"/>
  <c r="D149" i="25"/>
  <c r="E149" i="25" s="1"/>
  <c r="F149" i="25" s="1"/>
  <c r="W149" i="25"/>
  <c r="J70" i="25"/>
  <c r="I70" i="25"/>
  <c r="I284" i="25"/>
  <c r="J284" i="25"/>
  <c r="J195" i="25"/>
  <c r="I195" i="25"/>
  <c r="I301" i="25"/>
  <c r="J301" i="25"/>
  <c r="I160" i="25"/>
  <c r="J160" i="25"/>
  <c r="J368" i="25"/>
  <c r="I368" i="25"/>
  <c r="I359" i="25"/>
  <c r="J359" i="25"/>
  <c r="I361" i="25"/>
  <c r="J361" i="25"/>
  <c r="I116" i="25"/>
  <c r="J116" i="25"/>
  <c r="I259" i="25"/>
  <c r="J259" i="25"/>
  <c r="J123" i="25"/>
  <c r="I123" i="25"/>
  <c r="I81" i="25"/>
  <c r="J81" i="25"/>
  <c r="I376" i="25"/>
  <c r="J376" i="25"/>
  <c r="J343" i="25"/>
  <c r="I343" i="25"/>
  <c r="J230" i="25"/>
  <c r="I230" i="25"/>
  <c r="I249" i="25"/>
  <c r="J249" i="25"/>
  <c r="J232" i="25"/>
  <c r="I232" i="25"/>
  <c r="I234" i="25"/>
  <c r="J234" i="25"/>
  <c r="I165" i="25"/>
  <c r="J165" i="25"/>
  <c r="I264" i="25"/>
  <c r="J264" i="25"/>
  <c r="I280" i="25"/>
  <c r="J280" i="25"/>
  <c r="I213" i="25"/>
  <c r="J213" i="25"/>
  <c r="J55" i="25"/>
  <c r="I55" i="25"/>
  <c r="J174" i="25"/>
  <c r="I174" i="25"/>
  <c r="J342" i="25"/>
  <c r="I342" i="25"/>
  <c r="I63" i="25"/>
  <c r="J63" i="25"/>
  <c r="I84" i="25"/>
  <c r="J84" i="25"/>
  <c r="I125" i="25"/>
  <c r="J125" i="25"/>
  <c r="J28" i="25"/>
  <c r="I28" i="25"/>
  <c r="J318" i="25"/>
  <c r="I318" i="25"/>
  <c r="I67" i="25"/>
  <c r="J67" i="25"/>
  <c r="I367" i="25"/>
  <c r="J367" i="25"/>
  <c r="I228" i="25"/>
  <c r="J228" i="25"/>
  <c r="J42" i="25"/>
  <c r="I42" i="25"/>
  <c r="J161" i="25"/>
  <c r="I161" i="25"/>
  <c r="I54" i="25"/>
  <c r="J54" i="25"/>
  <c r="J32" i="25"/>
  <c r="I32" i="25"/>
  <c r="I44" i="25"/>
  <c r="J44" i="25"/>
  <c r="I176" i="25"/>
  <c r="J176" i="25"/>
  <c r="AA74" i="25"/>
  <c r="Z74" i="25" s="1"/>
  <c r="Y74" i="25" s="1"/>
  <c r="H74" i="25"/>
  <c r="G74" i="25"/>
  <c r="CF74" i="6" s="1"/>
  <c r="J276" i="25"/>
  <c r="I276" i="25"/>
  <c r="I293" i="25"/>
  <c r="J293" i="25"/>
  <c r="I62" i="25"/>
  <c r="J62" i="25"/>
  <c r="J240" i="25"/>
  <c r="I240" i="25"/>
  <c r="I319" i="25"/>
  <c r="J319" i="25"/>
  <c r="I326" i="25"/>
  <c r="J326" i="25"/>
  <c r="I93" i="25"/>
  <c r="J93" i="25"/>
  <c r="J201" i="25"/>
  <c r="I201" i="25"/>
  <c r="I373" i="25"/>
  <c r="J373" i="25"/>
  <c r="I106" i="25"/>
  <c r="J106" i="25"/>
  <c r="J47" i="25"/>
  <c r="I47" i="25"/>
  <c r="J218" i="25"/>
  <c r="I218" i="25"/>
  <c r="J358" i="25"/>
  <c r="I358" i="25"/>
  <c r="I255" i="25"/>
  <c r="J255" i="25"/>
  <c r="J76" i="25"/>
  <c r="I76" i="25"/>
  <c r="G227" i="25"/>
  <c r="CF227" i="6" s="1"/>
  <c r="H227" i="25"/>
  <c r="AA227" i="25"/>
  <c r="Z227" i="25" s="1"/>
  <c r="Y227" i="25" s="1"/>
  <c r="J159" i="25"/>
  <c r="I159" i="25"/>
  <c r="J350" i="25"/>
  <c r="I350" i="25"/>
  <c r="J330" i="25"/>
  <c r="I330" i="25"/>
  <c r="J61" i="25"/>
  <c r="I61" i="25"/>
  <c r="J334" i="25"/>
  <c r="I334" i="25"/>
  <c r="J66" i="25"/>
  <c r="I66" i="25"/>
  <c r="J331" i="25"/>
  <c r="I331" i="25"/>
  <c r="I102" i="25"/>
  <c r="J102" i="25"/>
  <c r="I163" i="25"/>
  <c r="J163" i="25"/>
  <c r="H210" i="25"/>
  <c r="G210" i="25"/>
  <c r="CF210" i="6" s="1"/>
  <c r="AA210" i="25"/>
  <c r="Z210" i="25" s="1"/>
  <c r="Y210" i="25" s="1"/>
  <c r="G196" i="25"/>
  <c r="CF196" i="6" s="1"/>
  <c r="H196" i="25"/>
  <c r="AA196" i="25"/>
  <c r="Z196" i="25" s="1"/>
  <c r="Y196" i="25" s="1"/>
  <c r="I118" i="25"/>
  <c r="J118" i="25"/>
  <c r="J314" i="25"/>
  <c r="I314" i="25"/>
  <c r="J154" i="25"/>
  <c r="I154" i="25"/>
  <c r="J257" i="25"/>
  <c r="I257" i="25"/>
  <c r="D272" i="25"/>
  <c r="E272" i="25" s="1"/>
  <c r="F272" i="25" s="1"/>
  <c r="W272" i="25"/>
  <c r="J171" i="25"/>
  <c r="I171" i="25"/>
  <c r="I270" i="25"/>
  <c r="J270" i="25"/>
  <c r="I260" i="25"/>
  <c r="J260" i="25"/>
  <c r="I352" i="25"/>
  <c r="J352" i="25"/>
  <c r="I299" i="25"/>
  <c r="J299" i="25"/>
  <c r="J114" i="25"/>
  <c r="I114" i="25"/>
  <c r="I133" i="25"/>
  <c r="J133" i="25"/>
  <c r="I100" i="25"/>
  <c r="J100" i="25"/>
  <c r="I289" i="25"/>
  <c r="J289" i="25"/>
  <c r="J245" i="25"/>
  <c r="I245" i="25"/>
  <c r="J115" i="25"/>
  <c r="I115" i="25"/>
  <c r="J187" i="25"/>
  <c r="I187" i="25"/>
  <c r="AA166" i="25"/>
  <c r="Z166" i="25" s="1"/>
  <c r="Y166" i="25" s="1"/>
  <c r="H166" i="25"/>
  <c r="G166" i="25"/>
  <c r="CF166" i="6" s="1"/>
  <c r="I360" i="25"/>
  <c r="J360" i="25"/>
  <c r="I190" i="25"/>
  <c r="J190" i="25"/>
  <c r="I365" i="25"/>
  <c r="J365" i="25"/>
  <c r="J152" i="25"/>
  <c r="I152" i="25"/>
  <c r="J339" i="25"/>
  <c r="I339" i="25"/>
  <c r="J182" i="25"/>
  <c r="I182" i="25"/>
  <c r="I96" i="25"/>
  <c r="J96" i="25"/>
  <c r="E59" i="19"/>
  <c r="E58" i="19"/>
  <c r="E57" i="19"/>
  <c r="I278" i="25"/>
  <c r="J278" i="25"/>
  <c r="I101" i="25"/>
  <c r="J101" i="25"/>
  <c r="J178" i="25"/>
  <c r="I178" i="25"/>
  <c r="I162" i="25"/>
  <c r="J162" i="25"/>
  <c r="I224" i="25"/>
  <c r="J224" i="25"/>
  <c r="I198" i="25"/>
  <c r="J198" i="25"/>
  <c r="J297" i="25"/>
  <c r="I297" i="25"/>
  <c r="J107" i="25"/>
  <c r="I107" i="25"/>
  <c r="I126" i="25"/>
  <c r="J126" i="25"/>
  <c r="J205" i="25"/>
  <c r="I205" i="25"/>
  <c r="I140" i="25"/>
  <c r="J140" i="25"/>
  <c r="I310" i="25"/>
  <c r="J310" i="25"/>
  <c r="I325" i="25"/>
  <c r="J325" i="25"/>
  <c r="J111" i="25"/>
  <c r="I111" i="25"/>
  <c r="I362" i="25"/>
  <c r="J362" i="25"/>
  <c r="I97" i="25"/>
  <c r="J97" i="25"/>
  <c r="J291" i="25"/>
  <c r="I291" i="25"/>
  <c r="J155" i="25"/>
  <c r="J79" i="25"/>
  <c r="I79" i="25"/>
  <c r="I75" i="25"/>
  <c r="J75" i="25"/>
  <c r="J311" i="25"/>
  <c r="I311" i="25"/>
  <c r="J329" i="25"/>
  <c r="I329" i="25"/>
  <c r="I206" i="25"/>
  <c r="J206" i="25"/>
  <c r="G180" i="25"/>
  <c r="CF180" i="6" s="1"/>
  <c r="AA180" i="25"/>
  <c r="Z180" i="25" s="1"/>
  <c r="Y180" i="25" s="1"/>
  <c r="H180" i="25"/>
  <c r="J309" i="25"/>
  <c r="I309" i="25"/>
  <c r="I252" i="25"/>
  <c r="J252" i="25"/>
  <c r="I43" i="25"/>
  <c r="J43" i="25"/>
  <c r="I110" i="25"/>
  <c r="J110" i="25"/>
  <c r="J239" i="25"/>
  <c r="I239" i="25"/>
  <c r="J21" i="25"/>
  <c r="I21" i="25"/>
  <c r="I128" i="25"/>
  <c r="J128" i="25"/>
  <c r="I164" i="25"/>
  <c r="J164" i="25"/>
  <c r="I347" i="25"/>
  <c r="J347" i="25"/>
  <c r="J214" i="25"/>
  <c r="I214" i="25"/>
  <c r="I375" i="25"/>
  <c r="J375" i="25"/>
  <c r="G88" i="25"/>
  <c r="CF88" i="6" s="1"/>
  <c r="H88" i="25"/>
  <c r="AA88" i="25"/>
  <c r="Z88" i="25" s="1"/>
  <c r="Y88" i="25" s="1"/>
  <c r="J263" i="25"/>
  <c r="I263" i="25"/>
  <c r="J369" i="25"/>
  <c r="I369" i="25"/>
  <c r="J30" i="25"/>
  <c r="I30" i="25"/>
  <c r="J378" i="25"/>
  <c r="I378" i="25"/>
  <c r="I138" i="25"/>
  <c r="J138" i="25"/>
  <c r="I27" i="25"/>
  <c r="J27" i="25"/>
  <c r="I366" i="25"/>
  <c r="J366" i="25"/>
  <c r="J57" i="25"/>
  <c r="I57" i="25"/>
  <c r="H59" i="19"/>
  <c r="H58" i="19"/>
  <c r="H57" i="19"/>
  <c r="J221" i="25"/>
  <c r="I221" i="25"/>
  <c r="J341" i="25"/>
  <c r="I341" i="25"/>
  <c r="J374" i="25"/>
  <c r="I374" i="25"/>
  <c r="J71" i="25"/>
  <c r="I71" i="25"/>
  <c r="I189" i="25"/>
  <c r="J189" i="25"/>
  <c r="J86" i="25"/>
  <c r="I86" i="25"/>
  <c r="J216" i="25"/>
  <c r="I216" i="25"/>
  <c r="I285" i="25"/>
  <c r="J285" i="25"/>
  <c r="I327" i="25"/>
  <c r="J327" i="25"/>
  <c r="J73" i="25"/>
  <c r="I73" i="25"/>
  <c r="I188" i="25"/>
  <c r="J188" i="25"/>
  <c r="J147" i="25"/>
  <c r="I147" i="25"/>
  <c r="I158" i="25"/>
  <c r="J158" i="25"/>
  <c r="I104" i="25"/>
  <c r="J104" i="25"/>
  <c r="J357" i="25"/>
  <c r="I357" i="25"/>
  <c r="I173" i="25"/>
  <c r="J173" i="25"/>
  <c r="I130" i="25"/>
  <c r="J130" i="25"/>
  <c r="I120" i="25"/>
  <c r="J120" i="25"/>
  <c r="J265" i="25"/>
  <c r="I265" i="25"/>
  <c r="I226" i="25"/>
  <c r="J226" i="25"/>
  <c r="J109" i="25"/>
  <c r="I109" i="25"/>
  <c r="AA288" i="25"/>
  <c r="Z288" i="25" s="1"/>
  <c r="Y288" i="25" s="1"/>
  <c r="H288" i="25"/>
  <c r="G288" i="25"/>
  <c r="CF288" i="6" s="1"/>
  <c r="J186" i="25"/>
  <c r="I186" i="25"/>
  <c r="I354" i="25"/>
  <c r="J354" i="25"/>
  <c r="I22" i="25"/>
  <c r="J22" i="25"/>
  <c r="I370" i="25"/>
  <c r="J370" i="25"/>
  <c r="I250" i="25"/>
  <c r="J250" i="25"/>
  <c r="I185" i="25"/>
  <c r="J185" i="25"/>
  <c r="J127" i="25"/>
  <c r="I127" i="25"/>
  <c r="I142" i="25"/>
  <c r="J142" i="25"/>
  <c r="J50" i="25"/>
  <c r="I50" i="25"/>
  <c r="BA15" i="6" l="1"/>
  <c r="N4" i="6" s="1"/>
  <c r="B12" i="6"/>
  <c r="B13" i="6"/>
  <c r="I175" i="25"/>
  <c r="J305" i="25"/>
  <c r="J308" i="25"/>
  <c r="J304" i="25"/>
  <c r="I16" i="25"/>
  <c r="J85" i="25"/>
  <c r="I268" i="25"/>
  <c r="I202" i="25"/>
  <c r="I258" i="25"/>
  <c r="I58" i="19"/>
  <c r="J212" i="25"/>
  <c r="I57" i="19"/>
  <c r="J156" i="25"/>
  <c r="J287" i="25"/>
  <c r="J229" i="25"/>
  <c r="J298" i="25"/>
  <c r="I131" i="25"/>
  <c r="I235" i="25"/>
  <c r="J179" i="25"/>
  <c r="I351" i="25"/>
  <c r="G363" i="25"/>
  <c r="CF363" i="6" s="1"/>
  <c r="J220" i="25"/>
  <c r="I170" i="25"/>
  <c r="J78" i="25"/>
  <c r="M57" i="19"/>
  <c r="J17" i="25"/>
  <c r="J20" i="25"/>
  <c r="H363" i="25"/>
  <c r="J363" i="25" s="1"/>
  <c r="J208" i="25"/>
  <c r="J346" i="25"/>
  <c r="I338" i="25"/>
  <c r="M59" i="19"/>
  <c r="I353" i="25"/>
  <c r="J266" i="25"/>
  <c r="J82" i="25"/>
  <c r="I41" i="25"/>
  <c r="I247" i="25"/>
  <c r="J80" i="25"/>
  <c r="I135" i="25"/>
  <c r="J192" i="25"/>
  <c r="AA29" i="25"/>
  <c r="Z29" i="25" s="1"/>
  <c r="Y29" i="25" s="1"/>
  <c r="J87" i="25"/>
  <c r="I313" i="25"/>
  <c r="I124" i="25"/>
  <c r="I193" i="25"/>
  <c r="J141" i="25"/>
  <c r="J117" i="25"/>
  <c r="G29" i="25"/>
  <c r="CF29" i="6" s="1"/>
  <c r="I253" i="25"/>
  <c r="J237" i="25"/>
  <c r="I150" i="25"/>
  <c r="I68" i="25"/>
  <c r="I377" i="25"/>
  <c r="J231" i="25"/>
  <c r="W333" i="25"/>
  <c r="I328" i="25"/>
  <c r="J64" i="25"/>
  <c r="I215" i="25"/>
  <c r="I51" i="25"/>
  <c r="J217" i="25"/>
  <c r="I129" i="25"/>
  <c r="J40" i="25"/>
  <c r="I262" i="25"/>
  <c r="F59" i="19"/>
  <c r="J31" i="25"/>
  <c r="J337" i="25"/>
  <c r="I316" i="25"/>
  <c r="J303" i="25"/>
  <c r="J355" i="25"/>
  <c r="D60" i="25"/>
  <c r="E60" i="25" s="1"/>
  <c r="F60" i="25" s="1"/>
  <c r="AA60" i="25" s="1"/>
  <c r="Z60" i="25" s="1"/>
  <c r="Y60" i="25" s="1"/>
  <c r="I35" i="25"/>
  <c r="I49" i="25"/>
  <c r="I320" i="25"/>
  <c r="I219" i="25"/>
  <c r="J153" i="25"/>
  <c r="F58" i="19"/>
  <c r="I65" i="25"/>
  <c r="J222" i="25"/>
  <c r="J317" i="25"/>
  <c r="J364" i="25"/>
  <c r="J45" i="25"/>
  <c r="J256" i="25"/>
  <c r="I223" i="25"/>
  <c r="AJ9" i="23"/>
  <c r="AJ11" i="23" s="1"/>
  <c r="AK7" i="23"/>
  <c r="I119" i="24"/>
  <c r="H119" i="25" s="1"/>
  <c r="J119" i="24"/>
  <c r="E42" i="19"/>
  <c r="E16" i="19"/>
  <c r="I292" i="25"/>
  <c r="J281" i="25"/>
  <c r="I200" i="25"/>
  <c r="J336" i="25"/>
  <c r="J261" i="25"/>
  <c r="I148" i="25"/>
  <c r="J172" i="25"/>
  <c r="I145" i="25"/>
  <c r="J246" i="25"/>
  <c r="J283" i="25"/>
  <c r="D379" i="25"/>
  <c r="E379" i="25" s="1"/>
  <c r="F379" i="25" s="1"/>
  <c r="G379" i="25" s="1"/>
  <c r="CF379" i="6" s="1"/>
  <c r="D17" i="19"/>
  <c r="G41" i="19"/>
  <c r="AD381" i="24"/>
  <c r="AD382" i="24"/>
  <c r="AD383" i="24"/>
  <c r="AL5" i="20"/>
  <c r="AL11" i="20" s="1"/>
  <c r="AJ3" i="20" s="1"/>
  <c r="O16" i="19" s="1"/>
  <c r="M16" i="19" s="1"/>
  <c r="AM5" i="20"/>
  <c r="AM11" i="20" s="1"/>
  <c r="AK3" i="20" s="1"/>
  <c r="Q16" i="19" s="1"/>
  <c r="N16" i="19" s="1"/>
  <c r="P381" i="25"/>
  <c r="P382" i="25"/>
  <c r="P383" i="25"/>
  <c r="V15" i="25"/>
  <c r="AD381" i="25"/>
  <c r="AD383" i="25"/>
  <c r="AD382" i="25"/>
  <c r="Y381" i="20"/>
  <c r="Y382" i="20"/>
  <c r="X9" i="20"/>
  <c r="AL6" i="20"/>
  <c r="AL12" i="20" s="1"/>
  <c r="Y383" i="20"/>
  <c r="AM6" i="20"/>
  <c r="AM12" i="20" s="1"/>
  <c r="AJ7" i="24"/>
  <c r="D9" i="24"/>
  <c r="D11" i="24" s="1"/>
  <c r="D383" i="24"/>
  <c r="E15" i="24"/>
  <c r="AJ10" i="24" s="1"/>
  <c r="AJ12" i="24" s="1"/>
  <c r="D382" i="24"/>
  <c r="D381" i="24"/>
  <c r="I381" i="22"/>
  <c r="I383" i="22"/>
  <c r="I382" i="22"/>
  <c r="AO7" i="7"/>
  <c r="G7" i="6"/>
  <c r="AL7" i="22"/>
  <c r="Z9" i="22"/>
  <c r="Z381" i="22"/>
  <c r="Y15" i="22"/>
  <c r="AL6" i="22" s="1"/>
  <c r="AL12" i="22" s="1"/>
  <c r="AJ4" i="22" s="1"/>
  <c r="P17" i="19" s="1"/>
  <c r="Z382" i="22"/>
  <c r="Z383" i="22"/>
  <c r="E9" i="23"/>
  <c r="E11" i="23" s="1"/>
  <c r="AJ10" i="23"/>
  <c r="AJ12" i="23" s="1"/>
  <c r="AK8" i="23"/>
  <c r="E383" i="23"/>
  <c r="E382" i="23"/>
  <c r="E381" i="23"/>
  <c r="F15" i="23"/>
  <c r="J381" i="22"/>
  <c r="J382" i="22"/>
  <c r="J383" i="22"/>
  <c r="J288" i="25"/>
  <c r="I288" i="25"/>
  <c r="I29" i="25"/>
  <c r="J29" i="25"/>
  <c r="H272" i="25"/>
  <c r="G272" i="25"/>
  <c r="CF272" i="6" s="1"/>
  <c r="AA272" i="25"/>
  <c r="Z272" i="25" s="1"/>
  <c r="Y272" i="25" s="1"/>
  <c r="J196" i="25"/>
  <c r="I196" i="25"/>
  <c r="I210" i="25"/>
  <c r="J210" i="25"/>
  <c r="J227" i="25"/>
  <c r="I227" i="25"/>
  <c r="H149" i="25"/>
  <c r="AA149" i="25"/>
  <c r="Z149" i="25" s="1"/>
  <c r="Y149" i="25" s="1"/>
  <c r="G149" i="25"/>
  <c r="CF149" i="6" s="1"/>
  <c r="I349" i="25"/>
  <c r="J349" i="25"/>
  <c r="I363" i="25"/>
  <c r="J88" i="25"/>
  <c r="I88" i="25"/>
  <c r="J180" i="25"/>
  <c r="I180" i="25"/>
  <c r="I166" i="25"/>
  <c r="J166" i="25"/>
  <c r="AA333" i="25"/>
  <c r="Z333" i="25" s="1"/>
  <c r="Y333" i="25" s="1"/>
  <c r="H333" i="25"/>
  <c r="G333" i="25"/>
  <c r="CF333" i="6" s="1"/>
  <c r="I74" i="25"/>
  <c r="J74" i="25"/>
  <c r="J302" i="25"/>
  <c r="I302" i="25"/>
  <c r="AA119" i="25"/>
  <c r="Z119" i="25" s="1"/>
  <c r="Y119" i="25" s="1"/>
  <c r="G119" i="25"/>
  <c r="CF119" i="6" s="1"/>
  <c r="J241" i="25"/>
  <c r="I241" i="25"/>
  <c r="F16" i="19" l="1"/>
  <c r="F31" i="19" s="1"/>
  <c r="E31" i="19"/>
  <c r="G60" i="25"/>
  <c r="CF60" i="6" s="1"/>
  <c r="H60" i="25"/>
  <c r="I60" i="25" s="1"/>
  <c r="AJ13" i="23"/>
  <c r="AM9" i="23"/>
  <c r="AK9" i="23"/>
  <c r="AK11" i="23" s="1"/>
  <c r="E17" i="19"/>
  <c r="F17" i="19" s="1"/>
  <c r="E43" i="19"/>
  <c r="H379" i="25"/>
  <c r="J379" i="25" s="1"/>
  <c r="AA379" i="25"/>
  <c r="Z379" i="25" s="1"/>
  <c r="Y379" i="25" s="1"/>
  <c r="C18" i="19"/>
  <c r="F42" i="19"/>
  <c r="F381" i="23"/>
  <c r="AM10" i="23"/>
  <c r="F383" i="23"/>
  <c r="G15" i="23"/>
  <c r="CD15" i="6" s="1"/>
  <c r="F9" i="23"/>
  <c r="AA15" i="23"/>
  <c r="H15" i="23"/>
  <c r="AK10" i="23"/>
  <c r="AK12" i="23" s="1"/>
  <c r="F382" i="23"/>
  <c r="J16" i="19"/>
  <c r="J31" i="19" s="1"/>
  <c r="Z11" i="20"/>
  <c r="Z5" i="20" s="1"/>
  <c r="H16" i="19" s="1"/>
  <c r="H31" i="19" s="1"/>
  <c r="AA11" i="20"/>
  <c r="AA5" i="20" s="1"/>
  <c r="I16" i="19" s="1"/>
  <c r="I31" i="19" s="1"/>
  <c r="AL5" i="22"/>
  <c r="AL11" i="22" s="1"/>
  <c r="Y383" i="22"/>
  <c r="Y382" i="22"/>
  <c r="AM6" i="22"/>
  <c r="AM12" i="22" s="1"/>
  <c r="Y381" i="22"/>
  <c r="X9" i="22"/>
  <c r="AJ9" i="24"/>
  <c r="AJ11" i="24" s="1"/>
  <c r="AJ13" i="24" s="1"/>
  <c r="F15" i="24"/>
  <c r="E382" i="24"/>
  <c r="AK8" i="24"/>
  <c r="E383" i="24"/>
  <c r="E381" i="24"/>
  <c r="E9" i="24"/>
  <c r="E11" i="24" s="1"/>
  <c r="AK4" i="20"/>
  <c r="R16" i="19" s="1"/>
  <c r="N17" i="19" s="1"/>
  <c r="AM13" i="20"/>
  <c r="AJ4" i="20"/>
  <c r="P16" i="19" s="1"/>
  <c r="AL13" i="20"/>
  <c r="Y11" i="20"/>
  <c r="V380" i="25"/>
  <c r="V381" i="25" s="1"/>
  <c r="V382" i="25"/>
  <c r="B70" i="19"/>
  <c r="V383" i="25"/>
  <c r="I119" i="25"/>
  <c r="J119" i="25"/>
  <c r="I333" i="25"/>
  <c r="J333" i="25"/>
  <c r="J149" i="25"/>
  <c r="I149" i="25"/>
  <c r="I272" i="25"/>
  <c r="J272" i="25"/>
  <c r="J60" i="25" l="1"/>
  <c r="AK13" i="23"/>
  <c r="AL9" i="23"/>
  <c r="AM7" i="23"/>
  <c r="I40" i="19"/>
  <c r="H40" i="19"/>
  <c r="I379" i="25"/>
  <c r="C19" i="19"/>
  <c r="F43" i="19"/>
  <c r="AJ5" i="25"/>
  <c r="AK6" i="25"/>
  <c r="AJ3" i="22"/>
  <c r="O17" i="19" s="1"/>
  <c r="AL13" i="22"/>
  <c r="B59" i="19"/>
  <c r="B57" i="19"/>
  <c r="B58" i="19"/>
  <c r="N70" i="19"/>
  <c r="AK5" i="25"/>
  <c r="B381" i="25"/>
  <c r="B382" i="25"/>
  <c r="H9" i="25"/>
  <c r="B20" i="19" s="1"/>
  <c r="D15" i="25"/>
  <c r="AJ7" i="25" s="1"/>
  <c r="B383" i="25"/>
  <c r="AJ6" i="25"/>
  <c r="W15" i="25"/>
  <c r="M17" i="19"/>
  <c r="G15" i="24"/>
  <c r="CE15" i="6" s="1"/>
  <c r="F381" i="24"/>
  <c r="AA15" i="24"/>
  <c r="AL10" i="24" s="1"/>
  <c r="F382" i="24"/>
  <c r="AM10" i="24"/>
  <c r="AK10" i="24"/>
  <c r="AK12" i="24" s="1"/>
  <c r="AK13" i="24" s="1"/>
  <c r="F9" i="24"/>
  <c r="F383" i="24"/>
  <c r="Y11" i="22"/>
  <c r="J17" i="19"/>
  <c r="AA11" i="22"/>
  <c r="AA5" i="22" s="1"/>
  <c r="I17" i="19" s="1"/>
  <c r="Z11" i="22"/>
  <c r="Z5" i="22" s="1"/>
  <c r="H17" i="19" s="1"/>
  <c r="B32" i="19" s="1"/>
  <c r="AM13" i="22"/>
  <c r="AK4" i="22"/>
  <c r="R17" i="19" s="1"/>
  <c r="Z15" i="23"/>
  <c r="AL7" i="23" s="1"/>
  <c r="AL10" i="23"/>
  <c r="AA382" i="23"/>
  <c r="AM8" i="23"/>
  <c r="AA383" i="23"/>
  <c r="AA381" i="23"/>
  <c r="AA9" i="23"/>
  <c r="G381" i="23"/>
  <c r="G383" i="23"/>
  <c r="G12" i="23" s="1"/>
  <c r="G382" i="23"/>
  <c r="J15" i="23"/>
  <c r="I15" i="23"/>
  <c r="F11" i="23"/>
  <c r="AB9" i="23"/>
  <c r="G18" i="19"/>
  <c r="J42" i="19" s="1"/>
  <c r="I41" i="19" l="1"/>
  <c r="H41" i="19"/>
  <c r="D18" i="19"/>
  <c r="G42" i="19"/>
  <c r="I381" i="23"/>
  <c r="I383" i="23"/>
  <c r="I382" i="23"/>
  <c r="H15" i="24"/>
  <c r="G19" i="19"/>
  <c r="J43" i="19" s="1"/>
  <c r="F11" i="24"/>
  <c r="AB9" i="24"/>
  <c r="AL9" i="24"/>
  <c r="AA382" i="24"/>
  <c r="AA381" i="24"/>
  <c r="Z15" i="24"/>
  <c r="AL8" i="24" s="1"/>
  <c r="AA383" i="24"/>
  <c r="AM8" i="24"/>
  <c r="AA9" i="24"/>
  <c r="G381" i="24"/>
  <c r="G382" i="24"/>
  <c r="G383" i="24"/>
  <c r="G12" i="24" s="1"/>
  <c r="B9" i="19"/>
  <c r="N58" i="19"/>
  <c r="N59" i="19"/>
  <c r="N57" i="19"/>
  <c r="J383" i="23"/>
  <c r="J382" i="23"/>
  <c r="J381" i="23"/>
  <c r="H7" i="6"/>
  <c r="AU7" i="7"/>
  <c r="Z381" i="23"/>
  <c r="AL8" i="23"/>
  <c r="Y15" i="23"/>
  <c r="Z9" i="23"/>
  <c r="Z382" i="23"/>
  <c r="Z383" i="23"/>
  <c r="E15" i="25"/>
  <c r="D383" i="25"/>
  <c r="D9" i="25"/>
  <c r="D11" i="25" s="1"/>
  <c r="D381" i="25"/>
  <c r="AJ8" i="25"/>
  <c r="D382" i="25"/>
  <c r="AL5" i="23" l="1"/>
  <c r="AL11" i="23" s="1"/>
  <c r="AJ3" i="23" s="1"/>
  <c r="O18" i="19" s="1"/>
  <c r="M18" i="19" s="1"/>
  <c r="AM5" i="23"/>
  <c r="AM11" i="23" s="1"/>
  <c r="AK3" i="23" s="1"/>
  <c r="Q18" i="19" s="1"/>
  <c r="N18" i="19" s="1"/>
  <c r="E44" i="19"/>
  <c r="E18" i="19"/>
  <c r="F18" i="19" s="1"/>
  <c r="D19" i="19"/>
  <c r="G43" i="19"/>
  <c r="AJ9" i="25"/>
  <c r="AJ11" i="25" s="1"/>
  <c r="AK8" i="25"/>
  <c r="AK7" i="25"/>
  <c r="F15" i="25"/>
  <c r="E9" i="25"/>
  <c r="E11" i="25" s="1"/>
  <c r="E383" i="25"/>
  <c r="E382" i="25"/>
  <c r="AJ10" i="25"/>
  <c r="AJ12" i="25" s="1"/>
  <c r="E381" i="25"/>
  <c r="Y383" i="23"/>
  <c r="Y382" i="23"/>
  <c r="AM6" i="23"/>
  <c r="AM12" i="23" s="1"/>
  <c r="X9" i="23"/>
  <c r="Y11" i="23" s="1"/>
  <c r="Y381" i="23"/>
  <c r="AL6" i="23"/>
  <c r="AL12" i="23" s="1"/>
  <c r="I15" i="24"/>
  <c r="J15" i="24"/>
  <c r="I7" i="6"/>
  <c r="BA7" i="7"/>
  <c r="AL7" i="24"/>
  <c r="Z9" i="24"/>
  <c r="Y15" i="24"/>
  <c r="AL6" i="24" s="1"/>
  <c r="AL12" i="24" s="1"/>
  <c r="AJ4" i="24" s="1"/>
  <c r="P19" i="19" s="1"/>
  <c r="Z383" i="24"/>
  <c r="Z382" i="24"/>
  <c r="Z381" i="24"/>
  <c r="E19" i="19" l="1"/>
  <c r="F19" i="19" s="1"/>
  <c r="E33" i="19"/>
  <c r="AJ13" i="25"/>
  <c r="C20" i="19"/>
  <c r="F44" i="19"/>
  <c r="AM10" i="25"/>
  <c r="AK10" i="25"/>
  <c r="AK12" i="25" s="1"/>
  <c r="AL5" i="24"/>
  <c r="Y381" i="24"/>
  <c r="Y383" i="24"/>
  <c r="X9" i="24"/>
  <c r="Y11" i="24" s="1"/>
  <c r="Y382" i="24"/>
  <c r="AM6" i="24"/>
  <c r="AM12" i="24" s="1"/>
  <c r="AL11" i="24"/>
  <c r="J383" i="24"/>
  <c r="J381" i="24"/>
  <c r="J382" i="24"/>
  <c r="AJ4" i="23"/>
  <c r="P18" i="19" s="1"/>
  <c r="AL13" i="23"/>
  <c r="Z11" i="23"/>
  <c r="Z5" i="23" s="1"/>
  <c r="H18" i="19" s="1"/>
  <c r="AA11" i="23"/>
  <c r="AA5" i="23" s="1"/>
  <c r="I18" i="19" s="1"/>
  <c r="J18" i="19"/>
  <c r="I381" i="24"/>
  <c r="I382" i="24"/>
  <c r="I383" i="24"/>
  <c r="AM13" i="23"/>
  <c r="AK4" i="23"/>
  <c r="R18" i="19" s="1"/>
  <c r="N19" i="19" s="1"/>
  <c r="AK9" i="25"/>
  <c r="AK11" i="25" s="1"/>
  <c r="AM9" i="25"/>
  <c r="G15" i="25"/>
  <c r="CF15" i="6" s="1"/>
  <c r="J2" i="6" s="1"/>
  <c r="F9" i="25"/>
  <c r="AA15" i="25"/>
  <c r="F382" i="25"/>
  <c r="F383" i="25"/>
  <c r="F381" i="25"/>
  <c r="H15" i="25"/>
  <c r="H42" i="19" l="1"/>
  <c r="C9" i="19"/>
  <c r="I42" i="19"/>
  <c r="F33" i="19"/>
  <c r="AK13" i="25"/>
  <c r="AL9" i="25"/>
  <c r="AM8" i="25"/>
  <c r="J15" i="25"/>
  <c r="I15" i="25"/>
  <c r="AM7" i="25"/>
  <c r="AL10" i="25"/>
  <c r="AA9" i="25"/>
  <c r="AA383" i="25"/>
  <c r="AA381" i="25"/>
  <c r="AA382" i="25"/>
  <c r="Z15" i="25"/>
  <c r="AL7" i="25" s="1"/>
  <c r="G383" i="25"/>
  <c r="G12" i="25" s="1"/>
  <c r="G381" i="25"/>
  <c r="G382" i="25"/>
  <c r="AK4" i="24"/>
  <c r="R19" i="19" s="1"/>
  <c r="AM13" i="24"/>
  <c r="J19" i="19"/>
  <c r="AA11" i="24"/>
  <c r="AA5" i="24" s="1"/>
  <c r="I19" i="19" s="1"/>
  <c r="Z11" i="24"/>
  <c r="Z5" i="24" s="1"/>
  <c r="H19" i="19" s="1"/>
  <c r="F11" i="25"/>
  <c r="G20" i="19"/>
  <c r="J44" i="19" s="1"/>
  <c r="J33" i="19" s="1"/>
  <c r="AB9" i="25"/>
  <c r="AJ3" i="24"/>
  <c r="O19" i="19" s="1"/>
  <c r="M19" i="19" s="1"/>
  <c r="AL13" i="24"/>
  <c r="H43" i="19" l="1"/>
  <c r="I43" i="19"/>
  <c r="D20" i="19"/>
  <c r="G44" i="19"/>
  <c r="D9" i="19"/>
  <c r="BG7" i="7"/>
  <c r="J7" i="6"/>
  <c r="I381" i="25"/>
  <c r="I382" i="25"/>
  <c r="I383" i="25"/>
  <c r="G9" i="19"/>
  <c r="Z381" i="25"/>
  <c r="Z9" i="25"/>
  <c r="Z383" i="25"/>
  <c r="Y15" i="25"/>
  <c r="Z382" i="25"/>
  <c r="AL8" i="25"/>
  <c r="J383" i="25"/>
  <c r="J381" i="25"/>
  <c r="J382" i="25"/>
  <c r="E20" i="19" l="1"/>
  <c r="E9" i="19" s="1"/>
  <c r="G33" i="19"/>
  <c r="AL5" i="25"/>
  <c r="AL11" i="25" s="1"/>
  <c r="AJ3" i="25" s="1"/>
  <c r="O20" i="19" s="1"/>
  <c r="M20" i="19" s="1"/>
  <c r="AM6" i="25"/>
  <c r="AM12" i="25" s="1"/>
  <c r="AK4" i="25" s="1"/>
  <c r="R20" i="19" s="1"/>
  <c r="F20" i="19"/>
  <c r="AM5" i="25"/>
  <c r="AM11" i="25" s="1"/>
  <c r="Y383" i="25"/>
  <c r="Y382" i="25"/>
  <c r="Y381" i="25"/>
  <c r="AL6" i="25"/>
  <c r="AL12" i="25" s="1"/>
  <c r="X9" i="25"/>
  <c r="Z11" i="25" s="1"/>
  <c r="Z5" i="25" s="1"/>
  <c r="H20" i="19" s="1"/>
  <c r="O35" i="19" l="1"/>
  <c r="N35" i="19" s="1"/>
  <c r="O33" i="19"/>
  <c r="N33" i="19" s="1"/>
  <c r="O34" i="19"/>
  <c r="O36" i="19"/>
  <c r="N36" i="19" s="1"/>
  <c r="H44" i="19"/>
  <c r="H33" i="19" s="1"/>
  <c r="AL13" i="25"/>
  <c r="AJ4" i="25"/>
  <c r="P20" i="19" s="1"/>
  <c r="AK3" i="25"/>
  <c r="Q20" i="19" s="1"/>
  <c r="N20" i="19" s="1"/>
  <c r="AM13" i="25"/>
  <c r="F9" i="19"/>
  <c r="H9" i="19"/>
  <c r="J20" i="19"/>
  <c r="Y11" i="25"/>
  <c r="AA11" i="25"/>
  <c r="AA5" i="25" s="1"/>
  <c r="I20" i="19" s="1"/>
  <c r="N34" i="19" l="1"/>
  <c r="N32" i="19" s="1"/>
  <c r="O32" i="19"/>
  <c r="I44" i="19"/>
  <c r="I33" i="19" s="1"/>
  <c r="I9" i="19"/>
  <c r="J9" i="19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Figer en fin d'année les données production issues des fichiers mois "Picea mmm.xls" qui remplacent  la formule de prévision violette.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57" authorId="1" shapeId="0">
      <text>
        <r>
          <rPr>
            <b/>
            <sz val="9"/>
            <color indexed="81"/>
            <rFont val="Tahoma"/>
            <family val="2"/>
          </rPr>
          <t>Eric N:</t>
        </r>
        <r>
          <rPr>
            <sz val="9"/>
            <color indexed="81"/>
            <rFont val="Tahoma"/>
            <family val="2"/>
          </rPr>
          <t xml:space="preserve">
Pose PV terminée</t>
        </r>
      </text>
    </comment>
    <comment ref="A268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6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6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88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 et 17 sept</t>
        </r>
      </text>
    </comment>
  </commentList>
</comments>
</file>

<file path=xl/sharedStrings.xml><?xml version="1.0" encoding="utf-8"?>
<sst xmlns="http://schemas.openxmlformats.org/spreadsheetml/2006/main" count="2140" uniqueCount="367">
  <si>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</si>
  <si>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</si>
  <si>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</si>
  <si>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</si>
  <si>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</si>
  <si>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</si>
  <si>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</si>
  <si>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</si>
  <si>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</si>
  <si>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</si>
  <si>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</si>
  <si>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</si>
  <si>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</si>
  <si>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</si>
  <si>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</si>
  <si>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</si>
  <si>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</si>
  <si>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</si>
  <si>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</si>
  <si>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</si>
  <si>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</si>
  <si>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</si>
  <si>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</si>
  <si>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</si>
  <si>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</si>
  <si>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</si>
  <si>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</si>
  <si>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</si>
  <si>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</si>
  <si>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</si>
  <si>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</si>
  <si>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</si>
  <si>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</si>
  <si>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</si>
  <si>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</si>
  <si>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</si>
  <si>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</si>
  <si>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</si>
  <si>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</si>
  <si>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</si>
  <si>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</si>
  <si>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</si>
  <si>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</si>
  <si>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</si>
  <si>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</si>
  <si>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</si>
  <si>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</si>
  <si>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</si>
  <si>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</si>
  <si>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</si>
  <si>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</si>
  <si>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</si>
  <si>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</si>
  <si>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</si>
  <si>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</si>
  <si>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</si>
  <si>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</si>
  <si>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</si>
  <si>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</si>
  <si>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</si>
  <si>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</si>
  <si>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</si>
  <si>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</si>
  <si>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</si>
  <si>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</si>
  <si>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</si>
  <si>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</si>
  <si>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</si>
  <si>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</si>
  <si>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</si>
  <si>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</si>
  <si>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</si>
  <si>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</si>
  <si>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</si>
  <si>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</si>
  <si>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</si>
  <si>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</si>
  <si>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</si>
  <si>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</si>
  <si>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</si>
  <si>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</si>
  <si>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</si>
  <si>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</si>
  <si>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</si>
  <si>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</si>
  <si>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</si>
  <si>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</si>
  <si>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</si>
  <si>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</si>
  <si>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</si>
  <si>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</si>
  <si>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</si>
  <si>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</si>
  <si>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</si>
  <si>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</si>
  <si>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</si>
  <si>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</si>
  <si>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</si>
  <si>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</si>
  <si>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</si>
  <si>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</si>
  <si>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</si>
  <si>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</si>
  <si>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</si>
  <si>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</si>
  <si>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</si>
  <si>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</si>
  <si>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</si>
  <si>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</si>
  <si>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</si>
  <si>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</si>
  <si>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</si>
  <si>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</si>
  <si>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</si>
  <si>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</si>
  <si>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</si>
  <si>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</si>
  <si>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</si>
  <si>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</si>
  <si>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</si>
  <si>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</si>
  <si>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</si>
  <si>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</si>
  <si>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</si>
  <si>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</si>
  <si>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</si>
  <si>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</si>
  <si>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</si>
  <si>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</si>
  <si>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</si>
  <si>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</si>
  <si>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</si>
  <si>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</si>
  <si>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</si>
  <si>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</si>
  <si>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</si>
  <si>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</si>
  <si>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</si>
  <si>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</si>
  <si>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</si>
  <si>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</si>
  <si>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</si>
  <si>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</si>
  <si>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</si>
  <si>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</si>
  <si>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</si>
  <si>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</si>
  <si>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</si>
  <si>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</si>
  <si>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</si>
  <si>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</si>
  <si>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</si>
  <si>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</si>
  <si>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</si>
  <si>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</si>
  <si>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</si>
  <si>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</si>
  <si>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4</t>
  </si>
  <si>
    <t>Arbre 5</t>
  </si>
  <si>
    <t>Arbre 6</t>
  </si>
  <si>
    <t>Arbre 8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</si>
  <si>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</si>
  <si>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</si>
  <si>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</si>
  <si>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</si>
  <si>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</si>
  <si>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</si>
  <si>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</si>
  <si>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</si>
  <si>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</si>
  <si>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>Calibrations rapports d'angle/H photos de référence</t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</si>
  <si>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</si>
  <si>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</si>
  <si>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</si>
  <si>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</si>
  <si>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</si>
  <si>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</si>
  <si>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</si>
  <si>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</si>
  <si>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</si>
  <si>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</si>
  <si>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</si>
  <si>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</si>
  <si>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</si>
  <si>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</si>
  <si>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</si>
  <si>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</si>
  <si>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</si>
  <si>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Hauteur initiale de référence =  mesure: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</si>
  <si>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</si>
  <si>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</si>
  <si>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</si>
  <si>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</si>
  <si>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</si>
  <si>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</si>
  <si>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</si>
  <si>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</si>
  <si>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</si>
  <si>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</si>
  <si>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Pousse en Hauteur: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</si>
  <si>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</si>
  <si>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</si>
  <si>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</si>
  <si>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</si>
  <si>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</si>
  <si>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</si>
  <si>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</si>
  <si>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</si>
  <si>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</si>
  <si>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Date de mesure Masque à 0m: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</si>
  <si>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</si>
  <si>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</si>
  <si>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</si>
  <si>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</si>
  <si>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</si>
  <si>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</si>
  <si>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</si>
  <si>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</si>
  <si>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</si>
  <si>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</si>
  <si>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</si>
  <si>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</si>
  <si>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</si>
  <si>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</si>
  <si>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</si>
  <si>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</si>
  <si>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</si>
  <si>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</si>
  <si>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</si>
  <si>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</si>
  <si>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</si>
  <si>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</si>
  <si>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</si>
  <si>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</si>
  <si>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</si>
  <si>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</si>
  <si>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</si>
  <si>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</si>
  <si>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</si>
  <si>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</si>
  <si>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</si>
  <si>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</si>
  <si>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</si>
  <si>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</si>
  <si>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</si>
  <si>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</si>
  <si>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</si>
  <si>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</si>
  <si>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</si>
  <si>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</si>
  <si>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</si>
  <si>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</si>
  <si>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</si>
  <si>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</si>
  <si>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</si>
  <si>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</si>
  <si>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</si>
  <si>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</si>
  <si>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</si>
  <si>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</si>
  <si>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</si>
  <si>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</si>
  <si>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</si>
  <si>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</si>
  <si>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</si>
  <si>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</si>
  <si>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</si>
  <si>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</si>
  <si>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</si>
  <si>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</si>
  <si>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</si>
  <si>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</si>
  <si>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</si>
  <si>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</si>
  <si>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</si>
  <si>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</si>
  <si>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</si>
  <si>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</si>
  <si>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</si>
  <si>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</si>
  <si>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</si>
  <si>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</si>
  <si>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</si>
  <si>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Arbre 7</t>
  </si>
  <si>
    <t>Creux 3</t>
  </si>
  <si>
    <t>Arbre 9</t>
  </si>
  <si>
    <t>Crèche Ayguesvives</t>
  </si>
  <si>
    <t>barrière bois / mur gauche</t>
  </si>
  <si>
    <t>barrière bois à l'angle droit</t>
  </si>
  <si>
    <t>Observ. 1: loin (rond point)</t>
  </si>
  <si>
    <t>Observ. 2 près champ PV</t>
  </si>
  <si>
    <t>Observ. 3: trottoir coté cyprès</t>
  </si>
  <si>
    <t>Hauteur 0 = sol trottoir Crêche</t>
  </si>
  <si>
    <t>Photo1: Ayguesvives Crêche loin</t>
  </si>
  <si>
    <t>Photo2 : Ayguesvives Crêche Pano</t>
  </si>
  <si>
    <t>Photo 3: 2022-01-06 Facade crêche Ayg</t>
  </si>
  <si>
    <t>Creux 2</t>
  </si>
  <si>
    <t>Toiture</t>
  </si>
  <si>
    <t>Groupe arbre 1 Est</t>
  </si>
  <si>
    <t>Groupe arbre 1 Ouest</t>
  </si>
  <si>
    <t>Groupe arbre 1 Sud</t>
  </si>
  <si>
    <t>Groupe arbre 1 SO</t>
  </si>
  <si>
    <t>Batiment p1</t>
  </si>
  <si>
    <t>Arbre 3g</t>
  </si>
  <si>
    <t>Arbre 3d</t>
  </si>
  <si>
    <t>Creux 1 (A4)</t>
  </si>
  <si>
    <t>Date de relevé:</t>
  </si>
  <si>
    <t>Azimut Gauche:</t>
  </si>
  <si>
    <t>Azimut Dr.:</t>
  </si>
  <si>
    <t>Sélection champ PV</t>
  </si>
  <si>
    <t>normale</t>
  </si>
  <si>
    <t>Gauche / Droite:</t>
  </si>
  <si>
    <t>Centre du champ PV D.C.:</t>
  </si>
  <si>
    <t>Centre du champ PV G.C.:</t>
  </si>
  <si>
    <t>Externe ou Centre (E/C):</t>
  </si>
  <si>
    <t>Centre du champ PV D.E.:</t>
  </si>
  <si>
    <t>Centre du champ PV G.E.:</t>
  </si>
  <si>
    <t>Azimut</t>
  </si>
  <si>
    <t>Rampant</t>
  </si>
  <si>
    <t>Seuil Az</t>
  </si>
  <si>
    <t>Elevation</t>
  </si>
  <si>
    <t>Ecart Azimut mini entre points du masque</t>
  </si>
  <si>
    <r>
      <rPr>
        <sz val="8"/>
        <color indexed="23"/>
        <rFont val="Calibri"/>
        <family val="2"/>
      </rPr>
      <t>Δ azimut</t>
    </r>
  </si>
  <si>
    <t>Ecart Az &lt;</t>
  </si>
  <si>
    <t>Décalage</t>
  </si>
  <si>
    <t>Shift G/D</t>
  </si>
  <si>
    <t>Configu. Zone 1</t>
  </si>
  <si>
    <t>Configu. Zone 3</t>
  </si>
  <si>
    <t>Configu. Zone 4</t>
  </si>
  <si>
    <t>G</t>
  </si>
  <si>
    <t>elev moy</t>
  </si>
  <si>
    <t>n° zone:</t>
  </si>
  <si>
    <t>: Hauteur champ PV sélectionnée</t>
  </si>
  <si>
    <t>E</t>
  </si>
  <si>
    <t>référence pousse en hauteur:</t>
  </si>
  <si>
    <t>Données à calculer dans 'Masqu_vg4' et à importer</t>
  </si>
  <si>
    <t>: Pousse en hauteur initiale</t>
  </si>
  <si>
    <t>Configu. Zone 2</t>
  </si>
  <si>
    <t>Version précédente pour les écarts azimut et remises en forme: éventuellement recalculer les masques avec dernière version mais pas indispensable</t>
  </si>
  <si>
    <t>Répartition modules et puissance</t>
  </si>
  <si>
    <t>Azimut(s) G &amp; D:</t>
  </si>
  <si>
    <t>Seuil forte prod.: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</si>
  <si>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</si>
  <si>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</si>
  <si>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</si>
  <si>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</si>
  <si>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</si>
  <si>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</si>
  <si>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</si>
  <si>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</si>
  <si>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</si>
  <si>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</si>
  <si>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</si>
  <si>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I</t>
  </si>
  <si>
    <t>Compilation Ratios /MaxiM</t>
  </si>
  <si>
    <t>Moyenne ratios forte prod. &gt;0,97 :</t>
  </si>
  <si>
    <t>periode net</t>
  </si>
  <si>
    <t>gain par an</t>
  </si>
  <si>
    <t>moyennes annuelles</t>
  </si>
  <si>
    <t>Gains depuis le "début" ou depuis dernière "action":</t>
  </si>
  <si>
    <t>action</t>
  </si>
  <si>
    <t>Cumul 23</t>
  </si>
  <si>
    <t>24 hors net</t>
  </si>
  <si>
    <t>A la nouvelle année changer la référence de feuille annuelle (+1) dans colonnes 'B' et 'C'</t>
  </si>
  <si>
    <t>Figer en fin d'année les données production</t>
  </si>
  <si>
    <r>
      <t xml:space="preserve">kW /jour </t>
    </r>
    <r>
      <rPr>
        <sz val="10"/>
        <rFont val="Calibri"/>
        <family val="2"/>
        <scheme val="minor"/>
      </rPr>
      <t>produit</t>
    </r>
  </si>
  <si>
    <t>kW /jour projeté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</si>
</sst>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b/>
      <sz val="9"/>
      <color indexed="81"/>
      <name val="Tahoma"/>
      <family val="2"/>
    </font>
    <font>
      <sz val="8"/>
      <color indexed="23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6" applyNumberFormat="0" applyAlignment="0" applyProtection="0"/>
    <xf numFmtId="0" fontId="15" fillId="0" borderId="57" applyNumberFormat="0" applyFill="0" applyAlignment="0" applyProtection="0"/>
    <xf numFmtId="0" fontId="11" fillId="27" borderId="58" applyNumberFormat="0" applyFont="0" applyAlignment="0" applyProtection="0"/>
    <xf numFmtId="0" fontId="16" fillId="28" borderId="56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0" applyNumberFormat="0" applyFill="0" applyAlignment="0" applyProtection="0"/>
    <xf numFmtId="0" fontId="24" fillId="0" borderId="61" applyNumberFormat="0" applyFill="0" applyAlignment="0" applyProtection="0"/>
    <xf numFmtId="0" fontId="25" fillId="0" borderId="6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3" applyNumberFormat="0" applyFill="0" applyAlignment="0" applyProtection="0"/>
    <xf numFmtId="0" fontId="27" fillId="32" borderId="64" applyNumberFormat="0" applyAlignment="0" applyProtection="0"/>
  </cellStyleXfs>
  <cellXfs count="1282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0" fontId="34" fillId="0" borderId="6" xfId="0" applyFont="1" applyBorder="1" applyAlignment="1" applyProtection="1">
      <alignment horizontal="center"/>
    </xf>
    <xf numFmtId="0" fontId="34" fillId="0" borderId="8" xfId="0" applyFont="1" applyBorder="1" applyAlignment="1" applyProtection="1">
      <alignment horizontal="center"/>
    </xf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2" fontId="36" fillId="0" borderId="0" xfId="0" applyNumberFormat="1" applyFont="1" applyBorder="1" applyProtection="1"/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80" fillId="0" borderId="15" xfId="33" applyNumberFormat="1" applyFont="1" applyFill="1" applyBorder="1" applyAlignment="1" applyProtection="1">
      <alignment horizontal="center"/>
      <protection locked="0"/>
    </xf>
    <xf numFmtId="168" fontId="80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171" fontId="31" fillId="0" borderId="4" xfId="0" applyNumberFormat="1" applyFont="1" applyBorder="1" applyProtection="1"/>
    <xf numFmtId="0" fontId="80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79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1" fontId="32" fillId="0" borderId="21" xfId="0" applyNumberFormat="1" applyFont="1" applyBorder="1" applyProtection="1"/>
    <xf numFmtId="1" fontId="32" fillId="0" borderId="24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70" fontId="34" fillId="0" borderId="0" xfId="0" applyNumberFormat="1" applyFont="1" applyAlignment="1" applyProtection="1">
      <alignment horizontal="left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5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6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0" fontId="38" fillId="0" borderId="0" xfId="0" applyFont="1" applyBorder="1" applyAlignment="1" applyProtection="1">
      <alignment horizontal="center"/>
      <protection locked="0"/>
    </xf>
    <xf numFmtId="179" fontId="38" fillId="0" borderId="2" xfId="0" applyNumberFormat="1" applyFont="1" applyBorder="1" applyAlignment="1" applyProtection="1">
      <alignment horizontal="center"/>
      <protection locked="0"/>
    </xf>
    <xf numFmtId="0" fontId="37" fillId="0" borderId="0" xfId="0" applyFont="1" applyBorder="1" applyAlignment="1" applyProtection="1">
      <alignment horizontal="center"/>
      <protection locked="0"/>
    </xf>
    <xf numFmtId="179" fontId="38" fillId="0" borderId="0" xfId="0" applyNumberFormat="1" applyFont="1" applyBorder="1" applyAlignment="1" applyProtection="1">
      <alignment horizontal="center"/>
      <protection locked="0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32" fillId="0" borderId="0" xfId="0" applyFont="1" applyAlignment="1" applyProtection="1">
      <alignment horizontal="left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83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179" fontId="36" fillId="0" borderId="0" xfId="0" applyNumberFormat="1" applyFont="1" applyFill="1" applyBorder="1" applyProtection="1"/>
    <xf numFmtId="0" fontId="38" fillId="0" borderId="0" xfId="0" applyFont="1" applyBorder="1" applyAlignment="1" applyProtection="1">
      <alignment horizontal="center"/>
    </xf>
    <xf numFmtId="179" fontId="38" fillId="0" borderId="0" xfId="0" applyNumberFormat="1" applyFont="1" applyFill="1" applyBorder="1" applyProtection="1"/>
    <xf numFmtId="179" fontId="36" fillId="0" borderId="0" xfId="0" applyNumberFormat="1" applyFont="1" applyBorder="1" applyProtection="1"/>
    <xf numFmtId="0" fontId="37" fillId="0" borderId="0" xfId="0" applyFont="1" applyBorder="1" applyAlignment="1" applyProtection="1">
      <alignment horizontal="center"/>
    </xf>
    <xf numFmtId="179" fontId="37" fillId="0" borderId="0" xfId="0" applyNumberFormat="1" applyFont="1" applyBorder="1" applyProtection="1"/>
    <xf numFmtId="0" fontId="37" fillId="0" borderId="0" xfId="0" applyFont="1" applyBorder="1" applyAlignment="1" applyProtection="1">
      <alignment horizontal="right"/>
    </xf>
    <xf numFmtId="1" fontId="32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left"/>
    </xf>
    <xf numFmtId="0" fontId="36" fillId="0" borderId="0" xfId="0" applyFont="1" applyBorder="1" applyAlignment="1" applyProtection="1">
      <alignment horizontal="right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183" fontId="37" fillId="0" borderId="0" xfId="0" applyNumberFormat="1" applyFont="1" applyBorder="1" applyProtection="1"/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86" fillId="0" borderId="3" xfId="33" applyNumberFormat="1" applyFont="1" applyBorder="1" applyAlignment="1" applyProtection="1">
      <alignment horizont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166" fontId="104" fillId="0" borderId="29" xfId="33" applyNumberFormat="1" applyFont="1" applyBorder="1" applyAlignment="1" applyProtection="1">
      <alignment horizontal="center"/>
      <protection locked="0"/>
    </xf>
    <xf numFmtId="166" fontId="105" fillId="0" borderId="29" xfId="33" applyNumberFormat="1" applyFont="1" applyBorder="1" applyAlignment="1" applyProtection="1">
      <alignment horizontal="center"/>
      <protection locked="0"/>
    </xf>
    <xf numFmtId="186" fontId="50" fillId="0" borderId="0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2" fontId="32" fillId="0" borderId="13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2" fontId="32" fillId="0" borderId="2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1" fontId="32" fillId="0" borderId="4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30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5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179" fontId="38" fillId="0" borderId="4" xfId="0" applyNumberFormat="1" applyFont="1" applyBorder="1" applyAlignment="1" applyProtection="1">
      <alignment horizontal="center"/>
      <protection locked="0"/>
    </xf>
    <xf numFmtId="167" fontId="83" fillId="0" borderId="0" xfId="0" applyNumberFormat="1" applyFont="1" applyProtection="1"/>
    <xf numFmtId="0" fontId="110" fillId="0" borderId="0" xfId="0" applyFont="1" applyProtection="1"/>
    <xf numFmtId="0" fontId="83" fillId="0" borderId="0" xfId="0" applyFont="1" applyBorder="1" applyAlignment="1" applyProtection="1">
      <alignment horizontal="right"/>
    </xf>
    <xf numFmtId="179" fontId="33" fillId="0" borderId="0" xfId="0" applyNumberFormat="1" applyFont="1" applyBorder="1" applyAlignment="1" applyProtection="1">
      <alignment horizontal="center"/>
    </xf>
    <xf numFmtId="179" fontId="83" fillId="0" borderId="0" xfId="0" applyNumberFormat="1" applyFont="1" applyBorder="1" applyAlignment="1" applyProtection="1">
      <alignment horizontal="center"/>
    </xf>
    <xf numFmtId="166" fontId="111" fillId="0" borderId="31" xfId="33" applyNumberFormat="1" applyFont="1" applyBorder="1" applyAlignment="1" applyProtection="1">
      <alignment horizontal="center"/>
      <protection locked="0"/>
    </xf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2" fillId="0" borderId="29" xfId="0" applyNumberFormat="1" applyFont="1" applyFill="1" applyBorder="1" applyProtection="1">
      <protection locked="0"/>
    </xf>
    <xf numFmtId="0" fontId="112" fillId="0" borderId="0" xfId="0" applyFont="1" applyAlignment="1" applyProtection="1">
      <alignment horizontal="center"/>
    </xf>
    <xf numFmtId="2" fontId="112" fillId="34" borderId="29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183" fontId="52" fillId="0" borderId="1" xfId="0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7" xfId="33" applyNumberFormat="1" applyFont="1" applyBorder="1" applyAlignment="1" applyProtection="1">
      <alignment horizontal="center"/>
      <protection locked="0"/>
    </xf>
    <xf numFmtId="167" fontId="104" fillId="0" borderId="29" xfId="33" applyNumberFormat="1" applyFont="1" applyBorder="1" applyAlignment="1" applyProtection="1">
      <alignment horizontal="center"/>
      <protection locked="0"/>
    </xf>
    <xf numFmtId="0" fontId="74" fillId="0" borderId="0" xfId="0" applyFont="1" applyProtection="1"/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3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2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2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2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4" fillId="0" borderId="13" xfId="0" applyNumberFormat="1" applyFont="1" applyBorder="1" applyAlignment="1" applyProtection="1">
      <alignment horizontal="center"/>
    </xf>
    <xf numFmtId="1" fontId="114" fillId="0" borderId="11" xfId="0" applyNumberFormat="1" applyFont="1" applyBorder="1" applyAlignment="1" applyProtection="1">
      <alignment horizontal="center"/>
    </xf>
    <xf numFmtId="1" fontId="114" fillId="0" borderId="2" xfId="0" applyNumberFormat="1" applyFont="1" applyBorder="1" applyAlignment="1" applyProtection="1">
      <alignment horizontal="center"/>
    </xf>
    <xf numFmtId="1" fontId="114" fillId="0" borderId="10" xfId="0" applyNumberFormat="1" applyFont="1" applyBorder="1" applyAlignment="1" applyProtection="1">
      <alignment horizontal="center"/>
    </xf>
    <xf numFmtId="1" fontId="114" fillId="0" borderId="17" xfId="0" applyNumberFormat="1" applyFont="1" applyBorder="1" applyAlignment="1" applyProtection="1">
      <alignment horizontal="center"/>
    </xf>
    <xf numFmtId="1" fontId="114" fillId="0" borderId="32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6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7" fillId="0" borderId="0" xfId="0" applyNumberFormat="1" applyFont="1" applyAlignment="1" applyProtection="1">
      <alignment horizontal="center"/>
    </xf>
    <xf numFmtId="2" fontId="36" fillId="0" borderId="5" xfId="0" applyNumberFormat="1" applyFont="1" applyBorder="1" applyProtection="1">
      <protection locked="0"/>
    </xf>
    <xf numFmtId="179" fontId="36" fillId="0" borderId="5" xfId="0" applyNumberFormat="1" applyFont="1" applyBorder="1" applyProtection="1">
      <protection locked="0"/>
    </xf>
    <xf numFmtId="2" fontId="36" fillId="0" borderId="0" xfId="0" applyNumberFormat="1" applyFont="1" applyBorder="1" applyProtection="1">
      <protection locked="0"/>
    </xf>
    <xf numFmtId="179" fontId="36" fillId="0" borderId="0" xfId="0" applyNumberFormat="1" applyFont="1" applyBorder="1" applyProtection="1">
      <protection locked="0"/>
    </xf>
    <xf numFmtId="179" fontId="37" fillId="0" borderId="0" xfId="0" applyNumberFormat="1" applyFont="1" applyBorder="1" applyProtection="1">
      <protection locked="0"/>
    </xf>
    <xf numFmtId="179" fontId="37" fillId="0" borderId="2" xfId="0" applyNumberFormat="1" applyFont="1" applyBorder="1" applyAlignment="1" applyProtection="1">
      <alignment horizontal="center"/>
      <protection locked="0"/>
    </xf>
    <xf numFmtId="2" fontId="34" fillId="0" borderId="0" xfId="0" applyNumberFormat="1" applyFont="1" applyBorder="1" applyProtection="1">
      <protection locked="0"/>
    </xf>
    <xf numFmtId="0" fontId="37" fillId="0" borderId="7" xfId="0" applyFont="1" applyBorder="1" applyProtection="1">
      <protection locked="0"/>
    </xf>
    <xf numFmtId="187" fontId="37" fillId="0" borderId="2" xfId="31" applyNumberFormat="1" applyFont="1" applyBorder="1" applyAlignment="1" applyProtection="1">
      <alignment horizontal="center"/>
      <protection locked="0"/>
    </xf>
    <xf numFmtId="187" fontId="37" fillId="0" borderId="0" xfId="31" applyNumberFormat="1" applyFont="1" applyBorder="1" applyAlignment="1" applyProtection="1">
      <alignment horizontal="center"/>
      <protection locked="0"/>
    </xf>
    <xf numFmtId="187" fontId="37" fillId="0" borderId="10" xfId="31" applyNumberFormat="1" applyFont="1" applyBorder="1" applyAlignment="1" applyProtection="1">
      <alignment horizontal="center"/>
      <protection locked="0"/>
    </xf>
    <xf numFmtId="187" fontId="50" fillId="0" borderId="7" xfId="31" applyNumberFormat="1" applyFont="1" applyBorder="1" applyAlignment="1" applyProtection="1">
      <alignment horizontal="center"/>
      <protection locked="0"/>
    </xf>
    <xf numFmtId="2" fontId="95" fillId="0" borderId="0" xfId="0" applyNumberFormat="1" applyFont="1" applyBorder="1" applyProtection="1">
      <protection locked="0"/>
    </xf>
    <xf numFmtId="0" fontId="34" fillId="0" borderId="0" xfId="0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9" fontId="118" fillId="0" borderId="19" xfId="33" applyFont="1" applyBorder="1" applyAlignment="1" applyProtection="1">
      <alignment horizontal="center" vertical="center"/>
      <protection locked="0"/>
    </xf>
    <xf numFmtId="173" fontId="118" fillId="0" borderId="19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34" fillId="0" borderId="0" xfId="0" applyNumberFormat="1" applyFont="1" applyAlignment="1" applyProtection="1">
      <alignment horizontal="center" vertical="center"/>
    </xf>
    <xf numFmtId="0" fontId="36" fillId="0" borderId="0" xfId="0" applyFont="1" applyBorder="1" applyAlignment="1" applyProtection="1">
      <alignment horizontal="left"/>
    </xf>
    <xf numFmtId="173" fontId="38" fillId="0" borderId="0" xfId="0" applyNumberFormat="1" applyFont="1" applyAlignment="1" applyProtection="1">
      <alignment horizontal="center" vertical="center"/>
    </xf>
    <xf numFmtId="2" fontId="38" fillId="0" borderId="0" xfId="0" applyNumberFormat="1" applyFont="1" applyAlignment="1" applyProtection="1">
      <alignment horizontal="center" vertical="center"/>
    </xf>
    <xf numFmtId="2" fontId="36" fillId="0" borderId="33" xfId="0" applyNumberFormat="1" applyFont="1" applyBorder="1" applyProtection="1">
      <protection locked="0"/>
    </xf>
    <xf numFmtId="179" fontId="36" fillId="0" borderId="33" xfId="0" applyNumberFormat="1" applyFont="1" applyBorder="1" applyProtection="1">
      <protection locked="0"/>
    </xf>
    <xf numFmtId="179" fontId="95" fillId="0" borderId="25" xfId="0" applyNumberFormat="1" applyFont="1" applyBorder="1" applyAlignment="1" applyProtection="1">
      <alignment horizontal="center"/>
      <protection locked="0"/>
    </xf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0" fontId="32" fillId="0" borderId="7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left"/>
    </xf>
    <xf numFmtId="2" fontId="36" fillId="0" borderId="1" xfId="0" applyNumberFormat="1" applyFont="1" applyBorder="1" applyProtection="1">
      <protection locked="0"/>
    </xf>
    <xf numFmtId="179" fontId="36" fillId="0" borderId="1" xfId="0" applyNumberFormat="1" applyFont="1" applyBorder="1" applyProtection="1">
      <protection locked="0"/>
    </xf>
    <xf numFmtId="179" fontId="37" fillId="0" borderId="1" xfId="0" applyNumberFormat="1" applyFont="1" applyBorder="1" applyProtection="1">
      <protection locked="0"/>
    </xf>
    <xf numFmtId="0" fontId="34" fillId="0" borderId="0" xfId="0" applyFont="1" applyAlignment="1" applyProtection="1">
      <alignment horizontal="left" vertical="top"/>
    </xf>
    <xf numFmtId="0" fontId="119" fillId="33" borderId="3" xfId="0" applyFont="1" applyFill="1" applyBorder="1" applyAlignment="1" applyProtection="1">
      <alignment horizontal="right"/>
    </xf>
    <xf numFmtId="0" fontId="33" fillId="0" borderId="0" xfId="0" applyFont="1" applyAlignment="1" applyProtection="1">
      <alignment horizontal="center"/>
    </xf>
    <xf numFmtId="179" fontId="37" fillId="33" borderId="33" xfId="0" applyNumberFormat="1" applyFont="1" applyFill="1" applyBorder="1" applyAlignment="1" applyProtection="1">
      <alignment horizontal="center"/>
      <protection locked="0"/>
    </xf>
    <xf numFmtId="179" fontId="37" fillId="33" borderId="0" xfId="0" applyNumberFormat="1" applyFont="1" applyFill="1" applyBorder="1" applyAlignment="1" applyProtection="1">
      <alignment horizontal="center"/>
      <protection locked="0"/>
    </xf>
    <xf numFmtId="179" fontId="38" fillId="33" borderId="0" xfId="0" applyNumberFormat="1" applyFont="1" applyFill="1" applyBorder="1" applyAlignment="1" applyProtection="1">
      <alignment horizontal="center"/>
      <protection locked="0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31" fillId="0" borderId="33" xfId="0" applyFont="1" applyBorder="1" applyAlignment="1" applyProtection="1">
      <alignment horizontal="right"/>
    </xf>
    <xf numFmtId="179" fontId="37" fillId="33" borderId="37" xfId="0" applyNumberFormat="1" applyFont="1" applyFill="1" applyBorder="1" applyProtection="1">
      <protection locked="0"/>
    </xf>
    <xf numFmtId="179" fontId="37" fillId="33" borderId="10" xfId="0" applyNumberFormat="1" applyFont="1" applyFill="1" applyBorder="1" applyProtection="1">
      <protection locked="0"/>
    </xf>
    <xf numFmtId="179" fontId="38" fillId="33" borderId="10" xfId="0" applyNumberFormat="1" applyFont="1" applyFill="1" applyBorder="1" applyProtection="1">
      <protection locked="0"/>
    </xf>
    <xf numFmtId="179" fontId="95" fillId="0" borderId="33" xfId="0" applyNumberFormat="1" applyFont="1" applyBorder="1" applyAlignment="1" applyProtection="1">
      <alignment horizontal="center"/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2" fontId="38" fillId="0" borderId="0" xfId="0" applyNumberFormat="1" applyFont="1" applyBorder="1" applyProtection="1">
      <protection locked="0"/>
    </xf>
    <xf numFmtId="0" fontId="31" fillId="0" borderId="0" xfId="0" applyFont="1" applyBorder="1" applyAlignment="1" applyProtection="1">
      <alignment horizontal="right"/>
    </xf>
    <xf numFmtId="179" fontId="95" fillId="0" borderId="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179" fontId="38" fillId="0" borderId="0" xfId="0" applyNumberFormat="1" applyFont="1" applyBorder="1" applyProtection="1">
      <protection locked="0"/>
    </xf>
    <xf numFmtId="0" fontId="32" fillId="0" borderId="0" xfId="0" applyFont="1" applyBorder="1" applyAlignment="1" applyProtection="1">
      <alignment horizontal="right"/>
    </xf>
    <xf numFmtId="0" fontId="38" fillId="0" borderId="40" xfId="0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0" fontId="95" fillId="0" borderId="33" xfId="0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0" fontId="95" fillId="0" borderId="41" xfId="0" applyFont="1" applyBorder="1" applyAlignment="1" applyProtection="1">
      <alignment horizontal="right"/>
      <protection locked="0"/>
    </xf>
    <xf numFmtId="0" fontId="95" fillId="0" borderId="26" xfId="0" applyFont="1" applyBorder="1" applyAlignment="1" applyProtection="1">
      <alignment horizontal="right"/>
      <protection locked="0"/>
    </xf>
    <xf numFmtId="0" fontId="95" fillId="0" borderId="42" xfId="0" applyFont="1" applyBorder="1" applyAlignment="1" applyProtection="1">
      <alignment horizontal="right"/>
      <protection locked="0"/>
    </xf>
    <xf numFmtId="179" fontId="34" fillId="0" borderId="0" xfId="0" applyNumberFormat="1" applyFont="1" applyBorder="1" applyAlignment="1" applyProtection="1">
      <alignment horizontal="center"/>
    </xf>
    <xf numFmtId="2" fontId="111" fillId="0" borderId="38" xfId="0" applyNumberFormat="1" applyFont="1" applyBorder="1" applyProtection="1">
      <protection locked="0"/>
    </xf>
    <xf numFmtId="2" fontId="111" fillId="0" borderId="39" xfId="0" applyNumberFormat="1" applyFont="1" applyBorder="1" applyProtection="1">
      <protection locked="0"/>
    </xf>
    <xf numFmtId="2" fontId="86" fillId="0" borderId="39" xfId="0" applyNumberFormat="1" applyFont="1" applyBorder="1" applyProtection="1">
      <protection locked="0"/>
    </xf>
    <xf numFmtId="2" fontId="86" fillId="0" borderId="43" xfId="0" applyNumberFormat="1" applyFont="1" applyBorder="1" applyProtection="1"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179" fontId="95" fillId="0" borderId="26" xfId="0" applyNumberFormat="1" applyFont="1" applyBorder="1" applyAlignment="1" applyProtection="1">
      <alignment horizontal="center"/>
      <protection locked="0"/>
    </xf>
    <xf numFmtId="179" fontId="95" fillId="0" borderId="42" xfId="0" applyNumberFormat="1" applyFont="1" applyBorder="1" applyAlignment="1" applyProtection="1">
      <alignment horizontal="center"/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0" fontId="38" fillId="0" borderId="41" xfId="0" applyFont="1" applyBorder="1" applyAlignment="1" applyProtection="1">
      <alignment horizontal="right"/>
      <protection locked="0"/>
    </xf>
    <xf numFmtId="0" fontId="38" fillId="0" borderId="33" xfId="0" applyFont="1" applyBorder="1" applyAlignment="1" applyProtection="1">
      <alignment horizontal="center"/>
      <protection locked="0"/>
    </xf>
    <xf numFmtId="0" fontId="38" fillId="0" borderId="26" xfId="0" applyFont="1" applyBorder="1" applyAlignment="1" applyProtection="1">
      <alignment horizontal="right"/>
      <protection locked="0"/>
    </xf>
    <xf numFmtId="0" fontId="115" fillId="0" borderId="26" xfId="0" applyFont="1" applyBorder="1" applyAlignment="1" applyProtection="1">
      <alignment horizontal="right"/>
      <protection locked="0"/>
    </xf>
    <xf numFmtId="2" fontId="111" fillId="0" borderId="35" xfId="0" applyNumberFormat="1" applyFont="1" applyBorder="1" applyProtection="1">
      <protection locked="0"/>
    </xf>
    <xf numFmtId="2" fontId="111" fillId="0" borderId="43" xfId="0" applyNumberFormat="1" applyFont="1" applyBorder="1" applyProtection="1">
      <protection locked="0"/>
    </xf>
    <xf numFmtId="0" fontId="31" fillId="0" borderId="2" xfId="0" applyFont="1" applyBorder="1" applyAlignment="1" applyProtection="1">
      <alignment horizontal="right"/>
      <protection locked="0"/>
    </xf>
    <xf numFmtId="179" fontId="38" fillId="0" borderId="26" xfId="0" applyNumberFormat="1" applyFont="1" applyBorder="1" applyAlignment="1" applyProtection="1">
      <alignment horizontal="center"/>
      <protection locked="0"/>
    </xf>
    <xf numFmtId="179" fontId="38" fillId="0" borderId="39" xfId="0" applyNumberFormat="1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2" fontId="111" fillId="0" borderId="44" xfId="0" applyNumberFormat="1" applyFont="1" applyBorder="1" applyProtection="1">
      <protection locked="0"/>
    </xf>
    <xf numFmtId="2" fontId="111" fillId="0" borderId="34" xfId="0" applyNumberFormat="1" applyFont="1" applyBorder="1" applyProtection="1">
      <protection locked="0"/>
    </xf>
    <xf numFmtId="2" fontId="111" fillId="0" borderId="45" xfId="0" applyNumberFormat="1" applyFont="1" applyBorder="1" applyProtection="1">
      <protection locked="0"/>
    </xf>
    <xf numFmtId="2" fontId="111" fillId="0" borderId="46" xfId="0" applyNumberFormat="1" applyFont="1" applyBorder="1" applyProtection="1">
      <protection locked="0"/>
    </xf>
    <xf numFmtId="2" fontId="111" fillId="0" borderId="47" xfId="0" applyNumberFormat="1" applyFont="1" applyBorder="1" applyProtection="1">
      <protection locked="0"/>
    </xf>
    <xf numFmtId="179" fontId="95" fillId="0" borderId="44" xfId="0" applyNumberFormat="1" applyFont="1" applyBorder="1" applyAlignment="1" applyProtection="1">
      <alignment horizontal="center"/>
      <protection locked="0"/>
    </xf>
    <xf numFmtId="179" fontId="95" fillId="0" borderId="45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179" fontId="95" fillId="0" borderId="47" xfId="0" applyNumberFormat="1" applyFont="1" applyBorder="1" applyAlignment="1" applyProtection="1">
      <alignment horizontal="center"/>
      <protection locked="0"/>
    </xf>
    <xf numFmtId="2" fontId="111" fillId="0" borderId="27" xfId="0" applyNumberFormat="1" applyFont="1" applyFill="1" applyBorder="1" applyAlignment="1" applyProtection="1">
      <alignment horizontal="center"/>
      <protection locked="0"/>
    </xf>
    <xf numFmtId="2" fontId="111" fillId="0" borderId="28" xfId="0" applyNumberFormat="1" applyFont="1" applyBorder="1" applyAlignment="1" applyProtection="1">
      <alignment horizontal="center"/>
      <protection locked="0"/>
    </xf>
    <xf numFmtId="2" fontId="111" fillId="0" borderId="29" xfId="0" applyNumberFormat="1" applyFont="1" applyBorder="1" applyAlignment="1" applyProtection="1">
      <alignment horizont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1" fontId="55" fillId="0" borderId="48" xfId="0" applyNumberFormat="1" applyFont="1" applyBorder="1" applyAlignment="1" applyProtection="1">
      <alignment horizontal="center"/>
      <protection locked="0"/>
    </xf>
    <xf numFmtId="1" fontId="55" fillId="0" borderId="49" xfId="0" applyNumberFormat="1" applyFont="1" applyBorder="1" applyAlignment="1" applyProtection="1">
      <alignment horizontal="center"/>
      <protection locked="0"/>
    </xf>
    <xf numFmtId="166" fontId="55" fillId="0" borderId="50" xfId="0" applyNumberFormat="1" applyFont="1" applyBorder="1" applyAlignment="1" applyProtection="1">
      <alignment horizontal="center"/>
      <protection locked="0"/>
    </xf>
    <xf numFmtId="0" fontId="36" fillId="33" borderId="7" xfId="0" applyFont="1" applyFill="1" applyBorder="1" applyProtection="1"/>
    <xf numFmtId="0" fontId="95" fillId="0" borderId="19" xfId="0" applyFont="1" applyBorder="1" applyAlignment="1" applyProtection="1">
      <alignment horizontal="center"/>
      <protection locked="0"/>
    </xf>
    <xf numFmtId="2" fontId="38" fillId="0" borderId="51" xfId="0" applyNumberFormat="1" applyFont="1" applyBorder="1" applyProtection="1">
      <protection locked="0"/>
    </xf>
    <xf numFmtId="179" fontId="38" fillId="0" borderId="1" xfId="0" applyNumberFormat="1" applyFont="1" applyBorder="1" applyProtection="1">
      <protection locked="0"/>
    </xf>
    <xf numFmtId="2" fontId="38" fillId="0" borderId="1" xfId="0" applyNumberFormat="1" applyFont="1" applyBorder="1" applyProtection="1">
      <protection locked="0"/>
    </xf>
    <xf numFmtId="179" fontId="38" fillId="33" borderId="9" xfId="0" applyNumberFormat="1" applyFont="1" applyFill="1" applyBorder="1" applyProtection="1">
      <protection locked="0"/>
    </xf>
    <xf numFmtId="179" fontId="38" fillId="33" borderId="1" xfId="0" applyNumberFormat="1" applyFont="1" applyFill="1" applyBorder="1" applyAlignment="1" applyProtection="1">
      <alignment horizontal="center"/>
      <protection locked="0"/>
    </xf>
    <xf numFmtId="0" fontId="32" fillId="0" borderId="52" xfId="0" applyFont="1" applyBorder="1" applyAlignment="1" applyProtection="1">
      <alignment horizontal="right"/>
    </xf>
    <xf numFmtId="2" fontId="36" fillId="0" borderId="53" xfId="0" applyNumberFormat="1" applyFont="1" applyBorder="1" applyProtection="1">
      <protection locked="0"/>
    </xf>
    <xf numFmtId="179" fontId="37" fillId="0" borderId="5" xfId="0" applyNumberFormat="1" applyFont="1" applyBorder="1" applyProtection="1">
      <protection locked="0"/>
    </xf>
    <xf numFmtId="179" fontId="38" fillId="0" borderId="13" xfId="0" applyNumberFormat="1" applyFont="1" applyBorder="1" applyAlignment="1" applyProtection="1">
      <alignment horizontal="center"/>
      <protection locked="0"/>
    </xf>
    <xf numFmtId="2" fontId="34" fillId="0" borderId="33" xfId="0" applyNumberFormat="1" applyFont="1" applyBorder="1" applyProtection="1">
      <protection locked="0"/>
    </xf>
    <xf numFmtId="1" fontId="34" fillId="0" borderId="3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  <protection locked="0"/>
    </xf>
    <xf numFmtId="179" fontId="37" fillId="0" borderId="10" xfId="0" applyNumberFormat="1" applyFont="1" applyBorder="1" applyAlignment="1" applyProtection="1">
      <alignment horizontal="center"/>
      <protection locked="0"/>
    </xf>
    <xf numFmtId="179" fontId="50" fillId="0" borderId="7" xfId="0" applyNumberFormat="1" applyFont="1" applyBorder="1" applyAlignment="1" applyProtection="1">
      <alignment horizontal="center"/>
      <protection locked="0"/>
    </xf>
    <xf numFmtId="0" fontId="37" fillId="0" borderId="7" xfId="0" applyFont="1" applyBorder="1" applyAlignment="1" applyProtection="1">
      <alignment horizontal="left"/>
      <protection locked="0"/>
    </xf>
    <xf numFmtId="1" fontId="37" fillId="0" borderId="2" xfId="0" applyNumberFormat="1" applyFont="1" applyBorder="1" applyAlignment="1" applyProtection="1">
      <alignment horizontal="center"/>
      <protection locked="0"/>
    </xf>
    <xf numFmtId="1" fontId="37" fillId="0" borderId="0" xfId="0" applyNumberFormat="1" applyFont="1" applyBorder="1" applyAlignment="1" applyProtection="1">
      <alignment horizontal="center"/>
      <protection locked="0"/>
    </xf>
    <xf numFmtId="1" fontId="37" fillId="0" borderId="10" xfId="0" applyNumberFormat="1" applyFont="1" applyBorder="1" applyAlignment="1" applyProtection="1">
      <alignment horizontal="center"/>
      <protection locked="0"/>
    </xf>
    <xf numFmtId="187" fontId="50" fillId="0" borderId="0" xfId="31" applyNumberFormat="1" applyFont="1" applyBorder="1" applyAlignment="1" applyProtection="1">
      <alignment horizontal="center"/>
      <protection locked="0"/>
    </xf>
    <xf numFmtId="0" fontId="37" fillId="0" borderId="8" xfId="0" applyFont="1" applyBorder="1" applyAlignment="1" applyProtection="1">
      <alignment horizontal="left"/>
      <protection locked="0"/>
    </xf>
    <xf numFmtId="1" fontId="37" fillId="0" borderId="4" xfId="0" applyNumberFormat="1" applyFont="1" applyBorder="1" applyAlignment="1" applyProtection="1">
      <alignment horizontal="center"/>
      <protection locked="0"/>
    </xf>
    <xf numFmtId="1" fontId="37" fillId="0" borderId="1" xfId="0" applyNumberFormat="1" applyFont="1" applyBorder="1" applyAlignment="1" applyProtection="1">
      <alignment horizontal="center"/>
      <protection locked="0"/>
    </xf>
    <xf numFmtId="1" fontId="37" fillId="0" borderId="9" xfId="0" applyNumberFormat="1" applyFont="1" applyBorder="1" applyAlignment="1" applyProtection="1">
      <alignment horizontal="center"/>
      <protection locked="0"/>
    </xf>
    <xf numFmtId="187" fontId="50" fillId="0" borderId="8" xfId="31" applyNumberFormat="1" applyFont="1" applyBorder="1" applyAlignment="1" applyProtection="1">
      <alignment horizontal="center"/>
      <protection locked="0"/>
    </xf>
    <xf numFmtId="187" fontId="37" fillId="0" borderId="4" xfId="31" applyNumberFormat="1" applyFont="1" applyBorder="1" applyAlignment="1" applyProtection="1">
      <alignment horizontal="center"/>
      <protection locked="0"/>
    </xf>
    <xf numFmtId="187" fontId="50" fillId="0" borderId="1" xfId="31" applyNumberFormat="1" applyFont="1" applyBorder="1" applyAlignment="1" applyProtection="1">
      <alignment horizontal="center"/>
      <protection locked="0"/>
    </xf>
    <xf numFmtId="187" fontId="37" fillId="0" borderId="1" xfId="31" applyNumberFormat="1" applyFont="1" applyBorder="1" applyAlignment="1" applyProtection="1">
      <alignment horizontal="center"/>
      <protection locked="0"/>
    </xf>
    <xf numFmtId="187" fontId="37" fillId="0" borderId="9" xfId="31" applyNumberFormat="1" applyFont="1" applyBorder="1" applyAlignment="1" applyProtection="1">
      <alignment horizontal="center"/>
      <protection locked="0"/>
    </xf>
    <xf numFmtId="0" fontId="32" fillId="0" borderId="8" xfId="0" applyFont="1" applyBorder="1" applyAlignment="1" applyProtection="1">
      <alignment horizontal="right"/>
    </xf>
    <xf numFmtId="179" fontId="37" fillId="0" borderId="4" xfId="0" applyNumberFormat="1" applyFont="1" applyBorder="1" applyAlignment="1" applyProtection="1">
      <alignment horizontal="center"/>
      <protection locked="0"/>
    </xf>
    <xf numFmtId="179" fontId="37" fillId="0" borderId="1" xfId="0" applyNumberFormat="1" applyFont="1" applyBorder="1" applyAlignment="1" applyProtection="1">
      <alignment horizontal="center"/>
      <protection locked="0"/>
    </xf>
    <xf numFmtId="179" fontId="37" fillId="0" borderId="9" xfId="0" applyNumberFormat="1" applyFont="1" applyBorder="1" applyAlignment="1" applyProtection="1">
      <alignment horizontal="center"/>
      <protection locked="0"/>
    </xf>
    <xf numFmtId="179" fontId="50" fillId="0" borderId="8" xfId="0" applyNumberFormat="1" applyFont="1" applyBorder="1" applyAlignment="1" applyProtection="1">
      <alignment horizontal="center"/>
      <protection locked="0"/>
    </xf>
    <xf numFmtId="0" fontId="30" fillId="0" borderId="0" xfId="0" quotePrefix="1" applyFont="1" applyAlignment="1" applyProtection="1">
      <alignment horizontal="center"/>
    </xf>
    <xf numFmtId="179" fontId="34" fillId="0" borderId="10" xfId="0" applyNumberFormat="1" applyFont="1" applyBorder="1" applyAlignment="1" applyProtection="1">
      <alignment horizontal="center" vertical="center"/>
    </xf>
    <xf numFmtId="179" fontId="34" fillId="0" borderId="9" xfId="0" applyNumberFormat="1" applyFont="1" applyBorder="1" applyAlignment="1" applyProtection="1">
      <alignment horizontal="center" vertical="center"/>
    </xf>
    <xf numFmtId="15" fontId="118" fillId="0" borderId="0" xfId="0" applyNumberFormat="1" applyFont="1" applyBorder="1" applyAlignment="1" applyProtection="1">
      <alignment horizontal="center" vertical="center"/>
      <protection locked="0"/>
    </xf>
    <xf numFmtId="0" fontId="38" fillId="0" borderId="10" xfId="0" applyFont="1" applyBorder="1" applyAlignment="1" applyProtection="1">
      <alignment horizontal="left"/>
    </xf>
    <xf numFmtId="0" fontId="38" fillId="0" borderId="33" xfId="0" applyFont="1" applyFill="1" applyBorder="1" applyAlignment="1" applyProtection="1">
      <alignment horizontal="left"/>
    </xf>
    <xf numFmtId="0" fontId="38" fillId="0" borderId="0" xfId="0" applyFont="1" applyFill="1" applyBorder="1" applyAlignment="1" applyProtection="1">
      <alignment horizontal="left"/>
    </xf>
    <xf numFmtId="1" fontId="38" fillId="0" borderId="0" xfId="0" applyNumberFormat="1" applyFont="1" applyBorder="1" applyAlignment="1" applyProtection="1">
      <alignment horizontal="left"/>
      <protection locked="0"/>
    </xf>
    <xf numFmtId="0" fontId="38" fillId="0" borderId="54" xfId="0" applyFont="1" applyFill="1" applyBorder="1" applyAlignment="1" applyProtection="1">
      <alignment horizontal="left"/>
    </xf>
    <xf numFmtId="0" fontId="38" fillId="0" borderId="2" xfId="0" applyFont="1" applyFill="1" applyBorder="1" applyAlignment="1" applyProtection="1">
      <alignment horizontal="left"/>
    </xf>
    <xf numFmtId="179" fontId="38" fillId="0" borderId="0" xfId="0" applyNumberFormat="1" applyFont="1" applyAlignment="1" applyProtection="1">
      <alignment horizontal="center"/>
    </xf>
    <xf numFmtId="0" fontId="34" fillId="0" borderId="55" xfId="0" applyFont="1" applyBorder="1" applyAlignment="1" applyProtection="1">
      <alignment horizontal="right"/>
      <protection locked="0"/>
    </xf>
    <xf numFmtId="0" fontId="34" fillId="0" borderId="0" xfId="0" applyFont="1" applyBorder="1" applyAlignment="1" applyProtection="1">
      <alignment horizontal="right"/>
      <protection locked="0"/>
    </xf>
    <xf numFmtId="0" fontId="32" fillId="0" borderId="0" xfId="0" applyFont="1" applyBorder="1" applyAlignment="1" applyProtection="1">
      <alignment horizontal="right"/>
      <protection locked="0"/>
    </xf>
    <xf numFmtId="0" fontId="31" fillId="0" borderId="0" xfId="0" applyFont="1" applyBorder="1" applyAlignment="1" applyProtection="1">
      <alignment horizontal="right"/>
      <protection locked="0"/>
    </xf>
    <xf numFmtId="0" fontId="34" fillId="0" borderId="1" xfId="0" applyFont="1" applyBorder="1" applyAlignment="1" applyProtection="1">
      <alignment horizontal="right"/>
      <protection locked="0"/>
    </xf>
    <xf numFmtId="0" fontId="34" fillId="0" borderId="6" xfId="0" applyFont="1" applyFill="1" applyBorder="1" applyAlignment="1" applyProtection="1">
      <alignment horizontal="left"/>
    </xf>
    <xf numFmtId="1" fontId="95" fillId="0" borderId="20" xfId="0" applyNumberFormat="1" applyFont="1" applyBorder="1" applyAlignment="1" applyProtection="1">
      <alignment horizontal="left"/>
      <protection locked="0"/>
    </xf>
    <xf numFmtId="1" fontId="95" fillId="0" borderId="21" xfId="0" applyNumberFormat="1" applyFont="1" applyBorder="1" applyAlignment="1" applyProtection="1">
      <alignment horizontal="left"/>
      <protection locked="0"/>
    </xf>
    <xf numFmtId="1" fontId="95" fillId="0" borderId="22" xfId="0" applyNumberFormat="1" applyFont="1" applyBorder="1" applyAlignment="1" applyProtection="1">
      <alignment horizontal="left"/>
      <protection locked="0"/>
    </xf>
    <xf numFmtId="0" fontId="37" fillId="0" borderId="0" xfId="0" applyFont="1" applyAlignment="1" applyProtection="1">
      <alignment horizontal="center"/>
      <protection locked="0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4" fillId="0" borderId="4" xfId="0" applyNumberFormat="1" applyFont="1" applyBorder="1" applyAlignment="1" applyProtection="1">
      <alignment horizontal="center"/>
    </xf>
    <xf numFmtId="2" fontId="36" fillId="0" borderId="15" xfId="0" applyNumberFormat="1" applyFont="1" applyBorder="1" applyProtection="1"/>
    <xf numFmtId="0" fontId="37" fillId="0" borderId="0" xfId="0" applyFont="1" applyProtection="1"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3" xfId="0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79" fontId="37" fillId="0" borderId="12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left"/>
      <protection locked="0"/>
    </xf>
    <xf numFmtId="179" fontId="38" fillId="0" borderId="0" xfId="0" applyNumberFormat="1" applyFont="1" applyProtection="1"/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left"/>
    </xf>
    <xf numFmtId="179" fontId="36" fillId="0" borderId="2" xfId="0" applyNumberFormat="1" applyFont="1" applyBorder="1" applyAlignment="1" applyProtection="1">
      <alignment horizontal="center"/>
      <protection locked="0"/>
    </xf>
    <xf numFmtId="183" fontId="41" fillId="0" borderId="1" xfId="0" applyNumberFormat="1" applyFont="1" applyBorder="1" applyAlignment="1" applyProtection="1">
      <alignment horizontal="right" vertical="center"/>
      <protection locked="0"/>
    </xf>
    <xf numFmtId="0" fontId="32" fillId="0" borderId="2" xfId="0" applyFont="1" applyBorder="1" applyAlignment="1" applyProtection="1">
      <alignment horizontal="right"/>
      <protection locked="0"/>
    </xf>
    <xf numFmtId="0" fontId="34" fillId="0" borderId="2" xfId="0" applyFont="1" applyBorder="1" applyAlignment="1" applyProtection="1">
      <alignment horizontal="right"/>
      <protection locked="0"/>
    </xf>
    <xf numFmtId="168" fontId="32" fillId="0" borderId="15" xfId="33" applyNumberFormat="1" applyFont="1" applyBorder="1" applyAlignment="1" applyProtection="1">
      <alignment horizontal="right" vertical="center" wrapText="1"/>
    </xf>
    <xf numFmtId="1" fontId="30" fillId="33" borderId="3" xfId="0" applyNumberFormat="1" applyFont="1" applyFill="1" applyBorder="1" applyAlignment="1" applyProtection="1">
      <alignment horizontal="center" vertical="center" wrapText="1"/>
    </xf>
    <xf numFmtId="166" fontId="32" fillId="0" borderId="6" xfId="0" applyNumberFormat="1" applyFont="1" applyFill="1" applyBorder="1" applyAlignment="1" applyProtection="1">
      <alignment horizontal="center"/>
    </xf>
    <xf numFmtId="166" fontId="32" fillId="0" borderId="7" xfId="0" applyNumberFormat="1" applyFont="1" applyFill="1" applyBorder="1" applyAlignment="1" applyProtection="1">
      <alignment horizontal="center"/>
    </xf>
    <xf numFmtId="166" fontId="32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6" fillId="0" borderId="0" xfId="0" applyFont="1" applyAlignment="1" applyProtection="1">
      <alignment horizontal="left"/>
    </xf>
    <xf numFmtId="1" fontId="52" fillId="0" borderId="0" xfId="0" applyNumberFormat="1" applyFont="1" applyAlignment="1" applyProtection="1">
      <alignment horizontal="left"/>
    </xf>
    <xf numFmtId="179" fontId="38" fillId="37" borderId="11" xfId="0" applyNumberFormat="1" applyFont="1" applyFill="1" applyBorder="1" applyAlignment="1" applyProtection="1">
      <alignment horizontal="center"/>
      <protection locked="0"/>
    </xf>
    <xf numFmtId="179" fontId="38" fillId="37" borderId="10" xfId="0" applyNumberFormat="1" applyFont="1" applyFill="1" applyBorder="1" applyAlignment="1" applyProtection="1">
      <alignment horizontal="center"/>
      <protection locked="0"/>
    </xf>
    <xf numFmtId="179" fontId="37" fillId="37" borderId="10" xfId="0" applyNumberFormat="1" applyFont="1" applyFill="1" applyBorder="1" applyAlignment="1" applyProtection="1">
      <alignment horizontal="center"/>
      <protection locked="0"/>
    </xf>
    <xf numFmtId="179" fontId="38" fillId="37" borderId="9" xfId="0" applyNumberFormat="1" applyFont="1" applyFill="1" applyBorder="1" applyAlignment="1" applyProtection="1">
      <alignment horizontal="center"/>
      <protection locked="0"/>
    </xf>
    <xf numFmtId="179" fontId="38" fillId="37" borderId="13" xfId="0" applyNumberFormat="1" applyFont="1" applyFill="1" applyBorder="1" applyAlignment="1" applyProtection="1">
      <alignment horizontal="center"/>
      <protection locked="0"/>
    </xf>
    <xf numFmtId="179" fontId="38" fillId="37" borderId="2" xfId="0" applyNumberFormat="1" applyFont="1" applyFill="1" applyBorder="1" applyAlignment="1" applyProtection="1">
      <alignment horizontal="center"/>
      <protection locked="0"/>
    </xf>
    <xf numFmtId="179" fontId="38" fillId="37" borderId="4" xfId="0" applyNumberFormat="1" applyFont="1" applyFill="1" applyBorder="1" applyAlignment="1" applyProtection="1">
      <alignment horizontal="center"/>
      <protection locked="0"/>
    </xf>
    <xf numFmtId="179" fontId="50" fillId="37" borderId="0" xfId="0" applyNumberFormat="1" applyFont="1" applyFill="1" applyBorder="1" applyAlignment="1" applyProtection="1">
      <alignment horizontal="center"/>
    </xf>
    <xf numFmtId="179" fontId="37" fillId="37" borderId="0" xfId="0" applyNumberFormat="1" applyFont="1" applyFill="1" applyBorder="1" applyAlignment="1" applyProtection="1">
      <alignment horizontal="center"/>
    </xf>
    <xf numFmtId="179" fontId="37" fillId="37" borderId="1" xfId="0" applyNumberFormat="1" applyFont="1" applyFill="1" applyBorder="1" applyAlignment="1" applyProtection="1">
      <alignment horizontal="center"/>
    </xf>
    <xf numFmtId="179" fontId="38" fillId="37" borderId="0" xfId="0" applyNumberFormat="1" applyFont="1" applyFill="1" applyBorder="1" applyAlignment="1" applyProtection="1">
      <alignment horizontal="center"/>
    </xf>
    <xf numFmtId="0" fontId="100" fillId="37" borderId="0" xfId="0" applyFont="1" applyFill="1" applyProtection="1"/>
    <xf numFmtId="0" fontId="31" fillId="0" borderId="1" xfId="0" applyFont="1" applyBorder="1" applyAlignment="1" applyProtection="1">
      <alignment horizontal="right"/>
      <protection locked="0"/>
    </xf>
    <xf numFmtId="0" fontId="36" fillId="0" borderId="0" xfId="0" applyFont="1"/>
    <xf numFmtId="0" fontId="37" fillId="0" borderId="5" xfId="0" applyFont="1" applyFill="1" applyBorder="1" applyAlignment="1" applyProtection="1">
      <alignment wrapText="1"/>
    </xf>
    <xf numFmtId="0" fontId="37" fillId="0" borderId="1" xfId="0" applyFont="1" applyFill="1" applyBorder="1" applyAlignment="1" applyProtection="1">
      <alignment wrapText="1"/>
    </xf>
    <xf numFmtId="0" fontId="37" fillId="0" borderId="1" xfId="0" applyFont="1" applyFill="1" applyBorder="1" applyAlignment="1" applyProtection="1">
      <alignment horizontal="right"/>
    </xf>
    <xf numFmtId="2" fontId="55" fillId="0" borderId="19" xfId="0" applyNumberFormat="1" applyFont="1" applyBorder="1" applyAlignment="1" applyProtection="1">
      <alignment horizontal="center" vertical="center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10" fontId="80" fillId="38" borderId="19" xfId="0" applyNumberFormat="1" applyFont="1" applyFill="1" applyBorder="1" applyAlignment="1" applyProtection="1">
      <alignment horizontal="center" vertic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7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4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4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2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2" xfId="33" applyNumberFormat="1" applyFont="1" applyBorder="1" applyAlignment="1" applyProtection="1">
      <alignment horizontal="center"/>
    </xf>
    <xf numFmtId="10" fontId="114" fillId="0" borderId="32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168" fontId="66" fillId="38" borderId="15" xfId="33" applyNumberFormat="1" applyFont="1" applyFill="1" applyBorder="1" applyAlignment="1" applyProtection="1">
      <alignment horizontal="center"/>
      <protection locked="0"/>
    </xf>
    <xf numFmtId="9" fontId="66" fillId="38" borderId="19" xfId="33" applyFont="1" applyFill="1" applyBorder="1" applyAlignment="1" applyProtection="1">
      <alignment horizontal="center" vertic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8" borderId="0" xfId="0" applyFont="1" applyFill="1" applyAlignment="1" applyProtection="1">
      <alignment horizontal="right"/>
    </xf>
    <xf numFmtId="166" fontId="52" fillId="38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174" fontId="66" fillId="38" borderId="15" xfId="33" applyNumberFormat="1" applyFont="1" applyFill="1" applyBorder="1" applyAlignment="1" applyProtection="1">
      <alignment horizontal="center"/>
      <protection locked="0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48" xfId="0" applyFont="1" applyBorder="1" applyAlignment="1" applyProtection="1">
      <alignment horizontal="center"/>
      <protection locked="0"/>
    </xf>
    <xf numFmtId="0" fontId="121" fillId="0" borderId="50" xfId="0" applyFont="1" applyBorder="1" applyAlignment="1" applyProtection="1">
      <alignment horizontal="center"/>
      <protection locked="0"/>
    </xf>
    <xf numFmtId="15" fontId="118" fillId="0" borderId="48" xfId="0" applyNumberFormat="1" applyFont="1" applyBorder="1" applyAlignment="1" applyProtection="1">
      <alignment horizontal="center" vertical="center"/>
      <protection locked="0"/>
    </xf>
    <xf numFmtId="15" fontId="118" fillId="0" borderId="50" xfId="0" applyNumberFormat="1" applyFont="1" applyBorder="1" applyAlignment="1" applyProtection="1">
      <alignment horizontal="center" vertic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186" fontId="52" fillId="0" borderId="1" xfId="0" applyNumberFormat="1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38" borderId="14" xfId="0" applyFont="1" applyFill="1" applyBorder="1" applyAlignment="1" applyProtection="1">
      <alignment horizontal="center" vertical="center"/>
    </xf>
    <xf numFmtId="0" fontId="52" fillId="38" borderId="15" xfId="0" applyFont="1" applyFill="1" applyBorder="1" applyAlignment="1" applyProtection="1">
      <alignment horizontal="center" vertical="center"/>
    </xf>
    <xf numFmtId="0" fontId="52" fillId="38" borderId="12" xfId="0" applyFont="1" applyFill="1" applyBorder="1" applyAlignment="1" applyProtection="1">
      <alignment horizontal="center" vertic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0" fontId="52" fillId="0" borderId="1" xfId="0" applyFont="1" applyBorder="1" applyAlignment="1" applyProtection="1">
      <alignment horizontal="center" vertical="center"/>
    </xf>
    <xf numFmtId="183" fontId="75" fillId="0" borderId="48" xfId="0" applyNumberFormat="1" applyFont="1" applyBorder="1" applyAlignment="1" applyProtection="1">
      <alignment horizontal="center" vertical="center"/>
      <protection locked="0"/>
    </xf>
    <xf numFmtId="183" fontId="75" fillId="0" borderId="50" xfId="0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68" fontId="66" fillId="0" borderId="48" xfId="33" applyNumberFormat="1" applyFont="1" applyBorder="1" applyAlignment="1" applyProtection="1">
      <alignment horizontal="center" vertical="center"/>
      <protection locked="0"/>
    </xf>
    <xf numFmtId="168" fontId="66" fillId="0" borderId="50" xfId="33" applyNumberFormat="1" applyFont="1" applyBorder="1" applyAlignment="1" applyProtection="1">
      <alignment horizontal="center" vertical="center"/>
      <protection locked="0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48" xfId="0" applyNumberFormat="1" applyFont="1" applyBorder="1" applyAlignment="1" applyProtection="1">
      <alignment horizontal="center" vertical="center"/>
      <protection locked="0"/>
    </xf>
    <xf numFmtId="14" fontId="55" fillId="0" borderId="50" xfId="0" applyNumberFormat="1" applyFont="1" applyBorder="1" applyAlignment="1" applyProtection="1">
      <alignment horizontal="center" vertical="center"/>
      <protection locked="0"/>
    </xf>
    <xf numFmtId="0" fontId="123" fillId="0" borderId="48" xfId="0" applyFont="1" applyBorder="1" applyAlignment="1" applyProtection="1">
      <alignment horizontal="center" vertical="center"/>
      <protection locked="0"/>
    </xf>
    <xf numFmtId="0" fontId="123" fillId="0" borderId="49" xfId="0" applyFont="1" applyBorder="1" applyAlignment="1" applyProtection="1">
      <alignment horizontal="center" vertical="center"/>
      <protection locked="0"/>
    </xf>
    <xf numFmtId="0" fontId="123" fillId="0" borderId="50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top" wrapText="1"/>
    </xf>
    <xf numFmtId="2" fontId="100" fillId="0" borderId="0" xfId="0" applyNumberFormat="1" applyFont="1" applyFill="1" applyBorder="1" applyProtection="1"/>
    <xf numFmtId="2" fontId="93" fillId="34" borderId="22" xfId="0" applyNumberFormat="1" applyFont="1" applyFill="1" applyBorder="1" applyProtection="1"/>
    <xf numFmtId="0" fontId="31" fillId="0" borderId="0" xfId="0" applyFont="1" applyAlignment="1">
      <alignment horizontal="center"/>
    </xf>
    <xf numFmtId="0" fontId="31" fillId="0" borderId="0" xfId="0" applyFont="1"/>
    <xf numFmtId="2" fontId="31" fillId="0" borderId="0" xfId="0" applyNumberFormat="1" applyFont="1"/>
    <xf numFmtId="0" fontId="76" fillId="33" borderId="6" xfId="0" applyFont="1" applyFill="1" applyBorder="1" applyAlignment="1" applyProtection="1">
      <alignment horizontal="center" vertical="top" wrapText="1"/>
      <protection locked="0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6"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rgb="FF9966FF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499984740745262"/>
        <name val="Calibri Light"/>
        <scheme val="none"/>
      </font>
    </dxf>
    <dxf>
      <font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externalLink" Target="externalLinks/externalLink13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layout/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7.1981196722987608</c:v>
                </c:pt>
                <c:pt idx="6">
                  <c:v>6.9220571384498504</c:v>
                </c:pt>
                <c:pt idx="7">
                  <c:v>6.2735046696041534</c:v>
                </c:pt>
                <c:pt idx="8">
                  <c:v>5.1069959681525301</c:v>
                </c:pt>
                <c:pt idx="9">
                  <c:v>3.6158463438055932</c:v>
                </c:pt>
                <c:pt idx="10">
                  <c:v>2.4952785127147674</c:v>
                </c:pt>
                <c:pt idx="11">
                  <c:v>1.9832475089587542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2.3550517817260719</c:v>
                </c:pt>
                <c:pt idx="1">
                  <c:v>3.3703022361655499</c:v>
                </c:pt>
                <c:pt idx="2">
                  <c:v>4.7038115142973815</c:v>
                </c:pt>
                <c:pt idx="3">
                  <c:v>5.9896365777005443</c:v>
                </c:pt>
                <c:pt idx="4">
                  <c:v>6.630877805908316</c:v>
                </c:pt>
                <c:pt idx="5">
                  <c:v>6.6668127603478391</c:v>
                </c:pt>
                <c:pt idx="6">
                  <c:v>6.3623922423397605</c:v>
                </c:pt>
                <c:pt idx="7">
                  <c:v>5.7490556387643021</c:v>
                </c:pt>
                <c:pt idx="8">
                  <c:v>4.6867495986776673</c:v>
                </c:pt>
                <c:pt idx="9">
                  <c:v>3.325053239933776</c:v>
                </c:pt>
                <c:pt idx="10">
                  <c:v>2.2826767015219747</c:v>
                </c:pt>
                <c:pt idx="11">
                  <c:v>1.8048580884944339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2.1614281692922024</c:v>
                </c:pt>
                <c:pt idx="1">
                  <c:v>3.1489166640655961</c:v>
                </c:pt>
                <c:pt idx="2">
                  <c:v>4.4365257548944603</c:v>
                </c:pt>
                <c:pt idx="3">
                  <c:v>5.6370757221331393</c:v>
                </c:pt>
                <c:pt idx="4">
                  <c:v>6.2228485085726115</c:v>
                </c:pt>
                <c:pt idx="5">
                  <c:v>6.2455609501650029</c:v>
                </c:pt>
                <c:pt idx="6">
                  <c:v>5.9608626341791524</c:v>
                </c:pt>
                <c:pt idx="7">
                  <c:v>5.3844920588034677</c:v>
                </c:pt>
                <c:pt idx="8">
                  <c:v>4.3769223882379551</c:v>
                </c:pt>
                <c:pt idx="9">
                  <c:v>3.0962777250875586</c:v>
                </c:pt>
                <c:pt idx="10">
                  <c:v>2.111972802182926</c:v>
                </c:pt>
                <c:pt idx="11">
                  <c:v>1.6768426520395936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2.0308723096075063</c:v>
                </c:pt>
                <c:pt idx="1">
                  <c:v>2.9804080274911211</c:v>
                </c:pt>
                <c:pt idx="2">
                  <c:v>4.2211982085748971</c:v>
                </c:pt>
                <c:pt idx="3">
                  <c:v>5.6466303552915722</c:v>
                </c:pt>
                <c:pt idx="4">
                  <c:v>6.6618666643308018</c:v>
                </c:pt>
                <c:pt idx="5">
                  <c:v>6.6536830078236608</c:v>
                </c:pt>
                <c:pt idx="6">
                  <c:v>6.3053908722327012</c:v>
                </c:pt>
                <c:pt idx="7">
                  <c:v>5.6521876433881433</c:v>
                </c:pt>
                <c:pt idx="8">
                  <c:v>4.571884600543326</c:v>
                </c:pt>
                <c:pt idx="9">
                  <c:v>3.2014801952789917</c:v>
                </c:pt>
                <c:pt idx="10">
                  <c:v>2.1336104713526534</c:v>
                </c:pt>
                <c:pt idx="11">
                  <c:v>1.6519904826112046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1.9986819683975361</c:v>
                </c:pt>
                <c:pt idx="1">
                  <c:v>2.9597927121589134</c:v>
                </c:pt>
                <c:pt idx="2">
                  <c:v>4.2142285058211293</c:v>
                </c:pt>
                <c:pt idx="3">
                  <c:v>5.3841541334378116</c:v>
                </c:pt>
                <c:pt idx="4">
                  <c:v>5.9722611560073657</c:v>
                </c:pt>
                <c:pt idx="5">
                  <c:v>5.9991261757597885</c:v>
                </c:pt>
                <c:pt idx="6">
                  <c:v>5.7246443972186238</c:v>
                </c:pt>
                <c:pt idx="7">
                  <c:v>5.166514618542597</c:v>
                </c:pt>
                <c:pt idx="8">
                  <c:v>4.2047551037333806</c:v>
                </c:pt>
                <c:pt idx="9">
                  <c:v>3.079205705209795</c:v>
                </c:pt>
                <c:pt idx="10">
                  <c:v>2.206865027402273</c:v>
                </c:pt>
                <c:pt idx="11">
                  <c:v>1.6737668030689588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2.0560177829521002</c:v>
                </c:pt>
                <c:pt idx="1">
                  <c:v>3.0876849432255482</c:v>
                </c:pt>
                <c:pt idx="2">
                  <c:v>4.4499727349856686</c:v>
                </c:pt>
                <c:pt idx="3">
                  <c:v>5.7102032925514168</c:v>
                </c:pt>
                <c:pt idx="4">
                  <c:v>6.5924048345790736</c:v>
                </c:pt>
                <c:pt idx="5">
                  <c:v>6.6234421799249459</c:v>
                </c:pt>
                <c:pt idx="6">
                  <c:v>6.3009796636959825</c:v>
                </c:pt>
                <c:pt idx="7">
                  <c:v>5.6503923683250328</c:v>
                </c:pt>
                <c:pt idx="8">
                  <c:v>4.563638572145992</c:v>
                </c:pt>
                <c:pt idx="9">
                  <c:v>3.1328680271127989</c:v>
                </c:pt>
                <c:pt idx="10">
                  <c:v>2.0259126858345033</c:v>
                </c:pt>
                <c:pt idx="11">
                  <c:v>1.5094398521756331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1.880185428533852</c:v>
                </c:pt>
                <c:pt idx="1">
                  <c:v>2.8767660611991053</c:v>
                </c:pt>
                <c:pt idx="2">
                  <c:v>4.2000893967555042</c:v>
                </c:pt>
                <c:pt idx="3">
                  <c:v>5.4082052132535843</c:v>
                </c:pt>
                <c:pt idx="4">
                  <c:v>6.5328805821427416</c:v>
                </c:pt>
                <c:pt idx="5">
                  <c:v>6.5683706823993386</c:v>
                </c:pt>
                <c:pt idx="6">
                  <c:v>6.2470185271734318</c:v>
                </c:pt>
                <c:pt idx="7">
                  <c:v>5.5914629786386483</c:v>
                </c:pt>
                <c:pt idx="8">
                  <c:v>4.502465544884152</c:v>
                </c:pt>
                <c:pt idx="9">
                  <c:v>3.0513261216512713</c:v>
                </c:pt>
                <c:pt idx="10">
                  <c:v>1.9364940118324172</c:v>
                </c:pt>
                <c:pt idx="11">
                  <c:v>1.4152695911514825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1.7846130798124089</c:v>
                </c:pt>
                <c:pt idx="1">
                  <c:v>2.7913408265014299</c:v>
                </c:pt>
                <c:pt idx="2">
                  <c:v>4.1289863450244431</c:v>
                </c:pt>
                <c:pt idx="3">
                  <c:v>5.4347619233729532</c:v>
                </c:pt>
                <c:pt idx="4">
                  <c:v>6.4930719205757548</c:v>
                </c:pt>
                <c:pt idx="5">
                  <c:v>6.5136062113745439</c:v>
                </c:pt>
                <c:pt idx="6">
                  <c:v>6.2003676658659819</c:v>
                </c:pt>
                <c:pt idx="7">
                  <c:v>5.5902726833953587</c:v>
                </c:pt>
                <c:pt idx="8">
                  <c:v>4.5505768202600407</c:v>
                </c:pt>
                <c:pt idx="9">
                  <c:v>3.2251245488975</c:v>
                </c:pt>
                <c:pt idx="10">
                  <c:v>2.2309381262392027</c:v>
                </c:pt>
                <c:pt idx="11">
                  <c:v>1.7758575040990472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2.1097111169054172</c:v>
                </c:pt>
                <c:pt idx="1">
                  <c:v>3.0192662305751741</c:v>
                </c:pt>
                <c:pt idx="2">
                  <c:v>4.2154713903310874</c:v>
                </c:pt>
                <c:pt idx="3">
                  <c:v>5.3843703260248423</c:v>
                </c:pt>
                <c:pt idx="4">
                  <c:v>6.4372849325945589</c:v>
                </c:pt>
                <c:pt idx="5">
                  <c:v>6.4583080503265826</c:v>
                </c:pt>
                <c:pt idx="6">
                  <c:v>6.1474134529512972</c:v>
                </c:pt>
                <c:pt idx="7">
                  <c:v>5.5392130646015376</c:v>
                </c:pt>
                <c:pt idx="8">
                  <c:v>4.5038865187092751</c:v>
                </c:pt>
                <c:pt idx="9">
                  <c:v>3.1870524637882744</c:v>
                </c:pt>
                <c:pt idx="10">
                  <c:v>2.1833143102836572</c:v>
                </c:pt>
                <c:pt idx="11">
                  <c:v>1.7235128411455127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2.0599333968017444</c:v>
                </c:pt>
                <c:pt idx="1">
                  <c:v>2.9759751975833155</c:v>
                </c:pt>
                <c:pt idx="2">
                  <c:v>4.171306520823018</c:v>
                </c:pt>
                <c:pt idx="3">
                  <c:v>5.332509010590547</c:v>
                </c:pt>
                <c:pt idx="4">
                  <c:v>6.381288798791739</c:v>
                </c:pt>
                <c:pt idx="5">
                  <c:v>6.4034351801606206</c:v>
                </c:pt>
                <c:pt idx="6">
                  <c:v>6.0947160791860462</c:v>
                </c:pt>
                <c:pt idx="7">
                  <c:v>5.4875220465676335</c:v>
                </c:pt>
                <c:pt idx="8">
                  <c:v>4.4562467692537204</c:v>
                </c:pt>
                <c:pt idx="9">
                  <c:v>3.1432899978627185</c:v>
                </c:pt>
                <c:pt idx="10">
                  <c:v>2.1276897941937429</c:v>
                </c:pt>
                <c:pt idx="11">
                  <c:v>1.6638209135842301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7209400"/>
        <c:axId val="467209008"/>
      </c:lineChart>
      <c:dateAx>
        <c:axId val="467209400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720900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6720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7209400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3.7177668672508712E-2</c:v>
                </c:pt>
                <c:pt idx="1">
                  <c:v>3.7872021013054979E-2</c:v>
                </c:pt>
                <c:pt idx="2">
                  <c:v>3.8498747557724422E-2</c:v>
                </c:pt>
                <c:pt idx="3">
                  <c:v>3.9192147184373027E-2</c:v>
                </c:pt>
                <c:pt idx="4">
                  <c:v>3.9862702958934459E-2</c:v>
                </c:pt>
                <c:pt idx="5">
                  <c:v>4.0555118950706293E-2</c:v>
                </c:pt>
                <c:pt idx="6">
                  <c:v>4.122472349596018E-2</c:v>
                </c:pt>
                <c:pt idx="7">
                  <c:v>4.1916157248208741E-2</c:v>
                </c:pt>
                <c:pt idx="8">
                  <c:v>4.2607092363659338E-2</c:v>
                </c:pt>
                <c:pt idx="9">
                  <c:v>4.3275264819638282E-2</c:v>
                </c:pt>
                <c:pt idx="10">
                  <c:v>4.39652197962902E-2</c:v>
                </c:pt>
                <c:pt idx="11">
                  <c:v>4.463244440386227E-2</c:v>
                </c:pt>
                <c:pt idx="12">
                  <c:v>4.5321420632109422E-2</c:v>
                </c:pt>
                <c:pt idx="13">
                  <c:v>4.6009899995835268E-2</c:v>
                </c:pt>
                <c:pt idx="14">
                  <c:v>4.6631325556761194E-2</c:v>
                </c:pt>
                <c:pt idx="15">
                  <c:v>4.7318860264842222E-2</c:v>
                </c:pt>
                <c:pt idx="16">
                  <c:v>4.7983744338898293E-2</c:v>
                </c:pt>
                <c:pt idx="17">
                  <c:v>4.8670303731891407E-2</c:v>
                </c:pt>
                <c:pt idx="18">
                  <c:v>4.933424462233571E-2</c:v>
                </c:pt>
                <c:pt idx="19">
                  <c:v>5.0019830083792072E-2</c:v>
                </c:pt>
                <c:pt idx="20">
                  <c:v>5.0704921126024427E-2</c:v>
                </c:pt>
                <c:pt idx="21">
                  <c:v>5.1367442040103461E-2</c:v>
                </c:pt>
                <c:pt idx="22">
                  <c:v>5.2051561233755317E-2</c:v>
                </c:pt>
                <c:pt idx="23">
                  <c:v>5.2713142316526906E-2</c:v>
                </c:pt>
                <c:pt idx="24">
                  <c:v>5.3418319891438526E-2</c:v>
                </c:pt>
                <c:pt idx="25">
                  <c:v>5.4100960066802317E-2</c:v>
                </c:pt>
                <c:pt idx="26">
                  <c:v>5.4717115141647676E-2</c:v>
                </c:pt>
                <c:pt idx="27">
                  <c:v>5.5398818673258465E-2</c:v>
                </c:pt>
                <c:pt idx="28">
                  <c:v>5.6058063677282943E-2</c:v>
                </c:pt>
                <c:pt idx="29">
                  <c:v>5.6738800165729075E-2</c:v>
                </c:pt>
                <c:pt idx="30">
                  <c:v>5.7397109985548922E-2</c:v>
                </c:pt>
                <c:pt idx="31">
                  <c:v>5.807688080264739E-2</c:v>
                </c:pt>
                <c:pt idx="32">
                  <c:v>5.8756161393831441E-2</c:v>
                </c:pt>
                <c:pt idx="33">
                  <c:v>5.9413063280507439E-2</c:v>
                </c:pt>
                <c:pt idx="34">
                  <c:v>6.0091380265633765E-2</c:v>
                </c:pt>
                <c:pt idx="35">
                  <c:v>6.0747350291977642E-2</c:v>
                </c:pt>
                <c:pt idx="36">
                  <c:v>6.1424705037987581E-2</c:v>
                </c:pt>
                <c:pt idx="37">
                  <c:v>6.2101571300465341E-2</c:v>
                </c:pt>
                <c:pt idx="38">
                  <c:v>6.2712514807262365E-2</c:v>
                </c:pt>
                <c:pt idx="39">
                  <c:v>6.3388452348315139E-2</c:v>
                </c:pt>
                <c:pt idx="40">
                  <c:v>6.4042121320688983E-2</c:v>
                </c:pt>
                <c:pt idx="41">
                  <c:v>6.4717099998029881E-2</c:v>
                </c:pt>
                <c:pt idx="42">
                  <c:v>6.5369841696182096E-2</c:v>
                </c:pt>
                <c:pt idx="43">
                  <c:v>6.6043862870024839E-2</c:v>
                </c:pt>
                <c:pt idx="44">
                  <c:v>6.6717397964386027E-2</c:v>
                </c:pt>
                <c:pt idx="45">
                  <c:v>6.7368743637986284E-2</c:v>
                </c:pt>
                <c:pt idx="46">
                  <c:v>6.8041323276670673E-2</c:v>
                </c:pt>
                <c:pt idx="47">
                  <c:v>6.8691744971807855E-2</c:v>
                </c:pt>
                <c:pt idx="48">
                  <c:v>6.9363370510194811E-2</c:v>
                </c:pt>
                <c:pt idx="49">
                  <c:v>7.0034511696745128E-2</c:v>
                </c:pt>
                <c:pt idx="50">
                  <c:v>7.0640287716022598E-2</c:v>
                </c:pt>
                <c:pt idx="51">
                  <c:v>7.1310508036467435E-2</c:v>
                </c:pt>
                <c:pt idx="52">
                  <c:v>7.1958648140428627E-2</c:v>
                </c:pt>
                <c:pt idx="53">
                  <c:v>7.26279177074306E-2</c:v>
                </c:pt>
                <c:pt idx="54">
                  <c:v>7.3275138380248794E-2</c:v>
                </c:pt>
                <c:pt idx="55">
                  <c:v>7.3943458542516716E-2</c:v>
                </c:pt>
                <c:pt idx="56">
                  <c:v>7.4611296736664778E-2</c:v>
                </c:pt>
                <c:pt idx="57">
                  <c:v>7.5257133192797698E-2</c:v>
                </c:pt>
                <c:pt idx="58">
                  <c:v>7.5924024012712255E-2</c:v>
                </c:pt>
                <c:pt idx="59">
                  <c:v>7.6568944305584363E-2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4.2746628955916452E-2</c:v>
                </c:pt>
                <c:pt idx="1">
                  <c:v>4.867008801432357E-2</c:v>
                </c:pt>
                <c:pt idx="2">
                  <c:v>5.3898789688594517E-2</c:v>
                </c:pt>
                <c:pt idx="3">
                  <c:v>5.9970541849516945E-2</c:v>
                </c:pt>
                <c:pt idx="4">
                  <c:v>3.0367745536422353E-2</c:v>
                </c:pt>
                <c:pt idx="5">
                  <c:v>4.0552582456552834E-2</c:v>
                </c:pt>
                <c:pt idx="6">
                  <c:v>4.9519641914649158E-2</c:v>
                </c:pt>
                <c:pt idx="7">
                  <c:v>5.7629667526657748E-2</c:v>
                </c:pt>
                <c:pt idx="8">
                  <c:v>6.4861698596148626E-2</c:v>
                </c:pt>
                <c:pt idx="9">
                  <c:v>7.0286657775454411E-2</c:v>
                </c:pt>
                <c:pt idx="10">
                  <c:v>7.385960506141967E-2</c:v>
                </c:pt>
                <c:pt idx="11">
                  <c:v>7.7888822209964029E-2</c:v>
                </c:pt>
                <c:pt idx="12">
                  <c:v>8.3118429727964294E-2</c:v>
                </c:pt>
                <c:pt idx="13">
                  <c:v>8.8312857924812901E-2</c:v>
                </c:pt>
                <c:pt idx="14">
                  <c:v>9.2831101437670718E-2</c:v>
                </c:pt>
                <c:pt idx="15">
                  <c:v>9.8318548791227173E-2</c:v>
                </c:pt>
                <c:pt idx="16">
                  <c:v>3.0080864162178467E-2</c:v>
                </c:pt>
                <c:pt idx="17">
                  <c:v>4.0271402717485201E-2</c:v>
                </c:pt>
                <c:pt idx="18">
                  <c:v>4.9249900976589302E-2</c:v>
                </c:pt>
                <c:pt idx="19">
                  <c:v>5.7375451219706552E-2</c:v>
                </c:pt>
                <c:pt idx="20">
                  <c:v>6.4623621970006664E-2</c:v>
                </c:pt>
                <c:pt idx="21">
                  <c:v>7.0066576584660215E-2</c:v>
                </c:pt>
                <c:pt idx="22">
                  <c:v>7.3660398607425806E-2</c:v>
                </c:pt>
                <c:pt idx="23">
                  <c:v>7.7704904807173264E-2</c:v>
                </c:pt>
                <c:pt idx="24">
                  <c:v>8.3118429727964294E-2</c:v>
                </c:pt>
                <c:pt idx="25">
                  <c:v>8.8312857924812901E-2</c:v>
                </c:pt>
                <c:pt idx="26">
                  <c:v>9.2831101437670718E-2</c:v>
                </c:pt>
                <c:pt idx="27">
                  <c:v>9.8318548791227173E-2</c:v>
                </c:pt>
                <c:pt idx="28">
                  <c:v>3.0367745536422353E-2</c:v>
                </c:pt>
                <c:pt idx="29">
                  <c:v>4.0552582456552834E-2</c:v>
                </c:pt>
                <c:pt idx="30">
                  <c:v>4.9519641914649158E-2</c:v>
                </c:pt>
                <c:pt idx="31">
                  <c:v>5.7629667526657748E-2</c:v>
                </c:pt>
                <c:pt idx="32">
                  <c:v>6.4861698596148626E-2</c:v>
                </c:pt>
                <c:pt idx="33">
                  <c:v>7.0286657775454411E-2</c:v>
                </c:pt>
                <c:pt idx="34">
                  <c:v>7.385960506141967E-2</c:v>
                </c:pt>
                <c:pt idx="35">
                  <c:v>7.7888822209964029E-2</c:v>
                </c:pt>
                <c:pt idx="36">
                  <c:v>8.3118429727964294E-2</c:v>
                </c:pt>
                <c:pt idx="37">
                  <c:v>8.8312857924812901E-2</c:v>
                </c:pt>
                <c:pt idx="38">
                  <c:v>9.2831101437670718E-2</c:v>
                </c:pt>
                <c:pt idx="39">
                  <c:v>9.8318548791227173E-2</c:v>
                </c:pt>
                <c:pt idx="40">
                  <c:v>3.0367745536422353E-2</c:v>
                </c:pt>
                <c:pt idx="41">
                  <c:v>4.0552582456552834E-2</c:v>
                </c:pt>
                <c:pt idx="42">
                  <c:v>4.9519641914649158E-2</c:v>
                </c:pt>
                <c:pt idx="43">
                  <c:v>5.7629667526657748E-2</c:v>
                </c:pt>
                <c:pt idx="44">
                  <c:v>6.4861698596148626E-2</c:v>
                </c:pt>
                <c:pt idx="45">
                  <c:v>7.0286657775454411E-2</c:v>
                </c:pt>
                <c:pt idx="46">
                  <c:v>7.385960506141967E-2</c:v>
                </c:pt>
                <c:pt idx="47">
                  <c:v>7.7888822209964029E-2</c:v>
                </c:pt>
                <c:pt idx="48">
                  <c:v>8.3118429727964294E-2</c:v>
                </c:pt>
                <c:pt idx="49">
                  <c:v>8.8312857924812901E-2</c:v>
                </c:pt>
                <c:pt idx="50">
                  <c:v>9.2831101437670718E-2</c:v>
                </c:pt>
                <c:pt idx="51">
                  <c:v>9.8318548791227173E-2</c:v>
                </c:pt>
                <c:pt idx="52">
                  <c:v>3.0367745536422353E-2</c:v>
                </c:pt>
                <c:pt idx="53">
                  <c:v>4.0552582456552834E-2</c:v>
                </c:pt>
                <c:pt idx="54">
                  <c:v>4.9519641914649158E-2</c:v>
                </c:pt>
                <c:pt idx="55">
                  <c:v>5.7629667526657748E-2</c:v>
                </c:pt>
                <c:pt idx="56">
                  <c:v>6.4861698596148626E-2</c:v>
                </c:pt>
                <c:pt idx="57">
                  <c:v>7.0286657775454411E-2</c:v>
                </c:pt>
                <c:pt idx="58">
                  <c:v>7.385960506141967E-2</c:v>
                </c:pt>
                <c:pt idx="59">
                  <c:v>7.7888822209964029E-2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0.10030186333129532</c:v>
                </c:pt>
                <c:pt idx="1">
                  <c:v>4.6336721827772653E-2</c:v>
                </c:pt>
                <c:pt idx="2">
                  <c:v>1.3844028914867303E-2</c:v>
                </c:pt>
                <c:pt idx="3">
                  <c:v>8.0389807945954548E-3</c:v>
                </c:pt>
                <c:pt idx="4">
                  <c:v>1.6604388672093911E-3</c:v>
                </c:pt>
                <c:pt idx="5">
                  <c:v>2.5869051070003337E-4</c:v>
                </c:pt>
                <c:pt idx="6">
                  <c:v>7.264629916379987E-4</c:v>
                </c:pt>
                <c:pt idx="7">
                  <c:v>6.4628153940461076E-3</c:v>
                </c:pt>
                <c:pt idx="8">
                  <c:v>1.4778549369492374E-2</c:v>
                </c:pt>
                <c:pt idx="9">
                  <c:v>4.5156741272904373E-2</c:v>
                </c:pt>
                <c:pt idx="10">
                  <c:v>0.11483861867142091</c:v>
                </c:pt>
                <c:pt idx="11">
                  <c:v>0.17852460298460859</c:v>
                </c:pt>
                <c:pt idx="12">
                  <c:v>0.13537951594091313</c:v>
                </c:pt>
                <c:pt idx="13">
                  <c:v>6.5027816483504558E-2</c:v>
                </c:pt>
                <c:pt idx="14">
                  <c:v>2.0992855101154007E-2</c:v>
                </c:pt>
                <c:pt idx="15">
                  <c:v>1.0814231511990116E-2</c:v>
                </c:pt>
                <c:pt idx="16">
                  <c:v>2.4621824665072441E-3</c:v>
                </c:pt>
                <c:pt idx="17">
                  <c:v>3.7826881778954405E-4</c:v>
                </c:pt>
                <c:pt idx="18">
                  <c:v>1.0338816245071213E-3</c:v>
                </c:pt>
                <c:pt idx="19">
                  <c:v>8.7494393834873264E-3</c:v>
                </c:pt>
                <c:pt idx="20">
                  <c:v>1.9060159466283755E-2</c:v>
                </c:pt>
                <c:pt idx="21">
                  <c:v>6.2549993613786575E-2</c:v>
                </c:pt>
                <c:pt idx="22">
                  <c:v>0.14665811316188834</c:v>
                </c:pt>
                <c:pt idx="23">
                  <c:v>0.2242162257843483</c:v>
                </c:pt>
                <c:pt idx="24">
                  <c:v>0.17535772005734077</c:v>
                </c:pt>
                <c:pt idx="25">
                  <c:v>8.5028165683182527E-2</c:v>
                </c:pt>
                <c:pt idx="26">
                  <c:v>3.0594854615773024E-2</c:v>
                </c:pt>
                <c:pt idx="27">
                  <c:v>3.3719068291258235E-5</c:v>
                </c:pt>
                <c:pt idx="28">
                  <c:v>2.1516345492231502E-5</c:v>
                </c:pt>
                <c:pt idx="29">
                  <c:v>1.4076938161910249E-5</c:v>
                </c:pt>
                <c:pt idx="30">
                  <c:v>2.8217016017082142E-5</c:v>
                </c:pt>
                <c:pt idx="31">
                  <c:v>3.6850617791187468E-4</c:v>
                </c:pt>
                <c:pt idx="32">
                  <c:v>1.3552240520196112E-3</c:v>
                </c:pt>
                <c:pt idx="33">
                  <c:v>1.620243187179369E-3</c:v>
                </c:pt>
                <c:pt idx="34">
                  <c:v>8.1490137809646056E-3</c:v>
                </c:pt>
                <c:pt idx="35">
                  <c:v>1.0086688731275604E-2</c:v>
                </c:pt>
                <c:pt idx="36">
                  <c:v>9.9993118830725806E-3</c:v>
                </c:pt>
                <c:pt idx="37">
                  <c:v>1.8614819796029804E-3</c:v>
                </c:pt>
                <c:pt idx="38">
                  <c:v>1.6369828577462056E-3</c:v>
                </c:pt>
                <c:pt idx="39">
                  <c:v>8.8097804976625821E-4</c:v>
                </c:pt>
                <c:pt idx="40">
                  <c:v>1.3333182780127858E-4</c:v>
                </c:pt>
                <c:pt idx="41">
                  <c:v>4.4185969227666195E-5</c:v>
                </c:pt>
                <c:pt idx="42">
                  <c:v>8.9810187396998563E-5</c:v>
                </c:pt>
                <c:pt idx="43">
                  <c:v>9.8521162385603622E-4</c:v>
                </c:pt>
                <c:pt idx="44">
                  <c:v>3.2027416175056185E-3</c:v>
                </c:pt>
                <c:pt idx="45">
                  <c:v>4.1134158130841638E-3</c:v>
                </c:pt>
                <c:pt idx="46">
                  <c:v>2.1443586271841758E-2</c:v>
                </c:pt>
                <c:pt idx="47">
                  <c:v>3.209678914791738E-2</c:v>
                </c:pt>
                <c:pt idx="48">
                  <c:v>2.5071374604277268E-2</c:v>
                </c:pt>
                <c:pt idx="49">
                  <c:v>7.3364064233644027E-3</c:v>
                </c:pt>
                <c:pt idx="50">
                  <c:v>3.7530672152389592E-3</c:v>
                </c:pt>
                <c:pt idx="51">
                  <c:v>2.1248290513356904E-3</c:v>
                </c:pt>
                <c:pt idx="52">
                  <c:v>3.4778393444600983E-4</c:v>
                </c:pt>
                <c:pt idx="53">
                  <c:v>7.7885279798479894E-5</c:v>
                </c:pt>
                <c:pt idx="54">
                  <c:v>1.7553798964348413E-4</c:v>
                </c:pt>
                <c:pt idx="55">
                  <c:v>1.7978820210854819E-3</c:v>
                </c:pt>
                <c:pt idx="56">
                  <c:v>5.3628302442621234E-3</c:v>
                </c:pt>
                <c:pt idx="57">
                  <c:v>8.5434784990106871E-3</c:v>
                </c:pt>
                <c:pt idx="58">
                  <c:v>3.8575973269532937E-2</c:v>
                </c:pt>
                <c:pt idx="59">
                  <c:v>5.8653648455703145E-2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3748640"/>
        <c:axId val="534185816"/>
      </c:lineChart>
      <c:dateAx>
        <c:axId val="463748640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5816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341858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74864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3.2575117522959385E-4</c:v>
                </c:pt>
                <c:pt idx="8">
                  <c:v>1.0466797742767486E-3</c:v>
                </c:pt>
                <c:pt idx="9">
                  <c:v>1.7438575871262518E-3</c:v>
                </c:pt>
                <c:pt idx="10">
                  <c:v>2.4637634995632318E-3</c:v>
                </c:pt>
                <c:pt idx="11">
                  <c:v>3.1599523179199895E-3</c:v>
                </c:pt>
                <c:pt idx="12">
                  <c:v>3.8788369944978696E-3</c:v>
                </c:pt>
                <c:pt idx="13">
                  <c:v>4.5972032376726535E-3</c:v>
                </c:pt>
                <c:pt idx="14">
                  <c:v>5.2456048734155214E-3</c:v>
                </c:pt>
                <c:pt idx="15">
                  <c:v>5.9629854534571924E-3</c:v>
                </c:pt>
                <c:pt idx="16">
                  <c:v>6.6567321357711151E-3</c:v>
                </c:pt>
                <c:pt idx="17">
                  <c:v>7.3730950623106528E-3</c:v>
                </c:pt>
                <c:pt idx="18">
                  <c:v>8.0658576174255092E-3</c:v>
                </c:pt>
                <c:pt idx="19">
                  <c:v>8.7812043340740331E-3</c:v>
                </c:pt>
                <c:pt idx="20">
                  <c:v>9.4960351687671807E-3</c:v>
                </c:pt>
                <c:pt idx="21">
                  <c:v>1.0187316106362698E-2</c:v>
                </c:pt>
                <c:pt idx="22">
                  <c:v>1.0901132904542199E-2</c:v>
                </c:pt>
                <c:pt idx="23">
                  <c:v>1.1591433212766566E-2</c:v>
                </c:pt>
                <c:pt idx="24">
                  <c:v>1.2304237412912644E-2</c:v>
                </c:pt>
                <c:pt idx="25">
                  <c:v>1.3016527564673419E-2</c:v>
                </c:pt>
                <c:pt idx="26">
                  <c:v>1.3659444884234762E-2</c:v>
                </c:pt>
                <c:pt idx="27">
                  <c:v>1.437075770980667E-2</c:v>
                </c:pt>
                <c:pt idx="28">
                  <c:v>1.5058636538083814E-2</c:v>
                </c:pt>
                <c:pt idx="29">
                  <c:v>1.5768940317678948E-2</c:v>
                </c:pt>
                <c:pt idx="30">
                  <c:v>1.6455843342709997E-2</c:v>
                </c:pt>
                <c:pt idx="31">
                  <c:v>1.7165139507729354E-2</c:v>
                </c:pt>
                <c:pt idx="32">
                  <c:v>1.7873924154230392E-2</c:v>
                </c:pt>
                <c:pt idx="33">
                  <c:v>1.8559358093571898E-2</c:v>
                </c:pt>
                <c:pt idx="34">
                  <c:v>1.9267137280491453E-2</c:v>
                </c:pt>
                <c:pt idx="35">
                  <c:v>1.9951598884829336E-2</c:v>
                </c:pt>
                <c:pt idx="36">
                  <c:v>2.0681164748842851E-2</c:v>
                </c:pt>
                <c:pt idx="37">
                  <c:v>2.1387413766208341E-2</c:v>
                </c:pt>
                <c:pt idx="38">
                  <c:v>2.202487832200084E-2</c:v>
                </c:pt>
                <c:pt idx="39">
                  <c:v>2.2730158302157522E-2</c:v>
                </c:pt>
                <c:pt idx="40">
                  <c:v>2.3412203035383605E-2</c:v>
                </c:pt>
                <c:pt idx="41">
                  <c:v>2.411648252756815E-2</c:v>
                </c:pt>
                <c:pt idx="42">
                  <c:v>2.4797559733611751E-2</c:v>
                </c:pt>
                <c:pt idx="43">
                  <c:v>2.550084015708487E-2</c:v>
                </c:pt>
                <c:pt idx="44">
                  <c:v>2.6203613400373027E-2</c:v>
                </c:pt>
                <c:pt idx="45">
                  <c:v>2.6883233980458665E-2</c:v>
                </c:pt>
                <c:pt idx="46">
                  <c:v>2.7585010291752643E-2</c:v>
                </c:pt>
                <c:pt idx="47">
                  <c:v>2.8263666783483021E-2</c:v>
                </c:pt>
                <c:pt idx="48">
                  <c:v>2.8964447576999119E-2</c:v>
                </c:pt>
                <c:pt idx="49">
                  <c:v>2.9664722992972181E-2</c:v>
                </c:pt>
                <c:pt idx="50">
                  <c:v>3.029679574068489E-2</c:v>
                </c:pt>
                <c:pt idx="51">
                  <c:v>3.0996110315767766E-2</c:v>
                </c:pt>
                <c:pt idx="52">
                  <c:v>3.1672386172481581E-2</c:v>
                </c:pt>
                <c:pt idx="53">
                  <c:v>3.2370708721928154E-2</c:v>
                </c:pt>
                <c:pt idx="54">
                  <c:v>3.3046025235005994E-2</c:v>
                </c:pt>
                <c:pt idx="55">
                  <c:v>3.3743357166072463E-2</c:v>
                </c:pt>
                <c:pt idx="56">
                  <c:v>3.444018620678968E-2</c:v>
                </c:pt>
                <c:pt idx="57">
                  <c:v>3.5114058414355553E-2</c:v>
                </c:pt>
                <c:pt idx="58">
                  <c:v>3.5809898955337149E-2</c:v>
                </c:pt>
                <c:pt idx="59">
                  <c:v>3.6482815229008092E-2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3.5139878597049592E-3</c:v>
                </c:pt>
                <c:pt idx="8">
                  <c:v>1.1035568202837779E-2</c:v>
                </c:pt>
                <c:pt idx="9">
                  <c:v>1.7715464865668596E-2</c:v>
                </c:pt>
                <c:pt idx="10">
                  <c:v>2.3648108806024123E-2</c:v>
                </c:pt>
                <c:pt idx="11">
                  <c:v>2.9192501724948978E-2</c:v>
                </c:pt>
                <c:pt idx="12">
                  <c:v>3.5132287423866537E-2</c:v>
                </c:pt>
                <c:pt idx="13">
                  <c:v>4.0975875837287637E-2</c:v>
                </c:pt>
                <c:pt idx="14">
                  <c:v>4.6127719417986615E-2</c:v>
                </c:pt>
                <c:pt idx="15">
                  <c:v>5.2056709790551568E-2</c:v>
                </c:pt>
                <c:pt idx="16">
                  <c:v>5.8952208463362896E-2</c:v>
                </c:pt>
                <c:pt idx="17">
                  <c:v>6.6848348186660717E-2</c:v>
                </c:pt>
                <c:pt idx="18">
                  <c:v>7.3181886453648495E-2</c:v>
                </c:pt>
                <c:pt idx="19">
                  <c:v>7.8445034936768951E-2</c:v>
                </c:pt>
                <c:pt idx="20">
                  <c:v>8.3006141331289737E-2</c:v>
                </c:pt>
                <c:pt idx="21">
                  <c:v>8.5893855815205866E-2</c:v>
                </c:pt>
                <c:pt idx="22">
                  <c:v>8.6939848127020922E-2</c:v>
                </c:pt>
                <c:pt idx="23">
                  <c:v>8.9073918858770765E-2</c:v>
                </c:pt>
                <c:pt idx="24">
                  <c:v>9.283764368579274E-2</c:v>
                </c:pt>
                <c:pt idx="25">
                  <c:v>9.6682449643672438E-2</c:v>
                </c:pt>
                <c:pt idx="26">
                  <c:v>9.9975670865499758E-2</c:v>
                </c:pt>
                <c:pt idx="27">
                  <c:v>0.10414227981136316</c:v>
                </c:pt>
                <c:pt idx="28">
                  <c:v>0.11029914607148561</c:v>
                </c:pt>
                <c:pt idx="29">
                  <c:v>0.11769868199957956</c:v>
                </c:pt>
                <c:pt idx="30">
                  <c:v>0.1222803986303786</c:v>
                </c:pt>
                <c:pt idx="31">
                  <c:v>0.12484973930905377</c:v>
                </c:pt>
                <c:pt idx="32">
                  <c:v>0.12640856790526456</c:v>
                </c:pt>
                <c:pt idx="33">
                  <c:v>0.12579618436851331</c:v>
                </c:pt>
                <c:pt idx="34">
                  <c:v>0.12268286805094299</c:v>
                </c:pt>
                <c:pt idx="35">
                  <c:v>0.12157731907405564</c:v>
                </c:pt>
                <c:pt idx="36">
                  <c:v>0.12272568576197329</c:v>
                </c:pt>
                <c:pt idx="37">
                  <c:v>0.12413714317011623</c:v>
                </c:pt>
                <c:pt idx="38">
                  <c:v>0.12542619451943501</c:v>
                </c:pt>
                <c:pt idx="39">
                  <c:v>0.12772280776027267</c:v>
                </c:pt>
                <c:pt idx="40">
                  <c:v>3.7529599143083792E-2</c:v>
                </c:pt>
                <c:pt idx="41">
                  <c:v>5.2532382268308281E-2</c:v>
                </c:pt>
                <c:pt idx="42">
                  <c:v>6.5328351386518324E-2</c:v>
                </c:pt>
                <c:pt idx="43">
                  <c:v>7.645877584714697E-2</c:v>
                </c:pt>
                <c:pt idx="44">
                  <c:v>8.592305554705483E-2</c:v>
                </c:pt>
                <c:pt idx="45">
                  <c:v>9.2605312476265633E-2</c:v>
                </c:pt>
                <c:pt idx="46">
                  <c:v>9.6527991324695514E-2</c:v>
                </c:pt>
                <c:pt idx="47">
                  <c:v>0.10084789234708161</c:v>
                </c:pt>
                <c:pt idx="48">
                  <c:v>0.10648388270537834</c:v>
                </c:pt>
                <c:pt idx="49">
                  <c:v>0.11188047646379987</c:v>
                </c:pt>
                <c:pt idx="50">
                  <c:v>0.11639121300636657</c:v>
                </c:pt>
                <c:pt idx="51">
                  <c:v>0.12184903426579033</c:v>
                </c:pt>
                <c:pt idx="52">
                  <c:v>0.1295072913024197</c:v>
                </c:pt>
                <c:pt idx="53">
                  <c:v>0.13855080857857216</c:v>
                </c:pt>
                <c:pt idx="54">
                  <c:v>0.14418509336975635</c:v>
                </c:pt>
                <c:pt idx="55">
                  <c:v>0.14737125770524534</c:v>
                </c:pt>
                <c:pt idx="56">
                  <c:v>0.14929008566976434</c:v>
                </c:pt>
                <c:pt idx="57">
                  <c:v>0.1485828794287711</c:v>
                </c:pt>
                <c:pt idx="58">
                  <c:v>3.1294478087137555E-2</c:v>
                </c:pt>
                <c:pt idx="59">
                  <c:v>3.6751560809994602E-2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1.140159065352634E-5</c:v>
                </c:pt>
                <c:pt idx="1">
                  <c:v>1.4400095879757002E-5</c:v>
                </c:pt>
                <c:pt idx="2">
                  <c:v>4.3439635437538812E-5</c:v>
                </c:pt>
                <c:pt idx="3">
                  <c:v>7.6061874654763563E-5</c:v>
                </c:pt>
                <c:pt idx="4">
                  <c:v>2.6767839422341237E-5</c:v>
                </c:pt>
                <c:pt idx="5">
                  <c:v>1.5481795310019816E-5</c:v>
                </c:pt>
                <c:pt idx="6">
                  <c:v>3.0076860962611031E-5</c:v>
                </c:pt>
                <c:pt idx="7">
                  <c:v>3.8924557916050507E-4</c:v>
                </c:pt>
                <c:pt idx="8">
                  <c:v>1.4278873111706711E-3</c:v>
                </c:pt>
                <c:pt idx="9">
                  <c:v>1.7059329145157182E-3</c:v>
                </c:pt>
                <c:pt idx="10">
                  <c:v>8.5782289348378567E-3</c:v>
                </c:pt>
                <c:pt idx="11">
                  <c:v>1.0617363053300759E-2</c:v>
                </c:pt>
                <c:pt idx="12">
                  <c:v>1.0524728273704041E-2</c:v>
                </c:pt>
                <c:pt idx="13">
                  <c:v>1.9586481603288152E-3</c:v>
                </c:pt>
                <c:pt idx="14">
                  <c:v>1.7208115770345788E-3</c:v>
                </c:pt>
                <c:pt idx="15">
                  <c:v>9.2332085612976359E-4</c:v>
                </c:pt>
                <c:pt idx="16">
                  <c:v>1.4404933475540421E-4</c:v>
                </c:pt>
                <c:pt idx="17">
                  <c:v>4.5870133589782993E-5</c:v>
                </c:pt>
                <c:pt idx="18">
                  <c:v>9.3650936277691065E-5</c:v>
                </c:pt>
                <c:pt idx="19">
                  <c:v>1.0194861070724765E-3</c:v>
                </c:pt>
                <c:pt idx="20">
                  <c:v>3.3003361510358185E-3</c:v>
                </c:pt>
                <c:pt idx="21">
                  <c:v>4.2476342470303208E-3</c:v>
                </c:pt>
                <c:pt idx="22">
                  <c:v>2.2164731425758474E-2</c:v>
                </c:pt>
                <c:pt idx="23">
                  <c:v>3.3333155796988416E-2</c:v>
                </c:pt>
                <c:pt idx="24">
                  <c:v>2.5878780971167543E-2</c:v>
                </c:pt>
                <c:pt idx="25">
                  <c:v>7.650274159956125E-3</c:v>
                </c:pt>
                <c:pt idx="26">
                  <c:v>3.8632247872892179E-3</c:v>
                </c:pt>
                <c:pt idx="27">
                  <c:v>2.1892772775669888E-3</c:v>
                </c:pt>
                <c:pt idx="28">
                  <c:v>3.5850144140013547E-4</c:v>
                </c:pt>
                <c:pt idx="29">
                  <c:v>7.9569444160596699E-5</c:v>
                </c:pt>
                <c:pt idx="30">
                  <c:v>1.8175762022325793E-4</c:v>
                </c:pt>
                <c:pt idx="31">
                  <c:v>1.8522030967646329E-3</c:v>
                </c:pt>
                <c:pt idx="32">
                  <c:v>5.4891709662353259E-3</c:v>
                </c:pt>
                <c:pt idx="33">
                  <c:v>8.9112876566152105E-3</c:v>
                </c:pt>
                <c:pt idx="34">
                  <c:v>3.9655298578102106E-2</c:v>
                </c:pt>
                <c:pt idx="35">
                  <c:v>6.0130241200752596E-2</c:v>
                </c:pt>
                <c:pt idx="36">
                  <c:v>4.6011337500937124E-2</c:v>
                </c:pt>
                <c:pt idx="37">
                  <c:v>1.6607421439661381E-2</c:v>
                </c:pt>
                <c:pt idx="38">
                  <c:v>6.352922908954394E-3</c:v>
                </c:pt>
                <c:pt idx="39">
                  <c:v>3.7573698163437478E-3</c:v>
                </c:pt>
                <c:pt idx="40">
                  <c:v>6.8539759962904718E-4</c:v>
                </c:pt>
                <c:pt idx="41">
                  <c:v>1.2375971476494832E-4</c:v>
                </c:pt>
                <c:pt idx="42">
                  <c:v>3.0620940608107241E-4</c:v>
                </c:pt>
                <c:pt idx="43">
                  <c:v>2.9391414271491586E-3</c:v>
                </c:pt>
                <c:pt idx="44">
                  <c:v>8.0171874254865768E-3</c:v>
                </c:pt>
                <c:pt idx="45">
                  <c:v>1.6270970186249629E-2</c:v>
                </c:pt>
                <c:pt idx="46">
                  <c:v>6.1252073571425786E-2</c:v>
                </c:pt>
                <c:pt idx="47">
                  <c:v>8.967614457059217E-2</c:v>
                </c:pt>
                <c:pt idx="48">
                  <c:v>7.1432346460356913E-2</c:v>
                </c:pt>
                <c:pt idx="49">
                  <c:v>2.9066388847542167E-2</c:v>
                </c:pt>
                <c:pt idx="50">
                  <c:v>9.2312923675934994E-3</c:v>
                </c:pt>
                <c:pt idx="51">
                  <c:v>5.6360901841579006E-3</c:v>
                </c:pt>
                <c:pt idx="52">
                  <c:v>1.108469200322811E-3</c:v>
                </c:pt>
                <c:pt idx="53">
                  <c:v>1.8240841523721623E-4</c:v>
                </c:pt>
                <c:pt idx="54">
                  <c:v>4.8831506247629347E-4</c:v>
                </c:pt>
                <c:pt idx="55">
                  <c:v>4.5271670291042697E-3</c:v>
                </c:pt>
                <c:pt idx="56">
                  <c:v>1.1175943094491872E-2</c:v>
                </c:pt>
                <c:pt idx="57">
                  <c:v>2.9594005261891286E-2</c:v>
                </c:pt>
                <c:pt idx="58">
                  <c:v>8.6378371223581066E-2</c:v>
                </c:pt>
                <c:pt idx="59">
                  <c:v>0.13393572339408208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4186600"/>
        <c:axId val="534186992"/>
      </c:lineChart>
      <c:dateAx>
        <c:axId val="534186600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699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5341869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18660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19.03182729273664</c:v>
                </c:pt>
                <c:pt idx="1">
                  <c:v>19.167658365320399</c:v>
                </c:pt>
                <c:pt idx="2">
                  <c:v>19.312514606493068</c:v>
                </c:pt>
                <c:pt idx="3">
                  <c:v>19.466131092075052</c:v>
                </c:pt>
                <c:pt idx="4">
                  <c:v>19.628242893788101</c:v>
                </c:pt>
                <c:pt idx="5">
                  <c:v>19.798585076366308</c:v>
                </c:pt>
                <c:pt idx="6">
                  <c:v>19.976892702306579</c:v>
                </c:pt>
                <c:pt idx="7">
                  <c:v>20.162900838099194</c:v>
                </c:pt>
                <c:pt idx="8">
                  <c:v>20.358669098224645</c:v>
                </c:pt>
                <c:pt idx="9">
                  <c:v>20.565935844551461</c:v>
                </c:pt>
                <c:pt idx="10">
                  <c:v>20.783954182975595</c:v>
                </c:pt>
                <c:pt idx="11">
                  <c:v>21.011977191774076</c:v>
                </c:pt>
                <c:pt idx="12">
                  <c:v>21.249257940948425</c:v>
                </c:pt>
                <c:pt idx="13">
                  <c:v>21.495049505065584</c:v>
                </c:pt>
                <c:pt idx="14">
                  <c:v>21.748604959817264</c:v>
                </c:pt>
                <c:pt idx="15">
                  <c:v>22.009177962593924</c:v>
                </c:pt>
                <c:pt idx="16">
                  <c:v>22.276021838254884</c:v>
                </c:pt>
                <c:pt idx="17">
                  <c:v>22.548389857294165</c:v>
                </c:pt>
                <c:pt idx="18">
                  <c:v>22.825535304386783</c:v>
                </c:pt>
                <c:pt idx="19">
                  <c:v>23.106711476880125</c:v>
                </c:pt>
                <c:pt idx="20">
                  <c:v>23.391171689951243</c:v>
                </c:pt>
                <c:pt idx="21">
                  <c:v>23.678169280873146</c:v>
                </c:pt>
                <c:pt idx="22">
                  <c:v>23.96955962690075</c:v>
                </c:pt>
                <c:pt idx="23">
                  <c:v>24.267470686637392</c:v>
                </c:pt>
                <c:pt idx="24">
                  <c:v>24.571563429564069</c:v>
                </c:pt>
                <c:pt idx="25">
                  <c:v>24.881499125387634</c:v>
                </c:pt>
                <c:pt idx="26">
                  <c:v>25.196939078418964</c:v>
                </c:pt>
                <c:pt idx="27">
                  <c:v>25.517544627157388</c:v>
                </c:pt>
                <c:pt idx="28">
                  <c:v>25.842977147425053</c:v>
                </c:pt>
                <c:pt idx="29">
                  <c:v>26.172897187862066</c:v>
                </c:pt>
                <c:pt idx="30">
                  <c:v>26.506964375631014</c:v>
                </c:pt>
                <c:pt idx="31">
                  <c:v>26.844839753474265</c:v>
                </c:pt>
                <c:pt idx="32">
                  <c:v>27.186184373985547</c:v>
                </c:pt>
                <c:pt idx="33">
                  <c:v>27.530659306628777</c:v>
                </c:pt>
                <c:pt idx="34">
                  <c:v>27.877925630745185</c:v>
                </c:pt>
                <c:pt idx="35">
                  <c:v>28.227644439137844</c:v>
                </c:pt>
                <c:pt idx="36">
                  <c:v>28.580079758166825</c:v>
                </c:pt>
                <c:pt idx="37">
                  <c:v>28.935794988346814</c:v>
                </c:pt>
                <c:pt idx="38">
                  <c:v>29.294901385909565</c:v>
                </c:pt>
                <c:pt idx="39">
                  <c:v>29.65751166037014</c:v>
                </c:pt>
                <c:pt idx="40">
                  <c:v>30.023738484874304</c:v>
                </c:pt>
                <c:pt idx="41">
                  <c:v>30.393694496710463</c:v>
                </c:pt>
                <c:pt idx="42">
                  <c:v>30.767492296536872</c:v>
                </c:pt>
                <c:pt idx="43">
                  <c:v>31.145243430726467</c:v>
                </c:pt>
                <c:pt idx="44">
                  <c:v>31.527062183270548</c:v>
                </c:pt>
                <c:pt idx="45">
                  <c:v>31.913061142620133</c:v>
                </c:pt>
                <c:pt idx="46">
                  <c:v>32.303352850687318</c:v>
                </c:pt>
                <c:pt idx="47">
                  <c:v>32.698049810515506</c:v>
                </c:pt>
                <c:pt idx="48">
                  <c:v>33.097264475610096</c:v>
                </c:pt>
                <c:pt idx="49">
                  <c:v>33.501109248858093</c:v>
                </c:pt>
                <c:pt idx="50">
                  <c:v>33.910393597466765</c:v>
                </c:pt>
                <c:pt idx="51">
                  <c:v>34.32555003895753</c:v>
                </c:pt>
                <c:pt idx="52">
                  <c:v>34.746129912888719</c:v>
                </c:pt>
                <c:pt idx="53">
                  <c:v>35.171680757582116</c:v>
                </c:pt>
                <c:pt idx="54">
                  <c:v>35.601750082618182</c:v>
                </c:pt>
                <c:pt idx="55">
                  <c:v>36.035885381037481</c:v>
                </c:pt>
                <c:pt idx="56">
                  <c:v>36.473634117387171</c:v>
                </c:pt>
                <c:pt idx="57">
                  <c:v>36.914543887013686</c:v>
                </c:pt>
                <c:pt idx="58">
                  <c:v>37.35816415570573</c:v>
                </c:pt>
                <c:pt idx="59">
                  <c:v>37.804042610941679</c:v>
                </c:pt>
                <c:pt idx="60">
                  <c:v>38.251726934739843</c:v>
                </c:pt>
                <c:pt idx="61">
                  <c:v>38.700764801912854</c:v>
                </c:pt>
                <c:pt idx="62">
                  <c:v>39.150703883533026</c:v>
                </c:pt>
                <c:pt idx="63">
                  <c:v>39.601091842197704</c:v>
                </c:pt>
                <c:pt idx="64">
                  <c:v>40.054076408702123</c:v>
                </c:pt>
                <c:pt idx="65">
                  <c:v>40.511655254838722</c:v>
                </c:pt>
                <c:pt idx="66">
                  <c:v>40.973150166100595</c:v>
                </c:pt>
                <c:pt idx="67">
                  <c:v>41.437882801689355</c:v>
                </c:pt>
                <c:pt idx="68">
                  <c:v>41.905174823824026</c:v>
                </c:pt>
                <c:pt idx="69">
                  <c:v>42.374347896117307</c:v>
                </c:pt>
                <c:pt idx="70">
                  <c:v>42.84472368586318</c:v>
                </c:pt>
                <c:pt idx="71">
                  <c:v>43.315625219457587</c:v>
                </c:pt>
                <c:pt idx="72">
                  <c:v>43.786374053552684</c:v>
                </c:pt>
                <c:pt idx="73">
                  <c:v>44.25629201676734</c:v>
                </c:pt>
                <c:pt idx="74">
                  <c:v>44.724700954886536</c:v>
                </c:pt>
                <c:pt idx="75">
                  <c:v>45.190922731020741</c:v>
                </c:pt>
                <c:pt idx="76">
                  <c:v>45.654279227149239</c:v>
                </c:pt>
                <c:pt idx="77">
                  <c:v>46.114092345652615</c:v>
                </c:pt>
                <c:pt idx="78">
                  <c:v>46.57333918411949</c:v>
                </c:pt>
                <c:pt idx="79">
                  <c:v>47.034847396292363</c:v>
                </c:pt>
                <c:pt idx="80">
                  <c:v>47.497711738022844</c:v>
                </c:pt>
                <c:pt idx="81">
                  <c:v>47.96102812328207</c:v>
                </c:pt>
                <c:pt idx="82">
                  <c:v>48.423892496699487</c:v>
                </c:pt>
                <c:pt idx="83">
                  <c:v>48.885400832490141</c:v>
                </c:pt>
                <c:pt idx="84">
                  <c:v>49.344649136857647</c:v>
                </c:pt>
                <c:pt idx="85">
                  <c:v>49.800734607517846</c:v>
                </c:pt>
                <c:pt idx="86">
                  <c:v>50.252750942075558</c:v>
                </c:pt>
                <c:pt idx="87">
                  <c:v>50.699794100643111</c:v>
                </c:pt>
                <c:pt idx="88">
                  <c:v>51.140960075170277</c:v>
                </c:pt>
                <c:pt idx="89">
                  <c:v>51.57534488261301</c:v>
                </c:pt>
                <c:pt idx="90">
                  <c:v>52.00204457935542</c:v>
                </c:pt>
                <c:pt idx="91">
                  <c:v>52.420155250782663</c:v>
                </c:pt>
                <c:pt idx="92">
                  <c:v>52.831768761155736</c:v>
                </c:pt>
                <c:pt idx="93">
                  <c:v>53.239355140371124</c:v>
                </c:pt>
                <c:pt idx="94">
                  <c:v>53.642573658817</c:v>
                </c:pt>
                <c:pt idx="95">
                  <c:v>54.041085687531499</c:v>
                </c:pt>
                <c:pt idx="96">
                  <c:v>54.434552630245321</c:v>
                </c:pt>
                <c:pt idx="97">
                  <c:v>54.822635933063104</c:v>
                </c:pt>
                <c:pt idx="98">
                  <c:v>55.204997076658245</c:v>
                </c:pt>
                <c:pt idx="99">
                  <c:v>55.581297506500874</c:v>
                </c:pt>
                <c:pt idx="100">
                  <c:v>55.951196692282188</c:v>
                </c:pt>
                <c:pt idx="101">
                  <c:v>56.31435598963796</c:v>
                </c:pt>
                <c:pt idx="102">
                  <c:v>56.670436789480071</c:v>
                </c:pt>
                <c:pt idx="103">
                  <c:v>57.01910050511691</c:v>
                </c:pt>
                <c:pt idx="104">
                  <c:v>57.360008587713757</c:v>
                </c:pt>
                <c:pt idx="105">
                  <c:v>57.692822516814907</c:v>
                </c:pt>
                <c:pt idx="106">
                  <c:v>58.018786459973335</c:v>
                </c:pt>
                <c:pt idx="107">
                  <c:v>58.339145631974056</c:v>
                </c:pt>
                <c:pt idx="108">
                  <c:v>58.653559397005814</c:v>
                </c:pt>
                <c:pt idx="109">
                  <c:v>58.961689232610205</c:v>
                </c:pt>
                <c:pt idx="110">
                  <c:v>59.263196625125801</c:v>
                </c:pt>
                <c:pt idx="111">
                  <c:v>59.557743093055123</c:v>
                </c:pt>
                <c:pt idx="112">
                  <c:v>59.84499019272684</c:v>
                </c:pt>
                <c:pt idx="113">
                  <c:v>60.124596591101231</c:v>
                </c:pt>
                <c:pt idx="114">
                  <c:v>60.396223727586161</c:v>
                </c:pt>
                <c:pt idx="115">
                  <c:v>60.659532911806878</c:v>
                </c:pt>
                <c:pt idx="116">
                  <c:v>60.91418546847077</c:v>
                </c:pt>
                <c:pt idx="117">
                  <c:v>61.159842724361191</c:v>
                </c:pt>
                <c:pt idx="118">
                  <c:v>61.396166016687921</c:v>
                </c:pt>
                <c:pt idx="119">
                  <c:v>61.622816682931635</c:v>
                </c:pt>
                <c:pt idx="120">
                  <c:v>61.839324182501571</c:v>
                </c:pt>
                <c:pt idx="121">
                  <c:v>62.045736316767815</c:v>
                </c:pt>
                <c:pt idx="122">
                  <c:v>62.242503059875162</c:v>
                </c:pt>
                <c:pt idx="123">
                  <c:v>62.430075901587102</c:v>
                </c:pt>
                <c:pt idx="124">
                  <c:v>62.608906263902348</c:v>
                </c:pt>
                <c:pt idx="125">
                  <c:v>62.779445509350751</c:v>
                </c:pt>
                <c:pt idx="126">
                  <c:v>62.942144926600733</c:v>
                </c:pt>
                <c:pt idx="127">
                  <c:v>63.097451726222829</c:v>
                </c:pt>
                <c:pt idx="128">
                  <c:v>63.245821538105069</c:v>
                </c:pt>
                <c:pt idx="129">
                  <c:v>63.387705509370953</c:v>
                </c:pt>
                <c:pt idx="130">
                  <c:v>63.523554717366537</c:v>
                </c:pt>
                <c:pt idx="131">
                  <c:v>63.653820170589356</c:v>
                </c:pt>
                <c:pt idx="132">
                  <c:v>63.77895280717027</c:v>
                </c:pt>
                <c:pt idx="133">
                  <c:v>63.899403495028409</c:v>
                </c:pt>
                <c:pt idx="134">
                  <c:v>64.013757763944199</c:v>
                </c:pt>
                <c:pt idx="135">
                  <c:v>64.120523809838303</c:v>
                </c:pt>
                <c:pt idx="136">
                  <c:v>64.220053978216583</c:v>
                </c:pt>
                <c:pt idx="137">
                  <c:v>64.312686971076374</c:v>
                </c:pt>
                <c:pt idx="138">
                  <c:v>64.398761469016023</c:v>
                </c:pt>
                <c:pt idx="139">
                  <c:v>64.478616124030779</c:v>
                </c:pt>
                <c:pt idx="140">
                  <c:v>64.552589561329398</c:v>
                </c:pt>
                <c:pt idx="141">
                  <c:v>64.621016961119068</c:v>
                </c:pt>
                <c:pt idx="142">
                  <c:v>64.684242934122992</c:v>
                </c:pt>
                <c:pt idx="143">
                  <c:v>64.742606265777411</c:v>
                </c:pt>
                <c:pt idx="144">
                  <c:v>64.796445717992114</c:v>
                </c:pt>
                <c:pt idx="145">
                  <c:v>64.846100034704975</c:v>
                </c:pt>
                <c:pt idx="146">
                  <c:v>64.891907944725176</c:v>
                </c:pt>
                <c:pt idx="147">
                  <c:v>64.934208162006399</c:v>
                </c:pt>
                <c:pt idx="148">
                  <c:v>64.972001668056322</c:v>
                </c:pt>
                <c:pt idx="149">
                  <c:v>65.004212069862717</c:v>
                </c:pt>
                <c:pt idx="150">
                  <c:v>65.031067696711887</c:v>
                </c:pt>
                <c:pt idx="151">
                  <c:v>65.052794222926707</c:v>
                </c:pt>
                <c:pt idx="152">
                  <c:v>65.069617314020604</c:v>
                </c:pt>
                <c:pt idx="153">
                  <c:v>65.081762626123876</c:v>
                </c:pt>
                <c:pt idx="154">
                  <c:v>65.089455808868721</c:v>
                </c:pt>
                <c:pt idx="155">
                  <c:v>65.092921690580255</c:v>
                </c:pt>
                <c:pt idx="156">
                  <c:v>65.092390822953817</c:v>
                </c:pt>
                <c:pt idx="157">
                  <c:v>65.088089111274797</c:v>
                </c:pt>
                <c:pt idx="158">
                  <c:v>65.080242456805195</c:v>
                </c:pt>
                <c:pt idx="159">
                  <c:v>65.069076761805078</c:v>
                </c:pt>
                <c:pt idx="160">
                  <c:v>65.054817925138948</c:v>
                </c:pt>
                <c:pt idx="161">
                  <c:v>65.03769184820726</c:v>
                </c:pt>
                <c:pt idx="162">
                  <c:v>65.016869327994414</c:v>
                </c:pt>
                <c:pt idx="163">
                  <c:v>64.991522079829195</c:v>
                </c:pt>
                <c:pt idx="164">
                  <c:v>64.961878809669315</c:v>
                </c:pt>
                <c:pt idx="165">
                  <c:v>64.928165625954918</c:v>
                </c:pt>
                <c:pt idx="166">
                  <c:v>64.890608632038507</c:v>
                </c:pt>
                <c:pt idx="167">
                  <c:v>64.849433935710891</c:v>
                </c:pt>
                <c:pt idx="168">
                  <c:v>64.80486764089855</c:v>
                </c:pt>
                <c:pt idx="169">
                  <c:v>64.757136871473037</c:v>
                </c:pt>
                <c:pt idx="170">
                  <c:v>64.706468863883487</c:v>
                </c:pt>
                <c:pt idx="171">
                  <c:v>64.653089826031049</c:v>
                </c:pt>
                <c:pt idx="172">
                  <c:v>64.597225959383806</c:v>
                </c:pt>
                <c:pt idx="173">
                  <c:v>64.53910347793196</c:v>
                </c:pt>
                <c:pt idx="174">
                  <c:v>64.478948593099489</c:v>
                </c:pt>
                <c:pt idx="175">
                  <c:v>64.41698750200834</c:v>
                </c:pt>
                <c:pt idx="176">
                  <c:v>64.353371033448468</c:v>
                </c:pt>
                <c:pt idx="177">
                  <c:v>64.287947355385654</c:v>
                </c:pt>
                <c:pt idx="178">
                  <c:v>64.22048926450978</c:v>
                </c:pt>
                <c:pt idx="179">
                  <c:v>64.150770666063991</c:v>
                </c:pt>
                <c:pt idx="180">
                  <c:v>64.078565466645458</c:v>
                </c:pt>
                <c:pt idx="181">
                  <c:v>64.003647571916417</c:v>
                </c:pt>
                <c:pt idx="182">
                  <c:v>63.925790885196612</c:v>
                </c:pt>
                <c:pt idx="183">
                  <c:v>63.844765677162215</c:v>
                </c:pt>
                <c:pt idx="184">
                  <c:v>63.760344490419286</c:v>
                </c:pt>
                <c:pt idx="185">
                  <c:v>63.672301070911587</c:v>
                </c:pt>
                <c:pt idx="186">
                  <c:v>63.580409174942389</c:v>
                </c:pt>
                <c:pt idx="187">
                  <c:v>63.484442561331065</c:v>
                </c:pt>
                <c:pt idx="188">
                  <c:v>63.384174994923519</c:v>
                </c:pt>
                <c:pt idx="189">
                  <c:v>63.279380249537319</c:v>
                </c:pt>
                <c:pt idx="190">
                  <c:v>63.169907464290375</c:v>
                </c:pt>
                <c:pt idx="191">
                  <c:v>63.055898934598254</c:v>
                </c:pt>
                <c:pt idx="192">
                  <c:v>62.937581832776679</c:v>
                </c:pt>
                <c:pt idx="193">
                  <c:v>62.815181972595262</c:v>
                </c:pt>
                <c:pt idx="194">
                  <c:v>62.688925185087101</c:v>
                </c:pt>
                <c:pt idx="195">
                  <c:v>62.559037315292862</c:v>
                </c:pt>
                <c:pt idx="196">
                  <c:v>62.425744217035572</c:v>
                </c:pt>
                <c:pt idx="197">
                  <c:v>62.28926603008415</c:v>
                </c:pt>
                <c:pt idx="198">
                  <c:v>62.149832662466245</c:v>
                </c:pt>
                <c:pt idx="199">
                  <c:v>62.007669980959655</c:v>
                </c:pt>
                <c:pt idx="200">
                  <c:v>61.863003865495514</c:v>
                </c:pt>
                <c:pt idx="201">
                  <c:v>61.716060208019385</c:v>
                </c:pt>
                <c:pt idx="202">
                  <c:v>61.567064913478198</c:v>
                </c:pt>
                <c:pt idx="203">
                  <c:v>61.416243899399383</c:v>
                </c:pt>
                <c:pt idx="204">
                  <c:v>61.263747736005776</c:v>
                </c:pt>
                <c:pt idx="205">
                  <c:v>61.109409127346915</c:v>
                </c:pt>
                <c:pt idx="206">
                  <c:v>60.953010782298684</c:v>
                </c:pt>
                <c:pt idx="207">
                  <c:v>60.794326376135594</c:v>
                </c:pt>
                <c:pt idx="208">
                  <c:v>60.633129601389101</c:v>
                </c:pt>
                <c:pt idx="209">
                  <c:v>60.469194167947549</c:v>
                </c:pt>
                <c:pt idx="210">
                  <c:v>60.302293797513137</c:v>
                </c:pt>
                <c:pt idx="211">
                  <c:v>60.132154880952314</c:v>
                </c:pt>
                <c:pt idx="212">
                  <c:v>59.95855678759817</c:v>
                </c:pt>
                <c:pt idx="213">
                  <c:v>59.764758209933085</c:v>
                </c:pt>
                <c:pt idx="214">
                  <c:v>59.567165352855888</c:v>
                </c:pt>
                <c:pt idx="215">
                  <c:v>59.365555030443332</c:v>
                </c:pt>
                <c:pt idx="216">
                  <c:v>59.159704325554699</c:v>
                </c:pt>
                <c:pt idx="217">
                  <c:v>58.949390582844948</c:v>
                </c:pt>
                <c:pt idx="218">
                  <c:v>58.735933838494297</c:v>
                </c:pt>
                <c:pt idx="219">
                  <c:v>58.520481838721132</c:v>
                </c:pt>
                <c:pt idx="220">
                  <c:v>58.302601992784496</c:v>
                </c:pt>
                <c:pt idx="221">
                  <c:v>58.081844943428536</c:v>
                </c:pt>
                <c:pt idx="222">
                  <c:v>57.857761856904496</c:v>
                </c:pt>
                <c:pt idx="223">
                  <c:v>57.62990442163219</c:v>
                </c:pt>
                <c:pt idx="224">
                  <c:v>57.397824839710644</c:v>
                </c:pt>
                <c:pt idx="225">
                  <c:v>57.161084866479968</c:v>
                </c:pt>
                <c:pt idx="226">
                  <c:v>56.919287426476906</c:v>
                </c:pt>
                <c:pt idx="227">
                  <c:v>56.671986656203586</c:v>
                </c:pt>
                <c:pt idx="228">
                  <c:v>56.418737179350366</c:v>
                </c:pt>
                <c:pt idx="229">
                  <c:v>56.159094092953453</c:v>
                </c:pt>
                <c:pt idx="230">
                  <c:v>55.892612973531762</c:v>
                </c:pt>
                <c:pt idx="231">
                  <c:v>55.618849877238688</c:v>
                </c:pt>
                <c:pt idx="232">
                  <c:v>55.338972815367228</c:v>
                </c:pt>
                <c:pt idx="233">
                  <c:v>55.054297376979136</c:v>
                </c:pt>
                <c:pt idx="234">
                  <c:v>54.764624164528961</c:v>
                </c:pt>
                <c:pt idx="235">
                  <c:v>54.469732954694898</c:v>
                </c:pt>
                <c:pt idx="236">
                  <c:v>54.16940373301928</c:v>
                </c:pt>
                <c:pt idx="237">
                  <c:v>53.863416729675109</c:v>
                </c:pt>
                <c:pt idx="238">
                  <c:v>53.551552395364418</c:v>
                </c:pt>
                <c:pt idx="239">
                  <c:v>53.233611880057495</c:v>
                </c:pt>
                <c:pt idx="240">
                  <c:v>52.909366877099615</c:v>
                </c:pt>
                <c:pt idx="241">
                  <c:v>52.578598544614515</c:v>
                </c:pt>
                <c:pt idx="242">
                  <c:v>52.241088255017566</c:v>
                </c:pt>
                <c:pt idx="243">
                  <c:v>51.896617597920738</c:v>
                </c:pt>
                <c:pt idx="244">
                  <c:v>51.544968381449188</c:v>
                </c:pt>
                <c:pt idx="245">
                  <c:v>51.185922627896943</c:v>
                </c:pt>
                <c:pt idx="246">
                  <c:v>50.818609202595752</c:v>
                </c:pt>
                <c:pt idx="247">
                  <c:v>50.44270548346568</c:v>
                </c:pt>
                <c:pt idx="248">
                  <c:v>50.058779494116777</c:v>
                </c:pt>
                <c:pt idx="249">
                  <c:v>49.667397607800034</c:v>
                </c:pt>
                <c:pt idx="250">
                  <c:v>49.269125576907328</c:v>
                </c:pt>
                <c:pt idx="251">
                  <c:v>48.864528533104632</c:v>
                </c:pt>
                <c:pt idx="252">
                  <c:v>48.454170990035323</c:v>
                </c:pt>
                <c:pt idx="253">
                  <c:v>48.038652256373702</c:v>
                </c:pt>
                <c:pt idx="254">
                  <c:v>47.618514914603907</c:v>
                </c:pt>
                <c:pt idx="255">
                  <c:v>47.19432168477811</c:v>
                </c:pt>
                <c:pt idx="256">
                  <c:v>46.76663467899985</c:v>
                </c:pt>
                <c:pt idx="257">
                  <c:v>46.336015408243505</c:v>
                </c:pt>
                <c:pt idx="258">
                  <c:v>45.903024782608036</c:v>
                </c:pt>
                <c:pt idx="259">
                  <c:v>45.468223115314018</c:v>
                </c:pt>
                <c:pt idx="260">
                  <c:v>45.028599082417635</c:v>
                </c:pt>
                <c:pt idx="261">
                  <c:v>44.581495116846739</c:v>
                </c:pt>
                <c:pt idx="262">
                  <c:v>44.127895956590194</c:v>
                </c:pt>
                <c:pt idx="263">
                  <c:v>43.668810551802778</c:v>
                </c:pt>
                <c:pt idx="264">
                  <c:v>43.205246767705276</c:v>
                </c:pt>
                <c:pt idx="265">
                  <c:v>42.738211021496454</c:v>
                </c:pt>
                <c:pt idx="266">
                  <c:v>42.268708846767055</c:v>
                </c:pt>
                <c:pt idx="267">
                  <c:v>41.797779420020788</c:v>
                </c:pt>
                <c:pt idx="268">
                  <c:v>41.326390734091824</c:v>
                </c:pt>
                <c:pt idx="269">
                  <c:v>40.855545436705853</c:v>
                </c:pt>
                <c:pt idx="270">
                  <c:v>40.386245126496377</c:v>
                </c:pt>
                <c:pt idx="271">
                  <c:v>39.919490358027623</c:v>
                </c:pt>
                <c:pt idx="272">
                  <c:v>39.45628064600109</c:v>
                </c:pt>
                <c:pt idx="273">
                  <c:v>38.997614470847374</c:v>
                </c:pt>
                <c:pt idx="274">
                  <c:v>38.539578005440688</c:v>
                </c:pt>
                <c:pt idx="275">
                  <c:v>38.078346475763695</c:v>
                </c:pt>
                <c:pt idx="276">
                  <c:v>37.614980011886175</c:v>
                </c:pt>
                <c:pt idx="277">
                  <c:v>37.150591108047088</c:v>
                </c:pt>
                <c:pt idx="278">
                  <c:v>36.686291084952074</c:v>
                </c:pt>
                <c:pt idx="279">
                  <c:v>36.223190095474621</c:v>
                </c:pt>
                <c:pt idx="280">
                  <c:v>35.762397135511712</c:v>
                </c:pt>
                <c:pt idx="281">
                  <c:v>35.305012945258376</c:v>
                </c:pt>
                <c:pt idx="282">
                  <c:v>34.852109489609028</c:v>
                </c:pt>
                <c:pt idx="283">
                  <c:v>34.404792278642319</c:v>
                </c:pt>
                <c:pt idx="284">
                  <c:v>33.964165704429178</c:v>
                </c:pt>
                <c:pt idx="285">
                  <c:v>33.531333060202186</c:v>
                </c:pt>
                <c:pt idx="286">
                  <c:v>33.107396544112916</c:v>
                </c:pt>
                <c:pt idx="287">
                  <c:v>32.69345728434245</c:v>
                </c:pt>
                <c:pt idx="288">
                  <c:v>32.288565090016803</c:v>
                </c:pt>
                <c:pt idx="289">
                  <c:v>31.890668121941754</c:v>
                </c:pt>
                <c:pt idx="290">
                  <c:v>31.499416430332026</c:v>
                </c:pt>
                <c:pt idx="291">
                  <c:v>31.114471511372489</c:v>
                </c:pt>
                <c:pt idx="292">
                  <c:v>30.735495151512662</c:v>
                </c:pt>
                <c:pt idx="293">
                  <c:v>30.362149413800804</c:v>
                </c:pt>
                <c:pt idx="294">
                  <c:v>29.994096644134537</c:v>
                </c:pt>
                <c:pt idx="295">
                  <c:v>29.630597960328029</c:v>
                </c:pt>
                <c:pt idx="296">
                  <c:v>29.271322344440538</c:v>
                </c:pt>
                <c:pt idx="297">
                  <c:v>28.915932084973146</c:v>
                </c:pt>
                <c:pt idx="298">
                  <c:v>28.564090170558892</c:v>
                </c:pt>
                <c:pt idx="299">
                  <c:v>28.21545985587893</c:v>
                </c:pt>
                <c:pt idx="300">
                  <c:v>27.869704680293506</c:v>
                </c:pt>
                <c:pt idx="301">
                  <c:v>27.526488458727922</c:v>
                </c:pt>
                <c:pt idx="302">
                  <c:v>27.185346415869684</c:v>
                </c:pt>
                <c:pt idx="303">
                  <c:v>26.846069893058576</c:v>
                </c:pt>
                <c:pt idx="304">
                  <c:v>26.50923925114807</c:v>
                </c:pt>
                <c:pt idx="305">
                  <c:v>26.175291555185638</c:v>
                </c:pt>
                <c:pt idx="306">
                  <c:v>25.844663543449297</c:v>
                </c:pt>
                <c:pt idx="307">
                  <c:v>25.517791635064199</c:v>
                </c:pt>
                <c:pt idx="308">
                  <c:v>25.195111955320844</c:v>
                </c:pt>
                <c:pt idx="309">
                  <c:v>24.877377268836391</c:v>
                </c:pt>
                <c:pt idx="310">
                  <c:v>24.565427198787106</c:v>
                </c:pt>
                <c:pt idx="311">
                  <c:v>24.259697747472689</c:v>
                </c:pt>
                <c:pt idx="312">
                  <c:v>23.960624633877824</c:v>
                </c:pt>
                <c:pt idx="313">
                  <c:v>23.668643290647175</c:v>
                </c:pt>
                <c:pt idx="314">
                  <c:v>23.384188878117989</c:v>
                </c:pt>
                <c:pt idx="315">
                  <c:v>23.107696286669114</c:v>
                </c:pt>
                <c:pt idx="316">
                  <c:v>22.839214616759612</c:v>
                </c:pt>
                <c:pt idx="317">
                  <c:v>22.57875491009974</c:v>
                </c:pt>
                <c:pt idx="318">
                  <c:v>22.326242661641274</c:v>
                </c:pt>
                <c:pt idx="319">
                  <c:v>22.081342905939611</c:v>
                </c:pt>
                <c:pt idx="320">
                  <c:v>21.843720979560057</c:v>
                </c:pt>
                <c:pt idx="321">
                  <c:v>21.613042522251707</c:v>
                </c:pt>
                <c:pt idx="322">
                  <c:v>21.388973464496669</c:v>
                </c:pt>
                <c:pt idx="323">
                  <c:v>21.171312484882939</c:v>
                </c:pt>
                <c:pt idx="324">
                  <c:v>20.959408037825465</c:v>
                </c:pt>
                <c:pt idx="325">
                  <c:v>20.752926837844548</c:v>
                </c:pt>
                <c:pt idx="326">
                  <c:v>20.551537263185843</c:v>
                </c:pt>
                <c:pt idx="327">
                  <c:v>20.354907069582772</c:v>
                </c:pt>
                <c:pt idx="328">
                  <c:v>20.162703127350937</c:v>
                </c:pt>
                <c:pt idx="329">
                  <c:v>19.974592560330535</c:v>
                </c:pt>
                <c:pt idx="330">
                  <c:v>19.788924860348619</c:v>
                </c:pt>
                <c:pt idx="331">
                  <c:v>19.604861839041956</c:v>
                </c:pt>
                <c:pt idx="332">
                  <c:v>19.422913487649048</c:v>
                </c:pt>
                <c:pt idx="333">
                  <c:v>19.244065559619536</c:v>
                </c:pt>
                <c:pt idx="334">
                  <c:v>19.069303055005854</c:v>
                </c:pt>
                <c:pt idx="335">
                  <c:v>18.899610212710311</c:v>
                </c:pt>
                <c:pt idx="336">
                  <c:v>18.73597050224484</c:v>
                </c:pt>
                <c:pt idx="337">
                  <c:v>18.579302322234138</c:v>
                </c:pt>
                <c:pt idx="338">
                  <c:v>18.430455233973984</c:v>
                </c:pt>
                <c:pt idx="339">
                  <c:v>18.290410457097206</c:v>
                </c:pt>
                <c:pt idx="340">
                  <c:v>18.160148419826573</c:v>
                </c:pt>
                <c:pt idx="341">
                  <c:v>18.040648741244986</c:v>
                </c:pt>
                <c:pt idx="342">
                  <c:v>17.93289022902038</c:v>
                </c:pt>
                <c:pt idx="343">
                  <c:v>17.837850865967891</c:v>
                </c:pt>
                <c:pt idx="344">
                  <c:v>17.753779092928756</c:v>
                </c:pt>
                <c:pt idx="345">
                  <c:v>17.67834959143547</c:v>
                </c:pt>
                <c:pt idx="346">
                  <c:v>17.611692088496699</c:v>
                </c:pt>
                <c:pt idx="347">
                  <c:v>17.553923130903947</c:v>
                </c:pt>
                <c:pt idx="348">
                  <c:v>17.505159166414135</c:v>
                </c:pt>
                <c:pt idx="349">
                  <c:v>17.465516539470517</c:v>
                </c:pt>
                <c:pt idx="350">
                  <c:v>17.435111481703885</c:v>
                </c:pt>
                <c:pt idx="351">
                  <c:v>17.414005875801813</c:v>
                </c:pt>
                <c:pt idx="352">
                  <c:v>17.402379894770444</c:v>
                </c:pt>
                <c:pt idx="353">
                  <c:v>17.400349404019362</c:v>
                </c:pt>
                <c:pt idx="354">
                  <c:v>17.408030137699598</c:v>
                </c:pt>
                <c:pt idx="355">
                  <c:v>17.425537712180429</c:v>
                </c:pt>
                <c:pt idx="356">
                  <c:v>17.452989940337872</c:v>
                </c:pt>
                <c:pt idx="357">
                  <c:v>17.490499999689465</c:v>
                </c:pt>
                <c:pt idx="358">
                  <c:v>17.53847582883807</c:v>
                </c:pt>
                <c:pt idx="359">
                  <c:v>17.59707321417315</c:v>
                </c:pt>
                <c:pt idx="360">
                  <c:v>17.665965980152482</c:v>
                </c:pt>
                <c:pt idx="361">
                  <c:v>17.744946584761781</c:v>
                </c:pt>
                <c:pt idx="362">
                  <c:v>17.833753446738516</c:v>
                </c:pt>
                <c:pt idx="363">
                  <c:v>17.932125192578493</c:v>
                </c:pt>
                <c:pt idx="364">
                  <c:v>18.039800657071432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</c:formatCode>
                <c:ptCount val="366"/>
                <c:pt idx="273" formatCode="0.00">
                  <c:v>2.129</c:v>
                </c:pt>
                <c:pt idx="274" formatCode="0.00">
                  <c:v>35.54</c:v>
                </c:pt>
                <c:pt idx="275" formatCode="0.00">
                  <c:v>35.398000000000003</c:v>
                </c:pt>
                <c:pt idx="276" formatCode="0.00">
                  <c:v>35.271999999999998</c:v>
                </c:pt>
                <c:pt idx="277" formatCode="0.00">
                  <c:v>34.72</c:v>
                </c:pt>
                <c:pt idx="278" formatCode="0.00">
                  <c:v>33.353999999999999</c:v>
                </c:pt>
                <c:pt idx="279" formatCode="0.00">
                  <c:v>15.315</c:v>
                </c:pt>
                <c:pt idx="280" formatCode="0.00">
                  <c:v>14.872</c:v>
                </c:pt>
                <c:pt idx="281" formatCode="0.00">
                  <c:v>31.266999999999999</c:v>
                </c:pt>
                <c:pt idx="282" formatCode="0.00">
                  <c:v>21.789000000000001</c:v>
                </c:pt>
                <c:pt idx="283" formatCode="0.00">
                  <c:v>25.135999999999999</c:v>
                </c:pt>
                <c:pt idx="284" formatCode="0.00">
                  <c:v>30.405999999999999</c:v>
                </c:pt>
                <c:pt idx="285" formatCode="0.00">
                  <c:v>23.381</c:v>
                </c:pt>
                <c:pt idx="286" formatCode="0.00">
                  <c:v>30.224</c:v>
                </c:pt>
                <c:pt idx="287" formatCode="0.00">
                  <c:v>11.084</c:v>
                </c:pt>
                <c:pt idx="288" formatCode="0.00">
                  <c:v>20.001000000000001</c:v>
                </c:pt>
                <c:pt idx="289" formatCode="0.00">
                  <c:v>21.099</c:v>
                </c:pt>
                <c:pt idx="290" formatCode="0.00">
                  <c:v>9.6959999999999997</c:v>
                </c:pt>
                <c:pt idx="291" formatCode="0.00">
                  <c:v>20.974</c:v>
                </c:pt>
                <c:pt idx="292" formatCode="0.00">
                  <c:v>12.381</c:v>
                </c:pt>
                <c:pt idx="293" formatCode="0.00">
                  <c:v>16.425000000000001</c:v>
                </c:pt>
                <c:pt idx="294" formatCode="0.00">
                  <c:v>20.061</c:v>
                </c:pt>
                <c:pt idx="295" formatCode="0.00">
                  <c:v>28.835000000000001</c:v>
                </c:pt>
                <c:pt idx="296" formatCode="0.00">
                  <c:v>28.495000000000001</c:v>
                </c:pt>
                <c:pt idx="297" formatCode="0.00">
                  <c:v>27.832999999999998</c:v>
                </c:pt>
                <c:pt idx="298" formatCode="0.00">
                  <c:v>3.9929999999999999</c:v>
                </c:pt>
                <c:pt idx="299" formatCode="0.00">
                  <c:v>7.7910000000000004</c:v>
                </c:pt>
                <c:pt idx="300" formatCode="0.00">
                  <c:v>3.3420000000000001</c:v>
                </c:pt>
                <c:pt idx="301" formatCode="0.00">
                  <c:v>5.0030000000000001</c:v>
                </c:pt>
                <c:pt idx="302" formatCode="0.00">
                  <c:v>24.145</c:v>
                </c:pt>
                <c:pt idx="303" formatCode="0.00">
                  <c:v>11.532999999999999</c:v>
                </c:pt>
                <c:pt idx="304" formatCode="0.00">
                  <c:v>19.146999999999998</c:v>
                </c:pt>
                <c:pt idx="305" formatCode="0.00">
                  <c:v>8.1479999999999997</c:v>
                </c:pt>
                <c:pt idx="306" formatCode="0.00">
                  <c:v>22.582999999999998</c:v>
                </c:pt>
                <c:pt idx="307" formatCode="0.00">
                  <c:v>18.388999999999999</c:v>
                </c:pt>
                <c:pt idx="308" formatCode="0.00">
                  <c:v>10.568</c:v>
                </c:pt>
                <c:pt idx="309" formatCode="0.00">
                  <c:v>18.738</c:v>
                </c:pt>
                <c:pt idx="310" formatCode="0.00">
                  <c:v>10.808999999999999</c:v>
                </c:pt>
                <c:pt idx="311" formatCode="0.00">
                  <c:v>13.313000000000001</c:v>
                </c:pt>
                <c:pt idx="312" formatCode="0.00">
                  <c:v>3.798</c:v>
                </c:pt>
                <c:pt idx="313" formatCode="0.00">
                  <c:v>15.11</c:v>
                </c:pt>
                <c:pt idx="314" formatCode="0.00">
                  <c:v>19.414000000000001</c:v>
                </c:pt>
                <c:pt idx="315" formatCode="0.00">
                  <c:v>20.757000000000001</c:v>
                </c:pt>
                <c:pt idx="316" formatCode="0.00">
                  <c:v>7.5250000000000004</c:v>
                </c:pt>
                <c:pt idx="317" formatCode="0.00">
                  <c:v>15.919</c:v>
                </c:pt>
                <c:pt idx="318" formatCode="0.00">
                  <c:v>14.42</c:v>
                </c:pt>
                <c:pt idx="319" formatCode="0.00">
                  <c:v>20.081</c:v>
                </c:pt>
                <c:pt idx="320" formatCode="0.00">
                  <c:v>21.167999999999999</c:v>
                </c:pt>
                <c:pt idx="321" formatCode="0.00">
                  <c:v>18.733000000000001</c:v>
                </c:pt>
                <c:pt idx="322" formatCode="0.00">
                  <c:v>14.209</c:v>
                </c:pt>
                <c:pt idx="323" formatCode="0.00">
                  <c:v>11.016999999999999</c:v>
                </c:pt>
                <c:pt idx="324" formatCode="0.00">
                  <c:v>20.134</c:v>
                </c:pt>
                <c:pt idx="325" formatCode="0.00">
                  <c:v>18.757999999999999</c:v>
                </c:pt>
                <c:pt idx="326" formatCode="0.00">
                  <c:v>13.324</c:v>
                </c:pt>
                <c:pt idx="327" formatCode="0.00">
                  <c:v>16.37</c:v>
                </c:pt>
                <c:pt idx="328" formatCode="0.00">
                  <c:v>9.59</c:v>
                </c:pt>
                <c:pt idx="329" formatCode="0.00">
                  <c:v>4.3220000000000001</c:v>
                </c:pt>
                <c:pt idx="330" formatCode="0.00">
                  <c:v>18.015999999999998</c:v>
                </c:pt>
                <c:pt idx="331" formatCode="0.00">
                  <c:v>14.510999999999999</c:v>
                </c:pt>
                <c:pt idx="332" formatCode="0.00">
                  <c:v>19.163</c:v>
                </c:pt>
                <c:pt idx="333" formatCode="0.00">
                  <c:v>7.9089999999999998</c:v>
                </c:pt>
                <c:pt idx="334" formatCode="0.00">
                  <c:v>15.340999999999999</c:v>
                </c:pt>
                <c:pt idx="335" formatCode="0.00">
                  <c:v>7.2949999999999999</c:v>
                </c:pt>
                <c:pt idx="336" formatCode="0.00">
                  <c:v>8.6690000000000005</c:v>
                </c:pt>
                <c:pt idx="337" formatCode="0.00">
                  <c:v>4.7720000000000002</c:v>
                </c:pt>
                <c:pt idx="338" formatCode="0.00">
                  <c:v>15.334</c:v>
                </c:pt>
                <c:pt idx="339" formatCode="0.00">
                  <c:v>12.791</c:v>
                </c:pt>
                <c:pt idx="340" formatCode="0.00">
                  <c:v>15.94</c:v>
                </c:pt>
                <c:pt idx="341" formatCode="0.00">
                  <c:v>11.874000000000001</c:v>
                </c:pt>
                <c:pt idx="342" formatCode="0.00">
                  <c:v>5.0990000000000002</c:v>
                </c:pt>
                <c:pt idx="343" formatCode="0.00">
                  <c:v>11.51</c:v>
                </c:pt>
                <c:pt idx="344" formatCode="0.00">
                  <c:v>14.571</c:v>
                </c:pt>
                <c:pt idx="345" formatCode="0.00">
                  <c:v>3.661</c:v>
                </c:pt>
                <c:pt idx="346" formatCode="0.00">
                  <c:v>1.7330000000000001</c:v>
                </c:pt>
                <c:pt idx="347" formatCode="0.00">
                  <c:v>1.909</c:v>
                </c:pt>
                <c:pt idx="348" formatCode="0.00">
                  <c:v>5.8079999999999998</c:v>
                </c:pt>
                <c:pt idx="349" formatCode="0.00">
                  <c:v>2.903</c:v>
                </c:pt>
                <c:pt idx="350" formatCode="0.00">
                  <c:v>14.638999999999999</c:v>
                </c:pt>
                <c:pt idx="351" formatCode="0.00">
                  <c:v>10.794</c:v>
                </c:pt>
                <c:pt idx="352" formatCode="0.00">
                  <c:v>15.696</c:v>
                </c:pt>
                <c:pt idx="353" formatCode="0.00">
                  <c:v>10.593</c:v>
                </c:pt>
                <c:pt idx="354" formatCode="0.00">
                  <c:v>8.0779999999999994</c:v>
                </c:pt>
                <c:pt idx="355" formatCode="0.00">
                  <c:v>6.8490000000000002</c:v>
                </c:pt>
                <c:pt idx="356" formatCode="0.00">
                  <c:v>4.476</c:v>
                </c:pt>
                <c:pt idx="357" formatCode="0.00">
                  <c:v>4.9989999999999997</c:v>
                </c:pt>
                <c:pt idx="358" formatCode="0.00">
                  <c:v>13.336</c:v>
                </c:pt>
                <c:pt idx="359" formatCode="0.00">
                  <c:v>16.808</c:v>
                </c:pt>
                <c:pt idx="360" formatCode="0.00">
                  <c:v>17.027999999999999</c:v>
                </c:pt>
                <c:pt idx="361" formatCode="0.00">
                  <c:v>2.9510000000000001</c:v>
                </c:pt>
                <c:pt idx="362" formatCode="0.00">
                  <c:v>3.24</c:v>
                </c:pt>
                <c:pt idx="363" formatCode="0.00">
                  <c:v>3.2</c:v>
                </c:pt>
                <c:pt idx="364" formatCode="0.00">
                  <c:v>5.282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229176"/>
        <c:axId val="461229568"/>
      </c:lineChart>
      <c:dateAx>
        <c:axId val="461229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1229568"/>
        <c:crosses val="autoZero"/>
        <c:auto val="1"/>
        <c:lblOffset val="100"/>
        <c:baseTimeUnit val="days"/>
        <c:majorUnit val="1"/>
        <c:majorTimeUnit val="months"/>
      </c:dateAx>
      <c:valAx>
        <c:axId val="46122956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12291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2.3271460905971431E-5</c:v>
                </c:pt>
                <c:pt idx="214">
                  <c:v>4.6542380251035631E-5</c:v>
                </c:pt>
                <c:pt idx="215">
                  <c:v>6.9812758047849144E-5</c:v>
                </c:pt>
                <c:pt idx="216">
                  <c:v>9.3082594308957489E-5</c:v>
                </c:pt>
                <c:pt idx="217">
                  <c:v>1.1635188904701721E-4</c:v>
                </c:pt>
                <c:pt idx="218">
                  <c:v>1.396206422744628E-4</c:v>
                </c:pt>
                <c:pt idx="219">
                  <c:v>1.6288885400417286E-4</c:v>
                </c:pt>
                <c:pt idx="220">
                  <c:v>1.8615652424858187E-4</c:v>
                </c:pt>
                <c:pt idx="221">
                  <c:v>2.0942365302023536E-4</c:v>
                </c:pt>
                <c:pt idx="222">
                  <c:v>2.3269024033190089E-4</c:v>
                </c:pt>
                <c:pt idx="223">
                  <c:v>2.5595628619601296E-4</c:v>
                </c:pt>
                <c:pt idx="224">
                  <c:v>2.7922179062522812E-4</c:v>
                </c:pt>
                <c:pt idx="225">
                  <c:v>3.0248675363231392E-4</c:v>
                </c:pt>
                <c:pt idx="226">
                  <c:v>3.2575117522959385E-4</c:v>
                </c:pt>
                <c:pt idx="227">
                  <c:v>3.4901505542983546E-4</c:v>
                </c:pt>
                <c:pt idx="228">
                  <c:v>3.7227839424558429E-4</c:v>
                </c:pt>
                <c:pt idx="229">
                  <c:v>3.9554119168949686E-4</c:v>
                </c:pt>
                <c:pt idx="230">
                  <c:v>4.1880344777400769E-4</c:v>
                </c:pt>
                <c:pt idx="231">
                  <c:v>4.4206516251199535E-4</c:v>
                </c:pt>
                <c:pt idx="232">
                  <c:v>4.6532633591578332E-4</c:v>
                </c:pt>
                <c:pt idx="233">
                  <c:v>4.8858696799813917E-4</c:v>
                </c:pt>
                <c:pt idx="234">
                  <c:v>5.1184705877160841E-4</c:v>
                </c:pt>
                <c:pt idx="235">
                  <c:v>5.3510660824873657E-4</c:v>
                </c:pt>
                <c:pt idx="236">
                  <c:v>5.5836561644218019E-4</c:v>
                </c:pt>
                <c:pt idx="237">
                  <c:v>5.8162408336459581E-4</c:v>
                </c:pt>
                <c:pt idx="238">
                  <c:v>6.0488200902841793E-4</c:v>
                </c:pt>
                <c:pt idx="239">
                  <c:v>6.2813939344641412E-4</c:v>
                </c:pt>
                <c:pt idx="240">
                  <c:v>6.5139623663101887E-4</c:v>
                </c:pt>
                <c:pt idx="241">
                  <c:v>6.7465253859488872E-4</c:v>
                </c:pt>
                <c:pt idx="242">
                  <c:v>6.9790829935068022E-4</c:v>
                </c:pt>
                <c:pt idx="243">
                  <c:v>7.2116351891104991E-4</c:v>
                </c:pt>
                <c:pt idx="244">
                  <c:v>7.4441819728832126E-4</c:v>
                </c:pt>
                <c:pt idx="245">
                  <c:v>7.6767233449537287E-4</c:v>
                </c:pt>
                <c:pt idx="246">
                  <c:v>7.9092593054463922E-4</c:v>
                </c:pt>
                <c:pt idx="247">
                  <c:v>8.1417898544866585E-4</c:v>
                </c:pt>
                <c:pt idx="248">
                  <c:v>8.3743149922022031E-4</c:v>
                </c:pt>
                <c:pt idx="249">
                  <c:v>8.6068347187184813E-4</c:v>
                </c:pt>
                <c:pt idx="250">
                  <c:v>8.839349034159838E-4</c:v>
                </c:pt>
                <c:pt idx="251">
                  <c:v>9.0718579386550591E-4</c:v>
                </c:pt>
                <c:pt idx="252">
                  <c:v>9.3043614323273793E-4</c:v>
                </c:pt>
                <c:pt idx="253">
                  <c:v>9.5368595153033642E-4</c:v>
                </c:pt>
                <c:pt idx="254">
                  <c:v>9.769352187709579E-4</c:v>
                </c:pt>
                <c:pt idx="255">
                  <c:v>1.0001839449671479E-3</c:v>
                </c:pt>
                <c:pt idx="256">
                  <c:v>1.023432130131563E-3</c:v>
                </c:pt>
                <c:pt idx="257">
                  <c:v>1.0466797742767486E-3</c:v>
                </c:pt>
                <c:pt idx="258">
                  <c:v>1.0699268774152504E-3</c:v>
                </c:pt>
                <c:pt idx="259">
                  <c:v>1.0931734395597248E-3</c:v>
                </c:pt>
                <c:pt idx="260">
                  <c:v>1.1164194607228284E-3</c:v>
                </c:pt>
                <c:pt idx="261">
                  <c:v>1.1396649409168846E-3</c:v>
                </c:pt>
                <c:pt idx="262">
                  <c:v>1.1629098801547721E-3</c:v>
                </c:pt>
                <c:pt idx="263">
                  <c:v>1.1861542784489254E-3</c:v>
                </c:pt>
                <c:pt idx="264">
                  <c:v>1.209398135812001E-3</c:v>
                </c:pt>
                <c:pt idx="265">
                  <c:v>1.2326414522565443E-3</c:v>
                </c:pt>
                <c:pt idx="266">
                  <c:v>1.255884227795101E-3</c:v>
                </c:pt>
                <c:pt idx="267">
                  <c:v>1.2791264624404386E-3</c:v>
                </c:pt>
                <c:pt idx="268">
                  <c:v>1.3023681562048806E-3</c:v>
                </c:pt>
                <c:pt idx="269">
                  <c:v>1.3256093091013055E-3</c:v>
                </c:pt>
                <c:pt idx="270">
                  <c:v>1.3488499211420368E-3</c:v>
                </c:pt>
                <c:pt idx="271">
                  <c:v>1.3720899923398422E-3</c:v>
                </c:pt>
                <c:pt idx="272">
                  <c:v>1.395329522707156E-3</c:v>
                </c:pt>
                <c:pt idx="273">
                  <c:v>1.418568512256746E-3</c:v>
                </c:pt>
                <c:pt idx="274">
                  <c:v>1.4418069610010464E-3</c:v>
                </c:pt>
                <c:pt idx="275">
                  <c:v>1.465044868952603E-3</c:v>
                </c:pt>
                <c:pt idx="276">
                  <c:v>1.4882822361241832E-3</c:v>
                </c:pt>
                <c:pt idx="277">
                  <c:v>1.5115190625283326E-3</c:v>
                </c:pt>
                <c:pt idx="278">
                  <c:v>1.5347553481774856E-3</c:v>
                </c:pt>
                <c:pt idx="279">
                  <c:v>1.5579910930844099E-3</c:v>
                </c:pt>
                <c:pt idx="280">
                  <c:v>1.5812262972615398E-3</c:v>
                </c:pt>
                <c:pt idx="281">
                  <c:v>1.6044609607216431E-3</c:v>
                </c:pt>
                <c:pt idx="282">
                  <c:v>1.6276950834770432E-3</c:v>
                </c:pt>
                <c:pt idx="283">
                  <c:v>1.6509286655405075E-3</c:v>
                </c:pt>
                <c:pt idx="284">
                  <c:v>1.6741617069245818E-3</c:v>
                </c:pt>
                <c:pt idx="285">
                  <c:v>1.6973942076418114E-3</c:v>
                </c:pt>
                <c:pt idx="286">
                  <c:v>1.7206261677048529E-3</c:v>
                </c:pt>
                <c:pt idx="287">
                  <c:v>1.7438575871262518E-3</c:v>
                </c:pt>
                <c:pt idx="288">
                  <c:v>1.7670884659185537E-3</c:v>
                </c:pt>
                <c:pt idx="289">
                  <c:v>1.7903188040944151E-3</c:v>
                </c:pt>
                <c:pt idx="290">
                  <c:v>1.8135486016662705E-3</c:v>
                </c:pt>
                <c:pt idx="291">
                  <c:v>1.8367778586468875E-3</c:v>
                </c:pt>
                <c:pt idx="292">
                  <c:v>1.8600065750488115E-3</c:v>
                </c:pt>
                <c:pt idx="293">
                  <c:v>1.8832347508844771E-3</c:v>
                </c:pt>
                <c:pt idx="294">
                  <c:v>1.9064623861665408E-3</c:v>
                </c:pt>
                <c:pt idx="295">
                  <c:v>1.9296894809076592E-3</c:v>
                </c:pt>
                <c:pt idx="296">
                  <c:v>1.9529160351202668E-3</c:v>
                </c:pt>
                <c:pt idx="297">
                  <c:v>1.9761420488171311E-3</c:v>
                </c:pt>
                <c:pt idx="298">
                  <c:v>1.9993675220106866E-3</c:v>
                </c:pt>
                <c:pt idx="299">
                  <c:v>2.0225924547134788E-3</c:v>
                </c:pt>
                <c:pt idx="300">
                  <c:v>2.0458168469382754E-3</c:v>
                </c:pt>
                <c:pt idx="301">
                  <c:v>2.0690406986973997E-3</c:v>
                </c:pt>
                <c:pt idx="302">
                  <c:v>2.0922640100036194E-3</c:v>
                </c:pt>
                <c:pt idx="303">
                  <c:v>2.1154867808694799E-3</c:v>
                </c:pt>
                <c:pt idx="304">
                  <c:v>2.1387090113076379E-3</c:v>
                </c:pt>
                <c:pt idx="305">
                  <c:v>2.1619307013304168E-3</c:v>
                </c:pt>
                <c:pt idx="306">
                  <c:v>2.1851518509505841E-3</c:v>
                </c:pt>
                <c:pt idx="307">
                  <c:v>2.2083724601806853E-3</c:v>
                </c:pt>
                <c:pt idx="308">
                  <c:v>2.2315925290332661E-3</c:v>
                </c:pt>
                <c:pt idx="309">
                  <c:v>2.2548120575209829E-3</c:v>
                </c:pt>
                <c:pt idx="310">
                  <c:v>2.2780310456562702E-3</c:v>
                </c:pt>
                <c:pt idx="311">
                  <c:v>2.3012494934518957E-3</c:v>
                </c:pt>
                <c:pt idx="312">
                  <c:v>2.3244674009201827E-3</c:v>
                </c:pt>
                <c:pt idx="313">
                  <c:v>2.3476847680738988E-3</c:v>
                </c:pt>
                <c:pt idx="314">
                  <c:v>2.3709015949255896E-3</c:v>
                </c:pt>
                <c:pt idx="315">
                  <c:v>2.3941178814878006E-3</c:v>
                </c:pt>
                <c:pt idx="316">
                  <c:v>2.4173336277730773E-3</c:v>
                </c:pt>
                <c:pt idx="317">
                  <c:v>2.4405488337940762E-3</c:v>
                </c:pt>
                <c:pt idx="318">
                  <c:v>2.4637634995632318E-3</c:v>
                </c:pt>
                <c:pt idx="319">
                  <c:v>2.4869776250933118E-3</c:v>
                </c:pt>
                <c:pt idx="320">
                  <c:v>2.5101912103966395E-3</c:v>
                </c:pt>
                <c:pt idx="321">
                  <c:v>2.5334042554859826E-3</c:v>
                </c:pt>
                <c:pt idx="322">
                  <c:v>2.5566167603738865E-3</c:v>
                </c:pt>
                <c:pt idx="323">
                  <c:v>2.5798287250728968E-3</c:v>
                </c:pt>
                <c:pt idx="324">
                  <c:v>2.6030401495955591E-3</c:v>
                </c:pt>
                <c:pt idx="325">
                  <c:v>2.6262510339544187E-3</c:v>
                </c:pt>
                <c:pt idx="326">
                  <c:v>2.6494613781621323E-3</c:v>
                </c:pt>
                <c:pt idx="327">
                  <c:v>2.6726711822312454E-3</c:v>
                </c:pt>
                <c:pt idx="328">
                  <c:v>2.6958804461743036E-3</c:v>
                </c:pt>
                <c:pt idx="329">
                  <c:v>2.7190891700038522E-3</c:v>
                </c:pt>
                <c:pt idx="330">
                  <c:v>2.7422973537325479E-3</c:v>
                </c:pt>
                <c:pt idx="331">
                  <c:v>2.7655049973728252E-3</c:v>
                </c:pt>
                <c:pt idx="332">
                  <c:v>2.7887121009373406E-3</c:v>
                </c:pt>
                <c:pt idx="333">
                  <c:v>2.8119186644387506E-3</c:v>
                </c:pt>
                <c:pt idx="334">
                  <c:v>2.8351246878893788E-3</c:v>
                </c:pt>
                <c:pt idx="335">
                  <c:v>2.8583301713021037E-3</c:v>
                </c:pt>
                <c:pt idx="336">
                  <c:v>2.8815351146892487E-3</c:v>
                </c:pt>
                <c:pt idx="337">
                  <c:v>2.9047395180633595E-3</c:v>
                </c:pt>
                <c:pt idx="338">
                  <c:v>2.9279433814372036E-3</c:v>
                </c:pt>
                <c:pt idx="339">
                  <c:v>2.9511467048233264E-3</c:v>
                </c:pt>
                <c:pt idx="340">
                  <c:v>2.9743494882340515E-3</c:v>
                </c:pt>
                <c:pt idx="341">
                  <c:v>2.9975517316822575E-3</c:v>
                </c:pt>
                <c:pt idx="342">
                  <c:v>3.0207534351802678E-3</c:v>
                </c:pt>
                <c:pt idx="343">
                  <c:v>3.043954598740739E-3</c:v>
                </c:pt>
                <c:pt idx="344">
                  <c:v>3.0671552223763277E-3</c:v>
                </c:pt>
                <c:pt idx="345">
                  <c:v>3.0903553060994682E-3</c:v>
                </c:pt>
                <c:pt idx="346">
                  <c:v>3.1135548499227061E-3</c:v>
                </c:pt>
                <c:pt idx="347">
                  <c:v>3.1367538538586981E-3</c:v>
                </c:pt>
                <c:pt idx="348">
                  <c:v>3.1599523179199895E-3</c:v>
                </c:pt>
                <c:pt idx="349">
                  <c:v>3.183150242119126E-3</c:v>
                </c:pt>
                <c:pt idx="350">
                  <c:v>3.206347626468764E-3</c:v>
                </c:pt>
                <c:pt idx="351">
                  <c:v>3.2295444709812271E-3</c:v>
                </c:pt>
                <c:pt idx="352">
                  <c:v>3.2527407756692828E-3</c:v>
                </c:pt>
                <c:pt idx="353">
                  <c:v>3.2759365405454766E-3</c:v>
                </c:pt>
                <c:pt idx="354">
                  <c:v>3.299131765622354E-3</c:v>
                </c:pt>
                <c:pt idx="355">
                  <c:v>3.3223264509124606E-3</c:v>
                </c:pt>
                <c:pt idx="356">
                  <c:v>3.3455205964282309E-3</c:v>
                </c:pt>
                <c:pt idx="357">
                  <c:v>3.3687142021824323E-3</c:v>
                </c:pt>
                <c:pt idx="358">
                  <c:v>3.3919072681876106E-3</c:v>
                </c:pt>
                <c:pt idx="359">
                  <c:v>3.4150997944562E-3</c:v>
                </c:pt>
                <c:pt idx="360">
                  <c:v>3.4382917810007463E-3</c:v>
                </c:pt>
                <c:pt idx="361">
                  <c:v>3.4614832278340169E-3</c:v>
                </c:pt>
                <c:pt idx="362">
                  <c:v>3.4846741349683352E-3</c:v>
                </c:pt>
                <c:pt idx="363">
                  <c:v>3.507864502416469E-3</c:v>
                </c:pt>
                <c:pt idx="364">
                  <c:v>3.5310543301907416E-3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2.5298445245050294E-4</c:v>
                </c:pt>
                <c:pt idx="214">
                  <c:v>5.0567576099179857E-4</c:v>
                </c:pt>
                <c:pt idx="215">
                  <c:v>7.5807057166713953E-4</c:v>
                </c:pt>
                <c:pt idx="216">
                  <c:v>1.0101657273739622E-3</c:v>
                </c:pt>
                <c:pt idx="217">
                  <c:v>1.2619582158083752E-3</c:v>
                </c:pt>
                <c:pt idx="218">
                  <c:v>1.5134451204160497E-3</c:v>
                </c:pt>
                <c:pt idx="219">
                  <c:v>1.7646235745810413E-3</c:v>
                </c:pt>
                <c:pt idx="220">
                  <c:v>2.0154907192182245E-3</c:v>
                </c:pt>
                <c:pt idx="221">
                  <c:v>2.2660436638684786E-3</c:v>
                </c:pt>
                <c:pt idx="222">
                  <c:v>2.5162794513309368E-3</c:v>
                </c:pt>
                <c:pt idx="223">
                  <c:v>2.7661950258032969E-3</c:v>
                </c:pt>
                <c:pt idx="224">
                  <c:v>3.0157872044415451E-3</c:v>
                </c:pt>
                <c:pt idx="225">
                  <c:v>3.2650526521928514E-3</c:v>
                </c:pt>
                <c:pt idx="226">
                  <c:v>3.5139878597049592E-3</c:v>
                </c:pt>
                <c:pt idx="227">
                  <c:v>3.7625891240669232E-3</c:v>
                </c:pt>
                <c:pt idx="228">
                  <c:v>4.0108525320970596E-3</c:v>
                </c:pt>
                <c:pt idx="229">
                  <c:v>4.2587739458581284E-3</c:v>
                </c:pt>
                <c:pt idx="230">
                  <c:v>4.5063489900533885E-3</c:v>
                </c:pt>
                <c:pt idx="231">
                  <c:v>4.7535730409371075E-3</c:v>
                </c:pt>
                <c:pt idx="232">
                  <c:v>5.0004412163601004E-3</c:v>
                </c:pt>
                <c:pt idx="233">
                  <c:v>5.2469483665675398E-3</c:v>
                </c:pt>
                <c:pt idx="234">
                  <c:v>5.4930890653684438E-3</c:v>
                </c:pt>
                <c:pt idx="235">
                  <c:v>5.7388576013085975E-3</c:v>
                </c:pt>
                <c:pt idx="236">
                  <c:v>5.9842479684966126E-3</c:v>
                </c:pt>
                <c:pt idx="237">
                  <c:v>6.2292538567601729E-3</c:v>
                </c:pt>
                <c:pt idx="238">
                  <c:v>6.4738686408418273E-3</c:v>
                </c:pt>
                <c:pt idx="239">
                  <c:v>6.7180853683845975E-3</c:v>
                </c:pt>
                <c:pt idx="240">
                  <c:v>6.9618967465032364E-3</c:v>
                </c:pt>
                <c:pt idx="241">
                  <c:v>7.2052951267880362E-3</c:v>
                </c:pt>
                <c:pt idx="242">
                  <c:v>7.4482724886446071E-3</c:v>
                </c:pt>
                <c:pt idx="243">
                  <c:v>7.6908204209320073E-3</c:v>
                </c:pt>
                <c:pt idx="244">
                  <c:v>7.9329301019247043E-3</c:v>
                </c:pt>
                <c:pt idx="245">
                  <c:v>8.1745922776881169E-3</c:v>
                </c:pt>
                <c:pt idx="246">
                  <c:v>8.4157972390229395E-3</c:v>
                </c:pt>
                <c:pt idx="247">
                  <c:v>8.656534797198993E-3</c:v>
                </c:pt>
                <c:pt idx="248">
                  <c:v>8.8967942587637166E-3</c:v>
                </c:pt>
                <c:pt idx="249">
                  <c:v>9.1365643997730322E-3</c:v>
                </c:pt>
                <c:pt idx="250">
                  <c:v>9.3758334398510619E-3</c:v>
                </c:pt>
                <c:pt idx="251">
                  <c:v>9.6145890165410947E-3</c:v>
                </c:pt>
                <c:pt idx="252">
                  <c:v>9.8528181604596917E-3</c:v>
                </c:pt>
                <c:pt idx="253">
                  <c:v>1.0090507271811261E-2</c:v>
                </c:pt>
                <c:pt idx="254">
                  <c:v>1.0327642098856508E-2</c:v>
                </c:pt>
                <c:pt idx="255">
                  <c:v>1.0564207718959922E-2</c:v>
                </c:pt>
                <c:pt idx="256">
                  <c:v>1.0800188522862252E-2</c:v>
                </c:pt>
                <c:pt idx="257">
                  <c:v>1.1035568202837779E-2</c:v>
                </c:pt>
                <c:pt idx="258">
                  <c:v>1.1270329745399675E-2</c:v>
                </c:pt>
                <c:pt idx="259">
                  <c:v>1.1504455429211899E-2</c:v>
                </c:pt>
                <c:pt idx="260">
                  <c:v>1.1737926828849816E-2</c:v>
                </c:pt>
                <c:pt idx="261">
                  <c:v>1.1970724825026669E-2</c:v>
                </c:pt>
                <c:pt idx="262">
                  <c:v>1.220282962186818E-2</c:v>
                </c:pt>
                <c:pt idx="263">
                  <c:v>1.2434220771771172E-2</c:v>
                </c:pt>
                <c:pt idx="264">
                  <c:v>1.2664877208328649E-2</c:v>
                </c:pt>
                <c:pt idx="265">
                  <c:v>1.2894777287738791E-2</c:v>
                </c:pt>
                <c:pt idx="266">
                  <c:v>1.3123898839042887E-2</c:v>
                </c:pt>
                <c:pt idx="267">
                  <c:v>1.3352219223457144E-2</c:v>
                </c:pt>
                <c:pt idx="268">
                  <c:v>1.3579715402973928E-2</c:v>
                </c:pt>
                <c:pt idx="269">
                  <c:v>1.3806364018314886E-2</c:v>
                </c:pt>
                <c:pt idx="270">
                  <c:v>1.4032141476217045E-2</c:v>
                </c:pt>
                <c:pt idx="271">
                  <c:v>1.4257024045929661E-2</c:v>
                </c:pt>
                <c:pt idx="272">
                  <c:v>1.4480987964690538E-2</c:v>
                </c:pt>
                <c:pt idx="273">
                  <c:v>1.4704009551841302E-2</c:v>
                </c:pt>
                <c:pt idx="274">
                  <c:v>1.4926065331129546E-2</c:v>
                </c:pt>
                <c:pt idx="275">
                  <c:v>1.51471321606357E-2</c:v>
                </c:pt>
                <c:pt idx="276">
                  <c:v>1.5367187369652412E-2</c:v>
                </c:pt>
                <c:pt idx="277">
                  <c:v>1.5586208901739619E-2</c:v>
                </c:pt>
                <c:pt idx="278">
                  <c:v>1.5804175463074822E-2</c:v>
                </c:pt>
                <c:pt idx="279">
                  <c:v>1.6021066675123923E-2</c:v>
                </c:pt>
                <c:pt idx="280">
                  <c:v>1.6236863230566525E-2</c:v>
                </c:pt>
                <c:pt idx="281">
                  <c:v>1.6451547051329691E-2</c:v>
                </c:pt>
                <c:pt idx="282">
                  <c:v>1.6665101447510995E-2</c:v>
                </c:pt>
                <c:pt idx="283">
                  <c:v>1.6877511275909952E-2</c:v>
                </c:pt>
                <c:pt idx="284">
                  <c:v>1.7088763096836049E-2</c:v>
                </c:pt>
                <c:pt idx="285">
                  <c:v>1.7298845327822766E-2</c:v>
                </c:pt>
                <c:pt idx="286">
                  <c:v>1.7507748392850336E-2</c:v>
                </c:pt>
                <c:pt idx="287">
                  <c:v>1.7715464865668596E-2</c:v>
                </c:pt>
                <c:pt idx="288">
                  <c:v>1.7921989605810772E-2</c:v>
                </c:pt>
                <c:pt idx="289">
                  <c:v>1.8127319885905973E-2</c:v>
                </c:pt>
                <c:pt idx="290">
                  <c:v>1.8331455508927178E-2</c:v>
                </c:pt>
                <c:pt idx="291">
                  <c:v>1.8534398914055478E-2</c:v>
                </c:pt>
                <c:pt idx="292">
                  <c:v>1.8736155269901068E-2</c:v>
                </c:pt>
                <c:pt idx="293">
                  <c:v>1.8936732553892298E-2</c:v>
                </c:pt>
                <c:pt idx="294">
                  <c:v>1.9136141616732008E-2</c:v>
                </c:pt>
                <c:pt idx="295">
                  <c:v>1.9334396230918226E-2</c:v>
                </c:pt>
                <c:pt idx="296">
                  <c:v>1.9531513122437949E-2</c:v>
                </c:pt>
                <c:pt idx="297">
                  <c:v>1.9727511984866403E-2</c:v>
                </c:pt>
                <c:pt idx="298">
                  <c:v>1.9922415475235586E-2</c:v>
                </c:pt>
                <c:pt idx="299">
                  <c:v>2.0116249191179634E-2</c:v>
                </c:pt>
                <c:pt idx="300">
                  <c:v>2.0309041629014091E-2</c:v>
                </c:pt>
                <c:pt idx="301">
                  <c:v>2.0500824122562752E-2</c:v>
                </c:pt>
                <c:pt idx="302">
                  <c:v>2.0691630762708163E-2</c:v>
                </c:pt>
                <c:pt idx="303">
                  <c:v>2.0881498297806209E-2</c:v>
                </c:pt>
                <c:pt idx="304">
                  <c:v>2.1070466015274205E-2</c:v>
                </c:pt>
                <c:pt idx="305">
                  <c:v>2.1258575604827679E-2</c:v>
                </c:pt>
                <c:pt idx="306">
                  <c:v>2.1445871004008608E-2</c:v>
                </c:pt>
                <c:pt idx="307">
                  <c:v>2.1632398226810894E-2</c:v>
                </c:pt>
                <c:pt idx="308">
                  <c:v>2.1818205176367317E-2</c:v>
                </c:pt>
                <c:pt idx="309">
                  <c:v>2.2003341442814368E-2</c:v>
                </c:pt>
                <c:pt idx="310">
                  <c:v>2.2187858087596296E-2</c:v>
                </c:pt>
                <c:pt idx="311">
                  <c:v>2.2371807415603715E-2</c:v>
                </c:pt>
                <c:pt idx="312">
                  <c:v>2.2555242736667269E-2</c:v>
                </c:pt>
                <c:pt idx="313">
                  <c:v>2.2738218118037449E-2</c:v>
                </c:pt>
                <c:pt idx="314">
                  <c:v>2.2920788129580729E-2</c:v>
                </c:pt>
                <c:pt idx="315">
                  <c:v>2.3103007583505274E-2</c:v>
                </c:pt>
                <c:pt idx="316">
                  <c:v>2.3284931270497855E-2</c:v>
                </c:pt>
                <c:pt idx="317">
                  <c:v>2.3466613694204771E-2</c:v>
                </c:pt>
                <c:pt idx="318">
                  <c:v>2.3648108806024123E-2</c:v>
                </c:pt>
                <c:pt idx="319">
                  <c:v>2.3829469742193493E-2</c:v>
                </c:pt>
                <c:pt idx="320">
                  <c:v>2.4010748565155882E-2</c:v>
                </c:pt>
                <c:pt idx="321">
                  <c:v>2.4191996011167345E-2</c:v>
                </c:pt>
                <c:pt idx="322">
                  <c:v>2.4373261246072121E-2</c:v>
                </c:pt>
                <c:pt idx="323">
                  <c:v>2.455459163111607E-2</c:v>
                </c:pt>
                <c:pt idx="324">
                  <c:v>2.4736032500595632E-2</c:v>
                </c:pt>
                <c:pt idx="325">
                  <c:v>2.4917626953050651E-2</c:v>
                </c:pt>
                <c:pt idx="326">
                  <c:v>2.5099415657602354E-2</c:v>
                </c:pt>
                <c:pt idx="327">
                  <c:v>2.5281436676917426E-2</c:v>
                </c:pt>
                <c:pt idx="328">
                  <c:v>2.5463725308142907E-2</c:v>
                </c:pt>
                <c:pt idx="329">
                  <c:v>2.5646313943008897E-2</c:v>
                </c:pt>
                <c:pt idx="330">
                  <c:v>2.5829231948135075E-2</c:v>
                </c:pt>
                <c:pt idx="331">
                  <c:v>2.6012505566408346E-2</c:v>
                </c:pt>
                <c:pt idx="332">
                  <c:v>2.6196157840118639E-2</c:v>
                </c:pt>
                <c:pt idx="333">
                  <c:v>2.6380208556355731E-2</c:v>
                </c:pt>
                <c:pt idx="334">
                  <c:v>2.6564674214978733E-2</c:v>
                </c:pt>
                <c:pt idx="335">
                  <c:v>2.6749568019276557E-2</c:v>
                </c:pt>
                <c:pt idx="336">
                  <c:v>2.6934899889242234E-2</c:v>
                </c:pt>
                <c:pt idx="337">
                  <c:v>2.7120676497189921E-2</c:v>
                </c:pt>
                <c:pt idx="338">
                  <c:v>2.7306901325250786E-2</c:v>
                </c:pt>
                <c:pt idx="339">
                  <c:v>2.7493574744096503E-2</c:v>
                </c:pt>
                <c:pt idx="340">
                  <c:v>2.7680694112057331E-2</c:v>
                </c:pt>
                <c:pt idx="341">
                  <c:v>2.7868253893628021E-2</c:v>
                </c:pt>
                <c:pt idx="342">
                  <c:v>2.8056245796190357E-2</c:v>
                </c:pt>
                <c:pt idx="343">
                  <c:v>2.824465892362861E-2</c:v>
                </c:pt>
                <c:pt idx="344">
                  <c:v>2.8433479945373454E-2</c:v>
                </c:pt>
                <c:pt idx="345">
                  <c:v>2.8622693279284229E-2</c:v>
                </c:pt>
                <c:pt idx="346">
                  <c:v>2.8812281286667893E-2</c:v>
                </c:pt>
                <c:pt idx="347">
                  <c:v>2.9002224477639227E-2</c:v>
                </c:pt>
                <c:pt idx="348">
                  <c:v>2.9192501724948978E-2</c:v>
                </c:pt>
                <c:pt idx="349">
                  <c:v>2.9383090484347819E-2</c:v>
                </c:pt>
                <c:pt idx="350">
                  <c:v>2.9573967019513394E-2</c:v>
                </c:pt>
                <c:pt idx="351">
                  <c:v>2.9765106629545561E-2</c:v>
                </c:pt>
                <c:pt idx="352">
                  <c:v>2.9956483877033011E-2</c:v>
                </c:pt>
                <c:pt idx="353">
                  <c:v>3.0148072814710304E-2</c:v>
                </c:pt>
                <c:pt idx="354">
                  <c:v>3.033984720876012E-2</c:v>
                </c:pt>
                <c:pt idx="355">
                  <c:v>3.0531780756869374E-2</c:v>
                </c:pt>
                <c:pt idx="356">
                  <c:v>3.0723847299219034E-2</c:v>
                </c:pt>
                <c:pt idx="357">
                  <c:v>3.0916021020676764E-2</c:v>
                </c:pt>
                <c:pt idx="358">
                  <c:v>3.1108276642566043E-2</c:v>
                </c:pt>
                <c:pt idx="359">
                  <c:v>3.1300589602505688E-2</c:v>
                </c:pt>
                <c:pt idx="360">
                  <c:v>3.1492936220946774E-2</c:v>
                </c:pt>
                <c:pt idx="361">
                  <c:v>3.168529385318037E-2</c:v>
                </c:pt>
                <c:pt idx="362">
                  <c:v>3.18776410257465E-2</c:v>
                </c:pt>
                <c:pt idx="363">
                  <c:v>3.2069957556339977E-2</c:v>
                </c:pt>
                <c:pt idx="364">
                  <c:v>3.2262224656483263E-2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2.5044477411095502E-8</c:v>
                </c:pt>
                <c:pt idx="1">
                  <c:v>6.3723091447875131E-7</c:v>
                </c:pt>
                <c:pt idx="2">
                  <c:v>1.2756331327774575E-6</c:v>
                </c:pt>
                <c:pt idx="3">
                  <c:v>1.9417850857026348E-6</c:v>
                </c:pt>
                <c:pt idx="4">
                  <c:v>2.6373185125523307E-6</c:v>
                </c:pt>
                <c:pt idx="5">
                  <c:v>3.3639663072518231E-6</c:v>
                </c:pt>
                <c:pt idx="6">
                  <c:v>4.1235660154937963E-6</c:v>
                </c:pt>
                <c:pt idx="7">
                  <c:v>4.918063486548438E-6</c:v>
                </c:pt>
                <c:pt idx="8">
                  <c:v>5.7488602336301097E-6</c:v>
                </c:pt>
                <c:pt idx="9">
                  <c:v>6.6130181772203694E-6</c:v>
                </c:pt>
                <c:pt idx="10">
                  <c:v>7.5086311282086071E-6</c:v>
                </c:pt>
                <c:pt idx="11">
                  <c:v>8.4354256309337418E-6</c:v>
                </c:pt>
                <c:pt idx="12">
                  <c:v>9.393221034124297E-6</c:v>
                </c:pt>
                <c:pt idx="13">
                  <c:v>1.0381935481494849E-5</c:v>
                </c:pt>
                <c:pt idx="14">
                  <c:v>1.140159065352634E-5</c:v>
                </c:pt>
                <c:pt idx="15">
                  <c:v>1.2425490703277855E-5</c:v>
                </c:pt>
                <c:pt idx="16">
                  <c:v>1.3443492121881753E-5</c:v>
                </c:pt>
                <c:pt idx="17">
                  <c:v>1.4448495577833058E-5</c:v>
                </c:pt>
                <c:pt idx="18">
                  <c:v>1.5433203767149149E-5</c:v>
                </c:pt>
                <c:pt idx="19">
                  <c:v>1.6390188498791307E-5</c:v>
                </c:pt>
                <c:pt idx="20">
                  <c:v>1.7311834423607986E-5</c:v>
                </c:pt>
                <c:pt idx="21">
                  <c:v>1.8190189742704845E-5</c:v>
                </c:pt>
                <c:pt idx="22">
                  <c:v>1.9014923520694977E-5</c:v>
                </c:pt>
                <c:pt idx="23">
                  <c:v>1.974492281005147E-5</c:v>
                </c:pt>
                <c:pt idx="24">
                  <c:v>2.0378741961834867E-5</c:v>
                </c:pt>
                <c:pt idx="25">
                  <c:v>2.0903303711889855E-5</c:v>
                </c:pt>
                <c:pt idx="26">
                  <c:v>2.1305005116645355E-5</c:v>
                </c:pt>
                <c:pt idx="27">
                  <c:v>2.1569674175728278E-5</c:v>
                </c:pt>
                <c:pt idx="28">
                  <c:v>2.1682522201839855E-5</c:v>
                </c:pt>
                <c:pt idx="29">
                  <c:v>2.1661316432314089E-5</c:v>
                </c:pt>
                <c:pt idx="30">
                  <c:v>2.1557933598347526E-5</c:v>
                </c:pt>
                <c:pt idx="31">
                  <c:v>2.1368944425526047E-5</c:v>
                </c:pt>
                <c:pt idx="32">
                  <c:v>2.1090722809188767E-5</c:v>
                </c:pt>
                <c:pt idx="33">
                  <c:v>2.0719426987033593E-5</c:v>
                </c:pt>
                <c:pt idx="34">
                  <c:v>2.0250980225251443E-5</c:v>
                </c:pt>
                <c:pt idx="35">
                  <c:v>1.9681050921584454E-5</c:v>
                </c:pt>
                <c:pt idx="36">
                  <c:v>1.9004631133411734E-5</c:v>
                </c:pt>
                <c:pt idx="37">
                  <c:v>1.8288777133979281E-5</c:v>
                </c:pt>
                <c:pt idx="38">
                  <c:v>1.7596159433701307E-5</c:v>
                </c:pt>
                <c:pt idx="39">
                  <c:v>1.6937531871474842E-5</c:v>
                </c:pt>
                <c:pt idx="40">
                  <c:v>1.6324242078444321E-5</c:v>
                </c:pt>
                <c:pt idx="41">
                  <c:v>1.5768264235063309E-5</c:v>
                </c:pt>
                <c:pt idx="42">
                  <c:v>1.5282232974342326E-5</c:v>
                </c:pt>
                <c:pt idx="43">
                  <c:v>1.4911872527281193E-5</c:v>
                </c:pt>
                <c:pt idx="44">
                  <c:v>1.4613865625440758E-5</c:v>
                </c:pt>
                <c:pt idx="45">
                  <c:v>1.4400095879757002E-5</c:v>
                </c:pt>
                <c:pt idx="46">
                  <c:v>1.4283099264352479E-5</c:v>
                </c:pt>
                <c:pt idx="47">
                  <c:v>1.4276097148922228E-5</c:v>
                </c:pt>
                <c:pt idx="48">
                  <c:v>1.4393030602128087E-5</c:v>
                </c:pt>
                <c:pt idx="49">
                  <c:v>1.4648596012072376E-5</c:v>
                </c:pt>
                <c:pt idx="50">
                  <c:v>1.5057972529918607E-5</c:v>
                </c:pt>
                <c:pt idx="51">
                  <c:v>1.5639467928605732E-5</c:v>
                </c:pt>
                <c:pt idx="52">
                  <c:v>1.6285270044855439E-5</c:v>
                </c:pt>
                <c:pt idx="53">
                  <c:v>1.7000885902796366E-5</c:v>
                </c:pt>
                <c:pt idx="54">
                  <c:v>1.7792194009014588E-5</c:v>
                </c:pt>
                <c:pt idx="55">
                  <c:v>1.8665390189873425E-5</c:v>
                </c:pt>
                <c:pt idx="56">
                  <c:v>1.9627009478148572E-5</c:v>
                </c:pt>
                <c:pt idx="57">
                  <c:v>2.0679814573256303E-5</c:v>
                </c:pt>
                <c:pt idx="58">
                  <c:v>2.1776318387555123E-5</c:v>
                </c:pt>
                <c:pt idx="59">
                  <c:v>2.2918363412350648E-5</c:v>
                </c:pt>
                <c:pt idx="60">
                  <c:v>2.4107887385695715E-5</c:v>
                </c:pt>
                <c:pt idx="61">
                  <c:v>2.5346927454655411E-5</c:v>
                </c:pt>
                <c:pt idx="62">
                  <c:v>2.6637624552901332E-5</c:v>
                </c:pt>
                <c:pt idx="63">
                  <c:v>2.7982228017125107E-5</c:v>
                </c:pt>
                <c:pt idx="64">
                  <c:v>2.9381193126171483E-5</c:v>
                </c:pt>
                <c:pt idx="65">
                  <c:v>3.081821002049591E-5</c:v>
                </c:pt>
                <c:pt idx="66">
                  <c:v>3.2290466018129797E-5</c:v>
                </c:pt>
                <c:pt idx="67">
                  <c:v>3.379837416740003E-5</c:v>
                </c:pt>
                <c:pt idx="68">
                  <c:v>3.534236259135086E-5</c:v>
                </c:pt>
                <c:pt idx="69">
                  <c:v>3.6922870962756787E-5</c:v>
                </c:pt>
                <c:pt idx="70">
                  <c:v>3.854034671545056E-5</c:v>
                </c:pt>
                <c:pt idx="71">
                  <c:v>4.0163917978302796E-5</c:v>
                </c:pt>
                <c:pt idx="72">
                  <c:v>4.1797717896971633E-5</c:v>
                </c:pt>
                <c:pt idx="73">
                  <c:v>4.3439635437538812E-5</c:v>
                </c:pt>
                <c:pt idx="74">
                  <c:v>4.5087385295418702E-5</c:v>
                </c:pt>
                <c:pt idx="75">
                  <c:v>4.6738490028702137E-5</c:v>
                </c:pt>
                <c:pt idx="76">
                  <c:v>4.8390261023150132E-5</c:v>
                </c:pt>
                <c:pt idx="77">
                  <c:v>5.0039778210129983E-5</c:v>
                </c:pt>
                <c:pt idx="78">
                  <c:v>5.1679814114877479E-5</c:v>
                </c:pt>
                <c:pt idx="79">
                  <c:v>5.3275880813791195E-5</c:v>
                </c:pt>
                <c:pt idx="80">
                  <c:v>5.4848422450276794E-5</c:v>
                </c:pt>
                <c:pt idx="81">
                  <c:v>5.6393046878929734E-5</c:v>
                </c:pt>
                <c:pt idx="82">
                  <c:v>5.7905051545699053E-5</c:v>
                </c:pt>
                <c:pt idx="83">
                  <c:v>5.9379394102498257E-5</c:v>
                </c:pt>
                <c:pt idx="84">
                  <c:v>6.0810661152294678E-5</c:v>
                </c:pt>
                <c:pt idx="85">
                  <c:v>6.2169844784233433E-5</c:v>
                </c:pt>
                <c:pt idx="86">
                  <c:v>6.3498681925894639E-5</c:v>
                </c:pt>
                <c:pt idx="87">
                  <c:v>6.479288473478424E-5</c:v>
                </c:pt>
                <c:pt idx="88">
                  <c:v>6.6047814955732834E-5</c:v>
                </c:pt>
                <c:pt idx="89">
                  <c:v>6.7258454570463762E-5</c:v>
                </c:pt>
                <c:pt idx="90">
                  <c:v>6.841937446592063E-5</c:v>
                </c:pt>
                <c:pt idx="91">
                  <c:v>6.9524701007163471E-5</c:v>
                </c:pt>
                <c:pt idx="92">
                  <c:v>7.0564079097625406E-5</c:v>
                </c:pt>
                <c:pt idx="93">
                  <c:v>7.1501373511160036E-5</c:v>
                </c:pt>
                <c:pt idx="94">
                  <c:v>7.236925108433648E-5</c:v>
                </c:pt>
                <c:pt idx="95">
                  <c:v>7.3160509332803904E-5</c:v>
                </c:pt>
                <c:pt idx="96">
                  <c:v>7.3867469795959665E-5</c:v>
                </c:pt>
                <c:pt idx="97">
                  <c:v>7.4481952519563055E-5</c:v>
                </c:pt>
                <c:pt idx="98">
                  <c:v>7.4995249594948343E-5</c:v>
                </c:pt>
                <c:pt idx="99">
                  <c:v>7.539958617979821E-5</c:v>
                </c:pt>
                <c:pt idx="100">
                  <c:v>7.572260170277615E-5</c:v>
                </c:pt>
                <c:pt idx="101">
                  <c:v>7.5957620490812693E-5</c:v>
                </c:pt>
                <c:pt idx="102">
                  <c:v>7.6097569831463089E-5</c:v>
                </c:pt>
                <c:pt idx="103">
                  <c:v>7.6134961818666324E-5</c:v>
                </c:pt>
                <c:pt idx="104">
                  <c:v>7.6061874654763563E-5</c:v>
                </c:pt>
                <c:pt idx="105">
                  <c:v>7.5869933483331542E-5</c:v>
                </c:pt>
                <c:pt idx="106">
                  <c:v>7.5548229980818842E-5</c:v>
                </c:pt>
                <c:pt idx="107">
                  <c:v>7.5068014279811905E-5</c:v>
                </c:pt>
                <c:pt idx="108">
                  <c:v>7.4457691950524462E-5</c:v>
                </c:pt>
                <c:pt idx="109">
                  <c:v>7.3709147451382927E-5</c:v>
                </c:pt>
                <c:pt idx="110">
                  <c:v>7.2814092908273236E-5</c:v>
                </c:pt>
                <c:pt idx="111">
                  <c:v>7.1763842733651902E-5</c:v>
                </c:pt>
                <c:pt idx="112">
                  <c:v>7.0549094127540714E-5</c:v>
                </c:pt>
                <c:pt idx="113">
                  <c:v>6.920857501296875E-5</c:v>
                </c:pt>
                <c:pt idx="114">
                  <c:v>6.7734382198501877E-5</c:v>
                </c:pt>
                <c:pt idx="115">
                  <c:v>6.6120617939825771E-5</c:v>
                </c:pt>
                <c:pt idx="116">
                  <c:v>6.4361209461478682E-5</c:v>
                </c:pt>
                <c:pt idx="117">
                  <c:v>6.2449909782817412E-5</c:v>
                </c:pt>
                <c:pt idx="118">
                  <c:v>6.038029891858427E-5</c:v>
                </c:pt>
                <c:pt idx="119">
                  <c:v>5.8145785496123969E-5</c:v>
                </c:pt>
                <c:pt idx="120">
                  <c:v>5.5739727614235156E-5</c:v>
                </c:pt>
                <c:pt idx="121">
                  <c:v>5.3303248246936646E-5</c:v>
                </c:pt>
                <c:pt idx="122">
                  <c:v>5.087057945174904E-5</c:v>
                </c:pt>
                <c:pt idx="123">
                  <c:v>4.8451425074151931E-5</c:v>
                </c:pt>
                <c:pt idx="124">
                  <c:v>4.6056447369986672E-5</c:v>
                </c:pt>
                <c:pt idx="125">
                  <c:v>4.3697298838099372E-5</c:v>
                </c:pt>
                <c:pt idx="126">
                  <c:v>4.1386651716478798E-5</c:v>
                </c:pt>
                <c:pt idx="127">
                  <c:v>3.9201911542853277E-5</c:v>
                </c:pt>
                <c:pt idx="128">
                  <c:v>3.7086649377844436E-5</c:v>
                </c:pt>
                <c:pt idx="129">
                  <c:v>3.5055841824081366E-5</c:v>
                </c:pt>
                <c:pt idx="130">
                  <c:v>3.312552007646239E-5</c:v>
                </c:pt>
                <c:pt idx="131">
                  <c:v>3.1312780324078717E-5</c:v>
                </c:pt>
                <c:pt idx="132">
                  <c:v>2.9635788986708496E-5</c:v>
                </c:pt>
                <c:pt idx="133">
                  <c:v>2.8113782264518265E-5</c:v>
                </c:pt>
                <c:pt idx="134">
                  <c:v>2.6767839422341237E-5</c:v>
                </c:pt>
                <c:pt idx="135">
                  <c:v>2.5649519381972277E-5</c:v>
                </c:pt>
                <c:pt idx="136">
                  <c:v>2.4551598542348683E-5</c:v>
                </c:pt>
                <c:pt idx="137">
                  <c:v>2.3480251935937477E-5</c:v>
                </c:pt>
                <c:pt idx="138">
                  <c:v>2.2442064279420694E-5</c:v>
                </c:pt>
                <c:pt idx="139">
                  <c:v>2.1444030148504776E-5</c:v>
                </c:pt>
                <c:pt idx="140">
                  <c:v>2.0493552000354156E-5</c:v>
                </c:pt>
                <c:pt idx="141">
                  <c:v>1.9651427329136915E-5</c:v>
                </c:pt>
                <c:pt idx="142">
                  <c:v>1.8832389014560912E-5</c:v>
                </c:pt>
                <c:pt idx="143">
                  <c:v>1.8041554850444841E-5</c:v>
                </c:pt>
                <c:pt idx="144">
                  <c:v>1.7284433257439788E-5</c:v>
                </c:pt>
                <c:pt idx="145">
                  <c:v>1.6566793088352587E-5</c:v>
                </c:pt>
                <c:pt idx="146">
                  <c:v>1.5894655128708261E-5</c:v>
                </c:pt>
                <c:pt idx="147">
                  <c:v>1.5274281867211446E-5</c:v>
                </c:pt>
                <c:pt idx="148">
                  <c:v>1.4712468422439791E-5</c:v>
                </c:pt>
                <c:pt idx="149">
                  <c:v>1.4246919874959635E-5</c:v>
                </c:pt>
                <c:pt idx="150">
                  <c:v>1.3842939908617727E-5</c:v>
                </c:pt>
                <c:pt idx="151">
                  <c:v>1.3506746986973407E-5</c:v>
                </c:pt>
                <c:pt idx="152">
                  <c:v>1.3244729356607191E-5</c:v>
                </c:pt>
                <c:pt idx="153">
                  <c:v>1.3063431496254214E-5</c:v>
                </c:pt>
                <c:pt idx="154">
                  <c:v>1.2969539512175074E-5</c:v>
                </c:pt>
                <c:pt idx="155">
                  <c:v>1.2982406769185504E-5</c:v>
                </c:pt>
                <c:pt idx="156">
                  <c:v>1.3033457810476849E-5</c:v>
                </c:pt>
                <c:pt idx="157">
                  <c:v>1.3125565528657004E-5</c:v>
                </c:pt>
                <c:pt idx="158">
                  <c:v>1.3261643150471366E-5</c:v>
                </c:pt>
                <c:pt idx="159">
                  <c:v>1.3444636755587326E-5</c:v>
                </c:pt>
                <c:pt idx="160">
                  <c:v>1.3677517546754272E-5</c:v>
                </c:pt>
                <c:pt idx="161">
                  <c:v>1.3963273913872754E-5</c:v>
                </c:pt>
                <c:pt idx="162">
                  <c:v>1.4305135483752351E-5</c:v>
                </c:pt>
                <c:pt idx="163">
                  <c:v>1.4692292445512501E-5</c:v>
                </c:pt>
                <c:pt idx="164">
                  <c:v>1.5084566017954534E-5</c:v>
                </c:pt>
                <c:pt idx="165">
                  <c:v>1.5481795310019816E-5</c:v>
                </c:pt>
                <c:pt idx="166">
                  <c:v>1.5883814332008062E-5</c:v>
                </c:pt>
                <c:pt idx="167">
                  <c:v>1.6290452535886529E-5</c:v>
                </c:pt>
                <c:pt idx="168">
                  <c:v>1.6701535368609475E-5</c:v>
                </c:pt>
                <c:pt idx="169">
                  <c:v>1.7101205776948491E-5</c:v>
                </c:pt>
                <c:pt idx="170">
                  <c:v>1.7471720692326742E-5</c:v>
                </c:pt>
                <c:pt idx="171">
                  <c:v>1.7811266360630407E-5</c:v>
                </c:pt>
                <c:pt idx="172">
                  <c:v>1.8118043692810446E-5</c:v>
                </c:pt>
                <c:pt idx="173">
                  <c:v>1.8390084277821225E-5</c:v>
                </c:pt>
                <c:pt idx="174">
                  <c:v>1.8625422622047268E-5</c:v>
                </c:pt>
                <c:pt idx="175">
                  <c:v>1.8822300835555733E-5</c:v>
                </c:pt>
                <c:pt idx="176">
                  <c:v>1.8979017749338348E-5</c:v>
                </c:pt>
                <c:pt idx="177">
                  <c:v>1.9112677584789288E-5</c:v>
                </c:pt>
                <c:pt idx="178">
                  <c:v>1.924058453734154E-5</c:v>
                </c:pt>
                <c:pt idx="179">
                  <c:v>1.9362800409673706E-5</c:v>
                </c:pt>
                <c:pt idx="180">
                  <c:v>1.9479401164619391E-5</c:v>
                </c:pt>
                <c:pt idx="181">
                  <c:v>1.9590476423476391E-5</c:v>
                </c:pt>
                <c:pt idx="182">
                  <c:v>1.969612892809178E-5</c:v>
                </c:pt>
                <c:pt idx="183">
                  <c:v>1.9853380553959572E-5</c:v>
                </c:pt>
                <c:pt idx="184">
                  <c:v>2.0083925851830946E-5</c:v>
                </c:pt>
                <c:pt idx="185">
                  <c:v>2.0390656433899787E-5</c:v>
                </c:pt>
                <c:pt idx="186">
                  <c:v>2.0776418912631755E-5</c:v>
                </c:pt>
                <c:pt idx="187">
                  <c:v>2.1244017252550641E-5</c:v>
                </c:pt>
                <c:pt idx="188">
                  <c:v>2.1796215848435896E-5</c:v>
                </c:pt>
                <c:pt idx="189">
                  <c:v>2.2435743319852489E-5</c:v>
                </c:pt>
                <c:pt idx="190">
                  <c:v>2.3165269376583552E-5</c:v>
                </c:pt>
                <c:pt idx="191">
                  <c:v>2.4119146913571668E-5</c:v>
                </c:pt>
                <c:pt idx="192">
                  <c:v>2.5281560296203196E-5</c:v>
                </c:pt>
                <c:pt idx="193">
                  <c:v>2.6658252480566166E-5</c:v>
                </c:pt>
                <c:pt idx="194">
                  <c:v>2.8254849887832271E-5</c:v>
                </c:pt>
                <c:pt idx="195">
                  <c:v>3.0076860962611031E-5</c:v>
                </c:pt>
                <c:pt idx="196">
                  <c:v>3.212967505706275E-5</c:v>
                </c:pt>
                <c:pt idx="197">
                  <c:v>3.4510592396384747E-5</c:v>
                </c:pt>
                <c:pt idx="198">
                  <c:v>3.7160607345009568E-5</c:v>
                </c:pt>
                <c:pt idx="199">
                  <c:v>4.0085429128439306E-5</c:v>
                </c:pt>
                <c:pt idx="200">
                  <c:v>4.3290630050460948E-5</c:v>
                </c:pt>
                <c:pt idx="201">
                  <c:v>4.6781645070253634E-5</c:v>
                </c:pt>
                <c:pt idx="202">
                  <c:v>5.0563771359043754E-5</c:v>
                </c:pt>
                <c:pt idx="203">
                  <c:v>5.4642167777787163E-5</c:v>
                </c:pt>
                <c:pt idx="204">
                  <c:v>5.9021831505936909E-5</c:v>
                </c:pt>
                <c:pt idx="205">
                  <c:v>6.3976605501296846E-5</c:v>
                </c:pt>
                <c:pt idx="206">
                  <c:v>6.9367157431588655E-5</c:v>
                </c:pt>
                <c:pt idx="207">
                  <c:v>7.5201461116048448E-5</c:v>
                </c:pt>
                <c:pt idx="208">
                  <c:v>8.1487480729283706E-5</c:v>
                </c:pt>
                <c:pt idx="209">
                  <c:v>8.8233202526249698E-5</c:v>
                </c:pt>
                <c:pt idx="210">
                  <c:v>9.5446667723180059E-5</c:v>
                </c:pt>
                <c:pt idx="211">
                  <c:v>1.0392333373331853E-4</c:v>
                </c:pt>
                <c:pt idx="212">
                  <c:v>1.1358459470541134E-4</c:v>
                </c:pt>
                <c:pt idx="213">
                  <c:v>1.2445350346155674E-4</c:v>
                </c:pt>
                <c:pt idx="214">
                  <c:v>1.3655325215010348E-4</c:v>
                </c:pt>
                <c:pt idx="215">
                  <c:v>1.4990726826992972E-4</c:v>
                </c:pt>
                <c:pt idx="216">
                  <c:v>1.6453931411600583E-4</c:v>
                </c:pt>
                <c:pt idx="217">
                  <c:v>1.8047358976713959E-4</c:v>
                </c:pt>
                <c:pt idx="218">
                  <c:v>1.9772964817537931E-4</c:v>
                </c:pt>
                <c:pt idx="219">
                  <c:v>2.166751347271834E-4</c:v>
                </c:pt>
                <c:pt idx="220">
                  <c:v>2.3704170762083523E-4</c:v>
                </c:pt>
                <c:pt idx="221">
                  <c:v>2.5885498785270137E-4</c:v>
                </c:pt>
                <c:pt idx="222">
                  <c:v>2.8214153161100654E-4</c:v>
                </c:pt>
                <c:pt idx="223">
                  <c:v>3.069290050171951E-4</c:v>
                </c:pt>
                <c:pt idx="224">
                  <c:v>3.3324636678646029E-4</c:v>
                </c:pt>
                <c:pt idx="225">
                  <c:v>3.6096604930705518E-4</c:v>
                </c:pt>
                <c:pt idx="226">
                  <c:v>3.8924557916050507E-4</c:v>
                </c:pt>
                <c:pt idx="227">
                  <c:v>4.1809856645365866E-4</c:v>
                </c:pt>
                <c:pt idx="228">
                  <c:v>4.4754023660247569E-4</c:v>
                </c:pt>
                <c:pt idx="229">
                  <c:v>4.7758752324310864E-4</c:v>
                </c:pt>
                <c:pt idx="230">
                  <c:v>5.0825916838278531E-4</c:v>
                </c:pt>
                <c:pt idx="231">
                  <c:v>5.3957583095136982E-4</c:v>
                </c:pt>
                <c:pt idx="232">
                  <c:v>5.7154357043537004E-4</c:v>
                </c:pt>
                <c:pt idx="233">
                  <c:v>6.0418318081461914E-4</c:v>
                </c:pt>
                <c:pt idx="234">
                  <c:v>6.3712715285143455E-4</c:v>
                </c:pt>
                <c:pt idx="235">
                  <c:v>6.7038743768949938E-4</c:v>
                </c:pt>
                <c:pt idx="236">
                  <c:v>7.0397754987825637E-4</c:v>
                </c:pt>
                <c:pt idx="237">
                  <c:v>7.3791195601512595E-4</c:v>
                </c:pt>
                <c:pt idx="238">
                  <c:v>7.7220651711034315E-4</c:v>
                </c:pt>
                <c:pt idx="239">
                  <c:v>8.0649424627941314E-4</c:v>
                </c:pt>
                <c:pt idx="240">
                  <c:v>8.409606723054616E-4</c:v>
                </c:pt>
                <c:pt idx="241">
                  <c:v>8.7562122497594969E-4</c:v>
                </c:pt>
                <c:pt idx="242">
                  <c:v>9.1049275476335148E-4</c:v>
                </c:pt>
                <c:pt idx="243">
                  <c:v>9.455935911499866E-4</c:v>
                </c:pt>
                <c:pt idx="244">
                  <c:v>9.8094360813719139E-4</c:v>
                </c:pt>
                <c:pt idx="245">
                  <c:v>1.0165642977612646E-3</c:v>
                </c:pt>
                <c:pt idx="246">
                  <c:v>1.0524923696737687E-3</c:v>
                </c:pt>
                <c:pt idx="247">
                  <c:v>1.0882614829369206E-3</c:v>
                </c:pt>
                <c:pt idx="248">
                  <c:v>1.1238496380902303E-3</c:v>
                </c:pt>
                <c:pt idx="249">
                  <c:v>1.1592533854655378E-3</c:v>
                </c:pt>
                <c:pt idx="250">
                  <c:v>1.1944676934854354E-3</c:v>
                </c:pt>
                <c:pt idx="251">
                  <c:v>1.2294858805979466E-3</c:v>
                </c:pt>
                <c:pt idx="252">
                  <c:v>1.2642995424907845E-3</c:v>
                </c:pt>
                <c:pt idx="253">
                  <c:v>1.2981624653269136E-3</c:v>
                </c:pt>
                <c:pt idx="254">
                  <c:v>1.3314775011869578E-3</c:v>
                </c:pt>
                <c:pt idx="255">
                  <c:v>1.3642210991809383E-3</c:v>
                </c:pt>
                <c:pt idx="256">
                  <c:v>1.3963672317118217E-3</c:v>
                </c:pt>
                <c:pt idx="257">
                  <c:v>1.4278873111706711E-3</c:v>
                </c:pt>
                <c:pt idx="258">
                  <c:v>1.4587501067792733E-3</c:v>
                </c:pt>
                <c:pt idx="259">
                  <c:v>1.4889216622374158E-3</c:v>
                </c:pt>
                <c:pt idx="260">
                  <c:v>1.5184854481134211E-3</c:v>
                </c:pt>
                <c:pt idx="261">
                  <c:v>1.546335447031367E-3</c:v>
                </c:pt>
                <c:pt idx="262">
                  <c:v>1.5729676522958556E-3</c:v>
                </c:pt>
                <c:pt idx="263">
                  <c:v>1.5983168129777617E-3</c:v>
                </c:pt>
                <c:pt idx="264">
                  <c:v>1.6223117734866744E-3</c:v>
                </c:pt>
                <c:pt idx="265">
                  <c:v>1.6448840999285363E-3</c:v>
                </c:pt>
                <c:pt idx="266">
                  <c:v>1.6659552390442614E-3</c:v>
                </c:pt>
                <c:pt idx="267">
                  <c:v>1.6846116078122213E-3</c:v>
                </c:pt>
                <c:pt idx="268">
                  <c:v>1.7015897014339624E-3</c:v>
                </c:pt>
                <c:pt idx="269">
                  <c:v>1.7167856046251607E-3</c:v>
                </c:pt>
                <c:pt idx="270">
                  <c:v>1.730089111580785E-3</c:v>
                </c:pt>
                <c:pt idx="271">
                  <c:v>1.7413838545168527E-3</c:v>
                </c:pt>
                <c:pt idx="272">
                  <c:v>1.7505475022981797E-3</c:v>
                </c:pt>
                <c:pt idx="273">
                  <c:v>1.7574520399302337E-3</c:v>
                </c:pt>
                <c:pt idx="274">
                  <c:v>1.762188280182654E-3</c:v>
                </c:pt>
                <c:pt idx="275">
                  <c:v>1.764559540895144E-3</c:v>
                </c:pt>
                <c:pt idx="276">
                  <c:v>1.7658454738711811E-3</c:v>
                </c:pt>
                <c:pt idx="277">
                  <c:v>1.7659500984845869E-3</c:v>
                </c:pt>
                <c:pt idx="278">
                  <c:v>1.7647723963378544E-3</c:v>
                </c:pt>
                <c:pt idx="279">
                  <c:v>1.7622063624321567E-3</c:v>
                </c:pt>
                <c:pt idx="280">
                  <c:v>1.7581411239564607E-3</c:v>
                </c:pt>
                <c:pt idx="281">
                  <c:v>1.7526620328478151E-3</c:v>
                </c:pt>
                <c:pt idx="282">
                  <c:v>1.7466521119313431E-3</c:v>
                </c:pt>
                <c:pt idx="283">
                  <c:v>1.7400363323501282E-3</c:v>
                </c:pt>
                <c:pt idx="284">
                  <c:v>1.732737216188177E-3</c:v>
                </c:pt>
                <c:pt idx="285">
                  <c:v>1.724675029328638E-3</c:v>
                </c:pt>
                <c:pt idx="286">
                  <c:v>1.7157680493226355E-3</c:v>
                </c:pt>
                <c:pt idx="287">
                  <c:v>1.7059329145157182E-3</c:v>
                </c:pt>
                <c:pt idx="288">
                  <c:v>1.6951925162342295E-3</c:v>
                </c:pt>
                <c:pt idx="289">
                  <c:v>1.6880749284517286E-3</c:v>
                </c:pt>
                <c:pt idx="290">
                  <c:v>1.6851011609622568E-3</c:v>
                </c:pt>
                <c:pt idx="291">
                  <c:v>1.6864542768343501E-3</c:v>
                </c:pt>
                <c:pt idx="292">
                  <c:v>1.692320726283027E-3</c:v>
                </c:pt>
                <c:pt idx="293">
                  <c:v>1.7028906320187057E-3</c:v>
                </c:pt>
                <c:pt idx="294">
                  <c:v>1.7183581246988642E-3</c:v>
                </c:pt>
                <c:pt idx="295">
                  <c:v>1.752448467317098E-3</c:v>
                </c:pt>
                <c:pt idx="296">
                  <c:v>1.8056539796966352E-3</c:v>
                </c:pt>
                <c:pt idx="297">
                  <c:v>1.8787147488540147E-3</c:v>
                </c:pt>
                <c:pt idx="298">
                  <c:v>1.9723773316429323E-3</c:v>
                </c:pt>
                <c:pt idx="299">
                  <c:v>2.0874114118085781E-3</c:v>
                </c:pt>
                <c:pt idx="300">
                  <c:v>2.2246125450213119E-3</c:v>
                </c:pt>
                <c:pt idx="301">
                  <c:v>2.3848052451299127E-3</c:v>
                </c:pt>
                <c:pt idx="302">
                  <c:v>2.5688585885532376E-3</c:v>
                </c:pt>
                <c:pt idx="303">
                  <c:v>2.787277239617243E-3</c:v>
                </c:pt>
                <c:pt idx="304">
                  <c:v>3.0358894683921614E-3</c:v>
                </c:pt>
                <c:pt idx="305">
                  <c:v>3.3157171011317932E-3</c:v>
                </c:pt>
                <c:pt idx="306">
                  <c:v>3.6277889903376368E-3</c:v>
                </c:pt>
                <c:pt idx="307">
                  <c:v>3.9731343405218465E-3</c:v>
                </c:pt>
                <c:pt idx="308">
                  <c:v>4.3527751643264324E-3</c:v>
                </c:pt>
                <c:pt idx="309">
                  <c:v>4.7550386941241909E-3</c:v>
                </c:pt>
                <c:pt idx="310">
                  <c:v>5.1640759206435646E-3</c:v>
                </c:pt>
                <c:pt idx="311">
                  <c:v>5.5797356602168236E-3</c:v>
                </c:pt>
                <c:pt idx="312">
                  <c:v>6.0018182235317069E-3</c:v>
                </c:pt>
                <c:pt idx="313">
                  <c:v>6.4300717778907456E-3</c:v>
                </c:pt>
                <c:pt idx="314">
                  <c:v>6.8641887382542045E-3</c:v>
                </c:pt>
                <c:pt idx="315">
                  <c:v>7.303802253818042E-3</c:v>
                </c:pt>
                <c:pt idx="316">
                  <c:v>7.7486126365026763E-3</c:v>
                </c:pt>
                <c:pt idx="317">
                  <c:v>8.1775754375522699E-3</c:v>
                </c:pt>
                <c:pt idx="318">
                  <c:v>8.5782289348378567E-3</c:v>
                </c:pt>
                <c:pt idx="319">
                  <c:v>8.9493392961031305E-3</c:v>
                </c:pt>
                <c:pt idx="320">
                  <c:v>9.2896990561574782E-3</c:v>
                </c:pt>
                <c:pt idx="321">
                  <c:v>9.5981278841209099E-3</c:v>
                </c:pt>
                <c:pt idx="322">
                  <c:v>9.8734729228307661E-3</c:v>
                </c:pt>
                <c:pt idx="323">
                  <c:v>1.0108415279362732E-2</c:v>
                </c:pt>
                <c:pt idx="324">
                  <c:v>1.0316689820655627E-2</c:v>
                </c:pt>
                <c:pt idx="325">
                  <c:v>1.0497483493100665E-2</c:v>
                </c:pt>
                <c:pt idx="326">
                  <c:v>1.0649938417903652E-2</c:v>
                </c:pt>
                <c:pt idx="327">
                  <c:v>1.0773258348090365E-2</c:v>
                </c:pt>
                <c:pt idx="328">
                  <c:v>1.0866721296578993E-2</c:v>
                </c:pt>
                <c:pt idx="329">
                  <c:v>1.0929623548329026E-2</c:v>
                </c:pt>
                <c:pt idx="330">
                  <c:v>1.0961998142612263E-2</c:v>
                </c:pt>
                <c:pt idx="331">
                  <c:v>1.0966833843432703E-2</c:v>
                </c:pt>
                <c:pt idx="332">
                  <c:v>1.0967092552777957E-2</c:v>
                </c:pt>
                <c:pt idx="333">
                  <c:v>1.0962119123934416E-2</c:v>
                </c:pt>
                <c:pt idx="334">
                  <c:v>1.0951239007093076E-2</c:v>
                </c:pt>
                <c:pt idx="335">
                  <c:v>1.0933761385195273E-2</c:v>
                </c:pt>
                <c:pt idx="336">
                  <c:v>1.0908983244240169E-2</c:v>
                </c:pt>
                <c:pt idx="337">
                  <c:v>1.0879617414540816E-2</c:v>
                </c:pt>
                <c:pt idx="338">
                  <c:v>1.0852139221188734E-2</c:v>
                </c:pt>
                <c:pt idx="339">
                  <c:v>1.0826078006850114E-2</c:v>
                </c:pt>
                <c:pt idx="340">
                  <c:v>1.0800948998348641E-2</c:v>
                </c:pt>
                <c:pt idx="341">
                  <c:v>1.0776254790016279E-2</c:v>
                </c:pt>
                <c:pt idx="342">
                  <c:v>1.0751487519662144E-2</c:v>
                </c:pt>
                <c:pt idx="343">
                  <c:v>1.0726131782850418E-2</c:v>
                </c:pt>
                <c:pt idx="344">
                  <c:v>1.0701295200151836E-2</c:v>
                </c:pt>
                <c:pt idx="345">
                  <c:v>1.0678438801426729E-2</c:v>
                </c:pt>
                <c:pt idx="346">
                  <c:v>1.0656835306957414E-2</c:v>
                </c:pt>
                <c:pt idx="347">
                  <c:v>1.0636479553710432E-2</c:v>
                </c:pt>
                <c:pt idx="348">
                  <c:v>1.0617363053300759E-2</c:v>
                </c:pt>
                <c:pt idx="349">
                  <c:v>1.0599474039518506E-2</c:v>
                </c:pt>
                <c:pt idx="350">
                  <c:v>1.0582797546859085E-2</c:v>
                </c:pt>
                <c:pt idx="351">
                  <c:v>1.057039688266005E-2</c:v>
                </c:pt>
                <c:pt idx="352">
                  <c:v>1.0558608552856405E-2</c:v>
                </c:pt>
                <c:pt idx="353">
                  <c:v>1.0547403662850459E-2</c:v>
                </c:pt>
                <c:pt idx="354">
                  <c:v>1.053675244489612E-2</c:v>
                </c:pt>
                <c:pt idx="355">
                  <c:v>1.0526624503235075E-2</c:v>
                </c:pt>
                <c:pt idx="356">
                  <c:v>1.0516856097421819E-2</c:v>
                </c:pt>
                <c:pt idx="357">
                  <c:v>1.0507539117637948E-2</c:v>
                </c:pt>
                <c:pt idx="358">
                  <c:v>1.0498421175945986E-2</c:v>
                </c:pt>
                <c:pt idx="359">
                  <c:v>1.048940210651601E-2</c:v>
                </c:pt>
                <c:pt idx="360">
                  <c:v>1.0484225081841967E-2</c:v>
                </c:pt>
                <c:pt idx="361">
                  <c:v>1.0479961776104147E-2</c:v>
                </c:pt>
                <c:pt idx="362">
                  <c:v>1.0476739033533446E-2</c:v>
                </c:pt>
                <c:pt idx="363">
                  <c:v>1.04746778630767E-2</c:v>
                </c:pt>
                <c:pt idx="364">
                  <c:v>1.0473892923201137E-2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1230352"/>
        <c:axId val="214029688"/>
      </c:lineChart>
      <c:dateAx>
        <c:axId val="4612303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029688"/>
        <c:crosses val="autoZero"/>
        <c:auto val="1"/>
        <c:lblOffset val="100"/>
        <c:baseTimeUnit val="days"/>
        <c:majorUnit val="1"/>
        <c:majorTimeUnit val="months"/>
      </c:dateAx>
      <c:valAx>
        <c:axId val="2140296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12303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3.5542436183039205E-3</c:v>
                </c:pt>
                <c:pt idx="1">
                  <c:v>3.5774323667685515E-3</c:v>
                </c:pt>
                <c:pt idx="2">
                  <c:v>3.6006205755970688E-3</c:v>
                </c:pt>
                <c:pt idx="3">
                  <c:v>3.6238082448020181E-3</c:v>
                </c:pt>
                <c:pt idx="4">
                  <c:v>3.6469953743961669E-3</c:v>
                </c:pt>
                <c:pt idx="5">
                  <c:v>3.6701819643918387E-3</c:v>
                </c:pt>
                <c:pt idx="6">
                  <c:v>3.6933680148016901E-3</c:v>
                </c:pt>
                <c:pt idx="7">
                  <c:v>3.7165535256382665E-3</c:v>
                </c:pt>
                <c:pt idx="8">
                  <c:v>3.7397384969142244E-3</c:v>
                </c:pt>
                <c:pt idx="9">
                  <c:v>3.7629229286418875E-3</c:v>
                </c:pt>
                <c:pt idx="10">
                  <c:v>3.7861068208341342E-3</c:v>
                </c:pt>
                <c:pt idx="11">
                  <c:v>3.809290173503177E-3</c:v>
                </c:pt>
                <c:pt idx="12">
                  <c:v>3.8324729866617835E-3</c:v>
                </c:pt>
                <c:pt idx="13">
                  <c:v>3.8556552603224992E-3</c:v>
                </c:pt>
                <c:pt idx="14">
                  <c:v>3.8788369944978696E-3</c:v>
                </c:pt>
                <c:pt idx="15">
                  <c:v>3.9020181892003292E-3</c:v>
                </c:pt>
                <c:pt idx="16">
                  <c:v>3.9251988444425345E-3</c:v>
                </c:pt>
                <c:pt idx="17">
                  <c:v>3.9483789602370312E-3</c:v>
                </c:pt>
                <c:pt idx="18">
                  <c:v>3.9715585365964756E-3</c:v>
                </c:pt>
                <c:pt idx="19">
                  <c:v>3.9947375735331914E-3</c:v>
                </c:pt>
                <c:pt idx="20">
                  <c:v>4.017916071059946E-3</c:v>
                </c:pt>
                <c:pt idx="21">
                  <c:v>4.0410940291890629E-3</c:v>
                </c:pt>
                <c:pt idx="22">
                  <c:v>4.0642714479333097E-3</c:v>
                </c:pt>
                <c:pt idx="23">
                  <c:v>4.087448327305232E-3</c:v>
                </c:pt>
                <c:pt idx="24">
                  <c:v>4.1106246673172642E-3</c:v>
                </c:pt>
                <c:pt idx="25">
                  <c:v>4.1338004679819518E-3</c:v>
                </c:pt>
                <c:pt idx="26">
                  <c:v>4.1569757293119514E-3</c:v>
                </c:pt>
                <c:pt idx="27">
                  <c:v>4.1801504513198084E-3</c:v>
                </c:pt>
                <c:pt idx="28">
                  <c:v>4.2033246340179575E-3</c:v>
                </c:pt>
                <c:pt idx="29">
                  <c:v>4.2264982774190551E-3</c:v>
                </c:pt>
                <c:pt idx="30">
                  <c:v>4.2496713815355358E-3</c:v>
                </c:pt>
                <c:pt idx="31">
                  <c:v>4.2728439463801671E-3</c:v>
                </c:pt>
                <c:pt idx="32">
                  <c:v>4.2960159719652724E-3</c:v>
                </c:pt>
                <c:pt idx="33">
                  <c:v>4.3191874583035084E-3</c:v>
                </c:pt>
                <c:pt idx="34">
                  <c:v>4.3423584054073094E-3</c:v>
                </c:pt>
                <c:pt idx="35">
                  <c:v>4.3655288132894432E-3</c:v>
                </c:pt>
                <c:pt idx="36">
                  <c:v>4.3886986819623441E-3</c:v>
                </c:pt>
                <c:pt idx="37">
                  <c:v>4.4118680114384468E-3</c:v>
                </c:pt>
                <c:pt idx="38">
                  <c:v>4.4350368017305186E-3</c:v>
                </c:pt>
                <c:pt idx="39">
                  <c:v>4.4582050528509942E-3</c:v>
                </c:pt>
                <c:pt idx="40">
                  <c:v>4.4813727648123081E-3</c:v>
                </c:pt>
                <c:pt idx="41">
                  <c:v>4.5045399376272277E-3</c:v>
                </c:pt>
                <c:pt idx="42">
                  <c:v>4.5277065713080766E-3</c:v>
                </c:pt>
                <c:pt idx="43">
                  <c:v>4.5508726658676224E-3</c:v>
                </c:pt>
                <c:pt idx="44">
                  <c:v>4.5740382213182995E-3</c:v>
                </c:pt>
                <c:pt idx="45">
                  <c:v>4.5972032376726535E-3</c:v>
                </c:pt>
                <c:pt idx="46">
                  <c:v>4.6203677149431188E-3</c:v>
                </c:pt>
                <c:pt idx="47">
                  <c:v>4.6435316531424631E-3</c:v>
                </c:pt>
                <c:pt idx="48">
                  <c:v>4.6666950522831208E-3</c:v>
                </c:pt>
                <c:pt idx="49">
                  <c:v>4.6898579123776374E-3</c:v>
                </c:pt>
                <c:pt idx="50">
                  <c:v>4.7130202334385585E-3</c:v>
                </c:pt>
                <c:pt idx="51">
                  <c:v>4.7361820154784295E-3</c:v>
                </c:pt>
                <c:pt idx="52">
                  <c:v>4.7593432585097961E-3</c:v>
                </c:pt>
                <c:pt idx="53">
                  <c:v>4.7825039625452037E-3</c:v>
                </c:pt>
                <c:pt idx="54">
                  <c:v>4.8056641275970868E-3</c:v>
                </c:pt>
                <c:pt idx="55">
                  <c:v>4.828823753678213E-3</c:v>
                </c:pt>
                <c:pt idx="56">
                  <c:v>4.8519828408010168E-3</c:v>
                </c:pt>
                <c:pt idx="57">
                  <c:v>4.8751413889780437E-3</c:v>
                </c:pt>
                <c:pt idx="58">
                  <c:v>4.8982993982217282E-3</c:v>
                </c:pt>
                <c:pt idx="59">
                  <c:v>4.9214568685447269E-3</c:v>
                </c:pt>
                <c:pt idx="60">
                  <c:v>4.9446137999595852E-3</c:v>
                </c:pt>
                <c:pt idx="61">
                  <c:v>4.9677701924788487E-3</c:v>
                </c:pt>
                <c:pt idx="62">
                  <c:v>4.9909260461149518E-3</c:v>
                </c:pt>
                <c:pt idx="63">
                  <c:v>5.0140813608805512E-3</c:v>
                </c:pt>
                <c:pt idx="64">
                  <c:v>5.0372361367881924E-3</c:v>
                </c:pt>
                <c:pt idx="65">
                  <c:v>5.0603903738503098E-3</c:v>
                </c:pt>
                <c:pt idx="66">
                  <c:v>5.0835440720795599E-3</c:v>
                </c:pt>
                <c:pt idx="67">
                  <c:v>5.1066972314883774E-3</c:v>
                </c:pt>
                <c:pt idx="68">
                  <c:v>5.1298498520894187E-3</c:v>
                </c:pt>
                <c:pt idx="69">
                  <c:v>5.1530019338951183E-3</c:v>
                </c:pt>
                <c:pt idx="70">
                  <c:v>5.1761534769180217E-3</c:v>
                </c:pt>
                <c:pt idx="71">
                  <c:v>5.1993044811706746E-3</c:v>
                </c:pt>
                <c:pt idx="72">
                  <c:v>5.2224549466657333E-3</c:v>
                </c:pt>
                <c:pt idx="73">
                  <c:v>5.2456048734155214E-3</c:v>
                </c:pt>
                <c:pt idx="74">
                  <c:v>5.2687542614328065E-3</c:v>
                </c:pt>
                <c:pt idx="75">
                  <c:v>5.2919031107299119E-3</c:v>
                </c:pt>
                <c:pt idx="76">
                  <c:v>5.3150514213196054E-3</c:v>
                </c:pt>
                <c:pt idx="77">
                  <c:v>5.3381991932142103E-3</c:v>
                </c:pt>
                <c:pt idx="78">
                  <c:v>5.3613464264262722E-3</c:v>
                </c:pt>
                <c:pt idx="79">
                  <c:v>5.3844931209685587E-3</c:v>
                </c:pt>
                <c:pt idx="80">
                  <c:v>5.4076392768533932E-3</c:v>
                </c:pt>
                <c:pt idx="81">
                  <c:v>5.4307848940933212E-3</c:v>
                </c:pt>
                <c:pt idx="82">
                  <c:v>5.4539299727008883E-3</c:v>
                </c:pt>
                <c:pt idx="83">
                  <c:v>5.477074512688751E-3</c:v>
                </c:pt>
                <c:pt idx="84">
                  <c:v>5.5002185140693438E-3</c:v>
                </c:pt>
                <c:pt idx="85">
                  <c:v>5.5233619768552122E-3</c:v>
                </c:pt>
                <c:pt idx="86">
                  <c:v>5.5465049010587908E-3</c:v>
                </c:pt>
                <c:pt idx="87">
                  <c:v>5.569647286692847E-3</c:v>
                </c:pt>
                <c:pt idx="88">
                  <c:v>5.5927891337697044E-3</c:v>
                </c:pt>
                <c:pt idx="89">
                  <c:v>5.6159304423020195E-3</c:v>
                </c:pt>
                <c:pt idx="90">
                  <c:v>5.6390712123022269E-3</c:v>
                </c:pt>
                <c:pt idx="91">
                  <c:v>5.6622114437829829E-3</c:v>
                </c:pt>
                <c:pt idx="92">
                  <c:v>5.6853511367567222E-3</c:v>
                </c:pt>
                <c:pt idx="93">
                  <c:v>5.7084902912359903E-3</c:v>
                </c:pt>
                <c:pt idx="94">
                  <c:v>5.7316289072333326E-3</c:v>
                </c:pt>
                <c:pt idx="95">
                  <c:v>5.7547669847611838E-3</c:v>
                </c:pt>
                <c:pt idx="96">
                  <c:v>5.7779045238323112E-3</c:v>
                </c:pt>
                <c:pt idx="97">
                  <c:v>5.8010415244590385E-3</c:v>
                </c:pt>
                <c:pt idx="98">
                  <c:v>5.8241779866539112E-3</c:v>
                </c:pt>
                <c:pt idx="99">
                  <c:v>5.8473139104295857E-3</c:v>
                </c:pt>
                <c:pt idx="100">
                  <c:v>5.8704492957984966E-3</c:v>
                </c:pt>
                <c:pt idx="101">
                  <c:v>5.8935841427731894E-3</c:v>
                </c:pt>
                <c:pt idx="102">
                  <c:v>5.9167184513662097E-3</c:v>
                </c:pt>
                <c:pt idx="103">
                  <c:v>5.9398522215899918E-3</c:v>
                </c:pt>
                <c:pt idx="104">
                  <c:v>5.9629854534571924E-3</c:v>
                </c:pt>
                <c:pt idx="105">
                  <c:v>5.986118146980357E-3</c:v>
                </c:pt>
                <c:pt idx="106">
                  <c:v>6.0092503021719201E-3</c:v>
                </c:pt>
                <c:pt idx="107">
                  <c:v>6.0323819190444272E-3</c:v>
                </c:pt>
                <c:pt idx="108">
                  <c:v>6.0555129976103128E-3</c:v>
                </c:pt>
                <c:pt idx="109">
                  <c:v>6.0786435378823445E-3</c:v>
                </c:pt>
                <c:pt idx="110">
                  <c:v>6.1017735398728457E-3</c:v>
                </c:pt>
                <c:pt idx="111">
                  <c:v>6.1249030035944729E-3</c:v>
                </c:pt>
                <c:pt idx="112">
                  <c:v>6.1480319290596608E-3</c:v>
                </c:pt>
                <c:pt idx="113">
                  <c:v>6.1711603162809547E-3</c:v>
                </c:pt>
                <c:pt idx="114">
                  <c:v>6.1942881652709003E-3</c:v>
                </c:pt>
                <c:pt idx="115">
                  <c:v>6.217415476041932E-3</c:v>
                </c:pt>
                <c:pt idx="116">
                  <c:v>6.2405422486067064E-3</c:v>
                </c:pt>
                <c:pt idx="117">
                  <c:v>6.2636684829777689E-3</c:v>
                </c:pt>
                <c:pt idx="118">
                  <c:v>6.2867941791674431E-3</c:v>
                </c:pt>
                <c:pt idx="119">
                  <c:v>6.3099193371884965E-3</c:v>
                </c:pt>
                <c:pt idx="120">
                  <c:v>6.3330439570532526E-3</c:v>
                </c:pt>
                <c:pt idx="121">
                  <c:v>6.356168038774368E-3</c:v>
                </c:pt>
                <c:pt idx="122">
                  <c:v>6.3792915823643881E-3</c:v>
                </c:pt>
                <c:pt idx="123">
                  <c:v>6.4024145878356364E-3</c:v>
                </c:pt>
                <c:pt idx="124">
                  <c:v>6.4255370552008806E-3</c:v>
                </c:pt>
                <c:pt idx="125">
                  <c:v>6.448658984472444E-3</c:v>
                </c:pt>
                <c:pt idx="126">
                  <c:v>6.4717803756629833E-3</c:v>
                </c:pt>
                <c:pt idx="127">
                  <c:v>6.4949012287849328E-3</c:v>
                </c:pt>
                <c:pt idx="128">
                  <c:v>6.5180215438508382E-3</c:v>
                </c:pt>
                <c:pt idx="129">
                  <c:v>6.541141320873356E-3</c:v>
                </c:pt>
                <c:pt idx="130">
                  <c:v>6.5642605598648096E-3</c:v>
                </c:pt>
                <c:pt idx="131">
                  <c:v>6.5873792608377446E-3</c:v>
                </c:pt>
                <c:pt idx="132">
                  <c:v>6.6104974238048175E-3</c:v>
                </c:pt>
                <c:pt idx="133">
                  <c:v>6.6336150487783518E-3</c:v>
                </c:pt>
                <c:pt idx="134">
                  <c:v>6.6567321357711151E-3</c:v>
                </c:pt>
                <c:pt idx="135">
                  <c:v>6.6798486847954308E-3</c:v>
                </c:pt>
                <c:pt idx="136">
                  <c:v>6.7029646958638445E-3</c:v>
                </c:pt>
                <c:pt idx="137">
                  <c:v>6.7260801689890126E-3</c:v>
                </c:pt>
                <c:pt idx="138">
                  <c:v>6.7491951041832587E-3</c:v>
                </c:pt>
                <c:pt idx="139">
                  <c:v>6.7723095014592394E-3</c:v>
                </c:pt>
                <c:pt idx="140">
                  <c:v>6.795423360829389E-3</c:v>
                </c:pt>
                <c:pt idx="141">
                  <c:v>6.8185366823062532E-3</c:v>
                </c:pt>
                <c:pt idx="142">
                  <c:v>6.8416494659023774E-3</c:v>
                </c:pt>
                <c:pt idx="143">
                  <c:v>6.8647617116303072E-3</c:v>
                </c:pt>
                <c:pt idx="144">
                  <c:v>6.8878734195024771E-3</c:v>
                </c:pt>
                <c:pt idx="145">
                  <c:v>6.9109845895314326E-3</c:v>
                </c:pt>
                <c:pt idx="146">
                  <c:v>6.9340952217297191E-3</c:v>
                </c:pt>
                <c:pt idx="147">
                  <c:v>6.9572053161097713E-3</c:v>
                </c:pt>
                <c:pt idx="148">
                  <c:v>6.9803148726842457E-3</c:v>
                </c:pt>
                <c:pt idx="149">
                  <c:v>7.0034238914655766E-3</c:v>
                </c:pt>
                <c:pt idx="150">
                  <c:v>7.0265323724661988E-3</c:v>
                </c:pt>
                <c:pt idx="151">
                  <c:v>7.0496403156987686E-3</c:v>
                </c:pt>
                <c:pt idx="152">
                  <c:v>7.0727477211758316E-3</c:v>
                </c:pt>
                <c:pt idx="153">
                  <c:v>7.0958545889097113E-3</c:v>
                </c:pt>
                <c:pt idx="154">
                  <c:v>7.1189609189129532E-3</c:v>
                </c:pt>
                <c:pt idx="155">
                  <c:v>7.1420667111982139E-3</c:v>
                </c:pt>
                <c:pt idx="156">
                  <c:v>7.1651719657779278E-3</c:v>
                </c:pt>
                <c:pt idx="157">
                  <c:v>7.1882766826646405E-3</c:v>
                </c:pt>
                <c:pt idx="158">
                  <c:v>7.2113808618707864E-3</c:v>
                </c:pt>
                <c:pt idx="159">
                  <c:v>7.2344845034090222E-3</c:v>
                </c:pt>
                <c:pt idx="160">
                  <c:v>7.2575876072916712E-3</c:v>
                </c:pt>
                <c:pt idx="161">
                  <c:v>7.28069017353139E-3</c:v>
                </c:pt>
                <c:pt idx="162">
                  <c:v>7.3037922021406132E-3</c:v>
                </c:pt>
                <c:pt idx="163">
                  <c:v>7.3268936931318862E-3</c:v>
                </c:pt>
                <c:pt idx="164">
                  <c:v>7.3499946465177546E-3</c:v>
                </c:pt>
                <c:pt idx="165">
                  <c:v>7.3730950623106528E-3</c:v>
                </c:pt>
                <c:pt idx="166">
                  <c:v>7.3961949405231264E-3</c:v>
                </c:pt>
                <c:pt idx="167">
                  <c:v>7.4192942811676099E-3</c:v>
                </c:pt>
                <c:pt idx="168">
                  <c:v>7.4423930842568708E-3</c:v>
                </c:pt>
                <c:pt idx="169">
                  <c:v>7.4654913498031217E-3</c:v>
                </c:pt>
                <c:pt idx="170">
                  <c:v>7.4885890778190189E-3</c:v>
                </c:pt>
                <c:pt idx="171">
                  <c:v>7.5116862683169972E-3</c:v>
                </c:pt>
                <c:pt idx="172">
                  <c:v>7.5347829213096018E-3</c:v>
                </c:pt>
                <c:pt idx="173">
                  <c:v>7.5578790368093784E-3</c:v>
                </c:pt>
                <c:pt idx="174">
                  <c:v>7.5809746148288726E-3</c:v>
                </c:pt>
                <c:pt idx="175">
                  <c:v>7.6040696553804077E-3</c:v>
                </c:pt>
                <c:pt idx="176">
                  <c:v>7.6271641584767513E-3</c:v>
                </c:pt>
                <c:pt idx="177">
                  <c:v>7.650258124130116E-3</c:v>
                </c:pt>
                <c:pt idx="178">
                  <c:v>7.6733515523532692E-3</c:v>
                </c:pt>
                <c:pt idx="179">
                  <c:v>7.6964444431585344E-3</c:v>
                </c:pt>
                <c:pt idx="180">
                  <c:v>7.7195367965585682E-3</c:v>
                </c:pt>
                <c:pt idx="181">
                  <c:v>7.742628612565805E-3</c:v>
                </c:pt>
                <c:pt idx="182">
                  <c:v>7.7657198911926795E-3</c:v>
                </c:pt>
                <c:pt idx="183">
                  <c:v>7.788810632451848E-3</c:v>
                </c:pt>
                <c:pt idx="184">
                  <c:v>7.8119008363556341E-3</c:v>
                </c:pt>
                <c:pt idx="185">
                  <c:v>7.8349905029166944E-3</c:v>
                </c:pt>
                <c:pt idx="186">
                  <c:v>7.8580796321474633E-3</c:v>
                </c:pt>
                <c:pt idx="187">
                  <c:v>7.8811682240604863E-3</c:v>
                </c:pt>
                <c:pt idx="188">
                  <c:v>7.904256278668309E-3</c:v>
                </c:pt>
                <c:pt idx="189">
                  <c:v>7.9273437959832549E-3</c:v>
                </c:pt>
                <c:pt idx="190">
                  <c:v>7.9504307760179804E-3</c:v>
                </c:pt>
                <c:pt idx="191">
                  <c:v>7.9735172187850312E-3</c:v>
                </c:pt>
                <c:pt idx="192">
                  <c:v>7.9966031242967306E-3</c:v>
                </c:pt>
                <c:pt idx="193">
                  <c:v>8.0196884925657352E-3</c:v>
                </c:pt>
                <c:pt idx="194">
                  <c:v>8.0427733236044796E-3</c:v>
                </c:pt>
                <c:pt idx="195">
                  <c:v>8.0658576174255092E-3</c:v>
                </c:pt>
                <c:pt idx="196">
                  <c:v>8.0889413740412586E-3</c:v>
                </c:pt>
                <c:pt idx="197">
                  <c:v>8.1120245934642732E-3</c:v>
                </c:pt>
                <c:pt idx="198">
                  <c:v>8.1351072757069876E-3</c:v>
                </c:pt>
                <c:pt idx="199">
                  <c:v>8.1581894207820582E-3</c:v>
                </c:pt>
                <c:pt idx="200">
                  <c:v>8.1812710287019197E-3</c:v>
                </c:pt>
                <c:pt idx="201">
                  <c:v>8.2043520994788954E-3</c:v>
                </c:pt>
                <c:pt idx="202">
                  <c:v>8.227432633125753E-3</c:v>
                </c:pt>
                <c:pt idx="203">
                  <c:v>8.2505126296548159E-3</c:v>
                </c:pt>
                <c:pt idx="204">
                  <c:v>8.2735920890787407E-3</c:v>
                </c:pt>
                <c:pt idx="205">
                  <c:v>8.2966710114098507E-3</c:v>
                </c:pt>
                <c:pt idx="206">
                  <c:v>8.3197493966606917E-3</c:v>
                </c:pt>
                <c:pt idx="207">
                  <c:v>8.34282724484392E-3</c:v>
                </c:pt>
                <c:pt idx="208">
                  <c:v>8.3659045559717482E-3</c:v>
                </c:pt>
                <c:pt idx="209">
                  <c:v>8.3889813300569438E-3</c:v>
                </c:pt>
                <c:pt idx="210">
                  <c:v>8.4120575671118303E-3</c:v>
                </c:pt>
                <c:pt idx="211">
                  <c:v>8.4351332671490642E-3</c:v>
                </c:pt>
                <c:pt idx="212">
                  <c:v>8.458208430180969E-3</c:v>
                </c:pt>
                <c:pt idx="213">
                  <c:v>8.4812830562200903E-3</c:v>
                </c:pt>
                <c:pt idx="214">
                  <c:v>8.5043571452789735E-3</c:v>
                </c:pt>
                <c:pt idx="215">
                  <c:v>8.5274306973701641E-3</c:v>
                </c:pt>
                <c:pt idx="216">
                  <c:v>8.5505037125059857E-3</c:v>
                </c:pt>
                <c:pt idx="217">
                  <c:v>8.5735761906990948E-3</c:v>
                </c:pt>
                <c:pt idx="218">
                  <c:v>8.5966481319619259E-3</c:v>
                </c:pt>
                <c:pt idx="219">
                  <c:v>8.6197195363070245E-3</c:v>
                </c:pt>
                <c:pt idx="220">
                  <c:v>8.642790403746714E-3</c:v>
                </c:pt>
                <c:pt idx="221">
                  <c:v>8.6658607342937621E-3</c:v>
                </c:pt>
                <c:pt idx="222">
                  <c:v>8.6889305279603812E-3</c:v>
                </c:pt>
                <c:pt idx="223">
                  <c:v>8.7119997847592279E-3</c:v>
                </c:pt>
                <c:pt idx="224">
                  <c:v>8.7350685047028476E-3</c:v>
                </c:pt>
                <c:pt idx="225">
                  <c:v>8.7581366878035638E-3</c:v>
                </c:pt>
                <c:pt idx="226">
                  <c:v>8.7812043340740331E-3</c:v>
                </c:pt>
                <c:pt idx="227">
                  <c:v>8.80427144352669E-3</c:v>
                </c:pt>
                <c:pt idx="228">
                  <c:v>8.827338016173969E-3</c:v>
                </c:pt>
                <c:pt idx="229">
                  <c:v>8.8504040520283045E-3</c:v>
                </c:pt>
                <c:pt idx="230">
                  <c:v>8.8734695511024642E-3</c:v>
                </c:pt>
                <c:pt idx="231">
                  <c:v>8.8965345134086604E-3</c:v>
                </c:pt>
                <c:pt idx="232">
                  <c:v>8.9195989389594388E-3</c:v>
                </c:pt>
                <c:pt idx="233">
                  <c:v>8.9426628277674558E-3</c:v>
                </c:pt>
                <c:pt idx="234">
                  <c:v>8.9657261798450349E-3</c:v>
                </c:pt>
                <c:pt idx="235">
                  <c:v>8.9887889952047217E-3</c:v>
                </c:pt>
                <c:pt idx="236">
                  <c:v>9.0118512738590617E-3</c:v>
                </c:pt>
                <c:pt idx="237">
                  <c:v>9.0349130158203783E-3</c:v>
                </c:pt>
                <c:pt idx="238">
                  <c:v>9.0579742211013281E-3</c:v>
                </c:pt>
                <c:pt idx="239">
                  <c:v>9.0810348897143456E-3</c:v>
                </c:pt>
                <c:pt idx="240">
                  <c:v>9.1040950216718652E-3</c:v>
                </c:pt>
                <c:pt idx="241">
                  <c:v>9.1271546169864326E-3</c:v>
                </c:pt>
                <c:pt idx="242">
                  <c:v>9.1502136756705932E-3</c:v>
                </c:pt>
                <c:pt idx="243">
                  <c:v>9.1732721977367815E-3</c:v>
                </c:pt>
                <c:pt idx="244">
                  <c:v>9.196330183197432E-3</c:v>
                </c:pt>
                <c:pt idx="245">
                  <c:v>9.2193876320649792E-3</c:v>
                </c:pt>
                <c:pt idx="246">
                  <c:v>9.2424445443521908E-3</c:v>
                </c:pt>
                <c:pt idx="247">
                  <c:v>9.265500920071168E-3</c:v>
                </c:pt>
                <c:pt idx="248">
                  <c:v>9.2885567592347895E-3</c:v>
                </c:pt>
                <c:pt idx="249">
                  <c:v>9.3116120618552678E-3</c:v>
                </c:pt>
                <c:pt idx="250">
                  <c:v>9.3346668279451483E-3</c:v>
                </c:pt>
                <c:pt idx="251">
                  <c:v>9.3577210575169767E-3</c:v>
                </c:pt>
                <c:pt idx="252">
                  <c:v>9.3807747505831873E-3</c:v>
                </c:pt>
                <c:pt idx="253">
                  <c:v>9.4038279071563258E-3</c:v>
                </c:pt>
                <c:pt idx="254">
                  <c:v>9.4268805272487155E-3</c:v>
                </c:pt>
                <c:pt idx="255">
                  <c:v>9.4499326108731241E-3</c:v>
                </c:pt>
                <c:pt idx="256">
                  <c:v>9.472984158041764E-3</c:v>
                </c:pt>
                <c:pt idx="257">
                  <c:v>9.4960351687671807E-3</c:v>
                </c:pt>
                <c:pt idx="258">
                  <c:v>9.5190856430620308E-3</c:v>
                </c:pt>
                <c:pt idx="259">
                  <c:v>9.5421355809385267E-3</c:v>
                </c:pt>
                <c:pt idx="260">
                  <c:v>9.5651849824094359E-3</c:v>
                </c:pt>
                <c:pt idx="261">
                  <c:v>9.5882338474869711E-3</c:v>
                </c:pt>
                <c:pt idx="262">
                  <c:v>9.6112821761837886E-3</c:v>
                </c:pt>
                <c:pt idx="263">
                  <c:v>9.634329968512434E-3</c:v>
                </c:pt>
                <c:pt idx="264">
                  <c:v>9.6573772244851197E-3</c:v>
                </c:pt>
                <c:pt idx="265">
                  <c:v>9.6804239441146134E-3</c:v>
                </c:pt>
                <c:pt idx="266">
                  <c:v>9.7034701274132384E-3</c:v>
                </c:pt>
                <c:pt idx="267">
                  <c:v>9.7265157743934294E-3</c:v>
                </c:pt>
                <c:pt idx="268">
                  <c:v>9.7495608850678428E-3</c:v>
                </c:pt>
                <c:pt idx="269">
                  <c:v>9.7726054594488021E-3</c:v>
                </c:pt>
                <c:pt idx="270">
                  <c:v>9.7956494975488528E-3</c:v>
                </c:pt>
                <c:pt idx="271">
                  <c:v>9.8186929993805405E-3</c:v>
                </c:pt>
                <c:pt idx="272">
                  <c:v>9.8417359649561886E-3</c:v>
                </c:pt>
                <c:pt idx="273">
                  <c:v>9.8647783942884537E-3</c:v>
                </c:pt>
                <c:pt idx="274">
                  <c:v>9.8878202873896592E-3</c:v>
                </c:pt>
                <c:pt idx="275">
                  <c:v>9.9108616442723507E-3</c:v>
                </c:pt>
                <c:pt idx="276">
                  <c:v>9.9339024649490737E-3</c:v>
                </c:pt>
                <c:pt idx="277">
                  <c:v>9.9569427494321516E-3</c:v>
                </c:pt>
                <c:pt idx="278">
                  <c:v>9.9799824977342411E-3</c:v>
                </c:pt>
                <c:pt idx="279">
                  <c:v>1.0003021709867665E-2</c:v>
                </c:pt>
                <c:pt idx="280">
                  <c:v>1.002606038584497E-2</c:v>
                </c:pt>
                <c:pt idx="281">
                  <c:v>1.0049098525678701E-2</c:v>
                </c:pt>
                <c:pt idx="282">
                  <c:v>1.0072136129381182E-2</c:v>
                </c:pt>
                <c:pt idx="283">
                  <c:v>1.0095173196964957E-2</c:v>
                </c:pt>
                <c:pt idx="284">
                  <c:v>1.0118209728442573E-2</c:v>
                </c:pt>
                <c:pt idx="285">
                  <c:v>1.0141245723826353E-2</c:v>
                </c:pt>
                <c:pt idx="286">
                  <c:v>1.0164281183128954E-2</c:v>
                </c:pt>
                <c:pt idx="287">
                  <c:v>1.0187316106362698E-2</c:v>
                </c:pt>
                <c:pt idx="288">
                  <c:v>1.0210350493540243E-2</c:v>
                </c:pt>
                <c:pt idx="289">
                  <c:v>1.0233384344673802E-2</c:v>
                </c:pt>
                <c:pt idx="290">
                  <c:v>1.025641765977614E-2</c:v>
                </c:pt>
                <c:pt idx="291">
                  <c:v>1.0279450438859472E-2</c:v>
                </c:pt>
                <c:pt idx="292">
                  <c:v>1.0302482681936453E-2</c:v>
                </c:pt>
                <c:pt idx="293">
                  <c:v>1.0325514389019408E-2</c:v>
                </c:pt>
                <c:pt idx="294">
                  <c:v>1.0348545560120992E-2</c:v>
                </c:pt>
                <c:pt idx="295">
                  <c:v>1.0371576195253529E-2</c:v>
                </c:pt>
                <c:pt idx="296">
                  <c:v>1.0394606294429565E-2</c:v>
                </c:pt>
                <c:pt idx="297">
                  <c:v>1.0417635857661423E-2</c:v>
                </c:pt>
                <c:pt idx="298">
                  <c:v>1.044066488496187E-2</c:v>
                </c:pt>
                <c:pt idx="299">
                  <c:v>1.0463693376343119E-2</c:v>
                </c:pt>
                <c:pt idx="300">
                  <c:v>1.0486721331817717E-2</c:v>
                </c:pt>
                <c:pt idx="301">
                  <c:v>1.0509748751398207E-2</c:v>
                </c:pt>
                <c:pt idx="302">
                  <c:v>1.0532775635097025E-2</c:v>
                </c:pt>
                <c:pt idx="303">
                  <c:v>1.0555801982926605E-2</c:v>
                </c:pt>
                <c:pt idx="304">
                  <c:v>1.0578827794899381E-2</c:v>
                </c:pt>
                <c:pt idx="305">
                  <c:v>1.06018530710279E-2</c:v>
                </c:pt>
                <c:pt idx="306">
                  <c:v>1.0624877811324596E-2</c:v>
                </c:pt>
                <c:pt idx="307">
                  <c:v>1.0647902015801902E-2</c:v>
                </c:pt>
                <c:pt idx="308">
                  <c:v>1.0670925684472365E-2</c:v>
                </c:pt>
                <c:pt idx="309">
                  <c:v>1.0693948817348531E-2</c:v>
                </c:pt>
                <c:pt idx="310">
                  <c:v>1.0716971414442611E-2</c:v>
                </c:pt>
                <c:pt idx="311">
                  <c:v>1.0739993475767262E-2</c:v>
                </c:pt>
                <c:pt idx="312">
                  <c:v>1.076301500133503E-2</c:v>
                </c:pt>
                <c:pt idx="313">
                  <c:v>1.0786035991158127E-2</c:v>
                </c:pt>
                <c:pt idx="314">
                  <c:v>1.080905644524921E-2</c:v>
                </c:pt>
                <c:pt idx="315">
                  <c:v>1.0832076363620713E-2</c:v>
                </c:pt>
                <c:pt idx="316">
                  <c:v>1.0855095746285071E-2</c:v>
                </c:pt>
                <c:pt idx="317">
                  <c:v>1.0878114593254717E-2</c:v>
                </c:pt>
                <c:pt idx="318">
                  <c:v>1.0901132904542199E-2</c:v>
                </c:pt>
                <c:pt idx="319">
                  <c:v>1.092415068015995E-2</c:v>
                </c:pt>
                <c:pt idx="320">
                  <c:v>1.0947167920120404E-2</c:v>
                </c:pt>
                <c:pt idx="321">
                  <c:v>1.0970184624436108E-2</c:v>
                </c:pt>
                <c:pt idx="322">
                  <c:v>1.0993200793119495E-2</c:v>
                </c:pt>
                <c:pt idx="323">
                  <c:v>1.1016216426183001E-2</c:v>
                </c:pt>
                <c:pt idx="324">
                  <c:v>1.1039231523639059E-2</c:v>
                </c:pt>
                <c:pt idx="325">
                  <c:v>1.1062246085500216E-2</c:v>
                </c:pt>
                <c:pt idx="326">
                  <c:v>1.1085260111778905E-2</c:v>
                </c:pt>
                <c:pt idx="327">
                  <c:v>1.1108273602487562E-2</c:v>
                </c:pt>
                <c:pt idx="328">
                  <c:v>1.113128655763862E-2</c:v>
                </c:pt>
                <c:pt idx="329">
                  <c:v>1.1154298977244625E-2</c:v>
                </c:pt>
                <c:pt idx="330">
                  <c:v>1.1177310861318013E-2</c:v>
                </c:pt>
                <c:pt idx="331">
                  <c:v>1.1200322209871327E-2</c:v>
                </c:pt>
                <c:pt idx="332">
                  <c:v>1.1223333022916782E-2</c:v>
                </c:pt>
                <c:pt idx="333">
                  <c:v>1.1246343300467143E-2</c:v>
                </c:pt>
                <c:pt idx="334">
                  <c:v>1.1269353042534624E-2</c:v>
                </c:pt>
                <c:pt idx="335">
                  <c:v>1.1292362249131882E-2</c:v>
                </c:pt>
                <c:pt idx="336">
                  <c:v>1.1315370920271239E-2</c:v>
                </c:pt>
                <c:pt idx="337">
                  <c:v>1.1338379055965131E-2</c:v>
                </c:pt>
                <c:pt idx="338">
                  <c:v>1.1361386656226213E-2</c:v>
                </c:pt>
                <c:pt idx="339">
                  <c:v>1.138439372106681E-2</c:v>
                </c:pt>
                <c:pt idx="340">
                  <c:v>1.1407400250499355E-2</c:v>
                </c:pt>
                <c:pt idx="341">
                  <c:v>1.1430406244536284E-2</c:v>
                </c:pt>
                <c:pt idx="342">
                  <c:v>1.1453411703190253E-2</c:v>
                </c:pt>
                <c:pt idx="343">
                  <c:v>1.1476416626473585E-2</c:v>
                </c:pt>
                <c:pt idx="344">
                  <c:v>1.1499421014398603E-2</c:v>
                </c:pt>
                <c:pt idx="345">
                  <c:v>1.1522424866978076E-2</c:v>
                </c:pt>
                <c:pt idx="346">
                  <c:v>1.1545428184224216E-2</c:v>
                </c:pt>
                <c:pt idx="347">
                  <c:v>1.1568430966149568E-2</c:v>
                </c:pt>
                <c:pt idx="348">
                  <c:v>1.1591433212766566E-2</c:v>
                </c:pt>
                <c:pt idx="349">
                  <c:v>1.1614434924087647E-2</c:v>
                </c:pt>
                <c:pt idx="350">
                  <c:v>1.1637436100125353E-2</c:v>
                </c:pt>
                <c:pt idx="351">
                  <c:v>1.1660436740892122E-2</c:v>
                </c:pt>
                <c:pt idx="352">
                  <c:v>1.1683436846400275E-2</c:v>
                </c:pt>
                <c:pt idx="353">
                  <c:v>1.1706436416662469E-2</c:v>
                </c:pt>
                <c:pt idx="354">
                  <c:v>1.1729435451691028E-2</c:v>
                </c:pt>
                <c:pt idx="355">
                  <c:v>1.1752433951498387E-2</c:v>
                </c:pt>
                <c:pt idx="356">
                  <c:v>1.177543191609709E-2</c:v>
                </c:pt>
                <c:pt idx="357">
                  <c:v>1.1798429345499573E-2</c:v>
                </c:pt>
                <c:pt idx="358">
                  <c:v>1.182142623971838E-2</c:v>
                </c:pt>
                <c:pt idx="359">
                  <c:v>1.1844422598765725E-2</c:v>
                </c:pt>
                <c:pt idx="360">
                  <c:v>1.1867418422654263E-2</c:v>
                </c:pt>
                <c:pt idx="361">
                  <c:v>1.1890413711396319E-2</c:v>
                </c:pt>
                <c:pt idx="362">
                  <c:v>1.1913408465004438E-2</c:v>
                </c:pt>
                <c:pt idx="363">
                  <c:v>1.1936402683491054E-2</c:v>
                </c:pt>
                <c:pt idx="364">
                  <c:v>1.1959396366868713E-2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3.2454425016414525E-2</c:v>
                </c:pt>
                <c:pt idx="1">
                  <c:v>3.2646542871823267E-2</c:v>
                </c:pt>
                <c:pt idx="2">
                  <c:v>3.2838564052249684E-2</c:v>
                </c:pt>
                <c:pt idx="3">
                  <c:v>3.3030476011149827E-2</c:v>
                </c:pt>
                <c:pt idx="4">
                  <c:v>3.3222267837811091E-2</c:v>
                </c:pt>
                <c:pt idx="5">
                  <c:v>3.3413930251482753E-2</c:v>
                </c:pt>
                <c:pt idx="6">
                  <c:v>3.3605455578259898E-2</c:v>
                </c:pt>
                <c:pt idx="7">
                  <c:v>3.3796837711425595E-2</c:v>
                </c:pt>
                <c:pt idx="8">
                  <c:v>3.398807205611537E-2</c:v>
                </c:pt>
                <c:pt idx="9">
                  <c:v>3.4179155459313493E-2</c:v>
                </c:pt>
                <c:pt idx="10">
                  <c:v>3.4370086126328539E-2</c:v>
                </c:pt>
                <c:pt idx="11">
                  <c:v>3.4560863525016021E-2</c:v>
                </c:pt>
                <c:pt idx="12">
                  <c:v>3.4751488279125609E-2</c:v>
                </c:pt>
                <c:pt idx="13">
                  <c:v>3.4941962052242093E-2</c:v>
                </c:pt>
                <c:pt idx="14">
                  <c:v>3.5132287423866537E-2</c:v>
                </c:pt>
                <c:pt idx="15">
                  <c:v>3.5322467759243373E-2</c:v>
                </c:pt>
                <c:pt idx="16">
                  <c:v>3.5512507074581791E-2</c:v>
                </c:pt>
                <c:pt idx="17">
                  <c:v>3.5702409899344603E-2</c:v>
                </c:pt>
                <c:pt idx="18">
                  <c:v>3.5892181137284825E-2</c:v>
                </c:pt>
                <c:pt idx="19">
                  <c:v>3.6081825927899477E-2</c:v>
                </c:pt>
                <c:pt idx="20">
                  <c:v>3.6271349509942714E-2</c:v>
                </c:pt>
                <c:pt idx="21">
                  <c:v>3.6460757088595232E-2</c:v>
                </c:pt>
                <c:pt idx="22">
                  <c:v>3.6650053707825925E-2</c:v>
                </c:pt>
                <c:pt idx="23">
                  <c:v>3.6839244129405313E-2</c:v>
                </c:pt>
                <c:pt idx="24">
                  <c:v>3.7028332719939702E-2</c:v>
                </c:pt>
                <c:pt idx="25">
                  <c:v>3.7217323347189663E-2</c:v>
                </c:pt>
                <c:pt idx="26">
                  <c:v>3.7406219286821182E-2</c:v>
                </c:pt>
                <c:pt idx="27">
                  <c:v>3.7595023140609446E-2</c:v>
                </c:pt>
                <c:pt idx="28">
                  <c:v>3.7783736766979485E-2</c:v>
                </c:pt>
                <c:pt idx="29">
                  <c:v>3.7972361224622983E-2</c:v>
                </c:pt>
                <c:pt idx="30">
                  <c:v>3.8160896729780749E-2</c:v>
                </c:pt>
                <c:pt idx="31">
                  <c:v>3.8349342627624537E-2</c:v>
                </c:pt>
                <c:pt idx="32">
                  <c:v>3.8537697378015622E-2</c:v>
                </c:pt>
                <c:pt idx="33">
                  <c:v>3.8725958555757646E-2</c:v>
                </c:pt>
                <c:pt idx="34">
                  <c:v>3.8914122865304331E-2</c:v>
                </c:pt>
                <c:pt idx="35">
                  <c:v>3.9102186169727063E-2</c:v>
                </c:pt>
                <c:pt idx="36">
                  <c:v>3.9290143533595417E-2</c:v>
                </c:pt>
                <c:pt idx="37">
                  <c:v>3.9477989279279084E-2</c:v>
                </c:pt>
                <c:pt idx="38">
                  <c:v>3.9665717056040349E-2</c:v>
                </c:pt>
                <c:pt idx="39">
                  <c:v>3.9853319921156587E-2</c:v>
                </c:pt>
                <c:pt idx="40">
                  <c:v>4.0040790432193024E-2</c:v>
                </c:pt>
                <c:pt idx="41">
                  <c:v>4.0228120749435971E-2</c:v>
                </c:pt>
                <c:pt idx="42">
                  <c:v>4.04153027474011E-2</c:v>
                </c:pt>
                <c:pt idx="43">
                  <c:v>4.060232813424737E-2</c:v>
                </c:pt>
                <c:pt idx="44">
                  <c:v>4.0789188577857058E-2</c:v>
                </c:pt>
                <c:pt idx="45">
                  <c:v>4.0975875837287637E-2</c:v>
                </c:pt>
                <c:pt idx="46">
                  <c:v>4.1162381898259465E-2</c:v>
                </c:pt>
                <c:pt idx="47">
                  <c:v>4.1348699111319061E-2</c:v>
                </c:pt>
                <c:pt idx="48">
                  <c:v>4.1534820331305608E-2</c:v>
                </c:pt>
                <c:pt idx="49">
                  <c:v>4.1720739056753817E-2</c:v>
                </c:pt>
                <c:pt idx="50">
                  <c:v>4.1906449567885008E-2</c:v>
                </c:pt>
                <c:pt idx="51">
                  <c:v>4.2091947061871374E-2</c:v>
                </c:pt>
                <c:pt idx="52">
                  <c:v>4.2277227784105462E-2</c:v>
                </c:pt>
                <c:pt idx="53">
                  <c:v>4.2462289154267231E-2</c:v>
                </c:pt>
                <c:pt idx="54">
                  <c:v>4.2647129886051578E-2</c:v>
                </c:pt>
                <c:pt idx="55">
                  <c:v>4.2831750099503567E-2</c:v>
                </c:pt>
                <c:pt idx="56">
                  <c:v>4.3016151424999607E-2</c:v>
                </c:pt>
                <c:pt idx="57">
                  <c:v>4.3200337098014852E-2</c:v>
                </c:pt>
                <c:pt idx="58">
                  <c:v>4.3384312043925129E-2</c:v>
                </c:pt>
                <c:pt idx="59">
                  <c:v>4.3568082952205732E-2</c:v>
                </c:pt>
                <c:pt idx="60">
                  <c:v>4.3751658339507574E-2</c:v>
                </c:pt>
                <c:pt idx="61">
                  <c:v>4.3935048601213285E-2</c:v>
                </c:pt>
                <c:pt idx="62">
                  <c:v>4.4118266051197799E-2</c:v>
                </c:pt>
                <c:pt idx="63">
                  <c:v>4.4301324949640605E-2</c:v>
                </c:pt>
                <c:pt idx="64">
                  <c:v>4.4484241518858346E-2</c:v>
                </c:pt>
                <c:pt idx="65">
                  <c:v>4.4667033947243168E-2</c:v>
                </c:pt>
                <c:pt idx="66">
                  <c:v>4.4849722381506849E-2</c:v>
                </c:pt>
                <c:pt idx="67">
                  <c:v>4.5032328907537292E-2</c:v>
                </c:pt>
                <c:pt idx="68">
                  <c:v>4.5214877520274983E-2</c:v>
                </c:pt>
                <c:pt idx="69">
                  <c:v>4.539739408310952E-2</c:v>
                </c:pt>
                <c:pt idx="70">
                  <c:v>4.5579906277379408E-2</c:v>
                </c:pt>
                <c:pt idx="71">
                  <c:v>4.5762443542631329E-2</c:v>
                </c:pt>
                <c:pt idx="72">
                  <c:v>4.5945037008358385E-2</c:v>
                </c:pt>
                <c:pt idx="73">
                  <c:v>4.6127719417986615E-2</c:v>
                </c:pt>
                <c:pt idx="74">
                  <c:v>4.631052504591969E-2</c:v>
                </c:pt>
                <c:pt idx="75">
                  <c:v>4.649348960847776E-2</c:v>
                </c:pt>
                <c:pt idx="76">
                  <c:v>4.6676650169582112E-2</c:v>
                </c:pt>
                <c:pt idx="77">
                  <c:v>4.6860045042039458E-2</c:v>
                </c:pt>
                <c:pt idx="78">
                  <c:v>4.7043713685270695E-2</c:v>
                </c:pt>
                <c:pt idx="79">
                  <c:v>4.7227696600308289E-2</c:v>
                </c:pt>
                <c:pt idx="80">
                  <c:v>4.7412035222853678E-2</c:v>
                </c:pt>
                <c:pt idx="81">
                  <c:v>4.7596771815144642E-2</c:v>
                </c:pt>
                <c:pt idx="82">
                  <c:v>4.7781949357329379E-2</c:v>
                </c:pt>
                <c:pt idx="83">
                  <c:v>4.7967611438983988E-2</c:v>
                </c:pt>
                <c:pt idx="84">
                  <c:v>4.8153802151340977E-2</c:v>
                </c:pt>
                <c:pt idx="85">
                  <c:v>4.8340565980721603E-2</c:v>
                </c:pt>
                <c:pt idx="86">
                  <c:v>4.8527947703583665E-2</c:v>
                </c:pt>
                <c:pt idx="87">
                  <c:v>4.8715992283513289E-2</c:v>
                </c:pt>
                <c:pt idx="88">
                  <c:v>4.890474477040048E-2</c:v>
                </c:pt>
                <c:pt idx="89">
                  <c:v>4.9094250201950587E-2</c:v>
                </c:pt>
                <c:pt idx="90">
                  <c:v>4.9284553507595925E-2</c:v>
                </c:pt>
                <c:pt idx="91">
                  <c:v>4.9475699414783893E-2</c:v>
                </c:pt>
                <c:pt idx="92">
                  <c:v>4.9667732357535244E-2</c:v>
                </c:pt>
                <c:pt idx="93">
                  <c:v>4.9860696387085873E-2</c:v>
                </c:pt>
                <c:pt idx="94">
                  <c:v>5.0054635084352143E-2</c:v>
                </c:pt>
                <c:pt idx="95">
                  <c:v>5.0249591473892047E-2</c:v>
                </c:pt>
                <c:pt idx="96">
                  <c:v>5.0445607938976122E-2</c:v>
                </c:pt>
                <c:pt idx="97">
                  <c:v>5.064272613733152E-2</c:v>
                </c:pt>
                <c:pt idx="98">
                  <c:v>5.0840986917082401E-2</c:v>
                </c:pt>
                <c:pt idx="99">
                  <c:v>5.1040430232380828E-2</c:v>
                </c:pt>
                <c:pt idx="100">
                  <c:v>5.1241095058204046E-2</c:v>
                </c:pt>
                <c:pt idx="101">
                  <c:v>5.1443019303787724E-2</c:v>
                </c:pt>
                <c:pt idx="102">
                  <c:v>5.1646239724171122E-2</c:v>
                </c:pt>
                <c:pt idx="103">
                  <c:v>5.1850791829348514E-2</c:v>
                </c:pt>
                <c:pt idx="104">
                  <c:v>5.2056709790551568E-2</c:v>
                </c:pt>
                <c:pt idx="105">
                  <c:v>5.2264026343230886E-2</c:v>
                </c:pt>
                <c:pt idx="106">
                  <c:v>5.2472772686359477E-2</c:v>
                </c:pt>
                <c:pt idx="107">
                  <c:v>5.2682978377747165E-2</c:v>
                </c:pt>
                <c:pt idx="108">
                  <c:v>5.2894671225131584E-2</c:v>
                </c:pt>
                <c:pt idx="109">
                  <c:v>5.310787717289802E-2</c:v>
                </c:pt>
                <c:pt idx="110">
                  <c:v>5.3322620184376064E-2</c:v>
                </c:pt>
                <c:pt idx="111">
                  <c:v>5.3538922119763625E-2</c:v>
                </c:pt>
                <c:pt idx="112">
                  <c:v>5.3756802609838533E-2</c:v>
                </c:pt>
                <c:pt idx="113">
                  <c:v>5.3976278925732465E-2</c:v>
                </c:pt>
                <c:pt idx="114">
                  <c:v>5.4197365845159932E-2</c:v>
                </c:pt>
                <c:pt idx="115">
                  <c:v>5.4420075515615104E-2</c:v>
                </c:pt>
                <c:pt idx="116">
                  <c:v>5.4644417315169377E-2</c:v>
                </c:pt>
                <c:pt idx="117">
                  <c:v>5.4870397711622713E-2</c:v>
                </c:pt>
                <c:pt idx="118">
                  <c:v>5.5098020120876202E-2</c:v>
                </c:pt>
                <c:pt idx="119">
                  <c:v>5.5327284765506711E-2</c:v>
                </c:pt>
                <c:pt idx="120">
                  <c:v>5.555818853462851E-2</c:v>
                </c:pt>
                <c:pt idx="121">
                  <c:v>5.5790724846223973E-2</c:v>
                </c:pt>
                <c:pt idx="122">
                  <c:v>5.6024883513213844E-2</c:v>
                </c:pt>
                <c:pt idx="123">
                  <c:v>5.6260650614613834E-2</c:v>
                </c:pt>
                <c:pt idx="124">
                  <c:v>5.649800837318792E-2</c:v>
                </c:pt>
                <c:pt idx="125">
                  <c:v>5.6736935041060629E-2</c:v>
                </c:pt>
                <c:pt idx="126">
                  <c:v>5.6977404794784935E-2</c:v>
                </c:pt>
                <c:pt idx="127">
                  <c:v>5.7219387641382638E-2</c:v>
                </c:pt>
                <c:pt idx="128">
                  <c:v>5.7462849336878119E-2</c:v>
                </c:pt>
                <c:pt idx="129">
                  <c:v>5.7707751318830151E-2</c:v>
                </c:pt>
                <c:pt idx="130">
                  <c:v>5.7954050654336946E-2</c:v>
                </c:pt>
                <c:pt idx="131">
                  <c:v>5.8201700004937656E-2</c:v>
                </c:pt>
                <c:pt idx="132">
                  <c:v>5.8450647609766232E-2</c:v>
                </c:pt>
                <c:pt idx="133">
                  <c:v>5.870083728822776E-2</c:v>
                </c:pt>
                <c:pt idx="134">
                  <c:v>5.8952208463362896E-2</c:v>
                </c:pt>
                <c:pt idx="135">
                  <c:v>5.9204696206946433E-2</c:v>
                </c:pt>
                <c:pt idx="136">
                  <c:v>5.9458231307227702E-2</c:v>
                </c:pt>
                <c:pt idx="137">
                  <c:v>5.9712740360070148E-2</c:v>
                </c:pt>
                <c:pt idx="138">
                  <c:v>5.9968145884079595E-2</c:v>
                </c:pt>
                <c:pt idx="139">
                  <c:v>6.0224366460132961E-2</c:v>
                </c:pt>
                <c:pt idx="140">
                  <c:v>6.0481316895528187E-2</c:v>
                </c:pt>
                <c:pt idx="141">
                  <c:v>6.073890841277782E-2</c:v>
                </c:pt>
                <c:pt idx="142">
                  <c:v>6.0997048862860524E-2</c:v>
                </c:pt>
                <c:pt idx="143">
                  <c:v>6.1255642962532532E-2</c:v>
                </c:pt>
                <c:pt idx="144">
                  <c:v>6.1514592555084707E-2</c:v>
                </c:pt>
                <c:pt idx="145">
                  <c:v>6.1773796893713304E-2</c:v>
                </c:pt>
                <c:pt idx="146">
                  <c:v>6.2033152946455179E-2</c:v>
                </c:pt>
                <c:pt idx="147">
                  <c:v>6.2292555721424926E-2</c:v>
                </c:pt>
                <c:pt idx="148">
                  <c:v>6.2551898610882284E-2</c:v>
                </c:pt>
                <c:pt idx="149">
                  <c:v>6.2811073752457577E-2</c:v>
                </c:pt>
                <c:pt idx="150">
                  <c:v>6.3069972405671748E-2</c:v>
                </c:pt>
                <c:pt idx="151">
                  <c:v>6.3328485341708124E-2</c:v>
                </c:pt>
                <c:pt idx="152">
                  <c:v>6.3586503244228196E-2</c:v>
                </c:pt>
                <c:pt idx="153">
                  <c:v>6.3843917118873855E-2</c:v>
                </c:pt>
                <c:pt idx="154">
                  <c:v>6.4100618708968091E-2</c:v>
                </c:pt>
                <c:pt idx="155">
                  <c:v>6.4356500914813028E-2</c:v>
                </c:pt>
                <c:pt idx="156">
                  <c:v>6.4611458213894329E-2</c:v>
                </c:pt>
                <c:pt idx="157">
                  <c:v>6.4865387079231743E-2</c:v>
                </c:pt>
                <c:pt idx="158">
                  <c:v>6.5118186393069988E-2</c:v>
                </c:pt>
                <c:pt idx="159">
                  <c:v>6.5369757853084118E-2</c:v>
                </c:pt>
                <c:pt idx="160">
                  <c:v>6.5620006368276473E-2</c:v>
                </c:pt>
                <c:pt idx="161">
                  <c:v>6.5868840441771478E-2</c:v>
                </c:pt>
                <c:pt idx="162">
                  <c:v>6.6116172537769802E-2</c:v>
                </c:pt>
                <c:pt idx="163">
                  <c:v>6.6361919430002372E-2</c:v>
                </c:pt>
                <c:pt idx="164">
                  <c:v>6.660600252912964E-2</c:v>
                </c:pt>
                <c:pt idx="165">
                  <c:v>6.6848348186660717E-2</c:v>
                </c:pt>
                <c:pt idx="166">
                  <c:v>6.7088887973118946E-2</c:v>
                </c:pt>
                <c:pt idx="167">
                  <c:v>6.7327558928354819E-2</c:v>
                </c:pt>
                <c:pt idx="168">
                  <c:v>6.7564303782102417E-2</c:v>
                </c:pt>
                <c:pt idx="169">
                  <c:v>6.7799071143090167E-2</c:v>
                </c:pt>
                <c:pt idx="170">
                  <c:v>6.8031815655247851E-2</c:v>
                </c:pt>
                <c:pt idx="171">
                  <c:v>6.8262498119799453E-2</c:v>
                </c:pt>
                <c:pt idx="172">
                  <c:v>6.8491085582290223E-2</c:v>
                </c:pt>
                <c:pt idx="173">
                  <c:v>6.8717551383868813E-2</c:v>
                </c:pt>
                <c:pt idx="174">
                  <c:v>6.8941875176422557E-2</c:v>
                </c:pt>
                <c:pt idx="175">
                  <c:v>6.916404290144916E-2</c:v>
                </c:pt>
                <c:pt idx="176">
                  <c:v>6.9384046732836213E-2</c:v>
                </c:pt>
                <c:pt idx="177">
                  <c:v>6.9601884984005449E-2</c:v>
                </c:pt>
                <c:pt idx="178">
                  <c:v>6.9817561980166226E-2</c:v>
                </c:pt>
                <c:pt idx="179">
                  <c:v>7.0031087896699692E-2</c:v>
                </c:pt>
                <c:pt idx="180">
                  <c:v>7.0242478564968291E-2</c:v>
                </c:pt>
                <c:pt idx="181">
                  <c:v>7.0451755247105383E-2</c:v>
                </c:pt>
                <c:pt idx="182">
                  <c:v>7.0658944381586083E-2</c:v>
                </c:pt>
                <c:pt idx="183">
                  <c:v>7.0864077301613634E-2</c:v>
                </c:pt>
                <c:pt idx="184">
                  <c:v>7.1067189928566657E-2</c:v>
                </c:pt>
                <c:pt idx="185">
                  <c:v>7.1268322442947674E-2</c:v>
                </c:pt>
                <c:pt idx="186">
                  <c:v>7.1467518935442148E-2</c:v>
                </c:pt>
                <c:pt idx="187">
                  <c:v>7.166482704084487E-2</c:v>
                </c:pt>
                <c:pt idx="188">
                  <c:v>7.1860297557731656E-2</c:v>
                </c:pt>
                <c:pt idx="189">
                  <c:v>7.2053984056847667E-2</c:v>
                </c:pt>
                <c:pt idx="190">
                  <c:v>7.2245942481251768E-2</c:v>
                </c:pt>
                <c:pt idx="191">
                  <c:v>7.2436230741292573E-2</c:v>
                </c:pt>
                <c:pt idx="192">
                  <c:v>7.262490830750308E-2</c:v>
                </c:pt>
                <c:pt idx="193">
                  <c:v>7.2812035804479022E-2</c:v>
                </c:pt>
                <c:pt idx="194">
                  <c:v>7.2997674608759278E-2</c:v>
                </c:pt>
                <c:pt idx="195">
                  <c:v>7.3181886453648495E-2</c:v>
                </c:pt>
                <c:pt idx="196">
                  <c:v>7.336473304381845E-2</c:v>
                </c:pt>
                <c:pt idx="197">
                  <c:v>7.3546275682393331E-2</c:v>
                </c:pt>
                <c:pt idx="198">
                  <c:v>7.3726574913068388E-2</c:v>
                </c:pt>
                <c:pt idx="199">
                  <c:v>7.39056901796315E-2</c:v>
                </c:pt>
                <c:pt idx="200">
                  <c:v>7.4083679505056579E-2</c:v>
                </c:pt>
                <c:pt idx="201">
                  <c:v>7.42605991921165E-2</c:v>
                </c:pt>
                <c:pt idx="202">
                  <c:v>7.4436503547225058E-2</c:v>
                </c:pt>
                <c:pt idx="203">
                  <c:v>7.4611444628965864E-2</c:v>
                </c:pt>
                <c:pt idx="204">
                  <c:v>7.4785472022499577E-2</c:v>
                </c:pt>
                <c:pt idx="205">
                  <c:v>7.4958632640768602E-2</c:v>
                </c:pt>
                <c:pt idx="206">
                  <c:v>7.5130970553136334E-2</c:v>
                </c:pt>
                <c:pt idx="207">
                  <c:v>7.5302526841815154E-2</c:v>
                </c:pt>
                <c:pt idx="208">
                  <c:v>7.5473339486152785E-2</c:v>
                </c:pt>
                <c:pt idx="209">
                  <c:v>7.5643443274564987E-2</c:v>
                </c:pt>
                <c:pt idx="210">
                  <c:v>7.5812869743626651E-2</c:v>
                </c:pt>
                <c:pt idx="211">
                  <c:v>7.5981647143566103E-2</c:v>
                </c:pt>
                <c:pt idx="212">
                  <c:v>7.6149800429151232E-2</c:v>
                </c:pt>
                <c:pt idx="213">
                  <c:v>7.6317351274715353E-2</c:v>
                </c:pt>
                <c:pt idx="214">
                  <c:v>7.6484318111844835E-2</c:v>
                </c:pt>
                <c:pt idx="215">
                  <c:v>7.6650716188045531E-2</c:v>
                </c:pt>
                <c:pt idx="216">
                  <c:v>7.6816557644522027E-2</c:v>
                </c:pt>
                <c:pt idx="217">
                  <c:v>7.6981851611041402E-2</c:v>
                </c:pt>
                <c:pt idx="218">
                  <c:v>7.7146604315719861E-2</c:v>
                </c:pt>
                <c:pt idx="219">
                  <c:v>7.7310819207460885E-2</c:v>
                </c:pt>
                <c:pt idx="220">
                  <c:v>7.7474497088694014E-2</c:v>
                </c:pt>
                <c:pt idx="221">
                  <c:v>7.7637636256010459E-2</c:v>
                </c:pt>
                <c:pt idx="222">
                  <c:v>7.7800232646270701E-2</c:v>
                </c:pt>
                <c:pt idx="223">
                  <c:v>7.7962279985765354E-2</c:v>
                </c:pt>
                <c:pt idx="224">
                  <c:v>7.8123769940047744E-2</c:v>
                </c:pt>
                <c:pt idx="225">
                  <c:v>7.8284692262122618E-2</c:v>
                </c:pt>
                <c:pt idx="226">
                  <c:v>7.8445034936768951E-2</c:v>
                </c:pt>
                <c:pt idx="227">
                  <c:v>7.8604784318897156E-2</c:v>
                </c:pt>
                <c:pt idx="228">
                  <c:v>7.8763925263987108E-2</c:v>
                </c:pt>
                <c:pt idx="229">
                  <c:v>7.8922441248826469E-2</c:v>
                </c:pt>
                <c:pt idx="230">
                  <c:v>7.9080314480960881E-2</c:v>
                </c:pt>
                <c:pt idx="231">
                  <c:v>7.9237525995483185E-2</c:v>
                </c:pt>
                <c:pt idx="232">
                  <c:v>7.9394055738019068E-2</c:v>
                </c:pt>
                <c:pt idx="233">
                  <c:v>7.9549882633013505E-2</c:v>
                </c:pt>
                <c:pt idx="234">
                  <c:v>7.9704984636680812E-2</c:v>
                </c:pt>
                <c:pt idx="235">
                  <c:v>7.9859338774248834E-2</c:v>
                </c:pt>
                <c:pt idx="236">
                  <c:v>8.0012921161400741E-2</c:v>
                </c:pt>
                <c:pt idx="237">
                  <c:v>8.0165707010094872E-2</c:v>
                </c:pt>
                <c:pt idx="238">
                  <c:v>8.0317670619218004E-2</c:v>
                </c:pt>
                <c:pt idx="239">
                  <c:v>8.0468785350800112E-2</c:v>
                </c:pt>
                <c:pt idx="240">
                  <c:v>8.0619023592781711E-2</c:v>
                </c:pt>
                <c:pt idx="241">
                  <c:v>8.0768356709581088E-2</c:v>
                </c:pt>
                <c:pt idx="242">
                  <c:v>8.091675498194785E-2</c:v>
                </c:pt>
                <c:pt idx="243">
                  <c:v>8.1064187537813789E-2</c:v>
                </c:pt>
                <c:pt idx="244">
                  <c:v>8.121062227605734E-2</c:v>
                </c:pt>
                <c:pt idx="245">
                  <c:v>8.1356025785279201E-2</c:v>
                </c:pt>
                <c:pt idx="246">
                  <c:v>8.1500363259846692E-2</c:v>
                </c:pt>
                <c:pt idx="247">
                  <c:v>8.1643598415593321E-2</c:v>
                </c:pt>
                <c:pt idx="248">
                  <c:v>8.1785693407664964E-2</c:v>
                </c:pt>
                <c:pt idx="249">
                  <c:v>8.192660875307467E-2</c:v>
                </c:pt>
                <c:pt idx="250">
                  <c:v>8.2066303260570142E-2</c:v>
                </c:pt>
                <c:pt idx="251">
                  <c:v>8.2204733970424812E-2</c:v>
                </c:pt>
                <c:pt idx="252">
                  <c:v>8.234185610673983E-2</c:v>
                </c:pt>
                <c:pt idx="253">
                  <c:v>8.2477623044784454E-2</c:v>
                </c:pt>
                <c:pt idx="254">
                  <c:v>8.2611986295811721E-2</c:v>
                </c:pt>
                <c:pt idx="255">
                  <c:v>8.2744895511660907E-2</c:v>
                </c:pt>
                <c:pt idx="256">
                  <c:v>8.2876298511301974E-2</c:v>
                </c:pt>
                <c:pt idx="257">
                  <c:v>8.3006141331289737E-2</c:v>
                </c:pt>
                <c:pt idx="258">
                  <c:v>8.3134368301879646E-2</c:v>
                </c:pt>
                <c:pt idx="259">
                  <c:v>8.3260922150311625E-2</c:v>
                </c:pt>
                <c:pt idx="260">
                  <c:v>8.3385744132501896E-2</c:v>
                </c:pt>
                <c:pt idx="261">
                  <c:v>8.3508774194089141E-2</c:v>
                </c:pt>
                <c:pt idx="262">
                  <c:v>8.3629951161471955E-2</c:v>
                </c:pt>
                <c:pt idx="263">
                  <c:v>8.3749212963146052E-2</c:v>
                </c:pt>
                <c:pt idx="264">
                  <c:v>8.3866496881309635E-2</c:v>
                </c:pt>
                <c:pt idx="265">
                  <c:v>8.398173983335333E-2</c:v>
                </c:pt>
                <c:pt idx="266">
                  <c:v>8.4094878682495641E-2</c:v>
                </c:pt>
                <c:pt idx="267">
                  <c:v>8.4205850576465055E-2</c:v>
                </c:pt>
                <c:pt idx="268">
                  <c:v>8.4314593312770858E-2</c:v>
                </c:pt>
                <c:pt idx="269">
                  <c:v>8.4421045728754876E-2</c:v>
                </c:pt>
                <c:pt idx="270">
                  <c:v>8.4525148114269616E-2</c:v>
                </c:pt>
                <c:pt idx="271">
                  <c:v>8.4626842644500322E-2</c:v>
                </c:pt>
                <c:pt idx="272">
                  <c:v>8.4726073830133919E-2</c:v>
                </c:pt>
                <c:pt idx="273">
                  <c:v>8.4822788981783956E-2</c:v>
                </c:pt>
                <c:pt idx="274">
                  <c:v>8.491693868531186E-2</c:v>
                </c:pt>
                <c:pt idx="275">
                  <c:v>8.5008477284442469E-2</c:v>
                </c:pt>
                <c:pt idx="276">
                  <c:v>8.5097363366858594E-2</c:v>
                </c:pt>
                <c:pt idx="277">
                  <c:v>8.5183560249781048E-2</c:v>
                </c:pt>
                <c:pt idx="278">
                  <c:v>8.5267036460895687E-2</c:v>
                </c:pt>
                <c:pt idx="279">
                  <c:v>8.534776621038298E-2</c:v>
                </c:pt>
                <c:pt idx="280">
                  <c:v>8.5425729849737286E-2</c:v>
                </c:pt>
                <c:pt idx="281">
                  <c:v>8.5500914313037732E-2</c:v>
                </c:pt>
                <c:pt idx="282">
                  <c:v>8.5573313536345466E-2</c:v>
                </c:pt>
                <c:pt idx="283">
                  <c:v>8.5642928850961461E-2</c:v>
                </c:pt>
                <c:pt idx="284">
                  <c:v>8.5709769346375642E-2</c:v>
                </c:pt>
                <c:pt idx="285">
                  <c:v>8.5773852198882491E-2</c:v>
                </c:pt>
                <c:pt idx="286">
                  <c:v>8.5835202962019047E-2</c:v>
                </c:pt>
                <c:pt idx="287">
                  <c:v>8.5893855815205866E-2</c:v>
                </c:pt>
                <c:pt idx="288">
                  <c:v>8.5949853767232548E-2</c:v>
                </c:pt>
                <c:pt idx="289">
                  <c:v>8.600324881152957E-2</c:v>
                </c:pt>
                <c:pt idx="290">
                  <c:v>8.6054102030500609E-2</c:v>
                </c:pt>
                <c:pt idx="291">
                  <c:v>8.6102483646555067E-2</c:v>
                </c:pt>
                <c:pt idx="292">
                  <c:v>8.6148473017875607E-2</c:v>
                </c:pt>
                <c:pt idx="293">
                  <c:v>8.6192158577373515E-2</c:v>
                </c:pt>
                <c:pt idx="294">
                  <c:v>8.6233637713727676E-2</c:v>
                </c:pt>
                <c:pt idx="295">
                  <c:v>8.6273016593861496E-2</c:v>
                </c:pt>
                <c:pt idx="296">
                  <c:v>8.63104099266849E-2</c:v>
                </c:pt>
                <c:pt idx="297">
                  <c:v>8.634594066841253E-2</c:v>
                </c:pt>
                <c:pt idx="298">
                  <c:v>8.6379739670255293E-2</c:v>
                </c:pt>
                <c:pt idx="299">
                  <c:v>8.6411945269772097E-2</c:v>
                </c:pt>
                <c:pt idx="300">
                  <c:v>8.6442702827652151E-2</c:v>
                </c:pt>
                <c:pt idx="301">
                  <c:v>8.6472164212174032E-2</c:v>
                </c:pt>
                <c:pt idx="302">
                  <c:v>8.650048723405046E-2</c:v>
                </c:pt>
                <c:pt idx="303">
                  <c:v>8.6527835034812414E-2</c:v>
                </c:pt>
                <c:pt idx="304">
                  <c:v>8.6554375432309885E-2</c:v>
                </c:pt>
                <c:pt idx="305">
                  <c:v>8.6580280227302672E-2</c:v>
                </c:pt>
                <c:pt idx="306">
                  <c:v>8.660572447548337E-2</c:v>
                </c:pt>
                <c:pt idx="307">
                  <c:v>8.6630885729606102E-2</c:v>
                </c:pt>
                <c:pt idx="308">
                  <c:v>8.6655943256693194E-2</c:v>
                </c:pt>
                <c:pt idx="309">
                  <c:v>8.668107723554716E-2</c:v>
                </c:pt>
                <c:pt idx="310">
                  <c:v>8.6706467940009316E-2</c:v>
                </c:pt>
                <c:pt idx="311">
                  <c:v>8.6732294913575994E-2</c:v>
                </c:pt>
                <c:pt idx="312">
                  <c:v>8.6758736141103715E-2</c:v>
                </c:pt>
                <c:pt idx="313">
                  <c:v>8.6785967223410004E-2</c:v>
                </c:pt>
                <c:pt idx="314">
                  <c:v>8.6814160560598583E-2</c:v>
                </c:pt>
                <c:pt idx="315">
                  <c:v>8.6843484549914432E-2</c:v>
                </c:pt>
                <c:pt idx="316">
                  <c:v>8.6874102803856545E-2</c:v>
                </c:pt>
                <c:pt idx="317">
                  <c:v>8.6906173394151964E-2</c:v>
                </c:pt>
                <c:pt idx="318">
                  <c:v>8.6939848127020922E-2</c:v>
                </c:pt>
                <c:pt idx="319">
                  <c:v>8.6975271854941846E-2</c:v>
                </c:pt>
                <c:pt idx="320">
                  <c:v>8.7012581829857411E-2</c:v>
                </c:pt>
                <c:pt idx="321">
                  <c:v>8.7051907102454418E-2</c:v>
                </c:pt>
                <c:pt idx="322">
                  <c:v>8.709336797179848E-2</c:v>
                </c:pt>
                <c:pt idx="323">
                  <c:v>8.7137075489216662E-2</c:v>
                </c:pt>
                <c:pt idx="324">
                  <c:v>8.7183131019899107E-2</c:v>
                </c:pt>
                <c:pt idx="325">
                  <c:v>8.7231625865237292E-2</c:v>
                </c:pt>
                <c:pt idx="326">
                  <c:v>8.7282640948437656E-2</c:v>
                </c:pt>
                <c:pt idx="327">
                  <c:v>8.7336246565447376E-2</c:v>
                </c:pt>
                <c:pt idx="328">
                  <c:v>8.739250220271029E-2</c:v>
                </c:pt>
                <c:pt idx="329">
                  <c:v>8.745145642273866E-2</c:v>
                </c:pt>
                <c:pt idx="330">
                  <c:v>8.7513146817945198E-2</c:v>
                </c:pt>
                <c:pt idx="331">
                  <c:v>8.7577600032638106E-2</c:v>
                </c:pt>
                <c:pt idx="332">
                  <c:v>8.7644831852536742E-2</c:v>
                </c:pt>
                <c:pt idx="333">
                  <c:v>8.7714847360633022E-2</c:v>
                </c:pt>
                <c:pt idx="334">
                  <c:v>8.7787641157696564E-2</c:v>
                </c:pt>
                <c:pt idx="335">
                  <c:v>8.7863197645215455E-2</c:v>
                </c:pt>
                <c:pt idx="336">
                  <c:v>8.794149136807497E-2</c:v>
                </c:pt>
                <c:pt idx="337">
                  <c:v>8.8022487413816089E-2</c:v>
                </c:pt>
                <c:pt idx="338">
                  <c:v>8.8106141864879681E-2</c:v>
                </c:pt>
                <c:pt idx="339">
                  <c:v>8.8192402299844347E-2</c:v>
                </c:pt>
                <c:pt idx="340">
                  <c:v>8.8281208339299935E-2</c:v>
                </c:pt>
                <c:pt idx="341">
                  <c:v>8.8372492231676161E-2</c:v>
                </c:pt>
                <c:pt idx="342">
                  <c:v>8.8466179474062684E-2</c:v>
                </c:pt>
                <c:pt idx="343">
                  <c:v>8.8562189462822322E-2</c:v>
                </c:pt>
                <c:pt idx="344">
                  <c:v>8.8660436168607665E-2</c:v>
                </c:pt>
                <c:pt idx="345">
                  <c:v>8.8760828830250826E-2</c:v>
                </c:pt>
                <c:pt idx="346">
                  <c:v>8.8863272661904913E-2</c:v>
                </c:pt>
                <c:pt idx="347">
                  <c:v>8.8967669567773147E-2</c:v>
                </c:pt>
                <c:pt idx="348">
                  <c:v>8.9073918858770765E-2</c:v>
                </c:pt>
                <c:pt idx="349">
                  <c:v>8.9181917965523494E-2</c:v>
                </c:pt>
                <c:pt idx="350">
                  <c:v>8.9291563142212788E-2</c:v>
                </c:pt>
                <c:pt idx="351">
                  <c:v>8.9402750155934269E-2</c:v>
                </c:pt>
                <c:pt idx="352">
                  <c:v>8.9515374956435828E-2</c:v>
                </c:pt>
                <c:pt idx="353">
                  <c:v>8.9629334321347107E-2</c:v>
                </c:pt>
                <c:pt idx="354">
                  <c:v>8.9744526472297526E-2</c:v>
                </c:pt>
                <c:pt idx="355">
                  <c:v>8.9860851657644403E-2</c:v>
                </c:pt>
                <c:pt idx="356">
                  <c:v>8.9978212697891607E-2</c:v>
                </c:pt>
                <c:pt idx="357">
                  <c:v>9.0096515490268592E-2</c:v>
                </c:pt>
                <c:pt idx="358">
                  <c:v>9.021566946935812E-2</c:v>
                </c:pt>
                <c:pt idx="359">
                  <c:v>9.0335588021100935E-2</c:v>
                </c:pt>
                <c:pt idx="360">
                  <c:v>9.0456188847965205E-2</c:v>
                </c:pt>
                <c:pt idx="361">
                  <c:v>9.0577394283542015E-2</c:v>
                </c:pt>
                <c:pt idx="362">
                  <c:v>9.0699131555312867E-2</c:v>
                </c:pt>
                <c:pt idx="363">
                  <c:v>9.0821332994822007E-2</c:v>
                </c:pt>
                <c:pt idx="364">
                  <c:v>9.094393619497694E-2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1.0474517149383281E-2</c:v>
                </c:pt>
                <c:pt idx="1">
                  <c:v>1.0477922072465014E-2</c:v>
                </c:pt>
                <c:pt idx="2">
                  <c:v>1.0483625318922557E-2</c:v>
                </c:pt>
                <c:pt idx="3">
                  <c:v>1.0491698096403499E-2</c:v>
                </c:pt>
                <c:pt idx="4">
                  <c:v>1.0502202977157465E-2</c:v>
                </c:pt>
                <c:pt idx="5">
                  <c:v>1.0515194116666154E-2</c:v>
                </c:pt>
                <c:pt idx="6">
                  <c:v>1.0530717527702486E-2</c:v>
                </c:pt>
                <c:pt idx="7">
                  <c:v>1.0548811403351382E-2</c:v>
                </c:pt>
                <c:pt idx="8">
                  <c:v>1.0568299669441516E-2</c:v>
                </c:pt>
                <c:pt idx="9">
                  <c:v>1.0581495079945666E-2</c:v>
                </c:pt>
                <c:pt idx="10">
                  <c:v>1.0585691309351339E-2</c:v>
                </c:pt>
                <c:pt idx="11">
                  <c:v>1.058150423579585E-2</c:v>
                </c:pt>
                <c:pt idx="12">
                  <c:v>1.0569546901398427E-2</c:v>
                </c:pt>
                <c:pt idx="13">
                  <c:v>1.0550424181681946E-2</c:v>
                </c:pt>
                <c:pt idx="14">
                  <c:v>1.0524728273704041E-2</c:v>
                </c:pt>
                <c:pt idx="15">
                  <c:v>1.047043091649867E-2</c:v>
                </c:pt>
                <c:pt idx="16">
                  <c:v>1.0385709861354014E-2</c:v>
                </c:pt>
                <c:pt idx="17">
                  <c:v>1.0271995387355249E-2</c:v>
                </c:pt>
                <c:pt idx="18">
                  <c:v>1.0130683855036071E-2</c:v>
                </c:pt>
                <c:pt idx="19">
                  <c:v>9.9631836655433275E-3</c:v>
                </c:pt>
                <c:pt idx="20">
                  <c:v>9.7708720823540037E-3</c:v>
                </c:pt>
                <c:pt idx="21">
                  <c:v>9.5550194564285248E-3</c:v>
                </c:pt>
                <c:pt idx="22">
                  <c:v>9.3158164499340182E-3</c:v>
                </c:pt>
                <c:pt idx="23">
                  <c:v>9.0397182528588992E-3</c:v>
                </c:pt>
                <c:pt idx="24">
                  <c:v>8.7340450599202469E-3</c:v>
                </c:pt>
                <c:pt idx="25">
                  <c:v>8.4002220904562577E-3</c:v>
                </c:pt>
                <c:pt idx="26">
                  <c:v>8.0396285866708647E-3</c:v>
                </c:pt>
                <c:pt idx="27">
                  <c:v>7.6535933921909232E-3</c:v>
                </c:pt>
                <c:pt idx="28">
                  <c:v>7.2433913608669917E-3</c:v>
                </c:pt>
                <c:pt idx="29">
                  <c:v>6.8207022361035773E-3</c:v>
                </c:pt>
                <c:pt idx="30">
                  <c:v>6.4051353315708916E-3</c:v>
                </c:pt>
                <c:pt idx="31">
                  <c:v>5.9967069569276743E-3</c:v>
                </c:pt>
                <c:pt idx="32">
                  <c:v>5.5954041791633604E-3</c:v>
                </c:pt>
                <c:pt idx="33">
                  <c:v>5.2011874576222174E-3</c:v>
                </c:pt>
                <c:pt idx="34">
                  <c:v>4.813993131556304E-3</c:v>
                </c:pt>
                <c:pt idx="35">
                  <c:v>4.4337357505731586E-3</c:v>
                </c:pt>
                <c:pt idx="36">
                  <c:v>4.0602245956173882E-3</c:v>
                </c:pt>
                <c:pt idx="37">
                  <c:v>3.7079395773404957E-3</c:v>
                </c:pt>
                <c:pt idx="38">
                  <c:v>3.3876174975197631E-3</c:v>
                </c:pt>
                <c:pt idx="39">
                  <c:v>3.0982074608367611E-3</c:v>
                </c:pt>
                <c:pt idx="40">
                  <c:v>2.8386915813859428E-3</c:v>
                </c:pt>
                <c:pt idx="41">
                  <c:v>2.6080834437745594E-3</c:v>
                </c:pt>
                <c:pt idx="42">
                  <c:v>2.4054266974209977E-3</c:v>
                </c:pt>
                <c:pt idx="43">
                  <c:v>2.2346482445076516E-3</c:v>
                </c:pt>
                <c:pt idx="44">
                  <c:v>2.08596609479032E-3</c:v>
                </c:pt>
                <c:pt idx="45">
                  <c:v>1.9586481603288152E-3</c:v>
                </c:pt>
                <c:pt idx="46">
                  <c:v>1.8519837890229049E-3</c:v>
                </c:pt>
                <c:pt idx="47">
                  <c:v>1.7652830036030992E-3</c:v>
                </c:pt>
                <c:pt idx="48">
                  <c:v>1.6978758086623692E-3</c:v>
                </c:pt>
                <c:pt idx="49">
                  <c:v>1.6491115583581958E-3</c:v>
                </c:pt>
                <c:pt idx="50">
                  <c:v>1.6183251111739996E-3</c:v>
                </c:pt>
                <c:pt idx="51">
                  <c:v>1.6051114024263568E-3</c:v>
                </c:pt>
                <c:pt idx="52">
                  <c:v>1.5965960792482003E-3</c:v>
                </c:pt>
                <c:pt idx="53">
                  <c:v>1.5926346450621861E-3</c:v>
                </c:pt>
                <c:pt idx="54">
                  <c:v>1.5930936284562569E-3</c:v>
                </c:pt>
                <c:pt idx="55">
                  <c:v>1.5978431438360067E-3</c:v>
                </c:pt>
                <c:pt idx="56">
                  <c:v>1.6067573957362757E-3</c:v>
                </c:pt>
                <c:pt idx="57">
                  <c:v>1.6193913177486715E-3</c:v>
                </c:pt>
                <c:pt idx="58">
                  <c:v>1.6315667661511743E-3</c:v>
                </c:pt>
                <c:pt idx="59">
                  <c:v>1.6433197824176748E-3</c:v>
                </c:pt>
                <c:pt idx="60">
                  <c:v>1.6546855481258521E-3</c:v>
                </c:pt>
                <c:pt idx="61">
                  <c:v>1.6656983743507162E-3</c:v>
                </c:pt>
                <c:pt idx="62">
                  <c:v>1.6763917003026466E-3</c:v>
                </c:pt>
                <c:pt idx="63">
                  <c:v>1.6867981006966203E-3</c:v>
                </c:pt>
                <c:pt idx="64">
                  <c:v>1.69683914747182E-3</c:v>
                </c:pt>
                <c:pt idx="65">
                  <c:v>1.705519623389903E-3</c:v>
                </c:pt>
                <c:pt idx="66">
                  <c:v>1.7127244608376693E-3</c:v>
                </c:pt>
                <c:pt idx="67">
                  <c:v>1.7185297589606785E-3</c:v>
                </c:pt>
                <c:pt idx="68">
                  <c:v>1.723009257524552E-3</c:v>
                </c:pt>
                <c:pt idx="69">
                  <c:v>1.7262341936877714E-3</c:v>
                </c:pt>
                <c:pt idx="70">
                  <c:v>1.7282731925347865E-3</c:v>
                </c:pt>
                <c:pt idx="71">
                  <c:v>1.7278446771275531E-3</c:v>
                </c:pt>
                <c:pt idx="72">
                  <c:v>1.7253275222539606E-3</c:v>
                </c:pt>
                <c:pt idx="73">
                  <c:v>1.7208115770345788E-3</c:v>
                </c:pt>
                <c:pt idx="74">
                  <c:v>1.714382147903511E-3</c:v>
                </c:pt>
                <c:pt idx="75">
                  <c:v>1.7061199433009923E-3</c:v>
                </c:pt>
                <c:pt idx="76">
                  <c:v>1.6961010426375621E-3</c:v>
                </c:pt>
                <c:pt idx="77">
                  <c:v>1.6843968854275827E-3</c:v>
                </c:pt>
                <c:pt idx="78">
                  <c:v>1.6709431895961734E-3</c:v>
                </c:pt>
                <c:pt idx="79">
                  <c:v>1.6548534773991516E-3</c:v>
                </c:pt>
                <c:pt idx="80">
                  <c:v>1.6370347493694089E-3</c:v>
                </c:pt>
                <c:pt idx="81">
                  <c:v>1.6175628599203033E-3</c:v>
                </c:pt>
                <c:pt idx="82">
                  <c:v>1.5965088779941702E-3</c:v>
                </c:pt>
                <c:pt idx="83">
                  <c:v>1.573938982050743E-3</c:v>
                </c:pt>
                <c:pt idx="84">
                  <c:v>1.5499143836414952E-3</c:v>
                </c:pt>
                <c:pt idx="85">
                  <c:v>1.5239228303103914E-3</c:v>
                </c:pt>
                <c:pt idx="86">
                  <c:v>1.4972120533215745E-3</c:v>
                </c:pt>
                <c:pt idx="87">
                  <c:v>1.4698143468878113E-3</c:v>
                </c:pt>
                <c:pt idx="88">
                  <c:v>1.4417580197331286E-3</c:v>
                </c:pt>
                <c:pt idx="89">
                  <c:v>1.4130674504538386E-3</c:v>
                </c:pt>
                <c:pt idx="90">
                  <c:v>1.3837631408221539E-3</c:v>
                </c:pt>
                <c:pt idx="91">
                  <c:v>1.3538617662422747E-3</c:v>
                </c:pt>
                <c:pt idx="92">
                  <c:v>1.3233011855475867E-3</c:v>
                </c:pt>
                <c:pt idx="93">
                  <c:v>1.2915702363665723E-3</c:v>
                </c:pt>
                <c:pt idx="94">
                  <c:v>1.2594377698210404E-3</c:v>
                </c:pt>
                <c:pt idx="95">
                  <c:v>1.2269034257568505E-3</c:v>
                </c:pt>
                <c:pt idx="96">
                  <c:v>1.1939652285135102E-3</c:v>
                </c:pt>
                <c:pt idx="97">
                  <c:v>1.1606195906595786E-3</c:v>
                </c:pt>
                <c:pt idx="98">
                  <c:v>1.1268613139890176E-3</c:v>
                </c:pt>
                <c:pt idx="99">
                  <c:v>1.0927051582999188E-3</c:v>
                </c:pt>
                <c:pt idx="100">
                  <c:v>1.0586645032132145E-3</c:v>
                </c:pt>
                <c:pt idx="101">
                  <c:v>1.0247231389643591E-3</c:v>
                </c:pt>
                <c:pt idx="102">
                  <c:v>9.9086406905847329E-4</c:v>
                </c:pt>
                <c:pt idx="103">
                  <c:v>9.5706950474437179E-4</c:v>
                </c:pt>
                <c:pt idx="104">
                  <c:v>9.2332085612976359E-4</c:v>
                </c:pt>
                <c:pt idx="105">
                  <c:v>8.8959872090919737E-4</c:v>
                </c:pt>
                <c:pt idx="106">
                  <c:v>8.5585952481143134E-4</c:v>
                </c:pt>
                <c:pt idx="107">
                  <c:v>8.2187204530920275E-4</c:v>
                </c:pt>
                <c:pt idx="108">
                  <c:v>7.8804266426576997E-4</c:v>
                </c:pt>
                <c:pt idx="109">
                  <c:v>7.543531571535954E-4</c:v>
                </c:pt>
                <c:pt idx="110">
                  <c:v>7.2078665049741739E-4</c:v>
                </c:pt>
                <c:pt idx="111">
                  <c:v>6.8732523831357712E-4</c:v>
                </c:pt>
                <c:pt idx="112">
                  <c:v>6.539480872041829E-4</c:v>
                </c:pt>
                <c:pt idx="113">
                  <c:v>6.2106843403652093E-4</c:v>
                </c:pt>
                <c:pt idx="114">
                  <c:v>5.886423688902403E-4</c:v>
                </c:pt>
                <c:pt idx="115">
                  <c:v>5.5664679189662298E-4</c:v>
                </c:pt>
                <c:pt idx="116">
                  <c:v>5.2505853246875335E-4</c:v>
                </c:pt>
                <c:pt idx="117">
                  <c:v>4.9429207984293556E-4</c:v>
                </c:pt>
                <c:pt idx="118">
                  <c:v>4.6479440296764844E-4</c:v>
                </c:pt>
                <c:pt idx="119">
                  <c:v>4.3553002931060353E-4</c:v>
                </c:pt>
                <c:pt idx="120">
                  <c:v>4.064741944448202E-4</c:v>
                </c:pt>
                <c:pt idx="121">
                  <c:v>3.7864488341055822E-4</c:v>
                </c:pt>
                <c:pt idx="122">
                  <c:v>3.5221668798101344E-4</c:v>
                </c:pt>
                <c:pt idx="123">
                  <c:v>3.2717645593334082E-4</c:v>
                </c:pt>
                <c:pt idx="124">
                  <c:v>3.0351451751439566E-4</c:v>
                </c:pt>
                <c:pt idx="125">
                  <c:v>2.812245635002385E-4</c:v>
                </c:pt>
                <c:pt idx="126">
                  <c:v>2.6030353059719479E-4</c:v>
                </c:pt>
                <c:pt idx="127">
                  <c:v>2.4113893461953767E-4</c:v>
                </c:pt>
                <c:pt idx="128">
                  <c:v>2.2328198406604841E-4</c:v>
                </c:pt>
                <c:pt idx="129">
                  <c:v>2.0673734917732323E-4</c:v>
                </c:pt>
                <c:pt idx="130">
                  <c:v>1.9151239112632907E-4</c:v>
                </c:pt>
                <c:pt idx="131">
                  <c:v>1.7761706321701938E-4</c:v>
                </c:pt>
                <c:pt idx="132">
                  <c:v>1.6506381019985357E-4</c:v>
                </c:pt>
                <c:pt idx="133">
                  <c:v>1.5386746441965006E-4</c:v>
                </c:pt>
                <c:pt idx="134">
                  <c:v>1.4404933475540421E-4</c:v>
                </c:pt>
                <c:pt idx="135">
                  <c:v>1.3575913398457539E-4</c:v>
                </c:pt>
                <c:pt idx="136">
                  <c:v>1.2789230975110817E-4</c:v>
                </c:pt>
                <c:pt idx="137">
                  <c:v>1.2044904752870954E-4</c:v>
                </c:pt>
                <c:pt idx="138">
                  <c:v>1.1343042452030383E-4</c:v>
                </c:pt>
                <c:pt idx="139">
                  <c:v>1.0683838553008661E-4</c:v>
                </c:pt>
                <c:pt idx="140">
                  <c:v>1.0067571804203651E-4</c:v>
                </c:pt>
                <c:pt idx="141">
                  <c:v>9.5185989741803005E-5</c:v>
                </c:pt>
                <c:pt idx="142">
                  <c:v>8.9946283122915556E-5</c:v>
                </c:pt>
                <c:pt idx="143">
                  <c:v>8.4956654893532027E-5</c:v>
                </c:pt>
                <c:pt idx="144">
                  <c:v>8.0218242380790172E-5</c:v>
                </c:pt>
                <c:pt idx="145">
                  <c:v>7.5732647309176623E-5</c:v>
                </c:pt>
                <c:pt idx="146">
                  <c:v>7.1501924681458768E-5</c:v>
                </c:pt>
                <c:pt idx="147">
                  <c:v>6.7528570446205634E-5</c:v>
                </c:pt>
                <c:pt idx="148">
                  <c:v>6.3816821705503892E-5</c:v>
                </c:pt>
                <c:pt idx="149">
                  <c:v>6.0528491309528137E-5</c:v>
                </c:pt>
                <c:pt idx="150">
                  <c:v>5.7551814589444988E-5</c:v>
                </c:pt>
                <c:pt idx="151">
                  <c:v>5.4899103904916027E-5</c:v>
                </c:pt>
                <c:pt idx="152">
                  <c:v>5.2583191050906379E-5</c:v>
                </c:pt>
                <c:pt idx="153">
                  <c:v>5.0617394259465969E-5</c:v>
                </c:pt>
                <c:pt idx="154">
                  <c:v>4.9015482860972219E-5</c:v>
                </c:pt>
                <c:pt idx="155">
                  <c:v>4.783809107420046E-5</c:v>
                </c:pt>
                <c:pt idx="156">
                  <c:v>4.6825772848032892E-5</c:v>
                </c:pt>
                <c:pt idx="157">
                  <c:v>4.5986993136804054E-5</c:v>
                </c:pt>
                <c:pt idx="158">
                  <c:v>4.5330410999666221E-5</c:v>
                </c:pt>
                <c:pt idx="159">
                  <c:v>4.4864855482405831E-5</c:v>
                </c:pt>
                <c:pt idx="160">
                  <c:v>4.4599300582914771E-5</c:v>
                </c:pt>
                <c:pt idx="161">
                  <c:v>4.4542839421704321E-5</c:v>
                </c:pt>
                <c:pt idx="162">
                  <c:v>4.4705383239666997E-5</c:v>
                </c:pt>
                <c:pt idx="163">
                  <c:v>4.5074139186772136E-5</c:v>
                </c:pt>
                <c:pt idx="164">
                  <c:v>4.54617946160653E-5</c:v>
                </c:pt>
                <c:pt idx="165">
                  <c:v>4.5870133589782993E-5</c:v>
                </c:pt>
                <c:pt idx="166">
                  <c:v>4.6300950117138598E-5</c:v>
                </c:pt>
                <c:pt idx="167">
                  <c:v>4.6756043972939172E-5</c:v>
                </c:pt>
                <c:pt idx="168">
                  <c:v>4.7237216509608224E-5</c:v>
                </c:pt>
                <c:pt idx="169">
                  <c:v>4.7724650104258389E-5</c:v>
                </c:pt>
                <c:pt idx="170">
                  <c:v>4.8167175610575474E-5</c:v>
                </c:pt>
                <c:pt idx="171">
                  <c:v>4.8565679471614898E-5</c:v>
                </c:pt>
                <c:pt idx="172">
                  <c:v>4.8921021121725877E-5</c:v>
                </c:pt>
                <c:pt idx="173">
                  <c:v>4.923352856840015E-5</c:v>
                </c:pt>
                <c:pt idx="174">
                  <c:v>4.9503463072694079E-5</c:v>
                </c:pt>
                <c:pt idx="175">
                  <c:v>4.9731543965536984E-5</c:v>
                </c:pt>
                <c:pt idx="176">
                  <c:v>4.9918523065811793E-5</c:v>
                </c:pt>
                <c:pt idx="177">
                  <c:v>5.0122203035824988E-5</c:v>
                </c:pt>
                <c:pt idx="178">
                  <c:v>5.0364988989809651E-5</c:v>
                </c:pt>
                <c:pt idx="179">
                  <c:v>5.0648726853949791E-5</c:v>
                </c:pt>
                <c:pt idx="180">
                  <c:v>5.0975234215486834E-5</c:v>
                </c:pt>
                <c:pt idx="181">
                  <c:v>5.134630042219355E-5</c:v>
                </c:pt>
                <c:pt idx="182">
                  <c:v>5.1763687123461772E-5</c:v>
                </c:pt>
                <c:pt idx="183">
                  <c:v>5.2476814448272682E-5</c:v>
                </c:pt>
                <c:pt idx="184">
                  <c:v>5.3513853312849208E-5</c:v>
                </c:pt>
                <c:pt idx="185">
                  <c:v>5.4883299050703529E-5</c:v>
                </c:pt>
                <c:pt idx="186">
                  <c:v>5.6593529595755621E-5</c:v>
                </c:pt>
                <c:pt idx="187">
                  <c:v>5.865281945132441E-5</c:v>
                </c:pt>
                <c:pt idx="188">
                  <c:v>6.1069355893366326E-5</c:v>
                </c:pt>
                <c:pt idx="189">
                  <c:v>6.385125737358262E-5</c:v>
                </c:pt>
                <c:pt idx="190">
                  <c:v>6.7006514154901558E-5</c:v>
                </c:pt>
                <c:pt idx="191">
                  <c:v>7.0909990283521141E-5</c:v>
                </c:pt>
                <c:pt idx="192">
                  <c:v>7.5512965934858756E-5</c:v>
                </c:pt>
                <c:pt idx="193">
                  <c:v>8.0828732167881329E-5</c:v>
                </c:pt>
                <c:pt idx="194">
                  <c:v>8.6870408530404221E-5</c:v>
                </c:pt>
                <c:pt idx="195">
                  <c:v>9.3650936277691065E-5</c:v>
                </c:pt>
                <c:pt idx="196">
                  <c:v>1.0118307213400693E-4</c:v>
                </c:pt>
                <c:pt idx="197">
                  <c:v>1.0959922283497452E-4</c:v>
                </c:pt>
                <c:pt idx="198">
                  <c:v>1.1862968627249636E-4</c:v>
                </c:pt>
                <c:pt idx="199">
                  <c:v>1.2828061356010773E-4</c:v>
                </c:pt>
                <c:pt idx="200">
                  <c:v>1.385581181016125E-4</c:v>
                </c:pt>
                <c:pt idx="201">
                  <c:v>1.4946826847757094E-4</c:v>
                </c:pt>
                <c:pt idx="202">
                  <c:v>1.6101708078284049E-4</c:v>
                </c:pt>
                <c:pt idx="203">
                  <c:v>1.7321051035644634E-4</c:v>
                </c:pt>
                <c:pt idx="204">
                  <c:v>1.8605437124833094E-4</c:v>
                </c:pt>
                <c:pt idx="205">
                  <c:v>2.0026857482519702E-4</c:v>
                </c:pt>
                <c:pt idx="206">
                  <c:v>2.1546980769762049E-4</c:v>
                </c:pt>
                <c:pt idx="207">
                  <c:v>2.3167088885998121E-4</c:v>
                </c:pt>
                <c:pt idx="208">
                  <c:v>2.488849885841432E-4</c:v>
                </c:pt>
                <c:pt idx="209">
                  <c:v>2.6712568855352626E-4</c:v>
                </c:pt>
                <c:pt idx="210">
                  <c:v>2.864070440705871E-4</c:v>
                </c:pt>
                <c:pt idx="211">
                  <c:v>3.0862502656784914E-4</c:v>
                </c:pt>
                <c:pt idx="212">
                  <c:v>3.3370106670981979E-4</c:v>
                </c:pt>
                <c:pt idx="213">
                  <c:v>3.6167974872300108E-4</c:v>
                </c:pt>
                <c:pt idx="214">
                  <c:v>3.9260672061802694E-4</c:v>
                </c:pt>
                <c:pt idx="215">
                  <c:v>4.2652889184272561E-4</c:v>
                </c:pt>
                <c:pt idx="216">
                  <c:v>4.6349463879610293E-4</c:v>
                </c:pt>
                <c:pt idx="217">
                  <c:v>5.035540186733436E-4</c:v>
                </c:pt>
                <c:pt idx="218">
                  <c:v>5.467446368257789E-4</c:v>
                </c:pt>
                <c:pt idx="219">
                  <c:v>5.9402255384224262E-4</c:v>
                </c:pt>
                <c:pt idx="220">
                  <c:v>6.4467933762404775E-4</c:v>
                </c:pt>
                <c:pt idx="221">
                  <c:v>6.9877082601394326E-4</c:v>
                </c:pt>
                <c:pt idx="222">
                  <c:v>7.5635563623155432E-4</c:v>
                </c:pt>
                <c:pt idx="223">
                  <c:v>8.1749555432066728E-4</c:v>
                </c:pt>
                <c:pt idx="224">
                  <c:v>8.8225594373641668E-4</c:v>
                </c:pt>
                <c:pt idx="225">
                  <c:v>9.5024263700080444E-4</c:v>
                </c:pt>
                <c:pt idx="226">
                  <c:v>1.0194861070724765E-3</c:v>
                </c:pt>
                <c:pt idx="227">
                  <c:v>1.0900233427824453E-3</c:v>
                </c:pt>
                <c:pt idx="228">
                  <c:v>1.1618951262726612E-3</c:v>
                </c:pt>
                <c:pt idx="229">
                  <c:v>1.2351462534196855E-3</c:v>
                </c:pt>
                <c:pt idx="230">
                  <c:v>1.3098257724172295E-3</c:v>
                </c:pt>
                <c:pt idx="231">
                  <c:v>1.3859872433008436E-3</c:v>
                </c:pt>
                <c:pt idx="232">
                  <c:v>1.4636464225002172E-3</c:v>
                </c:pt>
                <c:pt idx="233">
                  <c:v>1.5421612210079285E-3</c:v>
                </c:pt>
                <c:pt idx="234">
                  <c:v>1.6205605337847931E-3</c:v>
                </c:pt>
                <c:pt idx="235">
                  <c:v>1.6988608680508668E-3</c:v>
                </c:pt>
                <c:pt idx="236">
                  <c:v>1.7770817860523198E-3</c:v>
                </c:pt>
                <c:pt idx="237">
                  <c:v>1.8552442690047825E-3</c:v>
                </c:pt>
                <c:pt idx="238">
                  <c:v>1.9333717548190308E-3</c:v>
                </c:pt>
                <c:pt idx="239">
                  <c:v>2.0104257943348216E-3</c:v>
                </c:pt>
                <c:pt idx="240">
                  <c:v>2.0869221617076028E-3</c:v>
                </c:pt>
                <c:pt idx="241">
                  <c:v>2.1628795729804451E-3</c:v>
                </c:pt>
                <c:pt idx="242">
                  <c:v>2.2383187715163495E-3</c:v>
                </c:pt>
                <c:pt idx="243">
                  <c:v>2.3132625509936426E-3</c:v>
                </c:pt>
                <c:pt idx="244">
                  <c:v>2.3877357868857022E-3</c:v>
                </c:pt>
                <c:pt idx="245">
                  <c:v>2.4617654773882694E-3</c:v>
                </c:pt>
                <c:pt idx="246">
                  <c:v>2.5354133571225822E-3</c:v>
                </c:pt>
                <c:pt idx="247">
                  <c:v>2.6079824211612201E-3</c:v>
                </c:pt>
                <c:pt idx="248">
                  <c:v>2.6801820735715296E-3</c:v>
                </c:pt>
                <c:pt idx="249">
                  <c:v>2.75200647415806E-3</c:v>
                </c:pt>
                <c:pt idx="250">
                  <c:v>2.8234462268872771E-3</c:v>
                </c:pt>
                <c:pt idx="251">
                  <c:v>2.894488250333629E-3</c:v>
                </c:pt>
                <c:pt idx="252">
                  <c:v>2.9651156371367088E-3</c:v>
                </c:pt>
                <c:pt idx="253">
                  <c:v>3.0338189894972638E-3</c:v>
                </c:pt>
                <c:pt idx="254">
                  <c:v>3.1017335009677033E-3</c:v>
                </c:pt>
                <c:pt idx="255">
                  <c:v>3.1688208684845023E-3</c:v>
                </c:pt>
                <c:pt idx="256">
                  <c:v>3.2350378616272939E-3</c:v>
                </c:pt>
                <c:pt idx="257">
                  <c:v>3.3003361510358185E-3</c:v>
                </c:pt>
                <c:pt idx="258">
                  <c:v>3.3646621336095341E-3</c:v>
                </c:pt>
                <c:pt idx="259">
                  <c:v>3.4279567555040064E-3</c:v>
                </c:pt>
                <c:pt idx="260">
                  <c:v>3.4904317053673617E-3</c:v>
                </c:pt>
                <c:pt idx="261">
                  <c:v>3.5496878782457892E-3</c:v>
                </c:pt>
                <c:pt idx="262">
                  <c:v>3.6064195289686111E-3</c:v>
                </c:pt>
                <c:pt idx="263">
                  <c:v>3.6604873825835348E-3</c:v>
                </c:pt>
                <c:pt idx="264">
                  <c:v>3.7117393442007646E-3</c:v>
                </c:pt>
                <c:pt idx="265">
                  <c:v>3.7600302244628326E-3</c:v>
                </c:pt>
                <c:pt idx="266">
                  <c:v>3.8051923324553824E-3</c:v>
                </c:pt>
                <c:pt idx="267">
                  <c:v>3.8453449886814046E-3</c:v>
                </c:pt>
                <c:pt idx="268">
                  <c:v>3.881956883652225E-3</c:v>
                </c:pt>
                <c:pt idx="269">
                  <c:v>3.9148031021516974E-3</c:v>
                </c:pt>
                <c:pt idx="270">
                  <c:v>3.9436449357005904E-3</c:v>
                </c:pt>
                <c:pt idx="271">
                  <c:v>3.9682301412216694E-3</c:v>
                </c:pt>
                <c:pt idx="272">
                  <c:v>3.9882933493626278E-3</c:v>
                </c:pt>
                <c:pt idx="273">
                  <c:v>4.0035566458772615E-3</c:v>
                </c:pt>
                <c:pt idx="274">
                  <c:v>4.0142409384312829E-3</c:v>
                </c:pt>
                <c:pt idx="275">
                  <c:v>4.0199982887692423E-3</c:v>
                </c:pt>
                <c:pt idx="276">
                  <c:v>4.0236334056912917E-3</c:v>
                </c:pt>
                <c:pt idx="277">
                  <c:v>4.0249407662087868E-3</c:v>
                </c:pt>
                <c:pt idx="278">
                  <c:v>4.0237039628186148E-3</c:v>
                </c:pt>
                <c:pt idx="279">
                  <c:v>4.0196957475170979E-3</c:v>
                </c:pt>
                <c:pt idx="280">
                  <c:v>4.0126782153928698E-3</c:v>
                </c:pt>
                <c:pt idx="281">
                  <c:v>4.0137642040357765E-3</c:v>
                </c:pt>
                <c:pt idx="282">
                  <c:v>4.0251917519581945E-3</c:v>
                </c:pt>
                <c:pt idx="283">
                  <c:v>4.0472519352000649E-3</c:v>
                </c:pt>
                <c:pt idx="284">
                  <c:v>4.0802381451242814E-3</c:v>
                </c:pt>
                <c:pt idx="285">
                  <c:v>4.1244420997179204E-3</c:v>
                </c:pt>
                <c:pt idx="286">
                  <c:v>4.1801493488308932E-3</c:v>
                </c:pt>
                <c:pt idx="287">
                  <c:v>4.2476342470303208E-3</c:v>
                </c:pt>
                <c:pt idx="288">
                  <c:v>4.3274286867775917E-3</c:v>
                </c:pt>
                <c:pt idx="289">
                  <c:v>4.4462610022305083E-3</c:v>
                </c:pt>
                <c:pt idx="290">
                  <c:v>4.6063303266599244E-3</c:v>
                </c:pt>
                <c:pt idx="291">
                  <c:v>4.8091864094913271E-3</c:v>
                </c:pt>
                <c:pt idx="292">
                  <c:v>5.0564075992053708E-3</c:v>
                </c:pt>
                <c:pt idx="293">
                  <c:v>5.3496039018649608E-3</c:v>
                </c:pt>
                <c:pt idx="294">
                  <c:v>5.6904205181531583E-3</c:v>
                </c:pt>
                <c:pt idx="295">
                  <c:v>6.0894558811230111E-3</c:v>
                </c:pt>
                <c:pt idx="296">
                  <c:v>6.535039942845584E-3</c:v>
                </c:pt>
                <c:pt idx="297">
                  <c:v>7.0288421365671556E-3</c:v>
                </c:pt>
                <c:pt idx="298">
                  <c:v>7.5725427255082705E-3</c:v>
                </c:pt>
                <c:pt idx="299">
                  <c:v>8.16788645945625E-3</c:v>
                </c:pt>
                <c:pt idx="300">
                  <c:v>8.8166898919051929E-3</c:v>
                </c:pt>
                <c:pt idx="301">
                  <c:v>9.5208495355231116E-3</c:v>
                </c:pt>
                <c:pt idx="302">
                  <c:v>1.0282399547201337E-2</c:v>
                </c:pt>
                <c:pt idx="303">
                  <c:v>1.1084455298906311E-2</c:v>
                </c:pt>
                <c:pt idx="304">
                  <c:v>1.1896625404223706E-2</c:v>
                </c:pt>
                <c:pt idx="305">
                  <c:v>1.2718754267764133E-2</c:v>
                </c:pt>
                <c:pt idx="306">
                  <c:v>1.3550614088400763E-2</c:v>
                </c:pt>
                <c:pt idx="307">
                  <c:v>1.4391898953939506E-2</c:v>
                </c:pt>
                <c:pt idx="308">
                  <c:v>1.5242218755322298E-2</c:v>
                </c:pt>
                <c:pt idx="309">
                  <c:v>1.6078333601685778E-2</c:v>
                </c:pt>
                <c:pt idx="310">
                  <c:v>1.6888070064712588E-2</c:v>
                </c:pt>
                <c:pt idx="311">
                  <c:v>1.7669485923124457E-2</c:v>
                </c:pt>
                <c:pt idx="312">
                  <c:v>1.8420528769048539E-2</c:v>
                </c:pt>
                <c:pt idx="313">
                  <c:v>1.9139040434596685E-2</c:v>
                </c:pt>
                <c:pt idx="314">
                  <c:v>1.9822762957711328E-2</c:v>
                </c:pt>
                <c:pt idx="315">
                  <c:v>2.0469346272621425E-2</c:v>
                </c:pt>
                <c:pt idx="316">
                  <c:v>2.1076710784349525E-2</c:v>
                </c:pt>
                <c:pt idx="317">
                  <c:v>2.1634943685205094E-2</c:v>
                </c:pt>
                <c:pt idx="318">
                  <c:v>2.2164731425758474E-2</c:v>
                </c:pt>
                <c:pt idx="319">
                  <c:v>2.2664918432228336E-2</c:v>
                </c:pt>
                <c:pt idx="320">
                  <c:v>2.313438582642462E-2</c:v>
                </c:pt>
                <c:pt idx="321">
                  <c:v>2.3572052511268302E-2</c:v>
                </c:pt>
                <c:pt idx="322">
                  <c:v>2.3976875836030351E-2</c:v>
                </c:pt>
                <c:pt idx="323">
                  <c:v>2.4354407312658182E-2</c:v>
                </c:pt>
                <c:pt idx="324">
                  <c:v>2.4730825362260296E-2</c:v>
                </c:pt>
                <c:pt idx="325">
                  <c:v>2.5106192737481572E-2</c:v>
                </c:pt>
                <c:pt idx="326">
                  <c:v>2.5480440743955668E-2</c:v>
                </c:pt>
                <c:pt idx="327">
                  <c:v>2.5853626689968254E-2</c:v>
                </c:pt>
                <c:pt idx="328">
                  <c:v>2.6225968335123761E-2</c:v>
                </c:pt>
                <c:pt idx="329">
                  <c:v>2.6597717990665577E-2</c:v>
                </c:pt>
                <c:pt idx="330">
                  <c:v>2.6970939946990291E-2</c:v>
                </c:pt>
                <c:pt idx="331">
                  <c:v>2.7348301728176056E-2</c:v>
                </c:pt>
                <c:pt idx="332">
                  <c:v>2.7738136679996767E-2</c:v>
                </c:pt>
                <c:pt idx="333">
                  <c:v>2.8139297793271512E-2</c:v>
                </c:pt>
                <c:pt idx="334">
                  <c:v>2.8550504496152058E-2</c:v>
                </c:pt>
                <c:pt idx="335">
                  <c:v>2.8970333504508689E-2</c:v>
                </c:pt>
                <c:pt idx="336">
                  <c:v>2.9397211024632271E-2</c:v>
                </c:pt>
                <c:pt idx="337">
                  <c:v>2.9822917968055002E-2</c:v>
                </c:pt>
                <c:pt idx="338">
                  <c:v>3.0237881995819914E-2</c:v>
                </c:pt>
                <c:pt idx="339">
                  <c:v>3.0639739161840342E-2</c:v>
                </c:pt>
                <c:pt idx="340">
                  <c:v>3.102600438834572E-2</c:v>
                </c:pt>
                <c:pt idx="341">
                  <c:v>3.1394087339575098E-2</c:v>
                </c:pt>
                <c:pt idx="342">
                  <c:v>3.1741312581151059E-2</c:v>
                </c:pt>
                <c:pt idx="343">
                  <c:v>3.2064944219102894E-2</c:v>
                </c:pt>
                <c:pt idx="344">
                  <c:v>3.2367135764921999E-2</c:v>
                </c:pt>
                <c:pt idx="345">
                  <c:v>3.2651337223628084E-2</c:v>
                </c:pt>
                <c:pt idx="346">
                  <c:v>3.2907625619200964E-2</c:v>
                </c:pt>
                <c:pt idx="347">
                  <c:v>3.3135156652238505E-2</c:v>
                </c:pt>
                <c:pt idx="348">
                  <c:v>3.3333155796988416E-2</c:v>
                </c:pt>
                <c:pt idx="349">
                  <c:v>3.3500925060501542E-2</c:v>
                </c:pt>
                <c:pt idx="350">
                  <c:v>3.3637849377759016E-2</c:v>
                </c:pt>
                <c:pt idx="351">
                  <c:v>3.3735985360937137E-2</c:v>
                </c:pt>
                <c:pt idx="352">
                  <c:v>3.3801804445967122E-2</c:v>
                </c:pt>
                <c:pt idx="353">
                  <c:v>3.3834985110574055E-2</c:v>
                </c:pt>
                <c:pt idx="354">
                  <c:v>3.3835310443619419E-2</c:v>
                </c:pt>
                <c:pt idx="355">
                  <c:v>3.3802671216327171E-2</c:v>
                </c:pt>
                <c:pt idx="356">
                  <c:v>3.3736753471789067E-2</c:v>
                </c:pt>
                <c:pt idx="357">
                  <c:v>3.3637948281474983E-2</c:v>
                </c:pt>
                <c:pt idx="358">
                  <c:v>3.3505773433828344E-2</c:v>
                </c:pt>
                <c:pt idx="359">
                  <c:v>3.3340351677965951E-2</c:v>
                </c:pt>
                <c:pt idx="360">
                  <c:v>3.3135883921302921E-2</c:v>
                </c:pt>
                <c:pt idx="361">
                  <c:v>3.2900848405441017E-2</c:v>
                </c:pt>
                <c:pt idx="362">
                  <c:v>3.2636427892645536E-2</c:v>
                </c:pt>
                <c:pt idx="363">
                  <c:v>3.234386452314357E-2</c:v>
                </c:pt>
                <c:pt idx="364">
                  <c:v>3.2024447909223271E-2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030472"/>
        <c:axId val="214030864"/>
      </c:lineChart>
      <c:dateAx>
        <c:axId val="2140304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030864"/>
        <c:crosses val="autoZero"/>
        <c:auto val="1"/>
        <c:lblOffset val="100"/>
        <c:baseTimeUnit val="days"/>
        <c:majorUnit val="1"/>
        <c:majorTimeUnit val="months"/>
      </c:dateAx>
      <c:valAx>
        <c:axId val="2140308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4030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18.156518426850926</c:v>
                </c:pt>
                <c:pt idx="1">
                  <c:v>18.281994275569584</c:v>
                </c:pt>
                <c:pt idx="2">
                  <c:v>18.415977868791924</c:v>
                </c:pt>
                <c:pt idx="3">
                  <c:v>18.558208835543038</c:v>
                </c:pt>
                <c:pt idx="4">
                  <c:v>18.70842702179305</c:v>
                </c:pt>
                <c:pt idx="5">
                  <c:v>18.86637249050105</c:v>
                </c:pt>
                <c:pt idx="6">
                  <c:v>19.031785529099629</c:v>
                </c:pt>
                <c:pt idx="7">
                  <c:v>19.204406658510589</c:v>
                </c:pt>
                <c:pt idx="8">
                  <c:v>19.386213775790935</c:v>
                </c:pt>
                <c:pt idx="9">
                  <c:v>19.579006583340387</c:v>
                </c:pt>
                <c:pt idx="10">
                  <c:v>19.782124432168068</c:v>
                </c:pt>
                <c:pt idx="11">
                  <c:v>19.994842897472338</c:v>
                </c:pt>
                <c:pt idx="12">
                  <c:v>20.216438182201447</c:v>
                </c:pt>
                <c:pt idx="13">
                  <c:v>20.44618712763393</c:v>
                </c:pt>
                <c:pt idx="14">
                  <c:v>20.683367208499739</c:v>
                </c:pt>
                <c:pt idx="15">
                  <c:v>20.927734579143127</c:v>
                </c:pt>
                <c:pt idx="16">
                  <c:v>21.178635946046796</c:v>
                </c:pt>
                <c:pt idx="17">
                  <c:v>21.435350879530162</c:v>
                </c:pt>
                <c:pt idx="18">
                  <c:v>21.697159474020463</c:v>
                </c:pt>
                <c:pt idx="19">
                  <c:v>21.963341101715205</c:v>
                </c:pt>
                <c:pt idx="20">
                  <c:v>22.233175120092991</c:v>
                </c:pt>
                <c:pt idx="21">
                  <c:v>22.505942407403779</c:v>
                </c:pt>
                <c:pt idx="22">
                  <c:v>22.783420879129601</c:v>
                </c:pt>
                <c:pt idx="23">
                  <c:v>23.067967015032053</c:v>
                </c:pt>
                <c:pt idx="24">
                  <c:v>23.359117974033662</c:v>
                </c:pt>
                <c:pt idx="25">
                  <c:v>23.656544196452387</c:v>
                </c:pt>
                <c:pt idx="26">
                  <c:v>23.959916386533603</c:v>
                </c:pt>
                <c:pt idx="27">
                  <c:v>24.268905524459885</c:v>
                </c:pt>
                <c:pt idx="28">
                  <c:v>24.583182881668915</c:v>
                </c:pt>
                <c:pt idx="29">
                  <c:v>24.902157729425682</c:v>
                </c:pt>
                <c:pt idx="30">
                  <c:v>25.225023693119031</c:v>
                </c:pt>
                <c:pt idx="31">
                  <c:v>25.551453139326352</c:v>
                </c:pt>
                <c:pt idx="32">
                  <c:v>25.881118794030428</c:v>
                </c:pt>
                <c:pt idx="33">
                  <c:v>26.213693751232643</c:v>
                </c:pt>
                <c:pt idx="34">
                  <c:v>26.548851467781237</c:v>
                </c:pt>
                <c:pt idx="35">
                  <c:v>26.886265767919184</c:v>
                </c:pt>
                <c:pt idx="36">
                  <c:v>27.226187533160136</c:v>
                </c:pt>
                <c:pt idx="37">
                  <c:v>27.568749242140559</c:v>
                </c:pt>
                <c:pt idx="38">
                  <c:v>27.91373802905656</c:v>
                </c:pt>
                <c:pt idx="39">
                  <c:v>28.261260265005788</c:v>
                </c:pt>
                <c:pt idx="40">
                  <c:v>28.611422264917756</c:v>
                </c:pt>
                <c:pt idx="41">
                  <c:v>28.964330277908171</c:v>
                </c:pt>
                <c:pt idx="42">
                  <c:v>29.320090475947076</c:v>
                </c:pt>
                <c:pt idx="43">
                  <c:v>29.678664537589547</c:v>
                </c:pt>
                <c:pt idx="44">
                  <c:v>30.040420595106418</c:v>
                </c:pt>
                <c:pt idx="45">
                  <c:v>30.405464508580046</c:v>
                </c:pt>
                <c:pt idx="46">
                  <c:v>30.77390200869014</c:v>
                </c:pt>
                <c:pt idx="47">
                  <c:v>31.145838692811378</c:v>
                </c:pt>
                <c:pt idx="48">
                  <c:v>31.521380003247529</c:v>
                </c:pt>
                <c:pt idx="49">
                  <c:v>31.900631214294339</c:v>
                </c:pt>
                <c:pt idx="50">
                  <c:v>32.284362173530823</c:v>
                </c:pt>
                <c:pt idx="51">
                  <c:v>32.672975455910112</c:v>
                </c:pt>
                <c:pt idx="52">
                  <c:v>33.066443615259118</c:v>
                </c:pt>
                <c:pt idx="53">
                  <c:v>33.464332860952773</c:v>
                </c:pt>
                <c:pt idx="54">
                  <c:v>33.866209454468439</c:v>
                </c:pt>
                <c:pt idx="55">
                  <c:v>34.271639970829398</c:v>
                </c:pt>
                <c:pt idx="56">
                  <c:v>34.680191279991249</c:v>
                </c:pt>
                <c:pt idx="57">
                  <c:v>35.091441926746441</c:v>
                </c:pt>
                <c:pt idx="58">
                  <c:v>35.505104207285108</c:v>
                </c:pt>
                <c:pt idx="59">
                  <c:v>35.920746028858787</c:v>
                </c:pt>
                <c:pt idx="60">
                  <c:v>36.337935587871115</c:v>
                </c:pt>
                <c:pt idx="61">
                  <c:v>36.756241361081472</c:v>
                </c:pt>
                <c:pt idx="62">
                  <c:v>37.175232102124319</c:v>
                </c:pt>
                <c:pt idx="63">
                  <c:v>37.594476830654841</c:v>
                </c:pt>
                <c:pt idx="64">
                  <c:v>38.016016726151399</c:v>
                </c:pt>
                <c:pt idx="65">
                  <c:v>38.44178344449687</c:v>
                </c:pt>
                <c:pt idx="66">
                  <c:v>38.871136190502419</c:v>
                </c:pt>
                <c:pt idx="67">
                  <c:v>39.303427329228121</c:v>
                </c:pt>
                <c:pt idx="68">
                  <c:v>39.738009664309438</c:v>
                </c:pt>
                <c:pt idx="69">
                  <c:v>40.174236432329522</c:v>
                </c:pt>
                <c:pt idx="70">
                  <c:v>40.611461301705042</c:v>
                </c:pt>
                <c:pt idx="71">
                  <c:v>41.049093778738694</c:v>
                </c:pt>
                <c:pt idx="72">
                  <c:v>41.486477039601773</c:v>
                </c:pt>
                <c:pt idx="73">
                  <c:v>41.922966148330424</c:v>
                </c:pt>
                <c:pt idx="74">
                  <c:v>42.357916607898609</c:v>
                </c:pt>
                <c:pt idx="75">
                  <c:v>42.790684361488388</c:v>
                </c:pt>
                <c:pt idx="76">
                  <c:v>43.220625796062087</c:v>
                </c:pt>
                <c:pt idx="77">
                  <c:v>43.647097746918895</c:v>
                </c:pt>
                <c:pt idx="78">
                  <c:v>44.072922046472215</c:v>
                </c:pt>
                <c:pt idx="79">
                  <c:v>44.500812268554945</c:v>
                </c:pt>
                <c:pt idx="80">
                  <c:v>44.929871876728804</c:v>
                </c:pt>
                <c:pt idx="81">
                  <c:v>45.359241117883855</c:v>
                </c:pt>
                <c:pt idx="82">
                  <c:v>45.7880608975603</c:v>
                </c:pt>
                <c:pt idx="83">
                  <c:v>46.215472785889482</c:v>
                </c:pt>
                <c:pt idx="84">
                  <c:v>46.640619027871217</c:v>
                </c:pt>
                <c:pt idx="85">
                  <c:v>47.062669350061668</c:v>
                </c:pt>
                <c:pt idx="86">
                  <c:v>47.480711194405565</c:v>
                </c:pt>
                <c:pt idx="87">
                  <c:v>47.89388877839378</c:v>
                </c:pt>
                <c:pt idx="88">
                  <c:v>48.30134703707742</c:v>
                </c:pt>
                <c:pt idx="89">
                  <c:v>48.702231629717971</c:v>
                </c:pt>
                <c:pt idx="90">
                  <c:v>49.095688967481969</c:v>
                </c:pt>
                <c:pt idx="91">
                  <c:v>49.480866218553771</c:v>
                </c:pt>
                <c:pt idx="92">
                  <c:v>49.859742095834193</c:v>
                </c:pt>
                <c:pt idx="93">
                  <c:v>50.23467193492931</c:v>
                </c:pt>
                <c:pt idx="94">
                  <c:v>50.605296940682642</c:v>
                </c:pt>
                <c:pt idx="95">
                  <c:v>50.971296654848203</c:v>
                </c:pt>
                <c:pt idx="96">
                  <c:v>51.332350932975132</c:v>
                </c:pt>
                <c:pt idx="97">
                  <c:v>51.68813996472371</c:v>
                </c:pt>
                <c:pt idx="98">
                  <c:v>52.038344278083812</c:v>
                </c:pt>
                <c:pt idx="99">
                  <c:v>52.382643632419445</c:v>
                </c:pt>
                <c:pt idx="100">
                  <c:v>52.720691725748615</c:v>
                </c:pt>
                <c:pt idx="101">
                  <c:v>53.052169989301944</c:v>
                </c:pt>
                <c:pt idx="102">
                  <c:v>53.376760245591086</c:v>
                </c:pt>
                <c:pt idx="103">
                  <c:v>53.694144710182407</c:v>
                </c:pt>
                <c:pt idx="104">
                  <c:v>54.00400602066027</c:v>
                </c:pt>
                <c:pt idx="105">
                  <c:v>54.306027242548097</c:v>
                </c:pt>
                <c:pt idx="106">
                  <c:v>54.601382486177783</c:v>
                </c:pt>
                <c:pt idx="107">
                  <c:v>54.891255352164656</c:v>
                </c:pt>
                <c:pt idx="108">
                  <c:v>55.175304936628464</c:v>
                </c:pt>
                <c:pt idx="109">
                  <c:v>55.453213839939309</c:v>
                </c:pt>
                <c:pt idx="110">
                  <c:v>55.724665021773838</c:v>
                </c:pt>
                <c:pt idx="111">
                  <c:v>55.989341959159489</c:v>
                </c:pt>
                <c:pt idx="112">
                  <c:v>56.24692876450348</c:v>
                </c:pt>
                <c:pt idx="113">
                  <c:v>56.497085499939978</c:v>
                </c:pt>
                <c:pt idx="114">
                  <c:v>56.739498278687321</c:v>
                </c:pt>
                <c:pt idx="115">
                  <c:v>56.973852587626794</c:v>
                </c:pt>
                <c:pt idx="116">
                  <c:v>57.199834490032529</c:v>
                </c:pt>
                <c:pt idx="117">
                  <c:v>57.417105486442075</c:v>
                </c:pt>
                <c:pt idx="118">
                  <c:v>57.625325448376387</c:v>
                </c:pt>
                <c:pt idx="119">
                  <c:v>57.824240273130023</c:v>
                </c:pt>
                <c:pt idx="120">
                  <c:v>58.013414931951573</c:v>
                </c:pt>
                <c:pt idx="121">
                  <c:v>58.19284922233286</c:v>
                </c:pt>
                <c:pt idx="122">
                  <c:v>58.362962764622743</c:v>
                </c:pt>
                <c:pt idx="123">
                  <c:v>58.524186054206019</c:v>
                </c:pt>
                <c:pt idx="124">
                  <c:v>58.67694937983574</c:v>
                </c:pt>
                <c:pt idx="125">
                  <c:v>58.821682832861569</c:v>
                </c:pt>
                <c:pt idx="126">
                  <c:v>58.958816294428232</c:v>
                </c:pt>
                <c:pt idx="127">
                  <c:v>59.088756549838699</c:v>
                </c:pt>
                <c:pt idx="128">
                  <c:v>59.211959692316988</c:v>
                </c:pt>
                <c:pt idx="129">
                  <c:v>59.328855095993042</c:v>
                </c:pt>
                <c:pt idx="130">
                  <c:v>59.43987192537741</c:v>
                </c:pt>
                <c:pt idx="131">
                  <c:v>59.545439132370355</c:v>
                </c:pt>
                <c:pt idx="132">
                  <c:v>59.645985449946217</c:v>
                </c:pt>
                <c:pt idx="133">
                  <c:v>59.741939386346893</c:v>
                </c:pt>
                <c:pt idx="134">
                  <c:v>59.83198559639807</c:v>
                </c:pt>
                <c:pt idx="135">
                  <c:v>59.914732479493331</c:v>
                </c:pt>
                <c:pt idx="136">
                  <c:v>59.990572811156362</c:v>
                </c:pt>
                <c:pt idx="137">
                  <c:v>60.059833349136028</c:v>
                </c:pt>
                <c:pt idx="138">
                  <c:v>60.122840784851299</c:v>
                </c:pt>
                <c:pt idx="139">
                  <c:v>60.179921720978342</c:v>
                </c:pt>
                <c:pt idx="140">
                  <c:v>60.231402655969887</c:v>
                </c:pt>
                <c:pt idx="141">
                  <c:v>60.277595505425971</c:v>
                </c:pt>
                <c:pt idx="142">
                  <c:v>60.318852252625582</c:v>
                </c:pt>
                <c:pt idx="143">
                  <c:v>60.355499304930191</c:v>
                </c:pt>
                <c:pt idx="144">
                  <c:v>60.387862861711</c:v>
                </c:pt>
                <c:pt idx="145">
                  <c:v>60.416268924553769</c:v>
                </c:pt>
                <c:pt idx="146">
                  <c:v>60.441043274863496</c:v>
                </c:pt>
                <c:pt idx="147">
                  <c:v>60.462511448221953</c:v>
                </c:pt>
                <c:pt idx="148">
                  <c:v>60.479753420569438</c:v>
                </c:pt>
                <c:pt idx="149">
                  <c:v>60.491770705995052</c:v>
                </c:pt>
                <c:pt idx="150">
                  <c:v>60.498792039111862</c:v>
                </c:pt>
                <c:pt idx="151">
                  <c:v>60.501038446106925</c:v>
                </c:pt>
                <c:pt idx="152">
                  <c:v>60.498730685175595</c:v>
                </c:pt>
                <c:pt idx="153">
                  <c:v>60.492089216013056</c:v>
                </c:pt>
                <c:pt idx="154">
                  <c:v>60.481334172660773</c:v>
                </c:pt>
                <c:pt idx="155">
                  <c:v>60.466682526549214</c:v>
                </c:pt>
                <c:pt idx="156">
                  <c:v>60.448370239442923</c:v>
                </c:pt>
                <c:pt idx="157">
                  <c:v>60.426616673391621</c:v>
                </c:pt>
                <c:pt idx="158">
                  <c:v>60.401640753075249</c:v>
                </c:pt>
                <c:pt idx="159">
                  <c:v>60.373660943987275</c:v>
                </c:pt>
                <c:pt idx="160">
                  <c:v>60.342895223175987</c:v>
                </c:pt>
                <c:pt idx="161">
                  <c:v>60.309561061044128</c:v>
                </c:pt>
                <c:pt idx="162">
                  <c:v>60.272897248736626</c:v>
                </c:pt>
                <c:pt idx="163">
                  <c:v>60.23214452361848</c:v>
                </c:pt>
                <c:pt idx="164">
                  <c:v>60.187532202508073</c:v>
                </c:pt>
                <c:pt idx="165">
                  <c:v>60.1392775931592</c:v>
                </c:pt>
                <c:pt idx="166">
                  <c:v>60.087597372355219</c:v>
                </c:pt>
                <c:pt idx="167">
                  <c:v>60.032707581169923</c:v>
                </c:pt>
                <c:pt idx="168">
                  <c:v>59.974823606282307</c:v>
                </c:pt>
                <c:pt idx="169">
                  <c:v>59.914161474643699</c:v>
                </c:pt>
                <c:pt idx="170">
                  <c:v>59.850938413365597</c:v>
                </c:pt>
                <c:pt idx="171">
                  <c:v>59.785367859720111</c:v>
                </c:pt>
                <c:pt idx="172">
                  <c:v>59.717662578344793</c:v>
                </c:pt>
                <c:pt idx="173">
                  <c:v>59.648034700210388</c:v>
                </c:pt>
                <c:pt idx="174">
                  <c:v>59.576695696136206</c:v>
                </c:pt>
                <c:pt idx="175">
                  <c:v>59.50385635452529</c:v>
                </c:pt>
                <c:pt idx="176">
                  <c:v>59.429657219353267</c:v>
                </c:pt>
                <c:pt idx="177">
                  <c:v>59.353956572598527</c:v>
                </c:pt>
                <c:pt idx="178">
                  <c:v>59.276544988207355</c:v>
                </c:pt>
                <c:pt idx="179">
                  <c:v>59.197214079081895</c:v>
                </c:pt>
                <c:pt idx="180">
                  <c:v>59.115755289276365</c:v>
                </c:pt>
                <c:pt idx="181">
                  <c:v>59.031959903817565</c:v>
                </c:pt>
                <c:pt idx="182">
                  <c:v>58.94561906135948</c:v>
                </c:pt>
                <c:pt idx="183">
                  <c:v>58.856509194116427</c:v>
                </c:pt>
                <c:pt idx="184">
                  <c:v>58.764419715012522</c:v>
                </c:pt>
                <c:pt idx="185">
                  <c:v>58.669141110115589</c:v>
                </c:pt>
                <c:pt idx="186">
                  <c:v>58.570463812427242</c:v>
                </c:pt>
                <c:pt idx="187">
                  <c:v>58.468178216674112</c:v>
                </c:pt>
                <c:pt idx="188">
                  <c:v>58.362074705608002</c:v>
                </c:pt>
                <c:pt idx="189">
                  <c:v>58.251943676627299</c:v>
                </c:pt>
                <c:pt idx="190">
                  <c:v>58.137644922632703</c:v>
                </c:pt>
                <c:pt idx="191">
                  <c:v>58.019294321857316</c:v>
                </c:pt>
                <c:pt idx="192">
                  <c:v>57.897101549450504</c:v>
                </c:pt>
                <c:pt idx="193">
                  <c:v>57.771272410719803</c:v>
                </c:pt>
                <c:pt idx="194">
                  <c:v>57.642012498450569</c:v>
                </c:pt>
                <c:pt idx="195">
                  <c:v>57.50952722022322</c:v>
                </c:pt>
                <c:pt idx="196">
                  <c:v>57.374021822718561</c:v>
                </c:pt>
                <c:pt idx="197">
                  <c:v>57.235694568631459</c:v>
                </c:pt>
                <c:pt idx="198">
                  <c:v>57.094766631676357</c:v>
                </c:pt>
                <c:pt idx="199">
                  <c:v>56.95144322482254</c:v>
                </c:pt>
                <c:pt idx="200">
                  <c:v>56.805929488273179</c:v>
                </c:pt>
                <c:pt idx="201">
                  <c:v>56.658430509585848</c:v>
                </c:pt>
                <c:pt idx="202">
                  <c:v>56.509151343773645</c:v>
                </c:pt>
                <c:pt idx="203">
                  <c:v>56.358297030075406</c:v>
                </c:pt>
                <c:pt idx="204">
                  <c:v>56.206003471371993</c:v>
                </c:pt>
                <c:pt idx="205">
                  <c:v>56.052090110748651</c:v>
                </c:pt>
                <c:pt idx="206">
                  <c:v>55.896369731686057</c:v>
                </c:pt>
                <c:pt idx="207">
                  <c:v>55.738633189700465</c:v>
                </c:pt>
                <c:pt idx="208">
                  <c:v>55.578671729481684</c:v>
                </c:pt>
                <c:pt idx="209">
                  <c:v>55.41627698691574</c:v>
                </c:pt>
                <c:pt idx="210">
                  <c:v>55.25124098428185</c:v>
                </c:pt>
                <c:pt idx="211">
                  <c:v>55.083252469957486</c:v>
                </c:pt>
                <c:pt idx="212">
                  <c:v>54.912110348750254</c:v>
                </c:pt>
                <c:pt idx="213">
                  <c:v>54.737607170035311</c:v>
                </c:pt>
                <c:pt idx="214">
                  <c:v>54.559535894211649</c:v>
                </c:pt>
                <c:pt idx="215">
                  <c:v>54.377689888988982</c:v>
                </c:pt>
                <c:pt idx="216">
                  <c:v>54.191862917123622</c:v>
                </c:pt>
                <c:pt idx="217">
                  <c:v>54.001849118134686</c:v>
                </c:pt>
                <c:pt idx="218">
                  <c:v>53.808856531841208</c:v>
                </c:pt>
                <c:pt idx="219">
                  <c:v>53.613905191519244</c:v>
                </c:pt>
                <c:pt idx="220">
                  <c:v>53.416623044774894</c:v>
                </c:pt>
                <c:pt idx="221">
                  <c:v>53.216597381668429</c:v>
                </c:pt>
                <c:pt idx="222">
                  <c:v>53.013415986072324</c:v>
                </c:pt>
                <c:pt idx="223">
                  <c:v>52.806667120273268</c:v>
                </c:pt>
                <c:pt idx="224">
                  <c:v>52.595939503275332</c:v>
                </c:pt>
                <c:pt idx="225">
                  <c:v>52.380846604750936</c:v>
                </c:pt>
                <c:pt idx="226">
                  <c:v>52.161084415828356</c:v>
                </c:pt>
                <c:pt idx="227">
                  <c:v>51.936243446308602</c:v>
                </c:pt>
                <c:pt idx="228">
                  <c:v>51.705914578739446</c:v>
                </c:pt>
                <c:pt idx="229">
                  <c:v>51.469689044870769</c:v>
                </c:pt>
                <c:pt idx="230">
                  <c:v>51.22715842113675</c:v>
                </c:pt>
                <c:pt idx="231">
                  <c:v>50.977914619390624</c:v>
                </c:pt>
                <c:pt idx="232">
                  <c:v>50.723028256693638</c:v>
                </c:pt>
                <c:pt idx="233">
                  <c:v>50.46373940425574</c:v>
                </c:pt>
                <c:pt idx="234">
                  <c:v>50.199895961768576</c:v>
                </c:pt>
                <c:pt idx="235">
                  <c:v>49.931295650404742</c:v>
                </c:pt>
                <c:pt idx="236">
                  <c:v>49.657736274756509</c:v>
                </c:pt>
                <c:pt idx="237">
                  <c:v>49.379015804138511</c:v>
                </c:pt>
                <c:pt idx="238">
                  <c:v>49.094932318336873</c:v>
                </c:pt>
                <c:pt idx="239">
                  <c:v>48.805336063532643</c:v>
                </c:pt>
                <c:pt idx="240">
                  <c:v>48.510000719178578</c:v>
                </c:pt>
                <c:pt idx="241">
                  <c:v>48.208724762496672</c:v>
                </c:pt>
                <c:pt idx="242">
                  <c:v>47.90130677198313</c:v>
                </c:pt>
                <c:pt idx="243">
                  <c:v>47.587545430223237</c:v>
                </c:pt>
                <c:pt idx="244">
                  <c:v>47.267239525198612</c:v>
                </c:pt>
                <c:pt idx="245">
                  <c:v>46.940187946217179</c:v>
                </c:pt>
                <c:pt idx="246">
                  <c:v>46.605589588042093</c:v>
                </c:pt>
                <c:pt idx="247">
                  <c:v>46.263158136125377</c:v>
                </c:pt>
                <c:pt idx="248">
                  <c:v>45.913379414515582</c:v>
                </c:pt>
                <c:pt idx="249">
                  <c:v>45.55677233488624</c:v>
                </c:pt>
                <c:pt idx="250">
                  <c:v>45.193855404717432</c:v>
                </c:pt>
                <c:pt idx="251">
                  <c:v>44.825146728888662</c:v>
                </c:pt>
                <c:pt idx="252">
                  <c:v>44.451164013196085</c:v>
                </c:pt>
                <c:pt idx="253">
                  <c:v>44.072490376391237</c:v>
                </c:pt>
                <c:pt idx="254">
                  <c:v>43.689590192555187</c:v>
                </c:pt>
                <c:pt idx="255">
                  <c:v>43.302979991276601</c:v>
                </c:pt>
                <c:pt idx="256">
                  <c:v>42.913175914684103</c:v>
                </c:pt>
                <c:pt idx="257">
                  <c:v>42.520693722015338</c:v>
                </c:pt>
                <c:pt idx="258">
                  <c:v>42.126048787695154</c:v>
                </c:pt>
                <c:pt idx="259">
                  <c:v>41.729756102447077</c:v>
                </c:pt>
                <c:pt idx="260">
                  <c:v>41.329046141053226</c:v>
                </c:pt>
                <c:pt idx="261">
                  <c:v>40.921531949259453</c:v>
                </c:pt>
                <c:pt idx="262">
                  <c:v>40.508106416448499</c:v>
                </c:pt>
                <c:pt idx="263">
                  <c:v>40.089696082024311</c:v>
                </c:pt>
                <c:pt idx="264">
                  <c:v>39.667226754779271</c:v>
                </c:pt>
                <c:pt idx="265">
                  <c:v>39.241622736578357</c:v>
                </c:pt>
                <c:pt idx="266">
                  <c:v>38.813808007480162</c:v>
                </c:pt>
                <c:pt idx="267">
                  <c:v>38.384771342348273</c:v>
                </c:pt>
                <c:pt idx="268">
                  <c:v>37.955369770429684</c:v>
                </c:pt>
                <c:pt idx="269">
                  <c:v>37.526525800168812</c:v>
                </c:pt>
                <c:pt idx="270">
                  <c:v>37.099161261180022</c:v>
                </c:pt>
                <c:pt idx="271">
                  <c:v>36.67419731368134</c:v>
                </c:pt>
                <c:pt idx="272">
                  <c:v>36.25255445846323</c:v>
                </c:pt>
                <c:pt idx="273">
                  <c:v>35.835152549469001</c:v>
                </c:pt>
                <c:pt idx="274">
                  <c:v>35.418387071151379</c:v>
                </c:pt>
                <c:pt idx="275">
                  <c:v>34.998743670573305</c:v>
                </c:pt>
                <c:pt idx="276">
                  <c:v>34.577137885764401</c:v>
                </c:pt>
                <c:pt idx="277">
                  <c:v>34.154592381196146</c:v>
                </c:pt>
                <c:pt idx="278">
                  <c:v>33.732129052318164</c:v>
                </c:pt>
                <c:pt idx="279">
                  <c:v>33.31076904787048</c:v>
                </c:pt>
                <c:pt idx="280">
                  <c:v>32.891532798645912</c:v>
                </c:pt>
                <c:pt idx="281">
                  <c:v>32.475069605853996</c:v>
                </c:pt>
                <c:pt idx="282">
                  <c:v>32.062332309863677</c:v>
                </c:pt>
                <c:pt idx="283">
                  <c:v>31.654338454009988</c:v>
                </c:pt>
                <c:pt idx="284">
                  <c:v>31.252105007356203</c:v>
                </c:pt>
                <c:pt idx="285">
                  <c:v>30.856648409744857</c:v>
                </c:pt>
                <c:pt idx="286">
                  <c:v>30.468984603225703</c:v>
                </c:pt>
                <c:pt idx="287">
                  <c:v>30.090129083465968</c:v>
                </c:pt>
                <c:pt idx="288">
                  <c:v>29.719204838415504</c:v>
                </c:pt>
                <c:pt idx="289">
                  <c:v>29.353680728314171</c:v>
                </c:pt>
                <c:pt idx="290">
                  <c:v>28.993221020665814</c:v>
                </c:pt>
                <c:pt idx="291">
                  <c:v>28.63751048218478</c:v>
                </c:pt>
                <c:pt idx="292">
                  <c:v>28.286233999738336</c:v>
                </c:pt>
                <c:pt idx="293">
                  <c:v>27.939076584880866</c:v>
                </c:pt>
                <c:pt idx="294">
                  <c:v>27.595723398069403</c:v>
                </c:pt>
                <c:pt idx="295">
                  <c:v>27.25561532194174</c:v>
                </c:pt>
                <c:pt idx="296">
                  <c:v>26.918809654939295</c:v>
                </c:pt>
                <c:pt idx="297">
                  <c:v>26.584990569168689</c:v>
                </c:pt>
                <c:pt idx="298">
                  <c:v>26.253843622825762</c:v>
                </c:pt>
                <c:pt idx="299">
                  <c:v>25.925054466869607</c:v>
                </c:pt>
                <c:pt idx="300">
                  <c:v>25.598308882892059</c:v>
                </c:pt>
                <c:pt idx="301">
                  <c:v>25.273292795999051</c:v>
                </c:pt>
                <c:pt idx="302">
                  <c:v>24.949573107292956</c:v>
                </c:pt>
                <c:pt idx="303">
                  <c:v>24.627662536816278</c:v>
                </c:pt>
                <c:pt idx="304">
                  <c:v>24.308738119262159</c:v>
                </c:pt>
                <c:pt idx="305">
                  <c:v>23.993203769934837</c:v>
                </c:pt>
                <c:pt idx="306">
                  <c:v>23.681463514539331</c:v>
                </c:pt>
                <c:pt idx="307">
                  <c:v>23.373921502358947</c:v>
                </c:pt>
                <c:pt idx="308">
                  <c:v>23.070982033380083</c:v>
                </c:pt>
                <c:pt idx="309">
                  <c:v>22.773576344502452</c:v>
                </c:pt>
                <c:pt idx="310">
                  <c:v>22.482355334539687</c:v>
                </c:pt>
                <c:pt idx="311">
                  <c:v>22.197724729489355</c:v>
                </c:pt>
                <c:pt idx="312">
                  <c:v>21.920090408124658</c:v>
                </c:pt>
                <c:pt idx="313">
                  <c:v>21.64985838728067</c:v>
                </c:pt>
                <c:pt idx="314">
                  <c:v>21.387434820605211</c:v>
                </c:pt>
                <c:pt idx="315">
                  <c:v>21.133225984245346</c:v>
                </c:pt>
                <c:pt idx="316">
                  <c:v>20.88728088612207</c:v>
                </c:pt>
                <c:pt idx="317">
                  <c:v>20.649347521509995</c:v>
                </c:pt>
                <c:pt idx="318">
                  <c:v>20.41864543895278</c:v>
                </c:pt>
                <c:pt idx="319">
                  <c:v>20.194866465928602</c:v>
                </c:pt>
                <c:pt idx="320">
                  <c:v>19.977702700138742</c:v>
                </c:pt>
                <c:pt idx="321">
                  <c:v>19.76684650943492</c:v>
                </c:pt>
                <c:pt idx="322">
                  <c:v>19.561990519054085</c:v>
                </c:pt>
                <c:pt idx="323">
                  <c:v>19.36269750588318</c:v>
                </c:pt>
                <c:pt idx="324">
                  <c:v>19.168130867818842</c:v>
                </c:pt>
                <c:pt idx="325">
                  <c:v>18.977983545621008</c:v>
                </c:pt>
                <c:pt idx="326">
                  <c:v>18.791951859009369</c:v>
                </c:pt>
                <c:pt idx="327">
                  <c:v>18.609730466766379</c:v>
                </c:pt>
                <c:pt idx="328">
                  <c:v>18.43101181809082</c:v>
                </c:pt>
                <c:pt idx="329">
                  <c:v>18.255488649949264</c:v>
                </c:pt>
                <c:pt idx="330">
                  <c:v>18.081629976918599</c:v>
                </c:pt>
                <c:pt idx="331">
                  <c:v>17.908691759065729</c:v>
                </c:pt>
                <c:pt idx="332">
                  <c:v>17.73741639051093</c:v>
                </c:pt>
                <c:pt idx="333">
                  <c:v>17.568721581895055</c:v>
                </c:pt>
                <c:pt idx="334">
                  <c:v>17.403524837002664</c:v>
                </c:pt>
                <c:pt idx="335">
                  <c:v>17.242743405103631</c:v>
                </c:pt>
                <c:pt idx="336">
                  <c:v>17.087294233351486</c:v>
                </c:pt>
                <c:pt idx="337">
                  <c:v>16.938207208490333</c:v>
                </c:pt>
                <c:pt idx="338">
                  <c:v>16.796528889225549</c:v>
                </c:pt>
                <c:pt idx="339">
                  <c:v>16.66317502134898</c:v>
                </c:pt>
                <c:pt idx="340">
                  <c:v>16.539060866263778</c:v>
                </c:pt>
                <c:pt idx="341">
                  <c:v>16.425101160683163</c:v>
                </c:pt>
                <c:pt idx="342">
                  <c:v>16.322210092697119</c:v>
                </c:pt>
                <c:pt idx="343">
                  <c:v>16.231301269597321</c:v>
                </c:pt>
                <c:pt idx="344">
                  <c:v>16.150749784538529</c:v>
                </c:pt>
                <c:pt idx="345">
                  <c:v>16.078396340343932</c:v>
                </c:pt>
                <c:pt idx="346">
                  <c:v>16.014503549597034</c:v>
                </c:pt>
                <c:pt idx="347">
                  <c:v>15.959182680422419</c:v>
                </c:pt>
                <c:pt idx="348">
                  <c:v>15.912544848236768</c:v>
                </c:pt>
                <c:pt idx="349">
                  <c:v>15.874701015869572</c:v>
                </c:pt>
                <c:pt idx="350">
                  <c:v>15.845761989489091</c:v>
                </c:pt>
                <c:pt idx="351">
                  <c:v>15.825959902432258</c:v>
                </c:pt>
                <c:pt idx="352">
                  <c:v>15.815292036328868</c:v>
                </c:pt>
                <c:pt idx="353">
                  <c:v>15.813868749283232</c:v>
                </c:pt>
                <c:pt idx="354">
                  <c:v>15.82180025174363</c:v>
                </c:pt>
                <c:pt idx="355">
                  <c:v>15.839196626441472</c:v>
                </c:pt>
                <c:pt idx="356">
                  <c:v>15.866172973919962</c:v>
                </c:pt>
                <c:pt idx="357">
                  <c:v>15.902834540093847</c:v>
                </c:pt>
                <c:pt idx="358">
                  <c:v>15.949565311319498</c:v>
                </c:pt>
                <c:pt idx="359">
                  <c:v>16.006514550145887</c:v>
                </c:pt>
                <c:pt idx="360">
                  <c:v>16.073555865684611</c:v>
                </c:pt>
                <c:pt idx="361">
                  <c:v>16.150327990180489</c:v>
                </c:pt>
                <c:pt idx="362">
                  <c:v>16.236591292470667</c:v>
                </c:pt>
                <c:pt idx="363">
                  <c:v>16.332106202278769</c:v>
                </c:pt>
                <c:pt idx="364">
                  <c:v>16.436633205362437</c:v>
                </c:pt>
                <c:pt idx="365">
                  <c:v>17.296575816106682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2.0649999999999999</c:v>
                </c:pt>
                <c:pt idx="1">
                  <c:v>6.8049999999999997</c:v>
                </c:pt>
                <c:pt idx="2">
                  <c:v>18.526</c:v>
                </c:pt>
                <c:pt idx="3">
                  <c:v>18.312000000000001</c:v>
                </c:pt>
                <c:pt idx="4">
                  <c:v>18.521000000000001</c:v>
                </c:pt>
                <c:pt idx="5">
                  <c:v>4.7510000000000003</c:v>
                </c:pt>
                <c:pt idx="6">
                  <c:v>2.8580000000000001</c:v>
                </c:pt>
                <c:pt idx="7">
                  <c:v>6.2460000000000004</c:v>
                </c:pt>
                <c:pt idx="8">
                  <c:v>8.0649999999999995</c:v>
                </c:pt>
                <c:pt idx="9">
                  <c:v>10.295</c:v>
                </c:pt>
                <c:pt idx="10">
                  <c:v>19.125</c:v>
                </c:pt>
                <c:pt idx="11">
                  <c:v>8.0960000000000001</c:v>
                </c:pt>
                <c:pt idx="12">
                  <c:v>6.2160000000000002</c:v>
                </c:pt>
                <c:pt idx="13">
                  <c:v>7.069</c:v>
                </c:pt>
                <c:pt idx="14">
                  <c:v>20.338000000000001</c:v>
                </c:pt>
                <c:pt idx="15">
                  <c:v>20.181000000000001</c:v>
                </c:pt>
                <c:pt idx="16">
                  <c:v>9.4239999999999995</c:v>
                </c:pt>
                <c:pt idx="17">
                  <c:v>12.182</c:v>
                </c:pt>
                <c:pt idx="18">
                  <c:v>15.502000000000001</c:v>
                </c:pt>
                <c:pt idx="19">
                  <c:v>7.343</c:v>
                </c:pt>
                <c:pt idx="20">
                  <c:v>9.7739999999999991</c:v>
                </c:pt>
                <c:pt idx="21">
                  <c:v>9.7240000000000002</c:v>
                </c:pt>
                <c:pt idx="22">
                  <c:v>8.8460000000000001</c:v>
                </c:pt>
                <c:pt idx="23">
                  <c:v>12.212</c:v>
                </c:pt>
                <c:pt idx="24">
                  <c:v>4.51</c:v>
                </c:pt>
                <c:pt idx="25">
                  <c:v>13.116</c:v>
                </c:pt>
                <c:pt idx="26">
                  <c:v>12.475</c:v>
                </c:pt>
                <c:pt idx="27">
                  <c:v>11.039</c:v>
                </c:pt>
                <c:pt idx="28">
                  <c:v>5.3760000000000003</c:v>
                </c:pt>
                <c:pt idx="29">
                  <c:v>8.1039999999999992</c:v>
                </c:pt>
                <c:pt idx="30">
                  <c:v>7.9710000000000001</c:v>
                </c:pt>
                <c:pt idx="31">
                  <c:v>20.661999999999999</c:v>
                </c:pt>
                <c:pt idx="32">
                  <c:v>3.4350000000000001</c:v>
                </c:pt>
                <c:pt idx="33">
                  <c:v>13.613</c:v>
                </c:pt>
                <c:pt idx="34">
                  <c:v>22.289000000000001</c:v>
                </c:pt>
                <c:pt idx="35">
                  <c:v>4.3209999999999997</c:v>
                </c:pt>
                <c:pt idx="36">
                  <c:v>11.99</c:v>
                </c:pt>
                <c:pt idx="37">
                  <c:v>6.101</c:v>
                </c:pt>
                <c:pt idx="38">
                  <c:v>23.785</c:v>
                </c:pt>
                <c:pt idx="39">
                  <c:v>24.696000000000002</c:v>
                </c:pt>
                <c:pt idx="40">
                  <c:v>8.2569999999999997</c:v>
                </c:pt>
                <c:pt idx="41">
                  <c:v>19.808</c:v>
                </c:pt>
                <c:pt idx="42">
                  <c:v>29.193000000000001</c:v>
                </c:pt>
                <c:pt idx="43">
                  <c:v>30.091000000000001</c:v>
                </c:pt>
                <c:pt idx="44">
                  <c:v>30.271999999999998</c:v>
                </c:pt>
                <c:pt idx="45">
                  <c:v>30.420999999999999</c:v>
                </c:pt>
                <c:pt idx="46">
                  <c:v>31.047999999999998</c:v>
                </c:pt>
                <c:pt idx="47">
                  <c:v>31.634</c:v>
                </c:pt>
                <c:pt idx="48">
                  <c:v>31.548999999999999</c:v>
                </c:pt>
                <c:pt idx="49">
                  <c:v>25.263000000000002</c:v>
                </c:pt>
                <c:pt idx="50">
                  <c:v>31.667999999999999</c:v>
                </c:pt>
                <c:pt idx="51">
                  <c:v>31.75</c:v>
                </c:pt>
                <c:pt idx="52">
                  <c:v>31.79</c:v>
                </c:pt>
                <c:pt idx="53">
                  <c:v>32.247999999999998</c:v>
                </c:pt>
                <c:pt idx="54">
                  <c:v>32.74</c:v>
                </c:pt>
                <c:pt idx="55">
                  <c:v>33.427999999999997</c:v>
                </c:pt>
                <c:pt idx="56">
                  <c:v>31.885999999999999</c:v>
                </c:pt>
                <c:pt idx="57">
                  <c:v>33.981000000000002</c:v>
                </c:pt>
                <c:pt idx="58">
                  <c:v>29.608000000000001</c:v>
                </c:pt>
                <c:pt idx="59">
                  <c:v>14.99</c:v>
                </c:pt>
                <c:pt idx="60">
                  <c:v>19.584</c:v>
                </c:pt>
                <c:pt idx="61">
                  <c:v>31.643000000000001</c:v>
                </c:pt>
                <c:pt idx="62">
                  <c:v>9.4640000000000004</c:v>
                </c:pt>
                <c:pt idx="63">
                  <c:v>36.642000000000003</c:v>
                </c:pt>
                <c:pt idx="64">
                  <c:v>22.960999999999999</c:v>
                </c:pt>
                <c:pt idx="65">
                  <c:v>34.555999999999997</c:v>
                </c:pt>
                <c:pt idx="66">
                  <c:v>25.382000000000001</c:v>
                </c:pt>
                <c:pt idx="67">
                  <c:v>21.2</c:v>
                </c:pt>
                <c:pt idx="68">
                  <c:v>16.622</c:v>
                </c:pt>
                <c:pt idx="69">
                  <c:v>31.381</c:v>
                </c:pt>
                <c:pt idx="70">
                  <c:v>34.841999999999999</c:v>
                </c:pt>
                <c:pt idx="71">
                  <c:v>20.381</c:v>
                </c:pt>
                <c:pt idx="72">
                  <c:v>22.768000000000001</c:v>
                </c:pt>
                <c:pt idx="73">
                  <c:v>13.43</c:v>
                </c:pt>
                <c:pt idx="74">
                  <c:v>41.112000000000002</c:v>
                </c:pt>
                <c:pt idx="75">
                  <c:v>15.612</c:v>
                </c:pt>
                <c:pt idx="76">
                  <c:v>28.573</c:v>
                </c:pt>
                <c:pt idx="77">
                  <c:v>15.613</c:v>
                </c:pt>
                <c:pt idx="78">
                  <c:v>44.210999999999999</c:v>
                </c:pt>
                <c:pt idx="79">
                  <c:v>43.777000000000001</c:v>
                </c:pt>
                <c:pt idx="80">
                  <c:v>43.002000000000002</c:v>
                </c:pt>
                <c:pt idx="81">
                  <c:v>40.734999999999999</c:v>
                </c:pt>
                <c:pt idx="82">
                  <c:v>43.941000000000003</c:v>
                </c:pt>
                <c:pt idx="83">
                  <c:v>37.497</c:v>
                </c:pt>
                <c:pt idx="84">
                  <c:v>47.16</c:v>
                </c:pt>
                <c:pt idx="85">
                  <c:v>46.514000000000003</c:v>
                </c:pt>
                <c:pt idx="86">
                  <c:v>45.658000000000001</c:v>
                </c:pt>
                <c:pt idx="87">
                  <c:v>46.591999999999999</c:v>
                </c:pt>
                <c:pt idx="88">
                  <c:v>47.651000000000003</c:v>
                </c:pt>
                <c:pt idx="89">
                  <c:v>40.491999999999997</c:v>
                </c:pt>
                <c:pt idx="90">
                  <c:v>43.51</c:v>
                </c:pt>
                <c:pt idx="91">
                  <c:v>16.925999999999998</c:v>
                </c:pt>
                <c:pt idx="92">
                  <c:v>17.556000000000001</c:v>
                </c:pt>
                <c:pt idx="93">
                  <c:v>38.935000000000002</c:v>
                </c:pt>
                <c:pt idx="94">
                  <c:v>46.162999999999997</c:v>
                </c:pt>
                <c:pt idx="95">
                  <c:v>22.652000000000001</c:v>
                </c:pt>
                <c:pt idx="96">
                  <c:v>33.957000000000001</c:v>
                </c:pt>
                <c:pt idx="97">
                  <c:v>33.378</c:v>
                </c:pt>
                <c:pt idx="98">
                  <c:v>45.027999999999999</c:v>
                </c:pt>
                <c:pt idx="99">
                  <c:v>28.42</c:v>
                </c:pt>
                <c:pt idx="100">
                  <c:v>9.3000000000000007</c:v>
                </c:pt>
                <c:pt idx="101">
                  <c:v>52.219000000000001</c:v>
                </c:pt>
                <c:pt idx="102">
                  <c:v>53.136000000000003</c:v>
                </c:pt>
                <c:pt idx="103">
                  <c:v>26.486999999999998</c:v>
                </c:pt>
                <c:pt idx="104">
                  <c:v>36.061</c:v>
                </c:pt>
                <c:pt idx="105">
                  <c:v>33.991</c:v>
                </c:pt>
                <c:pt idx="106">
                  <c:v>32.253</c:v>
                </c:pt>
                <c:pt idx="107">
                  <c:v>25.41</c:v>
                </c:pt>
                <c:pt idx="108">
                  <c:v>49.012999999999998</c:v>
                </c:pt>
                <c:pt idx="109">
                  <c:v>45.716000000000001</c:v>
                </c:pt>
                <c:pt idx="110">
                  <c:v>19.373000000000001</c:v>
                </c:pt>
                <c:pt idx="111">
                  <c:v>32.776000000000003</c:v>
                </c:pt>
                <c:pt idx="112">
                  <c:v>36.167999999999999</c:v>
                </c:pt>
                <c:pt idx="113">
                  <c:v>50.5</c:v>
                </c:pt>
                <c:pt idx="114">
                  <c:v>34.786999999999999</c:v>
                </c:pt>
                <c:pt idx="115">
                  <c:v>33.15</c:v>
                </c:pt>
                <c:pt idx="116">
                  <c:v>31.824999999999999</c:v>
                </c:pt>
                <c:pt idx="117">
                  <c:v>45.134</c:v>
                </c:pt>
                <c:pt idx="118">
                  <c:v>51.438000000000002</c:v>
                </c:pt>
                <c:pt idx="119">
                  <c:v>57.116</c:v>
                </c:pt>
                <c:pt idx="120">
                  <c:v>53.350999999999999</c:v>
                </c:pt>
                <c:pt idx="121">
                  <c:v>34.759</c:v>
                </c:pt>
                <c:pt idx="122">
                  <c:v>21.260999999999999</c:v>
                </c:pt>
                <c:pt idx="123">
                  <c:v>31.178000000000001</c:v>
                </c:pt>
                <c:pt idx="124">
                  <c:v>43.878999999999998</c:v>
                </c:pt>
                <c:pt idx="125">
                  <c:v>60.296999999999997</c:v>
                </c:pt>
                <c:pt idx="126">
                  <c:v>44.591000000000001</c:v>
                </c:pt>
                <c:pt idx="127">
                  <c:v>30.876000000000001</c:v>
                </c:pt>
                <c:pt idx="128">
                  <c:v>47.829000000000001</c:v>
                </c:pt>
                <c:pt idx="129">
                  <c:v>39.668999999999997</c:v>
                </c:pt>
                <c:pt idx="130">
                  <c:v>37.786999999999999</c:v>
                </c:pt>
                <c:pt idx="131">
                  <c:v>54.933</c:v>
                </c:pt>
                <c:pt idx="132">
                  <c:v>61.014000000000003</c:v>
                </c:pt>
                <c:pt idx="133">
                  <c:v>59.463000000000001</c:v>
                </c:pt>
                <c:pt idx="134">
                  <c:v>60.335999999999999</c:v>
                </c:pt>
                <c:pt idx="135">
                  <c:v>49.947000000000003</c:v>
                </c:pt>
                <c:pt idx="136">
                  <c:v>6.9109999999999996</c:v>
                </c:pt>
                <c:pt idx="137">
                  <c:v>37.584000000000003</c:v>
                </c:pt>
                <c:pt idx="138">
                  <c:v>27.007999999999999</c:v>
                </c:pt>
                <c:pt idx="139">
                  <c:v>55.753999999999998</c:v>
                </c:pt>
                <c:pt idx="140">
                  <c:v>44.51</c:v>
                </c:pt>
                <c:pt idx="141">
                  <c:v>58.847000000000001</c:v>
                </c:pt>
                <c:pt idx="142">
                  <c:v>49.948999999999998</c:v>
                </c:pt>
                <c:pt idx="143">
                  <c:v>12.086</c:v>
                </c:pt>
                <c:pt idx="144">
                  <c:v>32.164000000000001</c:v>
                </c:pt>
                <c:pt idx="145">
                  <c:v>26.34</c:v>
                </c:pt>
                <c:pt idx="146">
                  <c:v>33.523000000000003</c:v>
                </c:pt>
                <c:pt idx="147">
                  <c:v>27.216999999999999</c:v>
                </c:pt>
                <c:pt idx="148">
                  <c:v>38.695999999999998</c:v>
                </c:pt>
                <c:pt idx="149">
                  <c:v>59.265000000000001</c:v>
                </c:pt>
                <c:pt idx="150">
                  <c:v>60.198</c:v>
                </c:pt>
                <c:pt idx="151">
                  <c:v>60.582000000000001</c:v>
                </c:pt>
                <c:pt idx="152">
                  <c:v>59.411999999999999</c:v>
                </c:pt>
                <c:pt idx="153">
                  <c:v>45.567</c:v>
                </c:pt>
                <c:pt idx="154">
                  <c:v>53.857999999999997</c:v>
                </c:pt>
                <c:pt idx="155">
                  <c:v>10.987</c:v>
                </c:pt>
                <c:pt idx="156">
                  <c:v>59.167000000000002</c:v>
                </c:pt>
                <c:pt idx="157">
                  <c:v>20.465</c:v>
                </c:pt>
                <c:pt idx="158">
                  <c:v>61.329000000000001</c:v>
                </c:pt>
                <c:pt idx="159">
                  <c:v>49.305</c:v>
                </c:pt>
                <c:pt idx="160">
                  <c:v>24.428000000000001</c:v>
                </c:pt>
                <c:pt idx="161">
                  <c:v>30.742000000000001</c:v>
                </c:pt>
                <c:pt idx="162">
                  <c:v>56.485999999999997</c:v>
                </c:pt>
                <c:pt idx="163">
                  <c:v>58.921999999999997</c:v>
                </c:pt>
                <c:pt idx="164">
                  <c:v>27.216000000000001</c:v>
                </c:pt>
                <c:pt idx="165">
                  <c:v>19.905999999999999</c:v>
                </c:pt>
                <c:pt idx="166">
                  <c:v>60.323999999999998</c:v>
                </c:pt>
                <c:pt idx="167">
                  <c:v>59.505000000000003</c:v>
                </c:pt>
                <c:pt idx="168">
                  <c:v>57.956000000000003</c:v>
                </c:pt>
                <c:pt idx="169">
                  <c:v>47.031999999999996</c:v>
                </c:pt>
                <c:pt idx="170">
                  <c:v>25.588999999999999</c:v>
                </c:pt>
                <c:pt idx="171">
                  <c:v>9.91</c:v>
                </c:pt>
                <c:pt idx="172">
                  <c:v>54.820999999999998</c:v>
                </c:pt>
                <c:pt idx="173">
                  <c:v>52.204999999999998</c:v>
                </c:pt>
                <c:pt idx="174">
                  <c:v>37.631</c:v>
                </c:pt>
                <c:pt idx="175">
                  <c:v>52.283999999999999</c:v>
                </c:pt>
                <c:pt idx="176">
                  <c:v>56.491999999999997</c:v>
                </c:pt>
                <c:pt idx="177">
                  <c:v>56.304000000000002</c:v>
                </c:pt>
                <c:pt idx="178">
                  <c:v>56.225000000000001</c:v>
                </c:pt>
                <c:pt idx="179">
                  <c:v>54.15</c:v>
                </c:pt>
                <c:pt idx="180">
                  <c:v>53.037999999999997</c:v>
                </c:pt>
                <c:pt idx="181">
                  <c:v>18.012</c:v>
                </c:pt>
                <c:pt idx="182">
                  <c:v>29.558</c:v>
                </c:pt>
                <c:pt idx="183">
                  <c:v>47.58</c:v>
                </c:pt>
                <c:pt idx="184">
                  <c:v>54.66</c:v>
                </c:pt>
                <c:pt idx="185">
                  <c:v>53.228999999999999</c:v>
                </c:pt>
                <c:pt idx="186">
                  <c:v>53.045000000000002</c:v>
                </c:pt>
                <c:pt idx="187">
                  <c:v>48.911999999999999</c:v>
                </c:pt>
                <c:pt idx="188">
                  <c:v>32.03</c:v>
                </c:pt>
                <c:pt idx="189">
                  <c:v>23.619</c:v>
                </c:pt>
                <c:pt idx="190">
                  <c:v>58.07</c:v>
                </c:pt>
                <c:pt idx="191">
                  <c:v>57.658000000000001</c:v>
                </c:pt>
                <c:pt idx="192">
                  <c:v>58.412999999999997</c:v>
                </c:pt>
                <c:pt idx="193">
                  <c:v>50.381999999999998</c:v>
                </c:pt>
                <c:pt idx="194">
                  <c:v>57.393999999999998</c:v>
                </c:pt>
                <c:pt idx="195">
                  <c:v>58.887</c:v>
                </c:pt>
                <c:pt idx="196">
                  <c:v>56.924999999999997</c:v>
                </c:pt>
                <c:pt idx="197">
                  <c:v>49.921999999999997</c:v>
                </c:pt>
                <c:pt idx="198">
                  <c:v>40.627000000000002</c:v>
                </c:pt>
                <c:pt idx="199">
                  <c:v>55.353000000000002</c:v>
                </c:pt>
                <c:pt idx="200">
                  <c:v>25.777000000000001</c:v>
                </c:pt>
                <c:pt idx="201">
                  <c:v>42.951999999999998</c:v>
                </c:pt>
                <c:pt idx="202">
                  <c:v>48.713000000000001</c:v>
                </c:pt>
                <c:pt idx="203">
                  <c:v>52.298000000000002</c:v>
                </c:pt>
                <c:pt idx="204">
                  <c:v>52.521999999999998</c:v>
                </c:pt>
                <c:pt idx="205">
                  <c:v>52.424999999999997</c:v>
                </c:pt>
                <c:pt idx="206">
                  <c:v>24.744</c:v>
                </c:pt>
                <c:pt idx="207">
                  <c:v>12.273</c:v>
                </c:pt>
                <c:pt idx="208">
                  <c:v>56.353999999999999</c:v>
                </c:pt>
                <c:pt idx="209">
                  <c:v>55.177999999999997</c:v>
                </c:pt>
                <c:pt idx="210">
                  <c:v>27.228999999999999</c:v>
                </c:pt>
                <c:pt idx="211">
                  <c:v>50.145000000000003</c:v>
                </c:pt>
                <c:pt idx="212">
                  <c:v>47.914999999999999</c:v>
                </c:pt>
                <c:pt idx="213">
                  <c:v>52.32</c:v>
                </c:pt>
                <c:pt idx="214">
                  <c:v>52.585000000000001</c:v>
                </c:pt>
                <c:pt idx="215">
                  <c:v>48.545999999999999</c:v>
                </c:pt>
                <c:pt idx="216">
                  <c:v>49.357999999999997</c:v>
                </c:pt>
                <c:pt idx="217">
                  <c:v>39.383000000000003</c:v>
                </c:pt>
                <c:pt idx="218">
                  <c:v>42.011000000000003</c:v>
                </c:pt>
                <c:pt idx="219">
                  <c:v>49.904000000000003</c:v>
                </c:pt>
                <c:pt idx="220">
                  <c:v>46.718000000000004</c:v>
                </c:pt>
                <c:pt idx="221">
                  <c:v>39.625</c:v>
                </c:pt>
                <c:pt idx="222">
                  <c:v>25.396999999999998</c:v>
                </c:pt>
                <c:pt idx="223">
                  <c:v>28.548999999999999</c:v>
                </c:pt>
                <c:pt idx="224">
                  <c:v>47.627000000000002</c:v>
                </c:pt>
                <c:pt idx="225">
                  <c:v>51.588000000000001</c:v>
                </c:pt>
                <c:pt idx="226">
                  <c:v>26.802</c:v>
                </c:pt>
                <c:pt idx="227">
                  <c:v>50.661999999999999</c:v>
                </c:pt>
                <c:pt idx="228">
                  <c:v>49.505000000000003</c:v>
                </c:pt>
                <c:pt idx="229">
                  <c:v>34.524999999999999</c:v>
                </c:pt>
                <c:pt idx="230">
                  <c:v>32.798000000000002</c:v>
                </c:pt>
                <c:pt idx="231">
                  <c:v>31.45</c:v>
                </c:pt>
                <c:pt idx="232">
                  <c:v>46.508000000000003</c:v>
                </c:pt>
                <c:pt idx="233">
                  <c:v>50.378</c:v>
                </c:pt>
                <c:pt idx="234">
                  <c:v>47.805</c:v>
                </c:pt>
                <c:pt idx="235">
                  <c:v>47.677</c:v>
                </c:pt>
                <c:pt idx="236">
                  <c:v>43.116999999999997</c:v>
                </c:pt>
                <c:pt idx="237">
                  <c:v>39.03</c:v>
                </c:pt>
                <c:pt idx="238">
                  <c:v>32.933999999999997</c:v>
                </c:pt>
                <c:pt idx="239">
                  <c:v>39.173999999999999</c:v>
                </c:pt>
                <c:pt idx="240">
                  <c:v>44.624000000000002</c:v>
                </c:pt>
                <c:pt idx="241">
                  <c:v>44.198</c:v>
                </c:pt>
                <c:pt idx="242">
                  <c:v>42.758000000000003</c:v>
                </c:pt>
                <c:pt idx="243">
                  <c:v>16.192</c:v>
                </c:pt>
                <c:pt idx="244">
                  <c:v>44.682000000000002</c:v>
                </c:pt>
                <c:pt idx="245">
                  <c:v>46.456000000000003</c:v>
                </c:pt>
                <c:pt idx="246">
                  <c:v>45.96</c:v>
                </c:pt>
                <c:pt idx="247">
                  <c:v>37.061</c:v>
                </c:pt>
                <c:pt idx="248">
                  <c:v>47.158000000000001</c:v>
                </c:pt>
                <c:pt idx="249">
                  <c:v>46.018000000000001</c:v>
                </c:pt>
                <c:pt idx="250">
                  <c:v>40.435000000000002</c:v>
                </c:pt>
                <c:pt idx="251">
                  <c:v>35.384999999999998</c:v>
                </c:pt>
                <c:pt idx="252">
                  <c:v>13.108000000000001</c:v>
                </c:pt>
                <c:pt idx="253">
                  <c:v>37.722999999999999</c:v>
                </c:pt>
                <c:pt idx="254">
                  <c:v>42.883000000000003</c:v>
                </c:pt>
                <c:pt idx="255">
                  <c:v>32.469000000000001</c:v>
                </c:pt>
                <c:pt idx="256">
                  <c:v>37.926000000000002</c:v>
                </c:pt>
                <c:pt idx="257">
                  <c:v>37.787999999999997</c:v>
                </c:pt>
                <c:pt idx="258">
                  <c:v>37.408999999999999</c:v>
                </c:pt>
                <c:pt idx="259">
                  <c:v>36.277000000000001</c:v>
                </c:pt>
                <c:pt idx="260">
                  <c:v>25.167999999999999</c:v>
                </c:pt>
                <c:pt idx="261">
                  <c:v>36.893000000000001</c:v>
                </c:pt>
                <c:pt idx="262">
                  <c:v>37.710999999999999</c:v>
                </c:pt>
                <c:pt idx="263">
                  <c:v>30.489000000000001</c:v>
                </c:pt>
                <c:pt idx="264">
                  <c:v>11.411</c:v>
                </c:pt>
                <c:pt idx="265">
                  <c:v>35.387999999999998</c:v>
                </c:pt>
                <c:pt idx="266">
                  <c:v>26.093</c:v>
                </c:pt>
                <c:pt idx="267">
                  <c:v>26.585000000000001</c:v>
                </c:pt>
                <c:pt idx="268">
                  <c:v>28.027999999999999</c:v>
                </c:pt>
                <c:pt idx="269">
                  <c:v>29.395</c:v>
                </c:pt>
                <c:pt idx="270">
                  <c:v>25.867999999999999</c:v>
                </c:pt>
                <c:pt idx="271">
                  <c:v>35.793999999999997</c:v>
                </c:pt>
                <c:pt idx="272">
                  <c:v>24.041</c:v>
                </c:pt>
                <c:pt idx="273">
                  <c:v>27.218</c:v>
                </c:pt>
                <c:pt idx="274">
                  <c:v>23.387</c:v>
                </c:pt>
                <c:pt idx="275">
                  <c:v>31.98</c:v>
                </c:pt>
                <c:pt idx="276">
                  <c:v>10.919</c:v>
                </c:pt>
                <c:pt idx="277">
                  <c:v>30.827000000000002</c:v>
                </c:pt>
                <c:pt idx="278">
                  <c:v>17.52</c:v>
                </c:pt>
                <c:pt idx="279">
                  <c:v>27.521000000000001</c:v>
                </c:pt>
                <c:pt idx="280">
                  <c:v>31.085999999999999</c:v>
                </c:pt>
                <c:pt idx="281">
                  <c:v>8.9670000000000005</c:v>
                </c:pt>
                <c:pt idx="282">
                  <c:v>23.169</c:v>
                </c:pt>
                <c:pt idx="283">
                  <c:v>31.757000000000001</c:v>
                </c:pt>
                <c:pt idx="284">
                  <c:v>15.401</c:v>
                </c:pt>
                <c:pt idx="285">
                  <c:v>28.559000000000001</c:v>
                </c:pt>
                <c:pt idx="286">
                  <c:v>9.3800000000000008</c:v>
                </c:pt>
                <c:pt idx="287">
                  <c:v>25.155000000000001</c:v>
                </c:pt>
                <c:pt idx="288">
                  <c:v>26.942</c:v>
                </c:pt>
                <c:pt idx="289">
                  <c:v>17.187999999999999</c:v>
                </c:pt>
                <c:pt idx="290">
                  <c:v>13.368</c:v>
                </c:pt>
                <c:pt idx="291">
                  <c:v>23.94</c:v>
                </c:pt>
                <c:pt idx="292">
                  <c:v>10.217000000000001</c:v>
                </c:pt>
                <c:pt idx="293">
                  <c:v>20.259</c:v>
                </c:pt>
                <c:pt idx="294">
                  <c:v>3.931</c:v>
                </c:pt>
                <c:pt idx="295">
                  <c:v>16.448</c:v>
                </c:pt>
                <c:pt idx="296">
                  <c:v>16.774000000000001</c:v>
                </c:pt>
                <c:pt idx="297">
                  <c:v>23.324000000000002</c:v>
                </c:pt>
                <c:pt idx="298">
                  <c:v>26.256</c:v>
                </c:pt>
                <c:pt idx="299">
                  <c:v>19.54</c:v>
                </c:pt>
                <c:pt idx="300">
                  <c:v>9.4990000000000006</c:v>
                </c:pt>
                <c:pt idx="301">
                  <c:v>22.603999999999999</c:v>
                </c:pt>
                <c:pt idx="302">
                  <c:v>18.943000000000001</c:v>
                </c:pt>
                <c:pt idx="303">
                  <c:v>16.504999999999999</c:v>
                </c:pt>
                <c:pt idx="304">
                  <c:v>7.3150000000000004</c:v>
                </c:pt>
                <c:pt idx="305">
                  <c:v>5.3070000000000004</c:v>
                </c:pt>
                <c:pt idx="306">
                  <c:v>12.545999999999999</c:v>
                </c:pt>
                <c:pt idx="307">
                  <c:v>9.5739999999999998</c:v>
                </c:pt>
                <c:pt idx="308">
                  <c:v>11.484999999999999</c:v>
                </c:pt>
                <c:pt idx="309">
                  <c:v>12.484</c:v>
                </c:pt>
                <c:pt idx="310">
                  <c:v>4.407</c:v>
                </c:pt>
                <c:pt idx="311">
                  <c:v>12.961</c:v>
                </c:pt>
                <c:pt idx="312">
                  <c:v>15.875999999999999</c:v>
                </c:pt>
                <c:pt idx="313">
                  <c:v>16.672999999999998</c:v>
                </c:pt>
                <c:pt idx="314">
                  <c:v>18.63</c:v>
                </c:pt>
                <c:pt idx="315">
                  <c:v>14.215999999999999</c:v>
                </c:pt>
                <c:pt idx="316">
                  <c:v>17.053999999999998</c:v>
                </c:pt>
                <c:pt idx="317">
                  <c:v>5.399</c:v>
                </c:pt>
                <c:pt idx="318">
                  <c:v>13.058</c:v>
                </c:pt>
                <c:pt idx="319">
                  <c:v>13.372</c:v>
                </c:pt>
                <c:pt idx="320">
                  <c:v>8.6129999999999995</c:v>
                </c:pt>
                <c:pt idx="321">
                  <c:v>8.9930000000000003</c:v>
                </c:pt>
                <c:pt idx="322">
                  <c:v>14.788</c:v>
                </c:pt>
                <c:pt idx="323">
                  <c:v>19.847000000000001</c:v>
                </c:pt>
                <c:pt idx="324">
                  <c:v>19.119</c:v>
                </c:pt>
                <c:pt idx="325">
                  <c:v>8.9770000000000003</c:v>
                </c:pt>
                <c:pt idx="326">
                  <c:v>5.2949999999999999</c:v>
                </c:pt>
                <c:pt idx="327">
                  <c:v>9.9819999999999993</c:v>
                </c:pt>
                <c:pt idx="328">
                  <c:v>10.207000000000001</c:v>
                </c:pt>
                <c:pt idx="329">
                  <c:v>15.327999999999999</c:v>
                </c:pt>
                <c:pt idx="330">
                  <c:v>13.792999999999999</c:v>
                </c:pt>
                <c:pt idx="331">
                  <c:v>8.3460000000000001</c:v>
                </c:pt>
                <c:pt idx="332">
                  <c:v>13.379</c:v>
                </c:pt>
                <c:pt idx="333">
                  <c:v>11.948</c:v>
                </c:pt>
                <c:pt idx="334">
                  <c:v>7.734</c:v>
                </c:pt>
                <c:pt idx="335">
                  <c:v>3.5619999999999998</c:v>
                </c:pt>
                <c:pt idx="336">
                  <c:v>3.9740000000000002</c:v>
                </c:pt>
                <c:pt idx="337">
                  <c:v>6.3410000000000002</c:v>
                </c:pt>
                <c:pt idx="338">
                  <c:v>7.97</c:v>
                </c:pt>
                <c:pt idx="339">
                  <c:v>11.013999999999999</c:v>
                </c:pt>
                <c:pt idx="340">
                  <c:v>11.79</c:v>
                </c:pt>
                <c:pt idx="341">
                  <c:v>13.38</c:v>
                </c:pt>
                <c:pt idx="342">
                  <c:v>8.0920000000000005</c:v>
                </c:pt>
                <c:pt idx="343">
                  <c:v>14.64</c:v>
                </c:pt>
                <c:pt idx="344">
                  <c:v>1.768</c:v>
                </c:pt>
                <c:pt idx="345">
                  <c:v>5.657</c:v>
                </c:pt>
                <c:pt idx="346">
                  <c:v>1.976</c:v>
                </c:pt>
                <c:pt idx="347">
                  <c:v>12.411</c:v>
                </c:pt>
                <c:pt idx="348">
                  <c:v>15.532999999999999</c:v>
                </c:pt>
                <c:pt idx="349">
                  <c:v>10.952999999999999</c:v>
                </c:pt>
                <c:pt idx="350">
                  <c:v>9.4710000000000001</c:v>
                </c:pt>
                <c:pt idx="351">
                  <c:v>13.004</c:v>
                </c:pt>
                <c:pt idx="352">
                  <c:v>8.4760000000000009</c:v>
                </c:pt>
                <c:pt idx="353">
                  <c:v>6.6340000000000003</c:v>
                </c:pt>
                <c:pt idx="354">
                  <c:v>13.78</c:v>
                </c:pt>
                <c:pt idx="355">
                  <c:v>5.4459999999999997</c:v>
                </c:pt>
                <c:pt idx="356">
                  <c:v>6.7320000000000002</c:v>
                </c:pt>
                <c:pt idx="357">
                  <c:v>12.176</c:v>
                </c:pt>
                <c:pt idx="358">
                  <c:v>9.0990000000000002</c:v>
                </c:pt>
                <c:pt idx="359">
                  <c:v>5.6849999999999996</c:v>
                </c:pt>
                <c:pt idx="360">
                  <c:v>13.814</c:v>
                </c:pt>
                <c:pt idx="361">
                  <c:v>3.395</c:v>
                </c:pt>
                <c:pt idx="362">
                  <c:v>16.550999999999998</c:v>
                </c:pt>
                <c:pt idx="363">
                  <c:v>15.805</c:v>
                </c:pt>
                <c:pt idx="364">
                  <c:v>12.005000000000001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693504"/>
        <c:axId val="533693896"/>
      </c:lineChart>
      <c:dateAx>
        <c:axId val="533693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3693896"/>
        <c:crosses val="autoZero"/>
        <c:auto val="1"/>
        <c:lblOffset val="100"/>
        <c:baseTimeUnit val="days"/>
        <c:majorUnit val="1"/>
        <c:majorTimeUnit val="months"/>
      </c:dateAx>
      <c:valAx>
        <c:axId val="53369389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36935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1.1982389515149627E-2</c:v>
                </c:pt>
                <c:pt idx="1">
                  <c:v>1.2005382128346453E-2</c:v>
                </c:pt>
                <c:pt idx="2">
                  <c:v>1.2028374206471515E-2</c:v>
                </c:pt>
                <c:pt idx="3">
                  <c:v>1.2051365749537468E-2</c:v>
                </c:pt>
                <c:pt idx="4">
                  <c:v>1.2074356757556526E-2</c:v>
                </c:pt>
                <c:pt idx="5">
                  <c:v>1.2097347230541233E-2</c:v>
                </c:pt>
                <c:pt idx="6">
                  <c:v>1.2120337168504025E-2</c:v>
                </c:pt>
                <c:pt idx="7">
                  <c:v>1.2143326571457447E-2</c:v>
                </c:pt>
                <c:pt idx="8">
                  <c:v>1.2166315439413822E-2</c:v>
                </c:pt>
                <c:pt idx="9">
                  <c:v>1.2189303772385696E-2</c:v>
                </c:pt>
                <c:pt idx="10">
                  <c:v>1.2212291570385503E-2</c:v>
                </c:pt>
                <c:pt idx="11">
                  <c:v>1.2235278833425567E-2</c:v>
                </c:pt>
                <c:pt idx="12">
                  <c:v>1.2258265561518544E-2</c:v>
                </c:pt>
                <c:pt idx="13">
                  <c:v>1.2281251754676759E-2</c:v>
                </c:pt>
                <c:pt idx="14">
                  <c:v>1.2304237412912644E-2</c:v>
                </c:pt>
                <c:pt idx="15">
                  <c:v>1.2327222536238636E-2</c:v>
                </c:pt>
                <c:pt idx="16">
                  <c:v>1.2350207124667278E-2</c:v>
                </c:pt>
                <c:pt idx="17">
                  <c:v>1.2373191178211007E-2</c:v>
                </c:pt>
                <c:pt idx="18">
                  <c:v>1.2396174696882145E-2</c:v>
                </c:pt>
                <c:pt idx="19">
                  <c:v>1.2419157680693349E-2</c:v>
                </c:pt>
                <c:pt idx="20">
                  <c:v>1.2442140129656831E-2</c:v>
                </c:pt>
                <c:pt idx="21">
                  <c:v>1.2465122043785137E-2</c:v>
                </c:pt>
                <c:pt idx="22">
                  <c:v>1.2488103423090813E-2</c:v>
                </c:pt>
                <c:pt idx="23">
                  <c:v>1.2511084267586181E-2</c:v>
                </c:pt>
                <c:pt idx="24">
                  <c:v>1.2534064577283788E-2</c:v>
                </c:pt>
                <c:pt idx="25">
                  <c:v>1.2557044352195956E-2</c:v>
                </c:pt>
                <c:pt idx="26">
                  <c:v>1.2580023592335121E-2</c:v>
                </c:pt>
                <c:pt idx="27">
                  <c:v>1.2603002297713939E-2</c:v>
                </c:pt>
                <c:pt idx="28">
                  <c:v>1.2625980468344622E-2</c:v>
                </c:pt>
                <c:pt idx="29">
                  <c:v>1.2648958104239716E-2</c:v>
                </c:pt>
                <c:pt idx="30">
                  <c:v>1.2671935205411655E-2</c:v>
                </c:pt>
                <c:pt idx="31">
                  <c:v>1.2694911771872874E-2</c:v>
                </c:pt>
                <c:pt idx="32">
                  <c:v>1.2717887803635919E-2</c:v>
                </c:pt>
                <c:pt idx="33">
                  <c:v>1.2740863300713001E-2</c:v>
                </c:pt>
                <c:pt idx="34">
                  <c:v>1.2763838263116778E-2</c:v>
                </c:pt>
                <c:pt idx="35">
                  <c:v>1.2786812690859684E-2</c:v>
                </c:pt>
                <c:pt idx="36">
                  <c:v>1.280978658395393E-2</c:v>
                </c:pt>
                <c:pt idx="37">
                  <c:v>1.2832759942412175E-2</c:v>
                </c:pt>
                <c:pt idx="38">
                  <c:v>1.2855732766246852E-2</c:v>
                </c:pt>
                <c:pt idx="39">
                  <c:v>1.2878705055470396E-2</c:v>
                </c:pt>
                <c:pt idx="40">
                  <c:v>1.2901676810095131E-2</c:v>
                </c:pt>
                <c:pt idx="41">
                  <c:v>1.2924648030133601E-2</c:v>
                </c:pt>
                <c:pt idx="42">
                  <c:v>1.2947618715598241E-2</c:v>
                </c:pt>
                <c:pt idx="43">
                  <c:v>1.2970588866501487E-2</c:v>
                </c:pt>
                <c:pt idx="44">
                  <c:v>1.2993558482855661E-2</c:v>
                </c:pt>
                <c:pt idx="45">
                  <c:v>1.3016527564673419E-2</c:v>
                </c:pt>
                <c:pt idx="46">
                  <c:v>1.3039496111966975E-2</c:v>
                </c:pt>
                <c:pt idx="47">
                  <c:v>1.3062464124748985E-2</c:v>
                </c:pt>
                <c:pt idx="48">
                  <c:v>1.3085431603031772E-2</c:v>
                </c:pt>
                <c:pt idx="49">
                  <c:v>1.3108398546827771E-2</c:v>
                </c:pt>
                <c:pt idx="50">
                  <c:v>1.3131364956149416E-2</c:v>
                </c:pt>
                <c:pt idx="51">
                  <c:v>1.3154330831009142E-2</c:v>
                </c:pt>
                <c:pt idx="52">
                  <c:v>1.3177296171419384E-2</c:v>
                </c:pt>
                <c:pt idx="53">
                  <c:v>1.3200260977392686E-2</c:v>
                </c:pt>
                <c:pt idx="54">
                  <c:v>1.3223225248941373E-2</c:v>
                </c:pt>
                <c:pt idx="55">
                  <c:v>1.3246188986077989E-2</c:v>
                </c:pt>
                <c:pt idx="56">
                  <c:v>1.3269152188814748E-2</c:v>
                </c:pt>
                <c:pt idx="57">
                  <c:v>1.3292114857164306E-2</c:v>
                </c:pt>
                <c:pt idx="58">
                  <c:v>1.3315076991139096E-2</c:v>
                </c:pt>
                <c:pt idx="59">
                  <c:v>1.3338038590751333E-2</c:v>
                </c:pt>
                <c:pt idx="60">
                  <c:v>1.3360999656013672E-2</c:v>
                </c:pt>
                <c:pt idx="61">
                  <c:v>1.3383960186938548E-2</c:v>
                </c:pt>
                <c:pt idx="62">
                  <c:v>1.3406920183538285E-2</c:v>
                </c:pt>
                <c:pt idx="63">
                  <c:v>1.3429879645825316E-2</c:v>
                </c:pt>
                <c:pt idx="64">
                  <c:v>1.3452838573812187E-2</c:v>
                </c:pt>
                <c:pt idx="65">
                  <c:v>1.3475796967511111E-2</c:v>
                </c:pt>
                <c:pt idx="66">
                  <c:v>1.3498754826934856E-2</c:v>
                </c:pt>
                <c:pt idx="67">
                  <c:v>1.3521712152095522E-2</c:v>
                </c:pt>
                <c:pt idx="68">
                  <c:v>1.3544668943005767E-2</c:v>
                </c:pt>
                <c:pt idx="69">
                  <c:v>1.3567625199678024E-2</c:v>
                </c:pt>
                <c:pt idx="70">
                  <c:v>1.3590580922124507E-2</c:v>
                </c:pt>
                <c:pt idx="71">
                  <c:v>1.3613536110357871E-2</c:v>
                </c:pt>
                <c:pt idx="72">
                  <c:v>1.3636490764390552E-2</c:v>
                </c:pt>
                <c:pt idx="73">
                  <c:v>1.3659444884234762E-2</c:v>
                </c:pt>
                <c:pt idx="74">
                  <c:v>1.3682398469903156E-2</c:v>
                </c:pt>
                <c:pt idx="75">
                  <c:v>1.3705351521407949E-2</c:v>
                </c:pt>
                <c:pt idx="76">
                  <c:v>1.3728304038761796E-2</c:v>
                </c:pt>
                <c:pt idx="77">
                  <c:v>1.3751256021977132E-2</c:v>
                </c:pt>
                <c:pt idx="78">
                  <c:v>1.3774207471066169E-2</c:v>
                </c:pt>
                <c:pt idx="79">
                  <c:v>1.3797158386041453E-2</c:v>
                </c:pt>
                <c:pt idx="80">
                  <c:v>1.3820108766915418E-2</c:v>
                </c:pt>
                <c:pt idx="81">
                  <c:v>1.3843058613700499E-2</c:v>
                </c:pt>
                <c:pt idx="82">
                  <c:v>1.386600792640913E-2</c:v>
                </c:pt>
                <c:pt idx="83">
                  <c:v>1.3888956705053745E-2</c:v>
                </c:pt>
                <c:pt idx="84">
                  <c:v>1.391190494964667E-2</c:v>
                </c:pt>
                <c:pt idx="85">
                  <c:v>1.3934852660200558E-2</c:v>
                </c:pt>
                <c:pt idx="86">
                  <c:v>1.3957799836727625E-2</c:v>
                </c:pt>
                <c:pt idx="87">
                  <c:v>1.3980746479240302E-2</c:v>
                </c:pt>
                <c:pt idx="88">
                  <c:v>1.4003692587751138E-2</c:v>
                </c:pt>
                <c:pt idx="89">
                  <c:v>1.4026638162272564E-2</c:v>
                </c:pt>
                <c:pt idx="90">
                  <c:v>1.4049583202816907E-2</c:v>
                </c:pt>
                <c:pt idx="91">
                  <c:v>1.4072527709396598E-2</c:v>
                </c:pt>
                <c:pt idx="92">
                  <c:v>1.4095471682024185E-2</c:v>
                </c:pt>
                <c:pt idx="93">
                  <c:v>1.4118415120711991E-2</c:v>
                </c:pt>
                <c:pt idx="94">
                  <c:v>1.4141358025472339E-2</c:v>
                </c:pt>
                <c:pt idx="95">
                  <c:v>1.4164300396317886E-2</c:v>
                </c:pt>
                <c:pt idx="96">
                  <c:v>1.4187242233260955E-2</c:v>
                </c:pt>
                <c:pt idx="97">
                  <c:v>1.4210183536313981E-2</c:v>
                </c:pt>
                <c:pt idx="98">
                  <c:v>1.4233124305489286E-2</c:v>
                </c:pt>
                <c:pt idx="99">
                  <c:v>1.4256064540799418E-2</c:v>
                </c:pt>
                <c:pt idx="100">
                  <c:v>1.4279004242256699E-2</c:v>
                </c:pt>
                <c:pt idx="101">
                  <c:v>1.4301943409873674E-2</c:v>
                </c:pt>
                <c:pt idx="102">
                  <c:v>1.4324882043662779E-2</c:v>
                </c:pt>
                <c:pt idx="103">
                  <c:v>1.4347820143636225E-2</c:v>
                </c:pt>
                <c:pt idx="104">
                  <c:v>1.437075770980667E-2</c:v>
                </c:pt>
                <c:pt idx="105">
                  <c:v>1.4393694742186436E-2</c:v>
                </c:pt>
                <c:pt idx="106">
                  <c:v>1.4416631240787958E-2</c:v>
                </c:pt>
                <c:pt idx="107">
                  <c:v>1.443956720562356E-2</c:v>
                </c:pt>
                <c:pt idx="108">
                  <c:v>1.4462502636705787E-2</c:v>
                </c:pt>
                <c:pt idx="109">
                  <c:v>1.4485437534047074E-2</c:v>
                </c:pt>
                <c:pt idx="110">
                  <c:v>1.4508371897659744E-2</c:v>
                </c:pt>
                <c:pt idx="111">
                  <c:v>1.4531305727556343E-2</c:v>
                </c:pt>
                <c:pt idx="112">
                  <c:v>1.4554239023749194E-2</c:v>
                </c:pt>
                <c:pt idx="113">
                  <c:v>1.457717178625062E-2</c:v>
                </c:pt>
                <c:pt idx="114">
                  <c:v>1.4600104015073279E-2</c:v>
                </c:pt>
                <c:pt idx="115">
                  <c:v>1.4623035710229493E-2</c:v>
                </c:pt>
                <c:pt idx="116">
                  <c:v>1.4645966871731586E-2</c:v>
                </c:pt>
                <c:pt idx="117">
                  <c:v>1.4668897499592104E-2</c:v>
                </c:pt>
                <c:pt idx="118">
                  <c:v>1.469182759382337E-2</c:v>
                </c:pt>
                <c:pt idx="119">
                  <c:v>1.4714757154437819E-2</c:v>
                </c:pt>
                <c:pt idx="120">
                  <c:v>1.4737686181447995E-2</c:v>
                </c:pt>
                <c:pt idx="121">
                  <c:v>1.4760614674866113E-2</c:v>
                </c:pt>
                <c:pt idx="122">
                  <c:v>1.4783542634704716E-2</c:v>
                </c:pt>
                <c:pt idx="123">
                  <c:v>1.480647006097624E-2</c:v>
                </c:pt>
                <c:pt idx="124">
                  <c:v>1.4829396953693008E-2</c:v>
                </c:pt>
                <c:pt idx="125">
                  <c:v>1.4852323312867566E-2</c:v>
                </c:pt>
                <c:pt idx="126">
                  <c:v>1.4875249138512237E-2</c:v>
                </c:pt>
                <c:pt idx="127">
                  <c:v>1.4898174430639344E-2</c:v>
                </c:pt>
                <c:pt idx="128">
                  <c:v>1.4921099189261544E-2</c:v>
                </c:pt>
                <c:pt idx="129">
                  <c:v>1.494402341439105E-2</c:v>
                </c:pt>
                <c:pt idx="130">
                  <c:v>1.4966947106040296E-2</c:v>
                </c:pt>
                <c:pt idx="131">
                  <c:v>1.4989870264221827E-2</c:v>
                </c:pt>
                <c:pt idx="132">
                  <c:v>1.5012792888947968E-2</c:v>
                </c:pt>
                <c:pt idx="133">
                  <c:v>1.5035714980231152E-2</c:v>
                </c:pt>
                <c:pt idx="134">
                  <c:v>1.5058636538083814E-2</c:v>
                </c:pt>
                <c:pt idx="135">
                  <c:v>1.5081557562518277E-2</c:v>
                </c:pt>
                <c:pt idx="136">
                  <c:v>1.5104478053546977E-2</c:v>
                </c:pt>
                <c:pt idx="137">
                  <c:v>1.5127398011182458E-2</c:v>
                </c:pt>
                <c:pt idx="138">
                  <c:v>1.5150317435437044E-2</c:v>
                </c:pt>
                <c:pt idx="139">
                  <c:v>1.5173236326323059E-2</c:v>
                </c:pt>
                <c:pt idx="140">
                  <c:v>1.5196154683853047E-2</c:v>
                </c:pt>
                <c:pt idx="141">
                  <c:v>1.5219072508039444E-2</c:v>
                </c:pt>
                <c:pt idx="142">
                  <c:v>1.5241989798894462E-2</c:v>
                </c:pt>
                <c:pt idx="143">
                  <c:v>1.5264906556430757E-2</c:v>
                </c:pt>
                <c:pt idx="144">
                  <c:v>1.5287822780660543E-2</c:v>
                </c:pt>
                <c:pt idx="145">
                  <c:v>1.5310738471596363E-2</c:v>
                </c:pt>
                <c:pt idx="146">
                  <c:v>1.5333653629250543E-2</c:v>
                </c:pt>
                <c:pt idx="147">
                  <c:v>1.5356568253635516E-2</c:v>
                </c:pt>
                <c:pt idx="148">
                  <c:v>1.5379482344763717E-2</c:v>
                </c:pt>
                <c:pt idx="149">
                  <c:v>1.5402395902647581E-2</c:v>
                </c:pt>
                <c:pt idx="150">
                  <c:v>1.542530892729943E-2</c:v>
                </c:pt>
                <c:pt idx="151">
                  <c:v>1.54482214187317E-2</c:v>
                </c:pt>
                <c:pt idx="152">
                  <c:v>1.5471133376956936E-2</c:v>
                </c:pt>
                <c:pt idx="153">
                  <c:v>1.549404480198735E-2</c:v>
                </c:pt>
                <c:pt idx="154">
                  <c:v>1.5516955693835377E-2</c:v>
                </c:pt>
                <c:pt idx="155">
                  <c:v>1.5539866052513562E-2</c:v>
                </c:pt>
                <c:pt idx="156">
                  <c:v>1.556277587803423E-2</c:v>
                </c:pt>
                <c:pt idx="157">
                  <c:v>1.5585685170409813E-2</c:v>
                </c:pt>
                <c:pt idx="158">
                  <c:v>1.5608593929652637E-2</c:v>
                </c:pt>
                <c:pt idx="159">
                  <c:v>1.5631502155775134E-2</c:v>
                </c:pt>
                <c:pt idx="160">
                  <c:v>1.5654409848789852E-2</c:v>
                </c:pt>
                <c:pt idx="161">
                  <c:v>1.5677317008709002E-2</c:v>
                </c:pt>
                <c:pt idx="162">
                  <c:v>1.570022363554513E-2</c:v>
                </c:pt>
                <c:pt idx="163">
                  <c:v>1.5723129729310559E-2</c:v>
                </c:pt>
                <c:pt idx="164">
                  <c:v>1.5746035290017724E-2</c:v>
                </c:pt>
                <c:pt idx="165">
                  <c:v>1.5768940317678948E-2</c:v>
                </c:pt>
                <c:pt idx="166">
                  <c:v>1.5791844812306777E-2</c:v>
                </c:pt>
                <c:pt idx="167">
                  <c:v>1.5814748773913645E-2</c:v>
                </c:pt>
                <c:pt idx="168">
                  <c:v>1.5837652202511765E-2</c:v>
                </c:pt>
                <c:pt idx="169">
                  <c:v>1.5860555098113682E-2</c:v>
                </c:pt>
                <c:pt idx="170">
                  <c:v>1.588345746073172E-2</c:v>
                </c:pt>
                <c:pt idx="171">
                  <c:v>1.5906359290378314E-2</c:v>
                </c:pt>
                <c:pt idx="172">
                  <c:v>1.5929260587065897E-2</c:v>
                </c:pt>
                <c:pt idx="173">
                  <c:v>1.5952161350806904E-2</c:v>
                </c:pt>
                <c:pt idx="174">
                  <c:v>1.5975061581613659E-2</c:v>
                </c:pt>
                <c:pt idx="175">
                  <c:v>1.5997961279498596E-2</c:v>
                </c:pt>
                <c:pt idx="176">
                  <c:v>1.6020860444474039E-2</c:v>
                </c:pt>
                <c:pt idx="177">
                  <c:v>1.6043759076552533E-2</c:v>
                </c:pt>
                <c:pt idx="178">
                  <c:v>1.6066657175746291E-2</c:v>
                </c:pt>
                <c:pt idx="179">
                  <c:v>1.6089554742067969E-2</c:v>
                </c:pt>
                <c:pt idx="180">
                  <c:v>1.6112451775529779E-2</c:v>
                </c:pt>
                <c:pt idx="181">
                  <c:v>1.6135348276144157E-2</c:v>
                </c:pt>
                <c:pt idx="182">
                  <c:v>1.6158244243923536E-2</c:v>
                </c:pt>
                <c:pt idx="183">
                  <c:v>1.6181139678880241E-2</c:v>
                </c:pt>
                <c:pt idx="184">
                  <c:v>1.6204034581026816E-2</c:v>
                </c:pt>
                <c:pt idx="185">
                  <c:v>1.6226928950375474E-2</c:v>
                </c:pt>
                <c:pt idx="186">
                  <c:v>1.6249822786938761E-2</c:v>
                </c:pt>
                <c:pt idx="187">
                  <c:v>1.6272716090729E-2</c:v>
                </c:pt>
                <c:pt idx="188">
                  <c:v>1.6295608861758626E-2</c:v>
                </c:pt>
                <c:pt idx="189">
                  <c:v>1.6318501100040073E-2</c:v>
                </c:pt>
                <c:pt idx="190">
                  <c:v>1.6341392805585664E-2</c:v>
                </c:pt>
                <c:pt idx="191">
                  <c:v>1.6364283978407834E-2</c:v>
                </c:pt>
                <c:pt idx="192">
                  <c:v>1.6387174618518907E-2</c:v>
                </c:pt>
                <c:pt idx="193">
                  <c:v>1.6410064725931428E-2</c:v>
                </c:pt>
                <c:pt idx="194">
                  <c:v>1.643295430065761E-2</c:v>
                </c:pt>
                <c:pt idx="195">
                  <c:v>1.6455843342709997E-2</c:v>
                </c:pt>
                <c:pt idx="196">
                  <c:v>1.6478731852101025E-2</c:v>
                </c:pt>
                <c:pt idx="197">
                  <c:v>1.6501619828842906E-2</c:v>
                </c:pt>
                <c:pt idx="198">
                  <c:v>1.6524507272948075E-2</c:v>
                </c:pt>
                <c:pt idx="199">
                  <c:v>1.6547394184429076E-2</c:v>
                </c:pt>
                <c:pt idx="200">
                  <c:v>1.6570280563298234E-2</c:v>
                </c:pt>
                <c:pt idx="201">
                  <c:v>1.6593166409567872E-2</c:v>
                </c:pt>
                <c:pt idx="202">
                  <c:v>1.6616051723250425E-2</c:v>
                </c:pt>
                <c:pt idx="203">
                  <c:v>1.6638936504358326E-2</c:v>
                </c:pt>
                <c:pt idx="204">
                  <c:v>1.66618207529039E-2</c:v>
                </c:pt>
                <c:pt idx="205">
                  <c:v>1.668470446889958E-2</c:v>
                </c:pt>
                <c:pt idx="206">
                  <c:v>1.6707587652357803E-2</c:v>
                </c:pt>
                <c:pt idx="207">
                  <c:v>1.673047030329089E-2</c:v>
                </c:pt>
                <c:pt idx="208">
                  <c:v>1.6753352421711276E-2</c:v>
                </c:pt>
                <c:pt idx="209">
                  <c:v>1.6776234007631285E-2</c:v>
                </c:pt>
                <c:pt idx="210">
                  <c:v>1.6799115061063463E-2</c:v>
                </c:pt>
                <c:pt idx="211">
                  <c:v>1.6821995582020022E-2</c:v>
                </c:pt>
                <c:pt idx="212">
                  <c:v>1.6844875570513507E-2</c:v>
                </c:pt>
                <c:pt idx="213">
                  <c:v>1.686775502655613E-2</c:v>
                </c:pt>
                <c:pt idx="214">
                  <c:v>1.6890633950160439E-2</c:v>
                </c:pt>
                <c:pt idx="215">
                  <c:v>1.6913512341338754E-2</c:v>
                </c:pt>
                <c:pt idx="216">
                  <c:v>1.6936390200103513E-2</c:v>
                </c:pt>
                <c:pt idx="217">
                  <c:v>1.6959267526467037E-2</c:v>
                </c:pt>
                <c:pt idx="218">
                  <c:v>1.6982144320441761E-2</c:v>
                </c:pt>
                <c:pt idx="219">
                  <c:v>1.700502058204012E-2</c:v>
                </c:pt>
                <c:pt idx="220">
                  <c:v>1.7027896311274437E-2</c:v>
                </c:pt>
                <c:pt idx="221">
                  <c:v>1.7050771508157037E-2</c:v>
                </c:pt>
                <c:pt idx="222">
                  <c:v>1.7073646172700463E-2</c:v>
                </c:pt>
                <c:pt idx="223">
                  <c:v>1.709652030491704E-2</c:v>
                </c:pt>
                <c:pt idx="224">
                  <c:v>1.7119393904819091E-2</c:v>
                </c:pt>
                <c:pt idx="225">
                  <c:v>1.7142266972419051E-2</c:v>
                </c:pt>
                <c:pt idx="226">
                  <c:v>1.7165139507729354E-2</c:v>
                </c:pt>
                <c:pt idx="227">
                  <c:v>1.7188011510762324E-2</c:v>
                </c:pt>
                <c:pt idx="228">
                  <c:v>1.7210882981530395E-2</c:v>
                </c:pt>
                <c:pt idx="229">
                  <c:v>1.7233753920045891E-2</c:v>
                </c:pt>
                <c:pt idx="230">
                  <c:v>1.7256624326321246E-2</c:v>
                </c:pt>
                <c:pt idx="231">
                  <c:v>1.7279494200368894E-2</c:v>
                </c:pt>
                <c:pt idx="232">
                  <c:v>1.7302363542201049E-2</c:v>
                </c:pt>
                <c:pt idx="233">
                  <c:v>1.7325232351830255E-2</c:v>
                </c:pt>
                <c:pt idx="234">
                  <c:v>1.7348100629268948E-2</c:v>
                </c:pt>
                <c:pt idx="235">
                  <c:v>1.7370968374529339E-2</c:v>
                </c:pt>
                <c:pt idx="236">
                  <c:v>1.7393835587623863E-2</c:v>
                </c:pt>
                <c:pt idx="237">
                  <c:v>1.7416702268564954E-2</c:v>
                </c:pt>
                <c:pt idx="238">
                  <c:v>1.7439568417364937E-2</c:v>
                </c:pt>
                <c:pt idx="239">
                  <c:v>1.7462434034036245E-2</c:v>
                </c:pt>
                <c:pt idx="240">
                  <c:v>1.7485299118591313E-2</c:v>
                </c:pt>
                <c:pt idx="241">
                  <c:v>1.7508163671042465E-2</c:v>
                </c:pt>
                <c:pt idx="242">
                  <c:v>1.7531027691402024E-2</c:v>
                </c:pt>
                <c:pt idx="243">
                  <c:v>1.7553891179682424E-2</c:v>
                </c:pt>
                <c:pt idx="244">
                  <c:v>1.75767541358961E-2</c:v>
                </c:pt>
                <c:pt idx="245">
                  <c:v>1.7599616560055265E-2</c:v>
                </c:pt>
                <c:pt idx="246">
                  <c:v>1.7622478452172574E-2</c:v>
                </c:pt>
                <c:pt idx="247">
                  <c:v>1.764533981226013E-2</c:v>
                </c:pt>
                <c:pt idx="248">
                  <c:v>1.7668200640330478E-2</c:v>
                </c:pt>
                <c:pt idx="249">
                  <c:v>1.7691060936396052E-2</c:v>
                </c:pt>
                <c:pt idx="250">
                  <c:v>1.7713920700469066E-2</c:v>
                </c:pt>
                <c:pt idx="251">
                  <c:v>1.7736779932561952E-2</c:v>
                </c:pt>
                <c:pt idx="252">
                  <c:v>1.7759638632687147E-2</c:v>
                </c:pt>
                <c:pt idx="253">
                  <c:v>1.7782496800856973E-2</c:v>
                </c:pt>
                <c:pt idx="254">
                  <c:v>1.7805354437083754E-2</c:v>
                </c:pt>
                <c:pt idx="255">
                  <c:v>1.7828211541380035E-2</c:v>
                </c:pt>
                <c:pt idx="256">
                  <c:v>1.785106811375814E-2</c:v>
                </c:pt>
                <c:pt idx="257">
                  <c:v>1.7873924154230392E-2</c:v>
                </c:pt>
                <c:pt idx="258">
                  <c:v>1.7896779662809115E-2</c:v>
                </c:pt>
                <c:pt idx="259">
                  <c:v>1.7919634639506854E-2</c:v>
                </c:pt>
                <c:pt idx="260">
                  <c:v>1.7942489084335822E-2</c:v>
                </c:pt>
                <c:pt idx="261">
                  <c:v>1.7965342997308564E-2</c:v>
                </c:pt>
                <c:pt idx="262">
                  <c:v>1.7988196378437293E-2</c:v>
                </c:pt>
                <c:pt idx="263">
                  <c:v>1.8011049227734555E-2</c:v>
                </c:pt>
                <c:pt idx="264">
                  <c:v>1.803390154521245E-2</c:v>
                </c:pt>
                <c:pt idx="265">
                  <c:v>1.8056753330883635E-2</c:v>
                </c:pt>
                <c:pt idx="266">
                  <c:v>1.8079604584760434E-2</c:v>
                </c:pt>
                <c:pt idx="267">
                  <c:v>1.810245530685517E-2</c:v>
                </c:pt>
                <c:pt idx="268">
                  <c:v>1.8125305497180166E-2</c:v>
                </c:pt>
                <c:pt idx="269">
                  <c:v>1.8148155155747858E-2</c:v>
                </c:pt>
                <c:pt idx="270">
                  <c:v>1.8171004282570569E-2</c:v>
                </c:pt>
                <c:pt idx="271">
                  <c:v>1.8193852877660732E-2</c:v>
                </c:pt>
                <c:pt idx="272">
                  <c:v>1.8216700941030783E-2</c:v>
                </c:pt>
                <c:pt idx="273">
                  <c:v>1.8239548472692935E-2</c:v>
                </c:pt>
                <c:pt idx="274">
                  <c:v>1.8262395472659732E-2</c:v>
                </c:pt>
                <c:pt idx="275">
                  <c:v>1.8285241940943386E-2</c:v>
                </c:pt>
                <c:pt idx="276">
                  <c:v>1.8308087877556334E-2</c:v>
                </c:pt>
                <c:pt idx="277">
                  <c:v>1.8330933282511008E-2</c:v>
                </c:pt>
                <c:pt idx="278">
                  <c:v>1.8353778155819733E-2</c:v>
                </c:pt>
                <c:pt idx="279">
                  <c:v>1.8376622497494943E-2</c:v>
                </c:pt>
                <c:pt idx="280">
                  <c:v>1.8399466307548851E-2</c:v>
                </c:pt>
                <c:pt idx="281">
                  <c:v>1.8422309585994001E-2</c:v>
                </c:pt>
                <c:pt idx="282">
                  <c:v>1.8445152332842607E-2</c:v>
                </c:pt>
                <c:pt idx="283">
                  <c:v>1.8467994548107214E-2</c:v>
                </c:pt>
                <c:pt idx="284">
                  <c:v>1.8490836231800034E-2</c:v>
                </c:pt>
                <c:pt idx="285">
                  <c:v>1.8513677383933502E-2</c:v>
                </c:pt>
                <c:pt idx="286">
                  <c:v>1.8536518004520053E-2</c:v>
                </c:pt>
                <c:pt idx="287">
                  <c:v>1.8559358093571898E-2</c:v>
                </c:pt>
                <c:pt idx="288">
                  <c:v>1.8582197651101584E-2</c:v>
                </c:pt>
                <c:pt idx="289">
                  <c:v>1.8605036677121323E-2</c:v>
                </c:pt>
                <c:pt idx="290">
                  <c:v>1.862787517164366E-2</c:v>
                </c:pt>
                <c:pt idx="291">
                  <c:v>1.8650713134680807E-2</c:v>
                </c:pt>
                <c:pt idx="292">
                  <c:v>1.8673550566245201E-2</c:v>
                </c:pt>
                <c:pt idx="293">
                  <c:v>1.8696387466349162E-2</c:v>
                </c:pt>
                <c:pt idx="294">
                  <c:v>1.8719223835005128E-2</c:v>
                </c:pt>
                <c:pt idx="295">
                  <c:v>1.874205967222542E-2</c:v>
                </c:pt>
                <c:pt idx="296">
                  <c:v>1.8764894978022473E-2</c:v>
                </c:pt>
                <c:pt idx="297">
                  <c:v>1.8787729752408611E-2</c:v>
                </c:pt>
                <c:pt idx="298">
                  <c:v>1.8810563995396046E-2</c:v>
                </c:pt>
                <c:pt idx="299">
                  <c:v>1.8833397706997435E-2</c:v>
                </c:pt>
                <c:pt idx="300">
                  <c:v>1.885623088722499E-2</c:v>
                </c:pt>
                <c:pt idx="301">
                  <c:v>1.8879063536091034E-2</c:v>
                </c:pt>
                <c:pt idx="302">
                  <c:v>1.8901895653608003E-2</c:v>
                </c:pt>
                <c:pt idx="303">
                  <c:v>1.8924727239788219E-2</c:v>
                </c:pt>
                <c:pt idx="304">
                  <c:v>1.8947558294644007E-2</c:v>
                </c:pt>
                <c:pt idx="305">
                  <c:v>1.8970388818187911E-2</c:v>
                </c:pt>
                <c:pt idx="306">
                  <c:v>1.8993218810432144E-2</c:v>
                </c:pt>
                <c:pt idx="307">
                  <c:v>1.901604827138903E-2</c:v>
                </c:pt>
                <c:pt idx="308">
                  <c:v>1.9038877201071114E-2</c:v>
                </c:pt>
                <c:pt idx="309">
                  <c:v>1.9061705599490608E-2</c:v>
                </c:pt>
                <c:pt idx="310">
                  <c:v>1.9084533466659948E-2</c:v>
                </c:pt>
                <c:pt idx="311">
                  <c:v>1.9107360802591455E-2</c:v>
                </c:pt>
                <c:pt idx="312">
                  <c:v>1.9130187607297455E-2</c:v>
                </c:pt>
                <c:pt idx="313">
                  <c:v>1.9153013880790382E-2</c:v>
                </c:pt>
                <c:pt idx="314">
                  <c:v>1.9175839623082669E-2</c:v>
                </c:pt>
                <c:pt idx="315">
                  <c:v>1.9198664834186419E-2</c:v>
                </c:pt>
                <c:pt idx="316">
                  <c:v>1.9221489514114287E-2</c:v>
                </c:pt>
                <c:pt idx="317">
                  <c:v>1.9244313662878487E-2</c:v>
                </c:pt>
                <c:pt idx="318">
                  <c:v>1.9267137280491453E-2</c:v>
                </c:pt>
                <c:pt idx="319">
                  <c:v>1.9289960366965397E-2</c:v>
                </c:pt>
                <c:pt idx="320">
                  <c:v>1.9312782922312755E-2</c:v>
                </c:pt>
                <c:pt idx="321">
                  <c:v>1.933560494654607E-2</c:v>
                </c:pt>
                <c:pt idx="322">
                  <c:v>1.9358426439677334E-2</c:v>
                </c:pt>
                <c:pt idx="323">
                  <c:v>1.9381247401719315E-2</c:v>
                </c:pt>
                <c:pt idx="324">
                  <c:v>1.9404067832684002E-2</c:v>
                </c:pt>
                <c:pt idx="325">
                  <c:v>1.9426887732584053E-2</c:v>
                </c:pt>
                <c:pt idx="326">
                  <c:v>1.9449707101431568E-2</c:v>
                </c:pt>
                <c:pt idx="327">
                  <c:v>1.9472525939239094E-2</c:v>
                </c:pt>
                <c:pt idx="328">
                  <c:v>1.9495344246018953E-2</c:v>
                </c:pt>
                <c:pt idx="329">
                  <c:v>1.9518162021783469E-2</c:v>
                </c:pt>
                <c:pt idx="330">
                  <c:v>1.9540979266544967E-2</c:v>
                </c:pt>
                <c:pt idx="331">
                  <c:v>1.9563795980315879E-2</c:v>
                </c:pt>
                <c:pt idx="332">
                  <c:v>1.958661216310853E-2</c:v>
                </c:pt>
                <c:pt idx="333">
                  <c:v>1.9609427814935354E-2</c:v>
                </c:pt>
                <c:pt idx="334">
                  <c:v>1.9632242935808453E-2</c:v>
                </c:pt>
                <c:pt idx="335">
                  <c:v>1.9655057525740482E-2</c:v>
                </c:pt>
                <c:pt idx="336">
                  <c:v>1.9677871584743656E-2</c:v>
                </c:pt>
                <c:pt idx="337">
                  <c:v>1.9700685112830296E-2</c:v>
                </c:pt>
                <c:pt idx="338">
                  <c:v>1.9723498110012838E-2</c:v>
                </c:pt>
                <c:pt idx="339">
                  <c:v>1.9746310576303716E-2</c:v>
                </c:pt>
                <c:pt idx="340">
                  <c:v>1.9769122511715032E-2</c:v>
                </c:pt>
                <c:pt idx="341">
                  <c:v>1.979193391625933E-2</c:v>
                </c:pt>
                <c:pt idx="342">
                  <c:v>1.9814744789948935E-2</c:v>
                </c:pt>
                <c:pt idx="343">
                  <c:v>1.983755513279617E-2</c:v>
                </c:pt>
                <c:pt idx="344">
                  <c:v>1.9860364944813358E-2</c:v>
                </c:pt>
                <c:pt idx="345">
                  <c:v>1.9883174226012934E-2</c:v>
                </c:pt>
                <c:pt idx="346">
                  <c:v>1.9905982976407222E-2</c:v>
                </c:pt>
                <c:pt idx="347">
                  <c:v>1.9928791196008655E-2</c:v>
                </c:pt>
                <c:pt idx="348">
                  <c:v>1.9951598884829336E-2</c:v>
                </c:pt>
                <c:pt idx="349">
                  <c:v>1.997440604288192E-2</c:v>
                </c:pt>
                <c:pt idx="350">
                  <c:v>1.999721267017851E-2</c:v>
                </c:pt>
                <c:pt idx="351">
                  <c:v>2.002001876673154E-2</c:v>
                </c:pt>
                <c:pt idx="352">
                  <c:v>2.0042824332553444E-2</c:v>
                </c:pt>
                <c:pt idx="353">
                  <c:v>2.0065629367656546E-2</c:v>
                </c:pt>
                <c:pt idx="354">
                  <c:v>2.0088433872053169E-2</c:v>
                </c:pt>
                <c:pt idx="355">
                  <c:v>2.0111237845755636E-2</c:v>
                </c:pt>
                <c:pt idx="356">
                  <c:v>2.0134041288776272E-2</c:v>
                </c:pt>
                <c:pt idx="357">
                  <c:v>2.0156844201127511E-2</c:v>
                </c:pt>
                <c:pt idx="358">
                  <c:v>2.0179646582821675E-2</c:v>
                </c:pt>
                <c:pt idx="359">
                  <c:v>2.020244843387109E-2</c:v>
                </c:pt>
                <c:pt idx="360">
                  <c:v>2.0225249754288188E-2</c:v>
                </c:pt>
                <c:pt idx="361">
                  <c:v>2.0248050544085183E-2</c:v>
                </c:pt>
                <c:pt idx="362">
                  <c:v>2.0270850803274509E-2</c:v>
                </c:pt>
                <c:pt idx="363">
                  <c:v>2.029365053186849E-2</c:v>
                </c:pt>
                <c:pt idx="364">
                  <c:v>2.0316449729879449E-2</c:v>
                </c:pt>
                <c:pt idx="365">
                  <c:v>2.033924839731982E-2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9.1066884114684096E-2</c:v>
                </c:pt>
                <c:pt idx="1">
                  <c:v>9.1193913559117754E-2</c:v>
                </c:pt>
                <c:pt idx="2">
                  <c:v>9.1320964838169649E-2</c:v>
                </c:pt>
                <c:pt idx="3">
                  <c:v>9.1447998065475378E-2</c:v>
                </c:pt>
                <c:pt idx="4">
                  <c:v>9.1574978619206659E-2</c:v>
                </c:pt>
                <c:pt idx="5">
                  <c:v>9.1701877004529656E-2</c:v>
                </c:pt>
                <c:pt idx="6">
                  <c:v>9.1828668673783087E-2</c:v>
                </c:pt>
                <c:pt idx="7">
                  <c:v>9.1955333807499429E-2</c:v>
                </c:pt>
                <c:pt idx="8">
                  <c:v>9.2081857059699415E-2</c:v>
                </c:pt>
                <c:pt idx="9">
                  <c:v>9.220822727115674E-2</c:v>
                </c:pt>
                <c:pt idx="10">
                  <c:v>9.2334437154557955E-2</c:v>
                </c:pt>
                <c:pt idx="11">
                  <c:v>9.2460482955668999E-2</c:v>
                </c:pt>
                <c:pt idx="12">
                  <c:v>9.2586364094762286E-2</c:v>
                </c:pt>
                <c:pt idx="13">
                  <c:v>9.2712082792658634E-2</c:v>
                </c:pt>
                <c:pt idx="14">
                  <c:v>9.283764368579274E-2</c:v>
                </c:pt>
                <c:pt idx="15">
                  <c:v>9.2963053434722498E-2</c:v>
                </c:pt>
                <c:pt idx="16">
                  <c:v>9.3088320330469931E-2</c:v>
                </c:pt>
                <c:pt idx="17">
                  <c:v>9.3213453903006449E-2</c:v>
                </c:pt>
                <c:pt idx="18">
                  <c:v>9.3338464536078219E-2</c:v>
                </c:pt>
                <c:pt idx="19">
                  <c:v>9.3463363092412197E-2</c:v>
                </c:pt>
                <c:pt idx="20">
                  <c:v>9.35881605531491E-2</c:v>
                </c:pt>
                <c:pt idx="21">
                  <c:v>9.3712867675121478E-2</c:v>
                </c:pt>
                <c:pt idx="22">
                  <c:v>9.3837494669334817E-2</c:v>
                </c:pt>
                <c:pt idx="23">
                  <c:v>9.3962050903719105E-2</c:v>
                </c:pt>
                <c:pt idx="24">
                  <c:v>9.4086544632904195E-2</c:v>
                </c:pt>
                <c:pt idx="25">
                  <c:v>9.4210982757433906E-2</c:v>
                </c:pt>
                <c:pt idx="26">
                  <c:v>9.4335370614478983E-2</c:v>
                </c:pt>
                <c:pt idx="27">
                  <c:v>9.4459711801738441E-2</c:v>
                </c:pt>
                <c:pt idx="28">
                  <c:v>9.4584008035838912E-2</c:v>
                </c:pt>
                <c:pt idx="29">
                  <c:v>9.470825904615443E-2</c:v>
                </c:pt>
                <c:pt idx="30">
                  <c:v>9.48324625045808E-2</c:v>
                </c:pt>
                <c:pt idx="31">
                  <c:v>9.4956613991410393E-2</c:v>
                </c:pt>
                <c:pt idx="32">
                  <c:v>9.50807069970733E-2</c:v>
                </c:pt>
                <c:pt idx="33">
                  <c:v>9.5204732959137756E-2</c:v>
                </c:pt>
                <c:pt idx="34">
                  <c:v>9.5328681333604656E-2</c:v>
                </c:pt>
                <c:pt idx="35">
                  <c:v>9.5452539699189806E-2</c:v>
                </c:pt>
                <c:pt idx="36">
                  <c:v>9.5576293892965014E-2</c:v>
                </c:pt>
                <c:pt idx="37">
                  <c:v>9.5699928175431617E-2</c:v>
                </c:pt>
                <c:pt idx="38">
                  <c:v>9.5823425422826791E-2</c:v>
                </c:pt>
                <c:pt idx="39">
                  <c:v>9.5946767344218697E-2</c:v>
                </c:pt>
                <c:pt idx="40">
                  <c:v>9.6069934720732567E-2</c:v>
                </c:pt>
                <c:pt idx="41">
                  <c:v>9.6192907664067934E-2</c:v>
                </c:pt>
                <c:pt idx="42">
                  <c:v>9.6315665891317945E-2</c:v>
                </c:pt>
                <c:pt idx="43">
                  <c:v>9.6438189012987882E-2</c:v>
                </c:pt>
                <c:pt idx="44">
                  <c:v>9.6560456831030719E-2</c:v>
                </c:pt>
                <c:pt idx="45">
                  <c:v>9.6682449643672438E-2</c:v>
                </c:pt>
                <c:pt idx="46">
                  <c:v>9.6804148553791575E-2</c:v>
                </c:pt>
                <c:pt idx="47">
                  <c:v>9.6925535777641181E-2</c:v>
                </c:pt>
                <c:pt idx="48">
                  <c:v>9.7046594950760845E-2</c:v>
                </c:pt>
                <c:pt idx="49">
                  <c:v>9.7167311428015879E-2</c:v>
                </c:pt>
                <c:pt idx="50">
                  <c:v>9.728767257482239E-2</c:v>
                </c:pt>
                <c:pt idx="51">
                  <c:v>9.7407668046765802E-2</c:v>
                </c:pt>
                <c:pt idx="52">
                  <c:v>9.7527290054996454E-2</c:v>
                </c:pt>
                <c:pt idx="53">
                  <c:v>9.7646533614985098E-2</c:v>
                </c:pt>
                <c:pt idx="54">
                  <c:v>9.7765396776441665E-2</c:v>
                </c:pt>
                <c:pt idx="55">
                  <c:v>9.7883880832439749E-2</c:v>
                </c:pt>
                <c:pt idx="56">
                  <c:v>9.8001990506042233E-2</c:v>
                </c:pt>
                <c:pt idx="57">
                  <c:v>9.8119734112990284E-2</c:v>
                </c:pt>
                <c:pt idx="58">
                  <c:v>9.8237123699291176E-2</c:v>
                </c:pt>
                <c:pt idx="59">
                  <c:v>9.8354175152820814E-2</c:v>
                </c:pt>
                <c:pt idx="60">
                  <c:v>9.8470908288337863E-2</c:v>
                </c:pt>
                <c:pt idx="61">
                  <c:v>9.8587346905587583E-2</c:v>
                </c:pt>
                <c:pt idx="62">
                  <c:v>9.8703518820447741E-2</c:v>
                </c:pt>
                <c:pt idx="63">
                  <c:v>9.8819455869339101E-2</c:v>
                </c:pt>
                <c:pt idx="64">
                  <c:v>9.8935193887378328E-2</c:v>
                </c:pt>
                <c:pt idx="65">
                  <c:v>9.9050772660997197E-2</c:v>
                </c:pt>
                <c:pt idx="66">
                  <c:v>9.9166235855978696E-2</c:v>
                </c:pt>
                <c:pt idx="67">
                  <c:v>9.9281630922070888E-2</c:v>
                </c:pt>
                <c:pt idx="68">
                  <c:v>9.9397008975528417E-2</c:v>
                </c:pt>
                <c:pt idx="69">
                  <c:v>9.9512424661098553E-2</c:v>
                </c:pt>
                <c:pt idx="70">
                  <c:v>9.9627935995111841E-2</c:v>
                </c:pt>
                <c:pt idx="71">
                  <c:v>9.9743604191454935E-2</c:v>
                </c:pt>
                <c:pt idx="72">
                  <c:v>9.985949347229621E-2</c:v>
                </c:pt>
                <c:pt idx="73">
                  <c:v>9.9975670865499758E-2</c:v>
                </c:pt>
                <c:pt idx="74">
                  <c:v>0.10009220599070258</c:v>
                </c:pt>
                <c:pt idx="75">
                  <c:v>0.10020917083604287</c:v>
                </c:pt>
                <c:pt idx="76">
                  <c:v>0.10032663952751301</c:v>
                </c:pt>
                <c:pt idx="77">
                  <c:v>0.10044468809287287</c:v>
                </c:pt>
                <c:pt idx="78">
                  <c:v>0.10056339422199527</c:v>
                </c:pt>
                <c:pt idx="79">
                  <c:v>0.10068283702543115</c:v>
                </c:pt>
                <c:pt idx="80">
                  <c:v>0.10080309679287364</c:v>
                </c:pt>
                <c:pt idx="81">
                  <c:v>0.10092425475307569</c:v>
                </c:pt>
                <c:pt idx="82">
                  <c:v>0.10104639283663208</c:v>
                </c:pt>
                <c:pt idx="83">
                  <c:v>0.10116959344287975</c:v>
                </c:pt>
                <c:pt idx="84">
                  <c:v>0.10129393921200025</c:v>
                </c:pt>
                <c:pt idx="85">
                  <c:v>0.10141951280322946</c:v>
                </c:pt>
                <c:pt idx="86">
                  <c:v>0.10154639667989322</c:v>
                </c:pt>
                <c:pt idx="87">
                  <c:v>0.10167467290179866</c:v>
                </c:pt>
                <c:pt idx="88">
                  <c:v>0.10180442292531966</c:v>
                </c:pt>
                <c:pt idx="89">
                  <c:v>0.10193572741132646</c:v>
                </c:pt>
                <c:pt idx="90">
                  <c:v>0.10206866604092506</c:v>
                </c:pt>
                <c:pt idx="91">
                  <c:v>0.10220331733879549</c:v>
                </c:pt>
                <c:pt idx="92">
                  <c:v>0.10233975850375117</c:v>
                </c:pt>
                <c:pt idx="93">
                  <c:v>0.10247806524598799</c:v>
                </c:pt>
                <c:pt idx="94">
                  <c:v>0.10261831163035148</c:v>
                </c:pt>
                <c:pt idx="95">
                  <c:v>0.10276056992482926</c:v>
                </c:pt>
                <c:pt idx="96">
                  <c:v>0.10290491045337188</c:v>
                </c:pt>
                <c:pt idx="97">
                  <c:v>0.10305140145206203</c:v>
                </c:pt>
                <c:pt idx="98">
                  <c:v>0.10320010892759157</c:v>
                </c:pt>
                <c:pt idx="99">
                  <c:v>0.10335109651696667</c:v>
                </c:pt>
                <c:pt idx="100">
                  <c:v>0.10350442534734745</c:v>
                </c:pt>
                <c:pt idx="101">
                  <c:v>0.1036601538949368</c:v>
                </c:pt>
                <c:pt idx="102">
                  <c:v>0.1038183378418672</c:v>
                </c:pt>
                <c:pt idx="103">
                  <c:v>0.10397902993009146</c:v>
                </c:pt>
                <c:pt idx="104">
                  <c:v>0.10414227981136316</c:v>
                </c:pt>
                <c:pt idx="105">
                  <c:v>0.10430813389249621</c:v>
                </c:pt>
                <c:pt idx="106">
                  <c:v>0.10447663517521689</c:v>
                </c:pt>
                <c:pt idx="107">
                  <c:v>0.10464782309006514</c:v>
                </c:pt>
                <c:pt idx="108">
                  <c:v>0.10482173332396412</c:v>
                </c:pt>
                <c:pt idx="109">
                  <c:v>0.10499839764125433</c:v>
                </c:pt>
                <c:pt idx="110">
                  <c:v>0.1051778436981801</c:v>
                </c:pt>
                <c:pt idx="111">
                  <c:v>0.10536009485101785</c:v>
                </c:pt>
                <c:pt idx="112">
                  <c:v>0.10554516995824718</c:v>
                </c:pt>
                <c:pt idx="113">
                  <c:v>0.10573308317738098</c:v>
                </c:pt>
                <c:pt idx="114">
                  <c:v>0.1059238437572905</c:v>
                </c:pt>
                <c:pt idx="115">
                  <c:v>0.10611745582707892</c:v>
                </c:pt>
                <c:pt idx="116">
                  <c:v>0.10631391818277203</c:v>
                </c:pt>
                <c:pt idx="117">
                  <c:v>0.10651322407330321</c:v>
                </c:pt>
                <c:pt idx="118">
                  <c:v>0.10671536098746766</c:v>
                </c:pt>
                <c:pt idx="119">
                  <c:v>0.10692031044370687</c:v>
                </c:pt>
                <c:pt idx="120">
                  <c:v>0.10712804778475483</c:v>
                </c:pt>
                <c:pt idx="121">
                  <c:v>0.10733854197932854</c:v>
                </c:pt>
                <c:pt idx="122">
                  <c:v>0.10755175543317673</c:v>
                </c:pt>
                <c:pt idx="123">
                  <c:v>0.10776764381190788</c:v>
                </c:pt>
                <c:pt idx="124">
                  <c:v>0.10798615587810091</c:v>
                </c:pt>
                <c:pt idx="125">
                  <c:v>0.10820723334525581</c:v>
                </c:pt>
                <c:pt idx="126">
                  <c:v>0.10843081075116838</c:v>
                </c:pt>
                <c:pt idx="127">
                  <c:v>0.10865681535330747</c:v>
                </c:pt>
                <c:pt idx="128">
                  <c:v>0.1088851670487387</c:v>
                </c:pt>
                <c:pt idx="129">
                  <c:v>0.10911577832107021</c:v>
                </c:pt>
                <c:pt idx="130">
                  <c:v>0.10934855421679804</c:v>
                </c:pt>
                <c:pt idx="131">
                  <c:v>0.1095833923532968</c:v>
                </c:pt>
                <c:pt idx="132">
                  <c:v>0.10982018296053984</c:v>
                </c:pt>
                <c:pt idx="133">
                  <c:v>0.11005880895844071</c:v>
                </c:pt>
                <c:pt idx="134">
                  <c:v>0.11029914607148561</c:v>
                </c:pt>
                <c:pt idx="135">
                  <c:v>0.11054106298207939</c:v>
                </c:pt>
                <c:pt idx="136">
                  <c:v>0.11078442152375118</c:v>
                </c:pt>
                <c:pt idx="137">
                  <c:v>0.11102907691507084</c:v>
                </c:pt>
                <c:pt idx="138">
                  <c:v>0.11127487803480805</c:v>
                </c:pt>
                <c:pt idx="139">
                  <c:v>0.11152166773853123</c:v>
                </c:pt>
                <c:pt idx="140">
                  <c:v>0.1117692832164935</c:v>
                </c:pt>
                <c:pt idx="141">
                  <c:v>0.11201755639229243</c:v>
                </c:pt>
                <c:pt idx="142">
                  <c:v>0.11226631436142115</c:v>
                </c:pt>
                <c:pt idx="143">
                  <c:v>0.11251537986845735</c:v>
                </c:pt>
                <c:pt idx="144">
                  <c:v>0.11276457182126297</c:v>
                </c:pt>
                <c:pt idx="145">
                  <c:v>0.11301370584020048</c:v>
                </c:pt>
                <c:pt idx="146">
                  <c:v>0.1132625948400101</c:v>
                </c:pt>
                <c:pt idx="147">
                  <c:v>0.11351104964164331</c:v>
                </c:pt>
                <c:pt idx="148">
                  <c:v>0.11375887961101504</c:v>
                </c:pt>
                <c:pt idx="149">
                  <c:v>0.11400589332132217</c:v>
                </c:pt>
                <c:pt idx="150">
                  <c:v>0.11425189923528439</c:v>
                </c:pt>
                <c:pt idx="151">
                  <c:v>0.11449670640339843</c:v>
                </c:pt>
                <c:pt idx="152">
                  <c:v>0.11474012517406065</c:v>
                </c:pt>
                <c:pt idx="153">
                  <c:v>0.11498196791120907</c:v>
                </c:pt>
                <c:pt idx="154">
                  <c:v>0.11522204971496759</c:v>
                </c:pt>
                <c:pt idx="155">
                  <c:v>0.11546018914064328</c:v>
                </c:pt>
                <c:pt idx="156">
                  <c:v>0.11569620891133589</c:v>
                </c:pt>
                <c:pt idx="157">
                  <c:v>0.11592993661936675</c:v>
                </c:pt>
                <c:pt idx="158">
                  <c:v>0.11616120541172475</c:v>
                </c:pt>
                <c:pt idx="159">
                  <c:v>0.11638985465476066</c:v>
                </c:pt>
                <c:pt idx="160">
                  <c:v>0.11661573057343681</c:v>
                </c:pt>
                <c:pt idx="161">
                  <c:v>0.11683868686055833</c:v>
                </c:pt>
                <c:pt idx="162">
                  <c:v>0.11705858525157385</c:v>
                </c:pt>
                <c:pt idx="163">
                  <c:v>0.11727529606073681</c:v>
                </c:pt>
                <c:pt idx="164">
                  <c:v>0.11748869867466004</c:v>
                </c:pt>
                <c:pt idx="165">
                  <c:v>0.11769868199957956</c:v>
                </c:pt>
                <c:pt idx="166">
                  <c:v>0.11790514485895817</c:v>
                </c:pt>
                <c:pt idx="167">
                  <c:v>0.11810799633841139</c:v>
                </c:pt>
                <c:pt idx="168">
                  <c:v>0.11830715607531817</c:v>
                </c:pt>
                <c:pt idx="169">
                  <c:v>0.11850255449088551</c:v>
                </c:pt>
                <c:pt idx="170">
                  <c:v>0.11869413296286857</c:v>
                </c:pt>
                <c:pt idx="171">
                  <c:v>0.11888184393759652</c:v>
                </c:pt>
                <c:pt idx="172">
                  <c:v>0.11906565098042046</c:v>
                </c:pt>
                <c:pt idx="173">
                  <c:v>0.11924552876417653</c:v>
                </c:pt>
                <c:pt idx="174">
                  <c:v>0.11942146299573982</c:v>
                </c:pt>
                <c:pt idx="175">
                  <c:v>0.11959345028122964</c:v>
                </c:pt>
                <c:pt idx="176">
                  <c:v>0.11976149793090998</c:v>
                </c:pt>
                <c:pt idx="177">
                  <c:v>0.11992562370530249</c:v>
                </c:pt>
                <c:pt idx="178">
                  <c:v>0.12008585550449428</c:v>
                </c:pt>
                <c:pt idx="179">
                  <c:v>0.12024223100306838</c:v>
                </c:pt>
                <c:pt idx="180">
                  <c:v>0.12039479723351232</c:v>
                </c:pt>
                <c:pt idx="181">
                  <c:v>0.12054361012136071</c:v>
                </c:pt>
                <c:pt idx="182">
                  <c:v>0.12068873397570141</c:v>
                </c:pt>
                <c:pt idx="183">
                  <c:v>0.12083024093901512</c:v>
                </c:pt>
                <c:pt idx="184">
                  <c:v>0.12096821040062231</c:v>
                </c:pt>
                <c:pt idx="185">
                  <c:v>0.12110272837827898</c:v>
                </c:pt>
                <c:pt idx="186">
                  <c:v>0.12123388687268567</c:v>
                </c:pt>
                <c:pt idx="187">
                  <c:v>0.12136178319985658</c:v>
                </c:pt>
                <c:pt idx="188">
                  <c:v>0.1214865193064309</c:v>
                </c:pt>
                <c:pt idx="189">
                  <c:v>0.12160820107309736</c:v>
                </c:pt>
                <c:pt idx="190">
                  <c:v>0.12172693761134575</c:v>
                </c:pt>
                <c:pt idx="191">
                  <c:v>0.12184284055875087</c:v>
                </c:pt>
                <c:pt idx="192">
                  <c:v>0.12195602337794224</c:v>
                </c:pt>
                <c:pt idx="193">
                  <c:v>0.12206660066431065</c:v>
                </c:pt>
                <c:pt idx="194">
                  <c:v>0.12217468746735449</c:v>
                </c:pt>
                <c:pt idx="195">
                  <c:v>0.1222803986303786</c:v>
                </c:pt>
                <c:pt idx="196">
                  <c:v>0.1223838481530215</c:v>
                </c:pt>
                <c:pt idx="197">
                  <c:v>0.1224851485808138</c:v>
                </c:pt>
                <c:pt idx="198">
                  <c:v>0.1225844104256576</c:v>
                </c:pt>
                <c:pt idx="199">
                  <c:v>0.12268174162077075</c:v>
                </c:pt>
                <c:pt idx="200">
                  <c:v>0.12277724701326354</c:v>
                </c:pt>
                <c:pt idx="201">
                  <c:v>0.12287102789711157</c:v>
                </c:pt>
                <c:pt idx="202">
                  <c:v>0.12296318158886432</c:v>
                </c:pt>
                <c:pt idx="203">
                  <c:v>0.12305380104798416</c:v>
                </c:pt>
                <c:pt idx="204">
                  <c:v>0.12314297454325485</c:v>
                </c:pt>
                <c:pt idx="205">
                  <c:v>0.12323078536623346</c:v>
                </c:pt>
                <c:pt idx="206">
                  <c:v>0.1233173115922498</c:v>
                </c:pt>
                <c:pt idx="207">
                  <c:v>0.12340262588899066</c:v>
                </c:pt>
                <c:pt idx="208">
                  <c:v>0.12348679537224401</c:v>
                </c:pt>
                <c:pt idx="209">
                  <c:v>0.12356988150792746</c:v>
                </c:pt>
                <c:pt idx="210">
                  <c:v>0.12365194005909015</c:v>
                </c:pt>
                <c:pt idx="211">
                  <c:v>0.12373302107616142</c:v>
                </c:pt>
                <c:pt idx="212">
                  <c:v>0.12381316892832941</c:v>
                </c:pt>
                <c:pt idx="213">
                  <c:v>0.12389242237356941</c:v>
                </c:pt>
                <c:pt idx="214">
                  <c:v>0.12397081466451193</c:v>
                </c:pt>
                <c:pt idx="215">
                  <c:v>0.1240483736870452</c:v>
                </c:pt>
                <c:pt idx="216">
                  <c:v>0.1241251221282906</c:v>
                </c:pt>
                <c:pt idx="217">
                  <c:v>0.12420107767037436</c:v>
                </c:pt>
                <c:pt idx="218">
                  <c:v>0.12427625320624683</c:v>
                </c:pt>
                <c:pt idx="219">
                  <c:v>0.12435065707367408</c:v>
                </c:pt>
                <c:pt idx="220">
                  <c:v>0.12442429330344498</c:v>
                </c:pt>
                <c:pt idx="221">
                  <c:v>0.1244971618778047</c:v>
                </c:pt>
                <c:pt idx="222">
                  <c:v>0.12456925899513684</c:v>
                </c:pt>
                <c:pt idx="223">
                  <c:v>0.12464057733697834</c:v>
                </c:pt>
                <c:pt idx="224">
                  <c:v>0.12471110633355575</c:v>
                </c:pt>
                <c:pt idx="225">
                  <c:v>0.12478083242418307</c:v>
                </c:pt>
                <c:pt idx="226">
                  <c:v>0.12484973930905377</c:v>
                </c:pt>
                <c:pt idx="227">
                  <c:v>0.12491780818919425</c:v>
                </c:pt>
                <c:pt idx="228">
                  <c:v>0.12498501799161627</c:v>
                </c:pt>
                <c:pt idx="229">
                  <c:v>0.12505134557701283</c:v>
                </c:pt>
                <c:pt idx="230">
                  <c:v>0.12511676592767826</c:v>
                </c:pt>
                <c:pt idx="231">
                  <c:v>0.12518125231369678</c:v>
                </c:pt>
                <c:pt idx="232">
                  <c:v>0.12524477643583196</c:v>
                </c:pt>
                <c:pt idx="233">
                  <c:v>0.12530730854395181</c:v>
                </c:pt>
                <c:pt idx="234">
                  <c:v>0.12536881753024559</c:v>
                </c:pt>
                <c:pt idx="235">
                  <c:v>0.12542927099691364</c:v>
                </c:pt>
                <c:pt idx="236">
                  <c:v>0.12548863529844301</c:v>
                </c:pt>
                <c:pt idx="237">
                  <c:v>0.12554687555901187</c:v>
                </c:pt>
                <c:pt idx="238">
                  <c:v>0.12560395566598725</c:v>
                </c:pt>
                <c:pt idx="239">
                  <c:v>0.12565983824089449</c:v>
                </c:pt>
                <c:pt idx="240">
                  <c:v>0.12571448458962936</c:v>
                </c:pt>
                <c:pt idx="241">
                  <c:v>0.12576785463406112</c:v>
                </c:pt>
                <c:pt idx="242">
                  <c:v>0.12581990682752034</c:v>
                </c:pt>
                <c:pt idx="243">
                  <c:v>0.125870598056986</c:v>
                </c:pt>
                <c:pt idx="244">
                  <c:v>0.1259198835350698</c:v>
                </c:pt>
                <c:pt idx="245">
                  <c:v>0.12596771668514326</c:v>
                </c:pt>
                <c:pt idx="246">
                  <c:v>0.12601404902315894</c:v>
                </c:pt>
                <c:pt idx="247">
                  <c:v>0.12605883003988047</c:v>
                </c:pt>
                <c:pt idx="248">
                  <c:v>0.12610200708735106</c:v>
                </c:pt>
                <c:pt idx="249">
                  <c:v>0.12614352527350159</c:v>
                </c:pt>
                <c:pt idx="250">
                  <c:v>0.12618332736881627</c:v>
                </c:pt>
                <c:pt idx="251">
                  <c:v>0.12622135372894555</c:v>
                </c:pt>
                <c:pt idx="252">
                  <c:v>0.12625754223707455</c:v>
                </c:pt>
                <c:pt idx="253">
                  <c:v>0.12629182826972507</c:v>
                </c:pt>
                <c:pt idx="254">
                  <c:v>0.12632414468948994</c:v>
                </c:pt>
                <c:pt idx="255">
                  <c:v>0.12635442186797111</c:v>
                </c:pt>
                <c:pt idx="256">
                  <c:v>0.12638258774192029</c:v>
                </c:pt>
                <c:pt idx="257">
                  <c:v>0.12640856790526456</c:v>
                </c:pt>
                <c:pt idx="258">
                  <c:v>0.12643228573934295</c:v>
                </c:pt>
                <c:pt idx="259">
                  <c:v>0.1264536625832873</c:v>
                </c:pt>
                <c:pt idx="260">
                  <c:v>0.12647261794605313</c:v>
                </c:pt>
                <c:pt idx="261">
                  <c:v>0.12648906976115185</c:v>
                </c:pt>
                <c:pt idx="262">
                  <c:v>0.12650293468465659</c:v>
                </c:pt>
                <c:pt idx="263">
                  <c:v>0.12651412843655416</c:v>
                </c:pt>
                <c:pt idx="264">
                  <c:v>0.12652256618500421</c:v>
                </c:pt>
                <c:pt idx="265">
                  <c:v>0.12652816297254452</c:v>
                </c:pt>
                <c:pt idx="266">
                  <c:v>0.12653083418275671</c:v>
                </c:pt>
                <c:pt idx="267">
                  <c:v>0.1265304960453856</c:v>
                </c:pt>
                <c:pt idx="268">
                  <c:v>0.12652706617739048</c:v>
                </c:pt>
                <c:pt idx="269">
                  <c:v>0.12652046415690721</c:v>
                </c:pt>
                <c:pt idx="270">
                  <c:v>0.12651061212661932</c:v>
                </c:pt>
                <c:pt idx="271">
                  <c:v>0.12649743542258052</c:v>
                </c:pt>
                <c:pt idx="272">
                  <c:v>0.12648086322410518</c:v>
                </c:pt>
                <c:pt idx="273">
                  <c:v>0.12646082921995294</c:v>
                </c:pt>
                <c:pt idx="274">
                  <c:v>0.12643727228568266</c:v>
                </c:pt>
                <c:pt idx="275">
                  <c:v>0.12641013716674324</c:v>
                </c:pt>
                <c:pt idx="276">
                  <c:v>0.12637937516161174</c:v>
                </c:pt>
                <c:pt idx="277">
                  <c:v>0.12634494479907887</c:v>
                </c:pt>
                <c:pt idx="278">
                  <c:v>0.12630681250363146</c:v>
                </c:pt>
                <c:pt idx="279">
                  <c:v>0.12626495324278311</c:v>
                </c:pt>
                <c:pt idx="280">
                  <c:v>0.12621935115016669</c:v>
                </c:pt>
                <c:pt idx="281">
                  <c:v>0.12617000011822588</c:v>
                </c:pt>
                <c:pt idx="282">
                  <c:v>0.1261169043544236</c:v>
                </c:pt>
                <c:pt idx="283">
                  <c:v>0.12606007889503076</c:v>
                </c:pt>
                <c:pt idx="284">
                  <c:v>0.12599955007076113</c:v>
                </c:pt>
                <c:pt idx="285">
                  <c:v>0.12593535591878252</c:v>
                </c:pt>
                <c:pt idx="286">
                  <c:v>0.12586754653595369</c:v>
                </c:pt>
                <c:pt idx="287">
                  <c:v>0.12579618436851331</c:v>
                </c:pt>
                <c:pt idx="288">
                  <c:v>0.12572134443387378</c:v>
                </c:pt>
                <c:pt idx="289">
                  <c:v>0.12564311447065091</c:v>
                </c:pt>
                <c:pt idx="290">
                  <c:v>0.12556159501357997</c:v>
                </c:pt>
                <c:pt idx="291">
                  <c:v>0.12547689939053311</c:v>
                </c:pt>
                <c:pt idx="292">
                  <c:v>0.12538915363944778</c:v>
                </c:pt>
                <c:pt idx="293">
                  <c:v>0.12529849634360554</c:v>
                </c:pt>
                <c:pt idx="294">
                  <c:v>0.12520507838435224</c:v>
                </c:pt>
                <c:pt idx="295">
                  <c:v>0.12510906261102117</c:v>
                </c:pt>
                <c:pt idx="296">
                  <c:v>0.12501062342850552</c:v>
                </c:pt>
                <c:pt idx="297">
                  <c:v>0.12490994630361522</c:v>
                </c:pt>
                <c:pt idx="298">
                  <c:v>0.12480722719204418</c:v>
                </c:pt>
                <c:pt idx="299">
                  <c:v>0.12470267188845646</c:v>
                </c:pt>
                <c:pt idx="300">
                  <c:v>0.12459649530287047</c:v>
                </c:pt>
                <c:pt idx="301">
                  <c:v>0.12448892066717081</c:v>
                </c:pt>
                <c:pt idx="302">
                  <c:v>0.12438017867620264</c:v>
                </c:pt>
                <c:pt idx="303">
                  <c:v>0.12427050656849659</c:v>
                </c:pt>
                <c:pt idx="304">
                  <c:v>0.1241601471522287</c:v>
                </c:pt>
                <c:pt idx="305">
                  <c:v>0.12404934778253192</c:v>
                </c:pt>
                <c:pt idx="306">
                  <c:v>0.12393835929674182</c:v>
                </c:pt>
                <c:pt idx="307">
                  <c:v>0.12382743491457071</c:v>
                </c:pt>
                <c:pt idx="308">
                  <c:v>0.12371682911056009</c:v>
                </c:pt>
                <c:pt idx="309">
                  <c:v>0.12360679646645731</c:v>
                </c:pt>
                <c:pt idx="310">
                  <c:v>0.12349759051139253</c:v>
                </c:pt>
                <c:pt idx="311">
                  <c:v>0.12338946255789916</c:v>
                </c:pt>
                <c:pt idx="312">
                  <c:v>0.12328266054191767</c:v>
                </c:pt>
                <c:pt idx="313">
                  <c:v>0.12317742787495148</c:v>
                </c:pt>
                <c:pt idx="314">
                  <c:v>0.12307400231650248</c:v>
                </c:pt>
                <c:pt idx="315">
                  <c:v>0.12297261487480265</c:v>
                </c:pt>
                <c:pt idx="316">
                  <c:v>0.12287348874367833</c:v>
                </c:pt>
                <c:pt idx="317">
                  <c:v>0.12277683828313563</c:v>
                </c:pt>
                <c:pt idx="318">
                  <c:v>0.12268286805094299</c:v>
                </c:pt>
                <c:pt idx="319">
                  <c:v>0.12259177189210944</c:v>
                </c:pt>
                <c:pt idx="320">
                  <c:v>0.12250373209272207</c:v>
                </c:pt>
                <c:pt idx="321">
                  <c:v>0.12241891860411265</c:v>
                </c:pt>
                <c:pt idx="322">
                  <c:v>0.12233748834278113</c:v>
                </c:pt>
                <c:pt idx="323">
                  <c:v>0.12225958457091128</c:v>
                </c:pt>
                <c:pt idx="324">
                  <c:v>0.12218533636168215</c:v>
                </c:pt>
                <c:pt idx="325">
                  <c:v>0.12211485815291058</c:v>
                </c:pt>
                <c:pt idx="326">
                  <c:v>0.12204824939186092</c:v>
                </c:pt>
                <c:pt idx="327">
                  <c:v>0.1219855942733367</c:v>
                </c:pt>
                <c:pt idx="328">
                  <c:v>0.12192696157242888</c:v>
                </c:pt>
                <c:pt idx="329">
                  <c:v>0.12187240457254581</c:v>
                </c:pt>
                <c:pt idx="330">
                  <c:v>0.12182196108859515</c:v>
                </c:pt>
                <c:pt idx="331">
                  <c:v>0.12177565358443922</c:v>
                </c:pt>
                <c:pt idx="332">
                  <c:v>0.12173348938300083</c:v>
                </c:pt>
                <c:pt idx="333">
                  <c:v>0.12169546096667479</c:v>
                </c:pt>
                <c:pt idx="334">
                  <c:v>0.12166154636499633</c:v>
                </c:pt>
                <c:pt idx="335">
                  <c:v>0.12163170962584506</c:v>
                </c:pt>
                <c:pt idx="336">
                  <c:v>0.12160590136582514</c:v>
                </c:pt>
                <c:pt idx="337">
                  <c:v>0.1215840593948652</c:v>
                </c:pt>
                <c:pt idx="338">
                  <c:v>0.12156610940952928</c:v>
                </c:pt>
                <c:pt idx="339">
                  <c:v>0.12155196574903</c:v>
                </c:pt>
                <c:pt idx="340">
                  <c:v>0.12154153220748894</c:v>
                </c:pt>
                <c:pt idx="341">
                  <c:v>0.12153470289560181</c:v>
                </c:pt>
                <c:pt idx="342">
                  <c:v>0.12153136314454105</c:v>
                </c:pt>
                <c:pt idx="343">
                  <c:v>0.12153139044466786</c:v>
                </c:pt>
                <c:pt idx="344">
                  <c:v>0.12153465541143055</c:v>
                </c:pt>
                <c:pt idx="345">
                  <c:v>0.12154102277070071</c:v>
                </c:pt>
                <c:pt idx="346">
                  <c:v>0.12155035235574042</c:v>
                </c:pt>
                <c:pt idx="347">
                  <c:v>0.12156250010800372</c:v>
                </c:pt>
                <c:pt idx="348">
                  <c:v>0.12157731907405564</c:v>
                </c:pt>
                <c:pt idx="349">
                  <c:v>0.1215946603910366</c:v>
                </c:pt>
                <c:pt idx="350">
                  <c:v>0.12161437425331052</c:v>
                </c:pt>
                <c:pt idx="351">
                  <c:v>0.12163631085320843</c:v>
                </c:pt>
                <c:pt idx="352">
                  <c:v>0.12166032128911099</c:v>
                </c:pt>
                <c:pt idx="353">
                  <c:v>0.1216862584345025</c:v>
                </c:pt>
                <c:pt idx="354">
                  <c:v>0.12171397776206766</c:v>
                </c:pt>
                <c:pt idx="355">
                  <c:v>0.12174333811739113</c:v>
                </c:pt>
                <c:pt idx="356">
                  <c:v>0.12177420243734836</c:v>
                </c:pt>
                <c:pt idx="357">
                  <c:v>0.12180643840884327</c:v>
                </c:pt>
                <c:pt idx="358">
                  <c:v>0.12183991906414576</c:v>
                </c:pt>
                <c:pt idx="359">
                  <c:v>0.1218745233097064</c:v>
                </c:pt>
                <c:pt idx="360">
                  <c:v>0.12191013638596693</c:v>
                </c:pt>
                <c:pt idx="361">
                  <c:v>0.1219466502563423</c:v>
                </c:pt>
                <c:pt idx="362">
                  <c:v>0.12198396392421203</c:v>
                </c:pt>
                <c:pt idx="363">
                  <c:v>0.12202198367742266</c:v>
                </c:pt>
                <c:pt idx="364">
                  <c:v>0.12206062326046031</c:v>
                </c:pt>
                <c:pt idx="365">
                  <c:v>0.12209980397509806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3.1679558569720601E-2</c:v>
                </c:pt>
                <c:pt idx="1">
                  <c:v>3.132056174435377E-2</c:v>
                </c:pt>
                <c:pt idx="2">
                  <c:v>3.0947375749124973E-2</c:v>
                </c:pt>
                <c:pt idx="3">
                  <c:v>3.056116218323434E-2</c:v>
                </c:pt>
                <c:pt idx="4">
                  <c:v>3.0163062944788252E-2</c:v>
                </c:pt>
                <c:pt idx="5">
                  <c:v>2.9754194455748027E-2</c:v>
                </c:pt>
                <c:pt idx="6">
                  <c:v>2.9335642609814302E-2</c:v>
                </c:pt>
                <c:pt idx="7">
                  <c:v>2.890845844268803E-2</c:v>
                </c:pt>
                <c:pt idx="8">
                  <c:v>2.8470403425062719E-2</c:v>
                </c:pt>
                <c:pt idx="9">
                  <c:v>2.8027081686351603E-2</c:v>
                </c:pt>
                <c:pt idx="10">
                  <c:v>2.7586435488608115E-2</c:v>
                </c:pt>
                <c:pt idx="11">
                  <c:v>2.714997463573042E-2</c:v>
                </c:pt>
                <c:pt idx="12">
                  <c:v>2.671907307448556E-2</c:v>
                </c:pt>
                <c:pt idx="13">
                  <c:v>2.6294971399896474E-2</c:v>
                </c:pt>
                <c:pt idx="14">
                  <c:v>2.5878780971167543E-2</c:v>
                </c:pt>
                <c:pt idx="15">
                  <c:v>2.5462577640225352E-2</c:v>
                </c:pt>
                <c:pt idx="16">
                  <c:v>2.5046057307364509E-2</c:v>
                </c:pt>
                <c:pt idx="17">
                  <c:v>2.4630352229199303E-2</c:v>
                </c:pt>
                <c:pt idx="18">
                  <c:v>2.4216488123595611E-2</c:v>
                </c:pt>
                <c:pt idx="19">
                  <c:v>2.3805521472325498E-2</c:v>
                </c:pt>
                <c:pt idx="20">
                  <c:v>2.3398461742196203E-2</c:v>
                </c:pt>
                <c:pt idx="21">
                  <c:v>2.2996114910114444E-2</c:v>
                </c:pt>
                <c:pt idx="22">
                  <c:v>2.2596742761672433E-2</c:v>
                </c:pt>
                <c:pt idx="23">
                  <c:v>2.2173987629669867E-2</c:v>
                </c:pt>
                <c:pt idx="24">
                  <c:v>2.1723375880846198E-2</c:v>
                </c:pt>
                <c:pt idx="25">
                  <c:v>2.1246592135628899E-2</c:v>
                </c:pt>
                <c:pt idx="26">
                  <c:v>2.0745253607200382E-2</c:v>
                </c:pt>
                <c:pt idx="27">
                  <c:v>2.0220906866029016E-2</c:v>
                </c:pt>
                <c:pt idx="28">
                  <c:v>1.967502547872952E-2</c:v>
                </c:pt>
                <c:pt idx="29">
                  <c:v>1.9088499043594869E-2</c:v>
                </c:pt>
                <c:pt idx="30">
                  <c:v>1.8470782449653618E-2</c:v>
                </c:pt>
                <c:pt idx="31">
                  <c:v>1.782356912152655E-2</c:v>
                </c:pt>
                <c:pt idx="32">
                  <c:v>1.7148461099192418E-2</c:v>
                </c:pt>
                <c:pt idx="33">
                  <c:v>1.6446968330356224E-2</c:v>
                </c:pt>
                <c:pt idx="34">
                  <c:v>1.572050856479254E-2</c:v>
                </c:pt>
                <c:pt idx="35">
                  <c:v>1.497040774515707E-2</c:v>
                </c:pt>
                <c:pt idx="36">
                  <c:v>1.4197601311121135E-2</c:v>
                </c:pt>
                <c:pt idx="37">
                  <c:v>1.341240442120629E-2</c:v>
                </c:pt>
                <c:pt idx="38">
                  <c:v>1.2635847003069765E-2</c:v>
                </c:pt>
                <c:pt idx="39">
                  <c:v>1.1867820245488124E-2</c:v>
                </c:pt>
                <c:pt idx="40">
                  <c:v>1.1108220202749612E-2</c:v>
                </c:pt>
                <c:pt idx="41">
                  <c:v>1.0356946994950838E-2</c:v>
                </c:pt>
                <c:pt idx="42">
                  <c:v>9.6139040533544801E-3</c:v>
                </c:pt>
                <c:pt idx="43">
                  <c:v>8.9073754837237958E-3</c:v>
                </c:pt>
                <c:pt idx="44">
                  <c:v>8.2533872685021017E-3</c:v>
                </c:pt>
                <c:pt idx="45">
                  <c:v>7.650274159956125E-3</c:v>
                </c:pt>
                <c:pt idx="46">
                  <c:v>7.0964185637405362E-3</c:v>
                </c:pt>
                <c:pt idx="47">
                  <c:v>6.5902485881080041E-3</c:v>
                </c:pt>
                <c:pt idx="48">
                  <c:v>6.1302362587707313E-3</c:v>
                </c:pt>
                <c:pt idx="49">
                  <c:v>5.7148958792526726E-3</c:v>
                </c:pt>
                <c:pt idx="50">
                  <c:v>5.3426726939297137E-3</c:v>
                </c:pt>
                <c:pt idx="51">
                  <c:v>5.0246951028499092E-3</c:v>
                </c:pt>
                <c:pt idx="52">
                  <c:v>4.7513474718141489E-3</c:v>
                </c:pt>
                <c:pt idx="53">
                  <c:v>4.5212231460429958E-3</c:v>
                </c:pt>
                <c:pt idx="54">
                  <c:v>4.332963103414608E-3</c:v>
                </c:pt>
                <c:pt idx="55">
                  <c:v>4.1852354703478083E-3</c:v>
                </c:pt>
                <c:pt idx="56">
                  <c:v>4.0767407292747289E-3</c:v>
                </c:pt>
                <c:pt idx="57">
                  <c:v>4.0055808932783149E-3</c:v>
                </c:pt>
                <c:pt idx="58">
                  <c:v>3.9467575105307023E-3</c:v>
                </c:pt>
                <c:pt idx="59">
                  <c:v>3.8999150397065183E-3</c:v>
                </c:pt>
                <c:pt idx="60">
                  <c:v>3.8647095000811974E-3</c:v>
                </c:pt>
                <c:pt idx="61">
                  <c:v>3.8408094400890084E-3</c:v>
                </c:pt>
                <c:pt idx="62">
                  <c:v>3.8278967584087905E-3</c:v>
                </c:pt>
                <c:pt idx="63">
                  <c:v>3.8256673952613406E-3</c:v>
                </c:pt>
                <c:pt idx="64">
                  <c:v>3.8335830453824862E-3</c:v>
                </c:pt>
                <c:pt idx="65">
                  <c:v>3.8492746295975913E-3</c:v>
                </c:pt>
                <c:pt idx="66">
                  <c:v>3.8619381887912215E-3</c:v>
                </c:pt>
                <c:pt idx="67">
                  <c:v>3.8717355067509388E-3</c:v>
                </c:pt>
                <c:pt idx="68">
                  <c:v>3.8788232215774096E-3</c:v>
                </c:pt>
                <c:pt idx="69">
                  <c:v>3.8833525557107505E-3</c:v>
                </c:pt>
                <c:pt idx="70">
                  <c:v>3.8854691161848212E-3</c:v>
                </c:pt>
                <c:pt idx="71">
                  <c:v>3.8824064070137458E-3</c:v>
                </c:pt>
                <c:pt idx="72">
                  <c:v>3.8749261697205977E-3</c:v>
                </c:pt>
                <c:pt idx="73">
                  <c:v>3.8632247872892179E-3</c:v>
                </c:pt>
                <c:pt idx="74">
                  <c:v>3.8474890134010788E-3</c:v>
                </c:pt>
                <c:pt idx="75">
                  <c:v>3.8278958869503174E-3</c:v>
                </c:pt>
                <c:pt idx="76">
                  <c:v>3.8046126992495009E-3</c:v>
                </c:pt>
                <c:pt idx="77">
                  <c:v>3.7777970052421182E-3</c:v>
                </c:pt>
                <c:pt idx="78">
                  <c:v>3.74730269098492E-3</c:v>
                </c:pt>
                <c:pt idx="79">
                  <c:v>3.7113704259159855E-3</c:v>
                </c:pt>
                <c:pt idx="80">
                  <c:v>3.6718394623043633E-3</c:v>
                </c:pt>
                <c:pt idx="81">
                  <c:v>3.6288793723938525E-3</c:v>
                </c:pt>
                <c:pt idx="82">
                  <c:v>3.5826497372004455E-3</c:v>
                </c:pt>
                <c:pt idx="83">
                  <c:v>3.5332999701630967E-3</c:v>
                </c:pt>
                <c:pt idx="84">
                  <c:v>3.4809692037539651E-3</c:v>
                </c:pt>
                <c:pt idx="85">
                  <c:v>3.4249818139173048E-3</c:v>
                </c:pt>
                <c:pt idx="86">
                  <c:v>3.3680087141724248E-3</c:v>
                </c:pt>
                <c:pt idx="87">
                  <c:v>3.3101175413361079E-3</c:v>
                </c:pt>
                <c:pt idx="88">
                  <c:v>3.2513686210639209E-3</c:v>
                </c:pt>
                <c:pt idx="89">
                  <c:v>3.1918151738049294E-3</c:v>
                </c:pt>
                <c:pt idx="90">
                  <c:v>3.1315035155931184E-3</c:v>
                </c:pt>
                <c:pt idx="91">
                  <c:v>3.0704732531597937E-3</c:v>
                </c:pt>
                <c:pt idx="92">
                  <c:v>3.0085868727156807E-3</c:v>
                </c:pt>
                <c:pt idx="93">
                  <c:v>2.944501953756673E-3</c:v>
                </c:pt>
                <c:pt idx="94">
                  <c:v>2.8797274975095196E-3</c:v>
                </c:pt>
                <c:pt idx="95">
                  <c:v>2.814273260238784E-3</c:v>
                </c:pt>
                <c:pt idx="96">
                  <c:v>2.748146203868923E-3</c:v>
                </c:pt>
                <c:pt idx="97">
                  <c:v>2.68135053447029E-3</c:v>
                </c:pt>
                <c:pt idx="98">
                  <c:v>2.6138877362252488E-3</c:v>
                </c:pt>
                <c:pt idx="99">
                  <c:v>2.5449758747542496E-3</c:v>
                </c:pt>
                <c:pt idx="100">
                  <c:v>2.4753406090228538E-3</c:v>
                </c:pt>
                <c:pt idx="101">
                  <c:v>2.4049697739019606E-3</c:v>
                </c:pt>
                <c:pt idx="102">
                  <c:v>2.3338482151712965E-3</c:v>
                </c:pt>
                <c:pt idx="103">
                  <c:v>2.261957776363125E-3</c:v>
                </c:pt>
                <c:pt idx="104">
                  <c:v>2.1892772775669888E-3</c:v>
                </c:pt>
                <c:pt idx="105">
                  <c:v>2.1157824882292622E-3</c:v>
                </c:pt>
                <c:pt idx="106">
                  <c:v>2.0413904092657278E-3</c:v>
                </c:pt>
                <c:pt idx="107">
                  <c:v>1.9654901786191775E-3</c:v>
                </c:pt>
                <c:pt idx="108">
                  <c:v>1.889183905162121E-3</c:v>
                </c:pt>
                <c:pt idx="109">
                  <c:v>1.8124431165835019E-3</c:v>
                </c:pt>
                <c:pt idx="110">
                  <c:v>1.7352416968855998E-3</c:v>
                </c:pt>
                <c:pt idx="111">
                  <c:v>1.6575501566239669E-3</c:v>
                </c:pt>
                <c:pt idx="112">
                  <c:v>1.579331012219194E-3</c:v>
                </c:pt>
                <c:pt idx="113">
                  <c:v>1.5016115778189729E-3</c:v>
                </c:pt>
                <c:pt idx="114">
                  <c:v>1.4251036097399812E-3</c:v>
                </c:pt>
                <c:pt idx="115">
                  <c:v>1.3497574390185893E-3</c:v>
                </c:pt>
                <c:pt idx="116">
                  <c:v>1.2755233566201811E-3</c:v>
                </c:pt>
                <c:pt idx="117">
                  <c:v>1.2023516257660821E-3</c:v>
                </c:pt>
                <c:pt idx="118">
                  <c:v>1.1301924900664862E-3</c:v>
                </c:pt>
                <c:pt idx="119">
                  <c:v>1.0589961785478969E-3</c:v>
                </c:pt>
                <c:pt idx="120">
                  <c:v>9.8871501552421541E-4</c:v>
                </c:pt>
                <c:pt idx="121">
                  <c:v>9.2151397281329075E-4</c:v>
                </c:pt>
                <c:pt idx="122">
                  <c:v>8.5785350479365805E-4</c:v>
                </c:pt>
                <c:pt idx="123">
                  <c:v>7.9767878574624022E-4</c:v>
                </c:pt>
                <c:pt idx="124">
                  <c:v>7.4094183459996906E-4</c:v>
                </c:pt>
                <c:pt idx="125">
                  <c:v>6.8760113428783338E-4</c:v>
                </c:pt>
                <c:pt idx="126">
                  <c:v>6.3762127488196799E-4</c:v>
                </c:pt>
                <c:pt idx="127">
                  <c:v>5.9185878894923646E-4</c:v>
                </c:pt>
                <c:pt idx="128">
                  <c:v>5.4923019748392022E-4</c:v>
                </c:pt>
                <c:pt idx="129">
                  <c:v>5.0971606056455371E-4</c:v>
                </c:pt>
                <c:pt idx="130">
                  <c:v>4.733015717577667E-4</c:v>
                </c:pt>
                <c:pt idx="131">
                  <c:v>4.399762849988358E-4</c:v>
                </c:pt>
                <c:pt idx="132">
                  <c:v>4.0973384741680862E-4</c:v>
                </c:pt>
                <c:pt idx="133">
                  <c:v>3.8257173594502812E-4</c:v>
                </c:pt>
                <c:pt idx="134">
                  <c:v>3.5850144140013547E-4</c:v>
                </c:pt>
                <c:pt idx="135">
                  <c:v>3.3765035609854881E-4</c:v>
                </c:pt>
                <c:pt idx="136">
                  <c:v>3.1776897155687267E-4</c:v>
                </c:pt>
                <c:pt idx="137">
                  <c:v>2.9884970306869832E-4</c:v>
                </c:pt>
                <c:pt idx="138">
                  <c:v>2.808864789683983E-4</c:v>
                </c:pt>
                <c:pt idx="139">
                  <c:v>2.6387467541431837E-4</c:v>
                </c:pt>
                <c:pt idx="140">
                  <c:v>2.4781105228843266E-4</c:v>
                </c:pt>
                <c:pt idx="141">
                  <c:v>2.3320759828768391E-4</c:v>
                </c:pt>
                <c:pt idx="142">
                  <c:v>2.1915066132749679E-4</c:v>
                </c:pt>
                <c:pt idx="143">
                  <c:v>2.0563618584620345E-4</c:v>
                </c:pt>
                <c:pt idx="144">
                  <c:v>1.9266232917788573E-4</c:v>
                </c:pt>
                <c:pt idx="145">
                  <c:v>1.802279444211823E-4</c:v>
                </c:pt>
                <c:pt idx="146">
                  <c:v>1.6833255495283218E-4</c:v>
                </c:pt>
                <c:pt idx="147">
                  <c:v>1.5697632829158467E-4</c:v>
                </c:pt>
                <c:pt idx="148">
                  <c:v>1.4616305837334453E-4</c:v>
                </c:pt>
                <c:pt idx="149">
                  <c:v>1.3632693322882712E-4</c:v>
                </c:pt>
                <c:pt idx="150">
                  <c:v>1.2736499393627192E-4</c:v>
                </c:pt>
                <c:pt idx="151">
                  <c:v>1.1928650114965634E-4</c:v>
                </c:pt>
                <c:pt idx="152">
                  <c:v>1.1210151817848527E-4</c:v>
                </c:pt>
                <c:pt idx="153">
                  <c:v>1.0582086332627368E-4</c:v>
                </c:pt>
                <c:pt idx="154">
                  <c:v>1.0045606039818706E-4</c:v>
                </c:pt>
                <c:pt idx="155">
                  <c:v>9.611315675842851E-5</c:v>
                </c:pt>
                <c:pt idx="156">
                  <c:v>9.2261152900866125E-5</c:v>
                </c:pt>
                <c:pt idx="157">
                  <c:v>8.890733709709894E-5</c:v>
                </c:pt>
                <c:pt idx="158">
                  <c:v>8.6059322347414857E-5</c:v>
                </c:pt>
                <c:pt idx="159">
                  <c:v>8.3725014772270079E-5</c:v>
                </c:pt>
                <c:pt idx="160">
                  <c:v>8.1912581259173874E-5</c:v>
                </c:pt>
                <c:pt idx="161">
                  <c:v>8.063041645019916E-5</c:v>
                </c:pt>
                <c:pt idx="162">
                  <c:v>7.9888405622200045E-5</c:v>
                </c:pt>
                <c:pt idx="163">
                  <c:v>7.9693231554258675E-5</c:v>
                </c:pt>
                <c:pt idx="164">
                  <c:v>7.958638576943054E-5</c:v>
                </c:pt>
                <c:pt idx="165">
                  <c:v>7.9569444160596699E-5</c:v>
                </c:pt>
                <c:pt idx="166">
                  <c:v>7.9644025482939244E-5</c:v>
                </c:pt>
                <c:pt idx="167">
                  <c:v>7.9811785644116887E-5</c:v>
                </c:pt>
                <c:pt idx="168">
                  <c:v>8.0154397734264528E-5</c:v>
                </c:pt>
                <c:pt idx="169">
                  <c:v>8.0589124414954342E-5</c:v>
                </c:pt>
                <c:pt idx="170">
                  <c:v>8.1014414069075909E-5</c:v>
                </c:pt>
                <c:pt idx="171">
                  <c:v>8.1434645978675234E-5</c:v>
                </c:pt>
                <c:pt idx="172">
                  <c:v>8.1854139959531912E-5</c:v>
                </c:pt>
                <c:pt idx="173">
                  <c:v>8.2276306534467754E-5</c:v>
                </c:pt>
                <c:pt idx="174">
                  <c:v>8.2704417803340928E-5</c:v>
                </c:pt>
                <c:pt idx="175">
                  <c:v>8.3142470156784609E-5</c:v>
                </c:pt>
                <c:pt idx="176">
                  <c:v>8.3594463239643367E-5</c:v>
                </c:pt>
                <c:pt idx="177">
                  <c:v>8.4174650345987076E-5</c:v>
                </c:pt>
                <c:pt idx="178">
                  <c:v>8.4884679099758031E-5</c:v>
                </c:pt>
                <c:pt idx="179">
                  <c:v>8.572965866422492E-5</c:v>
                </c:pt>
                <c:pt idx="180">
                  <c:v>8.6714603055174845E-5</c:v>
                </c:pt>
                <c:pt idx="181">
                  <c:v>8.7844432430129974E-5</c:v>
                </c:pt>
                <c:pt idx="182">
                  <c:v>8.912397569475495E-5</c:v>
                </c:pt>
                <c:pt idx="183">
                  <c:v>9.1097969073675416E-5</c:v>
                </c:pt>
                <c:pt idx="184">
                  <c:v>9.3772573350032364E-5</c:v>
                </c:pt>
                <c:pt idx="185">
                  <c:v>9.7161655982449702E-5</c:v>
                </c:pt>
                <c:pt idx="186">
                  <c:v>1.0127897545221405E-4</c:v>
                </c:pt>
                <c:pt idx="187">
                  <c:v>1.0613821358495812E-4</c:v>
                </c:pt>
                <c:pt idx="188">
                  <c:v>1.1175301159548725E-4</c:v>
                </c:pt>
                <c:pt idx="189">
                  <c:v>1.181370098197829E-4</c:v>
                </c:pt>
                <c:pt idx="190">
                  <c:v>1.2530374162636048E-4</c:v>
                </c:pt>
                <c:pt idx="191">
                  <c:v>1.3390243041102253E-4</c:v>
                </c:pt>
                <c:pt idx="192">
                  <c:v>1.4382922082045474E-4</c:v>
                </c:pt>
                <c:pt idx="193">
                  <c:v>1.5510206590782345E-4</c:v>
                </c:pt>
                <c:pt idx="194">
                  <c:v>1.6773889977172852E-4</c:v>
                </c:pt>
                <c:pt idx="195">
                  <c:v>1.8175762022325793E-4</c:v>
                </c:pt>
                <c:pt idx="196">
                  <c:v>1.9717607179917061E-4</c:v>
                </c:pt>
                <c:pt idx="197">
                  <c:v>2.1424192170415069E-4</c:v>
                </c:pt>
                <c:pt idx="198">
                  <c:v>2.323874958451702E-4</c:v>
                </c:pt>
                <c:pt idx="199">
                  <c:v>2.5162927173154402E-4</c:v>
                </c:pt>
                <c:pt idx="200">
                  <c:v>2.7198341135762922E-4</c:v>
                </c:pt>
                <c:pt idx="201">
                  <c:v>2.9346575264274698E-4</c:v>
                </c:pt>
                <c:pt idx="202">
                  <c:v>3.1609180019147342E-4</c:v>
                </c:pt>
                <c:pt idx="203">
                  <c:v>3.398767152257917E-4</c:v>
                </c:pt>
                <c:pt idx="204">
                  <c:v>3.6483516414588215E-4</c:v>
                </c:pt>
                <c:pt idx="205">
                  <c:v>3.9234259661232346E-4</c:v>
                </c:pt>
                <c:pt idx="206">
                  <c:v>4.2176226772524633E-4</c:v>
                </c:pt>
                <c:pt idx="207">
                  <c:v>4.5312698501175498E-4</c:v>
                </c:pt>
                <c:pt idx="208">
                  <c:v>4.8646983245101942E-4</c:v>
                </c:pt>
                <c:pt idx="209">
                  <c:v>5.2182430158935499E-4</c:v>
                </c:pt>
                <c:pt idx="210">
                  <c:v>5.5922442764511538E-4</c:v>
                </c:pt>
                <c:pt idx="211">
                  <c:v>6.015873588011058E-4</c:v>
                </c:pt>
                <c:pt idx="212">
                  <c:v>6.4870544952622892E-4</c:v>
                </c:pt>
                <c:pt idx="213">
                  <c:v>7.0063979317247624E-4</c:v>
                </c:pt>
                <c:pt idx="214">
                  <c:v>7.5745405366485139E-4</c:v>
                </c:pt>
                <c:pt idx="215">
                  <c:v>8.1921476406662363E-4</c:v>
                </c:pt>
                <c:pt idx="216">
                  <c:v>8.8599163735038529E-4</c:v>
                </c:pt>
                <c:pt idx="217">
                  <c:v>9.5785789036656281E-4</c:v>
                </c:pt>
                <c:pt idx="218">
                  <c:v>1.0348634106631498E-3</c:v>
                </c:pt>
                <c:pt idx="219">
                  <c:v>1.118562026662916E-3</c:v>
                </c:pt>
                <c:pt idx="220">
                  <c:v>1.2075703212423149E-3</c:v>
                </c:pt>
                <c:pt idx="221">
                  <c:v>1.3019649403242083E-3</c:v>
                </c:pt>
                <c:pt idx="222">
                  <c:v>1.4018280184702598E-3</c:v>
                </c:pt>
                <c:pt idx="223">
                  <c:v>1.5072477549181967E-3</c:v>
                </c:pt>
                <c:pt idx="224">
                  <c:v>1.6183190195269768E-3</c:v>
                </c:pt>
                <c:pt idx="225">
                  <c:v>1.7342925638769396E-3</c:v>
                </c:pt>
                <c:pt idx="226">
                  <c:v>1.8522030967646329E-3</c:v>
                </c:pt>
                <c:pt idx="227">
                  <c:v>1.9721132238658006E-3</c:v>
                </c:pt>
                <c:pt idx="228">
                  <c:v>2.0940919208380215E-3</c:v>
                </c:pt>
                <c:pt idx="229">
                  <c:v>2.218214883046295E-3</c:v>
                </c:pt>
                <c:pt idx="230">
                  <c:v>2.3445649057742758E-3</c:v>
                </c:pt>
                <c:pt idx="231">
                  <c:v>2.4732322995830638E-3</c:v>
                </c:pt>
                <c:pt idx="232">
                  <c:v>2.6042395503274164E-3</c:v>
                </c:pt>
                <c:pt idx="233">
                  <c:v>2.7359913663541945E-3</c:v>
                </c:pt>
                <c:pt idx="234">
                  <c:v>2.866911734665E-3</c:v>
                </c:pt>
                <c:pt idx="235">
                  <c:v>2.9970246992076783E-3</c:v>
                </c:pt>
                <c:pt idx="236">
                  <c:v>3.1263586712330306E-3</c:v>
                </c:pt>
                <c:pt idx="237">
                  <c:v>3.2549435003495818E-3</c:v>
                </c:pt>
                <c:pt idx="238">
                  <c:v>3.382812268161848E-3</c:v>
                </c:pt>
                <c:pt idx="239">
                  <c:v>3.5080441927360013E-3</c:v>
                </c:pt>
                <c:pt idx="240">
                  <c:v>3.6315700687332294E-3</c:v>
                </c:pt>
                <c:pt idx="241">
                  <c:v>3.7534102444739185E-3</c:v>
                </c:pt>
                <c:pt idx="242">
                  <c:v>3.8735872339575096E-3</c:v>
                </c:pt>
                <c:pt idx="243">
                  <c:v>3.9921256783746056E-3</c:v>
                </c:pt>
                <c:pt idx="244">
                  <c:v>4.1090523148339031E-3</c:v>
                </c:pt>
                <c:pt idx="245">
                  <c:v>4.2243959531642816E-3</c:v>
                </c:pt>
                <c:pt idx="246">
                  <c:v>4.3382431776972097E-3</c:v>
                </c:pt>
                <c:pt idx="247">
                  <c:v>4.4493659322932724E-3</c:v>
                </c:pt>
                <c:pt idx="248">
                  <c:v>4.5594854736586117E-3</c:v>
                </c:pt>
                <c:pt idx="249">
                  <c:v>4.6685764788633524E-3</c:v>
                </c:pt>
                <c:pt idx="250">
                  <c:v>4.7766073703408565E-3</c:v>
                </c:pt>
                <c:pt idx="251">
                  <c:v>4.8835401040719095E-3</c:v>
                </c:pt>
                <c:pt idx="252">
                  <c:v>4.9893299429624519E-3</c:v>
                </c:pt>
                <c:pt idx="253">
                  <c:v>5.0918310831608365E-3</c:v>
                </c:pt>
                <c:pt idx="254">
                  <c:v>5.1931329180914844E-3</c:v>
                </c:pt>
                <c:pt idx="255">
                  <c:v>5.2931721359049059E-3</c:v>
                </c:pt>
                <c:pt idx="256">
                  <c:v>5.3918777771800727E-3</c:v>
                </c:pt>
                <c:pt idx="257">
                  <c:v>5.4891709662353259E-3</c:v>
                </c:pt>
                <c:pt idx="258">
                  <c:v>5.5849646382012353E-3</c:v>
                </c:pt>
                <c:pt idx="259">
                  <c:v>5.6791632633926298E-3</c:v>
                </c:pt>
                <c:pt idx="260">
                  <c:v>5.7721196053703476E-3</c:v>
                </c:pt>
                <c:pt idx="261">
                  <c:v>5.8603924158628718E-3</c:v>
                </c:pt>
                <c:pt idx="262">
                  <c:v>5.945223477582048E-3</c:v>
                </c:pt>
                <c:pt idx="263">
                  <c:v>6.026406969582984E-3</c:v>
                </c:pt>
                <c:pt idx="264">
                  <c:v>6.1037179344773452E-3</c:v>
                </c:pt>
                <c:pt idx="265">
                  <c:v>6.1769446668710412E-3</c:v>
                </c:pt>
                <c:pt idx="266">
                  <c:v>6.2458402782265277E-3</c:v>
                </c:pt>
                <c:pt idx="267">
                  <c:v>6.3111034473664184E-3</c:v>
                </c:pt>
                <c:pt idx="268">
                  <c:v>6.3749046907202005E-3</c:v>
                </c:pt>
                <c:pt idx="269">
                  <c:v>6.4370415587740636E-3</c:v>
                </c:pt>
                <c:pt idx="270">
                  <c:v>6.4972950852549578E-3</c:v>
                </c:pt>
                <c:pt idx="271">
                  <c:v>6.5554294091616869E-3</c:v>
                </c:pt>
                <c:pt idx="272">
                  <c:v>6.6111914905160859E-3</c:v>
                </c:pt>
                <c:pt idx="273">
                  <c:v>6.6643109425872848E-3</c:v>
                </c:pt>
                <c:pt idx="274">
                  <c:v>6.7153541590102631E-3</c:v>
                </c:pt>
                <c:pt idx="275">
                  <c:v>6.7726781209352478E-3</c:v>
                </c:pt>
                <c:pt idx="276">
                  <c:v>6.8408617297355603E-3</c:v>
                </c:pt>
                <c:pt idx="277">
                  <c:v>6.9201434526319928E-3</c:v>
                </c:pt>
                <c:pt idx="278">
                  <c:v>7.0107653268530268E-3</c:v>
                </c:pt>
                <c:pt idx="279">
                  <c:v>7.1129698462044279E-3</c:v>
                </c:pt>
                <c:pt idx="280">
                  <c:v>7.2269964507964777E-3</c:v>
                </c:pt>
                <c:pt idx="281">
                  <c:v>7.3717579740018241E-3</c:v>
                </c:pt>
                <c:pt idx="282">
                  <c:v>7.5469756635987619E-3</c:v>
                </c:pt>
                <c:pt idx="283">
                  <c:v>7.7535622292936113E-3</c:v>
                </c:pt>
                <c:pt idx="284">
                  <c:v>7.9924223013644706E-3</c:v>
                </c:pt>
                <c:pt idx="285">
                  <c:v>8.2644395683287557E-3</c:v>
                </c:pt>
                <c:pt idx="286">
                  <c:v>8.570462364918003E-3</c:v>
                </c:pt>
                <c:pt idx="287">
                  <c:v>8.9112876566152105E-3</c:v>
                </c:pt>
                <c:pt idx="288">
                  <c:v>9.2882321662990375E-3</c:v>
                </c:pt>
                <c:pt idx="289">
                  <c:v>9.733604331975447E-3</c:v>
                </c:pt>
                <c:pt idx="290">
                  <c:v>1.0240319153022724E-2</c:v>
                </c:pt>
                <c:pt idx="291">
                  <c:v>1.0810479536381406E-2</c:v>
                </c:pt>
                <c:pt idx="292">
                  <c:v>1.1446236099840971E-2</c:v>
                </c:pt>
                <c:pt idx="293">
                  <c:v>1.2149792215466434E-2</c:v>
                </c:pt>
                <c:pt idx="294">
                  <c:v>1.2923409755798247E-2</c:v>
                </c:pt>
                <c:pt idx="295">
                  <c:v>1.3772566998981391E-2</c:v>
                </c:pt>
                <c:pt idx="296">
                  <c:v>1.467734048783258E-2</c:v>
                </c:pt>
                <c:pt idx="297">
                  <c:v>1.5639653302407085E-2</c:v>
                </c:pt>
                <c:pt idx="298">
                  <c:v>1.6661402365594612E-2</c:v>
                </c:pt>
                <c:pt idx="299">
                  <c:v>1.7744574058227956E-2</c:v>
                </c:pt>
                <c:pt idx="300">
                  <c:v>1.8891253796835691E-2</c:v>
                </c:pt>
                <c:pt idx="301">
                  <c:v>2.0103636642149796E-2</c:v>
                </c:pt>
                <c:pt idx="302">
                  <c:v>2.1384140130218516E-2</c:v>
                </c:pt>
                <c:pt idx="303">
                  <c:v>2.2700387465684875E-2</c:v>
                </c:pt>
                <c:pt idx="304">
                  <c:v>2.4016012528578139E-2</c:v>
                </c:pt>
                <c:pt idx="305">
                  <c:v>2.5330058866441286E-2</c:v>
                </c:pt>
                <c:pt idx="306">
                  <c:v>2.6641430183916921E-2</c:v>
                </c:pt>
                <c:pt idx="307">
                  <c:v>2.7948883802365581E-2</c:v>
                </c:pt>
                <c:pt idx="308">
                  <c:v>2.9251024345115745E-2</c:v>
                </c:pt>
                <c:pt idx="309">
                  <c:v>3.0517685746531402E-2</c:v>
                </c:pt>
                <c:pt idx="310">
                  <c:v>3.1742280066000945E-2</c:v>
                </c:pt>
                <c:pt idx="311">
                  <c:v>3.2921696341431383E-2</c:v>
                </c:pt>
                <c:pt idx="312">
                  <c:v>3.4052650597765098E-2</c:v>
                </c:pt>
                <c:pt idx="313">
                  <c:v>3.5131693200983485E-2</c:v>
                </c:pt>
                <c:pt idx="314">
                  <c:v>3.6155218668436323E-2</c:v>
                </c:pt>
                <c:pt idx="315">
                  <c:v>3.7119478233750038E-2</c:v>
                </c:pt>
                <c:pt idx="316">
                  <c:v>3.8021232209032758E-2</c:v>
                </c:pt>
                <c:pt idx="317">
                  <c:v>3.8853596038199795E-2</c:v>
                </c:pt>
                <c:pt idx="318">
                  <c:v>3.9655298578102106E-2</c:v>
                </c:pt>
                <c:pt idx="319">
                  <c:v>4.042508855879276E-2</c:v>
                </c:pt>
                <c:pt idx="320">
                  <c:v>4.11617681351715E-2</c:v>
                </c:pt>
                <c:pt idx="321">
                  <c:v>4.1864194740324941E-2</c:v>
                </c:pt>
                <c:pt idx="322">
                  <c:v>4.2531282481798466E-2</c:v>
                </c:pt>
                <c:pt idx="323">
                  <c:v>4.3174271076498821E-2</c:v>
                </c:pt>
                <c:pt idx="324">
                  <c:v>4.3826417147739855E-2</c:v>
                </c:pt>
                <c:pt idx="325">
                  <c:v>4.4488165637761201E-2</c:v>
                </c:pt>
                <c:pt idx="326">
                  <c:v>4.515972511425715E-2</c:v>
                </c:pt>
                <c:pt idx="327">
                  <c:v>4.5841524412058229E-2</c:v>
                </c:pt>
                <c:pt idx="328">
                  <c:v>4.6534274590049642E-2</c:v>
                </c:pt>
                <c:pt idx="329">
                  <c:v>4.7238747286657223E-2</c:v>
                </c:pt>
                <c:pt idx="330">
                  <c:v>4.7958936945823705E-2</c:v>
                </c:pt>
                <c:pt idx="331">
                  <c:v>4.8698101659200237E-2</c:v>
                </c:pt>
                <c:pt idx="332">
                  <c:v>4.9459484561040983E-2</c:v>
                </c:pt>
                <c:pt idx="333">
                  <c:v>5.024101071948768E-2</c:v>
                </c:pt>
                <c:pt idx="334">
                  <c:v>5.1040353288160714E-2</c:v>
                </c:pt>
                <c:pt idx="335">
                  <c:v>5.1854916635845426E-2</c:v>
                </c:pt>
                <c:pt idx="336">
                  <c:v>5.2681821955299676E-2</c:v>
                </c:pt>
                <c:pt idx="337">
                  <c:v>5.3503082514362164E-2</c:v>
                </c:pt>
                <c:pt idx="338">
                  <c:v>5.4300811119689749E-2</c:v>
                </c:pt>
                <c:pt idx="339">
                  <c:v>5.5070594469277638E-2</c:v>
                </c:pt>
                <c:pt idx="340">
                  <c:v>5.5807798775463484E-2</c:v>
                </c:pt>
                <c:pt idx="341">
                  <c:v>5.6507601375646144E-2</c:v>
                </c:pt>
                <c:pt idx="342">
                  <c:v>5.7165030358524688E-2</c:v>
                </c:pt>
                <c:pt idx="343">
                  <c:v>5.7775012525100679E-2</c:v>
                </c:pt>
                <c:pt idx="344">
                  <c:v>5.8341299212852069E-2</c:v>
                </c:pt>
                <c:pt idx="345">
                  <c:v>5.8870004595857388E-2</c:v>
                </c:pt>
                <c:pt idx="346">
                  <c:v>5.9345421748968327E-2</c:v>
                </c:pt>
                <c:pt idx="347">
                  <c:v>5.976597973180129E-2</c:v>
                </c:pt>
                <c:pt idx="348">
                  <c:v>6.0130241200752596E-2</c:v>
                </c:pt>
                <c:pt idx="349">
                  <c:v>6.0436915088634094E-2</c:v>
                </c:pt>
                <c:pt idx="350">
                  <c:v>6.0684868576335302E-2</c:v>
                </c:pt>
                <c:pt idx="351">
                  <c:v>6.0859967841033348E-2</c:v>
                </c:pt>
                <c:pt idx="352">
                  <c:v>6.0977189209253109E-2</c:v>
                </c:pt>
                <c:pt idx="353">
                  <c:v>6.1035958227672833E-2</c:v>
                </c:pt>
                <c:pt idx="354">
                  <c:v>6.1035887642617866E-2</c:v>
                </c:pt>
                <c:pt idx="355">
                  <c:v>6.0976782911767918E-2</c:v>
                </c:pt>
                <c:pt idx="356">
                  <c:v>6.0858294946892391E-2</c:v>
                </c:pt>
                <c:pt idx="357">
                  <c:v>6.0680899919135084E-2</c:v>
                </c:pt>
                <c:pt idx="358">
                  <c:v>6.0443723962039474E-2</c:v>
                </c:pt>
                <c:pt idx="359">
                  <c:v>6.0146983083824192E-2</c:v>
                </c:pt>
                <c:pt idx="360">
                  <c:v>5.9776952080288888E-2</c:v>
                </c:pt>
                <c:pt idx="361">
                  <c:v>5.9348751366423529E-2</c:v>
                </c:pt>
                <c:pt idx="362">
                  <c:v>5.8864559878526256E-2</c:v>
                </c:pt>
                <c:pt idx="363">
                  <c:v>5.8326672035834297E-2</c:v>
                </c:pt>
                <c:pt idx="364">
                  <c:v>5.7737475420914453E-2</c:v>
                </c:pt>
                <c:pt idx="365">
                  <c:v>5.7099429071925237E-2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3694680"/>
        <c:axId val="533695072"/>
      </c:lineChart>
      <c:dateAx>
        <c:axId val="5336946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3695072"/>
        <c:crosses val="autoZero"/>
        <c:auto val="1"/>
        <c:lblOffset val="100"/>
        <c:baseTimeUnit val="days"/>
        <c:majorUnit val="1"/>
        <c:majorTimeUnit val="months"/>
      </c:dateAx>
      <c:valAx>
        <c:axId val="5336950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36946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16.549931900973782</c:v>
                </c:pt>
                <c:pt idx="1">
                  <c:v>16.671521000349752</c:v>
                </c:pt>
                <c:pt idx="2">
                  <c:v>16.801254925613083</c:v>
                </c:pt>
                <c:pt idx="3">
                  <c:v>16.938894238470446</c:v>
                </c:pt>
                <c:pt idx="4">
                  <c:v>17.084199559215698</c:v>
                </c:pt>
                <c:pt idx="5">
                  <c:v>17.236931563981319</c:v>
                </c:pt>
                <c:pt idx="6">
                  <c:v>17.396850988989563</c:v>
                </c:pt>
                <c:pt idx="7">
                  <c:v>17.563718636354952</c:v>
                </c:pt>
                <c:pt idx="8">
                  <c:v>17.739380193276769</c:v>
                </c:pt>
                <c:pt idx="9">
                  <c:v>17.925260679241497</c:v>
                </c:pt>
                <c:pt idx="10">
                  <c:v>18.120572800286176</c:v>
                </c:pt>
                <c:pt idx="11">
                  <c:v>18.324643497889522</c:v>
                </c:pt>
                <c:pt idx="12">
                  <c:v>18.536800072141656</c:v>
                </c:pt>
                <c:pt idx="13">
                  <c:v>18.756370199981248</c:v>
                </c:pt>
                <c:pt idx="14">
                  <c:v>18.982681939203328</c:v>
                </c:pt>
                <c:pt idx="15">
                  <c:v>19.215239441239849</c:v>
                </c:pt>
                <c:pt idx="16">
                  <c:v>19.453401277092162</c:v>
                </c:pt>
                <c:pt idx="17">
                  <c:v>19.696496578313059</c:v>
                </c:pt>
                <c:pt idx="18">
                  <c:v>19.943854830198394</c:v>
                </c:pt>
                <c:pt idx="19">
                  <c:v>20.194803127791044</c:v>
                </c:pt>
                <c:pt idx="20">
                  <c:v>20.448667751997629</c:v>
                </c:pt>
                <c:pt idx="21">
                  <c:v>20.70477754212309</c:v>
                </c:pt>
                <c:pt idx="22">
                  <c:v>20.964790160027963</c:v>
                </c:pt>
                <c:pt idx="23">
                  <c:v>21.231138969154053</c:v>
                </c:pt>
                <c:pt idx="24">
                  <c:v>21.503648382704021</c:v>
                </c:pt>
                <c:pt idx="25">
                  <c:v>21.782011112393516</c:v>
                </c:pt>
                <c:pt idx="26">
                  <c:v>22.065920025518817</c:v>
                </c:pt>
                <c:pt idx="27">
                  <c:v>22.355068157082098</c:v>
                </c:pt>
                <c:pt idx="28">
                  <c:v>22.649148724570921</c:v>
                </c:pt>
                <c:pt idx="29">
                  <c:v>22.948334959005219</c:v>
                </c:pt>
                <c:pt idx="30">
                  <c:v>23.252145997343884</c:v>
                </c:pt>
                <c:pt idx="31">
                  <c:v>23.560276271197331</c:v>
                </c:pt>
                <c:pt idx="32">
                  <c:v>23.872420490909455</c:v>
                </c:pt>
                <c:pt idx="33">
                  <c:v>24.188273670001106</c:v>
                </c:pt>
                <c:pt idx="34">
                  <c:v>24.507531136349556</c:v>
                </c:pt>
                <c:pt idx="35">
                  <c:v>24.829888552011617</c:v>
                </c:pt>
                <c:pt idx="36">
                  <c:v>25.155580239092</c:v>
                </c:pt>
                <c:pt idx="37">
                  <c:v>25.484863520949297</c:v>
                </c:pt>
                <c:pt idx="38">
                  <c:v>25.81730568840527</c:v>
                </c:pt>
                <c:pt idx="39">
                  <c:v>26.153007179304591</c:v>
                </c:pt>
                <c:pt idx="40">
                  <c:v>26.492068583906736</c:v>
                </c:pt>
                <c:pt idx="41">
                  <c:v>26.834590650971595</c:v>
                </c:pt>
                <c:pt idx="42">
                  <c:v>27.180674292198962</c:v>
                </c:pt>
                <c:pt idx="43">
                  <c:v>27.529632319869314</c:v>
                </c:pt>
                <c:pt idx="44">
                  <c:v>27.881084233505739</c:v>
                </c:pt>
                <c:pt idx="45">
                  <c:v>28.235130583132086</c:v>
                </c:pt>
                <c:pt idx="46">
                  <c:v>28.591871883708734</c:v>
                </c:pt>
                <c:pt idx="47">
                  <c:v>28.951408599464798</c:v>
                </c:pt>
                <c:pt idx="48">
                  <c:v>29.313841111288671</c:v>
                </c:pt>
                <c:pt idx="49">
                  <c:v>29.67926969215991</c:v>
                </c:pt>
                <c:pt idx="50">
                  <c:v>30.048415513882599</c:v>
                </c:pt>
                <c:pt idx="51">
                  <c:v>30.421279642061808</c:v>
                </c:pt>
                <c:pt idx="52">
                  <c:v>30.797702597543577</c:v>
                </c:pt>
                <c:pt idx="53">
                  <c:v>31.177280368692788</c:v>
                </c:pt>
                <c:pt idx="54">
                  <c:v>31.559608155250842</c:v>
                </c:pt>
                <c:pt idx="55">
                  <c:v>31.944281158959406</c:v>
                </c:pt>
                <c:pt idx="56">
                  <c:v>32.330894554687482</c:v>
                </c:pt>
                <c:pt idx="57">
                  <c:v>32.719064348143256</c:v>
                </c:pt>
                <c:pt idx="58">
                  <c:v>33.109176690956673</c:v>
                </c:pt>
                <c:pt idx="59">
                  <c:v>33.500827592515378</c:v>
                </c:pt>
                <c:pt idx="60">
                  <c:v>33.893613077032896</c:v>
                </c:pt>
                <c:pt idx="61">
                  <c:v>34.287129167073317</c:v>
                </c:pt>
                <c:pt idx="62">
                  <c:v>34.680971872507214</c:v>
                </c:pt>
                <c:pt idx="63">
                  <c:v>35.074737173097944</c:v>
                </c:pt>
                <c:pt idx="64">
                  <c:v>35.470332326110594</c:v>
                </c:pt>
                <c:pt idx="65">
                  <c:v>35.869596384975573</c:v>
                </c:pt>
                <c:pt idx="66">
                  <c:v>36.272309382224535</c:v>
                </c:pt>
                <c:pt idx="67">
                  <c:v>36.677865220763934</c:v>
                </c:pt>
                <c:pt idx="68">
                  <c:v>37.085657935976485</c:v>
                </c:pt>
                <c:pt idx="69">
                  <c:v>37.495081689497653</c:v>
                </c:pt>
                <c:pt idx="70">
                  <c:v>37.905530768210305</c:v>
                </c:pt>
                <c:pt idx="71">
                  <c:v>38.316511377022287</c:v>
                </c:pt>
                <c:pt idx="72">
                  <c:v>38.727397239991774</c:v>
                </c:pt>
                <c:pt idx="73">
                  <c:v>39.137583141667747</c:v>
                </c:pt>
                <c:pt idx="74">
                  <c:v>39.546464010203209</c:v>
                </c:pt>
                <c:pt idx="75">
                  <c:v>39.953434923710063</c:v>
                </c:pt>
                <c:pt idx="76">
                  <c:v>40.357891119791603</c:v>
                </c:pt>
                <c:pt idx="77">
                  <c:v>40.759228006993709</c:v>
                </c:pt>
                <c:pt idx="78">
                  <c:v>41.160083485689213</c:v>
                </c:pt>
                <c:pt idx="79">
                  <c:v>41.563028260010803</c:v>
                </c:pt>
                <c:pt idx="80">
                  <c:v>41.967186927900613</c:v>
                </c:pt>
                <c:pt idx="81">
                  <c:v>42.371752330595299</c:v>
                </c:pt>
                <c:pt idx="82">
                  <c:v>42.77591765794881</c:v>
                </c:pt>
                <c:pt idx="83">
                  <c:v>43.178876464849189</c:v>
                </c:pt>
                <c:pt idx="84">
                  <c:v>43.579822692576229</c:v>
                </c:pt>
                <c:pt idx="85">
                  <c:v>43.977986191991896</c:v>
                </c:pt>
                <c:pt idx="86">
                  <c:v>44.372449055468472</c:v>
                </c:pt>
                <c:pt idx="87">
                  <c:v>44.762406297687278</c:v>
                </c:pt>
                <c:pt idx="88">
                  <c:v>45.14705340525034</c:v>
                </c:pt>
                <c:pt idx="89">
                  <c:v>45.525586358014472</c:v>
                </c:pt>
                <c:pt idx="90">
                  <c:v>45.897201670720996</c:v>
                </c:pt>
                <c:pt idx="91">
                  <c:v>46.261096414025687</c:v>
                </c:pt>
                <c:pt idx="92">
                  <c:v>46.619119506613394</c:v>
                </c:pt>
                <c:pt idx="93">
                  <c:v>46.97350843106895</c:v>
                </c:pt>
                <c:pt idx="94">
                  <c:v>47.323889755071797</c:v>
                </c:pt>
                <c:pt idx="95">
                  <c:v>47.669959748547463</c:v>
                </c:pt>
                <c:pt idx="96">
                  <c:v>48.011414964686274</c:v>
                </c:pt>
                <c:pt idx="97">
                  <c:v>48.347952269997776</c:v>
                </c:pt>
                <c:pt idx="98">
                  <c:v>48.679268859428824</c:v>
                </c:pt>
                <c:pt idx="99">
                  <c:v>49.005100647470449</c:v>
                </c:pt>
                <c:pt idx="100">
                  <c:v>49.325110240439713</c:v>
                </c:pt>
                <c:pt idx="101">
                  <c:v>49.638996293180512</c:v>
                </c:pt>
                <c:pt idx="102">
                  <c:v>49.946457920024464</c:v>
                </c:pt>
                <c:pt idx="103">
                  <c:v>50.247194709853765</c:v>
                </c:pt>
                <c:pt idx="104">
                  <c:v>50.540906766798827</c:v>
                </c:pt>
                <c:pt idx="105">
                  <c:v>50.827294729496693</c:v>
                </c:pt>
                <c:pt idx="106">
                  <c:v>51.107456675156037</c:v>
                </c:pt>
                <c:pt idx="107">
                  <c:v>51.382517573776546</c:v>
                </c:pt>
                <c:pt idx="108">
                  <c:v>51.652120396771267</c:v>
                </c:pt>
                <c:pt idx="109">
                  <c:v>51.915966165401684</c:v>
                </c:pt>
                <c:pt idx="110">
                  <c:v>52.173756260737832</c:v>
                </c:pt>
                <c:pt idx="111">
                  <c:v>52.425192756603273</c:v>
                </c:pt>
                <c:pt idx="112">
                  <c:v>52.669978687268113</c:v>
                </c:pt>
                <c:pt idx="113">
                  <c:v>52.907761236857453</c:v>
                </c:pt>
                <c:pt idx="114">
                  <c:v>53.138204021492541</c:v>
                </c:pt>
                <c:pt idx="115">
                  <c:v>53.361011351594897</c:v>
                </c:pt>
                <c:pt idx="116">
                  <c:v>53.575888293163793</c:v>
                </c:pt>
                <c:pt idx="117">
                  <c:v>53.782540685324733</c:v>
                </c:pt>
                <c:pt idx="118">
                  <c:v>53.980675176185976</c:v>
                </c:pt>
                <c:pt idx="119">
                  <c:v>54.169999241672151</c:v>
                </c:pt>
                <c:pt idx="120">
                  <c:v>54.350105197236623</c:v>
                </c:pt>
                <c:pt idx="121">
                  <c:v>54.520929123449079</c:v>
                </c:pt>
                <c:pt idx="122">
                  <c:v>54.682847212099631</c:v>
                </c:pt>
                <c:pt idx="123">
                  <c:v>54.836264115344534</c:v>
                </c:pt>
                <c:pt idx="124">
                  <c:v>54.981584597229883</c:v>
                </c:pt>
                <c:pt idx="125">
                  <c:v>55.119213539785456</c:v>
                </c:pt>
                <c:pt idx="126">
                  <c:v>55.249555927742726</c:v>
                </c:pt>
                <c:pt idx="127">
                  <c:v>55.372967757965391</c:v>
                </c:pt>
                <c:pt idx="128">
                  <c:v>55.489912725193342</c:v>
                </c:pt>
                <c:pt idx="129">
                  <c:v>55.60079620105455</c:v>
                </c:pt>
                <c:pt idx="130">
                  <c:v>55.706023638962208</c:v>
                </c:pt>
                <c:pt idx="131">
                  <c:v>55.806000563920151</c:v>
                </c:pt>
                <c:pt idx="132">
                  <c:v>55.901132558335966</c:v>
                </c:pt>
                <c:pt idx="133">
                  <c:v>55.991825247433667</c:v>
                </c:pt>
                <c:pt idx="134">
                  <c:v>56.076849742452701</c:v>
                </c:pt>
                <c:pt idx="135">
                  <c:v>56.154906621451644</c:v>
                </c:pt>
                <c:pt idx="136">
                  <c:v>56.226432285333935</c:v>
                </c:pt>
                <c:pt idx="137">
                  <c:v>56.291737800461831</c:v>
                </c:pt>
                <c:pt idx="138">
                  <c:v>56.351134368738308</c:v>
                </c:pt>
                <c:pt idx="139">
                  <c:v>56.404933289724724</c:v>
                </c:pt>
                <c:pt idx="140">
                  <c:v>56.453445928316349</c:v>
                </c:pt>
                <c:pt idx="141">
                  <c:v>56.496954642999775</c:v>
                </c:pt>
                <c:pt idx="142">
                  <c:v>56.535822390662588</c:v>
                </c:pt>
                <c:pt idx="143">
                  <c:v>56.570360820748427</c:v>
                </c:pt>
                <c:pt idx="144">
                  <c:v>56.600881424851899</c:v>
                </c:pt>
                <c:pt idx="145">
                  <c:v>56.627695574903605</c:v>
                </c:pt>
                <c:pt idx="146">
                  <c:v>56.651114480427303</c:v>
                </c:pt>
                <c:pt idx="147">
                  <c:v>56.671449142537277</c:v>
                </c:pt>
                <c:pt idx="148">
                  <c:v>56.687842999613075</c:v>
                </c:pt>
                <c:pt idx="149">
                  <c:v>56.699350442339934</c:v>
                </c:pt>
                <c:pt idx="150">
                  <c:v>56.706191028167495</c:v>
                </c:pt>
                <c:pt idx="151">
                  <c:v>56.708577699510855</c:v>
                </c:pt>
                <c:pt idx="152">
                  <c:v>56.706723044662496</c:v>
                </c:pt>
                <c:pt idx="153">
                  <c:v>56.700839245061673</c:v>
                </c:pt>
                <c:pt idx="154">
                  <c:v>56.69113802636047</c:v>
                </c:pt>
                <c:pt idx="155">
                  <c:v>56.677825288626892</c:v>
                </c:pt>
                <c:pt idx="156">
                  <c:v>56.661142515767708</c:v>
                </c:pt>
                <c:pt idx="157">
                  <c:v>56.641300091672719</c:v>
                </c:pt>
                <c:pt idx="158">
                  <c:v>56.618507755694431</c:v>
                </c:pt>
                <c:pt idx="159">
                  <c:v>56.59297456446663</c:v>
                </c:pt>
                <c:pt idx="160">
                  <c:v>56.564908848260799</c:v>
                </c:pt>
                <c:pt idx="161">
                  <c:v>56.53451817933594</c:v>
                </c:pt>
                <c:pt idx="162">
                  <c:v>56.501092367059911</c:v>
                </c:pt>
                <c:pt idx="163">
                  <c:v>56.463921575449874</c:v>
                </c:pt>
                <c:pt idx="164">
                  <c:v>56.423238731595916</c:v>
                </c:pt>
                <c:pt idx="165">
                  <c:v>56.379249840909495</c:v>
                </c:pt>
                <c:pt idx="166">
                  <c:v>56.332159967126131</c:v>
                </c:pt>
                <c:pt idx="167">
                  <c:v>56.282173224329902</c:v>
                </c:pt>
                <c:pt idx="168">
                  <c:v>56.229488260184837</c:v>
                </c:pt>
                <c:pt idx="169">
                  <c:v>56.17431200970821</c:v>
                </c:pt>
                <c:pt idx="170">
                  <c:v>56.116851466946692</c:v>
                </c:pt>
                <c:pt idx="171">
                  <c:v>56.057306696182643</c:v>
                </c:pt>
                <c:pt idx="172">
                  <c:v>55.995876796098131</c:v>
                </c:pt>
                <c:pt idx="173">
                  <c:v>55.932759964966152</c:v>
                </c:pt>
                <c:pt idx="174">
                  <c:v>55.868153469854974</c:v>
                </c:pt>
                <c:pt idx="175">
                  <c:v>55.802253619956161</c:v>
                </c:pt>
                <c:pt idx="176">
                  <c:v>55.735190560280721</c:v>
                </c:pt>
                <c:pt idx="177">
                  <c:v>55.66682646217005</c:v>
                </c:pt>
                <c:pt idx="178">
                  <c:v>55.59696398001617</c:v>
                </c:pt>
                <c:pt idx="179">
                  <c:v>55.52540508247148</c:v>
                </c:pt>
                <c:pt idx="180">
                  <c:v>55.451951276847161</c:v>
                </c:pt>
                <c:pt idx="181">
                  <c:v>55.376403632486088</c:v>
                </c:pt>
                <c:pt idx="182">
                  <c:v>55.298562808006984</c:v>
                </c:pt>
                <c:pt idx="183">
                  <c:v>55.218199264952027</c:v>
                </c:pt>
                <c:pt idx="184">
                  <c:v>55.135112992796813</c:v>
                </c:pt>
                <c:pt idx="185">
                  <c:v>55.049103252316257</c:v>
                </c:pt>
                <c:pt idx="186">
                  <c:v>54.959969054921352</c:v>
                </c:pt>
                <c:pt idx="187">
                  <c:v>54.867509195944351</c:v>
                </c:pt>
                <c:pt idx="188">
                  <c:v>54.771522299063022</c:v>
                </c:pt>
                <c:pt idx="189">
                  <c:v>54.6718068612088</c:v>
                </c:pt>
                <c:pt idx="190">
                  <c:v>54.568226397454097</c:v>
                </c:pt>
                <c:pt idx="191">
                  <c:v>54.460870082311601</c:v>
                </c:pt>
                <c:pt idx="192">
                  <c:v>54.349933182988075</c:v>
                </c:pt>
                <c:pt idx="193">
                  <c:v>54.235604127369115</c:v>
                </c:pt>
                <c:pt idx="194">
                  <c:v>54.118071220452357</c:v>
                </c:pt>
                <c:pt idx="195">
                  <c:v>53.997522691758164</c:v>
                </c:pt>
                <c:pt idx="196">
                  <c:v>53.874146738573884</c:v>
                </c:pt>
                <c:pt idx="197">
                  <c:v>53.74811922054792</c:v>
                </c:pt>
                <c:pt idx="198">
                  <c:v>53.619659894021432</c:v>
                </c:pt>
                <c:pt idx="199">
                  <c:v>53.488957053828621</c:v>
                </c:pt>
                <c:pt idx="200">
                  <c:v>53.356199131499125</c:v>
                </c:pt>
                <c:pt idx="201">
                  <c:v>53.221574726276401</c:v>
                </c:pt>
                <c:pt idx="202">
                  <c:v>53.085272634374085</c:v>
                </c:pt>
                <c:pt idx="203">
                  <c:v>52.947481873363579</c:v>
                </c:pt>
                <c:pt idx="204">
                  <c:v>52.808326750505692</c:v>
                </c:pt>
                <c:pt idx="205">
                  <c:v>52.667600355129359</c:v>
                </c:pt>
                <c:pt idx="206">
                  <c:v>52.525137786004223</c:v>
                </c:pt>
                <c:pt idx="207">
                  <c:v>52.380739189215362</c:v>
                </c:pt>
                <c:pt idx="208">
                  <c:v>52.234205215782119</c:v>
                </c:pt>
                <c:pt idx="209">
                  <c:v>52.085337020595091</c:v>
                </c:pt>
                <c:pt idx="210">
                  <c:v>51.93393625380066</c:v>
                </c:pt>
                <c:pt idx="211">
                  <c:v>51.779655718531579</c:v>
                </c:pt>
                <c:pt idx="212">
                  <c:v>51.622311942391129</c:v>
                </c:pt>
                <c:pt idx="213">
                  <c:v>51.461708033541235</c:v>
                </c:pt>
                <c:pt idx="214">
                  <c:v>51.297647549385132</c:v>
                </c:pt>
                <c:pt idx="215">
                  <c:v>51.129934486326981</c:v>
                </c:pt>
                <c:pt idx="216">
                  <c:v>50.958373260870587</c:v>
                </c:pt>
                <c:pt idx="217">
                  <c:v>50.782768684532442</c:v>
                </c:pt>
                <c:pt idx="218">
                  <c:v>50.604255945854348</c:v>
                </c:pt>
                <c:pt idx="219">
                  <c:v>50.423764255982093</c:v>
                </c:pt>
                <c:pt idx="220">
                  <c:v>50.240978334568389</c:v>
                </c:pt>
                <c:pt idx="221">
                  <c:v>50.055509327496942</c:v>
                </c:pt>
                <c:pt idx="222">
                  <c:v>49.866968753683821</c:v>
                </c:pt>
                <c:pt idx="223">
                  <c:v>49.674968482137238</c:v>
                </c:pt>
                <c:pt idx="224">
                  <c:v>49.479120703269558</c:v>
                </c:pt>
                <c:pt idx="225">
                  <c:v>49.279079942265518</c:v>
                </c:pt>
                <c:pt idx="226">
                  <c:v>49.074609676100508</c:v>
                </c:pt>
                <c:pt idx="227">
                  <c:v>48.865323279393529</c:v>
                </c:pt>
                <c:pt idx="228">
                  <c:v>48.650834353210357</c:v>
                </c:pt>
                <c:pt idx="229">
                  <c:v>48.430756695649258</c:v>
                </c:pt>
                <c:pt idx="230">
                  <c:v>48.204704290833988</c:v>
                </c:pt>
                <c:pt idx="231">
                  <c:v>47.972291293947997</c:v>
                </c:pt>
                <c:pt idx="232">
                  <c:v>47.734524883613645</c:v>
                </c:pt>
                <c:pt idx="233">
                  <c:v>47.492617682550105</c:v>
                </c:pt>
                <c:pt idx="234">
                  <c:v>47.246454885931541</c:v>
                </c:pt>
                <c:pt idx="235">
                  <c:v>46.995844917987164</c:v>
                </c:pt>
                <c:pt idx="236">
                  <c:v>46.740596169677708</c:v>
                </c:pt>
                <c:pt idx="237">
                  <c:v>46.480517133728036</c:v>
                </c:pt>
                <c:pt idx="238">
                  <c:v>46.215416315471593</c:v>
                </c:pt>
                <c:pt idx="239">
                  <c:v>45.945192472268644</c:v>
                </c:pt>
                <c:pt idx="240">
                  <c:v>45.669611694429705</c:v>
                </c:pt>
                <c:pt idx="241">
                  <c:v>45.388482637534139</c:v>
                </c:pt>
                <c:pt idx="242">
                  <c:v>45.101613956367842</c:v>
                </c:pt>
                <c:pt idx="243">
                  <c:v>44.808814307557185</c:v>
                </c:pt>
                <c:pt idx="244">
                  <c:v>44.509892350761767</c:v>
                </c:pt>
                <c:pt idx="245">
                  <c:v>44.204656744689913</c:v>
                </c:pt>
                <c:pt idx="246">
                  <c:v>43.892349963372219</c:v>
                </c:pt>
                <c:pt idx="247">
                  <c:v>43.57272350146566</c:v>
                </c:pt>
                <c:pt idx="248">
                  <c:v>43.246188170350216</c:v>
                </c:pt>
                <c:pt idx="249">
                  <c:v>42.913231841363569</c:v>
                </c:pt>
                <c:pt idx="250">
                  <c:v>42.574342185594908</c:v>
                </c:pt>
                <c:pt idx="251">
                  <c:v>42.230006677623052</c:v>
                </c:pt>
                <c:pt idx="252">
                  <c:v>41.88071260074269</c:v>
                </c:pt>
                <c:pt idx="253">
                  <c:v>41.527034466083364</c:v>
                </c:pt>
                <c:pt idx="254">
                  <c:v>41.169368057252292</c:v>
                </c:pt>
                <c:pt idx="255">
                  <c:v>40.808200029920918</c:v>
                </c:pt>
                <c:pt idx="256">
                  <c:v>40.444016868367193</c:v>
                </c:pt>
                <c:pt idx="257">
                  <c:v>40.077304889448982</c:v>
                </c:pt>
                <c:pt idx="258">
                  <c:v>39.708550240139353</c:v>
                </c:pt>
                <c:pt idx="259">
                  <c:v>39.338238897652147</c:v>
                </c:pt>
                <c:pt idx="260">
                  <c:v>38.963753383909776</c:v>
                </c:pt>
                <c:pt idx="261">
                  <c:v>38.582882364438497</c:v>
                </c:pt>
                <c:pt idx="262">
                  <c:v>38.196443357262226</c:v>
                </c:pt>
                <c:pt idx="263">
                  <c:v>37.805310067476846</c:v>
                </c:pt>
                <c:pt idx="264">
                  <c:v>37.410355851935577</c:v>
                </c:pt>
                <c:pt idx="265">
                  <c:v>37.01245250769535</c:v>
                </c:pt>
                <c:pt idx="266">
                  <c:v>36.612472113983451</c:v>
                </c:pt>
                <c:pt idx="267">
                  <c:v>36.211251255493437</c:v>
                </c:pt>
                <c:pt idx="268">
                  <c:v>35.809573997704135</c:v>
                </c:pt>
                <c:pt idx="269">
                  <c:v>35.408311910658369</c:v>
                </c:pt>
                <c:pt idx="270">
                  <c:v>35.008336297595257</c:v>
                </c:pt>
                <c:pt idx="271">
                  <c:v>34.610518206300569</c:v>
                </c:pt>
                <c:pt idx="272">
                  <c:v>34.215728441898278</c:v>
                </c:pt>
                <c:pt idx="273">
                  <c:v>33.824837583067811</c:v>
                </c:pt>
                <c:pt idx="274">
                  <c:v>33.434434047353719</c:v>
                </c:pt>
                <c:pt idx="275">
                  <c:v>33.040912544272295</c:v>
                </c:pt>
                <c:pt idx="276">
                  <c:v>32.64509031891761</c:v>
                </c:pt>
                <c:pt idx="277">
                  <c:v>32.247932312042778</c:v>
                </c:pt>
                <c:pt idx="278">
                  <c:v>31.850403175077414</c:v>
                </c:pt>
                <c:pt idx="279">
                  <c:v>31.453467302290441</c:v>
                </c:pt>
                <c:pt idx="280">
                  <c:v>31.058088870407794</c:v>
                </c:pt>
                <c:pt idx="281">
                  <c:v>30.664654795312661</c:v>
                </c:pt>
                <c:pt idx="282">
                  <c:v>30.274165932404724</c:v>
                </c:pt>
                <c:pt idx="283">
                  <c:v>29.887585372872675</c:v>
                </c:pt>
                <c:pt idx="284">
                  <c:v>29.505876136719554</c:v>
                </c:pt>
                <c:pt idx="285">
                  <c:v>29.130001237077622</c:v>
                </c:pt>
                <c:pt idx="286">
                  <c:v>28.760923731945127</c:v>
                </c:pt>
                <c:pt idx="287">
                  <c:v>28.399606795009145</c:v>
                </c:pt>
                <c:pt idx="288">
                  <c:v>28.045219309454499</c:v>
                </c:pt>
                <c:pt idx="289">
                  <c:v>27.695231910188777</c:v>
                </c:pt>
                <c:pt idx="290">
                  <c:v>27.349608196435071</c:v>
                </c:pt>
                <c:pt idx="291">
                  <c:v>27.008049559864698</c:v>
                </c:pt>
                <c:pt idx="292">
                  <c:v>26.670257266190113</c:v>
                </c:pt>
                <c:pt idx="293">
                  <c:v>26.335932475829129</c:v>
                </c:pt>
                <c:pt idx="294">
                  <c:v>26.004776283619872</c:v>
                </c:pt>
                <c:pt idx="295">
                  <c:v>25.676407706476169</c:v>
                </c:pt>
                <c:pt idx="296">
                  <c:v>25.35110504901369</c:v>
                </c:pt>
                <c:pt idx="297">
                  <c:v>25.028566152244075</c:v>
                </c:pt>
                <c:pt idx="298">
                  <c:v>24.708491599931726</c:v>
                </c:pt>
                <c:pt idx="299">
                  <c:v>24.390581925930437</c:v>
                </c:pt>
                <c:pt idx="300">
                  <c:v>24.074537662252304</c:v>
                </c:pt>
                <c:pt idx="301">
                  <c:v>23.760059363531237</c:v>
                </c:pt>
                <c:pt idx="302">
                  <c:v>23.446734359404225</c:v>
                </c:pt>
                <c:pt idx="303">
                  <c:v>23.135420571514057</c:v>
                </c:pt>
                <c:pt idx="304">
                  <c:v>22.827363335845121</c:v>
                </c:pt>
                <c:pt idx="305">
                  <c:v>22.52294666071926</c:v>
                </c:pt>
                <c:pt idx="306">
                  <c:v>22.222555078722078</c:v>
                </c:pt>
                <c:pt idx="307">
                  <c:v>21.926573656331605</c:v>
                </c:pt>
                <c:pt idx="308">
                  <c:v>21.63538801545582</c:v>
                </c:pt>
                <c:pt idx="309">
                  <c:v>21.350014428621403</c:v>
                </c:pt>
                <c:pt idx="310">
                  <c:v>21.070923266883838</c:v>
                </c:pt>
                <c:pt idx="311">
                  <c:v>20.798502983326035</c:v>
                </c:pt>
                <c:pt idx="312">
                  <c:v>20.533142555988281</c:v>
                </c:pt>
                <c:pt idx="313">
                  <c:v>20.275231462239425</c:v>
                </c:pt>
                <c:pt idx="314">
                  <c:v>20.025159664719837</c:v>
                </c:pt>
                <c:pt idx="315">
                  <c:v>19.783317583676197</c:v>
                </c:pt>
                <c:pt idx="316">
                  <c:v>19.54975568473025</c:v>
                </c:pt>
                <c:pt idx="317">
                  <c:v>19.324161259152127</c:v>
                </c:pt>
                <c:pt idx="318">
                  <c:v>19.105421318414113</c:v>
                </c:pt>
                <c:pt idx="319">
                  <c:v>18.893245536766294</c:v>
                </c:pt>
                <c:pt idx="320">
                  <c:v>18.687343759288211</c:v>
                </c:pt>
                <c:pt idx="321">
                  <c:v>18.487426000777823</c:v>
                </c:pt>
                <c:pt idx="322">
                  <c:v>18.293202432473134</c:v>
                </c:pt>
                <c:pt idx="323">
                  <c:v>18.104151251801881</c:v>
                </c:pt>
                <c:pt idx="324">
                  <c:v>17.91934811985012</c:v>
                </c:pt>
                <c:pt idx="325">
                  <c:v>17.738502870015267</c:v>
                </c:pt>
                <c:pt idx="326">
                  <c:v>17.561330749542361</c:v>
                </c:pt>
                <c:pt idx="327">
                  <c:v>17.387543910584224</c:v>
                </c:pt>
                <c:pt idx="328">
                  <c:v>17.216850487729406</c:v>
                </c:pt>
                <c:pt idx="329">
                  <c:v>17.048958810990751</c:v>
                </c:pt>
                <c:pt idx="330">
                  <c:v>16.882409376540064</c:v>
                </c:pt>
                <c:pt idx="331">
                  <c:v>16.716503093327571</c:v>
                </c:pt>
                <c:pt idx="332">
                  <c:v>16.552025741378138</c:v>
                </c:pt>
                <c:pt idx="333">
                  <c:v>16.389854405589325</c:v>
                </c:pt>
                <c:pt idx="334">
                  <c:v>16.230866423755046</c:v>
                </c:pt>
                <c:pt idx="335">
                  <c:v>16.07593931754614</c:v>
                </c:pt>
                <c:pt idx="336">
                  <c:v>15.925950723990093</c:v>
                </c:pt>
                <c:pt idx="337">
                  <c:v>15.782025334275914</c:v>
                </c:pt>
                <c:pt idx="338">
                  <c:v>15.645273457167876</c:v>
                </c:pt>
                <c:pt idx="339">
                  <c:v>15.516572701182886</c:v>
                </c:pt>
                <c:pt idx="340">
                  <c:v>15.396800525484055</c:v>
                </c:pt>
                <c:pt idx="341">
                  <c:v>15.286834188243198</c:v>
                </c:pt>
                <c:pt idx="342">
                  <c:v>15.187550711978266</c:v>
                </c:pt>
                <c:pt idx="343">
                  <c:v>15.099826842421965</c:v>
                </c:pt>
                <c:pt idx="344">
                  <c:v>15.022113347642572</c:v>
                </c:pt>
                <c:pt idx="345">
                  <c:v>14.952349449817536</c:v>
                </c:pt>
                <c:pt idx="346">
                  <c:v>14.890868836626902</c:v>
                </c:pt>
                <c:pt idx="347">
                  <c:v>14.837780416021252</c:v>
                </c:pt>
                <c:pt idx="348">
                  <c:v>14.793192932917961</c:v>
                </c:pt>
                <c:pt idx="349">
                  <c:v>14.757214973080142</c:v>
                </c:pt>
                <c:pt idx="350">
                  <c:v>14.729954963393419</c:v>
                </c:pt>
                <c:pt idx="351">
                  <c:v>14.711727492184279</c:v>
                </c:pt>
                <c:pt idx="352">
                  <c:v>14.702393610579026</c:v>
                </c:pt>
                <c:pt idx="353">
                  <c:v>14.702061303003967</c:v>
                </c:pt>
                <c:pt idx="354">
                  <c:v>14.710838417627283</c:v>
                </c:pt>
                <c:pt idx="355">
                  <c:v>14.728832690038423</c:v>
                </c:pt>
                <c:pt idx="356">
                  <c:v>14.756157247780527</c:v>
                </c:pt>
                <c:pt idx="357">
                  <c:v>14.792915304143374</c:v>
                </c:pt>
                <c:pt idx="358">
                  <c:v>14.839478788988194</c:v>
                </c:pt>
                <c:pt idx="359">
                  <c:v>14.895995072528445</c:v>
                </c:pt>
                <c:pt idx="360">
                  <c:v>14.962486756661528</c:v>
                </c:pt>
                <c:pt idx="361">
                  <c:v>15.038522259600935</c:v>
                </c:pt>
                <c:pt idx="362">
                  <c:v>15.123876527239924</c:v>
                </c:pt>
                <c:pt idx="363">
                  <c:v>15.218324446295279</c:v>
                </c:pt>
                <c:pt idx="364">
                  <c:v>15.32164083616331</c:v>
                </c:pt>
                <c:pt idx="365">
                  <c:v>15.433600444422039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12.096</c:v>
                </c:pt>
                <c:pt idx="1">
                  <c:v>15.554</c:v>
                </c:pt>
                <c:pt idx="2">
                  <c:v>8.1</c:v>
                </c:pt>
                <c:pt idx="3">
                  <c:v>5.1870000000000003</c:v>
                </c:pt>
                <c:pt idx="4">
                  <c:v>10.692</c:v>
                </c:pt>
                <c:pt idx="5">
                  <c:v>16.457000000000001</c:v>
                </c:pt>
                <c:pt idx="6">
                  <c:v>6.7</c:v>
                </c:pt>
                <c:pt idx="7">
                  <c:v>10.481</c:v>
                </c:pt>
                <c:pt idx="8">
                  <c:v>16.523</c:v>
                </c:pt>
                <c:pt idx="9">
                  <c:v>9.1379999999999999</c:v>
                </c:pt>
                <c:pt idx="10">
                  <c:v>17.792000000000002</c:v>
                </c:pt>
                <c:pt idx="11">
                  <c:v>18.099</c:v>
                </c:pt>
                <c:pt idx="12">
                  <c:v>13.02</c:v>
                </c:pt>
                <c:pt idx="13">
                  <c:v>17.902999999999999</c:v>
                </c:pt>
                <c:pt idx="14">
                  <c:v>15.823</c:v>
                </c:pt>
                <c:pt idx="15">
                  <c:v>17.809999999999999</c:v>
                </c:pt>
                <c:pt idx="16">
                  <c:v>3.9079999999999999</c:v>
                </c:pt>
                <c:pt idx="17">
                  <c:v>16.012</c:v>
                </c:pt>
                <c:pt idx="18">
                  <c:v>17.690000000000001</c:v>
                </c:pt>
                <c:pt idx="19">
                  <c:v>8.7859999999999996</c:v>
                </c:pt>
                <c:pt idx="20">
                  <c:v>3.5750000000000002</c:v>
                </c:pt>
                <c:pt idx="21">
                  <c:v>1.196</c:v>
                </c:pt>
                <c:pt idx="22">
                  <c:v>12.441000000000001</c:v>
                </c:pt>
                <c:pt idx="23">
                  <c:v>11.632999999999999</c:v>
                </c:pt>
                <c:pt idx="24">
                  <c:v>12.215999999999999</c:v>
                </c:pt>
                <c:pt idx="25">
                  <c:v>5.9580000000000002</c:v>
                </c:pt>
                <c:pt idx="26">
                  <c:v>10.026</c:v>
                </c:pt>
                <c:pt idx="27">
                  <c:v>15.209</c:v>
                </c:pt>
                <c:pt idx="28">
                  <c:v>17.646000000000001</c:v>
                </c:pt>
                <c:pt idx="29">
                  <c:v>9.7620000000000005</c:v>
                </c:pt>
                <c:pt idx="30">
                  <c:v>17.120999999999999</c:v>
                </c:pt>
                <c:pt idx="31">
                  <c:v>10.69</c:v>
                </c:pt>
                <c:pt idx="32">
                  <c:v>20.349</c:v>
                </c:pt>
                <c:pt idx="33">
                  <c:v>19.754000000000001</c:v>
                </c:pt>
                <c:pt idx="34">
                  <c:v>14.896000000000001</c:v>
                </c:pt>
                <c:pt idx="35">
                  <c:v>24.451000000000001</c:v>
                </c:pt>
                <c:pt idx="36">
                  <c:v>25.385999999999999</c:v>
                </c:pt>
                <c:pt idx="37">
                  <c:v>17.393000000000001</c:v>
                </c:pt>
                <c:pt idx="38">
                  <c:v>22.145</c:v>
                </c:pt>
                <c:pt idx="39">
                  <c:v>22.788</c:v>
                </c:pt>
                <c:pt idx="40">
                  <c:v>12.839</c:v>
                </c:pt>
                <c:pt idx="41">
                  <c:v>8.6460000000000008</c:v>
                </c:pt>
                <c:pt idx="42">
                  <c:v>17.713000000000001</c:v>
                </c:pt>
                <c:pt idx="43">
                  <c:v>16.271999999999998</c:v>
                </c:pt>
                <c:pt idx="44">
                  <c:v>21.663</c:v>
                </c:pt>
                <c:pt idx="45">
                  <c:v>28.164000000000001</c:v>
                </c:pt>
                <c:pt idx="46">
                  <c:v>19.600000000000001</c:v>
                </c:pt>
                <c:pt idx="47">
                  <c:v>5.57</c:v>
                </c:pt>
                <c:pt idx="48">
                  <c:v>24.835000000000001</c:v>
                </c:pt>
                <c:pt idx="49">
                  <c:v>23.946000000000002</c:v>
                </c:pt>
                <c:pt idx="50">
                  <c:v>29.771000000000001</c:v>
                </c:pt>
                <c:pt idx="51">
                  <c:v>14.137</c:v>
                </c:pt>
                <c:pt idx="52">
                  <c:v>29.655999999999999</c:v>
                </c:pt>
                <c:pt idx="53">
                  <c:v>30.271999999999998</c:v>
                </c:pt>
                <c:pt idx="54">
                  <c:v>31.338000000000001</c:v>
                </c:pt>
                <c:pt idx="55">
                  <c:v>17.584</c:v>
                </c:pt>
                <c:pt idx="56">
                  <c:v>16.673999999999999</c:v>
                </c:pt>
                <c:pt idx="57">
                  <c:v>8.4190000000000005</c:v>
                </c:pt>
                <c:pt idx="58">
                  <c:v>16.963000000000001</c:v>
                </c:pt>
                <c:pt idx="59">
                  <c:v>13.920999999999999</c:v>
                </c:pt>
                <c:pt idx="60">
                  <c:v>23.280999999999999</c:v>
                </c:pt>
                <c:pt idx="61">
                  <c:v>19.745999999999999</c:v>
                </c:pt>
                <c:pt idx="62">
                  <c:v>4.9800000000000004</c:v>
                </c:pt>
                <c:pt idx="63">
                  <c:v>7.944</c:v>
                </c:pt>
                <c:pt idx="64">
                  <c:v>10.907</c:v>
                </c:pt>
                <c:pt idx="65">
                  <c:v>20.673999999999999</c:v>
                </c:pt>
                <c:pt idx="66">
                  <c:v>26.672000000000001</c:v>
                </c:pt>
                <c:pt idx="67">
                  <c:v>29.3</c:v>
                </c:pt>
                <c:pt idx="68">
                  <c:v>26.603999999999999</c:v>
                </c:pt>
                <c:pt idx="69">
                  <c:v>28.751000000000001</c:v>
                </c:pt>
                <c:pt idx="70">
                  <c:v>35.399000000000001</c:v>
                </c:pt>
                <c:pt idx="71">
                  <c:v>15.085000000000001</c:v>
                </c:pt>
                <c:pt idx="72">
                  <c:v>33.51</c:v>
                </c:pt>
                <c:pt idx="73">
                  <c:v>28.385999999999999</c:v>
                </c:pt>
                <c:pt idx="74">
                  <c:v>40.573</c:v>
                </c:pt>
                <c:pt idx="75">
                  <c:v>8.57</c:v>
                </c:pt>
                <c:pt idx="76">
                  <c:v>9.9510000000000005</c:v>
                </c:pt>
                <c:pt idx="77">
                  <c:v>37.679000000000002</c:v>
                </c:pt>
                <c:pt idx="78">
                  <c:v>39.304000000000002</c:v>
                </c:pt>
                <c:pt idx="79">
                  <c:v>41.612000000000002</c:v>
                </c:pt>
                <c:pt idx="80">
                  <c:v>41.134</c:v>
                </c:pt>
                <c:pt idx="81">
                  <c:v>38.982999999999997</c:v>
                </c:pt>
                <c:pt idx="82">
                  <c:v>35.676000000000002</c:v>
                </c:pt>
                <c:pt idx="83">
                  <c:v>41.228999999999999</c:v>
                </c:pt>
                <c:pt idx="84">
                  <c:v>43.838999999999999</c:v>
                </c:pt>
                <c:pt idx="85">
                  <c:v>26.766999999999999</c:v>
                </c:pt>
                <c:pt idx="86">
                  <c:v>41.347999999999999</c:v>
                </c:pt>
                <c:pt idx="87">
                  <c:v>40.4</c:v>
                </c:pt>
                <c:pt idx="88">
                  <c:v>25.625</c:v>
                </c:pt>
                <c:pt idx="89">
                  <c:v>21.478999999999999</c:v>
                </c:pt>
                <c:pt idx="90">
                  <c:v>42.192</c:v>
                </c:pt>
                <c:pt idx="91">
                  <c:v>37.417000000000002</c:v>
                </c:pt>
                <c:pt idx="92">
                  <c:v>23.757000000000001</c:v>
                </c:pt>
                <c:pt idx="93">
                  <c:v>46.972999999999999</c:v>
                </c:pt>
                <c:pt idx="94">
                  <c:v>48.643000000000001</c:v>
                </c:pt>
                <c:pt idx="95">
                  <c:v>48.781999999999996</c:v>
                </c:pt>
                <c:pt idx="96">
                  <c:v>28.818000000000001</c:v>
                </c:pt>
                <c:pt idx="97">
                  <c:v>29.382000000000001</c:v>
                </c:pt>
                <c:pt idx="98">
                  <c:v>45.326999999999998</c:v>
                </c:pt>
                <c:pt idx="99">
                  <c:v>47.77</c:v>
                </c:pt>
                <c:pt idx="100">
                  <c:v>48.581000000000003</c:v>
                </c:pt>
                <c:pt idx="101">
                  <c:v>47.975000000000001</c:v>
                </c:pt>
                <c:pt idx="102">
                  <c:v>39.351999999999997</c:v>
                </c:pt>
                <c:pt idx="103">
                  <c:v>14.061</c:v>
                </c:pt>
                <c:pt idx="104">
                  <c:v>48.55</c:v>
                </c:pt>
                <c:pt idx="105">
                  <c:v>42.822000000000003</c:v>
                </c:pt>
                <c:pt idx="106">
                  <c:v>37.445999999999998</c:v>
                </c:pt>
                <c:pt idx="107">
                  <c:v>28.231999999999999</c:v>
                </c:pt>
                <c:pt idx="108">
                  <c:v>39.762</c:v>
                </c:pt>
                <c:pt idx="109">
                  <c:v>18.486000000000001</c:v>
                </c:pt>
                <c:pt idx="110">
                  <c:v>11.686999999999999</c:v>
                </c:pt>
                <c:pt idx="111">
                  <c:v>16.736999999999998</c:v>
                </c:pt>
                <c:pt idx="112">
                  <c:v>8.6890000000000001</c:v>
                </c:pt>
                <c:pt idx="113">
                  <c:v>15.19</c:v>
                </c:pt>
                <c:pt idx="114">
                  <c:v>49.570999999999998</c:v>
                </c:pt>
                <c:pt idx="115">
                  <c:v>38.216999999999999</c:v>
                </c:pt>
                <c:pt idx="116">
                  <c:v>24.212</c:v>
                </c:pt>
                <c:pt idx="117">
                  <c:v>20.178000000000001</c:v>
                </c:pt>
                <c:pt idx="118">
                  <c:v>31.747</c:v>
                </c:pt>
                <c:pt idx="119">
                  <c:v>47.56</c:v>
                </c:pt>
                <c:pt idx="120">
                  <c:v>40.942</c:v>
                </c:pt>
                <c:pt idx="121">
                  <c:v>22.507000000000001</c:v>
                </c:pt>
                <c:pt idx="122">
                  <c:v>35.35</c:v>
                </c:pt>
                <c:pt idx="123">
                  <c:v>49.81</c:v>
                </c:pt>
                <c:pt idx="124">
                  <c:v>51.856999999999999</c:v>
                </c:pt>
                <c:pt idx="125">
                  <c:v>47.206000000000003</c:v>
                </c:pt>
                <c:pt idx="126">
                  <c:v>52.371000000000002</c:v>
                </c:pt>
                <c:pt idx="127">
                  <c:v>44.311999999999998</c:v>
                </c:pt>
                <c:pt idx="128">
                  <c:v>47.652000000000001</c:v>
                </c:pt>
                <c:pt idx="129">
                  <c:v>39.076999999999998</c:v>
                </c:pt>
                <c:pt idx="130">
                  <c:v>12.641</c:v>
                </c:pt>
                <c:pt idx="131">
                  <c:v>10.058</c:v>
                </c:pt>
                <c:pt idx="132">
                  <c:v>19.585999999999999</c:v>
                </c:pt>
                <c:pt idx="133">
                  <c:v>33.831000000000003</c:v>
                </c:pt>
                <c:pt idx="134">
                  <c:v>14.372</c:v>
                </c:pt>
                <c:pt idx="135">
                  <c:v>19.161999999999999</c:v>
                </c:pt>
                <c:pt idx="136">
                  <c:v>29.581</c:v>
                </c:pt>
                <c:pt idx="137">
                  <c:v>56.746000000000002</c:v>
                </c:pt>
                <c:pt idx="138">
                  <c:v>55.786000000000001</c:v>
                </c:pt>
                <c:pt idx="139">
                  <c:v>54.524999999999999</c:v>
                </c:pt>
                <c:pt idx="140">
                  <c:v>54.377000000000002</c:v>
                </c:pt>
                <c:pt idx="141">
                  <c:v>51.463000000000001</c:v>
                </c:pt>
                <c:pt idx="142">
                  <c:v>49.975000000000001</c:v>
                </c:pt>
                <c:pt idx="143">
                  <c:v>16.146999999999998</c:v>
                </c:pt>
                <c:pt idx="144">
                  <c:v>51.878</c:v>
                </c:pt>
                <c:pt idx="145">
                  <c:v>55.326000000000001</c:v>
                </c:pt>
                <c:pt idx="146">
                  <c:v>54.904000000000003</c:v>
                </c:pt>
                <c:pt idx="147">
                  <c:v>54.180999999999997</c:v>
                </c:pt>
                <c:pt idx="148">
                  <c:v>54.652999999999999</c:v>
                </c:pt>
                <c:pt idx="149">
                  <c:v>51.429000000000002</c:v>
                </c:pt>
                <c:pt idx="150">
                  <c:v>55.183999999999997</c:v>
                </c:pt>
                <c:pt idx="151">
                  <c:v>54.225999999999999</c:v>
                </c:pt>
                <c:pt idx="152">
                  <c:v>26.446999999999999</c:v>
                </c:pt>
                <c:pt idx="153">
                  <c:v>52.222999999999999</c:v>
                </c:pt>
                <c:pt idx="154">
                  <c:v>24.579000000000001</c:v>
                </c:pt>
                <c:pt idx="155">
                  <c:v>32.994999999999997</c:v>
                </c:pt>
                <c:pt idx="156">
                  <c:v>24.263999999999999</c:v>
                </c:pt>
                <c:pt idx="157">
                  <c:v>25.183</c:v>
                </c:pt>
                <c:pt idx="158">
                  <c:v>35.579000000000001</c:v>
                </c:pt>
                <c:pt idx="159">
                  <c:v>42.241999999999997</c:v>
                </c:pt>
                <c:pt idx="160">
                  <c:v>21.745000000000001</c:v>
                </c:pt>
                <c:pt idx="161">
                  <c:v>42.213000000000001</c:v>
                </c:pt>
                <c:pt idx="162">
                  <c:v>28.158000000000001</c:v>
                </c:pt>
                <c:pt idx="163">
                  <c:v>45.753999999999998</c:v>
                </c:pt>
                <c:pt idx="164">
                  <c:v>38.180999999999997</c:v>
                </c:pt>
                <c:pt idx="165">
                  <c:v>43.698999999999998</c:v>
                </c:pt>
                <c:pt idx="166">
                  <c:v>39.088000000000001</c:v>
                </c:pt>
                <c:pt idx="167">
                  <c:v>28.890999999999998</c:v>
                </c:pt>
                <c:pt idx="168">
                  <c:v>45.661000000000001</c:v>
                </c:pt>
                <c:pt idx="169">
                  <c:v>40.003</c:v>
                </c:pt>
                <c:pt idx="170">
                  <c:v>53.75</c:v>
                </c:pt>
                <c:pt idx="171">
                  <c:v>48.165999999999997</c:v>
                </c:pt>
                <c:pt idx="172">
                  <c:v>55.353000000000002</c:v>
                </c:pt>
                <c:pt idx="173">
                  <c:v>49.335000000000001</c:v>
                </c:pt>
                <c:pt idx="174">
                  <c:v>54.668999999999997</c:v>
                </c:pt>
                <c:pt idx="175">
                  <c:v>49.01</c:v>
                </c:pt>
                <c:pt idx="176">
                  <c:v>43.97</c:v>
                </c:pt>
                <c:pt idx="177">
                  <c:v>44.976999999999997</c:v>
                </c:pt>
                <c:pt idx="178">
                  <c:v>39.634</c:v>
                </c:pt>
                <c:pt idx="179">
                  <c:v>44.844000000000001</c:v>
                </c:pt>
                <c:pt idx="180">
                  <c:v>22.062999999999999</c:v>
                </c:pt>
                <c:pt idx="181">
                  <c:v>51.622</c:v>
                </c:pt>
                <c:pt idx="182">
                  <c:v>42.13</c:v>
                </c:pt>
                <c:pt idx="183">
                  <c:v>18.800999999999998</c:v>
                </c:pt>
                <c:pt idx="184">
                  <c:v>44.259</c:v>
                </c:pt>
                <c:pt idx="185">
                  <c:v>52.395000000000003</c:v>
                </c:pt>
                <c:pt idx="186">
                  <c:v>53.2</c:v>
                </c:pt>
                <c:pt idx="187">
                  <c:v>37.133000000000003</c:v>
                </c:pt>
                <c:pt idx="188">
                  <c:v>54.408000000000001</c:v>
                </c:pt>
                <c:pt idx="189">
                  <c:v>52.906999999999996</c:v>
                </c:pt>
                <c:pt idx="190">
                  <c:v>47.774000000000001</c:v>
                </c:pt>
                <c:pt idx="191">
                  <c:v>42.365000000000002</c:v>
                </c:pt>
                <c:pt idx="192">
                  <c:v>41.645000000000003</c:v>
                </c:pt>
                <c:pt idx="193">
                  <c:v>32.497</c:v>
                </c:pt>
                <c:pt idx="194">
                  <c:v>52.823</c:v>
                </c:pt>
                <c:pt idx="195">
                  <c:v>44.569000000000003</c:v>
                </c:pt>
                <c:pt idx="196">
                  <c:v>22.428000000000001</c:v>
                </c:pt>
                <c:pt idx="197">
                  <c:v>22.645</c:v>
                </c:pt>
                <c:pt idx="198">
                  <c:v>23.763999999999999</c:v>
                </c:pt>
                <c:pt idx="199">
                  <c:v>52.531999999999996</c:v>
                </c:pt>
                <c:pt idx="200">
                  <c:v>51.276000000000003</c:v>
                </c:pt>
                <c:pt idx="201">
                  <c:v>41.167000000000002</c:v>
                </c:pt>
                <c:pt idx="202">
                  <c:v>47.185000000000002</c:v>
                </c:pt>
                <c:pt idx="203">
                  <c:v>42.890999999999998</c:v>
                </c:pt>
                <c:pt idx="204">
                  <c:v>43.054000000000002</c:v>
                </c:pt>
                <c:pt idx="205">
                  <c:v>50.792000000000002</c:v>
                </c:pt>
                <c:pt idx="206">
                  <c:v>50.203000000000003</c:v>
                </c:pt>
                <c:pt idx="207">
                  <c:v>41.140999999999998</c:v>
                </c:pt>
                <c:pt idx="208">
                  <c:v>47.302999999999997</c:v>
                </c:pt>
                <c:pt idx="209">
                  <c:v>30.643999999999998</c:v>
                </c:pt>
                <c:pt idx="210">
                  <c:v>44.935000000000002</c:v>
                </c:pt>
                <c:pt idx="211">
                  <c:v>46.981999999999999</c:v>
                </c:pt>
                <c:pt idx="212">
                  <c:v>45.482999999999997</c:v>
                </c:pt>
                <c:pt idx="213">
                  <c:v>36.383000000000003</c:v>
                </c:pt>
                <c:pt idx="214">
                  <c:v>29.792999999999999</c:v>
                </c:pt>
                <c:pt idx="215">
                  <c:v>43.661000000000001</c:v>
                </c:pt>
                <c:pt idx="216">
                  <c:v>49.9</c:v>
                </c:pt>
                <c:pt idx="217">
                  <c:v>49.09</c:v>
                </c:pt>
                <c:pt idx="218">
                  <c:v>47.406999999999996</c:v>
                </c:pt>
                <c:pt idx="219">
                  <c:v>45.250999999999998</c:v>
                </c:pt>
                <c:pt idx="220">
                  <c:v>44.332000000000001</c:v>
                </c:pt>
                <c:pt idx="221">
                  <c:v>35.76</c:v>
                </c:pt>
                <c:pt idx="222">
                  <c:v>32.679000000000002</c:v>
                </c:pt>
                <c:pt idx="223">
                  <c:v>37.731999999999999</c:v>
                </c:pt>
                <c:pt idx="224">
                  <c:v>23.056000000000001</c:v>
                </c:pt>
                <c:pt idx="225">
                  <c:v>15.352</c:v>
                </c:pt>
                <c:pt idx="226">
                  <c:v>44.298000000000002</c:v>
                </c:pt>
                <c:pt idx="227">
                  <c:v>38.506</c:v>
                </c:pt>
                <c:pt idx="228">
                  <c:v>15.673</c:v>
                </c:pt>
                <c:pt idx="229">
                  <c:v>38.018000000000001</c:v>
                </c:pt>
                <c:pt idx="230">
                  <c:v>32.707000000000001</c:v>
                </c:pt>
                <c:pt idx="231">
                  <c:v>44.223999999999997</c:v>
                </c:pt>
                <c:pt idx="232">
                  <c:v>44.098999999999997</c:v>
                </c:pt>
                <c:pt idx="233">
                  <c:v>38.954000000000001</c:v>
                </c:pt>
                <c:pt idx="234">
                  <c:v>32.741999999999997</c:v>
                </c:pt>
                <c:pt idx="235">
                  <c:v>38.634</c:v>
                </c:pt>
                <c:pt idx="236">
                  <c:v>41.436999999999998</c:v>
                </c:pt>
                <c:pt idx="237">
                  <c:v>43.241</c:v>
                </c:pt>
                <c:pt idx="238">
                  <c:v>24.187000000000001</c:v>
                </c:pt>
                <c:pt idx="239">
                  <c:v>41.442</c:v>
                </c:pt>
                <c:pt idx="240">
                  <c:v>7.4189999999999996</c:v>
                </c:pt>
                <c:pt idx="241">
                  <c:v>17.791</c:v>
                </c:pt>
                <c:pt idx="242">
                  <c:v>24.821999999999999</c:v>
                </c:pt>
                <c:pt idx="243">
                  <c:v>36.655999999999999</c:v>
                </c:pt>
                <c:pt idx="244">
                  <c:v>39.055999999999997</c:v>
                </c:pt>
                <c:pt idx="245">
                  <c:v>43.323</c:v>
                </c:pt>
                <c:pt idx="246">
                  <c:v>41.865000000000002</c:v>
                </c:pt>
                <c:pt idx="247">
                  <c:v>41.555</c:v>
                </c:pt>
                <c:pt idx="248">
                  <c:v>38.890999999999998</c:v>
                </c:pt>
                <c:pt idx="249">
                  <c:v>25.268999999999998</c:v>
                </c:pt>
                <c:pt idx="250">
                  <c:v>34.646000000000001</c:v>
                </c:pt>
                <c:pt idx="251">
                  <c:v>39.231000000000002</c:v>
                </c:pt>
                <c:pt idx="252">
                  <c:v>20.495999999999999</c:v>
                </c:pt>
                <c:pt idx="253">
                  <c:v>32.802</c:v>
                </c:pt>
                <c:pt idx="254">
                  <c:v>37.933</c:v>
                </c:pt>
                <c:pt idx="255">
                  <c:v>37.86</c:v>
                </c:pt>
                <c:pt idx="256">
                  <c:v>37.360999999999997</c:v>
                </c:pt>
                <c:pt idx="257">
                  <c:v>37.814999999999998</c:v>
                </c:pt>
                <c:pt idx="258">
                  <c:v>34.566000000000003</c:v>
                </c:pt>
                <c:pt idx="259">
                  <c:v>33.566000000000003</c:v>
                </c:pt>
                <c:pt idx="260">
                  <c:v>34.101999999999997</c:v>
                </c:pt>
                <c:pt idx="261">
                  <c:v>15.95</c:v>
                </c:pt>
                <c:pt idx="262">
                  <c:v>25.986999999999998</c:v>
                </c:pt>
                <c:pt idx="263">
                  <c:v>30.16</c:v>
                </c:pt>
                <c:pt idx="264">
                  <c:v>23.867999999999999</c:v>
                </c:pt>
                <c:pt idx="265">
                  <c:v>18.170000000000002</c:v>
                </c:pt>
                <c:pt idx="266">
                  <c:v>28.106999999999999</c:v>
                </c:pt>
                <c:pt idx="267">
                  <c:v>17.52</c:v>
                </c:pt>
                <c:pt idx="268">
                  <c:v>16.507999999999999</c:v>
                </c:pt>
                <c:pt idx="269">
                  <c:v>15.798</c:v>
                </c:pt>
                <c:pt idx="270">
                  <c:v>11.212</c:v>
                </c:pt>
                <c:pt idx="271">
                  <c:v>27.027999999999999</c:v>
                </c:pt>
                <c:pt idx="272">
                  <c:v>27.367000000000001</c:v>
                </c:pt>
                <c:pt idx="273">
                  <c:v>32.470999999999997</c:v>
                </c:pt>
                <c:pt idx="274">
                  <c:v>8.1359999999999992</c:v>
                </c:pt>
                <c:pt idx="275">
                  <c:v>4.5880000000000001</c:v>
                </c:pt>
                <c:pt idx="276">
                  <c:v>14.42</c:v>
                </c:pt>
                <c:pt idx="277">
                  <c:v>16.401</c:v>
                </c:pt>
                <c:pt idx="278">
                  <c:v>21.974</c:v>
                </c:pt>
                <c:pt idx="279">
                  <c:v>7.6749999999999998</c:v>
                </c:pt>
                <c:pt idx="280">
                  <c:v>25.33</c:v>
                </c:pt>
                <c:pt idx="281">
                  <c:v>27.684000000000001</c:v>
                </c:pt>
                <c:pt idx="282">
                  <c:v>21.908000000000001</c:v>
                </c:pt>
                <c:pt idx="283">
                  <c:v>16.611999999999998</c:v>
                </c:pt>
                <c:pt idx="284">
                  <c:v>14.407</c:v>
                </c:pt>
                <c:pt idx="285">
                  <c:v>20.577000000000002</c:v>
                </c:pt>
                <c:pt idx="286">
                  <c:v>18.689</c:v>
                </c:pt>
                <c:pt idx="287">
                  <c:v>11.262</c:v>
                </c:pt>
                <c:pt idx="288">
                  <c:v>15.473000000000001</c:v>
                </c:pt>
                <c:pt idx="289">
                  <c:v>9.69</c:v>
                </c:pt>
                <c:pt idx="290">
                  <c:v>27.489000000000001</c:v>
                </c:pt>
                <c:pt idx="291">
                  <c:v>26.007999999999999</c:v>
                </c:pt>
                <c:pt idx="292">
                  <c:v>22.891999999999999</c:v>
                </c:pt>
                <c:pt idx="293">
                  <c:v>4.859</c:v>
                </c:pt>
                <c:pt idx="294">
                  <c:v>19.113</c:v>
                </c:pt>
                <c:pt idx="295">
                  <c:v>5.234</c:v>
                </c:pt>
                <c:pt idx="296">
                  <c:v>8.8859999999999992</c:v>
                </c:pt>
                <c:pt idx="297">
                  <c:v>22.596</c:v>
                </c:pt>
                <c:pt idx="298">
                  <c:v>17.803000000000001</c:v>
                </c:pt>
                <c:pt idx="299">
                  <c:v>20.922999999999998</c:v>
                </c:pt>
                <c:pt idx="300">
                  <c:v>19.765999999999998</c:v>
                </c:pt>
                <c:pt idx="301">
                  <c:v>10.077</c:v>
                </c:pt>
                <c:pt idx="302">
                  <c:v>21.539000000000001</c:v>
                </c:pt>
                <c:pt idx="303">
                  <c:v>23.402000000000001</c:v>
                </c:pt>
                <c:pt idx="304">
                  <c:v>22.524999999999999</c:v>
                </c:pt>
                <c:pt idx="305">
                  <c:v>20.57</c:v>
                </c:pt>
                <c:pt idx="306">
                  <c:v>21.297000000000001</c:v>
                </c:pt>
                <c:pt idx="307">
                  <c:v>5.5490000000000004</c:v>
                </c:pt>
                <c:pt idx="308">
                  <c:v>12.009</c:v>
                </c:pt>
                <c:pt idx="309">
                  <c:v>17.123999999999999</c:v>
                </c:pt>
                <c:pt idx="310">
                  <c:v>11.863</c:v>
                </c:pt>
                <c:pt idx="311">
                  <c:v>3.3730000000000002</c:v>
                </c:pt>
                <c:pt idx="312">
                  <c:v>16.454000000000001</c:v>
                </c:pt>
                <c:pt idx="313">
                  <c:v>16.555</c:v>
                </c:pt>
                <c:pt idx="314">
                  <c:v>11.457000000000001</c:v>
                </c:pt>
                <c:pt idx="315">
                  <c:v>16.658000000000001</c:v>
                </c:pt>
                <c:pt idx="316">
                  <c:v>19.431000000000001</c:v>
                </c:pt>
                <c:pt idx="317">
                  <c:v>14.348000000000001</c:v>
                </c:pt>
                <c:pt idx="318">
                  <c:v>18.146000000000001</c:v>
                </c:pt>
                <c:pt idx="319">
                  <c:v>14.52</c:v>
                </c:pt>
                <c:pt idx="320">
                  <c:v>14.35</c:v>
                </c:pt>
                <c:pt idx="321">
                  <c:v>17.268999999999998</c:v>
                </c:pt>
                <c:pt idx="322">
                  <c:v>17.442</c:v>
                </c:pt>
                <c:pt idx="323">
                  <c:v>5.34</c:v>
                </c:pt>
                <c:pt idx="324">
                  <c:v>15.827999999999999</c:v>
                </c:pt>
                <c:pt idx="325">
                  <c:v>18.140999999999998</c:v>
                </c:pt>
                <c:pt idx="326">
                  <c:v>17.623000000000001</c:v>
                </c:pt>
                <c:pt idx="327">
                  <c:v>16.646999999999998</c:v>
                </c:pt>
                <c:pt idx="328">
                  <c:v>15.31</c:v>
                </c:pt>
                <c:pt idx="329">
                  <c:v>16.73</c:v>
                </c:pt>
                <c:pt idx="330">
                  <c:v>13.154999999999999</c:v>
                </c:pt>
                <c:pt idx="331">
                  <c:v>10.348000000000001</c:v>
                </c:pt>
                <c:pt idx="332">
                  <c:v>8.0990000000000002</c:v>
                </c:pt>
                <c:pt idx="333">
                  <c:v>15.074</c:v>
                </c:pt>
                <c:pt idx="334">
                  <c:v>15.401999999999999</c:v>
                </c:pt>
                <c:pt idx="335">
                  <c:v>4.0199999999999996</c:v>
                </c:pt>
                <c:pt idx="336">
                  <c:v>1.4279999999999999</c:v>
                </c:pt>
                <c:pt idx="337">
                  <c:v>10.176</c:v>
                </c:pt>
                <c:pt idx="338">
                  <c:v>6.806</c:v>
                </c:pt>
                <c:pt idx="339">
                  <c:v>13.388999999999999</c:v>
                </c:pt>
                <c:pt idx="340">
                  <c:v>12.502000000000001</c:v>
                </c:pt>
                <c:pt idx="341">
                  <c:v>2.363</c:v>
                </c:pt>
                <c:pt idx="342">
                  <c:v>7.7729999999999997</c:v>
                </c:pt>
                <c:pt idx="343">
                  <c:v>6.7480000000000002</c:v>
                </c:pt>
                <c:pt idx="344">
                  <c:v>4.5119999999999996</c:v>
                </c:pt>
                <c:pt idx="345">
                  <c:v>5.6719999999999997</c:v>
                </c:pt>
                <c:pt idx="346">
                  <c:v>7.9560000000000004</c:v>
                </c:pt>
                <c:pt idx="347">
                  <c:v>7.2110000000000003</c:v>
                </c:pt>
                <c:pt idx="348">
                  <c:v>1.982</c:v>
                </c:pt>
                <c:pt idx="349">
                  <c:v>2.1030000000000002</c:v>
                </c:pt>
                <c:pt idx="350">
                  <c:v>11.506</c:v>
                </c:pt>
                <c:pt idx="351">
                  <c:v>7.3659999999999997</c:v>
                </c:pt>
                <c:pt idx="352">
                  <c:v>7.8769999999999998</c:v>
                </c:pt>
                <c:pt idx="353">
                  <c:v>6.9249999999999998</c:v>
                </c:pt>
                <c:pt idx="354">
                  <c:v>4.992</c:v>
                </c:pt>
                <c:pt idx="355">
                  <c:v>7.4989999999999997</c:v>
                </c:pt>
                <c:pt idx="356">
                  <c:v>13.173999999999999</c:v>
                </c:pt>
                <c:pt idx="357">
                  <c:v>8.6809999999999992</c:v>
                </c:pt>
                <c:pt idx="358">
                  <c:v>8.4410000000000007</c:v>
                </c:pt>
                <c:pt idx="359">
                  <c:v>2.839</c:v>
                </c:pt>
                <c:pt idx="360">
                  <c:v>8.7309999999999999</c:v>
                </c:pt>
                <c:pt idx="361">
                  <c:v>5.5810000000000004</c:v>
                </c:pt>
                <c:pt idx="362">
                  <c:v>6.35</c:v>
                </c:pt>
                <c:pt idx="363">
                  <c:v>6.0570000000000004</c:v>
                </c:pt>
                <c:pt idx="364">
                  <c:v>7.0030000000000001</c:v>
                </c:pt>
                <c:pt idx="365">
                  <c:v>10.864000000000001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9490336"/>
        <c:axId val="499490728"/>
      </c:lineChart>
      <c:dateAx>
        <c:axId val="49949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9490728"/>
        <c:crosses val="autoZero"/>
        <c:auto val="1"/>
        <c:lblOffset val="100"/>
        <c:baseTimeUnit val="days"/>
        <c:majorUnit val="1"/>
        <c:majorTimeUnit val="months"/>
      </c:dateAx>
      <c:valAx>
        <c:axId val="49949072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94903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-0.70022266395748267</c:v>
                </c:pt>
                <c:pt idx="1">
                  <c:v>-0.70018176349789074</c:v>
                </c:pt>
                <c:pt idx="2">
                  <c:v>-0.70013915226420531</c:v>
                </c:pt>
                <c:pt idx="3">
                  <c:v>-0.70009475892039219</c:v>
                </c:pt>
                <c:pt idx="4">
                  <c:v>-0.70004850917480577</c:v>
                </c:pt>
                <c:pt idx="5">
                  <c:v>-0.70000032565935477</c:v>
                </c:pt>
                <c:pt idx="6">
                  <c:v>-0.69995012780386634</c:v>
                </c:pt>
                <c:pt idx="7">
                  <c:v>-0.69989783170547037</c:v>
                </c:pt>
                <c:pt idx="8">
                  <c:v>-0.69984334999282116</c:v>
                </c:pt>
                <c:pt idx="9">
                  <c:v>-0.69978659168496382</c:v>
                </c:pt>
                <c:pt idx="10">
                  <c:v>-0.69972746204465142</c:v>
                </c:pt>
                <c:pt idx="11">
                  <c:v>-0.69966586242591178</c:v>
                </c:pt>
                <c:pt idx="12">
                  <c:v>-0.69960169011565509</c:v>
                </c:pt>
                <c:pt idx="13">
                  <c:v>-0.69953483816910977</c:v>
                </c:pt>
                <c:pt idx="14">
                  <c:v>-0.69946519523886852</c:v>
                </c:pt>
                <c:pt idx="15">
                  <c:v>-0.69939264539731794</c:v>
                </c:pt>
                <c:pt idx="16">
                  <c:v>-0.69931706795222215</c:v>
                </c:pt>
                <c:pt idx="17">
                  <c:v>-0.69923833725522377</c:v>
                </c:pt>
                <c:pt idx="18">
                  <c:v>-0.69915632250301862</c:v>
                </c:pt>
                <c:pt idx="19">
                  <c:v>-0.69907088753095892</c:v>
                </c:pt>
                <c:pt idx="20">
                  <c:v>-0.6989818905988282</c:v>
                </c:pt>
                <c:pt idx="21">
                  <c:v>-0.6988891841685333</c:v>
                </c:pt>
                <c:pt idx="22">
                  <c:v>-0.69879261467344511</c:v>
                </c:pt>
                <c:pt idx="23">
                  <c:v>-0.69869202227912386</c:v>
                </c:pt>
                <c:pt idx="24">
                  <c:v>-0.69858724063515232</c:v>
                </c:pt>
                <c:pt idx="25">
                  <c:v>-0.69847809661780258</c:v>
                </c:pt>
                <c:pt idx="26">
                  <c:v>-0.69836441006325212</c:v>
                </c:pt>
                <c:pt idx="27">
                  <c:v>-0.69824599349106775</c:v>
                </c:pt>
                <c:pt idx="28">
                  <c:v>-0.69812265181766842</c:v>
                </c:pt>
                <c:pt idx="29">
                  <c:v>-0.6979941820594775</c:v>
                </c:pt>
                <c:pt idx="30">
                  <c:v>-0.69786037302547543</c:v>
                </c:pt>
                <c:pt idx="31">
                  <c:v>-0.69772100499885881</c:v>
                </c:pt>
                <c:pt idx="32">
                  <c:v>-0.69757584940751594</c:v>
                </c:pt>
                <c:pt idx="33">
                  <c:v>-0.69742466848302975</c:v>
                </c:pt>
                <c:pt idx="34">
                  <c:v>-0.69726721490791743</c:v>
                </c:pt>
                <c:pt idx="35">
                  <c:v>-0.6971032314508242</c:v>
                </c:pt>
                <c:pt idx="36">
                  <c:v>-0.69693245058939246</c:v>
                </c:pt>
                <c:pt idx="37">
                  <c:v>-0.69675459412053031</c:v>
                </c:pt>
                <c:pt idx="38">
                  <c:v>-0.69656937275781761</c:v>
                </c:pt>
                <c:pt idx="39">
                  <c:v>-0.69637648571579003</c:v>
                </c:pt>
                <c:pt idx="40">
                  <c:v>-0.69617562028086255</c:v>
                </c:pt>
                <c:pt idx="41">
                  <c:v>-0.69596645136865676</c:v>
                </c:pt>
                <c:pt idx="42">
                  <c:v>-0.69574864106752488</c:v>
                </c:pt>
                <c:pt idx="43">
                  <c:v>-0.69552183816807001</c:v>
                </c:pt>
                <c:pt idx="44">
                  <c:v>-0.69528567767849558</c:v>
                </c:pt>
                <c:pt idx="45">
                  <c:v>-0.69503978032563296</c:v>
                </c:pt>
                <c:pt idx="46">
                  <c:v>-0.69478375204152965</c:v>
                </c:pt>
                <c:pt idx="47">
                  <c:v>-0.69451718343551083</c:v>
                </c:pt>
                <c:pt idx="48">
                  <c:v>-0.69423964925166326</c:v>
                </c:pt>
                <c:pt idx="49">
                  <c:v>-0.69395070781173063</c:v>
                </c:pt>
                <c:pt idx="50">
                  <c:v>-0.69364990044345631</c:v>
                </c:pt>
                <c:pt idx="51">
                  <c:v>-0.69333675089445501</c:v>
                </c:pt>
                <c:pt idx="52">
                  <c:v>-0.69301076473175804</c:v>
                </c:pt>
                <c:pt idx="53">
                  <c:v>-0.69267142872722898</c:v>
                </c:pt>
                <c:pt idx="54">
                  <c:v>-0.69231821022912343</c:v>
                </c:pt>
                <c:pt idx="55">
                  <c:v>-0.69195055652013293</c:v>
                </c:pt>
                <c:pt idx="56">
                  <c:v>-0.69156789416234143</c:v>
                </c:pt>
                <c:pt idx="57">
                  <c:v>-0.69116962832960727</c:v>
                </c:pt>
                <c:pt idx="58">
                  <c:v>-0.69075514212798461</c:v>
                </c:pt>
                <c:pt idx="59">
                  <c:v>-0.69032379590490234</c:v>
                </c:pt>
                <c:pt idx="60">
                  <c:v>-0.68987492654793614</c:v>
                </c:pt>
                <c:pt idx="61">
                  <c:v>-0.68940784677413502</c:v>
                </c:pt>
                <c:pt idx="62">
                  <c:v>-0.68892184441099746</c:v>
                </c:pt>
                <c:pt idx="63">
                  <c:v>-0.68841618167034357</c:v>
                </c:pt>
                <c:pt idx="64">
                  <c:v>-0.68789009441648619</c:v>
                </c:pt>
                <c:pt idx="65">
                  <c:v>-0.68734279143027643</c:v>
                </c:pt>
                <c:pt idx="66">
                  <c:v>-0.68677345367078224</c:v>
                </c:pt>
                <c:pt idx="67">
                  <c:v>-0.68618123353656058</c:v>
                </c:pt>
                <c:pt idx="68">
                  <c:v>-0.68556525412868918</c:v>
                </c:pt>
                <c:pt idx="69">
                  <c:v>-0.68492460851795833</c:v>
                </c:pt>
                <c:pt idx="70">
                  <c:v>-0.68425835901886101</c:v>
                </c:pt>
                <c:pt idx="71">
                  <c:v>-0.68356553647327689</c:v>
                </c:pt>
                <c:pt idx="72">
                  <c:v>-0.68284513954702419</c:v>
                </c:pt>
                <c:pt idx="73">
                  <c:v>-0.68209613404273994</c:v>
                </c:pt>
                <c:pt idx="74">
                  <c:v>-0.68131745223285933</c:v>
                </c:pt>
                <c:pt idx="75">
                  <c:v>-0.68050799221678937</c:v>
                </c:pt>
                <c:pt idx="76">
                  <c:v>-0.67966661730671374</c:v>
                </c:pt>
                <c:pt idx="77">
                  <c:v>-0.67879215544682447</c:v>
                </c:pt>
                <c:pt idx="78">
                  <c:v>-0.67788339867115444</c:v>
                </c:pt>
                <c:pt idx="79">
                  <c:v>-0.67693910260557411</c:v>
                </c:pt>
                <c:pt idx="80">
                  <c:v>-0.67595798601992951</c:v>
                </c:pt>
                <c:pt idx="81">
                  <c:v>-0.67493873043671704</c:v>
                </c:pt>
                <c:pt idx="82">
                  <c:v>-0.6738799798031333</c:v>
                </c:pt>
                <c:pt idx="83">
                  <c:v>-0.67278034023378719</c:v>
                </c:pt>
                <c:pt idx="84">
                  <c:v>-0.67163837983182217</c:v>
                </c:pt>
                <c:pt idx="85">
                  <c:v>-0.67045262859667176</c:v>
                </c:pt>
                <c:pt idx="86">
                  <c:v>-0.66922157842714181</c:v>
                </c:pt>
                <c:pt idx="87">
                  <c:v>-0.66794368322900088</c:v>
                </c:pt>
                <c:pt idx="88">
                  <c:v>-0.66661735913673514</c:v>
                </c:pt>
                <c:pt idx="89">
                  <c:v>-0.66524098485960526</c:v>
                </c:pt>
                <c:pt idx="90">
                  <c:v>-0.66381290216260591</c:v>
                </c:pt>
                <c:pt idx="91">
                  <c:v>-0.66233141649339078</c:v>
                </c:pt>
                <c:pt idx="92">
                  <c:v>-0.66079479776665173</c:v>
                </c:pt>
                <c:pt idx="93">
                  <c:v>-0.65920128131785805</c:v>
                </c:pt>
                <c:pt idx="94">
                  <c:v>-0.65754906903863186</c:v>
                </c:pt>
                <c:pt idx="95">
                  <c:v>-0.65583633070637548</c:v>
                </c:pt>
                <c:pt idx="96">
                  <c:v>-0.65406120552104685</c:v>
                </c:pt>
                <c:pt idx="97">
                  <c:v>-0.65222180386220585</c:v>
                </c:pt>
                <c:pt idx="98">
                  <c:v>-0.65031620927961342</c:v>
                </c:pt>
                <c:pt idx="99">
                  <c:v>-0.64834248073073386</c:v>
                </c:pt>
                <c:pt idx="100">
                  <c:v>-0.64629865507847795</c:v>
                </c:pt>
                <c:pt idx="101">
                  <c:v>-0.64418274986239832</c:v>
                </c:pt>
                <c:pt idx="102">
                  <c:v>-0.64199276635630809</c:v>
                </c:pt>
                <c:pt idx="103">
                  <c:v>-0.63972669292491913</c:v>
                </c:pt>
                <c:pt idx="104">
                  <c:v>-0.63738250869157498</c:v>
                </c:pt>
                <c:pt idx="105">
                  <c:v>-0.63495818752847566</c:v>
                </c:pt>
                <c:pt idx="106">
                  <c:v>-0.6324517023799282</c:v>
                </c:pt>
                <c:pt idx="107">
                  <c:v>-0.6298610299281161</c:v>
                </c:pt>
                <c:pt idx="108">
                  <c:v>-0.62718415560962448</c:v>
                </c:pt>
                <c:pt idx="109">
                  <c:v>-0.62441907898948756</c:v>
                </c:pt>
                <c:pt idx="110">
                  <c:v>-0.62156381949782524</c:v>
                </c:pt>
                <c:pt idx="111">
                  <c:v>-0.61861642253218985</c:v>
                </c:pt>
                <c:pt idx="112">
                  <c:v>-0.61557496592654315</c:v>
                </c:pt>
                <c:pt idx="113">
                  <c:v>-0.61243756678532901</c:v>
                </c:pt>
                <c:pt idx="114">
                  <c:v>-0.60920238867837684</c:v>
                </c:pt>
                <c:pt idx="115">
                  <c:v>-0.6058676491893743</c:v>
                </c:pt>
                <c:pt idx="116">
                  <c:v>-0.60243162780738535</c:v>
                </c:pt>
                <c:pt idx="117">
                  <c:v>-0.59889267414735714</c:v>
                </c:pt>
                <c:pt idx="118">
                  <c:v>-0.5952492164817722</c:v>
                </c:pt>
                <c:pt idx="119">
                  <c:v>-0.59149977056158143</c:v>
                </c:pt>
                <c:pt idx="120">
                  <c:v>-0.58764294870029743</c:v>
                </c:pt>
                <c:pt idx="121">
                  <c:v>-0.58367746909068829</c:v>
                </c:pt>
                <c:pt idx="122">
                  <c:v>-0.57960216531889908</c:v>
                </c:pt>
                <c:pt idx="123">
                  <c:v>-0.5754159960360925</c:v>
                </c:pt>
                <c:pt idx="124">
                  <c:v>-0.57111805474288557</c:v>
                </c:pt>
                <c:pt idx="125">
                  <c:v>-0.56670757963700757</c:v>
                </c:pt>
                <c:pt idx="126">
                  <c:v>-0.56218396346979427</c:v>
                </c:pt>
                <c:pt idx="127">
                  <c:v>-0.55754676335240816</c:v>
                </c:pt>
                <c:pt idx="128">
                  <c:v>-0.5527957104481247</c:v>
                </c:pt>
                <c:pt idx="129">
                  <c:v>-0.5479307194827191</c:v>
                </c:pt>
                <c:pt idx="130">
                  <c:v>-0.54295189800100918</c:v>
                </c:pt>
                <c:pt idx="131">
                  <c:v>-0.53785955529404894</c:v>
                </c:pt>
                <c:pt idx="132">
                  <c:v>-0.53265421091841603</c:v>
                </c:pt>
                <c:pt idx="133">
                  <c:v>-0.52733660272657268</c:v>
                </c:pt>
                <c:pt idx="134">
                  <c:v>-0.5219076943255172</c:v>
                </c:pt>
                <c:pt idx="135">
                  <c:v>-0.51636868187994056</c:v>
                </c:pt>
                <c:pt idx="136">
                  <c:v>-0.51072100017597721</c:v>
                </c:pt>
                <c:pt idx="137">
                  <c:v>-0.50496632786243734</c:v>
                </c:pt>
                <c:pt idx="138">
                  <c:v>-0.49910659178822225</c:v>
                </c:pt>
                <c:pt idx="139">
                  <c:v>-0.4931439703574973</c:v>
                </c:pt>
                <c:pt idx="140">
                  <c:v>-0.48708089582817726</c:v>
                </c:pt>
                <c:pt idx="141">
                  <c:v>-0.48092005548439948</c:v>
                </c:pt>
                <c:pt idx="142">
                  <c:v>-0.47466439161991819</c:v>
                </c:pt>
                <c:pt idx="143">
                  <c:v>-0.46831710027675688</c:v>
                </c:pt>
                <c:pt idx="144">
                  <c:v>-0.46188162869195293</c:v>
                </c:pt>
                <c:pt idx="145">
                  <c:v>-0.45536167141478767</c:v>
                </c:pt>
                <c:pt idx="146">
                  <c:v>-0.44876116506742153</c:v>
                </c:pt>
                <c:pt idx="147">
                  <c:v>-0.4420842817332622</c:v>
                </c:pt>
                <c:pt idx="148">
                  <c:v>-0.43533542096955141</c:v>
                </c:pt>
                <c:pt idx="149">
                  <c:v>-0.42851920045342884</c:v>
                </c:pt>
                <c:pt idx="150">
                  <c:v>-0.4216404452839515</c:v>
                </c:pt>
                <c:pt idx="151">
                  <c:v>-0.4147041759760362</c:v>
                </c:pt>
                <c:pt idx="152">
                  <c:v>-0.40771559519585859</c:v>
                </c:pt>
                <c:pt idx="153">
                  <c:v>-0.40068007330067795</c:v>
                </c:pt>
                <c:pt idx="154">
                  <c:v>-0.39360313275915421</c:v>
                </c:pt>
                <c:pt idx="155">
                  <c:v>-0.3864904315407735</c:v>
                </c:pt>
                <c:pt idx="156">
                  <c:v>-0.37934774557477757</c:v>
                </c:pt>
                <c:pt idx="157">
                  <c:v>-0.37218095038982119</c:v>
                </c:pt>
                <c:pt idx="158">
                  <c:v>-0.36499600205524807</c:v>
                </c:pt>
                <c:pt idx="159">
                  <c:v>-0.35779891755321985</c:v>
                </c:pt>
                <c:pt idx="160">
                  <c:v>-0.35059575471780374</c:v>
                </c:pt>
                <c:pt idx="161">
                  <c:v>-0.34339259188238758</c:v>
                </c:pt>
                <c:pt idx="162">
                  <c:v>-0.3361955073803593</c:v>
                </c:pt>
                <c:pt idx="163">
                  <c:v>-0.32901055904578619</c:v>
                </c:pt>
                <c:pt idx="164">
                  <c:v>-0.32184376386082986</c:v>
                </c:pt>
                <c:pt idx="165">
                  <c:v>-0.31470107789483381</c:v>
                </c:pt>
                <c:pt idx="166">
                  <c:v>-0.30758837667645317</c:v>
                </c:pt>
                <c:pt idx="167">
                  <c:v>-0.30051143613492948</c:v>
                </c:pt>
                <c:pt idx="168">
                  <c:v>-0.29347591423974873</c:v>
                </c:pt>
                <c:pt idx="169">
                  <c:v>-0.28648733345957123</c:v>
                </c:pt>
                <c:pt idx="170">
                  <c:v>-0.27955106415165598</c:v>
                </c:pt>
                <c:pt idx="171">
                  <c:v>-0.27267230898217859</c:v>
                </c:pt>
                <c:pt idx="172">
                  <c:v>-0.26585608846605596</c:v>
                </c:pt>
                <c:pt idx="173">
                  <c:v>-0.25910722770234523</c:v>
                </c:pt>
                <c:pt idx="174">
                  <c:v>-0.2524303443681859</c:v>
                </c:pt>
                <c:pt idx="175">
                  <c:v>-0.2458298380208197</c:v>
                </c:pt>
                <c:pt idx="176">
                  <c:v>-0.2393098807436545</c:v>
                </c:pt>
                <c:pt idx="177">
                  <c:v>-0.23287440915885049</c:v>
                </c:pt>
                <c:pt idx="178">
                  <c:v>-0.22652711781568918</c:v>
                </c:pt>
                <c:pt idx="179">
                  <c:v>-0.22027145395120795</c:v>
                </c:pt>
                <c:pt idx="180">
                  <c:v>-0.21411061360743011</c:v>
                </c:pt>
                <c:pt idx="181">
                  <c:v>-0.20804753907811008</c:v>
                </c:pt>
                <c:pt idx="182">
                  <c:v>-0.20208491764738518</c:v>
                </c:pt>
                <c:pt idx="183">
                  <c:v>-0.19622518157317015</c:v>
                </c:pt>
                <c:pt idx="184">
                  <c:v>-0.19047050925963016</c:v>
                </c:pt>
                <c:pt idx="185">
                  <c:v>-0.18482282755566681</c:v>
                </c:pt>
                <c:pt idx="186">
                  <c:v>-0.17928381511009028</c:v>
                </c:pt>
                <c:pt idx="187">
                  <c:v>-0.17385490670903481</c:v>
                </c:pt>
                <c:pt idx="188">
                  <c:v>-0.16853729851719146</c:v>
                </c:pt>
                <c:pt idx="189">
                  <c:v>-0.16333195414155854</c:v>
                </c:pt>
                <c:pt idx="190">
                  <c:v>-0.1582396114345983</c:v>
                </c:pt>
                <c:pt idx="191">
                  <c:v>-0.15326078995288828</c:v>
                </c:pt>
                <c:pt idx="192">
                  <c:v>-0.14839579898748279</c:v>
                </c:pt>
                <c:pt idx="193">
                  <c:v>-0.14364474608319922</c:v>
                </c:pt>
                <c:pt idx="194">
                  <c:v>-0.13900754596581311</c:v>
                </c:pt>
                <c:pt idx="195">
                  <c:v>-0.1344839297985998</c:v>
                </c:pt>
                <c:pt idx="196">
                  <c:v>-0.1300734546927218</c:v>
                </c:pt>
                <c:pt idx="197">
                  <c:v>-0.12577551339951487</c:v>
                </c:pt>
                <c:pt idx="198">
                  <c:v>-0.1215893441167083</c:v>
                </c:pt>
                <c:pt idx="199">
                  <c:v>-0.11751404034491908</c:v>
                </c:pt>
                <c:pt idx="200">
                  <c:v>-0.11354856073530994</c:v>
                </c:pt>
                <c:pt idx="201">
                  <c:v>-0.10969173887402595</c:v>
                </c:pt>
                <c:pt idx="202">
                  <c:v>-0.10594229295383517</c:v>
                </c:pt>
                <c:pt idx="203">
                  <c:v>-0.10229883528825023</c:v>
                </c:pt>
                <c:pt idx="204">
                  <c:v>-9.8759881628222024E-2</c:v>
                </c:pt>
                <c:pt idx="205">
                  <c:v>-9.5323860246233072E-2</c:v>
                </c:pt>
                <c:pt idx="206">
                  <c:v>-9.1989120757230647E-2</c:v>
                </c:pt>
                <c:pt idx="207">
                  <c:v>-8.8753942650278361E-2</c:v>
                </c:pt>
                <c:pt idx="208">
                  <c:v>-8.5616543509064225E-2</c:v>
                </c:pt>
                <c:pt idx="209">
                  <c:v>-8.2575086903417527E-2</c:v>
                </c:pt>
                <c:pt idx="210">
                  <c:v>-7.9627689937782131E-2</c:v>
                </c:pt>
                <c:pt idx="211">
                  <c:v>-7.677243044611981E-2</c:v>
                </c:pt>
                <c:pt idx="212">
                  <c:v>-7.4007353825982891E-2</c:v>
                </c:pt>
                <c:pt idx="213">
                  <c:v>-7.1330479507491384E-2</c:v>
                </c:pt>
                <c:pt idx="214">
                  <c:v>-6.873980705567917E-2</c:v>
                </c:pt>
                <c:pt idx="215">
                  <c:v>-6.6233321907131715E-2</c:v>
                </c:pt>
                <c:pt idx="216">
                  <c:v>-6.3809000744032396E-2</c:v>
                </c:pt>
                <c:pt idx="217">
                  <c:v>-6.1464816510688247E-2</c:v>
                </c:pt>
                <c:pt idx="218">
                  <c:v>-5.9198743079299287E-2</c:v>
                </c:pt>
                <c:pt idx="219">
                  <c:v>-5.7008759573209167E-2</c:v>
                </c:pt>
                <c:pt idx="220">
                  <c:v>-5.4892854357129539E-2</c:v>
                </c:pt>
                <c:pt idx="221">
                  <c:v>-5.2849028704873513E-2</c:v>
                </c:pt>
                <c:pt idx="222">
                  <c:v>-5.0875300155993952E-2</c:v>
                </c:pt>
                <c:pt idx="223">
                  <c:v>-4.8969705573401523E-2</c:v>
                </c:pt>
                <c:pt idx="224">
                  <c:v>-4.7130303914560412E-2</c:v>
                </c:pt>
                <c:pt idx="225">
                  <c:v>-4.5355178729231893E-2</c:v>
                </c:pt>
                <c:pt idx="226">
                  <c:v>-4.3642440396975624E-2</c:v>
                </c:pt>
                <c:pt idx="227">
                  <c:v>-4.1990228117749329E-2</c:v>
                </c:pt>
                <c:pt idx="228">
                  <c:v>-4.0396711668955643E-2</c:v>
                </c:pt>
                <c:pt idx="229">
                  <c:v>-3.8860092942216595E-2</c:v>
                </c:pt>
                <c:pt idx="230">
                  <c:v>-3.7378607273001574E-2</c:v>
                </c:pt>
                <c:pt idx="231">
                  <c:v>-3.595052457600223E-2</c:v>
                </c:pt>
                <c:pt idx="232">
                  <c:v>-3.457415029887223E-2</c:v>
                </c:pt>
                <c:pt idx="233">
                  <c:v>-3.324782620660649E-2</c:v>
                </c:pt>
                <c:pt idx="234">
                  <c:v>-3.196993100846568E-2</c:v>
                </c:pt>
                <c:pt idx="235">
                  <c:v>-3.0738880838935723E-2</c:v>
                </c:pt>
                <c:pt idx="236">
                  <c:v>-2.9553129603785311E-2</c:v>
                </c:pt>
                <c:pt idx="237">
                  <c:v>-2.8411169201820186E-2</c:v>
                </c:pt>
                <c:pt idx="238">
                  <c:v>-2.7311529632474074E-2</c:v>
                </c:pt>
                <c:pt idx="239">
                  <c:v>-2.6252778998890336E-2</c:v>
                </c:pt>
                <c:pt idx="240">
                  <c:v>-2.5233523415677861E-2</c:v>
                </c:pt>
                <c:pt idx="241">
                  <c:v>-2.4252406830033268E-2</c:v>
                </c:pt>
                <c:pt idx="242">
                  <c:v>-2.3308110764452938E-2</c:v>
                </c:pt>
                <c:pt idx="243">
                  <c:v>-2.23993539887829E-2</c:v>
                </c:pt>
                <c:pt idx="244">
                  <c:v>-2.1524892128893636E-2</c:v>
                </c:pt>
                <c:pt idx="245">
                  <c:v>-2.0683517218818004E-2</c:v>
                </c:pt>
                <c:pt idx="246">
                  <c:v>-1.9874057202748041E-2</c:v>
                </c:pt>
                <c:pt idx="247">
                  <c:v>-1.9095375392867431E-2</c:v>
                </c:pt>
                <c:pt idx="248">
                  <c:v>-1.8346369888583181E-2</c:v>
                </c:pt>
                <c:pt idx="249">
                  <c:v>-1.7625972962330483E-2</c:v>
                </c:pt>
                <c:pt idx="250">
                  <c:v>-1.6933150416746368E-2</c:v>
                </c:pt>
                <c:pt idx="251">
                  <c:v>-1.6266900917649041E-2</c:v>
                </c:pt>
                <c:pt idx="252">
                  <c:v>-1.5626255306918191E-2</c:v>
                </c:pt>
                <c:pt idx="253">
                  <c:v>-1.5010275899046799E-2</c:v>
                </c:pt>
                <c:pt idx="254">
                  <c:v>-1.4418055764825022E-2</c:v>
                </c:pt>
                <c:pt idx="255">
                  <c:v>-1.384871800533094E-2</c:v>
                </c:pt>
                <c:pt idx="256">
                  <c:v>-1.3301415019121077E-2</c:v>
                </c:pt>
                <c:pt idx="257">
                  <c:v>-1.27753277652638E-2</c:v>
                </c:pt>
                <c:pt idx="258">
                  <c:v>-1.226966502460991E-2</c:v>
                </c:pt>
                <c:pt idx="259">
                  <c:v>-1.1783662661472238E-2</c:v>
                </c:pt>
                <c:pt idx="260">
                  <c:v>-1.1316582887671345E-2</c:v>
                </c:pt>
                <c:pt idx="261">
                  <c:v>-1.0867713530705037E-2</c:v>
                </c:pt>
                <c:pt idx="262">
                  <c:v>-1.0436367307622763E-2</c:v>
                </c:pt>
                <c:pt idx="263">
                  <c:v>-1.0021881106000108E-2</c:v>
                </c:pt>
                <c:pt idx="264">
                  <c:v>-9.6236152732658287E-3</c:v>
                </c:pt>
                <c:pt idx="265">
                  <c:v>-9.240952915474554E-3</c:v>
                </c:pt>
                <c:pt idx="266">
                  <c:v>-8.8732992064840532E-3</c:v>
                </c:pt>
                <c:pt idx="267">
                  <c:v>-8.5200807083785079E-3</c:v>
                </c:pt>
                <c:pt idx="268">
                  <c:v>-8.1807447038493297E-3</c:v>
                </c:pt>
                <c:pt idx="269">
                  <c:v>-7.8547585411524734E-3</c:v>
                </c:pt>
                <c:pt idx="270">
                  <c:v>-7.541608992151061E-3</c:v>
                </c:pt>
                <c:pt idx="271">
                  <c:v>-7.240801623876747E-3</c:v>
                </c:pt>
                <c:pt idx="272">
                  <c:v>-6.9518601839442251E-3</c:v>
                </c:pt>
                <c:pt idx="273">
                  <c:v>-6.6743260000966531E-3</c:v>
                </c:pt>
                <c:pt idx="274">
                  <c:v>-6.4077573940777288E-3</c:v>
                </c:pt>
                <c:pt idx="275">
                  <c:v>-6.1517291099744131E-3</c:v>
                </c:pt>
                <c:pt idx="276">
                  <c:v>-5.9058317571117902E-3</c:v>
                </c:pt>
                <c:pt idx="277">
                  <c:v>-5.6696712675373684E-3</c:v>
                </c:pt>
                <c:pt idx="278">
                  <c:v>-5.4428683680826095E-3</c:v>
                </c:pt>
                <c:pt idx="279">
                  <c:v>-5.2250580669506164E-3</c:v>
                </c:pt>
                <c:pt idx="280">
                  <c:v>-5.0158891547449347E-3</c:v>
                </c:pt>
                <c:pt idx="281">
                  <c:v>-4.8150237198173462E-3</c:v>
                </c:pt>
                <c:pt idx="282">
                  <c:v>-4.6221366777898787E-3</c:v>
                </c:pt>
                <c:pt idx="283">
                  <c:v>-4.4369153150770613E-3</c:v>
                </c:pt>
                <c:pt idx="284">
                  <c:v>-4.2590588462149137E-3</c:v>
                </c:pt>
                <c:pt idx="285">
                  <c:v>-4.0882779847831729E-3</c:v>
                </c:pt>
                <c:pt idx="286">
                  <c:v>-3.9242945276900532E-3</c:v>
                </c:pt>
                <c:pt idx="287">
                  <c:v>-3.7668409525776214E-3</c:v>
                </c:pt>
                <c:pt idx="288">
                  <c:v>-3.6156600280914386E-3</c:v>
                </c:pt>
                <c:pt idx="289">
                  <c:v>-3.4705044367486781E-3</c:v>
                </c:pt>
                <c:pt idx="290">
                  <c:v>-3.3311364101319407E-3</c:v>
                </c:pt>
                <c:pt idx="291">
                  <c:v>-3.197327376129766E-3</c:v>
                </c:pt>
                <c:pt idx="292">
                  <c:v>-3.0688576179390692E-3</c:v>
                </c:pt>
                <c:pt idx="293">
                  <c:v>-2.9455159445396228E-3</c:v>
                </c:pt>
                <c:pt idx="294">
                  <c:v>-2.8270993723553683E-3</c:v>
                </c:pt>
                <c:pt idx="295">
                  <c:v>-2.7134128178049055E-3</c:v>
                </c:pt>
                <c:pt idx="296">
                  <c:v>-2.6042688004551673E-3</c:v>
                </c:pt>
                <c:pt idx="297">
                  <c:v>-2.4994871564836263E-3</c:v>
                </c:pt>
                <c:pt idx="298">
                  <c:v>-2.3988947621622625E-3</c:v>
                </c:pt>
                <c:pt idx="299">
                  <c:v>-2.302325267074079E-3</c:v>
                </c:pt>
                <c:pt idx="300">
                  <c:v>-2.2096188367791703E-3</c:v>
                </c:pt>
                <c:pt idx="301">
                  <c:v>-2.1206219046485675E-3</c:v>
                </c:pt>
                <c:pt idx="302">
                  <c:v>-2.0351869325887506E-3</c:v>
                </c:pt>
                <c:pt idx="303">
                  <c:v>-1.9531721803834889E-3</c:v>
                </c:pt>
                <c:pt idx="304">
                  <c:v>-1.8744414833852252E-3</c:v>
                </c:pt>
                <c:pt idx="305">
                  <c:v>-1.7988640382894383E-3</c:v>
                </c:pt>
                <c:pt idx="306">
                  <c:v>-1.726314196738854E-3</c:v>
                </c:pt>
                <c:pt idx="307">
                  <c:v>-1.6566712664976002E-3</c:v>
                </c:pt>
                <c:pt idx="308">
                  <c:v>-1.5898193199523902E-3</c:v>
                </c:pt>
                <c:pt idx="309">
                  <c:v>-1.5256470096955965E-3</c:v>
                </c:pt>
                <c:pt idx="310">
                  <c:v>-1.4640473909560692E-3</c:v>
                </c:pt>
                <c:pt idx="311">
                  <c:v>-1.4049177506435528E-3</c:v>
                </c:pt>
                <c:pt idx="312">
                  <c:v>-1.348159442786323E-3</c:v>
                </c:pt>
                <c:pt idx="313">
                  <c:v>-1.2936777301369995E-3</c:v>
                </c:pt>
                <c:pt idx="314">
                  <c:v>-1.2413816317410342E-3</c:v>
                </c:pt>
                <c:pt idx="315">
                  <c:v>-1.1911837762526023E-3</c:v>
                </c:pt>
                <c:pt idx="316">
                  <c:v>-1.1430002608016077E-3</c:v>
                </c:pt>
                <c:pt idx="317">
                  <c:v>-1.0967505152151835E-3</c:v>
                </c:pt>
                <c:pt idx="318">
                  <c:v>-1.052357171402063E-3</c:v>
                </c:pt>
                <c:pt idx="319">
                  <c:v>-1.0097459377166329E-3</c:v>
                </c:pt>
                <c:pt idx="320">
                  <c:v>-9.6884547812470245E-4</c:v>
                </c:pt>
                <c:pt idx="321">
                  <c:v>-9.2958729599601497E-4</c:v>
                </c:pt>
                <c:pt idx="322">
                  <c:v>-8.9190562235730297E-4</c:v>
                </c:pt>
                <c:pt idx="323">
                  <c:v>-8.5573730844268336E-4</c:v>
                </c:pt>
                <c:pt idx="324">
                  <c:v>-8.2102172238351923E-4</c:v>
                </c:pt>
                <c:pt idx="325">
                  <c:v>-7.8770064988742394E-4</c:v>
                </c:pt>
                <c:pt idx="326">
                  <c:v>-7.5571819875785984E-4</c:v>
                </c:pt>
                <c:pt idx="327">
                  <c:v>-7.2502070711066846E-4</c:v>
                </c:pt>
                <c:pt idx="328">
                  <c:v>-6.9555665515441678E-4</c:v>
                </c:pt>
                <c:pt idx="329">
                  <c:v>-6.6727658039666959E-4</c:v>
                </c:pt>
                <c:pt idx="330">
                  <c:v>-6.4013299615184316E-4</c:v>
                </c:pt>
                <c:pt idx="331">
                  <c:v>-6.1408031322329748E-4</c:v>
                </c:pt>
                <c:pt idx="332">
                  <c:v>-5.890747646424277E-4</c:v>
                </c:pt>
                <c:pt idx="333">
                  <c:v>-5.6507433334973545E-4</c:v>
                </c:pt>
                <c:pt idx="334">
                  <c:v>-5.4203868270397138E-4</c:v>
                </c:pt>
                <c:pt idx="335">
                  <c:v>-5.1992908971332241E-4</c:v>
                </c:pt>
                <c:pt idx="336">
                  <c:v>-4.9870838088572622E-4</c:v>
                </c:pt>
                <c:pt idx="337">
                  <c:v>-4.7834087059672736E-4</c:v>
                </c:pt>
                <c:pt idx="338">
                  <c:v>-4.5879230188017317E-4</c:v>
                </c:pt>
                <c:pt idx="339">
                  <c:v>-4.400297895480465E-4</c:v>
                </c:pt>
                <c:pt idx="340">
                  <c:v>-4.2202176554895221E-4</c:v>
                </c:pt>
                <c:pt idx="341">
                  <c:v>-4.0473792648132445E-4</c:v>
                </c:pt>
                <c:pt idx="342">
                  <c:v>-3.8814918317719993E-4</c:v>
                </c:pt>
                <c:pt idx="343">
                  <c:v>-3.7222761227484469E-4</c:v>
                </c:pt>
                <c:pt idx="344">
                  <c:v>-3.5694640970695968E-4</c:v>
                </c:pt>
                <c:pt idx="345">
                  <c:v>-3.4227984602641648E-4</c:v>
                </c:pt>
                <c:pt idx="346">
                  <c:v>-3.282032235001342E-4</c:v>
                </c:pt>
                <c:pt idx="347">
                  <c:v>-3.146928349030409E-4</c:v>
                </c:pt>
                <c:pt idx="348">
                  <c:v>-3.0172592394395181E-4</c:v>
                </c:pt>
                <c:pt idx="349">
                  <c:v>-2.8928064726063685E-4</c:v>
                </c:pt>
                <c:pt idx="350">
                  <c:v>-2.7733603792323702E-4</c:v>
                </c:pt>
                <c:pt idx="351">
                  <c:v>-2.6587197038618893E-4</c:v>
                </c:pt>
                <c:pt idx="352">
                  <c:v>-2.5486912683347906E-4</c:v>
                </c:pt>
                <c:pt idx="353">
                  <c:v>-2.4430896485982956E-4</c:v>
                </c:pt>
                <c:pt idx="354">
                  <c:v>-2.3417368643818826E-4</c:v>
                </c:pt>
                <c:pt idx="355">
                  <c:v>-2.2444620812200888E-4</c:v>
                </c:pt>
                <c:pt idx="356">
                  <c:v>-2.2444620812200888E-4</c:v>
                </c:pt>
                <c:pt idx="357">
                  <c:v>-2.2444620812200888E-4</c:v>
                </c:pt>
                <c:pt idx="358">
                  <c:v>-2.2444620812200888E-4</c:v>
                </c:pt>
                <c:pt idx="359">
                  <c:v>-2.2444620812200888E-4</c:v>
                </c:pt>
                <c:pt idx="360">
                  <c:v>-2.2444620812200888E-4</c:v>
                </c:pt>
                <c:pt idx="361">
                  <c:v>-2.2444620812200888E-4</c:v>
                </c:pt>
                <c:pt idx="362">
                  <c:v>-2.2444620812200888E-4</c:v>
                </c:pt>
                <c:pt idx="363">
                  <c:v>-2.2444620812200888E-4</c:v>
                </c:pt>
                <c:pt idx="364">
                  <c:v>-2.2444620812200888E-4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9491512"/>
        <c:axId val="464393088"/>
      </c:lineChart>
      <c:dateAx>
        <c:axId val="499491512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4393088"/>
        <c:crosses val="autoZero"/>
        <c:auto val="1"/>
        <c:lblOffset val="100"/>
        <c:baseTimeUnit val="days"/>
        <c:majorUnit val="1"/>
      </c:dateAx>
      <c:valAx>
        <c:axId val="4643930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9491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700446962958082"/>
          <c:y val="0.79385608874362401"/>
          <c:w val="0.62986085944277881"/>
          <c:h val="6.1984251968503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2.0362046534201816E-2</c:v>
                </c:pt>
                <c:pt idx="1">
                  <c:v>2.0384844140537983E-2</c:v>
                </c:pt>
                <c:pt idx="2">
                  <c:v>2.0407641216340422E-2</c:v>
                </c:pt>
                <c:pt idx="3">
                  <c:v>2.0430437761621678E-2</c:v>
                </c:pt>
                <c:pt idx="4">
                  <c:v>2.0453233776393964E-2</c:v>
                </c:pt>
                <c:pt idx="5">
                  <c:v>2.0476029260669715E-2</c:v>
                </c:pt>
                <c:pt idx="6">
                  <c:v>2.0498824214461253E-2</c:v>
                </c:pt>
                <c:pt idx="7">
                  <c:v>2.0521618637780903E-2</c:v>
                </c:pt>
                <c:pt idx="8">
                  <c:v>2.0544412530640987E-2</c:v>
                </c:pt>
                <c:pt idx="9">
                  <c:v>2.0567205893053941E-2</c:v>
                </c:pt>
                <c:pt idx="10">
                  <c:v>2.0589998725031977E-2</c:v>
                </c:pt>
                <c:pt idx="11">
                  <c:v>2.061279102658764E-2</c:v>
                </c:pt>
                <c:pt idx="12">
                  <c:v>2.0635582797733032E-2</c:v>
                </c:pt>
                <c:pt idx="13">
                  <c:v>2.0658374038480698E-2</c:v>
                </c:pt>
                <c:pt idx="14">
                  <c:v>2.0681164748842851E-2</c:v>
                </c:pt>
                <c:pt idx="15">
                  <c:v>2.0703954928831814E-2</c:v>
                </c:pt>
                <c:pt idx="16">
                  <c:v>2.0726744578460132E-2</c:v>
                </c:pt>
                <c:pt idx="17">
                  <c:v>2.0749533697739908E-2</c:v>
                </c:pt>
                <c:pt idx="18">
                  <c:v>2.0772322286683687E-2</c:v>
                </c:pt>
                <c:pt idx="19">
                  <c:v>2.0795110345303569E-2</c:v>
                </c:pt>
                <c:pt idx="20">
                  <c:v>2.0817897873612101E-2</c:v>
                </c:pt>
                <c:pt idx="21">
                  <c:v>2.0840684871621606E-2</c:v>
                </c:pt>
                <c:pt idx="22">
                  <c:v>2.0863471339344297E-2</c:v>
                </c:pt>
                <c:pt idx="23">
                  <c:v>2.0886257276792719E-2</c:v>
                </c:pt>
                <c:pt idx="24">
                  <c:v>2.0909042683978973E-2</c:v>
                </c:pt>
                <c:pt idx="25">
                  <c:v>2.0931827560915495E-2</c:v>
                </c:pt>
                <c:pt idx="26">
                  <c:v>2.0954611907614717E-2</c:v>
                </c:pt>
                <c:pt idx="27">
                  <c:v>2.0977395724088854E-2</c:v>
                </c:pt>
                <c:pt idx="28">
                  <c:v>2.1000179010350339E-2</c:v>
                </c:pt>
                <c:pt idx="29">
                  <c:v>2.1022961766411496E-2</c:v>
                </c:pt>
                <c:pt idx="30">
                  <c:v>2.1045743992284538E-2</c:v>
                </c:pt>
                <c:pt idx="31">
                  <c:v>2.1068525687982009E-2</c:v>
                </c:pt>
                <c:pt idx="32">
                  <c:v>2.1091306853516123E-2</c:v>
                </c:pt>
                <c:pt idx="33">
                  <c:v>2.1114087488899203E-2</c:v>
                </c:pt>
                <c:pt idx="34">
                  <c:v>2.1136867594143571E-2</c:v>
                </c:pt>
                <c:pt idx="35">
                  <c:v>2.1159647169261664E-2</c:v>
                </c:pt>
                <c:pt idx="36">
                  <c:v>2.1182426214265804E-2</c:v>
                </c:pt>
                <c:pt idx="37">
                  <c:v>2.1205204729168203E-2</c:v>
                </c:pt>
                <c:pt idx="38">
                  <c:v>2.1227982713981297E-2</c:v>
                </c:pt>
                <c:pt idx="39">
                  <c:v>2.1250760168717409E-2</c:v>
                </c:pt>
                <c:pt idx="40">
                  <c:v>2.1273537093388972E-2</c:v>
                </c:pt>
                <c:pt idx="41">
                  <c:v>2.129631348800809E-2</c:v>
                </c:pt>
                <c:pt idx="42">
                  <c:v>2.1319089352587306E-2</c:v>
                </c:pt>
                <c:pt idx="43">
                  <c:v>2.1341864687138834E-2</c:v>
                </c:pt>
                <c:pt idx="44">
                  <c:v>2.1364639491675108E-2</c:v>
                </c:pt>
                <c:pt idx="45">
                  <c:v>2.1387413766208341E-2</c:v>
                </c:pt>
                <c:pt idx="46">
                  <c:v>2.1410187510750966E-2</c:v>
                </c:pt>
                <c:pt idx="47">
                  <c:v>2.1432960725315309E-2</c:v>
                </c:pt>
                <c:pt idx="48">
                  <c:v>2.1455733409913691E-2</c:v>
                </c:pt>
                <c:pt idx="49">
                  <c:v>2.1478505564558437E-2</c:v>
                </c:pt>
                <c:pt idx="50">
                  <c:v>2.1501277189261869E-2</c:v>
                </c:pt>
                <c:pt idx="51">
                  <c:v>2.1524048284036312E-2</c:v>
                </c:pt>
                <c:pt idx="52">
                  <c:v>2.1546818848894089E-2</c:v>
                </c:pt>
                <c:pt idx="53">
                  <c:v>2.1569588883847524E-2</c:v>
                </c:pt>
                <c:pt idx="54">
                  <c:v>2.159235838890905E-2</c:v>
                </c:pt>
                <c:pt idx="55">
                  <c:v>2.161512736409088E-2</c:v>
                </c:pt>
                <c:pt idx="56">
                  <c:v>2.163789580940545E-2</c:v>
                </c:pt>
                <c:pt idx="57">
                  <c:v>2.166066372486497E-2</c:v>
                </c:pt>
                <c:pt idx="58">
                  <c:v>2.1683431110481877E-2</c:v>
                </c:pt>
                <c:pt idx="59">
                  <c:v>2.1706197966268492E-2</c:v>
                </c:pt>
                <c:pt idx="60">
                  <c:v>2.1728964292237141E-2</c:v>
                </c:pt>
                <c:pt idx="61">
                  <c:v>2.1751730088400034E-2</c:v>
                </c:pt>
                <c:pt idx="62">
                  <c:v>2.1774495354769607E-2</c:v>
                </c:pt>
                <c:pt idx="63">
                  <c:v>2.1797260091358184E-2</c:v>
                </c:pt>
                <c:pt idx="64">
                  <c:v>2.1820024298178087E-2</c:v>
                </c:pt>
                <c:pt idx="65">
                  <c:v>2.184278797524164E-2</c:v>
                </c:pt>
                <c:pt idx="66">
                  <c:v>2.1865551122561167E-2</c:v>
                </c:pt>
                <c:pt idx="67">
                  <c:v>2.188831374014899E-2</c:v>
                </c:pt>
                <c:pt idx="68">
                  <c:v>2.1911075828017434E-2</c:v>
                </c:pt>
                <c:pt idx="69">
                  <c:v>2.1933837386178934E-2</c:v>
                </c:pt>
                <c:pt idx="70">
                  <c:v>2.1956598414645589E-2</c:v>
                </c:pt>
                <c:pt idx="71">
                  <c:v>2.1979358913429947E-2</c:v>
                </c:pt>
                <c:pt idx="72">
                  <c:v>2.2002118882544219E-2</c:v>
                </c:pt>
                <c:pt idx="73">
                  <c:v>2.202487832200084E-2</c:v>
                </c:pt>
                <c:pt idx="74">
                  <c:v>2.2047637231811912E-2</c:v>
                </c:pt>
                <c:pt idx="75">
                  <c:v>2.2070395611989979E-2</c:v>
                </c:pt>
                <c:pt idx="76">
                  <c:v>2.2093153462547366E-2</c:v>
                </c:pt>
                <c:pt idx="77">
                  <c:v>2.2115910783496173E-2</c:v>
                </c:pt>
                <c:pt idx="78">
                  <c:v>2.2138667574848947E-2</c:v>
                </c:pt>
                <c:pt idx="79">
                  <c:v>2.2161423836618011E-2</c:v>
                </c:pt>
                <c:pt idx="80">
                  <c:v>2.2184179568815576E-2</c:v>
                </c:pt>
                <c:pt idx="81">
                  <c:v>2.2206934771453968E-2</c:v>
                </c:pt>
                <c:pt idx="82">
                  <c:v>2.2229689444545508E-2</c:v>
                </c:pt>
                <c:pt idx="83">
                  <c:v>2.2252443588102633E-2</c:v>
                </c:pt>
                <c:pt idx="84">
                  <c:v>2.2275197202137664E-2</c:v>
                </c:pt>
                <c:pt idx="85">
                  <c:v>2.2297950286662704E-2</c:v>
                </c:pt>
                <c:pt idx="86">
                  <c:v>2.2320702841690299E-2</c:v>
                </c:pt>
                <c:pt idx="87">
                  <c:v>2.234345486723277E-2</c:v>
                </c:pt>
                <c:pt idx="88">
                  <c:v>2.2366206363302221E-2</c:v>
                </c:pt>
                <c:pt idx="89">
                  <c:v>2.2388957329911197E-2</c:v>
                </c:pt>
                <c:pt idx="90">
                  <c:v>2.241170776707202E-2</c:v>
                </c:pt>
                <c:pt idx="91">
                  <c:v>2.2434457674796793E-2</c:v>
                </c:pt>
                <c:pt idx="92">
                  <c:v>2.2457207053098061E-2</c:v>
                </c:pt>
                <c:pt idx="93">
                  <c:v>2.2479955901988036E-2</c:v>
                </c:pt>
                <c:pt idx="94">
                  <c:v>2.2502704221479042E-2</c:v>
                </c:pt>
                <c:pt idx="95">
                  <c:v>2.2525452011583513E-2</c:v>
                </c:pt>
                <c:pt idx="96">
                  <c:v>2.2548199272313552E-2</c:v>
                </c:pt>
                <c:pt idx="97">
                  <c:v>2.2570946003681702E-2</c:v>
                </c:pt>
                <c:pt idx="98">
                  <c:v>2.2593692205700178E-2</c:v>
                </c:pt>
                <c:pt idx="99">
                  <c:v>2.261643787838119E-2</c:v>
                </c:pt>
                <c:pt idx="100">
                  <c:v>2.2639183021737286E-2</c:v>
                </c:pt>
                <c:pt idx="101">
                  <c:v>2.2661927635780565E-2</c:v>
                </c:pt>
                <c:pt idx="102">
                  <c:v>2.2684671720523575E-2</c:v>
                </c:pt>
                <c:pt idx="103">
                  <c:v>2.2707415275978415E-2</c:v>
                </c:pt>
                <c:pt idx="104">
                  <c:v>2.2730158302157522E-2</c:v>
                </c:pt>
                <c:pt idx="105">
                  <c:v>2.2752900799073217E-2</c:v>
                </c:pt>
                <c:pt idx="106">
                  <c:v>2.2775642766737714E-2</c:v>
                </c:pt>
                <c:pt idx="107">
                  <c:v>2.2798384205163447E-2</c:v>
                </c:pt>
                <c:pt idx="108">
                  <c:v>2.2821125114362628E-2</c:v>
                </c:pt>
                <c:pt idx="109">
                  <c:v>2.2843865494347693E-2</c:v>
                </c:pt>
                <c:pt idx="110">
                  <c:v>2.2866605345130853E-2</c:v>
                </c:pt>
                <c:pt idx="111">
                  <c:v>2.2889344666724543E-2</c:v>
                </c:pt>
                <c:pt idx="112">
                  <c:v>2.2912083459140975E-2</c:v>
                </c:pt>
                <c:pt idx="113">
                  <c:v>2.2934821722392473E-2</c:v>
                </c:pt>
                <c:pt idx="114">
                  <c:v>2.295755945649125E-2</c:v>
                </c:pt>
                <c:pt idx="115">
                  <c:v>2.2980296661449851E-2</c:v>
                </c:pt>
                <c:pt idx="116">
                  <c:v>2.3003033337280487E-2</c:v>
                </c:pt>
                <c:pt idx="117">
                  <c:v>2.3025769483995484E-2</c:v>
                </c:pt>
                <c:pt idx="118">
                  <c:v>2.3048505101607053E-2</c:v>
                </c:pt>
                <c:pt idx="119">
                  <c:v>2.3071240190127629E-2</c:v>
                </c:pt>
                <c:pt idx="120">
                  <c:v>2.3093974749569424E-2</c:v>
                </c:pt>
                <c:pt idx="121">
                  <c:v>2.3116708779944872E-2</c:v>
                </c:pt>
                <c:pt idx="122">
                  <c:v>2.3139442281266187E-2</c:v>
                </c:pt>
                <c:pt idx="123">
                  <c:v>2.3162175253545692E-2</c:v>
                </c:pt>
                <c:pt idx="124">
                  <c:v>2.318490769679582E-2</c:v>
                </c:pt>
                <c:pt idx="125">
                  <c:v>2.3207639611028674E-2</c:v>
                </c:pt>
                <c:pt idx="126">
                  <c:v>2.3230370996256799E-2</c:v>
                </c:pt>
                <c:pt idx="127">
                  <c:v>2.3253101852492297E-2</c:v>
                </c:pt>
                <c:pt idx="128">
                  <c:v>2.3275832179747491E-2</c:v>
                </c:pt>
                <c:pt idx="129">
                  <c:v>2.3298561978034926E-2</c:v>
                </c:pt>
                <c:pt idx="130">
                  <c:v>2.3321291247366593E-2</c:v>
                </c:pt>
                <c:pt idx="131">
                  <c:v>2.3344019987755038E-2</c:v>
                </c:pt>
                <c:pt idx="132">
                  <c:v>2.3366748199212473E-2</c:v>
                </c:pt>
                <c:pt idx="133">
                  <c:v>2.338947588175122E-2</c:v>
                </c:pt>
                <c:pt idx="134">
                  <c:v>2.3412203035383605E-2</c:v>
                </c:pt>
                <c:pt idx="135">
                  <c:v>2.343492966012195E-2</c:v>
                </c:pt>
                <c:pt idx="136">
                  <c:v>2.3457655755978468E-2</c:v>
                </c:pt>
                <c:pt idx="137">
                  <c:v>2.3480381322965593E-2</c:v>
                </c:pt>
                <c:pt idx="138">
                  <c:v>2.3503106361095538E-2</c:v>
                </c:pt>
                <c:pt idx="139">
                  <c:v>2.3525830870380737E-2</c:v>
                </c:pt>
                <c:pt idx="140">
                  <c:v>2.3548554850833292E-2</c:v>
                </c:pt>
                <c:pt idx="141">
                  <c:v>2.3571278302465637E-2</c:v>
                </c:pt>
                <c:pt idx="142">
                  <c:v>2.3594001225290095E-2</c:v>
                </c:pt>
                <c:pt idx="143">
                  <c:v>2.3616723619318991E-2</c:v>
                </c:pt>
                <c:pt idx="144">
                  <c:v>2.3639445484564536E-2</c:v>
                </c:pt>
                <c:pt idx="145">
                  <c:v>2.3662166821039055E-2</c:v>
                </c:pt>
                <c:pt idx="146">
                  <c:v>2.3684887628754869E-2</c:v>
                </c:pt>
                <c:pt idx="147">
                  <c:v>2.3707607907724304E-2</c:v>
                </c:pt>
                <c:pt idx="148">
                  <c:v>2.3730327657959682E-2</c:v>
                </c:pt>
                <c:pt idx="149">
                  <c:v>2.3753046879473327E-2</c:v>
                </c:pt>
                <c:pt idx="150">
                  <c:v>2.3775765572277452E-2</c:v>
                </c:pt>
                <c:pt idx="151">
                  <c:v>2.3798483736384379E-2</c:v>
                </c:pt>
                <c:pt idx="152">
                  <c:v>2.3821201371806433E-2</c:v>
                </c:pt>
                <c:pt idx="153">
                  <c:v>2.3843918478556048E-2</c:v>
                </c:pt>
                <c:pt idx="154">
                  <c:v>2.3866635056645213E-2</c:v>
                </c:pt>
                <c:pt idx="155">
                  <c:v>2.3889351106086587E-2</c:v>
                </c:pt>
                <c:pt idx="156">
                  <c:v>2.3912066626892159E-2</c:v>
                </c:pt>
                <c:pt idx="157">
                  <c:v>2.3934781619074474E-2</c:v>
                </c:pt>
                <c:pt idx="158">
                  <c:v>2.3957496082645746E-2</c:v>
                </c:pt>
                <c:pt idx="159">
                  <c:v>2.3980210017618186E-2</c:v>
                </c:pt>
                <c:pt idx="160">
                  <c:v>2.400292342400423E-2</c:v>
                </c:pt>
                <c:pt idx="161">
                  <c:v>2.4025636301816089E-2</c:v>
                </c:pt>
                <c:pt idx="162">
                  <c:v>2.4048348651066198E-2</c:v>
                </c:pt>
                <c:pt idx="163">
                  <c:v>2.4071060471766659E-2</c:v>
                </c:pt>
                <c:pt idx="164">
                  <c:v>2.4093771763929905E-2</c:v>
                </c:pt>
                <c:pt idx="165">
                  <c:v>2.411648252756815E-2</c:v>
                </c:pt>
                <c:pt idx="166">
                  <c:v>2.4139192762693829E-2</c:v>
                </c:pt>
                <c:pt idx="167">
                  <c:v>2.4161902469319152E-2</c:v>
                </c:pt>
                <c:pt idx="168">
                  <c:v>2.4184611647456333E-2</c:v>
                </c:pt>
                <c:pt idx="169">
                  <c:v>2.4207320297117918E-2</c:v>
                </c:pt>
                <c:pt idx="170">
                  <c:v>2.4230028418315896E-2</c:v>
                </c:pt>
                <c:pt idx="171">
                  <c:v>2.4252736011062814E-2</c:v>
                </c:pt>
                <c:pt idx="172">
                  <c:v>2.4275443075370773E-2</c:v>
                </c:pt>
                <c:pt idx="173">
                  <c:v>2.4298149611252318E-2</c:v>
                </c:pt>
                <c:pt idx="174">
                  <c:v>2.432085561871955E-2</c:v>
                </c:pt>
                <c:pt idx="175">
                  <c:v>2.4343561097784794E-2</c:v>
                </c:pt>
                <c:pt idx="176">
                  <c:v>2.4366266048460372E-2</c:v>
                </c:pt>
                <c:pt idx="177">
                  <c:v>2.4388970470758498E-2</c:v>
                </c:pt>
                <c:pt idx="178">
                  <c:v>2.4411674364691716E-2</c:v>
                </c:pt>
                <c:pt idx="179">
                  <c:v>2.4434377730272017E-2</c:v>
                </c:pt>
                <c:pt idx="180">
                  <c:v>2.4457080567511835E-2</c:v>
                </c:pt>
                <c:pt idx="181">
                  <c:v>2.4479782876423495E-2</c:v>
                </c:pt>
                <c:pt idx="182">
                  <c:v>2.4502484657019319E-2</c:v>
                </c:pt>
                <c:pt idx="183">
                  <c:v>2.452518590931152E-2</c:v>
                </c:pt>
                <c:pt idx="184">
                  <c:v>2.4547886633312421E-2</c:v>
                </c:pt>
                <c:pt idx="185">
                  <c:v>2.4570586829034236E-2</c:v>
                </c:pt>
                <c:pt idx="186">
                  <c:v>2.4593286496489397E-2</c:v>
                </c:pt>
                <c:pt idx="187">
                  <c:v>2.4615985635690119E-2</c:v>
                </c:pt>
                <c:pt idx="188">
                  <c:v>2.4638684246648723E-2</c:v>
                </c:pt>
                <c:pt idx="189">
                  <c:v>2.4661382329377424E-2</c:v>
                </c:pt>
                <c:pt idx="190">
                  <c:v>2.4684079883888654E-2</c:v>
                </c:pt>
                <c:pt idx="191">
                  <c:v>2.4706776910194628E-2</c:v>
                </c:pt>
                <c:pt idx="192">
                  <c:v>2.4729473408307667E-2</c:v>
                </c:pt>
                <c:pt idx="193">
                  <c:v>2.4752169378239985E-2</c:v>
                </c:pt>
                <c:pt idx="194">
                  <c:v>2.4774864820003906E-2</c:v>
                </c:pt>
                <c:pt idx="195">
                  <c:v>2.4797559733611751E-2</c:v>
                </c:pt>
                <c:pt idx="196">
                  <c:v>2.4820254119075846E-2</c:v>
                </c:pt>
                <c:pt idx="197">
                  <c:v>2.4842947976408403E-2</c:v>
                </c:pt>
                <c:pt idx="198">
                  <c:v>2.4865641305621744E-2</c:v>
                </c:pt>
                <c:pt idx="199">
                  <c:v>2.4888334106728194E-2</c:v>
                </c:pt>
                <c:pt idx="200">
                  <c:v>2.4911026379739964E-2</c:v>
                </c:pt>
                <c:pt idx="201">
                  <c:v>2.4933718124669491E-2</c:v>
                </c:pt>
                <c:pt idx="202">
                  <c:v>2.4956409341528873E-2</c:v>
                </c:pt>
                <c:pt idx="203">
                  <c:v>2.4979100030330437E-2</c:v>
                </c:pt>
                <c:pt idx="204">
                  <c:v>2.5001790191086615E-2</c:v>
                </c:pt>
                <c:pt idx="205">
                  <c:v>2.502447982380962E-2</c:v>
                </c:pt>
                <c:pt idx="206">
                  <c:v>2.5047168928511665E-2</c:v>
                </c:pt>
                <c:pt idx="207">
                  <c:v>2.5069857505205073E-2</c:v>
                </c:pt>
                <c:pt idx="208">
                  <c:v>2.5092545553902279E-2</c:v>
                </c:pt>
                <c:pt idx="209">
                  <c:v>2.5115233074615273E-2</c:v>
                </c:pt>
                <c:pt idx="210">
                  <c:v>2.5137920067356601E-2</c:v>
                </c:pt>
                <c:pt idx="211">
                  <c:v>2.5160606532138474E-2</c:v>
                </c:pt>
                <c:pt idx="212">
                  <c:v>2.5183292468973217E-2</c:v>
                </c:pt>
                <c:pt idx="213">
                  <c:v>2.5205977877873043E-2</c:v>
                </c:pt>
                <c:pt idx="214">
                  <c:v>2.5228662758850162E-2</c:v>
                </c:pt>
                <c:pt idx="215">
                  <c:v>2.5251347111917122E-2</c:v>
                </c:pt>
                <c:pt idx="216">
                  <c:v>2.5274030937085912E-2</c:v>
                </c:pt>
                <c:pt idx="217">
                  <c:v>2.5296714234368967E-2</c:v>
                </c:pt>
                <c:pt idx="218">
                  <c:v>2.531939700377861E-2</c:v>
                </c:pt>
                <c:pt idx="219">
                  <c:v>2.5342079245327054E-2</c:v>
                </c:pt>
                <c:pt idx="220">
                  <c:v>2.5364760959026622E-2</c:v>
                </c:pt>
                <c:pt idx="221">
                  <c:v>2.5387442144889527E-2</c:v>
                </c:pt>
                <c:pt idx="222">
                  <c:v>2.5410122802928092E-2</c:v>
                </c:pt>
                <c:pt idx="223">
                  <c:v>2.5432802933154641E-2</c:v>
                </c:pt>
                <c:pt idx="224">
                  <c:v>2.5455482535581497E-2</c:v>
                </c:pt>
                <c:pt idx="225">
                  <c:v>2.5478161610220762E-2</c:v>
                </c:pt>
                <c:pt idx="226">
                  <c:v>2.550084015708487E-2</c:v>
                </c:pt>
                <c:pt idx="227">
                  <c:v>2.5523518176186033E-2</c:v>
                </c:pt>
                <c:pt idx="228">
                  <c:v>2.5546195667536575E-2</c:v>
                </c:pt>
                <c:pt idx="229">
                  <c:v>2.556887263114882E-2</c:v>
                </c:pt>
                <c:pt idx="230">
                  <c:v>2.559154906703498E-2</c:v>
                </c:pt>
                <c:pt idx="231">
                  <c:v>2.5614224975207267E-2</c:v>
                </c:pt>
                <c:pt idx="232">
                  <c:v>2.5636900355678116E-2</c:v>
                </c:pt>
                <c:pt idx="233">
                  <c:v>2.5659575208459739E-2</c:v>
                </c:pt>
                <c:pt idx="234">
                  <c:v>2.568224953356435E-2</c:v>
                </c:pt>
                <c:pt idx="235">
                  <c:v>2.5704923331004381E-2</c:v>
                </c:pt>
                <c:pt idx="236">
                  <c:v>2.5727596600791935E-2</c:v>
                </c:pt>
                <c:pt idx="237">
                  <c:v>2.5750269342939447E-2</c:v>
                </c:pt>
                <c:pt idx="238">
                  <c:v>2.5772941557459017E-2</c:v>
                </c:pt>
                <c:pt idx="239">
                  <c:v>2.5795613244363191E-2</c:v>
                </c:pt>
                <c:pt idx="240">
                  <c:v>2.581828440366396E-2</c:v>
                </c:pt>
                <c:pt idx="241">
                  <c:v>2.5840955035373758E-2</c:v>
                </c:pt>
                <c:pt idx="242">
                  <c:v>2.5863625139504909E-2</c:v>
                </c:pt>
                <c:pt idx="243">
                  <c:v>2.5886294716069513E-2</c:v>
                </c:pt>
                <c:pt idx="244">
                  <c:v>2.5908963765080006E-2</c:v>
                </c:pt>
                <c:pt idx="245">
                  <c:v>2.59316322865486E-2</c:v>
                </c:pt>
                <c:pt idx="246">
                  <c:v>2.5954300280487619E-2</c:v>
                </c:pt>
                <c:pt idx="247">
                  <c:v>2.5976967746909274E-2</c:v>
                </c:pt>
                <c:pt idx="248">
                  <c:v>2.599963468582589E-2</c:v>
                </c:pt>
                <c:pt idx="249">
                  <c:v>2.6022301097249678E-2</c:v>
                </c:pt>
                <c:pt idx="250">
                  <c:v>2.6044966981192963E-2</c:v>
                </c:pt>
                <c:pt idx="251">
                  <c:v>2.6067632337668067E-2</c:v>
                </c:pt>
                <c:pt idx="252">
                  <c:v>2.6090297166687204E-2</c:v>
                </c:pt>
                <c:pt idx="253">
                  <c:v>2.6112961468262585E-2</c:v>
                </c:pt>
                <c:pt idx="254">
                  <c:v>2.6135625242406646E-2</c:v>
                </c:pt>
                <c:pt idx="255">
                  <c:v>2.6158288489131487E-2</c:v>
                </c:pt>
                <c:pt idx="256">
                  <c:v>2.6180951208449543E-2</c:v>
                </c:pt>
                <c:pt idx="257">
                  <c:v>2.6203613400373027E-2</c:v>
                </c:pt>
                <c:pt idx="258">
                  <c:v>2.6226275064914151E-2</c:v>
                </c:pt>
                <c:pt idx="259">
                  <c:v>2.6248936202085238E-2</c:v>
                </c:pt>
                <c:pt idx="260">
                  <c:v>2.6271596811898612E-2</c:v>
                </c:pt>
                <c:pt idx="261">
                  <c:v>2.6294256894366375E-2</c:v>
                </c:pt>
                <c:pt idx="262">
                  <c:v>2.631691644950096E-2</c:v>
                </c:pt>
                <c:pt idx="263">
                  <c:v>2.6339575477314692E-2</c:v>
                </c:pt>
                <c:pt idx="264">
                  <c:v>2.6362233977819671E-2</c:v>
                </c:pt>
                <c:pt idx="265">
                  <c:v>2.6384891951028222E-2</c:v>
                </c:pt>
                <c:pt idx="266">
                  <c:v>2.6407549396952668E-2</c:v>
                </c:pt>
                <c:pt idx="267">
                  <c:v>2.643020631560522E-2</c:v>
                </c:pt>
                <c:pt idx="268">
                  <c:v>2.6452862706998204E-2</c:v>
                </c:pt>
                <c:pt idx="269">
                  <c:v>2.647551857114383E-2</c:v>
                </c:pt>
                <c:pt idx="270">
                  <c:v>2.6498173908054423E-2</c:v>
                </c:pt>
                <c:pt idx="271">
                  <c:v>2.6520828717742195E-2</c:v>
                </c:pt>
                <c:pt idx="272">
                  <c:v>2.654348300021947E-2</c:v>
                </c:pt>
                <c:pt idx="273">
                  <c:v>2.656613675549846E-2</c:v>
                </c:pt>
                <c:pt idx="274">
                  <c:v>2.6588789983591488E-2</c:v>
                </c:pt>
                <c:pt idx="275">
                  <c:v>2.6611442684510878E-2</c:v>
                </c:pt>
                <c:pt idx="276">
                  <c:v>2.6634094858268731E-2</c:v>
                </c:pt>
                <c:pt idx="277">
                  <c:v>2.6656746504877482E-2</c:v>
                </c:pt>
                <c:pt idx="278">
                  <c:v>2.6679397624349233E-2</c:v>
                </c:pt>
                <c:pt idx="279">
                  <c:v>2.6702048216696417E-2</c:v>
                </c:pt>
                <c:pt idx="280">
                  <c:v>2.6724698281931247E-2</c:v>
                </c:pt>
                <c:pt idx="281">
                  <c:v>2.6747347820065936E-2</c:v>
                </c:pt>
                <c:pt idx="282">
                  <c:v>2.6769996831112697E-2</c:v>
                </c:pt>
                <c:pt idx="283">
                  <c:v>2.6792645315083963E-2</c:v>
                </c:pt>
                <c:pt idx="284">
                  <c:v>2.6815293271991947E-2</c:v>
                </c:pt>
                <c:pt idx="285">
                  <c:v>2.6837940701848861E-2</c:v>
                </c:pt>
                <c:pt idx="286">
                  <c:v>2.686058760466703E-2</c:v>
                </c:pt>
                <c:pt idx="287">
                  <c:v>2.6883233980458665E-2</c:v>
                </c:pt>
                <c:pt idx="288">
                  <c:v>2.6905879829235979E-2</c:v>
                </c:pt>
                <c:pt idx="289">
                  <c:v>2.6928525151011407E-2</c:v>
                </c:pt>
                <c:pt idx="290">
                  <c:v>2.6951169945797049E-2</c:v>
                </c:pt>
                <c:pt idx="291">
                  <c:v>2.697381421360534E-2</c:v>
                </c:pt>
                <c:pt idx="292">
                  <c:v>2.6996457954448272E-2</c:v>
                </c:pt>
                <c:pt idx="293">
                  <c:v>2.7019101168338389E-2</c:v>
                </c:pt>
                <c:pt idx="294">
                  <c:v>2.7041743855287792E-2</c:v>
                </c:pt>
                <c:pt idx="295">
                  <c:v>2.7064386015308806E-2</c:v>
                </c:pt>
                <c:pt idx="296">
                  <c:v>2.7087027648413753E-2</c:v>
                </c:pt>
                <c:pt idx="297">
                  <c:v>2.7109668754614735E-2</c:v>
                </c:pt>
                <c:pt idx="298">
                  <c:v>2.7132309333924076E-2</c:v>
                </c:pt>
                <c:pt idx="299">
                  <c:v>2.7154949386354099E-2</c:v>
                </c:pt>
                <c:pt idx="300">
                  <c:v>2.7177588911917017E-2</c:v>
                </c:pt>
                <c:pt idx="301">
                  <c:v>2.7200227910625152E-2</c:v>
                </c:pt>
                <c:pt idx="302">
                  <c:v>2.7222866382490607E-2</c:v>
                </c:pt>
                <c:pt idx="303">
                  <c:v>2.7245504327525816E-2</c:v>
                </c:pt>
                <c:pt idx="304">
                  <c:v>2.7268141745742991E-2</c:v>
                </c:pt>
                <c:pt idx="305">
                  <c:v>2.7290778637154345E-2</c:v>
                </c:pt>
                <c:pt idx="306">
                  <c:v>2.7313415001772201E-2</c:v>
                </c:pt>
                <c:pt idx="307">
                  <c:v>2.7336050839608772E-2</c:v>
                </c:pt>
                <c:pt idx="308">
                  <c:v>2.735868615067627E-2</c:v>
                </c:pt>
                <c:pt idx="309">
                  <c:v>2.7381320934987019E-2</c:v>
                </c:pt>
                <c:pt idx="310">
                  <c:v>2.7403955192553342E-2</c:v>
                </c:pt>
                <c:pt idx="311">
                  <c:v>2.7426588923387341E-2</c:v>
                </c:pt>
                <c:pt idx="312">
                  <c:v>2.7449222127501449E-2</c:v>
                </c:pt>
                <c:pt idx="313">
                  <c:v>2.7471854804907769E-2</c:v>
                </c:pt>
                <c:pt idx="314">
                  <c:v>2.7494486955618624E-2</c:v>
                </c:pt>
                <c:pt idx="315">
                  <c:v>2.7517118579646338E-2</c:v>
                </c:pt>
                <c:pt idx="316">
                  <c:v>2.7539749677003011E-2</c:v>
                </c:pt>
                <c:pt idx="317">
                  <c:v>2.7562380247701079E-2</c:v>
                </c:pt>
                <c:pt idx="318">
                  <c:v>2.7585010291752643E-2</c:v>
                </c:pt>
                <c:pt idx="319">
                  <c:v>2.7607639809170026E-2</c:v>
                </c:pt>
                <c:pt idx="320">
                  <c:v>2.7630268799965441E-2</c:v>
                </c:pt>
                <c:pt idx="321">
                  <c:v>2.7652897264151211E-2</c:v>
                </c:pt>
                <c:pt idx="322">
                  <c:v>2.7675525201739548E-2</c:v>
                </c:pt>
                <c:pt idx="323">
                  <c:v>2.7698152612742777E-2</c:v>
                </c:pt>
                <c:pt idx="324">
                  <c:v>2.7720779497172998E-2</c:v>
                </c:pt>
                <c:pt idx="325">
                  <c:v>2.7743405855042647E-2</c:v>
                </c:pt>
                <c:pt idx="326">
                  <c:v>2.7766031686363823E-2</c:v>
                </c:pt>
                <c:pt idx="327">
                  <c:v>2.7788656991148963E-2</c:v>
                </c:pt>
                <c:pt idx="328">
                  <c:v>2.7811281769410168E-2</c:v>
                </c:pt>
                <c:pt idx="329">
                  <c:v>2.7833906021159649E-2</c:v>
                </c:pt>
                <c:pt idx="330">
                  <c:v>2.7856529746409842E-2</c:v>
                </c:pt>
                <c:pt idx="331">
                  <c:v>2.7879152945172847E-2</c:v>
                </c:pt>
                <c:pt idx="332">
                  <c:v>2.7901775617460878E-2</c:v>
                </c:pt>
                <c:pt idx="333">
                  <c:v>2.7924397763286368E-2</c:v>
                </c:pt>
                <c:pt idx="334">
                  <c:v>2.7947019382661531E-2</c:v>
                </c:pt>
                <c:pt idx="335">
                  <c:v>2.7969640475598467E-2</c:v>
                </c:pt>
                <c:pt idx="336">
                  <c:v>2.7992261042109612E-2</c:v>
                </c:pt>
                <c:pt idx="337">
                  <c:v>2.8014881082207066E-2</c:v>
                </c:pt>
                <c:pt idx="338">
                  <c:v>2.8037500595903153E-2</c:v>
                </c:pt>
                <c:pt idx="339">
                  <c:v>2.8060119583210086E-2</c:v>
                </c:pt>
                <c:pt idx="340">
                  <c:v>2.8082738044140187E-2</c:v>
                </c:pt>
                <c:pt idx="341">
                  <c:v>2.810535597870556E-2</c:v>
                </c:pt>
                <c:pt idx="342">
                  <c:v>2.8127973386918637E-2</c:v>
                </c:pt>
                <c:pt idx="343">
                  <c:v>2.8150590268791631E-2</c:v>
                </c:pt>
                <c:pt idx="344">
                  <c:v>2.8173206624336644E-2</c:v>
                </c:pt>
                <c:pt idx="345">
                  <c:v>2.8195822453566111E-2</c:v>
                </c:pt>
                <c:pt idx="346">
                  <c:v>2.8218437756492132E-2</c:v>
                </c:pt>
                <c:pt idx="347">
                  <c:v>2.8241052533127031E-2</c:v>
                </c:pt>
                <c:pt idx="348">
                  <c:v>2.8263666783483021E-2</c:v>
                </c:pt>
                <c:pt idx="349">
                  <c:v>2.8286280507572426E-2</c:v>
                </c:pt>
                <c:pt idx="350">
                  <c:v>2.8308893705407345E-2</c:v>
                </c:pt>
                <c:pt idx="351">
                  <c:v>2.8331506377000215E-2</c:v>
                </c:pt>
                <c:pt idx="352">
                  <c:v>2.8354118522363136E-2</c:v>
                </c:pt>
                <c:pt idx="353">
                  <c:v>2.8376730141508322E-2</c:v>
                </c:pt>
                <c:pt idx="354">
                  <c:v>2.8399341234448205E-2</c:v>
                </c:pt>
                <c:pt idx="355">
                  <c:v>2.8421951801194889E-2</c:v>
                </c:pt>
                <c:pt idx="356">
                  <c:v>2.8444561841760696E-2</c:v>
                </c:pt>
                <c:pt idx="357">
                  <c:v>2.8467171356157728E-2</c:v>
                </c:pt>
                <c:pt idx="358">
                  <c:v>2.8489780344398419E-2</c:v>
                </c:pt>
                <c:pt idx="359">
                  <c:v>2.8512388806494871E-2</c:v>
                </c:pt>
                <c:pt idx="360">
                  <c:v>2.8534996742459406E-2</c:v>
                </c:pt>
                <c:pt idx="361">
                  <c:v>2.8557604152304239E-2</c:v>
                </c:pt>
                <c:pt idx="362">
                  <c:v>2.8580211036041581E-2</c:v>
                </c:pt>
                <c:pt idx="363">
                  <c:v>2.8602817393683755E-2</c:v>
                </c:pt>
                <c:pt idx="364">
                  <c:v>2.8625423225242974E-2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0.1221492169032059</c:v>
                </c:pt>
                <c:pt idx="1">
                  <c:v>0.12218872850816752</c:v>
                </c:pt>
                <c:pt idx="2">
                  <c:v>0.12222864718673954</c:v>
                </c:pt>
                <c:pt idx="3">
                  <c:v>0.12226891680045814</c:v>
                </c:pt>
                <c:pt idx="4">
                  <c:v>0.12230948849626266</c:v>
                </c:pt>
                <c:pt idx="5">
                  <c:v>0.12235032048251478</c:v>
                </c:pt>
                <c:pt idx="6">
                  <c:v>0.12239137775049379</c:v>
                </c:pt>
                <c:pt idx="7">
                  <c:v>0.12243263174590299</c:v>
                </c:pt>
                <c:pt idx="8">
                  <c:v>0.12247405999528602</c:v>
                </c:pt>
                <c:pt idx="9">
                  <c:v>0.12251564569256183</c:v>
                </c:pt>
                <c:pt idx="10">
                  <c:v>0.12255737725114332</c:v>
                </c:pt>
                <c:pt idx="11">
                  <c:v>0.12259924782730172</c:v>
                </c:pt>
                <c:pt idx="12">
                  <c:v>0.12264125482058061</c:v>
                </c:pt>
                <c:pt idx="13">
                  <c:v>0.12268339935714478</c:v>
                </c:pt>
                <c:pt idx="14">
                  <c:v>0.12272568576197329</c:v>
                </c:pt>
                <c:pt idx="15">
                  <c:v>0.12276812102577146</c:v>
                </c:pt>
                <c:pt idx="16">
                  <c:v>0.12281071427238735</c:v>
                </c:pt>
                <c:pt idx="17">
                  <c:v>0.12285347623237146</c:v>
                </c:pt>
                <c:pt idx="18">
                  <c:v>0.12289641872812257</c:v>
                </c:pt>
                <c:pt idx="19">
                  <c:v>0.12293955417581408</c:v>
                </c:pt>
                <c:pt idx="20">
                  <c:v>0.12298289510900269</c:v>
                </c:pt>
                <c:pt idx="21">
                  <c:v>0.12302645372848454</c:v>
                </c:pt>
                <c:pt idx="22">
                  <c:v>0.12307024148258956</c:v>
                </c:pt>
                <c:pt idx="23">
                  <c:v>0.12311426868169492</c:v>
                </c:pt>
                <c:pt idx="24">
                  <c:v>0.12315854415030135</c:v>
                </c:pt>
                <c:pt idx="25">
                  <c:v>0.1232030749195509</c:v>
                </c:pt>
                <c:pt idx="26">
                  <c:v>0.12324786596258397</c:v>
                </c:pt>
                <c:pt idx="27">
                  <c:v>0.12329291997463426</c:v>
                </c:pt>
                <c:pt idx="28">
                  <c:v>0.12333823719925575</c:v>
                </c:pt>
                <c:pt idx="29">
                  <c:v>0.12338381530156473</c:v>
                </c:pt>
                <c:pt idx="30">
                  <c:v>0.12342964928887191</c:v>
                </c:pt>
                <c:pt idx="31">
                  <c:v>0.12347573147857742</c:v>
                </c:pt>
                <c:pt idx="32">
                  <c:v>0.12352205151271199</c:v>
                </c:pt>
                <c:pt idx="33">
                  <c:v>0.12356859641803307</c:v>
                </c:pt>
                <c:pt idx="34">
                  <c:v>0.12361535071013262</c:v>
                </c:pt>
                <c:pt idx="35">
                  <c:v>0.12366229653958616</c:v>
                </c:pt>
                <c:pt idx="36">
                  <c:v>0.12370941387777394</c:v>
                </c:pt>
                <c:pt idx="37">
                  <c:v>0.12375668073964108</c:v>
                </c:pt>
                <c:pt idx="38">
                  <c:v>0.12380407344033331</c:v>
                </c:pt>
                <c:pt idx="39">
                  <c:v>0.12385156688235573</c:v>
                </c:pt>
                <c:pt idx="40">
                  <c:v>0.1238991348696519</c:v>
                </c:pt>
                <c:pt idx="41">
                  <c:v>0.12394675044479489</c:v>
                </c:pt>
                <c:pt idx="42">
                  <c:v>0.12399438624531955</c:v>
                </c:pt>
                <c:pt idx="43">
                  <c:v>0.12404201487510767</c:v>
                </c:pt>
                <c:pt idx="44">
                  <c:v>0.12408960928666682</c:v>
                </c:pt>
                <c:pt idx="45">
                  <c:v>0.12413714317011623</c:v>
                </c:pt>
                <c:pt idx="46">
                  <c:v>0.12418459134471155</c:v>
                </c:pt>
                <c:pt idx="47">
                  <c:v>0.1242319301488012</c:v>
                </c:pt>
                <c:pt idx="48">
                  <c:v>0.12427913782421059</c:v>
                </c:pt>
                <c:pt idx="49">
                  <c:v>0.1243261948911933</c:v>
                </c:pt>
                <c:pt idx="50">
                  <c:v>0.12437308451026836</c:v>
                </c:pt>
                <c:pt idx="51">
                  <c:v>0.12441979282747868</c:v>
                </c:pt>
                <c:pt idx="52">
                  <c:v>0.12446630929985103</c:v>
                </c:pt>
                <c:pt idx="53">
                  <c:v>0.12451262699811368</c:v>
                </c:pt>
                <c:pt idx="54">
                  <c:v>0.12455874288402581</c:v>
                </c:pt>
                <c:pt idx="55">
                  <c:v>0.12460465805999409</c:v>
                </c:pt>
                <c:pt idx="56">
                  <c:v>0.12465037798898529</c:v>
                </c:pt>
                <c:pt idx="57">
                  <c:v>0.12469591268309595</c:v>
                </c:pt>
                <c:pt idx="58">
                  <c:v>0.12474127685949321</c:v>
                </c:pt>
                <c:pt idx="59">
                  <c:v>0.12478649006280455</c:v>
                </c:pt>
                <c:pt idx="60">
                  <c:v>0.12483157675339239</c:v>
                </c:pt>
                <c:pt idx="61">
                  <c:v>0.12487656636130749</c:v>
                </c:pt>
                <c:pt idx="62">
                  <c:v>0.12492149330606082</c:v>
                </c:pt>
                <c:pt idx="63">
                  <c:v>0.12496639698269076</c:v>
                </c:pt>
                <c:pt idx="64">
                  <c:v>0.12501132171492071</c:v>
                </c:pt>
                <c:pt idx="65">
                  <c:v>0.1250563166765038</c:v>
                </c:pt>
                <c:pt idx="66">
                  <c:v>0.12510143578212859</c:v>
                </c:pt>
                <c:pt idx="67">
                  <c:v>0.12514673754951333</c:v>
                </c:pt>
                <c:pt idx="68">
                  <c:v>0.12519228493454182</c:v>
                </c:pt>
                <c:pt idx="69">
                  <c:v>0.1252381451414902</c:v>
                </c:pt>
                <c:pt idx="70">
                  <c:v>0.12528438941055925</c:v>
                </c:pt>
                <c:pt idx="71">
                  <c:v>0.12533109278505833</c:v>
                </c:pt>
                <c:pt idx="72">
                  <c:v>0.12537833386068828</c:v>
                </c:pt>
                <c:pt idx="73">
                  <c:v>0.12542619451943501</c:v>
                </c:pt>
                <c:pt idx="74">
                  <c:v>0.12547475965061813</c:v>
                </c:pt>
                <c:pt idx="75">
                  <c:v>0.12552411686163803</c:v>
                </c:pt>
                <c:pt idx="76">
                  <c:v>0.12557435618093171</c:v>
                </c:pt>
                <c:pt idx="77">
                  <c:v>0.12562556975558245</c:v>
                </c:pt>
                <c:pt idx="78">
                  <c:v>0.12567785154593542</c:v>
                </c:pt>
                <c:pt idx="79">
                  <c:v>0.1257312970194491</c:v>
                </c:pt>
                <c:pt idx="80">
                  <c:v>0.12578600284586594</c:v>
                </c:pt>
                <c:pt idx="81">
                  <c:v>0.12584206659561639</c:v>
                </c:pt>
                <c:pt idx="82">
                  <c:v>0.12589958644318061</c:v>
                </c:pt>
                <c:pt idx="83">
                  <c:v>0.12595866087692689</c:v>
                </c:pt>
                <c:pt idx="84">
                  <c:v>0.12601938841672503</c:v>
                </c:pt>
                <c:pt idx="85">
                  <c:v>0.12608186734040491</c:v>
                </c:pt>
                <c:pt idx="86">
                  <c:v>0.12614619541989183</c:v>
                </c:pt>
                <c:pt idx="87">
                  <c:v>0.12621246966761265</c:v>
                </c:pt>
                <c:pt idx="88">
                  <c:v>0.12628078609352597</c:v>
                </c:pt>
                <c:pt idx="89">
                  <c:v>0.12635123947289537</c:v>
                </c:pt>
                <c:pt idx="90">
                  <c:v>0.12642392312469658</c:v>
                </c:pt>
                <c:pt idx="91">
                  <c:v>0.12649892870033158</c:v>
                </c:pt>
                <c:pt idx="92">
                  <c:v>0.1265763459821202</c:v>
                </c:pt>
                <c:pt idx="93">
                  <c:v>0.12665626269085267</c:v>
                </c:pt>
                <c:pt idx="94">
                  <c:v>0.12673876430151879</c:v>
                </c:pt>
                <c:pt idx="95">
                  <c:v>0.12682393386618629</c:v>
                </c:pt>
                <c:pt idx="96">
                  <c:v>0.12691185184287679</c:v>
                </c:pt>
                <c:pt idx="97">
                  <c:v>0.12700259592919544</c:v>
                </c:pt>
                <c:pt idx="98">
                  <c:v>0.12709624089940089</c:v>
                </c:pt>
                <c:pt idx="99">
                  <c:v>0.12719285844356251</c:v>
                </c:pt>
                <c:pt idx="100">
                  <c:v>0.12729251700744337</c:v>
                </c:pt>
                <c:pt idx="101">
                  <c:v>0.12739528163176431</c:v>
                </c:pt>
                <c:pt idx="102">
                  <c:v>0.12750121378955431</c:v>
                </c:pt>
                <c:pt idx="103">
                  <c:v>0.12761037122037025</c:v>
                </c:pt>
                <c:pt idx="104">
                  <c:v>0.12772280776027267</c:v>
                </c:pt>
                <c:pt idx="105">
                  <c:v>0.12783857316657821</c:v>
                </c:pt>
                <c:pt idx="106">
                  <c:v>0.12795771293656508</c:v>
                </c:pt>
                <c:pt idx="107">
                  <c:v>0.12808026811948942</c:v>
                </c:pt>
                <c:pt idx="108">
                  <c:v>0.12820627512146998</c:v>
                </c:pt>
                <c:pt idx="109">
                  <c:v>2.5331942498913129E-2</c:v>
                </c:pt>
                <c:pt idx="110">
                  <c:v>2.5818902464082302E-2</c:v>
                </c:pt>
                <c:pt idx="111">
                  <c:v>2.6305692346224152E-2</c:v>
                </c:pt>
                <c:pt idx="112">
                  <c:v>2.6792355478310357E-2</c:v>
                </c:pt>
                <c:pt idx="113">
                  <c:v>2.7278933896105587E-2</c:v>
                </c:pt>
                <c:pt idx="114">
                  <c:v>2.7765468186789096E-2</c:v>
                </c:pt>
                <c:pt idx="115">
                  <c:v>2.8251997333097145E-2</c:v>
                </c:pt>
                <c:pt idx="116">
                  <c:v>2.8738558553302478E-2</c:v>
                </c:pt>
                <c:pt idx="117">
                  <c:v>2.9225187137446353E-2</c:v>
                </c:pt>
                <c:pt idx="118">
                  <c:v>2.9711916280341404E-2</c:v>
                </c:pt>
                <c:pt idx="119">
                  <c:v>3.0198776911969264E-2</c:v>
                </c:pt>
                <c:pt idx="120">
                  <c:v>3.0685797526003453E-2</c:v>
                </c:pt>
                <c:pt idx="121">
                  <c:v>3.1173004007293423E-2</c:v>
                </c:pt>
                <c:pt idx="122">
                  <c:v>3.1660419459249724E-2</c:v>
                </c:pt>
                <c:pt idx="123">
                  <c:v>3.2148064032169452E-2</c:v>
                </c:pt>
                <c:pt idx="124">
                  <c:v>3.2635954753635545E-2</c:v>
                </c:pt>
                <c:pt idx="125">
                  <c:v>3.3124105362210277E-2</c:v>
                </c:pt>
                <c:pt idx="126">
                  <c:v>3.3612526145721321E-2</c:v>
                </c:pt>
                <c:pt idx="127">
                  <c:v>3.4101223785507229E-2</c:v>
                </c:pt>
                <c:pt idx="128">
                  <c:v>3.4590201208044367E-2</c:v>
                </c:pt>
                <c:pt idx="129">
                  <c:v>3.5079457445421278E-2</c:v>
                </c:pt>
                <c:pt idx="130">
                  <c:v>3.5568987506154913E-2</c:v>
                </c:pt>
                <c:pt idx="131">
                  <c:v>3.6058782257856761E-2</c:v>
                </c:pt>
                <c:pt idx="132">
                  <c:v>3.6548828323253936E-2</c:v>
                </c:pt>
                <c:pt idx="133">
                  <c:v>3.7039107991051444E-2</c:v>
                </c:pt>
                <c:pt idx="134">
                  <c:v>3.7529599143083792E-2</c:v>
                </c:pt>
                <c:pt idx="135">
                  <c:v>3.8020275199150196E-2</c:v>
                </c:pt>
                <c:pt idx="136">
                  <c:v>3.8511105080854348E-2</c:v>
                </c:pt>
                <c:pt idx="137">
                  <c:v>3.9002053195679655E-2</c:v>
                </c:pt>
                <c:pt idx="138">
                  <c:v>3.9493079442422953E-2</c:v>
                </c:pt>
                <c:pt idx="139">
                  <c:v>3.9984139238984799E-2</c:v>
                </c:pt>
                <c:pt idx="140">
                  <c:v>4.0475183573374089E-2</c:v>
                </c:pt>
                <c:pt idx="141">
                  <c:v>4.096615907862846E-2</c:v>
                </c:pt>
                <c:pt idx="142">
                  <c:v>4.1457008132182567E-2</c:v>
                </c:pt>
                <c:pt idx="143">
                  <c:v>4.1947668980033902E-2</c:v>
                </c:pt>
                <c:pt idx="144">
                  <c:v>4.243807588586275E-2</c:v>
                </c:pt>
                <c:pt idx="145">
                  <c:v>4.292815930506081E-2</c:v>
                </c:pt>
                <c:pt idx="146">
                  <c:v>4.3417846083413453E-2</c:v>
                </c:pt>
                <c:pt idx="147">
                  <c:v>4.3907059679965714E-2</c:v>
                </c:pt>
                <c:pt idx="148">
                  <c:v>4.439572041338511E-2</c:v>
                </c:pt>
                <c:pt idx="149">
                  <c:v>4.4883745730915171E-2</c:v>
                </c:pt>
                <c:pt idx="150">
                  <c:v>4.5371050498797312E-2</c:v>
                </c:pt>
                <c:pt idx="151">
                  <c:v>4.5857547312825271E-2</c:v>
                </c:pt>
                <c:pt idx="152">
                  <c:v>4.6343146827489544E-2</c:v>
                </c:pt>
                <c:pt idx="153">
                  <c:v>4.6827758101971304E-2</c:v>
                </c:pt>
                <c:pt idx="154">
                  <c:v>4.7311288961057588E-2</c:v>
                </c:pt>
                <c:pt idx="155">
                  <c:v>4.7793646368875058E-2</c:v>
                </c:pt>
                <c:pt idx="156">
                  <c:v>4.8274736813181438E-2</c:v>
                </c:pt>
                <c:pt idx="157">
                  <c:v>4.875446669781032E-2</c:v>
                </c:pt>
                <c:pt idx="158">
                  <c:v>4.9232742740743705E-2</c:v>
                </c:pt>
                <c:pt idx="159">
                  <c:v>4.9709472375183292E-2</c:v>
                </c:pt>
                <c:pt idx="160">
                  <c:v>5.0184564150912415E-2</c:v>
                </c:pt>
                <c:pt idx="161">
                  <c:v>5.0657928133183358E-2</c:v>
                </c:pt>
                <c:pt idx="162">
                  <c:v>5.1129476296333354E-2</c:v>
                </c:pt>
                <c:pt idx="163">
                  <c:v>5.1599122909325557E-2</c:v>
                </c:pt>
                <c:pt idx="164">
                  <c:v>5.2066784910430486E-2</c:v>
                </c:pt>
                <c:pt idx="165">
                  <c:v>5.2532382268308281E-2</c:v>
                </c:pt>
                <c:pt idx="166">
                  <c:v>5.2995838326824085E-2</c:v>
                </c:pt>
                <c:pt idx="167">
                  <c:v>5.3457080131024612E-2</c:v>
                </c:pt>
                <c:pt idx="168">
                  <c:v>5.3916038731827258E-2</c:v>
                </c:pt>
                <c:pt idx="169">
                  <c:v>5.437264946711818E-2</c:v>
                </c:pt>
                <c:pt idx="170">
                  <c:v>5.4826852217126243E-2</c:v>
                </c:pt>
                <c:pt idx="171">
                  <c:v>5.5278591632130419E-2</c:v>
                </c:pt>
                <c:pt idx="172">
                  <c:v>5.5727817330769321E-2</c:v>
                </c:pt>
                <c:pt idx="173">
                  <c:v>5.6174484067451153E-2</c:v>
                </c:pt>
                <c:pt idx="174">
                  <c:v>5.6618551867608301E-2</c:v>
                </c:pt>
                <c:pt idx="175">
                  <c:v>5.7059986129799026E-2</c:v>
                </c:pt>
                <c:pt idx="176">
                  <c:v>5.7498757693930452E-2</c:v>
                </c:pt>
                <c:pt idx="177">
                  <c:v>5.7934842875155247E-2</c:v>
                </c:pt>
                <c:pt idx="178">
                  <c:v>5.8368223463280529E-2</c:v>
                </c:pt>
                <c:pt idx="179">
                  <c:v>5.8798886687814904E-2</c:v>
                </c:pt>
                <c:pt idx="180">
                  <c:v>5.9226825149068789E-2</c:v>
                </c:pt>
                <c:pt idx="181">
                  <c:v>5.9652036716008418E-2</c:v>
                </c:pt>
                <c:pt idx="182">
                  <c:v>6.0074524391843895E-2</c:v>
                </c:pt>
                <c:pt idx="183">
                  <c:v>6.0494296148604125E-2</c:v>
                </c:pt>
                <c:pt idx="184">
                  <c:v>6.0911364732210233E-2</c:v>
                </c:pt>
                <c:pt idx="185">
                  <c:v>6.1325747439806504E-2</c:v>
                </c:pt>
                <c:pt idx="186">
                  <c:v>6.1737465871336675E-2</c:v>
                </c:pt>
                <c:pt idx="187">
                  <c:v>6.2146545657563695E-2</c:v>
                </c:pt>
                <c:pt idx="188">
                  <c:v>6.2553016166920619E-2</c:v>
                </c:pt>
                <c:pt idx="189">
                  <c:v>6.2956910193745233E-2</c:v>
                </c:pt>
                <c:pt idx="190">
                  <c:v>6.3358263630592784E-2</c:v>
                </c:pt>
                <c:pt idx="191">
                  <c:v>6.3757115127433178E-2</c:v>
                </c:pt>
                <c:pt idx="192">
                  <c:v>6.4153505740626851E-2</c:v>
                </c:pt>
                <c:pt idx="193">
                  <c:v>6.4547478574629738E-2</c:v>
                </c:pt>
                <c:pt idx="194">
                  <c:v>6.4939078419405091E-2</c:v>
                </c:pt>
                <c:pt idx="195">
                  <c:v>6.5328351386518324E-2</c:v>
                </c:pt>
                <c:pt idx="196">
                  <c:v>6.571534454685897E-2</c:v>
                </c:pt>
                <c:pt idx="197">
                  <c:v>6.6100105572871687E-2</c:v>
                </c:pt>
                <c:pt idx="198">
                  <c:v>6.6482682388088896E-2</c:v>
                </c:pt>
                <c:pt idx="199">
                  <c:v>6.6863122826638324E-2</c:v>
                </c:pt>
                <c:pt idx="200">
                  <c:v>6.7241474305255358E-2</c:v>
                </c:pt>
                <c:pt idx="201">
                  <c:v>6.7617783510158666E-2</c:v>
                </c:pt>
                <c:pt idx="202">
                  <c:v>6.7992096100956273E-2</c:v>
                </c:pt>
                <c:pt idx="203">
                  <c:v>6.8364456433534448E-2</c:v>
                </c:pt>
                <c:pt idx="204">
                  <c:v>6.8734907303649284E-2</c:v>
                </c:pt>
                <c:pt idx="205">
                  <c:v>6.9103489712693131E-2</c:v>
                </c:pt>
                <c:pt idx="206">
                  <c:v>6.9470242656845219E-2</c:v>
                </c:pt>
                <c:pt idx="207">
                  <c:v>6.9835202940544475E-2</c:v>
                </c:pt>
                <c:pt idx="208">
                  <c:v>7.0198405014942858E-2</c:v>
                </c:pt>
                <c:pt idx="209">
                  <c:v>7.0559880841714481E-2</c:v>
                </c:pt>
                <c:pt idx="210">
                  <c:v>7.0919659782310643E-2</c:v>
                </c:pt>
                <c:pt idx="211">
                  <c:v>7.1277768512469877E-2</c:v>
                </c:pt>
                <c:pt idx="212">
                  <c:v>7.163423096151543E-2</c:v>
                </c:pt>
                <c:pt idx="213">
                  <c:v>7.1989068275704393E-2</c:v>
                </c:pt>
                <c:pt idx="214">
                  <c:v>7.2342298804637814E-2</c:v>
                </c:pt>
                <c:pt idx="215">
                  <c:v>7.2693938109499187E-2</c:v>
                </c:pt>
                <c:pt idx="216">
                  <c:v>7.304399899166597E-2</c:v>
                </c:pt>
                <c:pt idx="217">
                  <c:v>7.339249154003509E-2</c:v>
                </c:pt>
                <c:pt idx="218">
                  <c:v>7.3739423195223003E-2</c:v>
                </c:pt>
                <c:pt idx="219">
                  <c:v>7.4084798828644688E-2</c:v>
                </c:pt>
                <c:pt idx="220">
                  <c:v>7.4428620834346759E-2</c:v>
                </c:pt>
                <c:pt idx="221">
                  <c:v>7.4770889231368737E-2</c:v>
                </c:pt>
                <c:pt idx="222">
                  <c:v>7.5111601774334583E-2</c:v>
                </c:pt>
                <c:pt idx="223">
                  <c:v>7.5450754069935094E-2</c:v>
                </c:pt>
                <c:pt idx="224">
                  <c:v>7.5788339696951271E-2</c:v>
                </c:pt>
                <c:pt idx="225">
                  <c:v>7.6124350327489029E-2</c:v>
                </c:pt>
                <c:pt idx="226">
                  <c:v>7.645877584714697E-2</c:v>
                </c:pt>
                <c:pt idx="227">
                  <c:v>7.6791604471920863E-2</c:v>
                </c:pt>
                <c:pt idx="228">
                  <c:v>7.7122822859758855E-2</c:v>
                </c:pt>
                <c:pt idx="229">
                  <c:v>7.745241621482242E-2</c:v>
                </c:pt>
                <c:pt idx="230">
                  <c:v>7.7780368382672063E-2</c:v>
                </c:pt>
                <c:pt idx="231">
                  <c:v>7.8106661934789309E-2</c:v>
                </c:pt>
                <c:pt idx="232">
                  <c:v>7.8431278241059318E-2</c:v>
                </c:pt>
                <c:pt idx="233">
                  <c:v>7.8754197529071118E-2</c:v>
                </c:pt>
                <c:pt idx="234">
                  <c:v>7.9075398929344495E-2</c:v>
                </c:pt>
                <c:pt idx="235">
                  <c:v>7.9394860505856257E-2</c:v>
                </c:pt>
                <c:pt idx="236">
                  <c:v>7.9712559271515285E-2</c:v>
                </c:pt>
                <c:pt idx="237">
                  <c:v>8.0028471188519315E-2</c:v>
                </c:pt>
                <c:pt idx="238">
                  <c:v>8.0342571153814282E-2</c:v>
                </c:pt>
                <c:pt idx="239">
                  <c:v>8.0654832970166401E-2</c:v>
                </c:pt>
                <c:pt idx="240">
                  <c:v>8.0965229303641709E-2</c:v>
                </c:pt>
                <c:pt idx="241">
                  <c:v>8.1273731628568935E-2</c:v>
                </c:pt>
                <c:pt idx="242">
                  <c:v>8.1580310161328509E-2</c:v>
                </c:pt>
                <c:pt idx="243">
                  <c:v>8.1884933784568223E-2</c:v>
                </c:pt>
                <c:pt idx="244">
                  <c:v>8.2187569963682983E-2</c:v>
                </c:pt>
                <c:pt idx="245">
                  <c:v>8.248818465761551E-2</c:v>
                </c:pt>
                <c:pt idx="246">
                  <c:v>8.2786742226229268E-2</c:v>
                </c:pt>
                <c:pt idx="247">
                  <c:v>8.3083205336674112E-2</c:v>
                </c:pt>
                <c:pt idx="248">
                  <c:v>8.3377534871305392E-2</c:v>
                </c:pt>
                <c:pt idx="249">
                  <c:v>8.3669689839827296E-2</c:v>
                </c:pt>
                <c:pt idx="250">
                  <c:v>8.3959627298407058E-2</c:v>
                </c:pt>
                <c:pt idx="251">
                  <c:v>8.4247302278549624E-2</c:v>
                </c:pt>
                <c:pt idx="252">
                  <c:v>8.4532667728529701E-2</c:v>
                </c:pt>
                <c:pt idx="253">
                  <c:v>8.4815674470147456E-2</c:v>
                </c:pt>
                <c:pt idx="254">
                  <c:v>8.5096271173509305E-2</c:v>
                </c:pt>
                <c:pt idx="255">
                  <c:v>8.5374404352431696E-2</c:v>
                </c:pt>
                <c:pt idx="256">
                  <c:v>8.565001838292681E-2</c:v>
                </c:pt>
                <c:pt idx="257">
                  <c:v>8.592305554705483E-2</c:v>
                </c:pt>
                <c:pt idx="258">
                  <c:v>8.619345610421901E-2</c:v>
                </c:pt>
                <c:pt idx="259">
                  <c:v>8.6461158391738208E-2</c:v>
                </c:pt>
                <c:pt idx="260">
                  <c:v>8.6726098956261211E-2</c:v>
                </c:pt>
                <c:pt idx="261">
                  <c:v>8.6988212717286698E-2</c:v>
                </c:pt>
                <c:pt idx="262">
                  <c:v>8.7247433163729779E-2</c:v>
                </c:pt>
                <c:pt idx="263">
                  <c:v>8.7503692584128351E-2</c:v>
                </c:pt>
                <c:pt idx="264">
                  <c:v>8.7756922330719037E-2</c:v>
                </c:pt>
                <c:pt idx="265">
                  <c:v>8.8007053117231365E-2</c:v>
                </c:pt>
                <c:pt idx="266">
                  <c:v>8.8254015349859272E-2</c:v>
                </c:pt>
                <c:pt idx="267">
                  <c:v>8.8497739490470767E-2</c:v>
                </c:pt>
                <c:pt idx="268">
                  <c:v>8.8738156450716532E-2</c:v>
                </c:pt>
                <c:pt idx="269">
                  <c:v>8.8975198015300141E-2</c:v>
                </c:pt>
                <c:pt idx="270">
                  <c:v>8.9208797292279096E-2</c:v>
                </c:pt>
                <c:pt idx="271">
                  <c:v>8.9438889187884812E-2</c:v>
                </c:pt>
                <c:pt idx="272">
                  <c:v>8.9665410902982259E-2</c:v>
                </c:pt>
                <c:pt idx="273">
                  <c:v>8.9888302447941465E-2</c:v>
                </c:pt>
                <c:pt idx="274">
                  <c:v>9.0107507172368637E-2</c:v>
                </c:pt>
                <c:pt idx="275">
                  <c:v>9.0322972305846058E-2</c:v>
                </c:pt>
                <c:pt idx="276">
                  <c:v>9.0534649505564668E-2</c:v>
                </c:pt>
                <c:pt idx="277">
                  <c:v>9.0742495406498022E-2</c:v>
                </c:pt>
                <c:pt idx="278">
                  <c:v>9.0946472169573689E-2</c:v>
                </c:pt>
                <c:pt idx="279">
                  <c:v>9.1146548023141608E-2</c:v>
                </c:pt>
                <c:pt idx="280">
                  <c:v>9.1342697792927044E-2</c:v>
                </c:pt>
                <c:pt idx="281">
                  <c:v>9.1534903415588717E-2</c:v>
                </c:pt>
                <c:pt idx="282">
                  <c:v>9.1723154430980294E-2</c:v>
                </c:pt>
                <c:pt idx="283">
                  <c:v>9.1907448448240961E-2</c:v>
                </c:pt>
                <c:pt idx="284">
                  <c:v>9.2087791580913028E-2</c:v>
                </c:pt>
                <c:pt idx="285">
                  <c:v>9.226419884640899E-2</c:v>
                </c:pt>
                <c:pt idx="286">
                  <c:v>9.2436694525318691E-2</c:v>
                </c:pt>
                <c:pt idx="287">
                  <c:v>9.2605312476265633E-2</c:v>
                </c:pt>
                <c:pt idx="288">
                  <c:v>9.2770096402284133E-2</c:v>
                </c:pt>
                <c:pt idx="289">
                  <c:v>9.2931100064996386E-2</c:v>
                </c:pt>
                <c:pt idx="290">
                  <c:v>9.3088387443215861E-2</c:v>
                </c:pt>
                <c:pt idx="291">
                  <c:v>9.3242032832993246E-2</c:v>
                </c:pt>
                <c:pt idx="292">
                  <c:v>9.3392120886542307E-2</c:v>
                </c:pt>
                <c:pt idx="293">
                  <c:v>9.353874658794066E-2</c:v>
                </c:pt>
                <c:pt idx="294">
                  <c:v>9.3682015163983653E-2</c:v>
                </c:pt>
                <c:pt idx="295">
                  <c:v>9.3822041929078184E-2</c:v>
                </c:pt>
                <c:pt idx="296">
                  <c:v>9.3958952063591519E-2</c:v>
                </c:pt>
                <c:pt idx="297">
                  <c:v>9.4092880325612416E-2</c:v>
                </c:pt>
                <c:pt idx="298">
                  <c:v>9.4223970696635434E-2</c:v>
                </c:pt>
                <c:pt idx="299">
                  <c:v>9.4352375962236029E-2</c:v>
                </c:pt>
                <c:pt idx="300">
                  <c:v>9.4478257229361789E-2</c:v>
                </c:pt>
                <c:pt idx="301">
                  <c:v>9.4601783382415677E-2</c:v>
                </c:pt>
                <c:pt idx="302">
                  <c:v>9.4723130480848183E-2</c:v>
                </c:pt>
                <c:pt idx="303">
                  <c:v>9.4842481101498302E-2</c:v>
                </c:pt>
                <c:pt idx="304">
                  <c:v>9.4960023629427071E-2</c:v>
                </c:pt>
                <c:pt idx="305">
                  <c:v>9.5075951501462599E-2</c:v>
                </c:pt>
                <c:pt idx="306">
                  <c:v>9.5190462407120979E-2</c:v>
                </c:pt>
                <c:pt idx="307">
                  <c:v>9.5303757451977875E-2</c:v>
                </c:pt>
                <c:pt idx="308">
                  <c:v>9.5416040288934037E-2</c:v>
                </c:pt>
                <c:pt idx="309">
                  <c:v>9.5527516223146092E-2</c:v>
                </c:pt>
                <c:pt idx="310">
                  <c:v>9.5638391296671649E-2</c:v>
                </c:pt>
                <c:pt idx="311">
                  <c:v>9.5748871359108534E-2</c:v>
                </c:pt>
                <c:pt idx="312">
                  <c:v>9.5859161130684004E-2</c:v>
                </c:pt>
                <c:pt idx="313">
                  <c:v>9.5969463264372404E-2</c:v>
                </c:pt>
                <c:pt idx="314">
                  <c:v>9.6079977413685555E-2</c:v>
                </c:pt>
                <c:pt idx="315">
                  <c:v>9.6190899312789888E-2</c:v>
                </c:pt>
                <c:pt idx="316">
                  <c:v>9.6302419875554712E-2</c:v>
                </c:pt>
                <c:pt idx="317">
                  <c:v>9.6414724320030995E-2</c:v>
                </c:pt>
                <c:pt idx="318">
                  <c:v>9.6527991324695514E-2</c:v>
                </c:pt>
                <c:pt idx="319">
                  <c:v>9.6642392222578657E-2</c:v>
                </c:pt>
                <c:pt idx="320">
                  <c:v>9.6758090239118619E-2</c:v>
                </c:pt>
                <c:pt idx="321">
                  <c:v>9.6875239779262878E-2</c:v>
                </c:pt>
                <c:pt idx="322">
                  <c:v>9.699398576896226E-2</c:v>
                </c:pt>
                <c:pt idx="323">
                  <c:v>9.7114463055784833E-2</c:v>
                </c:pt>
                <c:pt idx="324">
                  <c:v>9.723679587291445E-2</c:v>
                </c:pt>
                <c:pt idx="325">
                  <c:v>9.736109737030002E-2</c:v>
                </c:pt>
                <c:pt idx="326">
                  <c:v>9.7487469216188213E-2</c:v>
                </c:pt>
                <c:pt idx="327">
                  <c:v>9.7616001271709663E-2</c:v>
                </c:pt>
                <c:pt idx="328">
                  <c:v>9.7746771340604915E-2</c:v>
                </c:pt>
                <c:pt idx="329">
                  <c:v>9.7879844995570328E-2</c:v>
                </c:pt>
                <c:pt idx="330">
                  <c:v>9.8015275482088493E-2</c:v>
                </c:pt>
                <c:pt idx="331">
                  <c:v>9.8153103699983757E-2</c:v>
                </c:pt>
                <c:pt idx="332">
                  <c:v>9.8293358262316319E-2</c:v>
                </c:pt>
                <c:pt idx="333">
                  <c:v>9.8436055630608602E-2</c:v>
                </c:pt>
                <c:pt idx="334">
                  <c:v>9.8581200324784554E-2</c:v>
                </c:pt>
                <c:pt idx="335">
                  <c:v>9.8728785205606961E-2</c:v>
                </c:pt>
                <c:pt idx="336">
                  <c:v>9.887879182682191E-2</c:v>
                </c:pt>
                <c:pt idx="337">
                  <c:v>9.9031190853671056E-2</c:v>
                </c:pt>
                <c:pt idx="338">
                  <c:v>9.9185942543913524E-2</c:v>
                </c:pt>
                <c:pt idx="339">
                  <c:v>9.9342997287017662E-2</c:v>
                </c:pt>
                <c:pt idx="340">
                  <c:v>9.9502296196739698E-2</c:v>
                </c:pt>
                <c:pt idx="341">
                  <c:v>9.9663771751909935E-2</c:v>
                </c:pt>
                <c:pt idx="342">
                  <c:v>9.9827348479895356E-2</c:v>
                </c:pt>
                <c:pt idx="343">
                  <c:v>9.9992943676908447E-2</c:v>
                </c:pt>
                <c:pt idx="344">
                  <c:v>0.1001604681590863</c:v>
                </c:pt>
                <c:pt idx="345">
                  <c:v>0.10032982703807171</c:v>
                </c:pt>
                <c:pt idx="346">
                  <c:v>0.10050092051469559</c:v>
                </c:pt>
                <c:pt idx="347">
                  <c:v>0.10067364468428218</c:v>
                </c:pt>
                <c:pt idx="348">
                  <c:v>0.10084789234708161</c:v>
                </c:pt>
                <c:pt idx="349">
                  <c:v>0.10102355381737374</c:v>
                </c:pt>
                <c:pt idx="350">
                  <c:v>0.10120051772488538</c:v>
                </c:pt>
                <c:pt idx="351">
                  <c:v>0.10137867180231558</c:v>
                </c:pt>
                <c:pt idx="352">
                  <c:v>0.10155790365297286</c:v>
                </c:pt>
                <c:pt idx="353">
                  <c:v>0.10173810149278667</c:v>
                </c:pt>
                <c:pt idx="354">
                  <c:v>0.10191915486126631</c:v>
                </c:pt>
                <c:pt idx="355">
                  <c:v>0.10210095529633426</c:v>
                </c:pt>
                <c:pt idx="356">
                  <c:v>0.10228339696835859</c:v>
                </c:pt>
                <c:pt idx="357">
                  <c:v>0.10246637726914556</c:v>
                </c:pt>
                <c:pt idx="358">
                  <c:v>0.10264979735212186</c:v>
                </c:pt>
                <c:pt idx="359">
                  <c:v>0.10283356262043485</c:v>
                </c:pt>
                <c:pt idx="360">
                  <c:v>0.1030175831602218</c:v>
                </c:pt>
                <c:pt idx="361">
                  <c:v>0.10320177411684024</c:v>
                </c:pt>
                <c:pt idx="362">
                  <c:v>0.10338605601240655</c:v>
                </c:pt>
                <c:pt idx="363">
                  <c:v>0.10357035500355302</c:v>
                </c:pt>
                <c:pt idx="364">
                  <c:v>0.10375460307887995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5.7099497587993056E-2</c:v>
                </c:pt>
                <c:pt idx="1">
                  <c:v>5.6430463078069495E-2</c:v>
                </c:pt>
                <c:pt idx="2">
                  <c:v>5.5731077222201525E-2</c:v>
                </c:pt>
                <c:pt idx="3">
                  <c:v>5.5003576578389952E-2</c:v>
                </c:pt>
                <c:pt idx="4">
                  <c:v>5.4250169476980817E-2</c:v>
                </c:pt>
                <c:pt idx="5">
                  <c:v>5.3473024230517766E-2</c:v>
                </c:pt>
                <c:pt idx="6">
                  <c:v>5.2674258716858102E-2</c:v>
                </c:pt>
                <c:pt idx="7">
                  <c:v>5.1855931344553491E-2</c:v>
                </c:pt>
                <c:pt idx="8">
                  <c:v>5.1014207980224727E-2</c:v>
                </c:pt>
                <c:pt idx="9">
                  <c:v>5.0159838150440887E-2</c:v>
                </c:pt>
                <c:pt idx="10">
                  <c:v>4.9310223276437214E-2</c:v>
                </c:pt>
                <c:pt idx="11">
                  <c:v>4.8468154402251315E-2</c:v>
                </c:pt>
                <c:pt idx="12">
                  <c:v>4.7636167334017702E-2</c:v>
                </c:pt>
                <c:pt idx="13">
                  <c:v>4.6816547451140576E-2</c:v>
                </c:pt>
                <c:pt idx="14">
                  <c:v>4.6011337500937124E-2</c:v>
                </c:pt>
                <c:pt idx="15">
                  <c:v>4.5217454796961973E-2</c:v>
                </c:pt>
                <c:pt idx="16">
                  <c:v>4.4435683694575845E-2</c:v>
                </c:pt>
                <c:pt idx="17">
                  <c:v>4.3667606434614405E-2</c:v>
                </c:pt>
                <c:pt idx="18">
                  <c:v>4.2914609816827022E-2</c:v>
                </c:pt>
                <c:pt idx="19">
                  <c:v>4.2178133288623951E-2</c:v>
                </c:pt>
                <c:pt idx="20">
                  <c:v>4.1459535406656554E-2</c:v>
                </c:pt>
                <c:pt idx="21">
                  <c:v>4.0759820865096587E-2</c:v>
                </c:pt>
                <c:pt idx="22">
                  <c:v>4.0075492592928037E-2</c:v>
                </c:pt>
                <c:pt idx="23">
                  <c:v>3.9372127634635559E-2</c:v>
                </c:pt>
                <c:pt idx="24">
                  <c:v>3.8640435463765777E-2</c:v>
                </c:pt>
                <c:pt idx="25">
                  <c:v>3.7882565074790958E-2</c:v>
                </c:pt>
                <c:pt idx="26">
                  <c:v>3.7100559202180049E-2</c:v>
                </c:pt>
                <c:pt idx="27">
                  <c:v>3.6296352425498911E-2</c:v>
                </c:pt>
                <c:pt idx="28">
                  <c:v>3.5471770272101022E-2</c:v>
                </c:pt>
                <c:pt idx="29">
                  <c:v>3.4591366650624567E-2</c:v>
                </c:pt>
                <c:pt idx="30">
                  <c:v>3.3662263606704088E-2</c:v>
                </c:pt>
                <c:pt idx="31">
                  <c:v>3.2687192763015578E-2</c:v>
                </c:pt>
                <c:pt idx="32">
                  <c:v>3.1668744331518665E-2</c:v>
                </c:pt>
                <c:pt idx="33">
                  <c:v>3.0609366093326176E-2</c:v>
                </c:pt>
                <c:pt idx="34">
                  <c:v>2.9511363349612435E-2</c:v>
                </c:pt>
                <c:pt idx="35">
                  <c:v>2.8376899673172272E-2</c:v>
                </c:pt>
                <c:pt idx="36">
                  <c:v>2.7207424384908103E-2</c:v>
                </c:pt>
                <c:pt idx="37">
                  <c:v>2.6007470049303941E-2</c:v>
                </c:pt>
                <c:pt idx="38">
                  <c:v>2.4804059729768953E-2</c:v>
                </c:pt>
                <c:pt idx="39">
                  <c:v>2.3597693982127733E-2</c:v>
                </c:pt>
                <c:pt idx="40">
                  <c:v>2.2388865895117783E-2</c:v>
                </c:pt>
                <c:pt idx="41">
                  <c:v>2.1178060720892355E-2</c:v>
                </c:pt>
                <c:pt idx="42">
                  <c:v>1.9965755512423109E-2</c:v>
                </c:pt>
                <c:pt idx="43">
                  <c:v>1.8785182628156802E-2</c:v>
                </c:pt>
                <c:pt idx="44">
                  <c:v>1.7666362311165647E-2</c:v>
                </c:pt>
                <c:pt idx="45">
                  <c:v>1.6607421439661381E-2</c:v>
                </c:pt>
                <c:pt idx="46">
                  <c:v>1.5606539160520277E-2</c:v>
                </c:pt>
                <c:pt idx="47">
                  <c:v>1.4661944387574925E-2</c:v>
                </c:pt>
                <c:pt idx="48">
                  <c:v>1.3771913500871822E-2</c:v>
                </c:pt>
                <c:pt idx="49">
                  <c:v>1.2934768216483251E-2</c:v>
                </c:pt>
                <c:pt idx="50">
                  <c:v>1.214862387006522E-2</c:v>
                </c:pt>
                <c:pt idx="51">
                  <c:v>1.1432087269631705E-2</c:v>
                </c:pt>
                <c:pt idx="52">
                  <c:v>1.0780268101001874E-2</c:v>
                </c:pt>
                <c:pt idx="53">
                  <c:v>1.0191164802674048E-2</c:v>
                </c:pt>
                <c:pt idx="54">
                  <c:v>9.6628424756189674E-3</c:v>
                </c:pt>
                <c:pt idx="55">
                  <c:v>9.1933821996569836E-3</c:v>
                </c:pt>
                <c:pt idx="56">
                  <c:v>8.7808893805332734E-3</c:v>
                </c:pt>
                <c:pt idx="57">
                  <c:v>8.432424411925413E-3</c:v>
                </c:pt>
                <c:pt idx="58">
                  <c:v>8.1187179199560169E-3</c:v>
                </c:pt>
                <c:pt idx="59">
                  <c:v>7.8387195965275765E-3</c:v>
                </c:pt>
                <c:pt idx="60">
                  <c:v>7.5914042265787726E-3</c:v>
                </c:pt>
                <c:pt idx="61">
                  <c:v>7.3757747036555174E-3</c:v>
                </c:pt>
                <c:pt idx="62">
                  <c:v>7.1908645935172101E-3</c:v>
                </c:pt>
                <c:pt idx="63">
                  <c:v>7.0357402940240841E-3</c:v>
                </c:pt>
                <c:pt idx="64">
                  <c:v>6.9090543206659933E-3</c:v>
                </c:pt>
                <c:pt idx="65">
                  <c:v>6.8109002491779898E-3</c:v>
                </c:pt>
                <c:pt idx="66">
                  <c:v>6.7235516035071483E-3</c:v>
                </c:pt>
                <c:pt idx="67">
                  <c:v>6.6468329763816093E-3</c:v>
                </c:pt>
                <c:pt idx="68">
                  <c:v>6.5805710725757322E-3</c:v>
                </c:pt>
                <c:pt idx="69">
                  <c:v>6.5245966765395888E-3</c:v>
                </c:pt>
                <c:pt idx="70">
                  <c:v>6.4787464491795985E-3</c:v>
                </c:pt>
                <c:pt idx="71">
                  <c:v>6.4387007013511598E-3</c:v>
                </c:pt>
                <c:pt idx="72">
                  <c:v>6.3967003953096999E-3</c:v>
                </c:pt>
                <c:pt idx="73">
                  <c:v>6.352922908954394E-3</c:v>
                </c:pt>
                <c:pt idx="74">
                  <c:v>6.3075369695638171E-3</c:v>
                </c:pt>
                <c:pt idx="75">
                  <c:v>6.2607029981633705E-3</c:v>
                </c:pt>
                <c:pt idx="76">
                  <c:v>6.21257348155301E-3</c:v>
                </c:pt>
                <c:pt idx="77">
                  <c:v>6.1632933664779585E-3</c:v>
                </c:pt>
                <c:pt idx="78">
                  <c:v>6.1125209375582678E-3</c:v>
                </c:pt>
                <c:pt idx="79">
                  <c:v>6.0577007314986378E-3</c:v>
                </c:pt>
                <c:pt idx="80">
                  <c:v>5.9978643310904254E-3</c:v>
                </c:pt>
                <c:pt idx="81">
                  <c:v>5.9332737888485067E-3</c:v>
                </c:pt>
                <c:pt idx="82">
                  <c:v>5.864176576254692E-3</c:v>
                </c:pt>
                <c:pt idx="83">
                  <c:v>5.7908054155683397E-3</c:v>
                </c:pt>
                <c:pt idx="84">
                  <c:v>5.7133782054607776E-3</c:v>
                </c:pt>
                <c:pt idx="85">
                  <c:v>5.6306514434367478E-3</c:v>
                </c:pt>
                <c:pt idx="86">
                  <c:v>5.5464486844973649E-3</c:v>
                </c:pt>
                <c:pt idx="87">
                  <c:v>5.4608825863623651E-3</c:v>
                </c:pt>
                <c:pt idx="88">
                  <c:v>5.3740546462148868E-3</c:v>
                </c:pt>
                <c:pt idx="89">
                  <c:v>5.2860555362486336E-3</c:v>
                </c:pt>
                <c:pt idx="90">
                  <c:v>5.196965433346603E-3</c:v>
                </c:pt>
                <c:pt idx="91">
                  <c:v>5.1068543424078313E-3</c:v>
                </c:pt>
                <c:pt idx="92">
                  <c:v>5.0154980120574568E-3</c:v>
                </c:pt>
                <c:pt idx="93">
                  <c:v>4.9204801826332849E-3</c:v>
                </c:pt>
                <c:pt idx="94">
                  <c:v>4.8238903801986399E-3</c:v>
                </c:pt>
                <c:pt idx="95">
                  <c:v>4.7257563813327659E-3</c:v>
                </c:pt>
                <c:pt idx="96">
                  <c:v>4.626100880559798E-3</c:v>
                </c:pt>
                <c:pt idx="97">
                  <c:v>4.5249415444070639E-3</c:v>
                </c:pt>
                <c:pt idx="98">
                  <c:v>4.4222910586329562E-3</c:v>
                </c:pt>
                <c:pt idx="99">
                  <c:v>4.3163418223146214E-3</c:v>
                </c:pt>
                <c:pt idx="100">
                  <c:v>4.2084437203434473E-3</c:v>
                </c:pt>
                <c:pt idx="101">
                  <c:v>4.0986012761440689E-3</c:v>
                </c:pt>
                <c:pt idx="102">
                  <c:v>3.9868134609288945E-3</c:v>
                </c:pt>
                <c:pt idx="103">
                  <c:v>3.8730736916678396E-3</c:v>
                </c:pt>
                <c:pt idx="104">
                  <c:v>3.7573698163437478E-3</c:v>
                </c:pt>
                <c:pt idx="105">
                  <c:v>3.6396840897882513E-3</c:v>
                </c:pt>
                <c:pt idx="106">
                  <c:v>3.5198971248425535E-3</c:v>
                </c:pt>
                <c:pt idx="107">
                  <c:v>3.3969448258727997E-3</c:v>
                </c:pt>
                <c:pt idx="108">
                  <c:v>3.2728473594952168E-3</c:v>
                </c:pt>
                <c:pt idx="109">
                  <c:v>3.1475763207580104E-3</c:v>
                </c:pt>
                <c:pt idx="110">
                  <c:v>3.0211074481383492E-3</c:v>
                </c:pt>
                <c:pt idx="111">
                  <c:v>2.8934107433772438E-3</c:v>
                </c:pt>
                <c:pt idx="112">
                  <c:v>2.7644423862154058E-3</c:v>
                </c:pt>
                <c:pt idx="113">
                  <c:v>2.6357932974525149E-3</c:v>
                </c:pt>
                <c:pt idx="114">
                  <c:v>2.5091225260130846E-3</c:v>
                </c:pt>
                <c:pt idx="115">
                  <c:v>2.3843502157678614E-3</c:v>
                </c:pt>
                <c:pt idx="116">
                  <c:v>2.2613961967176254E-3</c:v>
                </c:pt>
                <c:pt idx="117">
                  <c:v>2.1401799951040784E-3</c:v>
                </c:pt>
                <c:pt idx="118">
                  <c:v>2.0206208359653598E-3</c:v>
                </c:pt>
                <c:pt idx="119">
                  <c:v>1.9026376400324027E-3</c:v>
                </c:pt>
                <c:pt idx="120">
                  <c:v>1.7861528230553459E-3</c:v>
                </c:pt>
                <c:pt idx="121">
                  <c:v>1.6741607041369569E-3</c:v>
                </c:pt>
                <c:pt idx="122">
                  <c:v>1.5674646029703312E-3</c:v>
                </c:pt>
                <c:pt idx="123">
                  <c:v>1.4659518780851999E-3</c:v>
                </c:pt>
                <c:pt idx="124">
                  <c:v>1.3695194274892326E-3</c:v>
                </c:pt>
                <c:pt idx="125">
                  <c:v>1.2780730675325846E-3</c:v>
                </c:pt>
                <c:pt idx="126">
                  <c:v>1.1915269559961879E-3</c:v>
                </c:pt>
                <c:pt idx="127">
                  <c:v>1.111513382637166E-3</c:v>
                </c:pt>
                <c:pt idx="128">
                  <c:v>1.0363741416763688E-3</c:v>
                </c:pt>
                <c:pt idx="129">
                  <c:v>9.6605613989612362E-4</c:v>
                </c:pt>
                <c:pt idx="130">
                  <c:v>9.0051307044691114E-4</c:v>
                </c:pt>
                <c:pt idx="131">
                  <c:v>8.3970497879549391E-4</c:v>
                </c:pt>
                <c:pt idx="132">
                  <c:v>7.8359784507306472E-4</c:v>
                </c:pt>
                <c:pt idx="133">
                  <c:v>7.321631796686777E-4</c:v>
                </c:pt>
                <c:pt idx="134">
                  <c:v>6.8539759962904718E-4</c:v>
                </c:pt>
                <c:pt idx="135">
                  <c:v>6.4374124543661502E-4</c:v>
                </c:pt>
                <c:pt idx="136">
                  <c:v>6.0414893088469842E-4</c:v>
                </c:pt>
                <c:pt idx="137">
                  <c:v>5.6661729581257859E-4</c:v>
                </c:pt>
                <c:pt idx="138">
                  <c:v>5.3114649008861392E-4</c:v>
                </c:pt>
                <c:pt idx="139">
                  <c:v>4.9774002897396265E-4</c:v>
                </c:pt>
                <c:pt idx="140">
                  <c:v>4.6640464728405862E-4</c:v>
                </c:pt>
                <c:pt idx="141">
                  <c:v>4.3792302555718013E-4</c:v>
                </c:pt>
                <c:pt idx="142">
                  <c:v>4.105335832227825E-4</c:v>
                </c:pt>
                <c:pt idx="143">
                  <c:v>3.842350076103695E-4</c:v>
                </c:pt>
                <c:pt idx="144">
                  <c:v>3.5903033357503682E-4</c:v>
                </c:pt>
                <c:pt idx="145">
                  <c:v>3.3492407391433419E-4</c:v>
                </c:pt>
                <c:pt idx="146">
                  <c:v>3.119221556786558E-4</c:v>
                </c:pt>
                <c:pt idx="147">
                  <c:v>2.9003185375747693E-4</c:v>
                </c:pt>
                <c:pt idx="148">
                  <c:v>2.6926726518391932E-4</c:v>
                </c:pt>
                <c:pt idx="149">
                  <c:v>2.5045379208751378E-4</c:v>
                </c:pt>
                <c:pt idx="150">
                  <c:v>2.3311250060784766E-4</c:v>
                </c:pt>
                <c:pt idx="151">
                  <c:v>2.1725102606794019E-4</c:v>
                </c:pt>
                <c:pt idx="152">
                  <c:v>2.0287826000693488E-4</c:v>
                </c:pt>
                <c:pt idx="153">
                  <c:v>1.9000428394267809E-4</c:v>
                </c:pt>
                <c:pt idx="154">
                  <c:v>1.7864030119286027E-4</c:v>
                </c:pt>
                <c:pt idx="155">
                  <c:v>1.6899208205177187E-4</c:v>
                </c:pt>
                <c:pt idx="156">
                  <c:v>1.6027866387788561E-4</c:v>
                </c:pt>
                <c:pt idx="157">
                  <c:v>1.5251086707628839E-4</c:v>
                </c:pt>
                <c:pt idx="158">
                  <c:v>1.4570013270450983E-4</c:v>
                </c:pt>
                <c:pt idx="159">
                  <c:v>1.3985846866816965E-4</c:v>
                </c:pt>
                <c:pt idx="160">
                  <c:v>1.3499839469526483E-4</c:v>
                </c:pt>
                <c:pt idx="161">
                  <c:v>1.3113288620641286E-4</c:v>
                </c:pt>
                <c:pt idx="162">
                  <c:v>1.2827739895171508E-4</c:v>
                </c:pt>
                <c:pt idx="163">
                  <c:v>1.2652056474086912E-4</c:v>
                </c:pt>
                <c:pt idx="164">
                  <c:v>1.2501308939835633E-4</c:v>
                </c:pt>
                <c:pt idx="165">
                  <c:v>1.2375971476494832E-4</c:v>
                </c:pt>
                <c:pt idx="166">
                  <c:v>1.2276531479665993E-4</c:v>
                </c:pt>
                <c:pt idx="167">
                  <c:v>1.2203487853760092E-4</c:v>
                </c:pt>
                <c:pt idx="168">
                  <c:v>1.2157349318298222E-4</c:v>
                </c:pt>
                <c:pt idx="169">
                  <c:v>1.2146406767071417E-4</c:v>
                </c:pt>
                <c:pt idx="170">
                  <c:v>1.2150503863885421E-4</c:v>
                </c:pt>
                <c:pt idx="171">
                  <c:v>1.2170074575241593E-4</c:v>
                </c:pt>
                <c:pt idx="172">
                  <c:v>1.2205552758696676E-4</c:v>
                </c:pt>
                <c:pt idx="173">
                  <c:v>1.2257245653179516E-4</c:v>
                </c:pt>
                <c:pt idx="174">
                  <c:v>1.232544861728806E-4</c:v>
                </c:pt>
                <c:pt idx="175">
                  <c:v>1.2410572337798751E-4</c:v>
                </c:pt>
                <c:pt idx="176">
                  <c:v>1.2513035054285252E-4</c:v>
                </c:pt>
                <c:pt idx="177">
                  <c:v>1.2655000401526857E-4</c:v>
                </c:pt>
                <c:pt idx="178">
                  <c:v>1.282879407930635E-4</c:v>
                </c:pt>
                <c:pt idx="179">
                  <c:v>1.3034987173789593E-4</c:v>
                </c:pt>
                <c:pt idx="180">
                  <c:v>1.3274147657315539E-4</c:v>
                </c:pt>
                <c:pt idx="181">
                  <c:v>1.3546841355736148E-4</c:v>
                </c:pt>
                <c:pt idx="182">
                  <c:v>1.3853633062271608E-4</c:v>
                </c:pt>
                <c:pt idx="183">
                  <c:v>1.428955209003234E-4</c:v>
                </c:pt>
                <c:pt idx="184">
                  <c:v>1.4847478286974923E-4</c:v>
                </c:pt>
                <c:pt idx="185">
                  <c:v>1.5529006693360215E-4</c:v>
                </c:pt>
                <c:pt idx="186">
                  <c:v>1.6335747540208235E-4</c:v>
                </c:pt>
                <c:pt idx="187">
                  <c:v>1.7269331965985053E-4</c:v>
                </c:pt>
                <c:pt idx="188">
                  <c:v>1.8331418169641468E-4</c:v>
                </c:pt>
                <c:pt idx="189">
                  <c:v>1.9523698004780715E-4</c:v>
                </c:pt>
                <c:pt idx="190">
                  <c:v>2.0847879151576767E-4</c:v>
                </c:pt>
                <c:pt idx="191">
                  <c:v>2.2394541148888371E-4</c:v>
                </c:pt>
                <c:pt idx="192">
                  <c:v>2.4142918436627952E-4</c:v>
                </c:pt>
                <c:pt idx="193">
                  <c:v>2.6095259498863953E-4</c:v>
                </c:pt>
                <c:pt idx="194">
                  <c:v>2.8253836225574389E-4</c:v>
                </c:pt>
                <c:pt idx="195">
                  <c:v>3.0620940608107241E-4</c:v>
                </c:pt>
                <c:pt idx="196">
                  <c:v>3.3198881437200524E-4</c:v>
                </c:pt>
                <c:pt idx="197">
                  <c:v>3.6060911691637476E-4</c:v>
                </c:pt>
                <c:pt idx="198">
                  <c:v>3.9109793004456266E-4</c:v>
                </c:pt>
                <c:pt idx="199">
                  <c:v>4.2347803079714958E-4</c:v>
                </c:pt>
                <c:pt idx="200">
                  <c:v>4.5777205504265826E-4</c:v>
                </c:pt>
                <c:pt idx="201">
                  <c:v>4.9400246879704372E-4</c:v>
                </c:pt>
                <c:pt idx="202">
                  <c:v>5.3219153818952268E-4</c:v>
                </c:pt>
                <c:pt idx="203">
                  <c:v>5.7236129789362173E-4</c:v>
                </c:pt>
                <c:pt idx="204">
                  <c:v>6.1453328135581149E-4</c:v>
                </c:pt>
                <c:pt idx="205">
                  <c:v>6.6109973673436574E-4</c:v>
                </c:pt>
                <c:pt idx="206">
                  <c:v>7.1117960318615471E-4</c:v>
                </c:pt>
                <c:pt idx="207">
                  <c:v>7.6482101937365226E-4</c:v>
                </c:pt>
                <c:pt idx="208">
                  <c:v>8.2207333916073139E-4</c:v>
                </c:pt>
                <c:pt idx="209">
                  <c:v>8.8298733746146178E-4</c:v>
                </c:pt>
                <c:pt idx="210">
                  <c:v>9.4761542419733108E-4</c:v>
                </c:pt>
                <c:pt idx="211">
                  <c:v>1.0195451404964645E-3</c:v>
                </c:pt>
                <c:pt idx="212">
                  <c:v>1.0980987490745004E-3</c:v>
                </c:pt>
                <c:pt idx="213">
                  <c:v>1.1833609925917575E-3</c:v>
                </c:pt>
                <c:pt idx="214">
                  <c:v>1.2754207233447287E-3</c:v>
                </c:pt>
                <c:pt idx="215">
                  <c:v>1.3743713077201607E-3</c:v>
                </c:pt>
                <c:pt idx="216">
                  <c:v>1.4803110484170351E-3</c:v>
                </c:pt>
                <c:pt idx="217">
                  <c:v>1.5933436259431711E-3</c:v>
                </c:pt>
                <c:pt idx="218">
                  <c:v>1.7135335703708115E-3</c:v>
                </c:pt>
                <c:pt idx="219">
                  <c:v>1.8429586919980483E-3</c:v>
                </c:pt>
                <c:pt idx="220">
                  <c:v>1.9792201708018604E-3</c:v>
                </c:pt>
                <c:pt idx="221">
                  <c:v>2.1224237474958959E-3</c:v>
                </c:pt>
                <c:pt idx="222">
                  <c:v>2.2726830377966969E-3</c:v>
                </c:pt>
                <c:pt idx="223">
                  <c:v>2.4301202870818206E-3</c:v>
                </c:pt>
                <c:pt idx="224">
                  <c:v>2.5948671663009342E-3</c:v>
                </c:pt>
                <c:pt idx="225">
                  <c:v>2.7657448717330773E-3</c:v>
                </c:pt>
                <c:pt idx="226">
                  <c:v>2.9391414271491586E-3</c:v>
                </c:pt>
                <c:pt idx="227">
                  <c:v>3.1151514894670012E-3</c:v>
                </c:pt>
                <c:pt idx="228">
                  <c:v>3.2938786875551939E-3</c:v>
                </c:pt>
                <c:pt idx="229">
                  <c:v>3.4754361120695864E-3</c:v>
                </c:pt>
                <c:pt idx="230">
                  <c:v>3.6599468491758705E-3</c:v>
                </c:pt>
                <c:pt idx="231">
                  <c:v>3.8475445648655806E-3</c:v>
                </c:pt>
                <c:pt idx="232">
                  <c:v>4.0382566149430432E-3</c:v>
                </c:pt>
                <c:pt idx="233">
                  <c:v>4.2293284966019012E-3</c:v>
                </c:pt>
                <c:pt idx="234">
                  <c:v>4.4186583103469007E-3</c:v>
                </c:pt>
                <c:pt idx="235">
                  <c:v>4.6062810324003301E-3</c:v>
                </c:pt>
                <c:pt idx="236">
                  <c:v>4.7922372360043848E-3</c:v>
                </c:pt>
                <c:pt idx="237">
                  <c:v>4.9765685682045813E-3</c:v>
                </c:pt>
                <c:pt idx="238">
                  <c:v>5.1593204947180376E-3</c:v>
                </c:pt>
                <c:pt idx="239">
                  <c:v>5.337457609678407E-3</c:v>
                </c:pt>
                <c:pt idx="240">
                  <c:v>5.5124092907467013E-3</c:v>
                </c:pt>
                <c:pt idx="241">
                  <c:v>5.6841977975192921E-3</c:v>
                </c:pt>
                <c:pt idx="242">
                  <c:v>5.8528472516060194E-3</c:v>
                </c:pt>
                <c:pt idx="243">
                  <c:v>6.0183835230277682E-3</c:v>
                </c:pt>
                <c:pt idx="244">
                  <c:v>6.1808341204376022E-3</c:v>
                </c:pt>
                <c:pt idx="245">
                  <c:v>6.3402280857526834E-3</c:v>
                </c:pt>
                <c:pt idx="246">
                  <c:v>6.496679330530386E-3</c:v>
                </c:pt>
                <c:pt idx="247">
                  <c:v>6.6479033207383414E-3</c:v>
                </c:pt>
                <c:pt idx="248">
                  <c:v>6.7968299775852427E-3</c:v>
                </c:pt>
                <c:pt idx="249">
                  <c:v>6.9433988859793688E-3</c:v>
                </c:pt>
                <c:pt idx="250">
                  <c:v>7.0875392294681757E-3</c:v>
                </c:pt>
                <c:pt idx="251">
                  <c:v>7.2291695097215832E-3</c:v>
                </c:pt>
                <c:pt idx="252">
                  <c:v>7.3681972479739616E-3</c:v>
                </c:pt>
                <c:pt idx="253">
                  <c:v>7.5020329896149963E-3</c:v>
                </c:pt>
                <c:pt idx="254">
                  <c:v>7.6339569692753621E-3</c:v>
                </c:pt>
                <c:pt idx="255">
                  <c:v>7.7638675968854445E-3</c:v>
                </c:pt>
                <c:pt idx="256">
                  <c:v>7.8916523524023632E-3</c:v>
                </c:pt>
                <c:pt idx="257">
                  <c:v>8.0171874254865768E-3</c:v>
                </c:pt>
                <c:pt idx="258">
                  <c:v>8.14033735270904E-3</c:v>
                </c:pt>
                <c:pt idx="259">
                  <c:v>8.2609546547142108E-3</c:v>
                </c:pt>
                <c:pt idx="260">
                  <c:v>8.3795429657126386E-3</c:v>
                </c:pt>
                <c:pt idx="261">
                  <c:v>8.4920238284866209E-3</c:v>
                </c:pt>
                <c:pt idx="262">
                  <c:v>8.6007620161762041E-3</c:v>
                </c:pt>
                <c:pt idx="263">
                  <c:v>8.7054916165697528E-3</c:v>
                </c:pt>
                <c:pt idx="264">
                  <c:v>8.805922666498045E-3</c:v>
                </c:pt>
                <c:pt idx="265">
                  <c:v>8.9017877616143441E-3</c:v>
                </c:pt>
                <c:pt idx="266">
                  <c:v>8.9927720202394694E-3</c:v>
                </c:pt>
                <c:pt idx="267">
                  <c:v>9.0871299416704111E-3</c:v>
                </c:pt>
                <c:pt idx="268">
                  <c:v>9.1876604939839113E-3</c:v>
                </c:pt>
                <c:pt idx="269">
                  <c:v>9.2943565799371661E-3</c:v>
                </c:pt>
                <c:pt idx="270">
                  <c:v>9.4071999014078075E-3</c:v>
                </c:pt>
                <c:pt idx="271">
                  <c:v>9.5261587875863155E-3</c:v>
                </c:pt>
                <c:pt idx="272">
                  <c:v>9.6511858881147689E-3</c:v>
                </c:pt>
                <c:pt idx="273">
                  <c:v>9.782215734498027E-3</c:v>
                </c:pt>
                <c:pt idx="274">
                  <c:v>9.9204239963793378E-3</c:v>
                </c:pt>
                <c:pt idx="275">
                  <c:v>1.0095077894141085E-2</c:v>
                </c:pt>
                <c:pt idx="276">
                  <c:v>1.0312742109016589E-2</c:v>
                </c:pt>
                <c:pt idx="277">
                  <c:v>1.0574795958323766E-2</c:v>
                </c:pt>
                <c:pt idx="278">
                  <c:v>1.0882666802767437E-2</c:v>
                </c:pt>
                <c:pt idx="279">
                  <c:v>1.1237819271989332E-2</c:v>
                </c:pt>
                <c:pt idx="280">
                  <c:v>1.1641742767296062E-2</c:v>
                </c:pt>
                <c:pt idx="281">
                  <c:v>1.2114023068294739E-2</c:v>
                </c:pt>
                <c:pt idx="282">
                  <c:v>1.2646436542393174E-2</c:v>
                </c:pt>
                <c:pt idx="283">
                  <c:v>1.3240768832011772E-2</c:v>
                </c:pt>
                <c:pt idx="284">
                  <c:v>1.3898764407119783E-2</c:v>
                </c:pt>
                <c:pt idx="285">
                  <c:v>1.4622099600890543E-2</c:v>
                </c:pt>
                <c:pt idx="286">
                  <c:v>1.5412352580237274E-2</c:v>
                </c:pt>
                <c:pt idx="287">
                  <c:v>1.6270970186249629E-2</c:v>
                </c:pt>
                <c:pt idx="288">
                  <c:v>1.7200321950941407E-2</c:v>
                </c:pt>
                <c:pt idx="289">
                  <c:v>1.821152363959868E-2</c:v>
                </c:pt>
                <c:pt idx="290">
                  <c:v>1.9273122195318126E-2</c:v>
                </c:pt>
                <c:pt idx="291">
                  <c:v>2.0386511884308792E-2</c:v>
                </c:pt>
                <c:pt idx="292">
                  <c:v>2.1553136541534918E-2</c:v>
                </c:pt>
                <c:pt idx="293">
                  <c:v>2.2774495098645941E-2</c:v>
                </c:pt>
                <c:pt idx="294">
                  <c:v>2.4052147682314645E-2</c:v>
                </c:pt>
                <c:pt idx="295">
                  <c:v>2.5387790389918983E-2</c:v>
                </c:pt>
                <c:pt idx="296">
                  <c:v>2.6761554996137429E-2</c:v>
                </c:pt>
                <c:pt idx="297">
                  <c:v>2.8174702718869172E-2</c:v>
                </c:pt>
                <c:pt idx="298">
                  <c:v>2.9628374813700363E-2</c:v>
                </c:pt>
                <c:pt idx="299">
                  <c:v>3.112379936265694E-2</c:v>
                </c:pt>
                <c:pt idx="300">
                  <c:v>3.2662299678143339E-2</c:v>
                </c:pt>
                <c:pt idx="301">
                  <c:v>3.4245303488466973E-2</c:v>
                </c:pt>
                <c:pt idx="302">
                  <c:v>3.5874522571588761E-2</c:v>
                </c:pt>
                <c:pt idx="303">
                  <c:v>3.7526882559968222E-2</c:v>
                </c:pt>
                <c:pt idx="304">
                  <c:v>3.9192362661749115E-2</c:v>
                </c:pt>
                <c:pt idx="305">
                  <c:v>4.0870133975394296E-2</c:v>
                </c:pt>
                <c:pt idx="306">
                  <c:v>4.2559198311682686E-2</c:v>
                </c:pt>
                <c:pt idx="307">
                  <c:v>4.4258377209170544E-2</c:v>
                </c:pt>
                <c:pt idx="308">
                  <c:v>4.5966300876181802E-2</c:v>
                </c:pt>
                <c:pt idx="309">
                  <c:v>4.7652021224934372E-2</c:v>
                </c:pt>
                <c:pt idx="310">
                  <c:v>4.9312576402787189E-2</c:v>
                </c:pt>
                <c:pt idx="311">
                  <c:v>5.0944843850193398E-2</c:v>
                </c:pt>
                <c:pt idx="312">
                  <c:v>5.25454683250835E-2</c:v>
                </c:pt>
                <c:pt idx="313">
                  <c:v>5.4110862583254322E-2</c:v>
                </c:pt>
                <c:pt idx="314">
                  <c:v>5.5637210323984103E-2</c:v>
                </c:pt>
                <c:pt idx="315">
                  <c:v>5.7120471792819663E-2</c:v>
                </c:pt>
                <c:pt idx="316">
                  <c:v>5.855737311831221E-2</c:v>
                </c:pt>
                <c:pt idx="317">
                  <c:v>5.9925850423060222E-2</c:v>
                </c:pt>
                <c:pt idx="318">
                  <c:v>6.1252073571425786E-2</c:v>
                </c:pt>
                <c:pt idx="319">
                  <c:v>6.2534195292150457E-2</c:v>
                </c:pt>
                <c:pt idx="320">
                  <c:v>6.3770449697295409E-2</c:v>
                </c:pt>
                <c:pt idx="321">
                  <c:v>6.49591556023488E-2</c:v>
                </c:pt>
                <c:pt idx="322">
                  <c:v>6.6098719197792116E-2</c:v>
                </c:pt>
                <c:pt idx="323">
                  <c:v>6.7191913797498115E-2</c:v>
                </c:pt>
                <c:pt idx="324">
                  <c:v>6.8272217430419169E-2</c:v>
                </c:pt>
                <c:pt idx="325">
                  <c:v>6.9339453348308336E-2</c:v>
                </c:pt>
                <c:pt idx="326">
                  <c:v>7.0393086796538468E-2</c:v>
                </c:pt>
                <c:pt idx="327">
                  <c:v>7.1432935437695341E-2</c:v>
                </c:pt>
                <c:pt idx="328">
                  <c:v>7.2459264387276373E-2</c:v>
                </c:pt>
                <c:pt idx="329">
                  <c:v>7.347243739222109E-2</c:v>
                </c:pt>
                <c:pt idx="330">
                  <c:v>7.4477823588063152E-2</c:v>
                </c:pt>
                <c:pt idx="331">
                  <c:v>7.5481262728848211E-2</c:v>
                </c:pt>
                <c:pt idx="332">
                  <c:v>7.6502135055933215E-2</c:v>
                </c:pt>
                <c:pt idx="333">
                  <c:v>7.75368223897165E-2</c:v>
                </c:pt>
                <c:pt idx="334">
                  <c:v>7.8581351780265749E-2</c:v>
                </c:pt>
                <c:pt idx="335">
                  <c:v>7.9631380445300909E-2</c:v>
                </c:pt>
                <c:pt idx="336">
                  <c:v>8.0682185370579237E-2</c:v>
                </c:pt>
                <c:pt idx="337">
                  <c:v>8.171063033614176E-2</c:v>
                </c:pt>
                <c:pt idx="338">
                  <c:v>8.2705896651351002E-2</c:v>
                </c:pt>
                <c:pt idx="339">
                  <c:v>8.3661622435110619E-2</c:v>
                </c:pt>
                <c:pt idx="340">
                  <c:v>8.4571157276122591E-2</c:v>
                </c:pt>
                <c:pt idx="341">
                  <c:v>8.5427608452944476E-2</c:v>
                </c:pt>
                <c:pt idx="342">
                  <c:v>8.6223898440986282E-2</c:v>
                </c:pt>
                <c:pt idx="343">
                  <c:v>8.6952834097502499E-2</c:v>
                </c:pt>
                <c:pt idx="344">
                  <c:v>8.7620508247567563E-2</c:v>
                </c:pt>
                <c:pt idx="345">
                  <c:v>8.8236475981925924E-2</c:v>
                </c:pt>
                <c:pt idx="346">
                  <c:v>8.878568980823065E-2</c:v>
                </c:pt>
                <c:pt idx="347">
                  <c:v>8.9266179838013687E-2</c:v>
                </c:pt>
                <c:pt idx="348">
                  <c:v>8.967614457059217E-2</c:v>
                </c:pt>
                <c:pt idx="349">
                  <c:v>9.0013966951967964E-2</c:v>
                </c:pt>
                <c:pt idx="350">
                  <c:v>9.027822954531782E-2</c:v>
                </c:pt>
                <c:pt idx="351">
                  <c:v>9.0458173964294425E-2</c:v>
                </c:pt>
                <c:pt idx="352">
                  <c:v>9.057201518593036E-2</c:v>
                </c:pt>
                <c:pt idx="353">
                  <c:v>9.0619030992743113E-2</c:v>
                </c:pt>
                <c:pt idx="354">
                  <c:v>9.0598715124455262E-2</c:v>
                </c:pt>
                <c:pt idx="355">
                  <c:v>9.0510784139161762E-2</c:v>
                </c:pt>
                <c:pt idx="356">
                  <c:v>9.0354851726455687E-2</c:v>
                </c:pt>
                <c:pt idx="357">
                  <c:v>9.0131302873186492E-2</c:v>
                </c:pt>
                <c:pt idx="358">
                  <c:v>8.983865096644035E-2</c:v>
                </c:pt>
                <c:pt idx="359">
                  <c:v>8.947696009493615E-2</c:v>
                </c:pt>
                <c:pt idx="360">
                  <c:v>8.9029700553752283E-2</c:v>
                </c:pt>
                <c:pt idx="361">
                  <c:v>8.8509076041521348E-2</c:v>
                </c:pt>
                <c:pt idx="362">
                  <c:v>8.7917974633643786E-2</c:v>
                </c:pt>
                <c:pt idx="363">
                  <c:v>8.7259427982587082E-2</c:v>
                </c:pt>
                <c:pt idx="364">
                  <c:v>8.6536582315209248E-2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393872"/>
        <c:axId val="464394264"/>
      </c:lineChart>
      <c:dateAx>
        <c:axId val="4643938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4394264"/>
        <c:crosses val="autoZero"/>
        <c:auto val="1"/>
        <c:lblOffset val="100"/>
        <c:baseTimeUnit val="days"/>
        <c:majorUnit val="1"/>
        <c:majorTimeUnit val="months"/>
      </c:dateAx>
      <c:valAx>
        <c:axId val="4643942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4393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Crèche Ayguesvives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1403.1758466090839</c:v>
                </c:pt>
                <c:pt idx="1">
                  <c:v>11644.129113364914</c:v>
                </c:pt>
                <c:pt idx="2">
                  <c:v>11356.434113473997</c:v>
                </c:pt>
                <c:pt idx="3">
                  <c:v>11103.268873971585</c:v>
                </c:pt>
                <c:pt idx="4">
                  <c:v>11674.669000295462</c:v>
                </c:pt>
                <c:pt idx="5">
                  <c:v>11578.457398787843</c:v>
                </c:pt>
                <c:pt idx="6">
                  <c:v>11557.717238484547</c:v>
                </c:pt>
                <c:pt idx="7">
                  <c:v>11617.60777166108</c:v>
                </c:pt>
                <c:pt idx="8">
                  <c:v>11663.260208182624</c:v>
                </c:pt>
                <c:pt idx="9">
                  <c:v>11649.717949675918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1399.9034010456101</c:v>
                </c:pt>
                <c:pt idx="1">
                  <c:v>11554.68769408685</c:v>
                </c:pt>
                <c:pt idx="2">
                  <c:v>11169.95444347573</c:v>
                </c:pt>
                <c:pt idx="3">
                  <c:v>10826.548605071333</c:v>
                </c:pt>
                <c:pt idx="4">
                  <c:v>11282.036510193544</c:v>
                </c:pt>
                <c:pt idx="5">
                  <c:v>11097.468395641454</c:v>
                </c:pt>
                <c:pt idx="6">
                  <c:v>10978.607239818697</c:v>
                </c:pt>
                <c:pt idx="7">
                  <c:v>10948.988825103852</c:v>
                </c:pt>
                <c:pt idx="8">
                  <c:v>10903.841426115439</c:v>
                </c:pt>
                <c:pt idx="9">
                  <c:v>10797.690949864213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1364.6160000000002</c:v>
                </c:pt>
                <c:pt idx="1">
                  <c:v>10766.592999999999</c:v>
                </c:pt>
                <c:pt idx="2">
                  <c:v>9848.9630000000052</c:v>
                </c:pt>
                <c:pt idx="3">
                  <c:v>9878.5520000000051</c:v>
                </c:pt>
                <c:pt idx="4">
                  <c:v>9761.7630000000063</c:v>
                </c:pt>
                <c:pt idx="5">
                  <c:v>10367.512729766382</c:v>
                </c:pt>
                <c:pt idx="6">
                  <c:v>10102.995255923337</c:v>
                </c:pt>
                <c:pt idx="7">
                  <c:v>10185.589963667546</c:v>
                </c:pt>
                <c:pt idx="8">
                  <c:v>10201.692806810939</c:v>
                </c:pt>
                <c:pt idx="9">
                  <c:v>10083.124926886461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1364.6160000000002</c:v>
                </c:pt>
                <c:pt idx="1">
                  <c:v>10766.592999999999</c:v>
                </c:pt>
                <c:pt idx="2">
                  <c:v>9848.9630000000052</c:v>
                </c:pt>
                <c:pt idx="3">
                  <c:v>9243.4892350985701</c:v>
                </c:pt>
                <c:pt idx="4">
                  <c:v>9383.7653914185685</c:v>
                </c:pt>
                <c:pt idx="5">
                  <c:v>9822.0646143947779</c:v>
                </c:pt>
                <c:pt idx="6">
                  <c:v>9503.4700675586337</c:v>
                </c:pt>
                <c:pt idx="7">
                  <c:v>9360.335082347714</c:v>
                </c:pt>
                <c:pt idx="8">
                  <c:v>9257.7474546141548</c:v>
                </c:pt>
                <c:pt idx="9">
                  <c:v>9106.6618113098521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635.44106915727116</c:v>
                </c:pt>
                <c:pt idx="4">
                  <c:v>374.03532286829932</c:v>
                </c:pt>
                <c:pt idx="5">
                  <c:v>544.9251407068075</c:v>
                </c:pt>
                <c:pt idx="6">
                  <c:v>599.78020227336037</c:v>
                </c:pt>
                <c:pt idx="7">
                  <c:v>636.66240872103094</c:v>
                </c:pt>
                <c:pt idx="8">
                  <c:v>617.77226155945425</c:v>
                </c:pt>
                <c:pt idx="9">
                  <c:v>604.58837856416812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-4.5560801234965567</c:v>
                </c:pt>
                <c:pt idx="4">
                  <c:v>-4.291747278890341</c:v>
                </c:pt>
                <c:pt idx="5">
                  <c:v>-8.235418110492418</c:v>
                </c:pt>
                <c:pt idx="6">
                  <c:v>-12.12632639154802</c:v>
                </c:pt>
                <c:pt idx="7">
                  <c:v>160.29433461185278</c:v>
                </c:pt>
                <c:pt idx="8">
                  <c:v>284.96604432968928</c:v>
                </c:pt>
                <c:pt idx="9">
                  <c:v>323.71355879971907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0473736"/>
        <c:axId val="530474128"/>
      </c:lineChart>
      <c:catAx>
        <c:axId val="530473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0474128"/>
        <c:crosses val="autoZero"/>
        <c:auto val="1"/>
        <c:lblAlgn val="ctr"/>
        <c:lblOffset val="100"/>
        <c:noMultiLvlLbl val="0"/>
      </c:catAx>
      <c:valAx>
        <c:axId val="530474128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04737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15.432371493371184</c:v>
                </c:pt>
                <c:pt idx="1">
                  <c:v>15.552488783840323</c:v>
                </c:pt>
                <c:pt idx="2">
                  <c:v>15.680570799437314</c:v>
                </c:pt>
                <c:pt idx="3">
                  <c:v>15.816391710794509</c:v>
                </c:pt>
                <c:pt idx="4">
                  <c:v>15.959725583322573</c:v>
                </c:pt>
                <c:pt idx="5">
                  <c:v>16.110346372555608</c:v>
                </c:pt>
                <c:pt idx="6">
                  <c:v>16.268027926146502</c:v>
                </c:pt>
                <c:pt idx="7">
                  <c:v>16.4325439873367</c:v>
                </c:pt>
                <c:pt idx="8">
                  <c:v>16.605666133507196</c:v>
                </c:pt>
                <c:pt idx="9">
                  <c:v>16.788654838820285</c:v>
                </c:pt>
                <c:pt idx="10">
                  <c:v>16.980619188304878</c:v>
                </c:pt>
                <c:pt idx="11">
                  <c:v>17.180917087754946</c:v>
                </c:pt>
                <c:pt idx="12">
                  <c:v>17.388906496452524</c:v>
                </c:pt>
                <c:pt idx="13">
                  <c:v>17.603945451476267</c:v>
                </c:pt>
                <c:pt idx="14">
                  <c:v>17.825392078480274</c:v>
                </c:pt>
                <c:pt idx="15">
                  <c:v>18.052697112160462</c:v>
                </c:pt>
                <c:pt idx="16">
                  <c:v>18.28523765091342</c:v>
                </c:pt>
                <c:pt idx="17">
                  <c:v>18.522372346179665</c:v>
                </c:pt>
                <c:pt idx="18">
                  <c:v>18.763459981847426</c:v>
                </c:pt>
                <c:pt idx="19">
                  <c:v>19.007854819477213</c:v>
                </c:pt>
                <c:pt idx="20">
                  <c:v>19.254909280253738</c:v>
                </c:pt>
                <c:pt idx="21">
                  <c:v>19.503979672245269</c:v>
                </c:pt>
                <c:pt idx="22">
                  <c:v>19.756656729784407</c:v>
                </c:pt>
                <c:pt idx="23">
                  <c:v>20.015406830071232</c:v>
                </c:pt>
                <c:pt idx="24">
                  <c:v>20.280170709766498</c:v>
                </c:pt>
                <c:pt idx="25">
                  <c:v>20.550654465260831</c:v>
                </c:pt>
                <c:pt idx="26">
                  <c:v>20.826564264512303</c:v>
                </c:pt>
                <c:pt idx="27">
                  <c:v>21.107606363865102</c:v>
                </c:pt>
                <c:pt idx="28">
                  <c:v>21.393487127354582</c:v>
                </c:pt>
                <c:pt idx="29">
                  <c:v>21.684747781931694</c:v>
                </c:pt>
                <c:pt idx="30">
                  <c:v>21.981001313269321</c:v>
                </c:pt>
                <c:pt idx="31">
                  <c:v>22.281953895565852</c:v>
                </c:pt>
                <c:pt idx="32">
                  <c:v>22.587311804480354</c:v>
                </c:pt>
                <c:pt idx="33">
                  <c:v>22.896781444855947</c:v>
                </c:pt>
                <c:pt idx="34">
                  <c:v>23.210069365169382</c:v>
                </c:pt>
                <c:pt idx="35">
                  <c:v>23.526882279710527</c:v>
                </c:pt>
                <c:pt idx="36">
                  <c:v>23.847444228078668</c:v>
                </c:pt>
                <c:pt idx="37">
                  <c:v>24.172154349679094</c:v>
                </c:pt>
                <c:pt idx="38">
                  <c:v>24.500465810674697</c:v>
                </c:pt>
                <c:pt idx="39">
                  <c:v>24.832473951362218</c:v>
                </c:pt>
                <c:pt idx="40">
                  <c:v>25.168274240374576</c:v>
                </c:pt>
                <c:pt idx="41">
                  <c:v>25.507962279299473</c:v>
                </c:pt>
                <c:pt idx="42">
                  <c:v>25.851633805068381</c:v>
                </c:pt>
                <c:pt idx="43">
                  <c:v>26.198509887037094</c:v>
                </c:pt>
                <c:pt idx="44">
                  <c:v>26.54785567333532</c:v>
                </c:pt>
                <c:pt idx="45">
                  <c:v>26.899769034138259</c:v>
                </c:pt>
                <c:pt idx="46">
                  <c:v>27.254347965777388</c:v>
                </c:pt>
                <c:pt idx="47">
                  <c:v>27.611690578572087</c:v>
                </c:pt>
                <c:pt idx="48">
                  <c:v>27.971895068616757</c:v>
                </c:pt>
                <c:pt idx="49">
                  <c:v>28.335059697587493</c:v>
                </c:pt>
                <c:pt idx="50">
                  <c:v>28.701880061374869</c:v>
                </c:pt>
                <c:pt idx="51">
                  <c:v>29.072133161447557</c:v>
                </c:pt>
                <c:pt idx="52">
                  <c:v>29.445517706738073</c:v>
                </c:pt>
                <c:pt idx="53">
                  <c:v>29.821649501211652</c:v>
                </c:pt>
                <c:pt idx="54">
                  <c:v>30.200142645577152</c:v>
                </c:pt>
                <c:pt idx="55">
                  <c:v>30.580611290119698</c:v>
                </c:pt>
                <c:pt idx="56">
                  <c:v>30.962669620158479</c:v>
                </c:pt>
                <c:pt idx="57">
                  <c:v>31.345649769063609</c:v>
                </c:pt>
                <c:pt idx="58">
                  <c:v>31.73003381268764</c:v>
                </c:pt>
                <c:pt idx="59">
                  <c:v>32.115433373159092</c:v>
                </c:pt>
                <c:pt idx="60">
                  <c:v>32.501459899093497</c:v>
                </c:pt>
                <c:pt idx="61">
                  <c:v>32.887724649160596</c:v>
                </c:pt>
                <c:pt idx="62">
                  <c:v>33.273838681177772</c:v>
                </c:pt>
                <c:pt idx="63">
                  <c:v>33.659412835398911</c:v>
                </c:pt>
                <c:pt idx="64">
                  <c:v>34.046283119487136</c:v>
                </c:pt>
                <c:pt idx="65">
                  <c:v>34.436109382579097</c:v>
                </c:pt>
                <c:pt idx="66">
                  <c:v>34.828901382587517</c:v>
                </c:pt>
                <c:pt idx="67">
                  <c:v>35.224073664562688</c:v>
                </c:pt>
                <c:pt idx="68">
                  <c:v>35.621040494346964</c:v>
                </c:pt>
                <c:pt idx="69">
                  <c:v>36.019215844549251</c:v>
                </c:pt>
                <c:pt idx="70">
                  <c:v>36.418013385463674</c:v>
                </c:pt>
                <c:pt idx="71">
                  <c:v>36.817000769059234</c:v>
                </c:pt>
                <c:pt idx="72">
                  <c:v>37.215881148657772</c:v>
                </c:pt>
                <c:pt idx="73">
                  <c:v>37.614069447122411</c:v>
                </c:pt>
                <c:pt idx="74">
                  <c:v>38.010980429094133</c:v>
                </c:pt>
                <c:pt idx="75">
                  <c:v>38.406028707114174</c:v>
                </c:pt>
                <c:pt idx="76">
                  <c:v>38.798628751048021</c:v>
                </c:pt>
                <c:pt idx="77">
                  <c:v>39.188194899575805</c:v>
                </c:pt>
                <c:pt idx="78">
                  <c:v>39.577266413911019</c:v>
                </c:pt>
                <c:pt idx="79">
                  <c:v>39.968343468660045</c:v>
                </c:pt>
                <c:pt idx="80">
                  <c:v>40.360695488430828</c:v>
                </c:pt>
                <c:pt idx="81">
                  <c:v>40.753542856655855</c:v>
                </c:pt>
                <c:pt idx="82">
                  <c:v>41.146106023436182</c:v>
                </c:pt>
                <c:pt idx="83">
                  <c:v>41.537605527676888</c:v>
                </c:pt>
                <c:pt idx="84">
                  <c:v>41.927262024322694</c:v>
                </c:pt>
                <c:pt idx="85">
                  <c:v>42.314357873278652</c:v>
                </c:pt>
                <c:pt idx="86">
                  <c:v>42.69795962800039</c:v>
                </c:pt>
                <c:pt idx="87">
                  <c:v>43.077288620772443</c:v>
                </c:pt>
                <c:pt idx="88">
                  <c:v>43.451566440606847</c:v>
                </c:pt>
                <c:pt idx="89">
                  <c:v>43.820014963406585</c:v>
                </c:pt>
                <c:pt idx="90">
                  <c:v>44.181856401948629</c:v>
                </c:pt>
                <c:pt idx="91">
                  <c:v>44.536313336220381</c:v>
                </c:pt>
                <c:pt idx="92">
                  <c:v>44.88516655236424</c:v>
                </c:pt>
                <c:pt idx="93">
                  <c:v>45.230616764925855</c:v>
                </c:pt>
                <c:pt idx="94">
                  <c:v>45.572276676677085</c:v>
                </c:pt>
                <c:pt idx="95">
                  <c:v>45.909851288689538</c:v>
                </c:pt>
                <c:pt idx="96">
                  <c:v>46.243045862423983</c:v>
                </c:pt>
                <c:pt idx="97">
                  <c:v>46.571565955689863</c:v>
                </c:pt>
                <c:pt idx="98">
                  <c:v>46.895117444258645</c:v>
                </c:pt>
                <c:pt idx="99">
                  <c:v>47.213492642009683</c:v>
                </c:pt>
                <c:pt idx="100">
                  <c:v>47.526335555813667</c:v>
                </c:pt>
                <c:pt idx="101">
                  <c:v>47.833353290176277</c:v>
                </c:pt>
                <c:pt idx="102">
                  <c:v>48.134253406868581</c:v>
                </c:pt>
                <c:pt idx="103">
                  <c:v>48.428743946075947</c:v>
                </c:pt>
                <c:pt idx="104">
                  <c:v>48.71653347233655</c:v>
                </c:pt>
                <c:pt idx="105">
                  <c:v>48.997331099827932</c:v>
                </c:pt>
                <c:pt idx="106">
                  <c:v>49.272195238727981</c:v>
                </c:pt>
                <c:pt idx="107">
                  <c:v>49.542231476225631</c:v>
                </c:pt>
                <c:pt idx="108">
                  <c:v>49.807048628118835</c:v>
                </c:pt>
                <c:pt idx="109">
                  <c:v>55.9826555307517</c:v>
                </c:pt>
                <c:pt idx="110">
                  <c:v>56.246592273353478</c:v>
                </c:pt>
                <c:pt idx="111">
                  <c:v>56.503762317435061</c:v>
                </c:pt>
                <c:pt idx="112">
                  <c:v>56.753852849927135</c:v>
                </c:pt>
                <c:pt idx="113">
                  <c:v>56.9964581546377</c:v>
                </c:pt>
                <c:pt idx="114">
                  <c:v>57.231167649569173</c:v>
                </c:pt>
                <c:pt idx="115">
                  <c:v>57.457670013634136</c:v>
                </c:pt>
                <c:pt idx="116">
                  <c:v>57.675654694553415</c:v>
                </c:pt>
                <c:pt idx="117">
                  <c:v>57.884811911708809</c:v>
                </c:pt>
                <c:pt idx="118">
                  <c:v>58.084832679625649</c:v>
                </c:pt>
                <c:pt idx="119">
                  <c:v>58.275408814148669</c:v>
                </c:pt>
                <c:pt idx="120">
                  <c:v>58.456108069001509</c:v>
                </c:pt>
                <c:pt idx="121">
                  <c:v>58.626817271681631</c:v>
                </c:pt>
                <c:pt idx="122">
                  <c:v>58.787924247390002</c:v>
                </c:pt>
                <c:pt idx="123">
                  <c:v>58.93987014260361</c:v>
                </c:pt>
                <c:pt idx="124">
                  <c:v>59.083095349365536</c:v>
                </c:pt>
                <c:pt idx="125">
                  <c:v>59.218039526552523</c:v>
                </c:pt>
                <c:pt idx="126">
                  <c:v>59.345141598894593</c:v>
                </c:pt>
                <c:pt idx="127">
                  <c:v>59.464737964871318</c:v>
                </c:pt>
                <c:pt idx="128">
                  <c:v>59.577360247012791</c:v>
                </c:pt>
                <c:pt idx="129">
                  <c:v>59.683444599727387</c:v>
                </c:pt>
                <c:pt idx="130">
                  <c:v>59.783426457778816</c:v>
                </c:pt>
                <c:pt idx="131">
                  <c:v>59.877740545163064</c:v>
                </c:pt>
                <c:pt idx="132">
                  <c:v>59.96682088064528</c:v>
                </c:pt>
                <c:pt idx="133">
                  <c:v>60.051100783796628</c:v>
                </c:pt>
                <c:pt idx="134">
                  <c:v>60.129259645714335</c:v>
                </c:pt>
                <c:pt idx="135">
                  <c:v>60.199882411173583</c:v>
                </c:pt>
                <c:pt idx="136">
                  <c:v>60.263482272090776</c:v>
                </c:pt>
                <c:pt idx="137">
                  <c:v>60.320389377189358</c:v>
                </c:pt>
                <c:pt idx="138">
                  <c:v>60.370933421675915</c:v>
                </c:pt>
                <c:pt idx="139">
                  <c:v>60.415443638623231</c:v>
                </c:pt>
                <c:pt idx="140">
                  <c:v>60.454248797502778</c:v>
                </c:pt>
                <c:pt idx="141">
                  <c:v>60.487630435696822</c:v>
                </c:pt>
                <c:pt idx="142">
                  <c:v>60.516023739569221</c:v>
                </c:pt>
                <c:pt idx="143">
                  <c:v>60.539757157938091</c:v>
                </c:pt>
                <c:pt idx="144">
                  <c:v>60.559158523649664</c:v>
                </c:pt>
                <c:pt idx="145">
                  <c:v>60.574555208618861</c:v>
                </c:pt>
                <c:pt idx="146">
                  <c:v>60.586274112651893</c:v>
                </c:pt>
                <c:pt idx="147">
                  <c:v>60.594641648665402</c:v>
                </c:pt>
                <c:pt idx="148">
                  <c:v>60.598735733052713</c:v>
                </c:pt>
                <c:pt idx="149">
                  <c:v>60.597516973659438</c:v>
                </c:pt>
                <c:pt idx="150">
                  <c:v>60.591238566337168</c:v>
                </c:pt>
                <c:pt idx="151">
                  <c:v>60.580123955491068</c:v>
                </c:pt>
                <c:pt idx="152">
                  <c:v>60.564396223904353</c:v>
                </c:pt>
                <c:pt idx="153">
                  <c:v>60.544278068180589</c:v>
                </c:pt>
                <c:pt idx="154">
                  <c:v>60.519991776813541</c:v>
                </c:pt>
                <c:pt idx="155">
                  <c:v>60.491747498527296</c:v>
                </c:pt>
                <c:pt idx="156">
                  <c:v>60.459814674434099</c:v>
                </c:pt>
                <c:pt idx="157">
                  <c:v>60.424414361469175</c:v>
                </c:pt>
                <c:pt idx="158">
                  <c:v>60.385767109652129</c:v>
                </c:pt>
                <c:pt idx="159">
                  <c:v>60.344092942270578</c:v>
                </c:pt>
                <c:pt idx="160">
                  <c:v>60.299611327808911</c:v>
                </c:pt>
                <c:pt idx="161">
                  <c:v>60.252541162127173</c:v>
                </c:pt>
                <c:pt idx="162">
                  <c:v>60.20212366233546</c:v>
                </c:pt>
                <c:pt idx="163">
                  <c:v>60.14759706740503</c:v>
                </c:pt>
                <c:pt idx="164">
                  <c:v>60.08923332795905</c:v>
                </c:pt>
                <c:pt idx="165">
                  <c:v>60.027252258410918</c:v>
                </c:pt>
                <c:pt idx="166">
                  <c:v>59.961872963328716</c:v>
                </c:pt>
                <c:pt idx="167">
                  <c:v>59.893313828643784</c:v>
                </c:pt>
                <c:pt idx="168">
                  <c:v>59.821792498303957</c:v>
                </c:pt>
                <c:pt idx="169">
                  <c:v>59.747521223115157</c:v>
                </c:pt>
                <c:pt idx="170">
                  <c:v>59.670728489258714</c:v>
                </c:pt>
                <c:pt idx="171">
                  <c:v>59.591629682274565</c:v>
                </c:pt>
                <c:pt idx="172">
                  <c:v>59.510439404026464</c:v>
                </c:pt>
                <c:pt idx="173">
                  <c:v>59.427371549201354</c:v>
                </c:pt>
                <c:pt idx="174">
                  <c:v>59.342639230284888</c:v>
                </c:pt>
                <c:pt idx="175">
                  <c:v>59.256454703142118</c:v>
                </c:pt>
                <c:pt idx="176">
                  <c:v>59.16896014107224</c:v>
                </c:pt>
                <c:pt idx="177">
                  <c:v>59.080007191853156</c:v>
                </c:pt>
                <c:pt idx="178">
                  <c:v>58.989395857524329</c:v>
                </c:pt>
                <c:pt idx="179">
                  <c:v>58.896921283241028</c:v>
                </c:pt>
                <c:pt idx="180">
                  <c:v>58.802378650328684</c:v>
                </c:pt>
                <c:pt idx="181">
                  <c:v>58.70556317638642</c:v>
                </c:pt>
                <c:pt idx="182">
                  <c:v>58.606270118283291</c:v>
                </c:pt>
                <c:pt idx="183">
                  <c:v>58.504239507664309</c:v>
                </c:pt>
                <c:pt idx="184">
                  <c:v>58.399271491428507</c:v>
                </c:pt>
                <c:pt idx="185">
                  <c:v>58.291161184528669</c:v>
                </c:pt>
                <c:pt idx="186">
                  <c:v>58.179703799787688</c:v>
                </c:pt>
                <c:pt idx="187">
                  <c:v>58.064694653996376</c:v>
                </c:pt>
                <c:pt idx="188">
                  <c:v>57.945929185795599</c:v>
                </c:pt>
                <c:pt idx="189">
                  <c:v>57.823202974257853</c:v>
                </c:pt>
                <c:pt idx="190">
                  <c:v>57.696380595457832</c:v>
                </c:pt>
                <c:pt idx="191">
                  <c:v>57.565550734784843</c:v>
                </c:pt>
                <c:pt idx="192">
                  <c:v>57.43093486798427</c:v>
                </c:pt>
                <c:pt idx="193">
                  <c:v>57.292740663354643</c:v>
                </c:pt>
                <c:pt idx="194">
                  <c:v>57.151175309692682</c:v>
                </c:pt>
                <c:pt idx="195">
                  <c:v>57.006445542412919</c:v>
                </c:pt>
                <c:pt idx="196">
                  <c:v>56.858757667334181</c:v>
                </c:pt>
                <c:pt idx="197">
                  <c:v>56.708277359394842</c:v>
                </c:pt>
                <c:pt idx="198">
                  <c:v>56.555266814119655</c:v>
                </c:pt>
                <c:pt idx="199">
                  <c:v>56.399931133558894</c:v>
                </c:pt>
                <c:pt idx="200">
                  <c:v>56.242475102708141</c:v>
                </c:pt>
                <c:pt idx="201">
                  <c:v>56.083103211554089</c:v>
                </c:pt>
                <c:pt idx="202">
                  <c:v>55.922019677514108</c:v>
                </c:pt>
                <c:pt idx="203">
                  <c:v>55.759428464951704</c:v>
                </c:pt>
                <c:pt idx="204">
                  <c:v>55.595464927851502</c:v>
                </c:pt>
                <c:pt idx="205">
                  <c:v>55.429859390380535</c:v>
                </c:pt>
                <c:pt idx="206">
                  <c:v>55.262456844389867</c:v>
                </c:pt>
                <c:pt idx="207">
                  <c:v>55.093051019786067</c:v>
                </c:pt>
                <c:pt idx="208">
                  <c:v>54.921436173102705</c:v>
                </c:pt>
                <c:pt idx="209">
                  <c:v>54.747407089200436</c:v>
                </c:pt>
                <c:pt idx="210">
                  <c:v>54.570759076279991</c:v>
                </c:pt>
                <c:pt idx="211">
                  <c:v>54.391095594981167</c:v>
                </c:pt>
                <c:pt idx="212">
                  <c:v>54.208254732638125</c:v>
                </c:pt>
                <c:pt idx="213">
                  <c:v>54.02203351011498</c:v>
                </c:pt>
                <c:pt idx="214">
                  <c:v>53.832229448766149</c:v>
                </c:pt>
                <c:pt idx="215">
                  <c:v>53.63864056841846</c:v>
                </c:pt>
                <c:pt idx="216">
                  <c:v>53.441065376830323</c:v>
                </c:pt>
                <c:pt idx="217">
                  <c:v>53.239302853112733</c:v>
                </c:pt>
                <c:pt idx="218">
                  <c:v>53.034547260358949</c:v>
                </c:pt>
                <c:pt idx="219">
                  <c:v>52.827748367574031</c:v>
                </c:pt>
                <c:pt idx="220">
                  <c:v>52.618632839047393</c:v>
                </c:pt>
                <c:pt idx="221">
                  <c:v>52.406794924628393</c:v>
                </c:pt>
                <c:pt idx="222">
                  <c:v>52.191829620078117</c:v>
                </c:pt>
                <c:pt idx="223">
                  <c:v>51.973332651037822</c:v>
                </c:pt>
                <c:pt idx="224">
                  <c:v>51.750900450595196</c:v>
                </c:pt>
                <c:pt idx="225">
                  <c:v>51.524198387407644</c:v>
                </c:pt>
                <c:pt idx="226">
                  <c:v>51.293017081206351</c:v>
                </c:pt>
                <c:pt idx="227">
                  <c:v>51.056955120503645</c:v>
                </c:pt>
                <c:pt idx="228">
                  <c:v>50.815611730807582</c:v>
                </c:pt>
                <c:pt idx="229">
                  <c:v>50.568586748492251</c:v>
                </c:pt>
                <c:pt idx="230">
                  <c:v>50.315480613265599</c:v>
                </c:pt>
                <c:pt idx="231">
                  <c:v>50.055894355820932</c:v>
                </c:pt>
                <c:pt idx="232">
                  <c:v>49.790884547506479</c:v>
                </c:pt>
                <c:pt idx="233">
                  <c:v>49.521778565186771</c:v>
                </c:pt>
                <c:pt idx="234">
                  <c:v>49.24848585091307</c:v>
                </c:pt>
                <c:pt idx="235">
                  <c:v>48.970808893421122</c:v>
                </c:pt>
                <c:pt idx="236">
                  <c:v>48.688550323745844</c:v>
                </c:pt>
                <c:pt idx="237">
                  <c:v>48.401513134745613</c:v>
                </c:pt>
                <c:pt idx="238">
                  <c:v>48.109500540421827</c:v>
                </c:pt>
                <c:pt idx="239">
                  <c:v>47.812464257267543</c:v>
                </c:pt>
                <c:pt idx="240">
                  <c:v>47.510139456582245</c:v>
                </c:pt>
                <c:pt idx="241">
                  <c:v>47.202330067794989</c:v>
                </c:pt>
                <c:pt idx="242">
                  <c:v>46.888840227001893</c:v>
                </c:pt>
                <c:pt idx="243">
                  <c:v>46.569474278731903</c:v>
                </c:pt>
                <c:pt idx="244">
                  <c:v>46.244036776196523</c:v>
                </c:pt>
                <c:pt idx="245">
                  <c:v>45.912332476225636</c:v>
                </c:pt>
                <c:pt idx="246">
                  <c:v>45.573577190836716</c:v>
                </c:pt>
                <c:pt idx="247">
                  <c:v>45.227565508226299</c:v>
                </c:pt>
                <c:pt idx="248">
                  <c:v>44.874672285457777</c:v>
                </c:pt>
                <c:pt idx="249">
                  <c:v>44.515409300893658</c:v>
                </c:pt>
                <c:pt idx="250">
                  <c:v>44.150287563022104</c:v>
                </c:pt>
                <c:pt idx="251">
                  <c:v>43.779817318654771</c:v>
                </c:pt>
                <c:pt idx="252">
                  <c:v>43.404508062950953</c:v>
                </c:pt>
                <c:pt idx="253">
                  <c:v>43.024976310380232</c:v>
                </c:pt>
                <c:pt idx="254">
                  <c:v>42.641581340310744</c:v>
                </c:pt>
                <c:pt idx="255">
                  <c:v>42.254830383459073</c:v>
                </c:pt>
                <c:pt idx="256">
                  <c:v>41.865229958146521</c:v>
                </c:pt>
                <c:pt idx="257">
                  <c:v>41.473285880382633</c:v>
                </c:pt>
                <c:pt idx="258">
                  <c:v>41.0795032675031</c:v>
                </c:pt>
                <c:pt idx="259">
                  <c:v>40.684386544696473</c:v>
                </c:pt>
                <c:pt idx="260">
                  <c:v>40.285222480324649</c:v>
                </c:pt>
                <c:pt idx="261">
                  <c:v>39.879753180065769</c:v>
                </c:pt>
                <c:pt idx="262">
                  <c:v>39.468781559328463</c:v>
                </c:pt>
                <c:pt idx="263">
                  <c:v>39.053216203559806</c:v>
                </c:pt>
                <c:pt idx="264">
                  <c:v>38.633964412160523</c:v>
                </c:pt>
                <c:pt idx="265">
                  <c:v>38.211930394645186</c:v>
                </c:pt>
                <c:pt idx="266">
                  <c:v>37.788018031753928</c:v>
                </c:pt>
                <c:pt idx="267">
                  <c:v>37.362805918199349</c:v>
                </c:pt>
                <c:pt idx="268">
                  <c:v>36.937088506449705</c:v>
                </c:pt>
                <c:pt idx="269">
                  <c:v>36.511766880136911</c:v>
                </c:pt>
                <c:pt idx="270">
                  <c:v>36.087740932826392</c:v>
                </c:pt>
                <c:pt idx="271">
                  <c:v>35.665909387050434</c:v>
                </c:pt>
                <c:pt idx="272">
                  <c:v>35.247169814121548</c:v>
                </c:pt>
                <c:pt idx="273">
                  <c:v>34.832418656779694</c:v>
                </c:pt>
                <c:pt idx="274">
                  <c:v>34.418129049040843</c:v>
                </c:pt>
                <c:pt idx="275">
                  <c:v>33.999882637225198</c:v>
                </c:pt>
                <c:pt idx="276">
                  <c:v>33.578493395966554</c:v>
                </c:pt>
                <c:pt idx="277">
                  <c:v>33.154958351553077</c:v>
                </c:pt>
                <c:pt idx="278">
                  <c:v>32.730273204731127</c:v>
                </c:pt>
                <c:pt idx="279">
                  <c:v>32.305432373305031</c:v>
                </c:pt>
                <c:pt idx="280">
                  <c:v>31.88142904175858</c:v>
                </c:pt>
                <c:pt idx="281">
                  <c:v>31.458679270121291</c:v>
                </c:pt>
                <c:pt idx="282">
                  <c:v>31.03850155869436</c:v>
                </c:pt>
                <c:pt idx="283">
                  <c:v>30.621885715272914</c:v>
                </c:pt>
                <c:pt idx="284">
                  <c:v>30.209820504352827</c:v>
                </c:pt>
                <c:pt idx="285">
                  <c:v>29.803293717289659</c:v>
                </c:pt>
                <c:pt idx="286">
                  <c:v>29.40329222961045</c:v>
                </c:pt>
                <c:pt idx="287">
                  <c:v>29.010802078266703</c:v>
                </c:pt>
                <c:pt idx="288">
                  <c:v>28.62496222220236</c:v>
                </c:pt>
                <c:pt idx="289">
                  <c:v>28.243814727660776</c:v>
                </c:pt>
                <c:pt idx="290">
                  <c:v>27.868018159015534</c:v>
                </c:pt>
                <c:pt idx="291">
                  <c:v>27.497263941839911</c:v>
                </c:pt>
                <c:pt idx="292">
                  <c:v>27.131243765967103</c:v>
                </c:pt>
                <c:pt idx="293">
                  <c:v>26.769649590330101</c:v>
                </c:pt>
                <c:pt idx="294">
                  <c:v>26.412173666820401</c:v>
                </c:pt>
                <c:pt idx="295">
                  <c:v>26.058506738432303</c:v>
                </c:pt>
                <c:pt idx="296">
                  <c:v>25.708911601662212</c:v>
                </c:pt>
                <c:pt idx="297">
                  <c:v>25.363074745467276</c:v>
                </c:pt>
                <c:pt idx="298">
                  <c:v>25.020688340111533</c:v>
                </c:pt>
                <c:pt idx="299">
                  <c:v>24.681444857747163</c:v>
                </c:pt>
                <c:pt idx="300">
                  <c:v>24.345037103163641</c:v>
                </c:pt>
                <c:pt idx="301">
                  <c:v>24.011158220082574</c:v>
                </c:pt>
                <c:pt idx="302">
                  <c:v>23.67938558194971</c:v>
                </c:pt>
                <c:pt idx="303">
                  <c:v>23.350349436417549</c:v>
                </c:pt>
                <c:pt idx="304">
                  <c:v>23.024673601542911</c:v>
                </c:pt>
                <c:pt idx="305">
                  <c:v>22.702749466366392</c:v>
                </c:pt>
                <c:pt idx="306">
                  <c:v>22.384968493621312</c:v>
                </c:pt>
                <c:pt idx="307">
                  <c:v>22.071722232855269</c:v>
                </c:pt>
                <c:pt idx="308">
                  <c:v>21.763402346911572</c:v>
                </c:pt>
                <c:pt idx="309">
                  <c:v>21.461062601443171</c:v>
                </c:pt>
                <c:pt idx="310">
                  <c:v>21.165097148959205</c:v>
                </c:pt>
                <c:pt idx="311">
                  <c:v>20.875898626607672</c:v>
                </c:pt>
                <c:pt idx="312">
                  <c:v>20.593859792096275</c:v>
                </c:pt>
                <c:pt idx="313">
                  <c:v>20.319373508516279</c:v>
                </c:pt>
                <c:pt idx="314">
                  <c:v>20.052832741905718</c:v>
                </c:pt>
                <c:pt idx="315">
                  <c:v>19.794630545706109</c:v>
                </c:pt>
                <c:pt idx="316">
                  <c:v>19.544812324362223</c:v>
                </c:pt>
                <c:pt idx="317">
                  <c:v>19.30337244451901</c:v>
                </c:pt>
                <c:pt idx="318">
                  <c:v>19.069419552795317</c:v>
                </c:pt>
                <c:pt idx="319">
                  <c:v>18.842652538954706</c:v>
                </c:pt>
                <c:pt idx="320">
                  <c:v>18.62277070750887</c:v>
                </c:pt>
                <c:pt idx="321">
                  <c:v>18.409473770853445</c:v>
                </c:pt>
                <c:pt idx="322">
                  <c:v>18.2024618300822</c:v>
                </c:pt>
                <c:pt idx="323">
                  <c:v>18.001352810285848</c:v>
                </c:pt>
                <c:pt idx="324">
                  <c:v>17.805183183557538</c:v>
                </c:pt>
                <c:pt idx="325">
                  <c:v>17.613653999702546</c:v>
                </c:pt>
                <c:pt idx="326">
                  <c:v>17.42647494770539</c:v>
                </c:pt>
                <c:pt idx="327">
                  <c:v>17.243350813814018</c:v>
                </c:pt>
                <c:pt idx="328">
                  <c:v>17.06398000648117</c:v>
                </c:pt>
                <c:pt idx="329">
                  <c:v>16.888061257614563</c:v>
                </c:pt>
                <c:pt idx="330">
                  <c:v>16.714104112605614</c:v>
                </c:pt>
                <c:pt idx="331">
                  <c:v>16.541353629504972</c:v>
                </c:pt>
                <c:pt idx="332">
                  <c:v>16.370286438222465</c:v>
                </c:pt>
                <c:pt idx="333">
                  <c:v>16.201791790114573</c:v>
                </c:pt>
                <c:pt idx="334">
                  <c:v>16.036758446673606</c:v>
                </c:pt>
                <c:pt idx="335">
                  <c:v>15.876074635023041</c:v>
                </c:pt>
                <c:pt idx="336">
                  <c:v>15.720628003270136</c:v>
                </c:pt>
                <c:pt idx="337">
                  <c:v>15.571611287702481</c:v>
                </c:pt>
                <c:pt idx="338">
                  <c:v>15.429993120840571</c:v>
                </c:pt>
                <c:pt idx="339">
                  <c:v>15.296658947922943</c:v>
                </c:pt>
                <c:pt idx="340">
                  <c:v>15.172493465601121</c:v>
                </c:pt>
                <c:pt idx="341">
                  <c:v>15.058380587308145</c:v>
                </c:pt>
                <c:pt idx="342">
                  <c:v>14.955203424709119</c:v>
                </c:pt>
                <c:pt idx="343">
                  <c:v>14.863844261386314</c:v>
                </c:pt>
                <c:pt idx="344">
                  <c:v>14.782720919434654</c:v>
                </c:pt>
                <c:pt idx="345">
                  <c:v>14.709733030240628</c:v>
                </c:pt>
                <c:pt idx="346">
                  <c:v>14.645195154896959</c:v>
                </c:pt>
                <c:pt idx="347">
                  <c:v>14.589211269529986</c:v>
                </c:pt>
                <c:pt idx="348">
                  <c:v>14.541885199741426</c:v>
                </c:pt>
                <c:pt idx="349">
                  <c:v>14.503320625484101</c:v>
                </c:pt>
                <c:pt idx="350">
                  <c:v>14.473621081967762</c:v>
                </c:pt>
                <c:pt idx="351">
                  <c:v>14.453041792778594</c:v>
                </c:pt>
                <c:pt idx="352">
                  <c:v>14.441380946465943</c:v>
                </c:pt>
                <c:pt idx="353">
                  <c:v>14.438741710812026</c:v>
                </c:pt>
                <c:pt idx="354">
                  <c:v>14.445227113593347</c:v>
                </c:pt>
                <c:pt idx="355">
                  <c:v>14.460940063697874</c:v>
                </c:pt>
                <c:pt idx="356">
                  <c:v>14.485988602422042</c:v>
                </c:pt>
                <c:pt idx="357">
                  <c:v>14.520472080999898</c:v>
                </c:pt>
                <c:pt idx="358">
                  <c:v>14.564763233489339</c:v>
                </c:pt>
                <c:pt idx="359">
                  <c:v>14.619007123451681</c:v>
                </c:pt>
                <c:pt idx="360">
                  <c:v>14.683276826709605</c:v>
                </c:pt>
                <c:pt idx="361">
                  <c:v>14.757188625515955</c:v>
                </c:pt>
                <c:pt idx="362">
                  <c:v>14.84051081776947</c:v>
                </c:pt>
                <c:pt idx="363">
                  <c:v>14.933011865568492</c:v>
                </c:pt>
                <c:pt idx="364">
                  <c:v>15.034460383518725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9.6940000000000008</c:v>
                </c:pt>
                <c:pt idx="1">
                  <c:v>3.641</c:v>
                </c:pt>
                <c:pt idx="2">
                  <c:v>15.146000000000001</c:v>
                </c:pt>
                <c:pt idx="3">
                  <c:v>14.407999999999999</c:v>
                </c:pt>
                <c:pt idx="4">
                  <c:v>3.0030000000000001</c:v>
                </c:pt>
                <c:pt idx="5">
                  <c:v>6.7480000000000002</c:v>
                </c:pt>
                <c:pt idx="6">
                  <c:v>9.7959999999999994</c:v>
                </c:pt>
                <c:pt idx="7">
                  <c:v>12.209</c:v>
                </c:pt>
                <c:pt idx="8">
                  <c:v>4.7060000000000004</c:v>
                </c:pt>
                <c:pt idx="9">
                  <c:v>4.3490000000000002</c:v>
                </c:pt>
                <c:pt idx="10">
                  <c:v>5.8230000000000004</c:v>
                </c:pt>
                <c:pt idx="11">
                  <c:v>11.917</c:v>
                </c:pt>
                <c:pt idx="12">
                  <c:v>11.734999999999999</c:v>
                </c:pt>
                <c:pt idx="13">
                  <c:v>8.9939999999999998</c:v>
                </c:pt>
                <c:pt idx="14">
                  <c:v>13.046000000000001</c:v>
                </c:pt>
                <c:pt idx="15">
                  <c:v>12.416</c:v>
                </c:pt>
                <c:pt idx="16">
                  <c:v>5.7030000000000003</c:v>
                </c:pt>
                <c:pt idx="17">
                  <c:v>17.900000000000002</c:v>
                </c:pt>
                <c:pt idx="18">
                  <c:v>18.187999999999999</c:v>
                </c:pt>
                <c:pt idx="19">
                  <c:v>5.6420000000000003</c:v>
                </c:pt>
                <c:pt idx="20">
                  <c:v>10.298999999999999</c:v>
                </c:pt>
                <c:pt idx="21">
                  <c:v>5.2090000000000005</c:v>
                </c:pt>
                <c:pt idx="22">
                  <c:v>8.3689999999999998</c:v>
                </c:pt>
                <c:pt idx="23">
                  <c:v>13.127000000000001</c:v>
                </c:pt>
                <c:pt idx="24">
                  <c:v>6.49</c:v>
                </c:pt>
                <c:pt idx="25">
                  <c:v>14.714</c:v>
                </c:pt>
                <c:pt idx="26">
                  <c:v>6.0360000000000005</c:v>
                </c:pt>
                <c:pt idx="27">
                  <c:v>14.030000000000001</c:v>
                </c:pt>
                <c:pt idx="28">
                  <c:v>11.552</c:v>
                </c:pt>
                <c:pt idx="29">
                  <c:v>6.7320000000000002</c:v>
                </c:pt>
                <c:pt idx="30">
                  <c:v>8.0609999999999999</c:v>
                </c:pt>
                <c:pt idx="31">
                  <c:v>9.1140000000000008</c:v>
                </c:pt>
                <c:pt idx="32">
                  <c:v>20.164999999999999</c:v>
                </c:pt>
                <c:pt idx="33">
                  <c:v>16.405999999999999</c:v>
                </c:pt>
                <c:pt idx="34">
                  <c:v>13.152000000000001</c:v>
                </c:pt>
                <c:pt idx="35">
                  <c:v>8.6150000000000002</c:v>
                </c:pt>
                <c:pt idx="36">
                  <c:v>7.1779999999999999</c:v>
                </c:pt>
                <c:pt idx="37">
                  <c:v>17.277999999999999</c:v>
                </c:pt>
                <c:pt idx="38">
                  <c:v>3.7760000000000002</c:v>
                </c:pt>
                <c:pt idx="39">
                  <c:v>11.749000000000001</c:v>
                </c:pt>
                <c:pt idx="40">
                  <c:v>12.111000000000001</c:v>
                </c:pt>
                <c:pt idx="41">
                  <c:v>22.641000000000002</c:v>
                </c:pt>
                <c:pt idx="42">
                  <c:v>3.96</c:v>
                </c:pt>
                <c:pt idx="43">
                  <c:v>7.5949999999999998</c:v>
                </c:pt>
                <c:pt idx="44">
                  <c:v>24.530999999999999</c:v>
                </c:pt>
                <c:pt idx="45">
                  <c:v>25.387</c:v>
                </c:pt>
                <c:pt idx="46">
                  <c:v>24.269000000000002</c:v>
                </c:pt>
                <c:pt idx="47">
                  <c:v>25.754000000000001</c:v>
                </c:pt>
                <c:pt idx="48">
                  <c:v>12.734</c:v>
                </c:pt>
                <c:pt idx="49">
                  <c:v>27.277000000000001</c:v>
                </c:pt>
                <c:pt idx="50">
                  <c:v>23.471</c:v>
                </c:pt>
                <c:pt idx="51">
                  <c:v>9.1300000000000008</c:v>
                </c:pt>
                <c:pt idx="52">
                  <c:v>7.4939999999999998</c:v>
                </c:pt>
                <c:pt idx="53">
                  <c:v>24.658000000000001</c:v>
                </c:pt>
                <c:pt idx="54">
                  <c:v>28.626000000000001</c:v>
                </c:pt>
                <c:pt idx="55">
                  <c:v>27.233000000000001</c:v>
                </c:pt>
                <c:pt idx="56">
                  <c:v>8.0190000000000001</c:v>
                </c:pt>
                <c:pt idx="57">
                  <c:v>30.206</c:v>
                </c:pt>
                <c:pt idx="58">
                  <c:v>26.405999999999999</c:v>
                </c:pt>
                <c:pt idx="59">
                  <c:v>28.622</c:v>
                </c:pt>
                <c:pt idx="60">
                  <c:v>13.72</c:v>
                </c:pt>
                <c:pt idx="61">
                  <c:v>15.528</c:v>
                </c:pt>
                <c:pt idx="62">
                  <c:v>25.321000000000002</c:v>
                </c:pt>
                <c:pt idx="63">
                  <c:v>26.384</c:v>
                </c:pt>
                <c:pt idx="64">
                  <c:v>9.8759999999999994</c:v>
                </c:pt>
                <c:pt idx="65">
                  <c:v>9.8759999999999994</c:v>
                </c:pt>
                <c:pt idx="66">
                  <c:v>20.462</c:v>
                </c:pt>
                <c:pt idx="67">
                  <c:v>33.305999999999997</c:v>
                </c:pt>
                <c:pt idx="68">
                  <c:v>33.302999999999997</c:v>
                </c:pt>
                <c:pt idx="69">
                  <c:v>27.286000000000001</c:v>
                </c:pt>
                <c:pt idx="70">
                  <c:v>23.544</c:v>
                </c:pt>
                <c:pt idx="71">
                  <c:v>34.084000000000003</c:v>
                </c:pt>
                <c:pt idx="72">
                  <c:v>21.911000000000001</c:v>
                </c:pt>
                <c:pt idx="73">
                  <c:v>15.933</c:v>
                </c:pt>
                <c:pt idx="74">
                  <c:v>28.667999999999999</c:v>
                </c:pt>
                <c:pt idx="75">
                  <c:v>21.314</c:v>
                </c:pt>
                <c:pt idx="76">
                  <c:v>16.925000000000001</c:v>
                </c:pt>
                <c:pt idx="77">
                  <c:v>11.249000000000001</c:v>
                </c:pt>
                <c:pt idx="78">
                  <c:v>32.963999999999999</c:v>
                </c:pt>
                <c:pt idx="79">
                  <c:v>34.633000000000003</c:v>
                </c:pt>
                <c:pt idx="80">
                  <c:v>32.366999999999997</c:v>
                </c:pt>
                <c:pt idx="81">
                  <c:v>40.332000000000001</c:v>
                </c:pt>
                <c:pt idx="82">
                  <c:v>40.003999999999998</c:v>
                </c:pt>
                <c:pt idx="83">
                  <c:v>29.972000000000001</c:v>
                </c:pt>
                <c:pt idx="84">
                  <c:v>34.170999999999999</c:v>
                </c:pt>
                <c:pt idx="85">
                  <c:v>35.109000000000002</c:v>
                </c:pt>
                <c:pt idx="86">
                  <c:v>41.093000000000004</c:v>
                </c:pt>
                <c:pt idx="87">
                  <c:v>42.800000000000004</c:v>
                </c:pt>
                <c:pt idx="88">
                  <c:v>40.03</c:v>
                </c:pt>
                <c:pt idx="89">
                  <c:v>38.808999999999997</c:v>
                </c:pt>
                <c:pt idx="90">
                  <c:v>40.055</c:v>
                </c:pt>
                <c:pt idx="91">
                  <c:v>34.615000000000002</c:v>
                </c:pt>
                <c:pt idx="92">
                  <c:v>41.596000000000004</c:v>
                </c:pt>
                <c:pt idx="93">
                  <c:v>42.883000000000003</c:v>
                </c:pt>
                <c:pt idx="94">
                  <c:v>42.069000000000003</c:v>
                </c:pt>
                <c:pt idx="95">
                  <c:v>28.307000000000002</c:v>
                </c:pt>
                <c:pt idx="96">
                  <c:v>45.983000000000004</c:v>
                </c:pt>
                <c:pt idx="97">
                  <c:v>44.197000000000003</c:v>
                </c:pt>
                <c:pt idx="98">
                  <c:v>26.923999999999999</c:v>
                </c:pt>
                <c:pt idx="99">
                  <c:v>26.733000000000001</c:v>
                </c:pt>
                <c:pt idx="100">
                  <c:v>6.8520000000000003</c:v>
                </c:pt>
                <c:pt idx="101">
                  <c:v>38.105000000000004</c:v>
                </c:pt>
                <c:pt idx="102">
                  <c:v>42.017000000000003</c:v>
                </c:pt>
                <c:pt idx="103">
                  <c:v>47.728999999999999</c:v>
                </c:pt>
                <c:pt idx="104">
                  <c:v>47.686999999999998</c:v>
                </c:pt>
                <c:pt idx="105">
                  <c:v>39.49</c:v>
                </c:pt>
                <c:pt idx="106">
                  <c:v>45.006999999999998</c:v>
                </c:pt>
                <c:pt idx="107">
                  <c:v>30.34</c:v>
                </c:pt>
                <c:pt idx="108">
                  <c:v>48.005000000000003</c:v>
                </c:pt>
                <c:pt idx="109">
                  <c:v>38.661000000000001</c:v>
                </c:pt>
                <c:pt idx="110">
                  <c:v>52.526000000000003</c:v>
                </c:pt>
                <c:pt idx="111">
                  <c:v>56.244</c:v>
                </c:pt>
                <c:pt idx="112">
                  <c:v>55.462000000000003</c:v>
                </c:pt>
                <c:pt idx="113">
                  <c:v>51.889000000000003</c:v>
                </c:pt>
                <c:pt idx="114">
                  <c:v>27.455000000000002</c:v>
                </c:pt>
                <c:pt idx="115">
                  <c:v>6.3390000000000004</c:v>
                </c:pt>
                <c:pt idx="116">
                  <c:v>20.199000000000002</c:v>
                </c:pt>
                <c:pt idx="117">
                  <c:v>15.522</c:v>
                </c:pt>
                <c:pt idx="118">
                  <c:v>24.664000000000001</c:v>
                </c:pt>
                <c:pt idx="119">
                  <c:v>17.413</c:v>
                </c:pt>
                <c:pt idx="120">
                  <c:v>20.716000000000001</c:v>
                </c:pt>
                <c:pt idx="121">
                  <c:v>37.628</c:v>
                </c:pt>
                <c:pt idx="122">
                  <c:v>56.5</c:v>
                </c:pt>
                <c:pt idx="123">
                  <c:v>49.078000000000003</c:v>
                </c:pt>
                <c:pt idx="124">
                  <c:v>34.927999999999997</c:v>
                </c:pt>
                <c:pt idx="125">
                  <c:v>36.480000000000004</c:v>
                </c:pt>
                <c:pt idx="126">
                  <c:v>33.375999999999998</c:v>
                </c:pt>
                <c:pt idx="127">
                  <c:v>54.282000000000004</c:v>
                </c:pt>
                <c:pt idx="128">
                  <c:v>21.091000000000001</c:v>
                </c:pt>
                <c:pt idx="129">
                  <c:v>41.518999999999998</c:v>
                </c:pt>
                <c:pt idx="130">
                  <c:v>35.090000000000003</c:v>
                </c:pt>
                <c:pt idx="131">
                  <c:v>35.834000000000003</c:v>
                </c:pt>
                <c:pt idx="132">
                  <c:v>45.780999999999999</c:v>
                </c:pt>
                <c:pt idx="133">
                  <c:v>43.622999999999998</c:v>
                </c:pt>
                <c:pt idx="134">
                  <c:v>20.536999999999999</c:v>
                </c:pt>
                <c:pt idx="135">
                  <c:v>13.355</c:v>
                </c:pt>
                <c:pt idx="136">
                  <c:v>55.688000000000002</c:v>
                </c:pt>
                <c:pt idx="137">
                  <c:v>35.975000000000001</c:v>
                </c:pt>
                <c:pt idx="138">
                  <c:v>51.048999999999999</c:v>
                </c:pt>
                <c:pt idx="139">
                  <c:v>59.570999999999998</c:v>
                </c:pt>
                <c:pt idx="140">
                  <c:v>39.204999999999998</c:v>
                </c:pt>
                <c:pt idx="141">
                  <c:v>34.116</c:v>
                </c:pt>
                <c:pt idx="142">
                  <c:v>35.953000000000003</c:v>
                </c:pt>
                <c:pt idx="143">
                  <c:v>26.771000000000001</c:v>
                </c:pt>
                <c:pt idx="144">
                  <c:v>48.471000000000004</c:v>
                </c:pt>
                <c:pt idx="145">
                  <c:v>50.410000000000004</c:v>
                </c:pt>
                <c:pt idx="146">
                  <c:v>58.756</c:v>
                </c:pt>
                <c:pt idx="147">
                  <c:v>40.381</c:v>
                </c:pt>
                <c:pt idx="148">
                  <c:v>38.247999999999998</c:v>
                </c:pt>
                <c:pt idx="149">
                  <c:v>49.085999999999999</c:v>
                </c:pt>
                <c:pt idx="150">
                  <c:v>55.582999999999998</c:v>
                </c:pt>
                <c:pt idx="151">
                  <c:v>33.552</c:v>
                </c:pt>
                <c:pt idx="152">
                  <c:v>37.823</c:v>
                </c:pt>
                <c:pt idx="153">
                  <c:v>49.435000000000002</c:v>
                </c:pt>
                <c:pt idx="154">
                  <c:v>10.468999999999999</c:v>
                </c:pt>
                <c:pt idx="155">
                  <c:v>44.358000000000004</c:v>
                </c:pt>
                <c:pt idx="156">
                  <c:v>45.085000000000001</c:v>
                </c:pt>
                <c:pt idx="157">
                  <c:v>53.442999999999998</c:v>
                </c:pt>
                <c:pt idx="158">
                  <c:v>59.395000000000003</c:v>
                </c:pt>
                <c:pt idx="159">
                  <c:v>55.822000000000003</c:v>
                </c:pt>
                <c:pt idx="160">
                  <c:v>56.725000000000001</c:v>
                </c:pt>
                <c:pt idx="161">
                  <c:v>44.243000000000002</c:v>
                </c:pt>
                <c:pt idx="162">
                  <c:v>48.768000000000001</c:v>
                </c:pt>
                <c:pt idx="163">
                  <c:v>56.935000000000002</c:v>
                </c:pt>
                <c:pt idx="164">
                  <c:v>50.631999999999998</c:v>
                </c:pt>
                <c:pt idx="165">
                  <c:v>51.433</c:v>
                </c:pt>
                <c:pt idx="166">
                  <c:v>47.806000000000004</c:v>
                </c:pt>
                <c:pt idx="167">
                  <c:v>15.699</c:v>
                </c:pt>
                <c:pt idx="168">
                  <c:v>40.069000000000003</c:v>
                </c:pt>
                <c:pt idx="169">
                  <c:v>32.505000000000003</c:v>
                </c:pt>
                <c:pt idx="170">
                  <c:v>34.221000000000004</c:v>
                </c:pt>
                <c:pt idx="171">
                  <c:v>35.709000000000003</c:v>
                </c:pt>
                <c:pt idx="172">
                  <c:v>39.161999999999999</c:v>
                </c:pt>
                <c:pt idx="173">
                  <c:v>24.852</c:v>
                </c:pt>
                <c:pt idx="174">
                  <c:v>38.573</c:v>
                </c:pt>
                <c:pt idx="175">
                  <c:v>53.660000000000004</c:v>
                </c:pt>
                <c:pt idx="176">
                  <c:v>55.934000000000005</c:v>
                </c:pt>
                <c:pt idx="177">
                  <c:v>8.2379999999999995</c:v>
                </c:pt>
                <c:pt idx="178">
                  <c:v>24.722999999999999</c:v>
                </c:pt>
                <c:pt idx="179">
                  <c:v>37.445999999999998</c:v>
                </c:pt>
                <c:pt idx="180">
                  <c:v>48.052</c:v>
                </c:pt>
                <c:pt idx="181">
                  <c:v>54.118000000000002</c:v>
                </c:pt>
                <c:pt idx="182">
                  <c:v>52.317999999999998</c:v>
                </c:pt>
                <c:pt idx="183">
                  <c:v>33.305999999999997</c:v>
                </c:pt>
                <c:pt idx="184">
                  <c:v>34.670999999999999</c:v>
                </c:pt>
                <c:pt idx="185">
                  <c:v>57.122</c:v>
                </c:pt>
                <c:pt idx="186">
                  <c:v>21.157</c:v>
                </c:pt>
                <c:pt idx="187">
                  <c:v>35.736000000000004</c:v>
                </c:pt>
                <c:pt idx="188">
                  <c:v>50.313000000000002</c:v>
                </c:pt>
                <c:pt idx="189">
                  <c:v>56.79</c:v>
                </c:pt>
                <c:pt idx="190">
                  <c:v>49.432000000000002</c:v>
                </c:pt>
                <c:pt idx="191">
                  <c:v>48.47</c:v>
                </c:pt>
                <c:pt idx="192">
                  <c:v>13.351000000000001</c:v>
                </c:pt>
                <c:pt idx="193">
                  <c:v>29.574999999999999</c:v>
                </c:pt>
                <c:pt idx="194">
                  <c:v>30.906000000000002</c:v>
                </c:pt>
                <c:pt idx="195">
                  <c:v>36.911999999999999</c:v>
                </c:pt>
                <c:pt idx="196">
                  <c:v>39.752000000000002</c:v>
                </c:pt>
                <c:pt idx="197">
                  <c:v>55.93</c:v>
                </c:pt>
                <c:pt idx="198">
                  <c:v>50.512</c:v>
                </c:pt>
                <c:pt idx="199">
                  <c:v>55.09</c:v>
                </c:pt>
                <c:pt idx="200">
                  <c:v>43.725000000000001</c:v>
                </c:pt>
                <c:pt idx="201">
                  <c:v>45.905999999999999</c:v>
                </c:pt>
                <c:pt idx="202">
                  <c:v>51.035000000000004</c:v>
                </c:pt>
                <c:pt idx="203">
                  <c:v>41.771999999999998</c:v>
                </c:pt>
                <c:pt idx="204">
                  <c:v>32.413000000000004</c:v>
                </c:pt>
                <c:pt idx="205">
                  <c:v>35.039000000000001</c:v>
                </c:pt>
                <c:pt idx="206">
                  <c:v>33.027000000000001</c:v>
                </c:pt>
                <c:pt idx="207">
                  <c:v>45.777000000000001</c:v>
                </c:pt>
                <c:pt idx="208">
                  <c:v>26.85</c:v>
                </c:pt>
                <c:pt idx="209">
                  <c:v>51.692999999999998</c:v>
                </c:pt>
                <c:pt idx="210">
                  <c:v>17.55</c:v>
                </c:pt>
                <c:pt idx="211">
                  <c:v>12.67</c:v>
                </c:pt>
                <c:pt idx="212">
                  <c:v>44.197000000000003</c:v>
                </c:pt>
                <c:pt idx="213">
                  <c:v>51.238</c:v>
                </c:pt>
                <c:pt idx="214">
                  <c:v>34.192</c:v>
                </c:pt>
                <c:pt idx="215">
                  <c:v>32.395000000000003</c:v>
                </c:pt>
                <c:pt idx="216">
                  <c:v>45.670999999999999</c:v>
                </c:pt>
                <c:pt idx="217">
                  <c:v>19.554000000000002</c:v>
                </c:pt>
                <c:pt idx="218">
                  <c:v>22.836000000000002</c:v>
                </c:pt>
                <c:pt idx="219">
                  <c:v>33.94</c:v>
                </c:pt>
                <c:pt idx="220">
                  <c:v>50.850999999999999</c:v>
                </c:pt>
                <c:pt idx="221">
                  <c:v>46.613</c:v>
                </c:pt>
                <c:pt idx="222">
                  <c:v>46.283999999999999</c:v>
                </c:pt>
                <c:pt idx="223">
                  <c:v>44.838000000000001</c:v>
                </c:pt>
                <c:pt idx="224">
                  <c:v>30.603000000000002</c:v>
                </c:pt>
                <c:pt idx="225">
                  <c:v>44.997</c:v>
                </c:pt>
                <c:pt idx="226">
                  <c:v>20.007999999999999</c:v>
                </c:pt>
                <c:pt idx="227">
                  <c:v>30.35</c:v>
                </c:pt>
                <c:pt idx="228">
                  <c:v>39.215000000000003</c:v>
                </c:pt>
                <c:pt idx="229">
                  <c:v>48.224000000000004</c:v>
                </c:pt>
                <c:pt idx="230">
                  <c:v>43.695</c:v>
                </c:pt>
                <c:pt idx="231">
                  <c:v>47.02</c:v>
                </c:pt>
                <c:pt idx="232">
                  <c:v>43.865000000000002</c:v>
                </c:pt>
                <c:pt idx="233">
                  <c:v>18.937000000000001</c:v>
                </c:pt>
                <c:pt idx="234">
                  <c:v>44.185000000000002</c:v>
                </c:pt>
                <c:pt idx="235">
                  <c:v>41.091000000000001</c:v>
                </c:pt>
                <c:pt idx="236">
                  <c:v>43.957999999999998</c:v>
                </c:pt>
                <c:pt idx="237">
                  <c:v>45.865000000000002</c:v>
                </c:pt>
                <c:pt idx="238">
                  <c:v>41.984999999999999</c:v>
                </c:pt>
                <c:pt idx="239">
                  <c:v>47.134</c:v>
                </c:pt>
                <c:pt idx="240">
                  <c:v>46.454000000000001</c:v>
                </c:pt>
                <c:pt idx="241">
                  <c:v>44.889000000000003</c:v>
                </c:pt>
                <c:pt idx="242">
                  <c:v>44.777000000000001</c:v>
                </c:pt>
                <c:pt idx="243">
                  <c:v>27.41</c:v>
                </c:pt>
                <c:pt idx="244">
                  <c:v>20.096</c:v>
                </c:pt>
                <c:pt idx="245">
                  <c:v>26.44</c:v>
                </c:pt>
                <c:pt idx="246">
                  <c:v>38.380000000000003</c:v>
                </c:pt>
                <c:pt idx="247">
                  <c:v>39.279000000000003</c:v>
                </c:pt>
                <c:pt idx="248">
                  <c:v>42.808999999999997</c:v>
                </c:pt>
                <c:pt idx="249">
                  <c:v>33.24</c:v>
                </c:pt>
                <c:pt idx="250">
                  <c:v>28.942</c:v>
                </c:pt>
                <c:pt idx="251">
                  <c:v>17.519000000000002</c:v>
                </c:pt>
                <c:pt idx="252">
                  <c:v>36.542000000000002</c:v>
                </c:pt>
                <c:pt idx="253">
                  <c:v>36.712000000000003</c:v>
                </c:pt>
                <c:pt idx="254">
                  <c:v>40.073999999999998</c:v>
                </c:pt>
                <c:pt idx="255">
                  <c:v>28.632000000000001</c:v>
                </c:pt>
                <c:pt idx="256">
                  <c:v>18.204000000000001</c:v>
                </c:pt>
                <c:pt idx="257">
                  <c:v>26.949000000000002</c:v>
                </c:pt>
                <c:pt idx="258">
                  <c:v>20.657</c:v>
                </c:pt>
                <c:pt idx="259">
                  <c:v>38.264000000000003</c:v>
                </c:pt>
                <c:pt idx="260">
                  <c:v>8.2919999999999998</c:v>
                </c:pt>
                <c:pt idx="261">
                  <c:v>26.262</c:v>
                </c:pt>
                <c:pt idx="262">
                  <c:v>25.257000000000001</c:v>
                </c:pt>
                <c:pt idx="263">
                  <c:v>12.683</c:v>
                </c:pt>
                <c:pt idx="264">
                  <c:v>35.630000000000003</c:v>
                </c:pt>
                <c:pt idx="265">
                  <c:v>29.523</c:v>
                </c:pt>
                <c:pt idx="266">
                  <c:v>31.622</c:v>
                </c:pt>
                <c:pt idx="267">
                  <c:v>26.774000000000001</c:v>
                </c:pt>
                <c:pt idx="268">
                  <c:v>28.007999999999999</c:v>
                </c:pt>
                <c:pt idx="269">
                  <c:v>22.265000000000001</c:v>
                </c:pt>
                <c:pt idx="270">
                  <c:v>22.994</c:v>
                </c:pt>
                <c:pt idx="271">
                  <c:v>22.952999999999999</c:v>
                </c:pt>
                <c:pt idx="272">
                  <c:v>19.527999999999999</c:v>
                </c:pt>
                <c:pt idx="273">
                  <c:v>26.873000000000001</c:v>
                </c:pt>
                <c:pt idx="274">
                  <c:v>32.999000000000002</c:v>
                </c:pt>
                <c:pt idx="275">
                  <c:v>5.9610000000000003</c:v>
                </c:pt>
                <c:pt idx="276">
                  <c:v>30.236000000000001</c:v>
                </c:pt>
                <c:pt idx="277">
                  <c:v>11.391999999999999</c:v>
                </c:pt>
                <c:pt idx="278">
                  <c:v>27.939</c:v>
                </c:pt>
                <c:pt idx="279">
                  <c:v>32.383000000000003</c:v>
                </c:pt>
                <c:pt idx="280">
                  <c:v>31.577000000000002</c:v>
                </c:pt>
                <c:pt idx="281">
                  <c:v>14.040000000000001</c:v>
                </c:pt>
                <c:pt idx="282">
                  <c:v>21.03</c:v>
                </c:pt>
                <c:pt idx="283">
                  <c:v>30.654</c:v>
                </c:pt>
                <c:pt idx="284">
                  <c:v>29.843</c:v>
                </c:pt>
                <c:pt idx="285">
                  <c:v>28.673999999999999</c:v>
                </c:pt>
                <c:pt idx="286">
                  <c:v>30.28</c:v>
                </c:pt>
                <c:pt idx="287">
                  <c:v>26.427</c:v>
                </c:pt>
                <c:pt idx="288">
                  <c:v>27.669</c:v>
                </c:pt>
                <c:pt idx="289">
                  <c:v>25.927</c:v>
                </c:pt>
                <c:pt idx="290">
                  <c:v>26.995000000000001</c:v>
                </c:pt>
                <c:pt idx="291">
                  <c:v>25.779</c:v>
                </c:pt>
                <c:pt idx="292">
                  <c:v>20.817</c:v>
                </c:pt>
                <c:pt idx="293">
                  <c:v>9.918000000000001</c:v>
                </c:pt>
                <c:pt idx="294">
                  <c:v>11.723000000000001</c:v>
                </c:pt>
                <c:pt idx="295">
                  <c:v>26.516999999999999</c:v>
                </c:pt>
                <c:pt idx="296">
                  <c:v>26.676000000000002</c:v>
                </c:pt>
                <c:pt idx="297">
                  <c:v>25.524000000000001</c:v>
                </c:pt>
                <c:pt idx="298">
                  <c:v>18.208000000000002</c:v>
                </c:pt>
                <c:pt idx="299">
                  <c:v>25.305</c:v>
                </c:pt>
                <c:pt idx="300">
                  <c:v>24.492000000000001</c:v>
                </c:pt>
                <c:pt idx="301">
                  <c:v>14.891</c:v>
                </c:pt>
                <c:pt idx="302">
                  <c:v>10.71</c:v>
                </c:pt>
                <c:pt idx="303">
                  <c:v>15.945</c:v>
                </c:pt>
                <c:pt idx="304">
                  <c:v>14.865</c:v>
                </c:pt>
                <c:pt idx="305">
                  <c:v>22.253</c:v>
                </c:pt>
                <c:pt idx="306">
                  <c:v>14.064</c:v>
                </c:pt>
                <c:pt idx="307">
                  <c:v>12.248000000000001</c:v>
                </c:pt>
                <c:pt idx="308">
                  <c:v>10.967000000000001</c:v>
                </c:pt>
                <c:pt idx="309">
                  <c:v>16.545999999999999</c:v>
                </c:pt>
                <c:pt idx="310">
                  <c:v>8.8729999999999993</c:v>
                </c:pt>
                <c:pt idx="311">
                  <c:v>17.332000000000001</c:v>
                </c:pt>
                <c:pt idx="312">
                  <c:v>15.175000000000001</c:v>
                </c:pt>
                <c:pt idx="313">
                  <c:v>5.6959999999999997</c:v>
                </c:pt>
                <c:pt idx="314">
                  <c:v>7.9379999999999997</c:v>
                </c:pt>
                <c:pt idx="315">
                  <c:v>7.7620000000000005</c:v>
                </c:pt>
                <c:pt idx="316">
                  <c:v>5.4409999999999998</c:v>
                </c:pt>
                <c:pt idx="317">
                  <c:v>4.6850000000000005</c:v>
                </c:pt>
                <c:pt idx="318">
                  <c:v>5.8710000000000004</c:v>
                </c:pt>
                <c:pt idx="319">
                  <c:v>7.9169999999999998</c:v>
                </c:pt>
                <c:pt idx="320">
                  <c:v>2.8559999999999999</c:v>
                </c:pt>
                <c:pt idx="321">
                  <c:v>15.101000000000001</c:v>
                </c:pt>
                <c:pt idx="322">
                  <c:v>18.172000000000001</c:v>
                </c:pt>
                <c:pt idx="323">
                  <c:v>14.737</c:v>
                </c:pt>
                <c:pt idx="324">
                  <c:v>7.8289999999999997</c:v>
                </c:pt>
                <c:pt idx="325">
                  <c:v>13.764000000000001</c:v>
                </c:pt>
                <c:pt idx="326">
                  <c:v>10.104000000000001</c:v>
                </c:pt>
                <c:pt idx="327">
                  <c:v>0.99299999999999999</c:v>
                </c:pt>
                <c:pt idx="328">
                  <c:v>11.627000000000001</c:v>
                </c:pt>
                <c:pt idx="329">
                  <c:v>6.7160000000000002</c:v>
                </c:pt>
                <c:pt idx="330">
                  <c:v>9.4039999999999999</c:v>
                </c:pt>
                <c:pt idx="331">
                  <c:v>5.681</c:v>
                </c:pt>
                <c:pt idx="332">
                  <c:v>6.4290000000000003</c:v>
                </c:pt>
                <c:pt idx="333">
                  <c:v>16.058</c:v>
                </c:pt>
                <c:pt idx="334">
                  <c:v>4.2450000000000001</c:v>
                </c:pt>
                <c:pt idx="335">
                  <c:v>7.1390000000000002</c:v>
                </c:pt>
                <c:pt idx="336">
                  <c:v>11.233000000000001</c:v>
                </c:pt>
                <c:pt idx="337">
                  <c:v>5.8159999999999998</c:v>
                </c:pt>
                <c:pt idx="338">
                  <c:v>6.2350000000000003</c:v>
                </c:pt>
                <c:pt idx="339">
                  <c:v>8.8949999999999996</c:v>
                </c:pt>
                <c:pt idx="340">
                  <c:v>5.351</c:v>
                </c:pt>
                <c:pt idx="341">
                  <c:v>8.3759999999999994</c:v>
                </c:pt>
                <c:pt idx="342">
                  <c:v>7.0200000000000005</c:v>
                </c:pt>
                <c:pt idx="343">
                  <c:v>2.39</c:v>
                </c:pt>
                <c:pt idx="344">
                  <c:v>9.0969999999999995</c:v>
                </c:pt>
                <c:pt idx="345">
                  <c:v>14.519</c:v>
                </c:pt>
                <c:pt idx="346">
                  <c:v>14.739000000000001</c:v>
                </c:pt>
                <c:pt idx="347">
                  <c:v>14.703000000000001</c:v>
                </c:pt>
                <c:pt idx="348">
                  <c:v>14.256</c:v>
                </c:pt>
                <c:pt idx="349">
                  <c:v>14.348000000000001</c:v>
                </c:pt>
                <c:pt idx="350">
                  <c:v>14.338000000000001</c:v>
                </c:pt>
                <c:pt idx="351">
                  <c:v>14.623000000000001</c:v>
                </c:pt>
                <c:pt idx="352">
                  <c:v>14.279</c:v>
                </c:pt>
                <c:pt idx="353">
                  <c:v>14.923</c:v>
                </c:pt>
                <c:pt idx="354">
                  <c:v>12.535</c:v>
                </c:pt>
                <c:pt idx="355">
                  <c:v>14.135</c:v>
                </c:pt>
                <c:pt idx="356">
                  <c:v>5.45</c:v>
                </c:pt>
                <c:pt idx="357">
                  <c:v>8.6</c:v>
                </c:pt>
                <c:pt idx="358">
                  <c:v>8.06</c:v>
                </c:pt>
                <c:pt idx="359">
                  <c:v>9.5839999999999996</c:v>
                </c:pt>
                <c:pt idx="360">
                  <c:v>9.8140000000000001</c:v>
                </c:pt>
                <c:pt idx="361">
                  <c:v>5.0460000000000003</c:v>
                </c:pt>
                <c:pt idx="362">
                  <c:v>5.1290000000000004</c:v>
                </c:pt>
                <c:pt idx="363">
                  <c:v>12.805</c:v>
                </c:pt>
                <c:pt idx="364">
                  <c:v>14.612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1483904"/>
        <c:axId val="551482336"/>
      </c:lineChart>
      <c:dateAx>
        <c:axId val="5514839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1482336"/>
        <c:crosses val="autoZero"/>
        <c:auto val="1"/>
        <c:lblOffset val="100"/>
        <c:baseTimeUnit val="days"/>
        <c:majorUnit val="1"/>
        <c:majorTimeUnit val="months"/>
      </c:dateAx>
      <c:valAx>
        <c:axId val="5514823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148390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2.8648028530731451E-2</c:v>
                </c:pt>
                <c:pt idx="1">
                  <c:v>2.8670633310161397E-2</c:v>
                </c:pt>
                <c:pt idx="2">
                  <c:v>2.8693237563545138E-2</c:v>
                </c:pt>
                <c:pt idx="3">
                  <c:v>2.8715841290894883E-2</c:v>
                </c:pt>
                <c:pt idx="4">
                  <c:v>2.8738444492222959E-2</c:v>
                </c:pt>
                <c:pt idx="5">
                  <c:v>2.8761047167541354E-2</c:v>
                </c:pt>
                <c:pt idx="6">
                  <c:v>2.8783649316862614E-2</c:v>
                </c:pt>
                <c:pt idx="7">
                  <c:v>2.880625094019873E-2</c:v>
                </c:pt>
                <c:pt idx="8">
                  <c:v>2.8828852037562136E-2</c:v>
                </c:pt>
                <c:pt idx="9">
                  <c:v>2.8851452608964934E-2</c:v>
                </c:pt>
                <c:pt idx="10">
                  <c:v>2.8874052654419446E-2</c:v>
                </c:pt>
                <c:pt idx="11">
                  <c:v>2.8896652173937887E-2</c:v>
                </c:pt>
                <c:pt idx="12">
                  <c:v>2.8919251167532467E-2</c:v>
                </c:pt>
                <c:pt idx="13">
                  <c:v>2.8941849635215511E-2</c:v>
                </c:pt>
                <c:pt idx="14">
                  <c:v>2.8964447576999119E-2</c:v>
                </c:pt>
                <c:pt idx="15">
                  <c:v>2.8987044992895616E-2</c:v>
                </c:pt>
                <c:pt idx="16">
                  <c:v>2.9009641882917325E-2</c:v>
                </c:pt>
                <c:pt idx="17">
                  <c:v>2.9032238247076347E-2</c:v>
                </c:pt>
                <c:pt idx="18">
                  <c:v>2.9054834085384895E-2</c:v>
                </c:pt>
                <c:pt idx="19">
                  <c:v>2.9077429397855292E-2</c:v>
                </c:pt>
                <c:pt idx="20">
                  <c:v>2.9100024184499862E-2</c:v>
                </c:pt>
                <c:pt idx="21">
                  <c:v>2.9122618445330595E-2</c:v>
                </c:pt>
                <c:pt idx="22">
                  <c:v>2.9145212180359925E-2</c:v>
                </c:pt>
                <c:pt idx="23">
                  <c:v>2.9167805389600066E-2</c:v>
                </c:pt>
                <c:pt idx="24">
                  <c:v>2.9190398073063228E-2</c:v>
                </c:pt>
                <c:pt idx="25">
                  <c:v>2.9212990230761626E-2</c:v>
                </c:pt>
                <c:pt idx="26">
                  <c:v>2.9235581862707472E-2</c:v>
                </c:pt>
                <c:pt idx="27">
                  <c:v>2.9258172968913088E-2</c:v>
                </c:pt>
                <c:pt idx="28">
                  <c:v>2.9280763549390687E-2</c:v>
                </c:pt>
                <c:pt idx="29">
                  <c:v>2.9303353604152371E-2</c:v>
                </c:pt>
                <c:pt idx="30">
                  <c:v>2.9325943133210575E-2</c:v>
                </c:pt>
                <c:pt idx="31">
                  <c:v>2.9348532136577399E-2</c:v>
                </c:pt>
                <c:pt idx="32">
                  <c:v>2.9371120614265056E-2</c:v>
                </c:pt>
                <c:pt idx="33">
                  <c:v>2.939370856628587E-2</c:v>
                </c:pt>
                <c:pt idx="34">
                  <c:v>2.9416295992652053E-2</c:v>
                </c:pt>
                <c:pt idx="35">
                  <c:v>2.9438882893375928E-2</c:v>
                </c:pt>
                <c:pt idx="36">
                  <c:v>2.9461469268469487E-2</c:v>
                </c:pt>
                <c:pt idx="37">
                  <c:v>2.9484055117945163E-2</c:v>
                </c:pt>
                <c:pt idx="38">
                  <c:v>2.9506640441815057E-2</c:v>
                </c:pt>
                <c:pt idx="39">
                  <c:v>2.9529225240091606E-2</c:v>
                </c:pt>
                <c:pt idx="40">
                  <c:v>2.9551809512786797E-2</c:v>
                </c:pt>
                <c:pt idx="41">
                  <c:v>2.9574393259912957E-2</c:v>
                </c:pt>
                <c:pt idx="42">
                  <c:v>2.9596976481482407E-2</c:v>
                </c:pt>
                <c:pt idx="43">
                  <c:v>2.9619559177507249E-2</c:v>
                </c:pt>
                <c:pt idx="44">
                  <c:v>2.9642141347999806E-2</c:v>
                </c:pt>
                <c:pt idx="45">
                  <c:v>2.9664722992972181E-2</c:v>
                </c:pt>
                <c:pt idx="46">
                  <c:v>2.9687304112436697E-2</c:v>
                </c:pt>
                <c:pt idx="47">
                  <c:v>2.9709884706405676E-2</c:v>
                </c:pt>
                <c:pt idx="48">
                  <c:v>2.9732464774891221E-2</c:v>
                </c:pt>
                <c:pt idx="49">
                  <c:v>2.9755044317905543E-2</c:v>
                </c:pt>
                <c:pt idx="50">
                  <c:v>2.9777623335460857E-2</c:v>
                </c:pt>
                <c:pt idx="51">
                  <c:v>2.9800201827569484E-2</c:v>
                </c:pt>
                <c:pt idx="52">
                  <c:v>2.9822779794243637E-2</c:v>
                </c:pt>
                <c:pt idx="53">
                  <c:v>2.9845357235495529E-2</c:v>
                </c:pt>
                <c:pt idx="54">
                  <c:v>2.9867934151337372E-2</c:v>
                </c:pt>
                <c:pt idx="55">
                  <c:v>2.989051054178149E-2</c:v>
                </c:pt>
                <c:pt idx="56">
                  <c:v>2.9913086406839873E-2</c:v>
                </c:pt>
                <c:pt idx="57">
                  <c:v>2.9935661746524955E-2</c:v>
                </c:pt>
                <c:pt idx="58">
                  <c:v>2.995823656084895E-2</c:v>
                </c:pt>
                <c:pt idx="59">
                  <c:v>2.9980810849823958E-2</c:v>
                </c:pt>
                <c:pt idx="60">
                  <c:v>3.0003384613462303E-2</c:v>
                </c:pt>
                <c:pt idx="61">
                  <c:v>3.0025957851776197E-2</c:v>
                </c:pt>
                <c:pt idx="62">
                  <c:v>3.0048530564777853E-2</c:v>
                </c:pt>
                <c:pt idx="63">
                  <c:v>3.0071102752479484E-2</c:v>
                </c:pt>
                <c:pt idx="64">
                  <c:v>3.0093674414893412E-2</c:v>
                </c:pt>
                <c:pt idx="65">
                  <c:v>3.011624555203174E-2</c:v>
                </c:pt>
                <c:pt idx="66">
                  <c:v>3.0138816163906679E-2</c:v>
                </c:pt>
                <c:pt idx="67">
                  <c:v>3.0161386250530553E-2</c:v>
                </c:pt>
                <c:pt idx="68">
                  <c:v>3.0183955811915575E-2</c:v>
                </c:pt>
                <c:pt idx="69">
                  <c:v>3.0206524848073846E-2</c:v>
                </c:pt>
                <c:pt idx="70">
                  <c:v>3.0229093359017689E-2</c:v>
                </c:pt>
                <c:pt idx="71">
                  <c:v>3.0251661344759317E-2</c:v>
                </c:pt>
                <c:pt idx="72">
                  <c:v>3.0274228805311054E-2</c:v>
                </c:pt>
                <c:pt idx="73">
                  <c:v>3.029679574068489E-2</c:v>
                </c:pt>
                <c:pt idx="74">
                  <c:v>3.0319362150893148E-2</c:v>
                </c:pt>
                <c:pt idx="75">
                  <c:v>3.0341928035948151E-2</c:v>
                </c:pt>
                <c:pt idx="76">
                  <c:v>3.0364493395862113E-2</c:v>
                </c:pt>
                <c:pt idx="77">
                  <c:v>3.0387058230647024E-2</c:v>
                </c:pt>
                <c:pt idx="78">
                  <c:v>3.0409622540315318E-2</c:v>
                </c:pt>
                <c:pt idx="79">
                  <c:v>3.0432186324879207E-2</c:v>
                </c:pt>
                <c:pt idx="80">
                  <c:v>3.0454749584350904E-2</c:v>
                </c:pt>
                <c:pt idx="81">
                  <c:v>3.0477312318742511E-2</c:v>
                </c:pt>
                <c:pt idx="82">
                  <c:v>3.0499874528066351E-2</c:v>
                </c:pt>
                <c:pt idx="83">
                  <c:v>3.0522436212334525E-2</c:v>
                </c:pt>
                <c:pt idx="84">
                  <c:v>3.0544997371559468E-2</c:v>
                </c:pt>
                <c:pt idx="85">
                  <c:v>3.0567558005753281E-2</c:v>
                </c:pt>
                <c:pt idx="86">
                  <c:v>3.0590118114928067E-2</c:v>
                </c:pt>
                <c:pt idx="87">
                  <c:v>3.0612677699096258E-2</c:v>
                </c:pt>
                <c:pt idx="88">
                  <c:v>3.0635236758269957E-2</c:v>
                </c:pt>
                <c:pt idx="89">
                  <c:v>3.0657795292461376E-2</c:v>
                </c:pt>
                <c:pt idx="90">
                  <c:v>3.0680353301682728E-2</c:v>
                </c:pt>
                <c:pt idx="91">
                  <c:v>3.0702910785946225E-2</c:v>
                </c:pt>
                <c:pt idx="92">
                  <c:v>3.072546774526419E-2</c:v>
                </c:pt>
                <c:pt idx="93">
                  <c:v>3.0748024179648725E-2</c:v>
                </c:pt>
                <c:pt idx="94">
                  <c:v>3.0770580089112043E-2</c:v>
                </c:pt>
                <c:pt idx="95">
                  <c:v>3.0793135473666355E-2</c:v>
                </c:pt>
                <c:pt idx="96">
                  <c:v>3.0815690333323986E-2</c:v>
                </c:pt>
                <c:pt idx="97">
                  <c:v>3.0838244668097148E-2</c:v>
                </c:pt>
                <c:pt idx="98">
                  <c:v>3.0860798477997942E-2</c:v>
                </c:pt>
                <c:pt idx="99">
                  <c:v>3.088335176303858E-2</c:v>
                </c:pt>
                <c:pt idx="100">
                  <c:v>3.0905904523231387E-2</c:v>
                </c:pt>
                <c:pt idx="101">
                  <c:v>3.0928456758588463E-2</c:v>
                </c:pt>
                <c:pt idx="102">
                  <c:v>3.0951008469122021E-2</c:v>
                </c:pt>
                <c:pt idx="103">
                  <c:v>3.0973559654844496E-2</c:v>
                </c:pt>
                <c:pt idx="104">
                  <c:v>3.0996110315767766E-2</c:v>
                </c:pt>
                <c:pt idx="105">
                  <c:v>3.1018660451904378E-2</c:v>
                </c:pt>
                <c:pt idx="106">
                  <c:v>3.1041210063266211E-2</c:v>
                </c:pt>
                <c:pt idx="107">
                  <c:v>3.10637591498657E-2</c:v>
                </c:pt>
                <c:pt idx="108">
                  <c:v>3.1086307711715055E-2</c:v>
                </c:pt>
                <c:pt idx="109">
                  <c:v>3.1108855748826381E-2</c:v>
                </c:pt>
                <c:pt idx="110">
                  <c:v>3.1131403261211998E-2</c:v>
                </c:pt>
                <c:pt idx="111">
                  <c:v>3.115395024888401E-2</c:v>
                </c:pt>
                <c:pt idx="112">
                  <c:v>3.117649671185474E-2</c:v>
                </c:pt>
                <c:pt idx="113">
                  <c:v>3.1199042650136288E-2</c:v>
                </c:pt>
                <c:pt idx="114">
                  <c:v>3.1221588063740979E-2</c:v>
                </c:pt>
                <c:pt idx="115">
                  <c:v>3.1244132952680914E-2</c:v>
                </c:pt>
                <c:pt idx="116">
                  <c:v>3.1266677316968305E-2</c:v>
                </c:pt>
                <c:pt idx="117">
                  <c:v>3.1289221156615477E-2</c:v>
                </c:pt>
                <c:pt idx="118">
                  <c:v>3.1311764471634529E-2</c:v>
                </c:pt>
                <c:pt idx="119">
                  <c:v>3.1334307262037675E-2</c:v>
                </c:pt>
                <c:pt idx="120">
                  <c:v>3.1356849527837127E-2</c:v>
                </c:pt>
                <c:pt idx="121">
                  <c:v>3.1379391269045209E-2</c:v>
                </c:pt>
                <c:pt idx="122">
                  <c:v>3.1401932485674022E-2</c:v>
                </c:pt>
                <c:pt idx="123">
                  <c:v>3.1424473177735779E-2</c:v>
                </c:pt>
                <c:pt idx="124">
                  <c:v>3.1447013345242691E-2</c:v>
                </c:pt>
                <c:pt idx="125">
                  <c:v>3.1469552988206972E-2</c:v>
                </c:pt>
                <c:pt idx="126">
                  <c:v>3.1492092106640945E-2</c:v>
                </c:pt>
                <c:pt idx="127">
                  <c:v>3.1514630700556601E-2</c:v>
                </c:pt>
                <c:pt idx="128">
                  <c:v>3.1537168769966262E-2</c:v>
                </c:pt>
                <c:pt idx="129">
                  <c:v>3.1559706314882141E-2</c:v>
                </c:pt>
                <c:pt idx="130">
                  <c:v>3.158224333531634E-2</c:v>
                </c:pt>
                <c:pt idx="131">
                  <c:v>3.1604779831281182E-2</c:v>
                </c:pt>
                <c:pt idx="132">
                  <c:v>3.162731580278888E-2</c:v>
                </c:pt>
                <c:pt idx="133">
                  <c:v>3.1649851249851646E-2</c:v>
                </c:pt>
                <c:pt idx="134">
                  <c:v>3.1672386172481581E-2</c:v>
                </c:pt>
                <c:pt idx="135">
                  <c:v>3.1694920570690899E-2</c:v>
                </c:pt>
                <c:pt idx="136">
                  <c:v>3.1717454444491922E-2</c:v>
                </c:pt>
                <c:pt idx="137">
                  <c:v>3.1739987793896751E-2</c:v>
                </c:pt>
                <c:pt idx="138">
                  <c:v>3.17625206189176E-2</c:v>
                </c:pt>
                <c:pt idx="139">
                  <c:v>3.1785052919566792E-2</c:v>
                </c:pt>
                <c:pt idx="140">
                  <c:v>3.1807584695856317E-2</c:v>
                </c:pt>
                <c:pt idx="141">
                  <c:v>3.1830115947798499E-2</c:v>
                </c:pt>
                <c:pt idx="142">
                  <c:v>3.1852646675405549E-2</c:v>
                </c:pt>
                <c:pt idx="143">
                  <c:v>3.1875176878689682E-2</c:v>
                </c:pt>
                <c:pt idx="144">
                  <c:v>3.1897706557663108E-2</c:v>
                </c:pt>
                <c:pt idx="145">
                  <c:v>3.192023571233793E-2</c:v>
                </c:pt>
                <c:pt idx="146">
                  <c:v>3.194276434272636E-2</c:v>
                </c:pt>
                <c:pt idx="147">
                  <c:v>3.1965292448840721E-2</c:v>
                </c:pt>
                <c:pt idx="148">
                  <c:v>3.1987820030693115E-2</c:v>
                </c:pt>
                <c:pt idx="149">
                  <c:v>3.2010347088295754E-2</c:v>
                </c:pt>
                <c:pt idx="150">
                  <c:v>3.2032873621660962E-2</c:v>
                </c:pt>
                <c:pt idx="151">
                  <c:v>3.2055399630800729E-2</c:v>
                </c:pt>
                <c:pt idx="152">
                  <c:v>3.2077925115727379E-2</c:v>
                </c:pt>
                <c:pt idx="153">
                  <c:v>3.2100450076453013E-2</c:v>
                </c:pt>
                <c:pt idx="154">
                  <c:v>3.2122974512990066E-2</c:v>
                </c:pt>
                <c:pt idx="155">
                  <c:v>3.2145498425350416E-2</c:v>
                </c:pt>
                <c:pt idx="156">
                  <c:v>3.2168021813546499E-2</c:v>
                </c:pt>
                <c:pt idx="157">
                  <c:v>3.2190544677590416E-2</c:v>
                </c:pt>
                <c:pt idx="158">
                  <c:v>3.2213067017494379E-2</c:v>
                </c:pt>
                <c:pt idx="159">
                  <c:v>3.2235588833270601E-2</c:v>
                </c:pt>
                <c:pt idx="160">
                  <c:v>3.2258110124931294E-2</c:v>
                </c:pt>
                <c:pt idx="161">
                  <c:v>3.228063089248856E-2</c:v>
                </c:pt>
                <c:pt idx="162">
                  <c:v>3.2303151135954722E-2</c:v>
                </c:pt>
                <c:pt idx="163">
                  <c:v>3.2325670855341881E-2</c:v>
                </c:pt>
                <c:pt idx="164">
                  <c:v>3.2348190050662251E-2</c:v>
                </c:pt>
                <c:pt idx="165">
                  <c:v>3.2370708721928154E-2</c:v>
                </c:pt>
                <c:pt idx="166">
                  <c:v>3.2393226869151581E-2</c:v>
                </c:pt>
                <c:pt idx="167">
                  <c:v>3.2415744492344856E-2</c:v>
                </c:pt>
                <c:pt idx="168">
                  <c:v>3.2438261591520079E-2</c:v>
                </c:pt>
                <c:pt idx="169">
                  <c:v>3.2460778166689574E-2</c:v>
                </c:pt>
                <c:pt idx="170">
                  <c:v>3.2483294217865555E-2</c:v>
                </c:pt>
                <c:pt idx="171">
                  <c:v>3.250580974506001E-2</c:v>
                </c:pt>
                <c:pt idx="172">
                  <c:v>3.2528324748285264E-2</c:v>
                </c:pt>
                <c:pt idx="173">
                  <c:v>3.255083922755353E-2</c:v>
                </c:pt>
                <c:pt idx="174">
                  <c:v>3.2573353182876907E-2</c:v>
                </c:pt>
                <c:pt idx="175">
                  <c:v>3.2595866614267721E-2</c:v>
                </c:pt>
                <c:pt idx="176">
                  <c:v>3.2618379521738183E-2</c:v>
                </c:pt>
                <c:pt idx="177">
                  <c:v>3.2640891905300284E-2</c:v>
                </c:pt>
                <c:pt idx="178">
                  <c:v>3.2663403764966348E-2</c:v>
                </c:pt>
                <c:pt idx="179">
                  <c:v>3.2685915100748475E-2</c:v>
                </c:pt>
                <c:pt idx="180">
                  <c:v>3.27084259126591E-2</c:v>
                </c:pt>
                <c:pt idx="181">
                  <c:v>3.2730936200710103E-2</c:v>
                </c:pt>
                <c:pt idx="182">
                  <c:v>3.2753445964913919E-2</c:v>
                </c:pt>
                <c:pt idx="183">
                  <c:v>3.2775955205282536E-2</c:v>
                </c:pt>
                <c:pt idx="184">
                  <c:v>3.279846392182828E-2</c:v>
                </c:pt>
                <c:pt idx="185">
                  <c:v>3.2820972114563363E-2</c:v>
                </c:pt>
                <c:pt idx="186">
                  <c:v>3.2843479783499885E-2</c:v>
                </c:pt>
                <c:pt idx="187">
                  <c:v>3.2865986928650059E-2</c:v>
                </c:pt>
                <c:pt idx="188">
                  <c:v>3.2888493550026099E-2</c:v>
                </c:pt>
                <c:pt idx="189">
                  <c:v>3.2910999647640105E-2</c:v>
                </c:pt>
                <c:pt idx="190">
                  <c:v>3.29335052215044E-2</c:v>
                </c:pt>
                <c:pt idx="191">
                  <c:v>3.2956010271631198E-2</c:v>
                </c:pt>
                <c:pt idx="192">
                  <c:v>3.2978514798032488E-2</c:v>
                </c:pt>
                <c:pt idx="193">
                  <c:v>3.3001018800720594E-2</c:v>
                </c:pt>
                <c:pt idx="194">
                  <c:v>3.3023522279707729E-2</c:v>
                </c:pt>
                <c:pt idx="195">
                  <c:v>3.3046025235005994E-2</c:v>
                </c:pt>
                <c:pt idx="196">
                  <c:v>3.3068527666627601E-2</c:v>
                </c:pt>
                <c:pt idx="197">
                  <c:v>3.3091029574584763E-2</c:v>
                </c:pt>
                <c:pt idx="198">
                  <c:v>3.3113530958889581E-2</c:v>
                </c:pt>
                <c:pt idx="199">
                  <c:v>3.3136031819554379E-2</c:v>
                </c:pt>
                <c:pt idx="200">
                  <c:v>3.3158532156591369E-2</c:v>
                </c:pt>
                <c:pt idx="201">
                  <c:v>3.3181031970012542E-2</c:v>
                </c:pt>
                <c:pt idx="202">
                  <c:v>3.3203531259830221E-2</c:v>
                </c:pt>
                <c:pt idx="203">
                  <c:v>3.3226030026056508E-2</c:v>
                </c:pt>
                <c:pt idx="204">
                  <c:v>3.3248528268703725E-2</c:v>
                </c:pt>
                <c:pt idx="205">
                  <c:v>3.3271025987783864E-2</c:v>
                </c:pt>
                <c:pt idx="206">
                  <c:v>3.3293523183309248E-2</c:v>
                </c:pt>
                <c:pt idx="207">
                  <c:v>3.3316019855292089E-2</c:v>
                </c:pt>
                <c:pt idx="208">
                  <c:v>3.3338516003744378E-2</c:v>
                </c:pt>
                <c:pt idx="209">
                  <c:v>3.336101162867855E-2</c:v>
                </c:pt>
                <c:pt idx="210">
                  <c:v>3.3383506730106594E-2</c:v>
                </c:pt>
                <c:pt idx="211">
                  <c:v>3.3406001308040834E-2</c:v>
                </c:pt>
                <c:pt idx="212">
                  <c:v>3.3428495362493371E-2</c:v>
                </c:pt>
                <c:pt idx="213">
                  <c:v>3.3450988893476308E-2</c:v>
                </c:pt>
                <c:pt idx="214">
                  <c:v>3.3473481901002078E-2</c:v>
                </c:pt>
                <c:pt idx="215">
                  <c:v>3.3495974385082561E-2</c:v>
                </c:pt>
                <c:pt idx="216">
                  <c:v>3.351846634573008E-2</c:v>
                </c:pt>
                <c:pt idx="217">
                  <c:v>3.3540957782956959E-2</c:v>
                </c:pt>
                <c:pt idx="218">
                  <c:v>3.3563448696775078E-2</c:v>
                </c:pt>
                <c:pt idx="219">
                  <c:v>3.358593908719687E-2</c:v>
                </c:pt>
                <c:pt idx="220">
                  <c:v>3.3608428954234326E-2</c:v>
                </c:pt>
                <c:pt idx="221">
                  <c:v>3.363091829789977E-2</c:v>
                </c:pt>
                <c:pt idx="222">
                  <c:v>3.3653407118205414E-2</c:v>
                </c:pt>
                <c:pt idx="223">
                  <c:v>3.3675895415163248E-2</c:v>
                </c:pt>
                <c:pt idx="224">
                  <c:v>3.3698383188785597E-2</c:v>
                </c:pt>
                <c:pt idx="225">
                  <c:v>3.372087043908456E-2</c:v>
                </c:pt>
                <c:pt idx="226">
                  <c:v>3.3743357166072463E-2</c:v>
                </c:pt>
                <c:pt idx="227">
                  <c:v>3.3765843369761295E-2</c:v>
                </c:pt>
                <c:pt idx="228">
                  <c:v>3.3788329050163379E-2</c:v>
                </c:pt>
                <c:pt idx="229">
                  <c:v>3.3810814207290707E-2</c:v>
                </c:pt>
                <c:pt idx="230">
                  <c:v>3.3833298841155712E-2</c:v>
                </c:pt>
                <c:pt idx="231">
                  <c:v>3.3855782951770386E-2</c:v>
                </c:pt>
                <c:pt idx="232">
                  <c:v>3.387826653914694E-2</c:v>
                </c:pt>
                <c:pt idx="233">
                  <c:v>3.3900749603297586E-2</c:v>
                </c:pt>
                <c:pt idx="234">
                  <c:v>3.3923232144234539E-2</c:v>
                </c:pt>
                <c:pt idx="235">
                  <c:v>3.3945714161969787E-2</c:v>
                </c:pt>
                <c:pt idx="236">
                  <c:v>3.3968195656515765E-2</c:v>
                </c:pt>
                <c:pt idx="237">
                  <c:v>3.3990676627884464E-2</c:v>
                </c:pt>
                <c:pt idx="238">
                  <c:v>3.4013157076088096E-2</c:v>
                </c:pt>
                <c:pt idx="239">
                  <c:v>3.4035637001138874E-2</c:v>
                </c:pt>
                <c:pt idx="240">
                  <c:v>3.405811640304901E-2</c:v>
                </c:pt>
                <c:pt idx="241">
                  <c:v>3.4080595281830606E-2</c:v>
                </c:pt>
                <c:pt idx="242">
                  <c:v>3.4103073637495762E-2</c:v>
                </c:pt>
                <c:pt idx="243">
                  <c:v>3.4125551470056803E-2</c:v>
                </c:pt>
                <c:pt idx="244">
                  <c:v>3.414802877952583E-2</c:v>
                </c:pt>
                <c:pt idx="245">
                  <c:v>3.4170505565915055E-2</c:v>
                </c:pt>
                <c:pt idx="246">
                  <c:v>3.419298182923669E-2</c:v>
                </c:pt>
                <c:pt idx="247">
                  <c:v>3.4215457569502727E-2</c:v>
                </c:pt>
                <c:pt idx="248">
                  <c:v>3.4237932786725489E-2</c:v>
                </c:pt>
                <c:pt idx="249">
                  <c:v>3.4260407480917188E-2</c:v>
                </c:pt>
                <c:pt idx="250">
                  <c:v>3.4282881652089814E-2</c:v>
                </c:pt>
                <c:pt idx="251">
                  <c:v>3.4305355300255691E-2</c:v>
                </c:pt>
                <c:pt idx="252">
                  <c:v>3.4327828425426921E-2</c:v>
                </c:pt>
                <c:pt idx="253">
                  <c:v>3.4350301027615715E-2</c:v>
                </c:pt>
                <c:pt idx="254">
                  <c:v>3.4372773106834176E-2</c:v>
                </c:pt>
                <c:pt idx="255">
                  <c:v>3.4395244663094626E-2</c:v>
                </c:pt>
                <c:pt idx="256">
                  <c:v>3.4417715696409057E-2</c:v>
                </c:pt>
                <c:pt idx="257">
                  <c:v>3.444018620678968E-2</c:v>
                </c:pt>
                <c:pt idx="258">
                  <c:v>3.446265619424882E-2</c:v>
                </c:pt>
                <c:pt idx="259">
                  <c:v>3.4485125658798355E-2</c:v>
                </c:pt>
                <c:pt idx="260">
                  <c:v>3.4507594600450719E-2</c:v>
                </c:pt>
                <c:pt idx="261">
                  <c:v>3.4530063019218016E-2</c:v>
                </c:pt>
                <c:pt idx="262">
                  <c:v>3.4552530915112345E-2</c:v>
                </c:pt>
                <c:pt idx="263">
                  <c:v>3.4574998288145919E-2</c:v>
                </c:pt>
                <c:pt idx="264">
                  <c:v>3.4597465138330952E-2</c:v>
                </c:pt>
                <c:pt idx="265">
                  <c:v>3.4619931465679543E-2</c:v>
                </c:pt>
                <c:pt idx="266">
                  <c:v>3.4642397270203795E-2</c:v>
                </c:pt>
                <c:pt idx="267">
                  <c:v>3.4664862551916031E-2</c:v>
                </c:pt>
                <c:pt idx="268">
                  <c:v>3.4687327310828353E-2</c:v>
                </c:pt>
                <c:pt idx="269">
                  <c:v>3.4709791546952862E-2</c:v>
                </c:pt>
                <c:pt idx="270">
                  <c:v>3.473225526030177E-2</c:v>
                </c:pt>
                <c:pt idx="271">
                  <c:v>3.475471845088729E-2</c:v>
                </c:pt>
                <c:pt idx="272">
                  <c:v>3.4777181118721523E-2</c:v>
                </c:pt>
                <c:pt idx="273">
                  <c:v>3.4799643263816682E-2</c:v>
                </c:pt>
                <c:pt idx="274">
                  <c:v>3.4822104886184868E-2</c:v>
                </c:pt>
                <c:pt idx="275">
                  <c:v>3.4844565985838405E-2</c:v>
                </c:pt>
                <c:pt idx="276">
                  <c:v>3.4867026562789172E-2</c:v>
                </c:pt>
                <c:pt idx="277">
                  <c:v>3.4889486617049603E-2</c:v>
                </c:pt>
                <c:pt idx="278">
                  <c:v>3.4911946148631801E-2</c:v>
                </c:pt>
                <c:pt idx="279">
                  <c:v>3.4934405157547754E-2</c:v>
                </c:pt>
                <c:pt idx="280">
                  <c:v>3.4956863643809899E-2</c:v>
                </c:pt>
                <c:pt idx="281">
                  <c:v>3.4979321607430114E-2</c:v>
                </c:pt>
                <c:pt idx="282">
                  <c:v>3.5001779048420834E-2</c:v>
                </c:pt>
                <c:pt idx="283">
                  <c:v>3.5024235966794048E-2</c:v>
                </c:pt>
                <c:pt idx="284">
                  <c:v>3.5046692362561971E-2</c:v>
                </c:pt>
                <c:pt idx="285">
                  <c:v>3.5069148235736702E-2</c:v>
                </c:pt>
                <c:pt idx="286">
                  <c:v>3.5091603586330566E-2</c:v>
                </c:pt>
                <c:pt idx="287">
                  <c:v>3.5114058414355553E-2</c:v>
                </c:pt>
                <c:pt idx="288">
                  <c:v>3.5136512719823876E-2</c:v>
                </c:pt>
                <c:pt idx="289">
                  <c:v>3.5158966502747746E-2</c:v>
                </c:pt>
                <c:pt idx="290">
                  <c:v>3.5181419763139266E-2</c:v>
                </c:pt>
                <c:pt idx="291">
                  <c:v>3.5203872501010536E-2</c:v>
                </c:pt>
                <c:pt idx="292">
                  <c:v>3.522632471637388E-2</c:v>
                </c:pt>
                <c:pt idx="293">
                  <c:v>3.52487764092414E-2</c:v>
                </c:pt>
                <c:pt idx="294">
                  <c:v>3.5271227579625197E-2</c:v>
                </c:pt>
                <c:pt idx="295">
                  <c:v>3.5293678227537373E-2</c:v>
                </c:pt>
                <c:pt idx="296">
                  <c:v>3.531612835299025E-2</c:v>
                </c:pt>
                <c:pt idx="297">
                  <c:v>3.5338577955995931E-2</c:v>
                </c:pt>
                <c:pt idx="298">
                  <c:v>3.5361027036566517E-2</c:v>
                </c:pt>
                <c:pt idx="299">
                  <c:v>3.538347559471422E-2</c:v>
                </c:pt>
                <c:pt idx="300">
                  <c:v>3.5405923630451142E-2</c:v>
                </c:pt>
                <c:pt idx="301">
                  <c:v>3.5428371143789605E-2</c:v>
                </c:pt>
                <c:pt idx="302">
                  <c:v>3.5450818134741491E-2</c:v>
                </c:pt>
                <c:pt idx="303">
                  <c:v>3.5473264603319121E-2</c:v>
                </c:pt>
                <c:pt idx="304">
                  <c:v>3.5495710549534709E-2</c:v>
                </c:pt>
                <c:pt idx="305">
                  <c:v>3.5518155973400356E-2</c:v>
                </c:pt>
                <c:pt idx="306">
                  <c:v>3.5540600874928052E-2</c:v>
                </c:pt>
                <c:pt idx="307">
                  <c:v>3.5563045254130232E-2</c:v>
                </c:pt>
                <c:pt idx="308">
                  <c:v>3.5585489111018886E-2</c:v>
                </c:pt>
                <c:pt idx="309">
                  <c:v>3.5607932445606227E-2</c:v>
                </c:pt>
                <c:pt idx="310">
                  <c:v>3.5630375257904356E-2</c:v>
                </c:pt>
                <c:pt idx="311">
                  <c:v>3.5652817547925375E-2</c:v>
                </c:pt>
                <c:pt idx="312">
                  <c:v>3.5675259315681607E-2</c:v>
                </c:pt>
                <c:pt idx="313">
                  <c:v>3.5697700561185153E-2</c:v>
                </c:pt>
                <c:pt idx="314">
                  <c:v>3.5720141284448115E-2</c:v>
                </c:pt>
                <c:pt idx="315">
                  <c:v>3.5742581485482594E-2</c:v>
                </c:pt>
                <c:pt idx="316">
                  <c:v>3.5765021164300803E-2</c:v>
                </c:pt>
                <c:pt idx="317">
                  <c:v>3.5787460320914954E-2</c:v>
                </c:pt>
                <c:pt idx="318">
                  <c:v>3.5809898955337149E-2</c:v>
                </c:pt>
                <c:pt idx="319">
                  <c:v>3.58323370675796E-2</c:v>
                </c:pt>
                <c:pt idx="320">
                  <c:v>3.5854774657654298E-2</c:v>
                </c:pt>
                <c:pt idx="321">
                  <c:v>3.5877211725573566E-2</c:v>
                </c:pt>
                <c:pt idx="322">
                  <c:v>3.5899648271349394E-2</c:v>
                </c:pt>
                <c:pt idx="323">
                  <c:v>3.5922084294994105E-2</c:v>
                </c:pt>
                <c:pt idx="324">
                  <c:v>3.5944519796519803E-2</c:v>
                </c:pt>
                <c:pt idx="325">
                  <c:v>3.5966954775938476E-2</c:v>
                </c:pt>
                <c:pt idx="326">
                  <c:v>3.5989389233262559E-2</c:v>
                </c:pt>
                <c:pt idx="327">
                  <c:v>3.6011823168503931E-2</c:v>
                </c:pt>
                <c:pt idx="328">
                  <c:v>3.6034256581674917E-2</c:v>
                </c:pt>
                <c:pt idx="329">
                  <c:v>3.6056689472787506E-2</c:v>
                </c:pt>
                <c:pt idx="330">
                  <c:v>3.6079121841854023E-2</c:v>
                </c:pt>
                <c:pt idx="331">
                  <c:v>3.6101553688886567E-2</c:v>
                </c:pt>
                <c:pt idx="332">
                  <c:v>3.6123985013897242E-2</c:v>
                </c:pt>
                <c:pt idx="333">
                  <c:v>3.6146415816898148E-2</c:v>
                </c:pt>
                <c:pt idx="334">
                  <c:v>3.6168846097901608E-2</c:v>
                </c:pt>
                <c:pt idx="335">
                  <c:v>3.6191275856919614E-2</c:v>
                </c:pt>
                <c:pt idx="336">
                  <c:v>3.6213705093964266E-2</c:v>
                </c:pt>
                <c:pt idx="337">
                  <c:v>3.6236133809047888E-2</c:v>
                </c:pt>
                <c:pt idx="338">
                  <c:v>3.6258562002182582E-2</c:v>
                </c:pt>
                <c:pt idx="339">
                  <c:v>3.6280989673380448E-2</c:v>
                </c:pt>
                <c:pt idx="340">
                  <c:v>3.6303416822653589E-2</c:v>
                </c:pt>
                <c:pt idx="341">
                  <c:v>3.6325843450014217E-2</c:v>
                </c:pt>
                <c:pt idx="342">
                  <c:v>3.6348269555474433E-2</c:v>
                </c:pt>
                <c:pt idx="343">
                  <c:v>3.6370695139046449E-2</c:v>
                </c:pt>
                <c:pt idx="344">
                  <c:v>3.6393120200742368E-2</c:v>
                </c:pt>
                <c:pt idx="345">
                  <c:v>3.6415544740574401E-2</c:v>
                </c:pt>
                <c:pt idx="346">
                  <c:v>3.643796875855454E-2</c:v>
                </c:pt>
                <c:pt idx="347">
                  <c:v>3.6460392254695106E-2</c:v>
                </c:pt>
                <c:pt idx="348">
                  <c:v>3.6482815229008092E-2</c:v>
                </c:pt>
                <c:pt idx="349">
                  <c:v>3.6505237681505709E-2</c:v>
                </c:pt>
                <c:pt idx="350">
                  <c:v>3.652765961220017E-2</c:v>
                </c:pt>
                <c:pt idx="351">
                  <c:v>3.6550081021103464E-2</c:v>
                </c:pt>
                <c:pt idx="352">
                  <c:v>3.6572501908227806E-2</c:v>
                </c:pt>
                <c:pt idx="353">
                  <c:v>3.6594922273585406E-2</c:v>
                </c:pt>
                <c:pt idx="354">
                  <c:v>3.6617342117188367E-2</c:v>
                </c:pt>
                <c:pt idx="355">
                  <c:v>3.663976143904879E-2</c:v>
                </c:pt>
                <c:pt idx="356">
                  <c:v>3.6662180239178777E-2</c:v>
                </c:pt>
                <c:pt idx="357">
                  <c:v>3.668459851759065E-2</c:v>
                </c:pt>
                <c:pt idx="358">
                  <c:v>3.6707016274296289E-2</c:v>
                </c:pt>
                <c:pt idx="359">
                  <c:v>3.6729433509308129E-2</c:v>
                </c:pt>
                <c:pt idx="360">
                  <c:v>3.6751850222638049E-2</c:v>
                </c:pt>
                <c:pt idx="361">
                  <c:v>3.6774266414298373E-2</c:v>
                </c:pt>
                <c:pt idx="362">
                  <c:v>3.6796682084301091E-2</c:v>
                </c:pt>
                <c:pt idx="363">
                  <c:v>3.6819097232658526E-2</c:v>
                </c:pt>
                <c:pt idx="364">
                  <c:v>3.684151185938267E-2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0.10393873819614062</c:v>
                </c:pt>
                <c:pt idx="1">
                  <c:v>0.10412270435975443</c:v>
                </c:pt>
                <c:pt idx="2">
                  <c:v>0.10430645163978204</c:v>
                </c:pt>
                <c:pt idx="3">
                  <c:v>0.10448993613402191</c:v>
                </c:pt>
                <c:pt idx="4">
                  <c:v>0.10467311987538482</c:v>
                </c:pt>
                <c:pt idx="5">
                  <c:v>0.1048559706871765</c:v>
                </c:pt>
                <c:pt idx="6">
                  <c:v>0.1050384619893571</c:v>
                </c:pt>
                <c:pt idx="7">
                  <c:v>0.10522057255924863</c:v>
                </c:pt>
                <c:pt idx="8">
                  <c:v>0.10540228625052757</c:v>
                </c:pt>
                <c:pt idx="9">
                  <c:v>0.10558359167465825</c:v>
                </c:pt>
                <c:pt idx="10">
                  <c:v>0.10576448184919982</c:v>
                </c:pt>
                <c:pt idx="11">
                  <c:v>0.10594495381764761</c:v>
                </c:pt>
                <c:pt idx="12">
                  <c:v>0.10612500824564791</c:v>
                </c:pt>
                <c:pt idx="13">
                  <c:v>0.10630464899855536</c:v>
                </c:pt>
                <c:pt idx="14">
                  <c:v>0.10648388270537834</c:v>
                </c:pt>
                <c:pt idx="15">
                  <c:v>0.10666271831418606</c:v>
                </c:pt>
                <c:pt idx="16">
                  <c:v>0.10684116664402682</c:v>
                </c:pt>
                <c:pt idx="17">
                  <c:v>0.1070192399383328</c:v>
                </c:pt>
                <c:pt idx="18">
                  <c:v>0.1071969514246668</c:v>
                </c:pt>
                <c:pt idx="19">
                  <c:v>0.10737431488549658</c:v>
                </c:pt>
                <c:pt idx="20">
                  <c:v>0.10755134424447169</c:v>
                </c:pt>
                <c:pt idx="21">
                  <c:v>0.10772805317242388</c:v>
                </c:pt>
                <c:pt idx="22">
                  <c:v>0.10790445471702147</c:v>
                </c:pt>
                <c:pt idx="23">
                  <c:v>0.10808056095968092</c:v>
                </c:pt>
                <c:pt idx="24">
                  <c:v>0.10825638270298407</c:v>
                </c:pt>
                <c:pt idx="25">
                  <c:v>0.10843192919146434</c:v>
                </c:pt>
                <c:pt idx="26">
                  <c:v>0.10860720786822078</c:v>
                </c:pt>
                <c:pt idx="27">
                  <c:v>0.10878222416939509</c:v>
                </c:pt>
                <c:pt idx="28">
                  <c:v>0.10895698135810925</c:v>
                </c:pt>
                <c:pt idx="29">
                  <c:v>0.10913148039901742</c:v>
                </c:pt>
                <c:pt idx="30">
                  <c:v>0.10930571987417605</c:v>
                </c:pt>
                <c:pt idx="31">
                  <c:v>0.10947969594048709</c:v>
                </c:pt>
                <c:pt idx="32">
                  <c:v>0.10965340232852894</c:v>
                </c:pt>
                <c:pt idx="33">
                  <c:v>0.10982683038215481</c:v>
                </c:pt>
                <c:pt idx="34">
                  <c:v>0.10999996913782097</c:v>
                </c:pt>
                <c:pt idx="35">
                  <c:v>0.11017280544220898</c:v>
                </c:pt>
                <c:pt idx="36">
                  <c:v>0.11034532410632589</c:v>
                </c:pt>
                <c:pt idx="37">
                  <c:v>0.11051750809391887</c:v>
                </c:pt>
                <c:pt idx="38">
                  <c:v>0.11068933874171505</c:v>
                </c:pt>
                <c:pt idx="39">
                  <c:v>0.11086079600871088</c:v>
                </c:pt>
                <c:pt idx="40">
                  <c:v>0.11103185875147757</c:v>
                </c:pt>
                <c:pt idx="41">
                  <c:v>0.11120250502223239</c:v>
                </c:pt>
                <c:pt idx="42">
                  <c:v>0.11137271238624497</c:v>
                </c:pt>
                <c:pt idx="43">
                  <c:v>0.11154245825500721</c:v>
                </c:pt>
                <c:pt idx="44">
                  <c:v>0.11171172023149628</c:v>
                </c:pt>
                <c:pt idx="45">
                  <c:v>0.11188047646379987</c:v>
                </c:pt>
                <c:pt idx="46">
                  <c:v>0.11204870600335554</c:v>
                </c:pt>
                <c:pt idx="47">
                  <c:v>0.11221638916407617</c:v>
                </c:pt>
                <c:pt idx="48">
                  <c:v>0.11238350787869539</c:v>
                </c:pt>
                <c:pt idx="49">
                  <c:v>0.11255004604876363</c:v>
                </c:pt>
                <c:pt idx="50">
                  <c:v>0.11271598988486051</c:v>
                </c:pt>
                <c:pt idx="51">
                  <c:v>0.11288132823375636</c:v>
                </c:pt>
                <c:pt idx="52">
                  <c:v>0.11304605288945349</c:v>
                </c:pt>
                <c:pt idx="53">
                  <c:v>0.11321015888526642</c:v>
                </c:pt>
                <c:pt idx="54">
                  <c:v>0.11337364476435023</c:v>
                </c:pt>
                <c:pt idx="55">
                  <c:v>0.11353651282636143</c:v>
                </c:pt>
                <c:pt idx="56">
                  <c:v>0.11369876934822683</c:v>
                </c:pt>
                <c:pt idx="57">
                  <c:v>0.11386042477730271</c:v>
                </c:pt>
                <c:pt idx="58">
                  <c:v>0.11402149389552374</c:v>
                </c:pt>
                <c:pt idx="59">
                  <c:v>0.11418199595346458</c:v>
                </c:pt>
                <c:pt idx="60">
                  <c:v>0.11434195477356573</c:v>
                </c:pt>
                <c:pt idx="61">
                  <c:v>0.11450139882209896</c:v>
                </c:pt>
                <c:pt idx="62">
                  <c:v>0.11466036124977165</c:v>
                </c:pt>
                <c:pt idx="63">
                  <c:v>0.11481887990118086</c:v>
                </c:pt>
                <c:pt idx="64">
                  <c:v>0.11497699729363005</c:v>
                </c:pt>
                <c:pt idx="65">
                  <c:v>0.11513476056610773</c:v>
                </c:pt>
                <c:pt idx="66">
                  <c:v>0.11529222139949534</c:v>
                </c:pt>
                <c:pt idx="67">
                  <c:v>0.11544943590931846</c:v>
                </c:pt>
                <c:pt idx="68">
                  <c:v>0.11560646451257965</c:v>
                </c:pt>
                <c:pt idx="69">
                  <c:v>0.11576337177040875</c:v>
                </c:pt>
                <c:pt idx="70">
                  <c:v>0.11592022620843712</c:v>
                </c:pt>
                <c:pt idx="71">
                  <c:v>0.11607710011694299</c:v>
                </c:pt>
                <c:pt idx="72">
                  <c:v>0.11623406933292849</c:v>
                </c:pt>
                <c:pt idx="73">
                  <c:v>0.11639121300636657</c:v>
                </c:pt>
                <c:pt idx="74">
                  <c:v>0.1165486133529083</c:v>
                </c:pt>
                <c:pt idx="75">
                  <c:v>0.11670635539535812</c:v>
                </c:pt>
                <c:pt idx="76">
                  <c:v>0.11686452669621329</c:v>
                </c:pt>
                <c:pt idx="77">
                  <c:v>0.1170232170835218</c:v>
                </c:pt>
                <c:pt idx="78">
                  <c:v>0.11718251837224401</c:v>
                </c:pt>
                <c:pt idx="79">
                  <c:v>0.11734252408320586</c:v>
                </c:pt>
                <c:pt idx="80">
                  <c:v>0.11750332916161006</c:v>
                </c:pt>
                <c:pt idx="81">
                  <c:v>0.1176650296969282</c:v>
                </c:pt>
                <c:pt idx="82">
                  <c:v>0.11782772264583126</c:v>
                </c:pt>
                <c:pt idx="83">
                  <c:v>0.11799150555963522</c:v>
                </c:pt>
                <c:pt idx="84">
                  <c:v>0.11815647631754146</c:v>
                </c:pt>
                <c:pt idx="85">
                  <c:v>0.11832273286674463</c:v>
                </c:pt>
                <c:pt idx="86">
                  <c:v>0.11849037297026364</c:v>
                </c:pt>
                <c:pt idx="87">
                  <c:v>0.11865949396313206</c:v>
                </c:pt>
                <c:pt idx="88">
                  <c:v>0.11883019251736092</c:v>
                </c:pt>
                <c:pt idx="89">
                  <c:v>0.11900256441586633</c:v>
                </c:pt>
                <c:pt idx="90">
                  <c:v>0.11917670433534003</c:v>
                </c:pt>
                <c:pt idx="91">
                  <c:v>0.11935270563783271</c:v>
                </c:pt>
                <c:pt idx="92">
                  <c:v>0.1195306601706254</c:v>
                </c:pt>
                <c:pt idx="93">
                  <c:v>0.11971065807378263</c:v>
                </c:pt>
                <c:pt idx="94">
                  <c:v>0.11989278759461745</c:v>
                </c:pt>
                <c:pt idx="95">
                  <c:v>0.1200771349081534</c:v>
                </c:pt>
                <c:pt idx="96">
                  <c:v>0.12026378394254726</c:v>
                </c:pt>
                <c:pt idx="97">
                  <c:v>0.12045281620833662</c:v>
                </c:pt>
                <c:pt idx="98">
                  <c:v>0.12064431063030404</c:v>
                </c:pt>
                <c:pt idx="99">
                  <c:v>0.12083834338070215</c:v>
                </c:pt>
                <c:pt idx="100">
                  <c:v>0.12103498771256622</c:v>
                </c:pt>
                <c:pt idx="101">
                  <c:v>0.12123431379184908</c:v>
                </c:pt>
                <c:pt idx="102">
                  <c:v>0.12143638852715066</c:v>
                </c:pt>
                <c:pt idx="103">
                  <c:v>0.12164127539588157</c:v>
                </c:pt>
                <c:pt idx="104">
                  <c:v>0.12184903426579033</c:v>
                </c:pt>
                <c:pt idx="105">
                  <c:v>0.12205972121090543</c:v>
                </c:pt>
                <c:pt idx="106">
                  <c:v>0.12227338832108729</c:v>
                </c:pt>
                <c:pt idx="107">
                  <c:v>0.12249008350455169</c:v>
                </c:pt>
                <c:pt idx="108">
                  <c:v>0.12270985028291617</c:v>
                </c:pt>
                <c:pt idx="109">
                  <c:v>0.12293272757852836</c:v>
                </c:pt>
                <c:pt idx="110">
                  <c:v>0.12315874949405915</c:v>
                </c:pt>
                <c:pt idx="111">
                  <c:v>0.1233879450845792</c:v>
                </c:pt>
                <c:pt idx="112">
                  <c:v>0.12362033812258727</c:v>
                </c:pt>
                <c:pt idx="113">
                  <c:v>0.12385594685670975</c:v>
                </c:pt>
                <c:pt idx="114">
                  <c:v>0.12409478376505016</c:v>
                </c:pt>
                <c:pt idx="115">
                  <c:v>0.12433685530442311</c:v>
                </c:pt>
                <c:pt idx="116">
                  <c:v>0.12458216165696068</c:v>
                </c:pt>
                <c:pt idx="117">
                  <c:v>0.12483069647582443</c:v>
                </c:pt>
                <c:pt idx="118">
                  <c:v>0.12508244663199106</c:v>
                </c:pt>
                <c:pt idx="119">
                  <c:v>0.12533739196429808</c:v>
                </c:pt>
                <c:pt idx="120">
                  <c:v>0.1255955050351385</c:v>
                </c:pt>
                <c:pt idx="121">
                  <c:v>0.12585675089437248</c:v>
                </c:pt>
                <c:pt idx="122">
                  <c:v>0.12612108685418011</c:v>
                </c:pt>
                <c:pt idx="123">
                  <c:v>0.12638846227770684</c:v>
                </c:pt>
                <c:pt idx="124">
                  <c:v>0.12665881838445162</c:v>
                </c:pt>
                <c:pt idx="125">
                  <c:v>0.12693208807541434</c:v>
                </c:pt>
                <c:pt idx="126">
                  <c:v>0.12720819578105053</c:v>
                </c:pt>
                <c:pt idx="127">
                  <c:v>0.1274870573350782</c:v>
                </c:pt>
                <c:pt idx="128">
                  <c:v>0.12776857987714246</c:v>
                </c:pt>
                <c:pt idx="129">
                  <c:v>0.1280526617872649</c:v>
                </c:pt>
                <c:pt idx="130">
                  <c:v>0.12833919265489091</c:v>
                </c:pt>
                <c:pt idx="131">
                  <c:v>0.12862805328519533</c:v>
                </c:pt>
                <c:pt idx="132">
                  <c:v>0.12891911574511733</c:v>
                </c:pt>
                <c:pt idx="133">
                  <c:v>0.12921224345137133</c:v>
                </c:pt>
                <c:pt idx="134">
                  <c:v>0.1295072913024197</c:v>
                </c:pt>
                <c:pt idx="135">
                  <c:v>0.12980410585610366</c:v>
                </c:pt>
                <c:pt idx="136">
                  <c:v>0.13010252555430399</c:v>
                </c:pt>
                <c:pt idx="137">
                  <c:v>0.13040238099565626</c:v>
                </c:pt>
                <c:pt idx="138">
                  <c:v>0.1307034952569702</c:v>
                </c:pt>
                <c:pt idx="139">
                  <c:v>0.13100568426360806</c:v>
                </c:pt>
                <c:pt idx="140">
                  <c:v>0.13130875720866578</c:v>
                </c:pt>
                <c:pt idx="141">
                  <c:v>0.13161251702037405</c:v>
                </c:pt>
                <c:pt idx="142">
                  <c:v>0.13191676087670301</c:v>
                </c:pt>
                <c:pt idx="143">
                  <c:v>0.13222128076571454</c:v>
                </c:pt>
                <c:pt idx="144">
                  <c:v>0.13252586408976566</c:v>
                </c:pt>
                <c:pt idx="145">
                  <c:v>0.13283029431123292</c:v>
                </c:pt>
                <c:pt idx="146">
                  <c:v>0.13313435163699955</c:v>
                </c:pt>
                <c:pt idx="147">
                  <c:v>0.13343781373853458</c:v>
                </c:pt>
                <c:pt idx="148">
                  <c:v>0.13374045650399838</c:v>
                </c:pt>
                <c:pt idx="149">
                  <c:v>0.13404205481843626</c:v>
                </c:pt>
                <c:pt idx="150">
                  <c:v>0.13434238336777576</c:v>
                </c:pt>
                <c:pt idx="151">
                  <c:v>0.13464121746202776</c:v>
                </c:pt>
                <c:pt idx="152">
                  <c:v>0.13493833387281129</c:v>
                </c:pt>
                <c:pt idx="153">
                  <c:v>0.1352335116800788</c:v>
                </c:pt>
                <c:pt idx="154">
                  <c:v>0.13552653312271712</c:v>
                </c:pt>
                <c:pt idx="155">
                  <c:v>0.13581718444754096</c:v>
                </c:pt>
                <c:pt idx="156">
                  <c:v>0.13610525675108515</c:v>
                </c:pt>
                <c:pt idx="157">
                  <c:v>0.13639054680853727</c:v>
                </c:pt>
                <c:pt idx="158">
                  <c:v>0.13667285788413874</c:v>
                </c:pt>
                <c:pt idx="159">
                  <c:v>0.13695200051741854</c:v>
                </c:pt>
                <c:pt idx="160">
                  <c:v>0.13722779327971102</c:v>
                </c:pt>
                <c:pt idx="161">
                  <c:v>0.13750006349554744</c:v>
                </c:pt>
                <c:pt idx="162">
                  <c:v>0.13776864792369825</c:v>
                </c:pt>
                <c:pt idx="163">
                  <c:v>0.13803339339288095</c:v>
                </c:pt>
                <c:pt idx="164">
                  <c:v>0.13829415738743198</c:v>
                </c:pt>
                <c:pt idx="165">
                  <c:v>0.13855080857857216</c:v>
                </c:pt>
                <c:pt idx="166">
                  <c:v>0.13880322729726502</c:v>
                </c:pt>
                <c:pt idx="167">
                  <c:v>0.13905130594508183</c:v>
                </c:pt>
                <c:pt idx="168">
                  <c:v>0.13929494933993311</c:v>
                </c:pt>
                <c:pt idx="169">
                  <c:v>0.13953407499400589</c:v>
                </c:pt>
                <c:pt idx="170">
                  <c:v>0.13976861332175525</c:v>
                </c:pt>
                <c:pt idx="171">
                  <c:v>0.1399985077763283</c:v>
                </c:pt>
                <c:pt idx="172">
                  <c:v>0.14022371491334729</c:v>
                </c:pt>
                <c:pt idx="173">
                  <c:v>0.14044420438154231</c:v>
                </c:pt>
                <c:pt idx="174">
                  <c:v>0.14065995884029386</c:v>
                </c:pt>
                <c:pt idx="175">
                  <c:v>0.14087097380471772</c:v>
                </c:pt>
                <c:pt idx="176">
                  <c:v>0.14107725741949587</c:v>
                </c:pt>
                <c:pt idx="177">
                  <c:v>0.14127883016321838</c:v>
                </c:pt>
                <c:pt idx="178">
                  <c:v>0.14147572448554954</c:v>
                </c:pt>
                <c:pt idx="179">
                  <c:v>0.14166798438006006</c:v>
                </c:pt>
                <c:pt idx="180">
                  <c:v>0.14185566489607304</c:v>
                </c:pt>
                <c:pt idx="181">
                  <c:v>0.14203883159334701</c:v>
                </c:pt>
                <c:pt idx="182">
                  <c:v>0.14221755994386073</c:v>
                </c:pt>
                <c:pt idx="183">
                  <c:v>0.14239193468536965</c:v>
                </c:pt>
                <c:pt idx="184">
                  <c:v>0.14256204913176559</c:v>
                </c:pt>
                <c:pt idx="185">
                  <c:v>0.14272800444558736</c:v>
                </c:pt>
                <c:pt idx="186">
                  <c:v>0.14288990887829792</c:v>
                </c:pt>
                <c:pt idx="187">
                  <c:v>0.14304787698416019</c:v>
                </c:pt>
                <c:pt idx="188">
                  <c:v>0.14320202881370656</c:v>
                </c:pt>
                <c:pt idx="189">
                  <c:v>0.14335248909290355</c:v>
                </c:pt>
                <c:pt idx="190">
                  <c:v>0.14349938639416701</c:v>
                </c:pt>
                <c:pt idx="191">
                  <c:v>0.14364285230537588</c:v>
                </c:pt>
                <c:pt idx="192">
                  <c:v>0.14378302060297168</c:v>
                </c:pt>
                <c:pt idx="193">
                  <c:v>0.14392002643511451</c:v>
                </c:pt>
                <c:pt idx="194">
                  <c:v>0.14405400552069214</c:v>
                </c:pt>
                <c:pt idx="195">
                  <c:v>0.14418509336975635</c:v>
                </c:pt>
                <c:pt idx="196">
                  <c:v>0.1443134245306828</c:v>
                </c:pt>
                <c:pt idx="197">
                  <c:v>0.14443913186903043</c:v>
                </c:pt>
                <c:pt idx="198">
                  <c:v>0.14456234588270694</c:v>
                </c:pt>
                <c:pt idx="199">
                  <c:v>0.14468319405764124</c:v>
                </c:pt>
                <c:pt idx="200">
                  <c:v>0.14480180026771902</c:v>
                </c:pt>
                <c:pt idx="201">
                  <c:v>0.14491828422226263</c:v>
                </c:pt>
                <c:pt idx="202">
                  <c:v>0.1450327609638348</c:v>
                </c:pt>
                <c:pt idx="203">
                  <c:v>0.14514534041862376</c:v>
                </c:pt>
                <c:pt idx="204">
                  <c:v>0.14525612700112467</c:v>
                </c:pt>
                <c:pt idx="205">
                  <c:v>0.1453652192742883</c:v>
                </c:pt>
                <c:pt idx="206">
                  <c:v>0.14547270966574932</c:v>
                </c:pt>
                <c:pt idx="207">
                  <c:v>0.14557868424019546</c:v>
                </c:pt>
                <c:pt idx="208">
                  <c:v>0.14568322252739488</c:v>
                </c:pt>
                <c:pt idx="209">
                  <c:v>0.14578639740486249</c:v>
                </c:pt>
                <c:pt idx="210">
                  <c:v>0.14588827503363383</c:v>
                </c:pt>
                <c:pt idx="211">
                  <c:v>0.14598891484512236</c:v>
                </c:pt>
                <c:pt idx="212">
                  <c:v>0.14608836957657337</c:v>
                </c:pt>
                <c:pt idx="213">
                  <c:v>0.1461866853521992</c:v>
                </c:pt>
                <c:pt idx="214">
                  <c:v>0.14628390180668774</c:v>
                </c:pt>
                <c:pt idx="215">
                  <c:v>0.14638005224742714</c:v>
                </c:pt>
                <c:pt idx="216">
                  <c:v>0.14647516385148635</c:v>
                </c:pt>
                <c:pt idx="217">
                  <c:v>0.14656925789313405</c:v>
                </c:pt>
                <c:pt idx="218">
                  <c:v>0.14666234999747566</c:v>
                </c:pt>
                <c:pt idx="219">
                  <c:v>0.14675445041563556</c:v>
                </c:pt>
                <c:pt idx="220">
                  <c:v>0.14684556431681631</c:v>
                </c:pt>
                <c:pt idx="221">
                  <c:v>0.14693569209252411</c:v>
                </c:pt>
                <c:pt idx="222">
                  <c:v>0.14702482966826527</c:v>
                </c:pt>
                <c:pt idx="223">
                  <c:v>0.14711296881808777</c:v>
                </c:pt>
                <c:pt idx="224">
                  <c:v>0.1472000974774654</c:v>
                </c:pt>
                <c:pt idx="225">
                  <c:v>0.14728620005020032</c:v>
                </c:pt>
                <c:pt idx="226">
                  <c:v>0.14737125770524534</c:v>
                </c:pt>
                <c:pt idx="227">
                  <c:v>0.14745524865962442</c:v>
                </c:pt>
                <c:pt idx="228">
                  <c:v>0.14753814844394766</c:v>
                </c:pt>
                <c:pt idx="229">
                  <c:v>0.14761993014738006</c:v>
                </c:pt>
                <c:pt idx="230">
                  <c:v>0.14770056463931841</c:v>
                </c:pt>
                <c:pt idx="231">
                  <c:v>0.14778002076546204</c:v>
                </c:pt>
                <c:pt idx="232">
                  <c:v>0.14785826551641873</c:v>
                </c:pt>
                <c:pt idx="233">
                  <c:v>0.14793526416746444</c:v>
                </c:pt>
                <c:pt idx="234">
                  <c:v>0.14801098038857186</c:v>
                </c:pt>
                <c:pt idx="235">
                  <c:v>0.14808537632432547</c:v>
                </c:pt>
                <c:pt idx="236">
                  <c:v>0.14815841264385091</c:v>
                </c:pt>
                <c:pt idx="237">
                  <c:v>0.1482300485613941</c:v>
                </c:pt>
                <c:pt idx="238">
                  <c:v>0.14830024182868531</c:v>
                </c:pt>
                <c:pt idx="239">
                  <c:v>0.14836894870071041</c:v>
                </c:pt>
                <c:pt idx="240">
                  <c:v>0.14843612387697819</c:v>
                </c:pt>
                <c:pt idx="241">
                  <c:v>0.14850172042081644</c:v>
                </c:pt>
                <c:pt idx="242">
                  <c:v>0.14856568965964023</c:v>
                </c:pt>
                <c:pt idx="243">
                  <c:v>0.14862798106951355</c:v>
                </c:pt>
                <c:pt idx="244">
                  <c:v>0.14868854214766203</c:v>
                </c:pt>
                <c:pt idx="245">
                  <c:v>0.14874731827688656</c:v>
                </c:pt>
                <c:pt idx="246">
                  <c:v>0.14880425258607205</c:v>
                </c:pt>
                <c:pt idx="247">
                  <c:v>0.14885928581117833</c:v>
                </c:pt>
                <c:pt idx="248">
                  <c:v>0.14891235616123732</c:v>
                </c:pt>
                <c:pt idx="249">
                  <c:v>0.14896339919396379</c:v>
                </c:pt>
                <c:pt idx="250">
                  <c:v>0.14901234770561017</c:v>
                </c:pt>
                <c:pt idx="251">
                  <c:v>0.1490591316396592</c:v>
                </c:pt>
                <c:pt idx="252">
                  <c:v>0.14910367801885591</c:v>
                </c:pt>
                <c:pt idx="253">
                  <c:v>0.14914591090492385</c:v>
                </c:pt>
                <c:pt idx="254">
                  <c:v>0.14918575139010012</c:v>
                </c:pt>
                <c:pt idx="255">
                  <c:v>0.14922311762435644</c:v>
                </c:pt>
                <c:pt idx="256">
                  <c:v>0.14925792488184841</c:v>
                </c:pt>
                <c:pt idx="257">
                  <c:v>0.14929008566976434</c:v>
                </c:pt>
                <c:pt idx="258">
                  <c:v>0.14931950988232265</c:v>
                </c:pt>
                <c:pt idx="259">
                  <c:v>0.14934610500220158</c:v>
                </c:pt>
                <c:pt idx="260">
                  <c:v>0.14936977635118195</c:v>
                </c:pt>
                <c:pt idx="261">
                  <c:v>0.1493904273912455</c:v>
                </c:pt>
                <c:pt idx="262">
                  <c:v>0.14940796007680332</c:v>
                </c:pt>
                <c:pt idx="263">
                  <c:v>0.1494222752581422</c:v>
                </c:pt>
                <c:pt idx="264">
                  <c:v>0.14943327313556773</c:v>
                </c:pt>
                <c:pt idx="265">
                  <c:v>0.14944085376310867</c:v>
                </c:pt>
                <c:pt idx="266">
                  <c:v>0.14944491760002609</c:v>
                </c:pt>
                <c:pt idx="267">
                  <c:v>0.14944536610775419</c:v>
                </c:pt>
                <c:pt idx="268">
                  <c:v>0.14944210238929118</c:v>
                </c:pt>
                <c:pt idx="269">
                  <c:v>0.14943503186746976</c:v>
                </c:pt>
                <c:pt idx="270">
                  <c:v>0.14942406299796557</c:v>
                </c:pt>
                <c:pt idx="271">
                  <c:v>0.14940910801236557</c:v>
                </c:pt>
                <c:pt idx="272">
                  <c:v>0.14939008368611467</c:v>
                </c:pt>
                <c:pt idx="273">
                  <c:v>0.14936691212569575</c:v>
                </c:pt>
                <c:pt idx="274">
                  <c:v>0.14933952156898531</c:v>
                </c:pt>
                <c:pt idx="275">
                  <c:v>0.14930784719236323</c:v>
                </c:pt>
                <c:pt idx="276">
                  <c:v>0.14927183191784907</c:v>
                </c:pt>
                <c:pt idx="277">
                  <c:v>0.14923142721329255</c:v>
                </c:pt>
                <c:pt idx="278">
                  <c:v>0.14918659387846447</c:v>
                </c:pt>
                <c:pt idx="279">
                  <c:v>0.14913730280978088</c:v>
                </c:pt>
                <c:pt idx="280">
                  <c:v>0.14908353573634814</c:v>
                </c:pt>
                <c:pt idx="281">
                  <c:v>0.14902528592004399</c:v>
                </c:pt>
                <c:pt idx="282">
                  <c:v>0.14896255881244716</c:v>
                </c:pt>
                <c:pt idx="283">
                  <c:v>0.14889537266159869</c:v>
                </c:pt>
                <c:pt idx="284">
                  <c:v>0.14882375906181869</c:v>
                </c:pt>
                <c:pt idx="285">
                  <c:v>0.14874776344011553</c:v>
                </c:pt>
                <c:pt idx="286">
                  <c:v>0.14866744547310082</c:v>
                </c:pt>
                <c:pt idx="287">
                  <c:v>0.1485828794287711</c:v>
                </c:pt>
                <c:pt idx="288">
                  <c:v>0.14849415442802066</c:v>
                </c:pt>
                <c:pt idx="289">
                  <c:v>0.14840137462131606</c:v>
                </c:pt>
                <c:pt idx="290">
                  <c:v>0.14830465927657752</c:v>
                </c:pt>
                <c:pt idx="291">
                  <c:v>0.14820414277497912</c:v>
                </c:pt>
                <c:pt idx="292">
                  <c:v>2.6573120988402102E-2</c:v>
                </c:pt>
                <c:pt idx="293">
                  <c:v>2.6767086700506613E-2</c:v>
                </c:pt>
                <c:pt idx="294">
                  <c:v>2.6959721607068304E-2</c:v>
                </c:pt>
                <c:pt idx="295">
                  <c:v>2.7151049654824774E-2</c:v>
                </c:pt>
                <c:pt idx="296">
                  <c:v>2.7341098460367974E-2</c:v>
                </c:pt>
                <c:pt idx="297">
                  <c:v>2.7529899293104235E-2</c:v>
                </c:pt>
                <c:pt idx="298">
                  <c:v>2.7717487035057331E-2</c:v>
                </c:pt>
                <c:pt idx="299">
                  <c:v>2.7903900117181239E-2</c:v>
                </c:pt>
                <c:pt idx="300">
                  <c:v>2.8089180432041533E-2</c:v>
                </c:pt>
                <c:pt idx="301">
                  <c:v>2.8273373222920558E-2</c:v>
                </c:pt>
                <c:pt idx="302">
                  <c:v>2.8456526949602923E-2</c:v>
                </c:pt>
                <c:pt idx="303">
                  <c:v>2.8638693131299044E-2</c:v>
                </c:pt>
                <c:pt idx="304">
                  <c:v>2.8819926167367178E-2</c:v>
                </c:pt>
                <c:pt idx="305">
                  <c:v>2.900028313669227E-2</c:v>
                </c:pt>
                <c:pt idx="306">
                  <c:v>2.9179823576776596E-2</c:v>
                </c:pt>
                <c:pt idx="307">
                  <c:v>2.9358609243783834E-2</c:v>
                </c:pt>
                <c:pt idx="308">
                  <c:v>2.9536703854960482E-2</c:v>
                </c:pt>
                <c:pt idx="309">
                  <c:v>2.9714172815027362E-2</c:v>
                </c:pt>
                <c:pt idx="310">
                  <c:v>2.9891082928292963E-2</c:v>
                </c:pt>
                <c:pt idx="311">
                  <c:v>3.006750209838548E-2</c:v>
                </c:pt>
                <c:pt idx="312">
                  <c:v>3.0243499017629204E-2</c:v>
                </c:pt>
                <c:pt idx="313">
                  <c:v>3.0419142848205138E-2</c:v>
                </c:pt>
                <c:pt idx="314">
                  <c:v>3.0594502897329963E-2</c:v>
                </c:pt>
                <c:pt idx="315">
                  <c:v>3.0769648288764755E-2</c:v>
                </c:pt>
                <c:pt idx="316">
                  <c:v>3.0944647633020364E-2</c:v>
                </c:pt>
                <c:pt idx="317">
                  <c:v>3.1119568698663044E-2</c:v>
                </c:pt>
                <c:pt idx="318">
                  <c:v>3.1294478087137555E-2</c:v>
                </c:pt>
                <c:pt idx="319">
                  <c:v>3.1469440913518762E-2</c:v>
                </c:pt>
                <c:pt idx="320">
                  <c:v>3.1644520495573855E-2</c:v>
                </c:pt>
                <c:pt idx="321">
                  <c:v>3.181977805346662E-2</c:v>
                </c:pt>
                <c:pt idx="322">
                  <c:v>3.1995272422364655E-2</c:v>
                </c:pt>
                <c:pt idx="323">
                  <c:v>3.2171059780116945E-2</c:v>
                </c:pt>
                <c:pt idx="324">
                  <c:v>3.2347193392057813E-2</c:v>
                </c:pt>
                <c:pt idx="325">
                  <c:v>3.252372337486114E-2</c:v>
                </c:pt>
                <c:pt idx="326">
                  <c:v>3.2700696481219524E-2</c:v>
                </c:pt>
                <c:pt idx="327">
                  <c:v>3.2878155906956669E-2</c:v>
                </c:pt>
                <c:pt idx="328">
                  <c:v>3.3056141121999859E-2</c:v>
                </c:pt>
                <c:pt idx="329">
                  <c:v>3.3234687726444695E-2</c:v>
                </c:pt>
                <c:pt idx="330">
                  <c:v>3.341382733273654E-2</c:v>
                </c:pt>
                <c:pt idx="331">
                  <c:v>3.3593587474777753E-2</c:v>
                </c:pt>
                <c:pt idx="332">
                  <c:v>3.3773991544543483E-2</c:v>
                </c:pt>
                <c:pt idx="333">
                  <c:v>3.3955058756560463E-2</c:v>
                </c:pt>
                <c:pt idx="334">
                  <c:v>3.4136804140367148E-2</c:v>
                </c:pt>
                <c:pt idx="335">
                  <c:v>3.4319238560839939E-2</c:v>
                </c:pt>
                <c:pt idx="336">
                  <c:v>3.4502368766034672E-2</c:v>
                </c:pt>
                <c:pt idx="337">
                  <c:v>3.4686197461961762E-2</c:v>
                </c:pt>
                <c:pt idx="338">
                  <c:v>3.4870723413486543E-2</c:v>
                </c:pt>
                <c:pt idx="339">
                  <c:v>3.505594157032875E-2</c:v>
                </c:pt>
                <c:pt idx="340">
                  <c:v>3.524184321692498E-2</c:v>
                </c:pt>
                <c:pt idx="341">
                  <c:v>3.542841614472074E-2</c:v>
                </c:pt>
                <c:pt idx="342">
                  <c:v>3.5615644845275241E-2</c:v>
                </c:pt>
                <c:pt idx="343">
                  <c:v>3.580351072239199E-2</c:v>
                </c:pt>
                <c:pt idx="344">
                  <c:v>3.5991992321337526E-2</c:v>
                </c:pt>
                <c:pt idx="345">
                  <c:v>3.6181065573075918E-2</c:v>
                </c:pt>
                <c:pt idx="346">
                  <c:v>3.6370704051332775E-2</c:v>
                </c:pt>
                <c:pt idx="347">
                  <c:v>3.6560879240209357E-2</c:v>
                </c:pt>
                <c:pt idx="348">
                  <c:v>3.6751560809994602E-2</c:v>
                </c:pt>
                <c:pt idx="349">
                  <c:v>3.6942716898773507E-2</c:v>
                </c:pt>
                <c:pt idx="350">
                  <c:v>3.7134314397402605E-2</c:v>
                </c:pt>
                <c:pt idx="351">
                  <c:v>3.7326319235419327E-2</c:v>
                </c:pt>
                <c:pt idx="352">
                  <c:v>3.7518696665469468E-2</c:v>
                </c:pt>
                <c:pt idx="353">
                  <c:v>3.7711411543878533E-2</c:v>
                </c:pt>
                <c:pt idx="354">
                  <c:v>3.7904428605054961E-2</c:v>
                </c:pt>
                <c:pt idx="355">
                  <c:v>3.809771272749822E-2</c:v>
                </c:pt>
                <c:pt idx="356">
                  <c:v>3.8291229189288158E-2</c:v>
                </c:pt>
                <c:pt idx="357">
                  <c:v>3.8484943911057737E-2</c:v>
                </c:pt>
                <c:pt idx="358">
                  <c:v>3.8678823684591489E-2</c:v>
                </c:pt>
                <c:pt idx="359">
                  <c:v>3.8872836385352362E-2</c:v>
                </c:pt>
                <c:pt idx="360">
                  <c:v>3.9066951167411955E-2</c:v>
                </c:pt>
                <c:pt idx="361">
                  <c:v>3.9261138639446462E-2</c:v>
                </c:pt>
                <c:pt idx="362">
                  <c:v>3.9455371020658575E-2</c:v>
                </c:pt>
                <c:pt idx="363">
                  <c:v>3.9649622275692326E-2</c:v>
                </c:pt>
                <c:pt idx="364">
                  <c:v>3.9843868227822786E-2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8.5752738805991824E-2</c:v>
                </c:pt>
                <c:pt idx="1">
                  <c:v>8.4925340325469917E-2</c:v>
                </c:pt>
                <c:pt idx="2">
                  <c:v>8.4055900252070451E-2</c:v>
                </c:pt>
                <c:pt idx="3">
                  <c:v>8.3147463150758785E-2</c:v>
                </c:pt>
                <c:pt idx="4">
                  <c:v>8.2203040160020557E-2</c:v>
                </c:pt>
                <c:pt idx="5">
                  <c:v>8.1225592527610121E-2</c:v>
                </c:pt>
                <c:pt idx="6">
                  <c:v>8.0218698313583817E-2</c:v>
                </c:pt>
                <c:pt idx="7">
                  <c:v>7.9184414392980615E-2</c:v>
                </c:pt>
                <c:pt idx="8">
                  <c:v>7.8116528528604151E-2</c:v>
                </c:pt>
                <c:pt idx="9">
                  <c:v>7.7015418125412183E-2</c:v>
                </c:pt>
                <c:pt idx="10">
                  <c:v>7.5903413448793242E-2</c:v>
                </c:pt>
                <c:pt idx="11">
                  <c:v>7.4785054787950736E-2</c:v>
                </c:pt>
                <c:pt idx="12">
                  <c:v>7.3664555996264647E-2</c:v>
                </c:pt>
                <c:pt idx="13">
                  <c:v>7.254580116619197E-2</c:v>
                </c:pt>
                <c:pt idx="14">
                  <c:v>7.1432346460356913E-2</c:v>
                </c:pt>
                <c:pt idx="15">
                  <c:v>7.0305775388790695E-2</c:v>
                </c:pt>
                <c:pt idx="16">
                  <c:v>6.9166770573418121E-2</c:v>
                </c:pt>
                <c:pt idx="17">
                  <c:v>6.8018841970543129E-2</c:v>
                </c:pt>
                <c:pt idx="18">
                  <c:v>6.6865205708903031E-2</c:v>
                </c:pt>
                <c:pt idx="19">
                  <c:v>6.5709158896525205E-2</c:v>
                </c:pt>
                <c:pt idx="20">
                  <c:v>6.455386051067695E-2</c:v>
                </c:pt>
                <c:pt idx="21">
                  <c:v>6.3401895805491909E-2</c:v>
                </c:pt>
                <c:pt idx="22">
                  <c:v>6.2248826007746297E-2</c:v>
                </c:pt>
                <c:pt idx="23">
                  <c:v>6.1058403826909073E-2</c:v>
                </c:pt>
                <c:pt idx="24">
                  <c:v>5.9829931408326632E-2</c:v>
                </c:pt>
                <c:pt idx="25">
                  <c:v>5.8566626599095145E-2</c:v>
                </c:pt>
                <c:pt idx="26">
                  <c:v>5.7271536411004298E-2</c:v>
                </c:pt>
                <c:pt idx="27">
                  <c:v>5.5947535651898132E-2</c:v>
                </c:pt>
                <c:pt idx="28">
                  <c:v>5.4597326980606556E-2</c:v>
                </c:pt>
                <c:pt idx="29">
                  <c:v>5.3197267753063708E-2</c:v>
                </c:pt>
                <c:pt idx="30">
                  <c:v>5.1768628847773515E-2</c:v>
                </c:pt>
                <c:pt idx="31">
                  <c:v>5.0313858982346867E-2</c:v>
                </c:pt>
                <c:pt idx="32">
                  <c:v>4.8835234558088476E-2</c:v>
                </c:pt>
                <c:pt idx="33">
                  <c:v>4.7334863361511888E-2</c:v>
                </c:pt>
                <c:pt idx="34">
                  <c:v>4.5814688861919001E-2</c:v>
                </c:pt>
                <c:pt idx="35">
                  <c:v>4.4276494929627305E-2</c:v>
                </c:pt>
                <c:pt idx="36">
                  <c:v>4.2721009650068378E-2</c:v>
                </c:pt>
                <c:pt idx="37">
                  <c:v>4.1148629601392976E-2</c:v>
                </c:pt>
                <c:pt idx="38">
                  <c:v>3.9586682267922974E-2</c:v>
                </c:pt>
                <c:pt idx="39">
                  <c:v>3.8035231233232637E-2</c:v>
                </c:pt>
                <c:pt idx="40">
                  <c:v>3.6494346940282849E-2</c:v>
                </c:pt>
                <c:pt idx="41">
                  <c:v>3.4964105432492648E-2</c:v>
                </c:pt>
                <c:pt idx="42">
                  <c:v>3.3444587165044962E-2</c:v>
                </c:pt>
                <c:pt idx="43">
                  <c:v>3.1944509627601723E-2</c:v>
                </c:pt>
                <c:pt idx="44">
                  <c:v>3.0485439462091445E-2</c:v>
                </c:pt>
                <c:pt idx="45">
                  <c:v>2.9066388847542167E-2</c:v>
                </c:pt>
                <c:pt idx="46">
                  <c:v>2.7686401501293159E-2</c:v>
                </c:pt>
                <c:pt idx="47">
                  <c:v>2.6344550813411877E-2</c:v>
                </c:pt>
                <c:pt idx="48">
                  <c:v>2.5039938136757301E-2</c:v>
                </c:pt>
                <c:pt idx="49">
                  <c:v>2.3771691197087576E-2</c:v>
                </c:pt>
                <c:pt idx="50">
                  <c:v>2.2538499283573939E-2</c:v>
                </c:pt>
                <c:pt idx="51">
                  <c:v>2.1358818451692539E-2</c:v>
                </c:pt>
                <c:pt idx="52">
                  <c:v>2.0231375914199264E-2</c:v>
                </c:pt>
                <c:pt idx="53">
                  <c:v>1.9154913282876346E-2</c:v>
                </c:pt>
                <c:pt idx="54">
                  <c:v>1.812823898385928E-2</c:v>
                </c:pt>
                <c:pt idx="55">
                  <c:v>1.7150126825907348E-2</c:v>
                </c:pt>
                <c:pt idx="56">
                  <c:v>1.6219325322098865E-2</c:v>
                </c:pt>
                <c:pt idx="57">
                  <c:v>1.5365152720364596E-2</c:v>
                </c:pt>
                <c:pt idx="58">
                  <c:v>1.4578006212903331E-2</c:v>
                </c:pt>
                <c:pt idx="59">
                  <c:v>1.3855788485558018E-2</c:v>
                </c:pt>
                <c:pt idx="60">
                  <c:v>1.3196436940519623E-2</c:v>
                </c:pt>
                <c:pt idx="61">
                  <c:v>1.2597929748423569E-2</c:v>
                </c:pt>
                <c:pt idx="62">
                  <c:v>1.2058290967995985E-2</c:v>
                </c:pt>
                <c:pt idx="63">
                  <c:v>1.1575594823774141E-2</c:v>
                </c:pt>
                <c:pt idx="64">
                  <c:v>1.1147245579504632E-2</c:v>
                </c:pt>
                <c:pt idx="65">
                  <c:v>1.0780807267018109E-2</c:v>
                </c:pt>
                <c:pt idx="66">
                  <c:v>1.0458394692630348E-2</c:v>
                </c:pt>
                <c:pt idx="67">
                  <c:v>1.0178792641106021E-2</c:v>
                </c:pt>
                <c:pt idx="68">
                  <c:v>9.9408009471221755E-3</c:v>
                </c:pt>
                <c:pt idx="69">
                  <c:v>9.7432412062066123E-3</c:v>
                </c:pt>
                <c:pt idx="70">
                  <c:v>9.5849626575546035E-3</c:v>
                </c:pt>
                <c:pt idx="71">
                  <c:v>9.4601701684558816E-3</c:v>
                </c:pt>
                <c:pt idx="72">
                  <c:v>9.3422826132449725E-3</c:v>
                </c:pt>
                <c:pt idx="73">
                  <c:v>9.2312923675934994E-3</c:v>
                </c:pt>
                <c:pt idx="74">
                  <c:v>9.1271926561833656E-3</c:v>
                </c:pt>
                <c:pt idx="75">
                  <c:v>9.0299789716828723E-3</c:v>
                </c:pt>
                <c:pt idx="76">
                  <c:v>8.9396504270801216E-3</c:v>
                </c:pt>
                <c:pt idx="77">
                  <c:v>8.8562110495969317E-3</c:v>
                </c:pt>
                <c:pt idx="78">
                  <c:v>8.7789823043841302E-3</c:v>
                </c:pt>
                <c:pt idx="79">
                  <c:v>8.7046655328589378E-3</c:v>
                </c:pt>
                <c:pt idx="80">
                  <c:v>8.6247044505125704E-3</c:v>
                </c:pt>
                <c:pt idx="81">
                  <c:v>8.5394723619363361E-3</c:v>
                </c:pt>
                <c:pt idx="82">
                  <c:v>8.4493257954856189E-3</c:v>
                </c:pt>
                <c:pt idx="83">
                  <c:v>8.354604573465001E-3</c:v>
                </c:pt>
                <c:pt idx="84">
                  <c:v>8.255632010918534E-3</c:v>
                </c:pt>
                <c:pt idx="85">
                  <c:v>8.1501461776971162E-3</c:v>
                </c:pt>
                <c:pt idx="86">
                  <c:v>8.042293157588469E-3</c:v>
                </c:pt>
                <c:pt idx="87">
                  <c:v>7.9322461067796533E-3</c:v>
                </c:pt>
                <c:pt idx="88">
                  <c:v>7.8201625673551857E-3</c:v>
                </c:pt>
                <c:pt idx="89">
                  <c:v>7.7061849074882092E-3</c:v>
                </c:pt>
                <c:pt idx="90">
                  <c:v>7.5904407602863568E-3</c:v>
                </c:pt>
                <c:pt idx="91">
                  <c:v>7.4730434603982876E-3</c:v>
                </c:pt>
                <c:pt idx="92">
                  <c:v>7.3536754918674101E-3</c:v>
                </c:pt>
                <c:pt idx="93">
                  <c:v>7.2286715766121511E-3</c:v>
                </c:pt>
                <c:pt idx="94">
                  <c:v>7.1005958899823217E-3</c:v>
                </c:pt>
                <c:pt idx="95">
                  <c:v>6.9695248823323716E-3</c:v>
                </c:pt>
                <c:pt idx="96">
                  <c:v>6.8355275711844262E-3</c:v>
                </c:pt>
                <c:pt idx="97">
                  <c:v>6.698665665367802E-3</c:v>
                </c:pt>
                <c:pt idx="98">
                  <c:v>6.5589936827486458E-3</c:v>
                </c:pt>
                <c:pt idx="99">
                  <c:v>6.4135346223264198E-3</c:v>
                </c:pt>
                <c:pt idx="100">
                  <c:v>6.2646866246357184E-3</c:v>
                </c:pt>
                <c:pt idx="101">
                  <c:v>6.1124898464899359E-3</c:v>
                </c:pt>
                <c:pt idx="102">
                  <c:v>5.9569765439013355E-3</c:v>
                </c:pt>
                <c:pt idx="103">
                  <c:v>5.7981711246210465E-3</c:v>
                </c:pt>
                <c:pt idx="104">
                  <c:v>5.6360901841579006E-3</c:v>
                </c:pt>
                <c:pt idx="105">
                  <c:v>5.4707425300606445E-3</c:v>
                </c:pt>
                <c:pt idx="106">
                  <c:v>5.3019845675964369E-3</c:v>
                </c:pt>
                <c:pt idx="107">
                  <c:v>5.1281087195704051E-3</c:v>
                </c:pt>
                <c:pt idx="108">
                  <c:v>4.9521673572766991E-3</c:v>
                </c:pt>
                <c:pt idx="109">
                  <c:v>4.7741290116244603E-3</c:v>
                </c:pt>
                <c:pt idx="110">
                  <c:v>4.5939682154013768E-3</c:v>
                </c:pt>
                <c:pt idx="111">
                  <c:v>4.4116505983898442E-3</c:v>
                </c:pt>
                <c:pt idx="112">
                  <c:v>4.2271205047109926E-3</c:v>
                </c:pt>
                <c:pt idx="113">
                  <c:v>4.0423327510690265E-3</c:v>
                </c:pt>
                <c:pt idx="114">
                  <c:v>3.8600212970883226E-3</c:v>
                </c:pt>
                <c:pt idx="115">
                  <c:v>3.6800504513667749E-3</c:v>
                </c:pt>
                <c:pt idx="116">
                  <c:v>3.5022821845411911E-3</c:v>
                </c:pt>
                <c:pt idx="117">
                  <c:v>3.3265760674862162E-3</c:v>
                </c:pt>
                <c:pt idx="118">
                  <c:v>3.1527891968367366E-3</c:v>
                </c:pt>
                <c:pt idx="119">
                  <c:v>2.9807761107683807E-3</c:v>
                </c:pt>
                <c:pt idx="120">
                  <c:v>2.8103946868467352E-3</c:v>
                </c:pt>
                <c:pt idx="121">
                  <c:v>2.6452891612580329E-3</c:v>
                </c:pt>
                <c:pt idx="122">
                  <c:v>2.4868574354050383E-3</c:v>
                </c:pt>
                <c:pt idx="123">
                  <c:v>2.3349222740345096E-3</c:v>
                </c:pt>
                <c:pt idx="124">
                  <c:v>2.1893185996215004E-3</c:v>
                </c:pt>
                <c:pt idx="125">
                  <c:v>2.0498926600150706E-3</c:v>
                </c:pt>
                <c:pt idx="126">
                  <c:v>1.9165012621928539E-3</c:v>
                </c:pt>
                <c:pt idx="127">
                  <c:v>1.7919267922277063E-3</c:v>
                </c:pt>
                <c:pt idx="128">
                  <c:v>1.6741995286334312E-3</c:v>
                </c:pt>
                <c:pt idx="129">
                  <c:v>1.5632499944014473E-3</c:v>
                </c:pt>
                <c:pt idx="130">
                  <c:v>1.4590191968140609E-3</c:v>
                </c:pt>
                <c:pt idx="131">
                  <c:v>1.3614580182883999E-3</c:v>
                </c:pt>
                <c:pt idx="132">
                  <c:v>1.2705266281206997E-3</c:v>
                </c:pt>
                <c:pt idx="133">
                  <c:v>1.1861939102844673E-3</c:v>
                </c:pt>
                <c:pt idx="134">
                  <c:v>1.108469200322811E-3</c:v>
                </c:pt>
                <c:pt idx="135">
                  <c:v>1.0383612855524105E-3</c:v>
                </c:pt>
                <c:pt idx="136">
                  <c:v>9.7209094654014975E-4</c:v>
                </c:pt>
                <c:pt idx="137">
                  <c:v>9.0965816171144744E-4</c:v>
                </c:pt>
                <c:pt idx="138">
                  <c:v>8.5106913623637221E-4</c:v>
                </c:pt>
                <c:pt idx="139">
                  <c:v>7.9633602667647312E-4</c:v>
                </c:pt>
                <c:pt idx="140">
                  <c:v>7.4547666233619437E-4</c:v>
                </c:pt>
                <c:pt idx="141">
                  <c:v>6.9951807564683872E-4</c:v>
                </c:pt>
                <c:pt idx="142">
                  <c:v>6.5543241819321916E-4</c:v>
                </c:pt>
                <c:pt idx="143">
                  <c:v>6.1321270859598421E-4</c:v>
                </c:pt>
                <c:pt idx="144">
                  <c:v>5.728587425503787E-4</c:v>
                </c:pt>
                <c:pt idx="145">
                  <c:v>5.3437250434375716E-4</c:v>
                </c:pt>
                <c:pt idx="146">
                  <c:v>4.9775806475342501E-4</c:v>
                </c:pt>
                <c:pt idx="147">
                  <c:v>4.6302147619519849E-4</c:v>
                </c:pt>
                <c:pt idx="148">
                  <c:v>4.3017952129609905E-4</c:v>
                </c:pt>
                <c:pt idx="149">
                  <c:v>4.0049821759623514E-4</c:v>
                </c:pt>
                <c:pt idx="150">
                  <c:v>3.7291679270815052E-4</c:v>
                </c:pt>
                <c:pt idx="151">
                  <c:v>3.4743756152200178E-4</c:v>
                </c:pt>
                <c:pt idx="152">
                  <c:v>3.2406454312234445E-4</c:v>
                </c:pt>
                <c:pt idx="153">
                  <c:v>3.0280338127493337E-4</c:v>
                </c:pt>
                <c:pt idx="154">
                  <c:v>2.83661263332827E-4</c:v>
                </c:pt>
                <c:pt idx="155">
                  <c:v>2.6700812996863351E-4</c:v>
                </c:pt>
                <c:pt idx="156">
                  <c:v>2.5184670397926297E-4</c:v>
                </c:pt>
                <c:pt idx="157">
                  <c:v>2.3819146296556466E-4</c:v>
                </c:pt>
                <c:pt idx="158">
                  <c:v>2.2605787558070429E-4</c:v>
                </c:pt>
                <c:pt idx="159">
                  <c:v>2.1546232150996557E-4</c:v>
                </c:pt>
                <c:pt idx="160">
                  <c:v>2.0642200968920974E-4</c:v>
                </c:pt>
                <c:pt idx="161">
                  <c:v>1.9895489490479577E-4</c:v>
                </c:pt>
                <c:pt idx="162">
                  <c:v>1.9308272637138358E-4</c:v>
                </c:pt>
                <c:pt idx="163">
                  <c:v>1.8901053686127956E-4</c:v>
                </c:pt>
                <c:pt idx="164">
                  <c:v>1.8544913078274156E-4</c:v>
                </c:pt>
                <c:pt idx="165">
                  <c:v>1.8240841523721623E-4</c:v>
                </c:pt>
                <c:pt idx="166">
                  <c:v>1.7989856346496539E-4</c:v>
                </c:pt>
                <c:pt idx="167">
                  <c:v>1.7792997975161294E-4</c:v>
                </c:pt>
                <c:pt idx="168">
                  <c:v>1.7651326453438812E-4</c:v>
                </c:pt>
                <c:pt idx="169">
                  <c:v>1.7585054032258045E-4</c:v>
                </c:pt>
                <c:pt idx="170">
                  <c:v>1.7555983027289673E-4</c:v>
                </c:pt>
                <c:pt idx="171">
                  <c:v>1.7564886897251058E-4</c:v>
                </c:pt>
                <c:pt idx="172">
                  <c:v>1.761254286960709E-4</c:v>
                </c:pt>
                <c:pt idx="173">
                  <c:v>1.7699548685176837E-4</c:v>
                </c:pt>
                <c:pt idx="174">
                  <c:v>1.7826486538658813E-4</c:v>
                </c:pt>
                <c:pt idx="175">
                  <c:v>1.7994105202686771E-4</c:v>
                </c:pt>
                <c:pt idx="176">
                  <c:v>1.8203163940466551E-4</c:v>
                </c:pt>
                <c:pt idx="177">
                  <c:v>1.8495940231943482E-4</c:v>
                </c:pt>
                <c:pt idx="178">
                  <c:v>1.8853618840907973E-4</c:v>
                </c:pt>
                <c:pt idx="179">
                  <c:v>1.92773553529728E-4</c:v>
                </c:pt>
                <c:pt idx="180">
                  <c:v>1.9768298483183153E-4</c:v>
                </c:pt>
                <c:pt idx="181">
                  <c:v>2.0327591998162909E-4</c:v>
                </c:pt>
                <c:pt idx="182">
                  <c:v>2.0956376940382791E-4</c:v>
                </c:pt>
                <c:pt idx="183">
                  <c:v>2.179682996407773E-4</c:v>
                </c:pt>
                <c:pt idx="184">
                  <c:v>2.2830466745163547E-4</c:v>
                </c:pt>
                <c:pt idx="185">
                  <c:v>2.4059622941093584E-4</c:v>
                </c:pt>
                <c:pt idx="186">
                  <c:v>2.5486666822417285E-4</c:v>
                </c:pt>
                <c:pt idx="187">
                  <c:v>2.7114008491621285E-4</c:v>
                </c:pt>
                <c:pt idx="188">
                  <c:v>2.8944109744679275E-4</c:v>
                </c:pt>
                <c:pt idx="189">
                  <c:v>3.0979494584760289E-4</c:v>
                </c:pt>
                <c:pt idx="190">
                  <c:v>3.3222720768602272E-4</c:v>
                </c:pt>
                <c:pt idx="191">
                  <c:v>3.5784819223071097E-4</c:v>
                </c:pt>
                <c:pt idx="192">
                  <c:v>3.8624081351074064E-4</c:v>
                </c:pt>
                <c:pt idx="193">
                  <c:v>4.1743149455315457E-4</c:v>
                </c:pt>
                <c:pt idx="194">
                  <c:v>4.5144713472919053E-4</c:v>
                </c:pt>
                <c:pt idx="195">
                  <c:v>4.8831506247629347E-4</c:v>
                </c:pt>
                <c:pt idx="196">
                  <c:v>5.2806298748138804E-4</c:v>
                </c:pt>
                <c:pt idx="197">
                  <c:v>5.7214246419210856E-4</c:v>
                </c:pt>
                <c:pt idx="198">
                  <c:v>6.1911067291104847E-4</c:v>
                </c:pt>
                <c:pt idx="199">
                  <c:v>6.6900045726050929E-4</c:v>
                </c:pt>
                <c:pt idx="200">
                  <c:v>7.2184459145324805E-4</c:v>
                </c:pt>
                <c:pt idx="201">
                  <c:v>7.7767573114996753E-4</c:v>
                </c:pt>
                <c:pt idx="202">
                  <c:v>8.3652636213035585E-4</c:v>
                </c:pt>
                <c:pt idx="203">
                  <c:v>8.9842874652835958E-4</c:v>
                </c:pt>
                <c:pt idx="204">
                  <c:v>9.6341449563604642E-4</c:v>
                </c:pt>
                <c:pt idx="205">
                  <c:v>1.0357065144258554E-3</c:v>
                </c:pt>
                <c:pt idx="206">
                  <c:v>1.1142673800442844E-3</c:v>
                </c:pt>
                <c:pt idx="207">
                  <c:v>1.1991847377215456E-3</c:v>
                </c:pt>
                <c:pt idx="208">
                  <c:v>1.2905481401242836E-3</c:v>
                </c:pt>
                <c:pt idx="209">
                  <c:v>1.3884494117488153E-3</c:v>
                </c:pt>
                <c:pt idx="210">
                  <c:v>1.492983028122654E-3</c:v>
                </c:pt>
                <c:pt idx="211">
                  <c:v>1.6087991472254089E-3</c:v>
                </c:pt>
                <c:pt idx="212">
                  <c:v>1.7345167600042941E-3</c:v>
                </c:pt>
                <c:pt idx="213">
                  <c:v>1.8702705176060982E-3</c:v>
                </c:pt>
                <c:pt idx="214">
                  <c:v>2.0162010273371681E-3</c:v>
                </c:pt>
                <c:pt idx="215">
                  <c:v>2.1724554766681154E-3</c:v>
                </c:pt>
                <c:pt idx="216">
                  <c:v>2.3391882845389066E-3</c:v>
                </c:pt>
                <c:pt idx="217">
                  <c:v>2.5165617821706556E-3</c:v>
                </c:pt>
                <c:pt idx="218">
                  <c:v>2.7046759116383526E-3</c:v>
                </c:pt>
                <c:pt idx="219">
                  <c:v>2.9051363099084149E-3</c:v>
                </c:pt>
                <c:pt idx="220">
                  <c:v>3.113634010250207E-3</c:v>
                </c:pt>
                <c:pt idx="221">
                  <c:v>3.3302944552673426E-3</c:v>
                </c:pt>
                <c:pt idx="222">
                  <c:v>3.5552545274550734E-3</c:v>
                </c:pt>
                <c:pt idx="223">
                  <c:v>3.7886634482392242E-3</c:v>
                </c:pt>
                <c:pt idx="224">
                  <c:v>4.0306837287671692E-3</c:v>
                </c:pt>
                <c:pt idx="225">
                  <c:v>4.2784168420313459E-3</c:v>
                </c:pt>
                <c:pt idx="226">
                  <c:v>4.5271670291042697E-3</c:v>
                </c:pt>
                <c:pt idx="227">
                  <c:v>4.7770242337249885E-3</c:v>
                </c:pt>
                <c:pt idx="228">
                  <c:v>5.0280900536116592E-3</c:v>
                </c:pt>
                <c:pt idx="229">
                  <c:v>5.2804780972798048E-3</c:v>
                </c:pt>
                <c:pt idx="230">
                  <c:v>5.5343143869104891E-3</c:v>
                </c:pt>
                <c:pt idx="231">
                  <c:v>5.789737815234574E-3</c:v>
                </c:pt>
                <c:pt idx="232">
                  <c:v>6.0467246767955873E-3</c:v>
                </c:pt>
                <c:pt idx="233">
                  <c:v>6.3012424338397214E-3</c:v>
                </c:pt>
                <c:pt idx="234">
                  <c:v>6.5517393664698068E-3</c:v>
                </c:pt>
                <c:pt idx="235">
                  <c:v>6.7982375157505694E-3</c:v>
                </c:pt>
                <c:pt idx="236">
                  <c:v>7.0407651556308069E-3</c:v>
                </c:pt>
                <c:pt idx="237">
                  <c:v>7.2793499651945363E-3</c:v>
                </c:pt>
                <c:pt idx="238">
                  <c:v>7.5140229510166088E-3</c:v>
                </c:pt>
                <c:pt idx="239">
                  <c:v>7.7412748175015181E-3</c:v>
                </c:pt>
                <c:pt idx="240">
                  <c:v>7.9644446531860931E-3</c:v>
                </c:pt>
                <c:pt idx="241">
                  <c:v>8.1835734590661249E-3</c:v>
                </c:pt>
                <c:pt idx="242">
                  <c:v>8.3987043318592153E-3</c:v>
                </c:pt>
                <c:pt idx="243">
                  <c:v>8.6098823563112471E-3</c:v>
                </c:pt>
                <c:pt idx="244">
                  <c:v>8.8171545032414943E-3</c:v>
                </c:pt>
                <c:pt idx="245">
                  <c:v>9.0205695342646473E-3</c:v>
                </c:pt>
                <c:pt idx="246">
                  <c:v>9.2202963302549235E-3</c:v>
                </c:pt>
                <c:pt idx="247">
                  <c:v>9.4133448569705142E-3</c:v>
                </c:pt>
                <c:pt idx="248">
                  <c:v>9.6039423624448405E-3</c:v>
                </c:pt>
                <c:pt idx="249">
                  <c:v>9.7920188937047591E-3</c:v>
                </c:pt>
                <c:pt idx="250">
                  <c:v>9.9774914116611199E-3</c:v>
                </c:pt>
                <c:pt idx="251">
                  <c:v>1.0160263423473936E-2</c:v>
                </c:pt>
                <c:pt idx="252">
                  <c:v>1.0340224588746982E-2</c:v>
                </c:pt>
                <c:pt idx="253">
                  <c:v>1.0513540140834148E-2</c:v>
                </c:pt>
                <c:pt idx="254">
                  <c:v>1.0683930719968841E-2</c:v>
                </c:pt>
                <c:pt idx="255">
                  <c:v>1.0851243006241637E-2</c:v>
                </c:pt>
                <c:pt idx="256">
                  <c:v>1.1015308509550426E-2</c:v>
                </c:pt>
                <c:pt idx="257">
                  <c:v>1.1175943094491872E-2</c:v>
                </c:pt>
                <c:pt idx="258">
                  <c:v>1.1332946506134409E-2</c:v>
                </c:pt>
                <c:pt idx="259">
                  <c:v>1.1486101900327214E-2</c:v>
                </c:pt>
                <c:pt idx="260">
                  <c:v>1.163609672522814E-2</c:v>
                </c:pt>
                <c:pt idx="261">
                  <c:v>1.1791303578311632E-2</c:v>
                </c:pt>
                <c:pt idx="262">
                  <c:v>1.1955236825481464E-2</c:v>
                </c:pt>
                <c:pt idx="263">
                  <c:v>1.2127988850464335E-2</c:v>
                </c:pt>
                <c:pt idx="264">
                  <c:v>1.2309646580658088E-2</c:v>
                </c:pt>
                <c:pt idx="265">
                  <c:v>1.2500355740762772E-2</c:v>
                </c:pt>
                <c:pt idx="266">
                  <c:v>1.270022237866841E-2</c:v>
                </c:pt>
                <c:pt idx="267">
                  <c:v>1.2938617721838214E-2</c:v>
                </c:pt>
                <c:pt idx="268">
                  <c:v>1.3220940205240289E-2</c:v>
                </c:pt>
                <c:pt idx="269">
                  <c:v>1.3548441758474739E-2</c:v>
                </c:pt>
                <c:pt idx="270">
                  <c:v>1.3922399430008595E-2</c:v>
                </c:pt>
                <c:pt idx="271">
                  <c:v>1.4344104941940097E-2</c:v>
                </c:pt>
                <c:pt idx="272">
                  <c:v>1.4814852846787744E-2</c:v>
                </c:pt>
                <c:pt idx="273">
                  <c:v>1.5335927174227739E-2</c:v>
                </c:pt>
                <c:pt idx="274">
                  <c:v>1.5910610201157593E-2</c:v>
                </c:pt>
                <c:pt idx="275">
                  <c:v>1.6562233483224904E-2</c:v>
                </c:pt>
                <c:pt idx="276">
                  <c:v>1.728409683982372E-2</c:v>
                </c:pt>
                <c:pt idx="277">
                  <c:v>1.8078451228263868E-2</c:v>
                </c:pt>
                <c:pt idx="278">
                  <c:v>1.8947582828677183E-2</c:v>
                </c:pt>
                <c:pt idx="279">
                  <c:v>1.9893792641250362E-2</c:v>
                </c:pt>
                <c:pt idx="280">
                  <c:v>2.0919373106106077E-2</c:v>
                </c:pt>
                <c:pt idx="281">
                  <c:v>2.2023028298647839E-2</c:v>
                </c:pt>
                <c:pt idx="282">
                  <c:v>2.3171360688417197E-2</c:v>
                </c:pt>
                <c:pt idx="283">
                  <c:v>2.4364866477445759E-2</c:v>
                </c:pt>
                <c:pt idx="284">
                  <c:v>2.5603871497031513E-2</c:v>
                </c:pt>
                <c:pt idx="285">
                  <c:v>2.68885041677226E-2</c:v>
                </c:pt>
                <c:pt idx="286">
                  <c:v>2.8218666775935861E-2</c:v>
                </c:pt>
                <c:pt idx="287">
                  <c:v>2.9594005261891286E-2</c:v>
                </c:pt>
                <c:pt idx="288">
                  <c:v>3.1015843839693472E-2</c:v>
                </c:pt>
                <c:pt idx="289">
                  <c:v>3.2498635805682581E-2</c:v>
                </c:pt>
                <c:pt idx="290">
                  <c:v>3.4020126782835912E-2</c:v>
                </c:pt>
                <c:pt idx="291">
                  <c:v>3.5581104184386494E-2</c:v>
                </c:pt>
                <c:pt idx="292">
                  <c:v>3.7182408748565168E-2</c:v>
                </c:pt>
                <c:pt idx="293">
                  <c:v>3.8824940387534299E-2</c:v>
                </c:pt>
                <c:pt idx="294">
                  <c:v>4.0509664475155242E-2</c:v>
                </c:pt>
                <c:pt idx="295">
                  <c:v>4.2240423474710985E-2</c:v>
                </c:pt>
                <c:pt idx="296">
                  <c:v>4.4023359697312088E-2</c:v>
                </c:pt>
                <c:pt idx="297">
                  <c:v>4.5860414349974489E-2</c:v>
                </c:pt>
                <c:pt idx="298">
                  <c:v>4.7753303323267861E-2</c:v>
                </c:pt>
                <c:pt idx="299">
                  <c:v>4.9703863035336915E-2</c:v>
                </c:pt>
                <c:pt idx="300">
                  <c:v>5.1714061960873491E-2</c:v>
                </c:pt>
                <c:pt idx="301">
                  <c:v>5.378601326616296E-2</c:v>
                </c:pt>
                <c:pt idx="302">
                  <c:v>5.5922253016414944E-2</c:v>
                </c:pt>
                <c:pt idx="303">
                  <c:v>5.80755280355E-2</c:v>
                </c:pt>
                <c:pt idx="304">
                  <c:v>6.0230276873505677E-2</c:v>
                </c:pt>
                <c:pt idx="305">
                  <c:v>6.2384650550799683E-2</c:v>
                </c:pt>
                <c:pt idx="306">
                  <c:v>6.4536557025812596E-2</c:v>
                </c:pt>
                <c:pt idx="307">
                  <c:v>6.6683649565091319E-2</c:v>
                </c:pt>
                <c:pt idx="308">
                  <c:v>6.8823315541856042E-2</c:v>
                </c:pt>
                <c:pt idx="309">
                  <c:v>7.0909824895639836E-2</c:v>
                </c:pt>
                <c:pt idx="310">
                  <c:v>7.2935003659384906E-2</c:v>
                </c:pt>
                <c:pt idx="311">
                  <c:v>7.4893630028839184E-2</c:v>
                </c:pt>
                <c:pt idx="312">
                  <c:v>7.678018127901387E-2</c:v>
                </c:pt>
                <c:pt idx="313">
                  <c:v>7.8588843568068681E-2</c:v>
                </c:pt>
                <c:pt idx="314">
                  <c:v>8.0313525727423118E-2</c:v>
                </c:pt>
                <c:pt idx="315">
                  <c:v>8.1947877577070671E-2</c:v>
                </c:pt>
                <c:pt idx="316">
                  <c:v>8.3486711468645045E-2</c:v>
                </c:pt>
                <c:pt idx="317">
                  <c:v>8.494498232737635E-2</c:v>
                </c:pt>
                <c:pt idx="318">
                  <c:v>8.6378371223581066E-2</c:v>
                </c:pt>
                <c:pt idx="319">
                  <c:v>8.7785889101606771E-2</c:v>
                </c:pt>
                <c:pt idx="320">
                  <c:v>8.9166636744470729E-2</c:v>
                </c:pt>
                <c:pt idx="321">
                  <c:v>9.0519808587270614E-2</c:v>
                </c:pt>
                <c:pt idx="322">
                  <c:v>9.1844696153207339E-2</c:v>
                </c:pt>
                <c:pt idx="323">
                  <c:v>9.3185334368419762E-2</c:v>
                </c:pt>
                <c:pt idx="324">
                  <c:v>9.4593274751348572E-2</c:v>
                </c:pt>
                <c:pt idx="325">
                  <c:v>9.6070935056501522E-2</c:v>
                </c:pt>
                <c:pt idx="326">
                  <c:v>9.7620206203580473E-2</c:v>
                </c:pt>
                <c:pt idx="327">
                  <c:v>9.9243439902540281E-2</c:v>
                </c:pt>
                <c:pt idx="328">
                  <c:v>0.10094358814419821</c:v>
                </c:pt>
                <c:pt idx="329">
                  <c:v>0.10272373138494907</c:v>
                </c:pt>
                <c:pt idx="330">
                  <c:v>0.10459398240573907</c:v>
                </c:pt>
                <c:pt idx="331">
                  <c:v>0.10653768778948247</c:v>
                </c:pt>
                <c:pt idx="332">
                  <c:v>0.10853008878627356</c:v>
                </c:pt>
                <c:pt idx="333">
                  <c:v>0.11056649568075406</c:v>
                </c:pt>
                <c:pt idx="334">
                  <c:v>0.11264159852276441</c:v>
                </c:pt>
                <c:pt idx="335">
                  <c:v>0.11474942740763716</c:v>
                </c:pt>
                <c:pt idx="336">
                  <c:v>0.11688331851633209</c:v>
                </c:pt>
                <c:pt idx="337">
                  <c:v>0.1189829798453871</c:v>
                </c:pt>
                <c:pt idx="338">
                  <c:v>0.1209878194929549</c:v>
                </c:pt>
                <c:pt idx="339">
                  <c:v>0.12288667540433799</c:v>
                </c:pt>
                <c:pt idx="340">
                  <c:v>0.12466793934718018</c:v>
                </c:pt>
                <c:pt idx="341">
                  <c:v>0.12631965858544328</c:v>
                </c:pt>
                <c:pt idx="342">
                  <c:v>0.12782965750848582</c:v>
                </c:pt>
                <c:pt idx="343">
                  <c:v>0.12918567944964149</c:v>
                </c:pt>
                <c:pt idx="344">
                  <c:v>0.13039537184595468</c:v>
                </c:pt>
                <c:pt idx="345">
                  <c:v>0.13147181212612533</c:v>
                </c:pt>
                <c:pt idx="346">
                  <c:v>0.13242290950337524</c:v>
                </c:pt>
                <c:pt idx="347">
                  <c:v>0.13324524577663285</c:v>
                </c:pt>
                <c:pt idx="348">
                  <c:v>0.13393572339408208</c:v>
                </c:pt>
                <c:pt idx="349">
                  <c:v>0.13449159383519232</c:v>
                </c:pt>
                <c:pt idx="350">
                  <c:v>0.13491048422307142</c:v>
                </c:pt>
                <c:pt idx="351">
                  <c:v>0.13517650501300554</c:v>
                </c:pt>
                <c:pt idx="352">
                  <c:v>0.13534446397678734</c:v>
                </c:pt>
                <c:pt idx="353">
                  <c:v>0.13541328558507981</c:v>
                </c:pt>
                <c:pt idx="354">
                  <c:v>0.13538221485394461</c:v>
                </c:pt>
                <c:pt idx="355">
                  <c:v>0.13525082754984669</c:v>
                </c:pt>
                <c:pt idx="356">
                  <c:v>0.13501853559422491</c:v>
                </c:pt>
                <c:pt idx="357">
                  <c:v>0.13468591836221358</c:v>
                </c:pt>
                <c:pt idx="358">
                  <c:v>0.1342507475696397</c:v>
                </c:pt>
                <c:pt idx="359">
                  <c:v>0.13371310973886716</c:v>
                </c:pt>
                <c:pt idx="360">
                  <c:v>0.13302100930070407</c:v>
                </c:pt>
                <c:pt idx="361">
                  <c:v>0.13219266426396864</c:v>
                </c:pt>
                <c:pt idx="362">
                  <c:v>0.13123280965804185</c:v>
                </c:pt>
                <c:pt idx="363">
                  <c:v>0.13014646752395795</c:v>
                </c:pt>
                <c:pt idx="364">
                  <c:v>0.1289388961003638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5882008"/>
        <c:axId val="475882400"/>
      </c:lineChart>
      <c:dateAx>
        <c:axId val="4758820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5882400"/>
        <c:crosses val="autoZero"/>
        <c:auto val="1"/>
        <c:lblOffset val="100"/>
        <c:baseTimeUnit val="days"/>
        <c:majorUnit val="1"/>
        <c:majorTimeUnit val="months"/>
      </c:dateAx>
      <c:valAx>
        <c:axId val="4758824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58820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3.6863925964485622E-2</c:v>
                </c:pt>
                <c:pt idx="1">
                  <c:v>3.6886339547979707E-2</c:v>
                </c:pt>
                <c:pt idx="2">
                  <c:v>3.6908752609876916E-2</c:v>
                </c:pt>
                <c:pt idx="3">
                  <c:v>3.693116515018946E-2</c:v>
                </c:pt>
                <c:pt idx="4">
                  <c:v>3.6953577168929441E-2</c:v>
                </c:pt>
                <c:pt idx="5">
                  <c:v>3.6975988666108961E-2</c:v>
                </c:pt>
                <c:pt idx="6">
                  <c:v>3.6998399641740232E-2</c:v>
                </c:pt>
                <c:pt idx="7">
                  <c:v>3.7020810095835355E-2</c:v>
                </c:pt>
                <c:pt idx="8">
                  <c:v>3.7043220028406543E-2</c:v>
                </c:pt>
                <c:pt idx="9">
                  <c:v>3.7065629439465786E-2</c:v>
                </c:pt>
                <c:pt idx="10">
                  <c:v>3.7088038329025297E-2</c:v>
                </c:pt>
                <c:pt idx="11">
                  <c:v>3.7110446697097177E-2</c:v>
                </c:pt>
                <c:pt idx="12">
                  <c:v>3.7132854543693639E-2</c:v>
                </c:pt>
                <c:pt idx="13">
                  <c:v>3.7155261868826783E-2</c:v>
                </c:pt>
                <c:pt idx="14">
                  <c:v>3.7177668672508712E-2</c:v>
                </c:pt>
                <c:pt idx="15">
                  <c:v>3.7200074954751639E-2</c:v>
                </c:pt>
                <c:pt idx="16">
                  <c:v>3.7222480715567552E-2</c:v>
                </c:pt>
                <c:pt idx="17">
                  <c:v>3.7244885954968776E-2</c:v>
                </c:pt>
                <c:pt idx="18">
                  <c:v>3.7267290672967301E-2</c:v>
                </c:pt>
                <c:pt idx="19">
                  <c:v>3.7289694869575341E-2</c:v>
                </c:pt>
                <c:pt idx="20">
                  <c:v>3.7312098544804884E-2</c:v>
                </c:pt>
                <c:pt idx="21">
                  <c:v>3.7334501698668254E-2</c:v>
                </c:pt>
                <c:pt idx="22">
                  <c:v>3.7356904331177554E-2</c:v>
                </c:pt>
                <c:pt idx="23">
                  <c:v>3.7379306442344773E-2</c:v>
                </c:pt>
                <c:pt idx="24">
                  <c:v>3.7401708032182235E-2</c:v>
                </c:pt>
                <c:pt idx="25">
                  <c:v>3.742410910070193E-2</c:v>
                </c:pt>
                <c:pt idx="26">
                  <c:v>3.7446509647916071E-2</c:v>
                </c:pt>
                <c:pt idx="27">
                  <c:v>3.7468909673836648E-2</c:v>
                </c:pt>
                <c:pt idx="28">
                  <c:v>3.7491309178475984E-2</c:v>
                </c:pt>
                <c:pt idx="29">
                  <c:v>3.7513708161846071E-2</c:v>
                </c:pt>
                <c:pt idx="30">
                  <c:v>3.753610662395912E-2</c:v>
                </c:pt>
                <c:pt idx="31">
                  <c:v>3.7558504564827233E-2</c:v>
                </c:pt>
                <c:pt idx="32">
                  <c:v>3.7580901984462511E-2</c:v>
                </c:pt>
                <c:pt idx="33">
                  <c:v>3.7603298882877167E-2</c:v>
                </c:pt>
                <c:pt idx="34">
                  <c:v>3.7625695260083303E-2</c:v>
                </c:pt>
                <c:pt idx="35">
                  <c:v>3.7648091116092908E-2</c:v>
                </c:pt>
                <c:pt idx="36">
                  <c:v>3.7670486450918306E-2</c:v>
                </c:pt>
                <c:pt idx="37">
                  <c:v>3.7692881264571598E-2</c:v>
                </c:pt>
                <c:pt idx="38">
                  <c:v>3.7715275557064776E-2</c:v>
                </c:pt>
                <c:pt idx="39">
                  <c:v>3.7737669328410051E-2</c:v>
                </c:pt>
                <c:pt idx="40">
                  <c:v>3.7760062578619524E-2</c:v>
                </c:pt>
                <c:pt idx="41">
                  <c:v>3.7782455307705409E-2</c:v>
                </c:pt>
                <c:pt idx="42">
                  <c:v>3.7804847515679807E-2</c:v>
                </c:pt>
                <c:pt idx="43">
                  <c:v>3.7827239202554708E-2</c:v>
                </c:pt>
                <c:pt idx="44">
                  <c:v>3.7849630368342435E-2</c:v>
                </c:pt>
                <c:pt idx="45">
                  <c:v>3.7872021013054979E-2</c:v>
                </c:pt>
                <c:pt idx="46">
                  <c:v>3.7894411136704553E-2</c:v>
                </c:pt>
                <c:pt idx="47">
                  <c:v>3.7916800739303147E-2</c:v>
                </c:pt>
                <c:pt idx="48">
                  <c:v>3.7939189820863084E-2</c:v>
                </c:pt>
                <c:pt idx="49">
                  <c:v>3.7961578381396355E-2</c:v>
                </c:pt>
                <c:pt idx="50">
                  <c:v>3.7983966420915061E-2</c:v>
                </c:pt>
                <c:pt idx="51">
                  <c:v>3.8006353939431414E-2</c:v>
                </c:pt>
                <c:pt idx="52">
                  <c:v>3.8028740936957517E-2</c:v>
                </c:pt>
                <c:pt idx="53">
                  <c:v>3.805112741350547E-2</c:v>
                </c:pt>
                <c:pt idx="54">
                  <c:v>3.8073513369087375E-2</c:v>
                </c:pt>
                <c:pt idx="55">
                  <c:v>3.8095898803715444E-2</c:v>
                </c:pt>
                <c:pt idx="56">
                  <c:v>3.811828371740178E-2</c:v>
                </c:pt>
                <c:pt idx="57">
                  <c:v>3.8140668110158371E-2</c:v>
                </c:pt>
                <c:pt idx="58">
                  <c:v>3.8163051981997542E-2</c:v>
                </c:pt>
                <c:pt idx="59">
                  <c:v>3.8185435332931283E-2</c:v>
                </c:pt>
                <c:pt idx="60">
                  <c:v>3.8207818162971696E-2</c:v>
                </c:pt>
                <c:pt idx="61">
                  <c:v>3.8230200472130993E-2</c:v>
                </c:pt>
                <c:pt idx="62">
                  <c:v>3.8252582260421275E-2</c:v>
                </c:pt>
                <c:pt idx="63">
                  <c:v>3.8274963527854533E-2</c:v>
                </c:pt>
                <c:pt idx="64">
                  <c:v>3.8297344274443201E-2</c:v>
                </c:pt>
                <c:pt idx="65">
                  <c:v>3.8319724500199048E-2</c:v>
                </c:pt>
                <c:pt idx="66">
                  <c:v>3.8342104205134397E-2</c:v>
                </c:pt>
                <c:pt idx="67">
                  <c:v>3.8364483389261239E-2</c:v>
                </c:pt>
                <c:pt idx="68">
                  <c:v>3.8386862052591897E-2</c:v>
                </c:pt>
                <c:pt idx="69">
                  <c:v>3.8409240195138361E-2</c:v>
                </c:pt>
                <c:pt idx="70">
                  <c:v>3.8431617816912622E-2</c:v>
                </c:pt>
                <c:pt idx="71">
                  <c:v>3.8453994917927004E-2</c:v>
                </c:pt>
                <c:pt idx="72">
                  <c:v>3.8476371498193607E-2</c:v>
                </c:pt>
                <c:pt idx="73">
                  <c:v>3.8498747557724422E-2</c:v>
                </c:pt>
                <c:pt idx="74">
                  <c:v>3.8521123096531773E-2</c:v>
                </c:pt>
                <c:pt idx="75">
                  <c:v>3.8543498114627539E-2</c:v>
                </c:pt>
                <c:pt idx="76">
                  <c:v>3.8565872612023933E-2</c:v>
                </c:pt>
                <c:pt idx="77">
                  <c:v>3.8588246588733055E-2</c:v>
                </c:pt>
                <c:pt idx="78">
                  <c:v>3.8610620044767119E-2</c:v>
                </c:pt>
                <c:pt idx="79">
                  <c:v>3.8632992980138225E-2</c:v>
                </c:pt>
                <c:pt idx="80">
                  <c:v>3.8655365394858365E-2</c:v>
                </c:pt>
                <c:pt idx="81">
                  <c:v>3.8677737288939751E-2</c:v>
                </c:pt>
                <c:pt idx="82">
                  <c:v>3.8700108662394483E-2</c:v>
                </c:pt>
                <c:pt idx="83">
                  <c:v>3.8722479515234665E-2</c:v>
                </c:pt>
                <c:pt idx="84">
                  <c:v>3.8744849847472396E-2</c:v>
                </c:pt>
                <c:pt idx="85">
                  <c:v>3.8767219659119889E-2</c:v>
                </c:pt>
                <c:pt idx="86">
                  <c:v>3.8789588950189136E-2</c:v>
                </c:pt>
                <c:pt idx="87">
                  <c:v>3.8811957720692236E-2</c:v>
                </c:pt>
                <c:pt idx="88">
                  <c:v>3.8834325970641514E-2</c:v>
                </c:pt>
                <c:pt idx="89">
                  <c:v>3.885669370004885E-2</c:v>
                </c:pt>
                <c:pt idx="90">
                  <c:v>3.8879060908926344E-2</c:v>
                </c:pt>
                <c:pt idx="91">
                  <c:v>3.890142759728632E-2</c:v>
                </c:pt>
                <c:pt idx="92">
                  <c:v>3.8923793765140879E-2</c:v>
                </c:pt>
                <c:pt idx="93">
                  <c:v>3.8946159412501902E-2</c:v>
                </c:pt>
                <c:pt idx="94">
                  <c:v>3.8968524539381599E-2</c:v>
                </c:pt>
                <c:pt idx="95">
                  <c:v>3.8990889145792296E-2</c:v>
                </c:pt>
                <c:pt idx="96">
                  <c:v>3.9013253231745759E-2</c:v>
                </c:pt>
                <c:pt idx="97">
                  <c:v>3.9035616797254313E-2</c:v>
                </c:pt>
                <c:pt idx="98">
                  <c:v>3.9057979842330059E-2</c:v>
                </c:pt>
                <c:pt idx="99">
                  <c:v>3.9080342366985099E-2</c:v>
                </c:pt>
                <c:pt idx="100">
                  <c:v>3.9102704371231534E-2</c:v>
                </c:pt>
                <c:pt idx="101">
                  <c:v>3.9125065855081353E-2</c:v>
                </c:pt>
                <c:pt idx="102">
                  <c:v>3.9147426818546882E-2</c:v>
                </c:pt>
                <c:pt idx="103">
                  <c:v>3.916978726164011E-2</c:v>
                </c:pt>
                <c:pt idx="104">
                  <c:v>3.9192147184373027E-2</c:v>
                </c:pt>
                <c:pt idx="105">
                  <c:v>3.9214506586758069E-2</c:v>
                </c:pt>
                <c:pt idx="106">
                  <c:v>3.9236865468807003E-2</c:v>
                </c:pt>
                <c:pt idx="107">
                  <c:v>3.9259223830532153E-2</c:v>
                </c:pt>
                <c:pt idx="108">
                  <c:v>3.928158167194562E-2</c:v>
                </c:pt>
                <c:pt idx="109">
                  <c:v>3.9303938993059395E-2</c:v>
                </c:pt>
                <c:pt idx="110">
                  <c:v>3.9326295793885579E-2</c:v>
                </c:pt>
                <c:pt idx="111">
                  <c:v>3.9348652074436385E-2</c:v>
                </c:pt>
                <c:pt idx="112">
                  <c:v>3.9371007834723915E-2</c:v>
                </c:pt>
                <c:pt idx="113">
                  <c:v>3.9393363074760268E-2</c:v>
                </c:pt>
                <c:pt idx="114">
                  <c:v>3.9415717794557548E-2</c:v>
                </c:pt>
                <c:pt idx="115">
                  <c:v>3.9438071994127744E-2</c:v>
                </c:pt>
                <c:pt idx="116">
                  <c:v>3.9460425673483068E-2</c:v>
                </c:pt>
                <c:pt idx="117">
                  <c:v>3.9482778832635623E-2</c:v>
                </c:pt>
                <c:pt idx="118">
                  <c:v>3.9505131471597621E-2</c:v>
                </c:pt>
                <c:pt idx="119">
                  <c:v>3.9527483590380941E-2</c:v>
                </c:pt>
                <c:pt idx="120">
                  <c:v>3.9549835188997795E-2</c:v>
                </c:pt>
                <c:pt idx="121">
                  <c:v>3.9572186267460396E-2</c:v>
                </c:pt>
                <c:pt idx="122">
                  <c:v>3.9594536825780624E-2</c:v>
                </c:pt>
                <c:pt idx="123">
                  <c:v>3.9616886863970802E-2</c:v>
                </c:pt>
                <c:pt idx="124">
                  <c:v>3.9639236382042919E-2</c:v>
                </c:pt>
                <c:pt idx="125">
                  <c:v>3.9661585380009079E-2</c:v>
                </c:pt>
                <c:pt idx="126">
                  <c:v>3.9683933857881382E-2</c:v>
                </c:pt>
                <c:pt idx="127">
                  <c:v>3.970628181567204E-2</c:v>
                </c:pt>
                <c:pt idx="128">
                  <c:v>3.9728629253392933E-2</c:v>
                </c:pt>
                <c:pt idx="129">
                  <c:v>3.9750976171056496E-2</c:v>
                </c:pt>
                <c:pt idx="130">
                  <c:v>3.9773322568674496E-2</c:v>
                </c:pt>
                <c:pt idx="131">
                  <c:v>3.9795668446259147E-2</c:v>
                </c:pt>
                <c:pt idx="132">
                  <c:v>3.9818013803822661E-2</c:v>
                </c:pt>
                <c:pt idx="133">
                  <c:v>3.9840358641377138E-2</c:v>
                </c:pt>
                <c:pt idx="134">
                  <c:v>3.9862702958934459E-2</c:v>
                </c:pt>
                <c:pt idx="135">
                  <c:v>3.9885046756506948E-2</c:v>
                </c:pt>
                <c:pt idx="136">
                  <c:v>3.9907390034106593E-2</c:v>
                </c:pt>
                <c:pt idx="137">
                  <c:v>3.9929732791745498E-2</c:v>
                </c:pt>
                <c:pt idx="138">
                  <c:v>3.9952075029435874E-2</c:v>
                </c:pt>
                <c:pt idx="139">
                  <c:v>3.9974416747189601E-2</c:v>
                </c:pt>
                <c:pt idx="140">
                  <c:v>3.9996757945019001E-2</c:v>
                </c:pt>
                <c:pt idx="141">
                  <c:v>4.0019098622936178E-2</c:v>
                </c:pt>
                <c:pt idx="142">
                  <c:v>4.0041438780953009E-2</c:v>
                </c:pt>
                <c:pt idx="143">
                  <c:v>4.0063778419081819E-2</c:v>
                </c:pt>
                <c:pt idx="144">
                  <c:v>4.0086117537334487E-2</c:v>
                </c:pt>
                <c:pt idx="145">
                  <c:v>4.0108456135723336E-2</c:v>
                </c:pt>
                <c:pt idx="146">
                  <c:v>4.0130794214260357E-2</c:v>
                </c:pt>
                <c:pt idx="147">
                  <c:v>4.0153131772957651E-2</c:v>
                </c:pt>
                <c:pt idx="148">
                  <c:v>4.017546881182732E-2</c:v>
                </c:pt>
                <c:pt idx="149">
                  <c:v>4.0197805330881464E-2</c:v>
                </c:pt>
                <c:pt idx="150">
                  <c:v>4.0220141330132186E-2</c:v>
                </c:pt>
                <c:pt idx="151">
                  <c:v>4.0242476809591587E-2</c:v>
                </c:pt>
                <c:pt idx="152">
                  <c:v>4.0264811769271769E-2</c:v>
                </c:pt>
                <c:pt idx="153">
                  <c:v>4.0287146209184721E-2</c:v>
                </c:pt>
                <c:pt idx="154">
                  <c:v>4.0309480129342656E-2</c:v>
                </c:pt>
                <c:pt idx="155">
                  <c:v>4.0331813529757676E-2</c:v>
                </c:pt>
                <c:pt idx="156">
                  <c:v>4.0354146410441882E-2</c:v>
                </c:pt>
                <c:pt idx="157">
                  <c:v>4.0376478771407265E-2</c:v>
                </c:pt>
                <c:pt idx="158">
                  <c:v>4.0398810612665925E-2</c:v>
                </c:pt>
                <c:pt idx="159">
                  <c:v>4.0421141934230076E-2</c:v>
                </c:pt>
                <c:pt idx="160">
                  <c:v>4.0443472736111818E-2</c:v>
                </c:pt>
                <c:pt idx="161">
                  <c:v>4.0465803018323032E-2</c:v>
                </c:pt>
                <c:pt idx="162">
                  <c:v>4.0488132780876041E-2</c:v>
                </c:pt>
                <c:pt idx="163">
                  <c:v>4.0510462023782945E-2</c:v>
                </c:pt>
                <c:pt idx="164">
                  <c:v>4.0532790747055625E-2</c:v>
                </c:pt>
                <c:pt idx="165">
                  <c:v>4.0555118950706293E-2</c:v>
                </c:pt>
                <c:pt idx="166">
                  <c:v>4.057744663474705E-2</c:v>
                </c:pt>
                <c:pt idx="167">
                  <c:v>4.0599773799189998E-2</c:v>
                </c:pt>
                <c:pt idx="168">
                  <c:v>4.0622100444047238E-2</c:v>
                </c:pt>
                <c:pt idx="169">
                  <c:v>4.064442656933076E-2</c:v>
                </c:pt>
                <c:pt idx="170">
                  <c:v>4.0666752175052778E-2</c:v>
                </c:pt>
                <c:pt idx="171">
                  <c:v>4.0689077261225393E-2</c:v>
                </c:pt>
                <c:pt idx="172">
                  <c:v>4.0711401827860594E-2</c:v>
                </c:pt>
                <c:pt idx="173">
                  <c:v>4.0733725874970483E-2</c:v>
                </c:pt>
                <c:pt idx="174">
                  <c:v>4.0756049402567163E-2</c:v>
                </c:pt>
                <c:pt idx="175">
                  <c:v>4.0778372410662844E-2</c:v>
                </c:pt>
                <c:pt idx="176">
                  <c:v>4.0800694899269407E-2</c:v>
                </c:pt>
                <c:pt idx="177">
                  <c:v>4.0823016868399176E-2</c:v>
                </c:pt>
                <c:pt idx="178">
                  <c:v>4.0845338318064028E-2</c:v>
                </c:pt>
                <c:pt idx="179">
                  <c:v>4.0867659248276067E-2</c:v>
                </c:pt>
                <c:pt idx="180">
                  <c:v>4.0889979659047615E-2</c:v>
                </c:pt>
                <c:pt idx="181">
                  <c:v>4.0912299550390441E-2</c:v>
                </c:pt>
                <c:pt idx="182">
                  <c:v>4.0934618922316868E-2</c:v>
                </c:pt>
                <c:pt idx="183">
                  <c:v>4.0956937774838886E-2</c:v>
                </c:pt>
                <c:pt idx="184">
                  <c:v>4.0979256107968598E-2</c:v>
                </c:pt>
                <c:pt idx="185">
                  <c:v>4.1001573921718104E-2</c:v>
                </c:pt>
                <c:pt idx="186">
                  <c:v>4.1023891216099506E-2</c:v>
                </c:pt>
                <c:pt idx="187">
                  <c:v>4.1046207991124795E-2</c:v>
                </c:pt>
                <c:pt idx="188">
                  <c:v>4.1068524246806182E-2</c:v>
                </c:pt>
                <c:pt idx="189">
                  <c:v>4.1090839983155658E-2</c:v>
                </c:pt>
                <c:pt idx="190">
                  <c:v>4.1113155200185436E-2</c:v>
                </c:pt>
                <c:pt idx="191">
                  <c:v>4.1135469897907395E-2</c:v>
                </c:pt>
                <c:pt idx="192">
                  <c:v>4.1157784076333859E-2</c:v>
                </c:pt>
                <c:pt idx="193">
                  <c:v>4.1180097735476706E-2</c:v>
                </c:pt>
                <c:pt idx="194">
                  <c:v>4.120241087534815E-2</c:v>
                </c:pt>
                <c:pt idx="195">
                  <c:v>4.122472349596018E-2</c:v>
                </c:pt>
                <c:pt idx="196">
                  <c:v>4.1247035597324899E-2</c:v>
                </c:pt>
                <c:pt idx="197">
                  <c:v>4.1269347179454519E-2</c:v>
                </c:pt>
                <c:pt idx="198">
                  <c:v>4.1291658242361029E-2</c:v>
                </c:pt>
                <c:pt idx="199">
                  <c:v>4.1313968786056421E-2</c:v>
                </c:pt>
                <c:pt idx="200">
                  <c:v>4.1336278810552907E-2</c:v>
                </c:pt>
                <c:pt idx="201">
                  <c:v>4.1358588315862588E-2</c:v>
                </c:pt>
                <c:pt idx="202">
                  <c:v>4.1380897301997455E-2</c:v>
                </c:pt>
                <c:pt idx="203">
                  <c:v>4.1403205768969609E-2</c:v>
                </c:pt>
                <c:pt idx="204">
                  <c:v>4.1425513716791151E-2</c:v>
                </c:pt>
                <c:pt idx="205">
                  <c:v>4.1447821145474184E-2</c:v>
                </c:pt>
                <c:pt idx="206">
                  <c:v>4.1470128055030697E-2</c:v>
                </c:pt>
                <c:pt idx="207">
                  <c:v>4.1492434445472903E-2</c:v>
                </c:pt>
                <c:pt idx="208">
                  <c:v>4.1514740316812793E-2</c:v>
                </c:pt>
                <c:pt idx="209">
                  <c:v>4.1537045669062467E-2</c:v>
                </c:pt>
                <c:pt idx="210">
                  <c:v>4.1559350502234027E-2</c:v>
                </c:pt>
                <c:pt idx="211">
                  <c:v>4.1581654816339464E-2</c:v>
                </c:pt>
                <c:pt idx="212">
                  <c:v>4.160395861139099E-2</c:v>
                </c:pt>
                <c:pt idx="213">
                  <c:v>4.1626261887400595E-2</c:v>
                </c:pt>
                <c:pt idx="214">
                  <c:v>4.1648564644380381E-2</c:v>
                </c:pt>
                <c:pt idx="215">
                  <c:v>4.167086688234245E-2</c:v>
                </c:pt>
                <c:pt idx="216">
                  <c:v>4.1693168601298902E-2</c:v>
                </c:pt>
                <c:pt idx="217">
                  <c:v>4.1715469801261729E-2</c:v>
                </c:pt>
                <c:pt idx="218">
                  <c:v>4.1737770482243031E-2</c:v>
                </c:pt>
                <c:pt idx="219">
                  <c:v>4.176007064425491E-2</c:v>
                </c:pt>
                <c:pt idx="220">
                  <c:v>4.1782370287309467E-2</c:v>
                </c:pt>
                <c:pt idx="221">
                  <c:v>4.1804669411418693E-2</c:v>
                </c:pt>
                <c:pt idx="222">
                  <c:v>4.1826968016594801E-2</c:v>
                </c:pt>
                <c:pt idx="223">
                  <c:v>4.184926610284978E-2</c:v>
                </c:pt>
                <c:pt idx="224">
                  <c:v>4.1871563670195622E-2</c:v>
                </c:pt>
                <c:pt idx="225">
                  <c:v>4.1893860718644649E-2</c:v>
                </c:pt>
                <c:pt idx="226">
                  <c:v>4.1916157248208741E-2</c:v>
                </c:pt>
                <c:pt idx="227">
                  <c:v>4.1938453258899888E-2</c:v>
                </c:pt>
                <c:pt idx="228">
                  <c:v>4.1960748750730414E-2</c:v>
                </c:pt>
                <c:pt idx="229">
                  <c:v>4.198304372371231E-2</c:v>
                </c:pt>
                <c:pt idx="230">
                  <c:v>4.2005338177857565E-2</c:v>
                </c:pt>
                <c:pt idx="231">
                  <c:v>4.2027632113178282E-2</c:v>
                </c:pt>
                <c:pt idx="232">
                  <c:v>4.204992552968656E-2</c:v>
                </c:pt>
                <c:pt idx="233">
                  <c:v>4.2072218427394392E-2</c:v>
                </c:pt>
                <c:pt idx="234">
                  <c:v>4.20945108063141E-2</c:v>
                </c:pt>
                <c:pt idx="235">
                  <c:v>4.2116802666457454E-2</c:v>
                </c:pt>
                <c:pt idx="236">
                  <c:v>4.2139094007836664E-2</c:v>
                </c:pt>
                <c:pt idx="237">
                  <c:v>4.2161384830463833E-2</c:v>
                </c:pt>
                <c:pt idx="238">
                  <c:v>4.2183675134350951E-2</c:v>
                </c:pt>
                <c:pt idx="239">
                  <c:v>4.220596491951023E-2</c:v>
                </c:pt>
                <c:pt idx="240">
                  <c:v>4.2228254185953551E-2</c:v>
                </c:pt>
                <c:pt idx="241">
                  <c:v>4.2250542933693125E-2</c:v>
                </c:pt>
                <c:pt idx="242">
                  <c:v>4.2272831162740943E-2</c:v>
                </c:pt>
                <c:pt idx="243">
                  <c:v>4.2295118873109105E-2</c:v>
                </c:pt>
                <c:pt idx="244">
                  <c:v>4.2317406064809715E-2</c:v>
                </c:pt>
                <c:pt idx="245">
                  <c:v>4.2339692737854873E-2</c:v>
                </c:pt>
                <c:pt idx="246">
                  <c:v>4.2361978892256458E-2</c:v>
                </c:pt>
                <c:pt idx="247">
                  <c:v>4.2384264528026794E-2</c:v>
                </c:pt>
                <c:pt idx="248">
                  <c:v>4.240654964517776E-2</c:v>
                </c:pt>
                <c:pt idx="249">
                  <c:v>4.2428834243721569E-2</c:v>
                </c:pt>
                <c:pt idx="250">
                  <c:v>4.2451118323670101E-2</c:v>
                </c:pt>
                <c:pt idx="251">
                  <c:v>4.2473401885035567E-2</c:v>
                </c:pt>
                <c:pt idx="252">
                  <c:v>4.2495684927830069E-2</c:v>
                </c:pt>
                <c:pt idx="253">
                  <c:v>4.2517967452065597E-2</c:v>
                </c:pt>
                <c:pt idx="254">
                  <c:v>4.2540249457754142E-2</c:v>
                </c:pt>
                <c:pt idx="255">
                  <c:v>4.2562530944908028E-2</c:v>
                </c:pt>
                <c:pt idx="256">
                  <c:v>4.2584811913539022E-2</c:v>
                </c:pt>
                <c:pt idx="257">
                  <c:v>4.2607092363659338E-2</c:v>
                </c:pt>
                <c:pt idx="258">
                  <c:v>4.2629372295281076E-2</c:v>
                </c:pt>
                <c:pt idx="259">
                  <c:v>4.2651651708416227E-2</c:v>
                </c:pt>
                <c:pt idx="260">
                  <c:v>4.2673930603076893E-2</c:v>
                </c:pt>
                <c:pt idx="261">
                  <c:v>4.2696208979275174E-2</c:v>
                </c:pt>
                <c:pt idx="262">
                  <c:v>4.2718486837023062E-2</c:v>
                </c:pt>
                <c:pt idx="263">
                  <c:v>4.2740764176332546E-2</c:v>
                </c:pt>
                <c:pt idx="264">
                  <c:v>4.2763040997215951E-2</c:v>
                </c:pt>
                <c:pt idx="265">
                  <c:v>4.2785317299685155E-2</c:v>
                </c:pt>
                <c:pt idx="266">
                  <c:v>4.280759308375226E-2</c:v>
                </c:pt>
                <c:pt idx="267">
                  <c:v>4.2829868349429256E-2</c:v>
                </c:pt>
                <c:pt idx="268">
                  <c:v>4.2852143096728357E-2</c:v>
                </c:pt>
                <c:pt idx="269">
                  <c:v>4.2874417325661551E-2</c:v>
                </c:pt>
                <c:pt idx="270">
                  <c:v>4.289669103624083E-2</c:v>
                </c:pt>
                <c:pt idx="271">
                  <c:v>4.2918964228478407E-2</c:v>
                </c:pt>
                <c:pt idx="272">
                  <c:v>4.294123690238616E-2</c:v>
                </c:pt>
                <c:pt idx="273">
                  <c:v>4.2963509057976301E-2</c:v>
                </c:pt>
                <c:pt idx="274">
                  <c:v>4.2985780695260822E-2</c:v>
                </c:pt>
                <c:pt idx="275">
                  <c:v>4.3008051814251824E-2</c:v>
                </c:pt>
                <c:pt idx="276">
                  <c:v>4.3030322414961408E-2</c:v>
                </c:pt>
                <c:pt idx="277">
                  <c:v>4.3052592497401565E-2</c:v>
                </c:pt>
                <c:pt idx="278">
                  <c:v>4.3074862061584285E-2</c:v>
                </c:pt>
                <c:pt idx="279">
                  <c:v>4.309713110752178E-2</c:v>
                </c:pt>
                <c:pt idx="280">
                  <c:v>4.3119399635226041E-2</c:v>
                </c:pt>
                <c:pt idx="281">
                  <c:v>4.3141667644709059E-2</c:v>
                </c:pt>
                <c:pt idx="282">
                  <c:v>4.3163935135983045E-2</c:v>
                </c:pt>
                <c:pt idx="283">
                  <c:v>4.318620210905999E-2</c:v>
                </c:pt>
                <c:pt idx="284">
                  <c:v>4.3208468563951885E-2</c:v>
                </c:pt>
                <c:pt idx="285">
                  <c:v>4.3230734500670942E-2</c:v>
                </c:pt>
                <c:pt idx="286">
                  <c:v>4.325299991922904E-2</c:v>
                </c:pt>
                <c:pt idx="287">
                  <c:v>4.3275264819638282E-2</c:v>
                </c:pt>
                <c:pt idx="288">
                  <c:v>4.3297529201910767E-2</c:v>
                </c:pt>
                <c:pt idx="289">
                  <c:v>4.3319793066058598E-2</c:v>
                </c:pt>
                <c:pt idx="290">
                  <c:v>4.3342056412093766E-2</c:v>
                </c:pt>
                <c:pt idx="291">
                  <c:v>4.3364319240028371E-2</c:v>
                </c:pt>
                <c:pt idx="292">
                  <c:v>4.3386581549874514E-2</c:v>
                </c:pt>
                <c:pt idx="293">
                  <c:v>4.3408843341644077E-2</c:v>
                </c:pt>
                <c:pt idx="294">
                  <c:v>4.343110461534927E-2</c:v>
                </c:pt>
                <c:pt idx="295">
                  <c:v>4.3453365371002084E-2</c:v>
                </c:pt>
                <c:pt idx="296">
                  <c:v>4.3475625608614621E-2</c:v>
                </c:pt>
                <c:pt idx="297">
                  <c:v>4.3497885328198871E-2</c:v>
                </c:pt>
                <c:pt idx="298">
                  <c:v>4.3520144529766935E-2</c:v>
                </c:pt>
                <c:pt idx="299">
                  <c:v>4.3542403213330805E-2</c:v>
                </c:pt>
                <c:pt idx="300">
                  <c:v>4.3564661378902692E-2</c:v>
                </c:pt>
                <c:pt idx="301">
                  <c:v>4.3586919026494475E-2</c:v>
                </c:pt>
                <c:pt idx="302">
                  <c:v>4.3609176156118368E-2</c:v>
                </c:pt>
                <c:pt idx="303">
                  <c:v>4.3631432767786249E-2</c:v>
                </c:pt>
                <c:pt idx="304">
                  <c:v>4.3653688861510331E-2</c:v>
                </c:pt>
                <c:pt idx="305">
                  <c:v>4.3675944437302494E-2</c:v>
                </c:pt>
                <c:pt idx="306">
                  <c:v>4.3698199495175061E-2</c:v>
                </c:pt>
                <c:pt idx="307">
                  <c:v>4.37204540351398E-2</c:v>
                </c:pt>
                <c:pt idx="308">
                  <c:v>4.3742708057208923E-2</c:v>
                </c:pt>
                <c:pt idx="309">
                  <c:v>4.3764961561394422E-2</c:v>
                </c:pt>
                <c:pt idx="310">
                  <c:v>4.3787214547708286E-2</c:v>
                </c:pt>
                <c:pt idx="311">
                  <c:v>4.3809467016162729E-2</c:v>
                </c:pt>
                <c:pt idx="312">
                  <c:v>4.3831718966769739E-2</c:v>
                </c:pt>
                <c:pt idx="313">
                  <c:v>4.385397039954142E-2</c:v>
                </c:pt>
                <c:pt idx="314">
                  <c:v>4.387622131448965E-2</c:v>
                </c:pt>
                <c:pt idx="315">
                  <c:v>4.389847171162653E-2</c:v>
                </c:pt>
                <c:pt idx="316">
                  <c:v>4.3920721590964273E-2</c:v>
                </c:pt>
                <c:pt idx="317">
                  <c:v>4.3942970952514759E-2</c:v>
                </c:pt>
                <c:pt idx="318">
                  <c:v>4.39652197962902E-2</c:v>
                </c:pt>
                <c:pt idx="319">
                  <c:v>4.3987468122302364E-2</c:v>
                </c:pt>
                <c:pt idx="320">
                  <c:v>4.4009715930563575E-2</c:v>
                </c:pt>
                <c:pt idx="321">
                  <c:v>4.4031963221085824E-2</c:v>
                </c:pt>
                <c:pt idx="322">
                  <c:v>4.4054209993881099E-2</c:v>
                </c:pt>
                <c:pt idx="323">
                  <c:v>4.4076456248961504E-2</c:v>
                </c:pt>
                <c:pt idx="324">
                  <c:v>4.4098701986338917E-2</c:v>
                </c:pt>
                <c:pt idx="325">
                  <c:v>4.4120947206025662E-2</c:v>
                </c:pt>
                <c:pt idx="326">
                  <c:v>4.4143191908033619E-2</c:v>
                </c:pt>
                <c:pt idx="327">
                  <c:v>4.4165436092374777E-2</c:v>
                </c:pt>
                <c:pt idx="328">
                  <c:v>4.4187679759061349E-2</c:v>
                </c:pt>
                <c:pt idx="329">
                  <c:v>4.4209922908105326E-2</c:v>
                </c:pt>
                <c:pt idx="330">
                  <c:v>4.4232165539518697E-2</c:v>
                </c:pt>
                <c:pt idx="331">
                  <c:v>4.4254407653313566E-2</c:v>
                </c:pt>
                <c:pt idx="332">
                  <c:v>4.4276649249501809E-2</c:v>
                </c:pt>
                <c:pt idx="333">
                  <c:v>4.4298890328095752E-2</c:v>
                </c:pt>
                <c:pt idx="334">
                  <c:v>4.4321130889107274E-2</c:v>
                </c:pt>
                <c:pt idx="335">
                  <c:v>4.4343370932548476E-2</c:v>
                </c:pt>
                <c:pt idx="336">
                  <c:v>4.4365610458431348E-2</c:v>
                </c:pt>
                <c:pt idx="337">
                  <c:v>4.4387849466767992E-2</c:v>
                </c:pt>
                <c:pt idx="338">
                  <c:v>4.4410087957570399E-2</c:v>
                </c:pt>
                <c:pt idx="339">
                  <c:v>4.4432325930850669E-2</c:v>
                </c:pt>
                <c:pt idx="340">
                  <c:v>4.4454563386620793E-2</c:v>
                </c:pt>
                <c:pt idx="341">
                  <c:v>4.4476800324892762E-2</c:v>
                </c:pt>
                <c:pt idx="342">
                  <c:v>4.4499036745678788E-2</c:v>
                </c:pt>
                <c:pt idx="343">
                  <c:v>4.4521272648990751E-2</c:v>
                </c:pt>
                <c:pt idx="344">
                  <c:v>4.4543508034840862E-2</c:v>
                </c:pt>
                <c:pt idx="345">
                  <c:v>4.456574290324089E-2</c:v>
                </c:pt>
                <c:pt idx="346">
                  <c:v>4.4587977254203159E-2</c:v>
                </c:pt>
                <c:pt idx="347">
                  <c:v>4.461021108773966E-2</c:v>
                </c:pt>
                <c:pt idx="348">
                  <c:v>4.463244440386227E-2</c:v>
                </c:pt>
                <c:pt idx="349">
                  <c:v>4.4654677202583204E-2</c:v>
                </c:pt>
                <c:pt idx="350">
                  <c:v>4.467690948391434E-2</c:v>
                </c:pt>
                <c:pt idx="351">
                  <c:v>4.4699141247867891E-2</c:v>
                </c:pt>
                <c:pt idx="352">
                  <c:v>4.4721372494455736E-2</c:v>
                </c:pt>
                <c:pt idx="353">
                  <c:v>4.4743603223690087E-2</c:v>
                </c:pt>
                <c:pt idx="354">
                  <c:v>4.4765833435582825E-2</c:v>
                </c:pt>
                <c:pt idx="355">
                  <c:v>4.478806313014605E-2</c:v>
                </c:pt>
                <c:pt idx="356">
                  <c:v>4.4810292307391864E-2</c:v>
                </c:pt>
                <c:pt idx="357">
                  <c:v>4.4832520967332257E-2</c:v>
                </c:pt>
                <c:pt idx="358">
                  <c:v>4.4854749109979219E-2</c:v>
                </c:pt>
                <c:pt idx="359">
                  <c:v>4.4876976735344853E-2</c:v>
                </c:pt>
                <c:pt idx="360">
                  <c:v>4.4899203843441149E-2</c:v>
                </c:pt>
                <c:pt idx="361">
                  <c:v>4.4921430434280096E-2</c:v>
                </c:pt>
                <c:pt idx="362">
                  <c:v>4.4943656507873908E-2</c:v>
                </c:pt>
                <c:pt idx="363">
                  <c:v>4.4965882064234464E-2</c:v>
                </c:pt>
                <c:pt idx="364">
                  <c:v>4.4988107103373975E-2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4.0038086649920999E-2</c:v>
                </c:pt>
                <c:pt idx="1">
                  <c:v>4.0232257332916611E-2</c:v>
                </c:pt>
                <c:pt idx="2">
                  <c:v>4.0426362131703635E-2</c:v>
                </c:pt>
                <c:pt idx="3">
                  <c:v>4.0620384988654265E-2</c:v>
                </c:pt>
                <c:pt idx="4">
                  <c:v>4.0814311935123339E-2</c:v>
                </c:pt>
                <c:pt idx="5">
                  <c:v>4.100813107153635E-2</c:v>
                </c:pt>
                <c:pt idx="6">
                  <c:v>4.1201832526855761E-2</c:v>
                </c:pt>
                <c:pt idx="7">
                  <c:v>4.1395408398414019E-2</c:v>
                </c:pt>
                <c:pt idx="8">
                  <c:v>4.1588852673280205E-2</c:v>
                </c:pt>
                <c:pt idx="9">
                  <c:v>4.1782161132495686E-2</c:v>
                </c:pt>
                <c:pt idx="10">
                  <c:v>4.1975331239664029E-2</c:v>
                </c:pt>
                <c:pt idx="11">
                  <c:v>4.2168362015515472E-2</c:v>
                </c:pt>
                <c:pt idx="12">
                  <c:v>4.2361253900183547E-2</c:v>
                </c:pt>
                <c:pt idx="13">
                  <c:v>4.2554008605027914E-2</c:v>
                </c:pt>
                <c:pt idx="14">
                  <c:v>4.2746628955916452E-2</c:v>
                </c:pt>
                <c:pt idx="15">
                  <c:v>4.293911872993645E-2</c:v>
                </c:pt>
                <c:pt idx="16">
                  <c:v>4.3131482487541908E-2</c:v>
                </c:pt>
                <c:pt idx="17">
                  <c:v>4.3323725402159265E-2</c:v>
                </c:pt>
                <c:pt idx="18">
                  <c:v>4.3515853089268579E-2</c:v>
                </c:pt>
                <c:pt idx="19">
                  <c:v>4.3707871436951963E-2</c:v>
                </c:pt>
                <c:pt idx="20">
                  <c:v>4.3899786439853802E-2</c:v>
                </c:pt>
                <c:pt idx="21">
                  <c:v>4.4091604038432354E-2</c:v>
                </c:pt>
                <c:pt idx="22">
                  <c:v>4.4283329965298039E-2</c:v>
                </c:pt>
                <c:pt idx="23">
                  <c:v>4.4474969600331295E-2</c:v>
                </c:pt>
                <c:pt idx="24">
                  <c:v>4.4666527836155184E-2</c:v>
                </c:pt>
                <c:pt idx="25">
                  <c:v>4.4858008955404635E-2</c:v>
                </c:pt>
                <c:pt idx="26">
                  <c:v>4.5049416521087557E-2</c:v>
                </c:pt>
                <c:pt idx="27">
                  <c:v>4.5240753281175591E-2</c:v>
                </c:pt>
                <c:pt idx="28">
                  <c:v>4.5432021088393455E-2</c:v>
                </c:pt>
                <c:pt idx="29">
                  <c:v>4.5623220836000809E-2</c:v>
                </c:pt>
                <c:pt idx="30">
                  <c:v>4.5814352410177839E-2</c:v>
                </c:pt>
                <c:pt idx="31">
                  <c:v>4.6005414659440566E-2</c:v>
                </c:pt>
                <c:pt idx="32">
                  <c:v>4.6196405381323496E-2</c:v>
                </c:pt>
                <c:pt idx="33">
                  <c:v>4.6387321326379335E-2</c:v>
                </c:pt>
                <c:pt idx="34">
                  <c:v>4.6578158219360101E-2</c:v>
                </c:pt>
                <c:pt idx="35">
                  <c:v>4.6768910797261552E-2</c:v>
                </c:pt>
                <c:pt idx="36">
                  <c:v>4.6959572863737593E-2</c:v>
                </c:pt>
                <c:pt idx="37">
                  <c:v>4.7150137359222286E-2</c:v>
                </c:pt>
                <c:pt idx="38">
                  <c:v>4.7340596445939326E-2</c:v>
                </c:pt>
                <c:pt idx="39">
                  <c:v>4.7530941606830031E-2</c:v>
                </c:pt>
                <c:pt idx="40">
                  <c:v>4.7721163757296507E-2</c:v>
                </c:pt>
                <c:pt idx="41">
                  <c:v>4.7911253368534489E-2</c:v>
                </c:pt>
                <c:pt idx="42">
                  <c:v>4.8101200601124043E-2</c:v>
                </c:pt>
                <c:pt idx="43">
                  <c:v>4.8290995447455395E-2</c:v>
                </c:pt>
                <c:pt idx="44">
                  <c:v>4.8480627881493016E-2</c:v>
                </c:pt>
                <c:pt idx="45">
                  <c:v>4.867008801432357E-2</c:v>
                </c:pt>
                <c:pt idx="46">
                  <c:v>4.885936625389499E-2</c:v>
                </c:pt>
                <c:pt idx="47">
                  <c:v>4.9048453467330617E-2</c:v>
                </c:pt>
                <c:pt idx="48">
                  <c:v>4.9237341144199379E-2</c:v>
                </c:pt>
                <c:pt idx="49">
                  <c:v>4.9426021559135669E-2</c:v>
                </c:pt>
                <c:pt idx="50">
                  <c:v>4.9614487932233074E-2</c:v>
                </c:pt>
                <c:pt idx="51">
                  <c:v>4.9802734585682705E-2</c:v>
                </c:pt>
                <c:pt idx="52">
                  <c:v>4.9990757095189152E-2</c:v>
                </c:pt>
                <c:pt idx="53">
                  <c:v>5.0178552434773843E-2</c:v>
                </c:pt>
                <c:pt idx="54">
                  <c:v>5.0366119113665835E-2</c:v>
                </c:pt>
                <c:pt idx="55">
                  <c:v>5.055345730408304E-2</c:v>
                </c:pt>
                <c:pt idx="56">
                  <c:v>5.0740568958819496E-2</c:v>
                </c:pt>
                <c:pt idx="57">
                  <c:v>5.0927457917677658E-2</c:v>
                </c:pt>
                <c:pt idx="58">
                  <c:v>5.1114130001914539E-2</c:v>
                </c:pt>
                <c:pt idx="59">
                  <c:v>5.130059309600718E-2</c:v>
                </c:pt>
                <c:pt idx="60">
                  <c:v>5.1486857216183818E-2</c:v>
                </c:pt>
                <c:pt idx="61">
                  <c:v>5.1672934565309969E-2</c:v>
                </c:pt>
                <c:pt idx="62">
                  <c:v>5.1858839573863537E-2</c:v>
                </c:pt>
                <c:pt idx="63">
                  <c:v>5.2044588926875593E-2</c:v>
                </c:pt>
                <c:pt idx="64">
                  <c:v>5.2230201576854748E-2</c:v>
                </c:pt>
                <c:pt idx="65">
                  <c:v>5.2415698742849161E-2</c:v>
                </c:pt>
                <c:pt idx="66">
                  <c:v>5.2601103895930645E-2</c:v>
                </c:pt>
                <c:pt idx="67">
                  <c:v>5.2786442731509002E-2</c:v>
                </c:pt>
                <c:pt idx="68">
                  <c:v>5.2971743128998675E-2</c:v>
                </c:pt>
                <c:pt idx="69">
                  <c:v>5.3157035099464719E-2</c:v>
                </c:pt>
                <c:pt idx="70">
                  <c:v>5.3342350721968745E-2</c:v>
                </c:pt>
                <c:pt idx="71">
                  <c:v>5.3527724069416131E-2</c:v>
                </c:pt>
                <c:pt idx="72">
                  <c:v>5.3713191124775343E-2</c:v>
                </c:pt>
                <c:pt idx="73">
                  <c:v>5.3898789688594517E-2</c:v>
                </c:pt>
                <c:pt idx="74">
                  <c:v>5.4084559278782453E-2</c:v>
                </c:pt>
                <c:pt idx="75">
                  <c:v>5.4270541023647513E-2</c:v>
                </c:pt>
                <c:pt idx="76">
                  <c:v>5.4456777549201134E-2</c:v>
                </c:pt>
                <c:pt idx="77">
                  <c:v>5.4643312861731616E-2</c:v>
                </c:pt>
                <c:pt idx="78">
                  <c:v>5.4830192226638048E-2</c:v>
                </c:pt>
                <c:pt idx="79">
                  <c:v>5.5017462044486556E-2</c:v>
                </c:pt>
                <c:pt idx="80">
                  <c:v>5.5205169725209419E-2</c:v>
                </c:pt>
                <c:pt idx="81">
                  <c:v>5.5393363561314996E-2</c:v>
                </c:pt>
                <c:pt idx="82">
                  <c:v>5.5582092600912104E-2</c:v>
                </c:pt>
                <c:pt idx="83">
                  <c:v>5.5771406521279245E-2</c:v>
                </c:pt>
                <c:pt idx="84">
                  <c:v>5.5961355503626652E-2</c:v>
                </c:pt>
                <c:pt idx="85">
                  <c:v>5.6151990109610014E-2</c:v>
                </c:pt>
                <c:pt idx="86">
                  <c:v>5.6343361160059106E-2</c:v>
                </c:pt>
                <c:pt idx="87">
                  <c:v>5.6535519616285744E-2</c:v>
                </c:pt>
                <c:pt idx="88">
                  <c:v>5.6728516464233575E-2</c:v>
                </c:pt>
                <c:pt idx="89">
                  <c:v>5.6922402601628355E-2</c:v>
                </c:pt>
                <c:pt idx="90">
                  <c:v>5.7117228728186177E-2</c:v>
                </c:pt>
                <c:pt idx="91">
                  <c:v>5.7313045238835889E-2</c:v>
                </c:pt>
                <c:pt idx="92">
                  <c:v>5.7509902119816061E-2</c:v>
                </c:pt>
                <c:pt idx="93">
                  <c:v>5.7707848847415699E-2</c:v>
                </c:pt>
                <c:pt idx="94">
                  <c:v>5.7906934289043456E-2</c:v>
                </c:pt>
                <c:pt idx="95">
                  <c:v>5.8107206606234411E-2</c:v>
                </c:pt>
                <c:pt idx="96">
                  <c:v>5.8308713159136362E-2</c:v>
                </c:pt>
                <c:pt idx="97">
                  <c:v>5.8511500411962077E-2</c:v>
                </c:pt>
                <c:pt idx="98">
                  <c:v>5.8715613838849587E-2</c:v>
                </c:pt>
                <c:pt idx="99">
                  <c:v>5.8921097829540033E-2</c:v>
                </c:pt>
                <c:pt idx="100">
                  <c:v>5.9127995594265188E-2</c:v>
                </c:pt>
                <c:pt idx="101">
                  <c:v>5.9336349067230613E-2</c:v>
                </c:pt>
                <c:pt idx="102">
                  <c:v>5.9546198808089909E-2</c:v>
                </c:pt>
                <c:pt idx="103">
                  <c:v>5.9757583900829102E-2</c:v>
                </c:pt>
                <c:pt idx="104">
                  <c:v>5.9970541849516945E-2</c:v>
                </c:pt>
                <c:pt idx="105">
                  <c:v>6.0185108470428024E-2</c:v>
                </c:pt>
                <c:pt idx="106">
                  <c:v>6.0401317780111062E-2</c:v>
                </c:pt>
                <c:pt idx="107">
                  <c:v>6.0619201879050719E-2</c:v>
                </c:pt>
                <c:pt idx="108">
                  <c:v>6.0838790830661474E-2</c:v>
                </c:pt>
                <c:pt idx="109">
                  <c:v>6.1060112535452016E-2</c:v>
                </c:pt>
                <c:pt idx="110">
                  <c:v>6.1283192600308546E-2</c:v>
                </c:pt>
                <c:pt idx="111">
                  <c:v>6.1508054202962952E-2</c:v>
                </c:pt>
                <c:pt idx="112">
                  <c:v>6.1734717951838769E-2</c:v>
                </c:pt>
                <c:pt idx="113">
                  <c:v>6.1963201741596481E-2</c:v>
                </c:pt>
                <c:pt idx="114">
                  <c:v>6.2193520604835476E-2</c:v>
                </c:pt>
                <c:pt idx="115">
                  <c:v>6.2425686560545528E-2</c:v>
                </c:pt>
                <c:pt idx="116">
                  <c:v>6.2659708460036684E-2</c:v>
                </c:pt>
                <c:pt idx="117">
                  <c:v>6.2895591831211226E-2</c:v>
                </c:pt>
                <c:pt idx="118">
                  <c:v>6.3133338722171847E-2</c:v>
                </c:pt>
                <c:pt idx="119">
                  <c:v>2.5553188945380768E-2</c:v>
                </c:pt>
                <c:pt idx="120">
                  <c:v>2.5868977953152919E-2</c:v>
                </c:pt>
                <c:pt idx="121">
                  <c:v>2.6185491069049702E-2</c:v>
                </c:pt>
                <c:pt idx="122">
                  <c:v>2.6502739338255209E-2</c:v>
                </c:pt>
                <c:pt idx="123">
                  <c:v>2.6820731608640559E-2</c:v>
                </c:pt>
                <c:pt idx="124">
                  <c:v>2.7139474412125712E-2</c:v>
                </c:pt>
                <c:pt idx="125">
                  <c:v>2.7458971848778744E-2</c:v>
                </c:pt>
                <c:pt idx="126">
                  <c:v>2.7779225474619751E-2</c:v>
                </c:pt>
                <c:pt idx="127">
                  <c:v>2.8100234194141906E-2</c:v>
                </c:pt>
                <c:pt idx="128">
                  <c:v>2.8421994158596683E-2</c:v>
                </c:pt>
                <c:pt idx="129">
                  <c:v>2.8744498671116742E-2</c:v>
                </c:pt>
                <c:pt idx="130">
                  <c:v>2.9067738099764411E-2</c:v>
                </c:pt>
                <c:pt idx="131">
                  <c:v>2.9391699799597729E-2</c:v>
                </c:pt>
                <c:pt idx="132">
                  <c:v>2.9716368044837745E-2</c:v>
                </c:pt>
                <c:pt idx="133">
                  <c:v>3.0041723972200306E-2</c:v>
                </c:pt>
                <c:pt idx="134">
                  <c:v>3.0367745536422353E-2</c:v>
                </c:pt>
                <c:pt idx="135">
                  <c:v>3.0694407478967557E-2</c:v>
                </c:pt>
                <c:pt idx="136">
                  <c:v>3.1021681310836751E-2</c:v>
                </c:pt>
                <c:pt idx="137">
                  <c:v>3.1349535310338156E-2</c:v>
                </c:pt>
                <c:pt idx="138">
                  <c:v>3.1677934536589104E-2</c:v>
                </c:pt>
                <c:pt idx="139">
                  <c:v>3.2006840859425123E-2</c:v>
                </c:pt>
                <c:pt idx="140">
                  <c:v>3.2336213006286973E-2</c:v>
                </c:pt>
                <c:pt idx="141">
                  <c:v>3.2666006626538575E-2</c:v>
                </c:pt>
                <c:pt idx="142">
                  <c:v>3.2996174373543352E-2</c:v>
                </c:pt>
                <c:pt idx="143">
                  <c:v>3.3326666004691238E-2</c:v>
                </c:pt>
                <c:pt idx="144">
                  <c:v>3.3657428499427412E-2</c:v>
                </c:pt>
                <c:pt idx="145">
                  <c:v>3.3988406195185422E-2</c:v>
                </c:pt>
                <c:pt idx="146">
                  <c:v>3.4319540940975432E-2</c:v>
                </c:pt>
                <c:pt idx="147">
                  <c:v>3.465077226822242E-2</c:v>
                </c:pt>
                <c:pt idx="148">
                  <c:v>3.4982037578292643E-2</c:v>
                </c:pt>
                <c:pt idx="149">
                  <c:v>3.5313272345989299E-2</c:v>
                </c:pt>
                <c:pt idx="150">
                  <c:v>3.5644410338143487E-2</c:v>
                </c:pt>
                <c:pt idx="151">
                  <c:v>3.5975383846274543E-2</c:v>
                </c:pt>
                <c:pt idx="152">
                  <c:v>3.6306123932147348E-2</c:v>
                </c:pt>
                <c:pt idx="153">
                  <c:v>3.663656068491386E-2</c:v>
                </c:pt>
                <c:pt idx="154">
                  <c:v>3.6966623488394981E-2</c:v>
                </c:pt>
                <c:pt idx="155">
                  <c:v>3.7296241296936421E-2</c:v>
                </c:pt>
                <c:pt idx="156">
                  <c:v>3.7625342918162781E-2</c:v>
                </c:pt>
                <c:pt idx="157">
                  <c:v>3.7953857300855529E-2</c:v>
                </c:pt>
                <c:pt idx="158">
                  <c:v>3.8281713826097692E-2</c:v>
                </c:pt>
                <c:pt idx="159">
                  <c:v>3.8608842599759455E-2</c:v>
                </c:pt>
                <c:pt idx="160">
                  <c:v>3.8935174744347052E-2</c:v>
                </c:pt>
                <c:pt idx="161">
                  <c:v>3.9260642688201737E-2</c:v>
                </c:pt>
                <c:pt idx="162">
                  <c:v>3.9585180450019283E-2</c:v>
                </c:pt>
                <c:pt idx="163">
                  <c:v>3.9908723916660727E-2</c:v>
                </c:pt>
                <c:pt idx="164">
                  <c:v>4.0231211112244987E-2</c:v>
                </c:pt>
                <c:pt idx="165">
                  <c:v>4.0552582456552834E-2</c:v>
                </c:pt>
                <c:pt idx="166">
                  <c:v>4.0872781010827759E-2</c:v>
                </c:pt>
                <c:pt idx="167">
                  <c:v>4.1191752709135901E-2</c:v>
                </c:pt>
                <c:pt idx="168">
                  <c:v>4.1509446573539853E-2</c:v>
                </c:pt>
                <c:pt idx="169">
                  <c:v>4.1825814911451986E-2</c:v>
                </c:pt>
                <c:pt idx="170">
                  <c:v>4.2140813493660223E-2</c:v>
                </c:pt>
                <c:pt idx="171">
                  <c:v>4.2454401711661711E-2</c:v>
                </c:pt>
                <c:pt idx="172">
                  <c:v>4.2766542713095899E-2</c:v>
                </c:pt>
                <c:pt idx="173">
                  <c:v>4.307720351423884E-2</c:v>
                </c:pt>
                <c:pt idx="174">
                  <c:v>4.3386355088700403E-2</c:v>
                </c:pt>
                <c:pt idx="175">
                  <c:v>4.3693972431656368E-2</c:v>
                </c:pt>
                <c:pt idx="176">
                  <c:v>4.4000034599145831E-2</c:v>
                </c:pt>
                <c:pt idx="177">
                  <c:v>4.4304524722167553E-2</c:v>
                </c:pt>
                <c:pt idx="178">
                  <c:v>4.4607429995516361E-2</c:v>
                </c:pt>
                <c:pt idx="179">
                  <c:v>4.4908741641511138E-2</c:v>
                </c:pt>
                <c:pt idx="180">
                  <c:v>4.5208454848973977E-2</c:v>
                </c:pt>
                <c:pt idx="181">
                  <c:v>4.5506568688027646E-2</c:v>
                </c:pt>
                <c:pt idx="182">
                  <c:v>4.5803086001480413E-2</c:v>
                </c:pt>
                <c:pt idx="183">
                  <c:v>4.6098013273763665E-2</c:v>
                </c:pt>
                <c:pt idx="184">
                  <c:v>4.6391360478573861E-2</c:v>
                </c:pt>
                <c:pt idx="185">
                  <c:v>4.6683140906548452E-2</c:v>
                </c:pt>
                <c:pt idx="186">
                  <c:v>4.697337097446859E-2</c:v>
                </c:pt>
                <c:pt idx="187">
                  <c:v>4.7262070017632357E-2</c:v>
                </c:pt>
                <c:pt idx="188">
                  <c:v>4.7549260067176392E-2</c:v>
                </c:pt>
                <c:pt idx="189">
                  <c:v>4.7834965614240992E-2</c:v>
                </c:pt>
                <c:pt idx="190">
                  <c:v>4.8119213362973784E-2</c:v>
                </c:pt>
                <c:pt idx="191">
                  <c:v>4.8402031974444586E-2</c:v>
                </c:pt>
                <c:pt idx="192">
                  <c:v>4.868345180360522E-2</c:v>
                </c:pt>
                <c:pt idx="193">
                  <c:v>4.8963504631464469E-2</c:v>
                </c:pt>
                <c:pt idx="194">
                  <c:v>4.9242223394665649E-2</c:v>
                </c:pt>
                <c:pt idx="195">
                  <c:v>4.9519641914649158E-2</c:v>
                </c:pt>
                <c:pt idx="196">
                  <c:v>4.9795794628554803E-2</c:v>
                </c:pt>
                <c:pt idx="197">
                  <c:v>5.0070716323971344E-2</c:v>
                </c:pt>
                <c:pt idx="198">
                  <c:v>5.034444187957085E-2</c:v>
                </c:pt>
                <c:pt idx="199">
                  <c:v>5.0617006013576132E-2</c:v>
                </c:pt>
                <c:pt idx="200">
                  <c:v>5.0888443041900919E-2</c:v>
                </c:pt>
                <c:pt idx="201">
                  <c:v>5.1158786647675973E-2</c:v>
                </c:pt>
                <c:pt idx="202">
                  <c:v>5.1428069663729745E-2</c:v>
                </c:pt>
                <c:pt idx="203">
                  <c:v>5.1696323869434908E-2</c:v>
                </c:pt>
                <c:pt idx="204">
                  <c:v>5.1963579803158758E-2</c:v>
                </c:pt>
                <c:pt idx="205">
                  <c:v>5.2229866591372284E-2</c:v>
                </c:pt>
                <c:pt idx="206">
                  <c:v>5.2495211795279384E-2</c:v>
                </c:pt>
                <c:pt idx="207">
                  <c:v>5.27596412756271E-2</c:v>
                </c:pt>
                <c:pt idx="208">
                  <c:v>5.3023179076151873E-2</c:v>
                </c:pt>
                <c:pt idx="209">
                  <c:v>5.3285847325907965E-2</c:v>
                </c:pt>
                <c:pt idx="210">
                  <c:v>5.3547666160515713E-2</c:v>
                </c:pt>
                <c:pt idx="211">
                  <c:v>5.3808653662159103E-2</c:v>
                </c:pt>
                <c:pt idx="212">
                  <c:v>5.4068825817959722E-2</c:v>
                </c:pt>
                <c:pt idx="213">
                  <c:v>5.4328196496157333E-2</c:v>
                </c:pt>
                <c:pt idx="214">
                  <c:v>5.4586777439339394E-2</c:v>
                </c:pt>
                <c:pt idx="215">
                  <c:v>5.4844578273785263E-2</c:v>
                </c:pt>
                <c:pt idx="216">
                  <c:v>5.51016065338268E-2</c:v>
                </c:pt>
                <c:pt idx="217">
                  <c:v>5.5357867699977949E-2</c:v>
                </c:pt>
                <c:pt idx="218">
                  <c:v>5.5613365249454143E-2</c:v>
                </c:pt>
                <c:pt idx="219">
                  <c:v>5.5868100717587514E-2</c:v>
                </c:pt>
                <c:pt idx="220">
                  <c:v>5.612207376855001E-2</c:v>
                </c:pt>
                <c:pt idx="221">
                  <c:v>5.6375282273722578E-2</c:v>
                </c:pt>
                <c:pt idx="222">
                  <c:v>5.6627722395996526E-2</c:v>
                </c:pt>
                <c:pt idx="223">
                  <c:v>5.6879388678263462E-2</c:v>
                </c:pt>
                <c:pt idx="224">
                  <c:v>5.713027413434317E-2</c:v>
                </c:pt>
                <c:pt idx="225">
                  <c:v>5.7380370340615168E-2</c:v>
                </c:pt>
                <c:pt idx="226">
                  <c:v>5.7629667526657748E-2</c:v>
                </c:pt>
                <c:pt idx="227">
                  <c:v>5.7878154663260649E-2</c:v>
                </c:pt>
                <c:pt idx="228">
                  <c:v>5.812581954625913E-2</c:v>
                </c:pt>
                <c:pt idx="229">
                  <c:v>5.8372648874742881E-2</c:v>
                </c:pt>
                <c:pt idx="230">
                  <c:v>5.8618628322315389E-2</c:v>
                </c:pt>
                <c:pt idx="231">
                  <c:v>5.8863742600222452E-2</c:v>
                </c:pt>
                <c:pt idx="232">
                  <c:v>5.9107975511327321E-2</c:v>
                </c:pt>
                <c:pt idx="233">
                  <c:v>5.9351309994082953E-2</c:v>
                </c:pt>
                <c:pt idx="234">
                  <c:v>5.9593728155839736E-2</c:v>
                </c:pt>
                <c:pt idx="235">
                  <c:v>5.9835211295023366E-2</c:v>
                </c:pt>
                <c:pt idx="236">
                  <c:v>6.0075739911924005E-2</c:v>
                </c:pt>
                <c:pt idx="237">
                  <c:v>6.0315293708049014E-2</c:v>
                </c:pt>
                <c:pt idx="238">
                  <c:v>6.0553851574206757E-2</c:v>
                </c:pt>
                <c:pt idx="239">
                  <c:v>6.0791391567704842E-2</c:v>
                </c:pt>
                <c:pt idx="240">
                  <c:v>6.1027890879258959E-2</c:v>
                </c:pt>
                <c:pt idx="241">
                  <c:v>6.1263325790418953E-2</c:v>
                </c:pt>
                <c:pt idx="242">
                  <c:v>6.1497671622519019E-2</c:v>
                </c:pt>
                <c:pt idx="243">
                  <c:v>6.1730902678351719E-2</c:v>
                </c:pt>
                <c:pt idx="244">
                  <c:v>6.1962992177944348E-2</c:v>
                </c:pt>
                <c:pt idx="245">
                  <c:v>6.2193912189981014E-2</c:v>
                </c:pt>
                <c:pt idx="246">
                  <c:v>6.2423633560560819E-2</c:v>
                </c:pt>
                <c:pt idx="247">
                  <c:v>6.2652125841111059E-2</c:v>
                </c:pt>
                <c:pt idx="248">
                  <c:v>6.2879357217380805E-2</c:v>
                </c:pt>
                <c:pt idx="249">
                  <c:v>6.3105294441524878E-2</c:v>
                </c:pt>
                <c:pt idx="250">
                  <c:v>6.3329902769347676E-2</c:v>
                </c:pt>
                <c:pt idx="251">
                  <c:v>6.3553145904810496E-2</c:v>
                </c:pt>
                <c:pt idx="252">
                  <c:v>6.3774985953914412E-2</c:v>
                </c:pt>
                <c:pt idx="253">
                  <c:v>6.3995383390050453E-2</c:v>
                </c:pt>
                <c:pt idx="254">
                  <c:v>6.4214297032863174E-2</c:v>
                </c:pt>
                <c:pt idx="255">
                  <c:v>6.4431684042598927E-2</c:v>
                </c:pt>
                <c:pt idx="256">
                  <c:v>6.4647499931808836E-2</c:v>
                </c:pt>
                <c:pt idx="257">
                  <c:v>6.4861698596148626E-2</c:v>
                </c:pt>
                <c:pt idx="258">
                  <c:v>6.5074232365863696E-2</c:v>
                </c:pt>
                <c:pt idx="259">
                  <c:v>6.528505207936959E-2</c:v>
                </c:pt>
                <c:pt idx="260">
                  <c:v>6.5494107180136957E-2</c:v>
                </c:pt>
                <c:pt idx="261">
                  <c:v>6.5701345837867339E-2</c:v>
                </c:pt>
                <c:pt idx="262">
                  <c:v>6.5906715094704693E-2</c:v>
                </c:pt>
                <c:pt idx="263">
                  <c:v>6.6110161036969234E-2</c:v>
                </c:pt>
                <c:pt idx="264">
                  <c:v>6.6311628992626409E-2</c:v>
                </c:pt>
                <c:pt idx="265">
                  <c:v>6.6511063754420174E-2</c:v>
                </c:pt>
                <c:pt idx="266">
                  <c:v>6.6708409828305837E-2</c:v>
                </c:pt>
                <c:pt idx="267">
                  <c:v>6.6903611706518359E-2</c:v>
                </c:pt>
                <c:pt idx="268">
                  <c:v>6.7096614164310689E-2</c:v>
                </c:pt>
                <c:pt idx="269">
                  <c:v>6.7287362579095455E-2</c:v>
                </c:pt>
                <c:pt idx="270">
                  <c:v>6.7475803270425946E-2</c:v>
                </c:pt>
                <c:pt idx="271">
                  <c:v>6.7661883858962268E-2</c:v>
                </c:pt>
                <c:pt idx="272">
                  <c:v>6.7845553642289461E-2</c:v>
                </c:pt>
                <c:pt idx="273">
                  <c:v>6.8026763985188074E-2</c:v>
                </c:pt>
                <c:pt idx="274">
                  <c:v>6.820546872170867E-2</c:v>
                </c:pt>
                <c:pt idx="275">
                  <c:v>6.8381624566172791E-2</c:v>
                </c:pt>
                <c:pt idx="276">
                  <c:v>6.8555191530016088E-2</c:v>
                </c:pt>
                <c:pt idx="277">
                  <c:v>6.8726133341208126E-2</c:v>
                </c:pt>
                <c:pt idx="278">
                  <c:v>6.8894417862829821E-2</c:v>
                </c:pt>
                <c:pt idx="279">
                  <c:v>6.9060017507265536E-2</c:v>
                </c:pt>
                <c:pt idx="280">
                  <c:v>6.9222909642375319E-2</c:v>
                </c:pt>
                <c:pt idx="281">
                  <c:v>6.9383076985953904E-2</c:v>
                </c:pt>
                <c:pt idx="282">
                  <c:v>6.9540507984759276E-2</c:v>
                </c:pt>
                <c:pt idx="283">
                  <c:v>6.9695197174405463E-2</c:v>
                </c:pt>
                <c:pt idx="284">
                  <c:v>6.9847145516461637E-2</c:v>
                </c:pt>
                <c:pt idx="285">
                  <c:v>6.9996360709184566E-2</c:v>
                </c:pt>
                <c:pt idx="286">
                  <c:v>7.0142857468431158E-2</c:v>
                </c:pt>
                <c:pt idx="287">
                  <c:v>7.0286657775454411E-2</c:v>
                </c:pt>
                <c:pt idx="288">
                  <c:v>7.0427791088477784E-2</c:v>
                </c:pt>
                <c:pt idx="289">
                  <c:v>7.0566294515166494E-2</c:v>
                </c:pt>
                <c:pt idx="290">
                  <c:v>7.0702212943371923E-2</c:v>
                </c:pt>
                <c:pt idx="291">
                  <c:v>7.0835599127811441E-2</c:v>
                </c:pt>
                <c:pt idx="292">
                  <c:v>7.0966513730661276E-2</c:v>
                </c:pt>
                <c:pt idx="293">
                  <c:v>7.1095025314378266E-2</c:v>
                </c:pt>
                <c:pt idx="294">
                  <c:v>7.12212102854302E-2</c:v>
                </c:pt>
                <c:pt idx="295">
                  <c:v>7.1345152787993901E-2</c:v>
                </c:pt>
                <c:pt idx="296">
                  <c:v>7.1466944547078498E-2</c:v>
                </c:pt>
                <c:pt idx="297">
                  <c:v>7.158668466093962E-2</c:v>
                </c:pt>
                <c:pt idx="298">
                  <c:v>7.1704479343068825E-2</c:v>
                </c:pt>
                <c:pt idx="299">
                  <c:v>7.1820441614464603E-2</c:v>
                </c:pt>
                <c:pt idx="300">
                  <c:v>7.1934690947314833E-2</c:v>
                </c:pt>
                <c:pt idx="301">
                  <c:v>7.2047352861640074E-2</c:v>
                </c:pt>
                <c:pt idx="302">
                  <c:v>7.2158558476861284E-2</c:v>
                </c:pt>
                <c:pt idx="303">
                  <c:v>7.2268444020654882E-2</c:v>
                </c:pt>
                <c:pt idx="304">
                  <c:v>7.2377150297847456E-2</c:v>
                </c:pt>
                <c:pt idx="305">
                  <c:v>7.2484822122467082E-2</c:v>
                </c:pt>
                <c:pt idx="306">
                  <c:v>7.2591607716416109E-2</c:v>
                </c:pt>
                <c:pt idx="307">
                  <c:v>7.2697658078547139E-2</c:v>
                </c:pt>
                <c:pt idx="308">
                  <c:v>7.2803126328214993E-2</c:v>
                </c:pt>
                <c:pt idx="309">
                  <c:v>7.2908167027635112E-2</c:v>
                </c:pt>
                <c:pt idx="310">
                  <c:v>7.3012935487600669E-2</c:v>
                </c:pt>
                <c:pt idx="311">
                  <c:v>7.3117587061296868E-2</c:v>
                </c:pt>
                <c:pt idx="312">
                  <c:v>7.32222764310968E-2</c:v>
                </c:pt>
                <c:pt idx="313">
                  <c:v>7.3327156893327666E-2</c:v>
                </c:pt>
                <c:pt idx="314">
                  <c:v>7.3432379646059309E-2</c:v>
                </c:pt>
                <c:pt idx="315">
                  <c:v>7.3538093084986267E-2</c:v>
                </c:pt>
                <c:pt idx="316">
                  <c:v>7.3644442112450095E-2</c:v>
                </c:pt>
                <c:pt idx="317">
                  <c:v>7.3751567464580073E-2</c:v>
                </c:pt>
                <c:pt idx="318">
                  <c:v>7.385960506141967E-2</c:v>
                </c:pt>
                <c:pt idx="319">
                  <c:v>7.3968685384750904E-2</c:v>
                </c:pt>
                <c:pt idx="320">
                  <c:v>7.4078932888132623E-2</c:v>
                </c:pt>
                <c:pt idx="321">
                  <c:v>7.4190465443433634E-2</c:v>
                </c:pt>
                <c:pt idx="322">
                  <c:v>7.4303393827866576E-2</c:v>
                </c:pt>
                <c:pt idx="323">
                  <c:v>7.4417821255219216E-2</c:v>
                </c:pt>
                <c:pt idx="324">
                  <c:v>7.4533842954637303E-2</c:v>
                </c:pt>
                <c:pt idx="325">
                  <c:v>7.4651545799939351E-2</c:v>
                </c:pt>
                <c:pt idx="326">
                  <c:v>7.4771007992046001E-2</c:v>
                </c:pt>
                <c:pt idx="327">
                  <c:v>7.4892298796681703E-2</c:v>
                </c:pt>
                <c:pt idx="328">
                  <c:v>7.5015478339066979E-2</c:v>
                </c:pt>
                <c:pt idx="329">
                  <c:v>7.5140597456860123E-2</c:v>
                </c:pt>
                <c:pt idx="330">
                  <c:v>7.5267697612139847E-2</c:v>
                </c:pt>
                <c:pt idx="331">
                  <c:v>7.5396810862744884E-2</c:v>
                </c:pt>
                <c:pt idx="332">
                  <c:v>7.5527959892807806E-2</c:v>
                </c:pt>
                <c:pt idx="333">
                  <c:v>7.5661158101844789E-2</c:v>
                </c:pt>
                <c:pt idx="334">
                  <c:v>7.5796409751292704E-2</c:v>
                </c:pt>
                <c:pt idx="335">
                  <c:v>7.5933710166924767E-2</c:v>
                </c:pt>
                <c:pt idx="336">
                  <c:v>7.6073045995131386E-2</c:v>
                </c:pt>
                <c:pt idx="337">
                  <c:v>7.6214395510626254E-2</c:v>
                </c:pt>
                <c:pt idx="338">
                  <c:v>7.6357728972733768E-2</c:v>
                </c:pt>
                <c:pt idx="339">
                  <c:v>7.6503009027036592E-2</c:v>
                </c:pt>
                <c:pt idx="340">
                  <c:v>7.6650191148813954E-2</c:v>
                </c:pt>
                <c:pt idx="341">
                  <c:v>7.6799224124386556E-2</c:v>
                </c:pt>
                <c:pt idx="342">
                  <c:v>7.6950050566204187E-2</c:v>
                </c:pt>
                <c:pt idx="343">
                  <c:v>7.7102607457271322E-2</c:v>
                </c:pt>
                <c:pt idx="344">
                  <c:v>7.7256826720304067E-2</c:v>
                </c:pt>
                <c:pt idx="345">
                  <c:v>7.7412635806853661E-2</c:v>
                </c:pt>
                <c:pt idx="346">
                  <c:v>7.7569958301514919E-2</c:v>
                </c:pt>
                <c:pt idx="347">
                  <c:v>7.7728714536266702E-2</c:v>
                </c:pt>
                <c:pt idx="348">
                  <c:v>7.7888822209964029E-2</c:v>
                </c:pt>
                <c:pt idx="349">
                  <c:v>7.8050197008019434E-2</c:v>
                </c:pt>
                <c:pt idx="350">
                  <c:v>7.8212753217371908E-2</c:v>
                </c:pt>
                <c:pt idx="351">
                  <c:v>7.8376404331947896E-2</c:v>
                </c:pt>
                <c:pt idx="352">
                  <c:v>7.8541063643965542E-2</c:v>
                </c:pt>
                <c:pt idx="353">
                  <c:v>7.8706644816621582E-2</c:v>
                </c:pt>
                <c:pt idx="354">
                  <c:v>7.8873062433926583E-2</c:v>
                </c:pt>
                <c:pt idx="355">
                  <c:v>7.9040232523717127E-2</c:v>
                </c:pt>
                <c:pt idx="356">
                  <c:v>7.9208073050168998E-2</c:v>
                </c:pt>
                <c:pt idx="357">
                  <c:v>7.9376504372463255E-2</c:v>
                </c:pt>
                <c:pt idx="358">
                  <c:v>7.9545449666608925E-2</c:v>
                </c:pt>
                <c:pt idx="359">
                  <c:v>7.9714835307804974E-2</c:v>
                </c:pt>
                <c:pt idx="360">
                  <c:v>7.9884591211119987E-2</c:v>
                </c:pt>
                <c:pt idx="361">
                  <c:v>8.0054651128681389E-2</c:v>
                </c:pt>
                <c:pt idx="362">
                  <c:v>8.0224952901990679E-2</c:v>
                </c:pt>
                <c:pt idx="363">
                  <c:v>8.0395438668413102E-2</c:v>
                </c:pt>
                <c:pt idx="364">
                  <c:v>8.0566055021326258E-2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0.12761564027703989</c:v>
                </c:pt>
                <c:pt idx="1">
                  <c:v>0.12617314066949753</c:v>
                </c:pt>
                <c:pt idx="2">
                  <c:v>0.12461502283967112</c:v>
                </c:pt>
                <c:pt idx="3">
                  <c:v>0.1229472618758372</c:v>
                </c:pt>
                <c:pt idx="4">
                  <c:v>0.12117586243674634</c:v>
                </c:pt>
                <c:pt idx="5">
                  <c:v>0.11930681905199701</c:v>
                </c:pt>
                <c:pt idx="6">
                  <c:v>0.11734607990728094</c:v>
                </c:pt>
                <c:pt idx="7">
                  <c:v>0.11529951425757719</c:v>
                </c:pt>
                <c:pt idx="8">
                  <c:v>0.11315996159225754</c:v>
                </c:pt>
                <c:pt idx="9">
                  <c:v>0.11097172221609815</c:v>
                </c:pt>
                <c:pt idx="10">
                  <c:v>0.10879334139133411</c:v>
                </c:pt>
                <c:pt idx="11">
                  <c:v>0.1066314544083319</c:v>
                </c:pt>
                <c:pt idx="12">
                  <c:v>0.10449207486494458</c:v>
                </c:pt>
                <c:pt idx="13">
                  <c:v>0.10238060669627633</c:v>
                </c:pt>
                <c:pt idx="14">
                  <c:v>0.10030186333129532</c:v>
                </c:pt>
                <c:pt idx="15">
                  <c:v>9.8279910004890961E-2</c:v>
                </c:pt>
                <c:pt idx="16">
                  <c:v>9.6339137572401076E-2</c:v>
                </c:pt>
                <c:pt idx="17">
                  <c:v>9.448132262144357E-2</c:v>
                </c:pt>
                <c:pt idx="18">
                  <c:v>9.2707786350031809E-2</c:v>
                </c:pt>
                <c:pt idx="19">
                  <c:v>9.1019951676169095E-2</c:v>
                </c:pt>
                <c:pt idx="20">
                  <c:v>8.9419073004517471E-2</c:v>
                </c:pt>
                <c:pt idx="21">
                  <c:v>8.7905666852554382E-2</c:v>
                </c:pt>
                <c:pt idx="22">
                  <c:v>8.6470579133692452E-2</c:v>
                </c:pt>
                <c:pt idx="23">
                  <c:v>8.5058261475781133E-2</c:v>
                </c:pt>
                <c:pt idx="24">
                  <c:v>8.3629647327707821E-2</c:v>
                </c:pt>
                <c:pt idx="25">
                  <c:v>8.2187656758229269E-2</c:v>
                </c:pt>
                <c:pt idx="26">
                  <c:v>8.0735011353643707E-2</c:v>
                </c:pt>
                <c:pt idx="27">
                  <c:v>7.9274238356729421E-2</c:v>
                </c:pt>
                <c:pt idx="28">
                  <c:v>7.7807675809715648E-2</c:v>
                </c:pt>
                <c:pt idx="29">
                  <c:v>7.6284596171332028E-2</c:v>
                </c:pt>
                <c:pt idx="30">
                  <c:v>7.4692408063812041E-2</c:v>
                </c:pt>
                <c:pt idx="31">
                  <c:v>7.3035462086768518E-2</c:v>
                </c:pt>
                <c:pt idx="32">
                  <c:v>7.1317869239802337E-2</c:v>
                </c:pt>
                <c:pt idx="33">
                  <c:v>6.9543501197261381E-2</c:v>
                </c:pt>
                <c:pt idx="34">
                  <c:v>6.7715992010368098E-2</c:v>
                </c:pt>
                <c:pt idx="35">
                  <c:v>6.5838740947232743E-2</c:v>
                </c:pt>
                <c:pt idx="36">
                  <c:v>6.3913567994838452E-2</c:v>
                </c:pt>
                <c:pt idx="37">
                  <c:v>6.1944692969321848E-2</c:v>
                </c:pt>
                <c:pt idx="38">
                  <c:v>5.9972553388579437E-2</c:v>
                </c:pt>
                <c:pt idx="39">
                  <c:v>5.799780687045835E-2</c:v>
                </c:pt>
                <c:pt idx="40">
                  <c:v>5.6021104254638979E-2</c:v>
                </c:pt>
                <c:pt idx="41">
                  <c:v>5.4043088699874398E-2</c:v>
                </c:pt>
                <c:pt idx="42">
                  <c:v>5.2064394808201742E-2</c:v>
                </c:pt>
                <c:pt idx="43">
                  <c:v>5.0098632114740048E-2</c:v>
                </c:pt>
                <c:pt idx="44">
                  <c:v>4.8189885912396833E-2</c:v>
                </c:pt>
                <c:pt idx="45">
                  <c:v>4.6336721827772653E-2</c:v>
                </c:pt>
                <c:pt idx="46">
                  <c:v>4.4537751474078478E-2</c:v>
                </c:pt>
                <c:pt idx="47">
                  <c:v>4.279162984131938E-2</c:v>
                </c:pt>
                <c:pt idx="48">
                  <c:v>4.1097052906253199E-2</c:v>
                </c:pt>
                <c:pt idx="49">
                  <c:v>3.9452755407332937E-2</c:v>
                </c:pt>
                <c:pt idx="50">
                  <c:v>3.7856730538812007E-2</c:v>
                </c:pt>
                <c:pt idx="51">
                  <c:v>3.6303326490492387E-2</c:v>
                </c:pt>
                <c:pt idx="52">
                  <c:v>3.4789501003144596E-2</c:v>
                </c:pt>
                <c:pt idx="53">
                  <c:v>3.3314730584982369E-2</c:v>
                </c:pt>
                <c:pt idx="54">
                  <c:v>3.1878585965763991E-2</c:v>
                </c:pt>
                <c:pt idx="55">
                  <c:v>3.0480555216520117E-2</c:v>
                </c:pt>
                <c:pt idx="56">
                  <c:v>2.912005379256696E-2</c:v>
                </c:pt>
                <c:pt idx="57">
                  <c:v>2.7817705804535381E-2</c:v>
                </c:pt>
                <c:pt idx="58">
                  <c:v>2.6561189889724987E-2</c:v>
                </c:pt>
                <c:pt idx="59">
                  <c:v>2.5349387372527808E-2</c:v>
                </c:pt>
                <c:pt idx="60">
                  <c:v>2.4181153597587133E-2</c:v>
                </c:pt>
                <c:pt idx="61">
                  <c:v>2.3055324795017786E-2</c:v>
                </c:pt>
                <c:pt idx="62">
                  <c:v>2.1970724202723908E-2</c:v>
                </c:pt>
                <c:pt idx="63">
                  <c:v>2.0926167500512797E-2</c:v>
                </c:pt>
                <c:pt idx="64">
                  <c:v>1.9919174511524151E-2</c:v>
                </c:pt>
                <c:pt idx="65">
                  <c:v>1.8980343032607889E-2</c:v>
                </c:pt>
                <c:pt idx="66">
                  <c:v>1.8111693765301567E-2</c:v>
                </c:pt>
                <c:pt idx="67">
                  <c:v>1.7311408799568769E-2</c:v>
                </c:pt>
                <c:pt idx="68">
                  <c:v>1.6577665994002302E-2</c:v>
                </c:pt>
                <c:pt idx="69">
                  <c:v>1.5908651158808625E-2</c:v>
                </c:pt>
                <c:pt idx="70">
                  <c:v>1.5302568866868824E-2</c:v>
                </c:pt>
                <c:pt idx="71">
                  <c:v>1.4766566917843196E-2</c:v>
                </c:pt>
                <c:pt idx="72">
                  <c:v>1.4280828308164588E-2</c:v>
                </c:pt>
                <c:pt idx="73">
                  <c:v>1.3844028914867303E-2</c:v>
                </c:pt>
                <c:pt idx="74">
                  <c:v>1.3454884029815262E-2</c:v>
                </c:pt>
                <c:pt idx="75">
                  <c:v>1.3112153536223702E-2</c:v>
                </c:pt>
                <c:pt idx="76">
                  <c:v>1.2814646434640935E-2</c:v>
                </c:pt>
                <c:pt idx="77">
                  <c:v>1.256122479348153E-2</c:v>
                </c:pt>
                <c:pt idx="78">
                  <c:v>1.2349838338087549E-2</c:v>
                </c:pt>
                <c:pt idx="79">
                  <c:v>1.2174592950029674E-2</c:v>
                </c:pt>
                <c:pt idx="80">
                  <c:v>1.2006637019227053E-2</c:v>
                </c:pt>
                <c:pt idx="81">
                  <c:v>1.1846036549388721E-2</c:v>
                </c:pt>
                <c:pt idx="82">
                  <c:v>1.1692845740917288E-2</c:v>
                </c:pt>
                <c:pt idx="83">
                  <c:v>1.1547109099405792E-2</c:v>
                </c:pt>
                <c:pt idx="84">
                  <c:v>1.1408863449455226E-2</c:v>
                </c:pt>
                <c:pt idx="85">
                  <c:v>1.1274793835422254E-2</c:v>
                </c:pt>
                <c:pt idx="86">
                  <c:v>1.1137094723810187E-2</c:v>
                </c:pt>
                <c:pt idx="87">
                  <c:v>1.0996019850536883E-2</c:v>
                </c:pt>
                <c:pt idx="88">
                  <c:v>1.0851801694799724E-2</c:v>
                </c:pt>
                <c:pt idx="89">
                  <c:v>1.0704652048385895E-2</c:v>
                </c:pt>
                <c:pt idx="90">
                  <c:v>1.0554762591547055E-2</c:v>
                </c:pt>
                <c:pt idx="91">
                  <c:v>1.0402305473829346E-2</c:v>
                </c:pt>
                <c:pt idx="92">
                  <c:v>1.02468528568953E-2</c:v>
                </c:pt>
                <c:pt idx="93">
                  <c:v>1.0084161122195149E-2</c:v>
                </c:pt>
                <c:pt idx="94">
                  <c:v>9.918015956066192E-3</c:v>
                </c:pt>
                <c:pt idx="95">
                  <c:v>9.7485101692002911E-3</c:v>
                </c:pt>
                <c:pt idx="96">
                  <c:v>9.5757275701997824E-3</c:v>
                </c:pt>
                <c:pt idx="97">
                  <c:v>9.3997431410269162E-3</c:v>
                </c:pt>
                <c:pt idx="98">
                  <c:v>9.220623204332562E-3</c:v>
                </c:pt>
                <c:pt idx="99">
                  <c:v>9.0341321687027517E-3</c:v>
                </c:pt>
                <c:pt idx="100">
                  <c:v>8.843393511060834E-3</c:v>
                </c:pt>
                <c:pt idx="101">
                  <c:v>8.6484655239806429E-3</c:v>
                </c:pt>
                <c:pt idx="102">
                  <c:v>8.4493966169732117E-3</c:v>
                </c:pt>
                <c:pt idx="103">
                  <c:v>8.2462254080995674E-3</c:v>
                </c:pt>
                <c:pt idx="104">
                  <c:v>8.0389807945954548E-3</c:v>
                </c:pt>
                <c:pt idx="105">
                  <c:v>7.827682009399815E-3</c:v>
                </c:pt>
                <c:pt idx="106">
                  <c:v>7.6121310210400901E-3</c:v>
                </c:pt>
                <c:pt idx="107">
                  <c:v>7.3886763012675268E-3</c:v>
                </c:pt>
                <c:pt idx="108">
                  <c:v>7.1608296872156607E-3</c:v>
                </c:pt>
                <c:pt idx="109">
                  <c:v>6.9285956099669529E-3</c:v>
                </c:pt>
                <c:pt idx="110">
                  <c:v>6.6919872743902604E-3</c:v>
                </c:pt>
                <c:pt idx="111">
                  <c:v>6.4510052532760079E-3</c:v>
                </c:pt>
                <c:pt idx="112">
                  <c:v>6.2056193131671293E-3</c:v>
                </c:pt>
                <c:pt idx="113">
                  <c:v>5.9572004702357698E-3</c:v>
                </c:pt>
                <c:pt idx="114">
                  <c:v>5.7096749007089741E-3</c:v>
                </c:pt>
                <c:pt idx="115">
                  <c:v>5.4629143621944473E-3</c:v>
                </c:pt>
                <c:pt idx="116">
                  <c:v>5.2167855052581806E-3</c:v>
                </c:pt>
                <c:pt idx="117">
                  <c:v>4.9711497960312342E-3</c:v>
                </c:pt>
                <c:pt idx="118">
                  <c:v>4.7258634203504726E-3</c:v>
                </c:pt>
                <c:pt idx="119">
                  <c:v>4.4807771730974713E-3</c:v>
                </c:pt>
                <c:pt idx="120">
                  <c:v>4.2357453627665355E-3</c:v>
                </c:pt>
                <c:pt idx="121">
                  <c:v>3.9954672213072112E-3</c:v>
                </c:pt>
                <c:pt idx="122">
                  <c:v>3.7630716724994344E-3</c:v>
                </c:pt>
                <c:pt idx="123">
                  <c:v>3.5383277992585478E-3</c:v>
                </c:pt>
                <c:pt idx="124">
                  <c:v>3.321020679673031E-3</c:v>
                </c:pt>
                <c:pt idx="125">
                  <c:v>3.110950343375433E-3</c:v>
                </c:pt>
                <c:pt idx="126">
                  <c:v>2.9079308125887424E-3</c:v>
                </c:pt>
                <c:pt idx="127">
                  <c:v>2.7166610892358682E-3</c:v>
                </c:pt>
                <c:pt idx="128">
                  <c:v>2.5356932794607253E-3</c:v>
                </c:pt>
                <c:pt idx="129">
                  <c:v>2.3649057228216012E-3</c:v>
                </c:pt>
                <c:pt idx="130">
                  <c:v>2.2041914598619093E-3</c:v>
                </c:pt>
                <c:pt idx="131">
                  <c:v>2.0534572821371356E-3</c:v>
                </c:pt>
                <c:pt idx="132">
                  <c:v>1.9126228196782631E-3</c:v>
                </c:pt>
                <c:pt idx="133">
                  <c:v>1.7816196591997665E-3</c:v>
                </c:pt>
                <c:pt idx="134">
                  <c:v>1.6604388672093911E-3</c:v>
                </c:pt>
                <c:pt idx="135">
                  <c:v>1.5508372374243976E-3</c:v>
                </c:pt>
                <c:pt idx="136">
                  <c:v>1.4479637950009011E-3</c:v>
                </c:pt>
                <c:pt idx="137">
                  <c:v>1.351788318985892E-3</c:v>
                </c:pt>
                <c:pt idx="138">
                  <c:v>1.2622894436939622E-3</c:v>
                </c:pt>
                <c:pt idx="139">
                  <c:v>1.1794541801210792E-3</c:v>
                </c:pt>
                <c:pt idx="140">
                  <c:v>1.1032774421288448E-3</c:v>
                </c:pt>
                <c:pt idx="141">
                  <c:v>1.0349462678444922E-3</c:v>
                </c:pt>
                <c:pt idx="142">
                  <c:v>9.6951371235218437E-4</c:v>
                </c:pt>
                <c:pt idx="143">
                  <c:v>9.0696150782455006E-4</c:v>
                </c:pt>
                <c:pt idx="144">
                  <c:v>8.4728101568643703E-4</c:v>
                </c:pt>
                <c:pt idx="145">
                  <c:v>7.9046643425279646E-4</c:v>
                </c:pt>
                <c:pt idx="146">
                  <c:v>7.3651464889996823E-4</c:v>
                </c:pt>
                <c:pt idx="147">
                  <c:v>6.8542508110201912E-4</c:v>
                </c:pt>
                <c:pt idx="148">
                  <c:v>6.3721265478668078E-4</c:v>
                </c:pt>
                <c:pt idx="149">
                  <c:v>5.9363117629020808E-4</c:v>
                </c:pt>
                <c:pt idx="150">
                  <c:v>5.5286015496038921E-4</c:v>
                </c:pt>
                <c:pt idx="151">
                  <c:v>5.148967094401023E-4</c:v>
                </c:pt>
                <c:pt idx="152">
                  <c:v>4.797400712201077E-4</c:v>
                </c:pt>
                <c:pt idx="153">
                  <c:v>4.4739148534733318E-4</c:v>
                </c:pt>
                <c:pt idx="154">
                  <c:v>4.1874400010912633E-4</c:v>
                </c:pt>
                <c:pt idx="155">
                  <c:v>3.9353034313328064E-4</c:v>
                </c:pt>
                <c:pt idx="156">
                  <c:v>3.7047042911796379E-4</c:v>
                </c:pt>
                <c:pt idx="157">
                  <c:v>3.4957374140462562E-4</c:v>
                </c:pt>
                <c:pt idx="158">
                  <c:v>3.3085117552698542E-4</c:v>
                </c:pt>
                <c:pt idx="159">
                  <c:v>3.1431494950236199E-4</c:v>
                </c:pt>
                <c:pt idx="160">
                  <c:v>2.9997851226356496E-4</c:v>
                </c:pt>
                <c:pt idx="161">
                  <c:v>2.8785645023756106E-4</c:v>
                </c:pt>
                <c:pt idx="162">
                  <c:v>2.7796890311128239E-4</c:v>
                </c:pt>
                <c:pt idx="163">
                  <c:v>2.7067816753958881E-4</c:v>
                </c:pt>
                <c:pt idx="164">
                  <c:v>2.6424439154729601E-4</c:v>
                </c:pt>
                <c:pt idx="165">
                  <c:v>2.5869051070003337E-4</c:v>
                </c:pt>
                <c:pt idx="166">
                  <c:v>2.5403993065415824E-4</c:v>
                </c:pt>
                <c:pt idx="167">
                  <c:v>2.5031645464863975E-4</c:v>
                </c:pt>
                <c:pt idx="168">
                  <c:v>2.4754421124628694E-4</c:v>
                </c:pt>
                <c:pt idx="169">
                  <c:v>2.461102300237976E-4</c:v>
                </c:pt>
                <c:pt idx="170">
                  <c:v>2.4536718087033875E-4</c:v>
                </c:pt>
                <c:pt idx="171">
                  <c:v>2.4533503996512974E-4</c:v>
                </c:pt>
                <c:pt idx="172">
                  <c:v>2.4603378308782445E-4</c:v>
                </c:pt>
                <c:pt idx="173">
                  <c:v>2.4748080254554853E-4</c:v>
                </c:pt>
                <c:pt idx="174">
                  <c:v>2.4969316127642288E-4</c:v>
                </c:pt>
                <c:pt idx="175">
                  <c:v>2.5269010773632916E-4</c:v>
                </c:pt>
                <c:pt idx="176">
                  <c:v>2.5649087640681827E-4</c:v>
                </c:pt>
                <c:pt idx="177">
                  <c:v>2.6183300554911076E-4</c:v>
                </c:pt>
                <c:pt idx="178">
                  <c:v>2.6835769298179141E-4</c:v>
                </c:pt>
                <c:pt idx="179">
                  <c:v>2.7608933600173119E-4</c:v>
                </c:pt>
                <c:pt idx="180">
                  <c:v>2.8505207440554769E-4</c:v>
                </c:pt>
                <c:pt idx="181">
                  <c:v>2.9526982204196371E-4</c:v>
                </c:pt>
                <c:pt idx="182">
                  <c:v>3.0676630487422378E-4</c:v>
                </c:pt>
                <c:pt idx="183">
                  <c:v>3.2138226604342491E-4</c:v>
                </c:pt>
                <c:pt idx="184">
                  <c:v>3.3873770208329876E-4</c:v>
                </c:pt>
                <c:pt idx="185">
                  <c:v>3.588567499009952E-4</c:v>
                </c:pt>
                <c:pt idx="186">
                  <c:v>3.8176431659165728E-4</c:v>
                </c:pt>
                <c:pt idx="187">
                  <c:v>4.0748621701293348E-4</c:v>
                </c:pt>
                <c:pt idx="188">
                  <c:v>4.3604931820452966E-4</c:v>
                </c:pt>
                <c:pt idx="189">
                  <c:v>4.6748169086598807E-4</c:v>
                </c:pt>
                <c:pt idx="190">
                  <c:v>5.018121695413634E-4</c:v>
                </c:pt>
                <c:pt idx="191">
                  <c:v>5.4017386456646965E-4</c:v>
                </c:pt>
                <c:pt idx="192">
                  <c:v>5.8180513237341086E-4</c:v>
                </c:pt>
                <c:pt idx="193">
                  <c:v>6.2672003094837504E-4</c:v>
                </c:pt>
                <c:pt idx="194">
                  <c:v>6.7493383903866793E-4</c:v>
                </c:pt>
                <c:pt idx="195">
                  <c:v>7.264629916379987E-4</c:v>
                </c:pt>
                <c:pt idx="196">
                  <c:v>7.8132501300588525E-4</c:v>
                </c:pt>
                <c:pt idx="197">
                  <c:v>8.4249349752210407E-4</c:v>
                </c:pt>
                <c:pt idx="198">
                  <c:v>9.0817630932399102E-4</c:v>
                </c:pt>
                <c:pt idx="199">
                  <c:v>9.7844381092321796E-4</c:v>
                </c:pt>
                <c:pt idx="200">
                  <c:v>1.0533655517948426E-3</c:v>
                </c:pt>
                <c:pt idx="201">
                  <c:v>1.1330102047415059E-3</c:v>
                </c:pt>
                <c:pt idx="202">
                  <c:v>1.2174455002807428E-3</c:v>
                </c:pt>
                <c:pt idx="203">
                  <c:v>1.3067381584720851E-3</c:v>
                </c:pt>
                <c:pt idx="204">
                  <c:v>1.4009532784810567E-3</c:v>
                </c:pt>
                <c:pt idx="205">
                  <c:v>1.5068314601929158E-3</c:v>
                </c:pt>
                <c:pt idx="206">
                  <c:v>1.6234267089735948E-3</c:v>
                </c:pt>
                <c:pt idx="207">
                  <c:v>1.7509042937514164E-3</c:v>
                </c:pt>
                <c:pt idx="208">
                  <c:v>1.889431532974383E-3</c:v>
                </c:pt>
                <c:pt idx="209">
                  <c:v>2.0391784452416552E-3</c:v>
                </c:pt>
                <c:pt idx="210">
                  <c:v>2.2003184270223829E-3</c:v>
                </c:pt>
                <c:pt idx="211">
                  <c:v>2.3774237422834622E-3</c:v>
                </c:pt>
                <c:pt idx="212">
                  <c:v>2.5674269279420381E-3</c:v>
                </c:pt>
                <c:pt idx="213">
                  <c:v>2.7704764664761546E-3</c:v>
                </c:pt>
                <c:pt idx="214">
                  <c:v>2.9867305927114346E-3</c:v>
                </c:pt>
                <c:pt idx="215">
                  <c:v>3.2163580481712702E-3</c:v>
                </c:pt>
                <c:pt idx="216">
                  <c:v>3.4595388693386192E-3</c:v>
                </c:pt>
                <c:pt idx="217">
                  <c:v>3.7164652132343542E-3</c:v>
                </c:pt>
                <c:pt idx="218">
                  <c:v>3.987237534743949E-3</c:v>
                </c:pt>
                <c:pt idx="219">
                  <c:v>4.2723364946275601E-3</c:v>
                </c:pt>
                <c:pt idx="220">
                  <c:v>4.564800916887833E-3</c:v>
                </c:pt>
                <c:pt idx="221">
                  <c:v>4.8647357958900512E-3</c:v>
                </c:pt>
                <c:pt idx="222">
                  <c:v>5.1722620303263659E-3</c:v>
                </c:pt>
                <c:pt idx="223">
                  <c:v>5.487517225044882E-3</c:v>
                </c:pt>
                <c:pt idx="224">
                  <c:v>5.8106565465452144E-3</c:v>
                </c:pt>
                <c:pt idx="225">
                  <c:v>6.1372263785104001E-3</c:v>
                </c:pt>
                <c:pt idx="226">
                  <c:v>6.4628153940461076E-3</c:v>
                </c:pt>
                <c:pt idx="227">
                  <c:v>6.7875262493789354E-3</c:v>
                </c:pt>
                <c:pt idx="228">
                  <c:v>7.1114747001376488E-3</c:v>
                </c:pt>
                <c:pt idx="229">
                  <c:v>7.4347898385630105E-3</c:v>
                </c:pt>
                <c:pt idx="230">
                  <c:v>7.7576143782672451E-3</c:v>
                </c:pt>
                <c:pt idx="231">
                  <c:v>8.0801049954973749E-3</c:v>
                </c:pt>
                <c:pt idx="232">
                  <c:v>8.4021881930306502E-3</c:v>
                </c:pt>
                <c:pt idx="233">
                  <c:v>8.7182930653784546E-3</c:v>
                </c:pt>
                <c:pt idx="234">
                  <c:v>9.0280764766477728E-3</c:v>
                </c:pt>
                <c:pt idx="235">
                  <c:v>9.3315580952422605E-3</c:v>
                </c:pt>
                <c:pt idx="236">
                  <c:v>9.6287640484267658E-3</c:v>
                </c:pt>
                <c:pt idx="237">
                  <c:v>9.9197174935151018E-3</c:v>
                </c:pt>
                <c:pt idx="238">
                  <c:v>1.0204443973826227E-2</c:v>
                </c:pt>
                <c:pt idx="239">
                  <c:v>1.0478992955574456E-2</c:v>
                </c:pt>
                <c:pt idx="240">
                  <c:v>1.0748340359655847E-2</c:v>
                </c:pt>
                <c:pt idx="241">
                  <c:v>1.1012537356923017E-2</c:v>
                </c:pt>
                <c:pt idx="242">
                  <c:v>1.1271637393544452E-2</c:v>
                </c:pt>
                <c:pt idx="243">
                  <c:v>1.1525696043461372E-2</c:v>
                </c:pt>
                <c:pt idx="244">
                  <c:v>1.1774770866802573E-2</c:v>
                </c:pt>
                <c:pt idx="245">
                  <c:v>1.2018921275323993E-2</c:v>
                </c:pt>
                <c:pt idx="246">
                  <c:v>1.2258365839915145E-2</c:v>
                </c:pt>
                <c:pt idx="247">
                  <c:v>1.2489551409974341E-2</c:v>
                </c:pt>
                <c:pt idx="248">
                  <c:v>1.2718285326260303E-2</c:v>
                </c:pt>
                <c:pt idx="249">
                  <c:v>1.2944484643126638E-2</c:v>
                </c:pt>
                <c:pt idx="250">
                  <c:v>1.3168050992140979E-2</c:v>
                </c:pt>
                <c:pt idx="251">
                  <c:v>1.3388870109178786E-2</c:v>
                </c:pt>
                <c:pt idx="252">
                  <c:v>1.3606811328282294E-2</c:v>
                </c:pt>
                <c:pt idx="253">
                  <c:v>1.3827157703503179E-2</c:v>
                </c:pt>
                <c:pt idx="254">
                  <c:v>1.405437689222796E-2</c:v>
                </c:pt>
                <c:pt idx="255">
                  <c:v>1.4288599622203951E-2</c:v>
                </c:pt>
                <c:pt idx="256">
                  <c:v>1.4529950928277531E-2</c:v>
                </c:pt>
                <c:pt idx="257">
                  <c:v>1.4778549369492374E-2</c:v>
                </c:pt>
                <c:pt idx="258">
                  <c:v>1.5034506158041163E-2</c:v>
                </c:pt>
                <c:pt idx="259">
                  <c:v>1.5297924193281031E-2</c:v>
                </c:pt>
                <c:pt idx="260">
                  <c:v>1.557012983180122E-2</c:v>
                </c:pt>
                <c:pt idx="261">
                  <c:v>1.5876839589910114E-2</c:v>
                </c:pt>
                <c:pt idx="262">
                  <c:v>1.6223148096046851E-2</c:v>
                </c:pt>
                <c:pt idx="263">
                  <c:v>1.6610133276458047E-2</c:v>
                </c:pt>
                <c:pt idx="264">
                  <c:v>1.7038914325223226E-2</c:v>
                </c:pt>
                <c:pt idx="265">
                  <c:v>1.7510739029242064E-2</c:v>
                </c:pt>
                <c:pt idx="266">
                  <c:v>1.8026846958520561E-2</c:v>
                </c:pt>
                <c:pt idx="267">
                  <c:v>1.8616151997412445E-2</c:v>
                </c:pt>
                <c:pt idx="268">
                  <c:v>1.9274274516372713E-2</c:v>
                </c:pt>
                <c:pt idx="269">
                  <c:v>2.0003137821651942E-2</c:v>
                </c:pt>
                <c:pt idx="270">
                  <c:v>2.0804686439944854E-2</c:v>
                </c:pt>
                <c:pt idx="271">
                  <c:v>2.1680868378170234E-2</c:v>
                </c:pt>
                <c:pt idx="272">
                  <c:v>2.2633615164515824E-2</c:v>
                </c:pt>
                <c:pt idx="273">
                  <c:v>2.3664819511007611E-2</c:v>
                </c:pt>
                <c:pt idx="274">
                  <c:v>2.4779462257927737E-2</c:v>
                </c:pt>
                <c:pt idx="275">
                  <c:v>2.5987864809826719E-2</c:v>
                </c:pt>
                <c:pt idx="276">
                  <c:v>2.7263889686517089E-2</c:v>
                </c:pt>
                <c:pt idx="277">
                  <c:v>2.8609403622154816E-2</c:v>
                </c:pt>
                <c:pt idx="278">
                  <c:v>3.0026223891567144E-2</c:v>
                </c:pt>
                <c:pt idx="279">
                  <c:v>3.1516093388765591E-2</c:v>
                </c:pt>
                <c:pt idx="280">
                  <c:v>3.3080652711534875E-2</c:v>
                </c:pt>
                <c:pt idx="281">
                  <c:v>3.4710729621588408E-2</c:v>
                </c:pt>
                <c:pt idx="282">
                  <c:v>3.6374014018360157E-2</c:v>
                </c:pt>
                <c:pt idx="283">
                  <c:v>3.8069899161596657E-2</c:v>
                </c:pt>
                <c:pt idx="284">
                  <c:v>3.9797493003684153E-2</c:v>
                </c:pt>
                <c:pt idx="285">
                  <c:v>4.1555590476910195E-2</c:v>
                </c:pt>
                <c:pt idx="286">
                  <c:v>4.3342645235825539E-2</c:v>
                </c:pt>
                <c:pt idx="287">
                  <c:v>4.5156741272904373E-2</c:v>
                </c:pt>
                <c:pt idx="288">
                  <c:v>4.6998544081660751E-2</c:v>
                </c:pt>
                <c:pt idx="289">
                  <c:v>4.8879653994821672E-2</c:v>
                </c:pt>
                <c:pt idx="290">
                  <c:v>5.0795118279855854E-2</c:v>
                </c:pt>
                <c:pt idx="291">
                  <c:v>5.274547417072048E-2</c:v>
                </c:pt>
                <c:pt idx="292">
                  <c:v>5.4731320944305176E-2</c:v>
                </c:pt>
                <c:pt idx="293">
                  <c:v>5.6753326470830687E-2</c:v>
                </c:pt>
                <c:pt idx="294">
                  <c:v>5.8812234160986632E-2</c:v>
                </c:pt>
                <c:pt idx="295">
                  <c:v>6.090665328116749E-2</c:v>
                </c:pt>
                <c:pt idx="296">
                  <c:v>6.3051092324149405E-2</c:v>
                </c:pt>
                <c:pt idx="297">
                  <c:v>6.5247586254202905E-2</c:v>
                </c:pt>
                <c:pt idx="298">
                  <c:v>6.7497809012721371E-2</c:v>
                </c:pt>
                <c:pt idx="299">
                  <c:v>6.9803571633046679E-2</c:v>
                </c:pt>
                <c:pt idx="300">
                  <c:v>7.2166834584768247E-2</c:v>
                </c:pt>
                <c:pt idx="301">
                  <c:v>7.4589721270777412E-2</c:v>
                </c:pt>
                <c:pt idx="302">
                  <c:v>7.7074897137685533E-2</c:v>
                </c:pt>
                <c:pt idx="303">
                  <c:v>7.9581013751534646E-2</c:v>
                </c:pt>
                <c:pt idx="304">
                  <c:v>8.2095510383190864E-2</c:v>
                </c:pt>
                <c:pt idx="305">
                  <c:v>8.4616297562780662E-2</c:v>
                </c:pt>
                <c:pt idx="306">
                  <c:v>8.7140999246382453E-2</c:v>
                </c:pt>
                <c:pt idx="307">
                  <c:v>8.9666937814254638E-2</c:v>
                </c:pt>
                <c:pt idx="308">
                  <c:v>9.2191119434975349E-2</c:v>
                </c:pt>
                <c:pt idx="309">
                  <c:v>9.4679858068346154E-2</c:v>
                </c:pt>
                <c:pt idx="310">
                  <c:v>9.7131060242533138E-2</c:v>
                </c:pt>
                <c:pt idx="311">
                  <c:v>9.9539667275671595E-2</c:v>
                </c:pt>
                <c:pt idx="312">
                  <c:v>0.10190025614127937</c:v>
                </c:pt>
                <c:pt idx="313">
                  <c:v>0.10420704065630804</c:v>
                </c:pt>
                <c:pt idx="314">
                  <c:v>0.10645387626847955</c:v>
                </c:pt>
                <c:pt idx="315">
                  <c:v>0.1086342690850238</c:v>
                </c:pt>
                <c:pt idx="316">
                  <c:v>0.1107432444400407</c:v>
                </c:pt>
                <c:pt idx="317">
                  <c:v>0.11279509067329001</c:v>
                </c:pt>
                <c:pt idx="318">
                  <c:v>0.11483861867142091</c:v>
                </c:pt>
                <c:pt idx="319">
                  <c:v>0.11687319517111334</c:v>
                </c:pt>
                <c:pt idx="320">
                  <c:v>0.11889829666263324</c:v>
                </c:pt>
                <c:pt idx="321">
                  <c:v>0.12091351556965584</c:v>
                </c:pt>
                <c:pt idx="322">
                  <c:v>0.12291856624325316</c:v>
                </c:pt>
                <c:pt idx="323">
                  <c:v>0.12495248043516874</c:v>
                </c:pt>
                <c:pt idx="324">
                  <c:v>0.1270522930387592</c:v>
                </c:pt>
                <c:pt idx="325">
                  <c:v>0.12922031675481258</c:v>
                </c:pt>
                <c:pt idx="326">
                  <c:v>0.13145817017850717</c:v>
                </c:pt>
                <c:pt idx="327">
                  <c:v>0.13376810395499228</c:v>
                </c:pt>
                <c:pt idx="328">
                  <c:v>0.13615319094340578</c:v>
                </c:pt>
                <c:pt idx="329">
                  <c:v>0.13861668968801596</c:v>
                </c:pt>
                <c:pt idx="330">
                  <c:v>0.14117135921955337</c:v>
                </c:pt>
                <c:pt idx="331">
                  <c:v>0.14378994422768362</c:v>
                </c:pt>
                <c:pt idx="332">
                  <c:v>0.14644720088968888</c:v>
                </c:pt>
                <c:pt idx="333">
                  <c:v>0.14913605447551889</c:v>
                </c:pt>
                <c:pt idx="334">
                  <c:v>0.15184860340808012</c:v>
                </c:pt>
                <c:pt idx="335">
                  <c:v>0.1545760814040161</c:v>
                </c:pt>
                <c:pt idx="336">
                  <c:v>0.15730882892586459</c:v>
                </c:pt>
                <c:pt idx="337">
                  <c:v>0.15997299385258221</c:v>
                </c:pt>
                <c:pt idx="338">
                  <c:v>0.16251068531815827</c:v>
                </c:pt>
                <c:pt idx="339">
                  <c:v>0.16490715295833894</c:v>
                </c:pt>
                <c:pt idx="340">
                  <c:v>0.1671470823402913</c:v>
                </c:pt>
                <c:pt idx="341">
                  <c:v>0.16921473086553446</c:v>
                </c:pt>
                <c:pt idx="342">
                  <c:v>0.17109408984227989</c:v>
                </c:pt>
                <c:pt idx="343">
                  <c:v>0.17276907296161698</c:v>
                </c:pt>
                <c:pt idx="344">
                  <c:v>0.17425022122120729</c:v>
                </c:pt>
                <c:pt idx="345">
                  <c:v>0.17555527273612009</c:v>
                </c:pt>
                <c:pt idx="346">
                  <c:v>0.17670545112889519</c:v>
                </c:pt>
                <c:pt idx="347">
                  <c:v>0.17769651095411318</c:v>
                </c:pt>
                <c:pt idx="348">
                  <c:v>0.17852460298460859</c:v>
                </c:pt>
                <c:pt idx="349">
                  <c:v>0.1791863095558891</c:v>
                </c:pt>
                <c:pt idx="350">
                  <c:v>0.1796786777324256</c:v>
                </c:pt>
                <c:pt idx="351">
                  <c:v>0.17998649493664018</c:v>
                </c:pt>
                <c:pt idx="352">
                  <c:v>0.18017522656705268</c:v>
                </c:pt>
                <c:pt idx="353">
                  <c:v>0.18024351769405589</c:v>
                </c:pt>
                <c:pt idx="354">
                  <c:v>0.18019040420059007</c:v>
                </c:pt>
                <c:pt idx="355">
                  <c:v>0.18001532560257447</c:v>
                </c:pt>
                <c:pt idx="356">
                  <c:v>0.17971766277042733</c:v>
                </c:pt>
                <c:pt idx="357">
                  <c:v>0.17929791041691051</c:v>
                </c:pt>
                <c:pt idx="358">
                  <c:v>0.17875299338503001</c:v>
                </c:pt>
                <c:pt idx="359">
                  <c:v>0.17808287876437751</c:v>
                </c:pt>
                <c:pt idx="360">
                  <c:v>0.17722569487741471</c:v>
                </c:pt>
                <c:pt idx="361">
                  <c:v>0.17619971357674699</c:v>
                </c:pt>
                <c:pt idx="362">
                  <c:v>0.17501095671785746</c:v>
                </c:pt>
                <c:pt idx="363">
                  <c:v>0.1736657983954126</c:v>
                </c:pt>
                <c:pt idx="364">
                  <c:v>0.17217090111475211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582280"/>
        <c:axId val="474582672"/>
      </c:lineChart>
      <c:dateAx>
        <c:axId val="4745822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4582672"/>
        <c:crosses val="autoZero"/>
        <c:auto val="1"/>
        <c:lblOffset val="100"/>
        <c:baseTimeUnit val="days"/>
        <c:majorUnit val="1"/>
        <c:majorTimeUnit val="months"/>
      </c:dateAx>
      <c:valAx>
        <c:axId val="4745826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4582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13.858558081682876</c:v>
                </c:pt>
                <c:pt idx="1">
                  <c:v>13.984777568885606</c:v>
                </c:pt>
                <c:pt idx="2">
                  <c:v>14.120566559504285</c:v>
                </c:pt>
                <c:pt idx="3">
                  <c:v>14.265696926812128</c:v>
                </c:pt>
                <c:pt idx="4">
                  <c:v>14.419940571095362</c:v>
                </c:pt>
                <c:pt idx="5">
                  <c:v>14.583069374437127</c:v>
                </c:pt>
                <c:pt idx="6">
                  <c:v>14.754855162134783</c:v>
                </c:pt>
                <c:pt idx="7">
                  <c:v>14.935069665510042</c:v>
                </c:pt>
                <c:pt idx="8">
                  <c:v>15.125521758344201</c:v>
                </c:pt>
                <c:pt idx="9">
                  <c:v>15.326974341388301</c:v>
                </c:pt>
                <c:pt idx="10">
                  <c:v>15.537689389296927</c:v>
                </c:pt>
                <c:pt idx="11">
                  <c:v>15.757012652551936</c:v>
                </c:pt>
                <c:pt idx="12">
                  <c:v>15.984290161095888</c:v>
                </c:pt>
                <c:pt idx="13">
                  <c:v>16.218868241336288</c:v>
                </c:pt>
                <c:pt idx="14">
                  <c:v>16.460093519343687</c:v>
                </c:pt>
                <c:pt idx="15">
                  <c:v>16.706965063738402</c:v>
                </c:pt>
                <c:pt idx="16">
                  <c:v>16.958199039134513</c:v>
                </c:pt>
                <c:pt idx="17">
                  <c:v>17.213143108819434</c:v>
                </c:pt>
                <c:pt idx="18">
                  <c:v>17.471145487640335</c:v>
                </c:pt>
                <c:pt idx="19">
                  <c:v>17.731541178029968</c:v>
                </c:pt>
                <c:pt idx="20">
                  <c:v>17.99366001092918</c:v>
                </c:pt>
                <c:pt idx="21">
                  <c:v>18.256843513844053</c:v>
                </c:pt>
                <c:pt idx="22">
                  <c:v>18.522707901651486</c:v>
                </c:pt>
                <c:pt idx="23">
                  <c:v>18.79379677582266</c:v>
                </c:pt>
                <c:pt idx="24">
                  <c:v>19.07056852941777</c:v>
                </c:pt>
                <c:pt idx="25">
                  <c:v>19.352719520797102</c:v>
                </c:pt>
                <c:pt idx="26">
                  <c:v>19.639946422220746</c:v>
                </c:pt>
                <c:pt idx="27">
                  <c:v>19.931946227207597</c:v>
                </c:pt>
                <c:pt idx="28">
                  <c:v>20.228416260618157</c:v>
                </c:pt>
                <c:pt idx="29">
                  <c:v>20.530102826255533</c:v>
                </c:pt>
                <c:pt idx="30">
                  <c:v>20.837048721398236</c:v>
                </c:pt>
                <c:pt idx="31">
                  <c:v>21.148950428236819</c:v>
                </c:pt>
                <c:pt idx="32">
                  <c:v>21.465504639759345</c:v>
                </c:pt>
                <c:pt idx="33">
                  <c:v>21.786408285442896</c:v>
                </c:pt>
                <c:pt idx="34">
                  <c:v>22.111358543667624</c:v>
                </c:pt>
                <c:pt idx="35">
                  <c:v>22.440052862217126</c:v>
                </c:pt>
                <c:pt idx="36">
                  <c:v>22.772714329924753</c:v>
                </c:pt>
                <c:pt idx="37">
                  <c:v>23.109891415634465</c:v>
                </c:pt>
                <c:pt idx="38">
                  <c:v>23.450989363495577</c:v>
                </c:pt>
                <c:pt idx="39">
                  <c:v>23.796100984496711</c:v>
                </c:pt>
                <c:pt idx="40">
                  <c:v>24.145319178724129</c:v>
                </c:pt>
                <c:pt idx="41">
                  <c:v>24.49873694584565</c:v>
                </c:pt>
                <c:pt idx="42">
                  <c:v>24.856447393595694</c:v>
                </c:pt>
                <c:pt idx="43">
                  <c:v>25.218275680215086</c:v>
                </c:pt>
                <c:pt idx="44">
                  <c:v>25.583274126496335</c:v>
                </c:pt>
                <c:pt idx="45">
                  <c:v>25.951538302659145</c:v>
                </c:pt>
                <c:pt idx="46">
                  <c:v>26.323163924482515</c:v>
                </c:pt>
                <c:pt idx="47">
                  <c:v>26.698246853422283</c:v>
                </c:pt>
                <c:pt idx="48">
                  <c:v>27.076883080463386</c:v>
                </c:pt>
                <c:pt idx="49">
                  <c:v>27.459168718042864</c:v>
                </c:pt>
                <c:pt idx="50">
                  <c:v>27.84580568391139</c:v>
                </c:pt>
                <c:pt idx="51">
                  <c:v>28.237511382344866</c:v>
                </c:pt>
                <c:pt idx="52">
                  <c:v>28.633834643314884</c:v>
                </c:pt>
                <c:pt idx="53">
                  <c:v>29.034389438284474</c:v>
                </c:pt>
                <c:pt idx="54">
                  <c:v>29.438781914612967</c:v>
                </c:pt>
                <c:pt idx="55">
                  <c:v>29.846618409809711</c:v>
                </c:pt>
                <c:pt idx="56">
                  <c:v>30.257505428572362</c:v>
                </c:pt>
                <c:pt idx="57">
                  <c:v>30.670899911509654</c:v>
                </c:pt>
                <c:pt idx="58">
                  <c:v>31.086675552991743</c:v>
                </c:pt>
                <c:pt idx="59">
                  <c:v>31.504440138667807</c:v>
                </c:pt>
                <c:pt idx="60">
                  <c:v>31.923801646243664</c:v>
                </c:pt>
                <c:pt idx="61">
                  <c:v>32.344368236619687</c:v>
                </c:pt>
                <c:pt idx="62">
                  <c:v>32.76574825063863</c:v>
                </c:pt>
                <c:pt idx="63">
                  <c:v>33.187550199953371</c:v>
                </c:pt>
                <c:pt idx="64">
                  <c:v>33.611635510613404</c:v>
                </c:pt>
                <c:pt idx="65">
                  <c:v>34.038693952113015</c:v>
                </c:pt>
                <c:pt idx="66">
                  <c:v>34.467797602601692</c:v>
                </c:pt>
                <c:pt idx="67">
                  <c:v>34.89836049475943</c:v>
                </c:pt>
                <c:pt idx="68">
                  <c:v>35.329797187287809</c:v>
                </c:pt>
                <c:pt idx="69">
                  <c:v>35.761522782548262</c:v>
                </c:pt>
                <c:pt idx="70">
                  <c:v>36.192952950129374</c:v>
                </c:pt>
                <c:pt idx="71">
                  <c:v>36.62247739580684</c:v>
                </c:pt>
                <c:pt idx="72">
                  <c:v>37.049652140894842</c:v>
                </c:pt>
                <c:pt idx="73">
                  <c:v>37.473890350641916</c:v>
                </c:pt>
                <c:pt idx="74">
                  <c:v>37.894605515061258</c:v>
                </c:pt>
                <c:pt idx="75">
                  <c:v>38.311211464525321</c:v>
                </c:pt>
                <c:pt idx="76">
                  <c:v>38.723122388405905</c:v>
                </c:pt>
                <c:pt idx="77">
                  <c:v>39.129752855521353</c:v>
                </c:pt>
                <c:pt idx="78">
                  <c:v>39.533675874171564</c:v>
                </c:pt>
                <c:pt idx="79">
                  <c:v>39.93704898710827</c:v>
                </c:pt>
                <c:pt idx="80">
                  <c:v>40.34010824242656</c:v>
                </c:pt>
                <c:pt idx="81">
                  <c:v>40.742063872392144</c:v>
                </c:pt>
                <c:pt idx="82">
                  <c:v>41.142126142468442</c:v>
                </c:pt>
                <c:pt idx="83">
                  <c:v>41.539505342781737</c:v>
                </c:pt>
                <c:pt idx="84">
                  <c:v>41.933411783125344</c:v>
                </c:pt>
                <c:pt idx="85">
                  <c:v>42.323225582679683</c:v>
                </c:pt>
                <c:pt idx="86">
                  <c:v>42.709196551026011</c:v>
                </c:pt>
                <c:pt idx="87">
                  <c:v>43.090538634375946</c:v>
                </c:pt>
                <c:pt idx="88">
                  <c:v>43.466466096611498</c:v>
                </c:pt>
                <c:pt idx="89">
                  <c:v>43.836193522584892</c:v>
                </c:pt>
                <c:pt idx="90">
                  <c:v>44.198935840613622</c:v>
                </c:pt>
                <c:pt idx="91">
                  <c:v>44.553908324375335</c:v>
                </c:pt>
                <c:pt idx="92">
                  <c:v>44.902907293406962</c:v>
                </c:pt>
                <c:pt idx="93">
                  <c:v>45.248246002534032</c:v>
                </c:pt>
                <c:pt idx="94">
                  <c:v>45.589924444545922</c:v>
                </c:pt>
                <c:pt idx="95">
                  <c:v>45.927647254553023</c:v>
                </c:pt>
                <c:pt idx="96">
                  <c:v>46.261119355722968</c:v>
                </c:pt>
                <c:pt idx="97">
                  <c:v>46.590045986329507</c:v>
                </c:pt>
                <c:pt idx="98">
                  <c:v>46.914132712349542</c:v>
                </c:pt>
                <c:pt idx="99">
                  <c:v>47.233367120155272</c:v>
                </c:pt>
                <c:pt idx="100">
                  <c:v>47.54728619817687</c:v>
                </c:pt>
                <c:pt idx="101">
                  <c:v>47.85559711404543</c:v>
                </c:pt>
                <c:pt idx="102">
                  <c:v>48.1580074960752</c:v>
                </c:pt>
                <c:pt idx="103">
                  <c:v>48.454225446697826</c:v>
                </c:pt>
                <c:pt idx="104">
                  <c:v>48.743959580939709</c:v>
                </c:pt>
                <c:pt idx="105">
                  <c:v>49.026919044162362</c:v>
                </c:pt>
                <c:pt idx="106">
                  <c:v>49.304172375729792</c:v>
                </c:pt>
                <c:pt idx="107">
                  <c:v>49.5770361474137</c:v>
                </c:pt>
                <c:pt idx="108">
                  <c:v>49.845025330898054</c:v>
                </c:pt>
                <c:pt idx="109">
                  <c:v>50.10784975865068</c:v>
                </c:pt>
                <c:pt idx="110">
                  <c:v>50.365218583995606</c:v>
                </c:pt>
                <c:pt idx="111">
                  <c:v>50.616841764693952</c:v>
                </c:pt>
                <c:pt idx="112">
                  <c:v>50.862431377873257</c:v>
                </c:pt>
                <c:pt idx="113">
                  <c:v>51.101698117138646</c:v>
                </c:pt>
                <c:pt idx="114">
                  <c:v>51.334072265800842</c:v>
                </c:pt>
                <c:pt idx="115">
                  <c:v>51.55926881491812</c:v>
                </c:pt>
                <c:pt idx="116">
                  <c:v>51.77700364298596</c:v>
                </c:pt>
                <c:pt idx="117">
                  <c:v>51.986993536528388</c:v>
                </c:pt>
                <c:pt idx="118">
                  <c:v>52.188956228319377</c:v>
                </c:pt>
                <c:pt idx="119">
                  <c:v>52.38261041883819</c:v>
                </c:pt>
                <c:pt idx="120">
                  <c:v>57.038012468486322</c:v>
                </c:pt>
                <c:pt idx="121">
                  <c:v>57.22643365329251</c:v>
                </c:pt>
                <c:pt idx="122">
                  <c:v>57.405518367598432</c:v>
                </c:pt>
                <c:pt idx="123">
                  <c:v>57.575699420444394</c:v>
                </c:pt>
                <c:pt idx="124">
                  <c:v>57.73740940049138</c:v>
                </c:pt>
                <c:pt idx="125">
                  <c:v>57.891080690932533</c:v>
                </c:pt>
                <c:pt idx="126">
                  <c:v>58.03714546179647</c:v>
                </c:pt>
                <c:pt idx="127">
                  <c:v>58.175580818929248</c:v>
                </c:pt>
                <c:pt idx="128">
                  <c:v>58.306809903103655</c:v>
                </c:pt>
                <c:pt idx="129">
                  <c:v>58.431259280001349</c:v>
                </c:pt>
                <c:pt idx="130">
                  <c:v>58.54935507502509</c:v>
                </c:pt>
                <c:pt idx="131">
                  <c:v>58.661522973966996</c:v>
                </c:pt>
                <c:pt idx="132">
                  <c:v>58.768188220469405</c:v>
                </c:pt>
                <c:pt idx="133">
                  <c:v>58.869775614072644</c:v>
                </c:pt>
                <c:pt idx="134">
                  <c:v>58.964987158319211</c:v>
                </c:pt>
                <c:pt idx="135">
                  <c:v>59.052210536745612</c:v>
                </c:pt>
                <c:pt idx="136">
                  <c:v>59.13198327906688</c:v>
                </c:pt>
                <c:pt idx="137">
                  <c:v>59.204621817930366</c:v>
                </c:pt>
                <c:pt idx="138">
                  <c:v>59.270442083067941</c:v>
                </c:pt>
                <c:pt idx="139">
                  <c:v>59.329759497165057</c:v>
                </c:pt>
                <c:pt idx="140">
                  <c:v>59.382888980572226</c:v>
                </c:pt>
                <c:pt idx="141">
                  <c:v>59.430087729551119</c:v>
                </c:pt>
                <c:pt idx="142">
                  <c:v>59.472142467268178</c:v>
                </c:pt>
                <c:pt idx="143">
                  <c:v>59.509371351506857</c:v>
                </c:pt>
                <c:pt idx="144">
                  <c:v>59.542091640722461</c:v>
                </c:pt>
                <c:pt idx="145">
                  <c:v>59.570620256565029</c:v>
                </c:pt>
                <c:pt idx="146">
                  <c:v>59.595273775975677</c:v>
                </c:pt>
                <c:pt idx="147">
                  <c:v>59.616368420622649</c:v>
                </c:pt>
                <c:pt idx="148">
                  <c:v>59.632991105558816</c:v>
                </c:pt>
                <c:pt idx="149">
                  <c:v>59.64404413296694</c:v>
                </c:pt>
                <c:pt idx="150">
                  <c:v>59.650006835609467</c:v>
                </c:pt>
                <c:pt idx="151">
                  <c:v>59.65109700333236</c:v>
                </c:pt>
                <c:pt idx="152">
                  <c:v>59.647532206778017</c:v>
                </c:pt>
                <c:pt idx="153">
                  <c:v>59.639529773516308</c:v>
                </c:pt>
                <c:pt idx="154">
                  <c:v>59.627306766963891</c:v>
                </c:pt>
                <c:pt idx="155">
                  <c:v>59.611014085472647</c:v>
                </c:pt>
                <c:pt idx="156">
                  <c:v>59.590921576583</c:v>
                </c:pt>
                <c:pt idx="157">
                  <c:v>59.567244004854807</c:v>
                </c:pt>
                <c:pt idx="158">
                  <c:v>59.54019577566379</c:v>
                </c:pt>
                <c:pt idx="159">
                  <c:v>59.509990920835115</c:v>
                </c:pt>
                <c:pt idx="160">
                  <c:v>59.476843076157522</c:v>
                </c:pt>
                <c:pt idx="161">
                  <c:v>59.44096546896926</c:v>
                </c:pt>
                <c:pt idx="162">
                  <c:v>59.4016065299679</c:v>
                </c:pt>
                <c:pt idx="163">
                  <c:v>59.357974894231425</c:v>
                </c:pt>
                <c:pt idx="164">
                  <c:v>59.310400981104031</c:v>
                </c:pt>
                <c:pt idx="165">
                  <c:v>59.259097805860755</c:v>
                </c:pt>
                <c:pt idx="166">
                  <c:v>59.204277888044935</c:v>
                </c:pt>
                <c:pt idx="167">
                  <c:v>59.146153249362648</c:v>
                </c:pt>
                <c:pt idx="168">
                  <c:v>59.084935396624815</c:v>
                </c:pt>
                <c:pt idx="169">
                  <c:v>59.0207935719191</c:v>
                </c:pt>
                <c:pt idx="170">
                  <c:v>58.954007121820275</c:v>
                </c:pt>
                <c:pt idx="171">
                  <c:v>58.884786170720702</c:v>
                </c:pt>
                <c:pt idx="172">
                  <c:v>58.813340301927511</c:v>
                </c:pt>
                <c:pt idx="173">
                  <c:v>58.73987877131519</c:v>
                </c:pt>
                <c:pt idx="174">
                  <c:v>58.66461031142348</c:v>
                </c:pt>
                <c:pt idx="175">
                  <c:v>58.587742923504763</c:v>
                </c:pt>
                <c:pt idx="176">
                  <c:v>58.509415539085957</c:v>
                </c:pt>
                <c:pt idx="177">
                  <c:v>58.429421686796189</c:v>
                </c:pt>
                <c:pt idx="178">
                  <c:v>58.347599793226614</c:v>
                </c:pt>
                <c:pt idx="179">
                  <c:v>58.263745628911479</c:v>
                </c:pt>
                <c:pt idx="180">
                  <c:v>58.177655022847219</c:v>
                </c:pt>
                <c:pt idx="181">
                  <c:v>58.089123864018269</c:v>
                </c:pt>
                <c:pt idx="182">
                  <c:v>57.997948104962568</c:v>
                </c:pt>
                <c:pt idx="183">
                  <c:v>57.90380660030106</c:v>
                </c:pt>
                <c:pt idx="184">
                  <c:v>57.80653942220502</c:v>
                </c:pt>
                <c:pt idx="185">
                  <c:v>57.705943134980046</c:v>
                </c:pt>
                <c:pt idx="186">
                  <c:v>57.601814390652784</c:v>
                </c:pt>
                <c:pt idx="187">
                  <c:v>57.493949931409439</c:v>
                </c:pt>
                <c:pt idx="188">
                  <c:v>57.382146603230623</c:v>
                </c:pt>
                <c:pt idx="189">
                  <c:v>57.266201369797521</c:v>
                </c:pt>
                <c:pt idx="190">
                  <c:v>57.145979543308556</c:v>
                </c:pt>
                <c:pt idx="191">
                  <c:v>57.021571930211167</c:v>
                </c:pt>
                <c:pt idx="192">
                  <c:v>56.893258552035796</c:v>
                </c:pt>
                <c:pt idx="193">
                  <c:v>56.761245974386064</c:v>
                </c:pt>
                <c:pt idx="194">
                  <c:v>56.62574038917387</c:v>
                </c:pt>
                <c:pt idx="195">
                  <c:v>56.486947631031462</c:v>
                </c:pt>
                <c:pt idx="196">
                  <c:v>56.345073191704827</c:v>
                </c:pt>
                <c:pt idx="197">
                  <c:v>56.200002891577469</c:v>
                </c:pt>
                <c:pt idx="198">
                  <c:v>56.05205661462967</c:v>
                </c:pt>
                <c:pt idx="199">
                  <c:v>55.901436931444323</c:v>
                </c:pt>
                <c:pt idx="200">
                  <c:v>55.748346259974426</c:v>
                </c:pt>
                <c:pt idx="201">
                  <c:v>55.592986875920346</c:v>
                </c:pt>
                <c:pt idx="202">
                  <c:v>55.435560923693302</c:v>
                </c:pt>
                <c:pt idx="203">
                  <c:v>55.276270424731479</c:v>
                </c:pt>
                <c:pt idx="204">
                  <c:v>55.115217489010639</c:v>
                </c:pt>
                <c:pt idx="205">
                  <c:v>54.951692120498763</c:v>
                </c:pt>
                <c:pt idx="206">
                  <c:v>54.785590408289117</c:v>
                </c:pt>
                <c:pt idx="207">
                  <c:v>54.616706452557487</c:v>
                </c:pt>
                <c:pt idx="208">
                  <c:v>54.444834871618127</c:v>
                </c:pt>
                <c:pt idx="209">
                  <c:v>54.269770798753378</c:v>
                </c:pt>
                <c:pt idx="210">
                  <c:v>54.091309872747864</c:v>
                </c:pt>
                <c:pt idx="211">
                  <c:v>53.909095512531891</c:v>
                </c:pt>
                <c:pt idx="212">
                  <c:v>53.723255000143936</c:v>
                </c:pt>
                <c:pt idx="213">
                  <c:v>53.533588214563643</c:v>
                </c:pt>
                <c:pt idx="214">
                  <c:v>53.339895324759922</c:v>
                </c:pt>
                <c:pt idx="215">
                  <c:v>53.141976792775715</c:v>
                </c:pt>
                <c:pt idx="216">
                  <c:v>52.939633368781344</c:v>
                </c:pt>
                <c:pt idx="217">
                  <c:v>52.732666080516211</c:v>
                </c:pt>
                <c:pt idx="218">
                  <c:v>52.522262945420927</c:v>
                </c:pt>
                <c:pt idx="219">
                  <c:v>52.30954356030729</c:v>
                </c:pt>
                <c:pt idx="220">
                  <c:v>52.094650327511474</c:v>
                </c:pt>
                <c:pt idx="221">
                  <c:v>51.87718164370893</c:v>
                </c:pt>
                <c:pt idx="222">
                  <c:v>51.656736323127241</c:v>
                </c:pt>
                <c:pt idx="223">
                  <c:v>51.43291359411964</c:v>
                </c:pt>
                <c:pt idx="224">
                  <c:v>51.20531308931232</c:v>
                </c:pt>
                <c:pt idx="225">
                  <c:v>50.973844616895406</c:v>
                </c:pt>
                <c:pt idx="226">
                  <c:v>50.738258234176058</c:v>
                </c:pt>
                <c:pt idx="227">
                  <c:v>50.49815495750903</c:v>
                </c:pt>
                <c:pt idx="228">
                  <c:v>50.253136181783724</c:v>
                </c:pt>
                <c:pt idx="229">
                  <c:v>50.00280366593713</c:v>
                </c:pt>
                <c:pt idx="230">
                  <c:v>49.746759536635608</c:v>
                </c:pt>
                <c:pt idx="231">
                  <c:v>49.484606286807789</c:v>
                </c:pt>
                <c:pt idx="232">
                  <c:v>49.217395254474759</c:v>
                </c:pt>
                <c:pt idx="233">
                  <c:v>48.94666206935959</c:v>
                </c:pt>
                <c:pt idx="234">
                  <c:v>48.6721384862253</c:v>
                </c:pt>
                <c:pt idx="235">
                  <c:v>48.393626745930561</c:v>
                </c:pt>
                <c:pt idx="236">
                  <c:v>48.110929019747338</c:v>
                </c:pt>
                <c:pt idx="237">
                  <c:v>47.823847998299478</c:v>
                </c:pt>
                <c:pt idx="238">
                  <c:v>47.532186525572818</c:v>
                </c:pt>
                <c:pt idx="239">
                  <c:v>47.23593371173655</c:v>
                </c:pt>
                <c:pt idx="240">
                  <c:v>46.934578653591153</c:v>
                </c:pt>
                <c:pt idx="241">
                  <c:v>46.627923231622049</c:v>
                </c:pt>
                <c:pt idx="242">
                  <c:v>46.315769598830016</c:v>
                </c:pt>
                <c:pt idx="243">
                  <c:v>45.997920179043966</c:v>
                </c:pt>
                <c:pt idx="244">
                  <c:v>45.674177663954154</c:v>
                </c:pt>
                <c:pt idx="245">
                  <c:v>45.34434500511648</c:v>
                </c:pt>
                <c:pt idx="246">
                  <c:v>45.007638182830462</c:v>
                </c:pt>
                <c:pt idx="247">
                  <c:v>44.663837716402973</c:v>
                </c:pt>
                <c:pt idx="248">
                  <c:v>44.31309861915053</c:v>
                </c:pt>
                <c:pt idx="249">
                  <c:v>43.955926546813643</c:v>
                </c:pt>
                <c:pt idx="250">
                  <c:v>43.592826826601147</c:v>
                </c:pt>
                <c:pt idx="251">
                  <c:v>43.224304445148647</c:v>
                </c:pt>
                <c:pt idx="252">
                  <c:v>42.85086403925304</c:v>
                </c:pt>
                <c:pt idx="253">
                  <c:v>42.472050988312965</c:v>
                </c:pt>
                <c:pt idx="254">
                  <c:v>42.088186140308011</c:v>
                </c:pt>
                <c:pt idx="255">
                  <c:v>41.699772619922882</c:v>
                </c:pt>
                <c:pt idx="256">
                  <c:v>41.307313129045774</c:v>
                </c:pt>
                <c:pt idx="257">
                  <c:v>40.911309937445054</c:v>
                </c:pt>
                <c:pt idx="258">
                  <c:v>40.512264867922653</c:v>
                </c:pt>
                <c:pt idx="259">
                  <c:v>40.110679285211837</c:v>
                </c:pt>
                <c:pt idx="260">
                  <c:v>39.703844336478525</c:v>
                </c:pt>
                <c:pt idx="261">
                  <c:v>39.287739955662339</c:v>
                </c:pt>
                <c:pt idx="262">
                  <c:v>38.86318850151936</c:v>
                </c:pt>
                <c:pt idx="263">
                  <c:v>38.431096743095097</c:v>
                </c:pt>
                <c:pt idx="264">
                  <c:v>37.992370077600015</c:v>
                </c:pt>
                <c:pt idx="265">
                  <c:v>37.547907582690662</c:v>
                </c:pt>
                <c:pt idx="266">
                  <c:v>37.098608942974224</c:v>
                </c:pt>
                <c:pt idx="267">
                  <c:v>36.645046634934886</c:v>
                </c:pt>
                <c:pt idx="268">
                  <c:v>36.189086032073163</c:v>
                </c:pt>
                <c:pt idx="269">
                  <c:v>35.731628427946291</c:v>
                </c:pt>
                <c:pt idx="270">
                  <c:v>35.273573893930738</c:v>
                </c:pt>
                <c:pt idx="271">
                  <c:v>34.815821323170987</c:v>
                </c:pt>
                <c:pt idx="272">
                  <c:v>34.359268474160757</c:v>
                </c:pt>
                <c:pt idx="273">
                  <c:v>33.90481201607161</c:v>
                </c:pt>
                <c:pt idx="274">
                  <c:v>33.448931785032379</c:v>
                </c:pt>
                <c:pt idx="275">
                  <c:v>32.988639089222183</c:v>
                </c:pt>
                <c:pt idx="276">
                  <c:v>32.526513581800032</c:v>
                </c:pt>
                <c:pt idx="277">
                  <c:v>32.063554479565603</c:v>
                </c:pt>
                <c:pt idx="278">
                  <c:v>31.600760075231026</c:v>
                </c:pt>
                <c:pt idx="279">
                  <c:v>31.139127763045952</c:v>
                </c:pt>
                <c:pt idx="280">
                  <c:v>30.679654070206571</c:v>
                </c:pt>
                <c:pt idx="281">
                  <c:v>30.2235361480177</c:v>
                </c:pt>
                <c:pt idx="282">
                  <c:v>29.772096219167363</c:v>
                </c:pt>
                <c:pt idx="283">
                  <c:v>29.326328296809447</c:v>
                </c:pt>
                <c:pt idx="284">
                  <c:v>28.887225714310173</c:v>
                </c:pt>
                <c:pt idx="285">
                  <c:v>28.455781158866372</c:v>
                </c:pt>
                <c:pt idx="286">
                  <c:v>28.032986691645846</c:v>
                </c:pt>
                <c:pt idx="287">
                  <c:v>27.619833787309837</c:v>
                </c:pt>
                <c:pt idx="288">
                  <c:v>27.215468750416772</c:v>
                </c:pt>
                <c:pt idx="289">
                  <c:v>26.818002025069358</c:v>
                </c:pt>
                <c:pt idx="290">
                  <c:v>26.42666420124192</c:v>
                </c:pt>
                <c:pt idx="291">
                  <c:v>26.04115085472203</c:v>
                </c:pt>
                <c:pt idx="292">
                  <c:v>25.661157949389562</c:v>
                </c:pt>
                <c:pt idx="293">
                  <c:v>25.286381826778232</c:v>
                </c:pt>
                <c:pt idx="294">
                  <c:v>24.916519214356768</c:v>
                </c:pt>
                <c:pt idx="295">
                  <c:v>24.551557894928727</c:v>
                </c:pt>
                <c:pt idx="296">
                  <c:v>24.190966942624502</c:v>
                </c:pt>
                <c:pt idx="297">
                  <c:v>23.834423998838293</c:v>
                </c:pt>
                <c:pt idx="298">
                  <c:v>23.481624689123468</c:v>
                </c:pt>
                <c:pt idx="299">
                  <c:v>23.132265028508041</c:v>
                </c:pt>
                <c:pt idx="300">
                  <c:v>22.786041441307397</c:v>
                </c:pt>
                <c:pt idx="301">
                  <c:v>22.442650756310901</c:v>
                </c:pt>
                <c:pt idx="302">
                  <c:v>22.101674160153681</c:v>
                </c:pt>
                <c:pt idx="303">
                  <c:v>21.763657330633048</c:v>
                </c:pt>
                <c:pt idx="304">
                  <c:v>21.429170363823513</c:v>
                </c:pt>
                <c:pt idx="305">
                  <c:v>21.098608684887346</c:v>
                </c:pt>
                <c:pt idx="306">
                  <c:v>20.772367769091719</c:v>
                </c:pt>
                <c:pt idx="307">
                  <c:v>20.450843145657466</c:v>
                </c:pt>
                <c:pt idx="308">
                  <c:v>20.134430415619637</c:v>
                </c:pt>
                <c:pt idx="309">
                  <c:v>19.823631622473574</c:v>
                </c:pt>
                <c:pt idx="310">
                  <c:v>19.518550659935435</c:v>
                </c:pt>
                <c:pt idx="311">
                  <c:v>19.219583290613294</c:v>
                </c:pt>
                <c:pt idx="312">
                  <c:v>18.927125356950093</c:v>
                </c:pt>
                <c:pt idx="313">
                  <c:v>18.641572771527162</c:v>
                </c:pt>
                <c:pt idx="314">
                  <c:v>18.363321520860886</c:v>
                </c:pt>
                <c:pt idx="315">
                  <c:v>18.0927676568073</c:v>
                </c:pt>
                <c:pt idx="316">
                  <c:v>17.82995974262694</c:v>
                </c:pt>
                <c:pt idx="317">
                  <c:v>17.574661927939761</c:v>
                </c:pt>
                <c:pt idx="318">
                  <c:v>17.326073271188982</c:v>
                </c:pt>
                <c:pt idx="319">
                  <c:v>17.083895599959288</c:v>
                </c:pt>
                <c:pt idx="320">
                  <c:v>16.847831187677262</c:v>
                </c:pt>
                <c:pt idx="321">
                  <c:v>16.61758275500117</c:v>
                </c:pt>
                <c:pt idx="322">
                  <c:v>16.392853458848176</c:v>
                </c:pt>
                <c:pt idx="323">
                  <c:v>16.173256800284005</c:v>
                </c:pt>
                <c:pt idx="324">
                  <c:v>15.958389672528849</c:v>
                </c:pt>
                <c:pt idx="325">
                  <c:v>15.747956591171214</c:v>
                </c:pt>
                <c:pt idx="326">
                  <c:v>15.541682401469286</c:v>
                </c:pt>
                <c:pt idx="327">
                  <c:v>15.339279682975825</c:v>
                </c:pt>
                <c:pt idx="328">
                  <c:v>15.14044500456302</c:v>
                </c:pt>
                <c:pt idx="329">
                  <c:v>14.944875054184545</c:v>
                </c:pt>
                <c:pt idx="330">
                  <c:v>14.751077562327117</c:v>
                </c:pt>
                <c:pt idx="331">
                  <c:v>14.559022597760599</c:v>
                </c:pt>
                <c:pt idx="332">
                  <c:v>14.369417787231155</c:v>
                </c:pt>
                <c:pt idx="333">
                  <c:v>14.183148838768124</c:v>
                </c:pt>
                <c:pt idx="334">
                  <c:v>14.001100715121044</c:v>
                </c:pt>
                <c:pt idx="335">
                  <c:v>13.824157612816622</c:v>
                </c:pt>
                <c:pt idx="336">
                  <c:v>13.653202941351967</c:v>
                </c:pt>
                <c:pt idx="337">
                  <c:v>13.4900737079482</c:v>
                </c:pt>
                <c:pt idx="338">
                  <c:v>13.33574130388148</c:v>
                </c:pt>
                <c:pt idx="339">
                  <c:v>13.191086161441429</c:v>
                </c:pt>
                <c:pt idx="340">
                  <c:v>13.05698784131368</c:v>
                </c:pt>
                <c:pt idx="341">
                  <c:v>12.934325035128941</c:v>
                </c:pt>
                <c:pt idx="342">
                  <c:v>12.82397558368285</c:v>
                </c:pt>
                <c:pt idx="343">
                  <c:v>12.726816486919315</c:v>
                </c:pt>
                <c:pt idx="344">
                  <c:v>12.641260668217638</c:v>
                </c:pt>
                <c:pt idx="345">
                  <c:v>12.565202797908885</c:v>
                </c:pt>
                <c:pt idx="346">
                  <c:v>12.49821164930519</c:v>
                </c:pt>
                <c:pt idx="347">
                  <c:v>12.44038620550522</c:v>
                </c:pt>
                <c:pt idx="348">
                  <c:v>12.391825331461661</c:v>
                </c:pt>
                <c:pt idx="349">
                  <c:v>12.352627795234497</c:v>
                </c:pt>
                <c:pt idx="350">
                  <c:v>12.322892284959396</c:v>
                </c:pt>
                <c:pt idx="351">
                  <c:v>12.302854819432698</c:v>
                </c:pt>
                <c:pt idx="352">
                  <c:v>12.291661426419269</c:v>
                </c:pt>
                <c:pt idx="353">
                  <c:v>12.289410749168679</c:v>
                </c:pt>
                <c:pt idx="354">
                  <c:v>12.296201313287732</c:v>
                </c:pt>
                <c:pt idx="355">
                  <c:v>12.312131548573308</c:v>
                </c:pt>
                <c:pt idx="356">
                  <c:v>12.337308150857266</c:v>
                </c:pt>
                <c:pt idx="357">
                  <c:v>12.371826039678687</c:v>
                </c:pt>
                <c:pt idx="358">
                  <c:v>12.41606354410396</c:v>
                </c:pt>
                <c:pt idx="359">
                  <c:v>12.470171327301259</c:v>
                </c:pt>
                <c:pt idx="360">
                  <c:v>12.534875989608761</c:v>
                </c:pt>
                <c:pt idx="361">
                  <c:v>12.609814172683926</c:v>
                </c:pt>
                <c:pt idx="362">
                  <c:v>12.694760185945322</c:v>
                </c:pt>
                <c:pt idx="363">
                  <c:v>12.789488553780476</c:v>
                </c:pt>
                <c:pt idx="364">
                  <c:v>12.893773988224297</c:v>
                </c:pt>
                <c:pt idx="365">
                  <c:v>13.007391365451841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5.2849482912521646</c:v>
                </c:pt>
                <c:pt idx="1">
                  <c:v>1.2898682472425294</c:v>
                </c:pt>
                <c:pt idx="2">
                  <c:v>9.7238850698797581</c:v>
                </c:pt>
                <c:pt idx="3">
                  <c:v>9.7950698593550189</c:v>
                </c:pt>
                <c:pt idx="4">
                  <c:v>10.557254340773525</c:v>
                </c:pt>
                <c:pt idx="5">
                  <c:v>4.6846713744193398</c:v>
                </c:pt>
                <c:pt idx="6">
                  <c:v>11.957407889400438</c:v>
                </c:pt>
                <c:pt idx="7">
                  <c:v>6.2427680565593713</c:v>
                </c:pt>
                <c:pt idx="8">
                  <c:v>6.3667867263581526</c:v>
                </c:pt>
                <c:pt idx="9">
                  <c:v>14.033716952649343</c:v>
                </c:pt>
                <c:pt idx="10">
                  <c:v>4.1682898461924749</c:v>
                </c:pt>
                <c:pt idx="11">
                  <c:v>15.076427005693304</c:v>
                </c:pt>
                <c:pt idx="12">
                  <c:v>9.8485855791732106</c:v>
                </c:pt>
                <c:pt idx="13">
                  <c:v>11.912172815230463</c:v>
                </c:pt>
                <c:pt idx="14">
                  <c:v>4.9413351725896719</c:v>
                </c:pt>
                <c:pt idx="15">
                  <c:v>3.17008175045985</c:v>
                </c:pt>
                <c:pt idx="16">
                  <c:v>5.4564303065211011</c:v>
                </c:pt>
                <c:pt idx="17">
                  <c:v>12.71799559074708</c:v>
                </c:pt>
                <c:pt idx="18">
                  <c:v>8.2553598416047702</c:v>
                </c:pt>
                <c:pt idx="19">
                  <c:v>14.46080154556811</c:v>
                </c:pt>
                <c:pt idx="20">
                  <c:v>6.7146941170952008</c:v>
                </c:pt>
                <c:pt idx="21">
                  <c:v>18.245509858069859</c:v>
                </c:pt>
                <c:pt idx="22">
                  <c:v>18.307671498823435</c:v>
                </c:pt>
                <c:pt idx="23">
                  <c:v>18.730308242208686</c:v>
                </c:pt>
                <c:pt idx="24">
                  <c:v>18.968884344466012</c:v>
                </c:pt>
                <c:pt idx="25">
                  <c:v>19.075272410806473</c:v>
                </c:pt>
                <c:pt idx="26">
                  <c:v>18.630564405426341</c:v>
                </c:pt>
                <c:pt idx="27">
                  <c:v>3.900003209588812</c:v>
                </c:pt>
                <c:pt idx="28">
                  <c:v>6.1030804723891894</c:v>
                </c:pt>
                <c:pt idx="29">
                  <c:v>4.4451994717042247</c:v>
                </c:pt>
                <c:pt idx="30">
                  <c:v>9.9739524744989545</c:v>
                </c:pt>
                <c:pt idx="31">
                  <c:v>9.8138015000215209</c:v>
                </c:pt>
                <c:pt idx="32">
                  <c:v>5.131206616812559</c:v>
                </c:pt>
                <c:pt idx="33">
                  <c:v>12.279906650212546</c:v>
                </c:pt>
                <c:pt idx="34">
                  <c:v>10.247059549557685</c:v>
                </c:pt>
                <c:pt idx="35">
                  <c:v>8.8838078007243624</c:v>
                </c:pt>
                <c:pt idx="36">
                  <c:v>16.504389354730662</c:v>
                </c:pt>
                <c:pt idx="37">
                  <c:v>11.448998937154661</c:v>
                </c:pt>
                <c:pt idx="38">
                  <c:v>23.825608435324206</c:v>
                </c:pt>
                <c:pt idx="39">
                  <c:v>23.882091897621276</c:v>
                </c:pt>
                <c:pt idx="40">
                  <c:v>23.194700807456055</c:v>
                </c:pt>
                <c:pt idx="41">
                  <c:v>12.242231890922412</c:v>
                </c:pt>
                <c:pt idx="42">
                  <c:v>20.94771878263067</c:v>
                </c:pt>
                <c:pt idx="43">
                  <c:v>24.437070607769524</c:v>
                </c:pt>
                <c:pt idx="44">
                  <c:v>14.371026636314095</c:v>
                </c:pt>
                <c:pt idx="45">
                  <c:v>17.51202222967963</c:v>
                </c:pt>
                <c:pt idx="46">
                  <c:v>8.940047617630432</c:v>
                </c:pt>
                <c:pt idx="47">
                  <c:v>10.395145689391004</c:v>
                </c:pt>
                <c:pt idx="48">
                  <c:v>24.557453552876549</c:v>
                </c:pt>
                <c:pt idx="49">
                  <c:v>14.833085202306798</c:v>
                </c:pt>
                <c:pt idx="50">
                  <c:v>17.761599164030287</c:v>
                </c:pt>
                <c:pt idx="51">
                  <c:v>18.246616662636615</c:v>
                </c:pt>
                <c:pt idx="52">
                  <c:v>26.990064490644954</c:v>
                </c:pt>
                <c:pt idx="53">
                  <c:v>28.596219707453869</c:v>
                </c:pt>
                <c:pt idx="54">
                  <c:v>17.224808356155258</c:v>
                </c:pt>
                <c:pt idx="55">
                  <c:v>25.51177177666494</c:v>
                </c:pt>
                <c:pt idx="56">
                  <c:v>31.156247657652766</c:v>
                </c:pt>
                <c:pt idx="57">
                  <c:v>23.806180198630912</c:v>
                </c:pt>
                <c:pt idx="58">
                  <c:v>28.37137999436893</c:v>
                </c:pt>
                <c:pt idx="59">
                  <c:v>31.218086484065047</c:v>
                </c:pt>
                <c:pt idx="60">
                  <c:v>14.504633261071913</c:v>
                </c:pt>
                <c:pt idx="61">
                  <c:v>30.006365079835142</c:v>
                </c:pt>
                <c:pt idx="62">
                  <c:v>5.7086207780110669</c:v>
                </c:pt>
                <c:pt idx="63">
                  <c:v>12.805996640573909</c:v>
                </c:pt>
                <c:pt idx="64">
                  <c:v>18.801905414500958</c:v>
                </c:pt>
                <c:pt idx="65">
                  <c:v>32.088052386322012</c:v>
                </c:pt>
                <c:pt idx="66">
                  <c:v>25.911633454991748</c:v>
                </c:pt>
                <c:pt idx="67">
                  <c:v>27.006079370051946</c:v>
                </c:pt>
                <c:pt idx="68">
                  <c:v>18.961499529794693</c:v>
                </c:pt>
                <c:pt idx="69">
                  <c:v>13.498859171963909</c:v>
                </c:pt>
                <c:pt idx="70">
                  <c:v>12.806946849603381</c:v>
                </c:pt>
                <c:pt idx="71">
                  <c:v>8.4636801318850861</c:v>
                </c:pt>
                <c:pt idx="72">
                  <c:v>11.667096699617421</c:v>
                </c:pt>
                <c:pt idx="73">
                  <c:v>13.492652896409245</c:v>
                </c:pt>
                <c:pt idx="74">
                  <c:v>11.849634654508423</c:v>
                </c:pt>
                <c:pt idx="75">
                  <c:v>10.398305790061279</c:v>
                </c:pt>
                <c:pt idx="76">
                  <c:v>13.056937790019516</c:v>
                </c:pt>
                <c:pt idx="77">
                  <c:v>26.308022452546616</c:v>
                </c:pt>
                <c:pt idx="78">
                  <c:v>29.685140499240934</c:v>
                </c:pt>
                <c:pt idx="79">
                  <c:v>39.807951164111444</c:v>
                </c:pt>
                <c:pt idx="80">
                  <c:v>36.831183286605373</c:v>
                </c:pt>
                <c:pt idx="81">
                  <c:v>41.627515183961158</c:v>
                </c:pt>
                <c:pt idx="82">
                  <c:v>41.045189081383</c:v>
                </c:pt>
                <c:pt idx="83">
                  <c:v>37.577879524353072</c:v>
                </c:pt>
                <c:pt idx="84">
                  <c:v>40.586997262256745</c:v>
                </c:pt>
                <c:pt idx="85">
                  <c:v>40.072110804405597</c:v>
                </c:pt>
                <c:pt idx="86">
                  <c:v>31.170302375618515</c:v>
                </c:pt>
                <c:pt idx="87">
                  <c:v>25.739966300643125</c:v>
                </c:pt>
                <c:pt idx="88">
                  <c:v>7.2553450583942638</c:v>
                </c:pt>
                <c:pt idx="89">
                  <c:v>25.337954133014843</c:v>
                </c:pt>
                <c:pt idx="90">
                  <c:v>27.621504353016583</c:v>
                </c:pt>
                <c:pt idx="91">
                  <c:v>18.715347520306661</c:v>
                </c:pt>
                <c:pt idx="92">
                  <c:v>23.173213576505784</c:v>
                </c:pt>
                <c:pt idx="93">
                  <c:v>40.136622029587677</c:v>
                </c:pt>
                <c:pt idx="94">
                  <c:v>46.449936493703419</c:v>
                </c:pt>
                <c:pt idx="95">
                  <c:v>11.801547185531463</c:v>
                </c:pt>
                <c:pt idx="96">
                  <c:v>35.705516532790426</c:v>
                </c:pt>
                <c:pt idx="97">
                  <c:v>27.893298602961757</c:v>
                </c:pt>
                <c:pt idx="98">
                  <c:v>33.851476881165738</c:v>
                </c:pt>
                <c:pt idx="99">
                  <c:v>47.94036504715671</c:v>
                </c:pt>
                <c:pt idx="100">
                  <c:v>36.686237632918193</c:v>
                </c:pt>
                <c:pt idx="101">
                  <c:v>33.708809944684248</c:v>
                </c:pt>
                <c:pt idx="102">
                  <c:v>7.4299602884662965</c:v>
                </c:pt>
                <c:pt idx="103">
                  <c:v>36.329940429598309</c:v>
                </c:pt>
                <c:pt idx="104">
                  <c:v>40.342421246856901</c:v>
                </c:pt>
                <c:pt idx="105">
                  <c:v>43.264069024414127</c:v>
                </c:pt>
                <c:pt idx="106">
                  <c:v>49.113369362341281</c:v>
                </c:pt>
                <c:pt idx="107">
                  <c:v>39.467941319045714</c:v>
                </c:pt>
                <c:pt idx="108">
                  <c:v>10.785116860351339</c:v>
                </c:pt>
                <c:pt idx="109">
                  <c:v>10.182518019362901</c:v>
                </c:pt>
                <c:pt idx="110">
                  <c:v>9.7174961987166117</c:v>
                </c:pt>
                <c:pt idx="111">
                  <c:v>29.392413752741</c:v>
                </c:pt>
                <c:pt idx="112">
                  <c:v>8.5027703870772573</c:v>
                </c:pt>
                <c:pt idx="113">
                  <c:v>36.352188719400125</c:v>
                </c:pt>
                <c:pt idx="114">
                  <c:v>45.362310535657237</c:v>
                </c:pt>
                <c:pt idx="115">
                  <c:v>50.314591608816031</c:v>
                </c:pt>
                <c:pt idx="116">
                  <c:v>35.897604224924436</c:v>
                </c:pt>
                <c:pt idx="117">
                  <c:v>21.994374475501285</c:v>
                </c:pt>
                <c:pt idx="118">
                  <c:v>41.331670714538269</c:v>
                </c:pt>
                <c:pt idx="119">
                  <c:v>43.170789245374436</c:v>
                </c:pt>
                <c:pt idx="120">
                  <c:v>46.208951398608114</c:v>
                </c:pt>
                <c:pt idx="121">
                  <c:v>28.250210980670477</c:v>
                </c:pt>
                <c:pt idx="122">
                  <c:v>33.388587021685915</c:v>
                </c:pt>
                <c:pt idx="123">
                  <c:v>0.84771411605678004</c:v>
                </c:pt>
                <c:pt idx="124">
                  <c:v>38.960725940593647</c:v>
                </c:pt>
                <c:pt idx="125">
                  <c:v>36.118448982226468</c:v>
                </c:pt>
                <c:pt idx="126">
                  <c:v>49.620363299324552</c:v>
                </c:pt>
                <c:pt idx="127">
                  <c:v>50.479774555353309</c:v>
                </c:pt>
                <c:pt idx="128">
                  <c:v>56.055139037835389</c:v>
                </c:pt>
                <c:pt idx="129">
                  <c:v>51.46077191818604</c:v>
                </c:pt>
                <c:pt idx="130">
                  <c:v>56.398778478102898</c:v>
                </c:pt>
                <c:pt idx="131">
                  <c:v>43.992553291004995</c:v>
                </c:pt>
                <c:pt idx="132">
                  <c:v>46.948701802111728</c:v>
                </c:pt>
                <c:pt idx="133">
                  <c:v>48.394795585119823</c:v>
                </c:pt>
                <c:pt idx="134">
                  <c:v>52.358264633652318</c:v>
                </c:pt>
                <c:pt idx="135">
                  <c:v>51.041117501383901</c:v>
                </c:pt>
                <c:pt idx="136">
                  <c:v>55.035642232497516</c:v>
                </c:pt>
                <c:pt idx="137">
                  <c:v>53.559081390732622</c:v>
                </c:pt>
                <c:pt idx="138">
                  <c:v>55.51386580500921</c:v>
                </c:pt>
                <c:pt idx="139">
                  <c:v>48.351603503561797</c:v>
                </c:pt>
                <c:pt idx="140">
                  <c:v>49.05772029841328</c:v>
                </c:pt>
                <c:pt idx="141">
                  <c:v>34.861413482650377</c:v>
                </c:pt>
                <c:pt idx="142">
                  <c:v>17.991133435588072</c:v>
                </c:pt>
                <c:pt idx="143">
                  <c:v>14.990357907810813</c:v>
                </c:pt>
                <c:pt idx="144">
                  <c:v>41.705472918560908</c:v>
                </c:pt>
                <c:pt idx="145">
                  <c:v>21.903737545408656</c:v>
                </c:pt>
                <c:pt idx="146">
                  <c:v>41.520019889884018</c:v>
                </c:pt>
                <c:pt idx="147">
                  <c:v>55.437512307330671</c:v>
                </c:pt>
                <c:pt idx="148">
                  <c:v>60.507210267717355</c:v>
                </c:pt>
                <c:pt idx="149">
                  <c:v>51.733577335790741</c:v>
                </c:pt>
                <c:pt idx="150">
                  <c:v>55.455049525905139</c:v>
                </c:pt>
                <c:pt idx="151">
                  <c:v>57.034609947608082</c:v>
                </c:pt>
                <c:pt idx="152">
                  <c:v>44.793700098451829</c:v>
                </c:pt>
                <c:pt idx="153">
                  <c:v>54.286336706842583</c:v>
                </c:pt>
                <c:pt idx="154">
                  <c:v>30.826755907280692</c:v>
                </c:pt>
                <c:pt idx="155">
                  <c:v>32.201716758313886</c:v>
                </c:pt>
                <c:pt idx="156">
                  <c:v>42.965729219373671</c:v>
                </c:pt>
                <c:pt idx="157">
                  <c:v>32.334912576903669</c:v>
                </c:pt>
                <c:pt idx="158">
                  <c:v>22.747562714030785</c:v>
                </c:pt>
                <c:pt idx="159">
                  <c:v>45.245418295380134</c:v>
                </c:pt>
                <c:pt idx="160">
                  <c:v>59.430348583475428</c:v>
                </c:pt>
                <c:pt idx="161">
                  <c:v>55.755426867413092</c:v>
                </c:pt>
                <c:pt idx="162">
                  <c:v>44.000067764787808</c:v>
                </c:pt>
                <c:pt idx="163">
                  <c:v>54.053917476526919</c:v>
                </c:pt>
                <c:pt idx="164">
                  <c:v>46.422822796430239</c:v>
                </c:pt>
                <c:pt idx="165">
                  <c:v>54.829713161139459</c:v>
                </c:pt>
                <c:pt idx="166">
                  <c:v>50.897676930474454</c:v>
                </c:pt>
                <c:pt idx="167">
                  <c:v>52.505404704836408</c:v>
                </c:pt>
                <c:pt idx="168">
                  <c:v>54.58138319761224</c:v>
                </c:pt>
                <c:pt idx="169">
                  <c:v>55.933113706788596</c:v>
                </c:pt>
                <c:pt idx="170">
                  <c:v>33.213821814723254</c:v>
                </c:pt>
                <c:pt idx="171">
                  <c:v>19.718443372938708</c:v>
                </c:pt>
                <c:pt idx="172">
                  <c:v>47.619645514248525</c:v>
                </c:pt>
                <c:pt idx="173">
                  <c:v>42.198903177327246</c:v>
                </c:pt>
                <c:pt idx="174">
                  <c:v>44.62243236538243</c:v>
                </c:pt>
                <c:pt idx="175">
                  <c:v>31.253032958164003</c:v>
                </c:pt>
                <c:pt idx="176">
                  <c:v>11.94201745406737</c:v>
                </c:pt>
                <c:pt idx="177">
                  <c:v>17.729757488007362</c:v>
                </c:pt>
                <c:pt idx="178">
                  <c:v>60.490102698669354</c:v>
                </c:pt>
                <c:pt idx="179">
                  <c:v>56.166777145380337</c:v>
                </c:pt>
                <c:pt idx="180">
                  <c:v>13.603444142850671</c:v>
                </c:pt>
                <c:pt idx="181">
                  <c:v>55.486275125591092</c:v>
                </c:pt>
                <c:pt idx="182">
                  <c:v>51.663872106207421</c:v>
                </c:pt>
                <c:pt idx="183">
                  <c:v>43.711623894935911</c:v>
                </c:pt>
                <c:pt idx="184">
                  <c:v>45.863471261110675</c:v>
                </c:pt>
                <c:pt idx="185">
                  <c:v>55.285001533506673</c:v>
                </c:pt>
                <c:pt idx="186">
                  <c:v>42.827567933220934</c:v>
                </c:pt>
                <c:pt idx="187">
                  <c:v>53.17882224961005</c:v>
                </c:pt>
                <c:pt idx="188">
                  <c:v>58.357742134271881</c:v>
                </c:pt>
                <c:pt idx="189">
                  <c:v>57.317540684695565</c:v>
                </c:pt>
                <c:pt idx="190">
                  <c:v>56.735169764177371</c:v>
                </c:pt>
                <c:pt idx="191">
                  <c:v>54.775317927213536</c:v>
                </c:pt>
                <c:pt idx="192">
                  <c:v>54.879023119413979</c:v>
                </c:pt>
                <c:pt idx="193">
                  <c:v>54.535917301044883</c:v>
                </c:pt>
                <c:pt idx="194">
                  <c:v>53.84121614631043</c:v>
                </c:pt>
                <c:pt idx="195">
                  <c:v>52.015690456604702</c:v>
                </c:pt>
                <c:pt idx="196">
                  <c:v>53.562094797604338</c:v>
                </c:pt>
                <c:pt idx="197">
                  <c:v>52.642497572755502</c:v>
                </c:pt>
                <c:pt idx="198">
                  <c:v>52.921972892468418</c:v>
                </c:pt>
                <c:pt idx="199">
                  <c:v>42.795574160517319</c:v>
                </c:pt>
                <c:pt idx="200">
                  <c:v>41.043329409730134</c:v>
                </c:pt>
                <c:pt idx="201">
                  <c:v>51.909671244488742</c:v>
                </c:pt>
                <c:pt idx="202">
                  <c:v>39.092651886323125</c:v>
                </c:pt>
                <c:pt idx="203">
                  <c:v>48.809949779174651</c:v>
                </c:pt>
                <c:pt idx="204">
                  <c:v>51.428764436803746</c:v>
                </c:pt>
                <c:pt idx="205">
                  <c:v>31.065855114257378</c:v>
                </c:pt>
                <c:pt idx="206">
                  <c:v>52.563345627997755</c:v>
                </c:pt>
                <c:pt idx="207">
                  <c:v>55.309301801913591</c:v>
                </c:pt>
                <c:pt idx="208">
                  <c:v>47.14731387708715</c:v>
                </c:pt>
                <c:pt idx="209">
                  <c:v>27.313661328580054</c:v>
                </c:pt>
                <c:pt idx="210">
                  <c:v>46.338273241942282</c:v>
                </c:pt>
                <c:pt idx="211">
                  <c:v>51.140615043563017</c:v>
                </c:pt>
                <c:pt idx="212">
                  <c:v>53.078927326109408</c:v>
                </c:pt>
                <c:pt idx="213">
                  <c:v>51.180756360744553</c:v>
                </c:pt>
                <c:pt idx="214">
                  <c:v>49.279128027111895</c:v>
                </c:pt>
                <c:pt idx="215">
                  <c:v>45.758731457663849</c:v>
                </c:pt>
                <c:pt idx="216">
                  <c:v>44.770630276091445</c:v>
                </c:pt>
                <c:pt idx="217">
                  <c:v>47.443519871170388</c:v>
                </c:pt>
                <c:pt idx="218">
                  <c:v>50.498475353576993</c:v>
                </c:pt>
                <c:pt idx="219">
                  <c:v>51.18512058464507</c:v>
                </c:pt>
                <c:pt idx="220">
                  <c:v>49.207961361434073</c:v>
                </c:pt>
                <c:pt idx="221">
                  <c:v>47.366707553023346</c:v>
                </c:pt>
                <c:pt idx="222">
                  <c:v>42.893335553688395</c:v>
                </c:pt>
                <c:pt idx="223">
                  <c:v>45.588536989185258</c:v>
                </c:pt>
                <c:pt idx="224">
                  <c:v>30.738242224929387</c:v>
                </c:pt>
                <c:pt idx="225">
                  <c:v>33.062463549520778</c:v>
                </c:pt>
                <c:pt idx="226">
                  <c:v>38.763217091544483</c:v>
                </c:pt>
                <c:pt idx="227">
                  <c:v>30.916318880217773</c:v>
                </c:pt>
                <c:pt idx="228">
                  <c:v>22.396309308422239</c:v>
                </c:pt>
                <c:pt idx="229">
                  <c:v>37.747029483275774</c:v>
                </c:pt>
                <c:pt idx="230">
                  <c:v>39.06827880937135</c:v>
                </c:pt>
                <c:pt idx="231">
                  <c:v>46.031954738630233</c:v>
                </c:pt>
                <c:pt idx="232">
                  <c:v>30.215325517133412</c:v>
                </c:pt>
                <c:pt idx="233">
                  <c:v>24.226536669228981</c:v>
                </c:pt>
                <c:pt idx="234">
                  <c:v>42.931616096166813</c:v>
                </c:pt>
                <c:pt idx="235">
                  <c:v>43.336051446955267</c:v>
                </c:pt>
                <c:pt idx="236">
                  <c:v>33.008998265608867</c:v>
                </c:pt>
                <c:pt idx="237">
                  <c:v>39.970955880286645</c:v>
                </c:pt>
                <c:pt idx="238">
                  <c:v>46.4924663229015</c:v>
                </c:pt>
                <c:pt idx="239">
                  <c:v>44.827137079976787</c:v>
                </c:pt>
                <c:pt idx="240">
                  <c:v>31.491136061773982</c:v>
                </c:pt>
                <c:pt idx="241">
                  <c:v>43.836642520702924</c:v>
                </c:pt>
                <c:pt idx="242">
                  <c:v>20.580388676342281</c:v>
                </c:pt>
                <c:pt idx="243">
                  <c:v>41.457949858631203</c:v>
                </c:pt>
                <c:pt idx="244">
                  <c:v>36.027653699471109</c:v>
                </c:pt>
                <c:pt idx="245">
                  <c:v>29.643236407837581</c:v>
                </c:pt>
                <c:pt idx="246">
                  <c:v>43.132161435249429</c:v>
                </c:pt>
                <c:pt idx="247">
                  <c:v>37.23230789481714</c:v>
                </c:pt>
                <c:pt idx="248">
                  <c:v>41.756178215903205</c:v>
                </c:pt>
                <c:pt idx="249">
                  <c:v>33.662570311316216</c:v>
                </c:pt>
                <c:pt idx="250">
                  <c:v>36.222656059947965</c:v>
                </c:pt>
                <c:pt idx="251">
                  <c:v>20.594290244780584</c:v>
                </c:pt>
                <c:pt idx="252">
                  <c:v>40.493497038723511</c:v>
                </c:pt>
                <c:pt idx="253">
                  <c:v>40.332464912849424</c:v>
                </c:pt>
                <c:pt idx="254">
                  <c:v>28.028536368168918</c:v>
                </c:pt>
                <c:pt idx="255">
                  <c:v>11.633666650202983</c:v>
                </c:pt>
                <c:pt idx="256">
                  <c:v>34.003496643792026</c:v>
                </c:pt>
                <c:pt idx="257">
                  <c:v>37.093760447702294</c:v>
                </c:pt>
                <c:pt idx="258">
                  <c:v>25.592813599009279</c:v>
                </c:pt>
                <c:pt idx="259">
                  <c:v>40.159718719116611</c:v>
                </c:pt>
                <c:pt idx="260">
                  <c:v>40.457172647978787</c:v>
                </c:pt>
                <c:pt idx="261">
                  <c:v>38.771757362531147</c:v>
                </c:pt>
                <c:pt idx="262">
                  <c:v>39.723536251930703</c:v>
                </c:pt>
                <c:pt idx="263">
                  <c:v>38.55323172963422</c:v>
                </c:pt>
                <c:pt idx="264">
                  <c:v>37.229125084318468</c:v>
                </c:pt>
                <c:pt idx="265">
                  <c:v>23.954707216442046</c:v>
                </c:pt>
                <c:pt idx="266">
                  <c:v>16.059062825986597</c:v>
                </c:pt>
                <c:pt idx="267">
                  <c:v>26.793709448909159</c:v>
                </c:pt>
                <c:pt idx="268">
                  <c:v>28.735914774485568</c:v>
                </c:pt>
                <c:pt idx="269">
                  <c:v>14.021829955529061</c:v>
                </c:pt>
                <c:pt idx="270">
                  <c:v>16.476450949092929</c:v>
                </c:pt>
                <c:pt idx="271">
                  <c:v>21.998683415208284</c:v>
                </c:pt>
                <c:pt idx="272">
                  <c:v>25.376640178819962</c:v>
                </c:pt>
                <c:pt idx="273">
                  <c:v>30.492531444168851</c:v>
                </c:pt>
                <c:pt idx="274">
                  <c:v>32.162774256850639</c:v>
                </c:pt>
                <c:pt idx="275">
                  <c:v>30.297147316406505</c:v>
                </c:pt>
                <c:pt idx="276">
                  <c:v>32.343712498152648</c:v>
                </c:pt>
                <c:pt idx="277">
                  <c:v>32.613348647346982</c:v>
                </c:pt>
                <c:pt idx="278">
                  <c:v>13.991712720144879</c:v>
                </c:pt>
                <c:pt idx="279">
                  <c:v>23.987747175446668</c:v>
                </c:pt>
                <c:pt idx="280">
                  <c:v>14.667591309319324</c:v>
                </c:pt>
                <c:pt idx="281">
                  <c:v>29.581402349787336</c:v>
                </c:pt>
                <c:pt idx="282">
                  <c:v>25.227258130830609</c:v>
                </c:pt>
                <c:pt idx="283">
                  <c:v>21.774334713935282</c:v>
                </c:pt>
                <c:pt idx="284">
                  <c:v>23.453026703631636</c:v>
                </c:pt>
                <c:pt idx="285">
                  <c:v>19.31473888525689</c:v>
                </c:pt>
                <c:pt idx="286">
                  <c:v>16.184707096641748</c:v>
                </c:pt>
                <c:pt idx="287">
                  <c:v>27.378832763968362</c:v>
                </c:pt>
                <c:pt idx="288">
                  <c:v>25.429052656697397</c:v>
                </c:pt>
                <c:pt idx="289">
                  <c:v>16.18206042886035</c:v>
                </c:pt>
                <c:pt idx="290">
                  <c:v>25.25860702853107</c:v>
                </c:pt>
                <c:pt idx="291">
                  <c:v>13.636725077304948</c:v>
                </c:pt>
                <c:pt idx="292">
                  <c:v>7.535000527710479</c:v>
                </c:pt>
                <c:pt idx="293">
                  <c:v>13.160829506205669</c:v>
                </c:pt>
                <c:pt idx="294">
                  <c:v>23.297071500740255</c:v>
                </c:pt>
                <c:pt idx="295">
                  <c:v>15.722859817071033</c:v>
                </c:pt>
                <c:pt idx="296">
                  <c:v>18.562343741086249</c:v>
                </c:pt>
                <c:pt idx="297">
                  <c:v>17.133212603654101</c:v>
                </c:pt>
                <c:pt idx="298">
                  <c:v>13.553496612762697</c:v>
                </c:pt>
                <c:pt idx="299">
                  <c:v>10.817101142548632</c:v>
                </c:pt>
                <c:pt idx="300">
                  <c:v>14.698689885342775</c:v>
                </c:pt>
                <c:pt idx="301">
                  <c:v>18.632582113518282</c:v>
                </c:pt>
                <c:pt idx="302">
                  <c:v>16.033098879803124</c:v>
                </c:pt>
                <c:pt idx="303">
                  <c:v>15.589839680927975</c:v>
                </c:pt>
                <c:pt idx="304">
                  <c:v>14.68800409713532</c:v>
                </c:pt>
                <c:pt idx="305">
                  <c:v>19.852492118331625</c:v>
                </c:pt>
                <c:pt idx="306">
                  <c:v>5.2153508715658035</c:v>
                </c:pt>
                <c:pt idx="307">
                  <c:v>10.762641901534503</c:v>
                </c:pt>
                <c:pt idx="308">
                  <c:v>18.805647022689005</c:v>
                </c:pt>
                <c:pt idx="309">
                  <c:v>18.808490367212624</c:v>
                </c:pt>
                <c:pt idx="310">
                  <c:v>18.637062462085751</c:v>
                </c:pt>
                <c:pt idx="311">
                  <c:v>12.294986462569959</c:v>
                </c:pt>
                <c:pt idx="312">
                  <c:v>7.2546394291095186</c:v>
                </c:pt>
                <c:pt idx="313">
                  <c:v>16.282110109132951</c:v>
                </c:pt>
                <c:pt idx="314">
                  <c:v>16.739353953543223</c:v>
                </c:pt>
                <c:pt idx="315">
                  <c:v>16.572792755812987</c:v>
                </c:pt>
                <c:pt idx="316">
                  <c:v>14.666175652426787</c:v>
                </c:pt>
                <c:pt idx="317">
                  <c:v>8.4437890705859822</c:v>
                </c:pt>
                <c:pt idx="318">
                  <c:v>10.261788890762224</c:v>
                </c:pt>
                <c:pt idx="319">
                  <c:v>16.038591645604601</c:v>
                </c:pt>
                <c:pt idx="320">
                  <c:v>10.501794784963707</c:v>
                </c:pt>
                <c:pt idx="321">
                  <c:v>9.90749038126906</c:v>
                </c:pt>
                <c:pt idx="322">
                  <c:v>7.2675083094215811</c:v>
                </c:pt>
                <c:pt idx="323">
                  <c:v>11.850949989190042</c:v>
                </c:pt>
                <c:pt idx="324">
                  <c:v>2.8212929491233174</c:v>
                </c:pt>
                <c:pt idx="325">
                  <c:v>7.4541090380635611</c:v>
                </c:pt>
                <c:pt idx="326">
                  <c:v>11.051280370070643</c:v>
                </c:pt>
                <c:pt idx="327">
                  <c:v>9.9619562811549969</c:v>
                </c:pt>
                <c:pt idx="328">
                  <c:v>4.0754302579762491</c:v>
                </c:pt>
                <c:pt idx="329">
                  <c:v>8.7225482999384027</c:v>
                </c:pt>
                <c:pt idx="330">
                  <c:v>10.319520370773347</c:v>
                </c:pt>
                <c:pt idx="331">
                  <c:v>8.1113190043654431</c:v>
                </c:pt>
                <c:pt idx="332">
                  <c:v>9.1531042769221802</c:v>
                </c:pt>
                <c:pt idx="333">
                  <c:v>3.7061481068234445</c:v>
                </c:pt>
                <c:pt idx="334">
                  <c:v>3.1981812752928822</c:v>
                </c:pt>
                <c:pt idx="335">
                  <c:v>4.4020647941224684</c:v>
                </c:pt>
                <c:pt idx="336">
                  <c:v>6.8948600567269462</c:v>
                </c:pt>
                <c:pt idx="337">
                  <c:v>11.675259060753877</c:v>
                </c:pt>
                <c:pt idx="338">
                  <c:v>13.661135988775829</c:v>
                </c:pt>
                <c:pt idx="339">
                  <c:v>9.780762258421845</c:v>
                </c:pt>
                <c:pt idx="340">
                  <c:v>12.008350405678767</c:v>
                </c:pt>
                <c:pt idx="341">
                  <c:v>3.5778531465762771</c:v>
                </c:pt>
                <c:pt idx="342">
                  <c:v>6.8081537230808191</c:v>
                </c:pt>
                <c:pt idx="343">
                  <c:v>9.9573700975706494</c:v>
                </c:pt>
                <c:pt idx="344">
                  <c:v>10.415895180572264</c:v>
                </c:pt>
                <c:pt idx="345">
                  <c:v>3.6131302812826194</c:v>
                </c:pt>
                <c:pt idx="346">
                  <c:v>4.3447797378558386</c:v>
                </c:pt>
                <c:pt idx="347">
                  <c:v>10.220553353430768</c:v>
                </c:pt>
                <c:pt idx="348">
                  <c:v>5.007078408167347</c:v>
                </c:pt>
                <c:pt idx="349">
                  <c:v>4.4182946308226754</c:v>
                </c:pt>
                <c:pt idx="350">
                  <c:v>2.7368523082589897</c:v>
                </c:pt>
                <c:pt idx="351">
                  <c:v>10.651402275255316</c:v>
                </c:pt>
                <c:pt idx="352">
                  <c:v>10.443720110494874</c:v>
                </c:pt>
                <c:pt idx="353">
                  <c:v>3.3189548708234535</c:v>
                </c:pt>
                <c:pt idx="354">
                  <c:v>12.100341666425322</c:v>
                </c:pt>
                <c:pt idx="355">
                  <c:v>10.73481325414776</c:v>
                </c:pt>
                <c:pt idx="356">
                  <c:v>11.250598402084371</c:v>
                </c:pt>
                <c:pt idx="357">
                  <c:v>12.814856798361699</c:v>
                </c:pt>
                <c:pt idx="358">
                  <c:v>7.2474020974634943</c:v>
                </c:pt>
                <c:pt idx="359">
                  <c:v>11.277266596254551</c:v>
                </c:pt>
                <c:pt idx="360">
                  <c:v>5.3765950195782191</c:v>
                </c:pt>
                <c:pt idx="361">
                  <c:v>11.97327470035621</c:v>
                </c:pt>
                <c:pt idx="362">
                  <c:v>8.0528208726881179</c:v>
                </c:pt>
                <c:pt idx="363">
                  <c:v>10.245345531260236</c:v>
                </c:pt>
                <c:pt idx="364">
                  <c:v>8.0068591759613525</c:v>
                </c:pt>
                <c:pt idx="365">
                  <c:v>9.5353036693682132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5.2849482912521646</c:v>
                </c:pt>
                <c:pt idx="1">
                  <c:v>1.2898682472425294</c:v>
                </c:pt>
                <c:pt idx="2">
                  <c:v>9.7238850698797581</c:v>
                </c:pt>
                <c:pt idx="3">
                  <c:v>9.7950698593550189</c:v>
                </c:pt>
                <c:pt idx="4">
                  <c:v>10.557254340773525</c:v>
                </c:pt>
                <c:pt idx="5">
                  <c:v>4.6846713744193398</c:v>
                </c:pt>
                <c:pt idx="6">
                  <c:v>11.957407889400438</c:v>
                </c:pt>
                <c:pt idx="7">
                  <c:v>6.2427680565593713</c:v>
                </c:pt>
                <c:pt idx="8">
                  <c:v>6.3667867263581526</c:v>
                </c:pt>
                <c:pt idx="9">
                  <c:v>14.033716952649343</c:v>
                </c:pt>
                <c:pt idx="10">
                  <c:v>4.1682898461924749</c:v>
                </c:pt>
                <c:pt idx="11">
                  <c:v>15.076427005693304</c:v>
                </c:pt>
                <c:pt idx="12">
                  <c:v>9.8485855791732106</c:v>
                </c:pt>
                <c:pt idx="13">
                  <c:v>11.912172815230463</c:v>
                </c:pt>
                <c:pt idx="14">
                  <c:v>4.9413351725896719</c:v>
                </c:pt>
                <c:pt idx="15">
                  <c:v>3.17008175045985</c:v>
                </c:pt>
                <c:pt idx="16">
                  <c:v>5.4564303065211011</c:v>
                </c:pt>
                <c:pt idx="17">
                  <c:v>12.71799559074708</c:v>
                </c:pt>
                <c:pt idx="18">
                  <c:v>8.2553598416047702</c:v>
                </c:pt>
                <c:pt idx="19">
                  <c:v>14.46080154556811</c:v>
                </c:pt>
                <c:pt idx="20">
                  <c:v>6.7146941170952008</c:v>
                </c:pt>
                <c:pt idx="21">
                  <c:v>18.245509858069859</c:v>
                </c:pt>
                <c:pt idx="22">
                  <c:v>18.307671498823435</c:v>
                </c:pt>
                <c:pt idx="23">
                  <c:v>18.730308242208686</c:v>
                </c:pt>
                <c:pt idx="24">
                  <c:v>18.968884344466012</c:v>
                </c:pt>
                <c:pt idx="25">
                  <c:v>19.075272410806473</c:v>
                </c:pt>
                <c:pt idx="26">
                  <c:v>18.630564405426341</c:v>
                </c:pt>
                <c:pt idx="27">
                  <c:v>3.900003209588812</c:v>
                </c:pt>
                <c:pt idx="28">
                  <c:v>6.1030804723891894</c:v>
                </c:pt>
                <c:pt idx="29">
                  <c:v>4.4451994717042247</c:v>
                </c:pt>
                <c:pt idx="30">
                  <c:v>9.9739524744989545</c:v>
                </c:pt>
                <c:pt idx="31">
                  <c:v>9.8138015000215209</c:v>
                </c:pt>
                <c:pt idx="32">
                  <c:v>5.131206616812559</c:v>
                </c:pt>
                <c:pt idx="33">
                  <c:v>12.279906650212546</c:v>
                </c:pt>
                <c:pt idx="34">
                  <c:v>10.247059549557685</c:v>
                </c:pt>
                <c:pt idx="35">
                  <c:v>8.8838078007243624</c:v>
                </c:pt>
                <c:pt idx="36">
                  <c:v>16.504389354730662</c:v>
                </c:pt>
                <c:pt idx="37">
                  <c:v>11.448998937154661</c:v>
                </c:pt>
                <c:pt idx="38">
                  <c:v>23.825608435324206</c:v>
                </c:pt>
                <c:pt idx="39">
                  <c:v>23.882091897621276</c:v>
                </c:pt>
                <c:pt idx="40">
                  <c:v>23.194700807456055</c:v>
                </c:pt>
                <c:pt idx="41">
                  <c:v>12.242231890922412</c:v>
                </c:pt>
                <c:pt idx="42">
                  <c:v>20.94771878263067</c:v>
                </c:pt>
                <c:pt idx="43">
                  <c:v>24.437070607769524</c:v>
                </c:pt>
                <c:pt idx="44">
                  <c:v>14.371026636314095</c:v>
                </c:pt>
                <c:pt idx="45">
                  <c:v>17.51202222967963</c:v>
                </c:pt>
                <c:pt idx="46">
                  <c:v>8.940047617630432</c:v>
                </c:pt>
                <c:pt idx="47">
                  <c:v>10.395145689391004</c:v>
                </c:pt>
                <c:pt idx="48">
                  <c:v>24.557453552876549</c:v>
                </c:pt>
                <c:pt idx="49">
                  <c:v>14.833085202306798</c:v>
                </c:pt>
                <c:pt idx="50">
                  <c:v>17.761599164030287</c:v>
                </c:pt>
                <c:pt idx="51">
                  <c:v>18.246616662636615</c:v>
                </c:pt>
                <c:pt idx="52">
                  <c:v>26.990064490644954</c:v>
                </c:pt>
                <c:pt idx="53">
                  <c:v>28.596219707453869</c:v>
                </c:pt>
                <c:pt idx="54">
                  <c:v>17.224808356155258</c:v>
                </c:pt>
                <c:pt idx="55">
                  <c:v>25.51177177666494</c:v>
                </c:pt>
                <c:pt idx="56">
                  <c:v>31.156247657652766</c:v>
                </c:pt>
                <c:pt idx="57">
                  <c:v>23.806180198630912</c:v>
                </c:pt>
                <c:pt idx="58">
                  <c:v>28.37137999436893</c:v>
                </c:pt>
                <c:pt idx="59">
                  <c:v>31.218086484065047</c:v>
                </c:pt>
                <c:pt idx="60">
                  <c:v>14.504633261071913</c:v>
                </c:pt>
                <c:pt idx="61">
                  <c:v>30.006365079835142</c:v>
                </c:pt>
                <c:pt idx="62">
                  <c:v>5.7086207780110669</c:v>
                </c:pt>
                <c:pt idx="63">
                  <c:v>12.805996640573909</c:v>
                </c:pt>
                <c:pt idx="64">
                  <c:v>18.801905414500958</c:v>
                </c:pt>
                <c:pt idx="65">
                  <c:v>32.088052386322012</c:v>
                </c:pt>
                <c:pt idx="66">
                  <c:v>25.911633454991748</c:v>
                </c:pt>
                <c:pt idx="67">
                  <c:v>27.006079370051946</c:v>
                </c:pt>
                <c:pt idx="68">
                  <c:v>18.961499529794693</c:v>
                </c:pt>
                <c:pt idx="69">
                  <c:v>13.498859171963909</c:v>
                </c:pt>
                <c:pt idx="70">
                  <c:v>12.806946849603381</c:v>
                </c:pt>
                <c:pt idx="71">
                  <c:v>8.4636801318850861</c:v>
                </c:pt>
                <c:pt idx="72">
                  <c:v>11.667096699617421</c:v>
                </c:pt>
                <c:pt idx="73">
                  <c:v>13.492652896409245</c:v>
                </c:pt>
                <c:pt idx="74">
                  <c:v>11.849634654508423</c:v>
                </c:pt>
                <c:pt idx="75">
                  <c:v>10.398305790061279</c:v>
                </c:pt>
                <c:pt idx="76">
                  <c:v>13.056937790019516</c:v>
                </c:pt>
                <c:pt idx="77">
                  <c:v>26.308022452546616</c:v>
                </c:pt>
                <c:pt idx="78">
                  <c:v>29.685140499240934</c:v>
                </c:pt>
                <c:pt idx="79">
                  <c:v>39.807951164111444</c:v>
                </c:pt>
                <c:pt idx="80">
                  <c:v>36.831183286605373</c:v>
                </c:pt>
                <c:pt idx="81">
                  <c:v>41.627515183961158</c:v>
                </c:pt>
                <c:pt idx="82">
                  <c:v>41.045189081383</c:v>
                </c:pt>
                <c:pt idx="83">
                  <c:v>37.577879524353072</c:v>
                </c:pt>
                <c:pt idx="84">
                  <c:v>40.586997262256745</c:v>
                </c:pt>
                <c:pt idx="85">
                  <c:v>40.072110804405597</c:v>
                </c:pt>
                <c:pt idx="86">
                  <c:v>31.170302375618515</c:v>
                </c:pt>
                <c:pt idx="87">
                  <c:v>25.739966300643125</c:v>
                </c:pt>
                <c:pt idx="88">
                  <c:v>7.2553450583942638</c:v>
                </c:pt>
                <c:pt idx="89">
                  <c:v>25.337954133014843</c:v>
                </c:pt>
                <c:pt idx="90">
                  <c:v>27.621504353016583</c:v>
                </c:pt>
                <c:pt idx="91">
                  <c:v>18.715347520306661</c:v>
                </c:pt>
                <c:pt idx="92">
                  <c:v>23.173213576505784</c:v>
                </c:pt>
                <c:pt idx="93">
                  <c:v>40.136622029587677</c:v>
                </c:pt>
                <c:pt idx="94">
                  <c:v>46.449936493703419</c:v>
                </c:pt>
                <c:pt idx="95">
                  <c:v>11.801547185531463</c:v>
                </c:pt>
                <c:pt idx="96">
                  <c:v>35.705516532790426</c:v>
                </c:pt>
                <c:pt idx="97">
                  <c:v>27.893298602961757</c:v>
                </c:pt>
                <c:pt idx="98">
                  <c:v>33.851476881165738</c:v>
                </c:pt>
                <c:pt idx="99">
                  <c:v>47.94036504715671</c:v>
                </c:pt>
                <c:pt idx="100">
                  <c:v>36.686237632918193</c:v>
                </c:pt>
                <c:pt idx="101">
                  <c:v>33.708809944684248</c:v>
                </c:pt>
                <c:pt idx="102">
                  <c:v>7.4299602884662965</c:v>
                </c:pt>
                <c:pt idx="103">
                  <c:v>36.329940429598309</c:v>
                </c:pt>
                <c:pt idx="104">
                  <c:v>40.342421246856901</c:v>
                </c:pt>
                <c:pt idx="105">
                  <c:v>43.264069024414127</c:v>
                </c:pt>
                <c:pt idx="106">
                  <c:v>49.113369362341281</c:v>
                </c:pt>
                <c:pt idx="107">
                  <c:v>39.467941319045714</c:v>
                </c:pt>
                <c:pt idx="108">
                  <c:v>10.785116860351339</c:v>
                </c:pt>
                <c:pt idx="109">
                  <c:v>10.182518019362901</c:v>
                </c:pt>
                <c:pt idx="110">
                  <c:v>9.7174961987166117</c:v>
                </c:pt>
                <c:pt idx="111">
                  <c:v>29.392413752741</c:v>
                </c:pt>
                <c:pt idx="112">
                  <c:v>8.5027703870772573</c:v>
                </c:pt>
                <c:pt idx="113">
                  <c:v>36.352188719400125</c:v>
                </c:pt>
                <c:pt idx="114">
                  <c:v>45.362310535657237</c:v>
                </c:pt>
                <c:pt idx="115">
                  <c:v>50.314591608816031</c:v>
                </c:pt>
                <c:pt idx="116">
                  <c:v>35.897604224924436</c:v>
                </c:pt>
                <c:pt idx="117">
                  <c:v>21.994374475501285</c:v>
                </c:pt>
                <c:pt idx="118">
                  <c:v>41.331670714538269</c:v>
                </c:pt>
                <c:pt idx="119">
                  <c:v>43.170789245374436</c:v>
                </c:pt>
                <c:pt idx="120">
                  <c:v>46.208951398608114</c:v>
                </c:pt>
                <c:pt idx="121">
                  <c:v>28.250210980670477</c:v>
                </c:pt>
                <c:pt idx="122">
                  <c:v>33.388587021685915</c:v>
                </c:pt>
                <c:pt idx="123">
                  <c:v>0.84771411605678004</c:v>
                </c:pt>
                <c:pt idx="124">
                  <c:v>38.960725940593647</c:v>
                </c:pt>
                <c:pt idx="125">
                  <c:v>36.118448982226468</c:v>
                </c:pt>
                <c:pt idx="126">
                  <c:v>49.620363299324552</c:v>
                </c:pt>
                <c:pt idx="127">
                  <c:v>50.479774555353309</c:v>
                </c:pt>
                <c:pt idx="128">
                  <c:v>56.055139037835389</c:v>
                </c:pt>
                <c:pt idx="129">
                  <c:v>51.46077191818604</c:v>
                </c:pt>
                <c:pt idx="130">
                  <c:v>56.398778478102898</c:v>
                </c:pt>
                <c:pt idx="131">
                  <c:v>43.992553291004995</c:v>
                </c:pt>
                <c:pt idx="132">
                  <c:v>46.948701802111728</c:v>
                </c:pt>
                <c:pt idx="133">
                  <c:v>48.394795585119823</c:v>
                </c:pt>
                <c:pt idx="134">
                  <c:v>52.358264633652318</c:v>
                </c:pt>
                <c:pt idx="135">
                  <c:v>51.041117501383901</c:v>
                </c:pt>
                <c:pt idx="136">
                  <c:v>55.035642232497516</c:v>
                </c:pt>
                <c:pt idx="137">
                  <c:v>53.559081390732622</c:v>
                </c:pt>
                <c:pt idx="138">
                  <c:v>55.51386580500921</c:v>
                </c:pt>
                <c:pt idx="139">
                  <c:v>48.351603503561797</c:v>
                </c:pt>
                <c:pt idx="140">
                  <c:v>49.05772029841328</c:v>
                </c:pt>
                <c:pt idx="141">
                  <c:v>34.861413482650377</c:v>
                </c:pt>
                <c:pt idx="142">
                  <c:v>17.991133435588072</c:v>
                </c:pt>
                <c:pt idx="143">
                  <c:v>14.990357907810813</c:v>
                </c:pt>
                <c:pt idx="144">
                  <c:v>41.705472918560908</c:v>
                </c:pt>
                <c:pt idx="145">
                  <c:v>21.903737545408656</c:v>
                </c:pt>
                <c:pt idx="146">
                  <c:v>41.520019889884018</c:v>
                </c:pt>
                <c:pt idx="147">
                  <c:v>55.437512307330671</c:v>
                </c:pt>
                <c:pt idx="148">
                  <c:v>60.507210267717355</c:v>
                </c:pt>
                <c:pt idx="149">
                  <c:v>51.733577335790741</c:v>
                </c:pt>
                <c:pt idx="150">
                  <c:v>55.455049525905139</c:v>
                </c:pt>
                <c:pt idx="151">
                  <c:v>57.034609947608082</c:v>
                </c:pt>
                <c:pt idx="152">
                  <c:v>44.793700098451829</c:v>
                </c:pt>
                <c:pt idx="153">
                  <c:v>54.286336706842583</c:v>
                </c:pt>
                <c:pt idx="154">
                  <c:v>30.826755907280692</c:v>
                </c:pt>
                <c:pt idx="155">
                  <c:v>32.201716758313886</c:v>
                </c:pt>
                <c:pt idx="156">
                  <c:v>42.965729219373671</c:v>
                </c:pt>
                <c:pt idx="157">
                  <c:v>32.334912576903669</c:v>
                </c:pt>
                <c:pt idx="158">
                  <c:v>22.747562714030785</c:v>
                </c:pt>
                <c:pt idx="159">
                  <c:v>45.245418295380134</c:v>
                </c:pt>
                <c:pt idx="160">
                  <c:v>59.430348583475428</c:v>
                </c:pt>
                <c:pt idx="161">
                  <c:v>55.755426867413092</c:v>
                </c:pt>
                <c:pt idx="162">
                  <c:v>44.000067764787808</c:v>
                </c:pt>
                <c:pt idx="163">
                  <c:v>54.053917476526919</c:v>
                </c:pt>
                <c:pt idx="164">
                  <c:v>46.422822796430239</c:v>
                </c:pt>
                <c:pt idx="165">
                  <c:v>54.829713161139459</c:v>
                </c:pt>
                <c:pt idx="166">
                  <c:v>50.897676930474454</c:v>
                </c:pt>
                <c:pt idx="167">
                  <c:v>52.505404704836408</c:v>
                </c:pt>
                <c:pt idx="168">
                  <c:v>54.58138319761224</c:v>
                </c:pt>
                <c:pt idx="169">
                  <c:v>55.933113706788596</c:v>
                </c:pt>
                <c:pt idx="170">
                  <c:v>33.213821814723254</c:v>
                </c:pt>
                <c:pt idx="171">
                  <c:v>19.718443372938708</c:v>
                </c:pt>
                <c:pt idx="172">
                  <c:v>47.619645514248525</c:v>
                </c:pt>
                <c:pt idx="173">
                  <c:v>42.198903177327246</c:v>
                </c:pt>
                <c:pt idx="174">
                  <c:v>44.62243236538243</c:v>
                </c:pt>
                <c:pt idx="175">
                  <c:v>31.253032958164003</c:v>
                </c:pt>
                <c:pt idx="176">
                  <c:v>11.94201745406737</c:v>
                </c:pt>
                <c:pt idx="177">
                  <c:v>17.729757488007362</c:v>
                </c:pt>
                <c:pt idx="178">
                  <c:v>60.490102698669354</c:v>
                </c:pt>
                <c:pt idx="179">
                  <c:v>56.166777145380337</c:v>
                </c:pt>
                <c:pt idx="180">
                  <c:v>13.603444142850671</c:v>
                </c:pt>
                <c:pt idx="181">
                  <c:v>55.486275125591092</c:v>
                </c:pt>
                <c:pt idx="182">
                  <c:v>51.663872106207421</c:v>
                </c:pt>
                <c:pt idx="183">
                  <c:v>43.711623894935911</c:v>
                </c:pt>
                <c:pt idx="184">
                  <c:v>45.863471261110675</c:v>
                </c:pt>
                <c:pt idx="185">
                  <c:v>55.285001533506673</c:v>
                </c:pt>
                <c:pt idx="186">
                  <c:v>42.827567933220934</c:v>
                </c:pt>
                <c:pt idx="187">
                  <c:v>53.17882224961005</c:v>
                </c:pt>
                <c:pt idx="188">
                  <c:v>58.357742134271881</c:v>
                </c:pt>
                <c:pt idx="189">
                  <c:v>57.317540684695565</c:v>
                </c:pt>
                <c:pt idx="190">
                  <c:v>56.735169764177371</c:v>
                </c:pt>
                <c:pt idx="191">
                  <c:v>54.775317927213536</c:v>
                </c:pt>
                <c:pt idx="192">
                  <c:v>54.879023119413979</c:v>
                </c:pt>
                <c:pt idx="193">
                  <c:v>54.535917301044883</c:v>
                </c:pt>
                <c:pt idx="194">
                  <c:v>53.84121614631043</c:v>
                </c:pt>
                <c:pt idx="195">
                  <c:v>52.015690456604702</c:v>
                </c:pt>
                <c:pt idx="196">
                  <c:v>53.562094797604338</c:v>
                </c:pt>
                <c:pt idx="197">
                  <c:v>52.642497572755502</c:v>
                </c:pt>
                <c:pt idx="198">
                  <c:v>52.921972892468418</c:v>
                </c:pt>
                <c:pt idx="199">
                  <c:v>42.795574160517319</c:v>
                </c:pt>
                <c:pt idx="200">
                  <c:v>41.043329409730134</c:v>
                </c:pt>
                <c:pt idx="201">
                  <c:v>51.909671244488742</c:v>
                </c:pt>
                <c:pt idx="202">
                  <c:v>39.092651886323125</c:v>
                </c:pt>
                <c:pt idx="203">
                  <c:v>48.809949779174651</c:v>
                </c:pt>
                <c:pt idx="204">
                  <c:v>51.428764436803746</c:v>
                </c:pt>
                <c:pt idx="205">
                  <c:v>31.065855114257378</c:v>
                </c:pt>
                <c:pt idx="206">
                  <c:v>52.563345627997755</c:v>
                </c:pt>
                <c:pt idx="207">
                  <c:v>55.309301801913591</c:v>
                </c:pt>
                <c:pt idx="208">
                  <c:v>47.14731387708715</c:v>
                </c:pt>
                <c:pt idx="209">
                  <c:v>27.313661328580054</c:v>
                </c:pt>
                <c:pt idx="210">
                  <c:v>46.338273241942282</c:v>
                </c:pt>
                <c:pt idx="211">
                  <c:v>51.140615043563017</c:v>
                </c:pt>
                <c:pt idx="212">
                  <c:v>53.078927326109408</c:v>
                </c:pt>
                <c:pt idx="213">
                  <c:v>51.180756360744553</c:v>
                </c:pt>
                <c:pt idx="214">
                  <c:v>49.279128027111895</c:v>
                </c:pt>
                <c:pt idx="215">
                  <c:v>45.758731457663849</c:v>
                </c:pt>
                <c:pt idx="216">
                  <c:v>44.770630276091445</c:v>
                </c:pt>
                <c:pt idx="217">
                  <c:v>47.443519871170388</c:v>
                </c:pt>
                <c:pt idx="218">
                  <c:v>50.498475353576993</c:v>
                </c:pt>
                <c:pt idx="219">
                  <c:v>51.18512058464507</c:v>
                </c:pt>
                <c:pt idx="220">
                  <c:v>49.207961361434073</c:v>
                </c:pt>
                <c:pt idx="221">
                  <c:v>47.366707553023346</c:v>
                </c:pt>
                <c:pt idx="222">
                  <c:v>42.893335553688395</c:v>
                </c:pt>
                <c:pt idx="223">
                  <c:v>45.588536989185258</c:v>
                </c:pt>
                <c:pt idx="224">
                  <c:v>30.738242224929387</c:v>
                </c:pt>
                <c:pt idx="225">
                  <c:v>33.062463549520778</c:v>
                </c:pt>
                <c:pt idx="226">
                  <c:v>38.763217091544483</c:v>
                </c:pt>
                <c:pt idx="227">
                  <c:v>30.916318880217773</c:v>
                </c:pt>
                <c:pt idx="228">
                  <c:v>22.396309308422239</c:v>
                </c:pt>
                <c:pt idx="229">
                  <c:v>37.747029483275774</c:v>
                </c:pt>
                <c:pt idx="230">
                  <c:v>39.06827880937135</c:v>
                </c:pt>
                <c:pt idx="231">
                  <c:v>46.031954738630233</c:v>
                </c:pt>
                <c:pt idx="232">
                  <c:v>30.215325517133412</c:v>
                </c:pt>
                <c:pt idx="233">
                  <c:v>24.226536669228981</c:v>
                </c:pt>
                <c:pt idx="234">
                  <c:v>42.931616096166813</c:v>
                </c:pt>
                <c:pt idx="235">
                  <c:v>43.336051446955267</c:v>
                </c:pt>
                <c:pt idx="236">
                  <c:v>33.008998265608867</c:v>
                </c:pt>
                <c:pt idx="237">
                  <c:v>39.970955880286645</c:v>
                </c:pt>
                <c:pt idx="238">
                  <c:v>46.4924663229015</c:v>
                </c:pt>
                <c:pt idx="239">
                  <c:v>44.827137079976787</c:v>
                </c:pt>
                <c:pt idx="240">
                  <c:v>31.491136061773982</c:v>
                </c:pt>
                <c:pt idx="241">
                  <c:v>43.836642520702924</c:v>
                </c:pt>
                <c:pt idx="242">
                  <c:v>20.580388676342281</c:v>
                </c:pt>
                <c:pt idx="243">
                  <c:v>41.457949858631203</c:v>
                </c:pt>
                <c:pt idx="244">
                  <c:v>36.027653699471109</c:v>
                </c:pt>
                <c:pt idx="245">
                  <c:v>29.643236407837581</c:v>
                </c:pt>
                <c:pt idx="246">
                  <c:v>43.132161435249429</c:v>
                </c:pt>
                <c:pt idx="247">
                  <c:v>37.23230789481714</c:v>
                </c:pt>
                <c:pt idx="248">
                  <c:v>41.756178215903205</c:v>
                </c:pt>
                <c:pt idx="249">
                  <c:v>33.662570311316216</c:v>
                </c:pt>
                <c:pt idx="250">
                  <c:v>36.222656059947965</c:v>
                </c:pt>
                <c:pt idx="251">
                  <c:v>20.594290244780584</c:v>
                </c:pt>
                <c:pt idx="252">
                  <c:v>40.493497038723511</c:v>
                </c:pt>
                <c:pt idx="253">
                  <c:v>40.332464912849424</c:v>
                </c:pt>
                <c:pt idx="254">
                  <c:v>28.028536368168918</c:v>
                </c:pt>
                <c:pt idx="255">
                  <c:v>11.633666650202983</c:v>
                </c:pt>
                <c:pt idx="256">
                  <c:v>34.003496643792026</c:v>
                </c:pt>
                <c:pt idx="257">
                  <c:v>37.093760447702294</c:v>
                </c:pt>
                <c:pt idx="258">
                  <c:v>25.592813599009279</c:v>
                </c:pt>
                <c:pt idx="259">
                  <c:v>40.159718719116611</c:v>
                </c:pt>
                <c:pt idx="260">
                  <c:v>40.457172647978787</c:v>
                </c:pt>
                <c:pt idx="261">
                  <c:v>38.771757362531147</c:v>
                </c:pt>
                <c:pt idx="262">
                  <c:v>39.723536251930703</c:v>
                </c:pt>
                <c:pt idx="263">
                  <c:v>38.55323172963422</c:v>
                </c:pt>
                <c:pt idx="264">
                  <c:v>37.229125084318468</c:v>
                </c:pt>
                <c:pt idx="265">
                  <c:v>23.954707216442046</c:v>
                </c:pt>
                <c:pt idx="266">
                  <c:v>16.059062825986597</c:v>
                </c:pt>
                <c:pt idx="267">
                  <c:v>26.793709448909159</c:v>
                </c:pt>
                <c:pt idx="268">
                  <c:v>28.735914774485568</c:v>
                </c:pt>
                <c:pt idx="269">
                  <c:v>14.021829955529061</c:v>
                </c:pt>
                <c:pt idx="270">
                  <c:v>16.476450949092929</c:v>
                </c:pt>
                <c:pt idx="271">
                  <c:v>21.998683415208284</c:v>
                </c:pt>
                <c:pt idx="272">
                  <c:v>25.376640178819962</c:v>
                </c:pt>
                <c:pt idx="273">
                  <c:v>30.492531444168851</c:v>
                </c:pt>
                <c:pt idx="274">
                  <c:v>32.162774256850639</c:v>
                </c:pt>
                <c:pt idx="275">
                  <c:v>30.297147316406505</c:v>
                </c:pt>
                <c:pt idx="276">
                  <c:v>32.343712498152648</c:v>
                </c:pt>
                <c:pt idx="277">
                  <c:v>32.613348647346982</c:v>
                </c:pt>
                <c:pt idx="278">
                  <c:v>13.991712720144879</c:v>
                </c:pt>
                <c:pt idx="279">
                  <c:v>23.987747175446668</c:v>
                </c:pt>
                <c:pt idx="280">
                  <c:v>14.667591309319324</c:v>
                </c:pt>
                <c:pt idx="281">
                  <c:v>29.581402349787336</c:v>
                </c:pt>
                <c:pt idx="282">
                  <c:v>25.227258130830609</c:v>
                </c:pt>
                <c:pt idx="283">
                  <c:v>21.774334713935282</c:v>
                </c:pt>
                <c:pt idx="284">
                  <c:v>23.453026703631636</c:v>
                </c:pt>
                <c:pt idx="285">
                  <c:v>19.31473888525689</c:v>
                </c:pt>
                <c:pt idx="286">
                  <c:v>16.184707096641748</c:v>
                </c:pt>
                <c:pt idx="287">
                  <c:v>27.378832763968362</c:v>
                </c:pt>
                <c:pt idx="288">
                  <c:v>25.429052656697397</c:v>
                </c:pt>
                <c:pt idx="289">
                  <c:v>16.18206042886035</c:v>
                </c:pt>
                <c:pt idx="290">
                  <c:v>25.25860702853107</c:v>
                </c:pt>
                <c:pt idx="291">
                  <c:v>13.636725077304948</c:v>
                </c:pt>
                <c:pt idx="292">
                  <c:v>7.535000527710479</c:v>
                </c:pt>
                <c:pt idx="293">
                  <c:v>13.160829506205669</c:v>
                </c:pt>
                <c:pt idx="294">
                  <c:v>23.297071500740255</c:v>
                </c:pt>
                <c:pt idx="295">
                  <c:v>15.722859817071033</c:v>
                </c:pt>
                <c:pt idx="296">
                  <c:v>18.562343741086249</c:v>
                </c:pt>
                <c:pt idx="297">
                  <c:v>17.133212603654101</c:v>
                </c:pt>
                <c:pt idx="298">
                  <c:v>13.553496612762697</c:v>
                </c:pt>
                <c:pt idx="299">
                  <c:v>10.817101142548632</c:v>
                </c:pt>
                <c:pt idx="300">
                  <c:v>14.698689885342775</c:v>
                </c:pt>
                <c:pt idx="301">
                  <c:v>18.632582113518282</c:v>
                </c:pt>
                <c:pt idx="302">
                  <c:v>16.033098879803124</c:v>
                </c:pt>
                <c:pt idx="303">
                  <c:v>15.589839680927975</c:v>
                </c:pt>
                <c:pt idx="304">
                  <c:v>14.68800409713532</c:v>
                </c:pt>
                <c:pt idx="305">
                  <c:v>19.852492118331625</c:v>
                </c:pt>
                <c:pt idx="306">
                  <c:v>5.2153508715658035</c:v>
                </c:pt>
                <c:pt idx="307">
                  <c:v>10.762641901534503</c:v>
                </c:pt>
                <c:pt idx="308">
                  <c:v>18.805647022689005</c:v>
                </c:pt>
                <c:pt idx="309">
                  <c:v>18.808490367212624</c:v>
                </c:pt>
                <c:pt idx="310">
                  <c:v>18.637062462085751</c:v>
                </c:pt>
                <c:pt idx="311">
                  <c:v>12.294986462569959</c:v>
                </c:pt>
                <c:pt idx="312">
                  <c:v>7.2546394291095186</c:v>
                </c:pt>
                <c:pt idx="313">
                  <c:v>16.282110109132951</c:v>
                </c:pt>
                <c:pt idx="314">
                  <c:v>16.739353953543223</c:v>
                </c:pt>
                <c:pt idx="315">
                  <c:v>16.572792755812987</c:v>
                </c:pt>
                <c:pt idx="316">
                  <c:v>14.666175652426787</c:v>
                </c:pt>
                <c:pt idx="317">
                  <c:v>8.4437890705859822</c:v>
                </c:pt>
                <c:pt idx="318">
                  <c:v>10.261788890762224</c:v>
                </c:pt>
                <c:pt idx="319">
                  <c:v>16.038591645604601</c:v>
                </c:pt>
                <c:pt idx="320">
                  <c:v>10.501794784963707</c:v>
                </c:pt>
                <c:pt idx="321">
                  <c:v>9.90749038126906</c:v>
                </c:pt>
                <c:pt idx="322">
                  <c:v>7.2675083094215811</c:v>
                </c:pt>
                <c:pt idx="323">
                  <c:v>11.850949989190042</c:v>
                </c:pt>
                <c:pt idx="324">
                  <c:v>2.8212929491233174</c:v>
                </c:pt>
                <c:pt idx="325">
                  <c:v>7.4541090380635611</c:v>
                </c:pt>
                <c:pt idx="326">
                  <c:v>11.051280370070643</c:v>
                </c:pt>
                <c:pt idx="327">
                  <c:v>9.9619562811549969</c:v>
                </c:pt>
                <c:pt idx="328">
                  <c:v>4.0754302579762491</c:v>
                </c:pt>
                <c:pt idx="329">
                  <c:v>8.7225482999384027</c:v>
                </c:pt>
                <c:pt idx="330">
                  <c:v>10.319520370773347</c:v>
                </c:pt>
                <c:pt idx="331">
                  <c:v>8.1113190043654431</c:v>
                </c:pt>
                <c:pt idx="332">
                  <c:v>9.1531042769221802</c:v>
                </c:pt>
                <c:pt idx="333">
                  <c:v>3.7061481068234445</c:v>
                </c:pt>
                <c:pt idx="334">
                  <c:v>3.1981812752928822</c:v>
                </c:pt>
                <c:pt idx="335">
                  <c:v>4.4020647941224684</c:v>
                </c:pt>
                <c:pt idx="336">
                  <c:v>6.8948600567269462</c:v>
                </c:pt>
                <c:pt idx="337">
                  <c:v>11.675259060753877</c:v>
                </c:pt>
                <c:pt idx="338">
                  <c:v>13.661135988775829</c:v>
                </c:pt>
                <c:pt idx="339">
                  <c:v>9.780762258421845</c:v>
                </c:pt>
                <c:pt idx="340">
                  <c:v>12.008350405678767</c:v>
                </c:pt>
                <c:pt idx="341">
                  <c:v>3.5778531465762771</c:v>
                </c:pt>
                <c:pt idx="342">
                  <c:v>6.8081537230808191</c:v>
                </c:pt>
                <c:pt idx="343">
                  <c:v>9.9573700975706494</c:v>
                </c:pt>
                <c:pt idx="344">
                  <c:v>10.415895180572264</c:v>
                </c:pt>
                <c:pt idx="345">
                  <c:v>3.6131302812826194</c:v>
                </c:pt>
                <c:pt idx="346">
                  <c:v>4.3447797378558386</c:v>
                </c:pt>
                <c:pt idx="347">
                  <c:v>10.220553353430768</c:v>
                </c:pt>
                <c:pt idx="348">
                  <c:v>5.007078408167347</c:v>
                </c:pt>
                <c:pt idx="349">
                  <c:v>4.4182946308226754</c:v>
                </c:pt>
                <c:pt idx="350">
                  <c:v>2.7368523082589897</c:v>
                </c:pt>
                <c:pt idx="351">
                  <c:v>10.651402275255316</c:v>
                </c:pt>
                <c:pt idx="352">
                  <c:v>10.443720110494874</c:v>
                </c:pt>
                <c:pt idx="353">
                  <c:v>3.3189548708234535</c:v>
                </c:pt>
                <c:pt idx="354">
                  <c:v>12.100341666425322</c:v>
                </c:pt>
                <c:pt idx="355">
                  <c:v>10.73481325414776</c:v>
                </c:pt>
                <c:pt idx="356">
                  <c:v>11.250598402084371</c:v>
                </c:pt>
                <c:pt idx="357">
                  <c:v>12.814856798361699</c:v>
                </c:pt>
                <c:pt idx="358">
                  <c:v>7.2474020974634943</c:v>
                </c:pt>
                <c:pt idx="359">
                  <c:v>11.277266596254551</c:v>
                </c:pt>
                <c:pt idx="360">
                  <c:v>5.3765950195782191</c:v>
                </c:pt>
                <c:pt idx="361">
                  <c:v>11.97327470035621</c:v>
                </c:pt>
                <c:pt idx="362">
                  <c:v>8.0528208726881179</c:v>
                </c:pt>
                <c:pt idx="363">
                  <c:v>10.245345531260236</c:v>
                </c:pt>
                <c:pt idx="364">
                  <c:v>8.0068591759613525</c:v>
                </c:pt>
                <c:pt idx="365">
                  <c:v>9.5353036693682132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583456"/>
        <c:axId val="552501280"/>
      </c:lineChart>
      <c:dateAx>
        <c:axId val="474583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2501280"/>
        <c:crosses val="autoZero"/>
        <c:auto val="1"/>
        <c:lblOffset val="100"/>
        <c:baseTimeUnit val="days"/>
        <c:majorUnit val="1"/>
        <c:majorTimeUnit val="months"/>
      </c:dateAx>
      <c:valAx>
        <c:axId val="55250128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45834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4.5010331625304212E-2</c:v>
                </c:pt>
                <c:pt idx="1">
                  <c:v>4.5032555630037385E-2</c:v>
                </c:pt>
                <c:pt idx="2">
                  <c:v>4.5054779117585486E-2</c:v>
                </c:pt>
                <c:pt idx="3">
                  <c:v>4.5077002087960616E-2</c:v>
                </c:pt>
                <c:pt idx="4">
                  <c:v>4.5099224541174765E-2</c:v>
                </c:pt>
                <c:pt idx="5">
                  <c:v>4.5121446477239924E-2</c:v>
                </c:pt>
                <c:pt idx="6">
                  <c:v>4.5143667896168194E-2</c:v>
                </c:pt>
                <c:pt idx="7">
                  <c:v>4.5165888797971565E-2</c:v>
                </c:pt>
                <c:pt idx="8">
                  <c:v>4.5188109182662139E-2</c:v>
                </c:pt>
                <c:pt idx="9">
                  <c:v>4.5210329050251796E-2</c:v>
                </c:pt>
                <c:pt idx="10">
                  <c:v>4.5232548400752748E-2</c:v>
                </c:pt>
                <c:pt idx="11">
                  <c:v>4.5254767234176985E-2</c:v>
                </c:pt>
                <c:pt idx="12">
                  <c:v>4.5276985550536386E-2</c:v>
                </c:pt>
                <c:pt idx="13">
                  <c:v>4.5299203349843276E-2</c:v>
                </c:pt>
                <c:pt idx="14">
                  <c:v>4.5321420632109422E-2</c:v>
                </c:pt>
                <c:pt idx="15">
                  <c:v>4.5343637397346925E-2</c:v>
                </c:pt>
                <c:pt idx="16">
                  <c:v>4.5365853645567888E-2</c:v>
                </c:pt>
                <c:pt idx="17">
                  <c:v>4.5388069376784301E-2</c:v>
                </c:pt>
                <c:pt idx="18">
                  <c:v>4.5410284591008154E-2</c:v>
                </c:pt>
                <c:pt idx="19">
                  <c:v>4.5432499288251549E-2</c:v>
                </c:pt>
                <c:pt idx="20">
                  <c:v>4.5454713468526475E-2</c:v>
                </c:pt>
                <c:pt idx="21">
                  <c:v>4.5476927131844924E-2</c:v>
                </c:pt>
                <c:pt idx="22">
                  <c:v>4.5499140278218997E-2</c:v>
                </c:pt>
                <c:pt idx="23">
                  <c:v>4.5521352907660795E-2</c:v>
                </c:pt>
                <c:pt idx="24">
                  <c:v>4.5543565020182197E-2</c:v>
                </c:pt>
                <c:pt idx="25">
                  <c:v>4.5565776615795306E-2</c:v>
                </c:pt>
                <c:pt idx="26">
                  <c:v>4.5587987694512111E-2</c:v>
                </c:pt>
                <c:pt idx="27">
                  <c:v>4.5610198256344603E-2</c:v>
                </c:pt>
                <c:pt idx="28">
                  <c:v>4.5632408301304994E-2</c:v>
                </c:pt>
                <c:pt idx="29">
                  <c:v>4.5654617829405164E-2</c:v>
                </c:pt>
                <c:pt idx="30">
                  <c:v>4.5676826840657103E-2</c:v>
                </c:pt>
                <c:pt idx="31">
                  <c:v>4.5699035335072913E-2</c:v>
                </c:pt>
                <c:pt idx="32">
                  <c:v>4.5721243312664694E-2</c:v>
                </c:pt>
                <c:pt idx="33">
                  <c:v>4.5743450773444327E-2</c:v>
                </c:pt>
                <c:pt idx="34">
                  <c:v>4.5765657717423913E-2</c:v>
                </c:pt>
                <c:pt idx="35">
                  <c:v>4.5787864144615553E-2</c:v>
                </c:pt>
                <c:pt idx="36">
                  <c:v>4.5810070055031127E-2</c:v>
                </c:pt>
                <c:pt idx="37">
                  <c:v>4.5832275448682624E-2</c:v>
                </c:pt>
                <c:pt idx="38">
                  <c:v>4.5854480325582259E-2</c:v>
                </c:pt>
                <c:pt idx="39">
                  <c:v>4.587668468574202E-2</c:v>
                </c:pt>
                <c:pt idx="40">
                  <c:v>4.5898888529173787E-2</c:v>
                </c:pt>
                <c:pt idx="41">
                  <c:v>4.5921091855889773E-2</c:v>
                </c:pt>
                <c:pt idx="42">
                  <c:v>4.5943294665901857E-2</c:v>
                </c:pt>
                <c:pt idx="43">
                  <c:v>4.5965496959222141E-2</c:v>
                </c:pt>
                <c:pt idx="44">
                  <c:v>4.5987698735862614E-2</c:v>
                </c:pt>
                <c:pt idx="45">
                  <c:v>4.6009899995835268E-2</c:v>
                </c:pt>
                <c:pt idx="46">
                  <c:v>4.6032100739152204E-2</c:v>
                </c:pt>
                <c:pt idx="47">
                  <c:v>4.6054300965825412E-2</c:v>
                </c:pt>
                <c:pt idx="48">
                  <c:v>4.6076500675866883E-2</c:v>
                </c:pt>
                <c:pt idx="49">
                  <c:v>4.6098699869288717E-2</c:v>
                </c:pt>
                <c:pt idx="50">
                  <c:v>4.6120898546102906E-2</c:v>
                </c:pt>
                <c:pt idx="51">
                  <c:v>4.614309670632144E-2</c:v>
                </c:pt>
                <c:pt idx="52">
                  <c:v>4.616529434995631E-2</c:v>
                </c:pt>
                <c:pt idx="53">
                  <c:v>4.6187491477019615E-2</c:v>
                </c:pt>
                <c:pt idx="54">
                  <c:v>4.6209688087523348E-2</c:v>
                </c:pt>
                <c:pt idx="55">
                  <c:v>4.6231884181479499E-2</c:v>
                </c:pt>
                <c:pt idx="56">
                  <c:v>4.6254079758900168E-2</c:v>
                </c:pt>
                <c:pt idx="57">
                  <c:v>4.6276274819797236E-2</c:v>
                </c:pt>
                <c:pt idx="58">
                  <c:v>4.6298469364182915E-2</c:v>
                </c:pt>
                <c:pt idx="59">
                  <c:v>4.6320663392069084E-2</c:v>
                </c:pt>
                <c:pt idx="60">
                  <c:v>4.6342856903467733E-2</c:v>
                </c:pt>
                <c:pt idx="61">
                  <c:v>4.6365049898390964E-2</c:v>
                </c:pt>
                <c:pt idx="62">
                  <c:v>4.6387242376850879E-2</c:v>
                </c:pt>
                <c:pt idx="63">
                  <c:v>4.6409434338859357E-2</c:v>
                </c:pt>
                <c:pt idx="64">
                  <c:v>4.6431625784428388E-2</c:v>
                </c:pt>
                <c:pt idx="65">
                  <c:v>4.6453816713570184E-2</c:v>
                </c:pt>
                <c:pt idx="66">
                  <c:v>4.6476007126296515E-2</c:v>
                </c:pt>
                <c:pt idx="67">
                  <c:v>4.6498197022619592E-2</c:v>
                </c:pt>
                <c:pt idx="68">
                  <c:v>4.6520386402551406E-2</c:v>
                </c:pt>
                <c:pt idx="69">
                  <c:v>4.6542575266103836E-2</c:v>
                </c:pt>
                <c:pt idx="70">
                  <c:v>4.6564763613289095E-2</c:v>
                </c:pt>
                <c:pt idx="71">
                  <c:v>4.6586951444119062E-2</c:v>
                </c:pt>
                <c:pt idx="72">
                  <c:v>4.6609138758605728E-2</c:v>
                </c:pt>
                <c:pt idx="73">
                  <c:v>4.6631325556761194E-2</c:v>
                </c:pt>
                <c:pt idx="74">
                  <c:v>4.6653511838597561E-2</c:v>
                </c:pt>
                <c:pt idx="75">
                  <c:v>4.6675697604126598E-2</c:v>
                </c:pt>
                <c:pt idx="76">
                  <c:v>4.6697882853360517E-2</c:v>
                </c:pt>
                <c:pt idx="77">
                  <c:v>4.6720067586311309E-2</c:v>
                </c:pt>
                <c:pt idx="78">
                  <c:v>4.6742251802990964E-2</c:v>
                </c:pt>
                <c:pt idx="79">
                  <c:v>4.6764435503411361E-2</c:v>
                </c:pt>
                <c:pt idx="80">
                  <c:v>4.6786618687584824E-2</c:v>
                </c:pt>
                <c:pt idx="81">
                  <c:v>4.6808801355523011E-2</c:v>
                </c:pt>
                <c:pt idx="82">
                  <c:v>4.6830983507238244E-2</c:v>
                </c:pt>
                <c:pt idx="83">
                  <c:v>4.6853165142742292E-2</c:v>
                </c:pt>
                <c:pt idx="84">
                  <c:v>4.6875346262047368E-2</c:v>
                </c:pt>
                <c:pt idx="85">
                  <c:v>4.6897526865165351E-2</c:v>
                </c:pt>
                <c:pt idx="86">
                  <c:v>4.6919706952108231E-2</c:v>
                </c:pt>
                <c:pt idx="87">
                  <c:v>4.6941886522888221E-2</c:v>
                </c:pt>
                <c:pt idx="88">
                  <c:v>4.6964065577517089E-2</c:v>
                </c:pt>
                <c:pt idx="89">
                  <c:v>4.6986244116007048E-2</c:v>
                </c:pt>
                <c:pt idx="90">
                  <c:v>4.7008422138369865E-2</c:v>
                </c:pt>
                <c:pt idx="91">
                  <c:v>4.7030599644617865E-2</c:v>
                </c:pt>
                <c:pt idx="92">
                  <c:v>4.7052776634762816E-2</c:v>
                </c:pt>
                <c:pt idx="93">
                  <c:v>4.7074953108816819E-2</c:v>
                </c:pt>
                <c:pt idx="94">
                  <c:v>4.7097129066791865E-2</c:v>
                </c:pt>
                <c:pt idx="95">
                  <c:v>4.7119304508699944E-2</c:v>
                </c:pt>
                <c:pt idx="96">
                  <c:v>4.7141479434553157E-2</c:v>
                </c:pt>
                <c:pt idx="97">
                  <c:v>4.7163653844363385E-2</c:v>
                </c:pt>
                <c:pt idx="98">
                  <c:v>4.7185827738142727E-2</c:v>
                </c:pt>
                <c:pt idx="99">
                  <c:v>4.7208001115903286E-2</c:v>
                </c:pt>
                <c:pt idx="100">
                  <c:v>4.7230173977656831E-2</c:v>
                </c:pt>
                <c:pt idx="101">
                  <c:v>4.7252346323415462E-2</c:v>
                </c:pt>
                <c:pt idx="102">
                  <c:v>4.7274518153191281E-2</c:v>
                </c:pt>
                <c:pt idx="103">
                  <c:v>4.7296689466996167E-2</c:v>
                </c:pt>
                <c:pt idx="104">
                  <c:v>4.7318860264842222E-2</c:v>
                </c:pt>
                <c:pt idx="105">
                  <c:v>4.7341030546741436E-2</c:v>
                </c:pt>
                <c:pt idx="106">
                  <c:v>4.73632003127058E-2</c:v>
                </c:pt>
                <c:pt idx="107">
                  <c:v>4.7385369562747304E-2</c:v>
                </c:pt>
                <c:pt idx="108">
                  <c:v>4.7407538296878049E-2</c:v>
                </c:pt>
                <c:pt idx="109">
                  <c:v>4.7429706515109915E-2</c:v>
                </c:pt>
                <c:pt idx="110">
                  <c:v>4.7451874217454892E-2</c:v>
                </c:pt>
                <c:pt idx="111">
                  <c:v>4.7474041403925082E-2</c:v>
                </c:pt>
                <c:pt idx="112">
                  <c:v>4.7496208074532476E-2</c:v>
                </c:pt>
                <c:pt idx="113">
                  <c:v>4.7518374229289062E-2</c:v>
                </c:pt>
                <c:pt idx="114">
                  <c:v>4.7540539868206833E-2</c:v>
                </c:pt>
                <c:pt idx="115">
                  <c:v>4.7562704991297888E-2</c:v>
                </c:pt>
                <c:pt idx="116">
                  <c:v>4.7584869598573998E-2</c:v>
                </c:pt>
                <c:pt idx="117">
                  <c:v>4.7607033690047484E-2</c:v>
                </c:pt>
                <c:pt idx="118">
                  <c:v>4.7629197265730006E-2</c:v>
                </c:pt>
                <c:pt idx="119">
                  <c:v>4.7651360325633885E-2</c:v>
                </c:pt>
                <c:pt idx="120">
                  <c:v>4.767352286977089E-2</c:v>
                </c:pt>
                <c:pt idx="121">
                  <c:v>4.7695684898153123E-2</c:v>
                </c:pt>
                <c:pt idx="122">
                  <c:v>4.7717846410792686E-2</c:v>
                </c:pt>
                <c:pt idx="123">
                  <c:v>4.7740007407701346E-2</c:v>
                </c:pt>
                <c:pt idx="124">
                  <c:v>4.7762167888891316E-2</c:v>
                </c:pt>
                <c:pt idx="125">
                  <c:v>4.7784327854374475E-2</c:v>
                </c:pt>
                <c:pt idx="126">
                  <c:v>4.7806487304162815E-2</c:v>
                </c:pt>
                <c:pt idx="127">
                  <c:v>4.7828646238268435E-2</c:v>
                </c:pt>
                <c:pt idx="128">
                  <c:v>4.7850804656703327E-2</c:v>
                </c:pt>
                <c:pt idx="129">
                  <c:v>4.7872962559479371E-2</c:v>
                </c:pt>
                <c:pt idx="130">
                  <c:v>4.7895119946608777E-2</c:v>
                </c:pt>
                <c:pt idx="131">
                  <c:v>4.7917276818103316E-2</c:v>
                </c:pt>
                <c:pt idx="132">
                  <c:v>4.7939433173975088E-2</c:v>
                </c:pt>
                <c:pt idx="133">
                  <c:v>4.7961589014236083E-2</c:v>
                </c:pt>
                <c:pt idx="134">
                  <c:v>4.7983744338898293E-2</c:v>
                </c:pt>
                <c:pt idx="135">
                  <c:v>4.8005899147973818E-2</c:v>
                </c:pt>
                <c:pt idx="136">
                  <c:v>4.8028053441474539E-2</c:v>
                </c:pt>
                <c:pt idx="137">
                  <c:v>4.8050207219412444E-2</c:v>
                </c:pt>
                <c:pt idx="138">
                  <c:v>4.8072360481799525E-2</c:v>
                </c:pt>
                <c:pt idx="139">
                  <c:v>4.8094513228647884E-2</c:v>
                </c:pt>
                <c:pt idx="140">
                  <c:v>4.811666545996951E-2</c:v>
                </c:pt>
                <c:pt idx="141">
                  <c:v>4.8138817175776283E-2</c:v>
                </c:pt>
                <c:pt idx="142">
                  <c:v>4.8160968376080304E-2</c:v>
                </c:pt>
                <c:pt idx="143">
                  <c:v>4.8183119060893564E-2</c:v>
                </c:pt>
                <c:pt idx="144">
                  <c:v>4.8205269230227943E-2</c:v>
                </c:pt>
                <c:pt idx="145">
                  <c:v>4.8227418884095541E-2</c:v>
                </c:pt>
                <c:pt idx="146">
                  <c:v>4.8249568022508349E-2</c:v>
                </c:pt>
                <c:pt idx="147">
                  <c:v>4.8271716645478357E-2</c:v>
                </c:pt>
                <c:pt idx="148">
                  <c:v>4.8293864753017557E-2</c:v>
                </c:pt>
                <c:pt idx="149">
                  <c:v>4.8316012345137938E-2</c:v>
                </c:pt>
                <c:pt idx="150">
                  <c:v>4.833815942185149E-2</c:v>
                </c:pt>
                <c:pt idx="151">
                  <c:v>4.8360305983170204E-2</c:v>
                </c:pt>
                <c:pt idx="152">
                  <c:v>4.8382452029106182E-2</c:v>
                </c:pt>
                <c:pt idx="153">
                  <c:v>4.8404597559671192E-2</c:v>
                </c:pt>
                <c:pt idx="154">
                  <c:v>4.8426742574877335E-2</c:v>
                </c:pt>
                <c:pt idx="155">
                  <c:v>4.8448887074736713E-2</c:v>
                </c:pt>
                <c:pt idx="156">
                  <c:v>4.8471031059261205E-2</c:v>
                </c:pt>
                <c:pt idx="157">
                  <c:v>4.8493174528462801E-2</c:v>
                </c:pt>
                <c:pt idx="158">
                  <c:v>4.8515317482353493E-2</c:v>
                </c:pt>
                <c:pt idx="159">
                  <c:v>4.8537459920945381E-2</c:v>
                </c:pt>
                <c:pt idx="160">
                  <c:v>4.8559601844250344E-2</c:v>
                </c:pt>
                <c:pt idx="161">
                  <c:v>4.8581743252280374E-2</c:v>
                </c:pt>
                <c:pt idx="162">
                  <c:v>4.860388414504746E-2</c:v>
                </c:pt>
                <c:pt idx="163">
                  <c:v>4.8626024522563704E-2</c:v>
                </c:pt>
                <c:pt idx="164">
                  <c:v>4.8648164384840986E-2</c:v>
                </c:pt>
                <c:pt idx="165">
                  <c:v>4.8670303731891407E-2</c:v>
                </c:pt>
                <c:pt idx="166">
                  <c:v>4.8692442563726734E-2</c:v>
                </c:pt>
                <c:pt idx="167">
                  <c:v>4.8714580880359182E-2</c:v>
                </c:pt>
                <c:pt idx="168">
                  <c:v>4.8736718681800628E-2</c:v>
                </c:pt>
                <c:pt idx="169">
                  <c:v>4.8758855968063175E-2</c:v>
                </c:pt>
                <c:pt idx="170">
                  <c:v>4.8780992739158591E-2</c:v>
                </c:pt>
                <c:pt idx="171">
                  <c:v>4.8803128995099088E-2</c:v>
                </c:pt>
                <c:pt idx="172">
                  <c:v>4.8825264735896656E-2</c:v>
                </c:pt>
                <c:pt idx="173">
                  <c:v>4.8847399961563065E-2</c:v>
                </c:pt>
                <c:pt idx="174">
                  <c:v>4.8869534672110526E-2</c:v>
                </c:pt>
                <c:pt idx="175">
                  <c:v>4.8891668867550808E-2</c:v>
                </c:pt>
                <c:pt idx="176">
                  <c:v>4.8913802547896124E-2</c:v>
                </c:pt>
                <c:pt idx="177">
                  <c:v>4.8935935713158352E-2</c:v>
                </c:pt>
                <c:pt idx="178">
                  <c:v>4.8958068363349483E-2</c:v>
                </c:pt>
                <c:pt idx="179">
                  <c:v>4.8980200498481508E-2</c:v>
                </c:pt>
                <c:pt idx="180">
                  <c:v>4.9002332118566416E-2</c:v>
                </c:pt>
                <c:pt idx="181">
                  <c:v>4.9024463223616199E-2</c:v>
                </c:pt>
                <c:pt idx="182">
                  <c:v>4.9046593813642847E-2</c:v>
                </c:pt>
                <c:pt idx="183">
                  <c:v>4.9068723888658239E-2</c:v>
                </c:pt>
                <c:pt idx="184">
                  <c:v>4.9090853448674587E-2</c:v>
                </c:pt>
                <c:pt idx="185">
                  <c:v>4.9112982493703661E-2</c:v>
                </c:pt>
                <c:pt idx="186">
                  <c:v>4.9135111023757561E-2</c:v>
                </c:pt>
                <c:pt idx="187">
                  <c:v>4.9157239038848277E-2</c:v>
                </c:pt>
                <c:pt idx="188">
                  <c:v>4.917936653898769E-2</c:v>
                </c:pt>
                <c:pt idx="189">
                  <c:v>4.92014935241879E-2</c:v>
                </c:pt>
                <c:pt idx="190">
                  <c:v>4.9223619994460788E-2</c:v>
                </c:pt>
                <c:pt idx="191">
                  <c:v>4.9245745949818454E-2</c:v>
                </c:pt>
                <c:pt idx="192">
                  <c:v>4.9267871390272777E-2</c:v>
                </c:pt>
                <c:pt idx="193">
                  <c:v>4.9289996315835749E-2</c:v>
                </c:pt>
                <c:pt idx="194">
                  <c:v>4.931212072651936E-2</c:v>
                </c:pt>
                <c:pt idx="195">
                  <c:v>4.933424462233571E-2</c:v>
                </c:pt>
                <c:pt idx="196">
                  <c:v>4.9356368003296569E-2</c:v>
                </c:pt>
                <c:pt idx="197">
                  <c:v>4.9378490869414149E-2</c:v>
                </c:pt>
                <c:pt idx="198">
                  <c:v>4.9400613220700218E-2</c:v>
                </c:pt>
                <c:pt idx="199">
                  <c:v>4.9422735057166878E-2</c:v>
                </c:pt>
                <c:pt idx="200">
                  <c:v>4.9444856378826119E-2</c:v>
                </c:pt>
                <c:pt idx="201">
                  <c:v>4.9466977185689931E-2</c:v>
                </c:pt>
                <c:pt idx="202">
                  <c:v>4.9489097477770194E-2</c:v>
                </c:pt>
                <c:pt idx="203">
                  <c:v>4.9511217255078899E-2</c:v>
                </c:pt>
                <c:pt idx="204">
                  <c:v>4.9533336517628146E-2</c:v>
                </c:pt>
                <c:pt idx="205">
                  <c:v>4.9555455265429815E-2</c:v>
                </c:pt>
                <c:pt idx="206">
                  <c:v>4.9577573498495897E-2</c:v>
                </c:pt>
                <c:pt idx="207">
                  <c:v>4.9599691216838382E-2</c:v>
                </c:pt>
                <c:pt idx="208">
                  <c:v>4.962180842046926E-2</c:v>
                </c:pt>
                <c:pt idx="209">
                  <c:v>4.9643925109400522E-2</c:v>
                </c:pt>
                <c:pt idx="210">
                  <c:v>4.9666041283644047E-2</c:v>
                </c:pt>
                <c:pt idx="211">
                  <c:v>4.9688156943211936E-2</c:v>
                </c:pt>
                <c:pt idx="212">
                  <c:v>4.9710272088116181E-2</c:v>
                </c:pt>
                <c:pt idx="213">
                  <c:v>4.9732386718368549E-2</c:v>
                </c:pt>
                <c:pt idx="214">
                  <c:v>4.9754500833981252E-2</c:v>
                </c:pt>
                <c:pt idx="215">
                  <c:v>4.9776614434966171E-2</c:v>
                </c:pt>
                <c:pt idx="216">
                  <c:v>4.9798727521335295E-2</c:v>
                </c:pt>
                <c:pt idx="217">
                  <c:v>4.9820840093100616E-2</c:v>
                </c:pt>
                <c:pt idx="218">
                  <c:v>4.9842952150274011E-2</c:v>
                </c:pt>
                <c:pt idx="219">
                  <c:v>4.9865063692867584E-2</c:v>
                </c:pt>
                <c:pt idx="220">
                  <c:v>4.9887174720893324E-2</c:v>
                </c:pt>
                <c:pt idx="221">
                  <c:v>4.9909285234362999E-2</c:v>
                </c:pt>
                <c:pt idx="222">
                  <c:v>4.9931395233288822E-2</c:v>
                </c:pt>
                <c:pt idx="223">
                  <c:v>4.9953504717682673E-2</c:v>
                </c:pt>
                <c:pt idx="224">
                  <c:v>4.9975613687556542E-2</c:v>
                </c:pt>
                <c:pt idx="225">
                  <c:v>4.9997722142922307E-2</c:v>
                </c:pt>
                <c:pt idx="226">
                  <c:v>5.0019830083792072E-2</c:v>
                </c:pt>
                <c:pt idx="227">
                  <c:v>5.0041937510177714E-2</c:v>
                </c:pt>
                <c:pt idx="228">
                  <c:v>5.0064044422091225E-2</c:v>
                </c:pt>
                <c:pt idx="229">
                  <c:v>5.0086150819544595E-2</c:v>
                </c:pt>
                <c:pt idx="230">
                  <c:v>5.0108256702549925E-2</c:v>
                </c:pt>
                <c:pt idx="231">
                  <c:v>5.0130362071118983E-2</c:v>
                </c:pt>
                <c:pt idx="232">
                  <c:v>5.0152466925263761E-2</c:v>
                </c:pt>
                <c:pt idx="233">
                  <c:v>5.0174571264996359E-2</c:v>
                </c:pt>
                <c:pt idx="234">
                  <c:v>5.0196675090328657E-2</c:v>
                </c:pt>
                <c:pt idx="235">
                  <c:v>5.0218778401272646E-2</c:v>
                </c:pt>
                <c:pt idx="236">
                  <c:v>5.0240881197840315E-2</c:v>
                </c:pt>
                <c:pt idx="237">
                  <c:v>5.0262983480043655E-2</c:v>
                </c:pt>
                <c:pt idx="238">
                  <c:v>5.0285085247894545E-2</c:v>
                </c:pt>
                <c:pt idx="239">
                  <c:v>5.0307186501404977E-2</c:v>
                </c:pt>
                <c:pt idx="240">
                  <c:v>5.0329287240587051E-2</c:v>
                </c:pt>
                <c:pt idx="241">
                  <c:v>5.0351387465452535E-2</c:v>
                </c:pt>
                <c:pt idx="242">
                  <c:v>5.0373487176013532E-2</c:v>
                </c:pt>
                <c:pt idx="243">
                  <c:v>5.0395586372282031E-2</c:v>
                </c:pt>
                <c:pt idx="244">
                  <c:v>5.0417685054269912E-2</c:v>
                </c:pt>
                <c:pt idx="245">
                  <c:v>5.0439783221989165E-2</c:v>
                </c:pt>
                <c:pt idx="246">
                  <c:v>5.0461880875451781E-2</c:v>
                </c:pt>
                <c:pt idx="247">
                  <c:v>5.048397801466975E-2</c:v>
                </c:pt>
                <c:pt idx="248">
                  <c:v>5.0506074639654952E-2</c:v>
                </c:pt>
                <c:pt idx="249">
                  <c:v>5.0528170750419488E-2</c:v>
                </c:pt>
                <c:pt idx="250">
                  <c:v>5.0550266346975126E-2</c:v>
                </c:pt>
                <c:pt idx="251">
                  <c:v>5.0572361429334078E-2</c:v>
                </c:pt>
                <c:pt idx="252">
                  <c:v>5.0594455997508114E-2</c:v>
                </c:pt>
                <c:pt idx="253">
                  <c:v>5.0616550051509224E-2</c:v>
                </c:pt>
                <c:pt idx="254">
                  <c:v>5.0638643591349508E-2</c:v>
                </c:pt>
                <c:pt idx="255">
                  <c:v>5.0660736617040847E-2</c:v>
                </c:pt>
                <c:pt idx="256">
                  <c:v>5.0682829128595119E-2</c:v>
                </c:pt>
                <c:pt idx="257">
                  <c:v>5.0704921126024427E-2</c:v>
                </c:pt>
                <c:pt idx="258">
                  <c:v>5.072701260934076E-2</c:v>
                </c:pt>
                <c:pt idx="259">
                  <c:v>5.0749103578555887E-2</c:v>
                </c:pt>
                <c:pt idx="260">
                  <c:v>5.077119403368191E-2</c:v>
                </c:pt>
                <c:pt idx="261">
                  <c:v>5.0793283974730818E-2</c:v>
                </c:pt>
                <c:pt idx="262">
                  <c:v>5.0815373401714492E-2</c:v>
                </c:pt>
                <c:pt idx="263">
                  <c:v>5.0837462314644921E-2</c:v>
                </c:pt>
                <c:pt idx="264">
                  <c:v>5.0859550713534096E-2</c:v>
                </c:pt>
                <c:pt idx="265">
                  <c:v>5.0881638598393897E-2</c:v>
                </c:pt>
                <c:pt idx="266">
                  <c:v>5.0903725969236424E-2</c:v>
                </c:pt>
                <c:pt idx="267">
                  <c:v>5.0925812826073558E-2</c:v>
                </c:pt>
                <c:pt idx="268">
                  <c:v>5.0947899168917177E-2</c:v>
                </c:pt>
                <c:pt idx="269">
                  <c:v>5.0969984997779383E-2</c:v>
                </c:pt>
                <c:pt idx="270">
                  <c:v>5.0992070312672166E-2</c:v>
                </c:pt>
                <c:pt idx="271">
                  <c:v>5.1014155113607296E-2</c:v>
                </c:pt>
                <c:pt idx="272">
                  <c:v>5.1036239400596983E-2</c:v>
                </c:pt>
                <c:pt idx="273">
                  <c:v>5.1058323173652886E-2</c:v>
                </c:pt>
                <c:pt idx="274">
                  <c:v>5.1080406432787218E-2</c:v>
                </c:pt>
                <c:pt idx="275">
                  <c:v>5.1102489178011856E-2</c:v>
                </c:pt>
                <c:pt idx="276">
                  <c:v>5.1124571409338682E-2</c:v>
                </c:pt>
                <c:pt idx="277">
                  <c:v>5.1146653126779795E-2</c:v>
                </c:pt>
                <c:pt idx="278">
                  <c:v>5.1168734330347077E-2</c:v>
                </c:pt>
                <c:pt idx="279">
                  <c:v>5.1190815020052516E-2</c:v>
                </c:pt>
                <c:pt idx="280">
                  <c:v>5.1212895195907993E-2</c:v>
                </c:pt>
                <c:pt idx="281">
                  <c:v>5.1234974857925497E-2</c:v>
                </c:pt>
                <c:pt idx="282">
                  <c:v>5.125705400611702E-2</c:v>
                </c:pt>
                <c:pt idx="283">
                  <c:v>5.1279132640494551E-2</c:v>
                </c:pt>
                <c:pt idx="284">
                  <c:v>5.1301210761069971E-2</c:v>
                </c:pt>
                <c:pt idx="285">
                  <c:v>5.1323288367855269E-2</c:v>
                </c:pt>
                <c:pt idx="286">
                  <c:v>5.1345365460862435E-2</c:v>
                </c:pt>
                <c:pt idx="287">
                  <c:v>5.1367442040103461E-2</c:v>
                </c:pt>
                <c:pt idx="288">
                  <c:v>5.1389518105590115E-2</c:v>
                </c:pt>
                <c:pt idx="289">
                  <c:v>5.1411593657334498E-2</c:v>
                </c:pt>
                <c:pt idx="290">
                  <c:v>5.14336686953486E-2</c:v>
                </c:pt>
                <c:pt idx="291">
                  <c:v>5.1455743219644301E-2</c:v>
                </c:pt>
                <c:pt idx="292">
                  <c:v>5.147781723023348E-2</c:v>
                </c:pt>
                <c:pt idx="293">
                  <c:v>5.149989072712835E-2</c:v>
                </c:pt>
                <c:pt idx="294">
                  <c:v>5.1521963710340568E-2</c:v>
                </c:pt>
                <c:pt idx="295">
                  <c:v>5.1544036179882236E-2</c:v>
                </c:pt>
                <c:pt idx="296">
                  <c:v>5.1566108135765343E-2</c:v>
                </c:pt>
                <c:pt idx="297">
                  <c:v>5.1588179578001769E-2</c:v>
                </c:pt>
                <c:pt idx="298">
                  <c:v>5.1610250506603506E-2</c:v>
                </c:pt>
                <c:pt idx="299">
                  <c:v>5.1632320921582431E-2</c:v>
                </c:pt>
                <c:pt idx="300">
                  <c:v>5.1654390822950647E-2</c:v>
                </c:pt>
                <c:pt idx="301">
                  <c:v>5.1676460210719921E-2</c:v>
                </c:pt>
                <c:pt idx="302">
                  <c:v>5.1698529084902356E-2</c:v>
                </c:pt>
                <c:pt idx="303">
                  <c:v>5.1720597445509831E-2</c:v>
                </c:pt>
                <c:pt idx="304">
                  <c:v>5.1742665292554335E-2</c:v>
                </c:pt>
                <c:pt idx="305">
                  <c:v>5.1764732626047749E-2</c:v>
                </c:pt>
                <c:pt idx="306">
                  <c:v>5.1786799446002063E-2</c:v>
                </c:pt>
                <c:pt idx="307">
                  <c:v>5.1808865752429378E-2</c:v>
                </c:pt>
                <c:pt idx="308">
                  <c:v>5.1830931545341352E-2</c:v>
                </c:pt>
                <c:pt idx="309">
                  <c:v>5.1852996824750197E-2</c:v>
                </c:pt>
                <c:pt idx="310">
                  <c:v>5.1875061590667682E-2</c:v>
                </c:pt>
                <c:pt idx="311">
                  <c:v>5.1897125843105907E-2</c:v>
                </c:pt>
                <c:pt idx="312">
                  <c:v>5.1919189582076641E-2</c:v>
                </c:pt>
                <c:pt idx="313">
                  <c:v>5.1941252807591987E-2</c:v>
                </c:pt>
                <c:pt idx="314">
                  <c:v>5.1963315519663822E-2</c:v>
                </c:pt>
                <c:pt idx="315">
                  <c:v>5.1985377718304138E-2</c:v>
                </c:pt>
                <c:pt idx="316">
                  <c:v>5.2007439403524924E-2</c:v>
                </c:pt>
                <c:pt idx="317">
                  <c:v>5.202950057533795E-2</c:v>
                </c:pt>
                <c:pt idx="318">
                  <c:v>5.2051561233755317E-2</c:v>
                </c:pt>
                <c:pt idx="319">
                  <c:v>5.2073621378788904E-2</c:v>
                </c:pt>
                <c:pt idx="320">
                  <c:v>5.2095681010450812E-2</c:v>
                </c:pt>
                <c:pt idx="321">
                  <c:v>5.211774012875281E-2</c:v>
                </c:pt>
                <c:pt idx="322">
                  <c:v>5.2139798733706777E-2</c:v>
                </c:pt>
                <c:pt idx="323">
                  <c:v>5.2161856825324926E-2</c:v>
                </c:pt>
                <c:pt idx="324">
                  <c:v>5.2183914403619025E-2</c:v>
                </c:pt>
                <c:pt idx="325">
                  <c:v>5.2205971468600954E-2</c:v>
                </c:pt>
                <c:pt idx="326">
                  <c:v>5.2228028020282924E-2</c:v>
                </c:pt>
                <c:pt idx="327">
                  <c:v>5.2250084058676594E-2</c:v>
                </c:pt>
                <c:pt idx="328">
                  <c:v>5.2272139583794064E-2</c:v>
                </c:pt>
                <c:pt idx="329">
                  <c:v>5.2294194595647214E-2</c:v>
                </c:pt>
                <c:pt idx="330">
                  <c:v>5.2316249094248035E-2</c:v>
                </c:pt>
                <c:pt idx="331">
                  <c:v>5.2338303079608517E-2</c:v>
                </c:pt>
                <c:pt idx="332">
                  <c:v>5.2360356551740539E-2</c:v>
                </c:pt>
                <c:pt idx="333">
                  <c:v>5.2382409510655981E-2</c:v>
                </c:pt>
                <c:pt idx="334">
                  <c:v>5.2404461956366832E-2</c:v>
                </c:pt>
                <c:pt idx="335">
                  <c:v>5.2426513888885085E-2</c:v>
                </c:pt>
                <c:pt idx="336">
                  <c:v>5.2448565308222617E-2</c:v>
                </c:pt>
                <c:pt idx="337">
                  <c:v>5.247061621439153E-2</c:v>
                </c:pt>
                <c:pt idx="338">
                  <c:v>5.2492666607403482E-2</c:v>
                </c:pt>
                <c:pt idx="339">
                  <c:v>5.2514716487270685E-2</c:v>
                </c:pt>
                <c:pt idx="340">
                  <c:v>5.2536765854004908E-2</c:v>
                </c:pt>
                <c:pt idx="341">
                  <c:v>5.2558814707618251E-2</c:v>
                </c:pt>
                <c:pt idx="342">
                  <c:v>5.2580863048122484E-2</c:v>
                </c:pt>
                <c:pt idx="343">
                  <c:v>5.2602910875529596E-2</c:v>
                </c:pt>
                <c:pt idx="344">
                  <c:v>5.2624958189851578E-2</c:v>
                </c:pt>
                <c:pt idx="345">
                  <c:v>5.2647004991100421E-2</c:v>
                </c:pt>
                <c:pt idx="346">
                  <c:v>5.2669051279287893E-2</c:v>
                </c:pt>
                <c:pt idx="347">
                  <c:v>5.2691097054426095E-2</c:v>
                </c:pt>
                <c:pt idx="348">
                  <c:v>5.2713142316526906E-2</c:v>
                </c:pt>
                <c:pt idx="349">
                  <c:v>5.2735187065602207E-2</c:v>
                </c:pt>
                <c:pt idx="350">
                  <c:v>5.2757231301663987E-2</c:v>
                </c:pt>
                <c:pt idx="351">
                  <c:v>5.2779275024724237E-2</c:v>
                </c:pt>
                <c:pt idx="352">
                  <c:v>5.2801318234794836E-2</c:v>
                </c:pt>
                <c:pt idx="353">
                  <c:v>5.2823360931887664E-2</c:v>
                </c:pt>
                <c:pt idx="354">
                  <c:v>5.2845403116014822E-2</c:v>
                </c:pt>
                <c:pt idx="355">
                  <c:v>5.2867444787188189E-2</c:v>
                </c:pt>
                <c:pt idx="356">
                  <c:v>5.2889485945419534E-2</c:v>
                </c:pt>
                <c:pt idx="357">
                  <c:v>5.2911526590720959E-2</c:v>
                </c:pt>
                <c:pt idx="358">
                  <c:v>5.2933566723104453E-2</c:v>
                </c:pt>
                <c:pt idx="359">
                  <c:v>5.2955606342581785E-2</c:v>
                </c:pt>
                <c:pt idx="360">
                  <c:v>5.2977645449165056E-2</c:v>
                </c:pt>
                <c:pt idx="361">
                  <c:v>5.2999684042866035E-2</c:v>
                </c:pt>
                <c:pt idx="362">
                  <c:v>5.3021722123696824E-2</c:v>
                </c:pt>
                <c:pt idx="363">
                  <c:v>5.304375969166919E-2</c:v>
                </c:pt>
                <c:pt idx="364">
                  <c:v>5.3065796746795235E-2</c:v>
                </c:pt>
                <c:pt idx="365">
                  <c:v>5.3087833289086728E-2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8.0736753123846663E-2</c:v>
                </c:pt>
                <c:pt idx="1">
                  <c:v>8.0907488776483932E-2</c:v>
                </c:pt>
                <c:pt idx="2">
                  <c:v>8.1078222439492031E-2</c:v>
                </c:pt>
                <c:pt idx="3">
                  <c:v>8.1248919211096546E-2</c:v>
                </c:pt>
                <c:pt idx="4">
                  <c:v>8.1419548763166386E-2</c:v>
                </c:pt>
                <c:pt idx="5">
                  <c:v>8.1590085236270302E-2</c:v>
                </c:pt>
                <c:pt idx="6">
                  <c:v>8.1760507096404658E-2</c:v>
                </c:pt>
                <c:pt idx="7">
                  <c:v>8.1930796955999058E-2</c:v>
                </c:pt>
                <c:pt idx="8">
                  <c:v>8.2100941362096683E-2</c:v>
                </c:pt>
                <c:pt idx="9">
                  <c:v>8.2270930554863508E-2</c:v>
                </c:pt>
                <c:pt idx="10">
                  <c:v>8.2440758199804939E-2</c:v>
                </c:pt>
                <c:pt idx="11">
                  <c:v>8.2610421097254166E-2</c:v>
                </c:pt>
                <c:pt idx="12">
                  <c:v>8.2779918872847649E-2</c:v>
                </c:pt>
                <c:pt idx="13">
                  <c:v>8.2949253652812652E-2</c:v>
                </c:pt>
                <c:pt idx="14">
                  <c:v>8.3118429727964294E-2</c:v>
                </c:pt>
                <c:pt idx="15">
                  <c:v>8.3287453210340659E-2</c:v>
                </c:pt>
                <c:pt idx="16">
                  <c:v>8.3456331686398419E-2</c:v>
                </c:pt>
                <c:pt idx="17">
                  <c:v>8.3625073870643898E-2</c:v>
                </c:pt>
                <c:pt idx="18">
                  <c:v>8.3793689263492316E-2</c:v>
                </c:pt>
                <c:pt idx="19">
                  <c:v>8.396218781702583E-2</c:v>
                </c:pt>
                <c:pt idx="20">
                  <c:v>8.4130579612167605E-2</c:v>
                </c:pt>
                <c:pt idx="21">
                  <c:v>8.4298874550599853E-2</c:v>
                </c:pt>
                <c:pt idx="22">
                  <c:v>8.4467082064537194E-2</c:v>
                </c:pt>
                <c:pt idx="23">
                  <c:v>8.4635210847218714E-2</c:v>
                </c:pt>
                <c:pt idx="24">
                  <c:v>8.4803268606713444E-2</c:v>
                </c:pt>
                <c:pt idx="25">
                  <c:v>8.4971261845339818E-2</c:v>
                </c:pt>
                <c:pt idx="26">
                  <c:v>8.5139195666689441E-2</c:v>
                </c:pt>
                <c:pt idx="27">
                  <c:v>8.5307073611919318E-2</c:v>
                </c:pt>
                <c:pt idx="28">
                  <c:v>8.5474897526639115E-2</c:v>
                </c:pt>
                <c:pt idx="29">
                  <c:v>8.5642667459375058E-2</c:v>
                </c:pt>
                <c:pt idx="30">
                  <c:v>8.5810381592242468E-2</c:v>
                </c:pt>
                <c:pt idx="31">
                  <c:v>8.5978036204109265E-2</c:v>
                </c:pt>
                <c:pt idx="32">
                  <c:v>8.6145625666186387E-2</c:v>
                </c:pt>
                <c:pt idx="33">
                  <c:v>8.6313142469640572E-2</c:v>
                </c:pt>
                <c:pt idx="34">
                  <c:v>8.6480577284496082E-2</c:v>
                </c:pt>
                <c:pt idx="35">
                  <c:v>8.664791904877564E-2</c:v>
                </c:pt>
                <c:pt idx="36">
                  <c:v>8.6815155086530385E-2</c:v>
                </c:pt>
                <c:pt idx="37">
                  <c:v>8.698227125312967E-2</c:v>
                </c:pt>
                <c:pt idx="38">
                  <c:v>8.7149252105922767E-2</c:v>
                </c:pt>
                <c:pt idx="39">
                  <c:v>8.7316081098150852E-2</c:v>
                </c:pt>
                <c:pt idx="40">
                  <c:v>8.7482740793780669E-2</c:v>
                </c:pt>
                <c:pt idx="41">
                  <c:v>8.7649213100752799E-2</c:v>
                </c:pt>
                <c:pt idx="42">
                  <c:v>8.7815479519987014E-2</c:v>
                </c:pt>
                <c:pt idx="43">
                  <c:v>8.7981521407369964E-2</c:v>
                </c:pt>
                <c:pt idx="44">
                  <c:v>8.8147320245863067E-2</c:v>
                </c:pt>
                <c:pt idx="45">
                  <c:v>8.8312857924812901E-2</c:v>
                </c:pt>
                <c:pt idx="46">
                  <c:v>8.8478117023523359E-2</c:v>
                </c:pt>
                <c:pt idx="47">
                  <c:v>8.8643081096157539E-2</c:v>
                </c:pt>
                <c:pt idx="48">
                  <c:v>8.8807734955075407E-2</c:v>
                </c:pt>
                <c:pt idx="49">
                  <c:v>8.8972064949783519E-2</c:v>
                </c:pt>
                <c:pt idx="50">
                  <c:v>8.9136059238768911E-2</c:v>
                </c:pt>
                <c:pt idx="51">
                  <c:v>8.9299708051615703E-2</c:v>
                </c:pt>
                <c:pt idx="52">
                  <c:v>8.946300393895007E-2</c:v>
                </c:pt>
                <c:pt idx="53">
                  <c:v>8.962594200793321E-2</c:v>
                </c:pt>
                <c:pt idx="54">
                  <c:v>8.9788520141213649E-2</c:v>
                </c:pt>
                <c:pt idx="55">
                  <c:v>8.9950739197461244E-2</c:v>
                </c:pt>
                <c:pt idx="56">
                  <c:v>9.0112603191830259E-2</c:v>
                </c:pt>
                <c:pt idx="57">
                  <c:v>9.0274119454937865E-2</c:v>
                </c:pt>
                <c:pt idx="58">
                  <c:v>9.0435298769190861E-2</c:v>
                </c:pt>
                <c:pt idx="59">
                  <c:v>9.0596155481547105E-2</c:v>
                </c:pt>
                <c:pt idx="60">
                  <c:v>9.0756707592055466E-2</c:v>
                </c:pt>
                <c:pt idx="61">
                  <c:v>9.0916976817774386E-2</c:v>
                </c:pt>
                <c:pt idx="62">
                  <c:v>9.1076988631923581E-2</c:v>
                </c:pt>
                <c:pt idx="63">
                  <c:v>9.1236772278372097E-2</c:v>
                </c:pt>
                <c:pt idx="64">
                  <c:v>9.1396360761805032E-2</c:v>
                </c:pt>
                <c:pt idx="65">
                  <c:v>9.1555790814140947E-2</c:v>
                </c:pt>
                <c:pt idx="66">
                  <c:v>9.1715102837986145E-2</c:v>
                </c:pt>
                <c:pt idx="67">
                  <c:v>9.1874340828110829E-2</c:v>
                </c:pt>
                <c:pt idx="68">
                  <c:v>9.2033552272114641E-2</c:v>
                </c:pt>
                <c:pt idx="69">
                  <c:v>9.2192788031607673E-2</c:v>
                </c:pt>
                <c:pt idx="70">
                  <c:v>9.2352102205375486E-2</c:v>
                </c:pt>
                <c:pt idx="71">
                  <c:v>9.2511551976111717E-2</c:v>
                </c:pt>
                <c:pt idx="72">
                  <c:v>9.2671197442396991E-2</c:v>
                </c:pt>
                <c:pt idx="73">
                  <c:v>9.2831101437670718E-2</c:v>
                </c:pt>
                <c:pt idx="74">
                  <c:v>9.2991329337988801E-2</c:v>
                </c:pt>
                <c:pt idx="75">
                  <c:v>9.3151948860378933E-2</c:v>
                </c:pt>
                <c:pt idx="76">
                  <c:v>9.3313029853602791E-2</c:v>
                </c:pt>
                <c:pt idx="77">
                  <c:v>9.3474644083105032E-2</c:v>
                </c:pt>
                <c:pt idx="78">
                  <c:v>9.3636865011880246E-2</c:v>
                </c:pt>
                <c:pt idx="79">
                  <c:v>9.3799767578915769E-2</c:v>
                </c:pt>
                <c:pt idx="80">
                  <c:v>9.3963427976776689E-2</c:v>
                </c:pt>
                <c:pt idx="81">
                  <c:v>9.4127923429788873E-2</c:v>
                </c:pt>
                <c:pt idx="82">
                  <c:v>9.4293331974148312E-2</c:v>
                </c:pt>
                <c:pt idx="83">
                  <c:v>9.4459732241143984E-2</c:v>
                </c:pt>
                <c:pt idx="84">
                  <c:v>9.4627203244527613E-2</c:v>
                </c:pt>
                <c:pt idx="85">
                  <c:v>9.479582417290075E-2</c:v>
                </c:pt>
                <c:pt idx="86">
                  <c:v>9.4965674187818636E-2</c:v>
                </c:pt>
                <c:pt idx="87">
                  <c:v>9.5136832228135959E-2</c:v>
                </c:pt>
                <c:pt idx="88">
                  <c:v>9.530937682094294E-2</c:v>
                </c:pt>
                <c:pt idx="89">
                  <c:v>9.5483385899263806E-2</c:v>
                </c:pt>
                <c:pt idx="90">
                  <c:v>9.5658936626517962E-2</c:v>
                </c:pt>
                <c:pt idx="91">
                  <c:v>9.5836105227577989E-2</c:v>
                </c:pt>
                <c:pt idx="92">
                  <c:v>9.6014966826100306E-2</c:v>
                </c:pt>
                <c:pt idx="93">
                  <c:v>9.6195595287659294E-2</c:v>
                </c:pt>
                <c:pt idx="94">
                  <c:v>9.637806306808093E-2</c:v>
                </c:pt>
                <c:pt idx="95">
                  <c:v>9.6562441066255167E-2</c:v>
                </c:pt>
                <c:pt idx="96">
                  <c:v>9.6748798480605455E-2</c:v>
                </c:pt>
                <c:pt idx="97">
                  <c:v>9.6937202668311462E-2</c:v>
                </c:pt>
                <c:pt idx="98">
                  <c:v>9.7127719006320667E-2</c:v>
                </c:pt>
                <c:pt idx="99">
                  <c:v>9.7320410753142281E-2</c:v>
                </c:pt>
                <c:pt idx="100">
                  <c:v>9.7515338910400887E-2</c:v>
                </c:pt>
                <c:pt idx="101">
                  <c:v>9.7712562083129562E-2</c:v>
                </c:pt>
                <c:pt idx="102">
                  <c:v>9.7912136337811012E-2</c:v>
                </c:pt>
                <c:pt idx="103">
                  <c:v>9.8114115057224366E-2</c:v>
                </c:pt>
                <c:pt idx="104">
                  <c:v>9.8318548791227173E-2</c:v>
                </c:pt>
                <c:pt idx="105">
                  <c:v>9.8525485102696736E-2</c:v>
                </c:pt>
                <c:pt idx="106">
                  <c:v>9.8734968407968637E-2</c:v>
                </c:pt>
                <c:pt idx="107">
                  <c:v>9.8947039811243739E-2</c:v>
                </c:pt>
                <c:pt idx="108">
                  <c:v>9.9161736932585925E-2</c:v>
                </c:pt>
                <c:pt idx="109">
                  <c:v>9.9379093729300302E-2</c:v>
                </c:pt>
                <c:pt idx="110">
                  <c:v>9.9599140310660902E-2</c:v>
                </c:pt>
                <c:pt idx="111">
                  <c:v>9.9821902746149785E-2</c:v>
                </c:pt>
                <c:pt idx="112">
                  <c:v>0.10004740286756914</c:v>
                </c:pt>
                <c:pt idx="113">
                  <c:v>0.10027565806559494</c:v>
                </c:pt>
                <c:pt idx="114">
                  <c:v>0.10050668108155143</c:v>
                </c:pt>
                <c:pt idx="115">
                  <c:v>0.10074047979539502</c:v>
                </c:pt>
                <c:pt idx="116">
                  <c:v>0.10097705701110533</c:v>
                </c:pt>
                <c:pt idx="117">
                  <c:v>0.10121641024088338</c:v>
                </c:pt>
                <c:pt idx="118">
                  <c:v>0.10145853148975088</c:v>
                </c:pt>
                <c:pt idx="119">
                  <c:v>0.10170340704232843</c:v>
                </c:pt>
                <c:pt idx="120">
                  <c:v>2.5579156912699436E-2</c:v>
                </c:pt>
                <c:pt idx="121">
                  <c:v>2.5895922182991242E-2</c:v>
                </c:pt>
                <c:pt idx="122">
                  <c:v>2.6213415210318527E-2</c:v>
                </c:pt>
                <c:pt idx="123">
                  <c:v>2.6531645023351782E-2</c:v>
                </c:pt>
                <c:pt idx="124">
                  <c:v>2.6850618351437646E-2</c:v>
                </c:pt>
                <c:pt idx="125">
                  <c:v>2.7170339508845794E-2</c:v>
                </c:pt>
                <c:pt idx="126">
                  <c:v>2.749081028266551E-2</c:v>
                </c:pt>
                <c:pt idx="127">
                  <c:v>2.7812029825357791E-2</c:v>
                </c:pt>
                <c:pt idx="128">
                  <c:v>2.8133994553005498E-2</c:v>
                </c:pt>
                <c:pt idx="129">
                  <c:v>2.8456698050328813E-2</c:v>
                </c:pt>
                <c:pt idx="130">
                  <c:v>2.8780130983549871E-2</c:v>
                </c:pt>
                <c:pt idx="131">
                  <c:v>2.9104281022193708E-2</c:v>
                </c:pt>
                <c:pt idx="132">
                  <c:v>2.942913277090544E-2</c:v>
                </c:pt>
                <c:pt idx="133">
                  <c:v>2.9754667712343811E-2</c:v>
                </c:pt>
                <c:pt idx="134">
                  <c:v>3.0080864162178467E-2</c:v>
                </c:pt>
                <c:pt idx="135">
                  <c:v>3.0407697237173622E-2</c:v>
                </c:pt>
                <c:pt idx="136">
                  <c:v>3.073513883728296E-2</c:v>
                </c:pt>
                <c:pt idx="137">
                  <c:v>3.1063157642610185E-2</c:v>
                </c:pt>
                <c:pt idx="138">
                  <c:v>3.1391719126007141E-2</c:v>
                </c:pt>
                <c:pt idx="139">
                  <c:v>3.1720785581987612E-2</c:v>
                </c:pt>
                <c:pt idx="140">
                  <c:v>3.2050316172528501E-2</c:v>
                </c:pt>
                <c:pt idx="141">
                  <c:v>3.2380266990215581E-2</c:v>
                </c:pt>
                <c:pt idx="142">
                  <c:v>3.2710591139064479E-2</c:v>
                </c:pt>
                <c:pt idx="143">
                  <c:v>3.3041238833214782E-2</c:v>
                </c:pt>
                <c:pt idx="144">
                  <c:v>3.3372157513553311E-2</c:v>
                </c:pt>
                <c:pt idx="145">
                  <c:v>3.3703291982176441E-2</c:v>
                </c:pt>
                <c:pt idx="146">
                  <c:v>3.4034584554449049E-2</c:v>
                </c:pt>
                <c:pt idx="147">
                  <c:v>3.4365975228263339E-2</c:v>
                </c:pt>
                <c:pt idx="148">
                  <c:v>3.4697401869944147E-2</c:v>
                </c:pt>
                <c:pt idx="149">
                  <c:v>3.5028800416091466E-2</c:v>
                </c:pt>
                <c:pt idx="150">
                  <c:v>3.53601050904956E-2</c:v>
                </c:pt>
                <c:pt idx="151">
                  <c:v>3.5691248635109869E-2</c:v>
                </c:pt>
                <c:pt idx="152">
                  <c:v>3.602216255391847E-2</c:v>
                </c:pt>
                <c:pt idx="153">
                  <c:v>3.635277736839844E-2</c:v>
                </c:pt>
                <c:pt idx="154">
                  <c:v>3.6683022883142069E-2</c:v>
                </c:pt>
                <c:pt idx="155">
                  <c:v>3.7012828460085544E-2</c:v>
                </c:pt>
                <c:pt idx="156">
                  <c:v>3.734212329967819E-2</c:v>
                </c:pt>
                <c:pt idx="157">
                  <c:v>3.7670836727229998E-2</c:v>
                </c:pt>
                <c:pt idx="158">
                  <c:v>3.7998898482590374E-2</c:v>
                </c:pt>
                <c:pt idx="159">
                  <c:v>3.8326239011243171E-2</c:v>
                </c:pt>
                <c:pt idx="160">
                  <c:v>3.8652789754850245E-2</c:v>
                </c:pt>
                <c:pt idx="161">
                  <c:v>3.8978483439240291E-2</c:v>
                </c:pt>
                <c:pt idx="162">
                  <c:v>3.930325435782165E-2</c:v>
                </c:pt>
                <c:pt idx="163">
                  <c:v>3.9627038648398852E-2</c:v>
                </c:pt>
                <c:pt idx="164">
                  <c:v>3.9949774561390629E-2</c:v>
                </c:pt>
                <c:pt idx="165">
                  <c:v>4.0271402717485201E-2</c:v>
                </c:pt>
                <c:pt idx="166">
                  <c:v>4.0591866352825114E-2</c:v>
                </c:pt>
                <c:pt idx="167">
                  <c:v>4.0911111549887344E-2</c:v>
                </c:pt>
                <c:pt idx="168">
                  <c:v>4.1229087452318049E-2</c:v>
                </c:pt>
                <c:pt idx="169">
                  <c:v>4.1545746462090104E-2</c:v>
                </c:pt>
                <c:pt idx="170">
                  <c:v>4.1861044417477788E-2</c:v>
                </c:pt>
                <c:pt idx="171">
                  <c:v>4.2174940750484599E-2</c:v>
                </c:pt>
                <c:pt idx="172">
                  <c:v>4.2487398622515424E-2</c:v>
                </c:pt>
                <c:pt idx="173">
                  <c:v>4.2798385037252383E-2</c:v>
                </c:pt>
                <c:pt idx="174">
                  <c:v>4.3107870929873941E-2</c:v>
                </c:pt>
                <c:pt idx="175">
                  <c:v>4.3415831231945028E-2</c:v>
                </c:pt>
                <c:pt idx="176">
                  <c:v>4.3722244911503262E-2</c:v>
                </c:pt>
                <c:pt idx="177">
                  <c:v>4.4027094988069344E-2</c:v>
                </c:pt>
                <c:pt idx="178">
                  <c:v>4.4330368522515887E-2</c:v>
                </c:pt>
                <c:pt idx="179">
                  <c:v>4.4632056581937564E-2</c:v>
                </c:pt>
                <c:pt idx="180">
                  <c:v>4.4932154179874402E-2</c:v>
                </c:pt>
                <c:pt idx="181">
                  <c:v>4.5230660192445322E-2</c:v>
                </c:pt>
                <c:pt idx="182">
                  <c:v>4.5527577251151162E-2</c:v>
                </c:pt>
                <c:pt idx="183">
                  <c:v>4.5822911613301598E-2</c:v>
                </c:pt>
                <c:pt idx="184">
                  <c:v>4.6116673011206977E-2</c:v>
                </c:pt>
                <c:pt idx="185">
                  <c:v>4.6408874481452457E-2</c:v>
                </c:pt>
                <c:pt idx="186">
                  <c:v>4.6699532175735928E-2</c:v>
                </c:pt>
                <c:pt idx="187">
                  <c:v>4.6988665154901278E-2</c:v>
                </c:pt>
                <c:pt idx="188">
                  <c:v>4.7276295167932962E-2</c:v>
                </c:pt>
                <c:pt idx="189">
                  <c:v>4.7562446417795098E-2</c:v>
                </c:pt>
                <c:pt idx="190">
                  <c:v>4.7847145316097711E-2</c:v>
                </c:pt>
                <c:pt idx="191">
                  <c:v>4.8130420228652389E-2</c:v>
                </c:pt>
                <c:pt idx="192">
                  <c:v>4.8412301214038479E-2</c:v>
                </c:pt>
                <c:pt idx="193">
                  <c:v>4.8692819757340543E-2</c:v>
                </c:pt>
                <c:pt idx="194">
                  <c:v>4.8972008501233649E-2</c:v>
                </c:pt>
                <c:pt idx="195">
                  <c:v>4.9249900976589302E-2</c:v>
                </c:pt>
                <c:pt idx="196">
                  <c:v>4.952653133474863E-2</c:v>
                </c:pt>
                <c:pt idx="197">
                  <c:v>4.9801934083561449E-2</c:v>
                </c:pt>
                <c:pt idx="198">
                  <c:v>5.0076143829222118E-2</c:v>
                </c:pt>
                <c:pt idx="199">
                  <c:v>5.0349195025844146E-2</c:v>
                </c:pt>
                <c:pt idx="200">
                  <c:v>5.0621121734607949E-2</c:v>
                </c:pt>
                <c:pt idx="201">
                  <c:v>5.089195739419012E-2</c:v>
                </c:pt>
                <c:pt idx="202">
                  <c:v>5.1161734604040755E-2</c:v>
                </c:pt>
                <c:pt idx="203">
                  <c:v>5.1430484921916618E-2</c:v>
                </c:pt>
                <c:pt idx="204">
                  <c:v>5.1698238676907551E-2</c:v>
                </c:pt>
                <c:pt idx="205">
                  <c:v>5.1965024799011196E-2</c:v>
                </c:pt>
                <c:pt idx="206">
                  <c:v>5.2230870666117465E-2</c:v>
                </c:pt>
                <c:pt idx="207">
                  <c:v>5.2495801969066135E-2</c:v>
                </c:pt>
                <c:pt idx="208">
                  <c:v>5.2759842595235244E-2</c:v>
                </c:pt>
                <c:pt idx="209">
                  <c:v>5.3023014530910267E-2</c:v>
                </c:pt>
                <c:pt idx="210">
                  <c:v>5.3285337782475926E-2</c:v>
                </c:pt>
                <c:pt idx="211">
                  <c:v>5.3546830316266086E-2</c:v>
                </c:pt>
                <c:pt idx="212">
                  <c:v>5.3807508016704537E-2</c:v>
                </c:pt>
                <c:pt idx="213">
                  <c:v>5.4067384662173749E-2</c:v>
                </c:pt>
                <c:pt idx="214">
                  <c:v>5.4326471917861448E-2</c:v>
                </c:pt>
                <c:pt idx="215">
                  <c:v>5.4584779344658149E-2</c:v>
                </c:pt>
                <c:pt idx="216">
                  <c:v>5.4842314423016021E-2</c:v>
                </c:pt>
                <c:pt idx="217">
                  <c:v>5.5099082590529938E-2</c:v>
                </c:pt>
                <c:pt idx="218">
                  <c:v>5.5355087291870005E-2</c:v>
                </c:pt>
                <c:pt idx="219">
                  <c:v>5.5610330039580796E-2</c:v>
                </c:pt>
                <c:pt idx="220">
                  <c:v>5.5864810484167741E-2</c:v>
                </c:pt>
                <c:pt idx="221">
                  <c:v>5.6118526491817734E-2</c:v>
                </c:pt>
                <c:pt idx="222">
                  <c:v>5.6371474228048252E-2</c:v>
                </c:pt>
                <c:pt idx="223">
                  <c:v>5.6623648245549829E-2</c:v>
                </c:pt>
                <c:pt idx="224">
                  <c:v>5.6875041574478986E-2</c:v>
                </c:pt>
                <c:pt idx="225">
                  <c:v>5.7125645813474235E-2</c:v>
                </c:pt>
                <c:pt idx="226">
                  <c:v>5.7375451219706552E-2</c:v>
                </c:pt>
                <c:pt idx="227">
                  <c:v>5.7624446796335542E-2</c:v>
                </c:pt>
                <c:pt idx="228">
                  <c:v>5.7872620375825773E-2</c:v>
                </c:pt>
                <c:pt idx="229">
                  <c:v>5.8119958697680198E-2</c:v>
                </c:pt>
                <c:pt idx="230">
                  <c:v>5.8366447479271215E-2</c:v>
                </c:pt>
                <c:pt idx="231">
                  <c:v>5.8612071478590766E-2</c:v>
                </c:pt>
                <c:pt idx="232">
                  <c:v>5.885681454789915E-2</c:v>
                </c:pt>
                <c:pt idx="233">
                  <c:v>5.9100659677424915E-2</c:v>
                </c:pt>
                <c:pt idx="234">
                  <c:v>5.9343589028454172E-2</c:v>
                </c:pt>
                <c:pt idx="235">
                  <c:v>5.9585583955344308E-2</c:v>
                </c:pt>
                <c:pt idx="236">
                  <c:v>5.982662501620143E-2</c:v>
                </c:pt>
                <c:pt idx="237">
                  <c:v>6.0066691972172591E-2</c:v>
                </c:pt>
                <c:pt idx="238">
                  <c:v>6.0305763775516712E-2</c:v>
                </c:pt>
                <c:pt idx="239">
                  <c:v>6.0543818546834556E-2</c:v>
                </c:pt>
                <c:pt idx="240">
                  <c:v>6.0780833542049675E-2</c:v>
                </c:pt>
                <c:pt idx="241">
                  <c:v>6.1016785109941435E-2</c:v>
                </c:pt>
                <c:pt idx="242">
                  <c:v>6.125164864123224E-2</c:v>
                </c:pt>
                <c:pt idx="243">
                  <c:v>6.1485398510422264E-2</c:v>
                </c:pt>
                <c:pt idx="244">
                  <c:v>6.1718008011743763E-2</c:v>
                </c:pt>
                <c:pt idx="245">
                  <c:v>6.1949449290771515E-2</c:v>
                </c:pt>
                <c:pt idx="246">
                  <c:v>6.2179693273372937E-2</c:v>
                </c:pt>
                <c:pt idx="247">
                  <c:v>6.2408709593809189E-2</c:v>
                </c:pt>
                <c:pt idx="248">
                  <c:v>6.2636466523905504E-2</c:v>
                </c:pt>
                <c:pt idx="249">
                  <c:v>6.2862930905293546E-2</c:v>
                </c:pt>
                <c:pt idx="250">
                  <c:v>6.3088068086787727E-2</c:v>
                </c:pt>
                <c:pt idx="251">
                  <c:v>6.3311841868992524E-2</c:v>
                </c:pt>
                <c:pt idx="252">
                  <c:v>6.3534214458245628E-2</c:v>
                </c:pt>
                <c:pt idx="253">
                  <c:v>6.3755146431983073E-2</c:v>
                </c:pt>
                <c:pt idx="254">
                  <c:v>6.3974596717565849E-2</c:v>
                </c:pt>
                <c:pt idx="255">
                  <c:v>6.4192522586534448E-2</c:v>
                </c:pt>
                <c:pt idx="256">
                  <c:v>6.4408879666156715E-2</c:v>
                </c:pt>
                <c:pt idx="257">
                  <c:v>6.4623621970006664E-2</c:v>
                </c:pt>
                <c:pt idx="258">
                  <c:v>6.4836701949160261E-2</c:v>
                </c:pt>
                <c:pt idx="259">
                  <c:v>6.5048070565415117E-2</c:v>
                </c:pt>
                <c:pt idx="260">
                  <c:v>6.5257677387742033E-2</c:v>
                </c:pt>
                <c:pt idx="261">
                  <c:v>6.5465470712954152E-2</c:v>
                </c:pt>
                <c:pt idx="262">
                  <c:v>6.5671397711338564E-2</c:v>
                </c:pt>
                <c:pt idx="263">
                  <c:v>6.5875404597738135E-2</c:v>
                </c:pt>
                <c:pt idx="264">
                  <c:v>6.6077436828299113E-2</c:v>
                </c:pt>
                <c:pt idx="265">
                  <c:v>6.6277439322815698E-2</c:v>
                </c:pt>
                <c:pt idx="266">
                  <c:v>6.6475356712311515E-2</c:v>
                </c:pt>
                <c:pt idx="267">
                  <c:v>6.6671133611198669E-2</c:v>
                </c:pt>
                <c:pt idx="268">
                  <c:v>6.6864714913054346E-2</c:v>
                </c:pt>
                <c:pt idx="269">
                  <c:v>6.7056046108755013E-2</c:v>
                </c:pt>
                <c:pt idx="270">
                  <c:v>6.7245073625411364E-2</c:v>
                </c:pt>
                <c:pt idx="271">
                  <c:v>6.7431745184257874E-2</c:v>
                </c:pt>
                <c:pt idx="272">
                  <c:v>6.7616010175372318E-2</c:v>
                </c:pt>
                <c:pt idx="273">
                  <c:v>6.7797820046834656E-2</c:v>
                </c:pt>
                <c:pt idx="274">
                  <c:v>6.7977128705686826E-2</c:v>
                </c:pt>
                <c:pt idx="275">
                  <c:v>6.8153892927825352E-2</c:v>
                </c:pt>
                <c:pt idx="276">
                  <c:v>6.832807277375319E-2</c:v>
                </c:pt>
                <c:pt idx="277">
                  <c:v>6.8499632006935249E-2</c:v>
                </c:pt>
                <c:pt idx="278">
                  <c:v>6.866853851134927E-2</c:v>
                </c:pt>
                <c:pt idx="279">
                  <c:v>6.8834764704699805E-2</c:v>
                </c:pt>
                <c:pt idx="280">
                  <c:v>6.8998287943670009E-2</c:v>
                </c:pt>
                <c:pt idx="281">
                  <c:v>6.9159090917529448E-2</c:v>
                </c:pt>
                <c:pt idx="282">
                  <c:v>6.9317162026388851E-2</c:v>
                </c:pt>
                <c:pt idx="283">
                  <c:v>6.9472495740406995E-2</c:v>
                </c:pt>
                <c:pt idx="284">
                  <c:v>6.9625092936299607E-2</c:v>
                </c:pt>
                <c:pt idx="285">
                  <c:v>6.9774961207585709E-2</c:v>
                </c:pt>
                <c:pt idx="286">
                  <c:v>6.9922115145125599E-2</c:v>
                </c:pt>
                <c:pt idx="287">
                  <c:v>7.0066576584660215E-2</c:v>
                </c:pt>
                <c:pt idx="288">
                  <c:v>7.020837481825204E-2</c:v>
                </c:pt>
                <c:pt idx="289">
                  <c:v>7.034754676675159E-2</c:v>
                </c:pt>
                <c:pt idx="290">
                  <c:v>7.0484137110668629E-2</c:v>
                </c:pt>
                <c:pt idx="291">
                  <c:v>7.0618198377113348E-2</c:v>
                </c:pt>
                <c:pt idx="292">
                  <c:v>7.0749790980786376E-2</c:v>
                </c:pt>
                <c:pt idx="293">
                  <c:v>7.0878983217334282E-2</c:v>
                </c:pt>
                <c:pt idx="294">
                  <c:v>7.100585120774891E-2</c:v>
                </c:pt>
                <c:pt idx="295">
                  <c:v>7.1130478792868337E-2</c:v>
                </c:pt>
                <c:pt idx="296">
                  <c:v>7.125295737743334E-2</c:v>
                </c:pt>
                <c:pt idx="297">
                  <c:v>7.1373385723561444E-2</c:v>
                </c:pt>
                <c:pt idx="298">
                  <c:v>7.1491869693916882E-2</c:v>
                </c:pt>
                <c:pt idx="299">
                  <c:v>7.1608521945276921E-2</c:v>
                </c:pt>
                <c:pt idx="300">
                  <c:v>7.1723461573616892E-2</c:v>
                </c:pt>
                <c:pt idx="301">
                  <c:v>7.1836813712254949E-2</c:v>
                </c:pt>
                <c:pt idx="302">
                  <c:v>7.1948709085010318E-2</c:v>
                </c:pt>
                <c:pt idx="303">
                  <c:v>7.205928351672905E-2</c:v>
                </c:pt>
                <c:pt idx="304">
                  <c:v>7.2168677403917095E-2</c:v>
                </c:pt>
                <c:pt idx="305">
                  <c:v>7.2277035148587687E-2</c:v>
                </c:pt>
                <c:pt idx="306">
                  <c:v>7.2384504558774487E-2</c:v>
                </c:pt>
                <c:pt idx="307">
                  <c:v>7.2491236219480518E-2</c:v>
                </c:pt>
                <c:pt idx="308">
                  <c:v>7.2597382838122559E-2</c:v>
                </c:pt>
                <c:pt idx="309">
                  <c:v>7.2703098568787761E-2</c:v>
                </c:pt>
                <c:pt idx="310">
                  <c:v>7.2808538319842186E-2</c:v>
                </c:pt>
                <c:pt idx="311">
                  <c:v>7.2913857049616157E-2</c:v>
                </c:pt>
                <c:pt idx="312">
                  <c:v>7.3019209055037185E-2</c:v>
                </c:pt>
                <c:pt idx="313">
                  <c:v>7.3124747258186837E-2</c:v>
                </c:pt>
                <c:pt idx="314">
                  <c:v>7.3230622495820477E-2</c:v>
                </c:pt>
                <c:pt idx="315">
                  <c:v>7.333698281690873E-2</c:v>
                </c:pt>
                <c:pt idx="316">
                  <c:v>7.3443972793235737E-2</c:v>
                </c:pt>
                <c:pt idx="317">
                  <c:v>7.3551732848021703E-2</c:v>
                </c:pt>
                <c:pt idx="318">
                  <c:v>7.3660398607425806E-2</c:v>
                </c:pt>
                <c:pt idx="319">
                  <c:v>7.3770100279632544E-2</c:v>
                </c:pt>
                <c:pt idx="320">
                  <c:v>7.3880962066029413E-2</c:v>
                </c:pt>
                <c:pt idx="321">
                  <c:v>7.3993101608747808E-2</c:v>
                </c:pt>
                <c:pt idx="322">
                  <c:v>7.4106629478567887E-2</c:v>
                </c:pt>
                <c:pt idx="323">
                  <c:v>7.4221648706877363E-2</c:v>
                </c:pt>
                <c:pt idx="324">
                  <c:v>7.4338254365034384E-2</c:v>
                </c:pt>
                <c:pt idx="325">
                  <c:v>7.445653319411201E-2</c:v>
                </c:pt>
                <c:pt idx="326">
                  <c:v>7.4576563287603578E-2</c:v>
                </c:pt>
                <c:pt idx="327">
                  <c:v>7.4698413829247773E-2</c:v>
                </c:pt>
                <c:pt idx="328">
                  <c:v>7.4822144887689818E-2</c:v>
                </c:pt>
                <c:pt idx="329">
                  <c:v>7.4947807269241051E-2</c:v>
                </c:pt>
                <c:pt idx="330">
                  <c:v>7.5075442429529793E-2</c:v>
                </c:pt>
                <c:pt idx="331">
                  <c:v>7.520508244436426E-2</c:v>
                </c:pt>
                <c:pt idx="332">
                  <c:v>7.5336750039649028E-2</c:v>
                </c:pt>
                <c:pt idx="333">
                  <c:v>7.5470458679723573E-2</c:v>
                </c:pt>
                <c:pt idx="334">
                  <c:v>7.5606212713020329E-2</c:v>
                </c:pt>
                <c:pt idx="335">
                  <c:v>7.5744007573482597E-2</c:v>
                </c:pt>
                <c:pt idx="336">
                  <c:v>7.5883830035736691E-2</c:v>
                </c:pt>
                <c:pt idx="337">
                  <c:v>7.6025658521588713E-2</c:v>
                </c:pt>
                <c:pt idx="338">
                  <c:v>7.6169463455011938E-2</c:v>
                </c:pt>
                <c:pt idx="339">
                  <c:v>7.6315207662414564E-2</c:v>
                </c:pt>
                <c:pt idx="340">
                  <c:v>7.6462846814630059E-2</c:v>
                </c:pt>
                <c:pt idx="341">
                  <c:v>7.6612329906757079E-2</c:v>
                </c:pt>
                <c:pt idx="342">
                  <c:v>7.6763599771698124E-2</c:v>
                </c:pt>
                <c:pt idx="343">
                  <c:v>7.6916593623003099E-2</c:v>
                </c:pt>
                <c:pt idx="344">
                  <c:v>7.7071243622425026E-2</c:v>
                </c:pt>
                <c:pt idx="345">
                  <c:v>7.7227477467433706E-2</c:v>
                </c:pt>
                <c:pt idx="346">
                  <c:v>7.7385218993819407E-2</c:v>
                </c:pt>
                <c:pt idx="347">
                  <c:v>7.7544388788444177E-2</c:v>
                </c:pt>
                <c:pt idx="348">
                  <c:v>7.7704904807173264E-2</c:v>
                </c:pt>
                <c:pt idx="349">
                  <c:v>7.7866682993033953E-2</c:v>
                </c:pt>
                <c:pt idx="350">
                  <c:v>7.8029637889712067E-2</c:v>
                </c:pt>
                <c:pt idx="351">
                  <c:v>7.8193683245599666E-2</c:v>
                </c:pt>
                <c:pt idx="352">
                  <c:v>7.8358732603754769E-2</c:v>
                </c:pt>
                <c:pt idx="353">
                  <c:v>7.8524699873321085E-2</c:v>
                </c:pt>
                <c:pt idx="354">
                  <c:v>7.8691499878180873E-2</c:v>
                </c:pt>
                <c:pt idx="355">
                  <c:v>7.8859048878876584E-2</c:v>
                </c:pt>
                <c:pt idx="356">
                  <c:v>7.9027265064131463E-2</c:v>
                </c:pt>
                <c:pt idx="357">
                  <c:v>7.9196069008624984E-2</c:v>
                </c:pt>
                <c:pt idx="358">
                  <c:v>7.9365384094032293E-2</c:v>
                </c:pt>
                <c:pt idx="359">
                  <c:v>7.9535136890711816E-2</c:v>
                </c:pt>
                <c:pt idx="360">
                  <c:v>7.9705257497822424E-2</c:v>
                </c:pt>
                <c:pt idx="361">
                  <c:v>7.9875679840062302E-2</c:v>
                </c:pt>
                <c:pt idx="362">
                  <c:v>8.0046341919646255E-2</c:v>
                </c:pt>
                <c:pt idx="363">
                  <c:v>8.0217186022568721E-2</c:v>
                </c:pt>
                <c:pt idx="364">
                  <c:v>8.0388158878635013E-2</c:v>
                </c:pt>
                <c:pt idx="365">
                  <c:v>8.0559211775176762E-2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0.1705332580084129</c:v>
                </c:pt>
                <c:pt idx="1">
                  <c:v>0.16873703399608475</c:v>
                </c:pt>
                <c:pt idx="2">
                  <c:v>0.16678757148892442</c:v>
                </c:pt>
                <c:pt idx="3">
                  <c:v>0.16469267394705853</c:v>
                </c:pt>
                <c:pt idx="4">
                  <c:v>0.16246019451131449</c:v>
                </c:pt>
                <c:pt idx="5">
                  <c:v>0.16009798347215864</c:v>
                </c:pt>
                <c:pt idx="6">
                  <c:v>0.15761384026442424</c:v>
                </c:pt>
                <c:pt idx="7">
                  <c:v>0.15501547018813203</c:v>
                </c:pt>
                <c:pt idx="8">
                  <c:v>0.15229305533278936</c:v>
                </c:pt>
                <c:pt idx="9">
                  <c:v>0.14948323003554287</c:v>
                </c:pt>
                <c:pt idx="10">
                  <c:v>0.14665769064789239</c:v>
                </c:pt>
                <c:pt idx="11">
                  <c:v>0.14382607218232862</c:v>
                </c:pt>
                <c:pt idx="12">
                  <c:v>0.14099723706556083</c:v>
                </c:pt>
                <c:pt idx="13">
                  <c:v>0.13817927537855135</c:v>
                </c:pt>
                <c:pt idx="14">
                  <c:v>0.13537951594091313</c:v>
                </c:pt>
                <c:pt idx="15">
                  <c:v>0.13262260598794529</c:v>
                </c:pt>
                <c:pt idx="16">
                  <c:v>0.1299461588999605</c:v>
                </c:pt>
                <c:pt idx="17">
                  <c:v>0.12735357446129508</c:v>
                </c:pt>
                <c:pt idx="18">
                  <c:v>0.12484762370280687</c:v>
                </c:pt>
                <c:pt idx="19">
                  <c:v>0.12243118862159909</c:v>
                </c:pt>
                <c:pt idx="20">
                  <c:v>0.12010688616295326</c:v>
                </c:pt>
                <c:pt idx="21">
                  <c:v>0.11787629403896645</c:v>
                </c:pt>
                <c:pt idx="22">
                  <c:v>0.11572799315794166</c:v>
                </c:pt>
                <c:pt idx="23">
                  <c:v>0.11361781718663606</c:v>
                </c:pt>
                <c:pt idx="24">
                  <c:v>0.11151228198731158</c:v>
                </c:pt>
                <c:pt idx="25">
                  <c:v>0.10941445229001169</c:v>
                </c:pt>
                <c:pt idx="26">
                  <c:v>0.10732711782595612</c:v>
                </c:pt>
                <c:pt idx="27">
                  <c:v>0.10525280482732809</c:v>
                </c:pt>
                <c:pt idx="28">
                  <c:v>0.10319378821925092</c:v>
                </c:pt>
                <c:pt idx="29">
                  <c:v>0.10110619060030004</c:v>
                </c:pt>
                <c:pt idx="30">
                  <c:v>9.8978621752571896E-2</c:v>
                </c:pt>
                <c:pt idx="31">
                  <c:v>9.68149752352047E-2</c:v>
                </c:pt>
                <c:pt idx="32">
                  <c:v>9.4618879202202688E-2</c:v>
                </c:pt>
                <c:pt idx="33">
                  <c:v>9.2393702913470238E-2</c:v>
                </c:pt>
                <c:pt idx="34">
                  <c:v>9.0142564165156605E-2</c:v>
                </c:pt>
                <c:pt idx="35">
                  <c:v>8.7868337351952819E-2</c:v>
                </c:pt>
                <c:pt idx="36">
                  <c:v>8.5571856824752351E-2</c:v>
                </c:pt>
                <c:pt idx="37">
                  <c:v>8.3250650257325504E-2</c:v>
                </c:pt>
                <c:pt idx="38">
                  <c:v>8.0933161590103497E-2</c:v>
                </c:pt>
                <c:pt idx="39">
                  <c:v>7.8619895035490925E-2</c:v>
                </c:pt>
                <c:pt idx="40">
                  <c:v>7.631135803111963E-2</c:v>
                </c:pt>
                <c:pt idx="41">
                  <c:v>7.4008059841573937E-2</c:v>
                </c:pt>
                <c:pt idx="42">
                  <c:v>7.1710510227510876E-2</c:v>
                </c:pt>
                <c:pt idx="43">
                  <c:v>6.9429109719793311E-2</c:v>
                </c:pt>
                <c:pt idx="44">
                  <c:v>6.7201968645597243E-2</c:v>
                </c:pt>
                <c:pt idx="45">
                  <c:v>6.5027816483504558E-2</c:v>
                </c:pt>
                <c:pt idx="46">
                  <c:v>6.2905425152941369E-2</c:v>
                </c:pt>
                <c:pt idx="47">
                  <c:v>6.0833606272479961E-2</c:v>
                </c:pt>
                <c:pt idx="48">
                  <c:v>5.8811208645858294E-2</c:v>
                </c:pt>
                <c:pt idx="49">
                  <c:v>5.6837115905252096E-2</c:v>
                </c:pt>
                <c:pt idx="50">
                  <c:v>5.4909115514260483E-2</c:v>
                </c:pt>
                <c:pt idx="51">
                  <c:v>5.3014304998911278E-2</c:v>
                </c:pt>
                <c:pt idx="52">
                  <c:v>5.115497643429931E-2</c:v>
                </c:pt>
                <c:pt idx="53">
                  <c:v>4.933106091985049E-2</c:v>
                </c:pt>
                <c:pt idx="54">
                  <c:v>4.7542630349840381E-2</c:v>
                </c:pt>
                <c:pt idx="55">
                  <c:v>4.578963733767176E-2</c:v>
                </c:pt>
                <c:pt idx="56">
                  <c:v>4.407192669254343E-2</c:v>
                </c:pt>
                <c:pt idx="57">
                  <c:v>4.2393920918063509E-2</c:v>
                </c:pt>
                <c:pt idx="58">
                  <c:v>4.0746881777350009E-2</c:v>
                </c:pt>
                <c:pt idx="59">
                  <c:v>3.9130495868115546E-2</c:v>
                </c:pt>
                <c:pt idx="60">
                  <c:v>3.7544375452573941E-2</c:v>
                </c:pt>
                <c:pt idx="61">
                  <c:v>3.5988066349676433E-2</c:v>
                </c:pt>
                <c:pt idx="62">
                  <c:v>3.4461055222204877E-2</c:v>
                </c:pt>
                <c:pt idx="63">
                  <c:v>3.2962776287672371E-2</c:v>
                </c:pt>
                <c:pt idx="64">
                  <c:v>3.1490573202502904E-2</c:v>
                </c:pt>
                <c:pt idx="65">
                  <c:v>3.0071942840076124E-2</c:v>
                </c:pt>
                <c:pt idx="66">
                  <c:v>2.871554821946715E-2</c:v>
                </c:pt>
                <c:pt idx="67">
                  <c:v>2.7420026767861389E-2</c:v>
                </c:pt>
                <c:pt idx="68">
                  <c:v>2.6183954270942073E-2</c:v>
                </c:pt>
                <c:pt idx="69">
                  <c:v>2.5005858189675153E-2</c:v>
                </c:pt>
                <c:pt idx="70">
                  <c:v>2.3884229666022265E-2</c:v>
                </c:pt>
                <c:pt idx="71">
                  <c:v>2.2844924634791888E-2</c:v>
                </c:pt>
                <c:pt idx="72">
                  <c:v>2.1881851945083925E-2</c:v>
                </c:pt>
                <c:pt idx="73">
                  <c:v>2.0992855101154007E-2</c:v>
                </c:pt>
                <c:pt idx="74">
                  <c:v>2.0175818304153288E-2</c:v>
                </c:pt>
                <c:pt idx="75">
                  <c:v>1.942867449352266E-2</c:v>
                </c:pt>
                <c:pt idx="76">
                  <c:v>1.8749412294614028E-2</c:v>
                </c:pt>
                <c:pt idx="77">
                  <c:v>1.813608198378815E-2</c:v>
                </c:pt>
                <c:pt idx="78">
                  <c:v>1.7585420982549546E-2</c:v>
                </c:pt>
                <c:pt idx="79">
                  <c:v>1.7101466133582689E-2</c:v>
                </c:pt>
                <c:pt idx="80">
                  <c:v>1.6657766422646401E-2</c:v>
                </c:pt>
                <c:pt idx="81">
                  <c:v>1.625360766358596E-2</c:v>
                </c:pt>
                <c:pt idx="82">
                  <c:v>1.5888279585523572E-2</c:v>
                </c:pt>
                <c:pt idx="83">
                  <c:v>1.5561083447065688E-2</c:v>
                </c:pt>
                <c:pt idx="84">
                  <c:v>1.5271338993056131E-2</c:v>
                </c:pt>
                <c:pt idx="85">
                  <c:v>1.5014439243092471E-2</c:v>
                </c:pt>
                <c:pt idx="86">
                  <c:v>1.4765884597111081E-2</c:v>
                </c:pt>
                <c:pt idx="87">
                  <c:v>1.4525721279801637E-2</c:v>
                </c:pt>
                <c:pt idx="88">
                  <c:v>1.429398760202547E-2</c:v>
                </c:pt>
                <c:pt idx="89">
                  <c:v>1.4070716160095682E-2</c:v>
                </c:pt>
                <c:pt idx="90">
                  <c:v>1.3855935931551806E-2</c:v>
                </c:pt>
                <c:pt idx="91">
                  <c:v>1.3649674288424856E-2</c:v>
                </c:pt>
                <c:pt idx="92">
                  <c:v>1.3451196206549897E-2</c:v>
                </c:pt>
                <c:pt idx="93">
                  <c:v>1.3255503166115718E-2</c:v>
                </c:pt>
                <c:pt idx="94">
                  <c:v>1.3056174137759152E-2</c:v>
                </c:pt>
                <c:pt idx="95">
                  <c:v>1.2853322353090346E-2</c:v>
                </c:pt>
                <c:pt idx="96">
                  <c:v>1.2647050818231337E-2</c:v>
                </c:pt>
                <c:pt idx="97">
                  <c:v>1.2437452550834349E-2</c:v>
                </c:pt>
                <c:pt idx="98">
                  <c:v>1.2224610807747312E-2</c:v>
                </c:pt>
                <c:pt idx="99">
                  <c:v>1.2002707676615531E-2</c:v>
                </c:pt>
                <c:pt idx="100">
                  <c:v>1.1775439103837722E-2</c:v>
                </c:pt>
                <c:pt idx="101">
                  <c:v>1.1542890366412121E-2</c:v>
                </c:pt>
                <c:pt idx="102">
                  <c:v>1.1305134397571543E-2</c:v>
                </c:pt>
                <c:pt idx="103">
                  <c:v>1.1062231913155236E-2</c:v>
                </c:pt>
                <c:pt idx="104">
                  <c:v>1.0814231511990116E-2</c:v>
                </c:pt>
                <c:pt idx="105">
                  <c:v>1.0561169759532292E-2</c:v>
                </c:pt>
                <c:pt idx="106">
                  <c:v>1.0302790216993065E-2</c:v>
                </c:pt>
                <c:pt idx="107">
                  <c:v>1.0033890078254844E-2</c:v>
                </c:pt>
                <c:pt idx="108">
                  <c:v>9.758448361178805E-3</c:v>
                </c:pt>
                <c:pt idx="109">
                  <c:v>9.4765109146709089E-3</c:v>
                </c:pt>
                <c:pt idx="110">
                  <c:v>9.1881364796522931E-3</c:v>
                </c:pt>
                <c:pt idx="111">
                  <c:v>8.8933677393176376E-3</c:v>
                </c:pt>
                <c:pt idx="112">
                  <c:v>8.5922061914543938E-3</c:v>
                </c:pt>
                <c:pt idx="113">
                  <c:v>8.2846812481654035E-3</c:v>
                </c:pt>
                <c:pt idx="114">
                  <c:v>7.9762421791357563E-3</c:v>
                </c:pt>
                <c:pt idx="115">
                  <c:v>7.6667716350854809E-3</c:v>
                </c:pt>
                <c:pt idx="116">
                  <c:v>7.356143801265147E-3</c:v>
                </c:pt>
                <c:pt idx="117">
                  <c:v>7.0442242885862478E-3</c:v>
                </c:pt>
                <c:pt idx="118">
                  <c:v>6.7308700000421121E-3</c:v>
                </c:pt>
                <c:pt idx="119">
                  <c:v>6.4159289770801247E-3</c:v>
                </c:pt>
                <c:pt idx="120">
                  <c:v>6.0992532283225638E-3</c:v>
                </c:pt>
                <c:pt idx="121">
                  <c:v>5.7846245775328492E-3</c:v>
                </c:pt>
                <c:pt idx="122">
                  <c:v>5.4764591464308279E-3</c:v>
                </c:pt>
                <c:pt idx="123">
                  <c:v>5.1744289624593301E-3</c:v>
                </c:pt>
                <c:pt idx="124">
                  <c:v>4.8782206796281037E-3</c:v>
                </c:pt>
                <c:pt idx="125">
                  <c:v>4.5875344950383054E-3</c:v>
                </c:pt>
                <c:pt idx="126">
                  <c:v>4.3020831757008913E-3</c:v>
                </c:pt>
                <c:pt idx="127">
                  <c:v>4.0293785662905354E-3</c:v>
                </c:pt>
                <c:pt idx="128">
                  <c:v>3.769256920615222E-3</c:v>
                </c:pt>
                <c:pt idx="129">
                  <c:v>3.5215070036698844E-3</c:v>
                </c:pt>
                <c:pt idx="130">
                  <c:v>3.2859352283818679E-3</c:v>
                </c:pt>
                <c:pt idx="131">
                  <c:v>3.0623644679616765E-3</c:v>
                </c:pt>
                <c:pt idx="132">
                  <c:v>2.8506329331541053E-3</c:v>
                </c:pt>
                <c:pt idx="133">
                  <c:v>2.6505931064231096E-3</c:v>
                </c:pt>
                <c:pt idx="134">
                  <c:v>2.4621824665072441E-3</c:v>
                </c:pt>
                <c:pt idx="135">
                  <c:v>2.2895018462630997E-3</c:v>
                </c:pt>
                <c:pt idx="136">
                  <c:v>2.1287793111426142E-3</c:v>
                </c:pt>
                <c:pt idx="137">
                  <c:v>1.9799968301922937E-3</c:v>
                </c:pt>
                <c:pt idx="138">
                  <c:v>1.8431524107461667E-3</c:v>
                </c:pt>
                <c:pt idx="139">
                  <c:v>1.7182592434484059E-3</c:v>
                </c:pt>
                <c:pt idx="140">
                  <c:v>1.6053448462973545E-3</c:v>
                </c:pt>
                <c:pt idx="141">
                  <c:v>1.505411751162169E-3</c:v>
                </c:pt>
                <c:pt idx="142">
                  <c:v>1.4105731529479811E-3</c:v>
                </c:pt>
                <c:pt idx="143">
                  <c:v>1.32082667367891E-3</c:v>
                </c:pt>
                <c:pt idx="144">
                  <c:v>1.236184912870623E-3</c:v>
                </c:pt>
                <c:pt idx="145">
                  <c:v>1.1566654825714063E-3</c:v>
                </c:pt>
                <c:pt idx="146">
                  <c:v>1.0822907015984203E-3</c:v>
                </c:pt>
                <c:pt idx="147">
                  <c:v>1.0130872819916726E-3</c:v>
                </c:pt>
                <c:pt idx="148">
                  <c:v>9.4910554727083813E-4</c:v>
                </c:pt>
                <c:pt idx="149">
                  <c:v>8.9235272352316804E-4</c:v>
                </c:pt>
                <c:pt idx="150">
                  <c:v>8.3841854576381972E-4</c:v>
                </c:pt>
                <c:pt idx="151">
                  <c:v>7.8727411835243703E-4</c:v>
                </c:pt>
                <c:pt idx="152">
                  <c:v>7.3889250927058219E-4</c:v>
                </c:pt>
                <c:pt idx="153">
                  <c:v>6.9324869323338578E-4</c:v>
                </c:pt>
                <c:pt idx="154">
                  <c:v>6.5031949735524315E-4</c:v>
                </c:pt>
                <c:pt idx="155">
                  <c:v>6.1118801086725233E-4</c:v>
                </c:pt>
                <c:pt idx="156">
                  <c:v>5.7494052538046615E-4</c:v>
                </c:pt>
                <c:pt idx="157">
                  <c:v>5.415825351038694E-4</c:v>
                </c:pt>
                <c:pt idx="158">
                  <c:v>5.1112129695049188E-4</c:v>
                </c:pt>
                <c:pt idx="159">
                  <c:v>4.8356572318986984E-4</c:v>
                </c:pt>
                <c:pt idx="160">
                  <c:v>4.5892627277491124E-4</c:v>
                </c:pt>
                <c:pt idx="161">
                  <c:v>4.3721484123083733E-4</c:v>
                </c:pt>
                <c:pt idx="162">
                  <c:v>4.1845143985116024E-4</c:v>
                </c:pt>
                <c:pt idx="163">
                  <c:v>4.0334242907854976E-4</c:v>
                </c:pt>
                <c:pt idx="164">
                  <c:v>3.8994129913548492E-4</c:v>
                </c:pt>
                <c:pt idx="165">
                  <c:v>3.7826881778954405E-4</c:v>
                </c:pt>
                <c:pt idx="166">
                  <c:v>3.6834663571590437E-4</c:v>
                </c:pt>
                <c:pt idx="167">
                  <c:v>3.6019719583306898E-4</c:v>
                </c:pt>
                <c:pt idx="168">
                  <c:v>3.5384364332563675E-4</c:v>
                </c:pt>
                <c:pt idx="169">
                  <c:v>3.5001685750268364E-4</c:v>
                </c:pt>
                <c:pt idx="170">
                  <c:v>3.4757545422616659E-4</c:v>
                </c:pt>
                <c:pt idx="171">
                  <c:v>3.4653938284587727E-4</c:v>
                </c:pt>
                <c:pt idx="172">
                  <c:v>3.4692884724538695E-4</c:v>
                </c:pt>
                <c:pt idx="173">
                  <c:v>3.4876067330579256E-4</c:v>
                </c:pt>
                <c:pt idx="174">
                  <c:v>3.5205148537115324E-4</c:v>
                </c:pt>
                <c:pt idx="175">
                  <c:v>3.5682122459553217E-4</c:v>
                </c:pt>
                <c:pt idx="176">
                  <c:v>3.6309004723394662E-4</c:v>
                </c:pt>
                <c:pt idx="177">
                  <c:v>3.7209248827345875E-4</c:v>
                </c:pt>
                <c:pt idx="178">
                  <c:v>3.831266418118797E-4</c:v>
                </c:pt>
                <c:pt idx="179">
                  <c:v>3.9621926719670748E-4</c:v>
                </c:pt>
                <c:pt idx="180">
                  <c:v>4.1139715127820853E-4</c:v>
                </c:pt>
                <c:pt idx="181">
                  <c:v>4.2868717758894065E-4</c:v>
                </c:pt>
                <c:pt idx="182">
                  <c:v>4.4811640267226221E-4</c:v>
                </c:pt>
                <c:pt idx="183">
                  <c:v>4.7173471684230223E-4</c:v>
                </c:pt>
                <c:pt idx="184">
                  <c:v>4.9881958203878681E-4</c:v>
                </c:pt>
                <c:pt idx="185">
                  <c:v>5.2939943929037519E-4</c:v>
                </c:pt>
                <c:pt idx="186">
                  <c:v>5.6350396624150481E-4</c:v>
                </c:pt>
                <c:pt idx="187">
                  <c:v>6.0116425108622587E-4</c:v>
                </c:pt>
                <c:pt idx="188">
                  <c:v>6.4241297444638825E-4</c:v>
                </c:pt>
                <c:pt idx="189">
                  <c:v>6.8728459955206373E-4</c:v>
                </c:pt>
                <c:pt idx="190">
                  <c:v>7.3581469339420935E-4</c:v>
                </c:pt>
                <c:pt idx="191">
                  <c:v>7.8886724434537646E-4</c:v>
                </c:pt>
                <c:pt idx="192">
                  <c:v>8.4518296166236951E-4</c:v>
                </c:pt>
                <c:pt idx="193">
                  <c:v>9.0477857440817051E-4</c:v>
                </c:pt>
                <c:pt idx="194">
                  <c:v>9.6767186902380715E-4</c:v>
                </c:pt>
                <c:pt idx="195">
                  <c:v>1.0338816245071213E-3</c:v>
                </c:pt>
                <c:pt idx="196">
                  <c:v>1.1034275447987408E-3</c:v>
                </c:pt>
                <c:pt idx="197">
                  <c:v>1.1820059643160772E-3</c:v>
                </c:pt>
                <c:pt idx="198">
                  <c:v>1.2676324122868046E-3</c:v>
                </c:pt>
                <c:pt idx="199">
                  <c:v>1.3603943040458603E-3</c:v>
                </c:pt>
                <c:pt idx="200">
                  <c:v>1.4603790211773836E-3</c:v>
                </c:pt>
                <c:pt idx="201">
                  <c:v>1.5676737851766924E-3</c:v>
                </c:pt>
                <c:pt idx="202">
                  <c:v>1.6823655273472985E-3</c:v>
                </c:pt>
                <c:pt idx="203">
                  <c:v>1.8045407542099279E-3</c:v>
                </c:pt>
                <c:pt idx="204">
                  <c:v>1.9348648471190289E-3</c:v>
                </c:pt>
                <c:pt idx="205">
                  <c:v>2.0838343621298332E-3</c:v>
                </c:pt>
                <c:pt idx="206">
                  <c:v>2.2498020290866796E-3</c:v>
                </c:pt>
                <c:pt idx="207">
                  <c:v>2.432976423351438E-3</c:v>
                </c:pt>
                <c:pt idx="208">
                  <c:v>2.6335717318298553E-3</c:v>
                </c:pt>
                <c:pt idx="209">
                  <c:v>2.8518086785184818E-3</c:v>
                </c:pt>
                <c:pt idx="210">
                  <c:v>3.0879154866328734E-3</c:v>
                </c:pt>
                <c:pt idx="211">
                  <c:v>3.3449524131467438E-3</c:v>
                </c:pt>
                <c:pt idx="212">
                  <c:v>3.6170603780007419E-3</c:v>
                </c:pt>
                <c:pt idx="213">
                  <c:v>3.9044134804681E-3</c:v>
                </c:pt>
                <c:pt idx="214">
                  <c:v>4.2071987346711985E-3</c:v>
                </c:pt>
                <c:pt idx="215">
                  <c:v>4.5256169403603561E-3</c:v>
                </c:pt>
                <c:pt idx="216">
                  <c:v>4.8598835950113498E-3</c:v>
                </c:pt>
                <c:pt idx="217">
                  <c:v>5.2102298516121665E-3</c:v>
                </c:pt>
                <c:pt idx="218">
                  <c:v>5.5767571029935077E-3</c:v>
                </c:pt>
                <c:pt idx="219">
                  <c:v>5.9582617206642855E-3</c:v>
                </c:pt>
                <c:pt idx="220">
                  <c:v>6.3445649007884816E-3</c:v>
                </c:pt>
                <c:pt idx="221">
                  <c:v>6.7357753414989856E-3</c:v>
                </c:pt>
                <c:pt idx="222">
                  <c:v>7.132019441260417E-3</c:v>
                </c:pt>
                <c:pt idx="223">
                  <c:v>7.5334419488612336E-3</c:v>
                </c:pt>
                <c:pt idx="224">
                  <c:v>7.940206666381816E-3</c:v>
                </c:pt>
                <c:pt idx="225">
                  <c:v>8.3464709014239597E-3</c:v>
                </c:pt>
                <c:pt idx="226">
                  <c:v>8.7494393834873264E-3</c:v>
                </c:pt>
                <c:pt idx="227">
                  <c:v>9.1492148156554157E-3</c:v>
                </c:pt>
                <c:pt idx="228">
                  <c:v>9.5459147972110497E-3</c:v>
                </c:pt>
                <c:pt idx="229">
                  <c:v>9.9396718733786495E-3</c:v>
                </c:pt>
                <c:pt idx="230">
                  <c:v>1.0330633631769254E-2</c:v>
                </c:pt>
                <c:pt idx="231">
                  <c:v>1.0718962855514399E-2</c:v>
                </c:pt>
                <c:pt idx="232">
                  <c:v>1.1104514549577019E-2</c:v>
                </c:pt>
                <c:pt idx="233">
                  <c:v>1.1479990948089663E-2</c:v>
                </c:pt>
                <c:pt idx="234">
                  <c:v>1.1846806830236558E-2</c:v>
                </c:pt>
                <c:pt idx="235">
                  <c:v>1.2204973698619058E-2</c:v>
                </c:pt>
                <c:pt idx="236">
                  <c:v>1.2554510106860635E-2</c:v>
                </c:pt>
                <c:pt idx="237">
                  <c:v>1.2895429274141439E-2</c:v>
                </c:pt>
                <c:pt idx="238">
                  <c:v>1.3227746070486957E-2</c:v>
                </c:pt>
                <c:pt idx="239">
                  <c:v>1.3547590051976919E-2</c:v>
                </c:pt>
                <c:pt idx="240">
                  <c:v>1.3861505760798205E-2</c:v>
                </c:pt>
                <c:pt idx="241">
                  <c:v>1.4169589239655375E-2</c:v>
                </c:pt>
                <c:pt idx="242">
                  <c:v>1.4471938121222046E-2</c:v>
                </c:pt>
                <c:pt idx="243">
                  <c:v>1.4768651597728456E-2</c:v>
                </c:pt>
                <c:pt idx="244">
                  <c:v>1.5059830398861164E-2</c:v>
                </c:pt>
                <c:pt idx="245">
                  <c:v>1.5345576779741528E-2</c:v>
                </c:pt>
                <c:pt idx="246">
                  <c:v>1.5626195207762709E-2</c:v>
                </c:pt>
                <c:pt idx="247">
                  <c:v>1.5899776014109347E-2</c:v>
                </c:pt>
                <c:pt idx="248">
                  <c:v>1.6173993400435103E-2</c:v>
                </c:pt>
                <c:pt idx="249">
                  <c:v>1.6448884736500267E-2</c:v>
                </c:pt>
                <c:pt idx="250">
                  <c:v>1.6724471376754254E-2</c:v>
                </c:pt>
                <c:pt idx="251">
                  <c:v>1.7000758305346874E-2</c:v>
                </c:pt>
                <c:pt idx="252">
                  <c:v>1.7277733708202826E-2</c:v>
                </c:pt>
                <c:pt idx="253">
                  <c:v>1.7577548946446801E-2</c:v>
                </c:pt>
                <c:pt idx="254">
                  <c:v>1.7905013334837277E-2</c:v>
                </c:pt>
                <c:pt idx="255">
                  <c:v>1.826080290881766E-2</c:v>
                </c:pt>
                <c:pt idx="256">
                  <c:v>1.8645613570380352E-2</c:v>
                </c:pt>
                <c:pt idx="257">
                  <c:v>1.9060159466283755E-2</c:v>
                </c:pt>
                <c:pt idx="258">
                  <c:v>1.9505171116825239E-2</c:v>
                </c:pt>
                <c:pt idx="259">
                  <c:v>1.9981393265527187E-2</c:v>
                </c:pt>
                <c:pt idx="260">
                  <c:v>2.0491204905521268E-2</c:v>
                </c:pt>
                <c:pt idx="261">
                  <c:v>2.1076490935990528E-2</c:v>
                </c:pt>
                <c:pt idx="262">
                  <c:v>2.1741481076654336E-2</c:v>
                </c:pt>
                <c:pt idx="263">
                  <c:v>2.2488420423524714E-2</c:v>
                </c:pt>
                <c:pt idx="264">
                  <c:v>2.3319655488118519E-2</c:v>
                </c:pt>
                <c:pt idx="265">
                  <c:v>2.4237751770901057E-2</c:v>
                </c:pt>
                <c:pt idx="266">
                  <c:v>2.5245306059054309E-2</c:v>
                </c:pt>
                <c:pt idx="267">
                  <c:v>2.6353639018267008E-2</c:v>
                </c:pt>
                <c:pt idx="268">
                  <c:v>2.7539735650935669E-2</c:v>
                </c:pt>
                <c:pt idx="269">
                  <c:v>2.8805596056284331E-2</c:v>
                </c:pt>
                <c:pt idx="270">
                  <c:v>3.0153193961394174E-2</c:v>
                </c:pt>
                <c:pt idx="271">
                  <c:v>3.1584453733515962E-2</c:v>
                </c:pt>
                <c:pt idx="272">
                  <c:v>3.3101224848769803E-2</c:v>
                </c:pt>
                <c:pt idx="273">
                  <c:v>3.4705253684035021E-2</c:v>
                </c:pt>
                <c:pt idx="274">
                  <c:v>3.640278274757304E-2</c:v>
                </c:pt>
                <c:pt idx="275">
                  <c:v>3.8187478235143325E-2</c:v>
                </c:pt>
                <c:pt idx="276">
                  <c:v>4.0015182093425257E-2</c:v>
                </c:pt>
                <c:pt idx="277">
                  <c:v>4.1886542028914057E-2</c:v>
                </c:pt>
                <c:pt idx="278">
                  <c:v>4.3802019417068842E-2</c:v>
                </c:pt>
                <c:pt idx="279">
                  <c:v>4.5761864210045446E-2</c:v>
                </c:pt>
                <c:pt idx="280">
                  <c:v>4.7766087698892942E-2</c:v>
                </c:pt>
                <c:pt idx="281">
                  <c:v>4.9808099452252654E-2</c:v>
                </c:pt>
                <c:pt idx="282">
                  <c:v>5.1876672996454119E-2</c:v>
                </c:pt>
                <c:pt idx="283">
                  <c:v>5.3970265392749225E-2</c:v>
                </c:pt>
                <c:pt idx="284">
                  <c:v>5.6086951999888911E-2</c:v>
                </c:pt>
                <c:pt idx="285">
                  <c:v>5.8224397210747458E-2</c:v>
                </c:pt>
                <c:pt idx="286">
                  <c:v>6.0379825532829133E-2</c:v>
                </c:pt>
                <c:pt idx="287">
                  <c:v>6.2549993613786575E-2</c:v>
                </c:pt>
                <c:pt idx="288">
                  <c:v>6.4735267384814665E-2</c:v>
                </c:pt>
                <c:pt idx="289">
                  <c:v>6.6944275032185044E-2</c:v>
                </c:pt>
                <c:pt idx="290">
                  <c:v>6.919346127693253E-2</c:v>
                </c:pt>
                <c:pt idx="291">
                  <c:v>7.1483571287348696E-2</c:v>
                </c:pt>
                <c:pt idx="292">
                  <c:v>7.381542745314032E-2</c:v>
                </c:pt>
                <c:pt idx="293">
                  <c:v>7.6189937208877609E-2</c:v>
                </c:pt>
                <c:pt idx="294">
                  <c:v>7.8608101333514757E-2</c:v>
                </c:pt>
                <c:pt idx="295">
                  <c:v>8.1060143431447199E-2</c:v>
                </c:pt>
                <c:pt idx="296">
                  <c:v>8.3555535746762402E-2</c:v>
                </c:pt>
                <c:pt idx="297">
                  <c:v>8.6096301421061311E-2</c:v>
                </c:pt>
                <c:pt idx="298">
                  <c:v>8.8683949545167104E-2</c:v>
                </c:pt>
                <c:pt idx="299">
                  <c:v>9.1320137446981253E-2</c:v>
                </c:pt>
                <c:pt idx="300">
                  <c:v>9.4006683330775123E-2</c:v>
                </c:pt>
                <c:pt idx="301">
                  <c:v>9.6745580047730914E-2</c:v>
                </c:pt>
                <c:pt idx="302">
                  <c:v>9.9539480647254763E-2</c:v>
                </c:pt>
                <c:pt idx="303">
                  <c:v>0.10236874792029077</c:v>
                </c:pt>
                <c:pt idx="304">
                  <c:v>0.10522470625524888</c:v>
                </c:pt>
                <c:pt idx="305">
                  <c:v>0.10810541515225161</c:v>
                </c:pt>
                <c:pt idx="306">
                  <c:v>0.11100861765296671</c:v>
                </c:pt>
                <c:pt idx="307">
                  <c:v>0.11393171991193876</c:v>
                </c:pt>
                <c:pt idx="308">
                  <c:v>0.11687177075555903</c:v>
                </c:pt>
                <c:pt idx="309">
                  <c:v>0.1198207185759667</c:v>
                </c:pt>
                <c:pt idx="310">
                  <c:v>0.12278778197224764</c:v>
                </c:pt>
                <c:pt idx="311">
                  <c:v>0.12576912567770074</c:v>
                </c:pt>
                <c:pt idx="312">
                  <c:v>0.12876048429122994</c:v>
                </c:pt>
                <c:pt idx="313">
                  <c:v>0.13175714516062115</c:v>
                </c:pt>
                <c:pt idx="314">
                  <c:v>0.13475393343981809</c:v>
                </c:pt>
                <c:pt idx="315">
                  <c:v>0.13774520005376981</c:v>
                </c:pt>
                <c:pt idx="316">
                  <c:v>0.14072717014866118</c:v>
                </c:pt>
                <c:pt idx="317">
                  <c:v>0.14369042336839999</c:v>
                </c:pt>
                <c:pt idx="318">
                  <c:v>0.14665811316188834</c:v>
                </c:pt>
                <c:pt idx="319">
                  <c:v>0.14962958283451153</c:v>
                </c:pt>
                <c:pt idx="320">
                  <c:v>0.15260431440066785</c:v>
                </c:pt>
                <c:pt idx="321">
                  <c:v>0.15558193819483807</c:v>
                </c:pt>
                <c:pt idx="322">
                  <c:v>0.15856224240052058</c:v>
                </c:pt>
                <c:pt idx="323">
                  <c:v>0.16154985272413674</c:v>
                </c:pt>
                <c:pt idx="324">
                  <c:v>0.16455064663286897</c:v>
                </c:pt>
                <c:pt idx="325">
                  <c:v>0.16756523720092628</c:v>
                </c:pt>
                <c:pt idx="326">
                  <c:v>0.17059336740758493</c:v>
                </c:pt>
                <c:pt idx="327">
                  <c:v>0.17363562560816642</c:v>
                </c:pt>
                <c:pt idx="328">
                  <c:v>0.17669369096062701</c:v>
                </c:pt>
                <c:pt idx="329">
                  <c:v>0.17976949994056976</c:v>
                </c:pt>
                <c:pt idx="330">
                  <c:v>0.18287730257427168</c:v>
                </c:pt>
                <c:pt idx="331">
                  <c:v>0.18598726163455925</c:v>
                </c:pt>
                <c:pt idx="332">
                  <c:v>0.18909983332061442</c:v>
                </c:pt>
                <c:pt idx="333">
                  <c:v>0.19220469544369695</c:v>
                </c:pt>
                <c:pt idx="334">
                  <c:v>0.19529053041506109</c:v>
                </c:pt>
                <c:pt idx="335">
                  <c:v>0.19834500617348724</c:v>
                </c:pt>
                <c:pt idx="336">
                  <c:v>0.20135477156113374</c:v>
                </c:pt>
                <c:pt idx="337">
                  <c:v>0.20424917075939017</c:v>
                </c:pt>
                <c:pt idx="338">
                  <c:v>0.207006181290154</c:v>
                </c:pt>
                <c:pt idx="339">
                  <c:v>0.20960822011538305</c:v>
                </c:pt>
                <c:pt idx="340">
                  <c:v>0.21203704569585308</c:v>
                </c:pt>
                <c:pt idx="341">
                  <c:v>0.21427391370635504</c:v>
                </c:pt>
                <c:pt idx="342">
                  <c:v>0.21629976358026309</c:v>
                </c:pt>
                <c:pt idx="343">
                  <c:v>0.2180954362361445</c:v>
                </c:pt>
                <c:pt idx="344">
                  <c:v>0.21967531883991523</c:v>
                </c:pt>
                <c:pt idx="345">
                  <c:v>0.22106266013953599</c:v>
                </c:pt>
                <c:pt idx="346">
                  <c:v>0.22228497826148894</c:v>
                </c:pt>
                <c:pt idx="347">
                  <c:v>0.22333758816814447</c:v>
                </c:pt>
                <c:pt idx="348">
                  <c:v>0.2242162257843483</c:v>
                </c:pt>
                <c:pt idx="349">
                  <c:v>0.22491708682816008</c:v>
                </c:pt>
                <c:pt idx="350">
                  <c:v>0.22543686337530333</c:v>
                </c:pt>
                <c:pt idx="351">
                  <c:v>0.22576413143125246</c:v>
                </c:pt>
                <c:pt idx="352">
                  <c:v>0.22595664229229032</c:v>
                </c:pt>
                <c:pt idx="353">
                  <c:v>0.22601279208816352</c:v>
                </c:pt>
                <c:pt idx="354">
                  <c:v>0.22593142152803442</c:v>
                </c:pt>
                <c:pt idx="355">
                  <c:v>0.22571183100530673</c:v>
                </c:pt>
                <c:pt idx="356">
                  <c:v>0.22535326633163141</c:v>
                </c:pt>
                <c:pt idx="357">
                  <c:v>0.22485618892027956</c:v>
                </c:pt>
                <c:pt idx="358">
                  <c:v>0.22421660371978686</c:v>
                </c:pt>
                <c:pt idx="359">
                  <c:v>0.22343428091099707</c:v>
                </c:pt>
                <c:pt idx="360">
                  <c:v>0.22245561244867512</c:v>
                </c:pt>
                <c:pt idx="361">
                  <c:v>0.22129571149465704</c:v>
                </c:pt>
                <c:pt idx="362">
                  <c:v>0.21996154122438563</c:v>
                </c:pt>
                <c:pt idx="363">
                  <c:v>0.21846042938015445</c:v>
                </c:pt>
                <c:pt idx="364">
                  <c:v>0.21679999714967699</c:v>
                </c:pt>
                <c:pt idx="365">
                  <c:v>0.21498809001718849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502064"/>
        <c:axId val="552502456"/>
      </c:lineChart>
      <c:dateAx>
        <c:axId val="5525020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2502456"/>
        <c:crosses val="autoZero"/>
        <c:auto val="1"/>
        <c:lblOffset val="100"/>
        <c:baseTimeUnit val="days"/>
        <c:majorUnit val="1"/>
        <c:majorTimeUnit val="months"/>
      </c:dateAx>
      <c:valAx>
        <c:axId val="55250245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2502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13.004575092383593</c:v>
                </c:pt>
                <c:pt idx="1">
                  <c:v>13.1277609225726</c:v>
                </c:pt>
                <c:pt idx="2">
                  <c:v>13.260356354139427</c:v>
                </c:pt>
                <c:pt idx="3">
                  <c:v>13.402137043962233</c:v>
                </c:pt>
                <c:pt idx="4">
                  <c:v>13.552878701065485</c:v>
                </c:pt>
                <c:pt idx="5">
                  <c:v>13.712357043984063</c:v>
                </c:pt>
                <c:pt idx="6">
                  <c:v>13.880347764686384</c:v>
                </c:pt>
                <c:pt idx="7">
                  <c:v>14.056626493888585</c:v>
                </c:pt>
                <c:pt idx="8">
                  <c:v>14.242988761284298</c:v>
                </c:pt>
                <c:pt idx="9">
                  <c:v>14.440858876312374</c:v>
                </c:pt>
                <c:pt idx="10">
                  <c:v>14.64863440736506</c:v>
                </c:pt>
                <c:pt idx="11">
                  <c:v>14.865668978754657</c:v>
                </c:pt>
                <c:pt idx="12">
                  <c:v>15.091316416505078</c:v>
                </c:pt>
                <c:pt idx="13">
                  <c:v>15.324930746216856</c:v>
                </c:pt>
                <c:pt idx="14">
                  <c:v>15.565866177199208</c:v>
                </c:pt>
                <c:pt idx="15">
                  <c:v>15.813655885344698</c:v>
                </c:pt>
                <c:pt idx="16">
                  <c:v>16.066983503964281</c:v>
                </c:pt>
                <c:pt idx="17">
                  <c:v>16.325203472928454</c:v>
                </c:pt>
                <c:pt idx="18">
                  <c:v>16.587670454089057</c:v>
                </c:pt>
                <c:pt idx="19">
                  <c:v>16.853721593261159</c:v>
                </c:pt>
                <c:pt idx="20">
                  <c:v>17.122686909575592</c:v>
                </c:pt>
                <c:pt idx="21">
                  <c:v>17.393911025514122</c:v>
                </c:pt>
                <c:pt idx="22">
                  <c:v>17.668993772049848</c:v>
                </c:pt>
                <c:pt idx="23">
                  <c:v>17.949877567029386</c:v>
                </c:pt>
                <c:pt idx="24">
                  <c:v>18.236349540828563</c:v>
                </c:pt>
                <c:pt idx="25">
                  <c:v>18.528106910022739</c:v>
                </c:pt>
                <c:pt idx="26">
                  <c:v>18.824847262600834</c:v>
                </c:pt>
                <c:pt idx="27">
                  <c:v>19.126268564287599</c:v>
                </c:pt>
                <c:pt idx="28">
                  <c:v>19.432069167580593</c:v>
                </c:pt>
                <c:pt idx="29">
                  <c:v>19.742454424202613</c:v>
                </c:pt>
                <c:pt idx="30">
                  <c:v>20.056945434062559</c:v>
                </c:pt>
                <c:pt idx="31">
                  <c:v>20.375242003660365</c:v>
                </c:pt>
                <c:pt idx="32">
                  <c:v>20.697044377760484</c:v>
                </c:pt>
                <c:pt idx="33">
                  <c:v>21.022053257922831</c:v>
                </c:pt>
                <c:pt idx="34">
                  <c:v>21.349969808320886</c:v>
                </c:pt>
                <c:pt idx="35">
                  <c:v>21.680495670058825</c:v>
                </c:pt>
                <c:pt idx="36">
                  <c:v>22.013853871493051</c:v>
                </c:pt>
                <c:pt idx="37">
                  <c:v>22.350819715931223</c:v>
                </c:pt>
                <c:pt idx="38">
                  <c:v>22.691376772119497</c:v>
                </c:pt>
                <c:pt idx="39">
                  <c:v>23.035617530756589</c:v>
                </c:pt>
                <c:pt idx="40">
                  <c:v>23.383634655786512</c:v>
                </c:pt>
                <c:pt idx="41">
                  <c:v>23.735520995733882</c:v>
                </c:pt>
                <c:pt idx="42">
                  <c:v>24.091369593354212</c:v>
                </c:pt>
                <c:pt idx="43">
                  <c:v>24.451091259287569</c:v>
                </c:pt>
                <c:pt idx="44">
                  <c:v>24.814272101226809</c:v>
                </c:pt>
                <c:pt idx="45">
                  <c:v>25.18100492776108</c:v>
                </c:pt>
                <c:pt idx="46">
                  <c:v>25.551382615672985</c:v>
                </c:pt>
                <c:pt idx="47">
                  <c:v>25.925498107365833</c:v>
                </c:pt>
                <c:pt idx="48">
                  <c:v>26.303444391705803</c:v>
                </c:pt>
                <c:pt idx="49">
                  <c:v>26.685314492366075</c:v>
                </c:pt>
                <c:pt idx="50">
                  <c:v>27.071802010541102</c:v>
                </c:pt>
                <c:pt idx="51">
                  <c:v>27.46347579783286</c:v>
                </c:pt>
                <c:pt idx="52">
                  <c:v>27.859662732949666</c:v>
                </c:pt>
                <c:pt idx="53">
                  <c:v>28.259981605293593</c:v>
                </c:pt>
                <c:pt idx="54">
                  <c:v>28.664040661660451</c:v>
                </c:pt>
                <c:pt idx="55">
                  <c:v>29.071448210813909</c:v>
                </c:pt>
                <c:pt idx="56">
                  <c:v>29.481812592875585</c:v>
                </c:pt>
                <c:pt idx="57">
                  <c:v>29.895213185000348</c:v>
                </c:pt>
                <c:pt idx="58">
                  <c:v>30.311445333108285</c:v>
                </c:pt>
                <c:pt idx="59">
                  <c:v>30.730118786844898</c:v>
                </c:pt>
                <c:pt idx="60">
                  <c:v>31.150843391961125</c:v>
                </c:pt>
                <c:pt idx="61">
                  <c:v>31.57322907391675</c:v>
                </c:pt>
                <c:pt idx="62">
                  <c:v>31.996885826722782</c:v>
                </c:pt>
                <c:pt idx="63">
                  <c:v>32.421423695619261</c:v>
                </c:pt>
                <c:pt idx="64">
                  <c:v>32.848686405899258</c:v>
                </c:pt>
                <c:pt idx="65">
                  <c:v>33.280073152003403</c:v>
                </c:pt>
                <c:pt idx="66">
                  <c:v>33.714800984941974</c:v>
                </c:pt>
                <c:pt idx="67">
                  <c:v>34.1522858829575</c:v>
                </c:pt>
                <c:pt idx="68">
                  <c:v>34.591944155528338</c:v>
                </c:pt>
                <c:pt idx="69">
                  <c:v>35.033192446009224</c:v>
                </c:pt>
                <c:pt idx="70">
                  <c:v>35.475447739694772</c:v>
                </c:pt>
                <c:pt idx="71">
                  <c:v>35.916562979902018</c:v>
                </c:pt>
                <c:pt idx="72">
                  <c:v>36.355486942286177</c:v>
                </c:pt>
                <c:pt idx="73">
                  <c:v>36.791640899329245</c:v>
                </c:pt>
                <c:pt idx="74">
                  <c:v>37.224446718344048</c:v>
                </c:pt>
                <c:pt idx="75">
                  <c:v>37.653326896133414</c:v>
                </c:pt>
                <c:pt idx="76">
                  <c:v>38.077704597654687</c:v>
                </c:pt>
                <c:pt idx="77">
                  <c:v>38.497003697482477</c:v>
                </c:pt>
                <c:pt idx="78">
                  <c:v>38.913780068212155</c:v>
                </c:pt>
                <c:pt idx="79">
                  <c:v>39.329465435655379</c:v>
                </c:pt>
                <c:pt idx="80">
                  <c:v>39.743587370058052</c:v>
                </c:pt>
                <c:pt idx="81">
                  <c:v>40.15537198962452</c:v>
                </c:pt>
                <c:pt idx="82">
                  <c:v>40.564046068625785</c:v>
                </c:pt>
                <c:pt idx="83">
                  <c:v>40.968837071021859</c:v>
                </c:pt>
                <c:pt idx="84">
                  <c:v>41.368973189036858</c:v>
                </c:pt>
                <c:pt idx="85">
                  <c:v>41.763722958830172</c:v>
                </c:pt>
                <c:pt idx="86">
                  <c:v>42.153854835557453</c:v>
                </c:pt>
                <c:pt idx="87">
                  <c:v>42.538589470922716</c:v>
                </c:pt>
                <c:pt idx="88">
                  <c:v>42.917147735294463</c:v>
                </c:pt>
                <c:pt idx="89">
                  <c:v>44.084709795748793</c:v>
                </c:pt>
                <c:pt idx="90">
                  <c:v>44.439708306053952</c:v>
                </c:pt>
                <c:pt idx="91">
                  <c:v>44.787127896188032</c:v>
                </c:pt>
                <c:pt idx="92">
                  <c:v>45.128754495464044</c:v>
                </c:pt>
                <c:pt idx="93">
                  <c:v>45.466694447034001</c:v>
                </c:pt>
                <c:pt idx="94">
                  <c:v>45.80065508577465</c:v>
                </c:pt>
                <c:pt idx="95">
                  <c:v>46.130344185171047</c:v>
                </c:pt>
                <c:pt idx="96">
                  <c:v>46.455469839788613</c:v>
                </c:pt>
                <c:pt idx="97">
                  <c:v>46.775740493375622</c:v>
                </c:pt>
                <c:pt idx="98">
                  <c:v>47.090864952561972</c:v>
                </c:pt>
                <c:pt idx="99">
                  <c:v>47.400552395835355</c:v>
                </c:pt>
                <c:pt idx="100">
                  <c:v>47.704511801057045</c:v>
                </c:pt>
                <c:pt idx="101">
                  <c:v>48.002452996156606</c:v>
                </c:pt>
                <c:pt idx="102">
                  <c:v>48.29408625965003</c:v>
                </c:pt>
                <c:pt idx="103">
                  <c:v>48.579122332844143</c:v>
                </c:pt>
                <c:pt idx="104">
                  <c:v>48.857272456787477</c:v>
                </c:pt>
                <c:pt idx="105">
                  <c:v>49.128248388557743</c:v>
                </c:pt>
                <c:pt idx="106">
                  <c:v>49.393109738643069</c:v>
                </c:pt>
                <c:pt idx="107">
                  <c:v>49.652915727016229</c:v>
                </c:pt>
                <c:pt idx="108">
                  <c:v>49.907376763764503</c:v>
                </c:pt>
                <c:pt idx="109">
                  <c:v>50.156204653766139</c:v>
                </c:pt>
                <c:pt idx="110">
                  <c:v>50.39911178747046</c:v>
                </c:pt>
                <c:pt idx="111">
                  <c:v>50.635811182069332</c:v>
                </c:pt>
                <c:pt idx="112">
                  <c:v>50.866016509134596</c:v>
                </c:pt>
                <c:pt idx="113">
                  <c:v>51.089440626340377</c:v>
                </c:pt>
                <c:pt idx="114">
                  <c:v>51.305798396599485</c:v>
                </c:pt>
                <c:pt idx="115">
                  <c:v>51.514805330602918</c:v>
                </c:pt>
                <c:pt idx="116">
                  <c:v>51.716177690580288</c:v>
                </c:pt>
                <c:pt idx="117">
                  <c:v>51.90963250702783</c:v>
                </c:pt>
                <c:pt idx="118">
                  <c:v>52.094887613216912</c:v>
                </c:pt>
                <c:pt idx="119">
                  <c:v>56.702824452164862</c:v>
                </c:pt>
                <c:pt idx="120">
                  <c:v>56.882202895642095</c:v>
                </c:pt>
                <c:pt idx="121">
                  <c:v>57.052121924815815</c:v>
                </c:pt>
                <c:pt idx="122">
                  <c:v>57.21300424575692</c:v>
                </c:pt>
                <c:pt idx="123">
                  <c:v>57.365273076166751</c:v>
                </c:pt>
                <c:pt idx="124">
                  <c:v>57.509351159678523</c:v>
                </c:pt>
                <c:pt idx="125">
                  <c:v>57.645660779914245</c:v>
                </c:pt>
                <c:pt idx="126">
                  <c:v>57.774623753254097</c:v>
                </c:pt>
                <c:pt idx="127">
                  <c:v>57.896658664306628</c:v>
                </c:pt>
                <c:pt idx="128">
                  <c:v>58.012189469753466</c:v>
                </c:pt>
                <c:pt idx="129">
                  <c:v>58.121636688331591</c:v>
                </c:pt>
                <c:pt idx="130">
                  <c:v>58.225420393813017</c:v>
                </c:pt>
                <c:pt idx="131">
                  <c:v>58.323960218939582</c:v>
                </c:pt>
                <c:pt idx="132">
                  <c:v>58.417675356406221</c:v>
                </c:pt>
                <c:pt idx="133">
                  <c:v>58.506984560634478</c:v>
                </c:pt>
                <c:pt idx="134">
                  <c:v>58.590598912639209</c:v>
                </c:pt>
                <c:pt idx="135">
                  <c:v>58.667161153168529</c:v>
                </c:pt>
                <c:pt idx="136">
                  <c:v>58.737000064529177</c:v>
                </c:pt>
                <c:pt idx="137">
                  <c:v>58.800434243146952</c:v>
                </c:pt>
                <c:pt idx="138">
                  <c:v>58.857782047184216</c:v>
                </c:pt>
                <c:pt idx="139">
                  <c:v>58.909361585589728</c:v>
                </c:pt>
                <c:pt idx="140">
                  <c:v>58.955490714289702</c:v>
                </c:pt>
                <c:pt idx="141">
                  <c:v>58.996484407637467</c:v>
                </c:pt>
                <c:pt idx="142">
                  <c:v>59.032664613123458</c:v>
                </c:pt>
                <c:pt idx="143">
                  <c:v>59.064348601086408</c:v>
                </c:pt>
                <c:pt idx="144">
                  <c:v>59.091853359812568</c:v>
                </c:pt>
                <c:pt idx="145">
                  <c:v>59.115495588636911</c:v>
                </c:pt>
                <c:pt idx="146">
                  <c:v>59.135591688811608</c:v>
                </c:pt>
                <c:pt idx="147">
                  <c:v>59.152457751143352</c:v>
                </c:pt>
                <c:pt idx="148">
                  <c:v>59.165191384568452</c:v>
                </c:pt>
                <c:pt idx="149">
                  <c:v>59.172821460114555</c:v>
                </c:pt>
                <c:pt idx="150">
                  <c:v>59.175565077739826</c:v>
                </c:pt>
                <c:pt idx="151">
                  <c:v>59.173637038237018</c:v>
                </c:pt>
                <c:pt idx="152">
                  <c:v>59.167251909325707</c:v>
                </c:pt>
                <c:pt idx="153">
                  <c:v>59.156624006678953</c:v>
                </c:pt>
                <c:pt idx="154">
                  <c:v>59.141967377673282</c:v>
                </c:pt>
                <c:pt idx="155">
                  <c:v>59.123495124814696</c:v>
                </c:pt>
                <c:pt idx="156">
                  <c:v>59.10142467262304</c:v>
                </c:pt>
                <c:pt idx="157">
                  <c:v>59.075969394932983</c:v>
                </c:pt>
                <c:pt idx="158">
                  <c:v>59.047342322067735</c:v>
                </c:pt>
                <c:pt idx="159">
                  <c:v>59.015756126386648</c:v>
                </c:pt>
                <c:pt idx="160">
                  <c:v>58.981423099673663</c:v>
                </c:pt>
                <c:pt idx="161">
                  <c:v>58.944555140416227</c:v>
                </c:pt>
                <c:pt idx="162">
                  <c:v>58.904407824984474</c:v>
                </c:pt>
                <c:pt idx="163">
                  <c:v>58.86023843077993</c:v>
                </c:pt>
                <c:pt idx="164">
                  <c:v>58.812261931861961</c:v>
                </c:pt>
                <c:pt idx="165">
                  <c:v>58.760690705247882</c:v>
                </c:pt>
                <c:pt idx="166">
                  <c:v>58.705736634487145</c:v>
                </c:pt>
                <c:pt idx="167">
                  <c:v>58.647611104921104</c:v>
                </c:pt>
                <c:pt idx="168">
                  <c:v>58.58652498423718</c:v>
                </c:pt>
                <c:pt idx="169">
                  <c:v>58.522689459716617</c:v>
                </c:pt>
                <c:pt idx="170">
                  <c:v>58.456315281969601</c:v>
                </c:pt>
                <c:pt idx="171">
                  <c:v>58.38761181246138</c:v>
                </c:pt>
                <c:pt idx="172">
                  <c:v>58.316787860729384</c:v>
                </c:pt>
                <c:pt idx="173">
                  <c:v>58.244051696930889</c:v>
                </c:pt>
                <c:pt idx="174">
                  <c:v>58.169611037113391</c:v>
                </c:pt>
                <c:pt idx="175">
                  <c:v>58.09367303337627</c:v>
                </c:pt>
                <c:pt idx="176">
                  <c:v>58.016376340970673</c:v>
                </c:pt>
                <c:pt idx="177">
                  <c:v>57.93758647850423</c:v>
                </c:pt>
                <c:pt idx="178">
                  <c:v>57.85710097854512</c:v>
                </c:pt>
                <c:pt idx="179">
                  <c:v>57.774718308878313</c:v>
                </c:pt>
                <c:pt idx="180">
                  <c:v>57.690236952581316</c:v>
                </c:pt>
                <c:pt idx="181">
                  <c:v>57.603455408901425</c:v>
                </c:pt>
                <c:pt idx="182">
                  <c:v>57.514172196430536</c:v>
                </c:pt>
                <c:pt idx="183">
                  <c:v>57.422182820723307</c:v>
                </c:pt>
                <c:pt idx="184">
                  <c:v>57.327284718235276</c:v>
                </c:pt>
                <c:pt idx="185">
                  <c:v>57.229276375032924</c:v>
                </c:pt>
                <c:pt idx="186">
                  <c:v>57.127956339735043</c:v>
                </c:pt>
                <c:pt idx="187">
                  <c:v>57.023123227430254</c:v>
                </c:pt>
                <c:pt idx="188">
                  <c:v>56.914575734830443</c:v>
                </c:pt>
                <c:pt idx="189">
                  <c:v>56.80211265581864</c:v>
                </c:pt>
                <c:pt idx="190">
                  <c:v>56.685600516130314</c:v>
                </c:pt>
                <c:pt idx="191">
                  <c:v>56.56516932843973</c:v>
                </c:pt>
                <c:pt idx="192">
                  <c:v>56.441024373742039</c:v>
                </c:pt>
                <c:pt idx="193">
                  <c:v>56.313369429378866</c:v>
                </c:pt>
                <c:pt idx="194">
                  <c:v>56.182407944794932</c:v>
                </c:pt>
                <c:pt idx="195">
                  <c:v>56.04834305938256</c:v>
                </c:pt>
                <c:pt idx="196">
                  <c:v>55.911377618179358</c:v>
                </c:pt>
                <c:pt idx="197">
                  <c:v>55.771709380279489</c:v>
                </c:pt>
                <c:pt idx="198">
                  <c:v>55.629544053874426</c:v>
                </c:pt>
                <c:pt idx="199">
                  <c:v>55.485083706449771</c:v>
                </c:pt>
                <c:pt idx="200">
                  <c:v>55.3385301899079</c:v>
                </c:pt>
                <c:pt idx="201">
                  <c:v>55.190085155979681</c:v>
                </c:pt>
                <c:pt idx="202">
                  <c:v>55.03995007243099</c:v>
                </c:pt>
                <c:pt idx="203">
                  <c:v>54.888326236828135</c:v>
                </c:pt>
                <c:pt idx="204">
                  <c:v>54.735347459997961</c:v>
                </c:pt>
                <c:pt idx="205">
                  <c:v>54.58086441953207</c:v>
                </c:pt>
                <c:pt idx="206">
                  <c:v>54.424682109817503</c:v>
                </c:pt>
                <c:pt idx="207">
                  <c:v>54.266598273378655</c:v>
                </c:pt>
                <c:pt idx="208">
                  <c:v>54.106411020370807</c:v>
                </c:pt>
                <c:pt idx="209">
                  <c:v>53.943918831423588</c:v>
                </c:pt>
                <c:pt idx="210">
                  <c:v>53.778920554318631</c:v>
                </c:pt>
                <c:pt idx="211">
                  <c:v>53.611175564834127</c:v>
                </c:pt>
                <c:pt idx="212">
                  <c:v>53.440488182648757</c:v>
                </c:pt>
                <c:pt idx="213">
                  <c:v>53.266657952737219</c:v>
                </c:pt>
                <c:pt idx="214">
                  <c:v>53.089484808699446</c:v>
                </c:pt>
                <c:pt idx="215">
                  <c:v>52.90876907278021</c:v>
                </c:pt>
                <c:pt idx="216">
                  <c:v>52.724311447800396</c:v>
                </c:pt>
                <c:pt idx="217">
                  <c:v>52.535913003416042</c:v>
                </c:pt>
                <c:pt idx="218">
                  <c:v>52.344749747851502</c:v>
                </c:pt>
                <c:pt idx="219">
                  <c:v>52.151845157984447</c:v>
                </c:pt>
                <c:pt idx="220">
                  <c:v>51.956812591420402</c:v>
                </c:pt>
                <c:pt idx="221">
                  <c:v>51.759251428044699</c:v>
                </c:pt>
                <c:pt idx="222">
                  <c:v>51.558761624932906</c:v>
                </c:pt>
                <c:pt idx="223">
                  <c:v>51.354943705053081</c:v>
                </c:pt>
                <c:pt idx="224">
                  <c:v>51.147398739689997</c:v>
                </c:pt>
                <c:pt idx="225">
                  <c:v>50.93573596342501</c:v>
                </c:pt>
                <c:pt idx="226">
                  <c:v>50.719599440264901</c:v>
                </c:pt>
                <c:pt idx="227">
                  <c:v>50.498592179003886</c:v>
                </c:pt>
                <c:pt idx="228">
                  <c:v>50.272317675416559</c:v>
                </c:pt>
                <c:pt idx="229">
                  <c:v>50.040379891366513</c:v>
                </c:pt>
                <c:pt idx="230">
                  <c:v>49.802383252150641</c:v>
                </c:pt>
                <c:pt idx="231">
                  <c:v>49.557932638971153</c:v>
                </c:pt>
                <c:pt idx="232">
                  <c:v>49.308069193686492</c:v>
                </c:pt>
                <c:pt idx="233">
                  <c:v>49.053965546820315</c:v>
                </c:pt>
                <c:pt idx="234">
                  <c:v>48.795443432627806</c:v>
                </c:pt>
                <c:pt idx="235">
                  <c:v>48.532307023542877</c:v>
                </c:pt>
                <c:pt idx="236">
                  <c:v>48.264360681575042</c:v>
                </c:pt>
                <c:pt idx="237">
                  <c:v>47.991408985394905</c:v>
                </c:pt>
                <c:pt idx="238">
                  <c:v>47.713256707194603</c:v>
                </c:pt>
                <c:pt idx="239">
                  <c:v>47.429726108816084</c:v>
                </c:pt>
                <c:pt idx="240">
                  <c:v>47.140614576557979</c:v>
                </c:pt>
                <c:pt idx="241">
                  <c:v>46.845727491645754</c:v>
                </c:pt>
                <c:pt idx="242">
                  <c:v>46.544870415785603</c:v>
                </c:pt>
                <c:pt idx="243">
                  <c:v>46.237849092298539</c:v>
                </c:pt>
                <c:pt idx="244">
                  <c:v>45.924469445837502</c:v>
                </c:pt>
                <c:pt idx="245">
                  <c:v>45.6045375769678</c:v>
                </c:pt>
                <c:pt idx="246">
                  <c:v>45.277277665329009</c:v>
                </c:pt>
                <c:pt idx="247">
                  <c:v>44.942401403445565</c:v>
                </c:pt>
                <c:pt idx="248">
                  <c:v>44.600415043455577</c:v>
                </c:pt>
                <c:pt idx="249">
                  <c:v>44.251823389041022</c:v>
                </c:pt>
                <c:pt idx="250">
                  <c:v>43.897130668265177</c:v>
                </c:pt>
                <c:pt idx="251">
                  <c:v>43.536840536229036</c:v>
                </c:pt>
                <c:pt idx="252">
                  <c:v>43.171456079706573</c:v>
                </c:pt>
                <c:pt idx="253">
                  <c:v>42.801509758956136</c:v>
                </c:pt>
                <c:pt idx="254">
                  <c:v>42.427486037451004</c:v>
                </c:pt>
                <c:pt idx="255">
                  <c:v>42.049886361055947</c:v>
                </c:pt>
                <c:pt idx="256">
                  <c:v>41.669211621613279</c:v>
                </c:pt>
                <c:pt idx="257">
                  <c:v>41.285962163407063</c:v>
                </c:pt>
                <c:pt idx="258">
                  <c:v>40.900637783430042</c:v>
                </c:pt>
                <c:pt idx="259">
                  <c:v>40.513737734670784</c:v>
                </c:pt>
                <c:pt idx="260">
                  <c:v>40.122579008064605</c:v>
                </c:pt>
                <c:pt idx="261">
                  <c:v>39.72479119641342</c:v>
                </c:pt>
                <c:pt idx="262">
                  <c:v>39.321252534182847</c:v>
                </c:pt>
                <c:pt idx="263">
                  <c:v>38.912861644506158</c:v>
                </c:pt>
                <c:pt idx="264">
                  <c:v>38.500516147623145</c:v>
                </c:pt>
                <c:pt idx="265">
                  <c:v>38.085112356723194</c:v>
                </c:pt>
                <c:pt idx="266">
                  <c:v>37.667545758490725</c:v>
                </c:pt>
                <c:pt idx="267">
                  <c:v>37.248740226897759</c:v>
                </c:pt>
                <c:pt idx="268">
                  <c:v>36.829559344857607</c:v>
                </c:pt>
                <c:pt idx="269">
                  <c:v>36.410895945464738</c:v>
                </c:pt>
                <c:pt idx="270">
                  <c:v>35.993641914416138</c:v>
                </c:pt>
                <c:pt idx="271">
                  <c:v>35.578688201157945</c:v>
                </c:pt>
                <c:pt idx="272">
                  <c:v>35.166924830252519</c:v>
                </c:pt>
                <c:pt idx="273">
                  <c:v>34.759240914968643</c:v>
                </c:pt>
                <c:pt idx="274">
                  <c:v>34.352147406510568</c:v>
                </c:pt>
                <c:pt idx="275">
                  <c:v>33.942233542022599</c:v>
                </c:pt>
                <c:pt idx="276">
                  <c:v>33.530444897461564</c:v>
                </c:pt>
                <c:pt idx="277">
                  <c:v>33.117771288384404</c:v>
                </c:pt>
                <c:pt idx="278">
                  <c:v>32.705201476407282</c:v>
                </c:pt>
                <c:pt idx="279">
                  <c:v>32.293723189870107</c:v>
                </c:pt>
                <c:pt idx="280">
                  <c:v>31.884323150401638</c:v>
                </c:pt>
                <c:pt idx="281">
                  <c:v>31.477981081006529</c:v>
                </c:pt>
                <c:pt idx="282">
                  <c:v>31.075652349473636</c:v>
                </c:pt>
                <c:pt idx="283">
                  <c:v>30.678320753185435</c:v>
                </c:pt>
                <c:pt idx="284">
                  <c:v>30.286969195621705</c:v>
                </c:pt>
                <c:pt idx="285">
                  <c:v>29.902579725021958</c:v>
                </c:pt>
                <c:pt idx="286">
                  <c:v>29.526133559722737</c:v>
                </c:pt>
                <c:pt idx="287">
                  <c:v>29.158611132731792</c:v>
                </c:pt>
                <c:pt idx="288">
                  <c:v>28.799163589630481</c:v>
                </c:pt>
                <c:pt idx="289">
                  <c:v>28.445965650472825</c:v>
                </c:pt>
                <c:pt idx="290">
                  <c:v>28.098703718718077</c:v>
                </c:pt>
                <c:pt idx="291">
                  <c:v>27.757073793299998</c:v>
                </c:pt>
                <c:pt idx="292">
                  <c:v>27.420772023999614</c:v>
                </c:pt>
                <c:pt idx="293">
                  <c:v>27.089494703693148</c:v>
                </c:pt>
                <c:pt idx="294">
                  <c:v>26.762938279131376</c:v>
                </c:pt>
                <c:pt idx="295">
                  <c:v>26.440459073482248</c:v>
                </c:pt>
                <c:pt idx="296">
                  <c:v>26.121758925314019</c:v>
                </c:pt>
                <c:pt idx="297">
                  <c:v>25.806533933504031</c:v>
                </c:pt>
                <c:pt idx="298">
                  <c:v>25.494480731502989</c:v>
                </c:pt>
                <c:pt idx="299">
                  <c:v>25.185296128001369</c:v>
                </c:pt>
                <c:pt idx="300">
                  <c:v>24.878677132992799</c:v>
                </c:pt>
                <c:pt idx="301">
                  <c:v>24.574320959625908</c:v>
                </c:pt>
                <c:pt idx="302">
                  <c:v>24.271809994660838</c:v>
                </c:pt>
                <c:pt idx="303">
                  <c:v>23.970966841582218</c:v>
                </c:pt>
                <c:pt idx="304">
                  <c:v>23.672300594949885</c:v>
                </c:pt>
                <c:pt idx="305">
                  <c:v>23.376199042851773</c:v>
                </c:pt>
                <c:pt idx="306">
                  <c:v>23.083049905546268</c:v>
                </c:pt>
                <c:pt idx="307">
                  <c:v>22.793240853158466</c:v>
                </c:pt>
                <c:pt idx="308">
                  <c:v>22.507159537609521</c:v>
                </c:pt>
                <c:pt idx="309">
                  <c:v>22.225462507301327</c:v>
                </c:pt>
                <c:pt idx="310">
                  <c:v>21.948880345528991</c:v>
                </c:pt>
                <c:pt idx="311">
                  <c:v>21.677801481119729</c:v>
                </c:pt>
                <c:pt idx="312">
                  <c:v>21.412614353804798</c:v>
                </c:pt>
                <c:pt idx="313">
                  <c:v>21.153707411815084</c:v>
                </c:pt>
                <c:pt idx="314">
                  <c:v>20.901469122988512</c:v>
                </c:pt>
                <c:pt idx="315">
                  <c:v>20.656287973758953</c:v>
                </c:pt>
                <c:pt idx="316">
                  <c:v>20.418207945055141</c:v>
                </c:pt>
                <c:pt idx="317">
                  <c:v>20.18721787874285</c:v>
                </c:pt>
                <c:pt idx="318">
                  <c:v>19.963239887345441</c:v>
                </c:pt>
                <c:pt idx="319">
                  <c:v>19.745975053552055</c:v>
                </c:pt>
                <c:pt idx="320">
                  <c:v>19.535124781510355</c:v>
                </c:pt>
                <c:pt idx="321">
                  <c:v>19.330390797489837</c:v>
                </c:pt>
                <c:pt idx="322">
                  <c:v>19.131475138267625</c:v>
                </c:pt>
                <c:pt idx="323">
                  <c:v>18.938192652030104</c:v>
                </c:pt>
                <c:pt idx="324">
                  <c:v>18.749975858350634</c:v>
                </c:pt>
                <c:pt idx="325">
                  <c:v>18.566527615413428</c:v>
                </c:pt>
                <c:pt idx="326">
                  <c:v>18.387552255574477</c:v>
                </c:pt>
                <c:pt idx="327">
                  <c:v>18.212753642208334</c:v>
                </c:pt>
                <c:pt idx="328">
                  <c:v>18.041834944266</c:v>
                </c:pt>
                <c:pt idx="329">
                  <c:v>17.874499602123418</c:v>
                </c:pt>
                <c:pt idx="330">
                  <c:v>17.70927259162417</c:v>
                </c:pt>
                <c:pt idx="331">
                  <c:v>17.545408301527225</c:v>
                </c:pt>
                <c:pt idx="332">
                  <c:v>17.383385319222647</c:v>
                </c:pt>
                <c:pt idx="333">
                  <c:v>17.224086689847837</c:v>
                </c:pt>
                <c:pt idx="334">
                  <c:v>17.068395024049209</c:v>
                </c:pt>
                <c:pt idx="335">
                  <c:v>16.917192466510549</c:v>
                </c:pt>
                <c:pt idx="336">
                  <c:v>16.771360664282152</c:v>
                </c:pt>
                <c:pt idx="337">
                  <c:v>16.631726089410158</c:v>
                </c:pt>
                <c:pt idx="338">
                  <c:v>16.499056803836289</c:v>
                </c:pt>
                <c:pt idx="339">
                  <c:v>16.3742328518505</c:v>
                </c:pt>
                <c:pt idx="340">
                  <c:v>16.258133671684796</c:v>
                </c:pt>
                <c:pt idx="341">
                  <c:v>16.151638059925101</c:v>
                </c:pt>
                <c:pt idx="342">
                  <c:v>16.055624151144137</c:v>
                </c:pt>
                <c:pt idx="343">
                  <c:v>15.970969389052854</c:v>
                </c:pt>
                <c:pt idx="344">
                  <c:v>15.896108634363291</c:v>
                </c:pt>
                <c:pt idx="345">
                  <c:v>15.828963053727309</c:v>
                </c:pt>
                <c:pt idx="346">
                  <c:v>15.769650046838787</c:v>
                </c:pt>
                <c:pt idx="347">
                  <c:v>15.718275765793878</c:v>
                </c:pt>
                <c:pt idx="348">
                  <c:v>15.674946232226013</c:v>
                </c:pt>
                <c:pt idx="349">
                  <c:v>15.639767330482478</c:v>
                </c:pt>
                <c:pt idx="350">
                  <c:v>15.612844796636244</c:v>
                </c:pt>
                <c:pt idx="351">
                  <c:v>15.594238099897737</c:v>
                </c:pt>
                <c:pt idx="352">
                  <c:v>15.58410723278055</c:v>
                </c:pt>
                <c:pt idx="353">
                  <c:v>15.582557452190983</c:v>
                </c:pt>
                <c:pt idx="354">
                  <c:v>15.589693844710265</c:v>
                </c:pt>
                <c:pt idx="355">
                  <c:v>15.605621338260109</c:v>
                </c:pt>
                <c:pt idx="356">
                  <c:v>15.630446779276882</c:v>
                </c:pt>
                <c:pt idx="357">
                  <c:v>15.664272787828571</c:v>
                </c:pt>
                <c:pt idx="358">
                  <c:v>15.707465759319295</c:v>
                </c:pt>
                <c:pt idx="359">
                  <c:v>15.760166340772434</c:v>
                </c:pt>
                <c:pt idx="360">
                  <c:v>15.82208657235245</c:v>
                </c:pt>
                <c:pt idx="361">
                  <c:v>15.893039319067295</c:v>
                </c:pt>
                <c:pt idx="362">
                  <c:v>15.97279143262911</c:v>
                </c:pt>
                <c:pt idx="363">
                  <c:v>16.061109884538077</c:v>
                </c:pt>
                <c:pt idx="364">
                  <c:v>16.157761768196657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4.9592826690817802</c:v>
                </c:pt>
                <c:pt idx="1">
                  <c:v>1.2108224022877343</c:v>
                </c:pt>
                <c:pt idx="2">
                  <c:v>9.1315161208254079</c:v>
                </c:pt>
                <c:pt idx="3">
                  <c:v>9.2021349734082047</c:v>
                </c:pt>
                <c:pt idx="4">
                  <c:v>9.9224533410079072</c:v>
                </c:pt>
                <c:pt idx="5">
                  <c:v>4.4049633770770544</c:v>
                </c:pt>
                <c:pt idx="6">
                  <c:v>11.248702752095953</c:v>
                </c:pt>
                <c:pt idx="7">
                  <c:v>5.8755841669545381</c:v>
                </c:pt>
                <c:pt idx="8">
                  <c:v>5.9953020621577711</c:v>
                </c:pt>
                <c:pt idx="9">
                  <c:v>13.222370019637227</c:v>
                </c:pt>
                <c:pt idx="10">
                  <c:v>3.9297834144416774</c:v>
                </c:pt>
                <c:pt idx="11">
                  <c:v>14.22358274318554</c:v>
                </c:pt>
                <c:pt idx="12">
                  <c:v>9.2983873373418451</c:v>
                </c:pt>
                <c:pt idx="13">
                  <c:v>11.255608018635286</c:v>
                </c:pt>
                <c:pt idx="14">
                  <c:v>4.6728873042445063</c:v>
                </c:pt>
                <c:pt idx="15">
                  <c:v>3.0005798024315649</c:v>
                </c:pt>
                <c:pt idx="16">
                  <c:v>5.1696748884178438</c:v>
                </c:pt>
                <c:pt idx="17">
                  <c:v>12.061938047814959</c:v>
                </c:pt>
                <c:pt idx="18">
                  <c:v>7.8379055700345832</c:v>
                </c:pt>
                <c:pt idx="19">
                  <c:v>13.744903548845578</c:v>
                </c:pt>
                <c:pt idx="20">
                  <c:v>6.3896730843395035</c:v>
                </c:pt>
                <c:pt idx="21">
                  <c:v>17.38311306912146</c:v>
                </c:pt>
                <c:pt idx="22">
                  <c:v>17.463868426311709</c:v>
                </c:pt>
                <c:pt idx="23">
                  <c:v>17.889239931171414</c:v>
                </c:pt>
                <c:pt idx="24">
                  <c:v>18.139113407742439</c:v>
                </c:pt>
                <c:pt idx="25">
                  <c:v>18.262481724360384</c:v>
                </c:pt>
                <c:pt idx="26">
                  <c:v>17.857356726360251</c:v>
                </c:pt>
                <c:pt idx="27">
                  <c:v>3.7423595236454443</c:v>
                </c:pt>
                <c:pt idx="28">
                  <c:v>5.8628159687254238</c:v>
                </c:pt>
                <c:pt idx="29">
                  <c:v>4.2746570106982995</c:v>
                </c:pt>
                <c:pt idx="30">
                  <c:v>9.6005448380760399</c:v>
                </c:pt>
                <c:pt idx="31">
                  <c:v>9.4547756030413126</c:v>
                </c:pt>
                <c:pt idx="32">
                  <c:v>4.9475105683244909</c:v>
                </c:pt>
                <c:pt idx="33">
                  <c:v>11.849078022446552</c:v>
                </c:pt>
                <c:pt idx="34">
                  <c:v>9.894209420695077</c:v>
                </c:pt>
                <c:pt idx="35">
                  <c:v>8.5831061869526053</c:v>
                </c:pt>
                <c:pt idx="36">
                  <c:v>15.954409747977847</c:v>
                </c:pt>
                <c:pt idx="37">
                  <c:v>11.072943034215751</c:v>
                </c:pt>
                <c:pt idx="38">
                  <c:v>23.053861372369131</c:v>
                </c:pt>
                <c:pt idx="39">
                  <c:v>23.118860318604419</c:v>
                </c:pt>
                <c:pt idx="40">
                  <c:v>22.463004345361846</c:v>
                </c:pt>
                <c:pt idx="41">
                  <c:v>11.860846243785883</c:v>
                </c:pt>
                <c:pt idx="42">
                  <c:v>20.302951074980641</c:v>
                </c:pt>
                <c:pt idx="43">
                  <c:v>23.69365182287239</c:v>
                </c:pt>
                <c:pt idx="44">
                  <c:v>13.939051098942118</c:v>
                </c:pt>
                <c:pt idx="45">
                  <c:v>16.992068559397882</c:v>
                </c:pt>
                <c:pt idx="46">
                  <c:v>8.6779301278427763</c:v>
                </c:pt>
                <c:pt idx="47">
                  <c:v>10.094270660380575</c:v>
                </c:pt>
                <c:pt idx="48">
                  <c:v>23.855981207676429</c:v>
                </c:pt>
                <c:pt idx="49">
                  <c:v>14.415059231400891</c:v>
                </c:pt>
                <c:pt idx="50">
                  <c:v>17.267896695732411</c:v>
                </c:pt>
                <c:pt idx="51">
                  <c:v>17.746447564779746</c:v>
                </c:pt>
                <c:pt idx="52">
                  <c:v>26.260335132077142</c:v>
                </c:pt>
                <c:pt idx="53">
                  <c:v>27.833498776729556</c:v>
                </c:pt>
                <c:pt idx="54">
                  <c:v>16.771502589414595</c:v>
                </c:pt>
                <c:pt idx="55">
                  <c:v>24.84918531767925</c:v>
                </c:pt>
                <c:pt idx="56">
                  <c:v>30.357514326767728</c:v>
                </c:pt>
                <c:pt idx="57">
                  <c:v>23.204106635669135</c:v>
                </c:pt>
                <c:pt idx="58">
                  <c:v>27.663863003240714</c:v>
                </c:pt>
                <c:pt idx="59">
                  <c:v>30.450803179830206</c:v>
                </c:pt>
                <c:pt idx="60">
                  <c:v>14.153438371167383</c:v>
                </c:pt>
                <c:pt idx="61">
                  <c:v>29.290967484985075</c:v>
                </c:pt>
                <c:pt idx="62">
                  <c:v>5.5746655276983441</c:v>
                </c:pt>
                <c:pt idx="63">
                  <c:v>12.510373330578252</c:v>
                </c:pt>
                <c:pt idx="64">
                  <c:v>18.375121752087868</c:v>
                </c:pt>
                <c:pt idx="65">
                  <c:v>31.372905559316344</c:v>
                </c:pt>
                <c:pt idx="66">
                  <c:v>25.345558053986888</c:v>
                </c:pt>
                <c:pt idx="67">
                  <c:v>26.428729892980403</c:v>
                </c:pt>
                <c:pt idx="68">
                  <c:v>18.565493862380364</c:v>
                </c:pt>
                <c:pt idx="69">
                  <c:v>13.223937192175972</c:v>
                </c:pt>
                <c:pt idx="70">
                  <c:v>12.553056234294619</c:v>
                </c:pt>
                <c:pt idx="71">
                  <c:v>8.3005389617197665</c:v>
                </c:pt>
                <c:pt idx="72">
                  <c:v>11.448501057561797</c:v>
                </c:pt>
                <c:pt idx="73">
                  <c:v>13.247005728495976</c:v>
                </c:pt>
                <c:pt idx="74">
                  <c:v>11.640076148919871</c:v>
                </c:pt>
                <c:pt idx="75">
                  <c:v>10.219744876553339</c:v>
                </c:pt>
                <c:pt idx="76">
                  <c:v>12.839311229385199</c:v>
                </c:pt>
                <c:pt idx="77">
                  <c:v>25.882607574053004</c:v>
                </c:pt>
                <c:pt idx="78">
                  <c:v>29.219671663169009</c:v>
                </c:pt>
                <c:pt idx="79">
                  <c:v>39.202331646451</c:v>
                </c:pt>
                <c:pt idx="80">
                  <c:v>36.286549904551549</c:v>
                </c:pt>
                <c:pt idx="81">
                  <c:v>41.028072668365738</c:v>
                </c:pt>
                <c:pt idx="82">
                  <c:v>40.468471051476442</c:v>
                </c:pt>
                <c:pt idx="83">
                  <c:v>37.061635929548451</c:v>
                </c:pt>
                <c:pt idx="84">
                  <c:v>40.040681885118737</c:v>
                </c:pt>
                <c:pt idx="85">
                  <c:v>39.542367363786823</c:v>
                </c:pt>
                <c:pt idx="86">
                  <c:v>30.764999288910513</c:v>
                </c:pt>
                <c:pt idx="87">
                  <c:v>25.410261606359718</c:v>
                </c:pt>
                <c:pt idx="88">
                  <c:v>7.1636538164743815</c:v>
                </c:pt>
                <c:pt idx="89">
                  <c:v>25.48160013474833</c:v>
                </c:pt>
                <c:pt idx="90">
                  <c:v>27.771971724589264</c:v>
                </c:pt>
                <c:pt idx="91">
                  <c:v>18.813313905280879</c:v>
                </c:pt>
                <c:pt idx="92">
                  <c:v>23.289767398170991</c:v>
                </c:pt>
                <c:pt idx="93">
                  <c:v>40.330392693081592</c:v>
                </c:pt>
                <c:pt idx="94">
                  <c:v>46.664642374917548</c:v>
                </c:pt>
                <c:pt idx="95">
                  <c:v>11.853632095907836</c:v>
                </c:pt>
                <c:pt idx="96">
                  <c:v>35.855521213148492</c:v>
                </c:pt>
                <c:pt idx="97">
                  <c:v>28.004473258927689</c:v>
                </c:pt>
                <c:pt idx="98">
                  <c:v>33.979000230694325</c:v>
                </c:pt>
                <c:pt idx="99">
                  <c:v>48.110052783502582</c:v>
                </c:pt>
                <c:pt idx="100">
                  <c:v>36.807548779998172</c:v>
                </c:pt>
                <c:pt idx="101">
                  <c:v>33.812253163824266</c:v>
                </c:pt>
                <c:pt idx="102">
                  <c:v>7.4509549238765542</c:v>
                </c:pt>
                <c:pt idx="103">
                  <c:v>36.423585439743597</c:v>
                </c:pt>
                <c:pt idx="104">
                  <c:v>40.436203446937562</c:v>
                </c:pt>
                <c:pt idx="105">
                  <c:v>43.353487650662522</c:v>
                </c:pt>
                <c:pt idx="106">
                  <c:v>49.201962545116672</c:v>
                </c:pt>
                <c:pt idx="107">
                  <c:v>39.528348536334008</c:v>
                </c:pt>
                <c:pt idx="108">
                  <c:v>10.798608025927258</c:v>
                </c:pt>
                <c:pt idx="109">
                  <c:v>10.192344315905441</c:v>
                </c:pt>
                <c:pt idx="110">
                  <c:v>9.7240355742060665</c:v>
                </c:pt>
                <c:pt idx="111">
                  <c:v>29.4034289987482</c:v>
                </c:pt>
                <c:pt idx="112">
                  <c:v>8.5033697203591494</c:v>
                </c:pt>
                <c:pt idx="113">
                  <c:v>36.343469114472249</c:v>
                </c:pt>
                <c:pt idx="114">
                  <c:v>45.337325803720994</c:v>
                </c:pt>
                <c:pt idx="115">
                  <c:v>50.271201504451767</c:v>
                </c:pt>
                <c:pt idx="116">
                  <c:v>35.855432878333609</c:v>
                </c:pt>
                <c:pt idx="117">
                  <c:v>21.96164499189593</c:v>
                </c:pt>
                <c:pt idx="118">
                  <c:v>41.257171944971425</c:v>
                </c:pt>
                <c:pt idx="119">
                  <c:v>46.731265671356098</c:v>
                </c:pt>
                <c:pt idx="120">
                  <c:v>46.082723350550253</c:v>
                </c:pt>
                <c:pt idx="121">
                  <c:v>28.164160832312355</c:v>
                </c:pt>
                <c:pt idx="122">
                  <c:v>33.276615652159236</c:v>
                </c:pt>
                <c:pt idx="123">
                  <c:v>0.84461590996931668</c:v>
                </c:pt>
                <c:pt idx="124">
                  <c:v>38.806834127450955</c:v>
                </c:pt>
                <c:pt idx="125">
                  <c:v>35.965330636022834</c:v>
                </c:pt>
                <c:pt idx="126">
                  <c:v>49.395913553421614</c:v>
                </c:pt>
                <c:pt idx="127">
                  <c:v>50.237749855545552</c:v>
                </c:pt>
                <c:pt idx="128">
                  <c:v>55.771896147643361</c:v>
                </c:pt>
                <c:pt idx="129">
                  <c:v>51.188085384180624</c:v>
                </c:pt>
                <c:pt idx="130">
                  <c:v>56.086742242970267</c:v>
                </c:pt>
                <c:pt idx="131">
                  <c:v>43.739401876982001</c:v>
                </c:pt>
                <c:pt idx="132">
                  <c:v>46.668684254676521</c:v>
                </c:pt>
                <c:pt idx="133">
                  <c:v>48.096557674611233</c:v>
                </c:pt>
                <c:pt idx="134">
                  <c:v>52.025824658885419</c:v>
                </c:pt>
                <c:pt idx="135">
                  <c:v>50.708304374621036</c:v>
                </c:pt>
                <c:pt idx="136">
                  <c:v>54.668021299160166</c:v>
                </c:pt>
                <c:pt idx="137">
                  <c:v>53.193435693653079</c:v>
                </c:pt>
                <c:pt idx="138">
                  <c:v>55.127360271221676</c:v>
                </c:pt>
                <c:pt idx="139">
                  <c:v>48.008994443513494</c:v>
                </c:pt>
                <c:pt idx="140">
                  <c:v>48.704635681560525</c:v>
                </c:pt>
                <c:pt idx="141">
                  <c:v>34.607063787568798</c:v>
                </c:pt>
                <c:pt idx="142">
                  <c:v>17.858185396592248</c:v>
                </c:pt>
                <c:pt idx="143">
                  <c:v>14.878257071347313</c:v>
                </c:pt>
                <c:pt idx="144">
                  <c:v>41.3901094519113</c:v>
                </c:pt>
                <c:pt idx="145">
                  <c:v>21.736391104599353</c:v>
                </c:pt>
                <c:pt idx="146">
                  <c:v>41.199759436449042</c:v>
                </c:pt>
                <c:pt idx="147">
                  <c:v>55.006119820164947</c:v>
                </c:pt>
                <c:pt idx="148">
                  <c:v>60.032552606641133</c:v>
                </c:pt>
                <c:pt idx="149">
                  <c:v>51.324851956035474</c:v>
                </c:pt>
                <c:pt idx="150">
                  <c:v>55.013973446025936</c:v>
                </c:pt>
                <c:pt idx="151">
                  <c:v>56.578092896910924</c:v>
                </c:pt>
                <c:pt idx="152">
                  <c:v>44.433022450754791</c:v>
                </c:pt>
                <c:pt idx="153">
                  <c:v>53.846776147667121</c:v>
                </c:pt>
                <c:pt idx="154">
                  <c:v>30.575840014930854</c:v>
                </c:pt>
                <c:pt idx="155">
                  <c:v>31.938360267466319</c:v>
                </c:pt>
                <c:pt idx="156">
                  <c:v>42.612796408924737</c:v>
                </c:pt>
                <c:pt idx="157">
                  <c:v>32.06823376997783</c:v>
                </c:pt>
                <c:pt idx="158">
                  <c:v>22.559266140624398</c:v>
                </c:pt>
                <c:pt idx="159">
                  <c:v>44.869651812056361</c:v>
                </c:pt>
                <c:pt idx="160">
                  <c:v>58.935315888818913</c:v>
                </c:pt>
                <c:pt idx="161">
                  <c:v>55.289795638991748</c:v>
                </c:pt>
                <c:pt idx="162">
                  <c:v>43.631781821194707</c:v>
                </c:pt>
                <c:pt idx="163">
                  <c:v>53.600657307722201</c:v>
                </c:pt>
                <c:pt idx="164">
                  <c:v>46.032924558879721</c:v>
                </c:pt>
                <c:pt idx="165">
                  <c:v>54.368560032321895</c:v>
                </c:pt>
                <c:pt idx="166">
                  <c:v>50.469083042240882</c:v>
                </c:pt>
                <c:pt idx="167">
                  <c:v>52.062837342155007</c:v>
                </c:pt>
                <c:pt idx="168">
                  <c:v>54.120962457103765</c:v>
                </c:pt>
                <c:pt idx="169">
                  <c:v>55.461067970709301</c:v>
                </c:pt>
                <c:pt idx="170">
                  <c:v>32.933429541246667</c:v>
                </c:pt>
                <c:pt idx="171">
                  <c:v>19.551957170519788</c:v>
                </c:pt>
                <c:pt idx="172">
                  <c:v>47.217599803059521</c:v>
                </c:pt>
                <c:pt idx="173">
                  <c:v>41.842699536082108</c:v>
                </c:pt>
                <c:pt idx="174">
                  <c:v>44.245917946867422</c:v>
                </c:pt>
                <c:pt idx="175">
                  <c:v>30.989476422456814</c:v>
                </c:pt>
                <c:pt idx="176">
                  <c:v>11.841386082942174</c:v>
                </c:pt>
                <c:pt idx="177">
                  <c:v>17.580515569889069</c:v>
                </c:pt>
                <c:pt idx="178">
                  <c:v>59.981592943704193</c:v>
                </c:pt>
                <c:pt idx="179">
                  <c:v>55.69535039095836</c:v>
                </c:pt>
                <c:pt idx="180">
                  <c:v>13.489473160512619</c:v>
                </c:pt>
                <c:pt idx="181">
                  <c:v>55.022368429674714</c:v>
                </c:pt>
                <c:pt idx="182">
                  <c:v>51.232930366316374</c:v>
                </c:pt>
                <c:pt idx="183">
                  <c:v>43.348045768594723</c:v>
                </c:pt>
                <c:pt idx="184">
                  <c:v>45.483232544834479</c:v>
                </c:pt>
                <c:pt idx="185">
                  <c:v>54.828332408577772</c:v>
                </c:pt>
                <c:pt idx="186">
                  <c:v>42.475249380740124</c:v>
                </c:pt>
                <c:pt idx="187">
                  <c:v>52.743332782785295</c:v>
                </c:pt>
                <c:pt idx="188">
                  <c:v>57.882221754104378</c:v>
                </c:pt>
                <c:pt idx="189">
                  <c:v>56.853035913844437</c:v>
                </c:pt>
                <c:pt idx="190">
                  <c:v>56.278100299771232</c:v>
                </c:pt>
                <c:pt idx="191">
                  <c:v>54.336894418906276</c:v>
                </c:pt>
                <c:pt idx="192">
                  <c:v>54.442799732713901</c:v>
                </c:pt>
                <c:pt idx="193">
                  <c:v>54.105599787743422</c:v>
                </c:pt>
                <c:pt idx="194">
                  <c:v>53.419684210508279</c:v>
                </c:pt>
                <c:pt idx="195">
                  <c:v>51.611803884776421</c:v>
                </c:pt>
                <c:pt idx="196">
                  <c:v>53.149820181446906</c:v>
                </c:pt>
                <c:pt idx="197">
                  <c:v>52.241315384697117</c:v>
                </c:pt>
                <c:pt idx="198">
                  <c:v>52.523054464894074</c:v>
                </c:pt>
                <c:pt idx="199">
                  <c:v>42.476833242657257</c:v>
                </c:pt>
                <c:pt idx="200">
                  <c:v>40.74161255013572</c:v>
                </c:pt>
                <c:pt idx="201">
                  <c:v>51.533463794569947</c:v>
                </c:pt>
                <c:pt idx="202">
                  <c:v>38.813670722731445</c:v>
                </c:pt>
                <c:pt idx="203">
                  <c:v>48.467388021965128</c:v>
                </c:pt>
                <c:pt idx="204">
                  <c:v>51.07430250906863</c:v>
                </c:pt>
                <c:pt idx="205">
                  <c:v>30.856214988793671</c:v>
                </c:pt>
                <c:pt idx="206">
                  <c:v>52.21707670050791</c:v>
                </c:pt>
                <c:pt idx="207">
                  <c:v>54.954753895178477</c:v>
                </c:pt>
                <c:pt idx="208">
                  <c:v>46.854250713687456</c:v>
                </c:pt>
                <c:pt idx="209">
                  <c:v>27.149661920661018</c:v>
                </c:pt>
                <c:pt idx="210">
                  <c:v>46.07065943060563</c:v>
                </c:pt>
                <c:pt idx="211">
                  <c:v>50.857994658001772</c:v>
                </c:pt>
                <c:pt idx="212">
                  <c:v>52.799551860940333</c:v>
                </c:pt>
                <c:pt idx="213">
                  <c:v>50.925557836761975</c:v>
                </c:pt>
                <c:pt idx="214">
                  <c:v>49.047781268646261</c:v>
                </c:pt>
                <c:pt idx="215">
                  <c:v>45.557924297728107</c:v>
                </c:pt>
                <c:pt idx="216">
                  <c:v>44.588534226286527</c:v>
                </c:pt>
                <c:pt idx="217">
                  <c:v>47.266501350831156</c:v>
                </c:pt>
                <c:pt idx="218">
                  <c:v>50.327802093711753</c:v>
                </c:pt>
                <c:pt idx="219">
                  <c:v>51.030811997922363</c:v>
                </c:pt>
                <c:pt idx="220">
                  <c:v>49.077761543428288</c:v>
                </c:pt>
                <c:pt idx="221">
                  <c:v>47.259030808450042</c:v>
                </c:pt>
                <c:pt idx="222">
                  <c:v>42.811981950953346</c:v>
                </c:pt>
                <c:pt idx="223">
                  <c:v>45.519426901434755</c:v>
                </c:pt>
                <c:pt idx="224">
                  <c:v>30.703476588326694</c:v>
                </c:pt>
                <c:pt idx="225">
                  <c:v>33.0377456579088</c:v>
                </c:pt>
                <c:pt idx="226">
                  <c:v>38.748962071679465</c:v>
                </c:pt>
                <c:pt idx="227">
                  <c:v>30.91658655889173</c:v>
                </c:pt>
                <c:pt idx="228">
                  <c:v>22.40485792243997</c:v>
                </c:pt>
                <c:pt idx="229">
                  <c:v>37.775395710470342</c:v>
                </c:pt>
                <c:pt idx="230">
                  <c:v>39.111962515534245</c:v>
                </c:pt>
                <c:pt idx="231">
                  <c:v>46.100164947364028</c:v>
                </c:pt>
                <c:pt idx="232">
                  <c:v>30.270991660679563</c:v>
                </c:pt>
                <c:pt idx="233">
                  <c:v>24.279647372217354</c:v>
                </c:pt>
                <c:pt idx="234">
                  <c:v>43.040378126896343</c:v>
                </c:pt>
                <c:pt idx="235">
                  <c:v>43.460238370924358</c:v>
                </c:pt>
                <c:pt idx="236">
                  <c:v>33.114268015379885</c:v>
                </c:pt>
                <c:pt idx="237">
                  <c:v>40.111002595529776</c:v>
                </c:pt>
                <c:pt idx="238">
                  <c:v>46.669575770972088</c:v>
                </c:pt>
                <c:pt idx="239">
                  <c:v>45.011047032979008</c:v>
                </c:pt>
                <c:pt idx="240">
                  <c:v>31.629377534689922</c:v>
                </c:pt>
                <c:pt idx="241">
                  <c:v>44.041408395406741</c:v>
                </c:pt>
                <c:pt idx="242">
                  <c:v>20.682189507891728</c:v>
                </c:pt>
                <c:pt idx="243">
                  <c:v>41.674197915426511</c:v>
                </c:pt>
                <c:pt idx="244">
                  <c:v>36.225083102751498</c:v>
                </c:pt>
                <c:pt idx="245">
                  <c:v>29.813333691591083</c:v>
                </c:pt>
                <c:pt idx="246">
                  <c:v>43.390564989801668</c:v>
                </c:pt>
                <c:pt idx="247">
                  <c:v>37.464521907194232</c:v>
                </c:pt>
                <c:pt idx="248">
                  <c:v>42.026916128427629</c:v>
                </c:pt>
                <c:pt idx="249">
                  <c:v>33.889175664425252</c:v>
                </c:pt>
                <c:pt idx="250">
                  <c:v>36.475511729027694</c:v>
                </c:pt>
                <c:pt idx="251">
                  <c:v>20.743198574348884</c:v>
                </c:pt>
                <c:pt idx="252">
                  <c:v>40.796452256355799</c:v>
                </c:pt>
                <c:pt idx="253">
                  <c:v>40.645326759593125</c:v>
                </c:pt>
                <c:pt idx="254">
                  <c:v>28.25449239951427</c:v>
                </c:pt>
                <c:pt idx="255">
                  <c:v>11.731343598974917</c:v>
                </c:pt>
                <c:pt idx="256">
                  <c:v>34.301405494434739</c:v>
                </c:pt>
                <c:pt idx="257">
                  <c:v>37.433452819867419</c:v>
                </c:pt>
                <c:pt idx="258">
                  <c:v>25.838160425850216</c:v>
                </c:pt>
                <c:pt idx="259">
                  <c:v>40.563269949015684</c:v>
                </c:pt>
                <c:pt idx="260">
                  <c:v>40.88385226012123</c:v>
                </c:pt>
                <c:pt idx="261">
                  <c:v>39.203068623512756</c:v>
                </c:pt>
                <c:pt idx="262">
                  <c:v>40.191740841127036</c:v>
                </c:pt>
                <c:pt idx="263">
                  <c:v>39.036527691950006</c:v>
                </c:pt>
                <c:pt idx="264">
                  <c:v>37.727062790319856</c:v>
                </c:pt>
                <c:pt idx="265">
                  <c:v>24.297431589268523</c:v>
                </c:pt>
                <c:pt idx="266">
                  <c:v>16.305341388032964</c:v>
                </c:pt>
                <c:pt idx="267">
                  <c:v>27.235111280386192</c:v>
                </c:pt>
                <c:pt idx="268">
                  <c:v>29.24448209545065</c:v>
                </c:pt>
                <c:pt idx="269">
                  <c:v>14.288388577232087</c:v>
                </c:pt>
                <c:pt idx="270">
                  <c:v>16.812798081232536</c:v>
                </c:pt>
                <c:pt idx="271">
                  <c:v>22.480707572587978</c:v>
                </c:pt>
                <c:pt idx="272">
                  <c:v>25.973148941865684</c:v>
                </c:pt>
                <c:pt idx="273">
                  <c:v>31.260968091275885</c:v>
                </c:pt>
                <c:pt idx="274">
                  <c:v>33.031259992824523</c:v>
                </c:pt>
                <c:pt idx="275">
                  <c:v>31.172939480444015</c:v>
                </c:pt>
                <c:pt idx="276">
                  <c:v>33.342001655703719</c:v>
                </c:pt>
                <c:pt idx="277">
                  <c:v>33.685642124909265</c:v>
                </c:pt>
                <c:pt idx="278">
                  <c:v>14.480720793517289</c:v>
                </c:pt>
                <c:pt idx="279">
                  <c:v>24.877179384317106</c:v>
                </c:pt>
                <c:pt idx="280">
                  <c:v>15.243529802329714</c:v>
                </c:pt>
                <c:pt idx="281">
                  <c:v>30.809195156911539</c:v>
                </c:pt>
                <c:pt idx="282">
                  <c:v>26.331820830923306</c:v>
                </c:pt>
                <c:pt idx="283">
                  <c:v>22.778167719482354</c:v>
                </c:pt>
                <c:pt idx="284">
                  <c:v>24.589453634002151</c:v>
                </c:pt>
                <c:pt idx="285">
                  <c:v>20.296772601669282</c:v>
                </c:pt>
                <c:pt idx="286">
                  <c:v>17.046768102766872</c:v>
                </c:pt>
                <c:pt idx="287">
                  <c:v>28.904183275695473</c:v>
                </c:pt>
                <c:pt idx="288">
                  <c:v>26.908794190007882</c:v>
                </c:pt>
                <c:pt idx="289">
                  <c:v>17.164378415772255</c:v>
                </c:pt>
                <c:pt idx="290">
                  <c:v>26.856742486964002</c:v>
                </c:pt>
                <c:pt idx="291">
                  <c:v>14.53528633897</c:v>
                </c:pt>
                <c:pt idx="292">
                  <c:v>8.0516838748494948</c:v>
                </c:pt>
                <c:pt idx="293">
                  <c:v>14.099297544697071</c:v>
                </c:pt>
                <c:pt idx="294">
                  <c:v>25.023482666052555</c:v>
                </c:pt>
                <c:pt idx="295">
                  <c:v>16.932515373993215</c:v>
                </c:pt>
                <c:pt idx="296">
                  <c:v>20.04388949989038</c:v>
                </c:pt>
                <c:pt idx="297">
                  <c:v>18.550850335954799</c:v>
                </c:pt>
                <c:pt idx="298">
                  <c:v>14.71530879201136</c:v>
                </c:pt>
                <c:pt idx="299">
                  <c:v>11.777138779358012</c:v>
                </c:pt>
                <c:pt idx="300">
                  <c:v>16.04859540334655</c:v>
                </c:pt>
                <c:pt idx="301">
                  <c:v>20.402360582803517</c:v>
                </c:pt>
                <c:pt idx="302">
                  <c:v>17.607368872435003</c:v>
                </c:pt>
                <c:pt idx="303">
                  <c:v>17.170989433430726</c:v>
                </c:pt>
                <c:pt idx="304">
                  <c:v>16.225492738357435</c:v>
                </c:pt>
                <c:pt idx="305">
                  <c:v>21.995564455734822</c:v>
                </c:pt>
                <c:pt idx="306">
                  <c:v>5.7954974503396057</c:v>
                </c:pt>
                <c:pt idx="307">
                  <c:v>11.995372871952306</c:v>
                </c:pt>
                <c:pt idx="308">
                  <c:v>21.021786512484617</c:v>
                </c:pt>
                <c:pt idx="309">
                  <c:v>21.087326754070368</c:v>
                </c:pt>
                <c:pt idx="310">
                  <c:v>20.957634667625637</c:v>
                </c:pt>
                <c:pt idx="311">
                  <c:v>13.867536653555678</c:v>
                </c:pt>
                <c:pt idx="312">
                  <c:v>8.2073105895284382</c:v>
                </c:pt>
                <c:pt idx="313">
                  <c:v>18.476284030155828</c:v>
                </c:pt>
                <c:pt idx="314">
                  <c:v>19.053039473348875</c:v>
                </c:pt>
                <c:pt idx="315">
                  <c:v>18.920951519802372</c:v>
                </c:pt>
                <c:pt idx="316">
                  <c:v>16.795159863094284</c:v>
                </c:pt>
                <c:pt idx="317">
                  <c:v>9.698997931737118</c:v>
                </c:pt>
                <c:pt idx="318">
                  <c:v>11.823715050324532</c:v>
                </c:pt>
                <c:pt idx="319">
                  <c:v>18.537787747249613</c:v>
                </c:pt>
                <c:pt idx="320">
                  <c:v>12.176871270180646</c:v>
                </c:pt>
                <c:pt idx="321">
                  <c:v>11.524880827487657</c:v>
                </c:pt>
                <c:pt idx="322">
                  <c:v>8.4816322483383999</c:v>
                </c:pt>
                <c:pt idx="323">
                  <c:v>13.876956062486682</c:v>
                </c:pt>
                <c:pt idx="324">
                  <c:v>3.314819087069854</c:v>
                </c:pt>
                <c:pt idx="325">
                  <c:v>8.7882463037204133</c:v>
                </c:pt>
                <c:pt idx="326">
                  <c:v>13.074903350004604</c:v>
                </c:pt>
                <c:pt idx="327">
                  <c:v>11.828107922465854</c:v>
                </c:pt>
                <c:pt idx="328">
                  <c:v>4.8564120816207836</c:v>
                </c:pt>
                <c:pt idx="329">
                  <c:v>10.432418173552838</c:v>
                </c:pt>
                <c:pt idx="330">
                  <c:v>12.389006734502795</c:v>
                </c:pt>
                <c:pt idx="331">
                  <c:v>9.7751344803475639</c:v>
                </c:pt>
                <c:pt idx="332">
                  <c:v>11.072956529536771</c:v>
                </c:pt>
                <c:pt idx="333">
                  <c:v>4.5007647457563333</c:v>
                </c:pt>
                <c:pt idx="334">
                  <c:v>3.8988235622262257</c:v>
                </c:pt>
                <c:pt idx="335">
                  <c:v>5.3869884486253934</c:v>
                </c:pt>
                <c:pt idx="336">
                  <c:v>8.469528010228931</c:v>
                </c:pt>
                <c:pt idx="337">
                  <c:v>14.394266104487931</c:v>
                </c:pt>
                <c:pt idx="338">
                  <c:v>16.901637002971949</c:v>
                </c:pt>
                <c:pt idx="339">
                  <c:v>12.140962217055986</c:v>
                </c:pt>
                <c:pt idx="340">
                  <c:v>14.952404677456839</c:v>
                </c:pt>
                <c:pt idx="341">
                  <c:v>4.4678163644499831</c:v>
                </c:pt>
                <c:pt idx="342">
                  <c:v>8.5238120290935822</c:v>
                </c:pt>
                <c:pt idx="343">
                  <c:v>12.495572100628758</c:v>
                </c:pt>
                <c:pt idx="344">
                  <c:v>13.097760236112803</c:v>
                </c:pt>
                <c:pt idx="345">
                  <c:v>4.5516261576171226</c:v>
                </c:pt>
                <c:pt idx="346">
                  <c:v>5.4820367840699449</c:v>
                </c:pt>
                <c:pt idx="347">
                  <c:v>12.913544116270465</c:v>
                </c:pt>
                <c:pt idx="348">
                  <c:v>6.3336661653304072</c:v>
                </c:pt>
                <c:pt idx="349">
                  <c:v>5.5940404883117285</c:v>
                </c:pt>
                <c:pt idx="350">
                  <c:v>3.4675341901930823</c:v>
                </c:pt>
                <c:pt idx="351">
                  <c:v>13.500972385349423</c:v>
                </c:pt>
                <c:pt idx="352">
                  <c:v>13.241176149001033</c:v>
                </c:pt>
                <c:pt idx="353">
                  <c:v>4.2083225966984656</c:v>
                </c:pt>
                <c:pt idx="354">
                  <c:v>15.341373908062968</c:v>
                </c:pt>
                <c:pt idx="355">
                  <c:v>13.606371091817794</c:v>
                </c:pt>
                <c:pt idx="356">
                  <c:v>14.253666797370066</c:v>
                </c:pt>
                <c:pt idx="357">
                  <c:v>16.225204911765029</c:v>
                </c:pt>
                <c:pt idx="358">
                  <c:v>9.1686322227293449</c:v>
                </c:pt>
                <c:pt idx="359">
                  <c:v>14.252538538672363</c:v>
                </c:pt>
                <c:pt idx="360">
                  <c:v>6.7865810507233251</c:v>
                </c:pt>
                <c:pt idx="361">
                  <c:v>15.090763669061463</c:v>
                </c:pt>
                <c:pt idx="362">
                  <c:v>10.132214107216821</c:v>
                </c:pt>
                <c:pt idx="363">
                  <c:v>12.866161120570499</c:v>
                </c:pt>
                <c:pt idx="364">
                  <c:v>10.033751421022069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4.9592826690817802</c:v>
                </c:pt>
                <c:pt idx="1">
                  <c:v>1.2108224022877343</c:v>
                </c:pt>
                <c:pt idx="2">
                  <c:v>9.1315161208254079</c:v>
                </c:pt>
                <c:pt idx="3">
                  <c:v>9.2021349734082047</c:v>
                </c:pt>
                <c:pt idx="4">
                  <c:v>9.9224533410079072</c:v>
                </c:pt>
                <c:pt idx="5">
                  <c:v>4.4049633770770544</c:v>
                </c:pt>
                <c:pt idx="6">
                  <c:v>11.248702752095953</c:v>
                </c:pt>
                <c:pt idx="7">
                  <c:v>5.8755841669545381</c:v>
                </c:pt>
                <c:pt idx="8">
                  <c:v>5.9953020621577711</c:v>
                </c:pt>
                <c:pt idx="9">
                  <c:v>13.222370019637227</c:v>
                </c:pt>
                <c:pt idx="10">
                  <c:v>3.9297834144416774</c:v>
                </c:pt>
                <c:pt idx="11">
                  <c:v>14.22358274318554</c:v>
                </c:pt>
                <c:pt idx="12">
                  <c:v>9.2983873373418451</c:v>
                </c:pt>
                <c:pt idx="13">
                  <c:v>11.255608018635286</c:v>
                </c:pt>
                <c:pt idx="14">
                  <c:v>4.6728873042445063</c:v>
                </c:pt>
                <c:pt idx="15">
                  <c:v>3.0005798024315649</c:v>
                </c:pt>
                <c:pt idx="16">
                  <c:v>5.1696748884178438</c:v>
                </c:pt>
                <c:pt idx="17">
                  <c:v>12.061938047814959</c:v>
                </c:pt>
                <c:pt idx="18">
                  <c:v>7.8379055700345832</c:v>
                </c:pt>
                <c:pt idx="19">
                  <c:v>13.744903548845578</c:v>
                </c:pt>
                <c:pt idx="20">
                  <c:v>6.3896730843395035</c:v>
                </c:pt>
                <c:pt idx="21">
                  <c:v>17.38311306912146</c:v>
                </c:pt>
                <c:pt idx="22">
                  <c:v>17.463868426311709</c:v>
                </c:pt>
                <c:pt idx="23">
                  <c:v>17.889239931171414</c:v>
                </c:pt>
                <c:pt idx="24">
                  <c:v>18.139113407742439</c:v>
                </c:pt>
                <c:pt idx="25">
                  <c:v>18.262481724360384</c:v>
                </c:pt>
                <c:pt idx="26">
                  <c:v>17.857356726360251</c:v>
                </c:pt>
                <c:pt idx="27">
                  <c:v>3.7423595236454443</c:v>
                </c:pt>
                <c:pt idx="28">
                  <c:v>5.8628159687254238</c:v>
                </c:pt>
                <c:pt idx="29">
                  <c:v>4.2746570106982995</c:v>
                </c:pt>
                <c:pt idx="30">
                  <c:v>9.6005448380760399</c:v>
                </c:pt>
                <c:pt idx="31">
                  <c:v>9.4547756030413126</c:v>
                </c:pt>
                <c:pt idx="32">
                  <c:v>4.9475105683244909</c:v>
                </c:pt>
                <c:pt idx="33">
                  <c:v>11.849078022446552</c:v>
                </c:pt>
                <c:pt idx="34">
                  <c:v>9.894209420695077</c:v>
                </c:pt>
                <c:pt idx="35">
                  <c:v>8.5831061869526053</c:v>
                </c:pt>
                <c:pt idx="36">
                  <c:v>15.954409747977847</c:v>
                </c:pt>
                <c:pt idx="37">
                  <c:v>11.072943034215751</c:v>
                </c:pt>
                <c:pt idx="38">
                  <c:v>23.053861372369131</c:v>
                </c:pt>
                <c:pt idx="39">
                  <c:v>23.118860318604419</c:v>
                </c:pt>
                <c:pt idx="40">
                  <c:v>22.463004345361846</c:v>
                </c:pt>
                <c:pt idx="41">
                  <c:v>11.860846243785883</c:v>
                </c:pt>
                <c:pt idx="42">
                  <c:v>20.302951074980641</c:v>
                </c:pt>
                <c:pt idx="43">
                  <c:v>23.69365182287239</c:v>
                </c:pt>
                <c:pt idx="44">
                  <c:v>13.939051098942118</c:v>
                </c:pt>
                <c:pt idx="45">
                  <c:v>16.992068559397882</c:v>
                </c:pt>
                <c:pt idx="46">
                  <c:v>8.6779301278427763</c:v>
                </c:pt>
                <c:pt idx="47">
                  <c:v>10.094270660380575</c:v>
                </c:pt>
                <c:pt idx="48">
                  <c:v>23.855981207676429</c:v>
                </c:pt>
                <c:pt idx="49">
                  <c:v>14.415059231400891</c:v>
                </c:pt>
                <c:pt idx="50">
                  <c:v>17.267896695732411</c:v>
                </c:pt>
                <c:pt idx="51">
                  <c:v>17.746447564779746</c:v>
                </c:pt>
                <c:pt idx="52">
                  <c:v>26.260335132077142</c:v>
                </c:pt>
                <c:pt idx="53">
                  <c:v>27.833498776729556</c:v>
                </c:pt>
                <c:pt idx="54">
                  <c:v>16.771502589414595</c:v>
                </c:pt>
                <c:pt idx="55">
                  <c:v>24.84918531767925</c:v>
                </c:pt>
                <c:pt idx="56">
                  <c:v>30.357514326767728</c:v>
                </c:pt>
                <c:pt idx="57">
                  <c:v>23.204106635669135</c:v>
                </c:pt>
                <c:pt idx="58">
                  <c:v>27.663863003240714</c:v>
                </c:pt>
                <c:pt idx="59">
                  <c:v>30.450803179830206</c:v>
                </c:pt>
                <c:pt idx="60">
                  <c:v>14.153438371167383</c:v>
                </c:pt>
                <c:pt idx="61">
                  <c:v>29.290967484985075</c:v>
                </c:pt>
                <c:pt idx="62">
                  <c:v>5.5746655276983441</c:v>
                </c:pt>
                <c:pt idx="63">
                  <c:v>12.510373330578252</c:v>
                </c:pt>
                <c:pt idx="64">
                  <c:v>18.375121752087868</c:v>
                </c:pt>
                <c:pt idx="65">
                  <c:v>31.372905559316344</c:v>
                </c:pt>
                <c:pt idx="66">
                  <c:v>25.345558053986888</c:v>
                </c:pt>
                <c:pt idx="67">
                  <c:v>26.428729892980403</c:v>
                </c:pt>
                <c:pt idx="68">
                  <c:v>18.565493862380364</c:v>
                </c:pt>
                <c:pt idx="69">
                  <c:v>13.223937192175972</c:v>
                </c:pt>
                <c:pt idx="70">
                  <c:v>12.553056234294619</c:v>
                </c:pt>
                <c:pt idx="71">
                  <c:v>8.3005389617197665</c:v>
                </c:pt>
                <c:pt idx="72">
                  <c:v>11.448501057561797</c:v>
                </c:pt>
                <c:pt idx="73">
                  <c:v>13.247005728495976</c:v>
                </c:pt>
                <c:pt idx="74">
                  <c:v>11.640076148919871</c:v>
                </c:pt>
                <c:pt idx="75">
                  <c:v>10.219744876553339</c:v>
                </c:pt>
                <c:pt idx="76">
                  <c:v>12.839311229385199</c:v>
                </c:pt>
                <c:pt idx="77">
                  <c:v>25.882607574053004</c:v>
                </c:pt>
                <c:pt idx="78">
                  <c:v>29.219671663169009</c:v>
                </c:pt>
                <c:pt idx="79">
                  <c:v>39.202331646451</c:v>
                </c:pt>
                <c:pt idx="80">
                  <c:v>36.286549904551549</c:v>
                </c:pt>
                <c:pt idx="81">
                  <c:v>41.028072668365738</c:v>
                </c:pt>
                <c:pt idx="82">
                  <c:v>40.468471051476442</c:v>
                </c:pt>
                <c:pt idx="83">
                  <c:v>37.061635929548451</c:v>
                </c:pt>
                <c:pt idx="84">
                  <c:v>40.040681885118737</c:v>
                </c:pt>
                <c:pt idx="85">
                  <c:v>39.542367363786823</c:v>
                </c:pt>
                <c:pt idx="86">
                  <c:v>30.764999288910513</c:v>
                </c:pt>
                <c:pt idx="87">
                  <c:v>25.410261606359718</c:v>
                </c:pt>
                <c:pt idx="88">
                  <c:v>7.1636538164743815</c:v>
                </c:pt>
                <c:pt idx="89">
                  <c:v>25.48160013474833</c:v>
                </c:pt>
                <c:pt idx="90">
                  <c:v>27.771971724589264</c:v>
                </c:pt>
                <c:pt idx="91">
                  <c:v>18.813313905280879</c:v>
                </c:pt>
                <c:pt idx="92">
                  <c:v>23.289767398170991</c:v>
                </c:pt>
                <c:pt idx="93">
                  <c:v>40.330392693081592</c:v>
                </c:pt>
                <c:pt idx="94">
                  <c:v>46.664642374917548</c:v>
                </c:pt>
                <c:pt idx="95">
                  <c:v>11.853632095907836</c:v>
                </c:pt>
                <c:pt idx="96">
                  <c:v>35.855521213148492</c:v>
                </c:pt>
                <c:pt idx="97">
                  <c:v>28.004473258927689</c:v>
                </c:pt>
                <c:pt idx="98">
                  <c:v>33.979000230694325</c:v>
                </c:pt>
                <c:pt idx="99">
                  <c:v>48.110052783502582</c:v>
                </c:pt>
                <c:pt idx="100">
                  <c:v>36.807548779998172</c:v>
                </c:pt>
                <c:pt idx="101">
                  <c:v>33.812253163824266</c:v>
                </c:pt>
                <c:pt idx="102">
                  <c:v>7.4509549238765542</c:v>
                </c:pt>
                <c:pt idx="103">
                  <c:v>36.423585439743597</c:v>
                </c:pt>
                <c:pt idx="104">
                  <c:v>40.436203446937562</c:v>
                </c:pt>
                <c:pt idx="105">
                  <c:v>43.353487650662522</c:v>
                </c:pt>
                <c:pt idx="106">
                  <c:v>49.201962545116672</c:v>
                </c:pt>
                <c:pt idx="107">
                  <c:v>39.528348536334008</c:v>
                </c:pt>
                <c:pt idx="108">
                  <c:v>10.798608025927258</c:v>
                </c:pt>
                <c:pt idx="109">
                  <c:v>10.192344315905441</c:v>
                </c:pt>
                <c:pt idx="110">
                  <c:v>9.7240355742060665</c:v>
                </c:pt>
                <c:pt idx="111">
                  <c:v>29.4034289987482</c:v>
                </c:pt>
                <c:pt idx="112">
                  <c:v>8.5033697203591494</c:v>
                </c:pt>
                <c:pt idx="113">
                  <c:v>36.343469114472249</c:v>
                </c:pt>
                <c:pt idx="114">
                  <c:v>45.337325803720994</c:v>
                </c:pt>
                <c:pt idx="115">
                  <c:v>50.271201504451767</c:v>
                </c:pt>
                <c:pt idx="116">
                  <c:v>35.855432878333609</c:v>
                </c:pt>
                <c:pt idx="117">
                  <c:v>21.96164499189593</c:v>
                </c:pt>
                <c:pt idx="118">
                  <c:v>41.257171944971425</c:v>
                </c:pt>
                <c:pt idx="119">
                  <c:v>46.731265671356098</c:v>
                </c:pt>
                <c:pt idx="120">
                  <c:v>46.082723350550253</c:v>
                </c:pt>
                <c:pt idx="121">
                  <c:v>28.164160832312355</c:v>
                </c:pt>
                <c:pt idx="122">
                  <c:v>33.276615652159236</c:v>
                </c:pt>
                <c:pt idx="123">
                  <c:v>0.84461590996931668</c:v>
                </c:pt>
                <c:pt idx="124">
                  <c:v>38.806834127450955</c:v>
                </c:pt>
                <c:pt idx="125">
                  <c:v>35.965330636022834</c:v>
                </c:pt>
                <c:pt idx="126">
                  <c:v>49.395913553421614</c:v>
                </c:pt>
                <c:pt idx="127">
                  <c:v>50.237749855545552</c:v>
                </c:pt>
                <c:pt idx="128">
                  <c:v>55.771896147643361</c:v>
                </c:pt>
                <c:pt idx="129">
                  <c:v>51.188085384180624</c:v>
                </c:pt>
                <c:pt idx="130">
                  <c:v>56.086742242970267</c:v>
                </c:pt>
                <c:pt idx="131">
                  <c:v>43.739401876982001</c:v>
                </c:pt>
                <c:pt idx="132">
                  <c:v>46.668684254676521</c:v>
                </c:pt>
                <c:pt idx="133">
                  <c:v>48.096557674611233</c:v>
                </c:pt>
                <c:pt idx="134">
                  <c:v>52.025824658885419</c:v>
                </c:pt>
                <c:pt idx="135">
                  <c:v>50.708304374621036</c:v>
                </c:pt>
                <c:pt idx="136">
                  <c:v>54.668021299160166</c:v>
                </c:pt>
                <c:pt idx="137">
                  <c:v>53.193435693653079</c:v>
                </c:pt>
                <c:pt idx="138">
                  <c:v>55.127360271221676</c:v>
                </c:pt>
                <c:pt idx="139">
                  <c:v>48.008994443513494</c:v>
                </c:pt>
                <c:pt idx="140">
                  <c:v>48.704635681560525</c:v>
                </c:pt>
                <c:pt idx="141">
                  <c:v>34.607063787568798</c:v>
                </c:pt>
                <c:pt idx="142">
                  <c:v>17.858185396592248</c:v>
                </c:pt>
                <c:pt idx="143">
                  <c:v>14.878257071347313</c:v>
                </c:pt>
                <c:pt idx="144">
                  <c:v>41.3901094519113</c:v>
                </c:pt>
                <c:pt idx="145">
                  <c:v>21.736391104599353</c:v>
                </c:pt>
                <c:pt idx="146">
                  <c:v>41.199759436449042</c:v>
                </c:pt>
                <c:pt idx="147">
                  <c:v>55.006119820164947</c:v>
                </c:pt>
                <c:pt idx="148">
                  <c:v>60.032552606641133</c:v>
                </c:pt>
                <c:pt idx="149">
                  <c:v>51.324851956035474</c:v>
                </c:pt>
                <c:pt idx="150">
                  <c:v>55.013973446025936</c:v>
                </c:pt>
                <c:pt idx="151">
                  <c:v>56.578092896910924</c:v>
                </c:pt>
                <c:pt idx="152">
                  <c:v>44.433022450754791</c:v>
                </c:pt>
                <c:pt idx="153">
                  <c:v>53.846776147667121</c:v>
                </c:pt>
                <c:pt idx="154">
                  <c:v>30.575840014930854</c:v>
                </c:pt>
                <c:pt idx="155">
                  <c:v>31.938360267466319</c:v>
                </c:pt>
                <c:pt idx="156">
                  <c:v>42.612796408924737</c:v>
                </c:pt>
                <c:pt idx="157">
                  <c:v>32.06823376997783</c:v>
                </c:pt>
                <c:pt idx="158">
                  <c:v>22.559266140624398</c:v>
                </c:pt>
                <c:pt idx="159">
                  <c:v>44.869651812056361</c:v>
                </c:pt>
                <c:pt idx="160">
                  <c:v>58.935315888818913</c:v>
                </c:pt>
                <c:pt idx="161">
                  <c:v>55.289795638991748</c:v>
                </c:pt>
                <c:pt idx="162">
                  <c:v>43.631781821194707</c:v>
                </c:pt>
                <c:pt idx="163">
                  <c:v>53.600657307722201</c:v>
                </c:pt>
                <c:pt idx="164">
                  <c:v>46.032924558879721</c:v>
                </c:pt>
                <c:pt idx="165">
                  <c:v>54.368560032321895</c:v>
                </c:pt>
                <c:pt idx="166">
                  <c:v>50.469083042240882</c:v>
                </c:pt>
                <c:pt idx="167">
                  <c:v>52.062837342155007</c:v>
                </c:pt>
                <c:pt idx="168">
                  <c:v>54.120962457103765</c:v>
                </c:pt>
                <c:pt idx="169">
                  <c:v>55.461067970709301</c:v>
                </c:pt>
                <c:pt idx="170">
                  <c:v>32.933429541246667</c:v>
                </c:pt>
                <c:pt idx="171">
                  <c:v>19.551957170519788</c:v>
                </c:pt>
                <c:pt idx="172">
                  <c:v>47.217599803059521</c:v>
                </c:pt>
                <c:pt idx="173">
                  <c:v>41.842699536082108</c:v>
                </c:pt>
                <c:pt idx="174">
                  <c:v>44.245917946867422</c:v>
                </c:pt>
                <c:pt idx="175">
                  <c:v>30.989476422456814</c:v>
                </c:pt>
                <c:pt idx="176">
                  <c:v>11.841386082942174</c:v>
                </c:pt>
                <c:pt idx="177">
                  <c:v>17.580515569889069</c:v>
                </c:pt>
                <c:pt idx="178">
                  <c:v>59.981592943704193</c:v>
                </c:pt>
                <c:pt idx="179">
                  <c:v>55.69535039095836</c:v>
                </c:pt>
                <c:pt idx="180">
                  <c:v>13.489473160512619</c:v>
                </c:pt>
                <c:pt idx="181">
                  <c:v>55.022368429674714</c:v>
                </c:pt>
                <c:pt idx="182">
                  <c:v>51.232930366316374</c:v>
                </c:pt>
                <c:pt idx="183">
                  <c:v>43.348045768594723</c:v>
                </c:pt>
                <c:pt idx="184">
                  <c:v>45.483232544834479</c:v>
                </c:pt>
                <c:pt idx="185">
                  <c:v>54.828332408577772</c:v>
                </c:pt>
                <c:pt idx="186">
                  <c:v>42.475249380740124</c:v>
                </c:pt>
                <c:pt idx="187">
                  <c:v>52.743332782785295</c:v>
                </c:pt>
                <c:pt idx="188">
                  <c:v>57.882221754104378</c:v>
                </c:pt>
                <c:pt idx="189">
                  <c:v>56.853035913844437</c:v>
                </c:pt>
                <c:pt idx="190">
                  <c:v>56.278100299771232</c:v>
                </c:pt>
                <c:pt idx="191">
                  <c:v>54.336894418906276</c:v>
                </c:pt>
                <c:pt idx="192">
                  <c:v>54.442799732713901</c:v>
                </c:pt>
                <c:pt idx="193">
                  <c:v>54.105599787743422</c:v>
                </c:pt>
                <c:pt idx="194">
                  <c:v>53.419684210508279</c:v>
                </c:pt>
                <c:pt idx="195">
                  <c:v>51.611803884776421</c:v>
                </c:pt>
                <c:pt idx="196">
                  <c:v>53.149820181446906</c:v>
                </c:pt>
                <c:pt idx="197">
                  <c:v>52.241315384697117</c:v>
                </c:pt>
                <c:pt idx="198">
                  <c:v>52.523054464894074</c:v>
                </c:pt>
                <c:pt idx="199">
                  <c:v>42.476833242657257</c:v>
                </c:pt>
                <c:pt idx="200">
                  <c:v>40.74161255013572</c:v>
                </c:pt>
                <c:pt idx="201">
                  <c:v>51.533463794569947</c:v>
                </c:pt>
                <c:pt idx="202">
                  <c:v>38.813670722731445</c:v>
                </c:pt>
                <c:pt idx="203">
                  <c:v>48.467388021965128</c:v>
                </c:pt>
                <c:pt idx="204">
                  <c:v>51.07430250906863</c:v>
                </c:pt>
                <c:pt idx="205">
                  <c:v>30.856214988793671</c:v>
                </c:pt>
                <c:pt idx="206">
                  <c:v>52.21707670050791</c:v>
                </c:pt>
                <c:pt idx="207">
                  <c:v>54.954753895178477</c:v>
                </c:pt>
                <c:pt idx="208">
                  <c:v>46.854250713687456</c:v>
                </c:pt>
                <c:pt idx="209">
                  <c:v>27.149661920661018</c:v>
                </c:pt>
                <c:pt idx="210">
                  <c:v>46.07065943060563</c:v>
                </c:pt>
                <c:pt idx="211">
                  <c:v>50.857994658001772</c:v>
                </c:pt>
                <c:pt idx="212">
                  <c:v>52.799551860940333</c:v>
                </c:pt>
                <c:pt idx="213">
                  <c:v>50.925557836761975</c:v>
                </c:pt>
                <c:pt idx="214">
                  <c:v>49.047781268646261</c:v>
                </c:pt>
                <c:pt idx="215">
                  <c:v>45.557924297728107</c:v>
                </c:pt>
                <c:pt idx="216">
                  <c:v>44.588534226286527</c:v>
                </c:pt>
                <c:pt idx="217">
                  <c:v>47.266501350831156</c:v>
                </c:pt>
                <c:pt idx="218">
                  <c:v>50.327802093711753</c:v>
                </c:pt>
                <c:pt idx="219">
                  <c:v>51.030811997922363</c:v>
                </c:pt>
                <c:pt idx="220">
                  <c:v>49.077761543428288</c:v>
                </c:pt>
                <c:pt idx="221">
                  <c:v>47.259030808450042</c:v>
                </c:pt>
                <c:pt idx="222">
                  <c:v>42.811981950953346</c:v>
                </c:pt>
                <c:pt idx="223">
                  <c:v>45.519426901434755</c:v>
                </c:pt>
                <c:pt idx="224">
                  <c:v>30.703476588326694</c:v>
                </c:pt>
                <c:pt idx="225">
                  <c:v>33.0377456579088</c:v>
                </c:pt>
                <c:pt idx="226">
                  <c:v>38.748962071679465</c:v>
                </c:pt>
                <c:pt idx="227">
                  <c:v>30.91658655889173</c:v>
                </c:pt>
                <c:pt idx="228">
                  <c:v>22.40485792243997</c:v>
                </c:pt>
                <c:pt idx="229">
                  <c:v>37.775395710470342</c:v>
                </c:pt>
                <c:pt idx="230">
                  <c:v>39.111962515534245</c:v>
                </c:pt>
                <c:pt idx="231">
                  <c:v>46.100164947364028</c:v>
                </c:pt>
                <c:pt idx="232">
                  <c:v>30.270991660679563</c:v>
                </c:pt>
                <c:pt idx="233">
                  <c:v>24.279647372217354</c:v>
                </c:pt>
                <c:pt idx="234">
                  <c:v>43.040378126896343</c:v>
                </c:pt>
                <c:pt idx="235">
                  <c:v>43.460238370924358</c:v>
                </c:pt>
                <c:pt idx="236">
                  <c:v>33.114268015379885</c:v>
                </c:pt>
                <c:pt idx="237">
                  <c:v>40.111002595529776</c:v>
                </c:pt>
                <c:pt idx="238">
                  <c:v>46.669575770972088</c:v>
                </c:pt>
                <c:pt idx="239">
                  <c:v>45.011047032979008</c:v>
                </c:pt>
                <c:pt idx="240">
                  <c:v>31.629377534689922</c:v>
                </c:pt>
                <c:pt idx="241">
                  <c:v>44.041408395406741</c:v>
                </c:pt>
                <c:pt idx="242">
                  <c:v>20.682189507891728</c:v>
                </c:pt>
                <c:pt idx="243">
                  <c:v>41.674197915426511</c:v>
                </c:pt>
                <c:pt idx="244">
                  <c:v>36.225083102751498</c:v>
                </c:pt>
                <c:pt idx="245">
                  <c:v>29.813333691591083</c:v>
                </c:pt>
                <c:pt idx="246">
                  <c:v>43.390564989801668</c:v>
                </c:pt>
                <c:pt idx="247">
                  <c:v>37.464521907194232</c:v>
                </c:pt>
                <c:pt idx="248">
                  <c:v>42.026916128427629</c:v>
                </c:pt>
                <c:pt idx="249">
                  <c:v>33.889175664425252</c:v>
                </c:pt>
                <c:pt idx="250">
                  <c:v>36.475511729027694</c:v>
                </c:pt>
                <c:pt idx="251">
                  <c:v>20.743198574348884</c:v>
                </c:pt>
                <c:pt idx="252">
                  <c:v>40.796452256355799</c:v>
                </c:pt>
                <c:pt idx="253">
                  <c:v>40.645326759593125</c:v>
                </c:pt>
                <c:pt idx="254">
                  <c:v>28.25449239951427</c:v>
                </c:pt>
                <c:pt idx="255">
                  <c:v>11.731343598974917</c:v>
                </c:pt>
                <c:pt idx="256">
                  <c:v>34.301405494434739</c:v>
                </c:pt>
                <c:pt idx="257">
                  <c:v>37.433452819867419</c:v>
                </c:pt>
                <c:pt idx="258">
                  <c:v>25.838160425850216</c:v>
                </c:pt>
                <c:pt idx="259">
                  <c:v>40.563269949015684</c:v>
                </c:pt>
                <c:pt idx="260">
                  <c:v>40.88385226012123</c:v>
                </c:pt>
                <c:pt idx="261">
                  <c:v>39.203068623512756</c:v>
                </c:pt>
                <c:pt idx="262">
                  <c:v>40.191740841127036</c:v>
                </c:pt>
                <c:pt idx="263">
                  <c:v>39.036527691950006</c:v>
                </c:pt>
                <c:pt idx="264">
                  <c:v>37.727062790319856</c:v>
                </c:pt>
                <c:pt idx="265">
                  <c:v>24.297431589268523</c:v>
                </c:pt>
                <c:pt idx="266">
                  <c:v>16.305341388032964</c:v>
                </c:pt>
                <c:pt idx="267">
                  <c:v>27.235111280386192</c:v>
                </c:pt>
                <c:pt idx="268">
                  <c:v>29.24448209545065</c:v>
                </c:pt>
                <c:pt idx="269">
                  <c:v>14.288388577232087</c:v>
                </c:pt>
                <c:pt idx="270">
                  <c:v>16.812798081232536</c:v>
                </c:pt>
                <c:pt idx="271">
                  <c:v>22.480707572587978</c:v>
                </c:pt>
                <c:pt idx="272">
                  <c:v>25.973148941865684</c:v>
                </c:pt>
                <c:pt idx="273">
                  <c:v>31.260968091275885</c:v>
                </c:pt>
                <c:pt idx="274">
                  <c:v>33.031259992824523</c:v>
                </c:pt>
                <c:pt idx="275">
                  <c:v>31.172939480444015</c:v>
                </c:pt>
                <c:pt idx="276">
                  <c:v>33.342001655703719</c:v>
                </c:pt>
                <c:pt idx="277">
                  <c:v>33.685642124909265</c:v>
                </c:pt>
                <c:pt idx="278">
                  <c:v>14.480720793517289</c:v>
                </c:pt>
                <c:pt idx="279">
                  <c:v>24.877179384317106</c:v>
                </c:pt>
                <c:pt idx="280">
                  <c:v>15.243529802329714</c:v>
                </c:pt>
                <c:pt idx="281">
                  <c:v>30.809195156911539</c:v>
                </c:pt>
                <c:pt idx="282">
                  <c:v>26.331820830923306</c:v>
                </c:pt>
                <c:pt idx="283">
                  <c:v>22.778167719482354</c:v>
                </c:pt>
                <c:pt idx="284">
                  <c:v>24.589453634002151</c:v>
                </c:pt>
                <c:pt idx="285">
                  <c:v>20.296772601669282</c:v>
                </c:pt>
                <c:pt idx="286">
                  <c:v>17.046768102766872</c:v>
                </c:pt>
                <c:pt idx="287">
                  <c:v>28.904183275695473</c:v>
                </c:pt>
                <c:pt idx="288">
                  <c:v>26.908794190007882</c:v>
                </c:pt>
                <c:pt idx="289">
                  <c:v>17.164378415772255</c:v>
                </c:pt>
                <c:pt idx="290">
                  <c:v>26.856742486964002</c:v>
                </c:pt>
                <c:pt idx="291">
                  <c:v>14.53528633897</c:v>
                </c:pt>
                <c:pt idx="292">
                  <c:v>8.0516838748494948</c:v>
                </c:pt>
                <c:pt idx="293">
                  <c:v>14.099297544697071</c:v>
                </c:pt>
                <c:pt idx="294">
                  <c:v>25.023482666052555</c:v>
                </c:pt>
                <c:pt idx="295">
                  <c:v>16.932515373993215</c:v>
                </c:pt>
                <c:pt idx="296">
                  <c:v>20.04388949989038</c:v>
                </c:pt>
                <c:pt idx="297">
                  <c:v>18.550850335954799</c:v>
                </c:pt>
                <c:pt idx="298">
                  <c:v>14.71530879201136</c:v>
                </c:pt>
                <c:pt idx="299">
                  <c:v>11.777138779358012</c:v>
                </c:pt>
                <c:pt idx="300">
                  <c:v>16.04859540334655</c:v>
                </c:pt>
                <c:pt idx="301">
                  <c:v>20.402360582803517</c:v>
                </c:pt>
                <c:pt idx="302">
                  <c:v>17.607368872435003</c:v>
                </c:pt>
                <c:pt idx="303">
                  <c:v>17.170989433430726</c:v>
                </c:pt>
                <c:pt idx="304">
                  <c:v>16.225492738357435</c:v>
                </c:pt>
                <c:pt idx="305">
                  <c:v>21.995564455734822</c:v>
                </c:pt>
                <c:pt idx="306">
                  <c:v>5.7954974503396057</c:v>
                </c:pt>
                <c:pt idx="307">
                  <c:v>11.995372871952306</c:v>
                </c:pt>
                <c:pt idx="308">
                  <c:v>21.021786512484617</c:v>
                </c:pt>
                <c:pt idx="309">
                  <c:v>21.087326754070368</c:v>
                </c:pt>
                <c:pt idx="310">
                  <c:v>20.957634667625637</c:v>
                </c:pt>
                <c:pt idx="311">
                  <c:v>13.867536653555678</c:v>
                </c:pt>
                <c:pt idx="312">
                  <c:v>8.2073105895284382</c:v>
                </c:pt>
                <c:pt idx="313">
                  <c:v>18.476284030155828</c:v>
                </c:pt>
                <c:pt idx="314">
                  <c:v>19.053039473348875</c:v>
                </c:pt>
                <c:pt idx="315">
                  <c:v>18.920951519802372</c:v>
                </c:pt>
                <c:pt idx="316">
                  <c:v>16.795159863094284</c:v>
                </c:pt>
                <c:pt idx="317">
                  <c:v>9.698997931737118</c:v>
                </c:pt>
                <c:pt idx="318">
                  <c:v>11.823715050324532</c:v>
                </c:pt>
                <c:pt idx="319">
                  <c:v>18.537787747249613</c:v>
                </c:pt>
                <c:pt idx="320">
                  <c:v>12.176871270180646</c:v>
                </c:pt>
                <c:pt idx="321">
                  <c:v>11.524880827487657</c:v>
                </c:pt>
                <c:pt idx="322">
                  <c:v>8.4816322483383999</c:v>
                </c:pt>
                <c:pt idx="323">
                  <c:v>13.876956062486682</c:v>
                </c:pt>
                <c:pt idx="324">
                  <c:v>3.314819087069854</c:v>
                </c:pt>
                <c:pt idx="325">
                  <c:v>8.7882463037204133</c:v>
                </c:pt>
                <c:pt idx="326">
                  <c:v>13.074903350004604</c:v>
                </c:pt>
                <c:pt idx="327">
                  <c:v>11.828107922465854</c:v>
                </c:pt>
                <c:pt idx="328">
                  <c:v>4.8564120816207836</c:v>
                </c:pt>
                <c:pt idx="329">
                  <c:v>10.432418173552838</c:v>
                </c:pt>
                <c:pt idx="330">
                  <c:v>12.389006734502795</c:v>
                </c:pt>
                <c:pt idx="331">
                  <c:v>9.7751344803475639</c:v>
                </c:pt>
                <c:pt idx="332">
                  <c:v>11.072956529536771</c:v>
                </c:pt>
                <c:pt idx="333">
                  <c:v>4.5007647457563333</c:v>
                </c:pt>
                <c:pt idx="334">
                  <c:v>3.8988235622262257</c:v>
                </c:pt>
                <c:pt idx="335">
                  <c:v>5.3869884486253934</c:v>
                </c:pt>
                <c:pt idx="336">
                  <c:v>8.469528010228931</c:v>
                </c:pt>
                <c:pt idx="337">
                  <c:v>14.394266104487931</c:v>
                </c:pt>
                <c:pt idx="338">
                  <c:v>16.901637002971949</c:v>
                </c:pt>
                <c:pt idx="339">
                  <c:v>12.140962217055986</c:v>
                </c:pt>
                <c:pt idx="340">
                  <c:v>14.952404677456839</c:v>
                </c:pt>
                <c:pt idx="341">
                  <c:v>4.4678163644499831</c:v>
                </c:pt>
                <c:pt idx="342">
                  <c:v>8.5238120290935822</c:v>
                </c:pt>
                <c:pt idx="343">
                  <c:v>12.495572100628758</c:v>
                </c:pt>
                <c:pt idx="344">
                  <c:v>13.097760236112803</c:v>
                </c:pt>
                <c:pt idx="345">
                  <c:v>4.5516261576171226</c:v>
                </c:pt>
                <c:pt idx="346">
                  <c:v>5.4820367840699449</c:v>
                </c:pt>
                <c:pt idx="347">
                  <c:v>12.913544116270465</c:v>
                </c:pt>
                <c:pt idx="348">
                  <c:v>6.3336661653304072</c:v>
                </c:pt>
                <c:pt idx="349">
                  <c:v>5.5940404883117285</c:v>
                </c:pt>
                <c:pt idx="350">
                  <c:v>3.4675341901930823</c:v>
                </c:pt>
                <c:pt idx="351">
                  <c:v>13.500972385349423</c:v>
                </c:pt>
                <c:pt idx="352">
                  <c:v>13.241176149001033</c:v>
                </c:pt>
                <c:pt idx="353">
                  <c:v>4.2083225966984656</c:v>
                </c:pt>
                <c:pt idx="354">
                  <c:v>15.341373908062968</c:v>
                </c:pt>
                <c:pt idx="355">
                  <c:v>13.606371091817794</c:v>
                </c:pt>
                <c:pt idx="356">
                  <c:v>14.253666797370066</c:v>
                </c:pt>
                <c:pt idx="357">
                  <c:v>16.225204911765029</c:v>
                </c:pt>
                <c:pt idx="358">
                  <c:v>9.1686322227293449</c:v>
                </c:pt>
                <c:pt idx="359">
                  <c:v>14.252538538672363</c:v>
                </c:pt>
                <c:pt idx="360">
                  <c:v>6.7865810507233251</c:v>
                </c:pt>
                <c:pt idx="361">
                  <c:v>15.090763669061463</c:v>
                </c:pt>
                <c:pt idx="362">
                  <c:v>10.132214107216821</c:v>
                </c:pt>
                <c:pt idx="363">
                  <c:v>12.866161120570499</c:v>
                </c:pt>
                <c:pt idx="364">
                  <c:v>10.033751421022069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082112"/>
        <c:axId val="406082504"/>
      </c:lineChart>
      <c:dateAx>
        <c:axId val="406082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082504"/>
        <c:crosses val="autoZero"/>
        <c:auto val="1"/>
        <c:lblOffset val="100"/>
        <c:baseTimeUnit val="days"/>
        <c:majorUnit val="1"/>
        <c:majorTimeUnit val="months"/>
      </c:dateAx>
      <c:valAx>
        <c:axId val="40608250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0821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5.3109869318555769E-2</c:v>
                </c:pt>
                <c:pt idx="1">
                  <c:v>5.3131904835214128E-2</c:v>
                </c:pt>
                <c:pt idx="2">
                  <c:v>5.3153939839073905E-2</c:v>
                </c:pt>
                <c:pt idx="3">
                  <c:v>5.3175974330146869E-2</c:v>
                </c:pt>
                <c:pt idx="4">
                  <c:v>5.3198008308445122E-2</c:v>
                </c:pt>
                <c:pt idx="5">
                  <c:v>5.3220041773980431E-2</c:v>
                </c:pt>
                <c:pt idx="6">
                  <c:v>5.3242074726764899E-2</c:v>
                </c:pt>
                <c:pt idx="7">
                  <c:v>5.3264107166810293E-2</c:v>
                </c:pt>
                <c:pt idx="8">
                  <c:v>5.3286139094128715E-2</c:v>
                </c:pt>
                <c:pt idx="9">
                  <c:v>5.3308170508731934E-2</c:v>
                </c:pt>
                <c:pt idx="10">
                  <c:v>5.3330201410631939E-2</c:v>
                </c:pt>
                <c:pt idx="11">
                  <c:v>5.335223179984061E-2</c:v>
                </c:pt>
                <c:pt idx="12">
                  <c:v>5.3374261676370049E-2</c:v>
                </c:pt>
                <c:pt idx="13">
                  <c:v>5.3396291040232025E-2</c:v>
                </c:pt>
                <c:pt idx="14">
                  <c:v>5.3418319891438526E-2</c:v>
                </c:pt>
                <c:pt idx="15">
                  <c:v>5.3440348230001433E-2</c:v>
                </c:pt>
                <c:pt idx="16">
                  <c:v>5.3462376055932848E-2</c:v>
                </c:pt>
                <c:pt idx="17">
                  <c:v>5.3484403369244427E-2</c:v>
                </c:pt>
                <c:pt idx="18">
                  <c:v>5.3506430169948382E-2</c:v>
                </c:pt>
                <c:pt idx="19">
                  <c:v>5.3528456458056373E-2</c:v>
                </c:pt>
                <c:pt idx="20">
                  <c:v>5.355048223358061E-2</c:v>
                </c:pt>
                <c:pt idx="21">
                  <c:v>5.3572507496532751E-2</c:v>
                </c:pt>
                <c:pt idx="22">
                  <c:v>5.3594532246924897E-2</c:v>
                </c:pt>
                <c:pt idx="23">
                  <c:v>5.3616556484768929E-2</c:v>
                </c:pt>
                <c:pt idx="24">
                  <c:v>5.3638580210076725E-2</c:v>
                </c:pt>
                <c:pt idx="25">
                  <c:v>5.3660603422860276E-2</c:v>
                </c:pt>
                <c:pt idx="26">
                  <c:v>5.3682626123131572E-2</c:v>
                </c:pt>
                <c:pt idx="27">
                  <c:v>5.3704648310902381E-2</c:v>
                </c:pt>
                <c:pt idx="28">
                  <c:v>5.3726669986184694E-2</c:v>
                </c:pt>
                <c:pt idx="29">
                  <c:v>5.3748691148990502E-2</c:v>
                </c:pt>
                <c:pt idx="30">
                  <c:v>5.3770711799331683E-2</c:v>
                </c:pt>
                <c:pt idx="31">
                  <c:v>5.3792731937220117E-2</c:v>
                </c:pt>
                <c:pt idx="32">
                  <c:v>5.3814751562667795E-2</c:v>
                </c:pt>
                <c:pt idx="33">
                  <c:v>5.3836770675686596E-2</c:v>
                </c:pt>
                <c:pt idx="34">
                  <c:v>5.385878927628851E-2</c:v>
                </c:pt>
                <c:pt idx="35">
                  <c:v>5.3880807364485306E-2</c:v>
                </c:pt>
                <c:pt idx="36">
                  <c:v>5.3902824940289196E-2</c:v>
                </c:pt>
                <c:pt idx="37">
                  <c:v>5.3924842003711837E-2</c:v>
                </c:pt>
                <c:pt idx="38">
                  <c:v>5.394685855476522E-2</c:v>
                </c:pt>
                <c:pt idx="39">
                  <c:v>5.3968874593461336E-2</c:v>
                </c:pt>
                <c:pt idx="40">
                  <c:v>5.3990890119812063E-2</c:v>
                </c:pt>
                <c:pt idx="41">
                  <c:v>5.4012905133829392E-2</c:v>
                </c:pt>
                <c:pt idx="42">
                  <c:v>5.4034919635525092E-2</c:v>
                </c:pt>
                <c:pt idx="43">
                  <c:v>5.4056933624911263E-2</c:v>
                </c:pt>
                <c:pt idx="44">
                  <c:v>5.4078947101999675E-2</c:v>
                </c:pt>
                <c:pt idx="45">
                  <c:v>5.4100960066802317E-2</c:v>
                </c:pt>
                <c:pt idx="46">
                  <c:v>5.412297251933107E-2</c:v>
                </c:pt>
                <c:pt idx="47">
                  <c:v>5.4144984459598033E-2</c:v>
                </c:pt>
                <c:pt idx="48">
                  <c:v>5.4166995887614866E-2</c:v>
                </c:pt>
                <c:pt idx="49">
                  <c:v>5.4189006803393669E-2</c:v>
                </c:pt>
                <c:pt idx="50">
                  <c:v>5.421101720694621E-2</c:v>
                </c:pt>
                <c:pt idx="51">
                  <c:v>5.4233027098284592E-2</c:v>
                </c:pt>
                <c:pt idx="52">
                  <c:v>5.4255036477420693E-2</c:v>
                </c:pt>
                <c:pt idx="53">
                  <c:v>5.4277045344366281E-2</c:v>
                </c:pt>
                <c:pt idx="54">
                  <c:v>5.4299053699133459E-2</c:v>
                </c:pt>
                <c:pt idx="55">
                  <c:v>5.4321061541733995E-2</c:v>
                </c:pt>
                <c:pt idx="56">
                  <c:v>5.4343068872179989E-2</c:v>
                </c:pt>
                <c:pt idx="57">
                  <c:v>5.4365075690483211E-2</c:v>
                </c:pt>
                <c:pt idx="58">
                  <c:v>5.438708199665554E-2</c:v>
                </c:pt>
                <c:pt idx="59">
                  <c:v>5.4409087790709076E-2</c:v>
                </c:pt>
                <c:pt idx="60">
                  <c:v>5.443109307265559E-2</c:v>
                </c:pt>
                <c:pt idx="61">
                  <c:v>5.445309784250707E-2</c:v>
                </c:pt>
                <c:pt idx="62">
                  <c:v>5.4475102100275397E-2</c:v>
                </c:pt>
                <c:pt idx="63">
                  <c:v>5.4497105845972449E-2</c:v>
                </c:pt>
                <c:pt idx="64">
                  <c:v>5.4519109079610328E-2</c:v>
                </c:pt>
                <c:pt idx="65">
                  <c:v>5.4541111801200692E-2</c:v>
                </c:pt>
                <c:pt idx="66">
                  <c:v>5.4563114010755642E-2</c:v>
                </c:pt>
                <c:pt idx="67">
                  <c:v>5.4585115708286946E-2</c:v>
                </c:pt>
                <c:pt idx="68">
                  <c:v>5.4607116893806706E-2</c:v>
                </c:pt>
                <c:pt idx="69">
                  <c:v>5.462911756732669E-2</c:v>
                </c:pt>
                <c:pt idx="70">
                  <c:v>5.4651117728858889E-2</c:v>
                </c:pt>
                <c:pt idx="71">
                  <c:v>5.4673117378415181E-2</c:v>
                </c:pt>
                <c:pt idx="72">
                  <c:v>5.4695116516007447E-2</c:v>
                </c:pt>
                <c:pt idx="73">
                  <c:v>5.4717115141647676E-2</c:v>
                </c:pt>
                <c:pt idx="74">
                  <c:v>5.4739113255347749E-2</c:v>
                </c:pt>
                <c:pt idx="75">
                  <c:v>5.4761110857119544E-2</c:v>
                </c:pt>
                <c:pt idx="76">
                  <c:v>5.4783107946975051E-2</c:v>
                </c:pt>
                <c:pt idx="77">
                  <c:v>5.4805104524926151E-2</c:v>
                </c:pt>
                <c:pt idx="78">
                  <c:v>5.4827100590984723E-2</c:v>
                </c:pt>
                <c:pt idx="79">
                  <c:v>5.4849096145162757E-2</c:v>
                </c:pt>
                <c:pt idx="80">
                  <c:v>5.4871091187472021E-2</c:v>
                </c:pt>
                <c:pt idx="81">
                  <c:v>5.4893085717924506E-2</c:v>
                </c:pt>
                <c:pt idx="82">
                  <c:v>5.4915079736532202E-2</c:v>
                </c:pt>
                <c:pt idx="83">
                  <c:v>5.4937073243306989E-2</c:v>
                </c:pt>
                <c:pt idx="84">
                  <c:v>5.4959066238260634E-2</c:v>
                </c:pt>
                <c:pt idx="85">
                  <c:v>5.498105872140524E-2</c:v>
                </c:pt>
                <c:pt idx="86">
                  <c:v>5.5003050692752686E-2</c:v>
                </c:pt>
                <c:pt idx="87">
                  <c:v>5.502504215231474E-2</c:v>
                </c:pt>
                <c:pt idx="88">
                  <c:v>5.5047033100103393E-2</c:v>
                </c:pt>
                <c:pt idx="89">
                  <c:v>5.5069023536130524E-2</c:v>
                </c:pt>
                <c:pt idx="90">
                  <c:v>5.5091013460408234E-2</c:v>
                </c:pt>
                <c:pt idx="91">
                  <c:v>5.511300287294818E-2</c:v>
                </c:pt>
                <c:pt idx="92">
                  <c:v>5.5134991773762354E-2</c:v>
                </c:pt>
                <c:pt idx="93">
                  <c:v>5.5156980162862745E-2</c:v>
                </c:pt>
                <c:pt idx="94">
                  <c:v>5.5178968040261123E-2</c:v>
                </c:pt>
                <c:pt idx="95">
                  <c:v>5.5200955405969587E-2</c:v>
                </c:pt>
                <c:pt idx="96">
                  <c:v>5.5222942259999797E-2</c:v>
                </c:pt>
                <c:pt idx="97">
                  <c:v>5.5244928602363852E-2</c:v>
                </c:pt>
                <c:pt idx="98">
                  <c:v>5.5266914433073633E-2</c:v>
                </c:pt>
                <c:pt idx="99">
                  <c:v>5.5288899752141019E-2</c:v>
                </c:pt>
                <c:pt idx="100">
                  <c:v>5.5310884559577889E-2</c:v>
                </c:pt>
                <c:pt idx="101">
                  <c:v>5.5332868855396122E-2</c:v>
                </c:pt>
                <c:pt idx="102">
                  <c:v>5.535485263960771E-2</c:v>
                </c:pt>
                <c:pt idx="103">
                  <c:v>5.5376835912224531E-2</c:v>
                </c:pt>
                <c:pt idx="104">
                  <c:v>5.5398818673258465E-2</c:v>
                </c:pt>
                <c:pt idx="105">
                  <c:v>5.5420800922721503E-2</c:v>
                </c:pt>
                <c:pt idx="106">
                  <c:v>5.5442782660625411E-2</c:v>
                </c:pt>
                <c:pt idx="107">
                  <c:v>5.5464763886982182E-2</c:v>
                </c:pt>
                <c:pt idx="108">
                  <c:v>5.5486744601803695E-2</c:v>
                </c:pt>
                <c:pt idx="109">
                  <c:v>5.5508724805101828E-2</c:v>
                </c:pt>
                <c:pt idx="110">
                  <c:v>5.5530704496888572E-2</c:v>
                </c:pt>
                <c:pt idx="111">
                  <c:v>5.5552683677175807E-2</c:v>
                </c:pt>
                <c:pt idx="112">
                  <c:v>5.5574662345975301E-2</c:v>
                </c:pt>
                <c:pt idx="113">
                  <c:v>5.5596640503299155E-2</c:v>
                </c:pt>
                <c:pt idx="114">
                  <c:v>5.5618618149159138E-2</c:v>
                </c:pt>
                <c:pt idx="115">
                  <c:v>5.564059528356724E-2</c:v>
                </c:pt>
                <c:pt idx="116">
                  <c:v>5.566257190653523E-2</c:v>
                </c:pt>
                <c:pt idx="117">
                  <c:v>5.5684548018075208E-2</c:v>
                </c:pt>
                <c:pt idx="118">
                  <c:v>5.5706523618198944E-2</c:v>
                </c:pt>
                <c:pt idx="119">
                  <c:v>5.5728498706918317E-2</c:v>
                </c:pt>
                <c:pt idx="120">
                  <c:v>5.5750473284245317E-2</c:v>
                </c:pt>
                <c:pt idx="121">
                  <c:v>5.5772447350191712E-2</c:v>
                </c:pt>
                <c:pt idx="122">
                  <c:v>5.5794420904769604E-2</c:v>
                </c:pt>
                <c:pt idx="123">
                  <c:v>5.581639394799065E-2</c:v>
                </c:pt>
                <c:pt idx="124">
                  <c:v>5.5838366479866952E-2</c:v>
                </c:pt>
                <c:pt idx="125">
                  <c:v>5.5860338500410389E-2</c:v>
                </c:pt>
                <c:pt idx="126">
                  <c:v>5.588231000963273E-2</c:v>
                </c:pt>
                <c:pt idx="127">
                  <c:v>5.5904281007545964E-2</c:v>
                </c:pt>
                <c:pt idx="128">
                  <c:v>5.5926251494161972E-2</c:v>
                </c:pt>
                <c:pt idx="129">
                  <c:v>5.5948221469492743E-2</c:v>
                </c:pt>
                <c:pt idx="130">
                  <c:v>5.5970190933550046E-2</c:v>
                </c:pt>
                <c:pt idx="131">
                  <c:v>5.599215988634576E-2</c:v>
                </c:pt>
                <c:pt idx="132">
                  <c:v>5.6014128327891877E-2</c:v>
                </c:pt>
                <c:pt idx="133">
                  <c:v>5.6036096258200385E-2</c:v>
                </c:pt>
                <c:pt idx="134">
                  <c:v>5.6058063677282943E-2</c:v>
                </c:pt>
                <c:pt idx="135">
                  <c:v>5.6080030585151541E-2</c:v>
                </c:pt>
                <c:pt idx="136">
                  <c:v>5.610199698181817E-2</c:v>
                </c:pt>
                <c:pt idx="137">
                  <c:v>5.6123962867294597E-2</c:v>
                </c:pt>
                <c:pt idx="138">
                  <c:v>5.6145928241592813E-2</c:v>
                </c:pt>
                <c:pt idx="139">
                  <c:v>5.6167893104724698E-2</c:v>
                </c:pt>
                <c:pt idx="140">
                  <c:v>5.618985745670213E-2</c:v>
                </c:pt>
                <c:pt idx="141">
                  <c:v>5.621182129753699E-2</c:v>
                </c:pt>
                <c:pt idx="142">
                  <c:v>5.6233784627241157E-2</c:v>
                </c:pt>
                <c:pt idx="143">
                  <c:v>5.625574744582662E-2</c:v>
                </c:pt>
                <c:pt idx="144">
                  <c:v>5.627770975330515E-2</c:v>
                </c:pt>
                <c:pt idx="145">
                  <c:v>5.6299671549688735E-2</c:v>
                </c:pt>
                <c:pt idx="146">
                  <c:v>5.6321632834989255E-2</c:v>
                </c:pt>
                <c:pt idx="147">
                  <c:v>5.6343593609218479E-2</c:v>
                </c:pt>
                <c:pt idx="148">
                  <c:v>5.6365553872388507E-2</c:v>
                </c:pt>
                <c:pt idx="149">
                  <c:v>5.638751362451111E-2</c:v>
                </c:pt>
                <c:pt idx="150">
                  <c:v>5.6409472865598165E-2</c:v>
                </c:pt>
                <c:pt idx="151">
                  <c:v>5.6431431595661663E-2</c:v>
                </c:pt>
                <c:pt idx="152">
                  <c:v>5.6453389814713373E-2</c:v>
                </c:pt>
                <c:pt idx="153">
                  <c:v>5.6475347522765285E-2</c:v>
                </c:pt>
                <c:pt idx="154">
                  <c:v>5.6497304719829278E-2</c:v>
                </c:pt>
                <c:pt idx="155">
                  <c:v>5.6519261405917121E-2</c:v>
                </c:pt>
                <c:pt idx="156">
                  <c:v>5.6541217581040804E-2</c:v>
                </c:pt>
                <c:pt idx="157">
                  <c:v>5.6563173245212317E-2</c:v>
                </c:pt>
                <c:pt idx="158">
                  <c:v>5.6585128398443429E-2</c:v>
                </c:pt>
                <c:pt idx="159">
                  <c:v>5.660708304074602E-2</c:v>
                </c:pt>
                <c:pt idx="160">
                  <c:v>5.6629037172131969E-2</c:v>
                </c:pt>
                <c:pt idx="161">
                  <c:v>5.6650990792613265E-2</c:v>
                </c:pt>
                <c:pt idx="162">
                  <c:v>5.6672943902201678E-2</c:v>
                </c:pt>
                <c:pt idx="163">
                  <c:v>5.6694896500909198E-2</c:v>
                </c:pt>
                <c:pt idx="164">
                  <c:v>5.6716848588747704E-2</c:v>
                </c:pt>
                <c:pt idx="165">
                  <c:v>5.6738800165729075E-2</c:v>
                </c:pt>
                <c:pt idx="166">
                  <c:v>5.6760751231865081E-2</c:v>
                </c:pt>
                <c:pt idx="167">
                  <c:v>5.6782701787167822E-2</c:v>
                </c:pt>
                <c:pt idx="168">
                  <c:v>5.6804651831649067E-2</c:v>
                </c:pt>
                <c:pt idx="169">
                  <c:v>5.6826601365320584E-2</c:v>
                </c:pt>
                <c:pt idx="170">
                  <c:v>5.6848550388194474E-2</c:v>
                </c:pt>
                <c:pt idx="171">
                  <c:v>5.6870498900282507E-2</c:v>
                </c:pt>
                <c:pt idx="172">
                  <c:v>5.6892446901596672E-2</c:v>
                </c:pt>
                <c:pt idx="173">
                  <c:v>5.6914394392148737E-2</c:v>
                </c:pt>
                <c:pt idx="174">
                  <c:v>5.6936341371950583E-2</c:v>
                </c:pt>
                <c:pt idx="175">
                  <c:v>5.6958287841014199E-2</c:v>
                </c:pt>
                <c:pt idx="176">
                  <c:v>5.6980233799351465E-2</c:v>
                </c:pt>
                <c:pt idx="177">
                  <c:v>5.700217924697415E-2</c:v>
                </c:pt>
                <c:pt idx="178">
                  <c:v>5.7024124183894243E-2</c:v>
                </c:pt>
                <c:pt idx="179">
                  <c:v>5.7046068610123513E-2</c:v>
                </c:pt>
                <c:pt idx="180">
                  <c:v>5.7068012525674061E-2</c:v>
                </c:pt>
                <c:pt idx="181">
                  <c:v>5.7089955930557545E-2</c:v>
                </c:pt>
                <c:pt idx="182">
                  <c:v>5.7111898824785956E-2</c:v>
                </c:pt>
                <c:pt idx="183">
                  <c:v>5.7133841208371172E-2</c:v>
                </c:pt>
                <c:pt idx="184">
                  <c:v>5.7155783081325073E-2</c:v>
                </c:pt>
                <c:pt idx="185">
                  <c:v>5.7177724443659539E-2</c:v>
                </c:pt>
                <c:pt idx="186">
                  <c:v>5.7199665295386337E-2</c:v>
                </c:pt>
                <c:pt idx="187">
                  <c:v>5.722160563651757E-2</c:v>
                </c:pt>
                <c:pt idx="188">
                  <c:v>5.7243545467065005E-2</c:v>
                </c:pt>
                <c:pt idx="189">
                  <c:v>5.7265484787040521E-2</c:v>
                </c:pt>
                <c:pt idx="190">
                  <c:v>5.7287423596456E-2</c:v>
                </c:pt>
                <c:pt idx="191">
                  <c:v>5.730936189532343E-2</c:v>
                </c:pt>
                <c:pt idx="192">
                  <c:v>5.7331299683654469E-2</c:v>
                </c:pt>
                <c:pt idx="193">
                  <c:v>5.7353236961461218E-2</c:v>
                </c:pt>
                <c:pt idx="194">
                  <c:v>5.7375173728755335E-2</c:v>
                </c:pt>
                <c:pt idx="195">
                  <c:v>5.7397109985548922E-2</c:v>
                </c:pt>
                <c:pt idx="196">
                  <c:v>5.7419045731853746E-2</c:v>
                </c:pt>
                <c:pt idx="197">
                  <c:v>5.7440980967681687E-2</c:v>
                </c:pt>
                <c:pt idx="198">
                  <c:v>5.7462915693044736E-2</c:v>
                </c:pt>
                <c:pt idx="199">
                  <c:v>5.7484849907954549E-2</c:v>
                </c:pt>
                <c:pt idx="200">
                  <c:v>5.7506783612423229E-2</c:v>
                </c:pt>
                <c:pt idx="201">
                  <c:v>5.7528716806462543E-2</c:v>
                </c:pt>
                <c:pt idx="202">
                  <c:v>5.7550649490084371E-2</c:v>
                </c:pt>
                <c:pt idx="203">
                  <c:v>5.7572581663300704E-2</c:v>
                </c:pt>
                <c:pt idx="204">
                  <c:v>5.7594513326123198E-2</c:v>
                </c:pt>
                <c:pt idx="205">
                  <c:v>5.7616444478563955E-2</c:v>
                </c:pt>
                <c:pt idx="206">
                  <c:v>5.7638375120634633E-2</c:v>
                </c:pt>
                <c:pt idx="207">
                  <c:v>5.7660305252347333E-2</c:v>
                </c:pt>
                <c:pt idx="208">
                  <c:v>5.7682234873713822E-2</c:v>
                </c:pt>
                <c:pt idx="209">
                  <c:v>5.7704163984745982E-2</c:v>
                </c:pt>
                <c:pt idx="210">
                  <c:v>5.7726092585455691E-2</c:v>
                </c:pt>
                <c:pt idx="211">
                  <c:v>5.7748020675854717E-2</c:v>
                </c:pt>
                <c:pt idx="212">
                  <c:v>5.7769948255955161E-2</c:v>
                </c:pt>
                <c:pt idx="213">
                  <c:v>5.7791875325768793E-2</c:v>
                </c:pt>
                <c:pt idx="214">
                  <c:v>5.7813801885307381E-2</c:v>
                </c:pt>
                <c:pt idx="215">
                  <c:v>5.7835727934583026E-2</c:v>
                </c:pt>
                <c:pt idx="216">
                  <c:v>5.7857653473607384E-2</c:v>
                </c:pt>
                <c:pt idx="217">
                  <c:v>5.7879578502392448E-2</c:v>
                </c:pt>
                <c:pt idx="218">
                  <c:v>5.7901503020949985E-2</c:v>
                </c:pt>
                <c:pt idx="219">
                  <c:v>5.7923427029292096E-2</c:v>
                </c:pt>
                <c:pt idx="220">
                  <c:v>5.7945350527430328E-2</c:v>
                </c:pt>
                <c:pt idx="221">
                  <c:v>5.7967273515376894E-2</c:v>
                </c:pt>
                <c:pt idx="222">
                  <c:v>5.798919599314345E-2</c:v>
                </c:pt>
                <c:pt idx="223">
                  <c:v>5.8011117960741876E-2</c:v>
                </c:pt>
                <c:pt idx="224">
                  <c:v>5.8033039418184051E-2</c:v>
                </c:pt>
                <c:pt idx="225">
                  <c:v>5.8054960365481967E-2</c:v>
                </c:pt>
                <c:pt idx="226">
                  <c:v>5.807688080264739E-2</c:v>
                </c:pt>
                <c:pt idx="227">
                  <c:v>5.8098800729692313E-2</c:v>
                </c:pt>
                <c:pt idx="228">
                  <c:v>5.8120720146628391E-2</c:v>
                </c:pt>
                <c:pt idx="229">
                  <c:v>5.8142639053467615E-2</c:v>
                </c:pt>
                <c:pt idx="230">
                  <c:v>5.8164557450221865E-2</c:v>
                </c:pt>
                <c:pt idx="231">
                  <c:v>5.8186475336903021E-2</c:v>
                </c:pt>
                <c:pt idx="232">
                  <c:v>5.8208392713522961E-2</c:v>
                </c:pt>
                <c:pt idx="233">
                  <c:v>5.8230309580093564E-2</c:v>
                </c:pt>
                <c:pt idx="234">
                  <c:v>5.82522259366266E-2</c:v>
                </c:pt>
                <c:pt idx="235">
                  <c:v>5.8274141783133948E-2</c:v>
                </c:pt>
                <c:pt idx="236">
                  <c:v>5.8296057119627598E-2</c:v>
                </c:pt>
                <c:pt idx="237">
                  <c:v>5.8317971946119318E-2</c:v>
                </c:pt>
                <c:pt idx="238">
                  <c:v>5.8339886262621099E-2</c:v>
                </c:pt>
                <c:pt idx="239">
                  <c:v>5.8361800069144598E-2</c:v>
                </c:pt>
                <c:pt idx="240">
                  <c:v>5.8383713365701917E-2</c:v>
                </c:pt>
                <c:pt idx="241">
                  <c:v>5.8405626152304713E-2</c:v>
                </c:pt>
                <c:pt idx="242">
                  <c:v>5.8427538428964976E-2</c:v>
                </c:pt>
                <c:pt idx="243">
                  <c:v>5.8449450195694586E-2</c:v>
                </c:pt>
                <c:pt idx="244">
                  <c:v>5.8471361452505421E-2</c:v>
                </c:pt>
                <c:pt idx="245">
                  <c:v>5.8493272199409141E-2</c:v>
                </c:pt>
                <c:pt idx="246">
                  <c:v>5.8515182436417956E-2</c:v>
                </c:pt>
                <c:pt idx="247">
                  <c:v>5.8537092163543414E-2</c:v>
                </c:pt>
                <c:pt idx="248">
                  <c:v>5.8559001380797504E-2</c:v>
                </c:pt>
                <c:pt idx="249">
                  <c:v>5.8580910088192217E-2</c:v>
                </c:pt>
                <c:pt idx="250">
                  <c:v>5.8602818285739211E-2</c:v>
                </c:pt>
                <c:pt idx="251">
                  <c:v>5.8624725973450476E-2</c:v>
                </c:pt>
                <c:pt idx="252">
                  <c:v>5.864663315133789E-2</c:v>
                </c:pt>
                <c:pt idx="253">
                  <c:v>5.8668539819413223E-2</c:v>
                </c:pt>
                <c:pt idx="254">
                  <c:v>5.8690445977688355E-2</c:v>
                </c:pt>
                <c:pt idx="255">
                  <c:v>5.8712351626175163E-2</c:v>
                </c:pt>
                <c:pt idx="256">
                  <c:v>5.873425676488564E-2</c:v>
                </c:pt>
                <c:pt idx="257">
                  <c:v>5.8756161393831441E-2</c:v>
                </c:pt>
                <c:pt idx="258">
                  <c:v>5.8778065513024558E-2</c:v>
                </c:pt>
                <c:pt idx="259">
                  <c:v>5.8799969122476758E-2</c:v>
                </c:pt>
                <c:pt idx="260">
                  <c:v>5.8821872222200033E-2</c:v>
                </c:pt>
                <c:pt idx="261">
                  <c:v>5.8843774812206262E-2</c:v>
                </c:pt>
                <c:pt idx="262">
                  <c:v>5.8865676892507102E-2</c:v>
                </c:pt>
                <c:pt idx="263">
                  <c:v>5.8887578463114543E-2</c:v>
                </c:pt>
                <c:pt idx="264">
                  <c:v>5.8909479524040465E-2</c:v>
                </c:pt>
                <c:pt idx="265">
                  <c:v>5.8931380075296746E-2</c:v>
                </c:pt>
                <c:pt idx="266">
                  <c:v>5.8953280116895157E-2</c:v>
                </c:pt>
                <c:pt idx="267">
                  <c:v>5.8975179648847575E-2</c:v>
                </c:pt>
                <c:pt idx="268">
                  <c:v>5.8997078671165992E-2</c:v>
                </c:pt>
                <c:pt idx="269">
                  <c:v>5.9018977183862065E-2</c:v>
                </c:pt>
                <c:pt idx="270">
                  <c:v>5.9040875186947783E-2</c:v>
                </c:pt>
                <c:pt idx="271">
                  <c:v>5.9062772680435027E-2</c:v>
                </c:pt>
                <c:pt idx="272">
                  <c:v>5.9084669664335565E-2</c:v>
                </c:pt>
                <c:pt idx="273">
                  <c:v>5.9106566138661276E-2</c:v>
                </c:pt>
                <c:pt idx="274">
                  <c:v>5.912846210342404E-2</c:v>
                </c:pt>
                <c:pt idx="275">
                  <c:v>5.9150357558635736E-2</c:v>
                </c:pt>
                <c:pt idx="276">
                  <c:v>5.9172252504308243E-2</c:v>
                </c:pt>
                <c:pt idx="277">
                  <c:v>5.9194146940453329E-2</c:v>
                </c:pt>
                <c:pt idx="278">
                  <c:v>5.9216040867082986E-2</c:v>
                </c:pt>
                <c:pt idx="279">
                  <c:v>5.9237934284208871E-2</c:v>
                </c:pt>
                <c:pt idx="280">
                  <c:v>5.9259827191842973E-2</c:v>
                </c:pt>
                <c:pt idx="281">
                  <c:v>5.9281719589997173E-2</c:v>
                </c:pt>
                <c:pt idx="282">
                  <c:v>5.9303611478683238E-2</c:v>
                </c:pt>
                <c:pt idx="283">
                  <c:v>5.9325502857913159E-2</c:v>
                </c:pt>
                <c:pt idx="284">
                  <c:v>5.9347393727698594E-2</c:v>
                </c:pt>
                <c:pt idx="285">
                  <c:v>5.9369284088051644E-2</c:v>
                </c:pt>
                <c:pt idx="286">
                  <c:v>5.9391173938983965E-2</c:v>
                </c:pt>
                <c:pt idx="287">
                  <c:v>5.9413063280507439E-2</c:v>
                </c:pt>
                <c:pt idx="288">
                  <c:v>5.9434952112633943E-2</c:v>
                </c:pt>
                <c:pt idx="289">
                  <c:v>5.9456840435375358E-2</c:v>
                </c:pt>
                <c:pt idx="290">
                  <c:v>5.9478728248743562E-2</c:v>
                </c:pt>
                <c:pt idx="291">
                  <c:v>5.9500615552750324E-2</c:v>
                </c:pt>
                <c:pt idx="292">
                  <c:v>5.9522502347407635E-2</c:v>
                </c:pt>
                <c:pt idx="293">
                  <c:v>5.9544388632727152E-2</c:v>
                </c:pt>
                <c:pt idx="294">
                  <c:v>5.9566274408720976E-2</c:v>
                </c:pt>
                <c:pt idx="295">
                  <c:v>5.9588159675400654E-2</c:v>
                </c:pt>
                <c:pt idx="296">
                  <c:v>5.9610044432778286E-2</c:v>
                </c:pt>
                <c:pt idx="297">
                  <c:v>5.9631928680865642E-2</c:v>
                </c:pt>
                <c:pt idx="298">
                  <c:v>5.9653812419674601E-2</c:v>
                </c:pt>
                <c:pt idx="299">
                  <c:v>5.9675695649216931E-2</c:v>
                </c:pt>
                <c:pt idx="300">
                  <c:v>5.9697578369504622E-2</c:v>
                </c:pt>
                <c:pt idx="301">
                  <c:v>5.9719460580549333E-2</c:v>
                </c:pt>
                <c:pt idx="302">
                  <c:v>5.9741342282363163E-2</c:v>
                </c:pt>
                <c:pt idx="303">
                  <c:v>5.9763223474957661E-2</c:v>
                </c:pt>
                <c:pt idx="304">
                  <c:v>5.9785104158344926E-2</c:v>
                </c:pt>
                <c:pt idx="305">
                  <c:v>5.9806984332536728E-2</c:v>
                </c:pt>
                <c:pt idx="306">
                  <c:v>5.9828863997544945E-2</c:v>
                </c:pt>
                <c:pt idx="307">
                  <c:v>5.9850743153381347E-2</c:v>
                </c:pt>
                <c:pt idx="308">
                  <c:v>5.9872621800057813E-2</c:v>
                </c:pt>
                <c:pt idx="309">
                  <c:v>5.9894499937586221E-2</c:v>
                </c:pt>
                <c:pt idx="310">
                  <c:v>5.9916377565978451E-2</c:v>
                </c:pt>
                <c:pt idx="311">
                  <c:v>5.9938254685246273E-2</c:v>
                </c:pt>
                <c:pt idx="312">
                  <c:v>5.9960131295401564E-2</c:v>
                </c:pt>
                <c:pt idx="313">
                  <c:v>5.9982007396456205E-2</c:v>
                </c:pt>
                <c:pt idx="314">
                  <c:v>6.0003882988421964E-2</c:v>
                </c:pt>
                <c:pt idx="315">
                  <c:v>6.0025758071310831E-2</c:v>
                </c:pt>
                <c:pt idx="316">
                  <c:v>6.0047632645134463E-2</c:v>
                </c:pt>
                <c:pt idx="317">
                  <c:v>6.0069506709904852E-2</c:v>
                </c:pt>
                <c:pt idx="318">
                  <c:v>6.0091380265633765E-2</c:v>
                </c:pt>
                <c:pt idx="319">
                  <c:v>6.0113253312333081E-2</c:v>
                </c:pt>
                <c:pt idx="320">
                  <c:v>6.0135125850014681E-2</c:v>
                </c:pt>
                <c:pt idx="321">
                  <c:v>6.0156997878690333E-2</c:v>
                </c:pt>
                <c:pt idx="322">
                  <c:v>6.0178869398372026E-2</c:v>
                </c:pt>
                <c:pt idx="323">
                  <c:v>6.0200740409071418E-2</c:v>
                </c:pt>
                <c:pt idx="324">
                  <c:v>6.0222610910800389E-2</c:v>
                </c:pt>
                <c:pt idx="325">
                  <c:v>6.0244480903570929E-2</c:v>
                </c:pt>
                <c:pt idx="326">
                  <c:v>6.0266350387394807E-2</c:v>
                </c:pt>
                <c:pt idx="327">
                  <c:v>6.028821936228379E-2</c:v>
                </c:pt>
                <c:pt idx="328">
                  <c:v>6.0310087828249759E-2</c:v>
                </c:pt>
                <c:pt idx="329">
                  <c:v>6.0331955785304592E-2</c:v>
                </c:pt>
                <c:pt idx="330">
                  <c:v>6.0353823233460169E-2</c:v>
                </c:pt>
                <c:pt idx="331">
                  <c:v>6.0375690172728147E-2</c:v>
                </c:pt>
                <c:pt idx="332">
                  <c:v>6.0397556603120628E-2</c:v>
                </c:pt>
                <c:pt idx="333">
                  <c:v>6.0419422524649269E-2</c:v>
                </c:pt>
                <c:pt idx="334">
                  <c:v>6.044128793732606E-2</c:v>
                </c:pt>
                <c:pt idx="335">
                  <c:v>6.046315284116266E-2</c:v>
                </c:pt>
                <c:pt idx="336">
                  <c:v>6.0485017236171057E-2</c:v>
                </c:pt>
                <c:pt idx="337">
                  <c:v>6.0506881122363021E-2</c:v>
                </c:pt>
                <c:pt idx="338">
                  <c:v>6.0528744499750431E-2</c:v>
                </c:pt>
                <c:pt idx="339">
                  <c:v>6.0550607368345055E-2</c:v>
                </c:pt>
                <c:pt idx="340">
                  <c:v>6.0572469728158884E-2</c:v>
                </c:pt>
                <c:pt idx="341">
                  <c:v>6.0594331579203575E-2</c:v>
                </c:pt>
                <c:pt idx="342">
                  <c:v>6.0616192921491119E-2</c:v>
                </c:pt>
                <c:pt idx="343">
                  <c:v>6.0638053755033172E-2</c:v>
                </c:pt>
                <c:pt idx="344">
                  <c:v>6.0659914079841837E-2</c:v>
                </c:pt>
                <c:pt idx="345">
                  <c:v>6.068177389592877E-2</c:v>
                </c:pt>
                <c:pt idx="346">
                  <c:v>6.070363320330574E-2</c:v>
                </c:pt>
                <c:pt idx="347">
                  <c:v>6.0725492001984849E-2</c:v>
                </c:pt>
                <c:pt idx="348">
                  <c:v>6.0747350291977642E-2</c:v>
                </c:pt>
                <c:pt idx="349">
                  <c:v>6.0769208073296221E-2</c:v>
                </c:pt>
                <c:pt idx="350">
                  <c:v>6.0791065345952133E-2</c:v>
                </c:pt>
                <c:pt idx="351">
                  <c:v>6.081292210995759E-2</c:v>
                </c:pt>
                <c:pt idx="352">
                  <c:v>6.0834778365324027E-2</c:v>
                </c:pt>
                <c:pt idx="353">
                  <c:v>6.0856634112063546E-2</c:v>
                </c:pt>
                <c:pt idx="354">
                  <c:v>6.0878489350187914E-2</c:v>
                </c:pt>
                <c:pt idx="355">
                  <c:v>6.0900344079709012E-2</c:v>
                </c:pt>
                <c:pt idx="356">
                  <c:v>6.0922198300638497E-2</c:v>
                </c:pt>
                <c:pt idx="357">
                  <c:v>6.094405201298847E-2</c:v>
                </c:pt>
                <c:pt idx="358">
                  <c:v>6.0965905216770588E-2</c:v>
                </c:pt>
                <c:pt idx="359">
                  <c:v>6.0987757911996732E-2</c:v>
                </c:pt>
                <c:pt idx="360">
                  <c:v>6.1009610098678668E-2</c:v>
                </c:pt>
                <c:pt idx="361">
                  <c:v>6.1031461776828388E-2</c:v>
                </c:pt>
                <c:pt idx="362">
                  <c:v>6.105331294645755E-2</c:v>
                </c:pt>
                <c:pt idx="363">
                  <c:v>6.1075163607578142E-2</c:v>
                </c:pt>
                <c:pt idx="364">
                  <c:v>6.1097013760201824E-2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8.0736753123846663E-2</c:v>
                </c:pt>
                <c:pt idx="1">
                  <c:v>8.0907488776483932E-2</c:v>
                </c:pt>
                <c:pt idx="2">
                  <c:v>8.1078222439492031E-2</c:v>
                </c:pt>
                <c:pt idx="3">
                  <c:v>8.1248919211096546E-2</c:v>
                </c:pt>
                <c:pt idx="4">
                  <c:v>8.1419548763166386E-2</c:v>
                </c:pt>
                <c:pt idx="5">
                  <c:v>8.1590085236270302E-2</c:v>
                </c:pt>
                <c:pt idx="6">
                  <c:v>8.1760507096404658E-2</c:v>
                </c:pt>
                <c:pt idx="7">
                  <c:v>8.1930796955999058E-2</c:v>
                </c:pt>
                <c:pt idx="8">
                  <c:v>8.2100941362096683E-2</c:v>
                </c:pt>
                <c:pt idx="9">
                  <c:v>8.2270930554863508E-2</c:v>
                </c:pt>
                <c:pt idx="10">
                  <c:v>8.2440758199804939E-2</c:v>
                </c:pt>
                <c:pt idx="11">
                  <c:v>8.2610421097254166E-2</c:v>
                </c:pt>
                <c:pt idx="12">
                  <c:v>8.2779918872847649E-2</c:v>
                </c:pt>
                <c:pt idx="13">
                  <c:v>8.2949253652812652E-2</c:v>
                </c:pt>
                <c:pt idx="14">
                  <c:v>8.3118429727964294E-2</c:v>
                </c:pt>
                <c:pt idx="15">
                  <c:v>8.3287453210340659E-2</c:v>
                </c:pt>
                <c:pt idx="16">
                  <c:v>8.3456331686398419E-2</c:v>
                </c:pt>
                <c:pt idx="17">
                  <c:v>8.3625073870643898E-2</c:v>
                </c:pt>
                <c:pt idx="18">
                  <c:v>8.3793689263492316E-2</c:v>
                </c:pt>
                <c:pt idx="19">
                  <c:v>8.396218781702583E-2</c:v>
                </c:pt>
                <c:pt idx="20">
                  <c:v>8.4130579612167605E-2</c:v>
                </c:pt>
                <c:pt idx="21">
                  <c:v>8.4298874550599853E-2</c:v>
                </c:pt>
                <c:pt idx="22">
                  <c:v>8.4467082064537194E-2</c:v>
                </c:pt>
                <c:pt idx="23">
                  <c:v>8.4635210847218714E-2</c:v>
                </c:pt>
                <c:pt idx="24">
                  <c:v>8.4803268606713444E-2</c:v>
                </c:pt>
                <c:pt idx="25">
                  <c:v>8.4971261845339818E-2</c:v>
                </c:pt>
                <c:pt idx="26">
                  <c:v>8.5139195666689441E-2</c:v>
                </c:pt>
                <c:pt idx="27">
                  <c:v>8.5307073611919318E-2</c:v>
                </c:pt>
                <c:pt idx="28">
                  <c:v>8.5474897526639115E-2</c:v>
                </c:pt>
                <c:pt idx="29">
                  <c:v>8.5642667459375058E-2</c:v>
                </c:pt>
                <c:pt idx="30">
                  <c:v>8.5810381592242468E-2</c:v>
                </c:pt>
                <c:pt idx="31">
                  <c:v>8.5978036204109265E-2</c:v>
                </c:pt>
                <c:pt idx="32">
                  <c:v>8.6145625666186387E-2</c:v>
                </c:pt>
                <c:pt idx="33">
                  <c:v>8.6313142469640572E-2</c:v>
                </c:pt>
                <c:pt idx="34">
                  <c:v>8.6480577284496082E-2</c:v>
                </c:pt>
                <c:pt idx="35">
                  <c:v>8.664791904877564E-2</c:v>
                </c:pt>
                <c:pt idx="36">
                  <c:v>8.6815155086530385E-2</c:v>
                </c:pt>
                <c:pt idx="37">
                  <c:v>8.698227125312967E-2</c:v>
                </c:pt>
                <c:pt idx="38">
                  <c:v>8.7149252105922767E-2</c:v>
                </c:pt>
                <c:pt idx="39">
                  <c:v>8.7316081098150852E-2</c:v>
                </c:pt>
                <c:pt idx="40">
                  <c:v>8.7482740793780669E-2</c:v>
                </c:pt>
                <c:pt idx="41">
                  <c:v>8.7649213100752799E-2</c:v>
                </c:pt>
                <c:pt idx="42">
                  <c:v>8.7815479519987014E-2</c:v>
                </c:pt>
                <c:pt idx="43">
                  <c:v>8.7981521407369964E-2</c:v>
                </c:pt>
                <c:pt idx="44">
                  <c:v>8.8147320245863067E-2</c:v>
                </c:pt>
                <c:pt idx="45">
                  <c:v>8.8312857924812901E-2</c:v>
                </c:pt>
                <c:pt idx="46">
                  <c:v>8.8478117023523359E-2</c:v>
                </c:pt>
                <c:pt idx="47">
                  <c:v>8.8643081096157539E-2</c:v>
                </c:pt>
                <c:pt idx="48">
                  <c:v>8.8807734955075407E-2</c:v>
                </c:pt>
                <c:pt idx="49">
                  <c:v>8.8972064949783519E-2</c:v>
                </c:pt>
                <c:pt idx="50">
                  <c:v>8.9136059238768911E-2</c:v>
                </c:pt>
                <c:pt idx="51">
                  <c:v>8.9299708051615703E-2</c:v>
                </c:pt>
                <c:pt idx="52">
                  <c:v>8.946300393895007E-2</c:v>
                </c:pt>
                <c:pt idx="53">
                  <c:v>8.962594200793321E-2</c:v>
                </c:pt>
                <c:pt idx="54">
                  <c:v>8.9788520141213649E-2</c:v>
                </c:pt>
                <c:pt idx="55">
                  <c:v>8.9950739197461244E-2</c:v>
                </c:pt>
                <c:pt idx="56">
                  <c:v>9.0112603191830259E-2</c:v>
                </c:pt>
                <c:pt idx="57">
                  <c:v>9.0274119454937865E-2</c:v>
                </c:pt>
                <c:pt idx="58">
                  <c:v>9.0435298769190861E-2</c:v>
                </c:pt>
                <c:pt idx="59">
                  <c:v>9.0596155481547105E-2</c:v>
                </c:pt>
                <c:pt idx="60">
                  <c:v>9.0756707592055466E-2</c:v>
                </c:pt>
                <c:pt idx="61">
                  <c:v>9.0916976817774386E-2</c:v>
                </c:pt>
                <c:pt idx="62">
                  <c:v>9.1076988631923581E-2</c:v>
                </c:pt>
                <c:pt idx="63">
                  <c:v>9.1236772278372097E-2</c:v>
                </c:pt>
                <c:pt idx="64">
                  <c:v>9.1396360761805032E-2</c:v>
                </c:pt>
                <c:pt idx="65">
                  <c:v>9.1555790814140947E-2</c:v>
                </c:pt>
                <c:pt idx="66">
                  <c:v>9.1715102837986145E-2</c:v>
                </c:pt>
                <c:pt idx="67">
                  <c:v>9.1874340828110829E-2</c:v>
                </c:pt>
                <c:pt idx="68">
                  <c:v>9.2033552272114641E-2</c:v>
                </c:pt>
                <c:pt idx="69">
                  <c:v>9.2192788031607673E-2</c:v>
                </c:pt>
                <c:pt idx="70">
                  <c:v>9.2352102205375486E-2</c:v>
                </c:pt>
                <c:pt idx="71">
                  <c:v>9.2511551976111717E-2</c:v>
                </c:pt>
                <c:pt idx="72">
                  <c:v>9.2671197442396991E-2</c:v>
                </c:pt>
                <c:pt idx="73">
                  <c:v>9.2831101437670718E-2</c:v>
                </c:pt>
                <c:pt idx="74">
                  <c:v>9.2991329337988801E-2</c:v>
                </c:pt>
                <c:pt idx="75">
                  <c:v>9.3151948860378933E-2</c:v>
                </c:pt>
                <c:pt idx="76">
                  <c:v>9.3313029853602791E-2</c:v>
                </c:pt>
                <c:pt idx="77">
                  <c:v>9.3474644083105032E-2</c:v>
                </c:pt>
                <c:pt idx="78">
                  <c:v>9.3636865011880246E-2</c:v>
                </c:pt>
                <c:pt idx="79">
                  <c:v>9.3799767578915769E-2</c:v>
                </c:pt>
                <c:pt idx="80">
                  <c:v>9.3963427976776689E-2</c:v>
                </c:pt>
                <c:pt idx="81">
                  <c:v>9.4127923429788873E-2</c:v>
                </c:pt>
                <c:pt idx="82">
                  <c:v>9.4293331974148312E-2</c:v>
                </c:pt>
                <c:pt idx="83">
                  <c:v>9.4459732241143984E-2</c:v>
                </c:pt>
                <c:pt idx="84">
                  <c:v>9.4627203244527613E-2</c:v>
                </c:pt>
                <c:pt idx="85">
                  <c:v>9.479582417290075E-2</c:v>
                </c:pt>
                <c:pt idx="86">
                  <c:v>9.4965674187818636E-2</c:v>
                </c:pt>
                <c:pt idx="87">
                  <c:v>9.5136832228135959E-2</c:v>
                </c:pt>
                <c:pt idx="88">
                  <c:v>9.530937682094294E-2</c:v>
                </c:pt>
                <c:pt idx="89">
                  <c:v>9.5483385899263806E-2</c:v>
                </c:pt>
                <c:pt idx="90">
                  <c:v>9.5658936626517962E-2</c:v>
                </c:pt>
                <c:pt idx="91">
                  <c:v>9.5836105227577989E-2</c:v>
                </c:pt>
                <c:pt idx="92">
                  <c:v>9.6014966826100306E-2</c:v>
                </c:pt>
                <c:pt idx="93">
                  <c:v>9.6195595287659294E-2</c:v>
                </c:pt>
                <c:pt idx="94">
                  <c:v>9.637806306808093E-2</c:v>
                </c:pt>
                <c:pt idx="95">
                  <c:v>9.6562441066255167E-2</c:v>
                </c:pt>
                <c:pt idx="96">
                  <c:v>9.6748798480605455E-2</c:v>
                </c:pt>
                <c:pt idx="97">
                  <c:v>9.6937202668311462E-2</c:v>
                </c:pt>
                <c:pt idx="98">
                  <c:v>9.7127719006320667E-2</c:v>
                </c:pt>
                <c:pt idx="99">
                  <c:v>9.7320410753142281E-2</c:v>
                </c:pt>
                <c:pt idx="100">
                  <c:v>9.7515338910400887E-2</c:v>
                </c:pt>
                <c:pt idx="101">
                  <c:v>9.7712562083129562E-2</c:v>
                </c:pt>
                <c:pt idx="102">
                  <c:v>9.7912136337811012E-2</c:v>
                </c:pt>
                <c:pt idx="103">
                  <c:v>9.8114115057224366E-2</c:v>
                </c:pt>
                <c:pt idx="104">
                  <c:v>9.8318548791227173E-2</c:v>
                </c:pt>
                <c:pt idx="105">
                  <c:v>9.8525485102696736E-2</c:v>
                </c:pt>
                <c:pt idx="106">
                  <c:v>9.8734968407968637E-2</c:v>
                </c:pt>
                <c:pt idx="107">
                  <c:v>9.8947039811243739E-2</c:v>
                </c:pt>
                <c:pt idx="108">
                  <c:v>9.9161736932585925E-2</c:v>
                </c:pt>
                <c:pt idx="109">
                  <c:v>9.9379093729300302E-2</c:v>
                </c:pt>
                <c:pt idx="110">
                  <c:v>9.9599140310660902E-2</c:v>
                </c:pt>
                <c:pt idx="111">
                  <c:v>9.9821902746149785E-2</c:v>
                </c:pt>
                <c:pt idx="112">
                  <c:v>0.10004740286756914</c:v>
                </c:pt>
                <c:pt idx="113">
                  <c:v>0.10027565806559494</c:v>
                </c:pt>
                <c:pt idx="114">
                  <c:v>0.10050668108155143</c:v>
                </c:pt>
                <c:pt idx="115">
                  <c:v>0.10074047979539502</c:v>
                </c:pt>
                <c:pt idx="116">
                  <c:v>0.10097705701110533</c:v>
                </c:pt>
                <c:pt idx="117">
                  <c:v>0.10121641024088338</c:v>
                </c:pt>
                <c:pt idx="118">
                  <c:v>0.10145853148975088</c:v>
                </c:pt>
                <c:pt idx="119">
                  <c:v>2.5553188945380768E-2</c:v>
                </c:pt>
                <c:pt idx="120">
                  <c:v>2.5868977953152919E-2</c:v>
                </c:pt>
                <c:pt idx="121">
                  <c:v>2.6185491069049702E-2</c:v>
                </c:pt>
                <c:pt idx="122">
                  <c:v>2.6502739338255209E-2</c:v>
                </c:pt>
                <c:pt idx="123">
                  <c:v>2.6820731608640559E-2</c:v>
                </c:pt>
                <c:pt idx="124">
                  <c:v>2.7139474412125712E-2</c:v>
                </c:pt>
                <c:pt idx="125">
                  <c:v>2.7458971848778744E-2</c:v>
                </c:pt>
                <c:pt idx="126">
                  <c:v>2.7779225474619751E-2</c:v>
                </c:pt>
                <c:pt idx="127">
                  <c:v>2.8100234194141906E-2</c:v>
                </c:pt>
                <c:pt idx="128">
                  <c:v>2.8421994158596683E-2</c:v>
                </c:pt>
                <c:pt idx="129">
                  <c:v>2.8744498671116742E-2</c:v>
                </c:pt>
                <c:pt idx="130">
                  <c:v>2.9067738099764411E-2</c:v>
                </c:pt>
                <c:pt idx="131">
                  <c:v>2.9391699799597729E-2</c:v>
                </c:pt>
                <c:pt idx="132">
                  <c:v>2.9716368044837745E-2</c:v>
                </c:pt>
                <c:pt idx="133">
                  <c:v>3.0041723972200306E-2</c:v>
                </c:pt>
                <c:pt idx="134">
                  <c:v>3.0367745536422353E-2</c:v>
                </c:pt>
                <c:pt idx="135">
                  <c:v>3.0694407478967557E-2</c:v>
                </c:pt>
                <c:pt idx="136">
                  <c:v>3.1021681310836751E-2</c:v>
                </c:pt>
                <c:pt idx="137">
                  <c:v>3.1349535310338156E-2</c:v>
                </c:pt>
                <c:pt idx="138">
                  <c:v>3.1677934536589104E-2</c:v>
                </c:pt>
                <c:pt idx="139">
                  <c:v>3.2006840859425123E-2</c:v>
                </c:pt>
                <c:pt idx="140">
                  <c:v>3.2336213006286973E-2</c:v>
                </c:pt>
                <c:pt idx="141">
                  <c:v>3.2666006626538575E-2</c:v>
                </c:pt>
                <c:pt idx="142">
                  <c:v>3.2996174373543352E-2</c:v>
                </c:pt>
                <c:pt idx="143">
                  <c:v>3.3326666004691238E-2</c:v>
                </c:pt>
                <c:pt idx="144">
                  <c:v>3.3657428499427412E-2</c:v>
                </c:pt>
                <c:pt idx="145">
                  <c:v>3.3988406195185422E-2</c:v>
                </c:pt>
                <c:pt idx="146">
                  <c:v>3.4319540940975432E-2</c:v>
                </c:pt>
                <c:pt idx="147">
                  <c:v>3.465077226822242E-2</c:v>
                </c:pt>
                <c:pt idx="148">
                  <c:v>3.4982037578292643E-2</c:v>
                </c:pt>
                <c:pt idx="149">
                  <c:v>3.5313272345989299E-2</c:v>
                </c:pt>
                <c:pt idx="150">
                  <c:v>3.5644410338143487E-2</c:v>
                </c:pt>
                <c:pt idx="151">
                  <c:v>3.5975383846274543E-2</c:v>
                </c:pt>
                <c:pt idx="152">
                  <c:v>3.6306123932147348E-2</c:v>
                </c:pt>
                <c:pt idx="153">
                  <c:v>3.663656068491386E-2</c:v>
                </c:pt>
                <c:pt idx="154">
                  <c:v>3.6966623488394981E-2</c:v>
                </c:pt>
                <c:pt idx="155">
                  <c:v>3.7296241296936421E-2</c:v>
                </c:pt>
                <c:pt idx="156">
                  <c:v>3.7625342918162781E-2</c:v>
                </c:pt>
                <c:pt idx="157">
                  <c:v>3.7953857300855529E-2</c:v>
                </c:pt>
                <c:pt idx="158">
                  <c:v>3.8281713826097692E-2</c:v>
                </c:pt>
                <c:pt idx="159">
                  <c:v>3.8608842599759455E-2</c:v>
                </c:pt>
                <c:pt idx="160">
                  <c:v>3.8935174744347052E-2</c:v>
                </c:pt>
                <c:pt idx="161">
                  <c:v>3.9260642688201737E-2</c:v>
                </c:pt>
                <c:pt idx="162">
                  <c:v>3.9585180450019283E-2</c:v>
                </c:pt>
                <c:pt idx="163">
                  <c:v>3.9908723916660727E-2</c:v>
                </c:pt>
                <c:pt idx="164">
                  <c:v>4.0231211112244987E-2</c:v>
                </c:pt>
                <c:pt idx="165">
                  <c:v>4.0552582456552834E-2</c:v>
                </c:pt>
                <c:pt idx="166">
                  <c:v>4.0872781010827759E-2</c:v>
                </c:pt>
                <c:pt idx="167">
                  <c:v>4.1191752709135901E-2</c:v>
                </c:pt>
                <c:pt idx="168">
                  <c:v>4.1509446573539853E-2</c:v>
                </c:pt>
                <c:pt idx="169">
                  <c:v>4.1825814911451986E-2</c:v>
                </c:pt>
                <c:pt idx="170">
                  <c:v>4.2140813493660223E-2</c:v>
                </c:pt>
                <c:pt idx="171">
                  <c:v>4.2454401711661711E-2</c:v>
                </c:pt>
                <c:pt idx="172">
                  <c:v>4.2766542713095899E-2</c:v>
                </c:pt>
                <c:pt idx="173">
                  <c:v>4.307720351423884E-2</c:v>
                </c:pt>
                <c:pt idx="174">
                  <c:v>4.3386355088700403E-2</c:v>
                </c:pt>
                <c:pt idx="175">
                  <c:v>4.3693972431656368E-2</c:v>
                </c:pt>
                <c:pt idx="176">
                  <c:v>4.4000034599145831E-2</c:v>
                </c:pt>
                <c:pt idx="177">
                  <c:v>4.4304524722167553E-2</c:v>
                </c:pt>
                <c:pt idx="178">
                  <c:v>4.4607429995516361E-2</c:v>
                </c:pt>
                <c:pt idx="179">
                  <c:v>4.4908741641511138E-2</c:v>
                </c:pt>
                <c:pt idx="180">
                  <c:v>4.5208454848973977E-2</c:v>
                </c:pt>
                <c:pt idx="181">
                  <c:v>4.5506568688027646E-2</c:v>
                </c:pt>
                <c:pt idx="182">
                  <c:v>4.5803086001480413E-2</c:v>
                </c:pt>
                <c:pt idx="183">
                  <c:v>4.6098013273763665E-2</c:v>
                </c:pt>
                <c:pt idx="184">
                  <c:v>4.6391360478573861E-2</c:v>
                </c:pt>
                <c:pt idx="185">
                  <c:v>4.6683140906548452E-2</c:v>
                </c:pt>
                <c:pt idx="186">
                  <c:v>4.697337097446859E-2</c:v>
                </c:pt>
                <c:pt idx="187">
                  <c:v>4.7262070017632357E-2</c:v>
                </c:pt>
                <c:pt idx="188">
                  <c:v>4.7549260067176392E-2</c:v>
                </c:pt>
                <c:pt idx="189">
                  <c:v>4.7834965614240992E-2</c:v>
                </c:pt>
                <c:pt idx="190">
                  <c:v>4.8119213362973784E-2</c:v>
                </c:pt>
                <c:pt idx="191">
                  <c:v>4.8402031974444586E-2</c:v>
                </c:pt>
                <c:pt idx="192">
                  <c:v>4.868345180360522E-2</c:v>
                </c:pt>
                <c:pt idx="193">
                  <c:v>4.8963504631464469E-2</c:v>
                </c:pt>
                <c:pt idx="194">
                  <c:v>4.9242223394665649E-2</c:v>
                </c:pt>
                <c:pt idx="195">
                  <c:v>4.9519641914649158E-2</c:v>
                </c:pt>
                <c:pt idx="196">
                  <c:v>4.9795794628554803E-2</c:v>
                </c:pt>
                <c:pt idx="197">
                  <c:v>5.0070716323971344E-2</c:v>
                </c:pt>
                <c:pt idx="198">
                  <c:v>5.034444187957085E-2</c:v>
                </c:pt>
                <c:pt idx="199">
                  <c:v>5.0617006013576132E-2</c:v>
                </c:pt>
                <c:pt idx="200">
                  <c:v>5.0888443041900919E-2</c:v>
                </c:pt>
                <c:pt idx="201">
                  <c:v>5.1158786647675973E-2</c:v>
                </c:pt>
                <c:pt idx="202">
                  <c:v>5.1428069663729745E-2</c:v>
                </c:pt>
                <c:pt idx="203">
                  <c:v>5.1696323869434908E-2</c:v>
                </c:pt>
                <c:pt idx="204">
                  <c:v>5.1963579803158758E-2</c:v>
                </c:pt>
                <c:pt idx="205">
                  <c:v>5.2229866591372284E-2</c:v>
                </c:pt>
                <c:pt idx="206">
                  <c:v>5.2495211795279384E-2</c:v>
                </c:pt>
                <c:pt idx="207">
                  <c:v>5.27596412756271E-2</c:v>
                </c:pt>
                <c:pt idx="208">
                  <c:v>5.3023179076151873E-2</c:v>
                </c:pt>
                <c:pt idx="209">
                  <c:v>5.3285847325907965E-2</c:v>
                </c:pt>
                <c:pt idx="210">
                  <c:v>5.3547666160515713E-2</c:v>
                </c:pt>
                <c:pt idx="211">
                  <c:v>5.3808653662159103E-2</c:v>
                </c:pt>
                <c:pt idx="212">
                  <c:v>5.4068825817959722E-2</c:v>
                </c:pt>
                <c:pt idx="213">
                  <c:v>5.4328196496157333E-2</c:v>
                </c:pt>
                <c:pt idx="214">
                  <c:v>5.4586777439339394E-2</c:v>
                </c:pt>
                <c:pt idx="215">
                  <c:v>5.4844578273785263E-2</c:v>
                </c:pt>
                <c:pt idx="216">
                  <c:v>5.51016065338268E-2</c:v>
                </c:pt>
                <c:pt idx="217">
                  <c:v>5.5357867699977949E-2</c:v>
                </c:pt>
                <c:pt idx="218">
                  <c:v>5.5613365249454143E-2</c:v>
                </c:pt>
                <c:pt idx="219">
                  <c:v>5.5868100717587514E-2</c:v>
                </c:pt>
                <c:pt idx="220">
                  <c:v>5.612207376855001E-2</c:v>
                </c:pt>
                <c:pt idx="221">
                  <c:v>5.6375282273722578E-2</c:v>
                </c:pt>
                <c:pt idx="222">
                  <c:v>5.6627722395996526E-2</c:v>
                </c:pt>
                <c:pt idx="223">
                  <c:v>5.6879388678263462E-2</c:v>
                </c:pt>
                <c:pt idx="224">
                  <c:v>5.713027413434317E-2</c:v>
                </c:pt>
                <c:pt idx="225">
                  <c:v>5.7380370340615168E-2</c:v>
                </c:pt>
                <c:pt idx="226">
                  <c:v>5.7629667526657748E-2</c:v>
                </c:pt>
                <c:pt idx="227">
                  <c:v>5.7878154663260649E-2</c:v>
                </c:pt>
                <c:pt idx="228">
                  <c:v>5.812581954625913E-2</c:v>
                </c:pt>
                <c:pt idx="229">
                  <c:v>5.8372648874742881E-2</c:v>
                </c:pt>
                <c:pt idx="230">
                  <c:v>5.8618628322315389E-2</c:v>
                </c:pt>
                <c:pt idx="231">
                  <c:v>5.8863742600222452E-2</c:v>
                </c:pt>
                <c:pt idx="232">
                  <c:v>5.9107975511327321E-2</c:v>
                </c:pt>
                <c:pt idx="233">
                  <c:v>5.9351309994082953E-2</c:v>
                </c:pt>
                <c:pt idx="234">
                  <c:v>5.9593728155839736E-2</c:v>
                </c:pt>
                <c:pt idx="235">
                  <c:v>5.9835211295023366E-2</c:v>
                </c:pt>
                <c:pt idx="236">
                  <c:v>6.0075739911924005E-2</c:v>
                </c:pt>
                <c:pt idx="237">
                  <c:v>6.0315293708049014E-2</c:v>
                </c:pt>
                <c:pt idx="238">
                  <c:v>6.0553851574206757E-2</c:v>
                </c:pt>
                <c:pt idx="239">
                  <c:v>6.0791391567704842E-2</c:v>
                </c:pt>
                <c:pt idx="240">
                  <c:v>6.1027890879258959E-2</c:v>
                </c:pt>
                <c:pt idx="241">
                  <c:v>6.1263325790418953E-2</c:v>
                </c:pt>
                <c:pt idx="242">
                  <c:v>6.1497671622519019E-2</c:v>
                </c:pt>
                <c:pt idx="243">
                  <c:v>6.1730902678351719E-2</c:v>
                </c:pt>
                <c:pt idx="244">
                  <c:v>6.1962992177944348E-2</c:v>
                </c:pt>
                <c:pt idx="245">
                  <c:v>6.2193912189981014E-2</c:v>
                </c:pt>
                <c:pt idx="246">
                  <c:v>6.2423633560560819E-2</c:v>
                </c:pt>
                <c:pt idx="247">
                  <c:v>6.2652125841111059E-2</c:v>
                </c:pt>
                <c:pt idx="248">
                  <c:v>6.2879357217380805E-2</c:v>
                </c:pt>
                <c:pt idx="249">
                  <c:v>6.3105294441524878E-2</c:v>
                </c:pt>
                <c:pt idx="250">
                  <c:v>6.3329902769347676E-2</c:v>
                </c:pt>
                <c:pt idx="251">
                  <c:v>6.3553145904810496E-2</c:v>
                </c:pt>
                <c:pt idx="252">
                  <c:v>6.3774985953914412E-2</c:v>
                </c:pt>
                <c:pt idx="253">
                  <c:v>6.3995383390050453E-2</c:v>
                </c:pt>
                <c:pt idx="254">
                  <c:v>6.4214297032863174E-2</c:v>
                </c:pt>
                <c:pt idx="255">
                  <c:v>6.4431684042598927E-2</c:v>
                </c:pt>
                <c:pt idx="256">
                  <c:v>6.4647499931808836E-2</c:v>
                </c:pt>
                <c:pt idx="257">
                  <c:v>6.4861698596148626E-2</c:v>
                </c:pt>
                <c:pt idx="258">
                  <c:v>6.5074232365863696E-2</c:v>
                </c:pt>
                <c:pt idx="259">
                  <c:v>6.528505207936959E-2</c:v>
                </c:pt>
                <c:pt idx="260">
                  <c:v>6.5494107180136957E-2</c:v>
                </c:pt>
                <c:pt idx="261">
                  <c:v>6.5701345837867339E-2</c:v>
                </c:pt>
                <c:pt idx="262">
                  <c:v>6.5906715094704693E-2</c:v>
                </c:pt>
                <c:pt idx="263">
                  <c:v>6.6110161036969234E-2</c:v>
                </c:pt>
                <c:pt idx="264">
                  <c:v>6.6311628992626409E-2</c:v>
                </c:pt>
                <c:pt idx="265">
                  <c:v>6.6511063754420174E-2</c:v>
                </c:pt>
                <c:pt idx="266">
                  <c:v>6.6708409828305837E-2</c:v>
                </c:pt>
                <c:pt idx="267">
                  <c:v>6.6903611706518359E-2</c:v>
                </c:pt>
                <c:pt idx="268">
                  <c:v>6.7096614164310689E-2</c:v>
                </c:pt>
                <c:pt idx="269">
                  <c:v>6.7287362579095455E-2</c:v>
                </c:pt>
                <c:pt idx="270">
                  <c:v>6.7475803270425946E-2</c:v>
                </c:pt>
                <c:pt idx="271">
                  <c:v>6.7661883858962268E-2</c:v>
                </c:pt>
                <c:pt idx="272">
                  <c:v>6.7845553642289461E-2</c:v>
                </c:pt>
                <c:pt idx="273">
                  <c:v>6.8026763985188074E-2</c:v>
                </c:pt>
                <c:pt idx="274">
                  <c:v>6.820546872170867E-2</c:v>
                </c:pt>
                <c:pt idx="275">
                  <c:v>6.8381624566172791E-2</c:v>
                </c:pt>
                <c:pt idx="276">
                  <c:v>6.8555191530016088E-2</c:v>
                </c:pt>
                <c:pt idx="277">
                  <c:v>6.8726133341208126E-2</c:v>
                </c:pt>
                <c:pt idx="278">
                  <c:v>6.8894417862829821E-2</c:v>
                </c:pt>
                <c:pt idx="279">
                  <c:v>6.9060017507265536E-2</c:v>
                </c:pt>
                <c:pt idx="280">
                  <c:v>6.9222909642375319E-2</c:v>
                </c:pt>
                <c:pt idx="281">
                  <c:v>6.9383076985953904E-2</c:v>
                </c:pt>
                <c:pt idx="282">
                  <c:v>6.9540507984759276E-2</c:v>
                </c:pt>
                <c:pt idx="283">
                  <c:v>6.9695197174405463E-2</c:v>
                </c:pt>
                <c:pt idx="284">
                  <c:v>6.9847145516461637E-2</c:v>
                </c:pt>
                <c:pt idx="285">
                  <c:v>6.9996360709184566E-2</c:v>
                </c:pt>
                <c:pt idx="286">
                  <c:v>7.0142857468431158E-2</c:v>
                </c:pt>
                <c:pt idx="287">
                  <c:v>7.0286657775454411E-2</c:v>
                </c:pt>
                <c:pt idx="288">
                  <c:v>7.0427791088477784E-2</c:v>
                </c:pt>
                <c:pt idx="289">
                  <c:v>7.0566294515166494E-2</c:v>
                </c:pt>
                <c:pt idx="290">
                  <c:v>7.0702212943371923E-2</c:v>
                </c:pt>
                <c:pt idx="291">
                  <c:v>7.0835599127811441E-2</c:v>
                </c:pt>
                <c:pt idx="292">
                  <c:v>7.0966513730661276E-2</c:v>
                </c:pt>
                <c:pt idx="293">
                  <c:v>7.1095025314378266E-2</c:v>
                </c:pt>
                <c:pt idx="294">
                  <c:v>7.12212102854302E-2</c:v>
                </c:pt>
                <c:pt idx="295">
                  <c:v>7.1345152787993901E-2</c:v>
                </c:pt>
                <c:pt idx="296">
                  <c:v>7.1466944547078498E-2</c:v>
                </c:pt>
                <c:pt idx="297">
                  <c:v>7.158668466093962E-2</c:v>
                </c:pt>
                <c:pt idx="298">
                  <c:v>7.1704479343068825E-2</c:v>
                </c:pt>
                <c:pt idx="299">
                  <c:v>7.1820441614464603E-2</c:v>
                </c:pt>
                <c:pt idx="300">
                  <c:v>7.1934690947314833E-2</c:v>
                </c:pt>
                <c:pt idx="301">
                  <c:v>7.2047352861640074E-2</c:v>
                </c:pt>
                <c:pt idx="302">
                  <c:v>7.2158558476861284E-2</c:v>
                </c:pt>
                <c:pt idx="303">
                  <c:v>7.2268444020654882E-2</c:v>
                </c:pt>
                <c:pt idx="304">
                  <c:v>7.2377150297847456E-2</c:v>
                </c:pt>
                <c:pt idx="305">
                  <c:v>7.2484822122467082E-2</c:v>
                </c:pt>
                <c:pt idx="306">
                  <c:v>7.2591607716416109E-2</c:v>
                </c:pt>
                <c:pt idx="307">
                  <c:v>7.2697658078547139E-2</c:v>
                </c:pt>
                <c:pt idx="308">
                  <c:v>7.2803126328214993E-2</c:v>
                </c:pt>
                <c:pt idx="309">
                  <c:v>7.2908167027635112E-2</c:v>
                </c:pt>
                <c:pt idx="310">
                  <c:v>7.3012935487600669E-2</c:v>
                </c:pt>
                <c:pt idx="311">
                  <c:v>7.3117587061296868E-2</c:v>
                </c:pt>
                <c:pt idx="312">
                  <c:v>7.32222764310968E-2</c:v>
                </c:pt>
                <c:pt idx="313">
                  <c:v>7.3327156893327666E-2</c:v>
                </c:pt>
                <c:pt idx="314">
                  <c:v>7.3432379646059309E-2</c:v>
                </c:pt>
                <c:pt idx="315">
                  <c:v>7.3538093084986267E-2</c:v>
                </c:pt>
                <c:pt idx="316">
                  <c:v>7.3644442112450095E-2</c:v>
                </c:pt>
                <c:pt idx="317">
                  <c:v>7.3751567464580073E-2</c:v>
                </c:pt>
                <c:pt idx="318">
                  <c:v>7.385960506141967E-2</c:v>
                </c:pt>
                <c:pt idx="319">
                  <c:v>7.3968685384750904E-2</c:v>
                </c:pt>
                <c:pt idx="320">
                  <c:v>7.4078932888132623E-2</c:v>
                </c:pt>
                <c:pt idx="321">
                  <c:v>7.4190465443433634E-2</c:v>
                </c:pt>
                <c:pt idx="322">
                  <c:v>7.4303393827866576E-2</c:v>
                </c:pt>
                <c:pt idx="323">
                  <c:v>7.4417821255219216E-2</c:v>
                </c:pt>
                <c:pt idx="324">
                  <c:v>7.4533842954637303E-2</c:v>
                </c:pt>
                <c:pt idx="325">
                  <c:v>7.4651545799939351E-2</c:v>
                </c:pt>
                <c:pt idx="326">
                  <c:v>7.4771007992046001E-2</c:v>
                </c:pt>
                <c:pt idx="327">
                  <c:v>7.4892298796681703E-2</c:v>
                </c:pt>
                <c:pt idx="328">
                  <c:v>7.5015478339066979E-2</c:v>
                </c:pt>
                <c:pt idx="329">
                  <c:v>7.5140597456860123E-2</c:v>
                </c:pt>
                <c:pt idx="330">
                  <c:v>7.5267697612139847E-2</c:v>
                </c:pt>
                <c:pt idx="331">
                  <c:v>7.5396810862744884E-2</c:v>
                </c:pt>
                <c:pt idx="332">
                  <c:v>7.5527959892807806E-2</c:v>
                </c:pt>
                <c:pt idx="333">
                  <c:v>7.5661158101844789E-2</c:v>
                </c:pt>
                <c:pt idx="334">
                  <c:v>7.5796409751292704E-2</c:v>
                </c:pt>
                <c:pt idx="335">
                  <c:v>7.5933710166924767E-2</c:v>
                </c:pt>
                <c:pt idx="336">
                  <c:v>7.6073045995131386E-2</c:v>
                </c:pt>
                <c:pt idx="337">
                  <c:v>7.6214395510626254E-2</c:v>
                </c:pt>
                <c:pt idx="338">
                  <c:v>7.6357728972733768E-2</c:v>
                </c:pt>
                <c:pt idx="339">
                  <c:v>7.6503009027036592E-2</c:v>
                </c:pt>
                <c:pt idx="340">
                  <c:v>7.6650191148813954E-2</c:v>
                </c:pt>
                <c:pt idx="341">
                  <c:v>7.6799224124386556E-2</c:v>
                </c:pt>
                <c:pt idx="342">
                  <c:v>7.6950050566204187E-2</c:v>
                </c:pt>
                <c:pt idx="343">
                  <c:v>7.7102607457271322E-2</c:v>
                </c:pt>
                <c:pt idx="344">
                  <c:v>7.7256826720304067E-2</c:v>
                </c:pt>
                <c:pt idx="345">
                  <c:v>7.7412635806853661E-2</c:v>
                </c:pt>
                <c:pt idx="346">
                  <c:v>7.7569958301514919E-2</c:v>
                </c:pt>
                <c:pt idx="347">
                  <c:v>7.7728714536266702E-2</c:v>
                </c:pt>
                <c:pt idx="348">
                  <c:v>7.7888822209964029E-2</c:v>
                </c:pt>
                <c:pt idx="349">
                  <c:v>7.8050197008019434E-2</c:v>
                </c:pt>
                <c:pt idx="350">
                  <c:v>7.8212753217371908E-2</c:v>
                </c:pt>
                <c:pt idx="351">
                  <c:v>7.8376404331947896E-2</c:v>
                </c:pt>
                <c:pt idx="352">
                  <c:v>7.8541063643965542E-2</c:v>
                </c:pt>
                <c:pt idx="353">
                  <c:v>7.8706644816621582E-2</c:v>
                </c:pt>
                <c:pt idx="354">
                  <c:v>7.8873062433926583E-2</c:v>
                </c:pt>
                <c:pt idx="355">
                  <c:v>7.9040232523717127E-2</c:v>
                </c:pt>
                <c:pt idx="356">
                  <c:v>7.9208073050168998E-2</c:v>
                </c:pt>
                <c:pt idx="357">
                  <c:v>7.9376504372463255E-2</c:v>
                </c:pt>
                <c:pt idx="358">
                  <c:v>7.9545449666608925E-2</c:v>
                </c:pt>
                <c:pt idx="359">
                  <c:v>7.9714835307804974E-2</c:v>
                </c:pt>
                <c:pt idx="360">
                  <c:v>7.9884591211119987E-2</c:v>
                </c:pt>
                <c:pt idx="361">
                  <c:v>8.0054651128681389E-2</c:v>
                </c:pt>
                <c:pt idx="362">
                  <c:v>8.0224952901990679E-2</c:v>
                </c:pt>
                <c:pt idx="363">
                  <c:v>8.0395438668413102E-2</c:v>
                </c:pt>
                <c:pt idx="364">
                  <c:v>8.0566055021326258E-2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0.21498820709726485</c:v>
                </c:pt>
                <c:pt idx="1">
                  <c:v>0.21300384350829765</c:v>
                </c:pt>
                <c:pt idx="2">
                  <c:v>0.21085302581267804</c:v>
                </c:pt>
                <c:pt idx="3">
                  <c:v>0.2085446213670176</c:v>
                </c:pt>
                <c:pt idx="4">
                  <c:v>0.20608753484759226</c:v>
                </c:pt>
                <c:pt idx="5">
                  <c:v>0.20349064993369056</c:v>
                </c:pt>
                <c:pt idx="6">
                  <c:v>0.20076277616532254</c:v>
                </c:pt>
                <c:pt idx="7">
                  <c:v>0.1979126011866324</c:v>
                </c:pt>
                <c:pt idx="8">
                  <c:v>0.19492638947401619</c:v>
                </c:pt>
                <c:pt idx="9">
                  <c:v>0.19180053640549632</c:v>
                </c:pt>
                <c:pt idx="10">
                  <c:v>0.18860361784953153</c:v>
                </c:pt>
                <c:pt idx="11">
                  <c:v>0.18534888559951002</c:v>
                </c:pt>
                <c:pt idx="12">
                  <c:v>0.18204876172245507</c:v>
                </c:pt>
                <c:pt idx="13">
                  <c:v>0.17871480949505381</c:v>
                </c:pt>
                <c:pt idx="14">
                  <c:v>0.17535772005734077</c:v>
                </c:pt>
                <c:pt idx="15">
                  <c:v>0.17197795021422843</c:v>
                </c:pt>
                <c:pt idx="16">
                  <c:v>0.16861950491523436</c:v>
                </c:pt>
                <c:pt idx="17">
                  <c:v>0.1652896073994812</c:v>
                </c:pt>
                <c:pt idx="18">
                  <c:v>0.16199467560093508</c:v>
                </c:pt>
                <c:pt idx="19">
                  <c:v>0.15874125101557329</c:v>
                </c:pt>
                <c:pt idx="20">
                  <c:v>0.15553548015157037</c:v>
                </c:pt>
                <c:pt idx="21">
                  <c:v>0.15238208418767352</c:v>
                </c:pt>
                <c:pt idx="22">
                  <c:v>0.14926891927270744</c:v>
                </c:pt>
                <c:pt idx="23">
                  <c:v>0.14617854192013188</c:v>
                </c:pt>
                <c:pt idx="24">
                  <c:v>0.1431105824777433</c:v>
                </c:pt>
                <c:pt idx="25">
                  <c:v>0.14006867000496595</c:v>
                </c:pt>
                <c:pt idx="26">
                  <c:v>0.13705605148761693</c:v>
                </c:pt>
                <c:pt idx="27">
                  <c:v>0.13407561132876164</c:v>
                </c:pt>
                <c:pt idx="28">
                  <c:v>0.13112989137248282</c:v>
                </c:pt>
                <c:pt idx="29">
                  <c:v>0.12819874028342526</c:v>
                </c:pt>
                <c:pt idx="30">
                  <c:v>0.12529267295692045</c:v>
                </c:pt>
                <c:pt idx="31">
                  <c:v>0.12241383546948043</c:v>
                </c:pt>
                <c:pt idx="32">
                  <c:v>0.11956409457040634</c:v>
                </c:pt>
                <c:pt idx="33">
                  <c:v>0.11674505534037856</c:v>
                </c:pt>
                <c:pt idx="34">
                  <c:v>0.11395807852568</c:v>
                </c:pt>
                <c:pt idx="35">
                  <c:v>0.11120429731884757</c:v>
                </c:pt>
                <c:pt idx="36">
                  <c:v>0.10848234502992993</c:v>
                </c:pt>
                <c:pt idx="37">
                  <c:v>0.10577821821148432</c:v>
                </c:pt>
                <c:pt idx="38">
                  <c:v>0.10309621509446856</c:v>
                </c:pt>
                <c:pt idx="39">
                  <c:v>0.10043620176465098</c:v>
                </c:pt>
                <c:pt idx="40">
                  <c:v>9.7798067817732329E-2</c:v>
                </c:pt>
                <c:pt idx="41">
                  <c:v>9.5181723787422665E-2</c:v>
                </c:pt>
                <c:pt idx="42">
                  <c:v>9.2587098725221723E-2</c:v>
                </c:pt>
                <c:pt idx="43">
                  <c:v>9.0020927257819877E-2</c:v>
                </c:pt>
                <c:pt idx="44">
                  <c:v>8.7501582695035898E-2</c:v>
                </c:pt>
                <c:pt idx="45">
                  <c:v>8.5028165683182527E-2</c:v>
                </c:pt>
                <c:pt idx="46">
                  <c:v>8.2599814114989581E-2</c:v>
                </c:pt>
                <c:pt idx="47">
                  <c:v>8.0215700557420166E-2</c:v>
                </c:pt>
                <c:pt idx="48">
                  <c:v>7.7875029907101101E-2</c:v>
                </c:pt>
                <c:pt idx="49">
                  <c:v>7.5577037187583671E-2</c:v>
                </c:pt>
                <c:pt idx="50">
                  <c:v>7.3319478224026041E-2</c:v>
                </c:pt>
                <c:pt idx="51">
                  <c:v>7.1094393993251417E-2</c:v>
                </c:pt>
                <c:pt idx="52">
                  <c:v>6.891204313908364E-2</c:v>
                </c:pt>
                <c:pt idx="53">
                  <c:v>6.6772420669265642E-2</c:v>
                </c:pt>
                <c:pt idx="54">
                  <c:v>6.4675727876909603E-2</c:v>
                </c:pt>
                <c:pt idx="55">
                  <c:v>6.2622023530976373E-2</c:v>
                </c:pt>
                <c:pt idx="56">
                  <c:v>6.0611237787073703E-2</c:v>
                </c:pt>
                <c:pt idx="57">
                  <c:v>5.8628353327433512E-2</c:v>
                </c:pt>
                <c:pt idx="58">
                  <c:v>5.6667781658747335E-2</c:v>
                </c:pt>
                <c:pt idx="59">
                  <c:v>5.4729801695489827E-2</c:v>
                </c:pt>
                <c:pt idx="60">
                  <c:v>5.2814581303240501E-2</c:v>
                </c:pt>
                <c:pt idx="61">
                  <c:v>5.0922186330098304E-2</c:v>
                </c:pt>
                <c:pt idx="62">
                  <c:v>4.905258911047751E-2</c:v>
                </c:pt>
                <c:pt idx="63">
                  <c:v>4.7205676454617283E-2</c:v>
                </c:pt>
                <c:pt idx="64">
                  <c:v>4.5378311306682823E-2</c:v>
                </c:pt>
                <c:pt idx="65">
                  <c:v>4.3577047867266711E-2</c:v>
                </c:pt>
                <c:pt idx="66">
                  <c:v>4.1807899393259206E-2</c:v>
                </c:pt>
                <c:pt idx="67">
                  <c:v>4.0070897627927642E-2</c:v>
                </c:pt>
                <c:pt idx="68">
                  <c:v>3.8365942103735846E-2</c:v>
                </c:pt>
                <c:pt idx="69">
                  <c:v>3.6692812313439037E-2</c:v>
                </c:pt>
                <c:pt idx="70">
                  <c:v>3.5051179126641824E-2</c:v>
                </c:pt>
                <c:pt idx="71">
                  <c:v>3.3482713313280413E-2</c:v>
                </c:pt>
                <c:pt idx="72">
                  <c:v>3.1998052032893479E-2</c:v>
                </c:pt>
                <c:pt idx="73">
                  <c:v>3.0594854615773024E-2</c:v>
                </c:pt>
                <c:pt idx="74">
                  <c:v>2.9270790964808266E-2</c:v>
                </c:pt>
                <c:pt idx="75">
                  <c:v>2.8023551685430085E-2</c:v>
                </c:pt>
                <c:pt idx="76">
                  <c:v>2.6850856885545088E-2</c:v>
                </c:pt>
                <c:pt idx="77">
                  <c:v>2.575046376085089E-2</c:v>
                </c:pt>
                <c:pt idx="78">
                  <c:v>2.4718233905333453E-2</c:v>
                </c:pt>
                <c:pt idx="79">
                  <c:v>2.3775184923976032E-2</c:v>
                </c:pt>
                <c:pt idx="80">
                  <c:v>2.2911771193571861E-2</c:v>
                </c:pt>
                <c:pt idx="81">
                  <c:v>2.2126079006172177E-2</c:v>
                </c:pt>
                <c:pt idx="82">
                  <c:v>2.1416197206074721E-2</c:v>
                </c:pt>
                <c:pt idx="83">
                  <c:v>2.0780230820114477E-2</c:v>
                </c:pt>
                <c:pt idx="84">
                  <c:v>2.0216313218142257E-2</c:v>
                </c:pt>
                <c:pt idx="85">
                  <c:v>1.9721688053168606E-2</c:v>
                </c:pt>
                <c:pt idx="86">
                  <c:v>1.9258802442428766E-2</c:v>
                </c:pt>
                <c:pt idx="87">
                  <c:v>1.8827112454138137E-2</c:v>
                </c:pt>
                <c:pt idx="88">
                  <c:v>1.8426088240796071E-2</c:v>
                </c:pt>
                <c:pt idx="89">
                  <c:v>0</c:v>
                </c:pt>
                <c:pt idx="90">
                  <c:v>2.6834570923382495E-6</c:v>
                </c:pt>
                <c:pt idx="91">
                  <c:v>5.3383815372319827E-6</c:v>
                </c:pt>
                <c:pt idx="92">
                  <c:v>7.957006310455971E-6</c:v>
                </c:pt>
                <c:pt idx="93">
                  <c:v>1.0526936249849699E-5</c:v>
                </c:pt>
                <c:pt idx="94">
                  <c:v>1.3044046479745783E-5</c:v>
                </c:pt>
                <c:pt idx="95">
                  <c:v>1.5500792561951233E-5</c:v>
                </c:pt>
                <c:pt idx="96">
                  <c:v>1.7889211031436545E-5</c:v>
                </c:pt>
                <c:pt idx="97">
                  <c:v>2.0200892417003454E-5</c:v>
                </c:pt>
                <c:pt idx="98">
                  <c:v>2.2426953408295324E-5</c:v>
                </c:pt>
                <c:pt idx="99">
                  <c:v>2.4558492966709443E-5</c:v>
                </c:pt>
                <c:pt idx="100">
                  <c:v>2.6598875059271424E-5</c:v>
                </c:pt>
                <c:pt idx="101">
                  <c:v>2.8541900490821927E-5</c:v>
                </c:pt>
                <c:pt idx="102">
                  <c:v>3.0380992502109995E-5</c:v>
                </c:pt>
                <c:pt idx="103">
                  <c:v>3.2109177984438657E-5</c:v>
                </c:pt>
                <c:pt idx="104">
                  <c:v>3.3719068291258235E-5</c:v>
                </c:pt>
                <c:pt idx="105">
                  <c:v>3.5202839676430796E-5</c:v>
                </c:pt>
                <c:pt idx="106">
                  <c:v>3.6551216337188801E-5</c:v>
                </c:pt>
                <c:pt idx="107">
                  <c:v>3.7745567225533435E-5</c:v>
                </c:pt>
                <c:pt idx="108">
                  <c:v>3.8795408083023073E-5</c:v>
                </c:pt>
                <c:pt idx="109">
                  <c:v>3.9693128577051601E-5</c:v>
                </c:pt>
                <c:pt idx="110">
                  <c:v>4.0430869909447825E-5</c:v>
                </c:pt>
                <c:pt idx="111">
                  <c:v>4.1000407293269973E-5</c:v>
                </c:pt>
                <c:pt idx="112">
                  <c:v>4.1393014184306577E-5</c:v>
                </c:pt>
                <c:pt idx="113">
                  <c:v>4.1628701961938617E-5</c:v>
                </c:pt>
                <c:pt idx="114">
                  <c:v>4.1701366915154902E-5</c:v>
                </c:pt>
                <c:pt idx="115">
                  <c:v>4.1605970996898492E-5</c:v>
                </c:pt>
                <c:pt idx="116">
                  <c:v>4.1337295915797292E-5</c:v>
                </c:pt>
                <c:pt idx="117">
                  <c:v>4.0889943723360981E-5</c:v>
                </c:pt>
                <c:pt idx="118">
                  <c:v>4.0258337873407542E-5</c:v>
                </c:pt>
                <c:pt idx="119">
                  <c:v>3.9436724775480686E-5</c:v>
                </c:pt>
                <c:pt idx="120">
                  <c:v>3.8419257739478807E-5</c:v>
                </c:pt>
                <c:pt idx="121">
                  <c:v>3.730345038420584E-5</c:v>
                </c:pt>
                <c:pt idx="122">
                  <c:v>3.6116878756423285E-5</c:v>
                </c:pt>
                <c:pt idx="123">
                  <c:v>3.487065575358553E-5</c:v>
                </c:pt>
                <c:pt idx="124">
                  <c:v>3.3576737548709442E-5</c:v>
                </c:pt>
                <c:pt idx="125">
                  <c:v>3.2247964356407234E-5</c:v>
                </c:pt>
                <c:pt idx="126">
                  <c:v>3.0898098301843128E-5</c:v>
                </c:pt>
                <c:pt idx="127">
                  <c:v>2.9589929362324319E-5</c:v>
                </c:pt>
                <c:pt idx="128">
                  <c:v>2.8286354864053754E-5</c:v>
                </c:pt>
                <c:pt idx="129">
                  <c:v>2.7003167675357816E-5</c:v>
                </c:pt>
                <c:pt idx="130">
                  <c:v>2.5757148619165505E-5</c:v>
                </c:pt>
                <c:pt idx="131">
                  <c:v>2.4566083009837189E-5</c:v>
                </c:pt>
                <c:pt idx="132">
                  <c:v>2.344877175587626E-5</c:v>
                </c:pt>
                <c:pt idx="133">
                  <c:v>2.2425036537241561E-5</c:v>
                </c:pt>
                <c:pt idx="134">
                  <c:v>2.1516345492231502E-5</c:v>
                </c:pt>
                <c:pt idx="135">
                  <c:v>2.0769026683560242E-5</c:v>
                </c:pt>
                <c:pt idx="136">
                  <c:v>2.0019239139480451E-5</c:v>
                </c:pt>
                <c:pt idx="137">
                  <c:v>1.927341843357621E-5</c:v>
                </c:pt>
                <c:pt idx="138">
                  <c:v>1.8538387611007589E-5</c:v>
                </c:pt>
                <c:pt idx="139">
                  <c:v>1.7821358999952407E-5</c:v>
                </c:pt>
                <c:pt idx="140">
                  <c:v>1.7129933802606696E-5</c:v>
                </c:pt>
                <c:pt idx="141">
                  <c:v>1.6516637582288617E-5</c:v>
                </c:pt>
                <c:pt idx="142">
                  <c:v>1.5911568538863063E-5</c:v>
                </c:pt>
                <c:pt idx="143">
                  <c:v>1.5319974940106752E-5</c:v>
                </c:pt>
                <c:pt idx="144">
                  <c:v>1.4747466932167071E-5</c:v>
                </c:pt>
                <c:pt idx="145">
                  <c:v>1.4199907289887719E-5</c:v>
                </c:pt>
                <c:pt idx="146">
                  <c:v>1.3683403587550196E-5</c:v>
                </c:pt>
                <c:pt idx="147">
                  <c:v>1.3204298619749004E-5</c:v>
                </c:pt>
                <c:pt idx="148">
                  <c:v>1.2769421956948934E-5</c:v>
                </c:pt>
                <c:pt idx="149">
                  <c:v>1.24125599163412E-5</c:v>
                </c:pt>
                <c:pt idx="150">
                  <c:v>1.2104603759937371E-5</c:v>
                </c:pt>
                <c:pt idx="151">
                  <c:v>1.1851833049600543E-5</c:v>
                </c:pt>
                <c:pt idx="152">
                  <c:v>1.1660691095506406E-5</c:v>
                </c:pt>
                <c:pt idx="153">
                  <c:v>1.1537771728616656E-5</c:v>
                </c:pt>
                <c:pt idx="154">
                  <c:v>1.1489805008808302E-5</c:v>
                </c:pt>
                <c:pt idx="155">
                  <c:v>1.1534784732521014E-5</c:v>
                </c:pt>
                <c:pt idx="156">
                  <c:v>1.1612493913509658E-5</c:v>
                </c:pt>
                <c:pt idx="157">
                  <c:v>1.1725822972173328E-5</c:v>
                </c:pt>
                <c:pt idx="158">
                  <c:v>1.1877700650057146E-5</c:v>
                </c:pt>
                <c:pt idx="159">
                  <c:v>1.2071086653241283E-5</c:v>
                </c:pt>
                <c:pt idx="160">
                  <c:v>1.2308964044395751E-5</c:v>
                </c:pt>
                <c:pt idx="161">
                  <c:v>1.259433142684677E-5</c:v>
                </c:pt>
                <c:pt idx="162">
                  <c:v>1.2930404803667137E-5</c:v>
                </c:pt>
                <c:pt idx="163">
                  <c:v>1.3307684223478778E-5</c:v>
                </c:pt>
                <c:pt idx="164">
                  <c:v>1.368991541662995E-5</c:v>
                </c:pt>
                <c:pt idx="165">
                  <c:v>1.4076938161910249E-5</c:v>
                </c:pt>
                <c:pt idx="166">
                  <c:v>1.4468587160435698E-5</c:v>
                </c:pt>
                <c:pt idx="167">
                  <c:v>1.4864692581448342E-5</c:v>
                </c:pt>
                <c:pt idx="168">
                  <c:v>1.5265080620686837E-5</c:v>
                </c:pt>
                <c:pt idx="169">
                  <c:v>1.565522074574467E-5</c:v>
                </c:pt>
                <c:pt idx="170">
                  <c:v>1.6018765614310666E-5</c:v>
                </c:pt>
                <c:pt idx="171">
                  <c:v>1.6353904979932644E-5</c:v>
                </c:pt>
                <c:pt idx="172">
                  <c:v>1.6658844233247013E-5</c:v>
                </c:pt>
                <c:pt idx="173">
                  <c:v>1.6931635281596186E-5</c:v>
                </c:pt>
                <c:pt idx="174">
                  <c:v>1.717033447812669E-5</c:v>
                </c:pt>
                <c:pt idx="175">
                  <c:v>1.7373191766054511E-5</c:v>
                </c:pt>
                <c:pt idx="176">
                  <c:v>1.7538512545651572E-5</c:v>
                </c:pt>
                <c:pt idx="177">
                  <c:v>1.7682003261237059E-5</c:v>
                </c:pt>
                <c:pt idx="178">
                  <c:v>1.7819634342430441E-5</c:v>
                </c:pt>
                <c:pt idx="179">
                  <c:v>1.7951462545400014E-5</c:v>
                </c:pt>
                <c:pt idx="180">
                  <c:v>1.8077558901226925E-5</c:v>
                </c:pt>
                <c:pt idx="181">
                  <c:v>1.819800820852995E-5</c:v>
                </c:pt>
                <c:pt idx="182">
                  <c:v>1.8312908489555642E-5</c:v>
                </c:pt>
                <c:pt idx="183">
                  <c:v>1.8475327024068922E-5</c:v>
                </c:pt>
                <c:pt idx="184">
                  <c:v>1.8705607486272174E-5</c:v>
                </c:pt>
                <c:pt idx="185">
                  <c:v>1.9006621824417584E-5</c:v>
                </c:pt>
                <c:pt idx="186">
                  <c:v>1.938119477246531E-5</c:v>
                </c:pt>
                <c:pt idx="187">
                  <c:v>1.9832105947211534E-5</c:v>
                </c:pt>
                <c:pt idx="188">
                  <c:v>2.0362092665995749E-5</c:v>
                </c:pt>
                <c:pt idx="189">
                  <c:v>2.0973853473978459E-5</c:v>
                </c:pt>
                <c:pt idx="190">
                  <c:v>2.1670026518260042E-5</c:v>
                </c:pt>
                <c:pt idx="191">
                  <c:v>2.2576505490489004E-5</c:v>
                </c:pt>
                <c:pt idx="192">
                  <c:v>2.3678827416175197E-5</c:v>
                </c:pt>
                <c:pt idx="193">
                  <c:v>2.4982669930363821E-5</c:v>
                </c:pt>
                <c:pt idx="194">
                  <c:v>2.6493588648958864E-5</c:v>
                </c:pt>
                <c:pt idx="195">
                  <c:v>2.8217016017082142E-5</c:v>
                </c:pt>
                <c:pt idx="196">
                  <c:v>3.0158260487145991E-5</c:v>
                </c:pt>
                <c:pt idx="197">
                  <c:v>3.2408932199681121E-5</c:v>
                </c:pt>
                <c:pt idx="198">
                  <c:v>3.4913936038643618E-5</c:v>
                </c:pt>
                <c:pt idx="199">
                  <c:v>3.7678876995023187E-5</c:v>
                </c:pt>
                <c:pt idx="200">
                  <c:v>4.0709218914412483E-5</c:v>
                </c:pt>
                <c:pt idx="201">
                  <c:v>4.4010284442203312E-5</c:v>
                </c:pt>
                <c:pt idx="202">
                  <c:v>4.758725495931171E-5</c:v>
                </c:pt>
                <c:pt idx="203">
                  <c:v>5.1445170450679958E-5</c:v>
                </c:pt>
                <c:pt idx="204">
                  <c:v>5.5588907858473989E-5</c:v>
                </c:pt>
                <c:pt idx="205">
                  <c:v>6.0276631299769679E-5</c:v>
                </c:pt>
                <c:pt idx="206">
                  <c:v>6.5377425049402191E-5</c:v>
                </c:pt>
                <c:pt idx="207">
                  <c:v>7.0899046368835895E-5</c:v>
                </c:pt>
                <c:pt idx="208">
                  <c:v>7.6849229613835075E-5</c:v>
                </c:pt>
                <c:pt idx="209">
                  <c:v>8.3235716900730578E-5</c:v>
                </c:pt>
                <c:pt idx="210">
                  <c:v>9.0066289884550962E-5</c:v>
                </c:pt>
                <c:pt idx="211">
                  <c:v>9.8091951062692406E-5</c:v>
                </c:pt>
                <c:pt idx="212">
                  <c:v>1.072392383013015E-4</c:v>
                </c:pt>
                <c:pt idx="213">
                  <c:v>1.1753055332964782E-4</c:v>
                </c:pt>
                <c:pt idx="214">
                  <c:v>1.2898839447925532E-4</c:v>
                </c:pt>
                <c:pt idx="215">
                  <c:v>1.4163544939203089E-4</c:v>
                </c:pt>
                <c:pt idx="216">
                  <c:v>1.5549469098927177E-4</c:v>
                </c:pt>
                <c:pt idx="217">
                  <c:v>1.7058947680743697E-4</c:v>
                </c:pt>
                <c:pt idx="218">
                  <c:v>1.8693874357069196E-4</c:v>
                </c:pt>
                <c:pt idx="219">
                  <c:v>2.0489055901345949E-4</c:v>
                </c:pt>
                <c:pt idx="220">
                  <c:v>2.2419170122947517E-4</c:v>
                </c:pt>
                <c:pt idx="221">
                  <c:v>2.4486678775037496E-4</c:v>
                </c:pt>
                <c:pt idx="222">
                  <c:v>2.6694129850278811E-4</c:v>
                </c:pt>
                <c:pt idx="223">
                  <c:v>2.9044174314339096E-4</c:v>
                </c:pt>
                <c:pt idx="224">
                  <c:v>3.153958359060803E-4</c:v>
                </c:pt>
                <c:pt idx="225">
                  <c:v>3.4168310938240755E-4</c:v>
                </c:pt>
                <c:pt idx="226">
                  <c:v>3.6850617791187468E-4</c:v>
                </c:pt>
                <c:pt idx="227">
                  <c:v>3.9587776470307543E-4</c:v>
                </c:pt>
                <c:pt idx="228">
                  <c:v>4.2381213342734169E-4</c:v>
                </c:pt>
                <c:pt idx="229">
                  <c:v>4.5232517658638809E-4</c:v>
                </c:pt>
                <c:pt idx="230">
                  <c:v>4.814345107225724E-4</c:v>
                </c:pt>
                <c:pt idx="231">
                  <c:v>5.1115957957673151E-4</c:v>
                </c:pt>
                <c:pt idx="232">
                  <c:v>5.4150600604753723E-4</c:v>
                </c:pt>
                <c:pt idx="233">
                  <c:v>5.7249337914291605E-4</c:v>
                </c:pt>
                <c:pt idx="234">
                  <c:v>6.0377332272021193E-4</c:v>
                </c:pt>
                <c:pt idx="235">
                  <c:v>6.3535695270506079E-4</c:v>
                </c:pt>
                <c:pt idx="236">
                  <c:v>6.6725688155108568E-4</c:v>
                </c:pt>
                <c:pt idx="237">
                  <c:v>6.9948663852893093E-4</c:v>
                </c:pt>
                <c:pt idx="238">
                  <c:v>7.3206108861364973E-4</c:v>
                </c:pt>
                <c:pt idx="239">
                  <c:v>7.6463213446966588E-4</c:v>
                </c:pt>
                <c:pt idx="240">
                  <c:v>7.9737545119475345E-4</c:v>
                </c:pt>
                <c:pt idx="241">
                  <c:v>8.3030548798804118E-4</c:v>
                </c:pt>
                <c:pt idx="242">
                  <c:v>8.6343805583279749E-4</c:v>
                </c:pt>
                <c:pt idx="243">
                  <c:v>8.9679038236097953E-4</c:v>
                </c:pt>
                <c:pt idx="244">
                  <c:v>9.3038117355430492E-4</c:v>
                </c:pt>
                <c:pt idx="245">
                  <c:v>9.6423068306397219E-4</c:v>
                </c:pt>
                <c:pt idx="246">
                  <c:v>9.9837361211510718E-4</c:v>
                </c:pt>
                <c:pt idx="247">
                  <c:v>1.0323674635946997E-3</c:v>
                </c:pt>
                <c:pt idx="248">
                  <c:v>1.0661911856444403E-3</c:v>
                </c:pt>
                <c:pt idx="249">
                  <c:v>1.0998413325502623E-3</c:v>
                </c:pt>
                <c:pt idx="250">
                  <c:v>1.1333129683779729E-3</c:v>
                </c:pt>
                <c:pt idx="251">
                  <c:v>1.1665996014120729E-3</c:v>
                </c:pt>
                <c:pt idx="252">
                  <c:v>1.1996931141725581E-3</c:v>
                </c:pt>
                <c:pt idx="253">
                  <c:v>1.231885256429746E-3</c:v>
                </c:pt>
                <c:pt idx="254">
                  <c:v>1.2635581070472891E-3</c:v>
                </c:pt>
                <c:pt idx="255">
                  <c:v>1.2946891597627921E-3</c:v>
                </c:pt>
                <c:pt idx="256">
                  <c:v>1.3252535654048909E-3</c:v>
                </c:pt>
                <c:pt idx="257">
                  <c:v>1.3552240520196112E-3</c:v>
                </c:pt>
                <c:pt idx="258">
                  <c:v>1.3845708451853882E-3</c:v>
                </c:pt>
                <c:pt idx="259">
                  <c:v>1.4132615891377935E-3</c:v>
                </c:pt>
                <c:pt idx="260">
                  <c:v>1.4413753970529963E-3</c:v>
                </c:pt>
                <c:pt idx="261">
                  <c:v>1.4678622785864431E-3</c:v>
                </c:pt>
                <c:pt idx="262">
                  <c:v>1.4931928741298858E-3</c:v>
                </c:pt>
                <c:pt idx="263">
                  <c:v>1.5173051034182365E-3</c:v>
                </c:pt>
                <c:pt idx="264">
                  <c:v>1.5401312844187196E-3</c:v>
                </c:pt>
                <c:pt idx="265">
                  <c:v>1.561606322132136E-3</c:v>
                </c:pt>
                <c:pt idx="266">
                  <c:v>1.5816555177339132E-3</c:v>
                </c:pt>
                <c:pt idx="267">
                  <c:v>1.599411377211548E-3</c:v>
                </c:pt>
                <c:pt idx="268">
                  <c:v>1.6155729917286775E-3</c:v>
                </c:pt>
                <c:pt idx="269">
                  <c:v>1.6300415906008413E-3</c:v>
                </c:pt>
                <c:pt idx="270">
                  <c:v>1.6427124306654904E-3</c:v>
                </c:pt>
                <c:pt idx="271">
                  <c:v>1.6534749179154512E-3</c:v>
                </c:pt>
                <c:pt idx="272">
                  <c:v>1.6622127957461555E-3</c:v>
                </c:pt>
                <c:pt idx="273">
                  <c:v>1.6688044100539548E-3</c:v>
                </c:pt>
                <c:pt idx="274">
                  <c:v>1.6733359003874586E-3</c:v>
                </c:pt>
                <c:pt idx="275">
                  <c:v>1.6756204181180246E-3</c:v>
                </c:pt>
                <c:pt idx="276">
                  <c:v>1.6768730575091736E-3</c:v>
                </c:pt>
                <c:pt idx="277">
                  <c:v>1.6770026645328707E-3</c:v>
                </c:pt>
                <c:pt idx="278">
                  <c:v>1.6759132973638527E-3</c:v>
                </c:pt>
                <c:pt idx="279">
                  <c:v>1.6735042749827977E-3</c:v>
                </c:pt>
                <c:pt idx="280">
                  <c:v>1.6696702900128404E-3</c:v>
                </c:pt>
                <c:pt idx="281">
                  <c:v>1.6644923851345101E-3</c:v>
                </c:pt>
                <c:pt idx="282">
                  <c:v>1.6588091652634314E-3</c:v>
                </c:pt>
                <c:pt idx="283">
                  <c:v>1.6525494032436725E-3</c:v>
                </c:pt>
                <c:pt idx="284">
                  <c:v>1.6456395416613967E-3</c:v>
                </c:pt>
                <c:pt idx="285">
                  <c:v>1.6380038762253185E-3</c:v>
                </c:pt>
                <c:pt idx="286">
                  <c:v>1.6295648103928451E-3</c:v>
                </c:pt>
                <c:pt idx="287">
                  <c:v>1.620243187179369E-3</c:v>
                </c:pt>
                <c:pt idx="288">
                  <c:v>1.6100607632770789E-3</c:v>
                </c:pt>
                <c:pt idx="289">
                  <c:v>1.6033182784677207E-3</c:v>
                </c:pt>
                <c:pt idx="290">
                  <c:v>1.600510741218494E-3</c:v>
                </c:pt>
                <c:pt idx="291">
                  <c:v>1.6018121839602134E-3</c:v>
                </c:pt>
                <c:pt idx="292">
                  <c:v>1.6073998518069668E-3</c:v>
                </c:pt>
                <c:pt idx="293">
                  <c:v>1.6174544737746412E-3</c:v>
                </c:pt>
                <c:pt idx="294">
                  <c:v>1.6321605815981595E-3</c:v>
                </c:pt>
                <c:pt idx="295">
                  <c:v>1.6645551873627801E-3</c:v>
                </c:pt>
                <c:pt idx="296">
                  <c:v>1.715106369301968E-3</c:v>
                </c:pt>
                <c:pt idx="297">
                  <c:v>1.7845175293997825E-3</c:v>
                </c:pt>
                <c:pt idx="298">
                  <c:v>1.8734982025695192E-3</c:v>
                </c:pt>
                <c:pt idx="299">
                  <c:v>1.9827798791268816E-3</c:v>
                </c:pt>
                <c:pt idx="300">
                  <c:v>2.113118613163668E-3</c:v>
                </c:pt>
                <c:pt idx="301">
                  <c:v>2.2652979550863051E-3</c:v>
                </c:pt>
                <c:pt idx="302">
                  <c:v>2.4401437751078213E-3</c:v>
                </c:pt>
                <c:pt idx="303">
                  <c:v>2.6476347800208498E-3</c:v>
                </c:pt>
                <c:pt idx="304">
                  <c:v>2.8838086949821225E-3</c:v>
                </c:pt>
                <c:pt idx="305">
                  <c:v>3.1496365306194329E-3</c:v>
                </c:pt>
                <c:pt idx="306">
                  <c:v>3.4460959606452944E-3</c:v>
                </c:pt>
                <c:pt idx="307">
                  <c:v>3.7741649821824218E-3</c:v>
                </c:pt>
                <c:pt idx="308">
                  <c:v>4.1348147498087304E-3</c:v>
                </c:pt>
                <c:pt idx="309">
                  <c:v>4.516957245826808E-3</c:v>
                </c:pt>
                <c:pt idx="310">
                  <c:v>4.9055370593041039E-3</c:v>
                </c:pt>
                <c:pt idx="311">
                  <c:v>5.3004104789945404E-3</c:v>
                </c:pt>
                <c:pt idx="312">
                  <c:v>5.7013877168505802E-3</c:v>
                </c:pt>
                <c:pt idx="313">
                  <c:v>6.1082294516006551E-3</c:v>
                </c:pt>
                <c:pt idx="314">
                  <c:v>6.5206433996800811E-3</c:v>
                </c:pt>
                <c:pt idx="315">
                  <c:v>6.9382809769295518E-3</c:v>
                </c:pt>
                <c:pt idx="316">
                  <c:v>7.3608573996827827E-3</c:v>
                </c:pt>
                <c:pt idx="317">
                  <c:v>7.7683811619934078E-3</c:v>
                </c:pt>
                <c:pt idx="318">
                  <c:v>8.1490137809646056E-3</c:v>
                </c:pt>
                <c:pt idx="319">
                  <c:v>8.5015827738709835E-3</c:v>
                </c:pt>
                <c:pt idx="320">
                  <c:v>8.8249407194972672E-3</c:v>
                </c:pt>
                <c:pt idx="321">
                  <c:v>9.1179659870479282E-3</c:v>
                </c:pt>
                <c:pt idx="322">
                  <c:v>9.3795630585745589E-3</c:v>
                </c:pt>
                <c:pt idx="323">
                  <c:v>9.6027788270754613E-3</c:v>
                </c:pt>
                <c:pt idx="324">
                  <c:v>9.800660812135072E-3</c:v>
                </c:pt>
                <c:pt idx="325">
                  <c:v>9.9724364065261351E-3</c:v>
                </c:pt>
                <c:pt idx="326">
                  <c:v>1.011729042976028E-2</c:v>
                </c:pt>
                <c:pt idx="327">
                  <c:v>1.0234466260069928E-2</c:v>
                </c:pt>
                <c:pt idx="328">
                  <c:v>1.0323277831244891E-2</c:v>
                </c:pt>
                <c:pt idx="329">
                  <c:v>1.0383056444961144E-2</c:v>
                </c:pt>
                <c:pt idx="330">
                  <c:v>1.0413833324407823E-2</c:v>
                </c:pt>
                <c:pt idx="331">
                  <c:v>1.0418447633586297E-2</c:v>
                </c:pt>
                <c:pt idx="332">
                  <c:v>1.0418713006657579E-2</c:v>
                </c:pt>
                <c:pt idx="333">
                  <c:v>1.0414007063104771E-2</c:v>
                </c:pt>
                <c:pt idx="334">
                  <c:v>1.0403688985755406E-2</c:v>
                </c:pt>
                <c:pt idx="335">
                  <c:v>1.0387102500047906E-2</c:v>
                </c:pt>
                <c:pt idx="336">
                  <c:v>1.0363579741058141E-2</c:v>
                </c:pt>
                <c:pt idx="337">
                  <c:v>1.0335697912263029E-2</c:v>
                </c:pt>
                <c:pt idx="338">
                  <c:v>1.0309608630077601E-2</c:v>
                </c:pt>
                <c:pt idx="339">
                  <c:v>1.0284864804371494E-2</c:v>
                </c:pt>
                <c:pt idx="340">
                  <c:v>1.0261005930492268E-2</c:v>
                </c:pt>
                <c:pt idx="341">
                  <c:v>1.0237559498717647E-2</c:v>
                </c:pt>
                <c:pt idx="342">
                  <c:v>1.0214043061699802E-2</c:v>
                </c:pt>
                <c:pt idx="343">
                  <c:v>1.0189967003313653E-2</c:v>
                </c:pt>
                <c:pt idx="344">
                  <c:v>1.0166383601129482E-2</c:v>
                </c:pt>
                <c:pt idx="345">
                  <c:v>1.0144680880750974E-2</c:v>
                </c:pt>
                <c:pt idx="346">
                  <c:v>1.0124167942636885E-2</c:v>
                </c:pt>
                <c:pt idx="347">
                  <c:v>1.0104839906389756E-2</c:v>
                </c:pt>
                <c:pt idx="348">
                  <c:v>1.0086688731275604E-2</c:v>
                </c:pt>
                <c:pt idx="349">
                  <c:v>1.0069703261418941E-2</c:v>
                </c:pt>
                <c:pt idx="350">
                  <c:v>1.0053869300450807E-2</c:v>
                </c:pt>
                <c:pt idx="351">
                  <c:v>1.0042097074225277E-2</c:v>
                </c:pt>
                <c:pt idx="352">
                  <c:v>1.0030906210624562E-2</c:v>
                </c:pt>
                <c:pt idx="353">
                  <c:v>1.0020269275740226E-2</c:v>
                </c:pt>
                <c:pt idx="354">
                  <c:v>1.0010158005328916E-2</c:v>
                </c:pt>
                <c:pt idx="355">
                  <c:v>1.0000543537736375E-2</c:v>
                </c:pt>
                <c:pt idx="356">
                  <c:v>9.9912633199799837E-3</c:v>
                </c:pt>
                <c:pt idx="357">
                  <c:v>9.9824119676837058E-3</c:v>
                </c:pt>
                <c:pt idx="358">
                  <c:v>9.9737497063066664E-3</c:v>
                </c:pt>
                <c:pt idx="359">
                  <c:v>9.9651813759290952E-3</c:v>
                </c:pt>
                <c:pt idx="360">
                  <c:v>9.9602630794103208E-3</c:v>
                </c:pt>
                <c:pt idx="361">
                  <c:v>9.9562128376036799E-3</c:v>
                </c:pt>
                <c:pt idx="362">
                  <c:v>9.9531511555441283E-3</c:v>
                </c:pt>
                <c:pt idx="363">
                  <c:v>9.9511929946080116E-3</c:v>
                </c:pt>
                <c:pt idx="364">
                  <c:v>9.9504472830650934E-3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6083288"/>
        <c:axId val="406083680"/>
      </c:lineChart>
      <c:dateAx>
        <c:axId val="4060832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083680"/>
        <c:crosses val="autoZero"/>
        <c:auto val="1"/>
        <c:lblOffset val="100"/>
        <c:baseTimeUnit val="days"/>
        <c:majorUnit val="1"/>
        <c:majorTimeUnit val="months"/>
      </c:dateAx>
      <c:valAx>
        <c:axId val="4060836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060832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16.262513891788149</c:v>
                </c:pt>
                <c:pt idx="1">
                  <c:v>16.375113164850077</c:v>
                </c:pt>
                <c:pt idx="2">
                  <c:v>16.495336191390866</c:v>
                </c:pt>
                <c:pt idx="3">
                  <c:v>16.62295053163578</c:v>
                </c:pt>
                <c:pt idx="4">
                  <c:v>16.757723882184276</c:v>
                </c:pt>
                <c:pt idx="5">
                  <c:v>16.899424077318962</c:v>
                </c:pt>
                <c:pt idx="6">
                  <c:v>17.047819097034935</c:v>
                </c:pt>
                <c:pt idx="7">
                  <c:v>17.202677076530236</c:v>
                </c:pt>
                <c:pt idx="8">
                  <c:v>17.365769225256766</c:v>
                </c:pt>
                <c:pt idx="9">
                  <c:v>17.538701327677572</c:v>
                </c:pt>
                <c:pt idx="10">
                  <c:v>17.720879449167747</c:v>
                </c:pt>
                <c:pt idx="11">
                  <c:v>17.911655371733602</c:v>
                </c:pt>
                <c:pt idx="12">
                  <c:v>18.110381375404454</c:v>
                </c:pt>
                <c:pt idx="13">
                  <c:v>18.316410250198402</c:v>
                </c:pt>
                <c:pt idx="14">
                  <c:v>18.529095294399468</c:v>
                </c:pt>
                <c:pt idx="15">
                  <c:v>18.748196984327226</c:v>
                </c:pt>
                <c:pt idx="16">
                  <c:v>18.973127483410487</c:v>
                </c:pt>
                <c:pt idx="17">
                  <c:v>19.203241824308545</c:v>
                </c:pt>
                <c:pt idx="18">
                  <c:v>19.437895467858098</c:v>
                </c:pt>
                <c:pt idx="19">
                  <c:v>19.676443246350907</c:v>
                </c:pt>
                <c:pt idx="20">
                  <c:v>19.918239969300259</c:v>
                </c:pt>
                <c:pt idx="21">
                  <c:v>20.162641733709027</c:v>
                </c:pt>
                <c:pt idx="22">
                  <c:v>20.411240609083332</c:v>
                </c:pt>
                <c:pt idx="23">
                  <c:v>20.666132579274191</c:v>
                </c:pt>
                <c:pt idx="24">
                  <c:v>20.926909299613865</c:v>
                </c:pt>
                <c:pt idx="25">
                  <c:v>21.193275830930411</c:v>
                </c:pt>
                <c:pt idx="26">
                  <c:v>21.464937473875363</c:v>
                </c:pt>
                <c:pt idx="27">
                  <c:v>21.741599782481337</c:v>
                </c:pt>
                <c:pt idx="28">
                  <c:v>22.022968580473425</c:v>
                </c:pt>
                <c:pt idx="29">
                  <c:v>22.30852677347071</c:v>
                </c:pt>
                <c:pt idx="30">
                  <c:v>22.597573771572893</c:v>
                </c:pt>
                <c:pt idx="31">
                  <c:v>22.889816369225578</c:v>
                </c:pt>
                <c:pt idx="32">
                  <c:v>23.184961696897989</c:v>
                </c:pt>
                <c:pt idx="33">
                  <c:v>23.482717230011712</c:v>
                </c:pt>
                <c:pt idx="34">
                  <c:v>23.782790785035214</c:v>
                </c:pt>
                <c:pt idx="35">
                  <c:v>24.084890523762336</c:v>
                </c:pt>
                <c:pt idx="36">
                  <c:v>24.38924144750343</c:v>
                </c:pt>
                <c:pt idx="37">
                  <c:v>24.695980660577447</c:v>
                </c:pt>
                <c:pt idx="38">
                  <c:v>25.004932088221672</c:v>
                </c:pt>
                <c:pt idx="39">
                  <c:v>25.31619137042863</c:v>
                </c:pt>
                <c:pt idx="40">
                  <c:v>25.629854125589915</c:v>
                </c:pt>
                <c:pt idx="41">
                  <c:v>25.946015939405534</c:v>
                </c:pt>
                <c:pt idx="42">
                  <c:v>26.264772351827308</c:v>
                </c:pt>
                <c:pt idx="43">
                  <c:v>26.586095920857499</c:v>
                </c:pt>
                <c:pt idx="44">
                  <c:v>26.910305198732665</c:v>
                </c:pt>
                <c:pt idx="45">
                  <c:v>27.237495503081455</c:v>
                </c:pt>
                <c:pt idx="46">
                  <c:v>27.567762043204922</c:v>
                </c:pt>
                <c:pt idx="47">
                  <c:v>27.901199911765026</c:v>
                </c:pt>
                <c:pt idx="48">
                  <c:v>28.237904060207889</c:v>
                </c:pt>
                <c:pt idx="49">
                  <c:v>28.577969281871514</c:v>
                </c:pt>
                <c:pt idx="50">
                  <c:v>28.922085670077411</c:v>
                </c:pt>
                <c:pt idx="51">
                  <c:v>29.270614653077203</c:v>
                </c:pt>
                <c:pt idx="52">
                  <c:v>29.623514065102263</c:v>
                </c:pt>
                <c:pt idx="53">
                  <c:v>29.980395734581634</c:v>
                </c:pt>
                <c:pt idx="54">
                  <c:v>30.340871482659395</c:v>
                </c:pt>
                <c:pt idx="55">
                  <c:v>30.704553339033446</c:v>
                </c:pt>
                <c:pt idx="56">
                  <c:v>31.071053518515111</c:v>
                </c:pt>
                <c:pt idx="57">
                  <c:v>31.43999410633694</c:v>
                </c:pt>
                <c:pt idx="58">
                  <c:v>31.811111027352649</c:v>
                </c:pt>
                <c:pt idx="59">
                  <c:v>32.184017160146382</c:v>
                </c:pt>
                <c:pt idx="60">
                  <c:v>32.558325538599725</c:v>
                </c:pt>
                <c:pt idx="61">
                  <c:v>32.933649338779318</c:v>
                </c:pt>
                <c:pt idx="62">
                  <c:v>33.309601871089932</c:v>
                </c:pt>
                <c:pt idx="63">
                  <c:v>33.685796566383367</c:v>
                </c:pt>
                <c:pt idx="64">
                  <c:v>34.064061715615303</c:v>
                </c:pt>
                <c:pt idx="65">
                  <c:v>34.446125928578468</c:v>
                </c:pt>
                <c:pt idx="66">
                  <c:v>34.831414156811832</c:v>
                </c:pt>
                <c:pt idx="67">
                  <c:v>35.219345403857638</c:v>
                </c:pt>
                <c:pt idx="68">
                  <c:v>35.609338923913072</c:v>
                </c:pt>
                <c:pt idx="69">
                  <c:v>36.000814215773907</c:v>
                </c:pt>
                <c:pt idx="70">
                  <c:v>36.393191021642522</c:v>
                </c:pt>
                <c:pt idx="71">
                  <c:v>36.785936551745465</c:v>
                </c:pt>
                <c:pt idx="72">
                  <c:v>37.178461367474384</c:v>
                </c:pt>
                <c:pt idx="73">
                  <c:v>37.570186041411937</c:v>
                </c:pt>
                <c:pt idx="74">
                  <c:v>37.96053140374535</c:v>
                </c:pt>
                <c:pt idx="75">
                  <c:v>38.34891854753787</c:v>
                </c:pt>
                <c:pt idx="76">
                  <c:v>38.734768836923202</c:v>
                </c:pt>
                <c:pt idx="77">
                  <c:v>39.117503917024479</c:v>
                </c:pt>
                <c:pt idx="78">
                  <c:v>39.49965051539327</c:v>
                </c:pt>
                <c:pt idx="79">
                  <c:v>39.883636791268763</c:v>
                </c:pt>
                <c:pt idx="80">
                  <c:v>40.268658804763668</c:v>
                </c:pt>
                <c:pt idx="81">
                  <c:v>40.653943890912842</c:v>
                </c:pt>
                <c:pt idx="82">
                  <c:v>41.038719865003252</c:v>
                </c:pt>
                <c:pt idx="83">
                  <c:v>41.422215036837663</c:v>
                </c:pt>
                <c:pt idx="84">
                  <c:v>41.803658229647652</c:v>
                </c:pt>
                <c:pt idx="85">
                  <c:v>42.182301664494211</c:v>
                </c:pt>
                <c:pt idx="86">
                  <c:v>42.557327313336344</c:v>
                </c:pt>
                <c:pt idx="87">
                  <c:v>42.927965556600071</c:v>
                </c:pt>
                <c:pt idx="88">
                  <c:v>43.293447372258711</c:v>
                </c:pt>
                <c:pt idx="89">
                  <c:v>43.65300435480291</c:v>
                </c:pt>
                <c:pt idx="90">
                  <c:v>44.005868753624526</c:v>
                </c:pt>
                <c:pt idx="91">
                  <c:v>44.351273491679343</c:v>
                </c:pt>
                <c:pt idx="92">
                  <c:v>44.690989352670051</c:v>
                </c:pt>
                <c:pt idx="93">
                  <c:v>45.027123789507371</c:v>
                </c:pt>
                <c:pt idx="94">
                  <c:v>45.359354240072911</c:v>
                </c:pt>
                <c:pt idx="95">
                  <c:v>45.687390910721852</c:v>
                </c:pt>
                <c:pt idx="96">
                  <c:v>46.010944322576279</c:v>
                </c:pt>
                <c:pt idx="97">
                  <c:v>46.329725339229213</c:v>
                </c:pt>
                <c:pt idx="98">
                  <c:v>46.643445180169905</c:v>
                </c:pt>
                <c:pt idx="99">
                  <c:v>46.951814485614911</c:v>
                </c:pt>
                <c:pt idx="100">
                  <c:v>47.254521708769772</c:v>
                </c:pt>
                <c:pt idx="101">
                  <c:v>47.551279095219584</c:v>
                </c:pt>
                <c:pt idx="102">
                  <c:v>47.841799334189524</c:v>
                </c:pt>
                <c:pt idx="103">
                  <c:v>48.125795570592857</c:v>
                </c:pt>
                <c:pt idx="104">
                  <c:v>48.402981441617371</c:v>
                </c:pt>
                <c:pt idx="105">
                  <c:v>48.673071092826227</c:v>
                </c:pt>
                <c:pt idx="106">
                  <c:v>48.937115119431716</c:v>
                </c:pt>
                <c:pt idx="107">
                  <c:v>49.196172269963071</c:v>
                </c:pt>
                <c:pt idx="108">
                  <c:v>49.449936468312764</c:v>
                </c:pt>
                <c:pt idx="109">
                  <c:v>49.698121907553947</c:v>
                </c:pt>
                <c:pt idx="110">
                  <c:v>49.9404432664194</c:v>
                </c:pt>
                <c:pt idx="111">
                  <c:v>50.176615856969484</c:v>
                </c:pt>
                <c:pt idx="112">
                  <c:v>50.406355737549418</c:v>
                </c:pt>
                <c:pt idx="113">
                  <c:v>50.629358586147632</c:v>
                </c:pt>
                <c:pt idx="114">
                  <c:v>50.845342605518773</c:v>
                </c:pt>
                <c:pt idx="115">
                  <c:v>51.054025700525301</c:v>
                </c:pt>
                <c:pt idx="116">
                  <c:v>51.255126520334912</c:v>
                </c:pt>
                <c:pt idx="117">
                  <c:v>51.44836447506821</c:v>
                </c:pt>
                <c:pt idx="118">
                  <c:v>51.633459770077735</c:v>
                </c:pt>
                <c:pt idx="119">
                  <c:v>56.202171633753522</c:v>
                </c:pt>
                <c:pt idx="120">
                  <c:v>56.381533457680447</c:v>
                </c:pt>
                <c:pt idx="121">
                  <c:v>56.551451867815899</c:v>
                </c:pt>
                <c:pt idx="122">
                  <c:v>56.712336884344055</c:v>
                </c:pt>
                <c:pt idx="123">
                  <c:v>56.864608250402924</c:v>
                </c:pt>
                <c:pt idx="124">
                  <c:v>57.008685241071362</c:v>
                </c:pt>
                <c:pt idx="125">
                  <c:v>57.144986677478663</c:v>
                </c:pt>
                <c:pt idx="126">
                  <c:v>57.273892098328346</c:v>
                </c:pt>
                <c:pt idx="127">
                  <c:v>57.395818153063907</c:v>
                </c:pt>
                <c:pt idx="128">
                  <c:v>57.511230551797929</c:v>
                </c:pt>
                <c:pt idx="129">
                  <c:v>57.620546046712192</c:v>
                </c:pt>
                <c:pt idx="130">
                  <c:v>57.724180928650398</c:v>
                </c:pt>
                <c:pt idx="131">
                  <c:v>57.822551030799794</c:v>
                </c:pt>
                <c:pt idx="132">
                  <c:v>57.916071729527957</c:v>
                </c:pt>
                <c:pt idx="133">
                  <c:v>58.005157946092353</c:v>
                </c:pt>
                <c:pt idx="134">
                  <c:v>58.088531351705271</c:v>
                </c:pt>
                <c:pt idx="135">
                  <c:v>58.16483979744153</c:v>
                </c:pt>
                <c:pt idx="136">
                  <c:v>58.234460272293809</c:v>
                </c:pt>
                <c:pt idx="137">
                  <c:v>58.297708777435751</c:v>
                </c:pt>
                <c:pt idx="138">
                  <c:v>58.354901074705097</c:v>
                </c:pt>
                <c:pt idx="139">
                  <c:v>58.406352675419974</c:v>
                </c:pt>
                <c:pt idx="140">
                  <c:v>58.452378836280282</c:v>
                </c:pt>
                <c:pt idx="141">
                  <c:v>58.493281321545972</c:v>
                </c:pt>
                <c:pt idx="142">
                  <c:v>58.529398427021064</c:v>
                </c:pt>
                <c:pt idx="143">
                  <c:v>58.561044927034658</c:v>
                </c:pt>
                <c:pt idx="144">
                  <c:v>58.588535289220701</c:v>
                </c:pt>
                <c:pt idx="145">
                  <c:v>58.612183693768294</c:v>
                </c:pt>
                <c:pt idx="146">
                  <c:v>58.632304023643826</c:v>
                </c:pt>
                <c:pt idx="147">
                  <c:v>58.649209851617428</c:v>
                </c:pt>
                <c:pt idx="148">
                  <c:v>58.662006571682511</c:v>
                </c:pt>
                <c:pt idx="149">
                  <c:v>58.669724554749266</c:v>
                </c:pt>
                <c:pt idx="150">
                  <c:v>58.672583884550043</c:v>
                </c:pt>
                <c:pt idx="151">
                  <c:v>58.670797137309911</c:v>
                </c:pt>
                <c:pt idx="152">
                  <c:v>58.66457664671946</c:v>
                </c:pt>
                <c:pt idx="153">
                  <c:v>58.654134486015018</c:v>
                </c:pt>
                <c:pt idx="154">
                  <c:v>58.639682452828211</c:v>
                </c:pt>
                <c:pt idx="155">
                  <c:v>58.621429468352844</c:v>
                </c:pt>
                <c:pt idx="156">
                  <c:v>58.599601995538151</c:v>
                </c:pt>
                <c:pt idx="157">
                  <c:v>58.574411264150847</c:v>
                </c:pt>
                <c:pt idx="158">
                  <c:v>58.546068158352561</c:v>
                </c:pt>
                <c:pt idx="159">
                  <c:v>58.514783203270873</c:v>
                </c:pt>
                <c:pt idx="160">
                  <c:v>58.480766543499406</c:v>
                </c:pt>
                <c:pt idx="161">
                  <c:v>58.444227931416542</c:v>
                </c:pt>
                <c:pt idx="162">
                  <c:v>58.404428884746615</c:v>
                </c:pt>
                <c:pt idx="163">
                  <c:v>58.360633251046686</c:v>
                </c:pt>
                <c:pt idx="164">
                  <c:v>58.313062218065653</c:v>
                </c:pt>
                <c:pt idx="165">
                  <c:v>58.261926248099243</c:v>
                </c:pt>
                <c:pt idx="166">
                  <c:v>58.20743531400516</c:v>
                </c:pt>
                <c:pt idx="167">
                  <c:v>58.149798894817081</c:v>
                </c:pt>
                <c:pt idx="168">
                  <c:v>58.089225956769674</c:v>
                </c:pt>
                <c:pt idx="169">
                  <c:v>58.025926261618352</c:v>
                </c:pt>
                <c:pt idx="170">
                  <c:v>57.960110655511819</c:v>
                </c:pt>
                <c:pt idx="171">
                  <c:v>57.891986563079875</c:v>
                </c:pt>
                <c:pt idx="172">
                  <c:v>57.821760864632559</c:v>
                </c:pt>
                <c:pt idx="173">
                  <c:v>57.749639927079144</c:v>
                </c:pt>
                <c:pt idx="174">
                  <c:v>57.675829572476992</c:v>
                </c:pt>
                <c:pt idx="175">
                  <c:v>57.600535049954345</c:v>
                </c:pt>
                <c:pt idx="176">
                  <c:v>57.523893695332319</c:v>
                </c:pt>
                <c:pt idx="177">
                  <c:v>57.445769885759709</c:v>
                </c:pt>
                <c:pt idx="178">
                  <c:v>57.365962456443221</c:v>
                </c:pt>
                <c:pt idx="179">
                  <c:v>57.284271494684262</c:v>
                </c:pt>
                <c:pt idx="180">
                  <c:v>57.200497106600764</c:v>
                </c:pt>
                <c:pt idx="181">
                  <c:v>57.114439418075747</c:v>
                </c:pt>
                <c:pt idx="182">
                  <c:v>57.025898577962522</c:v>
                </c:pt>
                <c:pt idx="183">
                  <c:v>56.934661440154748</c:v>
                </c:pt>
                <c:pt idx="184">
                  <c:v>56.840526730865371</c:v>
                </c:pt>
                <c:pt idx="185">
                  <c:v>56.743294405837048</c:v>
                </c:pt>
                <c:pt idx="186">
                  <c:v>56.642764494600165</c:v>
                </c:pt>
                <c:pt idx="187">
                  <c:v>56.538737104360912</c:v>
                </c:pt>
                <c:pt idx="188">
                  <c:v>56.431012434970164</c:v>
                </c:pt>
                <c:pt idx="189">
                  <c:v>56.319390794226912</c:v>
                </c:pt>
                <c:pt idx="190">
                  <c:v>56.203739660324835</c:v>
                </c:pt>
                <c:pt idx="191">
                  <c:v>56.084174869427535</c:v>
                </c:pt>
                <c:pt idx="192">
                  <c:v>55.960901962588849</c:v>
                </c:pt>
                <c:pt idx="193">
                  <c:v>55.834122778768439</c:v>
                </c:pt>
                <c:pt idx="194">
                  <c:v>55.704038846124497</c:v>
                </c:pt>
                <c:pt idx="195">
                  <c:v>55.570851399217496</c:v>
                </c:pt>
                <c:pt idx="196">
                  <c:v>55.434761394038141</c:v>
                </c:pt>
                <c:pt idx="197">
                  <c:v>55.295962874394689</c:v>
                </c:pt>
                <c:pt idx="198">
                  <c:v>55.154671147853307</c:v>
                </c:pt>
                <c:pt idx="199">
                  <c:v>55.011086724531438</c:v>
                </c:pt>
                <c:pt idx="200">
                  <c:v>54.865409895071714</c:v>
                </c:pt>
                <c:pt idx="201">
                  <c:v>54.717840745684683</c:v>
                </c:pt>
                <c:pt idx="202">
                  <c:v>54.568579174003844</c:v>
                </c:pt>
                <c:pt idx="203">
                  <c:v>54.417824902542698</c:v>
                </c:pt>
                <c:pt idx="204">
                  <c:v>54.265710742139191</c:v>
                </c:pt>
                <c:pt idx="205">
                  <c:v>54.112065203457938</c:v>
                </c:pt>
                <c:pt idx="206">
                  <c:v>53.95670824182104</c:v>
                </c:pt>
                <c:pt idx="207">
                  <c:v>53.799439385998177</c:v>
                </c:pt>
                <c:pt idx="208">
                  <c:v>53.64005852717672</c:v>
                </c:pt>
                <c:pt idx="209">
                  <c:v>53.478365921744917</c:v>
                </c:pt>
                <c:pt idx="210">
                  <c:v>53.314162187970858</c:v>
                </c:pt>
                <c:pt idx="211">
                  <c:v>53.147151387477699</c:v>
                </c:pt>
                <c:pt idx="212">
                  <c:v>52.977140820043253</c:v>
                </c:pt>
                <c:pt idx="213">
                  <c:v>52.80393161430198</c:v>
                </c:pt>
                <c:pt idx="214">
                  <c:v>52.627325294226907</c:v>
                </c:pt>
                <c:pt idx="215">
                  <c:v>52.447123778663645</c:v>
                </c:pt>
                <c:pt idx="216">
                  <c:v>52.263129372852433</c:v>
                </c:pt>
                <c:pt idx="217">
                  <c:v>52.07514475433652</c:v>
                </c:pt>
                <c:pt idx="218">
                  <c:v>51.884335917826881</c:v>
                </c:pt>
                <c:pt idx="219">
                  <c:v>51.691688730655621</c:v>
                </c:pt>
                <c:pt idx="220">
                  <c:v>51.496843670531277</c:v>
                </c:pt>
                <c:pt idx="221">
                  <c:v>51.299403444833771</c:v>
                </c:pt>
                <c:pt idx="222">
                  <c:v>51.098971341004287</c:v>
                </c:pt>
                <c:pt idx="223">
                  <c:v>50.89515121491192</c:v>
                </c:pt>
                <c:pt idx="224">
                  <c:v>50.687547473018689</c:v>
                </c:pt>
                <c:pt idx="225">
                  <c:v>50.475787623103734</c:v>
                </c:pt>
                <c:pt idx="226">
                  <c:v>50.259576575020503</c:v>
                </c:pt>
                <c:pt idx="227">
                  <c:v>50.03852077819294</c:v>
                </c:pt>
                <c:pt idx="228">
                  <c:v>49.812227161992553</c:v>
                </c:pt>
                <c:pt idx="229">
                  <c:v>49.58030311514846</c:v>
                </c:pt>
                <c:pt idx="230">
                  <c:v>49.342356483244075</c:v>
                </c:pt>
                <c:pt idx="231">
                  <c:v>49.0979955613873</c:v>
                </c:pt>
                <c:pt idx="232">
                  <c:v>48.848252754764808</c:v>
                </c:pt>
                <c:pt idx="233">
                  <c:v>48.594321242402565</c:v>
                </c:pt>
                <c:pt idx="234">
                  <c:v>48.336053761080123</c:v>
                </c:pt>
                <c:pt idx="235">
                  <c:v>48.07325639975619</c:v>
                </c:pt>
                <c:pt idx="236">
                  <c:v>47.805735392441854</c:v>
                </c:pt>
                <c:pt idx="237">
                  <c:v>47.533297194265437</c:v>
                </c:pt>
                <c:pt idx="238">
                  <c:v>47.255748431032153</c:v>
                </c:pt>
                <c:pt idx="239">
                  <c:v>46.972944252465467</c:v>
                </c:pt>
                <c:pt idx="240">
                  <c:v>46.684668778916411</c:v>
                </c:pt>
                <c:pt idx="241">
                  <c:v>46.390729204962263</c:v>
                </c:pt>
                <c:pt idx="242">
                  <c:v>46.090932886444769</c:v>
                </c:pt>
                <c:pt idx="243">
                  <c:v>45.785087342869815</c:v>
                </c:pt>
                <c:pt idx="244">
                  <c:v>45.473000258351298</c:v>
                </c:pt>
                <c:pt idx="245">
                  <c:v>45.154479477412615</c:v>
                </c:pt>
                <c:pt idx="246">
                  <c:v>44.828755832771414</c:v>
                </c:pt>
                <c:pt idx="247">
                  <c:v>44.495555084933876</c:v>
                </c:pt>
                <c:pt idx="248">
                  <c:v>44.155348027011932</c:v>
                </c:pt>
                <c:pt idx="249">
                  <c:v>43.808635088431437</c:v>
                </c:pt>
                <c:pt idx="250">
                  <c:v>43.455916130889712</c:v>
                </c:pt>
                <c:pt idx="251">
                  <c:v>43.097690451038225</c:v>
                </c:pt>
                <c:pt idx="252">
                  <c:v>42.734456785130419</c:v>
                </c:pt>
                <c:pt idx="253">
                  <c:v>42.366774971342153</c:v>
                </c:pt>
                <c:pt idx="254">
                  <c:v>41.995093863648982</c:v>
                </c:pt>
                <c:pt idx="255">
                  <c:v>41.619910542776971</c:v>
                </c:pt>
                <c:pt idx="256">
                  <c:v>41.241721546557152</c:v>
                </c:pt>
                <c:pt idx="257">
                  <c:v>40.861022876202433</c:v>
                </c:pt>
                <c:pt idx="258">
                  <c:v>40.478309996451792</c:v>
                </c:pt>
                <c:pt idx="259">
                  <c:v>40.094077838720253</c:v>
                </c:pt>
                <c:pt idx="260">
                  <c:v>39.705665994589936</c:v>
                </c:pt>
                <c:pt idx="261">
                  <c:v>39.310779592605641</c:v>
                </c:pt>
                <c:pt idx="262">
                  <c:v>38.910278017693692</c:v>
                </c:pt>
                <c:pt idx="263">
                  <c:v>38.505052270147111</c:v>
                </c:pt>
                <c:pt idx="264">
                  <c:v>38.095992358083727</c:v>
                </c:pt>
                <c:pt idx="265">
                  <c:v>37.683986576618565</c:v>
                </c:pt>
                <c:pt idx="266">
                  <c:v>37.269922615208102</c:v>
                </c:pt>
                <c:pt idx="267">
                  <c:v>36.854748463692722</c:v>
                </c:pt>
                <c:pt idx="268">
                  <c:v>36.439288541189015</c:v>
                </c:pt>
                <c:pt idx="269">
                  <c:v>36.024428260902575</c:v>
                </c:pt>
                <c:pt idx="270">
                  <c:v>35.611052105243957</c:v>
                </c:pt>
                <c:pt idx="271">
                  <c:v>35.200043636038529</c:v>
                </c:pt>
                <c:pt idx="272">
                  <c:v>34.792285504950108</c:v>
                </c:pt>
                <c:pt idx="273">
                  <c:v>34.388659466106162</c:v>
                </c:pt>
                <c:pt idx="274">
                  <c:v>33.985706148170806</c:v>
                </c:pt>
                <c:pt idx="275">
                  <c:v>33.580053466501283</c:v>
                </c:pt>
                <c:pt idx="276">
                  <c:v>33.172583393119538</c:v>
                </c:pt>
                <c:pt idx="277">
                  <c:v>32.764277497625066</c:v>
                </c:pt>
                <c:pt idx="278">
                  <c:v>32.356116304447177</c:v>
                </c:pt>
                <c:pt idx="279">
                  <c:v>31.949079312881675</c:v>
                </c:pt>
                <c:pt idx="280">
                  <c:v>31.5441450229734</c:v>
                </c:pt>
                <c:pt idx="281">
                  <c:v>31.141956221517521</c:v>
                </c:pt>
                <c:pt idx="282">
                  <c:v>30.743427704361558</c:v>
                </c:pt>
                <c:pt idx="283">
                  <c:v>30.349534393211307</c:v>
                </c:pt>
                <c:pt idx="284">
                  <c:v>29.961250339843779</c:v>
                </c:pt>
                <c:pt idx="285">
                  <c:v>29.579548766324464</c:v>
                </c:pt>
                <c:pt idx="286">
                  <c:v>29.205402092139789</c:v>
                </c:pt>
                <c:pt idx="287">
                  <c:v>28.839781980529082</c:v>
                </c:pt>
                <c:pt idx="288">
                  <c:v>28.481846304494546</c:v>
                </c:pt>
                <c:pt idx="289">
                  <c:v>28.129203052077102</c:v>
                </c:pt>
                <c:pt idx="290">
                  <c:v>27.781530263846967</c:v>
                </c:pt>
                <c:pt idx="291">
                  <c:v>27.43852526526225</c:v>
                </c:pt>
                <c:pt idx="292">
                  <c:v>27.099885614922794</c:v>
                </c:pt>
                <c:pt idx="293">
                  <c:v>26.765309104930555</c:v>
                </c:pt>
                <c:pt idx="294">
                  <c:v>26.434493779892481</c:v>
                </c:pt>
                <c:pt idx="295">
                  <c:v>26.106893705175388</c:v>
                </c:pt>
                <c:pt idx="296">
                  <c:v>25.782543053170546</c:v>
                </c:pt>
                <c:pt idx="297">
                  <c:v>25.461139248310623</c:v>
                </c:pt>
                <c:pt idx="298">
                  <c:v>25.142381091930154</c:v>
                </c:pt>
                <c:pt idx="299">
                  <c:v>24.825967567036134</c:v>
                </c:pt>
                <c:pt idx="300">
                  <c:v>24.51159786994787</c:v>
                </c:pt>
                <c:pt idx="301">
                  <c:v>24.19897141793016</c:v>
                </c:pt>
                <c:pt idx="302">
                  <c:v>23.887673798383151</c:v>
                </c:pt>
                <c:pt idx="303">
                  <c:v>23.578154149865256</c:v>
                </c:pt>
                <c:pt idx="304">
                  <c:v>23.27150381484724</c:v>
                </c:pt>
                <c:pt idx="305">
                  <c:v>22.968108819073105</c:v>
                </c:pt>
                <c:pt idx="306">
                  <c:v>22.668355120411295</c:v>
                </c:pt>
                <c:pt idx="307">
                  <c:v>22.37262862164053</c:v>
                </c:pt>
                <c:pt idx="308">
                  <c:v>22.081315197091666</c:v>
                </c:pt>
                <c:pt idx="309">
                  <c:v>21.79529387262361</c:v>
                </c:pt>
                <c:pt idx="310">
                  <c:v>21.515196087939206</c:v>
                </c:pt>
                <c:pt idx="311">
                  <c:v>21.241408385681158</c:v>
                </c:pt>
                <c:pt idx="312">
                  <c:v>20.974317292560833</c:v>
                </c:pt>
                <c:pt idx="313">
                  <c:v>20.714309308727753</c:v>
                </c:pt>
                <c:pt idx="314">
                  <c:v>20.461770910462249</c:v>
                </c:pt>
                <c:pt idx="315">
                  <c:v>20.217088540792485</c:v>
                </c:pt>
                <c:pt idx="316">
                  <c:v>19.980306991036997</c:v>
                </c:pt>
                <c:pt idx="317">
                  <c:v>19.751201716340116</c:v>
                </c:pt>
                <c:pt idx="318">
                  <c:v>19.529066638919776</c:v>
                </c:pt>
                <c:pt idx="319">
                  <c:v>19.313605421812859</c:v>
                </c:pt>
                <c:pt idx="320">
                  <c:v>19.104522060113496</c:v>
                </c:pt>
                <c:pt idx="321">
                  <c:v>18.901520880336417</c:v>
                </c:pt>
                <c:pt idx="322">
                  <c:v>18.704306527676703</c:v>
                </c:pt>
                <c:pt idx="323">
                  <c:v>18.512474770400583</c:v>
                </c:pt>
                <c:pt idx="324">
                  <c:v>18.325235567462919</c:v>
                </c:pt>
                <c:pt idx="325">
                  <c:v>18.142294227992146</c:v>
                </c:pt>
                <c:pt idx="326">
                  <c:v>17.963359264004939</c:v>
                </c:pt>
                <c:pt idx="327">
                  <c:v>17.788137721051751</c:v>
                </c:pt>
                <c:pt idx="328">
                  <c:v>17.616334669525234</c:v>
                </c:pt>
                <c:pt idx="329">
                  <c:v>17.447655518089856</c:v>
                </c:pt>
                <c:pt idx="330">
                  <c:v>17.280637237923536</c:v>
                </c:pt>
                <c:pt idx="331">
                  <c:v>17.114566230750189</c:v>
                </c:pt>
                <c:pt idx="332">
                  <c:v>16.950132143249682</c:v>
                </c:pt>
                <c:pt idx="333">
                  <c:v>16.788210218049077</c:v>
                </c:pt>
                <c:pt idx="334">
                  <c:v>16.629675255501148</c:v>
                </c:pt>
                <c:pt idx="335">
                  <c:v>16.475401578210022</c:v>
                </c:pt>
                <c:pt idx="336">
                  <c:v>16.326262995369522</c:v>
                </c:pt>
                <c:pt idx="337">
                  <c:v>16.183230778068737</c:v>
                </c:pt>
                <c:pt idx="338">
                  <c:v>16.047286898617187</c:v>
                </c:pt>
                <c:pt idx="339">
                  <c:v>15.919303368251031</c:v>
                </c:pt>
                <c:pt idx="340">
                  <c:v>15.800151547976983</c:v>
                </c:pt>
                <c:pt idx="341">
                  <c:v>15.69070211734611</c:v>
                </c:pt>
                <c:pt idx="342">
                  <c:v>15.591825058350304</c:v>
                </c:pt>
                <c:pt idx="343">
                  <c:v>15.504389630940617</c:v>
                </c:pt>
                <c:pt idx="344">
                  <c:v>15.426843139065307</c:v>
                </c:pt>
                <c:pt idx="345">
                  <c:v>15.357123508831215</c:v>
                </c:pt>
                <c:pt idx="346">
                  <c:v>15.295471829322871</c:v>
                </c:pt>
                <c:pt idx="347">
                  <c:v>15.241992445775917</c:v>
                </c:pt>
                <c:pt idx="348">
                  <c:v>15.196789567110221</c:v>
                </c:pt>
                <c:pt idx="349">
                  <c:v>15.159967266138334</c:v>
                </c:pt>
                <c:pt idx="350">
                  <c:v>15.131629475635272</c:v>
                </c:pt>
                <c:pt idx="351">
                  <c:v>15.111985872690308</c:v>
                </c:pt>
                <c:pt idx="352">
                  <c:v>15.101042230743248</c:v>
                </c:pt>
                <c:pt idx="353">
                  <c:v>15.098902080027138</c:v>
                </c:pt>
                <c:pt idx="354">
                  <c:v>15.105668817938259</c:v>
                </c:pt>
                <c:pt idx="355">
                  <c:v>15.121445727486044</c:v>
                </c:pt>
                <c:pt idx="356">
                  <c:v>15.14634089601403</c:v>
                </c:pt>
                <c:pt idx="357">
                  <c:v>15.180452963277226</c:v>
                </c:pt>
                <c:pt idx="358">
                  <c:v>15.224146246152891</c:v>
                </c:pt>
                <c:pt idx="359">
                  <c:v>15.277561267158047</c:v>
                </c:pt>
                <c:pt idx="360">
                  <c:v>15.340565697635896</c:v>
                </c:pt>
                <c:pt idx="361">
                  <c:v>15.412823465315412</c:v>
                </c:pt>
                <c:pt idx="362">
                  <c:v>15.494104556528331</c:v>
                </c:pt>
                <c:pt idx="363">
                  <c:v>15.584179089461268</c:v>
                </c:pt>
                <c:pt idx="364">
                  <c:v>15.682817308659262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6.2016946133427533</c:v>
                </c:pt>
                <c:pt idx="1">
                  <c:v>1.5103378235587017</c:v>
                </c:pt>
                <c:pt idx="2">
                  <c:v>11.359229294248928</c:v>
                </c:pt>
                <c:pt idx="3">
                  <c:v>11.413600230070232</c:v>
                </c:pt>
                <c:pt idx="4">
                  <c:v>12.26881292085903</c:v>
                </c:pt>
                <c:pt idx="5">
                  <c:v>5.4287781389811034</c:v>
                </c:pt>
                <c:pt idx="6">
                  <c:v>13.815637248076083</c:v>
                </c:pt>
                <c:pt idx="7">
                  <c:v>7.1906141280795683</c:v>
                </c:pt>
                <c:pt idx="8">
                  <c:v>7.3097742188873225</c:v>
                </c:pt>
                <c:pt idx="9">
                  <c:v>16.05882313543351</c:v>
                </c:pt>
                <c:pt idx="10">
                  <c:v>4.7539733883758117</c:v>
                </c:pt>
                <c:pt idx="11">
                  <c:v>17.138005199186086</c:v>
                </c:pt>
                <c:pt idx="12">
                  <c:v>11.158558750469208</c:v>
                </c:pt>
                <c:pt idx="13">
                  <c:v>13.452741646851509</c:v>
                </c:pt>
                <c:pt idx="14">
                  <c:v>5.562451403261079</c:v>
                </c:pt>
                <c:pt idx="15">
                  <c:v>3.5573975816253465</c:v>
                </c:pt>
                <c:pt idx="16">
                  <c:v>6.1047489518823923</c:v>
                </c:pt>
                <c:pt idx="17">
                  <c:v>14.188387519097104</c:v>
                </c:pt>
                <c:pt idx="18">
                  <c:v>9.1846766294852635</c:v>
                </c:pt>
                <c:pt idx="19">
                  <c:v>16.046949221800663</c:v>
                </c:pt>
                <c:pt idx="20">
                  <c:v>7.4328896213174849</c:v>
                </c:pt>
                <c:pt idx="21">
                  <c:v>20.150124978513368</c:v>
                </c:pt>
                <c:pt idx="22">
                  <c:v>20.174279589067257</c:v>
                </c:pt>
                <c:pt idx="23">
                  <c:v>20.596318987663047</c:v>
                </c:pt>
                <c:pt idx="24">
                  <c:v>20.815327114090234</c:v>
                </c:pt>
                <c:pt idx="25">
                  <c:v>20.889441885308091</c:v>
                </c:pt>
                <c:pt idx="26">
                  <c:v>20.361761252720669</c:v>
                </c:pt>
                <c:pt idx="27">
                  <c:v>4.2540907930771477</c:v>
                </c:pt>
                <c:pt idx="28">
                  <c:v>6.6445117480205864</c:v>
                </c:pt>
                <c:pt idx="29">
                  <c:v>4.8302656965317459</c:v>
                </c:pt>
                <c:pt idx="30">
                  <c:v>10.816653061102404</c:v>
                </c:pt>
                <c:pt idx="31">
                  <c:v>10.621619970303698</c:v>
                </c:pt>
                <c:pt idx="32">
                  <c:v>5.542233032309575</c:v>
                </c:pt>
                <c:pt idx="33">
                  <c:v>13.236031001519413</c:v>
                </c:pt>
                <c:pt idx="34">
                  <c:v>11.021650838307304</c:v>
                </c:pt>
                <c:pt idx="35">
                  <c:v>9.534983702059419</c:v>
                </c:pt>
                <c:pt idx="36">
                  <c:v>17.675957774922896</c:v>
                </c:pt>
                <c:pt idx="37">
                  <c:v>12.234772169619939</c:v>
                </c:pt>
                <c:pt idx="38">
                  <c:v>25.404374700421606</c:v>
                </c:pt>
                <c:pt idx="39">
                  <c:v>25.407675366659682</c:v>
                </c:pt>
                <c:pt idx="40">
                  <c:v>24.620788558704582</c:v>
                </c:pt>
                <c:pt idx="41">
                  <c:v>12.965449789428213</c:v>
                </c:pt>
                <c:pt idx="42">
                  <c:v>22.134581680310767</c:v>
                </c:pt>
                <c:pt idx="43">
                  <c:v>25.762518874858575</c:v>
                </c:pt>
                <c:pt idx="44">
                  <c:v>15.116466754417404</c:v>
                </c:pt>
                <c:pt idx="45">
                  <c:v>18.379782391623653</c:v>
                </c:pt>
                <c:pt idx="46">
                  <c:v>9.3627462901043295</c:v>
                </c:pt>
                <c:pt idx="47">
                  <c:v>10.863523720638714</c:v>
                </c:pt>
                <c:pt idx="48">
                  <c:v>25.610444722475489</c:v>
                </c:pt>
                <c:pt idx="49">
                  <c:v>15.437446691107253</c:v>
                </c:pt>
                <c:pt idx="50">
                  <c:v>18.448110228552796</c:v>
                </c:pt>
                <c:pt idx="51">
                  <c:v>18.914191049724959</c:v>
                </c:pt>
                <c:pt idx="52">
                  <c:v>27.922929814198184</c:v>
                </c:pt>
                <c:pt idx="53">
                  <c:v>29.527949439572069</c:v>
                </c:pt>
                <c:pt idx="54">
                  <c:v>17.752626387986716</c:v>
                </c:pt>
                <c:pt idx="55">
                  <c:v>26.245102427831483</c:v>
                </c:pt>
                <c:pt idx="56">
                  <c:v>31.993960661836226</c:v>
                </c:pt>
                <c:pt idx="57">
                  <c:v>24.403136761516389</c:v>
                </c:pt>
                <c:pt idx="58">
                  <c:v>29.032538955849329</c:v>
                </c:pt>
                <c:pt idx="59">
                  <c:v>31.891486618640446</c:v>
                </c:pt>
                <c:pt idx="60">
                  <c:v>14.792930264542846</c:v>
                </c:pt>
                <c:pt idx="61">
                  <c:v>30.553050170627241</c:v>
                </c:pt>
                <c:pt idx="62">
                  <c:v>5.8033738126176955</c:v>
                </c:pt>
                <c:pt idx="63">
                  <c:v>12.998253714574195</c:v>
                </c:pt>
                <c:pt idx="64">
                  <c:v>19.054986664022461</c:v>
                </c:pt>
                <c:pt idx="65">
                  <c:v>32.472135824513821</c:v>
                </c:pt>
                <c:pt idx="66">
                  <c:v>26.184987122072268</c:v>
                </c:pt>
                <c:pt idx="67">
                  <c:v>27.254473386527216</c:v>
                </c:pt>
                <c:pt idx="68">
                  <c:v>19.111529559106188</c:v>
                </c:pt>
                <c:pt idx="69">
                  <c:v>13.589184222656289</c:v>
                </c:pt>
                <c:pt idx="70">
                  <c:v>12.877801480964065</c:v>
                </c:pt>
                <c:pt idx="71">
                  <c:v>8.5014565497811301</c:v>
                </c:pt>
                <c:pt idx="72">
                  <c:v>11.707659285646336</c:v>
                </c:pt>
                <c:pt idx="73">
                  <c:v>13.527324619009233</c:v>
                </c:pt>
                <c:pt idx="74">
                  <c:v>11.870249665129652</c:v>
                </c:pt>
                <c:pt idx="75">
                  <c:v>10.408540125250047</c:v>
                </c:pt>
                <c:pt idx="76">
                  <c:v>13.060864822355382</c:v>
                </c:pt>
                <c:pt idx="77">
                  <c:v>26.299787150111015</c:v>
                </c:pt>
                <c:pt idx="78">
                  <c:v>29.659591456974145</c:v>
                </c:pt>
                <c:pt idx="79">
                  <c:v>39.75471162494987</c:v>
                </c:pt>
                <c:pt idx="80">
                  <c:v>36.765948773141197</c:v>
                </c:pt>
                <c:pt idx="81">
                  <c:v>41.537480082191912</c:v>
                </c:pt>
                <c:pt idx="82">
                  <c:v>40.942026444720447</c:v>
                </c:pt>
                <c:pt idx="83">
                  <c:v>37.471775203905096</c:v>
                </c:pt>
                <c:pt idx="84">
                  <c:v>40.461409887039004</c:v>
                </c:pt>
                <c:pt idx="85">
                  <c:v>39.938682437669058</c:v>
                </c:pt>
                <c:pt idx="86">
                  <c:v>31.059464185190702</c:v>
                </c:pt>
                <c:pt idx="87">
                  <c:v>25.642853902516716</c:v>
                </c:pt>
                <c:pt idx="88">
                  <c:v>7.2264650812653999</c:v>
                </c:pt>
                <c:pt idx="89">
                  <c:v>25.232068143426499</c:v>
                </c:pt>
                <c:pt idx="90">
                  <c:v>27.500849787872205</c:v>
                </c:pt>
                <c:pt idx="91">
                  <c:v>18.630228583354729</c:v>
                </c:pt>
                <c:pt idx="92">
                  <c:v>23.063848281530536</c:v>
                </c:pt>
                <c:pt idx="93">
                  <c:v>39.940479649038835</c:v>
                </c:pt>
                <c:pt idx="94">
                  <c:v>46.215016794107541</c:v>
                </c:pt>
                <c:pt idx="95">
                  <c:v>11.739811025552886</c:v>
                </c:pt>
                <c:pt idx="96">
                  <c:v>35.512425035945668</c:v>
                </c:pt>
                <c:pt idx="97">
                  <c:v>27.737445536317107</c:v>
                </c:pt>
                <c:pt idx="98">
                  <c:v>33.656158920290657</c:v>
                </c:pt>
                <c:pt idx="99">
                  <c:v>47.654598079802525</c:v>
                </c:pt>
                <c:pt idx="100">
                  <c:v>36.460348239691776</c:v>
                </c:pt>
                <c:pt idx="101">
                  <c:v>33.494452609743959</c:v>
                </c:pt>
                <c:pt idx="102">
                  <c:v>7.3811747550139213</c:v>
                </c:pt>
                <c:pt idx="103">
                  <c:v>36.083690742926102</c:v>
                </c:pt>
                <c:pt idx="104">
                  <c:v>40.060214305714382</c:v>
                </c:pt>
                <c:pt idx="105">
                  <c:v>42.951813992092717</c:v>
                </c:pt>
                <c:pt idx="106">
                  <c:v>48.747732586850674</c:v>
                </c:pt>
                <c:pt idx="107">
                  <c:v>39.164738176343327</c:v>
                </c:pt>
                <c:pt idx="108">
                  <c:v>10.699630304272407</c:v>
                </c:pt>
                <c:pt idx="109">
                  <c:v>10.099256389759505</c:v>
                </c:pt>
                <c:pt idx="110">
                  <c:v>9.6355397881240226</c:v>
                </c:pt>
                <c:pt idx="111">
                  <c:v>29.136781406403287</c:v>
                </c:pt>
                <c:pt idx="112">
                  <c:v>8.4265273459217411</c:v>
                </c:pt>
                <c:pt idx="113">
                  <c:v>36.01618079005776</c:v>
                </c:pt>
                <c:pt idx="114">
                  <c:v>44.930435454660177</c:v>
                </c:pt>
                <c:pt idx="115">
                  <c:v>49.821545420455699</c:v>
                </c:pt>
                <c:pt idx="116">
                  <c:v>35.535780691601694</c:v>
                </c:pt>
                <c:pt idx="117">
                  <c:v>21.766494221706289</c:v>
                </c:pt>
                <c:pt idx="118">
                  <c:v>40.891738622493911</c:v>
                </c:pt>
                <c:pt idx="119">
                  <c:v>46.318655892348865</c:v>
                </c:pt>
                <c:pt idx="120">
                  <c:v>45.677109467382067</c:v>
                </c:pt>
                <c:pt idx="121">
                  <c:v>27.917001716515557</c:v>
                </c:pt>
                <c:pt idx="122">
                  <c:v>32.985414104976854</c:v>
                </c:pt>
                <c:pt idx="123">
                  <c:v>0.83724438614094265</c:v>
                </c:pt>
                <c:pt idx="124">
                  <c:v>38.468988909849571</c:v>
                </c:pt>
                <c:pt idx="125">
                  <c:v>35.652958301464324</c:v>
                </c:pt>
                <c:pt idx="126">
                  <c:v>48.967800033447702</c:v>
                </c:pt>
                <c:pt idx="127">
                  <c:v>49.803163457956991</c:v>
                </c:pt>
                <c:pt idx="128">
                  <c:v>55.290283076290159</c:v>
                </c:pt>
                <c:pt idx="129">
                  <c:v>50.746771752804911</c:v>
                </c:pt>
                <c:pt idx="130">
                  <c:v>55.603913806620028</c:v>
                </c:pt>
                <c:pt idx="131">
                  <c:v>43.363375662326305</c:v>
                </c:pt>
                <c:pt idx="132">
                  <c:v>46.267963391667799</c:v>
                </c:pt>
                <c:pt idx="133">
                  <c:v>47.684023463692085</c:v>
                </c:pt>
                <c:pt idx="134">
                  <c:v>51.58001117725486</c:v>
                </c:pt>
                <c:pt idx="135">
                  <c:v>50.274128530769062</c:v>
                </c:pt>
                <c:pt idx="136">
                  <c:v>54.200294720761264</c:v>
                </c:pt>
                <c:pt idx="137">
                  <c:v>52.738648325565109</c:v>
                </c:pt>
                <c:pt idx="138">
                  <c:v>54.656352027635897</c:v>
                </c:pt>
                <c:pt idx="139">
                  <c:v>47.599060413957069</c:v>
                </c:pt>
                <c:pt idx="140">
                  <c:v>48.289002117517015</c:v>
                </c:pt>
                <c:pt idx="141">
                  <c:v>34.311887194025616</c:v>
                </c:pt>
                <c:pt idx="142">
                  <c:v>17.705940518029635</c:v>
                </c:pt>
                <c:pt idx="143">
                  <c:v>14.751475321868107</c:v>
                </c:pt>
                <c:pt idx="144">
                  <c:v>41.037566946532884</c:v>
                </c:pt>
                <c:pt idx="145">
                  <c:v>21.551326527443646</c:v>
                </c:pt>
                <c:pt idx="146">
                  <c:v>40.849118982196721</c:v>
                </c:pt>
                <c:pt idx="147">
                  <c:v>54.538147476952645</c:v>
                </c:pt>
                <c:pt idx="148">
                  <c:v>59.521991108511394</c:v>
                </c:pt>
                <c:pt idx="149">
                  <c:v>50.888479757612963</c:v>
                </c:pt>
                <c:pt idx="150">
                  <c:v>54.546365000383865</c:v>
                </c:pt>
                <c:pt idx="151">
                  <c:v>56.09730915518243</c:v>
                </c:pt>
                <c:pt idx="152">
                  <c:v>44.055526783674431</c:v>
                </c:pt>
                <c:pt idx="153">
                  <c:v>53.389389655620434</c:v>
                </c:pt>
                <c:pt idx="154">
                  <c:v>30.316163440326875</c:v>
                </c:pt>
                <c:pt idx="155">
                  <c:v>31.667145688893974</c:v>
                </c:pt>
                <c:pt idx="156">
                  <c:v>42.250976576484973</c:v>
                </c:pt>
                <c:pt idx="157">
                  <c:v>31.79597275501877</c:v>
                </c:pt>
                <c:pt idx="158">
                  <c:v>22.36775240225851</c:v>
                </c:pt>
                <c:pt idx="159">
                  <c:v>44.48876233265473</c:v>
                </c:pt>
                <c:pt idx="160">
                  <c:v>58.435050708033522</c:v>
                </c:pt>
                <c:pt idx="161">
                  <c:v>54.820490389807631</c:v>
                </c:pt>
                <c:pt idx="162">
                  <c:v>43.261436496605981</c:v>
                </c:pt>
                <c:pt idx="163">
                  <c:v>53.14569540573234</c:v>
                </c:pt>
                <c:pt idx="164">
                  <c:v>45.642196128954289</c:v>
                </c:pt>
                <c:pt idx="165">
                  <c:v>53.907076257965031</c:v>
                </c:pt>
                <c:pt idx="166">
                  <c:v>50.040695423496828</c:v>
                </c:pt>
                <c:pt idx="167">
                  <c:v>51.620917959024162</c:v>
                </c:pt>
                <c:pt idx="168">
                  <c:v>53.661568389905476</c:v>
                </c:pt>
                <c:pt idx="169">
                  <c:v>54.990292998652706</c:v>
                </c:pt>
                <c:pt idx="170">
                  <c:v>32.653875141954437</c:v>
                </c:pt>
                <c:pt idx="171">
                  <c:v>19.385989710167742</c:v>
                </c:pt>
                <c:pt idx="172">
                  <c:v>46.816789205445126</c:v>
                </c:pt>
                <c:pt idx="173">
                  <c:v>41.487512653812047</c:v>
                </c:pt>
                <c:pt idx="174">
                  <c:v>43.870329838601634</c:v>
                </c:pt>
                <c:pt idx="175">
                  <c:v>30.72641700286233</c:v>
                </c:pt>
                <c:pt idx="176">
                  <c:v>11.740868306515068</c:v>
                </c:pt>
                <c:pt idx="177">
                  <c:v>17.431279300451394</c:v>
                </c:pt>
                <c:pt idx="178">
                  <c:v>59.472419991491932</c:v>
                </c:pt>
                <c:pt idx="179">
                  <c:v>55.222555231341474</c:v>
                </c:pt>
                <c:pt idx="180">
                  <c:v>13.374959286814745</c:v>
                </c:pt>
                <c:pt idx="181">
                  <c:v>54.555264193926817</c:v>
                </c:pt>
                <c:pt idx="182">
                  <c:v>50.797982120704077</c:v>
                </c:pt>
                <c:pt idx="183">
                  <c:v>42.98001553916172</c:v>
                </c:pt>
                <c:pt idx="184">
                  <c:v>45.09704075428629</c:v>
                </c:pt>
                <c:pt idx="185">
                  <c:v>54.362738876046734</c:v>
                </c:pt>
                <c:pt idx="186">
                  <c:v>42.114504030476802</c:v>
                </c:pt>
                <c:pt idx="187">
                  <c:v>52.295301580030696</c:v>
                </c:pt>
                <c:pt idx="188">
                  <c:v>57.390437043539805</c:v>
                </c:pt>
                <c:pt idx="189">
                  <c:v>56.369881290709813</c:v>
                </c:pt>
                <c:pt idx="190">
                  <c:v>55.799703434841881</c:v>
                </c:pt>
                <c:pt idx="191">
                  <c:v>53.874847801779218</c:v>
                </c:pt>
                <c:pt idx="192">
                  <c:v>53.979675461536395</c:v>
                </c:pt>
                <c:pt idx="193">
                  <c:v>53.64514203605335</c:v>
                </c:pt>
                <c:pt idx="194">
                  <c:v>52.964838519092744</c:v>
                </c:pt>
                <c:pt idx="195">
                  <c:v>51.172108354527737</c:v>
                </c:pt>
                <c:pt idx="196">
                  <c:v>52.696744838148092</c:v>
                </c:pt>
                <c:pt idx="197">
                  <c:v>51.795684014720074</c:v>
                </c:pt>
                <c:pt idx="198">
                  <c:v>52.074699621599024</c:v>
                </c:pt>
                <c:pt idx="199">
                  <c:v>42.113962910425471</c:v>
                </c:pt>
                <c:pt idx="200">
                  <c:v>40.393289534044172</c:v>
                </c:pt>
                <c:pt idx="201">
                  <c:v>51.092507957097602</c:v>
                </c:pt>
                <c:pt idx="202">
                  <c:v>38.481264264953907</c:v>
                </c:pt>
                <c:pt idx="203">
                  <c:v>48.051926806491522</c:v>
                </c:pt>
                <c:pt idx="204">
                  <c:v>50.636078054298984</c:v>
                </c:pt>
                <c:pt idx="205">
                  <c:v>30.591188599937418</c:v>
                </c:pt>
                <c:pt idx="206">
                  <c:v>51.768085059000526</c:v>
                </c:pt>
                <c:pt idx="207">
                  <c:v>54.481670958293272</c:v>
                </c:pt>
                <c:pt idx="208">
                  <c:v>46.450405841610419</c:v>
                </c:pt>
                <c:pt idx="209">
                  <c:v>26.915351837564256</c:v>
                </c:pt>
                <c:pt idx="210">
                  <c:v>45.672515990892926</c:v>
                </c:pt>
                <c:pt idx="211">
                  <c:v>50.417800260387097</c:v>
                </c:pt>
                <c:pt idx="212">
                  <c:v>52.34176163608489</c:v>
                </c:pt>
                <c:pt idx="213">
                  <c:v>50.483168585844723</c:v>
                </c:pt>
                <c:pt idx="214">
                  <c:v>48.620805967251769</c:v>
                </c:pt>
                <c:pt idx="215">
                  <c:v>45.160417386674588</c:v>
                </c:pt>
                <c:pt idx="216">
                  <c:v>44.198516183969822</c:v>
                </c:pt>
                <c:pt idx="217">
                  <c:v>46.851948679668453</c:v>
                </c:pt>
                <c:pt idx="218">
                  <c:v>49.885128927246996</c:v>
                </c:pt>
                <c:pt idx="219">
                  <c:v>50.580546891069133</c:v>
                </c:pt>
                <c:pt idx="220">
                  <c:v>48.643280598757862</c:v>
                </c:pt>
                <c:pt idx="221">
                  <c:v>46.839164419231096</c:v>
                </c:pt>
                <c:pt idx="222">
                  <c:v>42.430193624073581</c:v>
                </c:pt>
                <c:pt idx="223">
                  <c:v>45.111881120350589</c:v>
                </c:pt>
                <c:pt idx="224">
                  <c:v>30.427430631968043</c:v>
                </c:pt>
                <c:pt idx="225">
                  <c:v>32.739415693770795</c:v>
                </c:pt>
                <c:pt idx="226">
                  <c:v>38.397511966509477</c:v>
                </c:pt>
                <c:pt idx="227">
                  <c:v>30.634918562365758</c:v>
                </c:pt>
                <c:pt idx="228">
                  <c:v>22.199809437281942</c:v>
                </c:pt>
                <c:pt idx="229">
                  <c:v>37.428084552630132</c:v>
                </c:pt>
                <c:pt idx="230">
                  <c:v>38.750683625515684</c:v>
                </c:pt>
                <c:pt idx="231">
                  <c:v>45.672318707358642</c:v>
                </c:pt>
                <c:pt idx="232">
                  <c:v>29.988703187095936</c:v>
                </c:pt>
                <c:pt idx="233">
                  <c:v>24.052142796317995</c:v>
                </c:pt>
                <c:pt idx="234">
                  <c:v>42.635170103768061</c:v>
                </c:pt>
                <c:pt idx="235">
                  <c:v>43.049162723430143</c:v>
                </c:pt>
                <c:pt idx="236">
                  <c:v>32.799604347851286</c:v>
                </c:pt>
                <c:pt idx="237">
                  <c:v>39.72811483225054</c:v>
                </c:pt>
                <c:pt idx="238">
                  <c:v>46.222075041955812</c:v>
                </c:pt>
                <c:pt idx="239">
                  <c:v>44.577558769250928</c:v>
                </c:pt>
                <c:pt idx="240">
                  <c:v>31.323457005258984</c:v>
                </c:pt>
                <c:pt idx="241">
                  <c:v>43.613647606194718</c:v>
                </c:pt>
                <c:pt idx="242">
                  <c:v>20.48048259749098</c:v>
                </c:pt>
                <c:pt idx="243">
                  <c:v>41.266123510482572</c:v>
                </c:pt>
                <c:pt idx="244">
                  <c:v>35.868965568191683</c:v>
                </c:pt>
                <c:pt idx="245">
                  <c:v>29.519114453428724</c:v>
                </c:pt>
                <c:pt idx="246">
                  <c:v>42.960733146359409</c:v>
                </c:pt>
                <c:pt idx="247">
                  <c:v>37.092025485858215</c:v>
                </c:pt>
                <c:pt idx="248">
                  <c:v>41.607530027348034</c:v>
                </c:pt>
                <c:pt idx="249">
                  <c:v>33.549770753587254</c:v>
                </c:pt>
                <c:pt idx="250">
                  <c:v>36.108892640534719</c:v>
                </c:pt>
                <c:pt idx="251">
                  <c:v>20.533964801092534</c:v>
                </c:pt>
                <c:pt idx="252">
                  <c:v>40.383493730603931</c:v>
                </c:pt>
                <c:pt idx="253">
                  <c:v>40.232492315297961</c:v>
                </c:pt>
                <c:pt idx="254">
                  <c:v>27.96654176822976</c:v>
                </c:pt>
                <c:pt idx="255">
                  <c:v>11.611386222154211</c:v>
                </c:pt>
                <c:pt idx="256">
                  <c:v>33.949502738450249</c:v>
                </c:pt>
                <c:pt idx="257">
                  <c:v>37.0481658136951</c:v>
                </c:pt>
                <c:pt idx="258">
                  <c:v>25.571363287624195</c:v>
                </c:pt>
                <c:pt idx="259">
                  <c:v>40.14309697564795</c:v>
                </c:pt>
                <c:pt idx="260">
                  <c:v>40.459028869660855</c:v>
                </c:pt>
                <c:pt idx="261">
                  <c:v>38.794494410126525</c:v>
                </c:pt>
                <c:pt idx="262">
                  <c:v>39.771668229129737</c:v>
                </c:pt>
                <c:pt idx="263">
                  <c:v>38.627422289200695</c:v>
                </c:pt>
                <c:pt idx="264">
                  <c:v>37.330665652431769</c:v>
                </c:pt>
                <c:pt idx="265">
                  <c:v>24.041522505700762</c:v>
                </c:pt>
                <c:pt idx="266">
                  <c:v>16.133220243306024</c:v>
                </c:pt>
                <c:pt idx="267">
                  <c:v>26.947036852926868</c:v>
                </c:pt>
                <c:pt idx="268">
                  <c:v>28.934587876424189</c:v>
                </c:pt>
                <c:pt idx="269">
                  <c:v>14.136730665330164</c:v>
                </c:pt>
                <c:pt idx="270">
                  <c:v>16.634088596239497</c:v>
                </c:pt>
                <c:pt idx="271">
                  <c:v>22.241457668424218</c:v>
                </c:pt>
                <c:pt idx="272">
                  <c:v>25.696452499326906</c:v>
                </c:pt>
                <c:pt idx="273">
                  <c:v>30.927683055608725</c:v>
                </c:pt>
                <c:pt idx="274">
                  <c:v>32.678908905916217</c:v>
                </c:pt>
                <c:pt idx="275">
                  <c:v>30.840309114169777</c:v>
                </c:pt>
                <c:pt idx="276">
                  <c:v>32.986151355871051</c:v>
                </c:pt>
                <c:pt idx="277">
                  <c:v>33.326086971719562</c:v>
                </c:pt>
                <c:pt idx="278">
                  <c:v>14.326158073212452</c:v>
                </c:pt>
                <c:pt idx="279">
                  <c:v>24.611686071541168</c:v>
                </c:pt>
                <c:pt idx="280">
                  <c:v>15.080894534863239</c:v>
                </c:pt>
                <c:pt idx="281">
                  <c:v>30.480309532165506</c:v>
                </c:pt>
                <c:pt idx="282">
                  <c:v>26.050311701772024</c:v>
                </c:pt>
                <c:pt idx="283">
                  <c:v>22.534049049766992</c:v>
                </c:pt>
                <c:pt idx="284">
                  <c:v>24.325008266420458</c:v>
                </c:pt>
                <c:pt idx="285">
                  <c:v>20.077511053927438</c:v>
                </c:pt>
                <c:pt idx="286">
                  <c:v>16.861595366211727</c:v>
                </c:pt>
                <c:pt idx="287">
                  <c:v>28.588136115323117</c:v>
                </c:pt>
                <c:pt idx="288">
                  <c:v>26.612305526645123</c:v>
                </c:pt>
                <c:pt idx="289">
                  <c:v>16.97324294251624</c:v>
                </c:pt>
                <c:pt idx="290">
                  <c:v>26.553588082175587</c:v>
                </c:pt>
                <c:pt idx="291">
                  <c:v>14.368475020804189</c:v>
                </c:pt>
                <c:pt idx="292">
                  <c:v>7.9574605640192653</c:v>
                </c:pt>
                <c:pt idx="293">
                  <c:v>13.930568328199858</c:v>
                </c:pt>
                <c:pt idx="294">
                  <c:v>24.716385397892225</c:v>
                </c:pt>
                <c:pt idx="295">
                  <c:v>16.718899539586157</c:v>
                </c:pt>
                <c:pt idx="296">
                  <c:v>19.783600540127271</c:v>
                </c:pt>
                <c:pt idx="297">
                  <c:v>18.302565729879181</c:v>
                </c:pt>
                <c:pt idx="298">
                  <c:v>14.512078336900824</c:v>
                </c:pt>
                <c:pt idx="299">
                  <c:v>11.609109691736146</c:v>
                </c:pt>
                <c:pt idx="300">
                  <c:v>15.811802002231415</c:v>
                </c:pt>
                <c:pt idx="301">
                  <c:v>20.090733795359487</c:v>
                </c:pt>
                <c:pt idx="302">
                  <c:v>17.328707012993817</c:v>
                </c:pt>
                <c:pt idx="303">
                  <c:v>16.889608101448367</c:v>
                </c:pt>
                <c:pt idx="304">
                  <c:v>15.950778195128803</c:v>
                </c:pt>
                <c:pt idx="305">
                  <c:v>21.611576673785141</c:v>
                </c:pt>
                <c:pt idx="306">
                  <c:v>5.6913793818974723</c:v>
                </c:pt>
                <c:pt idx="307">
                  <c:v>11.774017752508533</c:v>
                </c:pt>
                <c:pt idx="308">
                  <c:v>20.624046015779232</c:v>
                </c:pt>
                <c:pt idx="309">
                  <c:v>20.679186471013427</c:v>
                </c:pt>
                <c:pt idx="310">
                  <c:v>20.543536267680668</c:v>
                </c:pt>
                <c:pt idx="311">
                  <c:v>13.588371017149987</c:v>
                </c:pt>
                <c:pt idx="312">
                  <c:v>8.0393142835814437</c:v>
                </c:pt>
                <c:pt idx="313">
                  <c:v>18.09250051661348</c:v>
                </c:pt>
                <c:pt idx="314">
                  <c:v>18.652226145332151</c:v>
                </c:pt>
                <c:pt idx="315">
                  <c:v>18.518649267372503</c:v>
                </c:pt>
                <c:pt idx="316">
                  <c:v>16.43496093933333</c:v>
                </c:pt>
                <c:pt idx="317">
                  <c:v>9.4895129059772714</c:v>
                </c:pt>
                <c:pt idx="318">
                  <c:v>11.566565369169172</c:v>
                </c:pt>
                <c:pt idx="319">
                  <c:v>18.131873304442909</c:v>
                </c:pt>
                <c:pt idx="320">
                  <c:v>11.908462751387781</c:v>
                </c:pt>
                <c:pt idx="321">
                  <c:v>11.26918632356022</c:v>
                </c:pt>
                <c:pt idx="322">
                  <c:v>8.2922539052215747</c:v>
                </c:pt>
                <c:pt idx="323">
                  <c:v>13.565011388201489</c:v>
                </c:pt>
                <c:pt idx="324">
                  <c:v>3.2397290051455534</c:v>
                </c:pt>
                <c:pt idx="325">
                  <c:v>8.5874404462037521</c:v>
                </c:pt>
                <c:pt idx="326">
                  <c:v>12.773270903802334</c:v>
                </c:pt>
                <c:pt idx="327">
                  <c:v>11.552344957693858</c:v>
                </c:pt>
                <c:pt idx="328">
                  <c:v>4.7418780177981477</c:v>
                </c:pt>
                <c:pt idx="329">
                  <c:v>10.183291424347717</c:v>
                </c:pt>
                <c:pt idx="330">
                  <c:v>12.089143131626482</c:v>
                </c:pt>
                <c:pt idx="331">
                  <c:v>9.5350979357850552</c:v>
                </c:pt>
                <c:pt idx="332">
                  <c:v>10.796980734504062</c:v>
                </c:pt>
                <c:pt idx="333">
                  <c:v>4.3868674173753268</c:v>
                </c:pt>
                <c:pt idx="334">
                  <c:v>3.7986096306632668</c:v>
                </c:pt>
                <c:pt idx="335">
                  <c:v>5.2463077525409689</c:v>
                </c:pt>
                <c:pt idx="336">
                  <c:v>8.244753929604002</c:v>
                </c:pt>
                <c:pt idx="337">
                  <c:v>14.006106702189085</c:v>
                </c:pt>
                <c:pt idx="338">
                  <c:v>16.438843824085211</c:v>
                </c:pt>
                <c:pt idx="339">
                  <c:v>11.803646770171904</c:v>
                </c:pt>
                <c:pt idx="340">
                  <c:v>14.531204176402607</c:v>
                </c:pt>
                <c:pt idx="341">
                  <c:v>4.3403136839430898</c:v>
                </c:pt>
                <c:pt idx="342">
                  <c:v>8.2775845234530099</c:v>
                </c:pt>
                <c:pt idx="343">
                  <c:v>12.130523438511753</c:v>
                </c:pt>
                <c:pt idx="344">
                  <c:v>12.71110416286435</c:v>
                </c:pt>
                <c:pt idx="345">
                  <c:v>4.4159484630355124</c:v>
                </c:pt>
                <c:pt idx="346">
                  <c:v>5.3171972078646332</c:v>
                </c:pt>
                <c:pt idx="347">
                  <c:v>12.522247656242678</c:v>
                </c:pt>
                <c:pt idx="348">
                  <c:v>6.1404607375921687</c:v>
                </c:pt>
                <c:pt idx="349">
                  <c:v>5.4224253402395162</c:v>
                </c:pt>
                <c:pt idx="350">
                  <c:v>3.3606586911952885</c:v>
                </c:pt>
                <c:pt idx="351">
                  <c:v>13.083454455932694</c:v>
                </c:pt>
                <c:pt idx="352">
                  <c:v>12.830735647799978</c:v>
                </c:pt>
                <c:pt idx="353">
                  <c:v>4.077703612110315</c:v>
                </c:pt>
                <c:pt idx="354">
                  <c:v>14.865058658351433</c:v>
                </c:pt>
                <c:pt idx="355">
                  <c:v>13.184223655903272</c:v>
                </c:pt>
                <c:pt idx="356">
                  <c:v>13.812202516014798</c:v>
                </c:pt>
                <c:pt idx="357">
                  <c:v>15.724059668698308</c:v>
                </c:pt>
                <c:pt idx="358">
                  <c:v>8.8865129470809361</c:v>
                </c:pt>
                <c:pt idx="359">
                  <c:v>13.816099781496737</c:v>
                </c:pt>
                <c:pt idx="360">
                  <c:v>6.5800418923806197</c:v>
                </c:pt>
                <c:pt idx="361">
                  <c:v>14.634788961290369</c:v>
                </c:pt>
                <c:pt idx="362">
                  <c:v>9.8285628675806489</c:v>
                </c:pt>
                <c:pt idx="363">
                  <c:v>12.484103560605272</c:v>
                </c:pt>
                <c:pt idx="364">
                  <c:v>9.7388173383095857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6.2016946133427533</c:v>
                </c:pt>
                <c:pt idx="1">
                  <c:v>1.5103378235587017</c:v>
                </c:pt>
                <c:pt idx="2">
                  <c:v>11.359229294248928</c:v>
                </c:pt>
                <c:pt idx="3">
                  <c:v>11.413600230070232</c:v>
                </c:pt>
                <c:pt idx="4">
                  <c:v>12.26881292085903</c:v>
                </c:pt>
                <c:pt idx="5">
                  <c:v>5.4287781389811034</c:v>
                </c:pt>
                <c:pt idx="6">
                  <c:v>13.815637248076083</c:v>
                </c:pt>
                <c:pt idx="7">
                  <c:v>7.1906141280795683</c:v>
                </c:pt>
                <c:pt idx="8">
                  <c:v>7.3097742188873225</c:v>
                </c:pt>
                <c:pt idx="9">
                  <c:v>16.05882313543351</c:v>
                </c:pt>
                <c:pt idx="10">
                  <c:v>4.7539733883758117</c:v>
                </c:pt>
                <c:pt idx="11">
                  <c:v>17.138005199186086</c:v>
                </c:pt>
                <c:pt idx="12">
                  <c:v>11.158558750469208</c:v>
                </c:pt>
                <c:pt idx="13">
                  <c:v>13.452741646851509</c:v>
                </c:pt>
                <c:pt idx="14">
                  <c:v>5.562451403261079</c:v>
                </c:pt>
                <c:pt idx="15">
                  <c:v>3.5573975816253465</c:v>
                </c:pt>
                <c:pt idx="16">
                  <c:v>6.1047489518823923</c:v>
                </c:pt>
                <c:pt idx="17">
                  <c:v>14.188387519097104</c:v>
                </c:pt>
                <c:pt idx="18">
                  <c:v>9.1846766294852635</c:v>
                </c:pt>
                <c:pt idx="19">
                  <c:v>16.046949221800663</c:v>
                </c:pt>
                <c:pt idx="20">
                  <c:v>7.4328896213174849</c:v>
                </c:pt>
                <c:pt idx="21">
                  <c:v>20.150124978513368</c:v>
                </c:pt>
                <c:pt idx="22">
                  <c:v>20.174279589067257</c:v>
                </c:pt>
                <c:pt idx="23">
                  <c:v>20.596318987663047</c:v>
                </c:pt>
                <c:pt idx="24">
                  <c:v>20.815327114090234</c:v>
                </c:pt>
                <c:pt idx="25">
                  <c:v>20.889441885308091</c:v>
                </c:pt>
                <c:pt idx="26">
                  <c:v>20.361761252720669</c:v>
                </c:pt>
                <c:pt idx="27">
                  <c:v>4.2540907930771477</c:v>
                </c:pt>
                <c:pt idx="28">
                  <c:v>6.6445117480205864</c:v>
                </c:pt>
                <c:pt idx="29">
                  <c:v>4.8302656965317459</c:v>
                </c:pt>
                <c:pt idx="30">
                  <c:v>10.816653061102404</c:v>
                </c:pt>
                <c:pt idx="31">
                  <c:v>10.621619970303698</c:v>
                </c:pt>
                <c:pt idx="32">
                  <c:v>5.542233032309575</c:v>
                </c:pt>
                <c:pt idx="33">
                  <c:v>13.236031001519413</c:v>
                </c:pt>
                <c:pt idx="34">
                  <c:v>11.021650838307304</c:v>
                </c:pt>
                <c:pt idx="35">
                  <c:v>9.534983702059419</c:v>
                </c:pt>
                <c:pt idx="36">
                  <c:v>17.675957774922896</c:v>
                </c:pt>
                <c:pt idx="37">
                  <c:v>12.234772169619939</c:v>
                </c:pt>
                <c:pt idx="38">
                  <c:v>25.404374700421606</c:v>
                </c:pt>
                <c:pt idx="39">
                  <c:v>25.407675366659682</c:v>
                </c:pt>
                <c:pt idx="40">
                  <c:v>24.620788558704582</c:v>
                </c:pt>
                <c:pt idx="41">
                  <c:v>12.965449789428213</c:v>
                </c:pt>
                <c:pt idx="42">
                  <c:v>22.134581680310767</c:v>
                </c:pt>
                <c:pt idx="43">
                  <c:v>25.762518874858575</c:v>
                </c:pt>
                <c:pt idx="44">
                  <c:v>15.116466754417404</c:v>
                </c:pt>
                <c:pt idx="45">
                  <c:v>18.379782391623653</c:v>
                </c:pt>
                <c:pt idx="46">
                  <c:v>9.3627462901043295</c:v>
                </c:pt>
                <c:pt idx="47">
                  <c:v>10.863523720638714</c:v>
                </c:pt>
                <c:pt idx="48">
                  <c:v>25.610444722475489</c:v>
                </c:pt>
                <c:pt idx="49">
                  <c:v>15.437446691107253</c:v>
                </c:pt>
                <c:pt idx="50">
                  <c:v>18.448110228552796</c:v>
                </c:pt>
                <c:pt idx="51">
                  <c:v>18.914191049724959</c:v>
                </c:pt>
                <c:pt idx="52">
                  <c:v>27.922929814198184</c:v>
                </c:pt>
                <c:pt idx="53">
                  <c:v>29.527949439572069</c:v>
                </c:pt>
                <c:pt idx="54">
                  <c:v>17.752626387986716</c:v>
                </c:pt>
                <c:pt idx="55">
                  <c:v>26.245102427831483</c:v>
                </c:pt>
                <c:pt idx="56">
                  <c:v>31.993960661836226</c:v>
                </c:pt>
                <c:pt idx="57">
                  <c:v>24.403136761516389</c:v>
                </c:pt>
                <c:pt idx="58">
                  <c:v>29.032538955849329</c:v>
                </c:pt>
                <c:pt idx="59">
                  <c:v>31.891486618640446</c:v>
                </c:pt>
                <c:pt idx="60">
                  <c:v>14.792930264542846</c:v>
                </c:pt>
                <c:pt idx="61">
                  <c:v>30.553050170627241</c:v>
                </c:pt>
                <c:pt idx="62">
                  <c:v>5.8033738126176955</c:v>
                </c:pt>
                <c:pt idx="63">
                  <c:v>12.998253714574195</c:v>
                </c:pt>
                <c:pt idx="64">
                  <c:v>19.054986664022461</c:v>
                </c:pt>
                <c:pt idx="65">
                  <c:v>32.472135824513821</c:v>
                </c:pt>
                <c:pt idx="66">
                  <c:v>26.184987122072268</c:v>
                </c:pt>
                <c:pt idx="67">
                  <c:v>27.254473386527216</c:v>
                </c:pt>
                <c:pt idx="68">
                  <c:v>19.111529559106188</c:v>
                </c:pt>
                <c:pt idx="69">
                  <c:v>13.589184222656289</c:v>
                </c:pt>
                <c:pt idx="70">
                  <c:v>12.877801480964065</c:v>
                </c:pt>
                <c:pt idx="71">
                  <c:v>8.5014565497811301</c:v>
                </c:pt>
                <c:pt idx="72">
                  <c:v>11.707659285646336</c:v>
                </c:pt>
                <c:pt idx="73">
                  <c:v>13.527324619009233</c:v>
                </c:pt>
                <c:pt idx="74">
                  <c:v>11.870249665129652</c:v>
                </c:pt>
                <c:pt idx="75">
                  <c:v>10.408540125250047</c:v>
                </c:pt>
                <c:pt idx="76">
                  <c:v>13.060864822355382</c:v>
                </c:pt>
                <c:pt idx="77">
                  <c:v>26.299787150111015</c:v>
                </c:pt>
                <c:pt idx="78">
                  <c:v>29.659591456974145</c:v>
                </c:pt>
                <c:pt idx="79">
                  <c:v>39.75471162494987</c:v>
                </c:pt>
                <c:pt idx="80">
                  <c:v>36.765948773141197</c:v>
                </c:pt>
                <c:pt idx="81">
                  <c:v>41.537480082191912</c:v>
                </c:pt>
                <c:pt idx="82">
                  <c:v>40.942026444720447</c:v>
                </c:pt>
                <c:pt idx="83">
                  <c:v>37.471775203905096</c:v>
                </c:pt>
                <c:pt idx="84">
                  <c:v>40.461409887039004</c:v>
                </c:pt>
                <c:pt idx="85">
                  <c:v>39.938682437669058</c:v>
                </c:pt>
                <c:pt idx="86">
                  <c:v>31.059464185190702</c:v>
                </c:pt>
                <c:pt idx="87">
                  <c:v>25.642853902516716</c:v>
                </c:pt>
                <c:pt idx="88">
                  <c:v>7.2264650812653999</c:v>
                </c:pt>
                <c:pt idx="89">
                  <c:v>25.232068143426499</c:v>
                </c:pt>
                <c:pt idx="90">
                  <c:v>27.500849787872205</c:v>
                </c:pt>
                <c:pt idx="91">
                  <c:v>18.630228583354729</c:v>
                </c:pt>
                <c:pt idx="92">
                  <c:v>23.063848281530536</c:v>
                </c:pt>
                <c:pt idx="93">
                  <c:v>39.940479649038835</c:v>
                </c:pt>
                <c:pt idx="94">
                  <c:v>46.215016794107541</c:v>
                </c:pt>
                <c:pt idx="95">
                  <c:v>11.739811025552886</c:v>
                </c:pt>
                <c:pt idx="96">
                  <c:v>35.512425035945668</c:v>
                </c:pt>
                <c:pt idx="97">
                  <c:v>27.737445536317107</c:v>
                </c:pt>
                <c:pt idx="98">
                  <c:v>33.656158920290657</c:v>
                </c:pt>
                <c:pt idx="99">
                  <c:v>47.654598079802525</c:v>
                </c:pt>
                <c:pt idx="100">
                  <c:v>36.460348239691776</c:v>
                </c:pt>
                <c:pt idx="101">
                  <c:v>33.494452609743959</c:v>
                </c:pt>
                <c:pt idx="102">
                  <c:v>7.3811747550139213</c:v>
                </c:pt>
                <c:pt idx="103">
                  <c:v>36.083690742926102</c:v>
                </c:pt>
                <c:pt idx="104">
                  <c:v>40.060214305714382</c:v>
                </c:pt>
                <c:pt idx="105">
                  <c:v>42.951813992092717</c:v>
                </c:pt>
                <c:pt idx="106">
                  <c:v>48.747732586850674</c:v>
                </c:pt>
                <c:pt idx="107">
                  <c:v>39.164738176343327</c:v>
                </c:pt>
                <c:pt idx="108">
                  <c:v>10.699630304272407</c:v>
                </c:pt>
                <c:pt idx="109">
                  <c:v>10.099256389759505</c:v>
                </c:pt>
                <c:pt idx="110">
                  <c:v>9.6355397881240226</c:v>
                </c:pt>
                <c:pt idx="111">
                  <c:v>29.136781406403287</c:v>
                </c:pt>
                <c:pt idx="112">
                  <c:v>8.4265273459217411</c:v>
                </c:pt>
                <c:pt idx="113">
                  <c:v>36.01618079005776</c:v>
                </c:pt>
                <c:pt idx="114">
                  <c:v>44.930435454660177</c:v>
                </c:pt>
                <c:pt idx="115">
                  <c:v>49.821545420455699</c:v>
                </c:pt>
                <c:pt idx="116">
                  <c:v>35.535780691601694</c:v>
                </c:pt>
                <c:pt idx="117">
                  <c:v>21.766494221706289</c:v>
                </c:pt>
                <c:pt idx="118">
                  <c:v>40.891738622493911</c:v>
                </c:pt>
                <c:pt idx="119">
                  <c:v>46.318655892348865</c:v>
                </c:pt>
                <c:pt idx="120">
                  <c:v>45.677109467382067</c:v>
                </c:pt>
                <c:pt idx="121">
                  <c:v>27.917001716515557</c:v>
                </c:pt>
                <c:pt idx="122">
                  <c:v>32.985414104976854</c:v>
                </c:pt>
                <c:pt idx="123">
                  <c:v>0.83724438614094265</c:v>
                </c:pt>
                <c:pt idx="124">
                  <c:v>38.468988909849571</c:v>
                </c:pt>
                <c:pt idx="125">
                  <c:v>35.652958301464324</c:v>
                </c:pt>
                <c:pt idx="126">
                  <c:v>48.967800033447702</c:v>
                </c:pt>
                <c:pt idx="127">
                  <c:v>49.803163457956991</c:v>
                </c:pt>
                <c:pt idx="128">
                  <c:v>55.290283076290159</c:v>
                </c:pt>
                <c:pt idx="129">
                  <c:v>50.746771752804911</c:v>
                </c:pt>
                <c:pt idx="130">
                  <c:v>55.603913806620028</c:v>
                </c:pt>
                <c:pt idx="131">
                  <c:v>43.363375662326305</c:v>
                </c:pt>
                <c:pt idx="132">
                  <c:v>46.267963391667799</c:v>
                </c:pt>
                <c:pt idx="133">
                  <c:v>47.684023463692085</c:v>
                </c:pt>
                <c:pt idx="134">
                  <c:v>51.58001117725486</c:v>
                </c:pt>
                <c:pt idx="135">
                  <c:v>50.274128530769062</c:v>
                </c:pt>
                <c:pt idx="136">
                  <c:v>54.200294720761264</c:v>
                </c:pt>
                <c:pt idx="137">
                  <c:v>52.738648325565109</c:v>
                </c:pt>
                <c:pt idx="138">
                  <c:v>54.656352027635897</c:v>
                </c:pt>
                <c:pt idx="139">
                  <c:v>47.599060413957069</c:v>
                </c:pt>
                <c:pt idx="140">
                  <c:v>48.289002117517015</c:v>
                </c:pt>
                <c:pt idx="141">
                  <c:v>34.311887194025616</c:v>
                </c:pt>
                <c:pt idx="142">
                  <c:v>17.705940518029635</c:v>
                </c:pt>
                <c:pt idx="143">
                  <c:v>14.751475321868107</c:v>
                </c:pt>
                <c:pt idx="144">
                  <c:v>41.037566946532884</c:v>
                </c:pt>
                <c:pt idx="145">
                  <c:v>21.551326527443646</c:v>
                </c:pt>
                <c:pt idx="146">
                  <c:v>40.849118982196721</c:v>
                </c:pt>
                <c:pt idx="147">
                  <c:v>54.538147476952645</c:v>
                </c:pt>
                <c:pt idx="148">
                  <c:v>59.521991108511394</c:v>
                </c:pt>
                <c:pt idx="149">
                  <c:v>50.888479757612963</c:v>
                </c:pt>
                <c:pt idx="150">
                  <c:v>54.546365000383865</c:v>
                </c:pt>
                <c:pt idx="151">
                  <c:v>56.09730915518243</c:v>
                </c:pt>
                <c:pt idx="152">
                  <c:v>44.055526783674431</c:v>
                </c:pt>
                <c:pt idx="153">
                  <c:v>53.389389655620434</c:v>
                </c:pt>
                <c:pt idx="154">
                  <c:v>30.316163440326875</c:v>
                </c:pt>
                <c:pt idx="155">
                  <c:v>31.667145688893974</c:v>
                </c:pt>
                <c:pt idx="156">
                  <c:v>42.250976576484973</c:v>
                </c:pt>
                <c:pt idx="157">
                  <c:v>31.79597275501877</c:v>
                </c:pt>
                <c:pt idx="158">
                  <c:v>22.36775240225851</c:v>
                </c:pt>
                <c:pt idx="159">
                  <c:v>44.48876233265473</c:v>
                </c:pt>
                <c:pt idx="160">
                  <c:v>58.435050708033522</c:v>
                </c:pt>
                <c:pt idx="161">
                  <c:v>54.820490389807631</c:v>
                </c:pt>
                <c:pt idx="162">
                  <c:v>43.261436496605981</c:v>
                </c:pt>
                <c:pt idx="163">
                  <c:v>53.14569540573234</c:v>
                </c:pt>
                <c:pt idx="164">
                  <c:v>45.642196128954289</c:v>
                </c:pt>
                <c:pt idx="165">
                  <c:v>53.907076257965031</c:v>
                </c:pt>
                <c:pt idx="166">
                  <c:v>50.040695423496828</c:v>
                </c:pt>
                <c:pt idx="167">
                  <c:v>51.620917959024162</c:v>
                </c:pt>
                <c:pt idx="168">
                  <c:v>53.661568389905476</c:v>
                </c:pt>
                <c:pt idx="169">
                  <c:v>54.990292998652706</c:v>
                </c:pt>
                <c:pt idx="170">
                  <c:v>32.653875141954437</c:v>
                </c:pt>
                <c:pt idx="171">
                  <c:v>19.385989710167742</c:v>
                </c:pt>
                <c:pt idx="172">
                  <c:v>46.816789205445126</c:v>
                </c:pt>
                <c:pt idx="173">
                  <c:v>41.487512653812047</c:v>
                </c:pt>
                <c:pt idx="174">
                  <c:v>43.870329838601634</c:v>
                </c:pt>
                <c:pt idx="175">
                  <c:v>30.72641700286233</c:v>
                </c:pt>
                <c:pt idx="176">
                  <c:v>11.740868306515068</c:v>
                </c:pt>
                <c:pt idx="177">
                  <c:v>17.431279300451394</c:v>
                </c:pt>
                <c:pt idx="178">
                  <c:v>59.472419991491932</c:v>
                </c:pt>
                <c:pt idx="179">
                  <c:v>55.222555231341474</c:v>
                </c:pt>
                <c:pt idx="180">
                  <c:v>13.374959286814745</c:v>
                </c:pt>
                <c:pt idx="181">
                  <c:v>54.555264193926817</c:v>
                </c:pt>
                <c:pt idx="182">
                  <c:v>50.797982120704077</c:v>
                </c:pt>
                <c:pt idx="183">
                  <c:v>42.98001553916172</c:v>
                </c:pt>
                <c:pt idx="184">
                  <c:v>45.09704075428629</c:v>
                </c:pt>
                <c:pt idx="185">
                  <c:v>54.362738876046734</c:v>
                </c:pt>
                <c:pt idx="186">
                  <c:v>42.114504030476802</c:v>
                </c:pt>
                <c:pt idx="187">
                  <c:v>52.295301580030696</c:v>
                </c:pt>
                <c:pt idx="188">
                  <c:v>57.390437043539805</c:v>
                </c:pt>
                <c:pt idx="189">
                  <c:v>56.369881290709813</c:v>
                </c:pt>
                <c:pt idx="190">
                  <c:v>55.799703434841881</c:v>
                </c:pt>
                <c:pt idx="191">
                  <c:v>53.874847801779218</c:v>
                </c:pt>
                <c:pt idx="192">
                  <c:v>53.979675461536395</c:v>
                </c:pt>
                <c:pt idx="193">
                  <c:v>53.64514203605335</c:v>
                </c:pt>
                <c:pt idx="194">
                  <c:v>52.964838519092744</c:v>
                </c:pt>
                <c:pt idx="195">
                  <c:v>51.172108354527737</c:v>
                </c:pt>
                <c:pt idx="196">
                  <c:v>52.696744838148092</c:v>
                </c:pt>
                <c:pt idx="197">
                  <c:v>51.795684014720074</c:v>
                </c:pt>
                <c:pt idx="198">
                  <c:v>52.074699621599024</c:v>
                </c:pt>
                <c:pt idx="199">
                  <c:v>42.113962910425471</c:v>
                </c:pt>
                <c:pt idx="200">
                  <c:v>40.393289534044172</c:v>
                </c:pt>
                <c:pt idx="201">
                  <c:v>51.092507957097602</c:v>
                </c:pt>
                <c:pt idx="202">
                  <c:v>38.481264264953907</c:v>
                </c:pt>
                <c:pt idx="203">
                  <c:v>48.051926806491522</c:v>
                </c:pt>
                <c:pt idx="204">
                  <c:v>50.636078054298984</c:v>
                </c:pt>
                <c:pt idx="205">
                  <c:v>30.591188599937418</c:v>
                </c:pt>
                <c:pt idx="206">
                  <c:v>51.768085059000526</c:v>
                </c:pt>
                <c:pt idx="207">
                  <c:v>54.481670958293272</c:v>
                </c:pt>
                <c:pt idx="208">
                  <c:v>46.450405841610419</c:v>
                </c:pt>
                <c:pt idx="209">
                  <c:v>26.915351837564256</c:v>
                </c:pt>
                <c:pt idx="210">
                  <c:v>45.672515990892926</c:v>
                </c:pt>
                <c:pt idx="211">
                  <c:v>50.417800260387097</c:v>
                </c:pt>
                <c:pt idx="212">
                  <c:v>52.34176163608489</c:v>
                </c:pt>
                <c:pt idx="213">
                  <c:v>50.483168585844723</c:v>
                </c:pt>
                <c:pt idx="214">
                  <c:v>48.620805967251769</c:v>
                </c:pt>
                <c:pt idx="215">
                  <c:v>45.160417386674588</c:v>
                </c:pt>
                <c:pt idx="216">
                  <c:v>44.198516183969822</c:v>
                </c:pt>
                <c:pt idx="217">
                  <c:v>46.851948679668453</c:v>
                </c:pt>
                <c:pt idx="218">
                  <c:v>49.885128927246996</c:v>
                </c:pt>
                <c:pt idx="219">
                  <c:v>50.580546891069133</c:v>
                </c:pt>
                <c:pt idx="220">
                  <c:v>48.643280598757862</c:v>
                </c:pt>
                <c:pt idx="221">
                  <c:v>46.839164419231096</c:v>
                </c:pt>
                <c:pt idx="222">
                  <c:v>42.430193624073581</c:v>
                </c:pt>
                <c:pt idx="223">
                  <c:v>45.111881120350589</c:v>
                </c:pt>
                <c:pt idx="224">
                  <c:v>30.427430631968043</c:v>
                </c:pt>
                <c:pt idx="225">
                  <c:v>32.739415693770795</c:v>
                </c:pt>
                <c:pt idx="226">
                  <c:v>38.397511966509477</c:v>
                </c:pt>
                <c:pt idx="227">
                  <c:v>30.634918562365758</c:v>
                </c:pt>
                <c:pt idx="228">
                  <c:v>22.199809437281942</c:v>
                </c:pt>
                <c:pt idx="229">
                  <c:v>37.428084552630132</c:v>
                </c:pt>
                <c:pt idx="230">
                  <c:v>38.750683625515684</c:v>
                </c:pt>
                <c:pt idx="231">
                  <c:v>45.672318707358642</c:v>
                </c:pt>
                <c:pt idx="232">
                  <c:v>29.988703187095936</c:v>
                </c:pt>
                <c:pt idx="233">
                  <c:v>24.052142796317995</c:v>
                </c:pt>
                <c:pt idx="234">
                  <c:v>42.635170103768061</c:v>
                </c:pt>
                <c:pt idx="235">
                  <c:v>43.049162723430143</c:v>
                </c:pt>
                <c:pt idx="236">
                  <c:v>32.799604347851286</c:v>
                </c:pt>
                <c:pt idx="237">
                  <c:v>39.72811483225054</c:v>
                </c:pt>
                <c:pt idx="238">
                  <c:v>46.222075041955812</c:v>
                </c:pt>
                <c:pt idx="239">
                  <c:v>44.577558769250928</c:v>
                </c:pt>
                <c:pt idx="240">
                  <c:v>31.323457005258984</c:v>
                </c:pt>
                <c:pt idx="241">
                  <c:v>43.613647606194718</c:v>
                </c:pt>
                <c:pt idx="242">
                  <c:v>20.48048259749098</c:v>
                </c:pt>
                <c:pt idx="243">
                  <c:v>41.266123510482572</c:v>
                </c:pt>
                <c:pt idx="244">
                  <c:v>35.868965568191683</c:v>
                </c:pt>
                <c:pt idx="245">
                  <c:v>29.519114453428724</c:v>
                </c:pt>
                <c:pt idx="246">
                  <c:v>42.960733146359409</c:v>
                </c:pt>
                <c:pt idx="247">
                  <c:v>37.092025485858215</c:v>
                </c:pt>
                <c:pt idx="248">
                  <c:v>41.607530027348034</c:v>
                </c:pt>
                <c:pt idx="249">
                  <c:v>33.549770753587254</c:v>
                </c:pt>
                <c:pt idx="250">
                  <c:v>36.108892640534719</c:v>
                </c:pt>
                <c:pt idx="251">
                  <c:v>20.533964801092534</c:v>
                </c:pt>
                <c:pt idx="252">
                  <c:v>40.383493730603931</c:v>
                </c:pt>
                <c:pt idx="253">
                  <c:v>40.232492315297961</c:v>
                </c:pt>
                <c:pt idx="254">
                  <c:v>27.96654176822976</c:v>
                </c:pt>
                <c:pt idx="255">
                  <c:v>11.611386222154211</c:v>
                </c:pt>
                <c:pt idx="256">
                  <c:v>33.949502738450249</c:v>
                </c:pt>
                <c:pt idx="257">
                  <c:v>37.0481658136951</c:v>
                </c:pt>
                <c:pt idx="258">
                  <c:v>25.571363287624195</c:v>
                </c:pt>
                <c:pt idx="259">
                  <c:v>40.14309697564795</c:v>
                </c:pt>
                <c:pt idx="260">
                  <c:v>40.459028869660855</c:v>
                </c:pt>
                <c:pt idx="261">
                  <c:v>38.794494410126525</c:v>
                </c:pt>
                <c:pt idx="262">
                  <c:v>39.771668229129737</c:v>
                </c:pt>
                <c:pt idx="263">
                  <c:v>38.627422289200695</c:v>
                </c:pt>
                <c:pt idx="264">
                  <c:v>37.330665652431769</c:v>
                </c:pt>
                <c:pt idx="265">
                  <c:v>24.041522505700762</c:v>
                </c:pt>
                <c:pt idx="266">
                  <c:v>16.133220243306024</c:v>
                </c:pt>
                <c:pt idx="267">
                  <c:v>26.947036852926868</c:v>
                </c:pt>
                <c:pt idx="268">
                  <c:v>28.934587876424189</c:v>
                </c:pt>
                <c:pt idx="269">
                  <c:v>14.136730665330164</c:v>
                </c:pt>
                <c:pt idx="270">
                  <c:v>16.634088596239497</c:v>
                </c:pt>
                <c:pt idx="271">
                  <c:v>22.241457668424218</c:v>
                </c:pt>
                <c:pt idx="272">
                  <c:v>25.696452499326906</c:v>
                </c:pt>
                <c:pt idx="273">
                  <c:v>30.927683055608725</c:v>
                </c:pt>
                <c:pt idx="274">
                  <c:v>32.678908905916217</c:v>
                </c:pt>
                <c:pt idx="275">
                  <c:v>30.840309114169777</c:v>
                </c:pt>
                <c:pt idx="276">
                  <c:v>32.986151355871051</c:v>
                </c:pt>
                <c:pt idx="277">
                  <c:v>33.326086971719562</c:v>
                </c:pt>
                <c:pt idx="278">
                  <c:v>14.326158073212452</c:v>
                </c:pt>
                <c:pt idx="279">
                  <c:v>24.611686071541168</c:v>
                </c:pt>
                <c:pt idx="280">
                  <c:v>15.080894534863239</c:v>
                </c:pt>
                <c:pt idx="281">
                  <c:v>30.480309532165506</c:v>
                </c:pt>
                <c:pt idx="282">
                  <c:v>26.050311701772024</c:v>
                </c:pt>
                <c:pt idx="283">
                  <c:v>22.534049049766992</c:v>
                </c:pt>
                <c:pt idx="284">
                  <c:v>24.325008266420458</c:v>
                </c:pt>
                <c:pt idx="285">
                  <c:v>20.077511053927438</c:v>
                </c:pt>
                <c:pt idx="286">
                  <c:v>16.861595366211727</c:v>
                </c:pt>
                <c:pt idx="287">
                  <c:v>28.588136115323117</c:v>
                </c:pt>
                <c:pt idx="288">
                  <c:v>26.612305526645123</c:v>
                </c:pt>
                <c:pt idx="289">
                  <c:v>16.97324294251624</c:v>
                </c:pt>
                <c:pt idx="290">
                  <c:v>26.553588082175587</c:v>
                </c:pt>
                <c:pt idx="291">
                  <c:v>14.368475020804189</c:v>
                </c:pt>
                <c:pt idx="292">
                  <c:v>7.9574605640192653</c:v>
                </c:pt>
                <c:pt idx="293">
                  <c:v>13.930568328199858</c:v>
                </c:pt>
                <c:pt idx="294">
                  <c:v>24.716385397892225</c:v>
                </c:pt>
                <c:pt idx="295">
                  <c:v>16.718899539586157</c:v>
                </c:pt>
                <c:pt idx="296">
                  <c:v>19.783600540127271</c:v>
                </c:pt>
                <c:pt idx="297">
                  <c:v>18.302565729879181</c:v>
                </c:pt>
                <c:pt idx="298">
                  <c:v>14.512078336900824</c:v>
                </c:pt>
                <c:pt idx="299">
                  <c:v>11.609109691736146</c:v>
                </c:pt>
                <c:pt idx="300">
                  <c:v>15.811802002231415</c:v>
                </c:pt>
                <c:pt idx="301">
                  <c:v>20.090733795359487</c:v>
                </c:pt>
                <c:pt idx="302">
                  <c:v>17.328707012993817</c:v>
                </c:pt>
                <c:pt idx="303">
                  <c:v>16.889608101448367</c:v>
                </c:pt>
                <c:pt idx="304">
                  <c:v>15.950778195128803</c:v>
                </c:pt>
                <c:pt idx="305">
                  <c:v>21.611576673785141</c:v>
                </c:pt>
                <c:pt idx="306">
                  <c:v>5.6913793818974723</c:v>
                </c:pt>
                <c:pt idx="307">
                  <c:v>11.774017752508533</c:v>
                </c:pt>
                <c:pt idx="308">
                  <c:v>20.624046015779232</c:v>
                </c:pt>
                <c:pt idx="309">
                  <c:v>20.679186471013427</c:v>
                </c:pt>
                <c:pt idx="310">
                  <c:v>20.543536267680668</c:v>
                </c:pt>
                <c:pt idx="311">
                  <c:v>13.588371017149987</c:v>
                </c:pt>
                <c:pt idx="312">
                  <c:v>8.0393142835814437</c:v>
                </c:pt>
                <c:pt idx="313">
                  <c:v>18.09250051661348</c:v>
                </c:pt>
                <c:pt idx="314">
                  <c:v>18.652226145332151</c:v>
                </c:pt>
                <c:pt idx="315">
                  <c:v>18.518649267372503</c:v>
                </c:pt>
                <c:pt idx="316">
                  <c:v>16.43496093933333</c:v>
                </c:pt>
                <c:pt idx="317">
                  <c:v>9.4895129059772714</c:v>
                </c:pt>
                <c:pt idx="318">
                  <c:v>11.566565369169172</c:v>
                </c:pt>
                <c:pt idx="319">
                  <c:v>18.131873304442909</c:v>
                </c:pt>
                <c:pt idx="320">
                  <c:v>11.908462751387781</c:v>
                </c:pt>
                <c:pt idx="321">
                  <c:v>11.26918632356022</c:v>
                </c:pt>
                <c:pt idx="322">
                  <c:v>8.2922539052215747</c:v>
                </c:pt>
                <c:pt idx="323">
                  <c:v>13.565011388201489</c:v>
                </c:pt>
                <c:pt idx="324">
                  <c:v>3.2397290051455534</c:v>
                </c:pt>
                <c:pt idx="325">
                  <c:v>8.5874404462037521</c:v>
                </c:pt>
                <c:pt idx="326">
                  <c:v>12.773270903802334</c:v>
                </c:pt>
                <c:pt idx="327">
                  <c:v>11.552344957693858</c:v>
                </c:pt>
                <c:pt idx="328">
                  <c:v>4.7418780177981477</c:v>
                </c:pt>
                <c:pt idx="329">
                  <c:v>10.183291424347717</c:v>
                </c:pt>
                <c:pt idx="330">
                  <c:v>12.089143131626482</c:v>
                </c:pt>
                <c:pt idx="331">
                  <c:v>9.5350979357850552</c:v>
                </c:pt>
                <c:pt idx="332">
                  <c:v>10.796980734504062</c:v>
                </c:pt>
                <c:pt idx="333">
                  <c:v>4.3868674173753268</c:v>
                </c:pt>
                <c:pt idx="334">
                  <c:v>3.7986096306632668</c:v>
                </c:pt>
                <c:pt idx="335">
                  <c:v>5.2463077525409689</c:v>
                </c:pt>
                <c:pt idx="336">
                  <c:v>8.244753929604002</c:v>
                </c:pt>
                <c:pt idx="337">
                  <c:v>14.006106702189085</c:v>
                </c:pt>
                <c:pt idx="338">
                  <c:v>16.438843824085211</c:v>
                </c:pt>
                <c:pt idx="339">
                  <c:v>11.803646770171904</c:v>
                </c:pt>
                <c:pt idx="340">
                  <c:v>14.531204176402607</c:v>
                </c:pt>
                <c:pt idx="341">
                  <c:v>4.3403136839430898</c:v>
                </c:pt>
                <c:pt idx="342">
                  <c:v>8.2775845234530099</c:v>
                </c:pt>
                <c:pt idx="343">
                  <c:v>12.130523438511753</c:v>
                </c:pt>
                <c:pt idx="344">
                  <c:v>12.71110416286435</c:v>
                </c:pt>
                <c:pt idx="345">
                  <c:v>4.4159484630355124</c:v>
                </c:pt>
                <c:pt idx="346">
                  <c:v>5.3171972078646332</c:v>
                </c:pt>
                <c:pt idx="347">
                  <c:v>12.522247656242678</c:v>
                </c:pt>
                <c:pt idx="348">
                  <c:v>6.1404607375921687</c:v>
                </c:pt>
                <c:pt idx="349">
                  <c:v>5.4224253402395162</c:v>
                </c:pt>
                <c:pt idx="350">
                  <c:v>3.3606586911952885</c:v>
                </c:pt>
                <c:pt idx="351">
                  <c:v>13.083454455932694</c:v>
                </c:pt>
                <c:pt idx="352">
                  <c:v>12.830735647799978</c:v>
                </c:pt>
                <c:pt idx="353">
                  <c:v>4.077703612110315</c:v>
                </c:pt>
                <c:pt idx="354">
                  <c:v>14.865058658351433</c:v>
                </c:pt>
                <c:pt idx="355">
                  <c:v>13.184223655903272</c:v>
                </c:pt>
                <c:pt idx="356">
                  <c:v>13.812202516014798</c:v>
                </c:pt>
                <c:pt idx="357">
                  <c:v>15.724059668698308</c:v>
                </c:pt>
                <c:pt idx="358">
                  <c:v>8.8865129470809361</c:v>
                </c:pt>
                <c:pt idx="359">
                  <c:v>13.816099781496737</c:v>
                </c:pt>
                <c:pt idx="360">
                  <c:v>6.5800418923806197</c:v>
                </c:pt>
                <c:pt idx="361">
                  <c:v>14.634788961290369</c:v>
                </c:pt>
                <c:pt idx="362">
                  <c:v>9.8285628675806489</c:v>
                </c:pt>
                <c:pt idx="363">
                  <c:v>12.484103560605272</c:v>
                </c:pt>
                <c:pt idx="364">
                  <c:v>9.7388173383095857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611856"/>
        <c:axId val="413612248"/>
      </c:lineChart>
      <c:dateAx>
        <c:axId val="413611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612248"/>
        <c:crosses val="autoZero"/>
        <c:auto val="1"/>
        <c:lblOffset val="100"/>
        <c:baseTimeUnit val="days"/>
        <c:majorUnit val="1"/>
        <c:majorTimeUnit val="months"/>
      </c:dateAx>
      <c:valAx>
        <c:axId val="4136122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6118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6.1118863404340695E-2</c:v>
                </c:pt>
                <c:pt idx="1">
                  <c:v>6.1140712540006303E-2</c:v>
                </c:pt>
                <c:pt idx="2">
                  <c:v>6.1162561167210638E-2</c:v>
                </c:pt>
                <c:pt idx="3">
                  <c:v>6.1184409285965469E-2</c:v>
                </c:pt>
                <c:pt idx="4">
                  <c:v>6.1206256896282674E-2</c:v>
                </c:pt>
                <c:pt idx="5">
                  <c:v>6.1228103998174133E-2</c:v>
                </c:pt>
                <c:pt idx="6">
                  <c:v>6.1249950591651614E-2</c:v>
                </c:pt>
                <c:pt idx="7">
                  <c:v>6.1271796676726886E-2</c:v>
                </c:pt>
                <c:pt idx="8">
                  <c:v>6.1293642253411829E-2</c:v>
                </c:pt>
                <c:pt idx="9">
                  <c:v>6.1315487321718321E-2</c:v>
                </c:pt>
                <c:pt idx="10">
                  <c:v>6.133733188165813E-2</c:v>
                </c:pt>
                <c:pt idx="11">
                  <c:v>6.1359175933243137E-2</c:v>
                </c:pt>
                <c:pt idx="12">
                  <c:v>6.1381019476485221E-2</c:v>
                </c:pt>
                <c:pt idx="13">
                  <c:v>6.1402862511396039E-2</c:v>
                </c:pt>
                <c:pt idx="14">
                  <c:v>6.1424705037987581E-2</c:v>
                </c:pt>
                <c:pt idx="15">
                  <c:v>6.1446547056271617E-2</c:v>
                </c:pt>
                <c:pt idx="16">
                  <c:v>6.1468388566259913E-2</c:v>
                </c:pt>
                <c:pt idx="17">
                  <c:v>6.1490229567964461E-2</c:v>
                </c:pt>
                <c:pt idx="18">
                  <c:v>6.1512070061396917E-2</c:v>
                </c:pt>
                <c:pt idx="19">
                  <c:v>6.1533910046569273E-2</c:v>
                </c:pt>
                <c:pt idx="20">
                  <c:v>6.1555749523493186E-2</c:v>
                </c:pt>
                <c:pt idx="21">
                  <c:v>6.1577588492180535E-2</c:v>
                </c:pt>
                <c:pt idx="22">
                  <c:v>6.159942695264331E-2</c:v>
                </c:pt>
                <c:pt idx="23">
                  <c:v>6.1621264904893058E-2</c:v>
                </c:pt>
                <c:pt idx="24">
                  <c:v>6.1643102348941881E-2</c:v>
                </c:pt>
                <c:pt idx="25">
                  <c:v>6.1664939284801434E-2</c:v>
                </c:pt>
                <c:pt idx="26">
                  <c:v>6.1686775712483488E-2</c:v>
                </c:pt>
                <c:pt idx="27">
                  <c:v>6.1708611632000143E-2</c:v>
                </c:pt>
                <c:pt idx="28">
                  <c:v>6.1730447043362946E-2</c:v>
                </c:pt>
                <c:pt idx="29">
                  <c:v>6.1752281946583776E-2</c:v>
                </c:pt>
                <c:pt idx="30">
                  <c:v>6.1774116341674623E-2</c:v>
                </c:pt>
                <c:pt idx="31">
                  <c:v>6.1795950228647145E-2</c:v>
                </c:pt>
                <c:pt idx="32">
                  <c:v>6.1817783607513221E-2</c:v>
                </c:pt>
                <c:pt idx="33">
                  <c:v>6.1839616478284731E-2</c:v>
                </c:pt>
                <c:pt idx="34">
                  <c:v>6.1861448840973332E-2</c:v>
                </c:pt>
                <c:pt idx="35">
                  <c:v>6.1883280695591014E-2</c:v>
                </c:pt>
                <c:pt idx="36">
                  <c:v>6.1905112042149546E-2</c:v>
                </c:pt>
                <c:pt idx="37">
                  <c:v>6.1926942880660807E-2</c:v>
                </c:pt>
                <c:pt idx="38">
                  <c:v>6.1948773211136454E-2</c:v>
                </c:pt>
                <c:pt idx="39">
                  <c:v>6.1970603033588478E-2</c:v>
                </c:pt>
                <c:pt idx="40">
                  <c:v>6.1992432348028648E-2</c:v>
                </c:pt>
                <c:pt idx="41">
                  <c:v>6.2014261154468731E-2</c:v>
                </c:pt>
                <c:pt idx="42">
                  <c:v>6.2036089452920717E-2</c:v>
                </c:pt>
                <c:pt idx="43">
                  <c:v>6.2057917243396155E-2</c:v>
                </c:pt>
                <c:pt idx="44">
                  <c:v>6.2079744525907143E-2</c:v>
                </c:pt>
                <c:pt idx="45">
                  <c:v>6.2101571300465341E-2</c:v>
                </c:pt>
                <c:pt idx="46">
                  <c:v>6.2123397567082628E-2</c:v>
                </c:pt>
                <c:pt idx="47">
                  <c:v>6.2145223325770771E-2</c:v>
                </c:pt>
                <c:pt idx="48">
                  <c:v>6.2167048576541539E-2</c:v>
                </c:pt>
                <c:pt idx="49">
                  <c:v>6.2188873319406923E-2</c:v>
                </c:pt>
                <c:pt idx="50">
                  <c:v>6.2210697554378691E-2</c:v>
                </c:pt>
                <c:pt idx="51">
                  <c:v>6.2232521281468611E-2</c:v>
                </c:pt>
                <c:pt idx="52">
                  <c:v>6.2254344500688563E-2</c:v>
                </c:pt>
                <c:pt idx="53">
                  <c:v>6.2276167212050204E-2</c:v>
                </c:pt>
                <c:pt idx="54">
                  <c:v>6.2297989415565524E-2</c:v>
                </c:pt>
                <c:pt idx="55">
                  <c:v>6.2319811111246293E-2</c:v>
                </c:pt>
                <c:pt idx="56">
                  <c:v>6.2341632299104277E-2</c:v>
                </c:pt>
                <c:pt idx="57">
                  <c:v>6.2363452979151468E-2</c:v>
                </c:pt>
                <c:pt idx="58">
                  <c:v>6.2385273151399412E-2</c:v>
                </c:pt>
                <c:pt idx="59">
                  <c:v>6.240709281586021E-2</c:v>
                </c:pt>
                <c:pt idx="60">
                  <c:v>6.2428911972545409E-2</c:v>
                </c:pt>
                <c:pt idx="61">
                  <c:v>6.2450730621466999E-2</c:v>
                </c:pt>
                <c:pt idx="62">
                  <c:v>6.2472548762636748E-2</c:v>
                </c:pt>
                <c:pt idx="63">
                  <c:v>6.2494366396066536E-2</c:v>
                </c:pt>
                <c:pt idx="64">
                  <c:v>6.2516183521768132E-2</c:v>
                </c:pt>
                <c:pt idx="65">
                  <c:v>6.2538000139753303E-2</c:v>
                </c:pt>
                <c:pt idx="66">
                  <c:v>6.2559816250033817E-2</c:v>
                </c:pt>
                <c:pt idx="67">
                  <c:v>6.2581631852621666E-2</c:v>
                </c:pt>
                <c:pt idx="68">
                  <c:v>6.2603446947528507E-2</c:v>
                </c:pt>
                <c:pt idx="69">
                  <c:v>6.262526153476633E-2</c:v>
                </c:pt>
                <c:pt idx="70">
                  <c:v>6.2647075614346792E-2</c:v>
                </c:pt>
                <c:pt idx="71">
                  <c:v>6.2668889186281662E-2</c:v>
                </c:pt>
                <c:pt idx="72">
                  <c:v>6.269070225058293E-2</c:v>
                </c:pt>
                <c:pt idx="73">
                  <c:v>6.2712514807262365E-2</c:v>
                </c:pt>
                <c:pt idx="74">
                  <c:v>6.2734326856331624E-2</c:v>
                </c:pt>
                <c:pt idx="75">
                  <c:v>6.2756138397802697E-2</c:v>
                </c:pt>
                <c:pt idx="76">
                  <c:v>6.2777949431687352E-2</c:v>
                </c:pt>
                <c:pt idx="77">
                  <c:v>6.2799759957997359E-2</c:v>
                </c:pt>
                <c:pt idx="78">
                  <c:v>6.2821569976744596E-2</c:v>
                </c:pt>
                <c:pt idx="79">
                  <c:v>6.2843379487940831E-2</c:v>
                </c:pt>
                <c:pt idx="80">
                  <c:v>6.2865188491597834E-2</c:v>
                </c:pt>
                <c:pt idx="81">
                  <c:v>6.2886996987727484E-2</c:v>
                </c:pt>
                <c:pt idx="82">
                  <c:v>6.2908804976341548E-2</c:v>
                </c:pt>
                <c:pt idx="83">
                  <c:v>6.2930612457451907E-2</c:v>
                </c:pt>
                <c:pt idx="84">
                  <c:v>6.2952419431070328E-2</c:v>
                </c:pt>
                <c:pt idx="85">
                  <c:v>6.297422589720858E-2</c:v>
                </c:pt>
                <c:pt idx="86">
                  <c:v>6.2996031855878432E-2</c:v>
                </c:pt>
                <c:pt idx="87">
                  <c:v>6.3017837307091873E-2</c:v>
                </c:pt>
                <c:pt idx="88">
                  <c:v>6.3039642250860561E-2</c:v>
                </c:pt>
                <c:pt idx="89">
                  <c:v>6.3061446687196376E-2</c:v>
                </c:pt>
                <c:pt idx="90">
                  <c:v>6.3083250616111086E-2</c:v>
                </c:pt>
                <c:pt idx="91">
                  <c:v>6.310505403761657E-2</c:v>
                </c:pt>
                <c:pt idx="92">
                  <c:v>6.3126856951724486E-2</c:v>
                </c:pt>
                <c:pt idx="93">
                  <c:v>6.3148659358446824E-2</c:v>
                </c:pt>
                <c:pt idx="94">
                  <c:v>6.3170461257795241E-2</c:v>
                </c:pt>
                <c:pt idx="95">
                  <c:v>6.3192262649781616E-2</c:v>
                </c:pt>
                <c:pt idx="96">
                  <c:v>6.321406353441783E-2</c:v>
                </c:pt>
                <c:pt idx="97">
                  <c:v>6.323586391171554E-2</c:v>
                </c:pt>
                <c:pt idx="98">
                  <c:v>6.3257663781686624E-2</c:v>
                </c:pt>
                <c:pt idx="99">
                  <c:v>6.3279463144342962E-2</c:v>
                </c:pt>
                <c:pt idx="100">
                  <c:v>6.3301261999696212E-2</c:v>
                </c:pt>
                <c:pt idx="101">
                  <c:v>6.3323060347758253E-2</c:v>
                </c:pt>
                <c:pt idx="102">
                  <c:v>6.3344858188540853E-2</c:v>
                </c:pt>
                <c:pt idx="103">
                  <c:v>6.3366655522055892E-2</c:v>
                </c:pt>
                <c:pt idx="104">
                  <c:v>6.3388452348315139E-2</c:v>
                </c:pt>
                <c:pt idx="105">
                  <c:v>6.3410248667330471E-2</c:v>
                </c:pt>
                <c:pt idx="106">
                  <c:v>6.3432044479113547E-2</c:v>
                </c:pt>
                <c:pt idx="107">
                  <c:v>6.3453839783676247E-2</c:v>
                </c:pt>
                <c:pt idx="108">
                  <c:v>6.3475634581030338E-2</c:v>
                </c:pt>
                <c:pt idx="109">
                  <c:v>6.34974288711877E-2</c:v>
                </c:pt>
                <c:pt idx="110">
                  <c:v>6.351922265415999E-2</c:v>
                </c:pt>
                <c:pt idx="111">
                  <c:v>6.3541015929959199E-2</c:v>
                </c:pt>
                <c:pt idx="112">
                  <c:v>6.3562808698597095E-2</c:v>
                </c:pt>
                <c:pt idx="113">
                  <c:v>6.3584600960085336E-2</c:v>
                </c:pt>
                <c:pt idx="114">
                  <c:v>6.3606392714435911E-2</c:v>
                </c:pt>
                <c:pt idx="115">
                  <c:v>6.3628183961660367E-2</c:v>
                </c:pt>
                <c:pt idx="116">
                  <c:v>6.3649974701770806E-2</c:v>
                </c:pt>
                <c:pt idx="117">
                  <c:v>6.3671764934778885E-2</c:v>
                </c:pt>
                <c:pt idx="118">
                  <c:v>6.3693554660696372E-2</c:v>
                </c:pt>
                <c:pt idx="119">
                  <c:v>6.3715343879535036E-2</c:v>
                </c:pt>
                <c:pt idx="120">
                  <c:v>6.3737132591306755E-2</c:v>
                </c:pt>
                <c:pt idx="121">
                  <c:v>6.3758920796023411E-2</c:v>
                </c:pt>
                <c:pt idx="122">
                  <c:v>6.3780708493696658E-2</c:v>
                </c:pt>
                <c:pt idx="123">
                  <c:v>6.3802495684338378E-2</c:v>
                </c:pt>
                <c:pt idx="124">
                  <c:v>6.3824282367960339E-2</c:v>
                </c:pt>
                <c:pt idx="125">
                  <c:v>6.3846068544574308E-2</c:v>
                </c:pt>
                <c:pt idx="126">
                  <c:v>6.3867854214192166E-2</c:v>
                </c:pt>
                <c:pt idx="127">
                  <c:v>6.388963937682568E-2</c:v>
                </c:pt>
                <c:pt idx="128">
                  <c:v>6.3911424032486619E-2</c:v>
                </c:pt>
                <c:pt idx="129">
                  <c:v>6.3933208181186751E-2</c:v>
                </c:pt>
                <c:pt idx="130">
                  <c:v>6.3954991822937957E-2</c:v>
                </c:pt>
                <c:pt idx="131">
                  <c:v>6.3976774957752003E-2</c:v>
                </c:pt>
                <c:pt idx="132">
                  <c:v>6.3998557585640659E-2</c:v>
                </c:pt>
                <c:pt idx="133">
                  <c:v>6.4020339706615692E-2</c:v>
                </c:pt>
                <c:pt idx="134">
                  <c:v>6.4042121320688983E-2</c:v>
                </c:pt>
                <c:pt idx="135">
                  <c:v>6.4063902427872299E-2</c:v>
                </c:pt>
                <c:pt idx="136">
                  <c:v>6.408568302817752E-2</c:v>
                </c:pt>
                <c:pt idx="137">
                  <c:v>6.4107463121616193E-2</c:v>
                </c:pt>
                <c:pt idx="138">
                  <c:v>6.4129242708200418E-2</c:v>
                </c:pt>
                <c:pt idx="139">
                  <c:v>6.4151021787941742E-2</c:v>
                </c:pt>
                <c:pt idx="140">
                  <c:v>6.4172800360852156E-2</c:v>
                </c:pt>
                <c:pt idx="141">
                  <c:v>6.4194578426943316E-2</c:v>
                </c:pt>
                <c:pt idx="142">
                  <c:v>6.4216355986226992E-2</c:v>
                </c:pt>
                <c:pt idx="143">
                  <c:v>6.4238133038715173E-2</c:v>
                </c:pt>
                <c:pt idx="144">
                  <c:v>6.4259909584419406E-2</c:v>
                </c:pt>
                <c:pt idx="145">
                  <c:v>6.4281685623351681E-2</c:v>
                </c:pt>
                <c:pt idx="146">
                  <c:v>6.4303461155523656E-2</c:v>
                </c:pt>
                <c:pt idx="147">
                  <c:v>6.4325236180947321E-2</c:v>
                </c:pt>
                <c:pt idx="148">
                  <c:v>6.4347010699634222E-2</c:v>
                </c:pt>
                <c:pt idx="149">
                  <c:v>6.4368784711596239E-2</c:v>
                </c:pt>
                <c:pt idx="150">
                  <c:v>6.4390558216845251E-2</c:v>
                </c:pt>
                <c:pt idx="151">
                  <c:v>6.4412331215392915E-2</c:v>
                </c:pt>
                <c:pt idx="152">
                  <c:v>6.4434103707251222E-2</c:v>
                </c:pt>
                <c:pt idx="153">
                  <c:v>6.4455875692431719E-2</c:v>
                </c:pt>
                <c:pt idx="154">
                  <c:v>6.4477647170946395E-2</c:v>
                </c:pt>
                <c:pt idx="155">
                  <c:v>6.4499418142806908E-2</c:v>
                </c:pt>
                <c:pt idx="156">
                  <c:v>6.4521188608025137E-2</c:v>
                </c:pt>
                <c:pt idx="157">
                  <c:v>6.454295856661274E-2</c:v>
                </c:pt>
                <c:pt idx="158">
                  <c:v>6.4564728018581707E-2</c:v>
                </c:pt>
                <c:pt idx="159">
                  <c:v>6.4586496963943696E-2</c:v>
                </c:pt>
                <c:pt idx="160">
                  <c:v>6.4608265402710585E-2</c:v>
                </c:pt>
                <c:pt idx="161">
                  <c:v>6.4630033334894033E-2</c:v>
                </c:pt>
                <c:pt idx="162">
                  <c:v>6.4651800760505918E-2</c:v>
                </c:pt>
                <c:pt idx="163">
                  <c:v>6.4673567679557897E-2</c:v>
                </c:pt>
                <c:pt idx="164">
                  <c:v>6.4695334092062073E-2</c:v>
                </c:pt>
                <c:pt idx="165">
                  <c:v>6.4717099998029881E-2</c:v>
                </c:pt>
                <c:pt idx="166">
                  <c:v>6.4738865397473311E-2</c:v>
                </c:pt>
                <c:pt idx="167">
                  <c:v>6.476063029040402E-2</c:v>
                </c:pt>
                <c:pt idx="168">
                  <c:v>6.4782394676833999E-2</c:v>
                </c:pt>
                <c:pt idx="169">
                  <c:v>6.4804158556774905E-2</c:v>
                </c:pt>
                <c:pt idx="170">
                  <c:v>6.4825921930238395E-2</c:v>
                </c:pt>
                <c:pt idx="171">
                  <c:v>6.484768479723646E-2</c:v>
                </c:pt>
                <c:pt idx="172">
                  <c:v>6.4869447157780868E-2</c:v>
                </c:pt>
                <c:pt idx="173">
                  <c:v>6.4891209011883388E-2</c:v>
                </c:pt>
                <c:pt idx="174">
                  <c:v>6.4912970359555677E-2</c:v>
                </c:pt>
                <c:pt idx="175">
                  <c:v>6.4934731200809614E-2</c:v>
                </c:pt>
                <c:pt idx="176">
                  <c:v>6.4956491535656968E-2</c:v>
                </c:pt>
                <c:pt idx="177">
                  <c:v>6.4978251364109618E-2</c:v>
                </c:pt>
                <c:pt idx="178">
                  <c:v>6.5000010686179222E-2</c:v>
                </c:pt>
                <c:pt idx="179">
                  <c:v>6.5021769501877658E-2</c:v>
                </c:pt>
                <c:pt idx="180">
                  <c:v>6.5043527811216584E-2</c:v>
                </c:pt>
                <c:pt idx="181">
                  <c:v>6.5065285614207991E-2</c:v>
                </c:pt>
                <c:pt idx="182">
                  <c:v>6.5087042910863424E-2</c:v>
                </c:pt>
                <c:pt idx="183">
                  <c:v>6.5108799701194764E-2</c:v>
                </c:pt>
                <c:pt idx="184">
                  <c:v>6.5130555985213889E-2</c:v>
                </c:pt>
                <c:pt idx="185">
                  <c:v>6.5152311762932458E-2</c:v>
                </c:pt>
                <c:pt idx="186">
                  <c:v>6.5174067034362348E-2</c:v>
                </c:pt>
                <c:pt idx="187">
                  <c:v>6.5195821799515219E-2</c:v>
                </c:pt>
                <c:pt idx="188">
                  <c:v>6.5217576058402948E-2</c:v>
                </c:pt>
                <c:pt idx="189">
                  <c:v>6.5239329811037305E-2</c:v>
                </c:pt>
                <c:pt idx="190">
                  <c:v>6.5261083057430058E-2</c:v>
                </c:pt>
                <c:pt idx="191">
                  <c:v>6.5282835797592975E-2</c:v>
                </c:pt>
                <c:pt idx="192">
                  <c:v>6.5304588031537825E-2</c:v>
                </c:pt>
                <c:pt idx="193">
                  <c:v>6.5326339759276486E-2</c:v>
                </c:pt>
                <c:pt idx="194">
                  <c:v>6.5348090980820617E-2</c:v>
                </c:pt>
                <c:pt idx="195">
                  <c:v>6.5369841696182096E-2</c:v>
                </c:pt>
                <c:pt idx="196">
                  <c:v>6.5391591905372581E-2</c:v>
                </c:pt>
                <c:pt idx="197">
                  <c:v>6.5413341608403952E-2</c:v>
                </c:pt>
                <c:pt idx="198">
                  <c:v>6.5435090805287977E-2</c:v>
                </c:pt>
                <c:pt idx="199">
                  <c:v>6.5456839496036423E-2</c:v>
                </c:pt>
                <c:pt idx="200">
                  <c:v>6.5478587680660949E-2</c:v>
                </c:pt>
                <c:pt idx="201">
                  <c:v>6.5500335359173545E-2</c:v>
                </c:pt>
                <c:pt idx="202">
                  <c:v>6.5522082531585868E-2</c:v>
                </c:pt>
                <c:pt idx="203">
                  <c:v>6.5543829197909798E-2</c:v>
                </c:pt>
                <c:pt idx="204">
                  <c:v>6.5565575358156991E-2</c:v>
                </c:pt>
                <c:pt idx="205">
                  <c:v>6.5587321012339217E-2</c:v>
                </c:pt>
                <c:pt idx="206">
                  <c:v>6.5609066160468354E-2</c:v>
                </c:pt>
                <c:pt idx="207">
                  <c:v>6.5630810802556061E-2</c:v>
                </c:pt>
                <c:pt idx="208">
                  <c:v>6.5652554938614216E-2</c:v>
                </c:pt>
                <c:pt idx="209">
                  <c:v>6.5674298568654588E-2</c:v>
                </c:pt>
                <c:pt idx="210">
                  <c:v>6.5696041692688834E-2</c:v>
                </c:pt>
                <c:pt idx="211">
                  <c:v>6.5717784310728944E-2</c:v>
                </c:pt>
                <c:pt idx="212">
                  <c:v>6.5739526422786465E-2</c:v>
                </c:pt>
                <c:pt idx="213">
                  <c:v>6.5761268028873276E-2</c:v>
                </c:pt>
                <c:pt idx="214">
                  <c:v>6.5783009129001258E-2</c:v>
                </c:pt>
                <c:pt idx="215">
                  <c:v>6.5804749723181954E-2</c:v>
                </c:pt>
                <c:pt idx="216">
                  <c:v>6.5826489811427358E-2</c:v>
                </c:pt>
                <c:pt idx="217">
                  <c:v>6.5848229393749125E-2</c:v>
                </c:pt>
                <c:pt idx="218">
                  <c:v>6.5869968470159024E-2</c:v>
                </c:pt>
                <c:pt idx="219">
                  <c:v>6.5891707040668823E-2</c:v>
                </c:pt>
                <c:pt idx="220">
                  <c:v>6.5913445105290402E-2</c:v>
                </c:pt>
                <c:pt idx="221">
                  <c:v>6.5935182664035419E-2</c:v>
                </c:pt>
                <c:pt idx="222">
                  <c:v>6.5956919716915752E-2</c:v>
                </c:pt>
                <c:pt idx="223">
                  <c:v>6.5978656263943058E-2</c:v>
                </c:pt>
                <c:pt idx="224">
                  <c:v>6.6000392305129107E-2</c:v>
                </c:pt>
                <c:pt idx="225">
                  <c:v>6.6022127840485778E-2</c:v>
                </c:pt>
                <c:pt idx="226">
                  <c:v>6.6043862870024839E-2</c:v>
                </c:pt>
                <c:pt idx="227">
                  <c:v>6.6065597393757947E-2</c:v>
                </c:pt>
                <c:pt idx="228">
                  <c:v>6.608733141169687E-2</c:v>
                </c:pt>
                <c:pt idx="229">
                  <c:v>6.61090649238536E-2</c:v>
                </c:pt>
                <c:pt idx="230">
                  <c:v>6.6130797930239571E-2</c:v>
                </c:pt>
                <c:pt idx="231">
                  <c:v>6.6152530430866885E-2</c:v>
                </c:pt>
                <c:pt idx="232">
                  <c:v>6.6174262425747088E-2</c:v>
                </c:pt>
                <c:pt idx="233">
                  <c:v>6.619599391489206E-2</c:v>
                </c:pt>
                <c:pt idx="234">
                  <c:v>6.6217724898313568E-2</c:v>
                </c:pt>
                <c:pt idx="235">
                  <c:v>6.6239455376023271E-2</c:v>
                </c:pt>
                <c:pt idx="236">
                  <c:v>6.6261185348033047E-2</c:v>
                </c:pt>
                <c:pt idx="237">
                  <c:v>6.6282914814354554E-2</c:v>
                </c:pt>
                <c:pt idx="238">
                  <c:v>6.6304643774999672E-2</c:v>
                </c:pt>
                <c:pt idx="239">
                  <c:v>6.6326372229980168E-2</c:v>
                </c:pt>
                <c:pt idx="240">
                  <c:v>6.6348100179307812E-2</c:v>
                </c:pt>
                <c:pt idx="241">
                  <c:v>6.636982762299426E-2</c:v>
                </c:pt>
                <c:pt idx="242">
                  <c:v>6.6391554561051391E-2</c:v>
                </c:pt>
                <c:pt idx="243">
                  <c:v>6.6413280993490864E-2</c:v>
                </c:pt>
                <c:pt idx="244">
                  <c:v>6.6435006920324557E-2</c:v>
                </c:pt>
                <c:pt idx="245">
                  <c:v>6.645673234156424E-2</c:v>
                </c:pt>
                <c:pt idx="246">
                  <c:v>6.6478457257221568E-2</c:v>
                </c:pt>
                <c:pt idx="247">
                  <c:v>6.6500181667308422E-2</c:v>
                </c:pt>
                <c:pt idx="248">
                  <c:v>6.6521905571836459E-2</c:v>
                </c:pt>
                <c:pt idx="249">
                  <c:v>6.6543628970817559E-2</c:v>
                </c:pt>
                <c:pt idx="250">
                  <c:v>6.6565351864263378E-2</c:v>
                </c:pt>
                <c:pt idx="251">
                  <c:v>6.6587074252185685E-2</c:v>
                </c:pt>
                <c:pt idx="252">
                  <c:v>6.660879613459636E-2</c:v>
                </c:pt>
                <c:pt idx="253">
                  <c:v>6.663051751150717E-2</c:v>
                </c:pt>
                <c:pt idx="254">
                  <c:v>6.6652238382929663E-2</c:v>
                </c:pt>
                <c:pt idx="255">
                  <c:v>6.6673958748875828E-2</c:v>
                </c:pt>
                <c:pt idx="256">
                  <c:v>6.6695678609357323E-2</c:v>
                </c:pt>
                <c:pt idx="257">
                  <c:v>6.6717397964386027E-2</c:v>
                </c:pt>
                <c:pt idx="258">
                  <c:v>6.6739116813973487E-2</c:v>
                </c:pt>
                <c:pt idx="259">
                  <c:v>6.6760835158131582E-2</c:v>
                </c:pt>
                <c:pt idx="260">
                  <c:v>6.6782552996872191E-2</c:v>
                </c:pt>
                <c:pt idx="261">
                  <c:v>6.6804270330206861E-2</c:v>
                </c:pt>
                <c:pt idx="262">
                  <c:v>6.6825987158147471E-2</c:v>
                </c:pt>
                <c:pt idx="263">
                  <c:v>6.6847703480705789E-2</c:v>
                </c:pt>
                <c:pt idx="264">
                  <c:v>6.6869419297893584E-2</c:v>
                </c:pt>
                <c:pt idx="265">
                  <c:v>6.6891134609722513E-2</c:v>
                </c:pt>
                <c:pt idx="266">
                  <c:v>6.6912849416204456E-2</c:v>
                </c:pt>
                <c:pt idx="267">
                  <c:v>6.6934563717351181E-2</c:v>
                </c:pt>
                <c:pt idx="268">
                  <c:v>6.6956277513174345E-2</c:v>
                </c:pt>
                <c:pt idx="269">
                  <c:v>6.6977990803685827E-2</c:v>
                </c:pt>
                <c:pt idx="270">
                  <c:v>6.6999703588897175E-2</c:v>
                </c:pt>
                <c:pt idx="271">
                  <c:v>6.7021415868820378E-2</c:v>
                </c:pt>
                <c:pt idx="272">
                  <c:v>6.7043127643467093E-2</c:v>
                </c:pt>
                <c:pt idx="273">
                  <c:v>6.706483891284909E-2</c:v>
                </c:pt>
                <c:pt idx="274">
                  <c:v>6.7086549676978136E-2</c:v>
                </c:pt>
                <c:pt idx="275">
                  <c:v>6.7108259935865999E-2</c:v>
                </c:pt>
                <c:pt idx="276">
                  <c:v>6.7129969689524449E-2</c:v>
                </c:pt>
                <c:pt idx="277">
                  <c:v>6.7151678937965142E-2</c:v>
                </c:pt>
                <c:pt idx="278">
                  <c:v>6.7173387681199959E-2</c:v>
                </c:pt>
                <c:pt idx="279">
                  <c:v>6.7195095919240555E-2</c:v>
                </c:pt>
                <c:pt idx="280">
                  <c:v>6.7216803652098811E-2</c:v>
                </c:pt>
                <c:pt idx="281">
                  <c:v>6.7238510879786384E-2</c:v>
                </c:pt>
                <c:pt idx="282">
                  <c:v>6.7260217602315042E-2</c:v>
                </c:pt>
                <c:pt idx="283">
                  <c:v>6.7281923819696554E-2</c:v>
                </c:pt>
                <c:pt idx="284">
                  <c:v>6.7303629531942688E-2</c:v>
                </c:pt>
                <c:pt idx="285">
                  <c:v>6.7325334739065212E-2</c:v>
                </c:pt>
                <c:pt idx="286">
                  <c:v>6.7347039441075784E-2</c:v>
                </c:pt>
                <c:pt idx="287">
                  <c:v>6.7368743637986284E-2</c:v>
                </c:pt>
                <c:pt idx="288">
                  <c:v>6.7390447329808367E-2</c:v>
                </c:pt>
                <c:pt idx="289">
                  <c:v>6.7412150516553915E-2</c:v>
                </c:pt>
                <c:pt idx="290">
                  <c:v>6.7433853198234583E-2</c:v>
                </c:pt>
                <c:pt idx="291">
                  <c:v>6.7455555374862031E-2</c:v>
                </c:pt>
                <c:pt idx="292">
                  <c:v>6.7477257046448247E-2</c:v>
                </c:pt>
                <c:pt idx="293">
                  <c:v>6.7498958213004778E-2</c:v>
                </c:pt>
                <c:pt idx="294">
                  <c:v>6.7520658874543504E-2</c:v>
                </c:pt>
                <c:pt idx="295">
                  <c:v>6.7542359031076193E-2</c:v>
                </c:pt>
                <c:pt idx="296">
                  <c:v>6.7564058682614503E-2</c:v>
                </c:pt>
                <c:pt idx="297">
                  <c:v>6.7585757829170201E-2</c:v>
                </c:pt>
                <c:pt idx="298">
                  <c:v>6.7607456470755056E-2</c:v>
                </c:pt>
                <c:pt idx="299">
                  <c:v>6.7629154607380726E-2</c:v>
                </c:pt>
                <c:pt idx="300">
                  <c:v>6.76508522390592E-2</c:v>
                </c:pt>
                <c:pt idx="301">
                  <c:v>6.7672549365802026E-2</c:v>
                </c:pt>
                <c:pt idx="302">
                  <c:v>6.7694245987621082E-2</c:v>
                </c:pt>
                <c:pt idx="303">
                  <c:v>6.7715942104527915E-2</c:v>
                </c:pt>
                <c:pt idx="304">
                  <c:v>6.7737637716534516E-2</c:v>
                </c:pt>
                <c:pt idx="305">
                  <c:v>6.7759332823652541E-2</c:v>
                </c:pt>
                <c:pt idx="306">
                  <c:v>6.7781027425893647E-2</c:v>
                </c:pt>
                <c:pt idx="307">
                  <c:v>6.7802721523269716E-2</c:v>
                </c:pt>
                <c:pt idx="308">
                  <c:v>6.7824415115792513E-2</c:v>
                </c:pt>
                <c:pt idx="309">
                  <c:v>6.7846108203473587E-2</c:v>
                </c:pt>
                <c:pt idx="310">
                  <c:v>6.7867800786324928E-2</c:v>
                </c:pt>
                <c:pt idx="311">
                  <c:v>6.7889492864358081E-2</c:v>
                </c:pt>
                <c:pt idx="312">
                  <c:v>6.7911184437584926E-2</c:v>
                </c:pt>
                <c:pt idx="313">
                  <c:v>6.7932875506017232E-2</c:v>
                </c:pt>
                <c:pt idx="314">
                  <c:v>6.7954566069666655E-2</c:v>
                </c:pt>
                <c:pt idx="315">
                  <c:v>6.7976256128544965E-2</c:v>
                </c:pt>
                <c:pt idx="316">
                  <c:v>6.7997945682663929E-2</c:v>
                </c:pt>
                <c:pt idx="317">
                  <c:v>6.8019634732035206E-2</c:v>
                </c:pt>
                <c:pt idx="318">
                  <c:v>6.8041323276670673E-2</c:v>
                </c:pt>
                <c:pt idx="319">
                  <c:v>6.8063011316581989E-2</c:v>
                </c:pt>
                <c:pt idx="320">
                  <c:v>6.8084698851781034E-2</c:v>
                </c:pt>
                <c:pt idx="321">
                  <c:v>6.8106385882279352E-2</c:v>
                </c:pt>
                <c:pt idx="322">
                  <c:v>6.8128072408088824E-2</c:v>
                </c:pt>
                <c:pt idx="323">
                  <c:v>6.8149758429221219E-2</c:v>
                </c:pt>
                <c:pt idx="324">
                  <c:v>6.8171443945688082E-2</c:v>
                </c:pt>
                <c:pt idx="325">
                  <c:v>6.8193128957501403E-2</c:v>
                </c:pt>
                <c:pt idx="326">
                  <c:v>6.821481346467273E-2</c:v>
                </c:pt>
                <c:pt idx="327">
                  <c:v>6.8236497467214052E-2</c:v>
                </c:pt>
                <c:pt idx="328">
                  <c:v>6.8258180965136805E-2</c:v>
                </c:pt>
                <c:pt idx="329">
                  <c:v>6.827986395845298E-2</c:v>
                </c:pt>
                <c:pt idx="330">
                  <c:v>6.8301546447174122E-2</c:v>
                </c:pt>
                <c:pt idx="331">
                  <c:v>6.8323228431312111E-2</c:v>
                </c:pt>
                <c:pt idx="332">
                  <c:v>6.8344909910878715E-2</c:v>
                </c:pt>
                <c:pt idx="333">
                  <c:v>6.8366590885885592E-2</c:v>
                </c:pt>
                <c:pt idx="334">
                  <c:v>6.838827135634451E-2</c:v>
                </c:pt>
                <c:pt idx="335">
                  <c:v>6.8409951322267126E-2</c:v>
                </c:pt>
                <c:pt idx="336">
                  <c:v>6.843163078366532E-2</c:v>
                </c:pt>
                <c:pt idx="337">
                  <c:v>6.8453309740550861E-2</c:v>
                </c:pt>
                <c:pt idx="338">
                  <c:v>6.8474988192935293E-2</c:v>
                </c:pt>
                <c:pt idx="339">
                  <c:v>6.8496666140830498E-2</c:v>
                </c:pt>
                <c:pt idx="340">
                  <c:v>6.8518343584248242E-2</c:v>
                </c:pt>
                <c:pt idx="341">
                  <c:v>6.8540020523200074E-2</c:v>
                </c:pt>
                <c:pt idx="342">
                  <c:v>6.8561696957697982E-2</c:v>
                </c:pt>
                <c:pt idx="343">
                  <c:v>6.8583372887753513E-2</c:v>
                </c:pt>
                <c:pt idx="344">
                  <c:v>6.8605048313378547E-2</c:v>
                </c:pt>
                <c:pt idx="345">
                  <c:v>6.8626723234584741E-2</c:v>
                </c:pt>
                <c:pt idx="346">
                  <c:v>6.8648397651383863E-2</c:v>
                </c:pt>
                <c:pt idx="347">
                  <c:v>6.8670071563787682E-2</c:v>
                </c:pt>
                <c:pt idx="348">
                  <c:v>6.8691744971807855E-2</c:v>
                </c:pt>
                <c:pt idx="349">
                  <c:v>6.8713417875456151E-2</c:v>
                </c:pt>
                <c:pt idx="350">
                  <c:v>6.8735090274744337E-2</c:v>
                </c:pt>
                <c:pt idx="351">
                  <c:v>6.8756762169684071E-2</c:v>
                </c:pt>
                <c:pt idx="352">
                  <c:v>6.8778433560287233E-2</c:v>
                </c:pt>
                <c:pt idx="353">
                  <c:v>6.8800104446565369E-2</c:v>
                </c:pt>
                <c:pt idx="354">
                  <c:v>6.8821774828530469E-2</c:v>
                </c:pt>
                <c:pt idx="355">
                  <c:v>6.8843444706193968E-2</c:v>
                </c:pt>
                <c:pt idx="356">
                  <c:v>6.8865114079567857E-2</c:v>
                </c:pt>
                <c:pt idx="357">
                  <c:v>6.8886782948663794E-2</c:v>
                </c:pt>
                <c:pt idx="358">
                  <c:v>6.8908451313493435E-2</c:v>
                </c:pt>
                <c:pt idx="359">
                  <c:v>6.8930119174068549E-2</c:v>
                </c:pt>
                <c:pt idx="360">
                  <c:v>6.8951786530400905E-2</c:v>
                </c:pt>
                <c:pt idx="361">
                  <c:v>6.897345338250227E-2</c:v>
                </c:pt>
                <c:pt idx="362">
                  <c:v>6.8995119730384302E-2</c:v>
                </c:pt>
                <c:pt idx="363">
                  <c:v>6.901678557405877E-2</c:v>
                </c:pt>
                <c:pt idx="364">
                  <c:v>6.903845091353733E-2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8.0736753123846663E-2</c:v>
                </c:pt>
                <c:pt idx="1">
                  <c:v>8.0907488776483932E-2</c:v>
                </c:pt>
                <c:pt idx="2">
                  <c:v>8.1078222439492031E-2</c:v>
                </c:pt>
                <c:pt idx="3">
                  <c:v>8.1248919211096546E-2</c:v>
                </c:pt>
                <c:pt idx="4">
                  <c:v>8.1419548763166386E-2</c:v>
                </c:pt>
                <c:pt idx="5">
                  <c:v>8.1590085236270302E-2</c:v>
                </c:pt>
                <c:pt idx="6">
                  <c:v>8.1760507096404658E-2</c:v>
                </c:pt>
                <c:pt idx="7">
                  <c:v>8.1930796955999058E-2</c:v>
                </c:pt>
                <c:pt idx="8">
                  <c:v>8.2100941362096683E-2</c:v>
                </c:pt>
                <c:pt idx="9">
                  <c:v>8.2270930554863508E-2</c:v>
                </c:pt>
                <c:pt idx="10">
                  <c:v>8.2440758199804939E-2</c:v>
                </c:pt>
                <c:pt idx="11">
                  <c:v>8.2610421097254166E-2</c:v>
                </c:pt>
                <c:pt idx="12">
                  <c:v>8.2779918872847649E-2</c:v>
                </c:pt>
                <c:pt idx="13">
                  <c:v>8.2949253652812652E-2</c:v>
                </c:pt>
                <c:pt idx="14">
                  <c:v>8.3118429727964294E-2</c:v>
                </c:pt>
                <c:pt idx="15">
                  <c:v>8.3287453210340659E-2</c:v>
                </c:pt>
                <c:pt idx="16">
                  <c:v>8.3456331686398419E-2</c:v>
                </c:pt>
                <c:pt idx="17">
                  <c:v>8.3625073870643898E-2</c:v>
                </c:pt>
                <c:pt idx="18">
                  <c:v>8.3793689263492316E-2</c:v>
                </c:pt>
                <c:pt idx="19">
                  <c:v>8.396218781702583E-2</c:v>
                </c:pt>
                <c:pt idx="20">
                  <c:v>8.4130579612167605E-2</c:v>
                </c:pt>
                <c:pt idx="21">
                  <c:v>8.4298874550599853E-2</c:v>
                </c:pt>
                <c:pt idx="22">
                  <c:v>8.4467082064537194E-2</c:v>
                </c:pt>
                <c:pt idx="23">
                  <c:v>8.4635210847218714E-2</c:v>
                </c:pt>
                <c:pt idx="24">
                  <c:v>8.4803268606713444E-2</c:v>
                </c:pt>
                <c:pt idx="25">
                  <c:v>8.4971261845339818E-2</c:v>
                </c:pt>
                <c:pt idx="26">
                  <c:v>8.5139195666689441E-2</c:v>
                </c:pt>
                <c:pt idx="27">
                  <c:v>8.5307073611919318E-2</c:v>
                </c:pt>
                <c:pt idx="28">
                  <c:v>8.5474897526639115E-2</c:v>
                </c:pt>
                <c:pt idx="29">
                  <c:v>8.5642667459375058E-2</c:v>
                </c:pt>
                <c:pt idx="30">
                  <c:v>8.5810381592242468E-2</c:v>
                </c:pt>
                <c:pt idx="31">
                  <c:v>8.5978036204109265E-2</c:v>
                </c:pt>
                <c:pt idx="32">
                  <c:v>8.6145625666186387E-2</c:v>
                </c:pt>
                <c:pt idx="33">
                  <c:v>8.6313142469640572E-2</c:v>
                </c:pt>
                <c:pt idx="34">
                  <c:v>8.6480577284496082E-2</c:v>
                </c:pt>
                <c:pt idx="35">
                  <c:v>8.664791904877564E-2</c:v>
                </c:pt>
                <c:pt idx="36">
                  <c:v>8.6815155086530385E-2</c:v>
                </c:pt>
                <c:pt idx="37">
                  <c:v>8.698227125312967E-2</c:v>
                </c:pt>
                <c:pt idx="38">
                  <c:v>8.7149252105922767E-2</c:v>
                </c:pt>
                <c:pt idx="39">
                  <c:v>8.7316081098150852E-2</c:v>
                </c:pt>
                <c:pt idx="40">
                  <c:v>8.7482740793780669E-2</c:v>
                </c:pt>
                <c:pt idx="41">
                  <c:v>8.7649213100752799E-2</c:v>
                </c:pt>
                <c:pt idx="42">
                  <c:v>8.7815479519987014E-2</c:v>
                </c:pt>
                <c:pt idx="43">
                  <c:v>8.7981521407369964E-2</c:v>
                </c:pt>
                <c:pt idx="44">
                  <c:v>8.8147320245863067E-2</c:v>
                </c:pt>
                <c:pt idx="45">
                  <c:v>8.8312857924812901E-2</c:v>
                </c:pt>
                <c:pt idx="46">
                  <c:v>8.8478117023523359E-2</c:v>
                </c:pt>
                <c:pt idx="47">
                  <c:v>8.8643081096157539E-2</c:v>
                </c:pt>
                <c:pt idx="48">
                  <c:v>8.8807734955075407E-2</c:v>
                </c:pt>
                <c:pt idx="49">
                  <c:v>8.8972064949783519E-2</c:v>
                </c:pt>
                <c:pt idx="50">
                  <c:v>8.9136059238768911E-2</c:v>
                </c:pt>
                <c:pt idx="51">
                  <c:v>8.9299708051615703E-2</c:v>
                </c:pt>
                <c:pt idx="52">
                  <c:v>8.946300393895007E-2</c:v>
                </c:pt>
                <c:pt idx="53">
                  <c:v>8.962594200793321E-2</c:v>
                </c:pt>
                <c:pt idx="54">
                  <c:v>8.9788520141213649E-2</c:v>
                </c:pt>
                <c:pt idx="55">
                  <c:v>8.9950739197461244E-2</c:v>
                </c:pt>
                <c:pt idx="56">
                  <c:v>9.0112603191830259E-2</c:v>
                </c:pt>
                <c:pt idx="57">
                  <c:v>9.0274119454937865E-2</c:v>
                </c:pt>
                <c:pt idx="58">
                  <c:v>9.0435298769190861E-2</c:v>
                </c:pt>
                <c:pt idx="59">
                  <c:v>9.0596155481547105E-2</c:v>
                </c:pt>
                <c:pt idx="60">
                  <c:v>9.0756707592055466E-2</c:v>
                </c:pt>
                <c:pt idx="61">
                  <c:v>9.0916976817774386E-2</c:v>
                </c:pt>
                <c:pt idx="62">
                  <c:v>9.1076988631923581E-2</c:v>
                </c:pt>
                <c:pt idx="63">
                  <c:v>9.1236772278372097E-2</c:v>
                </c:pt>
                <c:pt idx="64">
                  <c:v>9.1396360761805032E-2</c:v>
                </c:pt>
                <c:pt idx="65">
                  <c:v>9.1555790814140947E-2</c:v>
                </c:pt>
                <c:pt idx="66">
                  <c:v>9.1715102837986145E-2</c:v>
                </c:pt>
                <c:pt idx="67">
                  <c:v>9.1874340828110829E-2</c:v>
                </c:pt>
                <c:pt idx="68">
                  <c:v>9.2033552272114641E-2</c:v>
                </c:pt>
                <c:pt idx="69">
                  <c:v>9.2192788031607673E-2</c:v>
                </c:pt>
                <c:pt idx="70">
                  <c:v>9.2352102205375486E-2</c:v>
                </c:pt>
                <c:pt idx="71">
                  <c:v>9.2511551976111717E-2</c:v>
                </c:pt>
                <c:pt idx="72">
                  <c:v>9.2671197442396991E-2</c:v>
                </c:pt>
                <c:pt idx="73">
                  <c:v>9.2831101437670718E-2</c:v>
                </c:pt>
                <c:pt idx="74">
                  <c:v>9.2991329337988801E-2</c:v>
                </c:pt>
                <c:pt idx="75">
                  <c:v>9.3151948860378933E-2</c:v>
                </c:pt>
                <c:pt idx="76">
                  <c:v>9.3313029853602791E-2</c:v>
                </c:pt>
                <c:pt idx="77">
                  <c:v>9.3474644083105032E-2</c:v>
                </c:pt>
                <c:pt idx="78">
                  <c:v>9.3636865011880246E-2</c:v>
                </c:pt>
                <c:pt idx="79">
                  <c:v>9.3799767578915769E-2</c:v>
                </c:pt>
                <c:pt idx="80">
                  <c:v>9.3963427976776689E-2</c:v>
                </c:pt>
                <c:pt idx="81">
                  <c:v>9.4127923429788873E-2</c:v>
                </c:pt>
                <c:pt idx="82">
                  <c:v>9.4293331974148312E-2</c:v>
                </c:pt>
                <c:pt idx="83">
                  <c:v>9.4459732241143984E-2</c:v>
                </c:pt>
                <c:pt idx="84">
                  <c:v>9.4627203244527613E-2</c:v>
                </c:pt>
                <c:pt idx="85">
                  <c:v>9.479582417290075E-2</c:v>
                </c:pt>
                <c:pt idx="86">
                  <c:v>9.4965674187818636E-2</c:v>
                </c:pt>
                <c:pt idx="87">
                  <c:v>9.5136832228135959E-2</c:v>
                </c:pt>
                <c:pt idx="88">
                  <c:v>9.530937682094294E-2</c:v>
                </c:pt>
                <c:pt idx="89">
                  <c:v>9.5483385899263806E-2</c:v>
                </c:pt>
                <c:pt idx="90">
                  <c:v>9.5658936626517962E-2</c:v>
                </c:pt>
                <c:pt idx="91">
                  <c:v>9.5836105227577989E-2</c:v>
                </c:pt>
                <c:pt idx="92">
                  <c:v>9.6014966826100306E-2</c:v>
                </c:pt>
                <c:pt idx="93">
                  <c:v>9.6195595287659294E-2</c:v>
                </c:pt>
                <c:pt idx="94">
                  <c:v>9.637806306808093E-2</c:v>
                </c:pt>
                <c:pt idx="95">
                  <c:v>9.6562441066255167E-2</c:v>
                </c:pt>
                <c:pt idx="96">
                  <c:v>9.6748798480605455E-2</c:v>
                </c:pt>
                <c:pt idx="97">
                  <c:v>9.6937202668311462E-2</c:v>
                </c:pt>
                <c:pt idx="98">
                  <c:v>9.7127719006320667E-2</c:v>
                </c:pt>
                <c:pt idx="99">
                  <c:v>9.7320410753142281E-2</c:v>
                </c:pt>
                <c:pt idx="100">
                  <c:v>9.7515338910400887E-2</c:v>
                </c:pt>
                <c:pt idx="101">
                  <c:v>9.7712562083129562E-2</c:v>
                </c:pt>
                <c:pt idx="102">
                  <c:v>9.7912136337811012E-2</c:v>
                </c:pt>
                <c:pt idx="103">
                  <c:v>9.8114115057224366E-2</c:v>
                </c:pt>
                <c:pt idx="104">
                  <c:v>9.8318548791227173E-2</c:v>
                </c:pt>
                <c:pt idx="105">
                  <c:v>9.8525485102696736E-2</c:v>
                </c:pt>
                <c:pt idx="106">
                  <c:v>9.8734968407968637E-2</c:v>
                </c:pt>
                <c:pt idx="107">
                  <c:v>9.8947039811243739E-2</c:v>
                </c:pt>
                <c:pt idx="108">
                  <c:v>9.9161736932585925E-2</c:v>
                </c:pt>
                <c:pt idx="109">
                  <c:v>9.9379093729300302E-2</c:v>
                </c:pt>
                <c:pt idx="110">
                  <c:v>9.9599140310660902E-2</c:v>
                </c:pt>
                <c:pt idx="111">
                  <c:v>9.9821902746149785E-2</c:v>
                </c:pt>
                <c:pt idx="112">
                  <c:v>0.10004740286756914</c:v>
                </c:pt>
                <c:pt idx="113">
                  <c:v>0.10027565806559494</c:v>
                </c:pt>
                <c:pt idx="114">
                  <c:v>0.10050668108155143</c:v>
                </c:pt>
                <c:pt idx="115">
                  <c:v>0.10074047979539502</c:v>
                </c:pt>
                <c:pt idx="116">
                  <c:v>0.10097705701110533</c:v>
                </c:pt>
                <c:pt idx="117">
                  <c:v>0.10121641024088338</c:v>
                </c:pt>
                <c:pt idx="118">
                  <c:v>0.10145853148975088</c:v>
                </c:pt>
                <c:pt idx="119">
                  <c:v>2.5553188945380768E-2</c:v>
                </c:pt>
                <c:pt idx="120">
                  <c:v>2.5868977953152919E-2</c:v>
                </c:pt>
                <c:pt idx="121">
                  <c:v>2.6185491069049702E-2</c:v>
                </c:pt>
                <c:pt idx="122">
                  <c:v>2.6502739338255209E-2</c:v>
                </c:pt>
                <c:pt idx="123">
                  <c:v>2.6820731608640559E-2</c:v>
                </c:pt>
                <c:pt idx="124">
                  <c:v>2.7139474412125712E-2</c:v>
                </c:pt>
                <c:pt idx="125">
                  <c:v>2.7458971848778744E-2</c:v>
                </c:pt>
                <c:pt idx="126">
                  <c:v>2.7779225474619751E-2</c:v>
                </c:pt>
                <c:pt idx="127">
                  <c:v>2.8100234194141906E-2</c:v>
                </c:pt>
                <c:pt idx="128">
                  <c:v>2.8421994158596683E-2</c:v>
                </c:pt>
                <c:pt idx="129">
                  <c:v>2.8744498671116742E-2</c:v>
                </c:pt>
                <c:pt idx="130">
                  <c:v>2.9067738099764411E-2</c:v>
                </c:pt>
                <c:pt idx="131">
                  <c:v>2.9391699799597729E-2</c:v>
                </c:pt>
                <c:pt idx="132">
                  <c:v>2.9716368044837745E-2</c:v>
                </c:pt>
                <c:pt idx="133">
                  <c:v>3.0041723972200306E-2</c:v>
                </c:pt>
                <c:pt idx="134">
                  <c:v>3.0367745536422353E-2</c:v>
                </c:pt>
                <c:pt idx="135">
                  <c:v>3.0694407478967557E-2</c:v>
                </c:pt>
                <c:pt idx="136">
                  <c:v>3.1021681310836751E-2</c:v>
                </c:pt>
                <c:pt idx="137">
                  <c:v>3.1349535310338156E-2</c:v>
                </c:pt>
                <c:pt idx="138">
                  <c:v>3.1677934536589104E-2</c:v>
                </c:pt>
                <c:pt idx="139">
                  <c:v>3.2006840859425123E-2</c:v>
                </c:pt>
                <c:pt idx="140">
                  <c:v>3.2336213006286973E-2</c:v>
                </c:pt>
                <c:pt idx="141">
                  <c:v>3.2666006626538575E-2</c:v>
                </c:pt>
                <c:pt idx="142">
                  <c:v>3.2996174373543352E-2</c:v>
                </c:pt>
                <c:pt idx="143">
                  <c:v>3.3326666004691238E-2</c:v>
                </c:pt>
                <c:pt idx="144">
                  <c:v>3.3657428499427412E-2</c:v>
                </c:pt>
                <c:pt idx="145">
                  <c:v>3.3988406195185422E-2</c:v>
                </c:pt>
                <c:pt idx="146">
                  <c:v>3.4319540940975432E-2</c:v>
                </c:pt>
                <c:pt idx="147">
                  <c:v>3.465077226822242E-2</c:v>
                </c:pt>
                <c:pt idx="148">
                  <c:v>3.4982037578292643E-2</c:v>
                </c:pt>
                <c:pt idx="149">
                  <c:v>3.5313272345989299E-2</c:v>
                </c:pt>
                <c:pt idx="150">
                  <c:v>3.5644410338143487E-2</c:v>
                </c:pt>
                <c:pt idx="151">
                  <c:v>3.5975383846274543E-2</c:v>
                </c:pt>
                <c:pt idx="152">
                  <c:v>3.6306123932147348E-2</c:v>
                </c:pt>
                <c:pt idx="153">
                  <c:v>3.663656068491386E-2</c:v>
                </c:pt>
                <c:pt idx="154">
                  <c:v>3.6966623488394981E-2</c:v>
                </c:pt>
                <c:pt idx="155">
                  <c:v>3.7296241296936421E-2</c:v>
                </c:pt>
                <c:pt idx="156">
                  <c:v>3.7625342918162781E-2</c:v>
                </c:pt>
                <c:pt idx="157">
                  <c:v>3.7953857300855529E-2</c:v>
                </c:pt>
                <c:pt idx="158">
                  <c:v>3.8281713826097692E-2</c:v>
                </c:pt>
                <c:pt idx="159">
                  <c:v>3.8608842599759455E-2</c:v>
                </c:pt>
                <c:pt idx="160">
                  <c:v>3.8935174744347052E-2</c:v>
                </c:pt>
                <c:pt idx="161">
                  <c:v>3.9260642688201737E-2</c:v>
                </c:pt>
                <c:pt idx="162">
                  <c:v>3.9585180450019283E-2</c:v>
                </c:pt>
                <c:pt idx="163">
                  <c:v>3.9908723916660727E-2</c:v>
                </c:pt>
                <c:pt idx="164">
                  <c:v>4.0231211112244987E-2</c:v>
                </c:pt>
                <c:pt idx="165">
                  <c:v>4.0552582456552834E-2</c:v>
                </c:pt>
                <c:pt idx="166">
                  <c:v>4.0872781010827759E-2</c:v>
                </c:pt>
                <c:pt idx="167">
                  <c:v>4.1191752709135901E-2</c:v>
                </c:pt>
                <c:pt idx="168">
                  <c:v>4.1509446573539853E-2</c:v>
                </c:pt>
                <c:pt idx="169">
                  <c:v>4.1825814911451986E-2</c:v>
                </c:pt>
                <c:pt idx="170">
                  <c:v>4.2140813493660223E-2</c:v>
                </c:pt>
                <c:pt idx="171">
                  <c:v>4.2454401711661711E-2</c:v>
                </c:pt>
                <c:pt idx="172">
                  <c:v>4.2766542713095899E-2</c:v>
                </c:pt>
                <c:pt idx="173">
                  <c:v>4.307720351423884E-2</c:v>
                </c:pt>
                <c:pt idx="174">
                  <c:v>4.3386355088700403E-2</c:v>
                </c:pt>
                <c:pt idx="175">
                  <c:v>4.3693972431656368E-2</c:v>
                </c:pt>
                <c:pt idx="176">
                  <c:v>4.4000034599145831E-2</c:v>
                </c:pt>
                <c:pt idx="177">
                  <c:v>4.4304524722167553E-2</c:v>
                </c:pt>
                <c:pt idx="178">
                  <c:v>4.4607429995516361E-2</c:v>
                </c:pt>
                <c:pt idx="179">
                  <c:v>4.4908741641511138E-2</c:v>
                </c:pt>
                <c:pt idx="180">
                  <c:v>4.5208454848973977E-2</c:v>
                </c:pt>
                <c:pt idx="181">
                  <c:v>4.5506568688027646E-2</c:v>
                </c:pt>
                <c:pt idx="182">
                  <c:v>4.5803086001480413E-2</c:v>
                </c:pt>
                <c:pt idx="183">
                  <c:v>4.6098013273763665E-2</c:v>
                </c:pt>
                <c:pt idx="184">
                  <c:v>4.6391360478573861E-2</c:v>
                </c:pt>
                <c:pt idx="185">
                  <c:v>4.6683140906548452E-2</c:v>
                </c:pt>
                <c:pt idx="186">
                  <c:v>4.697337097446859E-2</c:v>
                </c:pt>
                <c:pt idx="187">
                  <c:v>4.7262070017632357E-2</c:v>
                </c:pt>
                <c:pt idx="188">
                  <c:v>4.7549260067176392E-2</c:v>
                </c:pt>
                <c:pt idx="189">
                  <c:v>4.7834965614240992E-2</c:v>
                </c:pt>
                <c:pt idx="190">
                  <c:v>4.8119213362973784E-2</c:v>
                </c:pt>
                <c:pt idx="191">
                  <c:v>4.8402031974444586E-2</c:v>
                </c:pt>
                <c:pt idx="192">
                  <c:v>4.868345180360522E-2</c:v>
                </c:pt>
                <c:pt idx="193">
                  <c:v>4.8963504631464469E-2</c:v>
                </c:pt>
                <c:pt idx="194">
                  <c:v>4.9242223394665649E-2</c:v>
                </c:pt>
                <c:pt idx="195">
                  <c:v>4.9519641914649158E-2</c:v>
                </c:pt>
                <c:pt idx="196">
                  <c:v>4.9795794628554803E-2</c:v>
                </c:pt>
                <c:pt idx="197">
                  <c:v>5.0070716323971344E-2</c:v>
                </c:pt>
                <c:pt idx="198">
                  <c:v>5.034444187957085E-2</c:v>
                </c:pt>
                <c:pt idx="199">
                  <c:v>5.0617006013576132E-2</c:v>
                </c:pt>
                <c:pt idx="200">
                  <c:v>5.0888443041900919E-2</c:v>
                </c:pt>
                <c:pt idx="201">
                  <c:v>5.1158786647675973E-2</c:v>
                </c:pt>
                <c:pt idx="202">
                  <c:v>5.1428069663729745E-2</c:v>
                </c:pt>
                <c:pt idx="203">
                  <c:v>5.1696323869434908E-2</c:v>
                </c:pt>
                <c:pt idx="204">
                  <c:v>5.1963579803158758E-2</c:v>
                </c:pt>
                <c:pt idx="205">
                  <c:v>5.2229866591372284E-2</c:v>
                </c:pt>
                <c:pt idx="206">
                  <c:v>5.2495211795279384E-2</c:v>
                </c:pt>
                <c:pt idx="207">
                  <c:v>5.27596412756271E-2</c:v>
                </c:pt>
                <c:pt idx="208">
                  <c:v>5.3023179076151873E-2</c:v>
                </c:pt>
                <c:pt idx="209">
                  <c:v>5.3285847325907965E-2</c:v>
                </c:pt>
                <c:pt idx="210">
                  <c:v>5.3547666160515713E-2</c:v>
                </c:pt>
                <c:pt idx="211">
                  <c:v>5.3808653662159103E-2</c:v>
                </c:pt>
                <c:pt idx="212">
                  <c:v>5.4068825817959722E-2</c:v>
                </c:pt>
                <c:pt idx="213">
                  <c:v>5.4328196496157333E-2</c:v>
                </c:pt>
                <c:pt idx="214">
                  <c:v>5.4586777439339394E-2</c:v>
                </c:pt>
                <c:pt idx="215">
                  <c:v>5.4844578273785263E-2</c:v>
                </c:pt>
                <c:pt idx="216">
                  <c:v>5.51016065338268E-2</c:v>
                </c:pt>
                <c:pt idx="217">
                  <c:v>5.5357867699977949E-2</c:v>
                </c:pt>
                <c:pt idx="218">
                  <c:v>5.5613365249454143E-2</c:v>
                </c:pt>
                <c:pt idx="219">
                  <c:v>5.5868100717587514E-2</c:v>
                </c:pt>
                <c:pt idx="220">
                  <c:v>5.612207376855001E-2</c:v>
                </c:pt>
                <c:pt idx="221">
                  <c:v>5.6375282273722578E-2</c:v>
                </c:pt>
                <c:pt idx="222">
                  <c:v>5.6627722395996526E-2</c:v>
                </c:pt>
                <c:pt idx="223">
                  <c:v>5.6879388678263462E-2</c:v>
                </c:pt>
                <c:pt idx="224">
                  <c:v>5.713027413434317E-2</c:v>
                </c:pt>
                <c:pt idx="225">
                  <c:v>5.7380370340615168E-2</c:v>
                </c:pt>
                <c:pt idx="226">
                  <c:v>5.7629667526657748E-2</c:v>
                </c:pt>
                <c:pt idx="227">
                  <c:v>5.7878154663260649E-2</c:v>
                </c:pt>
                <c:pt idx="228">
                  <c:v>5.812581954625913E-2</c:v>
                </c:pt>
                <c:pt idx="229">
                  <c:v>5.8372648874742881E-2</c:v>
                </c:pt>
                <c:pt idx="230">
                  <c:v>5.8618628322315389E-2</c:v>
                </c:pt>
                <c:pt idx="231">
                  <c:v>5.8863742600222452E-2</c:v>
                </c:pt>
                <c:pt idx="232">
                  <c:v>5.9107975511327321E-2</c:v>
                </c:pt>
                <c:pt idx="233">
                  <c:v>5.9351309994082953E-2</c:v>
                </c:pt>
                <c:pt idx="234">
                  <c:v>5.9593728155839736E-2</c:v>
                </c:pt>
                <c:pt idx="235">
                  <c:v>5.9835211295023366E-2</c:v>
                </c:pt>
                <c:pt idx="236">
                  <c:v>6.0075739911924005E-2</c:v>
                </c:pt>
                <c:pt idx="237">
                  <c:v>6.0315293708049014E-2</c:v>
                </c:pt>
                <c:pt idx="238">
                  <c:v>6.0553851574206757E-2</c:v>
                </c:pt>
                <c:pt idx="239">
                  <c:v>6.0791391567704842E-2</c:v>
                </c:pt>
                <c:pt idx="240">
                  <c:v>6.1027890879258959E-2</c:v>
                </c:pt>
                <c:pt idx="241">
                  <c:v>6.1263325790418953E-2</c:v>
                </c:pt>
                <c:pt idx="242">
                  <c:v>6.1497671622519019E-2</c:v>
                </c:pt>
                <c:pt idx="243">
                  <c:v>6.1730902678351719E-2</c:v>
                </c:pt>
                <c:pt idx="244">
                  <c:v>6.1962992177944348E-2</c:v>
                </c:pt>
                <c:pt idx="245">
                  <c:v>6.2193912189981014E-2</c:v>
                </c:pt>
                <c:pt idx="246">
                  <c:v>6.2423633560560819E-2</c:v>
                </c:pt>
                <c:pt idx="247">
                  <c:v>6.2652125841111059E-2</c:v>
                </c:pt>
                <c:pt idx="248">
                  <c:v>6.2879357217380805E-2</c:v>
                </c:pt>
                <c:pt idx="249">
                  <c:v>6.3105294441524878E-2</c:v>
                </c:pt>
                <c:pt idx="250">
                  <c:v>6.3329902769347676E-2</c:v>
                </c:pt>
                <c:pt idx="251">
                  <c:v>6.3553145904810496E-2</c:v>
                </c:pt>
                <c:pt idx="252">
                  <c:v>6.3774985953914412E-2</c:v>
                </c:pt>
                <c:pt idx="253">
                  <c:v>6.3995383390050453E-2</c:v>
                </c:pt>
                <c:pt idx="254">
                  <c:v>6.4214297032863174E-2</c:v>
                </c:pt>
                <c:pt idx="255">
                  <c:v>6.4431684042598927E-2</c:v>
                </c:pt>
                <c:pt idx="256">
                  <c:v>6.4647499931808836E-2</c:v>
                </c:pt>
                <c:pt idx="257">
                  <c:v>6.4861698596148626E-2</c:v>
                </c:pt>
                <c:pt idx="258">
                  <c:v>6.5074232365863696E-2</c:v>
                </c:pt>
                <c:pt idx="259">
                  <c:v>6.528505207936959E-2</c:v>
                </c:pt>
                <c:pt idx="260">
                  <c:v>6.5494107180136957E-2</c:v>
                </c:pt>
                <c:pt idx="261">
                  <c:v>6.5701345837867339E-2</c:v>
                </c:pt>
                <c:pt idx="262">
                  <c:v>6.5906715094704693E-2</c:v>
                </c:pt>
                <c:pt idx="263">
                  <c:v>6.6110161036969234E-2</c:v>
                </c:pt>
                <c:pt idx="264">
                  <c:v>6.6311628992626409E-2</c:v>
                </c:pt>
                <c:pt idx="265">
                  <c:v>6.6511063754420174E-2</c:v>
                </c:pt>
                <c:pt idx="266">
                  <c:v>6.6708409828305837E-2</c:v>
                </c:pt>
                <c:pt idx="267">
                  <c:v>6.6903611706518359E-2</c:v>
                </c:pt>
                <c:pt idx="268">
                  <c:v>6.7096614164310689E-2</c:v>
                </c:pt>
                <c:pt idx="269">
                  <c:v>6.7287362579095455E-2</c:v>
                </c:pt>
                <c:pt idx="270">
                  <c:v>6.7475803270425946E-2</c:v>
                </c:pt>
                <c:pt idx="271">
                  <c:v>6.7661883858962268E-2</c:v>
                </c:pt>
                <c:pt idx="272">
                  <c:v>6.7845553642289461E-2</c:v>
                </c:pt>
                <c:pt idx="273">
                  <c:v>6.8026763985188074E-2</c:v>
                </c:pt>
                <c:pt idx="274">
                  <c:v>6.820546872170867E-2</c:v>
                </c:pt>
                <c:pt idx="275">
                  <c:v>6.8381624566172791E-2</c:v>
                </c:pt>
                <c:pt idx="276">
                  <c:v>6.8555191530016088E-2</c:v>
                </c:pt>
                <c:pt idx="277">
                  <c:v>6.8726133341208126E-2</c:v>
                </c:pt>
                <c:pt idx="278">
                  <c:v>6.8894417862829821E-2</c:v>
                </c:pt>
                <c:pt idx="279">
                  <c:v>6.9060017507265536E-2</c:v>
                </c:pt>
                <c:pt idx="280">
                  <c:v>6.9222909642375319E-2</c:v>
                </c:pt>
                <c:pt idx="281">
                  <c:v>6.9383076985953904E-2</c:v>
                </c:pt>
                <c:pt idx="282">
                  <c:v>6.9540507984759276E-2</c:v>
                </c:pt>
                <c:pt idx="283">
                  <c:v>6.9695197174405463E-2</c:v>
                </c:pt>
                <c:pt idx="284">
                  <c:v>6.9847145516461637E-2</c:v>
                </c:pt>
                <c:pt idx="285">
                  <c:v>6.9996360709184566E-2</c:v>
                </c:pt>
                <c:pt idx="286">
                  <c:v>7.0142857468431158E-2</c:v>
                </c:pt>
                <c:pt idx="287">
                  <c:v>7.0286657775454411E-2</c:v>
                </c:pt>
                <c:pt idx="288">
                  <c:v>7.0427791088477784E-2</c:v>
                </c:pt>
                <c:pt idx="289">
                  <c:v>7.0566294515166494E-2</c:v>
                </c:pt>
                <c:pt idx="290">
                  <c:v>7.0702212943371923E-2</c:v>
                </c:pt>
                <c:pt idx="291">
                  <c:v>7.0835599127811441E-2</c:v>
                </c:pt>
                <c:pt idx="292">
                  <c:v>7.0966513730661276E-2</c:v>
                </c:pt>
                <c:pt idx="293">
                  <c:v>7.1095025314378266E-2</c:v>
                </c:pt>
                <c:pt idx="294">
                  <c:v>7.12212102854302E-2</c:v>
                </c:pt>
                <c:pt idx="295">
                  <c:v>7.1345152787993901E-2</c:v>
                </c:pt>
                <c:pt idx="296">
                  <c:v>7.1466944547078498E-2</c:v>
                </c:pt>
                <c:pt idx="297">
                  <c:v>7.158668466093962E-2</c:v>
                </c:pt>
                <c:pt idx="298">
                  <c:v>7.1704479343068825E-2</c:v>
                </c:pt>
                <c:pt idx="299">
                  <c:v>7.1820441614464603E-2</c:v>
                </c:pt>
                <c:pt idx="300">
                  <c:v>7.1934690947314833E-2</c:v>
                </c:pt>
                <c:pt idx="301">
                  <c:v>7.2047352861640074E-2</c:v>
                </c:pt>
                <c:pt idx="302">
                  <c:v>7.2158558476861284E-2</c:v>
                </c:pt>
                <c:pt idx="303">
                  <c:v>7.2268444020654882E-2</c:v>
                </c:pt>
                <c:pt idx="304">
                  <c:v>7.2377150297847456E-2</c:v>
                </c:pt>
                <c:pt idx="305">
                  <c:v>7.2484822122467082E-2</c:v>
                </c:pt>
                <c:pt idx="306">
                  <c:v>7.2591607716416109E-2</c:v>
                </c:pt>
                <c:pt idx="307">
                  <c:v>7.2697658078547139E-2</c:v>
                </c:pt>
                <c:pt idx="308">
                  <c:v>7.2803126328214993E-2</c:v>
                </c:pt>
                <c:pt idx="309">
                  <c:v>7.2908167027635112E-2</c:v>
                </c:pt>
                <c:pt idx="310">
                  <c:v>7.3012935487600669E-2</c:v>
                </c:pt>
                <c:pt idx="311">
                  <c:v>7.3117587061296868E-2</c:v>
                </c:pt>
                <c:pt idx="312">
                  <c:v>7.32222764310968E-2</c:v>
                </c:pt>
                <c:pt idx="313">
                  <c:v>7.3327156893327666E-2</c:v>
                </c:pt>
                <c:pt idx="314">
                  <c:v>7.3432379646059309E-2</c:v>
                </c:pt>
                <c:pt idx="315">
                  <c:v>7.3538093084986267E-2</c:v>
                </c:pt>
                <c:pt idx="316">
                  <c:v>7.3644442112450095E-2</c:v>
                </c:pt>
                <c:pt idx="317">
                  <c:v>7.3751567464580073E-2</c:v>
                </c:pt>
                <c:pt idx="318">
                  <c:v>7.385960506141967E-2</c:v>
                </c:pt>
                <c:pt idx="319">
                  <c:v>7.3968685384750904E-2</c:v>
                </c:pt>
                <c:pt idx="320">
                  <c:v>7.4078932888132623E-2</c:v>
                </c:pt>
                <c:pt idx="321">
                  <c:v>7.4190465443433634E-2</c:v>
                </c:pt>
                <c:pt idx="322">
                  <c:v>7.4303393827866576E-2</c:v>
                </c:pt>
                <c:pt idx="323">
                  <c:v>7.4417821255219216E-2</c:v>
                </c:pt>
                <c:pt idx="324">
                  <c:v>7.4533842954637303E-2</c:v>
                </c:pt>
                <c:pt idx="325">
                  <c:v>7.4651545799939351E-2</c:v>
                </c:pt>
                <c:pt idx="326">
                  <c:v>7.4771007992046001E-2</c:v>
                </c:pt>
                <c:pt idx="327">
                  <c:v>7.4892298796681703E-2</c:v>
                </c:pt>
                <c:pt idx="328">
                  <c:v>7.5015478339066979E-2</c:v>
                </c:pt>
                <c:pt idx="329">
                  <c:v>7.5140597456860123E-2</c:v>
                </c:pt>
                <c:pt idx="330">
                  <c:v>7.5267697612139847E-2</c:v>
                </c:pt>
                <c:pt idx="331">
                  <c:v>7.5396810862744884E-2</c:v>
                </c:pt>
                <c:pt idx="332">
                  <c:v>7.5527959892807806E-2</c:v>
                </c:pt>
                <c:pt idx="333">
                  <c:v>7.5661158101844789E-2</c:v>
                </c:pt>
                <c:pt idx="334">
                  <c:v>7.5796409751292704E-2</c:v>
                </c:pt>
                <c:pt idx="335">
                  <c:v>7.5933710166924767E-2</c:v>
                </c:pt>
                <c:pt idx="336">
                  <c:v>7.6073045995131386E-2</c:v>
                </c:pt>
                <c:pt idx="337">
                  <c:v>7.6214395510626254E-2</c:v>
                </c:pt>
                <c:pt idx="338">
                  <c:v>7.6357728972733768E-2</c:v>
                </c:pt>
                <c:pt idx="339">
                  <c:v>7.6503009027036592E-2</c:v>
                </c:pt>
                <c:pt idx="340">
                  <c:v>7.6650191148813954E-2</c:v>
                </c:pt>
                <c:pt idx="341">
                  <c:v>7.6799224124386556E-2</c:v>
                </c:pt>
                <c:pt idx="342">
                  <c:v>7.6950050566204187E-2</c:v>
                </c:pt>
                <c:pt idx="343">
                  <c:v>7.7102607457271322E-2</c:v>
                </c:pt>
                <c:pt idx="344">
                  <c:v>7.7256826720304067E-2</c:v>
                </c:pt>
                <c:pt idx="345">
                  <c:v>7.7412635806853661E-2</c:v>
                </c:pt>
                <c:pt idx="346">
                  <c:v>7.7569958301514919E-2</c:v>
                </c:pt>
                <c:pt idx="347">
                  <c:v>7.7728714536266702E-2</c:v>
                </c:pt>
                <c:pt idx="348">
                  <c:v>7.7888822209964029E-2</c:v>
                </c:pt>
                <c:pt idx="349">
                  <c:v>7.8050197008019434E-2</c:v>
                </c:pt>
                <c:pt idx="350">
                  <c:v>7.8212753217371908E-2</c:v>
                </c:pt>
                <c:pt idx="351">
                  <c:v>7.8376404331947896E-2</c:v>
                </c:pt>
                <c:pt idx="352">
                  <c:v>7.8541063643965542E-2</c:v>
                </c:pt>
                <c:pt idx="353">
                  <c:v>7.8706644816621582E-2</c:v>
                </c:pt>
                <c:pt idx="354">
                  <c:v>7.8873062433926583E-2</c:v>
                </c:pt>
                <c:pt idx="355">
                  <c:v>7.9040232523717127E-2</c:v>
                </c:pt>
                <c:pt idx="356">
                  <c:v>7.9208073050168998E-2</c:v>
                </c:pt>
                <c:pt idx="357">
                  <c:v>7.9376504372463255E-2</c:v>
                </c:pt>
                <c:pt idx="358">
                  <c:v>7.9545449666608925E-2</c:v>
                </c:pt>
                <c:pt idx="359">
                  <c:v>7.9714835307804974E-2</c:v>
                </c:pt>
                <c:pt idx="360">
                  <c:v>7.9884591211119987E-2</c:v>
                </c:pt>
                <c:pt idx="361">
                  <c:v>8.0054651128681389E-2</c:v>
                </c:pt>
                <c:pt idx="362">
                  <c:v>8.0224952901990679E-2</c:v>
                </c:pt>
                <c:pt idx="363">
                  <c:v>8.0395438668413102E-2</c:v>
                </c:pt>
                <c:pt idx="364">
                  <c:v>8.0566055021326258E-2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9.9510415644069247E-3</c:v>
                </c:pt>
                <c:pt idx="1">
                  <c:v>9.9543069170508654E-3</c:v>
                </c:pt>
                <c:pt idx="2">
                  <c:v>9.9597570417079041E-3</c:v>
                </c:pt>
                <c:pt idx="3">
                  <c:v>9.9674596639973464E-3</c:v>
                </c:pt>
                <c:pt idx="4">
                  <c:v>9.977474310592092E-3</c:v>
                </c:pt>
                <c:pt idx="5">
                  <c:v>9.9898525170907509E-3</c:v>
                </c:pt>
                <c:pt idx="6">
                  <c:v>1.0004638088555097E-2</c:v>
                </c:pt>
                <c:pt idx="7">
                  <c:v>1.0021867406570012E-2</c:v>
                </c:pt>
                <c:pt idx="8">
                  <c:v>1.0040423242755123E-2</c:v>
                </c:pt>
                <c:pt idx="9">
                  <c:v>1.0053002383794087E-2</c:v>
                </c:pt>
                <c:pt idx="10">
                  <c:v>1.0057033660845781E-2</c:v>
                </c:pt>
                <c:pt idx="11">
                  <c:v>1.0053102159116254E-2</c:v>
                </c:pt>
                <c:pt idx="12">
                  <c:v>1.0041790274164941E-2</c:v>
                </c:pt>
                <c:pt idx="13">
                  <c:v>1.0023672648028007E-2</c:v>
                </c:pt>
                <c:pt idx="14">
                  <c:v>9.9993118830725806E-3</c:v>
                </c:pt>
                <c:pt idx="15">
                  <c:v>9.9477792735240111E-3</c:v>
                </c:pt>
                <c:pt idx="16">
                  <c:v>9.8673431328496972E-3</c:v>
                </c:pt>
                <c:pt idx="17">
                  <c:v>9.7593619053861647E-3</c:v>
                </c:pt>
                <c:pt idx="18">
                  <c:v>9.6251618021457562E-3</c:v>
                </c:pt>
                <c:pt idx="19">
                  <c:v>9.4660804664682997E-3</c:v>
                </c:pt>
                <c:pt idx="20">
                  <c:v>9.2834259508135439E-3</c:v>
                </c:pt>
                <c:pt idx="21">
                  <c:v>9.0784047213942811E-3</c:v>
                </c:pt>
                <c:pt idx="22">
                  <c:v>8.8511973955009253E-3</c:v>
                </c:pt>
                <c:pt idx="23">
                  <c:v>8.5889340269385828E-3</c:v>
                </c:pt>
                <c:pt idx="24">
                  <c:v>8.2985689024705107E-3</c:v>
                </c:pt>
                <c:pt idx="25">
                  <c:v>7.9814553607987903E-3</c:v>
                </c:pt>
                <c:pt idx="26">
                  <c:v>7.6389030349834578E-3</c:v>
                </c:pt>
                <c:pt idx="27">
                  <c:v>7.2721736497988127E-3</c:v>
                </c:pt>
                <c:pt idx="28">
                  <c:v>6.882477607628442E-3</c:v>
                </c:pt>
                <c:pt idx="29">
                  <c:v>6.4809118303199784E-3</c:v>
                </c:pt>
                <c:pt idx="30">
                  <c:v>6.0861082246546176E-3</c:v>
                </c:pt>
                <c:pt idx="31">
                  <c:v>5.6980821138137069E-3</c:v>
                </c:pt>
                <c:pt idx="32">
                  <c:v>5.3168210299107234E-3</c:v>
                </c:pt>
                <c:pt idx="33">
                  <c:v>4.9422872163858997E-3</c:v>
                </c:pt>
                <c:pt idx="34">
                  <c:v>4.5744199902754473E-3</c:v>
                </c:pt>
                <c:pt idx="35">
                  <c:v>4.2131379551979048E-3</c:v>
                </c:pt>
                <c:pt idx="36">
                  <c:v>3.8582596732384252E-3</c:v>
                </c:pt>
                <c:pt idx="37">
                  <c:v>3.5235447549803785E-3</c:v>
                </c:pt>
                <c:pt idx="38">
                  <c:v>3.2191965494041842E-3</c:v>
                </c:pt>
                <c:pt idx="39">
                  <c:v>2.9442172184096656E-3</c:v>
                </c:pt>
                <c:pt idx="40">
                  <c:v>2.6976403132991439E-3</c:v>
                </c:pt>
                <c:pt idx="41">
                  <c:v>2.4785293144228429E-3</c:v>
                </c:pt>
                <c:pt idx="42">
                  <c:v>2.2859762974232539E-3</c:v>
                </c:pt>
                <c:pt idx="43">
                  <c:v>2.123714197856218E-3</c:v>
                </c:pt>
                <c:pt idx="44">
                  <c:v>1.9824477275993879E-3</c:v>
                </c:pt>
                <c:pt idx="45">
                  <c:v>1.8614819796029804E-3</c:v>
                </c:pt>
                <c:pt idx="46">
                  <c:v>1.7601424439774261E-3</c:v>
                </c:pt>
                <c:pt idx="47">
                  <c:v>1.6777742866673699E-3</c:v>
                </c:pt>
                <c:pt idx="48">
                  <c:v>1.6137416928296844E-3</c:v>
                </c:pt>
                <c:pt idx="49">
                  <c:v>1.5674272679155512E-3</c:v>
                </c:pt>
                <c:pt idx="50">
                  <c:v>1.5381998702678563E-3</c:v>
                </c:pt>
                <c:pt idx="51">
                  <c:v>1.5256755937607502E-3</c:v>
                </c:pt>
                <c:pt idx="52">
                  <c:v>1.517618109050989E-3</c:v>
                </c:pt>
                <c:pt idx="53">
                  <c:v>1.5138904161751227E-3</c:v>
                </c:pt>
                <c:pt idx="54">
                  <c:v>1.5143660079041227E-3</c:v>
                </c:pt>
                <c:pt idx="55">
                  <c:v>1.518921799479427E-3</c:v>
                </c:pt>
                <c:pt idx="56">
                  <c:v>1.5274386088147515E-3</c:v>
                </c:pt>
                <c:pt idx="57">
                  <c:v>1.5394937503104169E-3</c:v>
                </c:pt>
                <c:pt idx="58">
                  <c:v>1.5511155148740143E-3</c:v>
                </c:pt>
                <c:pt idx="59">
                  <c:v>1.56233823484335E-3</c:v>
                </c:pt>
                <c:pt idx="60">
                  <c:v>1.5731954303944589E-3</c:v>
                </c:pt>
                <c:pt idx="61">
                  <c:v>1.5837197996732338E-3</c:v>
                </c:pt>
                <c:pt idx="62">
                  <c:v>1.593943217720304E-3</c:v>
                </c:pt>
                <c:pt idx="63">
                  <c:v>1.6038967437026848E-3</c:v>
                </c:pt>
                <c:pt idx="64">
                  <c:v>1.6135058918511735E-3</c:v>
                </c:pt>
                <c:pt idx="65">
                  <c:v>1.6218243670238523E-3</c:v>
                </c:pt>
                <c:pt idx="66">
                  <c:v>1.6287427116853349E-3</c:v>
                </c:pt>
                <c:pt idx="67">
                  <c:v>1.6343332424756814E-3</c:v>
                </c:pt>
                <c:pt idx="68">
                  <c:v>1.6386660353212908E-3</c:v>
                </c:pt>
                <c:pt idx="69">
                  <c:v>1.6418087891894972E-3</c:v>
                </c:pt>
                <c:pt idx="70">
                  <c:v>1.6438267219030744E-3</c:v>
                </c:pt>
                <c:pt idx="71">
                  <c:v>1.6435007620430959E-3</c:v>
                </c:pt>
                <c:pt idx="72">
                  <c:v>1.6411910562244387E-3</c:v>
                </c:pt>
                <c:pt idx="73">
                  <c:v>1.6369828577462056E-3</c:v>
                </c:pt>
                <c:pt idx="74">
                  <c:v>1.6309570955379687E-3</c:v>
                </c:pt>
                <c:pt idx="75">
                  <c:v>1.6231903207235136E-3</c:v>
                </c:pt>
                <c:pt idx="76">
                  <c:v>1.6137546761847705E-3</c:v>
                </c:pt>
                <c:pt idx="77">
                  <c:v>1.6027178852247744E-3</c:v>
                </c:pt>
                <c:pt idx="78">
                  <c:v>1.5900185171422358E-3</c:v>
                </c:pt>
                <c:pt idx="79">
                  <c:v>1.5748126734288217E-3</c:v>
                </c:pt>
                <c:pt idx="80">
                  <c:v>1.5579630478749125E-3</c:v>
                </c:pt>
                <c:pt idx="81">
                  <c:v>1.5395414844737083E-3</c:v>
                </c:pt>
                <c:pt idx="82">
                  <c:v>1.5196152653941147E-3</c:v>
                </c:pt>
                <c:pt idx="83">
                  <c:v>1.4982470097486766E-3</c:v>
                </c:pt>
                <c:pt idx="84">
                  <c:v>1.4754945994253804E-3</c:v>
                </c:pt>
                <c:pt idx="85">
                  <c:v>1.4508699327068077E-3</c:v>
                </c:pt>
                <c:pt idx="86">
                  <c:v>1.4255604698115475E-3</c:v>
                </c:pt>
                <c:pt idx="87">
                  <c:v>1.3995966767193068E-3</c:v>
                </c:pt>
                <c:pt idx="88">
                  <c:v>1.3730052155884293E-3</c:v>
                </c:pt>
                <c:pt idx="89">
                  <c:v>1.3458089958833753E-3</c:v>
                </c:pt>
                <c:pt idx="90">
                  <c:v>1.318027223448572E-3</c:v>
                </c:pt>
                <c:pt idx="91">
                  <c:v>1.2896754467723432E-3</c:v>
                </c:pt>
                <c:pt idx="92">
                  <c:v>1.2606941127604168E-3</c:v>
                </c:pt>
                <c:pt idx="93">
                  <c:v>1.2305957991052626E-3</c:v>
                </c:pt>
                <c:pt idx="94">
                  <c:v>1.2001125652164497E-3</c:v>
                </c:pt>
                <c:pt idx="95">
                  <c:v>1.1692437089859979E-3</c:v>
                </c:pt>
                <c:pt idx="96">
                  <c:v>1.1379869697489872E-3</c:v>
                </c:pt>
                <c:pt idx="97">
                  <c:v>1.106338530557019E-3</c:v>
                </c:pt>
                <c:pt idx="98">
                  <c:v>1.0742930178023636E-3</c:v>
                </c:pt>
                <c:pt idx="99">
                  <c:v>1.0418640650868294E-3</c:v>
                </c:pt>
                <c:pt idx="100">
                  <c:v>1.0095407765697098E-3</c:v>
                </c:pt>
                <c:pt idx="101">
                  <c:v>9.7730741896436771E-4</c:v>
                </c:pt>
                <c:pt idx="102">
                  <c:v>9.4514749172912034E-4</c:v>
                </c:pt>
                <c:pt idx="103">
                  <c:v>9.1304372091014386E-4</c:v>
                </c:pt>
                <c:pt idx="104">
                  <c:v>8.8097804976625821E-4</c:v>
                </c:pt>
                <c:pt idx="105">
                  <c:v>8.4893162710229634E-4</c:v>
                </c:pt>
                <c:pt idx="106">
                  <c:v>8.1686251116780103E-4</c:v>
                </c:pt>
                <c:pt idx="107">
                  <c:v>7.8454959825492374E-4</c:v>
                </c:pt>
                <c:pt idx="108">
                  <c:v>7.5238038039826831E-4</c:v>
                </c:pt>
                <c:pt idx="109">
                  <c:v>7.2033713827926351E-4</c:v>
                </c:pt>
                <c:pt idx="110">
                  <c:v>6.8840342749859195E-4</c:v>
                </c:pt>
                <c:pt idx="111">
                  <c:v>6.5656180287319507E-4</c:v>
                </c:pt>
                <c:pt idx="112">
                  <c:v>6.2479200726094867E-4</c:v>
                </c:pt>
                <c:pt idx="113">
                  <c:v>5.9348856098549057E-4</c:v>
                </c:pt>
                <c:pt idx="114">
                  <c:v>5.6260935360689316E-4</c:v>
                </c:pt>
                <c:pt idx="115">
                  <c:v>5.3213214495369547E-4</c:v>
                </c:pt>
                <c:pt idx="116">
                  <c:v>5.0203461892307224E-4</c:v>
                </c:pt>
                <c:pt idx="117">
                  <c:v>4.722943888456987E-4</c:v>
                </c:pt>
                <c:pt idx="118">
                  <c:v>4.4288900136929375E-4</c:v>
                </c:pt>
                <c:pt idx="119">
                  <c:v>4.1379593928867251E-4</c:v>
                </c:pt>
                <c:pt idx="120">
                  <c:v>3.8499344412601329E-4</c:v>
                </c:pt>
                <c:pt idx="121">
                  <c:v>3.5745163150870579E-4</c:v>
                </c:pt>
                <c:pt idx="122">
                  <c:v>3.3133126102472893E-4</c:v>
                </c:pt>
                <c:pt idx="123">
                  <c:v>3.0661525112616006E-4</c:v>
                </c:pt>
                <c:pt idx="124">
                  <c:v>2.8328966733203327E-4</c:v>
                </c:pt>
                <c:pt idx="125">
                  <c:v>2.6134358424158104E-4</c:v>
                </c:pt>
                <c:pt idx="126">
                  <c:v>2.414466137239728E-4</c:v>
                </c:pt>
                <c:pt idx="127">
                  <c:v>2.2361127990661156E-4</c:v>
                </c:pt>
                <c:pt idx="128">
                  <c:v>2.069923224784471E-4</c:v>
                </c:pt>
                <c:pt idx="129">
                  <c:v>1.9159561661498466E-4</c:v>
                </c:pt>
                <c:pt idx="130">
                  <c:v>1.7742963134249561E-4</c:v>
                </c:pt>
                <c:pt idx="131">
                  <c:v>1.6450533944839353E-4</c:v>
                </c:pt>
                <c:pt idx="132">
                  <c:v>1.5283612511731446E-4</c:v>
                </c:pt>
                <c:pt idx="133">
                  <c:v>1.4243768805204305E-4</c:v>
                </c:pt>
                <c:pt idx="134">
                  <c:v>1.3333182780127858E-4</c:v>
                </c:pt>
                <c:pt idx="135">
                  <c:v>1.2566937263488629E-4</c:v>
                </c:pt>
                <c:pt idx="136">
                  <c:v>1.1840299078302414E-4</c:v>
                </c:pt>
                <c:pt idx="137">
                  <c:v>1.1153325604367701E-4</c:v>
                </c:pt>
                <c:pt idx="138">
                  <c:v>1.050616028932397E-4</c:v>
                </c:pt>
                <c:pt idx="139">
                  <c:v>9.8990304412037623E-5</c:v>
                </c:pt>
                <c:pt idx="140">
                  <c:v>9.3322449320849528E-5</c:v>
                </c:pt>
                <c:pt idx="141">
                  <c:v>8.828819063619355E-5</c:v>
                </c:pt>
                <c:pt idx="142">
                  <c:v>8.3489135913794894E-5</c:v>
                </c:pt>
                <c:pt idx="143">
                  <c:v>7.8925547377537699E-5</c:v>
                </c:pt>
                <c:pt idx="144">
                  <c:v>7.4598711283366102E-5</c:v>
                </c:pt>
                <c:pt idx="145">
                  <c:v>7.051036672171353E-5</c:v>
                </c:pt>
                <c:pt idx="146">
                  <c:v>6.6662695216462042E-5</c:v>
                </c:pt>
                <c:pt idx="147">
                  <c:v>6.3058309082315519E-5</c:v>
                </c:pt>
                <c:pt idx="148">
                  <c:v>5.9701467569133913E-5</c:v>
                </c:pt>
                <c:pt idx="149">
                  <c:v>5.6740371243504392E-5</c:v>
                </c:pt>
                <c:pt idx="150">
                  <c:v>5.4062815358587456E-5</c:v>
                </c:pt>
                <c:pt idx="151">
                  <c:v>5.1681264786777914E-5</c:v>
                </c:pt>
                <c:pt idx="152">
                  <c:v>4.9608689681495748E-5</c:v>
                </c:pt>
                <c:pt idx="153">
                  <c:v>4.7858533211784589E-5</c:v>
                </c:pt>
                <c:pt idx="154">
                  <c:v>4.6444676930897293E-5</c:v>
                </c:pt>
                <c:pt idx="155">
                  <c:v>4.5425485479988661E-5</c:v>
                </c:pt>
                <c:pt idx="156">
                  <c:v>4.4555084024787693E-5</c:v>
                </c:pt>
                <c:pt idx="157">
                  <c:v>4.3841996325791234E-5</c:v>
                </c:pt>
                <c:pt idx="158">
                  <c:v>4.3294933720225916E-5</c:v>
                </c:pt>
                <c:pt idx="159">
                  <c:v>4.2922771378202965E-5</c:v>
                </c:pt>
                <c:pt idx="160">
                  <c:v>4.273452363394524E-5</c:v>
                </c:pt>
                <c:pt idx="161">
                  <c:v>4.2739318515280345E-5</c:v>
                </c:pt>
                <c:pt idx="162">
                  <c:v>4.2947068560685443E-5</c:v>
                </c:pt>
                <c:pt idx="163">
                  <c:v>4.3344007601687207E-5</c:v>
                </c:pt>
                <c:pt idx="164">
                  <c:v>4.3756376335428985E-5</c:v>
                </c:pt>
                <c:pt idx="165">
                  <c:v>4.4185969227666195E-5</c:v>
                </c:pt>
                <c:pt idx="166">
                  <c:v>4.4634589046147078E-5</c:v>
                </c:pt>
                <c:pt idx="167">
                  <c:v>4.5104042755615949E-5</c:v>
                </c:pt>
                <c:pt idx="168">
                  <c:v>4.559613740399972E-5</c:v>
                </c:pt>
                <c:pt idx="169">
                  <c:v>4.6090087840921773E-5</c:v>
                </c:pt>
                <c:pt idx="170">
                  <c:v>4.65370893677285E-5</c:v>
                </c:pt>
                <c:pt idx="171">
                  <c:v>4.693803112727524E-5</c:v>
                </c:pt>
                <c:pt idx="172">
                  <c:v>4.7293774527893714E-5</c:v>
                </c:pt>
                <c:pt idx="173">
                  <c:v>4.7604665524922898E-5</c:v>
                </c:pt>
                <c:pt idx="174">
                  <c:v>4.7870983719806454E-5</c:v>
                </c:pt>
                <c:pt idx="175">
                  <c:v>4.8093450244405115E-5</c:v>
                </c:pt>
                <c:pt idx="176">
                  <c:v>4.827281651312764E-5</c:v>
                </c:pt>
                <c:pt idx="177">
                  <c:v>4.8464507631529147E-5</c:v>
                </c:pt>
                <c:pt idx="178">
                  <c:v>4.8691889337555874E-5</c:v>
                </c:pt>
                <c:pt idx="179">
                  <c:v>4.8956793309593123E-5</c:v>
                </c:pt>
                <c:pt idx="180">
                  <c:v>4.9261021766657407E-5</c:v>
                </c:pt>
                <c:pt idx="181">
                  <c:v>4.9606347414860517E-5</c:v>
                </c:pt>
                <c:pt idx="182">
                  <c:v>4.999451383259237E-5</c:v>
                </c:pt>
                <c:pt idx="183">
                  <c:v>5.0661290147665702E-5</c:v>
                </c:pt>
                <c:pt idx="184">
                  <c:v>5.1635770861556082E-5</c:v>
                </c:pt>
                <c:pt idx="185">
                  <c:v>5.2926390736874247E-5</c:v>
                </c:pt>
                <c:pt idx="186">
                  <c:v>5.4541459487217553E-5</c:v>
                </c:pt>
                <c:pt idx="187">
                  <c:v>5.6489174977305351E-5</c:v>
                </c:pt>
                <c:pt idx="188">
                  <c:v>5.8777638638287534E-5</c:v>
                </c:pt>
                <c:pt idx="189">
                  <c:v>6.1414873061277155E-5</c:v>
                </c:pt>
                <c:pt idx="190">
                  <c:v>6.4408764897629973E-5</c:v>
                </c:pt>
                <c:pt idx="191">
                  <c:v>6.8120421191538873E-5</c:v>
                </c:pt>
                <c:pt idx="192">
                  <c:v>7.2503359877029239E-5</c:v>
                </c:pt>
                <c:pt idx="193">
                  <c:v>7.7570704693491946E-5</c:v>
                </c:pt>
                <c:pt idx="194">
                  <c:v>8.3335396552178167E-5</c:v>
                </c:pt>
                <c:pt idx="195">
                  <c:v>8.9810187396998563E-5</c:v>
                </c:pt>
                <c:pt idx="196">
                  <c:v>9.7007634619311476E-5</c:v>
                </c:pt>
                <c:pt idx="197">
                  <c:v>1.0506055307092348E-4</c:v>
                </c:pt>
                <c:pt idx="198">
                  <c:v>1.1371294216556631E-4</c:v>
                </c:pt>
                <c:pt idx="199">
                  <c:v>1.2297081344334328E-4</c:v>
                </c:pt>
                <c:pt idx="200">
                  <c:v>1.3284013910845355E-4</c:v>
                </c:pt>
                <c:pt idx="201">
                  <c:v>1.4332684531014007E-4</c:v>
                </c:pt>
                <c:pt idx="202">
                  <c:v>1.5443680489004032E-4</c:v>
                </c:pt>
                <c:pt idx="203">
                  <c:v>1.6617582953750893E-4</c:v>
                </c:pt>
                <c:pt idx="204">
                  <c:v>1.7854959258587256E-4</c:v>
                </c:pt>
                <c:pt idx="205">
                  <c:v>1.9225302594495238E-4</c:v>
                </c:pt>
                <c:pt idx="206">
                  <c:v>2.0691649719513648E-4</c:v>
                </c:pt>
                <c:pt idx="207">
                  <c:v>2.2255252637980559E-4</c:v>
                </c:pt>
                <c:pt idx="208">
                  <c:v>2.3917396605121924E-4</c:v>
                </c:pt>
                <c:pt idx="209">
                  <c:v>2.5679406008363937E-4</c:v>
                </c:pt>
                <c:pt idx="210">
                  <c:v>2.7542650450055949E-4</c:v>
                </c:pt>
                <c:pt idx="211">
                  <c:v>2.9690866534614604E-4</c:v>
                </c:pt>
                <c:pt idx="212">
                  <c:v>3.2116044867836011E-4</c:v>
                </c:pt>
                <c:pt idx="213">
                  <c:v>3.4822549020721577E-4</c:v>
                </c:pt>
                <c:pt idx="214">
                  <c:v>3.7814842762956189E-4</c:v>
                </c:pt>
                <c:pt idx="215">
                  <c:v>4.1097509357148921E-4</c:v>
                </c:pt>
                <c:pt idx="216">
                  <c:v>4.4675271616033115E-4</c:v>
                </c:pt>
                <c:pt idx="217">
                  <c:v>4.8553012767485953E-4</c:v>
                </c:pt>
                <c:pt idx="218">
                  <c:v>5.2734413581545687E-4</c:v>
                </c:pt>
                <c:pt idx="219">
                  <c:v>5.7311872569777537E-4</c:v>
                </c:pt>
                <c:pt idx="220">
                  <c:v>6.221697149738219E-4</c:v>
                </c:pt>
                <c:pt idx="221">
                  <c:v>6.7455146397286925E-4</c:v>
                </c:pt>
                <c:pt idx="222">
                  <c:v>7.303210053148791E-4</c:v>
                </c:pt>
                <c:pt idx="223">
                  <c:v>7.8953842269262374E-4</c:v>
                </c:pt>
                <c:pt idx="224">
                  <c:v>8.522672481995143E-4</c:v>
                </c:pt>
                <c:pt idx="225">
                  <c:v>9.1812840063446456E-4</c:v>
                </c:pt>
                <c:pt idx="226">
                  <c:v>9.8521162385603622E-4</c:v>
                </c:pt>
                <c:pt idx="227">
                  <c:v>1.0535525762535923E-3</c:v>
                </c:pt>
                <c:pt idx="228">
                  <c:v>1.123190598900421E-3</c:v>
                </c:pt>
                <c:pt idx="229">
                  <c:v>1.194168929302137E-3</c:v>
                </c:pt>
                <c:pt idx="230">
                  <c:v>1.2665349327160458E-3</c:v>
                </c:pt>
                <c:pt idx="231">
                  <c:v>1.340340353740585E-3</c:v>
                </c:pt>
                <c:pt idx="232">
                  <c:v>1.4156003905327961E-3</c:v>
                </c:pt>
                <c:pt idx="233">
                  <c:v>1.4917140940298784E-3</c:v>
                </c:pt>
                <c:pt idx="234">
                  <c:v>1.5677427424610737E-3</c:v>
                </c:pt>
                <c:pt idx="235">
                  <c:v>1.6437023461902212E-3</c:v>
                </c:pt>
                <c:pt idx="236">
                  <c:v>1.7196119185500602E-3</c:v>
                </c:pt>
                <c:pt idx="237">
                  <c:v>1.7954918941325852E-3</c:v>
                </c:pt>
                <c:pt idx="238">
                  <c:v>1.8713651339353026E-3</c:v>
                </c:pt>
                <c:pt idx="239">
                  <c:v>1.9462296597243048E-3</c:v>
                </c:pt>
                <c:pt idx="240">
                  <c:v>2.0205829076116559E-3</c:v>
                </c:pt>
                <c:pt idx="241">
                  <c:v>2.0944432930793014E-3</c:v>
                </c:pt>
                <c:pt idx="242">
                  <c:v>2.1678312534039136E-3</c:v>
                </c:pt>
                <c:pt idx="243">
                  <c:v>2.2407692722121678E-3</c:v>
                </c:pt>
                <c:pt idx="244">
                  <c:v>2.3132819125422721E-3</c:v>
                </c:pt>
                <c:pt idx="245">
                  <c:v>2.3853958593739706E-3</c:v>
                </c:pt>
                <c:pt idx="246">
                  <c:v>2.4571715300963264E-3</c:v>
                </c:pt>
                <c:pt idx="247">
                  <c:v>2.5279207150444107E-3</c:v>
                </c:pt>
                <c:pt idx="248">
                  <c:v>2.5983085037123658E-3</c:v>
                </c:pt>
                <c:pt idx="249">
                  <c:v>2.6683292467978943E-3</c:v>
                </c:pt>
                <c:pt idx="250">
                  <c:v>2.7379738364485444E-3</c:v>
                </c:pt>
                <c:pt idx="251">
                  <c:v>2.8072295800104442E-3</c:v>
                </c:pt>
                <c:pt idx="252">
                  <c:v>2.8760800630954165E-3</c:v>
                </c:pt>
                <c:pt idx="253">
                  <c:v>2.9430541023099254E-3</c:v>
                </c:pt>
                <c:pt idx="254">
                  <c:v>3.0092472354249847E-3</c:v>
                </c:pt>
                <c:pt idx="255">
                  <c:v>3.074621926829859E-3</c:v>
                </c:pt>
                <c:pt idx="256">
                  <c:v>3.1391358293412701E-3</c:v>
                </c:pt>
                <c:pt idx="257">
                  <c:v>3.2027416175056185E-3</c:v>
                </c:pt>
                <c:pt idx="258">
                  <c:v>3.2653868178526865E-3</c:v>
                </c:pt>
                <c:pt idx="259">
                  <c:v>3.3270136371017162E-3</c:v>
                </c:pt>
                <c:pt idx="260">
                  <c:v>3.3878270365412444E-3</c:v>
                </c:pt>
                <c:pt idx="261">
                  <c:v>3.4454942218125261E-3</c:v>
                </c:pt>
                <c:pt idx="262">
                  <c:v>3.5007024744182339E-3</c:v>
                </c:pt>
                <c:pt idx="263">
                  <c:v>3.5533163181435501E-3</c:v>
                </c:pt>
                <c:pt idx="264">
                  <c:v>3.6031878093092345E-3</c:v>
                </c:pt>
                <c:pt idx="265">
                  <c:v>3.6501756858390031E-3</c:v>
                </c:pt>
                <c:pt idx="266">
                  <c:v>3.6941168211982755E-3</c:v>
                </c:pt>
                <c:pt idx="267">
                  <c:v>3.733179277743295E-3</c:v>
                </c:pt>
                <c:pt idx="268">
                  <c:v>3.7687952967472736E-3</c:v>
                </c:pt>
                <c:pt idx="269">
                  <c:v>3.8007461687562969E-3</c:v>
                </c:pt>
                <c:pt idx="270">
                  <c:v>3.8287997752174123E-3</c:v>
                </c:pt>
                <c:pt idx="271">
                  <c:v>3.8527108406795989E-3</c:v>
                </c:pt>
                <c:pt idx="272">
                  <c:v>3.872221330591662E-3</c:v>
                </c:pt>
                <c:pt idx="273">
                  <c:v>3.8870610174516641E-3</c:v>
                </c:pt>
                <c:pt idx="274">
                  <c:v>3.8974439711089172E-3</c:v>
                </c:pt>
                <c:pt idx="275">
                  <c:v>3.9030294017132041E-3</c:v>
                </c:pt>
                <c:pt idx="276">
                  <c:v>3.906543723162785E-3</c:v>
                </c:pt>
                <c:pt idx="277">
                  <c:v>3.9077870192933441E-3</c:v>
                </c:pt>
                <c:pt idx="278">
                  <c:v>3.9065487872244247E-3</c:v>
                </c:pt>
                <c:pt idx="279">
                  <c:v>3.9026079823069161E-3</c:v>
                </c:pt>
                <c:pt idx="280">
                  <c:v>3.8957331990088265E-3</c:v>
                </c:pt>
                <c:pt idx="281">
                  <c:v>3.896389879650344E-3</c:v>
                </c:pt>
                <c:pt idx="282">
                  <c:v>3.9067448856089674E-3</c:v>
                </c:pt>
                <c:pt idx="283">
                  <c:v>3.9270677319777564E-3</c:v>
                </c:pt>
                <c:pt idx="284">
                  <c:v>3.9576299301939078E-3</c:v>
                </c:pt>
                <c:pt idx="285">
                  <c:v>3.998701247288499E-3</c:v>
                </c:pt>
                <c:pt idx="286">
                  <c:v>4.0505454933857637E-3</c:v>
                </c:pt>
                <c:pt idx="287">
                  <c:v>4.1134158130841638E-3</c:v>
                </c:pt>
                <c:pt idx="288">
                  <c:v>4.187814924887432E-3</c:v>
                </c:pt>
                <c:pt idx="289">
                  <c:v>4.2992091305385054E-3</c:v>
                </c:pt>
                <c:pt idx="290">
                  <c:v>4.4497048254073515E-3</c:v>
                </c:pt>
                <c:pt idx="291">
                  <c:v>4.6407743065873391E-3</c:v>
                </c:pt>
                <c:pt idx="292">
                  <c:v>4.8739169889980179E-3</c:v>
                </c:pt>
                <c:pt idx="293">
                  <c:v>5.1506623056194016E-3</c:v>
                </c:pt>
                <c:pt idx="294">
                  <c:v>5.4725730616732296E-3</c:v>
                </c:pt>
                <c:pt idx="295">
                  <c:v>5.8505501003752831E-3</c:v>
                </c:pt>
                <c:pt idx="296">
                  <c:v>6.2736400518205128E-3</c:v>
                </c:pt>
                <c:pt idx="297">
                  <c:v>6.7434640963586791E-3</c:v>
                </c:pt>
                <c:pt idx="298">
                  <c:v>7.2616540554059708E-3</c:v>
                </c:pt>
                <c:pt idx="299">
                  <c:v>7.8299040246872127E-3</c:v>
                </c:pt>
                <c:pt idx="300">
                  <c:v>8.4499774475367724E-3</c:v>
                </c:pt>
                <c:pt idx="301">
                  <c:v>9.1237150003804085E-3</c:v>
                </c:pt>
                <c:pt idx="302">
                  <c:v>9.8530899495315773E-3</c:v>
                </c:pt>
                <c:pt idx="303">
                  <c:v>1.0622909399891753E-2</c:v>
                </c:pt>
                <c:pt idx="304">
                  <c:v>1.1404278862832103E-2</c:v>
                </c:pt>
                <c:pt idx="305">
                  <c:v>1.2197118859189914E-2</c:v>
                </c:pt>
                <c:pt idx="306">
                  <c:v>1.3001282442011883E-2</c:v>
                </c:pt>
                <c:pt idx="307">
                  <c:v>1.3816549185900003E-2</c:v>
                </c:pt>
                <c:pt idx="308">
                  <c:v>1.4642618948788448E-2</c:v>
                </c:pt>
                <c:pt idx="309">
                  <c:v>1.5456827620317807E-2</c:v>
                </c:pt>
                <c:pt idx="310">
                  <c:v>1.6246651337399869E-2</c:v>
                </c:pt>
                <c:pt idx="311">
                  <c:v>1.7010250638420904E-2</c:v>
                </c:pt>
                <c:pt idx="312">
                  <c:v>1.7745679086246167E-2</c:v>
                </c:pt>
                <c:pt idx="313">
                  <c:v>1.8450887192535279E-2</c:v>
                </c:pt>
                <c:pt idx="314">
                  <c:v>1.9123727793643467E-2</c:v>
                </c:pt>
                <c:pt idx="315">
                  <c:v>1.9761963057092356E-2</c:v>
                </c:pt>
                <c:pt idx="316">
                  <c:v>2.0363614330232035E-2</c:v>
                </c:pt>
                <c:pt idx="317">
                  <c:v>2.0917940350395556E-2</c:v>
                </c:pt>
                <c:pt idx="318">
                  <c:v>2.1443586271841758E-2</c:v>
                </c:pt>
                <c:pt idx="319">
                  <c:v>2.1939382154283961E-2</c:v>
                </c:pt>
                <c:pt idx="320">
                  <c:v>2.2404194352293304E-2</c:v>
                </c:pt>
                <c:pt idx="321">
                  <c:v>2.2836926588687714E-2</c:v>
                </c:pt>
                <c:pt idx="322">
                  <c:v>2.3236520603659425E-2</c:v>
                </c:pt>
                <c:pt idx="323">
                  <c:v>2.3607715308031876E-2</c:v>
                </c:pt>
                <c:pt idx="324">
                  <c:v>2.3976078888168873E-2</c:v>
                </c:pt>
                <c:pt idx="325">
                  <c:v>2.4341616732813477E-2</c:v>
                </c:pt>
                <c:pt idx="326">
                  <c:v>2.4704207438981485E-2</c:v>
                </c:pt>
                <c:pt idx="327">
                  <c:v>2.5063852342435845E-2</c:v>
                </c:pt>
                <c:pt idx="328">
                  <c:v>2.5420708799543175E-2</c:v>
                </c:pt>
                <c:pt idx="329">
                  <c:v>2.5774967899029597E-2</c:v>
                </c:pt>
                <c:pt idx="330">
                  <c:v>2.6128576114770308E-2</c:v>
                </c:pt>
                <c:pt idx="331">
                  <c:v>2.6484245249465275E-2</c:v>
                </c:pt>
                <c:pt idx="332">
                  <c:v>2.6851355465363286E-2</c:v>
                </c:pt>
                <c:pt idx="333">
                  <c:v>2.7228783025565782E-2</c:v>
                </c:pt>
                <c:pt idx="334">
                  <c:v>2.7615277124816935E-2</c:v>
                </c:pt>
                <c:pt idx="335">
                  <c:v>2.8009451482467904E-2</c:v>
                </c:pt>
                <c:pt idx="336">
                  <c:v>2.8409777271110392E-2</c:v>
                </c:pt>
                <c:pt idx="337">
                  <c:v>2.8808696071487696E-2</c:v>
                </c:pt>
                <c:pt idx="338">
                  <c:v>2.9197626124260051E-2</c:v>
                </c:pt>
                <c:pt idx="339">
                  <c:v>2.957430983891601E-2</c:v>
                </c:pt>
                <c:pt idx="340">
                  <c:v>2.9936374621258182E-2</c:v>
                </c:pt>
                <c:pt idx="341">
                  <c:v>3.0281347919397201E-2</c:v>
                </c:pt>
                <c:pt idx="342">
                  <c:v>3.0606676351769356E-2</c:v>
                </c:pt>
                <c:pt idx="343">
                  <c:v>3.0909749102886637E-2</c:v>
                </c:pt>
                <c:pt idx="344">
                  <c:v>3.1192667780331571E-2</c:v>
                </c:pt>
                <c:pt idx="345">
                  <c:v>3.1458778432718937E-2</c:v>
                </c:pt>
                <c:pt idx="346">
                  <c:v>3.1698688325853375E-2</c:v>
                </c:pt>
                <c:pt idx="347">
                  <c:v>3.19116019158244E-2</c:v>
                </c:pt>
                <c:pt idx="348">
                  <c:v>3.209678914791738E-2</c:v>
                </c:pt>
                <c:pt idx="349">
                  <c:v>3.2253591824773498E-2</c:v>
                </c:pt>
                <c:pt idx="350">
                  <c:v>3.238142963382707E-2</c:v>
                </c:pt>
                <c:pt idx="351">
                  <c:v>3.2473026699851457E-2</c:v>
                </c:pt>
                <c:pt idx="352">
                  <c:v>3.253423252202417E-2</c:v>
                </c:pt>
                <c:pt idx="353">
                  <c:v>3.2564742305968813E-2</c:v>
                </c:pt>
                <c:pt idx="354">
                  <c:v>3.2564349715800481E-2</c:v>
                </c:pt>
                <c:pt idx="355">
                  <c:v>3.2532949782596417E-2</c:v>
                </c:pt>
                <c:pt idx="356">
                  <c:v>3.2470225504683856E-2</c:v>
                </c:pt>
                <c:pt idx="357">
                  <c:v>3.2376562120164869E-2</c:v>
                </c:pt>
                <c:pt idx="358">
                  <c:v>3.2251488714761772E-2</c:v>
                </c:pt>
                <c:pt idx="359">
                  <c:v>3.2095114199044414E-2</c:v>
                </c:pt>
                <c:pt idx="360">
                  <c:v>3.1902227315636404E-2</c:v>
                </c:pt>
                <c:pt idx="361">
                  <c:v>3.1680616535963754E-2</c:v>
                </c:pt>
                <c:pt idx="362">
                  <c:v>3.1431404092649655E-2</c:v>
                </c:pt>
                <c:pt idx="363">
                  <c:v>3.1155767743829454E-2</c:v>
                </c:pt>
                <c:pt idx="364">
                  <c:v>3.0854929527337701E-2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3613032"/>
        <c:axId val="490954192"/>
      </c:lineChart>
      <c:dateAx>
        <c:axId val="4136130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0954192"/>
        <c:crosses val="autoZero"/>
        <c:auto val="1"/>
        <c:lblOffset val="100"/>
        <c:baseTimeUnit val="days"/>
        <c:majorUnit val="1"/>
        <c:majorTimeUnit val="months"/>
      </c:dateAx>
      <c:valAx>
        <c:axId val="4909541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36130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15.789788686031772</c:v>
                </c:pt>
                <c:pt idx="1">
                  <c:v>15.904707097079207</c:v>
                </c:pt>
                <c:pt idx="2">
                  <c:v>16.027363402997455</c:v>
                </c:pt>
                <c:pt idx="3">
                  <c:v>16.157528244983581</c:v>
                </c:pt>
                <c:pt idx="4">
                  <c:v>16.294972374831225</c:v>
                </c:pt>
                <c:pt idx="5">
                  <c:v>16.439466652144159</c:v>
                </c:pt>
                <c:pt idx="6">
                  <c:v>16.590782048217278</c:v>
                </c:pt>
                <c:pt idx="7">
                  <c:v>16.748689651385003</c:v>
                </c:pt>
                <c:pt idx="8">
                  <c:v>16.914946640913886</c:v>
                </c:pt>
                <c:pt idx="9">
                  <c:v>17.090924311549841</c:v>
                </c:pt>
                <c:pt idx="10">
                  <c:v>17.275881508543538</c:v>
                </c:pt>
                <c:pt idx="11">
                  <c:v>17.469175895295407</c:v>
                </c:pt>
                <c:pt idx="12">
                  <c:v>17.670165602631197</c:v>
                </c:pt>
                <c:pt idx="13">
                  <c:v>17.878209245206978</c:v>
                </c:pt>
                <c:pt idx="14">
                  <c:v>18.092665924335289</c:v>
                </c:pt>
                <c:pt idx="15">
                  <c:v>18.313081035724121</c:v>
                </c:pt>
                <c:pt idx="16">
                  <c:v>18.538845308290625</c:v>
                </c:pt>
                <c:pt idx="17">
                  <c:v>18.769319205973105</c:v>
                </c:pt>
                <c:pt idx="18">
                  <c:v>19.003863644787412</c:v>
                </c:pt>
                <c:pt idx="19">
                  <c:v>19.241837458133727</c:v>
                </c:pt>
                <c:pt idx="20">
                  <c:v>19.482598851556553</c:v>
                </c:pt>
                <c:pt idx="21">
                  <c:v>19.725508516643263</c:v>
                </c:pt>
                <c:pt idx="22">
                  <c:v>19.972144234200435</c:v>
                </c:pt>
                <c:pt idx="23">
                  <c:v>20.224811172196354</c:v>
                </c:pt>
                <c:pt idx="24">
                  <c:v>20.483326231223192</c:v>
                </c:pt>
                <c:pt idx="25">
                  <c:v>20.747396128049669</c:v>
                </c:pt>
                <c:pt idx="26">
                  <c:v>21.016727777218854</c:v>
                </c:pt>
                <c:pt idx="27">
                  <c:v>21.291028302095025</c:v>
                </c:pt>
                <c:pt idx="28">
                  <c:v>21.570005048491769</c:v>
                </c:pt>
                <c:pt idx="29">
                  <c:v>21.853780263819239</c:v>
                </c:pt>
                <c:pt idx="30">
                  <c:v>22.141877243137582</c:v>
                </c:pt>
                <c:pt idx="31">
                  <c:v>22.43400463714832</c:v>
                </c:pt>
                <c:pt idx="32">
                  <c:v>22.729871413159866</c:v>
                </c:pt>
                <c:pt idx="33">
                  <c:v>23.029186877523053</c:v>
                </c:pt>
                <c:pt idx="34">
                  <c:v>23.331660685538434</c:v>
                </c:pt>
                <c:pt idx="35">
                  <c:v>23.637002859685772</c:v>
                </c:pt>
                <c:pt idx="36">
                  <c:v>23.945435929402926</c:v>
                </c:pt>
                <c:pt idx="37">
                  <c:v>24.257194020766697</c:v>
                </c:pt>
                <c:pt idx="38">
                  <c:v>24.571875740415784</c:v>
                </c:pt>
                <c:pt idx="39">
                  <c:v>24.889576207979484</c:v>
                </c:pt>
                <c:pt idx="40">
                  <c:v>25.210390664403814</c:v>
                </c:pt>
                <c:pt idx="41">
                  <c:v>25.534414477657815</c:v>
                </c:pt>
                <c:pt idx="42">
                  <c:v>25.861743146945646</c:v>
                </c:pt>
                <c:pt idx="43">
                  <c:v>26.191757585360687</c:v>
                </c:pt>
                <c:pt idx="44">
                  <c:v>26.524137279519547</c:v>
                </c:pt>
                <c:pt idx="45">
                  <c:v>26.858977418840531</c:v>
                </c:pt>
                <c:pt idx="46">
                  <c:v>27.196373139986427</c:v>
                </c:pt>
                <c:pt idx="47">
                  <c:v>27.536419513248863</c:v>
                </c:pt>
                <c:pt idx="48">
                  <c:v>27.879211512849761</c:v>
                </c:pt>
                <c:pt idx="49">
                  <c:v>28.224843994909008</c:v>
                </c:pt>
                <c:pt idx="50">
                  <c:v>28.574002113798461</c:v>
                </c:pt>
                <c:pt idx="51">
                  <c:v>28.926706926684339</c:v>
                </c:pt>
                <c:pt idx="52">
                  <c:v>29.282816405038311</c:v>
                </c:pt>
                <c:pt idx="53">
                  <c:v>29.641945903525635</c:v>
                </c:pt>
                <c:pt idx="54">
                  <c:v>30.003710138226193</c:v>
                </c:pt>
                <c:pt idx="55">
                  <c:v>30.367723910334352</c:v>
                </c:pt>
                <c:pt idx="56">
                  <c:v>30.733602079507602</c:v>
                </c:pt>
                <c:pt idx="57">
                  <c:v>31.100978904150949</c:v>
                </c:pt>
                <c:pt idx="58">
                  <c:v>31.470186304387386</c:v>
                </c:pt>
                <c:pt idx="59">
                  <c:v>31.840840100572173</c:v>
                </c:pt>
                <c:pt idx="60">
                  <c:v>32.212556212990819</c:v>
                </c:pt>
                <c:pt idx="61">
                  <c:v>32.58495064667833</c:v>
                </c:pt>
                <c:pt idx="62">
                  <c:v>32.957639481286002</c:v>
                </c:pt>
                <c:pt idx="63">
                  <c:v>33.33023885477477</c:v>
                </c:pt>
                <c:pt idx="64">
                  <c:v>33.704560967621781</c:v>
                </c:pt>
                <c:pt idx="65">
                  <c:v>34.082351275521702</c:v>
                </c:pt>
                <c:pt idx="66">
                  <c:v>34.463379854007655</c:v>
                </c:pt>
                <c:pt idx="67">
                  <c:v>34.847070594992061</c:v>
                </c:pt>
                <c:pt idx="68">
                  <c:v>35.232847638965723</c:v>
                </c:pt>
                <c:pt idx="69">
                  <c:v>35.620135368785455</c:v>
                </c:pt>
                <c:pt idx="70">
                  <c:v>36.008358408280358</c:v>
                </c:pt>
                <c:pt idx="71">
                  <c:v>36.39704489607</c:v>
                </c:pt>
                <c:pt idx="72">
                  <c:v>36.78560063807393</c:v>
                </c:pt>
                <c:pt idx="73">
                  <c:v>37.173451082225355</c:v>
                </c:pt>
                <c:pt idx="74">
                  <c:v>37.56002193182411</c:v>
                </c:pt>
                <c:pt idx="75">
                  <c:v>37.944739150488999</c:v>
                </c:pt>
                <c:pt idx="76">
                  <c:v>38.327028970012421</c:v>
                </c:pt>
                <c:pt idx="77">
                  <c:v>38.706317899929445</c:v>
                </c:pt>
                <c:pt idx="78">
                  <c:v>39.085111264968184</c:v>
                </c:pt>
                <c:pt idx="79">
                  <c:v>39.465848532663571</c:v>
                </c:pt>
                <c:pt idx="80">
                  <c:v>39.847700213026009</c:v>
                </c:pt>
                <c:pt idx="81">
                  <c:v>40.229900136977548</c:v>
                </c:pt>
                <c:pt idx="82">
                  <c:v>40.611682612597065</c:v>
                </c:pt>
                <c:pt idx="83">
                  <c:v>40.992282439060006</c:v>
                </c:pt>
                <c:pt idx="84">
                  <c:v>41.370934925198036</c:v>
                </c:pt>
                <c:pt idx="85">
                  <c:v>41.746909183959239</c:v>
                </c:pt>
                <c:pt idx="86">
                  <c:v>42.11933753668707</c:v>
                </c:pt>
                <c:pt idx="87">
                  <c:v>42.487456737150424</c:v>
                </c:pt>
                <c:pt idx="88">
                  <c:v>42.850504122525109</c:v>
                </c:pt>
                <c:pt idx="89">
                  <c:v>43.207717631708697</c:v>
                </c:pt>
                <c:pt idx="90">
                  <c:v>43.558335842881853</c:v>
                </c:pt>
                <c:pt idx="91">
                  <c:v>43.90159799151256</c:v>
                </c:pt>
                <c:pt idx="92">
                  <c:v>44.239259696979367</c:v>
                </c:pt>
                <c:pt idx="93">
                  <c:v>44.573443176376053</c:v>
                </c:pt>
                <c:pt idx="94">
                  <c:v>44.903796407987457</c:v>
                </c:pt>
                <c:pt idx="95">
                  <c:v>45.230031947373298</c:v>
                </c:pt>
                <c:pt idx="96">
                  <c:v>45.551862657659335</c:v>
                </c:pt>
                <c:pt idx="97">
                  <c:v>45.869001736928318</c:v>
                </c:pt>
                <c:pt idx="98">
                  <c:v>46.181162731467147</c:v>
                </c:pt>
                <c:pt idx="99">
                  <c:v>46.488093940573847</c:v>
                </c:pt>
                <c:pt idx="100">
                  <c:v>46.789476589375482</c:v>
                </c:pt>
                <c:pt idx="101">
                  <c:v>47.085025714064258</c:v>
                </c:pt>
                <c:pt idx="102">
                  <c:v>47.374456819296419</c:v>
                </c:pt>
                <c:pt idx="103">
                  <c:v>47.6574858915316</c:v>
                </c:pt>
                <c:pt idx="104">
                  <c:v>47.933829436716309</c:v>
                </c:pt>
                <c:pt idx="105">
                  <c:v>48.203204497664913</c:v>
                </c:pt>
                <c:pt idx="106">
                  <c:v>48.466653297079354</c:v>
                </c:pt>
                <c:pt idx="107">
                  <c:v>48.725242497010612</c:v>
                </c:pt>
                <c:pt idx="108">
                  <c:v>48.978635932018285</c:v>
                </c:pt>
                <c:pt idx="109">
                  <c:v>49.226550775029679</c:v>
                </c:pt>
                <c:pt idx="110">
                  <c:v>49.468704575500816</c:v>
                </c:pt>
                <c:pt idx="111">
                  <c:v>49.704815566182646</c:v>
                </c:pt>
                <c:pt idx="112">
                  <c:v>49.93460290939381</c:v>
                </c:pt>
                <c:pt idx="113">
                  <c:v>50.157734448300467</c:v>
                </c:pt>
                <c:pt idx="114">
                  <c:v>50.373894033443058</c:v>
                </c:pt>
                <c:pt idx="115">
                  <c:v>50.582802120338634</c:v>
                </c:pt>
                <c:pt idx="116">
                  <c:v>50.784179905413772</c:v>
                </c:pt>
                <c:pt idx="117">
                  <c:v>50.977749342330654</c:v>
                </c:pt>
                <c:pt idx="118">
                  <c:v>51.163233175762429</c:v>
                </c:pt>
                <c:pt idx="119">
                  <c:v>55.692569203255225</c:v>
                </c:pt>
                <c:pt idx="120">
                  <c:v>55.87251020712052</c:v>
                </c:pt>
                <c:pt idx="121">
                  <c:v>56.043009689982661</c:v>
                </c:pt>
                <c:pt idx="122">
                  <c:v>56.204456022987799</c:v>
                </c:pt>
                <c:pt idx="123">
                  <c:v>56.357265309544744</c:v>
                </c:pt>
                <c:pt idx="124">
                  <c:v>56.501853169854726</c:v>
                </c:pt>
                <c:pt idx="125">
                  <c:v>56.63863475438081</c:v>
                </c:pt>
                <c:pt idx="126">
                  <c:v>56.768024736431414</c:v>
                </c:pt>
                <c:pt idx="127">
                  <c:v>56.89038830542713</c:v>
                </c:pt>
                <c:pt idx="128">
                  <c:v>57.006197600568186</c:v>
                </c:pt>
                <c:pt idx="129">
                  <c:v>57.115866004116555</c:v>
                </c:pt>
                <c:pt idx="130">
                  <c:v>57.219806444710159</c:v>
                </c:pt>
                <c:pt idx="131">
                  <c:v>57.31843140122163</c:v>
                </c:pt>
                <c:pt idx="132">
                  <c:v>57.41215290379175</c:v>
                </c:pt>
                <c:pt idx="133">
                  <c:v>57.501382535723998</c:v>
                </c:pt>
                <c:pt idx="134">
                  <c:v>57.584852956756905</c:v>
                </c:pt>
                <c:pt idx="135">
                  <c:v>57.661224349595159</c:v>
                </c:pt>
                <c:pt idx="136">
                  <c:v>57.730935931765174</c:v>
                </c:pt>
                <c:pt idx="137">
                  <c:v>57.79430107415358</c:v>
                </c:pt>
                <c:pt idx="138">
                  <c:v>57.851632911538509</c:v>
                </c:pt>
                <c:pt idx="139">
                  <c:v>57.903244331559399</c:v>
                </c:pt>
                <c:pt idx="140">
                  <c:v>57.949447970711454</c:v>
                </c:pt>
                <c:pt idx="141">
                  <c:v>57.990527198737333</c:v>
                </c:pt>
                <c:pt idx="142">
                  <c:v>58.026845658348648</c:v>
                </c:pt>
                <c:pt idx="143">
                  <c:v>58.058715505785756</c:v>
                </c:pt>
                <c:pt idx="144">
                  <c:v>58.086448546568946</c:v>
                </c:pt>
                <c:pt idx="145">
                  <c:v>58.110356305725169</c:v>
                </c:pt>
                <c:pt idx="146">
                  <c:v>58.13075001787994</c:v>
                </c:pt>
                <c:pt idx="147">
                  <c:v>58.147940614179774</c:v>
                </c:pt>
                <c:pt idx="148">
                  <c:v>58.161041069901977</c:v>
                </c:pt>
                <c:pt idx="149">
                  <c:v>58.169074086282578</c:v>
                </c:pt>
                <c:pt idx="150">
                  <c:v>58.17225724754271</c:v>
                </c:pt>
                <c:pt idx="151">
                  <c:v>58.170801405077817</c:v>
                </c:pt>
                <c:pt idx="152">
                  <c:v>58.164917173579781</c:v>
                </c:pt>
                <c:pt idx="153">
                  <c:v>58.154814912815368</c:v>
                </c:pt>
                <c:pt idx="154">
                  <c:v>58.140704712150729</c:v>
                </c:pt>
                <c:pt idx="155">
                  <c:v>58.122791054941153</c:v>
                </c:pt>
                <c:pt idx="156">
                  <c:v>58.101314255056309</c:v>
                </c:pt>
                <c:pt idx="157">
                  <c:v>58.07648380605454</c:v>
                </c:pt>
                <c:pt idx="158">
                  <c:v>58.048508859860121</c:v>
                </c:pt>
                <c:pt idx="159">
                  <c:v>58.017598213181898</c:v>
                </c:pt>
                <c:pt idx="160">
                  <c:v>57.983960285929825</c:v>
                </c:pt>
                <c:pt idx="161">
                  <c:v>57.947803109367818</c:v>
                </c:pt>
                <c:pt idx="162">
                  <c:v>57.908394500459814</c:v>
                </c:pt>
                <c:pt idx="163">
                  <c:v>57.865003460801816</c:v>
                </c:pt>
                <c:pt idx="164">
                  <c:v>57.817865018946044</c:v>
                </c:pt>
                <c:pt idx="165">
                  <c:v>57.767187866312078</c:v>
                </c:pt>
                <c:pt idx="166">
                  <c:v>57.713180208948877</c:v>
                </c:pt>
                <c:pt idx="167">
                  <c:v>57.656049763131335</c:v>
                </c:pt>
                <c:pt idx="168">
                  <c:v>57.596003736491504</c:v>
                </c:pt>
                <c:pt idx="169">
                  <c:v>57.533249006379954</c:v>
                </c:pt>
                <c:pt idx="170">
                  <c:v>57.467997363469671</c:v>
                </c:pt>
                <c:pt idx="171">
                  <c:v>57.400454481671211</c:v>
                </c:pt>
                <c:pt idx="172">
                  <c:v>57.33082549496757</c:v>
                </c:pt>
                <c:pt idx="173">
                  <c:v>57.259311323057013</c:v>
                </c:pt>
                <c:pt idx="174">
                  <c:v>57.186119134208688</c:v>
                </c:pt>
                <c:pt idx="175">
                  <c:v>57.111452783433293</c:v>
                </c:pt>
                <c:pt idx="176">
                  <c:v>57.035448266776093</c:v>
                </c:pt>
                <c:pt idx="177">
                  <c:v>56.957968079769024</c:v>
                </c:pt>
                <c:pt idx="178">
                  <c:v>56.878813803762895</c:v>
                </c:pt>
                <c:pt idx="179">
                  <c:v>56.797787061615196</c:v>
                </c:pt>
                <c:pt idx="180">
                  <c:v>56.714689501150161</c:v>
                </c:pt>
                <c:pt idx="181">
                  <c:v>56.629322796258862</c:v>
                </c:pt>
                <c:pt idx="182">
                  <c:v>56.541488650198275</c:v>
                </c:pt>
                <c:pt idx="183">
                  <c:v>56.450959459906677</c:v>
                </c:pt>
                <c:pt idx="184">
                  <c:v>56.357536850708371</c:v>
                </c:pt>
                <c:pt idx="185">
                  <c:v>56.261022294741089</c:v>
                </c:pt>
                <c:pt idx="186">
                  <c:v>56.161217347356683</c:v>
                </c:pt>
                <c:pt idx="187">
                  <c:v>56.05792365088486</c:v>
                </c:pt>
                <c:pt idx="188">
                  <c:v>55.950942949333204</c:v>
                </c:pt>
                <c:pt idx="189">
                  <c:v>55.84007710337108</c:v>
                </c:pt>
                <c:pt idx="190">
                  <c:v>55.725194585313126</c:v>
                </c:pt>
                <c:pt idx="191">
                  <c:v>55.606395116576721</c:v>
                </c:pt>
                <c:pt idx="192">
                  <c:v>55.483885674095497</c:v>
                </c:pt>
                <c:pt idx="193">
                  <c:v>55.357866404510837</c:v>
                </c:pt>
                <c:pt idx="194">
                  <c:v>55.228537148785001</c:v>
                </c:pt>
                <c:pt idx="195">
                  <c:v>55.096097458834372</c:v>
                </c:pt>
                <c:pt idx="196">
                  <c:v>54.960746611997941</c:v>
                </c:pt>
                <c:pt idx="197">
                  <c:v>54.822672346085341</c:v>
                </c:pt>
                <c:pt idx="198">
                  <c:v>54.682104434219774</c:v>
                </c:pt>
                <c:pt idx="199">
                  <c:v>54.539241362612273</c:v>
                </c:pt>
                <c:pt idx="200">
                  <c:v>54.394281419926045</c:v>
                </c:pt>
                <c:pt idx="201">
                  <c:v>54.24742271134987</c:v>
                </c:pt>
                <c:pt idx="202">
                  <c:v>54.098863173434978</c:v>
                </c:pt>
                <c:pt idx="203">
                  <c:v>53.948800586519923</c:v>
                </c:pt>
                <c:pt idx="204">
                  <c:v>53.797366416805374</c:v>
                </c:pt>
                <c:pt idx="205">
                  <c:v>53.64435712790317</c:v>
                </c:pt>
                <c:pt idx="206">
                  <c:v>53.489608446778604</c:v>
                </c:pt>
                <c:pt idx="207">
                  <c:v>53.33292106797294</c:v>
                </c:pt>
                <c:pt idx="208">
                  <c:v>53.174096083978462</c:v>
                </c:pt>
                <c:pt idx="209">
                  <c:v>53.012934986420959</c:v>
                </c:pt>
                <c:pt idx="210">
                  <c:v>52.849239661177506</c:v>
                </c:pt>
                <c:pt idx="211">
                  <c:v>52.682662164849162</c:v>
                </c:pt>
                <c:pt idx="212">
                  <c:v>52.513018093903732</c:v>
                </c:pt>
                <c:pt idx="213">
                  <c:v>52.340110602322028</c:v>
                </c:pt>
                <c:pt idx="214">
                  <c:v>52.163743221318327</c:v>
                </c:pt>
                <c:pt idx="215">
                  <c:v>51.983719859209017</c:v>
                </c:pt>
                <c:pt idx="216">
                  <c:v>51.799844793360649</c:v>
                </c:pt>
                <c:pt idx="217">
                  <c:v>51.61192265659318</c:v>
                </c:pt>
                <c:pt idx="218">
                  <c:v>51.421109854367643</c:v>
                </c:pt>
                <c:pt idx="219">
                  <c:v>51.228353824327755</c:v>
                </c:pt>
                <c:pt idx="220">
                  <c:v>51.033333084611108</c:v>
                </c:pt>
                <c:pt idx="221">
                  <c:v>50.835654222647854</c:v>
                </c:pt>
                <c:pt idx="222">
                  <c:v>50.634924369461082</c:v>
                </c:pt>
                <c:pt idx="223">
                  <c:v>50.43075118956758</c:v>
                </c:pt>
                <c:pt idx="224">
                  <c:v>50.222742864715904</c:v>
                </c:pt>
                <c:pt idx="225">
                  <c:v>50.01054956615625</c:v>
                </c:pt>
                <c:pt idx="226">
                  <c:v>49.793931662284152</c:v>
                </c:pt>
                <c:pt idx="227">
                  <c:v>49.572499075444227</c:v>
                </c:pt>
                <c:pt idx="228">
                  <c:v>49.345862194649527</c:v>
                </c:pt>
                <c:pt idx="229">
                  <c:v>49.113631855700568</c:v>
                </c:pt>
                <c:pt idx="230">
                  <c:v>48.875419339226802</c:v>
                </c:pt>
                <c:pt idx="231">
                  <c:v>48.630836363930342</c:v>
                </c:pt>
                <c:pt idx="232">
                  <c:v>48.380906706022202</c:v>
                </c:pt>
                <c:pt idx="233">
                  <c:v>48.126858749506283</c:v>
                </c:pt>
                <c:pt idx="234">
                  <c:v>47.868576632149306</c:v>
                </c:pt>
                <c:pt idx="235">
                  <c:v>47.60586811728318</c:v>
                </c:pt>
                <c:pt idx="236">
                  <c:v>47.338541078472531</c:v>
                </c:pt>
                <c:pt idx="237">
                  <c:v>47.066403635494559</c:v>
                </c:pt>
                <c:pt idx="238">
                  <c:v>46.78926406866119</c:v>
                </c:pt>
                <c:pt idx="239">
                  <c:v>46.507019525334982</c:v>
                </c:pt>
                <c:pt idx="240">
                  <c:v>46.219436784987572</c:v>
                </c:pt>
                <c:pt idx="241">
                  <c:v>45.926324705289737</c:v>
                </c:pt>
                <c:pt idx="242">
                  <c:v>45.627492295370757</c:v>
                </c:pt>
                <c:pt idx="243">
                  <c:v>45.322748719057458</c:v>
                </c:pt>
                <c:pt idx="244">
                  <c:v>45.011903296638614</c:v>
                </c:pt>
                <c:pt idx="245">
                  <c:v>44.694765501500598</c:v>
                </c:pt>
                <c:pt idx="246">
                  <c:v>44.370572670524375</c:v>
                </c:pt>
                <c:pt idx="247">
                  <c:v>44.039074798901098</c:v>
                </c:pt>
                <c:pt idx="248">
                  <c:v>43.700693387739499</c:v>
                </c:pt>
                <c:pt idx="249">
                  <c:v>43.355924694772447</c:v>
                </c:pt>
                <c:pt idx="250">
                  <c:v>43.005264405756826</c:v>
                </c:pt>
                <c:pt idx="251">
                  <c:v>42.649207638048146</c:v>
                </c:pt>
                <c:pt idx="252">
                  <c:v>42.288248946087876</c:v>
                </c:pt>
                <c:pt idx="253">
                  <c:v>41.922969739532775</c:v>
                </c:pt>
                <c:pt idx="254">
                  <c:v>41.553774065860168</c:v>
                </c:pt>
                <c:pt idx="255">
                  <c:v>41.181154744137032</c:v>
                </c:pt>
                <c:pt idx="256">
                  <c:v>40.805604056207798</c:v>
                </c:pt>
                <c:pt idx="257">
                  <c:v>40.427613753198763</c:v>
                </c:pt>
                <c:pt idx="258">
                  <c:v>40.047675055932018</c:v>
                </c:pt>
                <c:pt idx="259">
                  <c:v>39.666278658310475</c:v>
                </c:pt>
                <c:pt idx="260">
                  <c:v>39.280786605076742</c:v>
                </c:pt>
                <c:pt idx="261">
                  <c:v>38.88897091326217</c:v>
                </c:pt>
                <c:pt idx="262">
                  <c:v>38.491661224355127</c:v>
                </c:pt>
                <c:pt idx="263">
                  <c:v>38.089740853925719</c:v>
                </c:pt>
                <c:pt idx="264">
                  <c:v>37.684092143580891</c:v>
                </c:pt>
                <c:pt idx="265">
                  <c:v>37.275595269844715</c:v>
                </c:pt>
                <c:pt idx="266">
                  <c:v>36.86513005995814</c:v>
                </c:pt>
                <c:pt idx="267">
                  <c:v>36.453553979722578</c:v>
                </c:pt>
                <c:pt idx="268">
                  <c:v>36.041657878070836</c:v>
                </c:pt>
                <c:pt idx="269">
                  <c:v>35.63031927502211</c:v>
                </c:pt>
                <c:pt idx="270">
                  <c:v>35.220414800759947</c:v>
                </c:pt>
                <c:pt idx="271">
                  <c:v>34.812820203714622</c:v>
                </c:pt>
                <c:pt idx="272">
                  <c:v>34.408410359004783</c:v>
                </c:pt>
                <c:pt idx="273">
                  <c:v>34.008059279205277</c:v>
                </c:pt>
                <c:pt idx="274">
                  <c:v>33.608336595355183</c:v>
                </c:pt>
                <c:pt idx="275">
                  <c:v>33.205654256287907</c:v>
                </c:pt>
                <c:pt idx="276">
                  <c:v>32.800838174176512</c:v>
                </c:pt>
                <c:pt idx="277">
                  <c:v>32.394860523346679</c:v>
                </c:pt>
                <c:pt idx="278">
                  <c:v>31.988692497394418</c:v>
                </c:pt>
                <c:pt idx="279">
                  <c:v>31.583304327786969</c:v>
                </c:pt>
                <c:pt idx="280">
                  <c:v>31.179665308580166</c:v>
                </c:pt>
                <c:pt idx="281">
                  <c:v>30.77816381826969</c:v>
                </c:pt>
                <c:pt idx="282">
                  <c:v>30.379790797246578</c:v>
                </c:pt>
                <c:pt idx="283">
                  <c:v>29.985512554600522</c:v>
                </c:pt>
                <c:pt idx="284">
                  <c:v>29.596294542436759</c:v>
                </c:pt>
                <c:pt idx="285">
                  <c:v>29.213101400966824</c:v>
                </c:pt>
                <c:pt idx="286">
                  <c:v>28.836896990706975</c:v>
                </c:pt>
                <c:pt idx="287">
                  <c:v>28.468644443798073</c:v>
                </c:pt>
                <c:pt idx="288">
                  <c:v>28.107508470497098</c:v>
                </c:pt>
                <c:pt idx="289">
                  <c:v>27.750922099365599</c:v>
                </c:pt>
                <c:pt idx="290">
                  <c:v>27.398814694023095</c:v>
                </c:pt>
                <c:pt idx="291">
                  <c:v>27.050887145871044</c:v>
                </c:pt>
                <c:pt idx="292">
                  <c:v>26.706840537077351</c:v>
                </c:pt>
                <c:pt idx="293">
                  <c:v>26.36637615193828</c:v>
                </c:pt>
                <c:pt idx="294">
                  <c:v>26.029195506433339</c:v>
                </c:pt>
                <c:pt idx="295">
                  <c:v>25.694914301672807</c:v>
                </c:pt>
                <c:pt idx="296">
                  <c:v>25.363812929858643</c:v>
                </c:pt>
                <c:pt idx="297">
                  <c:v>25.035590260299173</c:v>
                </c:pt>
                <c:pt idx="298">
                  <c:v>24.70994802963742</c:v>
                </c:pt>
                <c:pt idx="299">
                  <c:v>24.386588156410561</c:v>
                </c:pt>
                <c:pt idx="300">
                  <c:v>24.065212775608014</c:v>
                </c:pt>
                <c:pt idx="301">
                  <c:v>23.745524249234517</c:v>
                </c:pt>
                <c:pt idx="302">
                  <c:v>23.427112082973604</c:v>
                </c:pt>
                <c:pt idx="303">
                  <c:v>23.110846502639372</c:v>
                </c:pt>
                <c:pt idx="304">
                  <c:v>22.798002975810579</c:v>
                </c:pt>
                <c:pt idx="305">
                  <c:v>22.488964584817733</c:v>
                </c:pt>
                <c:pt idx="306">
                  <c:v>22.184114420897295</c:v>
                </c:pt>
                <c:pt idx="307">
                  <c:v>21.883835588173138</c:v>
                </c:pt>
                <c:pt idx="308">
                  <c:v>21.588511221457157</c:v>
                </c:pt>
                <c:pt idx="309">
                  <c:v>21.299151685843473</c:v>
                </c:pt>
                <c:pt idx="310">
                  <c:v>21.016227105046191</c:v>
                </c:pt>
                <c:pt idx="311">
                  <c:v>20.740121365850293</c:v>
                </c:pt>
                <c:pt idx="312">
                  <c:v>20.471218366018736</c:v>
                </c:pt>
                <c:pt idx="313">
                  <c:v>20.209901995656491</c:v>
                </c:pt>
                <c:pt idx="314">
                  <c:v>19.956556131887954</c:v>
                </c:pt>
                <c:pt idx="315">
                  <c:v>19.711564621661591</c:v>
                </c:pt>
                <c:pt idx="316">
                  <c:v>19.474972544996341</c:v>
                </c:pt>
                <c:pt idx="317">
                  <c:v>19.24644793578716</c:v>
                </c:pt>
                <c:pt idx="318">
                  <c:v>19.024866347638135</c:v>
                </c:pt>
                <c:pt idx="319">
                  <c:v>18.809934512332042</c:v>
                </c:pt>
                <c:pt idx="320">
                  <c:v>18.601359481688025</c:v>
                </c:pt>
                <c:pt idx="321">
                  <c:v>18.398848626953974</c:v>
                </c:pt>
                <c:pt idx="322">
                  <c:v>18.202109626174781</c:v>
                </c:pt>
                <c:pt idx="323">
                  <c:v>18.010612316134729</c:v>
                </c:pt>
                <c:pt idx="324">
                  <c:v>17.823435354381722</c:v>
                </c:pt>
                <c:pt idx="325">
                  <c:v>17.640287072945842</c:v>
                </c:pt>
                <c:pt idx="326">
                  <c:v>17.460881179342707</c:v>
                </c:pt>
                <c:pt idx="327">
                  <c:v>17.284928541373052</c:v>
                </c:pt>
                <c:pt idx="328">
                  <c:v>17.112136301951228</c:v>
                </c:pt>
                <c:pt idx="329">
                  <c:v>16.94221194808237</c:v>
                </c:pt>
                <c:pt idx="330">
                  <c:v>16.773704416568041</c:v>
                </c:pt>
                <c:pt idx="331">
                  <c:v>16.605919949439084</c:v>
                </c:pt>
                <c:pt idx="332">
                  <c:v>16.439651584602156</c:v>
                </c:pt>
                <c:pt idx="333">
                  <c:v>16.275766628798433</c:v>
                </c:pt>
                <c:pt idx="334">
                  <c:v>16.115131931004775</c:v>
                </c:pt>
                <c:pt idx="335">
                  <c:v>15.958613844947429</c:v>
                </c:pt>
                <c:pt idx="336">
                  <c:v>15.807078191440358</c:v>
                </c:pt>
                <c:pt idx="337">
                  <c:v>15.661632323853171</c:v>
                </c:pt>
                <c:pt idx="338">
                  <c:v>15.523378744521221</c:v>
                </c:pt>
                <c:pt idx="339">
                  <c:v>15.393181227847155</c:v>
                </c:pt>
                <c:pt idx="340">
                  <c:v>15.271902868787867</c:v>
                </c:pt>
                <c:pt idx="341">
                  <c:v>15.160406055236034</c:v>
                </c:pt>
                <c:pt idx="342">
                  <c:v>15.059552455442818</c:v>
                </c:pt>
                <c:pt idx="343">
                  <c:v>14.970202997180687</c:v>
                </c:pt>
                <c:pt idx="344">
                  <c:v>14.890817116552745</c:v>
                </c:pt>
                <c:pt idx="345">
                  <c:v>14.819349162677698</c:v>
                </c:pt>
                <c:pt idx="346">
                  <c:v>14.756124856617076</c:v>
                </c:pt>
                <c:pt idx="347">
                  <c:v>14.70124657438723</c:v>
                </c:pt>
                <c:pt idx="348">
                  <c:v>14.654816557611571</c:v>
                </c:pt>
                <c:pt idx="349">
                  <c:v>14.616936919168717</c:v>
                </c:pt>
                <c:pt idx="350">
                  <c:v>14.587709644740819</c:v>
                </c:pt>
                <c:pt idx="351">
                  <c:v>14.567443367695397</c:v>
                </c:pt>
                <c:pt idx="352">
                  <c:v>14.555998164278424</c:v>
                </c:pt>
                <c:pt idx="353">
                  <c:v>14.55347569407618</c:v>
                </c:pt>
                <c:pt idx="354">
                  <c:v>14.559977512989175</c:v>
                </c:pt>
                <c:pt idx="355">
                  <c:v>14.57560509602944</c:v>
                </c:pt>
                <c:pt idx="356">
                  <c:v>14.600465290170876</c:v>
                </c:pt>
                <c:pt idx="357">
                  <c:v>14.634655107887594</c:v>
                </c:pt>
                <c:pt idx="358">
                  <c:v>14.678536923161563</c:v>
                </c:pt>
                <c:pt idx="359">
                  <c:v>14.732251238694101</c:v>
                </c:pt>
                <c:pt idx="360">
                  <c:v>14.795812720962426</c:v>
                </c:pt>
                <c:pt idx="361">
                  <c:v>14.868787592842379</c:v>
                </c:pt>
                <c:pt idx="362">
                  <c:v>14.950949051217314</c:v>
                </c:pt>
                <c:pt idx="363">
                  <c:v>15.042070436572292</c:v>
                </c:pt>
                <c:pt idx="364">
                  <c:v>15.141925221405671</c:v>
                </c:pt>
                <c:pt idx="365">
                  <c:v>15.46585695371872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projeté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6.021421293876994</c:v>
                </c:pt>
                <c:pt idx="1">
                  <c:v>1.4669505156705998</c:v>
                </c:pt>
                <c:pt idx="2">
                  <c:v>11.036967889864567</c:v>
                </c:pt>
                <c:pt idx="3">
                  <c:v>11.094033381338798</c:v>
                </c:pt>
                <c:pt idx="4">
                  <c:v>11.930019197291596</c:v>
                </c:pt>
                <c:pt idx="5">
                  <c:v>5.2810212211579515</c:v>
                </c:pt>
                <c:pt idx="6">
                  <c:v>13.445252154272842</c:v>
                </c:pt>
                <c:pt idx="7">
                  <c:v>7.0008501524671045</c:v>
                </c:pt>
                <c:pt idx="8">
                  <c:v>7.1200094430472234</c:v>
                </c:pt>
                <c:pt idx="9">
                  <c:v>15.648828588416523</c:v>
                </c:pt>
                <c:pt idx="10">
                  <c:v>4.6345939651548678</c:v>
                </c:pt>
                <c:pt idx="11">
                  <c:v>16.714637542185606</c:v>
                </c:pt>
                <c:pt idx="12">
                  <c:v>10.88732351463675</c:v>
                </c:pt>
                <c:pt idx="13">
                  <c:v>13.130898838734867</c:v>
                </c:pt>
                <c:pt idx="14">
                  <c:v>5.4314349060513312</c:v>
                </c:pt>
                <c:pt idx="15">
                  <c:v>3.4748360198612325</c:v>
                </c:pt>
                <c:pt idx="16">
                  <c:v>5.9650153388709217</c:v>
                </c:pt>
                <c:pt idx="17">
                  <c:v>13.867782158889066</c:v>
                </c:pt>
                <c:pt idx="18">
                  <c:v>8.9795905414155914</c:v>
                </c:pt>
                <c:pt idx="19">
                  <c:v>15.692510315962579</c:v>
                </c:pt>
                <c:pt idx="20">
                  <c:v>7.2703214251471833</c:v>
                </c:pt>
                <c:pt idx="21">
                  <c:v>19.713263129135338</c:v>
                </c:pt>
                <c:pt idx="22">
                  <c:v>19.740280833034205</c:v>
                </c:pt>
                <c:pt idx="23">
                  <c:v>20.156488436814104</c:v>
                </c:pt>
                <c:pt idx="24">
                  <c:v>20.374109228609456</c:v>
                </c:pt>
                <c:pt idx="25">
                  <c:v>20.449954464134052</c:v>
                </c:pt>
                <c:pt idx="26">
                  <c:v>19.936586996071579</c:v>
                </c:pt>
                <c:pt idx="27">
                  <c:v>4.1659292959696987</c:v>
                </c:pt>
                <c:pt idx="28">
                  <c:v>6.5078489044679895</c:v>
                </c:pt>
                <c:pt idx="29">
                  <c:v>4.7318035036450699</c:v>
                </c:pt>
                <c:pt idx="30">
                  <c:v>10.598527376501952</c:v>
                </c:pt>
                <c:pt idx="31">
                  <c:v>10.410108487728431</c:v>
                </c:pt>
                <c:pt idx="32">
                  <c:v>5.4334462921721514</c:v>
                </c:pt>
                <c:pt idx="33">
                  <c:v>12.98039866788138</c:v>
                </c:pt>
                <c:pt idx="34">
                  <c:v>10.812583766059712</c:v>
                </c:pt>
                <c:pt idx="35">
                  <c:v>9.357669149887796</c:v>
                </c:pt>
                <c:pt idx="36">
                  <c:v>17.354312363559547</c:v>
                </c:pt>
                <c:pt idx="37">
                  <c:v>12.017390457067524</c:v>
                </c:pt>
                <c:pt idx="38">
                  <c:v>24.964400471047909</c:v>
                </c:pt>
                <c:pt idx="39">
                  <c:v>24.979518563947885</c:v>
                </c:pt>
                <c:pt idx="40">
                  <c:v>24.217839672013341</c:v>
                </c:pt>
                <c:pt idx="41">
                  <c:v>12.759768959739047</c:v>
                </c:pt>
                <c:pt idx="42">
                  <c:v>21.794929665227407</c:v>
                </c:pt>
                <c:pt idx="43">
                  <c:v>25.380396247995304</c:v>
                </c:pt>
                <c:pt idx="44">
                  <c:v>14.899542625564248</c:v>
                </c:pt>
                <c:pt idx="45">
                  <c:v>18.124359494211685</c:v>
                </c:pt>
                <c:pt idx="46">
                  <c:v>9.2366127261848039</c:v>
                </c:pt>
                <c:pt idx="47">
                  <c:v>10.721493968347186</c:v>
                </c:pt>
                <c:pt idx="48">
                  <c:v>25.285127530487987</c:v>
                </c:pt>
                <c:pt idx="49">
                  <c:v>15.246693011620875</c:v>
                </c:pt>
                <c:pt idx="50">
                  <c:v>18.226083232013455</c:v>
                </c:pt>
                <c:pt idx="51">
                  <c:v>18.691963518203433</c:v>
                </c:pt>
                <c:pt idx="52">
                  <c:v>27.601790437251871</c:v>
                </c:pt>
                <c:pt idx="53">
                  <c:v>29.194607291999088</c:v>
                </c:pt>
                <c:pt idx="54">
                  <c:v>17.555351257520712</c:v>
                </c:pt>
                <c:pt idx="55">
                  <c:v>25.957193245134544</c:v>
                </c:pt>
                <c:pt idx="56">
                  <c:v>31.646485863195981</c:v>
                </c:pt>
                <c:pt idx="57">
                  <c:v>24.139999487533554</c:v>
                </c:pt>
                <c:pt idx="58">
                  <c:v>28.721392630529525</c:v>
                </c:pt>
                <c:pt idx="59">
                  <c:v>31.551428802092055</c:v>
                </c:pt>
                <c:pt idx="60">
                  <c:v>14.635829386757024</c:v>
                </c:pt>
                <c:pt idx="61">
                  <c:v>30.229557061054088</c:v>
                </c:pt>
                <c:pt idx="62">
                  <c:v>5.7420530762150417</c:v>
                </c:pt>
                <c:pt idx="63">
                  <c:v>12.861055553427724</c:v>
                </c:pt>
                <c:pt idx="64">
                  <c:v>18.8538866890426</c:v>
                </c:pt>
                <c:pt idx="65">
                  <c:v>32.1292078572856</c:v>
                </c:pt>
                <c:pt idx="66">
                  <c:v>25.908312352680984</c:v>
                </c:pt>
                <c:pt idx="67">
                  <c:v>26.966388705953054</c:v>
                </c:pt>
                <c:pt idx="68">
                  <c:v>18.90946671440156</c:v>
                </c:pt>
                <c:pt idx="69">
                  <c:v>13.445489834235268</c:v>
                </c:pt>
                <c:pt idx="70">
                  <c:v>12.741627711663885</c:v>
                </c:pt>
                <c:pt idx="71">
                  <c:v>8.4115812924624329</c:v>
                </c:pt>
                <c:pt idx="72">
                  <c:v>11.583945732224384</c:v>
                </c:pt>
                <c:pt idx="73">
                  <c:v>13.384478305320215</c:v>
                </c:pt>
                <c:pt idx="74">
                  <c:v>11.745010442991543</c:v>
                </c:pt>
                <c:pt idx="75">
                  <c:v>10.298839053321053</c:v>
                </c:pt>
                <c:pt idx="76">
                  <c:v>12.92338019435031</c:v>
                </c:pt>
                <c:pt idx="77">
                  <c:v>26.02333534092503</c:v>
                </c:pt>
                <c:pt idx="78">
                  <c:v>29.348321239388373</c:v>
                </c:pt>
                <c:pt idx="79">
                  <c:v>39.338273880617201</c:v>
                </c:pt>
                <c:pt idx="80">
                  <c:v>36.381606645073859</c:v>
                </c:pt>
                <c:pt idx="81">
                  <c:v>41.104220543330733</c:v>
                </c:pt>
                <c:pt idx="82">
                  <c:v>40.515995356557667</c:v>
                </c:pt>
                <c:pt idx="83">
                  <c:v>37.082845311034134</c:v>
                </c:pt>
                <c:pt idx="84">
                  <c:v>40.042580633081684</c:v>
                </c:pt>
                <c:pt idx="85">
                  <c:v>39.526447890722274</c:v>
                </c:pt>
                <c:pt idx="86">
                  <c:v>30.739807650344005</c:v>
                </c:pt>
                <c:pt idx="87">
                  <c:v>25.379717665952608</c:v>
                </c:pt>
                <c:pt idx="88">
                  <c:v>7.1525297833978261</c:v>
                </c:pt>
                <c:pt idx="89">
                  <c:v>24.974685974511932</c:v>
                </c:pt>
                <c:pt idx="90">
                  <c:v>27.221170379146756</c:v>
                </c:pt>
                <c:pt idx="91">
                  <c:v>18.441337561814766</c:v>
                </c:pt>
                <c:pt idx="92">
                  <c:v>22.830722445785405</c:v>
                </c:pt>
                <c:pt idx="93">
                  <c:v>39.538050629129785</c:v>
                </c:pt>
                <c:pt idx="94">
                  <c:v>45.75086528196109</c:v>
                </c:pt>
                <c:pt idx="95">
                  <c:v>11.622288275981848</c:v>
                </c:pt>
                <c:pt idx="96">
                  <c:v>35.158094051203399</c:v>
                </c:pt>
                <c:pt idx="97">
                  <c:v>27.461611916917338</c:v>
                </c:pt>
                <c:pt idx="98">
                  <c:v>33.322593260646464</c:v>
                </c:pt>
                <c:pt idx="99">
                  <c:v>47.18393647838456</c:v>
                </c:pt>
                <c:pt idx="100">
                  <c:v>36.101531635753155</c:v>
                </c:pt>
                <c:pt idx="101">
                  <c:v>33.166030281756363</c:v>
                </c:pt>
                <c:pt idx="102">
                  <c:v>7.3090717651414536</c:v>
                </c:pt>
                <c:pt idx="103">
                  <c:v>35.73256217599409</c:v>
                </c:pt>
                <c:pt idx="104">
                  <c:v>39.671925623932218</c:v>
                </c:pt>
                <c:pt idx="105">
                  <c:v>42.537177682048146</c:v>
                </c:pt>
                <c:pt idx="106">
                  <c:v>48.279091412306876</c:v>
                </c:pt>
                <c:pt idx="107">
                  <c:v>38.789834186741906</c:v>
                </c:pt>
                <c:pt idx="108">
                  <c:v>10.597653600949693</c:v>
                </c:pt>
                <c:pt idx="109">
                  <c:v>10.00342746120903</c:v>
                </c:pt>
                <c:pt idx="110">
                  <c:v>9.5445222354424271</c:v>
                </c:pt>
                <c:pt idx="111">
                  <c:v>28.862814306283994</c:v>
                </c:pt>
                <c:pt idx="112">
                  <c:v>8.3476635191522153</c:v>
                </c:pt>
                <c:pt idx="113">
                  <c:v>35.680681769568373</c:v>
                </c:pt>
                <c:pt idx="114">
                  <c:v>44.513831129615461</c:v>
                </c:pt>
                <c:pt idx="115">
                  <c:v>49.361697510691002</c:v>
                </c:pt>
                <c:pt idx="116">
                  <c:v>35.209267876953774</c:v>
                </c:pt>
                <c:pt idx="117">
                  <c:v>21.567388930957083</c:v>
                </c:pt>
                <c:pt idx="118">
                  <c:v>40.519337023342693</c:v>
                </c:pt>
                <c:pt idx="119">
                  <c:v>45.898670348481033</c:v>
                </c:pt>
                <c:pt idx="120">
                  <c:v>45.264727800701785</c:v>
                </c:pt>
                <c:pt idx="121">
                  <c:v>27.666005841387591</c:v>
                </c:pt>
                <c:pt idx="122">
                  <c:v>32.690016993022311</c:v>
                </c:pt>
                <c:pt idx="123">
                  <c:v>0.82977453728150319</c:v>
                </c:pt>
                <c:pt idx="124">
                  <c:v>38.126982823507795</c:v>
                </c:pt>
                <c:pt idx="125">
                  <c:v>35.337043554612372</c:v>
                </c:pt>
                <c:pt idx="126">
                  <c:v>48.535295607551703</c:v>
                </c:pt>
                <c:pt idx="127">
                  <c:v>49.364594828248542</c:v>
                </c:pt>
                <c:pt idx="128">
                  <c:v>54.804753301176106</c:v>
                </c:pt>
                <c:pt idx="129">
                  <c:v>50.302296913759925</c:v>
                </c:pt>
                <c:pt idx="130">
                  <c:v>55.118065503879507</c:v>
                </c:pt>
                <c:pt idx="131">
                  <c:v>42.985316782417904</c:v>
                </c:pt>
                <c:pt idx="132">
                  <c:v>45.865392963714413</c:v>
                </c:pt>
                <c:pt idx="133">
                  <c:v>47.269887215485319</c:v>
                </c:pt>
                <c:pt idx="134">
                  <c:v>51.132767347248546</c:v>
                </c:pt>
                <c:pt idx="135">
                  <c:v>49.838834152872003</c:v>
                </c:pt>
                <c:pt idx="136">
                  <c:v>53.731651798200971</c:v>
                </c:pt>
                <c:pt idx="137">
                  <c:v>52.283243775634411</c:v>
                </c:pt>
                <c:pt idx="138">
                  <c:v>54.184981133610712</c:v>
                </c:pt>
                <c:pt idx="139">
                  <c:v>47.189045349546731</c:v>
                </c:pt>
                <c:pt idx="140">
                  <c:v>47.873518092470903</c:v>
                </c:pt>
                <c:pt idx="141">
                  <c:v>34.016973960259271</c:v>
                </c:pt>
                <c:pt idx="142">
                  <c:v>17.553911457960279</c:v>
                </c:pt>
                <c:pt idx="143">
                  <c:v>14.624938985806578</c:v>
                </c:pt>
                <c:pt idx="144">
                  <c:v>40.685886908572819</c:v>
                </c:pt>
                <c:pt idx="145">
                  <c:v>21.366807793989913</c:v>
                </c:pt>
                <c:pt idx="146">
                  <c:v>40.499686368237285</c:v>
                </c:pt>
                <c:pt idx="147">
                  <c:v>54.072015099957284</c:v>
                </c:pt>
                <c:pt idx="148">
                  <c:v>59.013681456569721</c:v>
                </c:pt>
                <c:pt idx="149">
                  <c:v>50.454229530199129</c:v>
                </c:pt>
                <c:pt idx="150">
                  <c:v>54.081224426119789</c:v>
                </c:pt>
                <c:pt idx="151">
                  <c:v>55.619244827853578</c:v>
                </c:pt>
                <c:pt idx="152">
                  <c:v>43.680295893759663</c:v>
                </c:pt>
                <c:pt idx="153">
                  <c:v>52.934888579271075</c:v>
                </c:pt>
                <c:pt idx="154">
                  <c:v>30.058196648783753</c:v>
                </c:pt>
                <c:pt idx="155">
                  <c:v>31.397782498217918</c:v>
                </c:pt>
                <c:pt idx="156">
                  <c:v>41.891705473362961</c:v>
                </c:pt>
                <c:pt idx="157">
                  <c:v>31.525682579668846</c:v>
                </c:pt>
                <c:pt idx="158">
                  <c:v>22.177657942558529</c:v>
                </c:pt>
                <c:pt idx="159">
                  <c:v>44.110752816963739</c:v>
                </c:pt>
                <c:pt idx="160">
                  <c:v>57.938632815980874</c:v>
                </c:pt>
                <c:pt idx="161">
                  <c:v>54.354845566535786</c:v>
                </c:pt>
                <c:pt idx="162">
                  <c:v>42.894012990790984</c:v>
                </c:pt>
                <c:pt idx="163">
                  <c:v>52.694353663893231</c:v>
                </c:pt>
                <c:pt idx="164">
                  <c:v>45.254600505863792</c:v>
                </c:pt>
                <c:pt idx="165">
                  <c:v>53.449317625660747</c:v>
                </c:pt>
                <c:pt idx="166">
                  <c:v>49.615786319699239</c:v>
                </c:pt>
                <c:pt idx="167">
                  <c:v>51.182605464337939</c:v>
                </c:pt>
                <c:pt idx="168">
                  <c:v>53.205940388861443</c:v>
                </c:pt>
                <c:pt idx="169">
                  <c:v>54.523390212867241</c:v>
                </c:pt>
                <c:pt idx="170">
                  <c:v>32.3766257403867</c:v>
                </c:pt>
                <c:pt idx="171">
                  <c:v>19.221392907775705</c:v>
                </c:pt>
                <c:pt idx="172">
                  <c:v>46.41929149227601</c:v>
                </c:pt>
                <c:pt idx="173">
                  <c:v>41.135259129987816</c:v>
                </c:pt>
                <c:pt idx="174">
                  <c:v>43.497838300786128</c:v>
                </c:pt>
                <c:pt idx="175">
                  <c:v>30.465521064017352</c:v>
                </c:pt>
                <c:pt idx="176">
                  <c:v>11.641174543050942</c:v>
                </c:pt>
                <c:pt idx="177">
                  <c:v>17.283261273355613</c:v>
                </c:pt>
                <c:pt idx="178">
                  <c:v>58.967383415273211</c:v>
                </c:pt>
                <c:pt idx="179">
                  <c:v>54.753579842925525</c:v>
                </c:pt>
                <c:pt idx="180">
                  <c:v>13.261364872905762</c:v>
                </c:pt>
                <c:pt idx="181">
                  <c:v>54.091884604846761</c:v>
                </c:pt>
                <c:pt idx="182">
                  <c:v>50.366475604133917</c:v>
                </c:pt>
                <c:pt idx="183">
                  <c:v>42.614868577688391</c:v>
                </c:pt>
                <c:pt idx="184">
                  <c:v>44.713838564544439</c:v>
                </c:pt>
                <c:pt idx="185">
                  <c:v>53.900699561670713</c:v>
                </c:pt>
                <c:pt idx="186">
                  <c:v>41.756468552258156</c:v>
                </c:pt>
                <c:pt idx="187">
                  <c:v>51.85057490516963</c:v>
                </c:pt>
                <c:pt idx="188">
                  <c:v>56.902205548070498</c:v>
                </c:pt>
                <c:pt idx="189">
                  <c:v>55.890137893745994</c:v>
                </c:pt>
                <c:pt idx="190">
                  <c:v>55.324598514293193</c:v>
                </c:pt>
                <c:pt idx="191">
                  <c:v>53.415889253712201</c:v>
                </c:pt>
                <c:pt idx="192">
                  <c:v>53.519547344588744</c:v>
                </c:pt>
                <c:pt idx="193">
                  <c:v>53.187557326719649</c:v>
                </c:pt>
                <c:pt idx="194">
                  <c:v>52.512719226904416</c:v>
                </c:pt>
                <c:pt idx="195">
                  <c:v>50.734933838260268</c:v>
                </c:pt>
                <c:pt idx="196">
                  <c:v>52.246142447328218</c:v>
                </c:pt>
                <c:pt idx="197">
                  <c:v>51.352353156965492</c:v>
                </c:pt>
                <c:pt idx="198">
                  <c:v>51.62852218727685</c:v>
                </c:pt>
                <c:pt idx="199">
                  <c:v>41.752739759702678</c:v>
                </c:pt>
                <c:pt idx="200">
                  <c:v>40.046432945518056</c:v>
                </c:pt>
                <c:pt idx="201">
                  <c:v>50.6532574889711</c:v>
                </c:pt>
                <c:pt idx="202">
                  <c:v>38.150024826050235</c:v>
                </c:pt>
                <c:pt idx="203">
                  <c:v>47.637769824944506</c:v>
                </c:pt>
                <c:pt idx="204">
                  <c:v>50.199059548698251</c:v>
                </c:pt>
                <c:pt idx="205">
                  <c:v>30.326779065848974</c:v>
                </c:pt>
                <c:pt idx="206">
                  <c:v>51.319932035794849</c:v>
                </c:pt>
                <c:pt idx="207">
                  <c:v>54.009236713833793</c:v>
                </c:pt>
                <c:pt idx="208">
                  <c:v>46.046898739123918</c:v>
                </c:pt>
                <c:pt idx="209">
                  <c:v>26.681103143453779</c:v>
                </c:pt>
                <c:pt idx="210">
                  <c:v>45.274231920243366</c:v>
                </c:pt>
                <c:pt idx="211">
                  <c:v>49.977164699717974</c:v>
                </c:pt>
                <c:pt idx="212">
                  <c:v>51.88320534698645</c:v>
                </c:pt>
                <c:pt idx="213">
                  <c:v>50.039732772911826</c:v>
                </c:pt>
                <c:pt idx="214">
                  <c:v>48.192516406823415</c:v>
                </c:pt>
                <c:pt idx="215">
                  <c:v>44.761396183729126</c:v>
                </c:pt>
                <c:pt idx="216">
                  <c:v>43.806720070147989</c:v>
                </c:pt>
                <c:pt idx="217">
                  <c:v>46.435188283645701</c:v>
                </c:pt>
                <c:pt idx="218">
                  <c:v>49.439751888313253</c:v>
                </c:pt>
                <c:pt idx="219">
                  <c:v>50.127171628405534</c:v>
                </c:pt>
                <c:pt idx="220">
                  <c:v>48.205454241172539</c:v>
                </c:pt>
                <c:pt idx="221">
                  <c:v>46.415735985202311</c:v>
                </c:pt>
                <c:pt idx="222">
                  <c:v>42.044870743073758</c:v>
                </c:pt>
                <c:pt idx="223">
                  <c:v>44.700251363182609</c:v>
                </c:pt>
                <c:pt idx="224">
                  <c:v>30.148411214347171</c:v>
                </c:pt>
                <c:pt idx="225">
                  <c:v>32.437654733512012</c:v>
                </c:pt>
                <c:pt idx="226">
                  <c:v>38.041766707051309</c:v>
                </c:pt>
                <c:pt idx="227">
                  <c:v>30.349607632106931</c:v>
                </c:pt>
                <c:pt idx="228">
                  <c:v>21.991964616981697</c:v>
                </c:pt>
                <c:pt idx="229">
                  <c:v>37.075795230874022</c:v>
                </c:pt>
                <c:pt idx="230">
                  <c:v>38.383977719465989</c:v>
                </c:pt>
                <c:pt idx="231">
                  <c:v>45.237754250920673</c:v>
                </c:pt>
                <c:pt idx="232">
                  <c:v>29.701792168768122</c:v>
                </c:pt>
                <c:pt idx="233">
                  <c:v>23.82076854633149</c:v>
                </c:pt>
                <c:pt idx="234">
                  <c:v>42.222828479644107</c:v>
                </c:pt>
                <c:pt idx="235">
                  <c:v>42.630620778613874</c:v>
                </c:pt>
                <c:pt idx="236">
                  <c:v>32.479061456376755</c:v>
                </c:pt>
                <c:pt idx="237">
                  <c:v>39.337887307290934</c:v>
                </c:pt>
                <c:pt idx="238">
                  <c:v>45.765794569858784</c:v>
                </c:pt>
                <c:pt idx="239">
                  <c:v>44.135393875475586</c:v>
                </c:pt>
                <c:pt idx="240">
                  <c:v>31.011305827142838</c:v>
                </c:pt>
                <c:pt idx="241">
                  <c:v>43.177043686778809</c:v>
                </c:pt>
                <c:pt idx="242">
                  <c:v>20.274553006440033</c:v>
                </c:pt>
                <c:pt idx="243">
                  <c:v>40.849417463576266</c:v>
                </c:pt>
                <c:pt idx="244">
                  <c:v>35.50525367433589</c:v>
                </c:pt>
                <c:pt idx="245">
                  <c:v>29.218582820070491</c:v>
                </c:pt>
                <c:pt idx="246">
                  <c:v>42.521642562652858</c:v>
                </c:pt>
                <c:pt idx="247">
                  <c:v>36.711498074277443</c:v>
                </c:pt>
                <c:pt idx="248">
                  <c:v>41.179109521092968</c:v>
                </c:pt>
                <c:pt idx="249">
                  <c:v>33.203073580886795</c:v>
                </c:pt>
                <c:pt idx="250">
                  <c:v>35.734431894796849</c:v>
                </c:pt>
                <c:pt idx="251">
                  <c:v>20.320284434477635</c:v>
                </c:pt>
                <c:pt idx="252">
                  <c:v>39.961833252710811</c:v>
                </c:pt>
                <c:pt idx="253">
                  <c:v>39.811044362501519</c:v>
                </c:pt>
                <c:pt idx="254">
                  <c:v>27.672645805094625</c:v>
                </c:pt>
                <c:pt idx="255">
                  <c:v>11.48897935080878</c:v>
                </c:pt>
                <c:pt idx="256">
                  <c:v>33.59049803695671</c:v>
                </c:pt>
                <c:pt idx="257">
                  <c:v>36.655199315943527</c:v>
                </c:pt>
                <c:pt idx="258">
                  <c:v>25.299318271185985</c:v>
                </c:pt>
                <c:pt idx="259">
                  <c:v>39.714774766707961</c:v>
                </c:pt>
                <c:pt idx="260">
                  <c:v>40.026087951637201</c:v>
                </c:pt>
                <c:pt idx="261">
                  <c:v>38.378225523512761</c:v>
                </c:pt>
                <c:pt idx="262">
                  <c:v>39.343784156642961</c:v>
                </c:pt>
                <c:pt idx="263">
                  <c:v>38.210791002912394</c:v>
                </c:pt>
                <c:pt idx="264">
                  <c:v>36.927040277740417</c:v>
                </c:pt>
                <c:pt idx="265">
                  <c:v>23.780978182106615</c:v>
                </c:pt>
                <c:pt idx="266">
                  <c:v>15.957995638894493</c:v>
                </c:pt>
                <c:pt idx="267">
                  <c:v>26.653696021815648</c:v>
                </c:pt>
                <c:pt idx="268">
                  <c:v>28.618849566897403</c:v>
                </c:pt>
                <c:pt idx="269">
                  <c:v>13.982074148762344</c:v>
                </c:pt>
                <c:pt idx="270">
                  <c:v>16.451620088637434</c:v>
                </c:pt>
                <c:pt idx="271">
                  <c:v>21.996787131441231</c:v>
                </c:pt>
                <c:pt idx="272">
                  <c:v>25.41293477951362</c:v>
                </c:pt>
                <c:pt idx="273">
                  <c:v>30.585387597334819</c:v>
                </c:pt>
                <c:pt idx="274">
                  <c:v>32.316049732516582</c:v>
                </c:pt>
                <c:pt idx="275">
                  <c:v>30.496456553404794</c:v>
                </c:pt>
                <c:pt idx="276">
                  <c:v>32.61649536880013</c:v>
                </c:pt>
                <c:pt idx="277">
                  <c:v>32.950335599984804</c:v>
                </c:pt>
                <c:pt idx="278">
                  <c:v>14.163475645872559</c:v>
                </c:pt>
                <c:pt idx="279">
                  <c:v>24.329914599574405</c:v>
                </c:pt>
                <c:pt idx="280">
                  <c:v>14.906640956937503</c:v>
                </c:pt>
                <c:pt idx="281">
                  <c:v>30.124246317074906</c:v>
                </c:pt>
                <c:pt idx="282">
                  <c:v>25.742185527042661</c:v>
                </c:pt>
                <c:pt idx="283">
                  <c:v>22.263768594714058</c:v>
                </c:pt>
                <c:pt idx="284">
                  <c:v>24.028707121170918</c:v>
                </c:pt>
                <c:pt idx="285">
                  <c:v>19.828780044310861</c:v>
                </c:pt>
                <c:pt idx="286">
                  <c:v>16.648840756939723</c:v>
                </c:pt>
                <c:pt idx="287">
                  <c:v>28.220236995117034</c:v>
                </c:pt>
                <c:pt idx="288">
                  <c:v>26.26253912800577</c:v>
                </c:pt>
                <c:pt idx="289">
                  <c:v>16.74498711532441</c:v>
                </c:pt>
                <c:pt idx="290">
                  <c:v>26.18778852048035</c:v>
                </c:pt>
                <c:pt idx="291">
                  <c:v>14.165484204725765</c:v>
                </c:pt>
                <c:pt idx="292">
                  <c:v>7.8420489806908575</c:v>
                </c:pt>
                <c:pt idx="293">
                  <c:v>13.722935278335109</c:v>
                </c:pt>
                <c:pt idx="294">
                  <c:v>24.337429462086245</c:v>
                </c:pt>
                <c:pt idx="295">
                  <c:v>16.455067222447145</c:v>
                </c:pt>
                <c:pt idx="296">
                  <c:v>19.462298274612301</c:v>
                </c:pt>
                <c:pt idx="297">
                  <c:v>17.996662751681537</c:v>
                </c:pt>
                <c:pt idx="298">
                  <c:v>14.262479762584714</c:v>
                </c:pt>
                <c:pt idx="299">
                  <c:v>11.403647255661127</c:v>
                </c:pt>
                <c:pt idx="300">
                  <c:v>15.523850446975903</c:v>
                </c:pt>
                <c:pt idx="301">
                  <c:v>19.714267944841001</c:v>
                </c:pt>
                <c:pt idx="302">
                  <c:v>16.994604199337928</c:v>
                </c:pt>
                <c:pt idx="303">
                  <c:v>16.554864212071422</c:v>
                </c:pt>
                <c:pt idx="304">
                  <c:v>15.626230760688298</c:v>
                </c:pt>
                <c:pt idx="305">
                  <c:v>21.160731441468364</c:v>
                </c:pt>
                <c:pt idx="306">
                  <c:v>5.569800311936282</c:v>
                </c:pt>
                <c:pt idx="307">
                  <c:v>11.516781200171504</c:v>
                </c:pt>
                <c:pt idx="308">
                  <c:v>20.163764923845736</c:v>
                </c:pt>
                <c:pt idx="309">
                  <c:v>20.208451051866366</c:v>
                </c:pt>
                <c:pt idx="310">
                  <c:v>20.06710150247504</c:v>
                </c:pt>
                <c:pt idx="311">
                  <c:v>13.267691997761849</c:v>
                </c:pt>
                <c:pt idx="312">
                  <c:v>7.846479859948551</c:v>
                </c:pt>
                <c:pt idx="313">
                  <c:v>17.651936004598575</c:v>
                </c:pt>
                <c:pt idx="314">
                  <c:v>18.191690234576086</c:v>
                </c:pt>
                <c:pt idx="315">
                  <c:v>18.055594454323462</c:v>
                </c:pt>
                <c:pt idx="316">
                  <c:v>16.019294058654097</c:v>
                </c:pt>
                <c:pt idx="317">
                  <c:v>9.2470027243848545</c:v>
                </c:pt>
                <c:pt idx="318">
                  <c:v>11.26794046629538</c:v>
                </c:pt>
                <c:pt idx="319">
                  <c:v>17.659020260260622</c:v>
                </c:pt>
                <c:pt idx="320">
                  <c:v>11.594825341133909</c:v>
                </c:pt>
                <c:pt idx="321">
                  <c:v>10.969490477976507</c:v>
                </c:pt>
                <c:pt idx="322">
                  <c:v>8.0696129742943832</c:v>
                </c:pt>
                <c:pt idx="323">
                  <c:v>13.197271796825412</c:v>
                </c:pt>
                <c:pt idx="324">
                  <c:v>3.1510154549637566</c:v>
                </c:pt>
                <c:pt idx="325">
                  <c:v>8.3498212954308126</c:v>
                </c:pt>
                <c:pt idx="326">
                  <c:v>12.415971993042618</c:v>
                </c:pt>
                <c:pt idx="327">
                  <c:v>11.225540312896969</c:v>
                </c:pt>
                <c:pt idx="328">
                  <c:v>4.6061603897750585</c:v>
                </c:pt>
                <c:pt idx="329">
                  <c:v>9.888290232547913</c:v>
                </c:pt>
                <c:pt idx="330">
                  <c:v>11.734504390525162</c:v>
                </c:pt>
                <c:pt idx="331">
                  <c:v>9.2517140602264583</c:v>
                </c:pt>
                <c:pt idx="332">
                  <c:v>10.471812251422284</c:v>
                </c:pt>
                <c:pt idx="333">
                  <c:v>4.2529626082426857</c:v>
                </c:pt>
                <c:pt idx="334">
                  <c:v>3.6810758124860992</c:v>
                </c:pt>
                <c:pt idx="335">
                  <c:v>5.0817456034143929</c:v>
                </c:pt>
                <c:pt idx="336">
                  <c:v>7.9825658861062516</c:v>
                </c:pt>
                <c:pt idx="337">
                  <c:v>13.554678695901213</c:v>
                </c:pt>
                <c:pt idx="338">
                  <c:v>15.902152209000388</c:v>
                </c:pt>
                <c:pt idx="339">
                  <c:v>11.413544278898355</c:v>
                </c:pt>
                <c:pt idx="340">
                  <c:v>14.045380392377265</c:v>
                </c:pt>
                <c:pt idx="341">
                  <c:v>4.193624820837786</c:v>
                </c:pt>
                <c:pt idx="342">
                  <c:v>7.9950049380871873</c:v>
                </c:pt>
                <c:pt idx="343">
                  <c:v>11.712579640941478</c:v>
                </c:pt>
                <c:pt idx="344">
                  <c:v>12.269440074836561</c:v>
                </c:pt>
                <c:pt idx="345">
                  <c:v>4.2613111837305091</c:v>
                </c:pt>
                <c:pt idx="346">
                  <c:v>5.129702879520762</c:v>
                </c:pt>
                <c:pt idx="347">
                  <c:v>12.077991188808431</c:v>
                </c:pt>
                <c:pt idx="348">
                  <c:v>5.921469484803902</c:v>
                </c:pt>
                <c:pt idx="349">
                  <c:v>5.2281939502744397</c:v>
                </c:pt>
                <c:pt idx="350">
                  <c:v>3.2398568363816862</c:v>
                </c:pt>
                <c:pt idx="351">
                  <c:v>12.612007676969283</c:v>
                </c:pt>
                <c:pt idx="352">
                  <c:v>12.367634079950916</c:v>
                </c:pt>
                <c:pt idx="353">
                  <c:v>3.9304023624999527</c:v>
                </c:pt>
                <c:pt idx="354">
                  <c:v>14.32805937979002</c:v>
                </c:pt>
                <c:pt idx="355">
                  <c:v>12.708311160808812</c:v>
                </c:pt>
                <c:pt idx="356">
                  <c:v>13.31440938774564</c:v>
                </c:pt>
                <c:pt idx="357">
                  <c:v>15.158716983209601</c:v>
                </c:pt>
                <c:pt idx="358">
                  <c:v>8.5680343779437198</c:v>
                </c:pt>
                <c:pt idx="359">
                  <c:v>13.322954466393039</c:v>
                </c:pt>
                <c:pt idx="360">
                  <c:v>6.3463805347643962</c:v>
                </c:pt>
                <c:pt idx="361">
                  <c:v>14.118215849366297</c:v>
                </c:pt>
                <c:pt idx="362">
                  <c:v>9.4840164621175109</c:v>
                </c:pt>
                <c:pt idx="363">
                  <c:v>12.04983361767688</c:v>
                </c:pt>
                <c:pt idx="364">
                  <c:v>9.4029306711486296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6.021421293876994</c:v>
                </c:pt>
                <c:pt idx="1">
                  <c:v>1.4669505156705998</c:v>
                </c:pt>
                <c:pt idx="2">
                  <c:v>11.036967889864567</c:v>
                </c:pt>
                <c:pt idx="3">
                  <c:v>11.094033381338798</c:v>
                </c:pt>
                <c:pt idx="4">
                  <c:v>11.930019197291596</c:v>
                </c:pt>
                <c:pt idx="5">
                  <c:v>5.2810212211579515</c:v>
                </c:pt>
                <c:pt idx="6">
                  <c:v>13.445252154272842</c:v>
                </c:pt>
                <c:pt idx="7">
                  <c:v>7.0008501524671045</c:v>
                </c:pt>
                <c:pt idx="8">
                  <c:v>7.1200094430472234</c:v>
                </c:pt>
                <c:pt idx="9">
                  <c:v>15.648828588416523</c:v>
                </c:pt>
                <c:pt idx="10">
                  <c:v>4.6345939651548678</c:v>
                </c:pt>
                <c:pt idx="11">
                  <c:v>16.714637542185606</c:v>
                </c:pt>
                <c:pt idx="12">
                  <c:v>10.88732351463675</c:v>
                </c:pt>
                <c:pt idx="13">
                  <c:v>13.130898838734867</c:v>
                </c:pt>
                <c:pt idx="14">
                  <c:v>5.4314349060513312</c:v>
                </c:pt>
                <c:pt idx="15">
                  <c:v>3.4748360198612325</c:v>
                </c:pt>
                <c:pt idx="16">
                  <c:v>5.9650153388709217</c:v>
                </c:pt>
                <c:pt idx="17">
                  <c:v>13.867782158889066</c:v>
                </c:pt>
                <c:pt idx="18">
                  <c:v>8.9795905414155914</c:v>
                </c:pt>
                <c:pt idx="19">
                  <c:v>15.692510315962579</c:v>
                </c:pt>
                <c:pt idx="20">
                  <c:v>7.2703214251471833</c:v>
                </c:pt>
                <c:pt idx="21">
                  <c:v>19.713263129135338</c:v>
                </c:pt>
                <c:pt idx="22">
                  <c:v>19.740280833034205</c:v>
                </c:pt>
                <c:pt idx="23">
                  <c:v>20.156488436814104</c:v>
                </c:pt>
                <c:pt idx="24">
                  <c:v>20.374109228609456</c:v>
                </c:pt>
                <c:pt idx="25">
                  <c:v>20.449954464134052</c:v>
                </c:pt>
                <c:pt idx="26">
                  <c:v>19.936586996071579</c:v>
                </c:pt>
                <c:pt idx="27">
                  <c:v>4.1659292959696987</c:v>
                </c:pt>
                <c:pt idx="28">
                  <c:v>6.5078489044679895</c:v>
                </c:pt>
                <c:pt idx="29">
                  <c:v>4.7318035036450699</c:v>
                </c:pt>
                <c:pt idx="30">
                  <c:v>10.598527376501952</c:v>
                </c:pt>
                <c:pt idx="31">
                  <c:v>10.410108487728431</c:v>
                </c:pt>
                <c:pt idx="32">
                  <c:v>5.4334462921721514</c:v>
                </c:pt>
                <c:pt idx="33">
                  <c:v>12.98039866788138</c:v>
                </c:pt>
                <c:pt idx="34">
                  <c:v>10.812583766059712</c:v>
                </c:pt>
                <c:pt idx="35">
                  <c:v>9.357669149887796</c:v>
                </c:pt>
                <c:pt idx="36">
                  <c:v>17.354312363559547</c:v>
                </c:pt>
                <c:pt idx="37">
                  <c:v>12.017390457067524</c:v>
                </c:pt>
                <c:pt idx="38">
                  <c:v>24.964400471047909</c:v>
                </c:pt>
                <c:pt idx="39">
                  <c:v>24.979518563947885</c:v>
                </c:pt>
                <c:pt idx="40">
                  <c:v>24.217839672013341</c:v>
                </c:pt>
                <c:pt idx="41">
                  <c:v>12.759768959739047</c:v>
                </c:pt>
                <c:pt idx="42">
                  <c:v>21.794929665227407</c:v>
                </c:pt>
                <c:pt idx="43">
                  <c:v>25.380396247995304</c:v>
                </c:pt>
                <c:pt idx="44">
                  <c:v>14.899542625564248</c:v>
                </c:pt>
                <c:pt idx="45">
                  <c:v>18.124359494211685</c:v>
                </c:pt>
                <c:pt idx="46">
                  <c:v>9.2366127261848039</c:v>
                </c:pt>
                <c:pt idx="47">
                  <c:v>10.721493968347186</c:v>
                </c:pt>
                <c:pt idx="48">
                  <c:v>25.285127530487987</c:v>
                </c:pt>
                <c:pt idx="49">
                  <c:v>15.246693011620875</c:v>
                </c:pt>
                <c:pt idx="50">
                  <c:v>18.226083232013455</c:v>
                </c:pt>
                <c:pt idx="51">
                  <c:v>18.691963518203433</c:v>
                </c:pt>
                <c:pt idx="52">
                  <c:v>27.601790437251871</c:v>
                </c:pt>
                <c:pt idx="53">
                  <c:v>29.194607291999088</c:v>
                </c:pt>
                <c:pt idx="54">
                  <c:v>17.555351257520712</c:v>
                </c:pt>
                <c:pt idx="55">
                  <c:v>25.957193245134544</c:v>
                </c:pt>
                <c:pt idx="56">
                  <c:v>31.646485863195981</c:v>
                </c:pt>
                <c:pt idx="57">
                  <c:v>24.139999487533554</c:v>
                </c:pt>
                <c:pt idx="58">
                  <c:v>28.721392630529525</c:v>
                </c:pt>
                <c:pt idx="59">
                  <c:v>31.551428802092055</c:v>
                </c:pt>
                <c:pt idx="60">
                  <c:v>14.635829386757024</c:v>
                </c:pt>
                <c:pt idx="61">
                  <c:v>30.229557061054088</c:v>
                </c:pt>
                <c:pt idx="62">
                  <c:v>5.7420530762150417</c:v>
                </c:pt>
                <c:pt idx="63">
                  <c:v>12.861055553427724</c:v>
                </c:pt>
                <c:pt idx="64">
                  <c:v>18.8538866890426</c:v>
                </c:pt>
                <c:pt idx="65">
                  <c:v>32.1292078572856</c:v>
                </c:pt>
                <c:pt idx="66">
                  <c:v>25.908312352680984</c:v>
                </c:pt>
                <c:pt idx="67">
                  <c:v>26.966388705953054</c:v>
                </c:pt>
                <c:pt idx="68">
                  <c:v>18.90946671440156</c:v>
                </c:pt>
                <c:pt idx="69">
                  <c:v>13.445489834235268</c:v>
                </c:pt>
                <c:pt idx="70">
                  <c:v>12.741627711663885</c:v>
                </c:pt>
                <c:pt idx="71">
                  <c:v>8.4115812924624329</c:v>
                </c:pt>
                <c:pt idx="72">
                  <c:v>11.583945732224384</c:v>
                </c:pt>
                <c:pt idx="73">
                  <c:v>13.384478305320215</c:v>
                </c:pt>
                <c:pt idx="74">
                  <c:v>11.745010442991543</c:v>
                </c:pt>
                <c:pt idx="75">
                  <c:v>10.298839053321053</c:v>
                </c:pt>
                <c:pt idx="76">
                  <c:v>12.92338019435031</c:v>
                </c:pt>
                <c:pt idx="77">
                  <c:v>26.02333534092503</c:v>
                </c:pt>
                <c:pt idx="78">
                  <c:v>29.348321239388373</c:v>
                </c:pt>
                <c:pt idx="79">
                  <c:v>39.338273880617201</c:v>
                </c:pt>
                <c:pt idx="80">
                  <c:v>36.381606645073859</c:v>
                </c:pt>
                <c:pt idx="81">
                  <c:v>41.104220543330733</c:v>
                </c:pt>
                <c:pt idx="82">
                  <c:v>40.515995356557667</c:v>
                </c:pt>
                <c:pt idx="83">
                  <c:v>37.082845311034134</c:v>
                </c:pt>
                <c:pt idx="84">
                  <c:v>40.042580633081684</c:v>
                </c:pt>
                <c:pt idx="85">
                  <c:v>39.526447890722274</c:v>
                </c:pt>
                <c:pt idx="86">
                  <c:v>30.739807650344005</c:v>
                </c:pt>
                <c:pt idx="87">
                  <c:v>25.379717665952608</c:v>
                </c:pt>
                <c:pt idx="88">
                  <c:v>7.1525297833978261</c:v>
                </c:pt>
                <c:pt idx="89">
                  <c:v>24.974685974511932</c:v>
                </c:pt>
                <c:pt idx="90">
                  <c:v>27.221170379146756</c:v>
                </c:pt>
                <c:pt idx="91">
                  <c:v>18.441337561814766</c:v>
                </c:pt>
                <c:pt idx="92">
                  <c:v>22.830722445785405</c:v>
                </c:pt>
                <c:pt idx="93">
                  <c:v>39.538050629129785</c:v>
                </c:pt>
                <c:pt idx="94">
                  <c:v>45.75086528196109</c:v>
                </c:pt>
                <c:pt idx="95">
                  <c:v>11.622288275981848</c:v>
                </c:pt>
                <c:pt idx="96">
                  <c:v>35.158094051203399</c:v>
                </c:pt>
                <c:pt idx="97">
                  <c:v>27.461611916917338</c:v>
                </c:pt>
                <c:pt idx="98">
                  <c:v>33.322593260646464</c:v>
                </c:pt>
                <c:pt idx="99">
                  <c:v>47.18393647838456</c:v>
                </c:pt>
                <c:pt idx="100">
                  <c:v>36.101531635753155</c:v>
                </c:pt>
                <c:pt idx="101">
                  <c:v>33.166030281756363</c:v>
                </c:pt>
                <c:pt idx="102">
                  <c:v>7.3090717651414536</c:v>
                </c:pt>
                <c:pt idx="103">
                  <c:v>35.73256217599409</c:v>
                </c:pt>
                <c:pt idx="104">
                  <c:v>39.671925623932218</c:v>
                </c:pt>
                <c:pt idx="105">
                  <c:v>42.537177682048146</c:v>
                </c:pt>
                <c:pt idx="106">
                  <c:v>48.279091412306876</c:v>
                </c:pt>
                <c:pt idx="107">
                  <c:v>38.789834186741906</c:v>
                </c:pt>
                <c:pt idx="108">
                  <c:v>10.597653600949693</c:v>
                </c:pt>
                <c:pt idx="109">
                  <c:v>10.00342746120903</c:v>
                </c:pt>
                <c:pt idx="110">
                  <c:v>9.5445222354424271</c:v>
                </c:pt>
                <c:pt idx="111">
                  <c:v>28.862814306283994</c:v>
                </c:pt>
                <c:pt idx="112">
                  <c:v>8.3476635191522153</c:v>
                </c:pt>
                <c:pt idx="113">
                  <c:v>35.680681769568373</c:v>
                </c:pt>
                <c:pt idx="114">
                  <c:v>44.513831129615461</c:v>
                </c:pt>
                <c:pt idx="115">
                  <c:v>49.361697510691002</c:v>
                </c:pt>
                <c:pt idx="116">
                  <c:v>35.209267876953774</c:v>
                </c:pt>
                <c:pt idx="117">
                  <c:v>21.567388930957083</c:v>
                </c:pt>
                <c:pt idx="118">
                  <c:v>40.519337023342693</c:v>
                </c:pt>
                <c:pt idx="119">
                  <c:v>45.898670348481033</c:v>
                </c:pt>
                <c:pt idx="120">
                  <c:v>45.264727800701785</c:v>
                </c:pt>
                <c:pt idx="121">
                  <c:v>27.666005841387591</c:v>
                </c:pt>
                <c:pt idx="122">
                  <c:v>32.690016993022311</c:v>
                </c:pt>
                <c:pt idx="123">
                  <c:v>0.82977453728150319</c:v>
                </c:pt>
                <c:pt idx="124">
                  <c:v>38.126982823507795</c:v>
                </c:pt>
                <c:pt idx="125">
                  <c:v>35.337043554612372</c:v>
                </c:pt>
                <c:pt idx="126">
                  <c:v>48.535295607551703</c:v>
                </c:pt>
                <c:pt idx="127">
                  <c:v>49.364594828248542</c:v>
                </c:pt>
                <c:pt idx="128">
                  <c:v>54.804753301176106</c:v>
                </c:pt>
                <c:pt idx="129">
                  <c:v>50.302296913759925</c:v>
                </c:pt>
                <c:pt idx="130">
                  <c:v>55.118065503879507</c:v>
                </c:pt>
                <c:pt idx="131">
                  <c:v>42.985316782417904</c:v>
                </c:pt>
                <c:pt idx="132">
                  <c:v>45.865392963714413</c:v>
                </c:pt>
                <c:pt idx="133">
                  <c:v>47.269887215485319</c:v>
                </c:pt>
                <c:pt idx="134">
                  <c:v>51.132767347248546</c:v>
                </c:pt>
                <c:pt idx="135">
                  <c:v>49.838834152872003</c:v>
                </c:pt>
                <c:pt idx="136">
                  <c:v>53.731651798200971</c:v>
                </c:pt>
                <c:pt idx="137">
                  <c:v>52.283243775634411</c:v>
                </c:pt>
                <c:pt idx="138">
                  <c:v>54.184981133610712</c:v>
                </c:pt>
                <c:pt idx="139">
                  <c:v>47.189045349546731</c:v>
                </c:pt>
                <c:pt idx="140">
                  <c:v>47.873518092470903</c:v>
                </c:pt>
                <c:pt idx="141">
                  <c:v>34.016973960259271</c:v>
                </c:pt>
                <c:pt idx="142">
                  <c:v>17.553911457960279</c:v>
                </c:pt>
                <c:pt idx="143">
                  <c:v>14.624938985806578</c:v>
                </c:pt>
                <c:pt idx="144">
                  <c:v>40.685886908572819</c:v>
                </c:pt>
                <c:pt idx="145">
                  <c:v>21.366807793989913</c:v>
                </c:pt>
                <c:pt idx="146">
                  <c:v>40.499686368237285</c:v>
                </c:pt>
                <c:pt idx="147">
                  <c:v>54.072015099957284</c:v>
                </c:pt>
                <c:pt idx="148">
                  <c:v>59.013681456569721</c:v>
                </c:pt>
                <c:pt idx="149">
                  <c:v>50.454229530199129</c:v>
                </c:pt>
                <c:pt idx="150">
                  <c:v>54.081224426119789</c:v>
                </c:pt>
                <c:pt idx="151">
                  <c:v>55.619244827853578</c:v>
                </c:pt>
                <c:pt idx="152">
                  <c:v>43.680295893759663</c:v>
                </c:pt>
                <c:pt idx="153">
                  <c:v>52.934888579271075</c:v>
                </c:pt>
                <c:pt idx="154">
                  <c:v>30.058196648783753</c:v>
                </c:pt>
                <c:pt idx="155">
                  <c:v>31.397782498217918</c:v>
                </c:pt>
                <c:pt idx="156">
                  <c:v>41.891705473362961</c:v>
                </c:pt>
                <c:pt idx="157">
                  <c:v>31.525682579668846</c:v>
                </c:pt>
                <c:pt idx="158">
                  <c:v>22.177657942558529</c:v>
                </c:pt>
                <c:pt idx="159">
                  <c:v>44.110752816963739</c:v>
                </c:pt>
                <c:pt idx="160">
                  <c:v>57.938632815980874</c:v>
                </c:pt>
                <c:pt idx="161">
                  <c:v>54.354845566535786</c:v>
                </c:pt>
                <c:pt idx="162">
                  <c:v>42.894012990790984</c:v>
                </c:pt>
                <c:pt idx="163">
                  <c:v>52.694353663893231</c:v>
                </c:pt>
                <c:pt idx="164">
                  <c:v>45.254600505863792</c:v>
                </c:pt>
                <c:pt idx="165">
                  <c:v>53.449317625660747</c:v>
                </c:pt>
                <c:pt idx="166">
                  <c:v>49.615786319699239</c:v>
                </c:pt>
                <c:pt idx="167">
                  <c:v>51.182605464337939</c:v>
                </c:pt>
                <c:pt idx="168">
                  <c:v>53.205940388861443</c:v>
                </c:pt>
                <c:pt idx="169">
                  <c:v>54.523390212867241</c:v>
                </c:pt>
                <c:pt idx="170">
                  <c:v>32.3766257403867</c:v>
                </c:pt>
                <c:pt idx="171">
                  <c:v>19.221392907775705</c:v>
                </c:pt>
                <c:pt idx="172">
                  <c:v>46.41929149227601</c:v>
                </c:pt>
                <c:pt idx="173">
                  <c:v>41.135259129987816</c:v>
                </c:pt>
                <c:pt idx="174">
                  <c:v>43.497838300786128</c:v>
                </c:pt>
                <c:pt idx="175">
                  <c:v>30.465521064017352</c:v>
                </c:pt>
                <c:pt idx="176">
                  <c:v>11.641174543050942</c:v>
                </c:pt>
                <c:pt idx="177">
                  <c:v>17.283261273355613</c:v>
                </c:pt>
                <c:pt idx="178">
                  <c:v>58.967383415273211</c:v>
                </c:pt>
                <c:pt idx="179">
                  <c:v>54.753579842925525</c:v>
                </c:pt>
                <c:pt idx="180">
                  <c:v>13.261364872905762</c:v>
                </c:pt>
                <c:pt idx="181">
                  <c:v>54.091884604846761</c:v>
                </c:pt>
                <c:pt idx="182">
                  <c:v>50.366475604133917</c:v>
                </c:pt>
                <c:pt idx="183">
                  <c:v>42.614868577688391</c:v>
                </c:pt>
                <c:pt idx="184">
                  <c:v>44.713838564544439</c:v>
                </c:pt>
                <c:pt idx="185">
                  <c:v>53.900699561670713</c:v>
                </c:pt>
                <c:pt idx="186">
                  <c:v>41.756468552258156</c:v>
                </c:pt>
                <c:pt idx="187">
                  <c:v>51.85057490516963</c:v>
                </c:pt>
                <c:pt idx="188">
                  <c:v>56.902205548070498</c:v>
                </c:pt>
                <c:pt idx="189">
                  <c:v>55.890137893745994</c:v>
                </c:pt>
                <c:pt idx="190">
                  <c:v>55.324598514293193</c:v>
                </c:pt>
                <c:pt idx="191">
                  <c:v>53.415889253712201</c:v>
                </c:pt>
                <c:pt idx="192">
                  <c:v>53.519547344588744</c:v>
                </c:pt>
                <c:pt idx="193">
                  <c:v>53.187557326719649</c:v>
                </c:pt>
                <c:pt idx="194">
                  <c:v>52.512719226904416</c:v>
                </c:pt>
                <c:pt idx="195">
                  <c:v>50.734933838260268</c:v>
                </c:pt>
                <c:pt idx="196">
                  <c:v>52.246142447328218</c:v>
                </c:pt>
                <c:pt idx="197">
                  <c:v>51.352353156965492</c:v>
                </c:pt>
                <c:pt idx="198">
                  <c:v>51.62852218727685</c:v>
                </c:pt>
                <c:pt idx="199">
                  <c:v>41.752739759702678</c:v>
                </c:pt>
                <c:pt idx="200">
                  <c:v>40.046432945518056</c:v>
                </c:pt>
                <c:pt idx="201">
                  <c:v>50.6532574889711</c:v>
                </c:pt>
                <c:pt idx="202">
                  <c:v>38.150024826050235</c:v>
                </c:pt>
                <c:pt idx="203">
                  <c:v>47.637769824944506</c:v>
                </c:pt>
                <c:pt idx="204">
                  <c:v>50.199059548698251</c:v>
                </c:pt>
                <c:pt idx="205">
                  <c:v>30.326779065848974</c:v>
                </c:pt>
                <c:pt idx="206">
                  <c:v>51.319932035794849</c:v>
                </c:pt>
                <c:pt idx="207">
                  <c:v>54.009236713833793</c:v>
                </c:pt>
                <c:pt idx="208">
                  <c:v>46.046898739123918</c:v>
                </c:pt>
                <c:pt idx="209">
                  <c:v>26.681103143453779</c:v>
                </c:pt>
                <c:pt idx="210">
                  <c:v>45.274231920243366</c:v>
                </c:pt>
                <c:pt idx="211">
                  <c:v>49.977164699717974</c:v>
                </c:pt>
                <c:pt idx="212">
                  <c:v>51.88320534698645</c:v>
                </c:pt>
                <c:pt idx="213">
                  <c:v>50.039732772911826</c:v>
                </c:pt>
                <c:pt idx="214">
                  <c:v>48.192516406823415</c:v>
                </c:pt>
                <c:pt idx="215">
                  <c:v>44.761396183729126</c:v>
                </c:pt>
                <c:pt idx="216">
                  <c:v>43.806720070147989</c:v>
                </c:pt>
                <c:pt idx="217">
                  <c:v>46.435188283645701</c:v>
                </c:pt>
                <c:pt idx="218">
                  <c:v>49.439751888313253</c:v>
                </c:pt>
                <c:pt idx="219">
                  <c:v>50.127171628405534</c:v>
                </c:pt>
                <c:pt idx="220">
                  <c:v>48.205454241172539</c:v>
                </c:pt>
                <c:pt idx="221">
                  <c:v>46.415735985202311</c:v>
                </c:pt>
                <c:pt idx="222">
                  <c:v>42.044870743073758</c:v>
                </c:pt>
                <c:pt idx="223">
                  <c:v>44.700251363182609</c:v>
                </c:pt>
                <c:pt idx="224">
                  <c:v>30.148411214347171</c:v>
                </c:pt>
                <c:pt idx="225">
                  <c:v>32.437654733512012</c:v>
                </c:pt>
                <c:pt idx="226">
                  <c:v>38.041766707051309</c:v>
                </c:pt>
                <c:pt idx="227">
                  <c:v>30.349607632106931</c:v>
                </c:pt>
                <c:pt idx="228">
                  <c:v>21.991964616981697</c:v>
                </c:pt>
                <c:pt idx="229">
                  <c:v>37.075795230874022</c:v>
                </c:pt>
                <c:pt idx="230">
                  <c:v>38.383977719465989</c:v>
                </c:pt>
                <c:pt idx="231">
                  <c:v>45.237754250920673</c:v>
                </c:pt>
                <c:pt idx="232">
                  <c:v>29.701792168768122</c:v>
                </c:pt>
                <c:pt idx="233">
                  <c:v>23.82076854633149</c:v>
                </c:pt>
                <c:pt idx="234">
                  <c:v>42.222828479644107</c:v>
                </c:pt>
                <c:pt idx="235">
                  <c:v>42.630620778613874</c:v>
                </c:pt>
                <c:pt idx="236">
                  <c:v>32.479061456376755</c:v>
                </c:pt>
                <c:pt idx="237">
                  <c:v>39.337887307290934</c:v>
                </c:pt>
                <c:pt idx="238">
                  <c:v>45.765794569858784</c:v>
                </c:pt>
                <c:pt idx="239">
                  <c:v>44.135393875475586</c:v>
                </c:pt>
                <c:pt idx="240">
                  <c:v>31.011305827142838</c:v>
                </c:pt>
                <c:pt idx="241">
                  <c:v>43.177043686778809</c:v>
                </c:pt>
                <c:pt idx="242">
                  <c:v>20.274553006440033</c:v>
                </c:pt>
                <c:pt idx="243">
                  <c:v>40.849417463576266</c:v>
                </c:pt>
                <c:pt idx="244">
                  <c:v>35.50525367433589</c:v>
                </c:pt>
                <c:pt idx="245">
                  <c:v>29.218582820070491</c:v>
                </c:pt>
                <c:pt idx="246">
                  <c:v>42.521642562652858</c:v>
                </c:pt>
                <c:pt idx="247">
                  <c:v>36.711498074277443</c:v>
                </c:pt>
                <c:pt idx="248">
                  <c:v>41.179109521092968</c:v>
                </c:pt>
                <c:pt idx="249">
                  <c:v>33.203073580886795</c:v>
                </c:pt>
                <c:pt idx="250">
                  <c:v>35.734431894796849</c:v>
                </c:pt>
                <c:pt idx="251">
                  <c:v>20.320284434477635</c:v>
                </c:pt>
                <c:pt idx="252">
                  <c:v>39.961833252710811</c:v>
                </c:pt>
                <c:pt idx="253">
                  <c:v>39.811044362501519</c:v>
                </c:pt>
                <c:pt idx="254">
                  <c:v>27.672645805094625</c:v>
                </c:pt>
                <c:pt idx="255">
                  <c:v>11.48897935080878</c:v>
                </c:pt>
                <c:pt idx="256">
                  <c:v>33.59049803695671</c:v>
                </c:pt>
                <c:pt idx="257">
                  <c:v>36.655199315943527</c:v>
                </c:pt>
                <c:pt idx="258">
                  <c:v>25.299318271185985</c:v>
                </c:pt>
                <c:pt idx="259">
                  <c:v>39.714774766707961</c:v>
                </c:pt>
                <c:pt idx="260">
                  <c:v>40.026087951637201</c:v>
                </c:pt>
                <c:pt idx="261">
                  <c:v>38.378225523512761</c:v>
                </c:pt>
                <c:pt idx="262">
                  <c:v>39.343784156642961</c:v>
                </c:pt>
                <c:pt idx="263">
                  <c:v>38.210791002912394</c:v>
                </c:pt>
                <c:pt idx="264">
                  <c:v>36.927040277740417</c:v>
                </c:pt>
                <c:pt idx="265">
                  <c:v>23.780978182106615</c:v>
                </c:pt>
                <c:pt idx="266">
                  <c:v>15.957995638894493</c:v>
                </c:pt>
                <c:pt idx="267">
                  <c:v>26.653696021815648</c:v>
                </c:pt>
                <c:pt idx="268">
                  <c:v>28.618849566897403</c:v>
                </c:pt>
                <c:pt idx="269">
                  <c:v>13.982074148762344</c:v>
                </c:pt>
                <c:pt idx="270">
                  <c:v>16.451620088637434</c:v>
                </c:pt>
                <c:pt idx="271">
                  <c:v>21.996787131441231</c:v>
                </c:pt>
                <c:pt idx="272">
                  <c:v>25.41293477951362</c:v>
                </c:pt>
                <c:pt idx="273">
                  <c:v>30.585387597334819</c:v>
                </c:pt>
                <c:pt idx="274">
                  <c:v>32.316049732516582</c:v>
                </c:pt>
                <c:pt idx="275">
                  <c:v>30.496456553404794</c:v>
                </c:pt>
                <c:pt idx="276">
                  <c:v>32.61649536880013</c:v>
                </c:pt>
                <c:pt idx="277">
                  <c:v>32.950335599984804</c:v>
                </c:pt>
                <c:pt idx="278">
                  <c:v>14.163475645872559</c:v>
                </c:pt>
                <c:pt idx="279">
                  <c:v>24.329914599574405</c:v>
                </c:pt>
                <c:pt idx="280">
                  <c:v>14.906640956937503</c:v>
                </c:pt>
                <c:pt idx="281">
                  <c:v>30.124246317074906</c:v>
                </c:pt>
                <c:pt idx="282">
                  <c:v>25.742185527042661</c:v>
                </c:pt>
                <c:pt idx="283">
                  <c:v>22.263768594714058</c:v>
                </c:pt>
                <c:pt idx="284">
                  <c:v>24.028707121170918</c:v>
                </c:pt>
                <c:pt idx="285">
                  <c:v>19.828780044310861</c:v>
                </c:pt>
                <c:pt idx="286">
                  <c:v>16.648840756939723</c:v>
                </c:pt>
                <c:pt idx="287">
                  <c:v>28.220236995117034</c:v>
                </c:pt>
                <c:pt idx="288">
                  <c:v>26.26253912800577</c:v>
                </c:pt>
                <c:pt idx="289">
                  <c:v>16.74498711532441</c:v>
                </c:pt>
                <c:pt idx="290">
                  <c:v>26.18778852048035</c:v>
                </c:pt>
                <c:pt idx="291">
                  <c:v>14.165484204725765</c:v>
                </c:pt>
                <c:pt idx="292">
                  <c:v>7.8420489806908575</c:v>
                </c:pt>
                <c:pt idx="293">
                  <c:v>13.722935278335109</c:v>
                </c:pt>
                <c:pt idx="294">
                  <c:v>24.337429462086245</c:v>
                </c:pt>
                <c:pt idx="295">
                  <c:v>16.455067222447145</c:v>
                </c:pt>
                <c:pt idx="296">
                  <c:v>19.462298274612301</c:v>
                </c:pt>
                <c:pt idx="297">
                  <c:v>17.996662751681537</c:v>
                </c:pt>
                <c:pt idx="298">
                  <c:v>14.262479762584714</c:v>
                </c:pt>
                <c:pt idx="299">
                  <c:v>11.403647255661127</c:v>
                </c:pt>
                <c:pt idx="300">
                  <c:v>15.523850446975903</c:v>
                </c:pt>
                <c:pt idx="301">
                  <c:v>19.714267944841001</c:v>
                </c:pt>
                <c:pt idx="302">
                  <c:v>16.994604199337928</c:v>
                </c:pt>
                <c:pt idx="303">
                  <c:v>16.554864212071422</c:v>
                </c:pt>
                <c:pt idx="304">
                  <c:v>15.626230760688298</c:v>
                </c:pt>
                <c:pt idx="305">
                  <c:v>21.160731441468364</c:v>
                </c:pt>
                <c:pt idx="306">
                  <c:v>5.569800311936282</c:v>
                </c:pt>
                <c:pt idx="307">
                  <c:v>11.516781200171504</c:v>
                </c:pt>
                <c:pt idx="308">
                  <c:v>20.163764923845736</c:v>
                </c:pt>
                <c:pt idx="309">
                  <c:v>20.208451051866366</c:v>
                </c:pt>
                <c:pt idx="310">
                  <c:v>20.06710150247504</c:v>
                </c:pt>
                <c:pt idx="311">
                  <c:v>13.267691997761849</c:v>
                </c:pt>
                <c:pt idx="312">
                  <c:v>7.846479859948551</c:v>
                </c:pt>
                <c:pt idx="313">
                  <c:v>17.651936004598575</c:v>
                </c:pt>
                <c:pt idx="314">
                  <c:v>18.191690234576086</c:v>
                </c:pt>
                <c:pt idx="315">
                  <c:v>18.055594454323462</c:v>
                </c:pt>
                <c:pt idx="316">
                  <c:v>16.019294058654097</c:v>
                </c:pt>
                <c:pt idx="317">
                  <c:v>9.2470027243848545</c:v>
                </c:pt>
                <c:pt idx="318">
                  <c:v>11.26794046629538</c:v>
                </c:pt>
                <c:pt idx="319">
                  <c:v>17.659020260260622</c:v>
                </c:pt>
                <c:pt idx="320">
                  <c:v>11.594825341133909</c:v>
                </c:pt>
                <c:pt idx="321">
                  <c:v>10.969490477976507</c:v>
                </c:pt>
                <c:pt idx="322">
                  <c:v>8.0696129742943832</c:v>
                </c:pt>
                <c:pt idx="323">
                  <c:v>13.197271796825412</c:v>
                </c:pt>
                <c:pt idx="324">
                  <c:v>3.1510154549637566</c:v>
                </c:pt>
                <c:pt idx="325">
                  <c:v>8.3498212954308126</c:v>
                </c:pt>
                <c:pt idx="326">
                  <c:v>12.415971993042618</c:v>
                </c:pt>
                <c:pt idx="327">
                  <c:v>11.225540312896969</c:v>
                </c:pt>
                <c:pt idx="328">
                  <c:v>4.6061603897750585</c:v>
                </c:pt>
                <c:pt idx="329">
                  <c:v>9.888290232547913</c:v>
                </c:pt>
                <c:pt idx="330">
                  <c:v>11.734504390525162</c:v>
                </c:pt>
                <c:pt idx="331">
                  <c:v>9.2517140602264583</c:v>
                </c:pt>
                <c:pt idx="332">
                  <c:v>10.471812251422284</c:v>
                </c:pt>
                <c:pt idx="333">
                  <c:v>4.2529626082426857</c:v>
                </c:pt>
                <c:pt idx="334">
                  <c:v>3.6810758124860992</c:v>
                </c:pt>
                <c:pt idx="335">
                  <c:v>5.0817456034143929</c:v>
                </c:pt>
                <c:pt idx="336">
                  <c:v>7.9825658861062516</c:v>
                </c:pt>
                <c:pt idx="337">
                  <c:v>13.554678695901213</c:v>
                </c:pt>
                <c:pt idx="338">
                  <c:v>15.902152209000388</c:v>
                </c:pt>
                <c:pt idx="339">
                  <c:v>11.413544278898355</c:v>
                </c:pt>
                <c:pt idx="340">
                  <c:v>14.045380392377265</c:v>
                </c:pt>
                <c:pt idx="341">
                  <c:v>4.193624820837786</c:v>
                </c:pt>
                <c:pt idx="342">
                  <c:v>7.9950049380871873</c:v>
                </c:pt>
                <c:pt idx="343">
                  <c:v>11.712579640941478</c:v>
                </c:pt>
                <c:pt idx="344">
                  <c:v>12.269440074836561</c:v>
                </c:pt>
                <c:pt idx="345">
                  <c:v>4.2613111837305091</c:v>
                </c:pt>
                <c:pt idx="346">
                  <c:v>5.129702879520762</c:v>
                </c:pt>
                <c:pt idx="347">
                  <c:v>12.077991188808431</c:v>
                </c:pt>
                <c:pt idx="348">
                  <c:v>5.921469484803902</c:v>
                </c:pt>
                <c:pt idx="349">
                  <c:v>5.2281939502744397</c:v>
                </c:pt>
                <c:pt idx="350">
                  <c:v>3.2398568363816862</c:v>
                </c:pt>
                <c:pt idx="351">
                  <c:v>12.612007676969283</c:v>
                </c:pt>
                <c:pt idx="352">
                  <c:v>12.367634079950916</c:v>
                </c:pt>
                <c:pt idx="353">
                  <c:v>3.9304023624999527</c:v>
                </c:pt>
                <c:pt idx="354">
                  <c:v>14.32805937979002</c:v>
                </c:pt>
                <c:pt idx="355">
                  <c:v>12.708311160808812</c:v>
                </c:pt>
                <c:pt idx="356">
                  <c:v>13.31440938774564</c:v>
                </c:pt>
                <c:pt idx="357">
                  <c:v>15.158716983209601</c:v>
                </c:pt>
                <c:pt idx="358">
                  <c:v>8.5680343779437198</c:v>
                </c:pt>
                <c:pt idx="359">
                  <c:v>13.322954466393039</c:v>
                </c:pt>
                <c:pt idx="360">
                  <c:v>6.3463805347643962</c:v>
                </c:pt>
                <c:pt idx="361">
                  <c:v>14.118215849366297</c:v>
                </c:pt>
                <c:pt idx="362">
                  <c:v>9.4840164621175109</c:v>
                </c:pt>
                <c:pt idx="363">
                  <c:v>12.04983361767688</c:v>
                </c:pt>
                <c:pt idx="364">
                  <c:v>9.4029306711486296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0955368"/>
        <c:axId val="490955760"/>
      </c:lineChart>
      <c:dateAx>
        <c:axId val="490955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0955760"/>
        <c:crosses val="autoZero"/>
        <c:auto val="1"/>
        <c:lblOffset val="100"/>
        <c:baseTimeUnit val="days"/>
        <c:majorUnit val="1"/>
        <c:majorTimeUnit val="months"/>
      </c:dateAx>
      <c:valAx>
        <c:axId val="4909557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909553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Crèche Ayguesvives</c:v>
            </c:pt>
          </c:strCache>
        </c:strRef>
      </c:tx>
      <c:layout>
        <c:manualLayout>
          <c:xMode val="edge"/>
          <c:yMode val="edge"/>
          <c:x val="3.7141162205881928E-2"/>
          <c:y val="5.17126852527176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1"/>
          <c:order val="0"/>
          <c:tx>
            <c:strRef>
              <c:f>Masques!$P$55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Masques!$P$56:$P$79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2.384039456405604</c:v>
                </c:pt>
                <c:pt idx="3">
                  <c:v>3.2730982510487214</c:v>
                </c:pt>
                <c:pt idx="4">
                  <c:v>3.8581818109724653</c:v>
                </c:pt>
                <c:pt idx="5">
                  <c:v>-2.3863211688681498</c:v>
                </c:pt>
                <c:pt idx="6">
                  <c:v>2.762496071300601</c:v>
                </c:pt>
                <c:pt idx="7">
                  <c:v>-1.188008989277632</c:v>
                </c:pt>
                <c:pt idx="8">
                  <c:v>-1.1464973989379086</c:v>
                </c:pt>
                <c:pt idx="9">
                  <c:v>2.997154012165625</c:v>
                </c:pt>
                <c:pt idx="10">
                  <c:v>2.6495718222624483</c:v>
                </c:pt>
                <c:pt idx="11">
                  <c:v>6.4318508756407056</c:v>
                </c:pt>
                <c:pt idx="12">
                  <c:v>4.1674126133183593</c:v>
                </c:pt>
                <c:pt idx="13">
                  <c:v>2.4169485856580191</c:v>
                </c:pt>
                <c:pt idx="14">
                  <c:v>6.628526659272679</c:v>
                </c:pt>
                <c:pt idx="15">
                  <c:v>1.5610030706126021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Masques!$Q$55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3.5628653094026004</c:v>
                </c:pt>
                <c:pt idx="3">
                  <c:v>4.464683497185904</c:v>
                </c:pt>
                <c:pt idx="4">
                  <c:v>7.8417283043656401</c:v>
                </c:pt>
                <c:pt idx="5">
                  <c:v>-0.56933680087896688</c:v>
                </c:pt>
                <c:pt idx="6">
                  <c:v>4.6089740237349721</c:v>
                </c:pt>
                <c:pt idx="7">
                  <c:v>5.1118953776895397</c:v>
                </c:pt>
                <c:pt idx="8">
                  <c:v>4.369542795693528</c:v>
                </c:pt>
                <c:pt idx="9">
                  <c:v>4.5746705133018892</c:v>
                </c:pt>
                <c:pt idx="10">
                  <c:v>4.2379492323520305</c:v>
                </c:pt>
                <c:pt idx="11">
                  <c:v>7.9502404329254857</c:v>
                </c:pt>
                <c:pt idx="12">
                  <c:v>5.4363783118105875</c:v>
                </c:pt>
                <c:pt idx="13">
                  <c:v>2.7688795398953685</c:v>
                </c:pt>
                <c:pt idx="14">
                  <c:v>7.0317162008819869</c:v>
                </c:pt>
                <c:pt idx="15">
                  <c:v>1.9632354649203065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Masques!$R$55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4.7386790478899465</c:v>
                </c:pt>
                <c:pt idx="3">
                  <c:v>5.652411868778719</c:v>
                </c:pt>
                <c:pt idx="4">
                  <c:v>11.750535751871896</c:v>
                </c:pt>
                <c:pt idx="5">
                  <c:v>1.2487930766062576</c:v>
                </c:pt>
                <c:pt idx="6">
                  <c:v>6.4459104938961085</c:v>
                </c:pt>
                <c:pt idx="7">
                  <c:v>11.290727582649469</c:v>
                </c:pt>
                <c:pt idx="8">
                  <c:v>9.8058437700955121</c:v>
                </c:pt>
                <c:pt idx="9">
                  <c:v>6.1452687280205494</c:v>
                </c:pt>
                <c:pt idx="10">
                  <c:v>5.8198290884903612</c:v>
                </c:pt>
                <c:pt idx="11">
                  <c:v>9.4574760507638125</c:v>
                </c:pt>
                <c:pt idx="12">
                  <c:v>6.7000179896146141</c:v>
                </c:pt>
                <c:pt idx="13">
                  <c:v>3.1206015267089127</c:v>
                </c:pt>
                <c:pt idx="14">
                  <c:v>7.434207040011759</c:v>
                </c:pt>
                <c:pt idx="15">
                  <c:v>2.3652743662873958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Masques!$S$55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5.9105064380493024</c:v>
                </c:pt>
                <c:pt idx="3">
                  <c:v>6.8352870786773305</c:v>
                </c:pt>
                <c:pt idx="4">
                  <c:v>15.551625082949885</c:v>
                </c:pt>
                <c:pt idx="5">
                  <c:v>3.064411946597708</c:v>
                </c:pt>
                <c:pt idx="6">
                  <c:v>8.26963968244584</c:v>
                </c:pt>
                <c:pt idx="7">
                  <c:v>17.215383853213652</c:v>
                </c:pt>
                <c:pt idx="8">
                  <c:v>15.069994131445032</c:v>
                </c:pt>
                <c:pt idx="9">
                  <c:v>7.7066526484389701</c:v>
                </c:pt>
                <c:pt idx="10">
                  <c:v>7.3928579386989721</c:v>
                </c:pt>
                <c:pt idx="11">
                  <c:v>10.951619736754408</c:v>
                </c:pt>
                <c:pt idx="12">
                  <c:v>7.9571447006789455</c:v>
                </c:pt>
                <c:pt idx="13">
                  <c:v>3.4720882493649978</c:v>
                </c:pt>
                <c:pt idx="14">
                  <c:v>7.8359613742774172</c:v>
                </c:pt>
                <c:pt idx="15">
                  <c:v>2.7670803564283966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Masques!$T$55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7.0773931584707208</c:v>
                </c:pt>
                <c:pt idx="3">
                  <c:v>8.0123374853701481</c:v>
                </c:pt>
                <c:pt idx="4">
                  <c:v>19.217541700644617</c:v>
                </c:pt>
                <c:pt idx="5">
                  <c:v>4.8738934760416734</c:v>
                </c:pt>
                <c:pt idx="6">
                  <c:v>10.076654939357304</c:v>
                </c:pt>
                <c:pt idx="7">
                  <c:v>22.784377975551998</c:v>
                </c:pt>
                <c:pt idx="8">
                  <c:v>20.086601268123655</c:v>
                </c:pt>
                <c:pt idx="9">
                  <c:v>9.2566077118413936</c:v>
                </c:pt>
                <c:pt idx="10">
                  <c:v>8.9547618078363094</c:v>
                </c:pt>
                <c:pt idx="11">
                  <c:v>12.430838062190647</c:v>
                </c:pt>
                <c:pt idx="12">
                  <c:v>9.2066087390166125</c:v>
                </c:pt>
                <c:pt idx="13">
                  <c:v>3.8233135171171604</c:v>
                </c:pt>
                <c:pt idx="14">
                  <c:v>8.236941829155068</c:v>
                </c:pt>
                <c:pt idx="15">
                  <c:v>3.1686141543350348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Masques!$U$55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8.2384092855485136</c:v>
                </c:pt>
                <c:pt idx="3">
                  <c:v>9.1826206268670525</c:v>
                </c:pt>
                <c:pt idx="4">
                  <c:v>22.727114936447027</c:v>
                </c:pt>
                <c:pt idx="5">
                  <c:v>6.6736845829903579</c:v>
                </c:pt>
                <c:pt idx="6">
                  <c:v>11.863646087742012</c:v>
                </c:pt>
                <c:pt idx="7">
                  <c:v>27.934101729224128</c:v>
                </c:pt>
                <c:pt idx="8">
                  <c:v>24.801980421777102</c:v>
                </c:pt>
                <c:pt idx="9">
                  <c:v>10.79301837761202</c:v>
                </c:pt>
                <c:pt idx="10">
                  <c:v>10.503364720236332</c:v>
                </c:pt>
                <c:pt idx="11">
                  <c:v>13.893413435082872</c:v>
                </c:pt>
                <c:pt idx="12">
                  <c:v>10.447303470878108</c:v>
                </c:pt>
                <c:pt idx="13">
                  <c:v>4.1742512567552001</c:v>
                </c:pt>
                <c:pt idx="14">
                  <c:v>8.6371114771352548</c:v>
                </c:pt>
                <c:pt idx="15">
                  <c:v>3.5698366391257768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Masques!$V$55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9.3926534826513493</c:v>
                </c:pt>
                <c:pt idx="3">
                  <c:v>10.345227397041779</c:v>
                </c:pt>
                <c:pt idx="4">
                  <c:v>26.065581752332093</c:v>
                </c:pt>
                <c:pt idx="5">
                  <c:v>8.460346337109705</c:v>
                </c:pt>
                <c:pt idx="6">
                  <c:v>13.627531167836128</c:v>
                </c:pt>
                <c:pt idx="7">
                  <c:v>32.636700019389856</c:v>
                </c:pt>
                <c:pt idx="8">
                  <c:v>29.184701080571529</c:v>
                </c:pt>
                <c:pt idx="9">
                  <c:v>12.313883620449342</c:v>
                </c:pt>
                <c:pt idx="10">
                  <c:v>12.036605121327639</c:v>
                </c:pt>
                <c:pt idx="11">
                  <c:v>15.337753252163772</c:v>
                </c:pt>
                <c:pt idx="12">
                  <c:v>11.678170579285808</c:v>
                </c:pt>
                <c:pt idx="13">
                  <c:v>4.5248755240228355</c:v>
                </c:pt>
                <c:pt idx="14">
                  <c:v>9.0364338562482693</c:v>
                </c:pt>
                <c:pt idx="15">
                  <c:v>3.9707088726606656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Masques!$W$55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10.539256849294107</c:v>
                </c:pt>
                <c:pt idx="3">
                  <c:v>11.499285822983369</c:v>
                </c:pt>
                <c:pt idx="4">
                  <c:v>29.224191445429987</c:v>
                </c:pt>
                <c:pt idx="5">
                  <c:v>10.230591547217839</c:v>
                </c:pt>
                <c:pt idx="6">
                  <c:v>15.365481994696761</c:v>
                </c:pt>
                <c:pt idx="7">
                  <c:v>36.892775962246553</c:v>
                </c:pt>
                <c:pt idx="8">
                  <c:v>33.222981344659438</c:v>
                </c:pt>
                <c:pt idx="9">
                  <c:v>13.817330100554843</c:v>
                </c:pt>
                <c:pt idx="10">
                  <c:v>13.552549931528677</c:v>
                </c:pt>
                <c:pt idx="11">
                  <c:v>16.762396877028092</c:v>
                </c:pt>
                <c:pt idx="12">
                  <c:v>12.898204668883089</c:v>
                </c:pt>
                <c:pt idx="13">
                  <c:v>4.8751605148916735</c:v>
                </c:pt>
                <c:pt idx="14">
                  <c:v>9.4348729879408531</c:v>
                </c:pt>
                <c:pt idx="15">
                  <c:v>4.3711921218891465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Masques!$X$55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11.677386393898646</c:v>
                </c:pt>
                <c:pt idx="3">
                  <c:v>12.64396441052884</c:v>
                </c:pt>
                <c:pt idx="4">
                  <c:v>32.199458005914181</c:v>
                </c:pt>
                <c:pt idx="5">
                  <c:v>11.981318066070724</c:v>
                </c:pt>
                <c:pt idx="6">
                  <c:v>17.074943218720644</c:v>
                </c:pt>
                <c:pt idx="7">
                  <c:v>40.722482676512925</c:v>
                </c:pt>
                <c:pt idx="8">
                  <c:v>36.920416482320469</c:v>
                </c:pt>
                <c:pt idx="9">
                  <c:v>15.301622855461606</c:v>
                </c:pt>
                <c:pt idx="10">
                  <c:v>15.049406053296053</c:v>
                </c:pt>
                <c:pt idx="11">
                  <c:v>18.166020455729523</c:v>
                </c:pt>
                <c:pt idx="12">
                  <c:v>14.106457194170511</c:v>
                </c:pt>
                <c:pt idx="13">
                  <c:v>5.2250805766794919</c:v>
                </c:pt>
                <c:pt idx="14">
                  <c:v>9.8323933942856829</c:v>
                </c:pt>
                <c:pt idx="15">
                  <c:v>4.7712478808993053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10"/>
          <c:order val="9"/>
          <c:tx>
            <c:strRef>
              <c:f>Masques!$Y$55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12.806248101606897</c:v>
                </c:pt>
                <c:pt idx="3">
                  <c:v>13.778475034118783</c:v>
                </c:pt>
                <c:pt idx="4">
                  <c:v>34.992229961810644</c:v>
                </c:pt>
                <c:pt idx="5">
                  <c:v>13.709637062461358</c:v>
                </c:pt>
                <c:pt idx="6">
                  <c:v>18.753644863335495</c:v>
                </c:pt>
                <c:pt idx="7">
                  <c:v>44.157436548952298</c:v>
                </c:pt>
                <c:pt idx="8">
                  <c:v>40.291362408862462</c:v>
                </c:pt>
                <c:pt idx="9">
                  <c:v>16.765173442221091</c:v>
                </c:pt>
                <c:pt idx="10">
                  <c:v>16.525529240786724</c:v>
                </c:pt>
                <c:pt idx="11">
                  <c:v>19.547439639135042</c:v>
                </c:pt>
                <c:pt idx="12">
                  <c:v>15.30203968940881</c:v>
                </c:pt>
                <c:pt idx="13">
                  <c:v>5.5746102190012241</c:v>
                </c:pt>
                <c:pt idx="14">
                  <c:v>10.228960114506831</c:v>
                </c:pt>
                <c:pt idx="15">
                  <c:v>5.1708378926377678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11"/>
          <c:order val="10"/>
          <c:tx>
            <c:strRef>
              <c:f>Masques!$Z$55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13.925089576748096</c:v>
                </c:pt>
                <c:pt idx="3">
                  <c:v>14.902075356150533</c:v>
                </c:pt>
                <c:pt idx="4">
                  <c:v>37.606719252738863</c:v>
                </c:pt>
                <c:pt idx="5">
                  <c:v>15.412895756253921</c:v>
                </c:pt>
                <c:pt idx="6">
                  <c:v>20.399608571177076</c:v>
                </c:pt>
                <c:pt idx="7">
                  <c:v>47.234519475817535</c:v>
                </c:pt>
                <c:pt idx="8">
                  <c:v>43.35682076589822</c:v>
                </c:pt>
                <c:pt idx="9">
                  <c:v>18.206545538585893</c:v>
                </c:pt>
                <c:pt idx="10">
                  <c:v>17.979430326596884</c:v>
                </c:pt>
                <c:pt idx="11">
                  <c:v>20.905610331111625</c:v>
                </c:pt>
                <c:pt idx="12">
                  <c:v>16.484126293254576</c:v>
                </c:pt>
                <c:pt idx="13">
                  <c:v>5.9237241245412733</c:v>
                </c:pt>
                <c:pt idx="14">
                  <c:v>10.624538720805912</c:v>
                </c:pt>
                <c:pt idx="15">
                  <c:v>5.5699241702703448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0"/>
          <c:order val="11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Masques!$R$5</c:f>
              <c:numCache>
                <c:formatCode>0.0\°</c:formatCode>
                <c:ptCount val="1"/>
                <c:pt idx="0">
                  <c:v>68</c:v>
                </c:pt>
              </c:numCache>
            </c:numRef>
          </c:xVal>
          <c:yVal>
            <c:numRef>
              <c:f>Masques!$S$5</c:f>
              <c:numCache>
                <c:formatCode>0.0\°</c:formatCode>
                <c:ptCount val="1"/>
                <c:pt idx="0">
                  <c:v>73.300755766006375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441184"/>
        <c:axId val="531441576"/>
      </c:scatterChart>
      <c:valAx>
        <c:axId val="53144118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531441576"/>
        <c:crosses val="autoZero"/>
        <c:crossBetween val="midCat"/>
        <c:majorUnit val="30"/>
      </c:valAx>
      <c:valAx>
        <c:axId val="531441576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144118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3247821695937403E-2"/>
          <c:y val="0.95476613627455353"/>
          <c:w val="0.95566578984683148"/>
          <c:h val="4.523386372544646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6.9060115748831863E-2</c:v>
                </c:pt>
                <c:pt idx="1">
                  <c:v>6.9081780079954025E-2</c:v>
                </c:pt>
                <c:pt idx="2">
                  <c:v>6.9103443906915585E-2</c:v>
                </c:pt>
                <c:pt idx="3">
                  <c:v>6.91251072297282E-2</c:v>
                </c:pt>
                <c:pt idx="4">
                  <c:v>6.9146770048403638E-2</c:v>
                </c:pt>
                <c:pt idx="5">
                  <c:v>6.9168432362953669E-2</c:v>
                </c:pt>
                <c:pt idx="6">
                  <c:v>6.919009417339006E-2</c:v>
                </c:pt>
                <c:pt idx="7">
                  <c:v>6.9211755479724357E-2</c:v>
                </c:pt>
                <c:pt idx="8">
                  <c:v>6.9233416281968441E-2</c:v>
                </c:pt>
                <c:pt idx="9">
                  <c:v>6.9255076580134078E-2</c:v>
                </c:pt>
                <c:pt idx="10">
                  <c:v>6.9276736374232817E-2</c:v>
                </c:pt>
                <c:pt idx="11">
                  <c:v>6.9298395664276646E-2</c:v>
                </c:pt>
                <c:pt idx="12">
                  <c:v>6.9320054450277002E-2</c:v>
                </c:pt>
                <c:pt idx="13">
                  <c:v>6.9341712732245875E-2</c:v>
                </c:pt>
                <c:pt idx="14">
                  <c:v>6.9363370510194811E-2</c:v>
                </c:pt>
                <c:pt idx="15">
                  <c:v>6.9385027784135689E-2</c:v>
                </c:pt>
                <c:pt idx="16">
                  <c:v>6.9406684554080056E-2</c:v>
                </c:pt>
                <c:pt idx="17">
                  <c:v>6.9428340820039902E-2</c:v>
                </c:pt>
                <c:pt idx="18">
                  <c:v>6.9449996582026663E-2</c:v>
                </c:pt>
                <c:pt idx="19">
                  <c:v>6.9471651840052218E-2</c:v>
                </c:pt>
                <c:pt idx="20">
                  <c:v>6.9493306594128335E-2</c:v>
                </c:pt>
                <c:pt idx="21">
                  <c:v>6.9514960844266671E-2</c:v>
                </c:pt>
                <c:pt idx="22">
                  <c:v>6.9536614590478996E-2</c:v>
                </c:pt>
                <c:pt idx="23">
                  <c:v>6.9558267832777076E-2</c:v>
                </c:pt>
                <c:pt idx="24">
                  <c:v>6.957992057117246E-2</c:v>
                </c:pt>
                <c:pt idx="25">
                  <c:v>6.9601572805677026E-2</c:v>
                </c:pt>
                <c:pt idx="26">
                  <c:v>6.962322453630243E-2</c:v>
                </c:pt>
                <c:pt idx="27">
                  <c:v>6.9644875763060443E-2</c:v>
                </c:pt>
                <c:pt idx="28">
                  <c:v>6.9666526485962832E-2</c:v>
                </c:pt>
                <c:pt idx="29">
                  <c:v>6.9688176705021254E-2</c:v>
                </c:pt>
                <c:pt idx="30">
                  <c:v>6.9709826420247367E-2</c:v>
                </c:pt>
                <c:pt idx="31">
                  <c:v>6.973147563165305E-2</c:v>
                </c:pt>
                <c:pt idx="32">
                  <c:v>6.9753124339249961E-2</c:v>
                </c:pt>
                <c:pt idx="33">
                  <c:v>6.9774772543049868E-2</c:v>
                </c:pt>
                <c:pt idx="34">
                  <c:v>6.9796420243064317E-2</c:v>
                </c:pt>
                <c:pt idx="35">
                  <c:v>6.9818067439305298E-2</c:v>
                </c:pt>
                <c:pt idx="36">
                  <c:v>6.9839714131784247E-2</c:v>
                </c:pt>
                <c:pt idx="37">
                  <c:v>6.9861360320513155E-2</c:v>
                </c:pt>
                <c:pt idx="38">
                  <c:v>6.9883006005503567E-2</c:v>
                </c:pt>
                <c:pt idx="39">
                  <c:v>6.9904651186767364E-2</c:v>
                </c:pt>
                <c:pt idx="40">
                  <c:v>6.992629586431609E-2</c:v>
                </c:pt>
                <c:pt idx="41">
                  <c:v>6.9947940038161516E-2</c:v>
                </c:pt>
                <c:pt idx="42">
                  <c:v>6.9969583708315408E-2</c:v>
                </c:pt>
                <c:pt idx="43">
                  <c:v>6.9991226874789536E-2</c:v>
                </c:pt>
                <c:pt idx="44">
                  <c:v>7.0012869537595557E-2</c:v>
                </c:pt>
                <c:pt idx="45">
                  <c:v>7.0034511696745128E-2</c:v>
                </c:pt>
                <c:pt idx="46">
                  <c:v>7.0056153352250128E-2</c:v>
                </c:pt>
                <c:pt idx="47">
                  <c:v>7.0077794504122104E-2</c:v>
                </c:pt>
                <c:pt idx="48">
                  <c:v>7.0099435152372935E-2</c:v>
                </c:pt>
                <c:pt idx="49">
                  <c:v>7.0121075297014279E-2</c:v>
                </c:pt>
                <c:pt idx="50">
                  <c:v>7.0142714938057793E-2</c:v>
                </c:pt>
                <c:pt idx="51">
                  <c:v>7.0164354075515245E-2</c:v>
                </c:pt>
                <c:pt idx="52">
                  <c:v>7.0185992709398293E-2</c:v>
                </c:pt>
                <c:pt idx="53">
                  <c:v>7.0207630839718815E-2</c:v>
                </c:pt>
                <c:pt idx="54">
                  <c:v>7.0229268466488359E-2</c:v>
                </c:pt>
                <c:pt idx="55">
                  <c:v>7.0250905589718804E-2</c:v>
                </c:pt>
                <c:pt idx="56">
                  <c:v>7.0272542209421696E-2</c:v>
                </c:pt>
                <c:pt idx="57">
                  <c:v>7.0294178325608914E-2</c:v>
                </c:pt>
                <c:pt idx="58">
                  <c:v>7.0315813938292115E-2</c:v>
                </c:pt>
                <c:pt idx="59">
                  <c:v>7.0337449047482958E-2</c:v>
                </c:pt>
                <c:pt idx="60">
                  <c:v>7.03590836531931E-2</c:v>
                </c:pt>
                <c:pt idx="61">
                  <c:v>7.038071775543453E-2</c:v>
                </c:pt>
                <c:pt idx="62">
                  <c:v>7.0402351354218684E-2</c:v>
                </c:pt>
                <c:pt idx="63">
                  <c:v>7.0423984449557442E-2</c:v>
                </c:pt>
                <c:pt idx="64">
                  <c:v>7.0445617041462461E-2</c:v>
                </c:pt>
                <c:pt idx="65">
                  <c:v>7.0467249129945508E-2</c:v>
                </c:pt>
                <c:pt idx="66">
                  <c:v>7.0488880715018132E-2</c:v>
                </c:pt>
                <c:pt idx="67">
                  <c:v>7.0510511796692321E-2</c:v>
                </c:pt>
                <c:pt idx="68">
                  <c:v>7.0532142374979512E-2</c:v>
                </c:pt>
                <c:pt idx="69">
                  <c:v>7.0553772449891583E-2</c:v>
                </c:pt>
                <c:pt idx="70">
                  <c:v>7.0575402021440192E-2</c:v>
                </c:pt>
                <c:pt idx="71">
                  <c:v>7.0597031089637108E-2</c:v>
                </c:pt>
                <c:pt idx="72">
                  <c:v>7.0618659654493987E-2</c:v>
                </c:pt>
                <c:pt idx="73">
                  <c:v>7.0640287716022598E-2</c:v>
                </c:pt>
                <c:pt idx="74">
                  <c:v>7.0661915274234599E-2</c:v>
                </c:pt>
                <c:pt idx="75">
                  <c:v>7.0683542329141757E-2</c:v>
                </c:pt>
                <c:pt idx="76">
                  <c:v>7.0705168880755731E-2</c:v>
                </c:pt>
                <c:pt idx="77">
                  <c:v>7.0726794929088288E-2</c:v>
                </c:pt>
                <c:pt idx="78">
                  <c:v>7.0748420474150975E-2</c:v>
                </c:pt>
                <c:pt idx="79">
                  <c:v>7.0770045515955782E-2</c:v>
                </c:pt>
                <c:pt idx="80">
                  <c:v>7.0791670054514255E-2</c:v>
                </c:pt>
                <c:pt idx="81">
                  <c:v>7.0813294089838053E-2</c:v>
                </c:pt>
                <c:pt idx="82">
                  <c:v>7.0834917621938942E-2</c:v>
                </c:pt>
                <c:pt idx="83">
                  <c:v>7.0856540650828692E-2</c:v>
                </c:pt>
                <c:pt idx="84">
                  <c:v>7.0878163176519071E-2</c:v>
                </c:pt>
                <c:pt idx="85">
                  <c:v>7.0899785199021514E-2</c:v>
                </c:pt>
                <c:pt idx="86">
                  <c:v>7.0921406718348012E-2</c:v>
                </c:pt>
                <c:pt idx="87">
                  <c:v>7.0943027734510111E-2</c:v>
                </c:pt>
                <c:pt idx="88">
                  <c:v>7.096464824751969E-2</c:v>
                </c:pt>
                <c:pt idx="89">
                  <c:v>7.0986268257388185E-2</c:v>
                </c:pt>
                <c:pt idx="90">
                  <c:v>7.1007887764127586E-2</c:v>
                </c:pt>
                <c:pt idx="91">
                  <c:v>7.102950676774944E-2</c:v>
                </c:pt>
                <c:pt idx="92">
                  <c:v>7.1051125268265514E-2</c:v>
                </c:pt>
                <c:pt idx="93">
                  <c:v>7.1072743265687466E-2</c:v>
                </c:pt>
                <c:pt idx="94">
                  <c:v>7.1094360760027064E-2</c:v>
                </c:pt>
                <c:pt idx="95">
                  <c:v>7.1115977751295967E-2</c:v>
                </c:pt>
                <c:pt idx="96">
                  <c:v>7.1137594239505941E-2</c:v>
                </c:pt>
                <c:pt idx="97">
                  <c:v>7.1159210224668645E-2</c:v>
                </c:pt>
                <c:pt idx="98">
                  <c:v>7.1180825706795736E-2</c:v>
                </c:pt>
                <c:pt idx="99">
                  <c:v>7.1202440685898982E-2</c:v>
                </c:pt>
                <c:pt idx="100">
                  <c:v>7.1224055161990152E-2</c:v>
                </c:pt>
                <c:pt idx="101">
                  <c:v>7.1245669135080902E-2</c:v>
                </c:pt>
                <c:pt idx="102">
                  <c:v>7.1267282605182891E-2</c:v>
                </c:pt>
                <c:pt idx="103">
                  <c:v>7.1288895572307776E-2</c:v>
                </c:pt>
                <c:pt idx="104">
                  <c:v>7.1310508036467435E-2</c:v>
                </c:pt>
                <c:pt idx="105">
                  <c:v>7.1332119997673527E-2</c:v>
                </c:pt>
                <c:pt idx="106">
                  <c:v>7.1353731455937597E-2</c:v>
                </c:pt>
                <c:pt idx="107">
                  <c:v>7.1375342411271525E-2</c:v>
                </c:pt>
                <c:pt idx="108">
                  <c:v>7.1396952863686858E-2</c:v>
                </c:pt>
                <c:pt idx="109">
                  <c:v>7.1418562813195474E-2</c:v>
                </c:pt>
                <c:pt idx="110">
                  <c:v>7.1440172259809032E-2</c:v>
                </c:pt>
                <c:pt idx="111">
                  <c:v>7.1461781203539076E-2</c:v>
                </c:pt>
                <c:pt idx="112">
                  <c:v>7.1483389644397488E-2</c:v>
                </c:pt>
                <c:pt idx="113">
                  <c:v>7.1504997582396035E-2</c:v>
                </c:pt>
                <c:pt idx="114">
                  <c:v>7.1526605017546152E-2</c:v>
                </c:pt>
                <c:pt idx="115">
                  <c:v>7.1548211949859719E-2</c:v>
                </c:pt>
                <c:pt idx="116">
                  <c:v>7.1569818379348393E-2</c:v>
                </c:pt>
                <c:pt idx="117">
                  <c:v>7.1591424306023943E-2</c:v>
                </c:pt>
                <c:pt idx="118">
                  <c:v>7.1613029729897915E-2</c:v>
                </c:pt>
                <c:pt idx="119">
                  <c:v>7.1634634650982187E-2</c:v>
                </c:pt>
                <c:pt idx="120">
                  <c:v>7.1656239069288419E-2</c:v>
                </c:pt>
                <c:pt idx="121">
                  <c:v>7.1677842984828155E-2</c:v>
                </c:pt>
                <c:pt idx="122">
                  <c:v>7.1699446397613276E-2</c:v>
                </c:pt>
                <c:pt idx="123">
                  <c:v>7.1721049307655438E-2</c:v>
                </c:pt>
                <c:pt idx="124">
                  <c:v>7.1742651714966299E-2</c:v>
                </c:pt>
                <c:pt idx="125">
                  <c:v>7.1764253619557627E-2</c:v>
                </c:pt>
                <c:pt idx="126">
                  <c:v>7.1785855021441081E-2</c:v>
                </c:pt>
                <c:pt idx="127">
                  <c:v>7.1807455920628316E-2</c:v>
                </c:pt>
                <c:pt idx="128">
                  <c:v>7.1829056317131101E-2</c:v>
                </c:pt>
                <c:pt idx="129">
                  <c:v>7.1850656210961095E-2</c:v>
                </c:pt>
                <c:pt idx="130">
                  <c:v>7.1872255602129953E-2</c:v>
                </c:pt>
                <c:pt idx="131">
                  <c:v>7.1893854490649445E-2</c:v>
                </c:pt>
                <c:pt idx="132">
                  <c:v>7.1915452876531227E-2</c:v>
                </c:pt>
                <c:pt idx="133">
                  <c:v>7.1937050759787069E-2</c:v>
                </c:pt>
                <c:pt idx="134">
                  <c:v>7.1958648140428627E-2</c:v>
                </c:pt>
                <c:pt idx="135">
                  <c:v>7.1980245018467559E-2</c:v>
                </c:pt>
                <c:pt idx="136">
                  <c:v>7.2001841393915522E-2</c:v>
                </c:pt>
                <c:pt idx="137">
                  <c:v>7.2023437266784396E-2</c:v>
                </c:pt>
                <c:pt idx="138">
                  <c:v>7.2045032637085726E-2</c:v>
                </c:pt>
                <c:pt idx="139">
                  <c:v>7.2066627504831171E-2</c:v>
                </c:pt>
                <c:pt idx="140">
                  <c:v>7.2088221870032609E-2</c:v>
                </c:pt>
                <c:pt idx="141">
                  <c:v>7.2109815732701477E-2</c:v>
                </c:pt>
                <c:pt idx="142">
                  <c:v>7.2131409092849763E-2</c:v>
                </c:pt>
                <c:pt idx="143">
                  <c:v>7.2153001950488904E-2</c:v>
                </c:pt>
                <c:pt idx="144">
                  <c:v>7.2174594305630779E-2</c:v>
                </c:pt>
                <c:pt idx="145">
                  <c:v>7.2196186158286935E-2</c:v>
                </c:pt>
                <c:pt idx="146">
                  <c:v>7.2217777508469139E-2</c:v>
                </c:pt>
                <c:pt idx="147">
                  <c:v>7.223936835618916E-2</c:v>
                </c:pt>
                <c:pt idx="148">
                  <c:v>7.2260958701458544E-2</c:v>
                </c:pt>
                <c:pt idx="149">
                  <c:v>7.228254854428906E-2</c:v>
                </c:pt>
                <c:pt idx="150">
                  <c:v>7.2304137884692365E-2</c:v>
                </c:pt>
                <c:pt idx="151">
                  <c:v>7.2325726722680228E-2</c:v>
                </c:pt>
                <c:pt idx="152">
                  <c:v>7.2347315058264305E-2</c:v>
                </c:pt>
                <c:pt idx="153">
                  <c:v>7.2368902891456255E-2</c:v>
                </c:pt>
                <c:pt idx="154">
                  <c:v>7.2390490222267734E-2</c:v>
                </c:pt>
                <c:pt idx="155">
                  <c:v>7.2412077050710622E-2</c:v>
                </c:pt>
                <c:pt idx="156">
                  <c:v>7.2433663376796353E-2</c:v>
                </c:pt>
                <c:pt idx="157">
                  <c:v>7.2455249200536809E-2</c:v>
                </c:pt>
                <c:pt idx="158">
                  <c:v>7.2476834521943534E-2</c:v>
                </c:pt>
                <c:pt idx="159">
                  <c:v>7.2498419341028408E-2</c:v>
                </c:pt>
                <c:pt idx="160">
                  <c:v>7.2520003657802867E-2</c:v>
                </c:pt>
                <c:pt idx="161">
                  <c:v>7.254158747227879E-2</c:v>
                </c:pt>
                <c:pt idx="162">
                  <c:v>7.2563170784467945E-2</c:v>
                </c:pt>
                <c:pt idx="163">
                  <c:v>7.2584753594381768E-2</c:v>
                </c:pt>
                <c:pt idx="164">
                  <c:v>7.2606335902032137E-2</c:v>
                </c:pt>
                <c:pt idx="165">
                  <c:v>7.26279177074306E-2</c:v>
                </c:pt>
                <c:pt idx="166">
                  <c:v>7.2649499010588925E-2</c:v>
                </c:pt>
                <c:pt idx="167">
                  <c:v>7.2671079811518879E-2</c:v>
                </c:pt>
                <c:pt idx="168">
                  <c:v>7.269266011023201E-2</c:v>
                </c:pt>
                <c:pt idx="169">
                  <c:v>7.2714239906740086E-2</c:v>
                </c:pt>
                <c:pt idx="170">
                  <c:v>7.2735819201054763E-2</c:v>
                </c:pt>
                <c:pt idx="171">
                  <c:v>7.27573979931877E-2</c:v>
                </c:pt>
                <c:pt idx="172">
                  <c:v>7.2778976283150665E-2</c:v>
                </c:pt>
                <c:pt idx="173">
                  <c:v>7.2800554070955315E-2</c:v>
                </c:pt>
                <c:pt idx="174">
                  <c:v>7.2822131356613307E-2</c:v>
                </c:pt>
                <c:pt idx="175">
                  <c:v>7.2843708140136298E-2</c:v>
                </c:pt>
                <c:pt idx="176">
                  <c:v>7.2865284421536058E-2</c:v>
                </c:pt>
                <c:pt idx="177">
                  <c:v>7.2886860200824244E-2</c:v>
                </c:pt>
                <c:pt idx="178">
                  <c:v>7.2908435478012512E-2</c:v>
                </c:pt>
                <c:pt idx="179">
                  <c:v>7.2930010253112521E-2</c:v>
                </c:pt>
                <c:pt idx="180">
                  <c:v>7.2951584526136037E-2</c:v>
                </c:pt>
                <c:pt idx="181">
                  <c:v>7.2973158297094609E-2</c:v>
                </c:pt>
                <c:pt idx="182">
                  <c:v>7.2994731566000115E-2</c:v>
                </c:pt>
                <c:pt idx="183">
                  <c:v>7.3016304332864101E-2</c:v>
                </c:pt>
                <c:pt idx="184">
                  <c:v>7.3037876597698337E-2</c:v>
                </c:pt>
                <c:pt idx="185">
                  <c:v>7.3059448360514367E-2</c:v>
                </c:pt>
                <c:pt idx="186">
                  <c:v>7.3081019621324073E-2</c:v>
                </c:pt>
                <c:pt idx="187">
                  <c:v>7.3102590380138888E-2</c:v>
                </c:pt>
                <c:pt idx="188">
                  <c:v>7.3124160636970692E-2</c:v>
                </c:pt>
                <c:pt idx="189">
                  <c:v>7.3145730391831143E-2</c:v>
                </c:pt>
                <c:pt idx="190">
                  <c:v>7.3167299644731898E-2</c:v>
                </c:pt>
                <c:pt idx="191">
                  <c:v>7.3188868395684614E-2</c:v>
                </c:pt>
                <c:pt idx="192">
                  <c:v>7.3210436644700949E-2</c:v>
                </c:pt>
                <c:pt idx="193">
                  <c:v>7.3232004391792671E-2</c:v>
                </c:pt>
                <c:pt idx="194">
                  <c:v>7.3253571636971326E-2</c:v>
                </c:pt>
                <c:pt idx="195">
                  <c:v>7.3275138380248794E-2</c:v>
                </c:pt>
                <c:pt idx="196">
                  <c:v>7.329670462163651E-2</c:v>
                </c:pt>
                <c:pt idx="197">
                  <c:v>7.3318270361146354E-2</c:v>
                </c:pt>
                <c:pt idx="198">
                  <c:v>7.3339835598789982E-2</c:v>
                </c:pt>
                <c:pt idx="199">
                  <c:v>7.3361400334578941E-2</c:v>
                </c:pt>
                <c:pt idx="200">
                  <c:v>7.3382964568525E-2</c:v>
                </c:pt>
                <c:pt idx="201">
                  <c:v>7.3404528300639815E-2</c:v>
                </c:pt>
                <c:pt idx="202">
                  <c:v>7.3426091530935156E-2</c:v>
                </c:pt>
                <c:pt idx="203">
                  <c:v>7.3447654259422568E-2</c:v>
                </c:pt>
                <c:pt idx="204">
                  <c:v>7.346921648611382E-2</c:v>
                </c:pt>
                <c:pt idx="205">
                  <c:v>7.3490778211020569E-2</c:v>
                </c:pt>
                <c:pt idx="206">
                  <c:v>7.3512339434154472E-2</c:v>
                </c:pt>
                <c:pt idx="207">
                  <c:v>7.3533900155527188E-2</c:v>
                </c:pt>
                <c:pt idx="208">
                  <c:v>7.3555460375150372E-2</c:v>
                </c:pt>
                <c:pt idx="209">
                  <c:v>7.3577020093035905E-2</c:v>
                </c:pt>
                <c:pt idx="210">
                  <c:v>7.3598579309195111E-2</c:v>
                </c:pt>
                <c:pt idx="211">
                  <c:v>7.362013802363998E-2</c:v>
                </c:pt>
                <c:pt idx="212">
                  <c:v>7.3641696236382059E-2</c:v>
                </c:pt>
                <c:pt idx="213">
                  <c:v>7.3663253947433005E-2</c:v>
                </c:pt>
                <c:pt idx="214">
                  <c:v>7.3684811156804586E-2</c:v>
                </c:pt>
                <c:pt idx="215">
                  <c:v>7.3706367864508349E-2</c:v>
                </c:pt>
                <c:pt idx="216">
                  <c:v>7.3727924070556061E-2</c:v>
                </c:pt>
                <c:pt idx="217">
                  <c:v>7.374947977495927E-2</c:v>
                </c:pt>
                <c:pt idx="218">
                  <c:v>7.3771034977729855E-2</c:v>
                </c:pt>
                <c:pt idx="219">
                  <c:v>7.3792589678879361E-2</c:v>
                </c:pt>
                <c:pt idx="220">
                  <c:v>7.3814143878419447E-2</c:v>
                </c:pt>
                <c:pt idx="221">
                  <c:v>7.3835697576361881E-2</c:v>
                </c:pt>
                <c:pt idx="222">
                  <c:v>7.3857250772718208E-2</c:v>
                </c:pt>
                <c:pt idx="223">
                  <c:v>7.3878803467500198E-2</c:v>
                </c:pt>
                <c:pt idx="224">
                  <c:v>7.3900355660719508E-2</c:v>
                </c:pt>
                <c:pt idx="225">
                  <c:v>7.3921907352387795E-2</c:v>
                </c:pt>
                <c:pt idx="226">
                  <c:v>7.3943458542516716E-2</c:v>
                </c:pt>
                <c:pt idx="227">
                  <c:v>7.396500923111804E-2</c:v>
                </c:pt>
                <c:pt idx="228">
                  <c:v>7.3986559418203202E-2</c:v>
                </c:pt>
                <c:pt idx="229">
                  <c:v>7.4008109103784192E-2</c:v>
                </c:pt>
                <c:pt idx="230">
                  <c:v>7.4029658287872446E-2</c:v>
                </c:pt>
                <c:pt idx="231">
                  <c:v>7.4051206970479622E-2</c:v>
                </c:pt>
                <c:pt idx="232">
                  <c:v>7.4072755151617597E-2</c:v>
                </c:pt>
                <c:pt idx="233">
                  <c:v>7.4094302831297809E-2</c:v>
                </c:pt>
                <c:pt idx="234">
                  <c:v>7.4115850009532136E-2</c:v>
                </c:pt>
                <c:pt idx="235">
                  <c:v>7.4137396686332124E-2</c:v>
                </c:pt>
                <c:pt idx="236">
                  <c:v>7.4158942861709432E-2</c:v>
                </c:pt>
                <c:pt idx="237">
                  <c:v>7.4180488535675715E-2</c:v>
                </c:pt>
                <c:pt idx="238">
                  <c:v>7.4202033708242743E-2</c:v>
                </c:pt>
                <c:pt idx="239">
                  <c:v>7.4223578379422173E-2</c:v>
                </c:pt>
                <c:pt idx="240">
                  <c:v>7.4245122549225551E-2</c:v>
                </c:pt>
                <c:pt idx="241">
                  <c:v>7.4266666217664645E-2</c:v>
                </c:pt>
                <c:pt idx="242">
                  <c:v>7.4288209384751114E-2</c:v>
                </c:pt>
                <c:pt idx="243">
                  <c:v>7.4309752050496725E-2</c:v>
                </c:pt>
                <c:pt idx="244">
                  <c:v>7.4331294214912913E-2</c:v>
                </c:pt>
                <c:pt idx="245">
                  <c:v>7.4352835878011447E-2</c:v>
                </c:pt>
                <c:pt idx="246">
                  <c:v>7.4374377039803985E-2</c:v>
                </c:pt>
                <c:pt idx="247">
                  <c:v>7.4395917700302294E-2</c:v>
                </c:pt>
                <c:pt idx="248">
                  <c:v>7.4417457859517921E-2</c:v>
                </c:pt>
                <c:pt idx="249">
                  <c:v>7.4438997517462635E-2</c:v>
                </c:pt>
                <c:pt idx="250">
                  <c:v>7.4460536674147981E-2</c:v>
                </c:pt>
                <c:pt idx="251">
                  <c:v>7.4482075329585729E-2</c:v>
                </c:pt>
                <c:pt idx="252">
                  <c:v>7.4503613483787423E-2</c:v>
                </c:pt>
                <c:pt idx="253">
                  <c:v>7.4525151136764944E-2</c:v>
                </c:pt>
                <c:pt idx="254">
                  <c:v>7.4546688288529728E-2</c:v>
                </c:pt>
                <c:pt idx="255">
                  <c:v>7.4568224939093541E-2</c:v>
                </c:pt>
                <c:pt idx="256">
                  <c:v>7.4589761088467932E-2</c:v>
                </c:pt>
                <c:pt idx="257">
                  <c:v>7.4611296736664778E-2</c:v>
                </c:pt>
                <c:pt idx="258">
                  <c:v>7.4632831883695627E-2</c:v>
                </c:pt>
                <c:pt idx="259">
                  <c:v>7.4654366529572136E-2</c:v>
                </c:pt>
                <c:pt idx="260">
                  <c:v>7.4675900674305962E-2</c:v>
                </c:pt>
                <c:pt idx="261">
                  <c:v>7.4697434317908762E-2</c:v>
                </c:pt>
                <c:pt idx="262">
                  <c:v>7.4718967460392194E-2</c:v>
                </c:pt>
                <c:pt idx="263">
                  <c:v>7.4740500101768026E-2</c:v>
                </c:pt>
                <c:pt idx="264">
                  <c:v>7.4762032242047805E-2</c:v>
                </c:pt>
                <c:pt idx="265">
                  <c:v>7.4783563881243187E-2</c:v>
                </c:pt>
                <c:pt idx="266">
                  <c:v>7.480509501936583E-2</c:v>
                </c:pt>
                <c:pt idx="267">
                  <c:v>7.4826625656427503E-2</c:v>
                </c:pt>
                <c:pt idx="268">
                  <c:v>7.4848155792439863E-2</c:v>
                </c:pt>
                <c:pt idx="269">
                  <c:v>7.4869685427414345E-2</c:v>
                </c:pt>
                <c:pt idx="270">
                  <c:v>7.489121456136294E-2</c:v>
                </c:pt>
                <c:pt idx="271">
                  <c:v>7.4912743194296971E-2</c:v>
                </c:pt>
                <c:pt idx="272">
                  <c:v>7.493427132622843E-2</c:v>
                </c:pt>
                <c:pt idx="273">
                  <c:v>7.495579895716864E-2</c:v>
                </c:pt>
                <c:pt idx="274">
                  <c:v>7.4977326087129481E-2</c:v>
                </c:pt>
                <c:pt idx="275">
                  <c:v>7.499885271612261E-2</c:v>
                </c:pt>
                <c:pt idx="276">
                  <c:v>7.5020378844159685E-2</c:v>
                </c:pt>
                <c:pt idx="277">
                  <c:v>7.5041904471252141E-2</c:v>
                </c:pt>
                <c:pt idx="278">
                  <c:v>7.5063429597411968E-2</c:v>
                </c:pt>
                <c:pt idx="279">
                  <c:v>7.5084954222650602E-2</c:v>
                </c:pt>
                <c:pt idx="280">
                  <c:v>7.5106478346979699E-2</c:v>
                </c:pt>
                <c:pt idx="281">
                  <c:v>7.5128001970411029E-2</c:v>
                </c:pt>
                <c:pt idx="282">
                  <c:v>7.5149525092956249E-2</c:v>
                </c:pt>
                <c:pt idx="283">
                  <c:v>7.5171047714626904E-2</c:v>
                </c:pt>
                <c:pt idx="284">
                  <c:v>7.5192569835434764E-2</c:v>
                </c:pt>
                <c:pt idx="285">
                  <c:v>7.5214091455391374E-2</c:v>
                </c:pt>
                <c:pt idx="286">
                  <c:v>7.5235612574508504E-2</c:v>
                </c:pt>
                <c:pt idx="287">
                  <c:v>7.5257133192797698E-2</c:v>
                </c:pt>
                <c:pt idx="288">
                  <c:v>7.5278653310270616E-2</c:v>
                </c:pt>
                <c:pt idx="289">
                  <c:v>7.5300172926939024E-2</c:v>
                </c:pt>
                <c:pt idx="290">
                  <c:v>7.5321692042814581E-2</c:v>
                </c:pt>
                <c:pt idx="291">
                  <c:v>7.5343210657908832E-2</c:v>
                </c:pt>
                <c:pt idx="292">
                  <c:v>7.5364728772233436E-2</c:v>
                </c:pt>
                <c:pt idx="293">
                  <c:v>7.5386246385800049E-2</c:v>
                </c:pt>
                <c:pt idx="294">
                  <c:v>7.5407763498620439E-2</c:v>
                </c:pt>
                <c:pt idx="295">
                  <c:v>7.5429280110706154E-2</c:v>
                </c:pt>
                <c:pt idx="296">
                  <c:v>7.545079622206885E-2</c:v>
                </c:pt>
                <c:pt idx="297">
                  <c:v>7.5472311832720185E-2</c:v>
                </c:pt>
                <c:pt idx="298">
                  <c:v>7.5493826942671927E-2</c:v>
                </c:pt>
                <c:pt idx="299">
                  <c:v>7.5515341551935511E-2</c:v>
                </c:pt>
                <c:pt idx="300">
                  <c:v>7.5536855660522817E-2</c:v>
                </c:pt>
                <c:pt idx="301">
                  <c:v>7.555836926844528E-2</c:v>
                </c:pt>
                <c:pt idx="302">
                  <c:v>7.557988237571478E-2</c:v>
                </c:pt>
                <c:pt idx="303">
                  <c:v>7.5601394982342751E-2</c:v>
                </c:pt>
                <c:pt idx="304">
                  <c:v>7.5622907088340963E-2</c:v>
                </c:pt>
                <c:pt idx="305">
                  <c:v>7.5644418693720961E-2</c:v>
                </c:pt>
                <c:pt idx="306">
                  <c:v>7.5665929798494624E-2</c:v>
                </c:pt>
                <c:pt idx="307">
                  <c:v>7.5687440402673389E-2</c:v>
                </c:pt>
                <c:pt idx="308">
                  <c:v>7.5708950506268913E-2</c:v>
                </c:pt>
                <c:pt idx="309">
                  <c:v>7.5730460109292963E-2</c:v>
                </c:pt>
                <c:pt idx="310">
                  <c:v>7.5751969211757086E-2</c:v>
                </c:pt>
                <c:pt idx="311">
                  <c:v>7.5773477813673051E-2</c:v>
                </c:pt>
                <c:pt idx="312">
                  <c:v>7.5794985915052293E-2</c:v>
                </c:pt>
                <c:pt idx="313">
                  <c:v>7.5816493515906691E-2</c:v>
                </c:pt>
                <c:pt idx="314">
                  <c:v>7.5838000616247792E-2</c:v>
                </c:pt>
                <c:pt idx="315">
                  <c:v>7.5859507216087252E-2</c:v>
                </c:pt>
                <c:pt idx="316">
                  <c:v>7.5881013315436729E-2</c:v>
                </c:pt>
                <c:pt idx="317">
                  <c:v>7.5902518914307771E-2</c:v>
                </c:pt>
                <c:pt idx="318">
                  <c:v>7.5924024012712255E-2</c:v>
                </c:pt>
                <c:pt idx="319">
                  <c:v>7.5945528610661506E-2</c:v>
                </c:pt>
                <c:pt idx="320">
                  <c:v>7.5967032708167515E-2</c:v>
                </c:pt>
                <c:pt idx="321">
                  <c:v>7.5988536305241605E-2</c:v>
                </c:pt>
                <c:pt idx="322">
                  <c:v>7.6010039401895657E-2</c:v>
                </c:pt>
                <c:pt idx="323">
                  <c:v>7.6031541998141217E-2</c:v>
                </c:pt>
                <c:pt idx="324">
                  <c:v>7.6053044093990052E-2</c:v>
                </c:pt>
                <c:pt idx="325">
                  <c:v>7.6074545689453599E-2</c:v>
                </c:pt>
                <c:pt idx="326">
                  <c:v>7.6096046784543625E-2</c:v>
                </c:pt>
                <c:pt idx="327">
                  <c:v>7.6117547379271677E-2</c:v>
                </c:pt>
                <c:pt idx="328">
                  <c:v>7.6139047473649635E-2</c:v>
                </c:pt>
                <c:pt idx="329">
                  <c:v>7.6160547067688933E-2</c:v>
                </c:pt>
                <c:pt idx="330">
                  <c:v>7.6182046161401229E-2</c:v>
                </c:pt>
                <c:pt idx="331">
                  <c:v>7.620354475479818E-2</c:v>
                </c:pt>
                <c:pt idx="332">
                  <c:v>7.6225042847891444E-2</c:v>
                </c:pt>
                <c:pt idx="333">
                  <c:v>7.6246540440692789E-2</c:v>
                </c:pt>
                <c:pt idx="334">
                  <c:v>7.6268037533213651E-2</c:v>
                </c:pt>
                <c:pt idx="335">
                  <c:v>7.6289534125465797E-2</c:v>
                </c:pt>
                <c:pt idx="336">
                  <c:v>7.6311030217460885E-2</c:v>
                </c:pt>
                <c:pt idx="337">
                  <c:v>7.6332525809210461E-2</c:v>
                </c:pt>
                <c:pt idx="338">
                  <c:v>7.6354020900726183E-2</c:v>
                </c:pt>
                <c:pt idx="339">
                  <c:v>7.6375515492019708E-2</c:v>
                </c:pt>
                <c:pt idx="340">
                  <c:v>7.6397009583102804E-2</c:v>
                </c:pt>
                <c:pt idx="341">
                  <c:v>7.6418503173986907E-2</c:v>
                </c:pt>
                <c:pt idx="342">
                  <c:v>7.6439996264683785E-2</c:v>
                </c:pt>
                <c:pt idx="343">
                  <c:v>7.6461488855204984E-2</c:v>
                </c:pt>
                <c:pt idx="344">
                  <c:v>7.6482980945562273E-2</c:v>
                </c:pt>
                <c:pt idx="345">
                  <c:v>7.6504472535767198E-2</c:v>
                </c:pt>
                <c:pt idx="346">
                  <c:v>7.6525963625831417E-2</c:v>
                </c:pt>
                <c:pt idx="347">
                  <c:v>7.6547454215766586E-2</c:v>
                </c:pt>
                <c:pt idx="348">
                  <c:v>7.6568944305584363E-2</c:v>
                </c:pt>
                <c:pt idx="349">
                  <c:v>7.6590433895296295E-2</c:v>
                </c:pt>
                <c:pt idx="350">
                  <c:v>7.6611922984914149E-2</c:v>
                </c:pt>
                <c:pt idx="351">
                  <c:v>7.6633411574449473E-2</c:v>
                </c:pt>
                <c:pt idx="352">
                  <c:v>7.6654899663913811E-2</c:v>
                </c:pt>
                <c:pt idx="353">
                  <c:v>7.6676387253319045E-2</c:v>
                </c:pt>
                <c:pt idx="354">
                  <c:v>7.6697874342676609E-2</c:v>
                </c:pt>
                <c:pt idx="355">
                  <c:v>7.6719360931998271E-2</c:v>
                </c:pt>
                <c:pt idx="356">
                  <c:v>7.6740847021295577E-2</c:v>
                </c:pt>
                <c:pt idx="357">
                  <c:v>7.6762332610580186E-2</c:v>
                </c:pt>
                <c:pt idx="358">
                  <c:v>7.6783817699863866E-2</c:v>
                </c:pt>
                <c:pt idx="359">
                  <c:v>7.680530228915794E-2</c:v>
                </c:pt>
                <c:pt idx="360">
                  <c:v>7.6826786378474399E-2</c:v>
                </c:pt>
                <c:pt idx="361">
                  <c:v>7.6848269967824567E-2</c:v>
                </c:pt>
                <c:pt idx="362">
                  <c:v>7.6869753057220325E-2</c:v>
                </c:pt>
                <c:pt idx="363">
                  <c:v>7.6891235646673217E-2</c:v>
                </c:pt>
                <c:pt idx="364">
                  <c:v>7.6912717736194791E-2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8.0736753123846663E-2</c:v>
                </c:pt>
                <c:pt idx="1">
                  <c:v>8.0907488776483932E-2</c:v>
                </c:pt>
                <c:pt idx="2">
                  <c:v>8.1078222439492031E-2</c:v>
                </c:pt>
                <c:pt idx="3">
                  <c:v>8.1248919211096546E-2</c:v>
                </c:pt>
                <c:pt idx="4">
                  <c:v>8.1419548763166386E-2</c:v>
                </c:pt>
                <c:pt idx="5">
                  <c:v>8.1590085236270302E-2</c:v>
                </c:pt>
                <c:pt idx="6">
                  <c:v>8.1760507096404658E-2</c:v>
                </c:pt>
                <c:pt idx="7">
                  <c:v>8.1930796955999058E-2</c:v>
                </c:pt>
                <c:pt idx="8">
                  <c:v>8.2100941362096683E-2</c:v>
                </c:pt>
                <c:pt idx="9">
                  <c:v>8.2270930554863508E-2</c:v>
                </c:pt>
                <c:pt idx="10">
                  <c:v>8.2440758199804939E-2</c:v>
                </c:pt>
                <c:pt idx="11">
                  <c:v>8.2610421097254166E-2</c:v>
                </c:pt>
                <c:pt idx="12">
                  <c:v>8.2779918872847649E-2</c:v>
                </c:pt>
                <c:pt idx="13">
                  <c:v>8.2949253652812652E-2</c:v>
                </c:pt>
                <c:pt idx="14">
                  <c:v>8.3118429727964294E-2</c:v>
                </c:pt>
                <c:pt idx="15">
                  <c:v>8.3287453210340659E-2</c:v>
                </c:pt>
                <c:pt idx="16">
                  <c:v>8.3456331686398419E-2</c:v>
                </c:pt>
                <c:pt idx="17">
                  <c:v>8.3625073870643898E-2</c:v>
                </c:pt>
                <c:pt idx="18">
                  <c:v>8.3793689263492316E-2</c:v>
                </c:pt>
                <c:pt idx="19">
                  <c:v>8.396218781702583E-2</c:v>
                </c:pt>
                <c:pt idx="20">
                  <c:v>8.4130579612167605E-2</c:v>
                </c:pt>
                <c:pt idx="21">
                  <c:v>8.4298874550599853E-2</c:v>
                </c:pt>
                <c:pt idx="22">
                  <c:v>8.4467082064537194E-2</c:v>
                </c:pt>
                <c:pt idx="23">
                  <c:v>8.4635210847218714E-2</c:v>
                </c:pt>
                <c:pt idx="24">
                  <c:v>8.4803268606713444E-2</c:v>
                </c:pt>
                <c:pt idx="25">
                  <c:v>8.4971261845339818E-2</c:v>
                </c:pt>
                <c:pt idx="26">
                  <c:v>8.5139195666689441E-2</c:v>
                </c:pt>
                <c:pt idx="27">
                  <c:v>8.5307073611919318E-2</c:v>
                </c:pt>
                <c:pt idx="28">
                  <c:v>8.5474897526639115E-2</c:v>
                </c:pt>
                <c:pt idx="29">
                  <c:v>8.5642667459375058E-2</c:v>
                </c:pt>
                <c:pt idx="30">
                  <c:v>8.5810381592242468E-2</c:v>
                </c:pt>
                <c:pt idx="31">
                  <c:v>8.5978036204109265E-2</c:v>
                </c:pt>
                <c:pt idx="32">
                  <c:v>8.6145625666186387E-2</c:v>
                </c:pt>
                <c:pt idx="33">
                  <c:v>8.6313142469640572E-2</c:v>
                </c:pt>
                <c:pt idx="34">
                  <c:v>8.6480577284496082E-2</c:v>
                </c:pt>
                <c:pt idx="35">
                  <c:v>8.664791904877564E-2</c:v>
                </c:pt>
                <c:pt idx="36">
                  <c:v>8.6815155086530385E-2</c:v>
                </c:pt>
                <c:pt idx="37">
                  <c:v>8.698227125312967E-2</c:v>
                </c:pt>
                <c:pt idx="38">
                  <c:v>8.7149252105922767E-2</c:v>
                </c:pt>
                <c:pt idx="39">
                  <c:v>8.7316081098150852E-2</c:v>
                </c:pt>
                <c:pt idx="40">
                  <c:v>8.7482740793780669E-2</c:v>
                </c:pt>
                <c:pt idx="41">
                  <c:v>8.7649213100752799E-2</c:v>
                </c:pt>
                <c:pt idx="42">
                  <c:v>8.7815479519987014E-2</c:v>
                </c:pt>
                <c:pt idx="43">
                  <c:v>8.7981521407369964E-2</c:v>
                </c:pt>
                <c:pt idx="44">
                  <c:v>8.8147320245863067E-2</c:v>
                </c:pt>
                <c:pt idx="45">
                  <c:v>8.8312857924812901E-2</c:v>
                </c:pt>
                <c:pt idx="46">
                  <c:v>8.8478117023523359E-2</c:v>
                </c:pt>
                <c:pt idx="47">
                  <c:v>8.8643081096157539E-2</c:v>
                </c:pt>
                <c:pt idx="48">
                  <c:v>8.8807734955075407E-2</c:v>
                </c:pt>
                <c:pt idx="49">
                  <c:v>8.8972064949783519E-2</c:v>
                </c:pt>
                <c:pt idx="50">
                  <c:v>8.9136059238768911E-2</c:v>
                </c:pt>
                <c:pt idx="51">
                  <c:v>8.9299708051615703E-2</c:v>
                </c:pt>
                <c:pt idx="52">
                  <c:v>8.946300393895007E-2</c:v>
                </c:pt>
                <c:pt idx="53">
                  <c:v>8.962594200793321E-2</c:v>
                </c:pt>
                <c:pt idx="54">
                  <c:v>8.9788520141213649E-2</c:v>
                </c:pt>
                <c:pt idx="55">
                  <c:v>8.9950739197461244E-2</c:v>
                </c:pt>
                <c:pt idx="56">
                  <c:v>9.0112603191830259E-2</c:v>
                </c:pt>
                <c:pt idx="57">
                  <c:v>9.0274119454937865E-2</c:v>
                </c:pt>
                <c:pt idx="58">
                  <c:v>9.0435298769190861E-2</c:v>
                </c:pt>
                <c:pt idx="59">
                  <c:v>9.0596155481547105E-2</c:v>
                </c:pt>
                <c:pt idx="60">
                  <c:v>9.0756707592055466E-2</c:v>
                </c:pt>
                <c:pt idx="61">
                  <c:v>9.0916976817774386E-2</c:v>
                </c:pt>
                <c:pt idx="62">
                  <c:v>9.1076988631923581E-2</c:v>
                </c:pt>
                <c:pt idx="63">
                  <c:v>9.1236772278372097E-2</c:v>
                </c:pt>
                <c:pt idx="64">
                  <c:v>9.1396360761805032E-2</c:v>
                </c:pt>
                <c:pt idx="65">
                  <c:v>9.1555790814140947E-2</c:v>
                </c:pt>
                <c:pt idx="66">
                  <c:v>9.1715102837986145E-2</c:v>
                </c:pt>
                <c:pt idx="67">
                  <c:v>9.1874340828110829E-2</c:v>
                </c:pt>
                <c:pt idx="68">
                  <c:v>9.2033552272114641E-2</c:v>
                </c:pt>
                <c:pt idx="69">
                  <c:v>9.2192788031607673E-2</c:v>
                </c:pt>
                <c:pt idx="70">
                  <c:v>9.2352102205375486E-2</c:v>
                </c:pt>
                <c:pt idx="71">
                  <c:v>9.2511551976111717E-2</c:v>
                </c:pt>
                <c:pt idx="72">
                  <c:v>9.2671197442396991E-2</c:v>
                </c:pt>
                <c:pt idx="73">
                  <c:v>9.2831101437670718E-2</c:v>
                </c:pt>
                <c:pt idx="74">
                  <c:v>9.2991329337988801E-2</c:v>
                </c:pt>
                <c:pt idx="75">
                  <c:v>9.3151948860378933E-2</c:v>
                </c:pt>
                <c:pt idx="76">
                  <c:v>9.3313029853602791E-2</c:v>
                </c:pt>
                <c:pt idx="77">
                  <c:v>9.3474644083105032E-2</c:v>
                </c:pt>
                <c:pt idx="78">
                  <c:v>9.3636865011880246E-2</c:v>
                </c:pt>
                <c:pt idx="79">
                  <c:v>9.3799767578915769E-2</c:v>
                </c:pt>
                <c:pt idx="80">
                  <c:v>9.3963427976776689E-2</c:v>
                </c:pt>
                <c:pt idx="81">
                  <c:v>9.4127923429788873E-2</c:v>
                </c:pt>
                <c:pt idx="82">
                  <c:v>9.4293331974148312E-2</c:v>
                </c:pt>
                <c:pt idx="83">
                  <c:v>9.4459732241143984E-2</c:v>
                </c:pt>
                <c:pt idx="84">
                  <c:v>9.4627203244527613E-2</c:v>
                </c:pt>
                <c:pt idx="85">
                  <c:v>9.479582417290075E-2</c:v>
                </c:pt>
                <c:pt idx="86">
                  <c:v>9.4965674187818636E-2</c:v>
                </c:pt>
                <c:pt idx="87">
                  <c:v>9.5136832228135959E-2</c:v>
                </c:pt>
                <c:pt idx="88">
                  <c:v>9.530937682094294E-2</c:v>
                </c:pt>
                <c:pt idx="89">
                  <c:v>9.5483385899263806E-2</c:v>
                </c:pt>
                <c:pt idx="90">
                  <c:v>9.5658936626517962E-2</c:v>
                </c:pt>
                <c:pt idx="91">
                  <c:v>9.5836105227577989E-2</c:v>
                </c:pt>
                <c:pt idx="92">
                  <c:v>9.6014966826100306E-2</c:v>
                </c:pt>
                <c:pt idx="93">
                  <c:v>9.6195595287659294E-2</c:v>
                </c:pt>
                <c:pt idx="94">
                  <c:v>9.637806306808093E-2</c:v>
                </c:pt>
                <c:pt idx="95">
                  <c:v>9.6562441066255167E-2</c:v>
                </c:pt>
                <c:pt idx="96">
                  <c:v>9.6748798480605455E-2</c:v>
                </c:pt>
                <c:pt idx="97">
                  <c:v>9.6937202668311462E-2</c:v>
                </c:pt>
                <c:pt idx="98">
                  <c:v>9.7127719006320667E-2</c:v>
                </c:pt>
                <c:pt idx="99">
                  <c:v>9.7320410753142281E-2</c:v>
                </c:pt>
                <c:pt idx="100">
                  <c:v>9.7515338910400887E-2</c:v>
                </c:pt>
                <c:pt idx="101">
                  <c:v>9.7712562083129562E-2</c:v>
                </c:pt>
                <c:pt idx="102">
                  <c:v>9.7912136337811012E-2</c:v>
                </c:pt>
                <c:pt idx="103">
                  <c:v>9.8114115057224366E-2</c:v>
                </c:pt>
                <c:pt idx="104">
                  <c:v>9.8318548791227173E-2</c:v>
                </c:pt>
                <c:pt idx="105">
                  <c:v>9.8525485102696736E-2</c:v>
                </c:pt>
                <c:pt idx="106">
                  <c:v>9.8734968407968637E-2</c:v>
                </c:pt>
                <c:pt idx="107">
                  <c:v>9.8947039811243739E-2</c:v>
                </c:pt>
                <c:pt idx="108">
                  <c:v>9.9161736932585925E-2</c:v>
                </c:pt>
                <c:pt idx="109">
                  <c:v>9.9379093729300302E-2</c:v>
                </c:pt>
                <c:pt idx="110">
                  <c:v>9.9599140310660902E-2</c:v>
                </c:pt>
                <c:pt idx="111">
                  <c:v>9.9821902746149785E-2</c:v>
                </c:pt>
                <c:pt idx="112">
                  <c:v>0.10004740286756914</c:v>
                </c:pt>
                <c:pt idx="113">
                  <c:v>0.10027565806559494</c:v>
                </c:pt>
                <c:pt idx="114">
                  <c:v>0.10050668108155143</c:v>
                </c:pt>
                <c:pt idx="115">
                  <c:v>0.10074047979539502</c:v>
                </c:pt>
                <c:pt idx="116">
                  <c:v>0.10097705701110533</c:v>
                </c:pt>
                <c:pt idx="117">
                  <c:v>0.10121641024088338</c:v>
                </c:pt>
                <c:pt idx="118">
                  <c:v>0.10145853148975088</c:v>
                </c:pt>
                <c:pt idx="119">
                  <c:v>2.5553188945380768E-2</c:v>
                </c:pt>
                <c:pt idx="120">
                  <c:v>2.5868977953152919E-2</c:v>
                </c:pt>
                <c:pt idx="121">
                  <c:v>2.6185491069049702E-2</c:v>
                </c:pt>
                <c:pt idx="122">
                  <c:v>2.6502739338255209E-2</c:v>
                </c:pt>
                <c:pt idx="123">
                  <c:v>2.6820731608640559E-2</c:v>
                </c:pt>
                <c:pt idx="124">
                  <c:v>2.7139474412125712E-2</c:v>
                </c:pt>
                <c:pt idx="125">
                  <c:v>2.7458971848778744E-2</c:v>
                </c:pt>
                <c:pt idx="126">
                  <c:v>2.7779225474619751E-2</c:v>
                </c:pt>
                <c:pt idx="127">
                  <c:v>2.8100234194141906E-2</c:v>
                </c:pt>
                <c:pt idx="128">
                  <c:v>2.8421994158596683E-2</c:v>
                </c:pt>
                <c:pt idx="129">
                  <c:v>2.8744498671116742E-2</c:v>
                </c:pt>
                <c:pt idx="130">
                  <c:v>2.9067738099764411E-2</c:v>
                </c:pt>
                <c:pt idx="131">
                  <c:v>2.9391699799597729E-2</c:v>
                </c:pt>
                <c:pt idx="132">
                  <c:v>2.9716368044837745E-2</c:v>
                </c:pt>
                <c:pt idx="133">
                  <c:v>3.0041723972200306E-2</c:v>
                </c:pt>
                <c:pt idx="134">
                  <c:v>3.0367745536422353E-2</c:v>
                </c:pt>
                <c:pt idx="135">
                  <c:v>3.0694407478967557E-2</c:v>
                </c:pt>
                <c:pt idx="136">
                  <c:v>3.1021681310836751E-2</c:v>
                </c:pt>
                <c:pt idx="137">
                  <c:v>3.1349535310338156E-2</c:v>
                </c:pt>
                <c:pt idx="138">
                  <c:v>3.1677934536589104E-2</c:v>
                </c:pt>
                <c:pt idx="139">
                  <c:v>3.2006840859425123E-2</c:v>
                </c:pt>
                <c:pt idx="140">
                  <c:v>3.2336213006286973E-2</c:v>
                </c:pt>
                <c:pt idx="141">
                  <c:v>3.2666006626538575E-2</c:v>
                </c:pt>
                <c:pt idx="142">
                  <c:v>3.2996174373543352E-2</c:v>
                </c:pt>
                <c:pt idx="143">
                  <c:v>3.3326666004691238E-2</c:v>
                </c:pt>
                <c:pt idx="144">
                  <c:v>3.3657428499427412E-2</c:v>
                </c:pt>
                <c:pt idx="145">
                  <c:v>3.3988406195185422E-2</c:v>
                </c:pt>
                <c:pt idx="146">
                  <c:v>3.4319540940975432E-2</c:v>
                </c:pt>
                <c:pt idx="147">
                  <c:v>3.465077226822242E-2</c:v>
                </c:pt>
                <c:pt idx="148">
                  <c:v>3.4982037578292643E-2</c:v>
                </c:pt>
                <c:pt idx="149">
                  <c:v>3.5313272345989299E-2</c:v>
                </c:pt>
                <c:pt idx="150">
                  <c:v>3.5644410338143487E-2</c:v>
                </c:pt>
                <c:pt idx="151">
                  <c:v>3.5975383846274543E-2</c:v>
                </c:pt>
                <c:pt idx="152">
                  <c:v>3.6306123932147348E-2</c:v>
                </c:pt>
                <c:pt idx="153">
                  <c:v>3.663656068491386E-2</c:v>
                </c:pt>
                <c:pt idx="154">
                  <c:v>3.6966623488394981E-2</c:v>
                </c:pt>
                <c:pt idx="155">
                  <c:v>3.7296241296936421E-2</c:v>
                </c:pt>
                <c:pt idx="156">
                  <c:v>3.7625342918162781E-2</c:v>
                </c:pt>
                <c:pt idx="157">
                  <c:v>3.7953857300855529E-2</c:v>
                </c:pt>
                <c:pt idx="158">
                  <c:v>3.8281713826097692E-2</c:v>
                </c:pt>
                <c:pt idx="159">
                  <c:v>3.8608842599759455E-2</c:v>
                </c:pt>
                <c:pt idx="160">
                  <c:v>3.8935174744347052E-2</c:v>
                </c:pt>
                <c:pt idx="161">
                  <c:v>3.9260642688201737E-2</c:v>
                </c:pt>
                <c:pt idx="162">
                  <c:v>3.9585180450019283E-2</c:v>
                </c:pt>
                <c:pt idx="163">
                  <c:v>3.9908723916660727E-2</c:v>
                </c:pt>
                <c:pt idx="164">
                  <c:v>4.0231211112244987E-2</c:v>
                </c:pt>
                <c:pt idx="165">
                  <c:v>4.0552582456552834E-2</c:v>
                </c:pt>
                <c:pt idx="166">
                  <c:v>4.0872781010827759E-2</c:v>
                </c:pt>
                <c:pt idx="167">
                  <c:v>4.1191752709135901E-2</c:v>
                </c:pt>
                <c:pt idx="168">
                  <c:v>4.1509446573539853E-2</c:v>
                </c:pt>
                <c:pt idx="169">
                  <c:v>4.1825814911451986E-2</c:v>
                </c:pt>
                <c:pt idx="170">
                  <c:v>4.2140813493660223E-2</c:v>
                </c:pt>
                <c:pt idx="171">
                  <c:v>4.2454401711661711E-2</c:v>
                </c:pt>
                <c:pt idx="172">
                  <c:v>4.2766542713095899E-2</c:v>
                </c:pt>
                <c:pt idx="173">
                  <c:v>4.307720351423884E-2</c:v>
                </c:pt>
                <c:pt idx="174">
                  <c:v>4.3386355088700403E-2</c:v>
                </c:pt>
                <c:pt idx="175">
                  <c:v>4.3693972431656368E-2</c:v>
                </c:pt>
                <c:pt idx="176">
                  <c:v>4.4000034599145831E-2</c:v>
                </c:pt>
                <c:pt idx="177">
                  <c:v>4.4304524722167553E-2</c:v>
                </c:pt>
                <c:pt idx="178">
                  <c:v>4.4607429995516361E-2</c:v>
                </c:pt>
                <c:pt idx="179">
                  <c:v>4.4908741641511138E-2</c:v>
                </c:pt>
                <c:pt idx="180">
                  <c:v>4.5208454848973977E-2</c:v>
                </c:pt>
                <c:pt idx="181">
                  <c:v>4.5506568688027646E-2</c:v>
                </c:pt>
                <c:pt idx="182">
                  <c:v>4.5803086001480413E-2</c:v>
                </c:pt>
                <c:pt idx="183">
                  <c:v>4.6098013273763665E-2</c:v>
                </c:pt>
                <c:pt idx="184">
                  <c:v>4.6391360478573861E-2</c:v>
                </c:pt>
                <c:pt idx="185">
                  <c:v>4.6683140906548452E-2</c:v>
                </c:pt>
                <c:pt idx="186">
                  <c:v>4.697337097446859E-2</c:v>
                </c:pt>
                <c:pt idx="187">
                  <c:v>4.7262070017632357E-2</c:v>
                </c:pt>
                <c:pt idx="188">
                  <c:v>4.7549260067176392E-2</c:v>
                </c:pt>
                <c:pt idx="189">
                  <c:v>4.7834965614240992E-2</c:v>
                </c:pt>
                <c:pt idx="190">
                  <c:v>4.8119213362973784E-2</c:v>
                </c:pt>
                <c:pt idx="191">
                  <c:v>4.8402031974444586E-2</c:v>
                </c:pt>
                <c:pt idx="192">
                  <c:v>4.868345180360522E-2</c:v>
                </c:pt>
                <c:pt idx="193">
                  <c:v>4.8963504631464469E-2</c:v>
                </c:pt>
                <c:pt idx="194">
                  <c:v>4.9242223394665649E-2</c:v>
                </c:pt>
                <c:pt idx="195">
                  <c:v>4.9519641914649158E-2</c:v>
                </c:pt>
                <c:pt idx="196">
                  <c:v>4.9795794628554803E-2</c:v>
                </c:pt>
                <c:pt idx="197">
                  <c:v>5.0070716323971344E-2</c:v>
                </c:pt>
                <c:pt idx="198">
                  <c:v>5.034444187957085E-2</c:v>
                </c:pt>
                <c:pt idx="199">
                  <c:v>5.0617006013576132E-2</c:v>
                </c:pt>
                <c:pt idx="200">
                  <c:v>5.0888443041900919E-2</c:v>
                </c:pt>
                <c:pt idx="201">
                  <c:v>5.1158786647675973E-2</c:v>
                </c:pt>
                <c:pt idx="202">
                  <c:v>5.1428069663729745E-2</c:v>
                </c:pt>
                <c:pt idx="203">
                  <c:v>5.1696323869434908E-2</c:v>
                </c:pt>
                <c:pt idx="204">
                  <c:v>5.1963579803158758E-2</c:v>
                </c:pt>
                <c:pt idx="205">
                  <c:v>5.2229866591372284E-2</c:v>
                </c:pt>
                <c:pt idx="206">
                  <c:v>5.2495211795279384E-2</c:v>
                </c:pt>
                <c:pt idx="207">
                  <c:v>5.27596412756271E-2</c:v>
                </c:pt>
                <c:pt idx="208">
                  <c:v>5.3023179076151873E-2</c:v>
                </c:pt>
                <c:pt idx="209">
                  <c:v>5.3285847325907965E-2</c:v>
                </c:pt>
                <c:pt idx="210">
                  <c:v>5.3547666160515713E-2</c:v>
                </c:pt>
                <c:pt idx="211">
                  <c:v>5.3808653662159103E-2</c:v>
                </c:pt>
                <c:pt idx="212">
                  <c:v>5.4068825817959722E-2</c:v>
                </c:pt>
                <c:pt idx="213">
                  <c:v>5.4328196496157333E-2</c:v>
                </c:pt>
                <c:pt idx="214">
                  <c:v>5.4586777439339394E-2</c:v>
                </c:pt>
                <c:pt idx="215">
                  <c:v>5.4844578273785263E-2</c:v>
                </c:pt>
                <c:pt idx="216">
                  <c:v>5.51016065338268E-2</c:v>
                </c:pt>
                <c:pt idx="217">
                  <c:v>5.5357867699977949E-2</c:v>
                </c:pt>
                <c:pt idx="218">
                  <c:v>5.5613365249454143E-2</c:v>
                </c:pt>
                <c:pt idx="219">
                  <c:v>5.5868100717587514E-2</c:v>
                </c:pt>
                <c:pt idx="220">
                  <c:v>5.612207376855001E-2</c:v>
                </c:pt>
                <c:pt idx="221">
                  <c:v>5.6375282273722578E-2</c:v>
                </c:pt>
                <c:pt idx="222">
                  <c:v>5.6627722395996526E-2</c:v>
                </c:pt>
                <c:pt idx="223">
                  <c:v>5.6879388678263462E-2</c:v>
                </c:pt>
                <c:pt idx="224">
                  <c:v>5.713027413434317E-2</c:v>
                </c:pt>
                <c:pt idx="225">
                  <c:v>5.7380370340615168E-2</c:v>
                </c:pt>
                <c:pt idx="226">
                  <c:v>5.7629667526657748E-2</c:v>
                </c:pt>
                <c:pt idx="227">
                  <c:v>5.7878154663260649E-2</c:v>
                </c:pt>
                <c:pt idx="228">
                  <c:v>5.812581954625913E-2</c:v>
                </c:pt>
                <c:pt idx="229">
                  <c:v>5.8372648874742881E-2</c:v>
                </c:pt>
                <c:pt idx="230">
                  <c:v>5.8618628322315389E-2</c:v>
                </c:pt>
                <c:pt idx="231">
                  <c:v>5.8863742600222452E-2</c:v>
                </c:pt>
                <c:pt idx="232">
                  <c:v>5.9107975511327321E-2</c:v>
                </c:pt>
                <c:pt idx="233">
                  <c:v>5.9351309994082953E-2</c:v>
                </c:pt>
                <c:pt idx="234">
                  <c:v>5.9593728155839736E-2</c:v>
                </c:pt>
                <c:pt idx="235">
                  <c:v>5.9835211295023366E-2</c:v>
                </c:pt>
                <c:pt idx="236">
                  <c:v>6.0075739911924005E-2</c:v>
                </c:pt>
                <c:pt idx="237">
                  <c:v>6.0315293708049014E-2</c:v>
                </c:pt>
                <c:pt idx="238">
                  <c:v>6.0553851574206757E-2</c:v>
                </c:pt>
                <c:pt idx="239">
                  <c:v>6.0791391567704842E-2</c:v>
                </c:pt>
                <c:pt idx="240">
                  <c:v>6.1027890879258959E-2</c:v>
                </c:pt>
                <c:pt idx="241">
                  <c:v>6.1263325790418953E-2</c:v>
                </c:pt>
                <c:pt idx="242">
                  <c:v>6.1497671622519019E-2</c:v>
                </c:pt>
                <c:pt idx="243">
                  <c:v>6.1730902678351719E-2</c:v>
                </c:pt>
                <c:pt idx="244">
                  <c:v>6.1962992177944348E-2</c:v>
                </c:pt>
                <c:pt idx="245">
                  <c:v>6.2193912189981014E-2</c:v>
                </c:pt>
                <c:pt idx="246">
                  <c:v>6.2423633560560819E-2</c:v>
                </c:pt>
                <c:pt idx="247">
                  <c:v>6.2652125841111059E-2</c:v>
                </c:pt>
                <c:pt idx="248">
                  <c:v>6.2879357217380805E-2</c:v>
                </c:pt>
                <c:pt idx="249">
                  <c:v>6.3105294441524878E-2</c:v>
                </c:pt>
                <c:pt idx="250">
                  <c:v>6.3329902769347676E-2</c:v>
                </c:pt>
                <c:pt idx="251">
                  <c:v>6.3553145904810496E-2</c:v>
                </c:pt>
                <c:pt idx="252">
                  <c:v>6.3774985953914412E-2</c:v>
                </c:pt>
                <c:pt idx="253">
                  <c:v>6.3995383390050453E-2</c:v>
                </c:pt>
                <c:pt idx="254">
                  <c:v>6.4214297032863174E-2</c:v>
                </c:pt>
                <c:pt idx="255">
                  <c:v>6.4431684042598927E-2</c:v>
                </c:pt>
                <c:pt idx="256">
                  <c:v>6.4647499931808836E-2</c:v>
                </c:pt>
                <c:pt idx="257">
                  <c:v>6.4861698596148626E-2</c:v>
                </c:pt>
                <c:pt idx="258">
                  <c:v>6.5074232365863696E-2</c:v>
                </c:pt>
                <c:pt idx="259">
                  <c:v>6.528505207936959E-2</c:v>
                </c:pt>
                <c:pt idx="260">
                  <c:v>6.5494107180136957E-2</c:v>
                </c:pt>
                <c:pt idx="261">
                  <c:v>6.5701345837867339E-2</c:v>
                </c:pt>
                <c:pt idx="262">
                  <c:v>6.5906715094704693E-2</c:v>
                </c:pt>
                <c:pt idx="263">
                  <c:v>6.6110161036969234E-2</c:v>
                </c:pt>
                <c:pt idx="264">
                  <c:v>6.6311628992626409E-2</c:v>
                </c:pt>
                <c:pt idx="265">
                  <c:v>6.6511063754420174E-2</c:v>
                </c:pt>
                <c:pt idx="266">
                  <c:v>6.6708409828305837E-2</c:v>
                </c:pt>
                <c:pt idx="267">
                  <c:v>6.6903611706518359E-2</c:v>
                </c:pt>
                <c:pt idx="268">
                  <c:v>6.7096614164310689E-2</c:v>
                </c:pt>
                <c:pt idx="269">
                  <c:v>6.7287362579095455E-2</c:v>
                </c:pt>
                <c:pt idx="270">
                  <c:v>6.7475803270425946E-2</c:v>
                </c:pt>
                <c:pt idx="271">
                  <c:v>6.7661883858962268E-2</c:v>
                </c:pt>
                <c:pt idx="272">
                  <c:v>6.7845553642289461E-2</c:v>
                </c:pt>
                <c:pt idx="273">
                  <c:v>6.8026763985188074E-2</c:v>
                </c:pt>
                <c:pt idx="274">
                  <c:v>6.820546872170867E-2</c:v>
                </c:pt>
                <c:pt idx="275">
                  <c:v>6.8381624566172791E-2</c:v>
                </c:pt>
                <c:pt idx="276">
                  <c:v>6.8555191530016088E-2</c:v>
                </c:pt>
                <c:pt idx="277">
                  <c:v>6.8726133341208126E-2</c:v>
                </c:pt>
                <c:pt idx="278">
                  <c:v>6.8894417862829821E-2</c:v>
                </c:pt>
                <c:pt idx="279">
                  <c:v>6.9060017507265536E-2</c:v>
                </c:pt>
                <c:pt idx="280">
                  <c:v>6.9222909642375319E-2</c:v>
                </c:pt>
                <c:pt idx="281">
                  <c:v>6.9383076985953904E-2</c:v>
                </c:pt>
                <c:pt idx="282">
                  <c:v>6.9540507984759276E-2</c:v>
                </c:pt>
                <c:pt idx="283">
                  <c:v>6.9695197174405463E-2</c:v>
                </c:pt>
                <c:pt idx="284">
                  <c:v>6.9847145516461637E-2</c:v>
                </c:pt>
                <c:pt idx="285">
                  <c:v>6.9996360709184566E-2</c:v>
                </c:pt>
                <c:pt idx="286">
                  <c:v>7.0142857468431158E-2</c:v>
                </c:pt>
                <c:pt idx="287">
                  <c:v>7.0286657775454411E-2</c:v>
                </c:pt>
                <c:pt idx="288">
                  <c:v>7.0427791088477784E-2</c:v>
                </c:pt>
                <c:pt idx="289">
                  <c:v>7.0566294515166494E-2</c:v>
                </c:pt>
                <c:pt idx="290">
                  <c:v>7.0702212943371923E-2</c:v>
                </c:pt>
                <c:pt idx="291">
                  <c:v>7.0835599127811441E-2</c:v>
                </c:pt>
                <c:pt idx="292">
                  <c:v>7.0966513730661276E-2</c:v>
                </c:pt>
                <c:pt idx="293">
                  <c:v>7.1095025314378266E-2</c:v>
                </c:pt>
                <c:pt idx="294">
                  <c:v>7.12212102854302E-2</c:v>
                </c:pt>
                <c:pt idx="295">
                  <c:v>7.1345152787993901E-2</c:v>
                </c:pt>
                <c:pt idx="296">
                  <c:v>7.1466944547078498E-2</c:v>
                </c:pt>
                <c:pt idx="297">
                  <c:v>7.158668466093962E-2</c:v>
                </c:pt>
                <c:pt idx="298">
                  <c:v>7.1704479343068825E-2</c:v>
                </c:pt>
                <c:pt idx="299">
                  <c:v>7.1820441614464603E-2</c:v>
                </c:pt>
                <c:pt idx="300">
                  <c:v>7.1934690947314833E-2</c:v>
                </c:pt>
                <c:pt idx="301">
                  <c:v>7.2047352861640074E-2</c:v>
                </c:pt>
                <c:pt idx="302">
                  <c:v>7.2158558476861284E-2</c:v>
                </c:pt>
                <c:pt idx="303">
                  <c:v>7.2268444020654882E-2</c:v>
                </c:pt>
                <c:pt idx="304">
                  <c:v>7.2377150297847456E-2</c:v>
                </c:pt>
                <c:pt idx="305">
                  <c:v>7.2484822122467082E-2</c:v>
                </c:pt>
                <c:pt idx="306">
                  <c:v>7.2591607716416109E-2</c:v>
                </c:pt>
                <c:pt idx="307">
                  <c:v>7.2697658078547139E-2</c:v>
                </c:pt>
                <c:pt idx="308">
                  <c:v>7.2803126328214993E-2</c:v>
                </c:pt>
                <c:pt idx="309">
                  <c:v>7.2908167027635112E-2</c:v>
                </c:pt>
                <c:pt idx="310">
                  <c:v>7.3012935487600669E-2</c:v>
                </c:pt>
                <c:pt idx="311">
                  <c:v>7.3117587061296868E-2</c:v>
                </c:pt>
                <c:pt idx="312">
                  <c:v>7.32222764310968E-2</c:v>
                </c:pt>
                <c:pt idx="313">
                  <c:v>7.3327156893327666E-2</c:v>
                </c:pt>
                <c:pt idx="314">
                  <c:v>7.3432379646059309E-2</c:v>
                </c:pt>
                <c:pt idx="315">
                  <c:v>7.3538093084986267E-2</c:v>
                </c:pt>
                <c:pt idx="316">
                  <c:v>7.3644442112450095E-2</c:v>
                </c:pt>
                <c:pt idx="317">
                  <c:v>7.3751567464580073E-2</c:v>
                </c:pt>
                <c:pt idx="318">
                  <c:v>7.385960506141967E-2</c:v>
                </c:pt>
                <c:pt idx="319">
                  <c:v>7.3968685384750904E-2</c:v>
                </c:pt>
                <c:pt idx="320">
                  <c:v>7.4078932888132623E-2</c:v>
                </c:pt>
                <c:pt idx="321">
                  <c:v>7.4190465443433634E-2</c:v>
                </c:pt>
                <c:pt idx="322">
                  <c:v>7.4303393827866576E-2</c:v>
                </c:pt>
                <c:pt idx="323">
                  <c:v>7.4417821255219216E-2</c:v>
                </c:pt>
                <c:pt idx="324">
                  <c:v>7.4533842954637303E-2</c:v>
                </c:pt>
                <c:pt idx="325">
                  <c:v>7.4651545799939351E-2</c:v>
                </c:pt>
                <c:pt idx="326">
                  <c:v>7.4771007992046001E-2</c:v>
                </c:pt>
                <c:pt idx="327">
                  <c:v>7.4892298796681703E-2</c:v>
                </c:pt>
                <c:pt idx="328">
                  <c:v>7.5015478339066979E-2</c:v>
                </c:pt>
                <c:pt idx="329">
                  <c:v>7.5140597456860123E-2</c:v>
                </c:pt>
                <c:pt idx="330">
                  <c:v>7.5267697612139847E-2</c:v>
                </c:pt>
                <c:pt idx="331">
                  <c:v>7.5396810862744884E-2</c:v>
                </c:pt>
                <c:pt idx="332">
                  <c:v>7.5527959892807806E-2</c:v>
                </c:pt>
                <c:pt idx="333">
                  <c:v>7.5661158101844789E-2</c:v>
                </c:pt>
                <c:pt idx="334">
                  <c:v>7.5796409751292704E-2</c:v>
                </c:pt>
                <c:pt idx="335">
                  <c:v>7.5933710166924767E-2</c:v>
                </c:pt>
                <c:pt idx="336">
                  <c:v>7.6073045995131386E-2</c:v>
                </c:pt>
                <c:pt idx="337">
                  <c:v>7.6214395510626254E-2</c:v>
                </c:pt>
                <c:pt idx="338">
                  <c:v>7.6357728972733768E-2</c:v>
                </c:pt>
                <c:pt idx="339">
                  <c:v>7.6503009027036592E-2</c:v>
                </c:pt>
                <c:pt idx="340">
                  <c:v>7.6650191148813954E-2</c:v>
                </c:pt>
                <c:pt idx="341">
                  <c:v>7.6799224124386556E-2</c:v>
                </c:pt>
                <c:pt idx="342">
                  <c:v>7.6950050566204187E-2</c:v>
                </c:pt>
                <c:pt idx="343">
                  <c:v>7.7102607457271322E-2</c:v>
                </c:pt>
                <c:pt idx="344">
                  <c:v>7.7256826720304067E-2</c:v>
                </c:pt>
                <c:pt idx="345">
                  <c:v>7.7412635806853661E-2</c:v>
                </c:pt>
                <c:pt idx="346">
                  <c:v>7.7569958301514919E-2</c:v>
                </c:pt>
                <c:pt idx="347">
                  <c:v>7.7728714536266702E-2</c:v>
                </c:pt>
                <c:pt idx="348">
                  <c:v>7.7888822209964029E-2</c:v>
                </c:pt>
                <c:pt idx="349">
                  <c:v>7.8050197008019434E-2</c:v>
                </c:pt>
                <c:pt idx="350">
                  <c:v>7.8212753217371908E-2</c:v>
                </c:pt>
                <c:pt idx="351">
                  <c:v>7.8376404331947896E-2</c:v>
                </c:pt>
                <c:pt idx="352">
                  <c:v>7.8541063643965542E-2</c:v>
                </c:pt>
                <c:pt idx="353">
                  <c:v>7.8706644816621582E-2</c:v>
                </c:pt>
                <c:pt idx="354">
                  <c:v>7.8873062433926583E-2</c:v>
                </c:pt>
                <c:pt idx="355">
                  <c:v>7.9040232523717127E-2</c:v>
                </c:pt>
                <c:pt idx="356">
                  <c:v>7.9208073050168998E-2</c:v>
                </c:pt>
                <c:pt idx="357">
                  <c:v>7.9376504372463255E-2</c:v>
                </c:pt>
                <c:pt idx="358">
                  <c:v>7.9545449666608925E-2</c:v>
                </c:pt>
                <c:pt idx="359">
                  <c:v>7.9714835307804974E-2</c:v>
                </c:pt>
                <c:pt idx="360">
                  <c:v>7.9884591211119987E-2</c:v>
                </c:pt>
                <c:pt idx="361">
                  <c:v>8.0054651128681389E-2</c:v>
                </c:pt>
                <c:pt idx="362">
                  <c:v>8.0224952901990679E-2</c:v>
                </c:pt>
                <c:pt idx="363">
                  <c:v>8.0395438668413102E-2</c:v>
                </c:pt>
                <c:pt idx="364">
                  <c:v>8.0566055021326258E-2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3.0530199841300516E-2</c:v>
                </c:pt>
                <c:pt idx="1">
                  <c:v>3.0192405450995892E-2</c:v>
                </c:pt>
                <c:pt idx="2">
                  <c:v>2.9841401135478132E-2</c:v>
                </c:pt>
                <c:pt idx="3">
                  <c:v>2.9478285130597897E-2</c:v>
                </c:pt>
                <c:pt idx="4">
                  <c:v>2.9104136534261815E-2</c:v>
                </c:pt>
                <c:pt idx="5">
                  <c:v>2.8720009882688351E-2</c:v>
                </c:pt>
                <c:pt idx="6">
                  <c:v>2.8326930411006892E-2</c:v>
                </c:pt>
                <c:pt idx="7">
                  <c:v>2.7925889997242912E-2</c:v>
                </c:pt>
                <c:pt idx="8">
                  <c:v>2.7514701823665597E-2</c:v>
                </c:pt>
                <c:pt idx="9">
                  <c:v>2.709813102935273E-2</c:v>
                </c:pt>
                <c:pt idx="10">
                  <c:v>2.6683476701865303E-2</c:v>
                </c:pt>
                <c:pt idx="11">
                  <c:v>2.6272201770497539E-2</c:v>
                </c:pt>
                <c:pt idx="12">
                  <c:v>2.5865641056023202E-2</c:v>
                </c:pt>
                <c:pt idx="13">
                  <c:v>2.5465003273141423E-2</c:v>
                </c:pt>
                <c:pt idx="14">
                  <c:v>2.5071374604277268E-2</c:v>
                </c:pt>
                <c:pt idx="15">
                  <c:v>2.4675827606237908E-2</c:v>
                </c:pt>
                <c:pt idx="16">
                  <c:v>2.4277955788655117E-2</c:v>
                </c:pt>
                <c:pt idx="17">
                  <c:v>2.3878921792956437E-2</c:v>
                </c:pt>
                <c:pt idx="18">
                  <c:v>2.3479785718654278E-2</c:v>
                </c:pt>
                <c:pt idx="19">
                  <c:v>2.3081637486345945E-2</c:v>
                </c:pt>
                <c:pt idx="20">
                  <c:v>2.2685520719472642E-2</c:v>
                </c:pt>
                <c:pt idx="21">
                  <c:v>2.2292280346116349E-2</c:v>
                </c:pt>
                <c:pt idx="22">
                  <c:v>2.1900293524873354E-2</c:v>
                </c:pt>
                <c:pt idx="23">
                  <c:v>2.1483838802816835E-2</c:v>
                </c:pt>
                <c:pt idx="24">
                  <c:v>2.1039190246560858E-2</c:v>
                </c:pt>
                <c:pt idx="25">
                  <c:v>2.0568030374321731E-2</c:v>
                </c:pt>
                <c:pt idx="26">
                  <c:v>2.0071975212804936E-2</c:v>
                </c:pt>
                <c:pt idx="27">
                  <c:v>1.9552570959120663E-2</c:v>
                </c:pt>
                <c:pt idx="28">
                  <c:v>1.9011291521743183E-2</c:v>
                </c:pt>
                <c:pt idx="29">
                  <c:v>1.8430912071106635E-2</c:v>
                </c:pt>
                <c:pt idx="30">
                  <c:v>1.7821636206101256E-2</c:v>
                </c:pt>
                <c:pt idx="31">
                  <c:v>1.7185058779155583E-2</c:v>
                </c:pt>
                <c:pt idx="32">
                  <c:v>1.6522686599844481E-2</c:v>
                </c:pt>
                <c:pt idx="33">
                  <c:v>1.5835937940992851E-2</c:v>
                </c:pt>
                <c:pt idx="34">
                  <c:v>1.5126142601460968E-2</c:v>
                </c:pt>
                <c:pt idx="35">
                  <c:v>1.4394542425608713E-2</c:v>
                </c:pt>
                <c:pt idx="36">
                  <c:v>1.3642004421415216E-2</c:v>
                </c:pt>
                <c:pt idx="37">
                  <c:v>1.2879199111815913E-2</c:v>
                </c:pt>
                <c:pt idx="38">
                  <c:v>1.2126642236814466E-2</c:v>
                </c:pt>
                <c:pt idx="39">
                  <c:v>1.1384158834781917E-2</c:v>
                </c:pt>
                <c:pt idx="40">
                  <c:v>1.0651580599700013E-2</c:v>
                </c:pt>
                <c:pt idx="41">
                  <c:v>9.928745019165592E-3</c:v>
                </c:pt>
                <c:pt idx="42">
                  <c:v>9.2154945634765392E-3</c:v>
                </c:pt>
                <c:pt idx="43">
                  <c:v>8.5387306836254839E-3</c:v>
                </c:pt>
                <c:pt idx="44">
                  <c:v>7.9129070931497399E-3</c:v>
                </c:pt>
                <c:pt idx="45">
                  <c:v>7.3364064233644027E-3</c:v>
                </c:pt>
                <c:pt idx="46">
                  <c:v>6.807657589719446E-3</c:v>
                </c:pt>
                <c:pt idx="47">
                  <c:v>6.3251339033543732E-3</c:v>
                </c:pt>
                <c:pt idx="48">
                  <c:v>5.8873513431523528E-3</c:v>
                </c:pt>
                <c:pt idx="49">
                  <c:v>5.4928669688152961E-3</c:v>
                </c:pt>
                <c:pt idx="50">
                  <c:v>5.1401717953733321E-3</c:v>
                </c:pt>
                <c:pt idx="51">
                  <c:v>4.8397255665342895E-3</c:v>
                </c:pt>
                <c:pt idx="52">
                  <c:v>4.5816278585488566E-3</c:v>
                </c:pt>
                <c:pt idx="53">
                  <c:v>4.3645460043501101E-3</c:v>
                </c:pt>
                <c:pt idx="54">
                  <c:v>4.1871930142159501E-3</c:v>
                </c:pt>
                <c:pt idx="55">
                  <c:v>4.0483077908527575E-3</c:v>
                </c:pt>
                <c:pt idx="56">
                  <c:v>3.9466600737495007E-3</c:v>
                </c:pt>
                <c:pt idx="57">
                  <c:v>3.8804348960740373E-3</c:v>
                </c:pt>
                <c:pt idx="58">
                  <c:v>3.825801587408174E-3</c:v>
                </c:pt>
                <c:pt idx="59">
                  <c:v>3.7824285582366023E-3</c:v>
                </c:pt>
                <c:pt idx="60">
                  <c:v>3.749995095548618E-3</c:v>
                </c:pt>
                <c:pt idx="61">
                  <c:v>3.7281922779649934E-3</c:v>
                </c:pt>
                <c:pt idx="62">
                  <c:v>3.7167237528623514E-3</c:v>
                </c:pt>
                <c:pt idx="63">
                  <c:v>3.7153063921252197E-3</c:v>
                </c:pt>
                <c:pt idx="64">
                  <c:v>3.7234291278767173E-3</c:v>
                </c:pt>
                <c:pt idx="65">
                  <c:v>3.738795938414714E-3</c:v>
                </c:pt>
                <c:pt idx="66">
                  <c:v>3.7512134945027081E-3</c:v>
                </c:pt>
                <c:pt idx="67">
                  <c:v>3.7608392510051032E-3</c:v>
                </c:pt>
                <c:pt idx="68">
                  <c:v>3.7678256617153798E-3</c:v>
                </c:pt>
                <c:pt idx="69">
                  <c:v>3.7723199156861117E-3</c:v>
                </c:pt>
                <c:pt idx="70">
                  <c:v>3.774463741949537E-3</c:v>
                </c:pt>
                <c:pt idx="71">
                  <c:v>3.7715664736127944E-3</c:v>
                </c:pt>
                <c:pt idx="72">
                  <c:v>3.7643706491840611E-3</c:v>
                </c:pt>
                <c:pt idx="73">
                  <c:v>3.7530672152389592E-3</c:v>
                </c:pt>
                <c:pt idx="74">
                  <c:v>3.7378377491635814E-3</c:v>
                </c:pt>
                <c:pt idx="75">
                  <c:v>3.718854375034887E-3</c:v>
                </c:pt>
                <c:pt idx="76">
                  <c:v>3.6962797307416168E-3</c:v>
                </c:pt>
                <c:pt idx="77">
                  <c:v>3.6702669778951058E-3</c:v>
                </c:pt>
                <c:pt idx="78">
                  <c:v>3.6406742321191637E-3</c:v>
                </c:pt>
                <c:pt idx="79">
                  <c:v>3.6057858891535097E-3</c:v>
                </c:pt>
                <c:pt idx="80">
                  <c:v>3.5673942994553674E-3</c:v>
                </c:pt>
                <c:pt idx="81">
                  <c:v>3.5256642458257677E-3</c:v>
                </c:pt>
                <c:pt idx="82">
                  <c:v>3.4807507858689401E-3</c:v>
                </c:pt>
                <c:pt idx="83">
                  <c:v>3.4327990790549092E-3</c:v>
                </c:pt>
                <c:pt idx="84">
                  <c:v>3.3819442749853162E-3</c:v>
                </c:pt>
                <c:pt idx="85">
                  <c:v>3.3275171011523659E-3</c:v>
                </c:pt>
                <c:pt idx="86">
                  <c:v>3.2721162312251122E-3</c:v>
                </c:pt>
                <c:pt idx="87">
                  <c:v>3.2158076955387123E-3</c:v>
                </c:pt>
                <c:pt idx="88">
                  <c:v>3.158650385804027E-3</c:v>
                </c:pt>
                <c:pt idx="89">
                  <c:v>3.1006962536240393E-3</c:v>
                </c:pt>
                <c:pt idx="90">
                  <c:v>3.0419905040752994E-3</c:v>
                </c:pt>
                <c:pt idx="91">
                  <c:v>2.9825717838221533E-3</c:v>
                </c:pt>
                <c:pt idx="92">
                  <c:v>2.9223066555646229E-3</c:v>
                </c:pt>
                <c:pt idx="93">
                  <c:v>2.8598960844318168E-3</c:v>
                </c:pt>
                <c:pt idx="94">
                  <c:v>2.7968121211111958E-3</c:v>
                </c:pt>
                <c:pt idx="95">
                  <c:v>2.7330640612124894E-3</c:v>
                </c:pt>
                <c:pt idx="96">
                  <c:v>2.6686584672901345E-3</c:v>
                </c:pt>
                <c:pt idx="97">
                  <c:v>2.6035992055663533E-3</c:v>
                </c:pt>
                <c:pt idx="98">
                  <c:v>2.5378874782214901E-3</c:v>
                </c:pt>
                <c:pt idx="99">
                  <c:v>2.470784269787322E-3</c:v>
                </c:pt>
                <c:pt idx="100">
                  <c:v>2.4030052517369843E-3</c:v>
                </c:pt>
                <c:pt idx="101">
                  <c:v>2.3345374991832141E-3</c:v>
                </c:pt>
                <c:pt idx="102">
                  <c:v>2.2653651912484924E-3</c:v>
                </c:pt>
                <c:pt idx="103">
                  <c:v>2.1954695966353984E-3</c:v>
                </c:pt>
                <c:pt idx="104">
                  <c:v>2.1248290513356904E-3</c:v>
                </c:pt>
                <c:pt idx="105">
                  <c:v>2.0534189304586658E-3</c:v>
                </c:pt>
                <c:pt idx="106">
                  <c:v>1.9811575725232492E-3</c:v>
                </c:pt>
                <c:pt idx="107">
                  <c:v>1.9074527961476812E-3</c:v>
                </c:pt>
                <c:pt idx="108">
                  <c:v>1.8333704676061161E-3</c:v>
                </c:pt>
                <c:pt idx="109">
                  <c:v>1.7588819591651719E-3</c:v>
                </c:pt>
                <c:pt idx="110">
                  <c:v>1.6839609201948201E-3</c:v>
                </c:pt>
                <c:pt idx="111">
                  <c:v>1.6085777158993616E-3</c:v>
                </c:pt>
                <c:pt idx="112">
                  <c:v>1.5326949424330312E-3</c:v>
                </c:pt>
                <c:pt idx="113">
                  <c:v>1.4573082176519818E-3</c:v>
                </c:pt>
                <c:pt idx="114">
                  <c:v>1.383090358132248E-3</c:v>
                </c:pt>
                <c:pt idx="115">
                  <c:v>1.3099929370482082E-3</c:v>
                </c:pt>
                <c:pt idx="116">
                  <c:v>1.2379674809790651E-3</c:v>
                </c:pt>
                <c:pt idx="117">
                  <c:v>1.16696548185686E-3</c:v>
                </c:pt>
                <c:pt idx="118">
                  <c:v>1.0969384048662052E-3</c:v>
                </c:pt>
                <c:pt idx="119">
                  <c:v>1.0278376933520288E-3</c:v>
                </c:pt>
                <c:pt idx="120">
                  <c:v>9.5961681664649635E-4</c:v>
                </c:pt>
                <c:pt idx="121">
                  <c:v>8.9438342449700775E-4</c:v>
                </c:pt>
                <c:pt idx="122">
                  <c:v>8.3258368494791991E-4</c:v>
                </c:pt>
                <c:pt idx="123">
                  <c:v>7.7416485496422272E-4</c:v>
                </c:pt>
                <c:pt idx="124">
                  <c:v>7.1908086812993283E-4</c:v>
                </c:pt>
                <c:pt idx="125">
                  <c:v>6.6729196693316166E-4</c:v>
                </c:pt>
                <c:pt idx="126">
                  <c:v>6.1876435800874597E-4</c:v>
                </c:pt>
                <c:pt idx="127">
                  <c:v>5.7433113423631041E-4</c:v>
                </c:pt>
                <c:pt idx="128">
                  <c:v>5.3294053589631883E-4</c:v>
                </c:pt>
                <c:pt idx="129">
                  <c:v>4.9457432800221524E-4</c:v>
                </c:pt>
                <c:pt idx="130">
                  <c:v>4.5921881197393336E-4</c:v>
                </c:pt>
                <c:pt idx="131">
                  <c:v>4.2686456123021014E-4</c:v>
                </c:pt>
                <c:pt idx="132">
                  <c:v>3.9750616233426945E-4</c:v>
                </c:pt>
                <c:pt idx="133">
                  <c:v>3.7114195957742107E-4</c:v>
                </c:pt>
                <c:pt idx="134">
                  <c:v>3.4778393444600983E-4</c:v>
                </c:pt>
                <c:pt idx="135">
                  <c:v>3.2756059474885971E-4</c:v>
                </c:pt>
                <c:pt idx="136">
                  <c:v>3.0827965258878868E-4</c:v>
                </c:pt>
                <c:pt idx="137">
                  <c:v>2.8993391158366579E-4</c:v>
                </c:pt>
                <c:pt idx="138">
                  <c:v>2.7251765734133415E-4</c:v>
                </c:pt>
                <c:pt idx="139">
                  <c:v>2.5602659429626944E-4</c:v>
                </c:pt>
                <c:pt idx="140">
                  <c:v>2.4045778356724569E-4</c:v>
                </c:pt>
                <c:pt idx="141">
                  <c:v>2.2630979918207453E-4</c:v>
                </c:pt>
                <c:pt idx="142">
                  <c:v>2.1269351411837609E-4</c:v>
                </c:pt>
                <c:pt idx="143">
                  <c:v>1.9960507833020907E-4</c:v>
                </c:pt>
                <c:pt idx="144">
                  <c:v>1.8704279808046169E-4</c:v>
                </c:pt>
                <c:pt idx="145">
                  <c:v>1.7500566383371922E-4</c:v>
                </c:pt>
                <c:pt idx="146">
                  <c:v>1.6349332548783543E-4</c:v>
                </c:pt>
                <c:pt idx="147">
                  <c:v>1.5250606692769449E-4</c:v>
                </c:pt>
                <c:pt idx="148">
                  <c:v>1.4204770423697455E-4</c:v>
                </c:pt>
                <c:pt idx="149">
                  <c:v>1.3253881316280334E-4</c:v>
                </c:pt>
                <c:pt idx="150">
                  <c:v>1.2387599470541446E-4</c:v>
                </c:pt>
                <c:pt idx="151">
                  <c:v>1.1606866203151822E-4</c:v>
                </c:pt>
                <c:pt idx="152">
                  <c:v>1.0912701680907461E-4</c:v>
                </c:pt>
                <c:pt idx="153">
                  <c:v>1.030620022785923E-4</c:v>
                </c:pt>
                <c:pt idx="154">
                  <c:v>9.7885254468112139E-5</c:v>
                </c:pt>
                <c:pt idx="155">
                  <c:v>9.3700551164216671E-5</c:v>
                </c:pt>
                <c:pt idx="156">
                  <c:v>8.9990464077620893E-5</c:v>
                </c:pt>
                <c:pt idx="157">
                  <c:v>8.6762340286086114E-5</c:v>
                </c:pt>
                <c:pt idx="158">
                  <c:v>8.4023845067974506E-5</c:v>
                </c:pt>
                <c:pt idx="159">
                  <c:v>8.1782930668067213E-5</c:v>
                </c:pt>
                <c:pt idx="160">
                  <c:v>8.0047804310204377E-5</c:v>
                </c:pt>
                <c:pt idx="161">
                  <c:v>7.8826895543775185E-5</c:v>
                </c:pt>
                <c:pt idx="162">
                  <c:v>7.8130090943218477E-5</c:v>
                </c:pt>
                <c:pt idx="163">
                  <c:v>7.7963099969173658E-5</c:v>
                </c:pt>
                <c:pt idx="164">
                  <c:v>7.7880967488794272E-5</c:v>
                </c:pt>
                <c:pt idx="165">
                  <c:v>7.7885279798479894E-5</c:v>
                </c:pt>
                <c:pt idx="166">
                  <c:v>7.7977664411947744E-5</c:v>
                </c:pt>
                <c:pt idx="167">
                  <c:v>7.8159784426793657E-5</c:v>
                </c:pt>
                <c:pt idx="168">
                  <c:v>7.8433332926687439E-5</c:v>
                </c:pt>
                <c:pt idx="169">
                  <c:v>7.879688451620424E-5</c:v>
                </c:pt>
                <c:pt idx="170">
                  <c:v>7.915432304785715E-5</c:v>
                </c:pt>
                <c:pt idx="171">
                  <c:v>7.9506483642819079E-5</c:v>
                </c:pt>
                <c:pt idx="172">
                  <c:v>7.985418821098751E-5</c:v>
                </c:pt>
                <c:pt idx="173">
                  <c:v>8.0262457034092875E-5</c:v>
                </c:pt>
                <c:pt idx="174">
                  <c:v>8.0677878421003268E-5</c:v>
                </c:pt>
                <c:pt idx="175">
                  <c:v>8.1095281354908415E-5</c:v>
                </c:pt>
                <c:pt idx="176">
                  <c:v>8.1518656347452775E-5</c:v>
                </c:pt>
                <c:pt idx="177">
                  <c:v>8.205689009294175E-5</c:v>
                </c:pt>
                <c:pt idx="178">
                  <c:v>8.2715547882966788E-5</c:v>
                </c:pt>
                <c:pt idx="179">
                  <c:v>8.3499708810181971E-5</c:v>
                </c:pt>
                <c:pt idx="180">
                  <c:v>8.4414353620820704E-5</c:v>
                </c:pt>
                <c:pt idx="181">
                  <c:v>8.5464365584902839E-5</c:v>
                </c:pt>
                <c:pt idx="182">
                  <c:v>8.6654532676237714E-5</c:v>
                </c:pt>
                <c:pt idx="183">
                  <c:v>8.8509322915825118E-5</c:v>
                </c:pt>
                <c:pt idx="184">
                  <c:v>9.1038763362775692E-5</c:v>
                </c:pt>
                <c:pt idx="185">
                  <c:v>9.4256617378033869E-5</c:v>
                </c:pt>
                <c:pt idx="186">
                  <c:v>9.8176526307162745E-5</c:v>
                </c:pt>
                <c:pt idx="187">
                  <c:v>1.0281204056035866E-4</c:v>
                </c:pt>
                <c:pt idx="188">
                  <c:v>1.0817665438360579E-4</c:v>
                </c:pt>
                <c:pt idx="189">
                  <c:v>1.1428384428081887E-4</c:v>
                </c:pt>
                <c:pt idx="190">
                  <c:v>1.2114696653309344E-4</c:v>
                </c:pt>
                <c:pt idx="191">
                  <c:v>1.2940242203632796E-4</c:v>
                </c:pt>
                <c:pt idx="192">
                  <c:v>1.3895154298184214E-4</c:v>
                </c:pt>
                <c:pt idx="193">
                  <c:v>1.4981205594116501E-4</c:v>
                </c:pt>
                <c:pt idx="194">
                  <c:v>1.6200165588659116E-4</c:v>
                </c:pt>
                <c:pt idx="195">
                  <c:v>1.7553798964348413E-4</c:v>
                </c:pt>
                <c:pt idx="196">
                  <c:v>1.9043863970472769E-4</c:v>
                </c:pt>
                <c:pt idx="197">
                  <c:v>2.0692704167295741E-4</c:v>
                </c:pt>
                <c:pt idx="198">
                  <c:v>2.2445574731242121E-4</c:v>
                </c:pt>
                <c:pt idx="199">
                  <c:v>2.4304091930563542E-4</c:v>
                </c:pt>
                <c:pt idx="200">
                  <c:v>2.6269839610715869E-4</c:v>
                </c:pt>
                <c:pt idx="201">
                  <c:v>2.8344368438905663E-4</c:v>
                </c:pt>
                <c:pt idx="202">
                  <c:v>3.0529195084042144E-4</c:v>
                </c:pt>
                <c:pt idx="203">
                  <c:v>3.2825801317406861E-4</c:v>
                </c:pt>
                <c:pt idx="204">
                  <c:v>3.5235619460112093E-4</c:v>
                </c:pt>
                <c:pt idx="205">
                  <c:v>3.7891112903060988E-4</c:v>
                </c:pt>
                <c:pt idx="206">
                  <c:v>4.0729828155146915E-4</c:v>
                </c:pt>
                <c:pt idx="207">
                  <c:v>4.3754969349851639E-4</c:v>
                </c:pt>
                <c:pt idx="208">
                  <c:v>4.6969763574348638E-4</c:v>
                </c:pt>
                <c:pt idx="209">
                  <c:v>5.0377473607520103E-4</c:v>
                </c:pt>
                <c:pt idx="210">
                  <c:v>5.3981411141369663E-4</c:v>
                </c:pt>
                <c:pt idx="211">
                  <c:v>5.8069940623241506E-4</c:v>
                </c:pt>
                <c:pt idx="212">
                  <c:v>6.2624646841197469E-4</c:v>
                </c:pt>
                <c:pt idx="213">
                  <c:v>6.7651520940118838E-4</c:v>
                </c:pt>
                <c:pt idx="214">
                  <c:v>7.3156803430531275E-4</c:v>
                </c:pt>
                <c:pt idx="215">
                  <c:v>7.91470135159378E-4</c:v>
                </c:pt>
                <c:pt idx="216">
                  <c:v>8.5628979612934852E-4</c:v>
                </c:pt>
                <c:pt idx="217">
                  <c:v>9.2609871160702286E-4</c:v>
                </c:pt>
                <c:pt idx="218">
                  <c:v>1.0009460373622936E-3</c:v>
                </c:pt>
                <c:pt idx="219">
                  <c:v>1.0823594151812938E-3</c:v>
                </c:pt>
                <c:pt idx="220">
                  <c:v>1.1690061739452915E-3</c:v>
                </c:pt>
                <c:pt idx="221">
                  <c:v>1.2609615055293084E-3</c:v>
                </c:pt>
                <c:pt idx="222">
                  <c:v>1.3583059711856961E-3</c:v>
                </c:pt>
                <c:pt idx="223">
                  <c:v>1.4611260686546023E-3</c:v>
                </c:pt>
                <c:pt idx="224">
                  <c:v>1.5695148286153577E-3</c:v>
                </c:pt>
                <c:pt idx="225">
                  <c:v>1.6827444702011312E-3</c:v>
                </c:pt>
                <c:pt idx="226">
                  <c:v>1.7978820210854819E-3</c:v>
                </c:pt>
                <c:pt idx="227">
                  <c:v>1.9149884851440346E-3</c:v>
                </c:pt>
                <c:pt idx="228">
                  <c:v>2.0341311061976629E-3</c:v>
                </c:pt>
                <c:pt idx="229">
                  <c:v>2.1553837107358568E-3</c:v>
                </c:pt>
                <c:pt idx="230">
                  <c:v>2.2788270804560448E-3</c:v>
                </c:pt>
                <c:pt idx="231">
                  <c:v>2.4045493591785365E-3</c:v>
                </c:pt>
                <c:pt idx="232">
                  <c:v>2.5325727893763862E-3</c:v>
                </c:pt>
                <c:pt idx="233">
                  <c:v>2.6613600123950656E-3</c:v>
                </c:pt>
                <c:pt idx="234">
                  <c:v>2.7893612970586101E-3</c:v>
                </c:pt>
                <c:pt idx="235">
                  <c:v>2.916600140961042E-3</c:v>
                </c:pt>
                <c:pt idx="236">
                  <c:v>3.0431043475427372E-3</c:v>
                </c:pt>
                <c:pt idx="237">
                  <c:v>3.1689031768208395E-3</c:v>
                </c:pt>
                <c:pt idx="238">
                  <c:v>3.2940290914886565E-3</c:v>
                </c:pt>
                <c:pt idx="239">
                  <c:v>3.4166170143099472E-3</c:v>
                </c:pt>
                <c:pt idx="240">
                  <c:v>3.537572822649208E-3</c:v>
                </c:pt>
                <c:pt idx="241">
                  <c:v>3.6569167693084634E-3</c:v>
                </c:pt>
                <c:pt idx="242">
                  <c:v>3.7746712879448523E-3</c:v>
                </c:pt>
                <c:pt idx="243">
                  <c:v>3.8908609583366803E-3</c:v>
                </c:pt>
                <c:pt idx="244">
                  <c:v>4.0055124790337694E-3</c:v>
                </c:pt>
                <c:pt idx="245">
                  <c:v>4.1186546482660964E-3</c:v>
                </c:pt>
                <c:pt idx="246">
                  <c:v>4.2303726846535158E-3</c:v>
                </c:pt>
                <c:pt idx="247">
                  <c:v>4.3394913308345863E-3</c:v>
                </c:pt>
                <c:pt idx="248">
                  <c:v>4.4476714390250778E-3</c:v>
                </c:pt>
                <c:pt idx="249">
                  <c:v>4.5548894400689226E-3</c:v>
                </c:pt>
                <c:pt idx="250">
                  <c:v>4.6611157174109193E-3</c:v>
                </c:pt>
                <c:pt idx="251">
                  <c:v>4.7663143987143079E-3</c:v>
                </c:pt>
                <c:pt idx="252">
                  <c:v>4.8704431328336073E-3</c:v>
                </c:pt>
                <c:pt idx="253">
                  <c:v>4.9713782879077569E-3</c:v>
                </c:pt>
                <c:pt idx="254">
                  <c:v>5.0711497436118922E-3</c:v>
                </c:pt>
                <c:pt idx="255">
                  <c:v>5.1696961010975042E-3</c:v>
                </c:pt>
                <c:pt idx="256">
                  <c:v>5.2669484779865943E-3</c:v>
                </c:pt>
                <c:pt idx="257">
                  <c:v>5.3628302442621234E-3</c:v>
                </c:pt>
                <c:pt idx="258">
                  <c:v>5.4572567538320191E-3</c:v>
                </c:pt>
                <c:pt idx="259">
                  <c:v>5.5501350732595732E-3</c:v>
                </c:pt>
                <c:pt idx="260">
                  <c:v>5.6418104261599369E-3</c:v>
                </c:pt>
                <c:pt idx="261">
                  <c:v>5.7288734095599161E-3</c:v>
                </c:pt>
                <c:pt idx="262">
                  <c:v>5.8125096833478848E-3</c:v>
                </c:pt>
                <c:pt idx="263">
                  <c:v>5.8925164297136826E-3</c:v>
                </c:pt>
                <c:pt idx="264">
                  <c:v>5.9686719400125739E-3</c:v>
                </c:pt>
                <c:pt idx="265">
                  <c:v>6.040767292473913E-3</c:v>
                </c:pt>
                <c:pt idx="266">
                  <c:v>6.1085589966007716E-3</c:v>
                </c:pt>
                <c:pt idx="267">
                  <c:v>6.1723681198238983E-3</c:v>
                </c:pt>
                <c:pt idx="268">
                  <c:v>6.2343337709312129E-3</c:v>
                </c:pt>
                <c:pt idx="269">
                  <c:v>6.2942437374396499E-3</c:v>
                </c:pt>
                <c:pt idx="270">
                  <c:v>6.3518690244393035E-3</c:v>
                </c:pt>
                <c:pt idx="271">
                  <c:v>6.4069635662738073E-3</c:v>
                </c:pt>
                <c:pt idx="272">
                  <c:v>6.4592640433740458E-3</c:v>
                </c:pt>
                <c:pt idx="273">
                  <c:v>6.5084898279690736E-3</c:v>
                </c:pt>
                <c:pt idx="274">
                  <c:v>6.5551768643783781E-3</c:v>
                </c:pt>
                <c:pt idx="275">
                  <c:v>6.606637118909988E-3</c:v>
                </c:pt>
                <c:pt idx="276">
                  <c:v>6.6673502511540965E-3</c:v>
                </c:pt>
                <c:pt idx="277">
                  <c:v>6.7374977129491826E-3</c:v>
                </c:pt>
                <c:pt idx="278">
                  <c:v>6.8172623035297466E-3</c:v>
                </c:pt>
                <c:pt idx="279">
                  <c:v>6.9068254389647839E-3</c:v>
                </c:pt>
                <c:pt idx="280">
                  <c:v>7.0063640910213009E-3</c:v>
                </c:pt>
                <c:pt idx="281">
                  <c:v>7.1347574617588259E-3</c:v>
                </c:pt>
                <c:pt idx="282">
                  <c:v>7.2921238540928218E-3</c:v>
                </c:pt>
                <c:pt idx="283">
                  <c:v>7.479332351846983E-3</c:v>
                </c:pt>
                <c:pt idx="284">
                  <c:v>7.6972456132811742E-3</c:v>
                </c:pt>
                <c:pt idx="285">
                  <c:v>7.9467077135243272E-3</c:v>
                </c:pt>
                <c:pt idx="286">
                  <c:v>8.2285305130499024E-3</c:v>
                </c:pt>
                <c:pt idx="287">
                  <c:v>8.5434784990106871E-3</c:v>
                </c:pt>
                <c:pt idx="288">
                  <c:v>8.8928157788580407E-3</c:v>
                </c:pt>
                <c:pt idx="289">
                  <c:v>9.309909920399935E-3</c:v>
                </c:pt>
                <c:pt idx="290">
                  <c:v>9.7888937465032844E-3</c:v>
                </c:pt>
                <c:pt idx="291">
                  <c:v>1.033190557929799E-2</c:v>
                </c:pt>
                <c:pt idx="292">
                  <c:v>1.0941131358911761E-2</c:v>
                </c:pt>
                <c:pt idx="293">
                  <c:v>1.1618809662683045E-2</c:v>
                </c:pt>
                <c:pt idx="294">
                  <c:v>1.2367237433762394E-2</c:v>
                </c:pt>
                <c:pt idx="295">
                  <c:v>1.3192081969415678E-2</c:v>
                </c:pt>
                <c:pt idx="296">
                  <c:v>1.4073417052179611E-2</c:v>
                </c:pt>
                <c:pt idx="297">
                  <c:v>1.5013198839482171E-2</c:v>
                </c:pt>
                <c:pt idx="298">
                  <c:v>1.6013362019613037E-2</c:v>
                </c:pt>
                <c:pt idx="299">
                  <c:v>1.7075930870317571E-2</c:v>
                </c:pt>
                <c:pt idx="300">
                  <c:v>1.8203028895212307E-2</c:v>
                </c:pt>
                <c:pt idx="301">
                  <c:v>1.9396889503407917E-2</c:v>
                </c:pt>
                <c:pt idx="302">
                  <c:v>2.0659965502078343E-2</c:v>
                </c:pt>
                <c:pt idx="303">
                  <c:v>2.1959415195631431E-2</c:v>
                </c:pt>
                <c:pt idx="304">
                  <c:v>2.3257555824023772E-2</c:v>
                </c:pt>
                <c:pt idx="305">
                  <c:v>2.455342456028475E-2</c:v>
                </c:pt>
                <c:pt idx="306">
                  <c:v>2.5845920206082534E-2</c:v>
                </c:pt>
                <c:pt idx="307">
                  <c:v>2.7133796873444554E-2</c:v>
                </c:pt>
                <c:pt idx="308">
                  <c:v>2.8415657907057801E-2</c:v>
                </c:pt>
                <c:pt idx="309">
                  <c:v>2.9661376323801763E-2</c:v>
                </c:pt>
                <c:pt idx="310">
                  <c:v>3.0864182964872831E-2</c:v>
                </c:pt>
                <c:pt idx="311">
                  <c:v>3.2020967447775002E-2</c:v>
                </c:pt>
                <c:pt idx="312">
                  <c:v>3.3128449359106936E-2</c:v>
                </c:pt>
                <c:pt idx="313">
                  <c:v>3.4183185942087718E-2</c:v>
                </c:pt>
                <c:pt idx="314">
                  <c:v>3.518158224995873E-2</c:v>
                </c:pt>
                <c:pt idx="315">
                  <c:v>3.6119904058832426E-2</c:v>
                </c:pt>
                <c:pt idx="316">
                  <c:v>3.6994913389182107E-2</c:v>
                </c:pt>
                <c:pt idx="317">
                  <c:v>3.780048429011619E-2</c:v>
                </c:pt>
                <c:pt idx="318">
                  <c:v>3.8575973269532937E-2</c:v>
                </c:pt>
                <c:pt idx="319">
                  <c:v>3.9320158843381699E-2</c:v>
                </c:pt>
                <c:pt idx="320">
                  <c:v>4.0031871555199494E-2</c:v>
                </c:pt>
                <c:pt idx="321">
                  <c:v>4.0709995756147789E-2</c:v>
                </c:pt>
                <c:pt idx="322">
                  <c:v>4.1353470937549958E-2</c:v>
                </c:pt>
                <c:pt idx="323">
                  <c:v>4.1973959935184435E-2</c:v>
                </c:pt>
                <c:pt idx="324">
                  <c:v>4.2604708307346799E-2</c:v>
                </c:pt>
                <c:pt idx="325">
                  <c:v>4.3246192066021011E-2</c:v>
                </c:pt>
                <c:pt idx="326">
                  <c:v>4.3898656927345674E-2</c:v>
                </c:pt>
                <c:pt idx="327">
                  <c:v>4.4562562270233579E-2</c:v>
                </c:pt>
                <c:pt idx="328">
                  <c:v>4.5238641440137478E-2</c:v>
                </c:pt>
                <c:pt idx="329">
                  <c:v>4.5927686460360294E-2</c:v>
                </c:pt>
                <c:pt idx="330">
                  <c:v>4.663362307294712E-2</c:v>
                </c:pt>
                <c:pt idx="331">
                  <c:v>4.7359580347805741E-2</c:v>
                </c:pt>
                <c:pt idx="332">
                  <c:v>4.8107994947478284E-2</c:v>
                </c:pt>
                <c:pt idx="333">
                  <c:v>4.8876869065804532E-2</c:v>
                </c:pt>
                <c:pt idx="334">
                  <c:v>4.9663958122448081E-2</c:v>
                </c:pt>
                <c:pt idx="335">
                  <c:v>5.0466753802210843E-2</c:v>
                </c:pt>
                <c:pt idx="336">
                  <c:v>5.1282469464356578E-2</c:v>
                </c:pt>
                <c:pt idx="337">
                  <c:v>5.2093375728690071E-2</c:v>
                </c:pt>
                <c:pt idx="338">
                  <c:v>5.2881232144779321E-2</c:v>
                </c:pt>
                <c:pt idx="339">
                  <c:v>5.3641722793248602E-2</c:v>
                </c:pt>
                <c:pt idx="340">
                  <c:v>5.4370314669674236E-2</c:v>
                </c:pt>
                <c:pt idx="341">
                  <c:v>5.5062288565183616E-2</c:v>
                </c:pt>
                <c:pt idx="342">
                  <c:v>5.5712777799081487E-2</c:v>
                </c:pt>
                <c:pt idx="343">
                  <c:v>5.6316815119157246E-2</c:v>
                </c:pt>
                <c:pt idx="344">
                  <c:v>5.6878034844175501E-2</c:v>
                </c:pt>
                <c:pt idx="345">
                  <c:v>5.7402379184185774E-2</c:v>
                </c:pt>
                <c:pt idx="346">
                  <c:v>5.787410825807697E-2</c:v>
                </c:pt>
                <c:pt idx="347">
                  <c:v>5.8291671063385155E-2</c:v>
                </c:pt>
                <c:pt idx="348">
                  <c:v>5.8653648455703145E-2</c:v>
                </c:pt>
                <c:pt idx="349">
                  <c:v>5.8958765659433303E-2</c:v>
                </c:pt>
                <c:pt idx="350">
                  <c:v>5.9205904079584294E-2</c:v>
                </c:pt>
                <c:pt idx="351">
                  <c:v>5.9380761201756962E-2</c:v>
                </c:pt>
                <c:pt idx="352">
                  <c:v>5.94981514969464E-2</c:v>
                </c:pt>
                <c:pt idx="353">
                  <c:v>5.9557507896525967E-2</c:v>
                </c:pt>
                <c:pt idx="354">
                  <c:v>5.9558449094321869E-2</c:v>
                </c:pt>
                <c:pt idx="355">
                  <c:v>5.9500784990879567E-2</c:v>
                </c:pt>
                <c:pt idx="356">
                  <c:v>5.938416835819238E-2</c:v>
                </c:pt>
                <c:pt idx="357">
                  <c:v>5.9209079924450972E-2</c:v>
                </c:pt>
                <c:pt idx="358">
                  <c:v>5.8974676445954277E-2</c:v>
                </c:pt>
                <c:pt idx="359">
                  <c:v>5.8681181523284207E-2</c:v>
                </c:pt>
                <c:pt idx="360">
                  <c:v>5.8315010110602347E-2</c:v>
                </c:pt>
                <c:pt idx="361">
                  <c:v>5.7891428389374569E-2</c:v>
                </c:pt>
                <c:pt idx="362">
                  <c:v>5.7412579855802996E-2</c:v>
                </c:pt>
                <c:pt idx="363">
                  <c:v>5.6880722084990287E-2</c:v>
                </c:pt>
                <c:pt idx="364">
                  <c:v>5.6298204745324681E-2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7942344"/>
        <c:axId val="467942736"/>
      </c:lineChart>
      <c:dateAx>
        <c:axId val="4679423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7942736"/>
        <c:crosses val="autoZero"/>
        <c:auto val="1"/>
        <c:lblOffset val="100"/>
        <c:baseTimeUnit val="days"/>
        <c:majorUnit val="1"/>
        <c:majorTimeUnit val="months"/>
      </c:dateAx>
      <c:valAx>
        <c:axId val="46794273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7942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1.0011445748571535</c:v>
                </c:pt>
                <c:pt idx="1">
                  <c:v>1.0010645631627599</c:v>
                </c:pt>
                <c:pt idx="2">
                  <c:v>1.0009890536460717</c:v>
                </c:pt>
                <c:pt idx="3">
                  <c:v>1.0009175780504163</c:v>
                </c:pt>
                <c:pt idx="4">
                  <c:v>1.0008497285221096</c:v>
                </c:pt>
                <c:pt idx="5">
                  <c:v>1.00078515565282</c:v>
                </c:pt>
                <c:pt idx="6">
                  <c:v>1.0007235660817999</c:v>
                </c:pt>
                <c:pt idx="7">
                  <c:v>1.0006647196962188</c:v>
                </c:pt>
                <c:pt idx="8">
                  <c:v>1.0006084264706698</c:v>
                </c:pt>
                <c:pt idx="9">
                  <c:v>1.0005545429893146</c:v>
                </c:pt>
                <c:pt idx="10">
                  <c:v>1.000502968696068</c:v>
                </c:pt>
                <c:pt idx="11">
                  <c:v>1.0004536419196959</c:v>
                </c:pt>
                <c:pt idx="12">
                  <c:v>1.0004065357216871</c:v>
                </c:pt>
                <c:pt idx="13">
                  <c:v>1.0003616536152811</c:v>
                </c:pt>
                <c:pt idx="14">
                  <c:v>1.0003190252040661</c:v>
                </c:pt>
                <c:pt idx="15">
                  <c:v>1.0002787017881365</c:v>
                </c:pt>
                <c:pt idx="16">
                  <c:v>1.0002407519849124</c:v>
                </c:pt>
                <c:pt idx="17">
                  <c:v>1.0002052574103957</c:v>
                </c:pt>
                <c:pt idx="18">
                  <c:v>1.000172308464893</c:v>
                </c:pt>
                <c:pt idx="19">
                  <c:v>1.0001420002650916</c:v>
                </c:pt>
                <c:pt idx="20">
                  <c:v>1.0001144287618662</c:v>
                </c:pt>
                <c:pt idx="21">
                  <c:v>1.000089687080344</c:v>
                </c:pt>
                <c:pt idx="22">
                  <c:v>1.0000678621156116</c:v>
                </c:pt>
                <c:pt idx="23">
                  <c:v>1.0000490314140213</c:v>
                </c:pt>
                <c:pt idx="24">
                  <c:v>1.0000332603664237</c:v>
                </c:pt>
                <c:pt idx="25">
                  <c:v>1.00002059973581</c:v>
                </c:pt>
                <c:pt idx="26">
                  <c:v>1.0000110835378853</c:v>
                </c:pt>
                <c:pt idx="27">
                  <c:v>1.0000047272890034</c:v>
                </c:pt>
                <c:pt idx="28">
                  <c:v>1.0000015266317694</c:v>
                </c:pt>
                <c:pt idx="29">
                  <c:v>1.0000014563444535</c:v>
                </c:pt>
                <c:pt idx="30">
                  <c:v>1.000004469736238</c:v>
                </c:pt>
                <c:pt idx="31">
                  <c:v>1.0000104984262574</c:v>
                </c:pt>
                <c:pt idx="32">
                  <c:v>1.0000194525004433</c:v>
                </c:pt>
                <c:pt idx="33">
                  <c:v>1.0000312210363758</c:v>
                </c:pt>
                <c:pt idx="34">
                  <c:v>1.0000456729827252</c:v>
                </c:pt>
                <c:pt idx="35">
                  <c:v>1.0000626583764611</c:v>
                </c:pt>
                <c:pt idx="36">
                  <c:v>1.0000820098778427</c:v>
                </c:pt>
                <c:pt idx="37">
                  <c:v>1.000103544600327</c:v>
                </c:pt>
                <c:pt idx="38">
                  <c:v>1.0001270662099435</c:v>
                </c:pt>
                <c:pt idx="39">
                  <c:v>1.0001523672664208</c:v>
                </c:pt>
                <c:pt idx="40">
                  <c:v>1.0001792317764264</c:v>
                </c:pt>
                <c:pt idx="41">
                  <c:v>1.0002074379277077</c:v>
                </c:pt>
                <c:pt idx="42">
                  <c:v>1.0002367609717036</c:v>
                </c:pt>
                <c:pt idx="43">
                  <c:v>1.0002669762213519</c:v>
                </c:pt>
                <c:pt idx="44">
                  <c:v>1.0002978621303371</c:v>
                </c:pt>
                <c:pt idx="45">
                  <c:v>1.0003292034199023</c:v>
                </c:pt>
                <c:pt idx="46">
                  <c:v>1.0003607942195929</c:v>
                </c:pt>
                <c:pt idx="47">
                  <c:v>1.0003924411888905</c:v>
                </c:pt>
                <c:pt idx="48">
                  <c:v>1.0004239665876113</c:v>
                </c:pt>
                <c:pt idx="49">
                  <c:v>1.00045521126419</c:v>
                </c:pt>
                <c:pt idx="50">
                  <c:v>1.0004860375324978</c:v>
                </c:pt>
                <c:pt idx="51">
                  <c:v>1.0005163319096573</c:v>
                </c:pt>
                <c:pt idx="52">
                  <c:v>1.0005460076893646</c:v>
                </c:pt>
                <c:pt idx="53">
                  <c:v>1.0005750073275079</c:v>
                </c:pt>
                <c:pt idx="54">
                  <c:v>1.0006033046193257</c:v>
                </c:pt>
                <c:pt idx="55">
                  <c:v>1.0006309066499774</c:v>
                </c:pt>
                <c:pt idx="56">
                  <c:v>1.0006578555031269</c:v>
                </c:pt>
                <c:pt idx="57">
                  <c:v>1.0006842297149852</c:v>
                </c:pt>
                <c:pt idx="58">
                  <c:v>1.0007101454641394</c:v>
                </c:pt>
                <c:pt idx="59">
                  <c:v>1.0007357574904123</c:v>
                </c:pt>
                <c:pt idx="60">
                  <c:v>1.0007612597388913</c:v>
                </c:pt>
                <c:pt idx="61">
                  <c:v>1.0007868857281301</c:v>
                </c:pt>
                <c:pt idx="62">
                  <c:v>1.0008129086442998</c:v>
                </c:pt>
                <c:pt idx="63">
                  <c:v>1.0008396411657456</c:v>
                </c:pt>
                <c:pt idx="64">
                  <c:v>1.0008674350249427</c:v>
                </c:pt>
                <c:pt idx="65">
                  <c:v>1.0008966803172263</c:v>
                </c:pt>
                <c:pt idx="66">
                  <c:v>1.0009278045678647</c:v>
                </c:pt>
                <c:pt idx="67">
                  <c:v>1.0009612715710277</c:v>
                </c:pt>
                <c:pt idx="68">
                  <c:v>1.0009975800159747</c:v>
                </c:pt>
                <c:pt idx="69">
                  <c:v>1.0010372619172989</c:v>
                </c:pt>
                <c:pt idx="70">
                  <c:v>1.0010808808673428</c:v>
                </c:pt>
                <c:pt idx="71">
                  <c:v>1.0011290301298998</c:v>
                </c:pt>
                <c:pt idx="72">
                  <c:v>1.0011823305950662</c:v>
                </c:pt>
                <c:pt idx="73">
                  <c:v>1.001241428615568</c:v>
                </c:pt>
                <c:pt idx="74">
                  <c:v>1.0013069937450969</c:v>
                </c:pt>
                <c:pt idx="75">
                  <c:v>1.0013797163991229</c:v>
                </c:pt>
                <c:pt idx="76">
                  <c:v>1.0014603054583291</c:v>
                </c:pt>
                <c:pt idx="77">
                  <c:v>1.0015494858342515</c:v>
                </c:pt>
                <c:pt idx="78">
                  <c:v>1.0016479960159033</c:v>
                </c:pt>
                <c:pt idx="79">
                  <c:v>1.0017565856151489</c:v>
                </c:pt>
                <c:pt idx="80">
                  <c:v>1.0018760129273803</c:v>
                </c:pt>
                <c:pt idx="81">
                  <c:v>1.0020070425226533</c:v>
                </c:pt>
                <c:pt idx="82">
                  <c:v>1.002150442880902</c:v>
                </c:pt>
                <c:pt idx="83">
                  <c:v>1.0023069840831749</c:v>
                </c:pt>
                <c:pt idx="84">
                  <c:v>1.0024774355690584</c:v>
                </c:pt>
                <c:pt idx="85">
                  <c:v>1.00266256396861</c:v>
                </c:pt>
                <c:pt idx="86">
                  <c:v>1.0028631310152114</c:v>
                </c:pt>
                <c:pt idx="87">
                  <c:v>1.0030798915438506</c:v>
                </c:pt>
                <c:pt idx="88">
                  <c:v>1.003313591577417</c:v>
                </c:pt>
                <c:pt idx="89">
                  <c:v>1.0035649665017321</c:v>
                </c:pt>
                <c:pt idx="90">
                  <c:v>1.0038347393282232</c:v>
                </c:pt>
                <c:pt idx="91">
                  <c:v>1.0041236190414302</c:v>
                </c:pt>
                <c:pt idx="92">
                  <c:v>1.0044322990269294</c:v>
                </c:pt>
                <c:pt idx="93">
                  <c:v>1.0047614555737949</c:v>
                </c:pt>
                <c:pt idx="94">
                  <c:v>1.005111746444401</c:v>
                </c:pt>
                <c:pt idx="95">
                  <c:v>1.0054838095032457</c:v>
                </c:pt>
                <c:pt idx="96">
                  <c:v>1.0058782613955322</c:v>
                </c:pt>
                <c:pt idx="97">
                  <c:v>1.0062956962655158</c:v>
                </c:pt>
                <c:pt idx="98">
                  <c:v>1.0067366845041132</c:v>
                </c:pt>
                <c:pt idx="99">
                  <c:v>1.0072017715149792</c:v>
                </c:pt>
                <c:pt idx="100">
                  <c:v>1.0076914764882119</c:v>
                </c:pt>
                <c:pt idx="101">
                  <c:v>1.0082062911710106</c:v>
                </c:pt>
                <c:pt idx="102">
                  <c:v>1.0087466786250339</c:v>
                </c:pt>
                <c:pt idx="103">
                  <c:v>1.0093130719608343</c:v>
                </c:pt>
                <c:pt idx="104">
                  <c:v>1.0099058730406014</c:v>
                </c:pt>
                <c:pt idx="105">
                  <c:v>1.010525451141512</c:v>
                </c:pt>
                <c:pt idx="106">
                  <c:v>1.0111721415732464</c:v>
                </c:pt>
                <c:pt idx="107">
                  <c:v>1.0118462442446636</c:v>
                </c:pt>
                <c:pt idx="108">
                  <c:v>1.0125480221762289</c:v>
                </c:pt>
                <c:pt idx="109">
                  <c:v>1.0132776999565252</c:v>
                </c:pt>
                <c:pt idx="110">
                  <c:v>1.0140354621430321</c:v>
                </c:pt>
                <c:pt idx="111">
                  <c:v>1.0148214516092939</c:v>
                </c:pt>
                <c:pt idx="112">
                  <c:v>1.0156357678426169</c:v>
                </c:pt>
                <c:pt idx="113">
                  <c:v>1.016478465198466</c:v>
                </c:pt>
                <c:pt idx="114">
                  <c:v>1.0173495511197956</c:v>
                </c:pt>
                <c:pt idx="115">
                  <c:v>1.018248984331571</c:v>
                </c:pt>
                <c:pt idx="116">
                  <c:v>1.0191766730227187</c:v>
                </c:pt>
                <c:pt idx="117">
                  <c:v>1.0201324730296519</c:v>
                </c:pt>
                <c:pt idx="118">
                  <c:v>1.0211161860372988</c:v>
                </c:pt>
                <c:pt idx="119">
                  <c:v>1.0221275578152307</c:v>
                </c:pt>
                <c:pt idx="120">
                  <c:v>1.0231662765079774</c:v>
                </c:pt>
                <c:pt idx="121">
                  <c:v>1.0242319709999275</c:v>
                </c:pt>
                <c:pt idx="122">
                  <c:v>1.025324209376318</c:v>
                </c:pt>
                <c:pt idx="123">
                  <c:v>1.0264424975026831</c:v>
                </c:pt>
                <c:pt idx="124">
                  <c:v>1.0275862777457612</c:v>
                </c:pt>
                <c:pt idx="125">
                  <c:v>1.0287549278592165</c:v>
                </c:pt>
                <c:pt idx="126">
                  <c:v>1.0299477600576219</c:v>
                </c:pt>
                <c:pt idx="127">
                  <c:v>1.0311640203019421</c:v>
                </c:pt>
                <c:pt idx="128">
                  <c:v>1.0324028878192768</c:v>
                </c:pt>
                <c:pt idx="129">
                  <c:v>1.0336634748788227</c:v>
                </c:pt>
                <c:pt idx="130">
                  <c:v>1.0349448268449506</c:v>
                </c:pt>
                <c:pt idx="131">
                  <c:v>1.0362459225269123</c:v>
                </c:pt>
                <c:pt idx="132">
                  <c:v>1.037565674843048</c:v>
                </c:pt>
                <c:pt idx="133">
                  <c:v>1.0389029318154424</c:v>
                </c:pt>
                <c:pt idx="134">
                  <c:v>1.0402564779087942</c:v>
                </c:pt>
                <c:pt idx="135">
                  <c:v>1.0416250357248538</c:v>
                </c:pt>
                <c:pt idx="136">
                  <c:v>1.0430072680611344</c:v>
                </c:pt>
                <c:pt idx="137">
                  <c:v>1.0444017803397805</c:v>
                </c:pt>
                <c:pt idx="138">
                  <c:v>1.045807123409465</c:v>
                </c:pt>
                <c:pt idx="139">
                  <c:v>1.0472217967200479</c:v>
                </c:pt>
                <c:pt idx="140">
                  <c:v>1.0486442518664663</c:v>
                </c:pt>
                <c:pt idx="141">
                  <c:v>1.0500728964949999</c:v>
                </c:pt>
                <c:pt idx="142">
                  <c:v>1.0515060985616662</c:v>
                </c:pt>
                <c:pt idx="143">
                  <c:v>1.0529421909291163</c:v>
                </c:pt>
                <c:pt idx="144">
                  <c:v>1.054379476285028</c:v>
                </c:pt>
                <c:pt idx="145">
                  <c:v>1.0558162323616949</c:v>
                </c:pt>
                <c:pt idx="146">
                  <c:v>1.0572507174332917</c:v>
                </c:pt>
                <c:pt idx="147">
                  <c:v>1.0586811760642236</c:v>
                </c:pt>
                <c:pt idx="148">
                  <c:v>1.0601058450790448</c:v>
                </c:pt>
                <c:pt idx="149">
                  <c:v>1.0615229597217257</c:v>
                </c:pt>
                <c:pt idx="150">
                  <c:v>1.0629307599695514</c:v>
                </c:pt>
                <c:pt idx="151">
                  <c:v>1.0643274969647172</c:v>
                </c:pt>
                <c:pt idx="152">
                  <c:v>1.0657114395247369</c:v>
                </c:pt>
                <c:pt idx="153">
                  <c:v>1.0670808806911596</c:v>
                </c:pt>
                <c:pt idx="154">
                  <c:v>1.0684341442747858</c:v>
                </c:pt>
                <c:pt idx="155">
                  <c:v>1.0697695913546346</c:v>
                </c:pt>
                <c:pt idx="156">
                  <c:v>1.0710856266873325</c:v>
                </c:pt>
                <c:pt idx="157">
                  <c:v>1.0723807049833933</c:v>
                </c:pt>
                <c:pt idx="158">
                  <c:v>1.0736533370070429</c:v>
                </c:pt>
                <c:pt idx="159">
                  <c:v>1.0749020954568203</c:v>
                </c:pt>
                <c:pt idx="160">
                  <c:v>1.0761256205851479</c:v>
                </c:pt>
                <c:pt idx="161">
                  <c:v>1.0773226255164148</c:v>
                </c:pt>
                <c:pt idx="162">
                  <c:v>1.0784919012248422</c:v>
                </c:pt>
                <c:pt idx="163">
                  <c:v>1.0796323211355012</c:v>
                </c:pt>
                <c:pt idx="164">
                  <c:v>1.0807428453142849</c:v>
                </c:pt>
                <c:pt idx="165">
                  <c:v>1.0818225242154214</c:v>
                </c:pt>
                <c:pt idx="166">
                  <c:v>1.082870501958191</c:v>
                </c:pt>
                <c:pt idx="167">
                  <c:v>1.0838860191078752</c:v>
                </c:pt>
                <c:pt idx="168">
                  <c:v>1.0848684149395811</c:v>
                </c:pt>
                <c:pt idx="169">
                  <c:v>1.085817129167419</c:v>
                </c:pt>
                <c:pt idx="170">
                  <c:v>1.0867317031255332</c:v>
                </c:pt>
                <c:pt idx="171">
                  <c:v>1.0876117803916576</c:v>
                </c:pt>
                <c:pt idx="172">
                  <c:v>1.0884571068481408</c:v>
                </c:pt>
                <c:pt idx="173">
                  <c:v>1.0892675301797436</c:v>
                </c:pt>
                <c:pt idx="174">
                  <c:v>1.0900429988118892</c:v>
                </c:pt>
                <c:pt idx="175">
                  <c:v>1.090783560297409</c:v>
                </c:pt>
                <c:pt idx="176">
                  <c:v>1.0914893591641537</c:v>
                </c:pt>
                <c:pt idx="177">
                  <c:v>1.0921606342400472</c:v>
                </c:pt>
                <c:pt idx="178">
                  <c:v>1.0927977154762554</c:v>
                </c:pt>
                <c:pt idx="179">
                  <c:v>1.0934010202930489</c:v>
                </c:pt>
                <c:pt idx="180">
                  <c:v>1.0939710494766406</c:v>
                </c:pt>
                <c:pt idx="181">
                  <c:v>1.0945083826587299</c:v>
                </c:pt>
                <c:pt idx="182">
                  <c:v>1.0950136734136524</c:v>
                </c:pt>
                <c:pt idx="183">
                  <c:v>1.0954876440109018</c:v>
                </c:pt>
                <c:pt idx="184">
                  <c:v>1.095931079863294</c:v>
                </c:pt>
                <c:pt idx="185">
                  <c:v>1.0963448237132147</c:v>
                </c:pt>
                <c:pt idx="186">
                  <c:v>1.096729769601148</c:v>
                </c:pt>
                <c:pt idx="187">
                  <c:v>1.0970868566620553</c:v>
                </c:pt>
                <c:pt idx="188">
                  <c:v>1.0974170627961288</c:v>
                </c:pt>
                <c:pt idx="189">
                  <c:v>1.0977213982609613</c:v>
                </c:pt>
                <c:pt idx="190">
                  <c:v>1.0980008992322881</c:v>
                </c:pt>
                <c:pt idx="191">
                  <c:v>1.0982566213801102</c:v>
                </c:pt>
                <c:pt idx="192">
                  <c:v>1.0984896335062639</c:v>
                </c:pt>
                <c:pt idx="193">
                  <c:v>1.0987010112883271</c:v>
                </c:pt>
                <c:pt idx="194">
                  <c:v>1.0988918311731697</c:v>
                </c:pt>
                <c:pt idx="195">
                  <c:v>1.0990631644615032</c:v>
                </c:pt>
                <c:pt idx="196">
                  <c:v>1.0992160716224411</c:v>
                </c:pt>
                <c:pt idx="197">
                  <c:v>1.0993515968744156</c:v>
                </c:pt>
                <c:pt idx="198">
                  <c:v>1.0994707630658054</c:v>
                </c:pt>
                <c:pt idx="199">
                  <c:v>1.0995745668853525</c:v>
                </c:pt>
                <c:pt idx="200">
                  <c:v>1.0996639744289312</c:v>
                </c:pt>
                <c:pt idx="201">
                  <c:v>1.0997399171454867</c:v>
                </c:pt>
                <c:pt idx="202">
                  <c:v>1.0998032881810564</c:v>
                </c:pt>
                <c:pt idx="203">
                  <c:v>1.0998549391357413</c:v>
                </c:pt>
                <c:pt idx="204">
                  <c:v>1.0998956772443464</c:v>
                </c:pt>
                <c:pt idx="205">
                  <c:v>1.0999262629872408</c:v>
                </c:pt>
                <c:pt idx="206">
                  <c:v>1.099947408133769</c:v>
                </c:pt>
                <c:pt idx="207">
                  <c:v>1.0999597742164056</c:v>
                </c:pt>
                <c:pt idx="208">
                  <c:v>1.0999639714297558</c:v>
                </c:pt>
                <c:pt idx="209">
                  <c:v>1.0999605579445482</c:v>
                </c:pt>
                <c:pt idx="210">
                  <c:v>1.0999500396229689</c:v>
                </c:pt>
                <c:pt idx="211">
                  <c:v>1.0999328701180882</c:v>
                </c:pt>
                <c:pt idx="212">
                  <c:v>1.0999094513367731</c:v>
                </c:pt>
                <c:pt idx="213">
                  <c:v>1.0998801342423872</c:v>
                </c:pt>
                <c:pt idx="214">
                  <c:v>1.0998452199707949</c:v>
                </c:pt>
                <c:pt idx="215">
                  <c:v>1.0998049612307244</c:v>
                </c:pt>
                <c:pt idx="216">
                  <c:v>1.0997595639574502</c:v>
                </c:pt>
                <c:pt idx="217">
                  <c:v>1.0997091891870177</c:v>
                </c:pt>
                <c:pt idx="218">
                  <c:v>1.099653955116902</c:v>
                </c:pt>
                <c:pt idx="219">
                  <c:v>1.0995939393180583</c:v>
                </c:pt>
                <c:pt idx="220">
                  <c:v>1.0995291810627954</c:v>
                </c:pt>
                <c:pt idx="221">
                  <c:v>1.099459683732805</c:v>
                </c:pt>
                <c:pt idx="222">
                  <c:v>1.0993854172719755</c:v>
                </c:pt>
                <c:pt idx="223">
                  <c:v>1.0993063206493434</c:v>
                </c:pt>
                <c:pt idx="224">
                  <c:v>1.0992223042986435</c:v>
                </c:pt>
                <c:pt idx="225">
                  <c:v>1.0991332525024169</c:v>
                </c:pt>
                <c:pt idx="226">
                  <c:v>1.0990390256905012</c:v>
                </c:pt>
                <c:pt idx="227">
                  <c:v>1.0989394626249316</c:v>
                </c:pt>
                <c:pt idx="228">
                  <c:v>1.0988343824458022</c:v>
                </c:pt>
                <c:pt idx="229">
                  <c:v>1.0987235865554541</c:v>
                </c:pt>
                <c:pt idx="230">
                  <c:v>1.0986068603214107</c:v>
                </c:pt>
                <c:pt idx="231">
                  <c:v>1.0984839745817732</c:v>
                </c:pt>
                <c:pt idx="232">
                  <c:v>1.0983546869402465</c:v>
                </c:pt>
                <c:pt idx="233">
                  <c:v>1.0982187428415682</c:v>
                </c:pt>
                <c:pt idx="234">
                  <c:v>1.0980758764218175</c:v>
                </c:pt>
                <c:pt idx="235">
                  <c:v>1.0979258111318362</c:v>
                </c:pt>
                <c:pt idx="236">
                  <c:v>1.0977682601357563</c:v>
                </c:pt>
                <c:pt idx="237">
                  <c:v>1.0976029264903733</c:v>
                </c:pt>
                <c:pt idx="238">
                  <c:v>1.0974295031147474</c:v>
                </c:pt>
                <c:pt idx="239">
                  <c:v>1.097247672562973</c:v>
                </c:pt>
                <c:pt idx="240">
                  <c:v>1.0970571066164099</c:v>
                </c:pt>
                <c:pt idx="241">
                  <c:v>1.0968574657148698</c:v>
                </c:pt>
                <c:pt idx="242">
                  <c:v>1.0966483982491639</c:v>
                </c:pt>
                <c:pt idx="243">
                  <c:v>1.0964295397400963</c:v>
                </c:pt>
                <c:pt idx="244">
                  <c:v>1.0962005119313223</c:v>
                </c:pt>
                <c:pt idx="245">
                  <c:v>1.0959609218255175</c:v>
                </c:pt>
                <c:pt idx="246">
                  <c:v>1.0957103606949434</c:v>
                </c:pt>
                <c:pt idx="247">
                  <c:v>1.0954484030987621</c:v>
                </c:pt>
                <c:pt idx="248">
                  <c:v>1.0951746059403074</c:v>
                </c:pt>
                <c:pt idx="249">
                  <c:v>1.0948885075979686</c:v>
                </c:pt>
                <c:pt idx="250">
                  <c:v>1.0945896271633486</c:v>
                </c:pt>
                <c:pt idx="251">
                  <c:v>1.0942774638199437</c:v>
                </c:pt>
                <c:pt idx="252">
                  <c:v>1.0939514963947516</c:v>
                </c:pt>
                <c:pt idx="253">
                  <c:v>1.0936111831139266</c:v>
                </c:pt>
                <c:pt idx="254">
                  <c:v>1.0932559615919248</c:v>
                </c:pt>
                <c:pt idx="255">
                  <c:v>1.0928852490814842</c:v>
                </c:pt>
                <c:pt idx="256">
                  <c:v>1.0924984430093083</c:v>
                </c:pt>
                <c:pt idx="257">
                  <c:v>1.0920949218194924</c:v>
                </c:pt>
                <c:pt idx="258">
                  <c:v>1.0916740461435641</c:v>
                </c:pt>
                <c:pt idx="259">
                  <c:v>1.0912351603125408</c:v>
                </c:pt>
                <c:pt idx="260">
                  <c:v>1.0907775942226741</c:v>
                </c:pt>
                <c:pt idx="261">
                  <c:v>1.090300665562592</c:v>
                </c:pt>
                <c:pt idx="262">
                  <c:v>1.0898036824053938</c:v>
                </c:pt>
                <c:pt idx="263">
                  <c:v>1.0892859461649658</c:v>
                </c:pt>
                <c:pt idx="264">
                  <c:v>1.0887467549113883</c:v>
                </c:pt>
                <c:pt idx="265">
                  <c:v>1.088185407035859</c:v>
                </c:pt>
                <c:pt idx="266">
                  <c:v>1.0876012052511075</c:v>
                </c:pt>
                <c:pt idx="267">
                  <c:v>1.0869934609088678</c:v>
                </c:pt>
                <c:pt idx="268">
                  <c:v>1.0863614986116576</c:v>
                </c:pt>
                <c:pt idx="269">
                  <c:v>1.0857046610919387</c:v>
                </c:pt>
                <c:pt idx="270">
                  <c:v>1.0850223143277369</c:v>
                </c:pt>
                <c:pt idx="271">
                  <c:v>1.0843138528600409</c:v>
                </c:pt>
                <c:pt idx="272">
                  <c:v>1.0835787052738168</c:v>
                </c:pt>
                <c:pt idx="273">
                  <c:v>1.0828163398012955</c:v>
                </c:pt>
                <c:pt idx="274">
                  <c:v>1.0820262700033811</c:v>
                </c:pt>
                <c:pt idx="275">
                  <c:v>1.0812080604825913</c:v>
                </c:pt>
                <c:pt idx="276">
                  <c:v>1.0803613325789374</c:v>
                </c:pt>
                <c:pt idx="277">
                  <c:v>1.0794857699985778</c:v>
                </c:pt>
                <c:pt idx="278">
                  <c:v>1.0785811243239922</c:v>
                </c:pt>
                <c:pt idx="279">
                  <c:v>1.0776472203538121</c:v>
                </c:pt>
                <c:pt idx="280">
                  <c:v>1.0766839612203292</c:v>
                </c:pt>
                <c:pt idx="281">
                  <c:v>1.0756913332331197</c:v>
                </c:pt>
                <c:pt idx="282">
                  <c:v>1.0746694103981191</c:v>
                </c:pt>
                <c:pt idx="283">
                  <c:v>1.073618358562922</c:v>
                </c:pt>
                <c:pt idx="284">
                  <c:v>1.0725384391409973</c:v>
                </c:pt>
                <c:pt idx="285">
                  <c:v>1.0714300123699418</c:v>
                </c:pt>
                <c:pt idx="286">
                  <c:v>1.0702935400617797</c:v>
                </c:pt>
                <c:pt idx="287">
                  <c:v>1.0691295878066698</c:v>
                </c:pt>
                <c:pt idx="288">
                  <c:v>1.0679388265951544</c:v>
                </c:pt>
                <c:pt idx="289">
                  <c:v>1.0667220338282546</c:v>
                </c:pt>
                <c:pt idx="290">
                  <c:v>1.0654800936892384</c:v>
                </c:pt>
                <c:pt idx="291">
                  <c:v>1.0642139968557469</c:v>
                </c:pt>
                <c:pt idx="292">
                  <c:v>1.062924839536084</c:v>
                </c:pt>
                <c:pt idx="293">
                  <c:v>1.0616138218188307</c:v>
                </c:pt>
                <c:pt idx="294">
                  <c:v>1.0602822453304976</c:v>
                </c:pt>
                <c:pt idx="295">
                  <c:v>1.0589315102015924</c:v>
                </c:pt>
                <c:pt idx="296">
                  <c:v>1.0575631113472419</c:v>
                </c:pt>
                <c:pt idx="297">
                  <c:v>1.0561786340742909</c:v>
                </c:pt>
                <c:pt idx="298">
                  <c:v>1.0547797490325519</c:v>
                </c:pt>
                <c:pt idx="299">
                  <c:v>1.053368206533561</c:v>
                </c:pt>
                <c:pt idx="300">
                  <c:v>1.0519458302657334</c:v>
                </c:pt>
                <c:pt idx="301">
                  <c:v>1.0505145104401628</c:v>
                </c:pt>
                <c:pt idx="302">
                  <c:v>1.0490761964064301</c:v>
                </c:pt>
                <c:pt idx="303">
                  <c:v>1.0476328887826045</c:v>
                </c:pt>
                <c:pt idx="304">
                  <c:v>1.0461866311481216</c:v>
                </c:pt>
                <c:pt idx="305">
                  <c:v>1.0447395013523235</c:v>
                </c:pt>
                <c:pt idx="306">
                  <c:v>1.0432936024951529</c:v>
                </c:pt>
                <c:pt idx="307">
                  <c:v>1.0418510536397143</c:v>
                </c:pt>
                <c:pt idx="308">
                  <c:v>1.0404139803191756</c:v>
                </c:pt>
                <c:pt idx="309">
                  <c:v>1.0389845049027091</c:v>
                </c:pt>
                <c:pt idx="310">
                  <c:v>1.0375647368868557</c:v>
                </c:pt>
                <c:pt idx="311">
                  <c:v>1.0361567631798401</c:v>
                </c:pt>
                <c:pt idx="312">
                  <c:v>1.0347626384469126</c:v>
                </c:pt>
                <c:pt idx="313">
                  <c:v>1.0333843755847791</c:v>
                </c:pt>
                <c:pt idx="314">
                  <c:v>1.0320239363925774</c:v>
                </c:pt>
                <c:pt idx="315">
                  <c:v>1.0306832225056806</c:v>
                </c:pt>
                <c:pt idx="316">
                  <c:v>1.029364066656854</c:v>
                </c:pt>
                <c:pt idx="317">
                  <c:v>1.0280682243269867</c:v>
                </c:pt>
                <c:pt idx="318">
                  <c:v>1.0267973658447787</c:v>
                </c:pt>
                <c:pt idx="319">
                  <c:v>1.0255530689914025</c:v>
                </c:pt>
                <c:pt idx="320">
                  <c:v>1.0243368121623271</c:v>
                </c:pt>
                <c:pt idx="321">
                  <c:v>1.0231499681341927</c:v>
                </c:pt>
                <c:pt idx="322">
                  <c:v>1.0219937984799359</c:v>
                </c:pt>
                <c:pt idx="323">
                  <c:v>1.0208694486702825</c:v>
                </c:pt>
                <c:pt idx="324">
                  <c:v>1.0197779438943388</c:v>
                </c:pt>
                <c:pt idx="325">
                  <c:v>1.0187201856263339</c:v>
                </c:pt>
                <c:pt idx="326">
                  <c:v>1.0176969489596728</c:v>
                </c:pt>
                <c:pt idx="327">
                  <c:v>1.0167088807233866</c:v>
                </c:pt>
                <c:pt idx="328">
                  <c:v>1.0157564983898819</c:v>
                </c:pt>
                <c:pt idx="329">
                  <c:v>1.0148401897766381</c:v>
                </c:pt>
                <c:pt idx="330">
                  <c:v>1.0139602135382435</c:v>
                </c:pt>
                <c:pt idx="331">
                  <c:v>1.0131167004389636</c:v>
                </c:pt>
                <c:pt idx="332">
                  <c:v>1.0123096553899191</c:v>
                </c:pt>
                <c:pt idx="333">
                  <c:v>1.0115389602290221</c:v>
                </c:pt>
                <c:pt idx="334">
                  <c:v>1.0108043772160835</c:v>
                </c:pt>
                <c:pt idx="335">
                  <c:v>1.01010555321004</c:v>
                </c:pt>
                <c:pt idx="336">
                  <c:v>1.0094420244900926</c:v>
                </c:pt>
                <c:pt idx="337">
                  <c:v>1.0088132221777539</c:v>
                </c:pt>
                <c:pt idx="338">
                  <c:v>1.008218478212396</c:v>
                </c:pt>
                <c:pt idx="339">
                  <c:v>1.0076570318289273</c:v>
                </c:pt>
                <c:pt idx="340">
                  <c:v>1.0071280364827317</c:v>
                </c:pt>
                <c:pt idx="341">
                  <c:v>1.006630567163999</c:v>
                </c:pt>
                <c:pt idx="342">
                  <c:v>1.0061636280411046</c:v>
                </c:pt>
                <c:pt idx="343">
                  <c:v>1.0057261603707564</c:v>
                </c:pt>
                <c:pt idx="344">
                  <c:v>1.0053170506112459</c:v>
                </c:pt>
                <c:pt idx="345">
                  <c:v>1.0049351386743228</c:v>
                </c:pt>
                <c:pt idx="346">
                  <c:v>1.0045792262509643</c:v>
                </c:pt>
                <c:pt idx="347">
                  <c:v>1.0042480851466158</c:v>
                </c:pt>
                <c:pt idx="348">
                  <c:v>1.0039404655623656</c:v>
                </c:pt>
                <c:pt idx="349">
                  <c:v>1.0036551042599178</c:v>
                </c:pt>
                <c:pt idx="350">
                  <c:v>1.0033907325501814</c:v>
                </c:pt>
                <c:pt idx="351">
                  <c:v>1.0031460840477424</c:v>
                </c:pt>
                <c:pt idx="352">
                  <c:v>1.0029199021364084</c:v>
                </c:pt>
                <c:pt idx="353">
                  <c:v>1.0027109470943973</c:v>
                </c:pt>
                <c:pt idx="354">
                  <c:v>1.0025180028315217</c:v>
                </c:pt>
                <c:pt idx="355">
                  <c:v>1.0023398831948833</c:v>
                </c:pt>
                <c:pt idx="356">
                  <c:v>1.0021754378040815</c:v>
                </c:pt>
                <c:pt idx="357">
                  <c:v>1.0020235573817138</c:v>
                </c:pt>
                <c:pt idx="358">
                  <c:v>1.0018831785499605</c:v>
                </c:pt>
                <c:pt idx="359">
                  <c:v>1.0017532880692508</c:v>
                </c:pt>
                <c:pt idx="360">
                  <c:v>1.0016329265003474</c:v>
                </c:pt>
                <c:pt idx="361">
                  <c:v>1.0015211912766164</c:v>
                </c:pt>
                <c:pt idx="362">
                  <c:v>1.0014172391787171</c:v>
                </c:pt>
                <c:pt idx="363">
                  <c:v>1.0013202882093937</c:v>
                </c:pt>
                <c:pt idx="364">
                  <c:v>1.0012296188714382</c:v>
                </c:pt>
                <c:pt idx="365">
                  <c:v>1.0011445748571535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1440792"/>
        <c:axId val="531442360"/>
      </c:lineChart>
      <c:dateAx>
        <c:axId val="531440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1442360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31442360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1440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4.1125870155699063E-4</c:v>
                </c:pt>
                <c:pt idx="1">
                  <c:v>4.2356302145848328E-4</c:v>
                </c:pt>
                <c:pt idx="2">
                  <c:v>4.362276637260847E-4</c:v>
                </c:pt>
                <c:pt idx="3">
                  <c:v>4.4925220331855088E-4</c:v>
                </c:pt>
                <c:pt idx="4">
                  <c:v>4.6263609342990243E-4</c:v>
                </c:pt>
                <c:pt idx="5">
                  <c:v>4.763786566542657E-4</c:v>
                </c:pt>
                <c:pt idx="6">
                  <c:v>4.904790761567873E-4</c:v>
                </c:pt>
                <c:pt idx="7">
                  <c:v>5.0493638683407789E-4</c:v>
                </c:pt>
                <c:pt idx="8">
                  <c:v>5.1974946648090524E-4</c:v>
                </c:pt>
                <c:pt idx="9">
                  <c:v>5.3549127746198972E-4</c:v>
                </c:pt>
                <c:pt idx="10">
                  <c:v>5.5154148337589705E-4</c:v>
                </c:pt>
                <c:pt idx="11">
                  <c:v>5.6789835239990163E-4</c:v>
                </c:pt>
                <c:pt idx="12">
                  <c:v>5.84559959695838E-4</c:v>
                </c:pt>
                <c:pt idx="13">
                  <c:v>6.0152417972396117E-4</c:v>
                </c:pt>
                <c:pt idx="14">
                  <c:v>6.1878867854639886E-4</c:v>
                </c:pt>
                <c:pt idx="15">
                  <c:v>6.3827003656402375E-4</c:v>
                </c:pt>
                <c:pt idx="16">
                  <c:v>6.6023979225056156E-4</c:v>
                </c:pt>
                <c:pt idx="17">
                  <c:v>6.8469646492411737E-4</c:v>
                </c:pt>
                <c:pt idx="18">
                  <c:v>7.1163786001650418E-4</c:v>
                </c:pt>
                <c:pt idx="19">
                  <c:v>7.4106513935486224E-4</c:v>
                </c:pt>
                <c:pt idx="20">
                  <c:v>7.7298128393657852E-4</c:v>
                </c:pt>
                <c:pt idx="21">
                  <c:v>8.0738608195398917E-4</c:v>
                </c:pt>
                <c:pt idx="22">
                  <c:v>8.442791164736045E-4</c:v>
                </c:pt>
                <c:pt idx="23">
                  <c:v>8.837599578171095E-4</c:v>
                </c:pt>
                <c:pt idx="24">
                  <c:v>9.2525142379789606E-4</c:v>
                </c:pt>
                <c:pt idx="25">
                  <c:v>9.6875258289372268E-4</c:v>
                </c:pt>
                <c:pt idx="26">
                  <c:v>1.0142624766546274E-3</c:v>
                </c:pt>
                <c:pt idx="27">
                  <c:v>1.0617801449774524E-3</c:v>
                </c:pt>
                <c:pt idx="28">
                  <c:v>1.1113046514014506E-3</c:v>
                </c:pt>
                <c:pt idx="29">
                  <c:v>1.1640306502679445E-3</c:v>
                </c:pt>
                <c:pt idx="30">
                  <c:v>1.2180349246570677E-3</c:v>
                </c:pt>
                <c:pt idx="31">
                  <c:v>1.2733167944485911E-3</c:v>
                </c:pt>
                <c:pt idx="32">
                  <c:v>1.3298757580548024E-3</c:v>
                </c:pt>
                <c:pt idx="33">
                  <c:v>1.3877115086157661E-3</c:v>
                </c:pt>
                <c:pt idx="34">
                  <c:v>1.4468239502004256E-3</c:v>
                </c:pt>
                <c:pt idx="35">
                  <c:v>1.5072132140073412E-3</c:v>
                </c:pt>
                <c:pt idx="36">
                  <c:v>1.5688796745628379E-3</c:v>
                </c:pt>
                <c:pt idx="37">
                  <c:v>1.6358361823495052E-3</c:v>
                </c:pt>
                <c:pt idx="38">
                  <c:v>1.7079824863742859E-3</c:v>
                </c:pt>
                <c:pt idx="39">
                  <c:v>1.785318726233547E-3</c:v>
                </c:pt>
                <c:pt idx="40">
                  <c:v>1.8678453472712776E-3</c:v>
                </c:pt>
                <c:pt idx="41">
                  <c:v>1.9555631657157909E-3</c:v>
                </c:pt>
                <c:pt idx="42">
                  <c:v>2.048473433805314E-3</c:v>
                </c:pt>
                <c:pt idx="43">
                  <c:v>2.1442162859582345E-3</c:v>
                </c:pt>
                <c:pt idx="44">
                  <c:v>2.2416003414080397E-3</c:v>
                </c:pt>
                <c:pt idx="45">
                  <c:v>2.3406293163598197E-3</c:v>
                </c:pt>
                <c:pt idx="46">
                  <c:v>2.4413074719137964E-3</c:v>
                </c:pt>
                <c:pt idx="47">
                  <c:v>2.5436396347106659E-3</c:v>
                </c:pt>
                <c:pt idx="48">
                  <c:v>2.6476312175468331E-3</c:v>
                </c:pt>
                <c:pt idx="49">
                  <c:v>2.7532882400110302E-3</c:v>
                </c:pt>
                <c:pt idx="50">
                  <c:v>2.8606173491055225E-3</c:v>
                </c:pt>
                <c:pt idx="51">
                  <c:v>2.9643036602164108E-3</c:v>
                </c:pt>
                <c:pt idx="52">
                  <c:v>3.0603299710921031E-3</c:v>
                </c:pt>
                <c:pt idx="53">
                  <c:v>3.1486821779233435E-3</c:v>
                </c:pt>
                <c:pt idx="54">
                  <c:v>3.229360069175442E-3</c:v>
                </c:pt>
                <c:pt idx="55">
                  <c:v>3.3023631758127073E-3</c:v>
                </c:pt>
                <c:pt idx="56">
                  <c:v>3.3676907997203511E-3</c:v>
                </c:pt>
                <c:pt idx="57">
                  <c:v>3.4267115569456717E-3</c:v>
                </c:pt>
                <c:pt idx="58">
                  <c:v>3.4817849993784185E-3</c:v>
                </c:pt>
                <c:pt idx="59">
                  <c:v>3.5329099871667519E-3</c:v>
                </c:pt>
                <c:pt idx="60">
                  <c:v>3.5800852776557467E-3</c:v>
                </c:pt>
                <c:pt idx="61">
                  <c:v>3.6233095400117921E-3</c:v>
                </c:pt>
                <c:pt idx="62">
                  <c:v>3.6625813698415613E-3</c:v>
                </c:pt>
                <c:pt idx="63">
                  <c:v>3.6978993038218298E-3</c:v>
                </c:pt>
                <c:pt idx="64">
                  <c:v>3.729261834314798E-3</c:v>
                </c:pt>
                <c:pt idx="65">
                  <c:v>3.7545427415551632E-3</c:v>
                </c:pt>
                <c:pt idx="66">
                  <c:v>3.7790628620367923E-3</c:v>
                </c:pt>
                <c:pt idx="67">
                  <c:v>3.8028206666523229E-3</c:v>
                </c:pt>
                <c:pt idx="68">
                  <c:v>3.8258145993690365E-3</c:v>
                </c:pt>
                <c:pt idx="69">
                  <c:v>3.848043080010217E-3</c:v>
                </c:pt>
                <c:pt idx="70">
                  <c:v>3.8695045070541311E-3</c:v>
                </c:pt>
                <c:pt idx="71">
                  <c:v>3.8816028759901776E-3</c:v>
                </c:pt>
                <c:pt idx="72">
                  <c:v>3.8829673729435681E-3</c:v>
                </c:pt>
                <c:pt idx="73">
                  <c:v>3.8735970004412398E-3</c:v>
                </c:pt>
                <c:pt idx="74">
                  <c:v>3.8534910341665295E-3</c:v>
                </c:pt>
                <c:pt idx="75">
                  <c:v>3.8226490626200029E-3</c:v>
                </c:pt>
                <c:pt idx="76">
                  <c:v>3.7810710267682686E-3</c:v>
                </c:pt>
                <c:pt idx="77">
                  <c:v>3.728757259705289E-3</c:v>
                </c:pt>
                <c:pt idx="78">
                  <c:v>3.6657086480062486E-3</c:v>
                </c:pt>
                <c:pt idx="79">
                  <c:v>3.5898706964001348E-3</c:v>
                </c:pt>
                <c:pt idx="80">
                  <c:v>3.5033780487956001E-3</c:v>
                </c:pt>
                <c:pt idx="81">
                  <c:v>3.4062311309120989E-3</c:v>
                </c:pt>
                <c:pt idx="82">
                  <c:v>3.2984305098885461E-3</c:v>
                </c:pt>
                <c:pt idx="83">
                  <c:v>3.1799769284351258E-3</c:v>
                </c:pt>
                <c:pt idx="84">
                  <c:v>3.0508713389958992E-3</c:v>
                </c:pt>
                <c:pt idx="85">
                  <c:v>2.9156097063940041E-3</c:v>
                </c:pt>
                <c:pt idx="86">
                  <c:v>2.7827820610792872E-3</c:v>
                </c:pt>
                <c:pt idx="87">
                  <c:v>2.652387946616065E-3</c:v>
                </c:pt>
                <c:pt idx="88">
                  <c:v>2.5244270416341736E-3</c:v>
                </c:pt>
                <c:pt idx="89">
                  <c:v>2.3988991520581394E-3</c:v>
                </c:pt>
                <c:pt idx="90">
                  <c:v>2.2758042033312505E-3</c:v>
                </c:pt>
                <c:pt idx="91">
                  <c:v>2.1551422326489679E-3</c:v>
                </c:pt>
                <c:pt idx="92">
                  <c:v>2.0369133811852769E-3</c:v>
                </c:pt>
                <c:pt idx="93">
                  <c:v>1.9230198774150208E-3</c:v>
                </c:pt>
                <c:pt idx="94">
                  <c:v>1.8155295736343737E-3</c:v>
                </c:pt>
                <c:pt idx="95">
                  <c:v>1.7144418205671825E-3</c:v>
                </c:pt>
                <c:pt idx="96">
                  <c:v>1.6197559158946182E-3</c:v>
                </c:pt>
                <c:pt idx="97">
                  <c:v>1.5314710837650749E-3</c:v>
                </c:pt>
                <c:pt idx="98">
                  <c:v>1.449586454288086E-3</c:v>
                </c:pt>
                <c:pt idx="99">
                  <c:v>1.374176655281925E-3</c:v>
                </c:pt>
                <c:pt idx="100">
                  <c:v>1.3007511565910782E-3</c:v>
                </c:pt>
                <c:pt idx="101">
                  <c:v>1.2293103011810727E-3</c:v>
                </c:pt>
                <c:pt idx="102">
                  <c:v>1.1598544442406938E-3</c:v>
                </c:pt>
                <c:pt idx="103">
                  <c:v>1.0923839468296678E-3</c:v>
                </c:pt>
                <c:pt idx="104">
                  <c:v>1.0268991695543796E-3</c:v>
                </c:pt>
                <c:pt idx="105">
                  <c:v>9.6340046621749701E-4</c:v>
                </c:pt>
                <c:pt idx="106">
                  <c:v>9.0188817748167172E-4</c:v>
                </c:pt>
                <c:pt idx="107">
                  <c:v>8.4384590812585725E-4</c:v>
                </c:pt>
                <c:pt idx="108">
                  <c:v>7.8737473822615206E-4</c:v>
                </c:pt>
                <c:pt idx="109">
                  <c:v>7.3247512409530739E-4</c:v>
                </c:pt>
                <c:pt idx="110">
                  <c:v>6.7914944003333994E-4</c:v>
                </c:pt>
                <c:pt idx="111">
                  <c:v>6.2739949397589985E-4</c:v>
                </c:pt>
                <c:pt idx="112">
                  <c:v>5.772248852842825E-4</c:v>
                </c:pt>
                <c:pt idx="113">
                  <c:v>5.3056484840641009E-4</c:v>
                </c:pt>
                <c:pt idx="114">
                  <c:v>4.8734231886404848E-4</c:v>
                </c:pt>
                <c:pt idx="115">
                  <c:v>4.4755563970325899E-4</c:v>
                </c:pt>
                <c:pt idx="116">
                  <c:v>4.112030849169416E-4</c:v>
                </c:pt>
                <c:pt idx="117">
                  <c:v>3.782828519683442E-4</c:v>
                </c:pt>
                <c:pt idx="118">
                  <c:v>3.4879305430950228E-4</c:v>
                </c:pt>
                <c:pt idx="119">
                  <c:v>3.227317139011721E-4</c:v>
                </c:pt>
                <c:pt idx="120">
                  <c:v>3.0009675373226429E-4</c:v>
                </c:pt>
                <c:pt idx="121">
                  <c:v>2.8192365546815079E-4</c:v>
                </c:pt>
                <c:pt idx="122">
                  <c:v>2.6673091789035657E-4</c:v>
                </c:pt>
                <c:pt idx="123">
                  <c:v>2.5451645580023245E-4</c:v>
                </c:pt>
                <c:pt idx="124">
                  <c:v>2.4527807301249848E-4</c:v>
                </c:pt>
                <c:pt idx="125">
                  <c:v>2.3901345584352742E-4</c:v>
                </c:pt>
                <c:pt idx="126">
                  <c:v>2.3572016659597473E-4</c:v>
                </c:pt>
                <c:pt idx="127">
                  <c:v>2.3575762832772347E-4</c:v>
                </c:pt>
                <c:pt idx="128">
                  <c:v>2.371906275785993E-4</c:v>
                </c:pt>
                <c:pt idx="129">
                  <c:v>2.4001778990972352E-4</c:v>
                </c:pt>
                <c:pt idx="130">
                  <c:v>2.4423767001915953E-4</c:v>
                </c:pt>
                <c:pt idx="131">
                  <c:v>2.4984874867215628E-4</c:v>
                </c:pt>
                <c:pt idx="132">
                  <c:v>2.5684942963359651E-4</c:v>
                </c:pt>
                <c:pt idx="133">
                  <c:v>2.6523803660201439E-4</c:v>
                </c:pt>
                <c:pt idx="134">
                  <c:v>2.7501281014244146E-4</c:v>
                </c:pt>
                <c:pt idx="135">
                  <c:v>2.8719956816606153E-4</c:v>
                </c:pt>
                <c:pt idx="136">
                  <c:v>3.0076246377393721E-4</c:v>
                </c:pt>
                <c:pt idx="137">
                  <c:v>3.1569944528507825E-4</c:v>
                </c:pt>
                <c:pt idx="138">
                  <c:v>3.3200836504370431E-4</c:v>
                </c:pt>
                <c:pt idx="139">
                  <c:v>3.496869763719008E-4</c:v>
                </c:pt>
                <c:pt idx="140">
                  <c:v>3.6873293050416307E-4</c:v>
                </c:pt>
                <c:pt idx="141">
                  <c:v>3.8991485691950085E-4</c:v>
                </c:pt>
                <c:pt idx="142">
                  <c:v>4.1286691569525802E-4</c:v>
                </c:pt>
                <c:pt idx="143">
                  <c:v>4.3758348096076055E-4</c:v>
                </c:pt>
                <c:pt idx="144">
                  <c:v>4.6406104652375023E-4</c:v>
                </c:pt>
                <c:pt idx="145">
                  <c:v>4.9229602977504065E-4</c:v>
                </c:pt>
                <c:pt idx="146">
                  <c:v>5.2228479580654168E-4</c:v>
                </c:pt>
                <c:pt idx="147">
                  <c:v>5.5402368154498609E-4</c:v>
                </c:pt>
                <c:pt idx="148">
                  <c:v>5.8750901987469407E-4</c:v>
                </c:pt>
                <c:pt idx="149">
                  <c:v>6.2190447244698979E-4</c:v>
                </c:pt>
                <c:pt idx="150">
                  <c:v>6.561875485649281E-4</c:v>
                </c:pt>
                <c:pt idx="151">
                  <c:v>6.9035805035028944E-4</c:v>
                </c:pt>
                <c:pt idx="152">
                  <c:v>7.2441597089303476E-4</c:v>
                </c:pt>
                <c:pt idx="153">
                  <c:v>7.5836149337485078E-4</c:v>
                </c:pt>
                <c:pt idx="154">
                  <c:v>7.9219499019623422E-4</c:v>
                </c:pt>
                <c:pt idx="155">
                  <c:v>8.2447323119692873E-4</c:v>
                </c:pt>
                <c:pt idx="156">
                  <c:v>8.5443506300981217E-4</c:v>
                </c:pt>
                <c:pt idx="157">
                  <c:v>8.8208562534341584E-4</c:v>
                </c:pt>
                <c:pt idx="158">
                  <c:v>9.0743025136333518E-4</c:v>
                </c:pt>
                <c:pt idx="159">
                  <c:v>9.3047443691391394E-4</c:v>
                </c:pt>
                <c:pt idx="160">
                  <c:v>9.5122380975091385E-4</c:v>
                </c:pt>
                <c:pt idx="161">
                  <c:v>9.6968409876408335E-4</c:v>
                </c:pt>
                <c:pt idx="162">
                  <c:v>9.8586110320448899E-4</c:v>
                </c:pt>
                <c:pt idx="163">
                  <c:v>9.9936772697524598E-4</c:v>
                </c:pt>
                <c:pt idx="164">
                  <c:v>1.0110355159549196E-3</c:v>
                </c:pt>
                <c:pt idx="165">
                  <c:v>1.0208694977770359E-3</c:v>
                </c:pt>
                <c:pt idx="166">
                  <c:v>1.0288746703969081E-3</c:v>
                </c:pt>
                <c:pt idx="167">
                  <c:v>1.0350559771865192E-3</c:v>
                </c:pt>
                <c:pt idx="168">
                  <c:v>1.0394182820620147E-3</c:v>
                </c:pt>
                <c:pt idx="169">
                  <c:v>1.0415748015302939E-3</c:v>
                </c:pt>
                <c:pt idx="170">
                  <c:v>1.0429614542202103E-3</c:v>
                </c:pt>
                <c:pt idx="171">
                  <c:v>1.0435810413430865E-3</c:v>
                </c:pt>
                <c:pt idx="172">
                  <c:v>1.0434362948322903E-3</c:v>
                </c:pt>
                <c:pt idx="173">
                  <c:v>1.0425192057197804E-3</c:v>
                </c:pt>
                <c:pt idx="174">
                  <c:v>1.0408211792273727E-3</c:v>
                </c:pt>
                <c:pt idx="175">
                  <c:v>1.0383440090687469E-3</c:v>
                </c:pt>
                <c:pt idx="176">
                  <c:v>1.0350894838188015E-3</c:v>
                </c:pt>
                <c:pt idx="177">
                  <c:v>1.0296338305801167E-3</c:v>
                </c:pt>
                <c:pt idx="178">
                  <c:v>1.0223706974160859E-3</c:v>
                </c:pt>
                <c:pt idx="179">
                  <c:v>1.0133033674706261E-3</c:v>
                </c:pt>
                <c:pt idx="180">
                  <c:v>1.0024350768713787E-3</c:v>
                </c:pt>
                <c:pt idx="181">
                  <c:v>9.8976900406641142E-4</c:v>
                </c:pt>
                <c:pt idx="182">
                  <c:v>9.7530825916983146E-4</c:v>
                </c:pt>
                <c:pt idx="183">
                  <c:v>9.5823911502655886E-4</c:v>
                </c:pt>
                <c:pt idx="184">
                  <c:v>9.389542811425322E-4</c:v>
                </c:pt>
                <c:pt idx="185">
                  <c:v>9.1745718899346161E-4</c:v>
                </c:pt>
                <c:pt idx="186">
                  <c:v>8.9375113971225015E-4</c:v>
                </c:pt>
                <c:pt idx="187">
                  <c:v>8.6783929091599672E-4</c:v>
                </c:pt>
                <c:pt idx="188">
                  <c:v>8.3972464353729488E-4</c:v>
                </c:pt>
                <c:pt idx="189">
                  <c:v>8.0941002862901777E-4</c:v>
                </c:pt>
                <c:pt idx="190">
                  <c:v>7.7689809420593173E-4</c:v>
                </c:pt>
                <c:pt idx="191">
                  <c:v>7.4294178447886165E-4</c:v>
                </c:pt>
                <c:pt idx="192">
                  <c:v>7.0895802566598245E-4</c:v>
                </c:pt>
                <c:pt idx="193">
                  <c:v>6.7494624778131288E-4</c:v>
                </c:pt>
                <c:pt idx="194">
                  <c:v>6.4090579696019878E-4</c:v>
                </c:pt>
                <c:pt idx="195">
                  <c:v>6.0683593510084323E-4</c:v>
                </c:pt>
                <c:pt idx="196">
                  <c:v>5.7273583947916695E-4</c:v>
                </c:pt>
                <c:pt idx="197">
                  <c:v>5.3960009372752715E-4</c:v>
                </c:pt>
                <c:pt idx="198">
                  <c:v>5.0823834668108374E-4</c:v>
                </c:pt>
                <c:pt idx="199">
                  <c:v>4.7864780164698383E-4</c:v>
                </c:pt>
                <c:pt idx="200">
                  <c:v>4.5082574222846724E-4</c:v>
                </c:pt>
                <c:pt idx="201">
                  <c:v>4.2476954265070993E-4</c:v>
                </c:pt>
                <c:pt idx="202">
                  <c:v>4.0047667809054132E-4</c:v>
                </c:pt>
                <c:pt idx="203">
                  <c:v>3.7794473501501019E-4</c:v>
                </c:pt>
                <c:pt idx="204">
                  <c:v>3.5717084473365051E-4</c:v>
                </c:pt>
                <c:pt idx="205">
                  <c:v>3.3850110490189853E-4</c:v>
                </c:pt>
                <c:pt idx="206">
                  <c:v>3.2118627634327519E-4</c:v>
                </c:pt>
                <c:pt idx="207">
                  <c:v>3.0522466638891127E-4</c:v>
                </c:pt>
                <c:pt idx="208">
                  <c:v>2.906147130714371E-4</c:v>
                </c:pt>
                <c:pt idx="209">
                  <c:v>2.7735498095821586E-4</c:v>
                </c:pt>
                <c:pt idx="210">
                  <c:v>2.6544415699448245E-4</c:v>
                </c:pt>
                <c:pt idx="211">
                  <c:v>2.5587845114638486E-4</c:v>
                </c:pt>
                <c:pt idx="212">
                  <c:v>2.4766437940015157E-4</c:v>
                </c:pt>
                <c:pt idx="213">
                  <c:v>2.4080100420998367E-4</c:v>
                </c:pt>
                <c:pt idx="214">
                  <c:v>2.3528749287785928E-4</c:v>
                </c:pt>
                <c:pt idx="215">
                  <c:v>2.3112311337510926E-4</c:v>
                </c:pt>
                <c:pt idx="216">
                  <c:v>2.2830723016303348E-4</c:v>
                </c:pt>
                <c:pt idx="217">
                  <c:v>2.2683930001438039E-4</c:v>
                </c:pt>
                <c:pt idx="218">
                  <c:v>2.267188678335371E-4</c:v>
                </c:pt>
                <c:pt idx="219">
                  <c:v>2.2980496148340953E-4</c:v>
                </c:pt>
                <c:pt idx="220">
                  <c:v>2.357487572336879E-4</c:v>
                </c:pt>
                <c:pt idx="221">
                  <c:v>2.4454988905322074E-4</c:v>
                </c:pt>
                <c:pt idx="222">
                  <c:v>2.5620814198970039E-4</c:v>
                </c:pt>
                <c:pt idx="223">
                  <c:v>2.7072344329842239E-4</c:v>
                </c:pt>
                <c:pt idx="224">
                  <c:v>2.8809585356537364E-4</c:v>
                </c:pt>
                <c:pt idx="225">
                  <c:v>3.0974554496299947E-4</c:v>
                </c:pt>
                <c:pt idx="226">
                  <c:v>3.3467639754122808E-4</c:v>
                </c:pt>
                <c:pt idx="227">
                  <c:v>3.6288885680240627E-4</c:v>
                </c:pt>
                <c:pt idx="228">
                  <c:v>3.9438348255792265E-4</c:v>
                </c:pt>
                <c:pt idx="229">
                  <c:v>4.2916093873225766E-4</c:v>
                </c:pt>
                <c:pt idx="230">
                  <c:v>4.6722198317213412E-4</c:v>
                </c:pt>
                <c:pt idx="231">
                  <c:v>5.0856745745821164E-4</c:v>
                </c:pt>
                <c:pt idx="232">
                  <c:v>5.5319827670695149E-4</c:v>
                </c:pt>
                <c:pt idx="233">
                  <c:v>6.011877354985775E-4</c:v>
                </c:pt>
                <c:pt idx="234">
                  <c:v>6.5067742021252364E-4</c:v>
                </c:pt>
                <c:pt idx="235">
                  <c:v>7.0166868512088843E-4</c:v>
                </c:pt>
                <c:pt idx="236">
                  <c:v>7.5416328114455108E-4</c:v>
                </c:pt>
                <c:pt idx="237">
                  <c:v>8.0816266754966742E-4</c:v>
                </c:pt>
                <c:pt idx="238">
                  <c:v>8.6366840211007175E-4</c:v>
                </c:pt>
                <c:pt idx="239">
                  <c:v>9.2250089589546581E-4</c:v>
                </c:pt>
                <c:pt idx="240">
                  <c:v>9.8324148847036565E-4</c:v>
                </c:pt>
                <c:pt idx="241">
                  <c:v>1.0458922055776526E-3</c:v>
                </c:pt>
                <c:pt idx="242">
                  <c:v>1.1104552016458632E-3</c:v>
                </c:pt>
                <c:pt idx="243">
                  <c:v>1.1769327631352673E-3</c:v>
                </c:pt>
                <c:pt idx="244">
                  <c:v>1.2453273118802535E-3</c:v>
                </c:pt>
                <c:pt idx="245">
                  <c:v>1.3156414084193641E-3</c:v>
                </c:pt>
                <c:pt idx="246">
                  <c:v>1.3878777553203469E-3</c:v>
                </c:pt>
                <c:pt idx="247">
                  <c:v>1.4663390633057696E-3</c:v>
                </c:pt>
                <c:pt idx="248">
                  <c:v>1.5509578953067562E-3</c:v>
                </c:pt>
                <c:pt idx="249">
                  <c:v>1.6417395838798337E-3</c:v>
                </c:pt>
                <c:pt idx="250">
                  <c:v>1.7386898505380838E-3</c:v>
                </c:pt>
                <c:pt idx="251">
                  <c:v>1.8418148165845036E-3</c:v>
                </c:pt>
                <c:pt idx="252">
                  <c:v>1.9511210138781915E-3</c:v>
                </c:pt>
                <c:pt idx="253">
                  <c:v>2.0646337950460747E-3</c:v>
                </c:pt>
                <c:pt idx="254">
                  <c:v>2.1805365267484481E-3</c:v>
                </c:pt>
                <c:pt idx="255">
                  <c:v>2.2988344665587279E-3</c:v>
                </c:pt>
                <c:pt idx="256">
                  <c:v>2.4195330930286188E-3</c:v>
                </c:pt>
                <c:pt idx="257">
                  <c:v>2.542638109759879E-3</c:v>
                </c:pt>
                <c:pt idx="258">
                  <c:v>2.6681554494955304E-3</c:v>
                </c:pt>
                <c:pt idx="259">
                  <c:v>2.7960912782503222E-3</c:v>
                </c:pt>
                <c:pt idx="260">
                  <c:v>2.9264519993633343E-3</c:v>
                </c:pt>
                <c:pt idx="261">
                  <c:v>3.0510020503179535E-3</c:v>
                </c:pt>
                <c:pt idx="262">
                  <c:v>3.1654268695983086E-3</c:v>
                </c:pt>
                <c:pt idx="263">
                  <c:v>3.2697218098060726E-3</c:v>
                </c:pt>
                <c:pt idx="264">
                  <c:v>3.3638817649154305E-3</c:v>
                </c:pt>
                <c:pt idx="265">
                  <c:v>3.447919482594838E-3</c:v>
                </c:pt>
                <c:pt idx="266">
                  <c:v>3.5218393854883254E-3</c:v>
                </c:pt>
                <c:pt idx="267">
                  <c:v>3.5835894184048532E-3</c:v>
                </c:pt>
                <c:pt idx="268">
                  <c:v>3.6351454923188526E-3</c:v>
                </c:pt>
                <c:pt idx="269">
                  <c:v>3.6764941821007232E-3</c:v>
                </c:pt>
                <c:pt idx="270">
                  <c:v>3.7076208275813277E-3</c:v>
                </c:pt>
                <c:pt idx="271">
                  <c:v>3.7285096469574213E-3</c:v>
                </c:pt>
                <c:pt idx="272">
                  <c:v>3.7391438502967474E-3</c:v>
                </c:pt>
                <c:pt idx="273">
                  <c:v>3.7395057529966916E-3</c:v>
                </c:pt>
                <c:pt idx="274">
                  <c:v>3.7295768892919097E-3</c:v>
                </c:pt>
                <c:pt idx="275">
                  <c:v>3.7106588112699153E-3</c:v>
                </c:pt>
                <c:pt idx="276">
                  <c:v>3.691025546143179E-3</c:v>
                </c:pt>
                <c:pt idx="277">
                  <c:v>3.6706714117278969E-3</c:v>
                </c:pt>
                <c:pt idx="278">
                  <c:v>3.6495907869697848E-3</c:v>
                </c:pt>
                <c:pt idx="279">
                  <c:v>3.6277781199252407E-3</c:v>
                </c:pt>
                <c:pt idx="280">
                  <c:v>3.6052279357768986E-3</c:v>
                </c:pt>
                <c:pt idx="281">
                  <c:v>3.5767868244440779E-3</c:v>
                </c:pt>
                <c:pt idx="282">
                  <c:v>3.5444975781006418E-3</c:v>
                </c:pt>
                <c:pt idx="283">
                  <c:v>3.5083501272692537E-3</c:v>
                </c:pt>
                <c:pt idx="284">
                  <c:v>3.4683345294693139E-3</c:v>
                </c:pt>
                <c:pt idx="285">
                  <c:v>3.4244410110528195E-3</c:v>
                </c:pt>
                <c:pt idx="286">
                  <c:v>3.3766600090733914E-3</c:v>
                </c:pt>
                <c:pt idx="287">
                  <c:v>3.3249822131205665E-3</c:v>
                </c:pt>
                <c:pt idx="288">
                  <c:v>3.269398607167543E-3</c:v>
                </c:pt>
                <c:pt idx="289">
                  <c:v>3.2076076696254756E-3</c:v>
                </c:pt>
                <c:pt idx="290">
                  <c:v>3.1382667857174935E-3</c:v>
                </c:pt>
                <c:pt idx="291">
                  <c:v>3.0613627730632447E-3</c:v>
                </c:pt>
                <c:pt idx="292">
                  <c:v>2.9768831052010922E-3</c:v>
                </c:pt>
                <c:pt idx="293">
                  <c:v>2.8848159929377509E-3</c:v>
                </c:pt>
                <c:pt idx="294">
                  <c:v>2.7851504656852448E-3</c:v>
                </c:pt>
                <c:pt idx="295">
                  <c:v>2.6817812119715773E-3</c:v>
                </c:pt>
                <c:pt idx="296">
                  <c:v>2.5799219488702322E-3</c:v>
                </c:pt>
                <c:pt idx="297">
                  <c:v>2.4795932246806842E-3</c:v>
                </c:pt>
                <c:pt idx="298">
                  <c:v>2.3807929827587208E-3</c:v>
                </c:pt>
                <c:pt idx="299">
                  <c:v>2.2835195946714513E-3</c:v>
                </c:pt>
                <c:pt idx="300">
                  <c:v>2.1877718453686456E-3</c:v>
                </c:pt>
                <c:pt idx="301">
                  <c:v>2.0935489183466754E-3</c:v>
                </c:pt>
                <c:pt idx="302">
                  <c:v>2.0008503808176636E-3</c:v>
                </c:pt>
                <c:pt idx="303">
                  <c:v>1.9108434241251753E-3</c:v>
                </c:pt>
                <c:pt idx="304">
                  <c:v>1.8258391180732635E-3</c:v>
                </c:pt>
                <c:pt idx="305">
                  <c:v>1.7458430528262774E-3</c:v>
                </c:pt>
                <c:pt idx="306">
                  <c:v>1.6708611064852176E-3</c:v>
                </c:pt>
                <c:pt idx="307">
                  <c:v>1.6008993982610372E-3</c:v>
                </c:pt>
                <c:pt idx="308">
                  <c:v>1.535964241634319E-3</c:v>
                </c:pt>
                <c:pt idx="309">
                  <c:v>1.4761601841183994E-3</c:v>
                </c:pt>
                <c:pt idx="310">
                  <c:v>1.4175619392730668E-3</c:v>
                </c:pt>
                <c:pt idx="311">
                  <c:v>1.3601709278853904E-3</c:v>
                </c:pt>
                <c:pt idx="312">
                  <c:v>1.3039887393417019E-3</c:v>
                </c:pt>
                <c:pt idx="313">
                  <c:v>1.2490171199861138E-3</c:v>
                </c:pt>
                <c:pt idx="314">
                  <c:v>1.195257961466723E-3</c:v>
                </c:pt>
                <c:pt idx="315">
                  <c:v>1.1427132890977783E-3</c:v>
                </c:pt>
                <c:pt idx="316">
                  <c:v>1.0913852502025647E-3</c:v>
                </c:pt>
                <c:pt idx="317">
                  <c:v>1.0431647734265798E-3</c:v>
                </c:pt>
                <c:pt idx="318">
                  <c:v>9.9688134257620029E-4</c:v>
                </c:pt>
                <c:pt idx="319">
                  <c:v>9.5253811415244288E-4</c:v>
                </c:pt>
                <c:pt idx="320">
                  <c:v>9.101382517193897E-4</c:v>
                </c:pt>
                <c:pt idx="321">
                  <c:v>8.6968490772632002E-4</c:v>
                </c:pt>
                <c:pt idx="322">
                  <c:v>8.3118120533263724E-4</c:v>
                </c:pt>
                <c:pt idx="323">
                  <c:v>7.9519782325471189E-4</c:v>
                </c:pt>
                <c:pt idx="324">
                  <c:v>7.6163960396854319E-4</c:v>
                </c:pt>
                <c:pt idx="325">
                  <c:v>7.3050977598150828E-4</c:v>
                </c:pt>
                <c:pt idx="326">
                  <c:v>7.0180704976160785E-4</c:v>
                </c:pt>
                <c:pt idx="327">
                  <c:v>6.7553341483028771E-4</c:v>
                </c:pt>
                <c:pt idx="328">
                  <c:v>6.5169410753934871E-4</c:v>
                </c:pt>
                <c:pt idx="329">
                  <c:v>6.3029375453645814E-4</c:v>
                </c:pt>
                <c:pt idx="330">
                  <c:v>6.1133642401626457E-4</c:v>
                </c:pt>
                <c:pt idx="331">
                  <c:v>5.9455646337535305E-4</c:v>
                </c:pt>
                <c:pt idx="332">
                  <c:v>5.7806108418571758E-4</c:v>
                </c:pt>
                <c:pt idx="333">
                  <c:v>5.6185247299249961E-4</c:v>
                </c:pt>
                <c:pt idx="334">
                  <c:v>5.4593264995959358E-4</c:v>
                </c:pt>
                <c:pt idx="335">
                  <c:v>5.3030347510025827E-4</c:v>
                </c:pt>
                <c:pt idx="336">
                  <c:v>5.1496665450015704E-4</c:v>
                </c:pt>
                <c:pt idx="337">
                  <c:v>5.0053714526379579E-4</c:v>
                </c:pt>
                <c:pt idx="338">
                  <c:v>4.8644766915530342E-4</c:v>
                </c:pt>
                <c:pt idx="339">
                  <c:v>4.7269950350430307E-4</c:v>
                </c:pt>
                <c:pt idx="340">
                  <c:v>4.5929380115678235E-4</c:v>
                </c:pt>
                <c:pt idx="341">
                  <c:v>4.4623159763156647E-4</c:v>
                </c:pt>
                <c:pt idx="342">
                  <c:v>4.3351381827613024E-4</c:v>
                </c:pt>
                <c:pt idx="343">
                  <c:v>4.2114128541710107E-4</c:v>
                </c:pt>
                <c:pt idx="344">
                  <c:v>4.0911472551785063E-4</c:v>
                </c:pt>
                <c:pt idx="345">
                  <c:v>3.9743477633139089E-4</c:v>
                </c:pt>
                <c:pt idx="346">
                  <c:v>3.8690585098576829E-4</c:v>
                </c:pt>
                <c:pt idx="347">
                  <c:v>3.775285914446744E-4</c:v>
                </c:pt>
                <c:pt idx="348">
                  <c:v>3.6930364255003035E-4</c:v>
                </c:pt>
                <c:pt idx="349">
                  <c:v>3.6223167588306205E-4</c:v>
                </c:pt>
                <c:pt idx="350">
                  <c:v>3.56313413634086E-4</c:v>
                </c:pt>
                <c:pt idx="351">
                  <c:v>3.5208438290138238E-4</c:v>
                </c:pt>
                <c:pt idx="352">
                  <c:v>3.4893175672881071E-4</c:v>
                </c:pt>
                <c:pt idx="353">
                  <c:v>3.4685654841289993E-4</c:v>
                </c:pt>
                <c:pt idx="354">
                  <c:v>3.4585990894358133E-4</c:v>
                </c:pt>
                <c:pt idx="355">
                  <c:v>3.4594314920661026E-4</c:v>
                </c:pt>
                <c:pt idx="356">
                  <c:v>3.4710800207514751E-4</c:v>
                </c:pt>
                <c:pt idx="357">
                  <c:v>3.4935539105575134E-4</c:v>
                </c:pt>
                <c:pt idx="358">
                  <c:v>3.5268559273028677E-4</c:v>
                </c:pt>
                <c:pt idx="359">
                  <c:v>3.5709904313423852E-4</c:v>
                </c:pt>
                <c:pt idx="360">
                  <c:v>3.6321169555772947E-4</c:v>
                </c:pt>
                <c:pt idx="361">
                  <c:v>3.704887111390761E-4</c:v>
                </c:pt>
                <c:pt idx="362">
                  <c:v>3.7893097517904752E-4</c:v>
                </c:pt>
                <c:pt idx="363">
                  <c:v>3.8853942412941526E-4</c:v>
                </c:pt>
                <c:pt idx="364">
                  <c:v>3.9931501613256585E-4</c:v>
                </c:pt>
                <c:pt idx="365" formatCode="0.0000">
                  <c:v>4.1125870155699063E-4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2.9979938181374922E-3</c:v>
                </c:pt>
                <c:pt idx="1">
                  <c:v>2.9340698084268017E-3</c:v>
                </c:pt>
                <c:pt idx="2">
                  <c:v>2.8726369547969464E-3</c:v>
                </c:pt>
                <c:pt idx="3">
                  <c:v>2.8136905830190122E-3</c:v>
                </c:pt>
                <c:pt idx="4">
                  <c:v>2.7572266996466941E-3</c:v>
                </c:pt>
                <c:pt idx="5">
                  <c:v>2.7032419273250387E-3</c:v>
                </c:pt>
                <c:pt idx="6">
                  <c:v>2.651733440133754E-3</c:v>
                </c:pt>
                <c:pt idx="7">
                  <c:v>2.6026988988687083E-3</c:v>
                </c:pt>
                <c:pt idx="8">
                  <c:v>2.556136386362842E-3</c:v>
                </c:pt>
                <c:pt idx="9">
                  <c:v>2.5165463574855925E-3</c:v>
                </c:pt>
                <c:pt idx="10">
                  <c:v>2.485474446381647E-3</c:v>
                </c:pt>
                <c:pt idx="11">
                  <c:v>2.4629269149262917E-3</c:v>
                </c:pt>
                <c:pt idx="12">
                  <c:v>2.4489094376047133E-3</c:v>
                </c:pt>
                <c:pt idx="13">
                  <c:v>2.4434268831880022E-3</c:v>
                </c:pt>
                <c:pt idx="14">
                  <c:v>2.4464830963674216E-3</c:v>
                </c:pt>
                <c:pt idx="15">
                  <c:v>2.4609918650164318E-3</c:v>
                </c:pt>
                <c:pt idx="16">
                  <c:v>2.4828620140898805E-3</c:v>
                </c:pt>
                <c:pt idx="17">
                  <c:v>2.5120918037976948E-3</c:v>
                </c:pt>
                <c:pt idx="18">
                  <c:v>2.5486778130372361E-3</c:v>
                </c:pt>
                <c:pt idx="19">
                  <c:v>2.5926292124358254E-3</c:v>
                </c:pt>
                <c:pt idx="20">
                  <c:v>2.6439609214404659E-3</c:v>
                </c:pt>
                <c:pt idx="21">
                  <c:v>2.7026760905630985E-3</c:v>
                </c:pt>
                <c:pt idx="22">
                  <c:v>2.7687770412536034E-3</c:v>
                </c:pt>
                <c:pt idx="23">
                  <c:v>2.8447388648482129E-3</c:v>
                </c:pt>
                <c:pt idx="24">
                  <c:v>2.9260436412349745E-3</c:v>
                </c:pt>
                <c:pt idx="25">
                  <c:v>3.0126912695058604E-3</c:v>
                </c:pt>
                <c:pt idx="26">
                  <c:v>3.1046814304279348E-3</c:v>
                </c:pt>
                <c:pt idx="27">
                  <c:v>3.2020136537952403E-3</c:v>
                </c:pt>
                <c:pt idx="28">
                  <c:v>3.3046873858460658E-3</c:v>
                </c:pt>
                <c:pt idx="29">
                  <c:v>3.4148145777907831E-3</c:v>
                </c:pt>
                <c:pt idx="30">
                  <c:v>3.5294785392297723E-3</c:v>
                </c:pt>
                <c:pt idx="31">
                  <c:v>3.6486788783026834E-3</c:v>
                </c:pt>
                <c:pt idx="32">
                  <c:v>3.7724154524947499E-3</c:v>
                </c:pt>
                <c:pt idx="33">
                  <c:v>3.9006884259655625E-3</c:v>
                </c:pt>
                <c:pt idx="34">
                  <c:v>4.0334983268945279E-3</c:v>
                </c:pt>
                <c:pt idx="35">
                  <c:v>4.1708461048248309E-3</c:v>
                </c:pt>
                <c:pt idx="36">
                  <c:v>4.3127331880000123E-3</c:v>
                </c:pt>
                <c:pt idx="37">
                  <c:v>4.4625169415777521E-3</c:v>
                </c:pt>
                <c:pt idx="38">
                  <c:v>4.6177264372501189E-3</c:v>
                </c:pt>
                <c:pt idx="39">
                  <c:v>4.7783646275277245E-3</c:v>
                </c:pt>
                <c:pt idx="40">
                  <c:v>4.944435184669335E-3</c:v>
                </c:pt>
                <c:pt idx="41">
                  <c:v>5.115942569084631E-3</c:v>
                </c:pt>
                <c:pt idx="42">
                  <c:v>5.2928920977064337E-3</c:v>
                </c:pt>
                <c:pt idx="43">
                  <c:v>5.4752094146638857E-3</c:v>
                </c:pt>
                <c:pt idx="44">
                  <c:v>5.6607914988718207E-3</c:v>
                </c:pt>
                <c:pt idx="45">
                  <c:v>5.8496471403911834E-3</c:v>
                </c:pt>
                <c:pt idx="46">
                  <c:v>6.0417861727423486E-3</c:v>
                </c:pt>
                <c:pt idx="47">
                  <c:v>6.2372195139048167E-3</c:v>
                </c:pt>
                <c:pt idx="48">
                  <c:v>6.4359592072413749E-3</c:v>
                </c:pt>
                <c:pt idx="49">
                  <c:v>6.6380184624755837E-3</c:v>
                </c:pt>
                <c:pt idx="50">
                  <c:v>6.8434116966313704E-3</c:v>
                </c:pt>
                <c:pt idx="51">
                  <c:v>7.0458269997621279E-3</c:v>
                </c:pt>
                <c:pt idx="52">
                  <c:v>7.2418893729442263E-3</c:v>
                </c:pt>
                <c:pt idx="53">
                  <c:v>7.4315644393704765E-3</c:v>
                </c:pt>
                <c:pt idx="54">
                  <c:v>7.6148513303658507E-3</c:v>
                </c:pt>
                <c:pt idx="55">
                  <c:v>7.7917487908042817E-3</c:v>
                </c:pt>
                <c:pt idx="56">
                  <c:v>7.9622552028132624E-3</c:v>
                </c:pt>
                <c:pt idx="57">
                  <c:v>8.1207457070220142E-3</c:v>
                </c:pt>
                <c:pt idx="58">
                  <c:v>8.267298504723063E-3</c:v>
                </c:pt>
                <c:pt idx="59">
                  <c:v>8.4019109096720463E-3</c:v>
                </c:pt>
                <c:pt idx="60">
                  <c:v>8.5245799543237407E-3</c:v>
                </c:pt>
                <c:pt idx="61">
                  <c:v>8.6353024340469781E-3</c:v>
                </c:pt>
                <c:pt idx="62">
                  <c:v>8.7340749513266803E-3</c:v>
                </c:pt>
                <c:pt idx="63">
                  <c:v>8.8208939599916988E-3</c:v>
                </c:pt>
                <c:pt idx="64">
                  <c:v>8.8957558094081429E-3</c:v>
                </c:pt>
                <c:pt idx="65">
                  <c:v>8.9542883761305325E-3</c:v>
                </c:pt>
                <c:pt idx="66">
                  <c:v>9.0028157399850411E-3</c:v>
                </c:pt>
                <c:pt idx="67">
                  <c:v>9.0413342346019158E-3</c:v>
                </c:pt>
                <c:pt idx="68">
                  <c:v>9.0698402453684001E-3</c:v>
                </c:pt>
                <c:pt idx="69">
                  <c:v>9.0883302463631559E-3</c:v>
                </c:pt>
                <c:pt idx="70">
                  <c:v>9.0968008373327452E-3</c:v>
                </c:pt>
                <c:pt idx="71">
                  <c:v>9.0888086986096323E-3</c:v>
                </c:pt>
                <c:pt idx="72">
                  <c:v>9.0699740703809335E-3</c:v>
                </c:pt>
                <c:pt idx="73">
                  <c:v>9.0402942760960444E-3</c:v>
                </c:pt>
                <c:pt idx="74">
                  <c:v>8.9997669444353088E-3</c:v>
                </c:pt>
                <c:pt idx="75">
                  <c:v>8.9483900493092898E-3</c:v>
                </c:pt>
                <c:pt idx="76">
                  <c:v>8.886161949830015E-3</c:v>
                </c:pt>
                <c:pt idx="77">
                  <c:v>8.8130814303113963E-3</c:v>
                </c:pt>
                <c:pt idx="78">
                  <c:v>8.7291480300565327E-3</c:v>
                </c:pt>
                <c:pt idx="79">
                  <c:v>8.6297746691586259E-3</c:v>
                </c:pt>
                <c:pt idx="80">
                  <c:v>8.5193514112331878E-3</c:v>
                </c:pt>
                <c:pt idx="81">
                  <c:v>8.3978771426820534E-3</c:v>
                </c:pt>
                <c:pt idx="82">
                  <c:v>8.2653509228369504E-3</c:v>
                </c:pt>
                <c:pt idx="83">
                  <c:v>8.121772019379251E-3</c:v>
                </c:pt>
                <c:pt idx="84">
                  <c:v>7.9671399437870726E-3</c:v>
                </c:pt>
                <c:pt idx="85">
                  <c:v>7.8000823879997294E-3</c:v>
                </c:pt>
                <c:pt idx="86">
                  <c:v>7.6270359406552385E-3</c:v>
                </c:pt>
                <c:pt idx="87">
                  <c:v>7.4480002104001424E-3</c:v>
                </c:pt>
                <c:pt idx="88">
                  <c:v>7.2629751135769695E-3</c:v>
                </c:pt>
                <c:pt idx="89">
                  <c:v>7.0719608934265224E-3</c:v>
                </c:pt>
                <c:pt idx="90">
                  <c:v>6.8749581392753495E-3</c:v>
                </c:pt>
                <c:pt idx="91">
                  <c:v>6.6719678057504681E-3</c:v>
                </c:pt>
                <c:pt idx="92">
                  <c:v>6.4629912319741538E-3</c:v>
                </c:pt>
                <c:pt idx="93">
                  <c:v>6.2487195744365467E-3</c:v>
                </c:pt>
                <c:pt idx="94">
                  <c:v>6.0337714589121794E-3</c:v>
                </c:pt>
                <c:pt idx="95">
                  <c:v>5.8181481091371945E-3</c:v>
                </c:pt>
                <c:pt idx="96">
                  <c:v>5.6018510441813224E-3</c:v>
                </c:pt>
                <c:pt idx="97">
                  <c:v>5.3848820806683189E-3</c:v>
                </c:pt>
                <c:pt idx="98">
                  <c:v>5.1672433349430969E-3</c:v>
                </c:pt>
                <c:pt idx="99">
                  <c:v>4.9499857938018884E-3</c:v>
                </c:pt>
                <c:pt idx="100">
                  <c:v>4.7344822714523232E-3</c:v>
                </c:pt>
                <c:pt idx="101">
                  <c:v>4.5207348876213568E-3</c:v>
                </c:pt>
                <c:pt idx="102">
                  <c:v>4.308745965951149E-3</c:v>
                </c:pt>
                <c:pt idx="103">
                  <c:v>4.0985180283807038E-3</c:v>
                </c:pt>
                <c:pt idx="104">
                  <c:v>3.8900537896310421E-3</c:v>
                </c:pt>
                <c:pt idx="105">
                  <c:v>3.6833561515941132E-3</c:v>
                </c:pt>
                <c:pt idx="106">
                  <c:v>3.4784281977738051E-3</c:v>
                </c:pt>
                <c:pt idx="107">
                  <c:v>3.2782999473210555E-3</c:v>
                </c:pt>
                <c:pt idx="108">
                  <c:v>3.0822850859563503E-3</c:v>
                </c:pt>
                <c:pt idx="109">
                  <c:v>2.8903858018971356E-3</c:v>
                </c:pt>
                <c:pt idx="110">
                  <c:v>2.7026119999778663E-3</c:v>
                </c:pt>
                <c:pt idx="111">
                  <c:v>2.5189716777940158E-3</c:v>
                </c:pt>
                <c:pt idx="112">
                  <c:v>2.3394642214216131E-3</c:v>
                </c:pt>
                <c:pt idx="113">
                  <c:v>2.169944216829197E-3</c:v>
                </c:pt>
                <c:pt idx="114">
                  <c:v>2.0093614567742862E-3</c:v>
                </c:pt>
                <c:pt idx="115">
                  <c:v>1.857712199700097E-3</c:v>
                </c:pt>
                <c:pt idx="116">
                  <c:v>1.7149925670481283E-3</c:v>
                </c:pt>
                <c:pt idx="117">
                  <c:v>1.5811985238613066E-3</c:v>
                </c:pt>
                <c:pt idx="118">
                  <c:v>1.4563258593662609E-3</c:v>
                </c:pt>
                <c:pt idx="119">
                  <c:v>1.3403701675617373E-3</c:v>
                </c:pt>
                <c:pt idx="120">
                  <c:v>1.2333268278049724E-3</c:v>
                </c:pt>
                <c:pt idx="121">
                  <c:v>1.1384698208909275E-3</c:v>
                </c:pt>
                <c:pt idx="122">
                  <c:v>1.0527746933349093E-3</c:v>
                </c:pt>
                <c:pt idx="123">
                  <c:v>9.7623578603404351E-4</c:v>
                </c:pt>
                <c:pt idx="124">
                  <c:v>9.0884713357689223E-4</c:v>
                </c:pt>
                <c:pt idx="125">
                  <c:v>8.5060244426772829E-4</c:v>
                </c:pt>
                <c:pt idx="126">
                  <c:v>8.0149508013658275E-4</c:v>
                </c:pt>
                <c:pt idx="127">
                  <c:v>7.6250617515772267E-4</c:v>
                </c:pt>
                <c:pt idx="128">
                  <c:v>7.2779479011656672E-4</c:v>
                </c:pt>
                <c:pt idx="129">
                  <c:v>6.9735768037841692E-4</c:v>
                </c:pt>
                <c:pt idx="130">
                  <c:v>6.7119141958453185E-4</c:v>
                </c:pt>
                <c:pt idx="131">
                  <c:v>6.492923902937191E-4</c:v>
                </c:pt>
                <c:pt idx="132">
                  <c:v>6.3165677463164818E-4</c:v>
                </c:pt>
                <c:pt idx="133">
                  <c:v>6.1828054494395457E-4</c:v>
                </c:pt>
                <c:pt idx="134">
                  <c:v>6.0915945444569154E-4</c:v>
                </c:pt>
                <c:pt idx="135">
                  <c:v>6.0596414921634107E-4</c:v>
                </c:pt>
                <c:pt idx="136">
                  <c:v>6.0542472958143901E-4</c:v>
                </c:pt>
                <c:pt idx="137">
                  <c:v>6.0753804204652861E-4</c:v>
                </c:pt>
                <c:pt idx="138">
                  <c:v>6.1230077257066085E-4</c:v>
                </c:pt>
                <c:pt idx="139">
                  <c:v>6.1970944072773596E-4</c:v>
                </c:pt>
                <c:pt idx="140">
                  <c:v>6.2976039383356075E-4</c:v>
                </c:pt>
                <c:pt idx="141">
                  <c:v>6.4353395725964108E-4</c:v>
                </c:pt>
                <c:pt idx="142">
                  <c:v>6.6003839598323887E-4</c:v>
                </c:pt>
                <c:pt idx="143">
                  <c:v>6.7926597525760869E-4</c:v>
                </c:pt>
                <c:pt idx="144">
                  <c:v>7.0121249763567051E-4</c:v>
                </c:pt>
                <c:pt idx="145">
                  <c:v>7.2587354805073515E-4</c:v>
                </c:pt>
                <c:pt idx="146">
                  <c:v>7.5324453081051384E-4</c:v>
                </c:pt>
                <c:pt idx="147">
                  <c:v>7.8332070661484541E-4</c:v>
                </c:pt>
                <c:pt idx="148">
                  <c:v>8.1609722955675805E-4</c:v>
                </c:pt>
                <c:pt idx="149">
                  <c:v>8.5082628176618184E-4</c:v>
                </c:pt>
                <c:pt idx="150">
                  <c:v>8.8584102077843936E-4</c:v>
                </c:pt>
                <c:pt idx="151">
                  <c:v>9.2114082494393248E-4</c:v>
                </c:pt>
                <c:pt idx="152">
                  <c:v>9.5672524377356119E-4</c:v>
                </c:pt>
                <c:pt idx="153">
                  <c:v>9.9259400247725437E-4</c:v>
                </c:pt>
                <c:pt idx="154">
                  <c:v>1.0287470065072958E-3</c:v>
                </c:pt>
                <c:pt idx="155">
                  <c:v>1.063926628607127E-3</c:v>
                </c:pt>
                <c:pt idx="156">
                  <c:v>1.0970604415124585E-3</c:v>
                </c:pt>
                <c:pt idx="157">
                  <c:v>1.1281533586663202E-3</c:v>
                </c:pt>
                <c:pt idx="158">
                  <c:v>1.1572105015410302E-3</c:v>
                </c:pt>
                <c:pt idx="159">
                  <c:v>1.1842371725881949E-3</c:v>
                </c:pt>
                <c:pt idx="160">
                  <c:v>1.2092388282027395E-3</c:v>
                </c:pt>
                <c:pt idx="161">
                  <c:v>1.2322210516740411E-3</c:v>
                </c:pt>
                <c:pt idx="162">
                  <c:v>1.2531895261431517E-3</c:v>
                </c:pt>
                <c:pt idx="163">
                  <c:v>1.2713345315751689E-3</c:v>
                </c:pt>
                <c:pt idx="164">
                  <c:v>1.2873993918562966E-3</c:v>
                </c:pt>
                <c:pt idx="165">
                  <c:v>1.3013900509765859E-3</c:v>
                </c:pt>
                <c:pt idx="166">
                  <c:v>1.3133124355728537E-3</c:v>
                </c:pt>
                <c:pt idx="167">
                  <c:v>1.3231724267893194E-3</c:v>
                </c:pt>
                <c:pt idx="168">
                  <c:v>1.3309758321798119E-3</c:v>
                </c:pt>
                <c:pt idx="169">
                  <c:v>1.3359157702272854E-3</c:v>
                </c:pt>
                <c:pt idx="170">
                  <c:v>1.339245417219871E-3</c:v>
                </c:pt>
                <c:pt idx="171">
                  <c:v>1.3409694593020894E-3</c:v>
                </c:pt>
                <c:pt idx="172">
                  <c:v>1.3410924388407941E-3</c:v>
                </c:pt>
                <c:pt idx="173">
                  <c:v>1.3396050332678449E-3</c:v>
                </c:pt>
                <c:pt idx="174">
                  <c:v>1.3364971339883576E-3</c:v>
                </c:pt>
                <c:pt idx="175">
                  <c:v>1.3317719808485764E-3</c:v>
                </c:pt>
                <c:pt idx="176">
                  <c:v>1.3254328030225136E-3</c:v>
                </c:pt>
                <c:pt idx="177">
                  <c:v>1.3162409805277343E-3</c:v>
                </c:pt>
                <c:pt idx="178">
                  <c:v>1.3050104053624609E-3</c:v>
                </c:pt>
                <c:pt idx="179">
                  <c:v>1.2917448546742232E-3</c:v>
                </c:pt>
                <c:pt idx="180">
                  <c:v>1.2764480455671509E-3</c:v>
                </c:pt>
                <c:pt idx="181">
                  <c:v>1.2591236230540799E-3</c:v>
                </c:pt>
                <c:pt idx="182">
                  <c:v>1.2397751480200379E-3</c:v>
                </c:pt>
                <c:pt idx="183">
                  <c:v>1.2176773978022088E-3</c:v>
                </c:pt>
                <c:pt idx="184">
                  <c:v>1.193641247228726E-3</c:v>
                </c:pt>
                <c:pt idx="185">
                  <c:v>1.167669808391362E-3</c:v>
                </c:pt>
                <c:pt idx="186">
                  <c:v>1.1397660625545572E-3</c:v>
                </c:pt>
                <c:pt idx="187">
                  <c:v>1.1099328485806702E-3</c:v>
                </c:pt>
                <c:pt idx="188">
                  <c:v>1.0781728513607799E-3</c:v>
                </c:pt>
                <c:pt idx="189">
                  <c:v>1.0444885902115835E-3</c:v>
                </c:pt>
                <c:pt idx="190">
                  <c:v>1.0088824073194377E-3</c:v>
                </c:pt>
                <c:pt idx="191">
                  <c:v>9.7241166106908008E-4</c:v>
                </c:pt>
                <c:pt idx="192">
                  <c:v>9.3631016872026171E-4</c:v>
                </c:pt>
                <c:pt idx="193">
                  <c:v>9.0057694432422086E-4</c:v>
                </c:pt>
                <c:pt idx="194">
                  <c:v>8.6521093953044611E-4</c:v>
                </c:pt>
                <c:pt idx="195">
                  <c:v>8.302110455524408E-4</c:v>
                </c:pt>
                <c:pt idx="196">
                  <c:v>7.9557609509808499E-4</c:v>
                </c:pt>
                <c:pt idx="197">
                  <c:v>7.6292754405257734E-4</c:v>
                </c:pt>
                <c:pt idx="198">
                  <c:v>7.329865966986842E-4</c:v>
                </c:pt>
                <c:pt idx="199">
                  <c:v>7.0574970553174217E-4</c:v>
                </c:pt>
                <c:pt idx="200">
                  <c:v>6.8121348920480759E-4</c:v>
                </c:pt>
                <c:pt idx="201">
                  <c:v>6.5937474836769811E-4</c:v>
                </c:pt>
                <c:pt idx="202">
                  <c:v>6.4023048151109758E-4</c:v>
                </c:pt>
                <c:pt idx="203">
                  <c:v>6.2377790082481898E-4</c:v>
                </c:pt>
                <c:pt idx="204">
                  <c:v>6.1001346296297174E-4</c:v>
                </c:pt>
                <c:pt idx="205">
                  <c:v>5.998860254417314E-4</c:v>
                </c:pt>
                <c:pt idx="206">
                  <c:v>5.9234231980327733E-4</c:v>
                </c:pt>
                <c:pt idx="207">
                  <c:v>5.8738017748106812E-4</c:v>
                </c:pt>
                <c:pt idx="208">
                  <c:v>5.8499764852940051E-4</c:v>
                </c:pt>
                <c:pt idx="209">
                  <c:v>5.8519299364016375E-4</c:v>
                </c:pt>
                <c:pt idx="210">
                  <c:v>5.8796467617928375E-4</c:v>
                </c:pt>
                <c:pt idx="211">
                  <c:v>5.9646297431912275E-4</c:v>
                </c:pt>
                <c:pt idx="212">
                  <c:v>6.0906844646769641E-4</c:v>
                </c:pt>
                <c:pt idx="213">
                  <c:v>6.2577963843951894E-4</c:v>
                </c:pt>
                <c:pt idx="214">
                  <c:v>6.4659536894037405E-4</c:v>
                </c:pt>
                <c:pt idx="215">
                  <c:v>6.7151471682880672E-4</c:v>
                </c:pt>
                <c:pt idx="216">
                  <c:v>7.00537008375417E-4</c:v>
                </c:pt>
                <c:pt idx="217">
                  <c:v>7.3366180452486647E-4</c:v>
                </c:pt>
                <c:pt idx="218">
                  <c:v>7.7088888815429496E-4</c:v>
                </c:pt>
                <c:pt idx="219">
                  <c:v>8.1783120223410119E-4</c:v>
                </c:pt>
                <c:pt idx="220">
                  <c:v>8.7353744924942398E-4</c:v>
                </c:pt>
                <c:pt idx="221">
                  <c:v>9.3800753438038058E-4</c:v>
                </c:pt>
                <c:pt idx="222">
                  <c:v>1.011241779717452E-3</c:v>
                </c:pt>
                <c:pt idx="223">
                  <c:v>1.0932408970475659E-3</c:v>
                </c:pt>
                <c:pt idx="224">
                  <c:v>1.1840059606194498E-3</c:v>
                </c:pt>
                <c:pt idx="225">
                  <c:v>1.2864359779984093E-3</c:v>
                </c:pt>
                <c:pt idx="226">
                  <c:v>1.3973841687407562E-3</c:v>
                </c:pt>
                <c:pt idx="227">
                  <c:v>1.5168525924873239E-3</c:v>
                </c:pt>
                <c:pt idx="228">
                  <c:v>1.6448435480244767E-3</c:v>
                </c:pt>
                <c:pt idx="229">
                  <c:v>1.7813595468180524E-3</c:v>
                </c:pt>
                <c:pt idx="230">
                  <c:v>1.9264032865687331E-3</c:v>
                </c:pt>
                <c:pt idx="231">
                  <c:v>2.0799776247778312E-3</c:v>
                </c:pt>
                <c:pt idx="232">
                  <c:v>2.2420855522724409E-3</c:v>
                </c:pt>
                <c:pt idx="233">
                  <c:v>2.4137330254464756E-3</c:v>
                </c:pt>
                <c:pt idx="234">
                  <c:v>2.58931024649697E-3</c:v>
                </c:pt>
                <c:pt idx="235">
                  <c:v>2.7688219550311434E-3</c:v>
                </c:pt>
                <c:pt idx="236">
                  <c:v>2.9522743377373797E-3</c:v>
                </c:pt>
                <c:pt idx="237">
                  <c:v>3.1396723085842914E-3</c:v>
                </c:pt>
                <c:pt idx="238">
                  <c:v>3.3310210716083707E-3</c:v>
                </c:pt>
                <c:pt idx="239">
                  <c:v>3.5269853699453533E-3</c:v>
                </c:pt>
                <c:pt idx="240">
                  <c:v>3.7246717026817749E-3</c:v>
                </c:pt>
                <c:pt idx="241">
                  <c:v>3.924085549539171E-3</c:v>
                </c:pt>
                <c:pt idx="242">
                  <c:v>4.1252326050217449E-3</c:v>
                </c:pt>
                <c:pt idx="243">
                  <c:v>4.3281187813836615E-3</c:v>
                </c:pt>
                <c:pt idx="244">
                  <c:v>4.5327502115809987E-3</c:v>
                </c:pt>
                <c:pt idx="245">
                  <c:v>4.7391332521780323E-3</c:v>
                </c:pt>
                <c:pt idx="246">
                  <c:v>4.947274486237445E-3</c:v>
                </c:pt>
                <c:pt idx="247">
                  <c:v>5.1558681256762464E-3</c:v>
                </c:pt>
                <c:pt idx="248">
                  <c:v>5.3639162666720428E-3</c:v>
                </c:pt>
                <c:pt idx="249">
                  <c:v>5.5714250207021462E-3</c:v>
                </c:pt>
                <c:pt idx="250">
                  <c:v>5.7784006101735405E-3</c:v>
                </c:pt>
                <c:pt idx="251">
                  <c:v>5.9848493674176445E-3</c:v>
                </c:pt>
                <c:pt idx="252">
                  <c:v>6.1907777334534895E-3</c:v>
                </c:pt>
                <c:pt idx="253">
                  <c:v>6.3917684886534059E-3</c:v>
                </c:pt>
                <c:pt idx="254">
                  <c:v>6.5871648011779525E-3</c:v>
                </c:pt>
                <c:pt idx="255">
                  <c:v>6.7769699422405441E-3</c:v>
                </c:pt>
                <c:pt idx="256">
                  <c:v>6.9611869748340922E-3</c:v>
                </c:pt>
                <c:pt idx="257">
                  <c:v>7.1398187435679182E-3</c:v>
                </c:pt>
                <c:pt idx="258">
                  <c:v>7.3128678645660306E-3</c:v>
                </c:pt>
                <c:pt idx="259">
                  <c:v>7.4803367154700718E-3</c:v>
                </c:pt>
                <c:pt idx="260">
                  <c:v>7.6422274252236156E-3</c:v>
                </c:pt>
                <c:pt idx="261">
                  <c:v>7.7923656809469818E-3</c:v>
                </c:pt>
                <c:pt idx="262">
                  <c:v>7.9320646044749709E-3</c:v>
                </c:pt>
                <c:pt idx="263">
                  <c:v>8.061320854097968E-3</c:v>
                </c:pt>
                <c:pt idx="264">
                  <c:v>8.1801308514238141E-3</c:v>
                </c:pt>
                <c:pt idx="265">
                  <c:v>8.2885348048978638E-3</c:v>
                </c:pt>
                <c:pt idx="266">
                  <c:v>8.3865523111695314E-3</c:v>
                </c:pt>
                <c:pt idx="267">
                  <c:v>8.4699708662988767E-3</c:v>
                </c:pt>
                <c:pt idx="268">
                  <c:v>8.5432120495100173E-3</c:v>
                </c:pt>
                <c:pt idx="269">
                  <c:v>8.6062579683695035E-3</c:v>
                </c:pt>
                <c:pt idx="270">
                  <c:v>8.6590893999013551E-3</c:v>
                </c:pt>
                <c:pt idx="271">
                  <c:v>8.7016859048369075E-3</c:v>
                </c:pt>
                <c:pt idx="272">
                  <c:v>8.7340259420996946E-3</c:v>
                </c:pt>
                <c:pt idx="273">
                  <c:v>8.7560869831814041E-3</c:v>
                </c:pt>
                <c:pt idx="274">
                  <c:v>8.7678456266320308E-3</c:v>
                </c:pt>
                <c:pt idx="275">
                  <c:v>8.7638552914300494E-3</c:v>
                </c:pt>
                <c:pt idx="276">
                  <c:v>8.7502964860381328E-3</c:v>
                </c:pt>
                <c:pt idx="277">
                  <c:v>8.7271449295150804E-3</c:v>
                </c:pt>
                <c:pt idx="278">
                  <c:v>8.6943759818081823E-3</c:v>
                </c:pt>
                <c:pt idx="279">
                  <c:v>8.6519647495002378E-3</c:v>
                </c:pt>
                <c:pt idx="280">
                  <c:v>8.5998861916383833E-3</c:v>
                </c:pt>
                <c:pt idx="281">
                  <c:v>8.5319947093499358E-3</c:v>
                </c:pt>
                <c:pt idx="282">
                  <c:v>8.4524832040157767E-3</c:v>
                </c:pt>
                <c:pt idx="283">
                  <c:v>8.3613238281040215E-3</c:v>
                </c:pt>
                <c:pt idx="284">
                  <c:v>8.2584890335804986E-3</c:v>
                </c:pt>
                <c:pt idx="285">
                  <c:v>8.1439516984034167E-3</c:v>
                </c:pt>
                <c:pt idx="286">
                  <c:v>8.0176852530969758E-3</c:v>
                </c:pt>
                <c:pt idx="287">
                  <c:v>7.8796638072422039E-3</c:v>
                </c:pt>
                <c:pt idx="288">
                  <c:v>7.7298622759998789E-3</c:v>
                </c:pt>
                <c:pt idx="289">
                  <c:v>7.5681782561750248E-3</c:v>
                </c:pt>
                <c:pt idx="290">
                  <c:v>7.4000527957124298E-3</c:v>
                </c:pt>
                <c:pt idx="291">
                  <c:v>7.2254719386490194E-3</c:v>
                </c:pt>
                <c:pt idx="292">
                  <c:v>7.0444227673788279E-3</c:v>
                </c:pt>
                <c:pt idx="293">
                  <c:v>6.8568934705233583E-3</c:v>
                </c:pt>
                <c:pt idx="294">
                  <c:v>6.6628734107721556E-3</c:v>
                </c:pt>
                <c:pt idx="295">
                  <c:v>6.4656191599162744E-3</c:v>
                </c:pt>
                <c:pt idx="296">
                  <c:v>6.2713690300797249E-3</c:v>
                </c:pt>
                <c:pt idx="297">
                  <c:v>6.0801722997541408E-3</c:v>
                </c:pt>
                <c:pt idx="298">
                  <c:v>5.8920239621097449E-3</c:v>
                </c:pt>
                <c:pt idx="299">
                  <c:v>5.7069198328983184E-3</c:v>
                </c:pt>
                <c:pt idx="300">
                  <c:v>5.5248565210133443E-3</c:v>
                </c:pt>
                <c:pt idx="301">
                  <c:v>5.3458313990319096E-3</c:v>
                </c:pt>
                <c:pt idx="302">
                  <c:v>5.169842573769603E-3</c:v>
                </c:pt>
                <c:pt idx="303">
                  <c:v>4.9989513955481044E-3</c:v>
                </c:pt>
                <c:pt idx="304">
                  <c:v>4.8332391062973403E-3</c:v>
                </c:pt>
                <c:pt idx="305">
                  <c:v>4.6727088929603292E-3</c:v>
                </c:pt>
                <c:pt idx="306">
                  <c:v>4.5173645315113552E-3</c:v>
                </c:pt>
                <c:pt idx="307">
                  <c:v>4.3672103377984479E-3</c:v>
                </c:pt>
                <c:pt idx="308">
                  <c:v>4.2222511183487707E-3</c:v>
                </c:pt>
                <c:pt idx="309">
                  <c:v>4.0849143948639378E-3</c:v>
                </c:pt>
                <c:pt idx="310">
                  <c:v>3.9519208328941541E-3</c:v>
                </c:pt>
                <c:pt idx="311">
                  <c:v>3.823275200066395E-3</c:v>
                </c:pt>
                <c:pt idx="312">
                  <c:v>3.6989825856868289E-3</c:v>
                </c:pt>
                <c:pt idx="313">
                  <c:v>3.5790483595288642E-3</c:v>
                </c:pt>
                <c:pt idx="314">
                  <c:v>3.4634781305864959E-3</c:v>
                </c:pt>
                <c:pt idx="315">
                  <c:v>3.3522777058732282E-3</c:v>
                </c:pt>
                <c:pt idx="316">
                  <c:v>3.2454530491657051E-3</c:v>
                </c:pt>
                <c:pt idx="317">
                  <c:v>3.1458752204686015E-3</c:v>
                </c:pt>
                <c:pt idx="318">
                  <c:v>3.0514773679143951E-3</c:v>
                </c:pt>
                <c:pt idx="319">
                  <c:v>2.9622664352611737E-3</c:v>
                </c:pt>
                <c:pt idx="320">
                  <c:v>2.8782492797005867E-3</c:v>
                </c:pt>
                <c:pt idx="321">
                  <c:v>2.7994326234149023E-3</c:v>
                </c:pt>
                <c:pt idx="322">
                  <c:v>2.7258230051441213E-3</c:v>
                </c:pt>
                <c:pt idx="323">
                  <c:v>2.661876631533023E-3</c:v>
                </c:pt>
                <c:pt idx="324">
                  <c:v>2.6051670214559089E-3</c:v>
                </c:pt>
                <c:pt idx="325">
                  <c:v>2.5557010910382165E-3</c:v>
                </c:pt>
                <c:pt idx="326">
                  <c:v>2.513469500792224E-3</c:v>
                </c:pt>
                <c:pt idx="327">
                  <c:v>2.4784733696189116E-3</c:v>
                </c:pt>
                <c:pt idx="328">
                  <c:v>2.4507255748705261E-3</c:v>
                </c:pt>
                <c:pt idx="329">
                  <c:v>2.4302375383859873E-3</c:v>
                </c:pt>
                <c:pt idx="330">
                  <c:v>2.4170193789952326E-3</c:v>
                </c:pt>
                <c:pt idx="331">
                  <c:v>2.415123606255011E-3</c:v>
                </c:pt>
                <c:pt idx="332">
                  <c:v>2.4216835605897478E-3</c:v>
                </c:pt>
                <c:pt idx="333">
                  <c:v>2.4367064494962309E-3</c:v>
                </c:pt>
                <c:pt idx="334">
                  <c:v>2.4601987190784069E-3</c:v>
                </c:pt>
                <c:pt idx="335">
                  <c:v>2.4921662308873636E-3</c:v>
                </c:pt>
                <c:pt idx="336">
                  <c:v>2.5326144387293049E-3</c:v>
                </c:pt>
                <c:pt idx="337">
                  <c:v>2.5800229707926572E-3</c:v>
                </c:pt>
                <c:pt idx="338">
                  <c:v>2.6299379808036867E-3</c:v>
                </c:pt>
                <c:pt idx="339">
                  <c:v>2.6823643315026739E-3</c:v>
                </c:pt>
                <c:pt idx="340">
                  <c:v>2.7373072475668798E-3</c:v>
                </c:pt>
                <c:pt idx="341">
                  <c:v>2.7947723680081557E-3</c:v>
                </c:pt>
                <c:pt idx="342">
                  <c:v>2.8547657985695828E-3</c:v>
                </c:pt>
                <c:pt idx="343">
                  <c:v>2.9172941640881341E-3</c:v>
                </c:pt>
                <c:pt idx="344">
                  <c:v>2.9823646609008375E-3</c:v>
                </c:pt>
                <c:pt idx="345">
                  <c:v>3.0499851092213159E-3</c:v>
                </c:pt>
                <c:pt idx="346">
                  <c:v>3.1122285778380564E-3</c:v>
                </c:pt>
                <c:pt idx="347">
                  <c:v>3.1691027107667844E-3</c:v>
                </c:pt>
                <c:pt idx="348">
                  <c:v>3.2206152408504832E-3</c:v>
                </c:pt>
                <c:pt idx="349">
                  <c:v>3.2667738771666693E-3</c:v>
                </c:pt>
                <c:pt idx="350">
                  <c:v>3.3075861925097589E-3</c:v>
                </c:pt>
                <c:pt idx="351">
                  <c:v>3.3391683775641783E-3</c:v>
                </c:pt>
                <c:pt idx="352">
                  <c:v>3.3630525653984117E-3</c:v>
                </c:pt>
                <c:pt idx="353">
                  <c:v>3.3792436431561591E-3</c:v>
                </c:pt>
                <c:pt idx="354">
                  <c:v>3.3877454961501758E-3</c:v>
                </c:pt>
                <c:pt idx="355">
                  <c:v>3.3885608460039237E-3</c:v>
                </c:pt>
                <c:pt idx="356">
                  <c:v>3.3816934259080955E-3</c:v>
                </c:pt>
                <c:pt idx="357">
                  <c:v>3.3671356116747523E-3</c:v>
                </c:pt>
                <c:pt idx="358">
                  <c:v>3.344870251735407E-3</c:v>
                </c:pt>
                <c:pt idx="359">
                  <c:v>3.3148790341140919E-3</c:v>
                </c:pt>
                <c:pt idx="360">
                  <c:v>3.2756121508060697E-3</c:v>
                </c:pt>
                <c:pt idx="361">
                  <c:v>3.2309499614424056E-3</c:v>
                </c:pt>
                <c:pt idx="362">
                  <c:v>3.1808747942456282E-3</c:v>
                </c:pt>
                <c:pt idx="363">
                  <c:v>3.1253688625060018E-3</c:v>
                </c:pt>
                <c:pt idx="364">
                  <c:v>3.0644144036285248E-3</c:v>
                </c:pt>
                <c:pt idx="365">
                  <c:v>2.9979938181374922E-3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1.8050760638635126E-2</c:v>
                </c:pt>
                <c:pt idx="1">
                  <c:v>1.7878221321546223E-2</c:v>
                </c:pt>
                <c:pt idx="2">
                  <c:v>1.7704941058153092E-2</c:v>
                </c:pt>
                <c:pt idx="3">
                  <c:v>1.7530870902721905E-2</c:v>
                </c:pt>
                <c:pt idx="4">
                  <c:v>1.7355963754332487E-2</c:v>
                </c:pt>
                <c:pt idx="5">
                  <c:v>1.7180174374096784E-2</c:v>
                </c:pt>
                <c:pt idx="6">
                  <c:v>1.7003459402597142E-2</c:v>
                </c:pt>
                <c:pt idx="7">
                  <c:v>1.6825777376934564E-2</c:v>
                </c:pt>
                <c:pt idx="8">
                  <c:v>1.6647088748022801E-2</c:v>
                </c:pt>
                <c:pt idx="9">
                  <c:v>1.6453127082318181E-2</c:v>
                </c:pt>
                <c:pt idx="10">
                  <c:v>1.6248137752038792E-2</c:v>
                </c:pt>
                <c:pt idx="11">
                  <c:v>1.6032075399712561E-2</c:v>
                </c:pt>
                <c:pt idx="12">
                  <c:v>1.5804897954050077E-2</c:v>
                </c:pt>
                <c:pt idx="13">
                  <c:v>1.5566566899750984E-2</c:v>
                </c:pt>
                <c:pt idx="14">
                  <c:v>1.5317047547045588E-2</c:v>
                </c:pt>
                <c:pt idx="15">
                  <c:v>1.5044317482910666E-2</c:v>
                </c:pt>
                <c:pt idx="16">
                  <c:v>1.4744711655955587E-2</c:v>
                </c:pt>
                <c:pt idx="17">
                  <c:v>1.4418197445671544E-2</c:v>
                </c:pt>
                <c:pt idx="18">
                  <c:v>1.4064750502300371E-2</c:v>
                </c:pt>
                <c:pt idx="19">
                  <c:v>1.3684431743006646E-2</c:v>
                </c:pt>
                <c:pt idx="20">
                  <c:v>1.3277336057396109E-2</c:v>
                </c:pt>
                <c:pt idx="21">
                  <c:v>1.2843498192635324E-2</c:v>
                </c:pt>
                <c:pt idx="22">
                  <c:v>1.2382954680691054E-2</c:v>
                </c:pt>
                <c:pt idx="23">
                  <c:v>1.1924779047097434E-2</c:v>
                </c:pt>
                <c:pt idx="24">
                  <c:v>1.1483300890319818E-2</c:v>
                </c:pt>
                <c:pt idx="25">
                  <c:v>1.1058565742930035E-2</c:v>
                </c:pt>
                <c:pt idx="26">
                  <c:v>1.065061495416819E-2</c:v>
                </c:pt>
                <c:pt idx="27">
                  <c:v>1.0259485902712032E-2</c:v>
                </c:pt>
                <c:pt idx="28">
                  <c:v>9.8852122096835388E-3</c:v>
                </c:pt>
                <c:pt idx="29">
                  <c:v>9.5539449529606496E-3</c:v>
                </c:pt>
                <c:pt idx="30">
                  <c:v>9.277720796754289E-3</c:v>
                </c:pt>
                <c:pt idx="31">
                  <c:v>9.0565583436978663E-3</c:v>
                </c:pt>
                <c:pt idx="32">
                  <c:v>8.8904709141509122E-3</c:v>
                </c:pt>
                <c:pt idx="33">
                  <c:v>8.779467235775015E-3</c:v>
                </c:pt>
                <c:pt idx="34">
                  <c:v>8.723552133149964E-3</c:v>
                </c:pt>
                <c:pt idx="35">
                  <c:v>8.7227272173808559E-3</c:v>
                </c:pt>
                <c:pt idx="36">
                  <c:v>8.7769915756879882E-3</c:v>
                </c:pt>
                <c:pt idx="37">
                  <c:v>8.8903334258442698E-3</c:v>
                </c:pt>
                <c:pt idx="38">
                  <c:v>9.0337227095960201E-3</c:v>
                </c:pt>
                <c:pt idx="39">
                  <c:v>9.2071616808345972E-3</c:v>
                </c:pt>
                <c:pt idx="40">
                  <c:v>9.4106529914447078E-3</c:v>
                </c:pt>
                <c:pt idx="41">
                  <c:v>9.6442000678184734E-3</c:v>
                </c:pt>
                <c:pt idx="42">
                  <c:v>9.9078074873087969E-3</c:v>
                </c:pt>
                <c:pt idx="43">
                  <c:v>1.0201941049241988E-2</c:v>
                </c:pt>
                <c:pt idx="44">
                  <c:v>1.0500515415300796E-2</c:v>
                </c:pt>
                <c:pt idx="45">
                  <c:v>1.0803546668820614E-2</c:v>
                </c:pt>
                <c:pt idx="46">
                  <c:v>1.1111052544429604E-2</c:v>
                </c:pt>
                <c:pt idx="47">
                  <c:v>1.1423052483794343E-2</c:v>
                </c:pt>
                <c:pt idx="48">
                  <c:v>1.1739567691225779E-2</c:v>
                </c:pt>
                <c:pt idx="49">
                  <c:v>1.206062118938356E-2</c:v>
                </c:pt>
                <c:pt idx="50">
                  <c:v>1.2386237874910909E-2</c:v>
                </c:pt>
                <c:pt idx="51">
                  <c:v>1.2710872991345953E-2</c:v>
                </c:pt>
                <c:pt idx="52">
                  <c:v>1.3030496611058156E-2</c:v>
                </c:pt>
                <c:pt idx="53">
                  <c:v>1.3345046003475429E-2</c:v>
                </c:pt>
                <c:pt idx="54">
                  <c:v>1.365451925963404E-2</c:v>
                </c:pt>
                <c:pt idx="55">
                  <c:v>1.3958913920656874E-2</c:v>
                </c:pt>
                <c:pt idx="56">
                  <c:v>1.4258226996660961E-2</c:v>
                </c:pt>
                <c:pt idx="57">
                  <c:v>1.4542738771368866E-2</c:v>
                </c:pt>
                <c:pt idx="58">
                  <c:v>1.4811985598659134E-2</c:v>
                </c:pt>
                <c:pt idx="59">
                  <c:v>1.5065962786286281E-2</c:v>
                </c:pt>
                <c:pt idx="60">
                  <c:v>1.5304665161177155E-2</c:v>
                </c:pt>
                <c:pt idx="61">
                  <c:v>1.5528087125995042E-2</c:v>
                </c:pt>
                <c:pt idx="62">
                  <c:v>1.5736222715680624E-2</c:v>
                </c:pt>
                <c:pt idx="63">
                  <c:v>1.592906565403936E-2</c:v>
                </c:pt>
                <c:pt idx="64">
                  <c:v>1.6106609410266714E-2</c:v>
                </c:pt>
                <c:pt idx="65">
                  <c:v>1.6260637523332164E-2</c:v>
                </c:pt>
                <c:pt idx="66">
                  <c:v>1.6396714868668304E-2</c:v>
                </c:pt>
                <c:pt idx="67">
                  <c:v>1.6514834529354389E-2</c:v>
                </c:pt>
                <c:pt idx="68">
                  <c:v>1.661498960880468E-2</c:v>
                </c:pt>
                <c:pt idx="69">
                  <c:v>1.6697173297033591E-2</c:v>
                </c:pt>
                <c:pt idx="70">
                  <c:v>1.6761378936997421E-2</c:v>
                </c:pt>
                <c:pt idx="71">
                  <c:v>1.679913553713528E-2</c:v>
                </c:pt>
                <c:pt idx="72">
                  <c:v>1.6820153696580197E-2</c:v>
                </c:pt>
                <c:pt idx="73">
                  <c:v>1.6824427652188816E-2</c:v>
                </c:pt>
                <c:pt idx="74">
                  <c:v>1.6811952037536663E-2</c:v>
                </c:pt>
                <c:pt idx="75">
                  <c:v>1.678272194462934E-2</c:v>
                </c:pt>
                <c:pt idx="76">
                  <c:v>1.6736732985561466E-2</c:v>
                </c:pt>
                <c:pt idx="77">
                  <c:v>1.6673981354230184E-2</c:v>
                </c:pt>
                <c:pt idx="78">
                  <c:v>1.6594464438945945E-2</c:v>
                </c:pt>
                <c:pt idx="79">
                  <c:v>1.6488065916993547E-2</c:v>
                </c:pt>
                <c:pt idx="80">
                  <c:v>1.6363036158103139E-2</c:v>
                </c:pt>
                <c:pt idx="81">
                  <c:v>1.6219372613956905E-2</c:v>
                </c:pt>
                <c:pt idx="82">
                  <c:v>1.6057072949316836E-2</c:v>
                </c:pt>
                <c:pt idx="83">
                  <c:v>1.5876135101725499E-2</c:v>
                </c:pt>
                <c:pt idx="84">
                  <c:v>1.5676557341260118E-2</c:v>
                </c:pt>
                <c:pt idx="85">
                  <c:v>1.5450756811374054E-2</c:v>
                </c:pt>
                <c:pt idx="86">
                  <c:v>1.5207193387044092E-2</c:v>
                </c:pt>
                <c:pt idx="87">
                  <c:v>1.4945866597870136E-2</c:v>
                </c:pt>
                <c:pt idx="88">
                  <c:v>1.4666776540727774E-2</c:v>
                </c:pt>
                <c:pt idx="89">
                  <c:v>1.4369923936675333E-2</c:v>
                </c:pt>
                <c:pt idx="90">
                  <c:v>1.405531018783074E-2</c:v>
                </c:pt>
                <c:pt idx="91">
                  <c:v>1.3722937434303731E-2</c:v>
                </c:pt>
                <c:pt idx="92">
                  <c:v>1.3372808611088008E-2</c:v>
                </c:pt>
                <c:pt idx="93">
                  <c:v>1.3003595002341438E-2</c:v>
                </c:pt>
                <c:pt idx="94">
                  <c:v>1.2625471230929506E-2</c:v>
                </c:pt>
                <c:pt idx="95">
                  <c:v>1.2238440688909587E-2</c:v>
                </c:pt>
                <c:pt idx="96">
                  <c:v>1.1842507517590632E-2</c:v>
                </c:pt>
                <c:pt idx="97">
                  <c:v>1.143767663616993E-2</c:v>
                </c:pt>
                <c:pt idx="98">
                  <c:v>1.1023953770258187E-2</c:v>
                </c:pt>
                <c:pt idx="99">
                  <c:v>1.0603860575986416E-2</c:v>
                </c:pt>
                <c:pt idx="100">
                  <c:v>1.0184976043403305E-2</c:v>
                </c:pt>
                <c:pt idx="101">
                  <c:v>9.7673047363064872E-3</c:v>
                </c:pt>
                <c:pt idx="102">
                  <c:v>9.3508517055160122E-3</c:v>
                </c:pt>
                <c:pt idx="103">
                  <c:v>8.935622484981972E-3</c:v>
                </c:pt>
                <c:pt idx="104">
                  <c:v>8.5216230881162616E-3</c:v>
                </c:pt>
                <c:pt idx="105">
                  <c:v>8.1088600039160384E-3</c:v>
                </c:pt>
                <c:pt idx="106">
                  <c:v>7.6973401932001256E-3</c:v>
                </c:pt>
                <c:pt idx="107">
                  <c:v>7.2915294915327162E-3</c:v>
                </c:pt>
                <c:pt idx="108">
                  <c:v>6.8927633974974305E-3</c:v>
                </c:pt>
                <c:pt idx="109">
                  <c:v>6.5010468678485785E-3</c:v>
                </c:pt>
                <c:pt idx="110">
                  <c:v>6.1164023934683377E-3</c:v>
                </c:pt>
                <c:pt idx="111">
                  <c:v>5.7388486625884081E-3</c:v>
                </c:pt>
                <c:pt idx="112">
                  <c:v>5.3683851305807535E-3</c:v>
                </c:pt>
                <c:pt idx="113">
                  <c:v>5.0152602904990099E-3</c:v>
                </c:pt>
                <c:pt idx="114">
                  <c:v>4.6769585270351076E-3</c:v>
                </c:pt>
                <c:pt idx="115">
                  <c:v>4.3534744268792667E-3</c:v>
                </c:pt>
                <c:pt idx="116">
                  <c:v>4.0448024129016305E-3</c:v>
                </c:pt>
                <c:pt idx="117">
                  <c:v>3.7509367120421365E-3</c:v>
                </c:pt>
                <c:pt idx="118">
                  <c:v>3.4718713231519129E-3</c:v>
                </c:pt>
                <c:pt idx="119">
                  <c:v>3.2075999848488728E-3</c:v>
                </c:pt>
                <c:pt idx="120">
                  <c:v>2.9581161433684627E-3</c:v>
                </c:pt>
                <c:pt idx="121">
                  <c:v>2.7312421995618549E-3</c:v>
                </c:pt>
                <c:pt idx="122">
                  <c:v>2.5225210805741244E-3</c:v>
                </c:pt>
                <c:pt idx="123">
                  <c:v>2.331942276664117E-3</c:v>
                </c:pt>
                <c:pt idx="124">
                  <c:v>2.1594947059011605E-3</c:v>
                </c:pt>
                <c:pt idx="125">
                  <c:v>2.0051666746267187E-3</c:v>
                </c:pt>
                <c:pt idx="126">
                  <c:v>1.8689458378820002E-3</c:v>
                </c:pt>
                <c:pt idx="127">
                  <c:v>1.7525084014847628E-3</c:v>
                </c:pt>
                <c:pt idx="128">
                  <c:v>1.6456295502042617E-3</c:v>
                </c:pt>
                <c:pt idx="129">
                  <c:v>1.5483027549445516E-3</c:v>
                </c:pt>
                <c:pt idx="130">
                  <c:v>1.4605211071120128E-3</c:v>
                </c:pt>
                <c:pt idx="131">
                  <c:v>1.3822772977405433E-3</c:v>
                </c:pt>
                <c:pt idx="132">
                  <c:v>1.3135635966348978E-3</c:v>
                </c:pt>
                <c:pt idx="133">
                  <c:v>1.2543718315218544E-3</c:v>
                </c:pt>
                <c:pt idx="134">
                  <c:v>1.2046933671930797E-3</c:v>
                </c:pt>
                <c:pt idx="135">
                  <c:v>1.1671218802859521E-3</c:v>
                </c:pt>
                <c:pt idx="136">
                  <c:v>1.1338526496528385E-3</c:v>
                </c:pt>
                <c:pt idx="137">
                  <c:v>1.1048815147048907E-3</c:v>
                </c:pt>
                <c:pt idx="138">
                  <c:v>1.080204084596346E-3</c:v>
                </c:pt>
                <c:pt idx="139">
                  <c:v>1.0598157288184522E-3</c:v>
                </c:pt>
                <c:pt idx="140">
                  <c:v>1.04371156773175E-3</c:v>
                </c:pt>
                <c:pt idx="141">
                  <c:v>1.0339935470413994E-3</c:v>
                </c:pt>
                <c:pt idx="142">
                  <c:v>1.0289679426835634E-3</c:v>
                </c:pt>
                <c:pt idx="143">
                  <c:v>1.0286238225675033E-3</c:v>
                </c:pt>
                <c:pt idx="144">
                  <c:v>1.0329559257245043E-3</c:v>
                </c:pt>
                <c:pt idx="145">
                  <c:v>1.0419584410656677E-3</c:v>
                </c:pt>
                <c:pt idx="146">
                  <c:v>1.055625070539052E-3</c:v>
                </c:pt>
                <c:pt idx="147">
                  <c:v>1.0739490923217482E-3</c:v>
                </c:pt>
                <c:pt idx="148">
                  <c:v>1.0969234239872506E-3</c:v>
                </c:pt>
                <c:pt idx="149">
                  <c:v>1.1240602357595372E-3</c:v>
                </c:pt>
                <c:pt idx="150">
                  <c:v>1.1527684880117755E-3</c:v>
                </c:pt>
                <c:pt idx="151">
                  <c:v>1.183045886324605E-3</c:v>
                </c:pt>
                <c:pt idx="152">
                  <c:v>1.2148901961601141E-3</c:v>
                </c:pt>
                <c:pt idx="153">
                  <c:v>1.2482992646781271E-3</c:v>
                </c:pt>
                <c:pt idx="154">
                  <c:v>1.2832710425587522E-3</c:v>
                </c:pt>
                <c:pt idx="155">
                  <c:v>1.3187635526908052E-3</c:v>
                </c:pt>
                <c:pt idx="156">
                  <c:v>1.3526875306825671E-3</c:v>
                </c:pt>
                <c:pt idx="157">
                  <c:v>1.3850473209439957E-3</c:v>
                </c:pt>
                <c:pt idx="158">
                  <c:v>1.4158474750990792E-3</c:v>
                </c:pt>
                <c:pt idx="159">
                  <c:v>1.4450927314203727E-3</c:v>
                </c:pt>
                <c:pt idx="160">
                  <c:v>1.4727879942807505E-3</c:v>
                </c:pt>
                <c:pt idx="161">
                  <c:v>1.4989383135893403E-3</c:v>
                </c:pt>
                <c:pt idx="162">
                  <c:v>1.5235488642349315E-3</c:v>
                </c:pt>
                <c:pt idx="163">
                  <c:v>1.5454372328755819E-3</c:v>
                </c:pt>
                <c:pt idx="164">
                  <c:v>1.5650869729277679E-3</c:v>
                </c:pt>
                <c:pt idx="165">
                  <c:v>1.5825047775184804E-3</c:v>
                </c:pt>
                <c:pt idx="166">
                  <c:v>1.5976973346466538E-3</c:v>
                </c:pt>
                <c:pt idx="167">
                  <c:v>1.6106712969218018E-3</c:v>
                </c:pt>
                <c:pt idx="168">
                  <c:v>1.6214332513532043E-3</c:v>
                </c:pt>
                <c:pt idx="169">
                  <c:v>1.6288062035715036E-3</c:v>
                </c:pt>
                <c:pt idx="170">
                  <c:v>1.6338290452827711E-3</c:v>
                </c:pt>
                <c:pt idx="171">
                  <c:v>1.6365081689513692E-3</c:v>
                </c:pt>
                <c:pt idx="172">
                  <c:v>1.6368497576372352E-3</c:v>
                </c:pt>
                <c:pt idx="173">
                  <c:v>1.634843034570059E-3</c:v>
                </c:pt>
                <c:pt idx="174">
                  <c:v>1.6304762430923913E-3</c:v>
                </c:pt>
                <c:pt idx="175">
                  <c:v>1.6237539165959664E-3</c:v>
                </c:pt>
                <c:pt idx="176">
                  <c:v>1.6146805729261703E-3</c:v>
                </c:pt>
                <c:pt idx="177">
                  <c:v>1.6022337861985915E-3</c:v>
                </c:pt>
                <c:pt idx="178">
                  <c:v>1.5875975813967617E-3</c:v>
                </c:pt>
                <c:pt idx="179">
                  <c:v>1.5707761115300327E-3</c:v>
                </c:pt>
                <c:pt idx="180">
                  <c:v>1.5517734592492736E-3</c:v>
                </c:pt>
                <c:pt idx="181">
                  <c:v>1.5305936238906618E-3</c:v>
                </c:pt>
                <c:pt idx="182">
                  <c:v>1.5072405085333111E-3</c:v>
                </c:pt>
                <c:pt idx="183">
                  <c:v>1.4812466502482091E-3</c:v>
                </c:pt>
                <c:pt idx="184">
                  <c:v>1.4537909777588025E-3</c:v>
                </c:pt>
                <c:pt idx="185">
                  <c:v>1.4248760230330551E-3</c:v>
                </c:pt>
                <c:pt idx="186">
                  <c:v>1.3945041975703778E-3</c:v>
                </c:pt>
                <c:pt idx="187">
                  <c:v>1.3626777836053877E-3</c:v>
                </c:pt>
                <c:pt idx="188">
                  <c:v>1.3293989253185857E-3</c:v>
                </c:pt>
                <c:pt idx="189">
                  <c:v>1.2946696200054218E-3</c:v>
                </c:pt>
                <c:pt idx="190">
                  <c:v>1.2584917093032796E-3</c:v>
                </c:pt>
                <c:pt idx="191">
                  <c:v>1.2229176868361997E-3</c:v>
                </c:pt>
                <c:pt idx="192">
                  <c:v>1.1889662700407396E-3</c:v>
                </c:pt>
                <c:pt idx="193">
                  <c:v>1.1566351424782439E-3</c:v>
                </c:pt>
                <c:pt idx="194">
                  <c:v>1.1259220144234213E-3</c:v>
                </c:pt>
                <c:pt idx="195">
                  <c:v>1.0968246322347458E-3</c:v>
                </c:pt>
                <c:pt idx="196">
                  <c:v>1.0693407876796429E-3</c:v>
                </c:pt>
                <c:pt idx="197">
                  <c:v>1.0459896393947793E-3</c:v>
                </c:pt>
                <c:pt idx="198">
                  <c:v>1.0272348436591236E-3</c:v>
                </c:pt>
                <c:pt idx="199">
                  <c:v>1.01307158103936E-3</c:v>
                </c:pt>
                <c:pt idx="200">
                  <c:v>1.0034953922386802E-3</c:v>
                </c:pt>
                <c:pt idx="201">
                  <c:v>9.9850220513878168E-4</c:v>
                </c:pt>
                <c:pt idx="202">
                  <c:v>9.9808836184813441E-4</c:v>
                </c:pt>
                <c:pt idx="203">
                  <c:v>1.0022506457723214E-3</c:v>
                </c:pt>
                <c:pt idx="204">
                  <c:v>1.0109846760779691E-3</c:v>
                </c:pt>
                <c:pt idx="205">
                  <c:v>1.0259140872776417E-3</c:v>
                </c:pt>
                <c:pt idx="206">
                  <c:v>1.044993934344473E-3</c:v>
                </c:pt>
                <c:pt idx="207">
                  <c:v>1.0682219964642269E-3</c:v>
                </c:pt>
                <c:pt idx="208">
                  <c:v>1.0955963663465066E-3</c:v>
                </c:pt>
                <c:pt idx="209">
                  <c:v>1.1271154373583767E-3</c:v>
                </c:pt>
                <c:pt idx="210">
                  <c:v>1.1627778906945602E-3</c:v>
                </c:pt>
                <c:pt idx="211">
                  <c:v>1.2101081938450321E-3</c:v>
                </c:pt>
                <c:pt idx="212">
                  <c:v>1.2665899761868107E-3</c:v>
                </c:pt>
                <c:pt idx="213">
                  <c:v>1.3322210463793263E-3</c:v>
                </c:pt>
                <c:pt idx="214">
                  <c:v>1.4069997865629137E-3</c:v>
                </c:pt>
                <c:pt idx="215">
                  <c:v>1.4909251239445167E-3</c:v>
                </c:pt>
                <c:pt idx="216">
                  <c:v>1.5839965023789679E-3</c:v>
                </c:pt>
                <c:pt idx="217">
                  <c:v>1.6862138539564565E-3</c:v>
                </c:pt>
                <c:pt idx="218">
                  <c:v>1.7975775705821352E-3</c:v>
                </c:pt>
                <c:pt idx="219">
                  <c:v>1.9279134256444336E-3</c:v>
                </c:pt>
                <c:pt idx="220">
                  <c:v>2.0755960242030487E-3</c:v>
                </c:pt>
                <c:pt idx="221">
                  <c:v>2.2406261443634477E-3</c:v>
                </c:pt>
                <c:pt idx="222">
                  <c:v>2.4230053429704552E-3</c:v>
                </c:pt>
                <c:pt idx="223">
                  <c:v>2.622735901744415E-3</c:v>
                </c:pt>
                <c:pt idx="224">
                  <c:v>2.8398207733682109E-3</c:v>
                </c:pt>
                <c:pt idx="225">
                  <c:v>3.0785316798291711E-3</c:v>
                </c:pt>
                <c:pt idx="226">
                  <c:v>3.331354718228183E-3</c:v>
                </c:pt>
                <c:pt idx="227">
                  <c:v>3.5982945784839692E-3</c:v>
                </c:pt>
                <c:pt idx="228">
                  <c:v>3.8793562606200941E-3</c:v>
                </c:pt>
                <c:pt idx="229">
                  <c:v>4.1745450309265278E-3</c:v>
                </c:pt>
                <c:pt idx="230">
                  <c:v>4.483866378172577E-3</c:v>
                </c:pt>
                <c:pt idx="231">
                  <c:v>4.8073259698434966E-3</c:v>
                </c:pt>
                <c:pt idx="232">
                  <c:v>5.1449296082823632E-3</c:v>
                </c:pt>
                <c:pt idx="233">
                  <c:v>5.4990886428147043E-3</c:v>
                </c:pt>
                <c:pt idx="234">
                  <c:v>5.8599841150841726E-3</c:v>
                </c:pt>
                <c:pt idx="235">
                  <c:v>6.2276258368591979E-3</c:v>
                </c:pt>
                <c:pt idx="236">
                  <c:v>6.6020267194763184E-3</c:v>
                </c:pt>
                <c:pt idx="237">
                  <c:v>6.9831966566996318E-3</c:v>
                </c:pt>
                <c:pt idx="238">
                  <c:v>7.3711460812378622E-3</c:v>
                </c:pt>
                <c:pt idx="239">
                  <c:v>7.7646117898127268E-3</c:v>
                </c:pt>
                <c:pt idx="240">
                  <c:v>8.1593340590379784E-3</c:v>
                </c:pt>
                <c:pt idx="241">
                  <c:v>8.5553233697275369E-3</c:v>
                </c:pt>
                <c:pt idx="242">
                  <c:v>8.9525905321741536E-3</c:v>
                </c:pt>
                <c:pt idx="243">
                  <c:v>9.3511466882210282E-3</c:v>
                </c:pt>
                <c:pt idx="244">
                  <c:v>9.7510033132983138E-3</c:v>
                </c:pt>
                <c:pt idx="245">
                  <c:v>1.0152172218360952E-2</c:v>
                </c:pt>
                <c:pt idx="246">
                  <c:v>1.0554665551793683E-2</c:v>
                </c:pt>
                <c:pt idx="247">
                  <c:v>1.0951243038715067E-2</c:v>
                </c:pt>
                <c:pt idx="248">
                  <c:v>1.13395051404966E-2</c:v>
                </c:pt>
                <c:pt idx="249">
                  <c:v>1.1719460108189252E-2</c:v>
                </c:pt>
                <c:pt idx="250">
                  <c:v>1.20911160061877E-2</c:v>
                </c:pt>
                <c:pt idx="251">
                  <c:v>1.2454480697501283E-2</c:v>
                </c:pt>
                <c:pt idx="252">
                  <c:v>1.2809561828535961E-2</c:v>
                </c:pt>
                <c:pt idx="253">
                  <c:v>1.3146622048857248E-2</c:v>
                </c:pt>
                <c:pt idx="254">
                  <c:v>1.3466939385419345E-2</c:v>
                </c:pt>
                <c:pt idx="255">
                  <c:v>1.3770514862667274E-2</c:v>
                </c:pt>
                <c:pt idx="256">
                  <c:v>1.4057348706490847E-2</c:v>
                </c:pt>
                <c:pt idx="257">
                  <c:v>1.4327440314157268E-2</c:v>
                </c:pt>
                <c:pt idx="258">
                  <c:v>1.4580788224370414E-2</c:v>
                </c:pt>
                <c:pt idx="259">
                  <c:v>1.4817390087537193E-2</c:v>
                </c:pt>
                <c:pt idx="260">
                  <c:v>1.5037242635595223E-2</c:v>
                </c:pt>
                <c:pt idx="261">
                  <c:v>1.5232223955261791E-2</c:v>
                </c:pt>
                <c:pt idx="262">
                  <c:v>1.5409598598026895E-2</c:v>
                </c:pt>
                <c:pt idx="263">
                  <c:v>1.5569359312098539E-2</c:v>
                </c:pt>
                <c:pt idx="264">
                  <c:v>1.5711498497804972E-2</c:v>
                </c:pt>
                <c:pt idx="265">
                  <c:v>1.5836092303412982E-2</c:v>
                </c:pt>
                <c:pt idx="266">
                  <c:v>1.594317608246144E-2</c:v>
                </c:pt>
                <c:pt idx="267">
                  <c:v>1.6024830521797446E-2</c:v>
                </c:pt>
                <c:pt idx="268">
                  <c:v>1.6090800473697844E-2</c:v>
                </c:pt>
                <c:pt idx="269">
                  <c:v>1.6141052599517029E-2</c:v>
                </c:pt>
                <c:pt idx="270">
                  <c:v>1.6175551720247122E-2</c:v>
                </c:pt>
                <c:pt idx="271">
                  <c:v>1.6194260992709788E-2</c:v>
                </c:pt>
                <c:pt idx="272">
                  <c:v>1.6197142086191826E-2</c:v>
                </c:pt>
                <c:pt idx="273">
                  <c:v>1.6184155358876934E-2</c:v>
                </c:pt>
                <c:pt idx="274">
                  <c:v>1.6155260034489805E-2</c:v>
                </c:pt>
                <c:pt idx="275">
                  <c:v>1.6101044590637464E-2</c:v>
                </c:pt>
                <c:pt idx="276">
                  <c:v>1.6029619183615337E-2</c:v>
                </c:pt>
                <c:pt idx="277">
                  <c:v>1.5940938658483471E-2</c:v>
                </c:pt>
                <c:pt idx="278">
                  <c:v>1.5834957423547541E-2</c:v>
                </c:pt>
                <c:pt idx="279">
                  <c:v>1.5711629640083848E-2</c:v>
                </c:pt>
                <c:pt idx="280">
                  <c:v>1.5570909412213429E-2</c:v>
                </c:pt>
                <c:pt idx="281">
                  <c:v>1.5407361714308546E-2</c:v>
                </c:pt>
                <c:pt idx="282">
                  <c:v>1.5228877578928742E-2</c:v>
                </c:pt>
                <c:pt idx="283">
                  <c:v>1.503541605903079E-2</c:v>
                </c:pt>
                <c:pt idx="284">
                  <c:v>1.4826936936886281E-2</c:v>
                </c:pt>
                <c:pt idx="285">
                  <c:v>1.4603400885888239E-2</c:v>
                </c:pt>
                <c:pt idx="286">
                  <c:v>1.4364769632499464E-2</c:v>
                </c:pt>
                <c:pt idx="287">
                  <c:v>1.4111006118052133E-2</c:v>
                </c:pt>
                <c:pt idx="288">
                  <c:v>1.3842074660605103E-2</c:v>
                </c:pt>
                <c:pt idx="289">
                  <c:v>1.3558387423733853E-2</c:v>
                </c:pt>
                <c:pt idx="290">
                  <c:v>1.3269354717199644E-2</c:v>
                </c:pt>
                <c:pt idx="291">
                  <c:v>1.2974960548987722E-2</c:v>
                </c:pt>
                <c:pt idx="292">
                  <c:v>1.2675190446864297E-2</c:v>
                </c:pt>
                <c:pt idx="293">
                  <c:v>1.2370031512546967E-2</c:v>
                </c:pt>
                <c:pt idx="294">
                  <c:v>1.2059472475821786E-2</c:v>
                </c:pt>
                <c:pt idx="295">
                  <c:v>1.1747388755151024E-2</c:v>
                </c:pt>
                <c:pt idx="296">
                  <c:v>1.1439345538803491E-2</c:v>
                </c:pt>
                <c:pt idx="297">
                  <c:v>1.1135430961788017E-2</c:v>
                </c:pt>
                <c:pt idx="298">
                  <c:v>1.0835634688859667E-2</c:v>
                </c:pt>
                <c:pt idx="299">
                  <c:v>1.0539947670384077E-2</c:v>
                </c:pt>
                <c:pt idx="300">
                  <c:v>1.0248362102329279E-2</c:v>
                </c:pt>
                <c:pt idx="301">
                  <c:v>9.9608713862241079E-3</c:v>
                </c:pt>
                <c:pt idx="302">
                  <c:v>9.6774700891405236E-3</c:v>
                </c:pt>
                <c:pt idx="303">
                  <c:v>9.4236568798293594E-3</c:v>
                </c:pt>
                <c:pt idx="304">
                  <c:v>9.19901553064577E-3</c:v>
                </c:pt>
                <c:pt idx="305">
                  <c:v>9.0035795964818841E-3</c:v>
                </c:pt>
                <c:pt idx="306">
                  <c:v>8.8373833119788411E-3</c:v>
                </c:pt>
                <c:pt idx="307">
                  <c:v>8.7004613208471141E-3</c:v>
                </c:pt>
                <c:pt idx="308">
                  <c:v>8.5928484051135869E-3</c:v>
                </c:pt>
                <c:pt idx="309">
                  <c:v>8.5430133544203285E-3</c:v>
                </c:pt>
                <c:pt idx="310">
                  <c:v>8.5471183121517309E-3</c:v>
                </c:pt>
                <c:pt idx="311">
                  <c:v>8.6052295612473063E-3</c:v>
                </c:pt>
                <c:pt idx="312">
                  <c:v>8.7174112989733717E-3</c:v>
                </c:pt>
                <c:pt idx="313">
                  <c:v>8.8837251411030688E-3</c:v>
                </c:pt>
                <c:pt idx="314">
                  <c:v>9.1042296260167438E-3</c:v>
                </c:pt>
                <c:pt idx="315">
                  <c:v>9.3789797189135302E-3</c:v>
                </c:pt>
                <c:pt idx="316">
                  <c:v>9.7080263158852067E-3</c:v>
                </c:pt>
                <c:pt idx="317">
                  <c:v>1.0079614257057948E-2</c:v>
                </c:pt>
                <c:pt idx="318">
                  <c:v>1.0468098326769447E-2</c:v>
                </c:pt>
                <c:pt idx="319">
                  <c:v>1.0873473314039137E-2</c:v>
                </c:pt>
                <c:pt idx="320">
                  <c:v>1.1295731222312935E-2</c:v>
                </c:pt>
                <c:pt idx="321">
                  <c:v>1.1734861116414011E-2</c:v>
                </c:pt>
                <c:pt idx="322">
                  <c:v>1.2190848969551644E-2</c:v>
                </c:pt>
                <c:pt idx="323">
                  <c:v>1.2649613405574479E-2</c:v>
                </c:pt>
                <c:pt idx="324">
                  <c:v>1.3082522418928509E-2</c:v>
                </c:pt>
                <c:pt idx="325">
                  <c:v>1.3489517501417794E-2</c:v>
                </c:pt>
                <c:pt idx="326">
                  <c:v>1.3870455199535893E-2</c:v>
                </c:pt>
                <c:pt idx="327">
                  <c:v>1.4225243819903872E-2</c:v>
                </c:pt>
                <c:pt idx="328">
                  <c:v>1.4553866362399387E-2</c:v>
                </c:pt>
                <c:pt idx="329">
                  <c:v>1.4856312857467314E-2</c:v>
                </c:pt>
                <c:pt idx="330">
                  <c:v>1.5132579826597152E-2</c:v>
                </c:pt>
                <c:pt idx="331">
                  <c:v>1.5386252581000117E-2</c:v>
                </c:pt>
                <c:pt idx="332">
                  <c:v>1.5629186185650856E-2</c:v>
                </c:pt>
                <c:pt idx="333">
                  <c:v>1.5861396977936152E-2</c:v>
                </c:pt>
                <c:pt idx="334">
                  <c:v>1.6082904309544992E-2</c:v>
                </c:pt>
                <c:pt idx="335">
                  <c:v>1.6293730328107599E-2</c:v>
                </c:pt>
                <c:pt idx="336">
                  <c:v>1.6493899758628146E-2</c:v>
                </c:pt>
                <c:pt idx="337">
                  <c:v>1.6679183348025244E-2</c:v>
                </c:pt>
                <c:pt idx="338">
                  <c:v>1.6863702441256012E-2</c:v>
                </c:pt>
                <c:pt idx="339">
                  <c:v>1.7047488973979796E-2</c:v>
                </c:pt>
                <c:pt idx="340">
                  <c:v>1.7230576426425167E-2</c:v>
                </c:pt>
                <c:pt idx="341">
                  <c:v>1.741299980947987E-2</c:v>
                </c:pt>
                <c:pt idx="342">
                  <c:v>1.7594795650771159E-2</c:v>
                </c:pt>
                <c:pt idx="343">
                  <c:v>1.7776001980535028E-2</c:v>
                </c:pt>
                <c:pt idx="344">
                  <c:v>1.7956658317757862E-2</c:v>
                </c:pt>
                <c:pt idx="345">
                  <c:v>1.8136805656133861E-2</c:v>
                </c:pt>
                <c:pt idx="346">
                  <c:v>1.8302645951459365E-2</c:v>
                </c:pt>
                <c:pt idx="347">
                  <c:v>1.8454220347260089E-2</c:v>
                </c:pt>
                <c:pt idx="348">
                  <c:v>1.8591570212603301E-2</c:v>
                </c:pt>
                <c:pt idx="349">
                  <c:v>1.8714736840265239E-2</c:v>
                </c:pt>
                <c:pt idx="350">
                  <c:v>1.882376114533298E-2</c:v>
                </c:pt>
                <c:pt idx="351">
                  <c:v>1.8908422977004409E-2</c:v>
                </c:pt>
                <c:pt idx="352">
                  <c:v>1.8973017028905619E-2</c:v>
                </c:pt>
                <c:pt idx="353">
                  <c:v>1.9017577179359455E-2</c:v>
                </c:pt>
                <c:pt idx="354">
                  <c:v>1.9042134665234075E-2</c:v>
                </c:pt>
                <c:pt idx="355">
                  <c:v>1.9046717654638678E-2</c:v>
                </c:pt>
                <c:pt idx="356">
                  <c:v>1.9031363972345502E-2</c:v>
                </c:pt>
                <c:pt idx="357">
                  <c:v>1.8996051966666587E-2</c:v>
                </c:pt>
                <c:pt idx="358">
                  <c:v>1.8940710491858595E-2</c:v>
                </c:pt>
                <c:pt idx="359">
                  <c:v>1.8865265342182507E-2</c:v>
                </c:pt>
                <c:pt idx="360">
                  <c:v>1.8765369657687873E-2</c:v>
                </c:pt>
                <c:pt idx="361">
                  <c:v>1.8651229212248849E-2</c:v>
                </c:pt>
                <c:pt idx="362">
                  <c:v>1.852277117766607E-2</c:v>
                </c:pt>
                <c:pt idx="363">
                  <c:v>1.8379922402068229E-2</c:v>
                </c:pt>
                <c:pt idx="364">
                  <c:v>1.8222609782726957E-2</c:v>
                </c:pt>
                <c:pt idx="365">
                  <c:v>1.8050760638635126E-2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4.9693421055535425E-2</c:v>
                </c:pt>
                <c:pt idx="1">
                  <c:v>4.9755233314264104E-2</c:v>
                </c:pt>
                <c:pt idx="2">
                  <c:v>4.9838404717050068E-2</c:v>
                </c:pt>
                <c:pt idx="3">
                  <c:v>4.9942839101029202E-2</c:v>
                </c:pt>
                <c:pt idx="4">
                  <c:v>5.006844002540034E-2</c:v>
                </c:pt>
                <c:pt idx="5">
                  <c:v>5.0215110234967081E-2</c:v>
                </c:pt>
                <c:pt idx="6">
                  <c:v>5.0382751124321334E-2</c:v>
                </c:pt>
                <c:pt idx="7">
                  <c:v>5.0571262200899171E-2</c:v>
                </c:pt>
                <c:pt idx="8">
                  <c:v>5.0780540548734793E-2</c:v>
                </c:pt>
                <c:pt idx="9">
                  <c:v>5.0974368034181962E-2</c:v>
                </c:pt>
                <c:pt idx="10">
                  <c:v>5.1146256649105153E-2</c:v>
                </c:pt>
                <c:pt idx="11">
                  <c:v>5.1296041935815329E-2</c:v>
                </c:pt>
                <c:pt idx="12">
                  <c:v>5.1423560186500177E-2</c:v>
                </c:pt>
                <c:pt idx="13">
                  <c:v>5.1528648986141901E-2</c:v>
                </c:pt>
                <c:pt idx="14">
                  <c:v>5.1611147754552167E-2</c:v>
                </c:pt>
                <c:pt idx="15">
                  <c:v>5.1580031495855515E-2</c:v>
                </c:pt>
                <c:pt idx="16">
                  <c:v>5.1420263113591762E-2</c:v>
                </c:pt>
                <c:pt idx="17">
                  <c:v>5.1131617131569496E-2</c:v>
                </c:pt>
                <c:pt idx="18">
                  <c:v>5.0713894950636419E-2</c:v>
                </c:pt>
                <c:pt idx="19">
                  <c:v>5.0167207898849757E-2</c:v>
                </c:pt>
                <c:pt idx="20">
                  <c:v>4.9491810254751391E-2</c:v>
                </c:pt>
                <c:pt idx="21">
                  <c:v>4.8687752237812049E-2</c:v>
                </c:pt>
                <c:pt idx="22">
                  <c:v>4.7755099197405587E-2</c:v>
                </c:pt>
                <c:pt idx="23">
                  <c:v>4.6670222605274266E-2</c:v>
                </c:pt>
                <c:pt idx="24">
                  <c:v>4.5469459809105918E-2</c:v>
                </c:pt>
                <c:pt idx="25">
                  <c:v>4.4152915523460685E-2</c:v>
                </c:pt>
                <c:pt idx="26">
                  <c:v>4.2720701719685672E-2</c:v>
                </c:pt>
                <c:pt idx="27">
                  <c:v>4.1172936191173154E-2</c:v>
                </c:pt>
                <c:pt idx="28">
                  <c:v>3.9509741119565289E-2</c:v>
                </c:pt>
                <c:pt idx="29">
                  <c:v>3.7800688014992943E-2</c:v>
                </c:pt>
                <c:pt idx="30">
                  <c:v>3.6136916479070184E-2</c:v>
                </c:pt>
                <c:pt idx="31">
                  <c:v>3.4518533596965877E-2</c:v>
                </c:pt>
                <c:pt idx="32">
                  <c:v>3.2945634903153886E-2</c:v>
                </c:pt>
                <c:pt idx="33">
                  <c:v>3.1418304953089851E-2</c:v>
                </c:pt>
                <c:pt idx="34">
                  <c:v>2.9936617895042008E-2</c:v>
                </c:pt>
                <c:pt idx="35">
                  <c:v>2.8500638041875481E-2</c:v>
                </c:pt>
                <c:pt idx="36">
                  <c:v>2.7110420442767305E-2</c:v>
                </c:pt>
                <c:pt idx="37">
                  <c:v>2.5837150614745282E-2</c:v>
                </c:pt>
                <c:pt idx="38">
                  <c:v>2.4704547357103507E-2</c:v>
                </c:pt>
                <c:pt idx="39">
                  <c:v>2.3712615783029942E-2</c:v>
                </c:pt>
                <c:pt idx="40">
                  <c:v>2.2861353840837373E-2</c:v>
                </c:pt>
                <c:pt idx="41">
                  <c:v>2.2150754072013484E-2</c:v>
                </c:pt>
                <c:pt idx="42">
                  <c:v>2.1580805369093254E-2</c:v>
                </c:pt>
                <c:pt idx="43">
                  <c:v>2.1175793638888437E-2</c:v>
                </c:pt>
                <c:pt idx="44">
                  <c:v>2.0866327322003744E-2</c:v>
                </c:pt>
                <c:pt idx="45">
                  <c:v>2.0652405474151415E-2</c:v>
                </c:pt>
                <c:pt idx="46">
                  <c:v>2.0534028883121995E-2</c:v>
                </c:pt>
                <c:pt idx="47">
                  <c:v>2.0511201262738515E-2</c:v>
                </c:pt>
                <c:pt idx="48">
                  <c:v>2.0583930446539524E-2</c:v>
                </c:pt>
                <c:pt idx="49">
                  <c:v>2.0752229581649319E-2</c:v>
                </c:pt>
                <c:pt idx="50">
                  <c:v>2.1016118322521888E-2</c:v>
                </c:pt>
                <c:pt idx="51">
                  <c:v>2.1371247622931366E-2</c:v>
                </c:pt>
                <c:pt idx="52">
                  <c:v>2.1746462869508227E-2</c:v>
                </c:pt>
                <c:pt idx="53">
                  <c:v>2.2141655261875174E-2</c:v>
                </c:pt>
                <c:pt idx="54">
                  <c:v>2.2556819979854065E-2</c:v>
                </c:pt>
                <c:pt idx="55">
                  <c:v>2.2991951946723783E-2</c:v>
                </c:pt>
                <c:pt idx="56">
                  <c:v>2.3447045755545338E-2</c:v>
                </c:pt>
                <c:pt idx="57">
                  <c:v>2.391050632023246E-2</c:v>
                </c:pt>
                <c:pt idx="58">
                  <c:v>2.4358038735269316E-2</c:v>
                </c:pt>
                <c:pt idx="59">
                  <c:v>2.478963544496661E-2</c:v>
                </c:pt>
                <c:pt idx="60">
                  <c:v>2.5205288145388666E-2</c:v>
                </c:pt>
                <c:pt idx="61">
                  <c:v>2.5604987843428923E-2</c:v>
                </c:pt>
                <c:pt idx="62">
                  <c:v>2.598872491584733E-2</c:v>
                </c:pt>
                <c:pt idx="63">
                  <c:v>2.6356489168384151E-2</c:v>
                </c:pt>
                <c:pt idx="64">
                  <c:v>2.6708269894771371E-2</c:v>
                </c:pt>
                <c:pt idx="65">
                  <c:v>2.7030007008772925E-2</c:v>
                </c:pt>
                <c:pt idx="66">
                  <c:v>2.7326065416038731E-2</c:v>
                </c:pt>
                <c:pt idx="67">
                  <c:v>2.7596433275963245E-2</c:v>
                </c:pt>
                <c:pt idx="68">
                  <c:v>2.7841098626945598E-2</c:v>
                </c:pt>
                <c:pt idx="69">
                  <c:v>2.8060049481151175E-2</c:v>
                </c:pt>
                <c:pt idx="70">
                  <c:v>2.82532739194007E-2</c:v>
                </c:pt>
                <c:pt idx="71">
                  <c:v>2.8403245824288825E-2</c:v>
                </c:pt>
                <c:pt idx="72">
                  <c:v>2.8521543926940941E-2</c:v>
                </c:pt>
                <c:pt idx="73">
                  <c:v>2.8608157625185825E-2</c:v>
                </c:pt>
                <c:pt idx="74">
                  <c:v>2.8663076951703965E-2</c:v>
                </c:pt>
                <c:pt idx="75">
                  <c:v>2.868629269083783E-2</c:v>
                </c:pt>
                <c:pt idx="76">
                  <c:v>2.867779649531323E-2</c:v>
                </c:pt>
                <c:pt idx="77">
                  <c:v>2.8637581003053813E-2</c:v>
                </c:pt>
                <c:pt idx="78">
                  <c:v>2.8565640902308408E-2</c:v>
                </c:pt>
                <c:pt idx="79">
                  <c:v>2.8445840998719742E-2</c:v>
                </c:pt>
                <c:pt idx="80">
                  <c:v>2.8292300257171752E-2</c:v>
                </c:pt>
                <c:pt idx="81">
                  <c:v>2.8105014456094313E-2</c:v>
                </c:pt>
                <c:pt idx="82">
                  <c:v>2.7883979666469539E-2</c:v>
                </c:pt>
                <c:pt idx="83">
                  <c:v>2.7629192359928209E-2</c:v>
                </c:pt>
                <c:pt idx="84">
                  <c:v>2.7340649516938886E-2</c:v>
                </c:pt>
                <c:pt idx="85">
                  <c:v>2.700645678028854E-2</c:v>
                </c:pt>
                <c:pt idx="86">
                  <c:v>2.6644118370354367E-2</c:v>
                </c:pt>
                <c:pt idx="87">
                  <c:v>2.6253632575705923E-2</c:v>
                </c:pt>
                <c:pt idx="88">
                  <c:v>2.5834998553247751E-2</c:v>
                </c:pt>
                <c:pt idx="89">
                  <c:v>2.5388216418366999E-2</c:v>
                </c:pt>
                <c:pt idx="90">
                  <c:v>2.4913287335027786E-2</c:v>
                </c:pt>
                <c:pt idx="91">
                  <c:v>2.4410213605963123E-2</c:v>
                </c:pt>
                <c:pt idx="92">
                  <c:v>2.3878998762796557E-2</c:v>
                </c:pt>
                <c:pt idx="93">
                  <c:v>2.3314759178763026E-2</c:v>
                </c:pt>
                <c:pt idx="94">
                  <c:v>2.2733729794417009E-2</c:v>
                </c:pt>
                <c:pt idx="95">
                  <c:v>2.2135915503805417E-2</c:v>
                </c:pt>
                <c:pt idx="96">
                  <c:v>2.1521322443861717E-2</c:v>
                </c:pt>
                <c:pt idx="97">
                  <c:v>2.0889958048312077E-2</c:v>
                </c:pt>
                <c:pt idx="98">
                  <c:v>2.024183110138035E-2</c:v>
                </c:pt>
                <c:pt idx="99">
                  <c:v>1.9579644080874023E-2</c:v>
                </c:pt>
                <c:pt idx="100">
                  <c:v>1.8915285410407531E-2</c:v>
                </c:pt>
                <c:pt idx="101">
                  <c:v>1.8248762847616545E-2</c:v>
                </c:pt>
                <c:pt idx="102">
                  <c:v>1.758008509061422E-2</c:v>
                </c:pt>
                <c:pt idx="103">
                  <c:v>1.6909261784846516E-2</c:v>
                </c:pt>
                <c:pt idx="104">
                  <c:v>1.623630353036733E-2</c:v>
                </c:pt>
                <c:pt idx="105">
                  <c:v>1.5561221888723704E-2</c:v>
                </c:pt>
                <c:pt idx="106">
                  <c:v>1.488402939005311E-2</c:v>
                </c:pt>
                <c:pt idx="107">
                  <c:v>1.420759086987654E-2</c:v>
                </c:pt>
                <c:pt idx="108">
                  <c:v>1.3536798581005975E-2</c:v>
                </c:pt>
                <c:pt idx="109">
                  <c:v>1.2871663551937161E-2</c:v>
                </c:pt>
                <c:pt idx="110">
                  <c:v>1.2212232135646523E-2</c:v>
                </c:pt>
                <c:pt idx="111">
                  <c:v>1.1558544582721479E-2</c:v>
                </c:pt>
                <c:pt idx="112">
                  <c:v>1.0910603499441077E-2</c:v>
                </c:pt>
                <c:pt idx="113">
                  <c:v>1.0282348079105386E-2</c:v>
                </c:pt>
                <c:pt idx="114">
                  <c:v>9.6710873067458736E-3</c:v>
                </c:pt>
                <c:pt idx="115">
                  <c:v>9.0768174050980168E-3</c:v>
                </c:pt>
                <c:pt idx="116">
                  <c:v>8.4995346058674686E-3</c:v>
                </c:pt>
                <c:pt idx="117">
                  <c:v>7.9392351131046032E-3</c:v>
                </c:pt>
                <c:pt idx="118">
                  <c:v>7.3959150664790925E-3</c:v>
                </c:pt>
                <c:pt idx="119">
                  <c:v>6.8695705045836728E-3</c:v>
                </c:pt>
                <c:pt idx="120">
                  <c:v>6.3601973282275135E-3</c:v>
                </c:pt>
                <c:pt idx="121">
                  <c:v>5.8843995919415073E-3</c:v>
                </c:pt>
                <c:pt idx="122">
                  <c:v>5.4393178630746395E-3</c:v>
                </c:pt>
                <c:pt idx="123">
                  <c:v>5.0249359855429341E-3</c:v>
                </c:pt>
                <c:pt idx="124">
                  <c:v>4.6412369169536389E-3</c:v>
                </c:pt>
                <c:pt idx="125">
                  <c:v>4.2882026617977161E-3</c:v>
                </c:pt>
                <c:pt idx="126">
                  <c:v>3.9658142045689493E-3</c:v>
                </c:pt>
                <c:pt idx="127">
                  <c:v>3.678870227026591E-3</c:v>
                </c:pt>
                <c:pt idx="128">
                  <c:v>3.413462452133973E-3</c:v>
                </c:pt>
                <c:pt idx="129">
                  <c:v>3.1695768475987767E-3</c:v>
                </c:pt>
                <c:pt idx="130">
                  <c:v>2.9471985486118507E-3</c:v>
                </c:pt>
                <c:pt idx="131">
                  <c:v>2.746311810855068E-3</c:v>
                </c:pt>
                <c:pt idx="132">
                  <c:v>2.5668999635478627E-3</c:v>
                </c:pt>
                <c:pt idx="133">
                  <c:v>2.4089453625088849E-3</c:v>
                </c:pt>
                <c:pt idx="134">
                  <c:v>2.2724293432004601E-3</c:v>
                </c:pt>
                <c:pt idx="135">
                  <c:v>2.1610796415438833E-3</c:v>
                </c:pt>
                <c:pt idx="136">
                  <c:v>2.0583416124535601E-3</c:v>
                </c:pt>
                <c:pt idx="137">
                  <c:v>1.9642080780037413E-3</c:v>
                </c:pt>
                <c:pt idx="138">
                  <c:v>1.8786714329960136E-3</c:v>
                </c:pt>
                <c:pt idx="139">
                  <c:v>1.8017236261884987E-3</c:v>
                </c:pt>
                <c:pt idx="140">
                  <c:v>1.7333561414163909E-3</c:v>
                </c:pt>
                <c:pt idx="141">
                  <c:v>1.6774020578714504E-3</c:v>
                </c:pt>
                <c:pt idx="142">
                  <c:v>1.6290458026119658E-3</c:v>
                </c:pt>
                <c:pt idx="143">
                  <c:v>1.5882720917345901E-3</c:v>
                </c:pt>
                <c:pt idx="144">
                  <c:v>1.5550748734938389E-3</c:v>
                </c:pt>
                <c:pt idx="145">
                  <c:v>1.5294469931971203E-3</c:v>
                </c:pt>
                <c:pt idx="146">
                  <c:v>1.5113802949932216E-3</c:v>
                </c:pt>
                <c:pt idx="147">
                  <c:v>1.5008657237133803E-3</c:v>
                </c:pt>
                <c:pt idx="148">
                  <c:v>1.4978934266749345E-3</c:v>
                </c:pt>
                <c:pt idx="149">
                  <c:v>1.5027890153937651E-3</c:v>
                </c:pt>
                <c:pt idx="150">
                  <c:v>1.5118199658017545E-3</c:v>
                </c:pt>
                <c:pt idx="151">
                  <c:v>1.5249806808115916E-3</c:v>
                </c:pt>
                <c:pt idx="152">
                  <c:v>1.5422653630870972E-3</c:v>
                </c:pt>
                <c:pt idx="153">
                  <c:v>1.5636680711746608E-3</c:v>
                </c:pt>
                <c:pt idx="154">
                  <c:v>1.5891827756429366E-3</c:v>
                </c:pt>
                <c:pt idx="155">
                  <c:v>1.6180524800991872E-3</c:v>
                </c:pt>
                <c:pt idx="156">
                  <c:v>1.6464626343859268E-3</c:v>
                </c:pt>
                <c:pt idx="157">
                  <c:v>1.6744159517357374E-3</c:v>
                </c:pt>
                <c:pt idx="158">
                  <c:v>1.7019153100122366E-3</c:v>
                </c:pt>
                <c:pt idx="159">
                  <c:v>1.7289637460699673E-3</c:v>
                </c:pt>
                <c:pt idx="160">
                  <c:v>1.7555644501350536E-3</c:v>
                </c:pt>
                <c:pt idx="161">
                  <c:v>1.7817207601667823E-3</c:v>
                </c:pt>
                <c:pt idx="162">
                  <c:v>1.8074361562282198E-3</c:v>
                </c:pt>
                <c:pt idx="163">
                  <c:v>1.8312529162727096E-3</c:v>
                </c:pt>
                <c:pt idx="164">
                  <c:v>1.852844443504108E-3</c:v>
                </c:pt>
                <c:pt idx="165">
                  <c:v>1.8722178441794967E-3</c:v>
                </c:pt>
                <c:pt idx="166">
                  <c:v>1.8893802317013323E-3</c:v>
                </c:pt>
                <c:pt idx="167">
                  <c:v>1.9043386965421577E-3</c:v>
                </c:pt>
                <c:pt idx="168">
                  <c:v>1.9171002762291165E-3</c:v>
                </c:pt>
                <c:pt idx="169">
                  <c:v>1.9262157631505517E-3</c:v>
                </c:pt>
                <c:pt idx="170">
                  <c:v>1.9324384874143674E-3</c:v>
                </c:pt>
                <c:pt idx="171">
                  <c:v>1.9357762080024199E-3</c:v>
                </c:pt>
                <c:pt idx="172">
                  <c:v>1.936236426244902E-3</c:v>
                </c:pt>
                <c:pt idx="173">
                  <c:v>1.9338065707102748E-3</c:v>
                </c:pt>
                <c:pt idx="174">
                  <c:v>1.9284729048388326E-3</c:v>
                </c:pt>
                <c:pt idx="175">
                  <c:v>1.9202409609973537E-3</c:v>
                </c:pt>
                <c:pt idx="176">
                  <c:v>1.9091162524236659E-3</c:v>
                </c:pt>
                <c:pt idx="177">
                  <c:v>1.8943628074806179E-3</c:v>
                </c:pt>
                <c:pt idx="178">
                  <c:v>1.8774366215308688E-3</c:v>
                </c:pt>
                <c:pt idx="179">
                  <c:v>1.858341982277565E-3</c:v>
                </c:pt>
                <c:pt idx="180">
                  <c:v>1.8370831022691428E-3</c:v>
                </c:pt>
                <c:pt idx="181">
                  <c:v>1.8136641060231542E-3</c:v>
                </c:pt>
                <c:pt idx="182">
                  <c:v>1.7880890171664597E-3</c:v>
                </c:pt>
                <c:pt idx="183">
                  <c:v>1.7606914732568402E-3</c:v>
                </c:pt>
                <c:pt idx="184">
                  <c:v>1.7329199914661406E-3</c:v>
                </c:pt>
                <c:pt idx="185">
                  <c:v>1.7047757094778902E-3</c:v>
                </c:pt>
                <c:pt idx="186">
                  <c:v>1.6762596857795523E-3</c:v>
                </c:pt>
                <c:pt idx="187">
                  <c:v>1.6473728972593138E-3</c:v>
                </c:pt>
                <c:pt idx="188">
                  <c:v>1.6181162368114584E-3</c:v>
                </c:pt>
                <c:pt idx="189">
                  <c:v>1.5884905108914532E-3</c:v>
                </c:pt>
                <c:pt idx="190">
                  <c:v>1.5584964371411381E-3</c:v>
                </c:pt>
                <c:pt idx="191">
                  <c:v>1.5318741224073439E-3</c:v>
                </c:pt>
                <c:pt idx="192">
                  <c:v>1.5093557442133014E-3</c:v>
                </c:pt>
                <c:pt idx="193">
                  <c:v>1.4909364610588905E-3</c:v>
                </c:pt>
                <c:pt idx="194">
                  <c:v>1.4766116518997623E-3</c:v>
                </c:pt>
                <c:pt idx="195">
                  <c:v>1.46637694021968E-3</c:v>
                </c:pt>
                <c:pt idx="196">
                  <c:v>1.4602282180450094E-3</c:v>
                </c:pt>
                <c:pt idx="197">
                  <c:v>1.4617918189520796E-3</c:v>
                </c:pt>
                <c:pt idx="198">
                  <c:v>1.4707328807983316E-3</c:v>
                </c:pt>
                <c:pt idx="199">
                  <c:v>1.4870451857267989E-3</c:v>
                </c:pt>
                <c:pt idx="200">
                  <c:v>1.5107231889324706E-3</c:v>
                </c:pt>
                <c:pt idx="201">
                  <c:v>1.5417620622463258E-3</c:v>
                </c:pt>
                <c:pt idx="202">
                  <c:v>1.5801577377270888E-3</c:v>
                </c:pt>
                <c:pt idx="203">
                  <c:v>1.6259069512879374E-3</c:v>
                </c:pt>
                <c:pt idx="204">
                  <c:v>1.6790045749574389E-3</c:v>
                </c:pt>
                <c:pt idx="205">
                  <c:v>1.7440896556125494E-3</c:v>
                </c:pt>
                <c:pt idx="206">
                  <c:v>1.8174345756530703E-3</c:v>
                </c:pt>
                <c:pt idx="207">
                  <c:v>1.8990364547068588E-3</c:v>
                </c:pt>
                <c:pt idx="208">
                  <c:v>1.9888929941596872E-3</c:v>
                </c:pt>
                <c:pt idx="209">
                  <c:v>2.0870024514905291E-3</c:v>
                </c:pt>
                <c:pt idx="210">
                  <c:v>2.1933636146728793E-3</c:v>
                </c:pt>
                <c:pt idx="211">
                  <c:v>2.3239397190227833E-3</c:v>
                </c:pt>
                <c:pt idx="212">
                  <c:v>2.4751064752654532E-3</c:v>
                </c:pt>
                <c:pt idx="213">
                  <c:v>2.6468599320278994E-3</c:v>
                </c:pt>
                <c:pt idx="214">
                  <c:v>2.8391973992453749E-3</c:v>
                </c:pt>
                <c:pt idx="215">
                  <c:v>3.0521173841915124E-3</c:v>
                </c:pt>
                <c:pt idx="216">
                  <c:v>3.2856195274999903E-3</c:v>
                </c:pt>
                <c:pt idx="217">
                  <c:v>3.539704539199098E-3</c:v>
                </c:pt>
                <c:pt idx="218">
                  <c:v>3.8143741347304201E-3</c:v>
                </c:pt>
                <c:pt idx="219">
                  <c:v>4.1229906661515046E-3</c:v>
                </c:pt>
                <c:pt idx="220">
                  <c:v>4.4609198929216097E-3</c:v>
                </c:pt>
                <c:pt idx="221">
                  <c:v>4.8281653691129968E-3</c:v>
                </c:pt>
                <c:pt idx="222">
                  <c:v>5.2247318549047935E-3</c:v>
                </c:pt>
                <c:pt idx="223">
                  <c:v>5.6506252255735384E-3</c:v>
                </c:pt>
                <c:pt idx="224">
                  <c:v>6.1058523803781935E-3</c:v>
                </c:pt>
                <c:pt idx="225">
                  <c:v>6.5931508059217389E-3</c:v>
                </c:pt>
                <c:pt idx="226">
                  <c:v>7.0965811399836725E-3</c:v>
                </c:pt>
                <c:pt idx="227">
                  <c:v>7.6161526727654772E-3</c:v>
                </c:pt>
                <c:pt idx="228">
                  <c:v>8.1518747814371961E-3</c:v>
                </c:pt>
                <c:pt idx="229">
                  <c:v>8.7037568800516548E-3</c:v>
                </c:pt>
                <c:pt idx="230">
                  <c:v>9.271808369568613E-3</c:v>
                </c:pt>
                <c:pt idx="231">
                  <c:v>9.8560385879264984E-3</c:v>
                </c:pt>
                <c:pt idx="232">
                  <c:v>1.0456456759917845E-2</c:v>
                </c:pt>
                <c:pt idx="233">
                  <c:v>1.1075646872632959E-2</c:v>
                </c:pt>
                <c:pt idx="234">
                  <c:v>1.170025804728466E-2</c:v>
                </c:pt>
                <c:pt idx="235">
                  <c:v>1.2330307122663517E-2</c:v>
                </c:pt>
                <c:pt idx="236">
                  <c:v>1.2965816578067712E-2</c:v>
                </c:pt>
                <c:pt idx="237">
                  <c:v>1.360680241059036E-2</c:v>
                </c:pt>
                <c:pt idx="238">
                  <c:v>1.425328128389592E-2</c:v>
                </c:pt>
                <c:pt idx="239">
                  <c:v>1.4900596000266947E-2</c:v>
                </c:pt>
                <c:pt idx="240">
                  <c:v>1.5546031902414192E-2</c:v>
                </c:pt>
                <c:pt idx="241">
                  <c:v>1.6189605453439209E-2</c:v>
                </c:pt>
                <c:pt idx="242">
                  <c:v>1.6831333475666926E-2</c:v>
                </c:pt>
                <c:pt idx="243">
                  <c:v>1.7471233147083171E-2</c:v>
                </c:pt>
                <c:pt idx="244">
                  <c:v>1.8109321997701589E-2</c:v>
                </c:pt>
                <c:pt idx="245">
                  <c:v>1.8745617905745974E-2</c:v>
                </c:pt>
                <c:pt idx="246">
                  <c:v>1.9380139093776467E-2</c:v>
                </c:pt>
                <c:pt idx="247">
                  <c:v>2.0001527839331776E-2</c:v>
                </c:pt>
                <c:pt idx="248">
                  <c:v>2.060721904714528E-2</c:v>
                </c:pt>
                <c:pt idx="249">
                  <c:v>2.1197224818042513E-2</c:v>
                </c:pt>
                <c:pt idx="250">
                  <c:v>2.177155681320141E-2</c:v>
                </c:pt>
                <c:pt idx="251">
                  <c:v>2.233022622640202E-2</c:v>
                </c:pt>
                <c:pt idx="252">
                  <c:v>2.2873243755388645E-2</c:v>
                </c:pt>
                <c:pt idx="253">
                  <c:v>2.3385069992906533E-2</c:v>
                </c:pt>
                <c:pt idx="254">
                  <c:v>2.3870389621343229E-2</c:v>
                </c:pt>
                <c:pt idx="255">
                  <c:v>2.4329204042162978E-2</c:v>
                </c:pt>
                <c:pt idx="256">
                  <c:v>2.4761513375908383E-2</c:v>
                </c:pt>
                <c:pt idx="257">
                  <c:v>2.5167316414549324E-2</c:v>
                </c:pt>
                <c:pt idx="258">
                  <c:v>2.5546610574057261E-2</c:v>
                </c:pt>
                <c:pt idx="259">
                  <c:v>2.5899391847340969E-2</c:v>
                </c:pt>
                <c:pt idx="260">
                  <c:v>2.6225654756411716E-2</c:v>
                </c:pt>
                <c:pt idx="261">
                  <c:v>2.6508595639482432E-2</c:v>
                </c:pt>
                <c:pt idx="262">
                  <c:v>2.6759605273769443E-2</c:v>
                </c:pt>
                <c:pt idx="263">
                  <c:v>2.6978667976473841E-2</c:v>
                </c:pt>
                <c:pt idx="264">
                  <c:v>2.7165767324291667E-2</c:v>
                </c:pt>
                <c:pt idx="265">
                  <c:v>2.7321031221718597E-2</c:v>
                </c:pt>
                <c:pt idx="266">
                  <c:v>2.7444515879946858E-2</c:v>
                </c:pt>
                <c:pt idx="267">
                  <c:v>2.7522663746517715E-2</c:v>
                </c:pt>
                <c:pt idx="268">
                  <c:v>2.7571014117837769E-2</c:v>
                </c:pt>
                <c:pt idx="269">
                  <c:v>2.7589503105372486E-2</c:v>
                </c:pt>
                <c:pt idx="270">
                  <c:v>2.7578063669139799E-2</c:v>
                </c:pt>
                <c:pt idx="271">
                  <c:v>2.7536625951288585E-2</c:v>
                </c:pt>
                <c:pt idx="272">
                  <c:v>2.7465117610438308E-2</c:v>
                </c:pt>
                <c:pt idx="273">
                  <c:v>2.7363464155671157E-2</c:v>
                </c:pt>
                <c:pt idx="274">
                  <c:v>2.7231589280884799E-2</c:v>
                </c:pt>
                <c:pt idx="275">
                  <c:v>2.7058239132714431E-2</c:v>
                </c:pt>
                <c:pt idx="276">
                  <c:v>2.6860215934587039E-2</c:v>
                </c:pt>
                <c:pt idx="277">
                  <c:v>2.6637448244675788E-2</c:v>
                </c:pt>
                <c:pt idx="278">
                  <c:v>2.638986442600692E-2</c:v>
                </c:pt>
                <c:pt idx="279">
                  <c:v>2.6117392917795232E-2</c:v>
                </c:pt>
                <c:pt idx="280">
                  <c:v>2.5819962507028078E-2</c:v>
                </c:pt>
                <c:pt idx="281">
                  <c:v>2.5493269408025404E-2</c:v>
                </c:pt>
                <c:pt idx="282">
                  <c:v>2.5150833038319508E-2</c:v>
                </c:pt>
                <c:pt idx="283">
                  <c:v>2.4792599519093034E-2</c:v>
                </c:pt>
                <c:pt idx="284">
                  <c:v>2.4418516437440353E-2</c:v>
                </c:pt>
                <c:pt idx="285">
                  <c:v>2.4028533015320628E-2</c:v>
                </c:pt>
                <c:pt idx="286">
                  <c:v>2.3622600278744337E-2</c:v>
                </c:pt>
                <c:pt idx="287">
                  <c:v>2.3200671226714598E-2</c:v>
                </c:pt>
                <c:pt idx="288">
                  <c:v>2.2762701000263785E-2</c:v>
                </c:pt>
                <c:pt idx="289">
                  <c:v>2.2332238302597358E-2</c:v>
                </c:pt>
                <c:pt idx="290">
                  <c:v>2.1920540731854499E-2</c:v>
                </c:pt>
                <c:pt idx="291">
                  <c:v>2.1527621818411041E-2</c:v>
                </c:pt>
                <c:pt idx="292">
                  <c:v>2.1153496036579386E-2</c:v>
                </c:pt>
                <c:pt idx="293">
                  <c:v>2.0798178593877375E-2</c:v>
                </c:pt>
                <c:pt idx="294">
                  <c:v>2.0461685220209743E-2</c:v>
                </c:pt>
                <c:pt idx="295">
                  <c:v>2.0213263032120812E-2</c:v>
                </c:pt>
                <c:pt idx="296">
                  <c:v>2.0057526743565906E-2</c:v>
                </c:pt>
                <c:pt idx="297">
                  <c:v>1.9994748857942477E-2</c:v>
                </c:pt>
                <c:pt idx="298">
                  <c:v>2.0025036762115787E-2</c:v>
                </c:pt>
                <c:pt idx="299">
                  <c:v>2.0148501194827754E-2</c:v>
                </c:pt>
                <c:pt idx="300">
                  <c:v>2.0365255388322803E-2</c:v>
                </c:pt>
                <c:pt idx="301">
                  <c:v>2.0675414209912781E-2</c:v>
                </c:pt>
                <c:pt idx="302">
                  <c:v>2.1079093303587326E-2</c:v>
                </c:pt>
                <c:pt idx="303">
                  <c:v>2.1644211498751658E-2</c:v>
                </c:pt>
                <c:pt idx="304">
                  <c:v>2.2347221731014666E-2</c:v>
                </c:pt>
                <c:pt idx="305">
                  <c:v>2.3188299613301658E-2</c:v>
                </c:pt>
                <c:pt idx="306">
                  <c:v>2.4167617444328316E-2</c:v>
                </c:pt>
                <c:pt idx="307">
                  <c:v>2.5285342944620193E-2</c:v>
                </c:pt>
                <c:pt idx="308">
                  <c:v>2.6541637992324448E-2</c:v>
                </c:pt>
                <c:pt idx="309">
                  <c:v>2.7913440983925616E-2</c:v>
                </c:pt>
                <c:pt idx="310">
                  <c:v>2.9331149869819221E-2</c:v>
                </c:pt>
                <c:pt idx="311">
                  <c:v>3.0794775956897235E-2</c:v>
                </c:pt>
                <c:pt idx="312">
                  <c:v>3.230432366630541E-2</c:v>
                </c:pt>
                <c:pt idx="313">
                  <c:v>3.3859790122454804E-2</c:v>
                </c:pt>
                <c:pt idx="314">
                  <c:v>3.5461164741747812E-2</c:v>
                </c:pt>
                <c:pt idx="315">
                  <c:v>3.7108428821722647E-2</c:v>
                </c:pt>
                <c:pt idx="316">
                  <c:v>3.8801555129672913E-2</c:v>
                </c:pt>
                <c:pt idx="317">
                  <c:v>4.0451082887864934E-2</c:v>
                </c:pt>
                <c:pt idx="318">
                  <c:v>4.198860893147225E-2</c:v>
                </c:pt>
                <c:pt idx="319">
                  <c:v>4.3413907358493493E-2</c:v>
                </c:pt>
                <c:pt idx="320">
                  <c:v>4.4726755985326848E-2</c:v>
                </c:pt>
                <c:pt idx="321">
                  <c:v>4.5926937378208722E-2</c:v>
                </c:pt>
                <c:pt idx="322">
                  <c:v>4.7014239884873667E-2</c:v>
                </c:pt>
                <c:pt idx="323">
                  <c:v>4.7952764438264399E-2</c:v>
                </c:pt>
                <c:pt idx="324">
                  <c:v>4.8765634492655995E-2</c:v>
                </c:pt>
                <c:pt idx="325">
                  <c:v>4.945265113362405E-2</c:v>
                </c:pt>
                <c:pt idx="326">
                  <c:v>5.0013315756416939E-2</c:v>
                </c:pt>
                <c:pt idx="327">
                  <c:v>5.0447340823516679E-2</c:v>
                </c:pt>
                <c:pt idx="328">
                  <c:v>5.0754714987753254E-2</c:v>
                </c:pt>
                <c:pt idx="329">
                  <c:v>5.09354502768836E-2</c:v>
                </c:pt>
                <c:pt idx="330">
                  <c:v>5.0989579482548848E-2</c:v>
                </c:pt>
                <c:pt idx="331">
                  <c:v>5.093177022039188E-2</c:v>
                </c:pt>
                <c:pt idx="332">
                  <c:v>5.0851856103118979E-2</c:v>
                </c:pt>
                <c:pt idx="333">
                  <c:v>5.0749941243129044E-2</c:v>
                </c:pt>
                <c:pt idx="334">
                  <c:v>5.0626131070052705E-2</c:v>
                </c:pt>
                <c:pt idx="335">
                  <c:v>5.0480531891548865E-2</c:v>
                </c:pt>
                <c:pt idx="336">
                  <c:v>5.0313250453432136E-2</c:v>
                </c:pt>
                <c:pt idx="337">
                  <c:v>5.0130661751542092E-2</c:v>
                </c:pt>
                <c:pt idx="338">
                  <c:v>4.9968638911363904E-2</c:v>
                </c:pt>
                <c:pt idx="339">
                  <c:v>4.9827290423109349E-2</c:v>
                </c:pt>
                <c:pt idx="340">
                  <c:v>4.9706722981268714E-2</c:v>
                </c:pt>
                <c:pt idx="341">
                  <c:v>4.9607041919182672E-2</c:v>
                </c:pt>
                <c:pt idx="342">
                  <c:v>4.9528351643572173E-2</c:v>
                </c:pt>
                <c:pt idx="343">
                  <c:v>4.9470756068470491E-2</c:v>
                </c:pt>
                <c:pt idx="344">
                  <c:v>4.9434359049935067E-2</c:v>
                </c:pt>
                <c:pt idx="345">
                  <c:v>4.9419264820235197E-2</c:v>
                </c:pt>
                <c:pt idx="346">
                  <c:v>4.9409593969084668E-2</c:v>
                </c:pt>
                <c:pt idx="347">
                  <c:v>4.940544959952959E-2</c:v>
                </c:pt>
                <c:pt idx="348">
                  <c:v>4.9406935099875308E-2</c:v>
                </c:pt>
                <c:pt idx="349">
                  <c:v>4.9414154245377401E-2</c:v>
                </c:pt>
                <c:pt idx="350">
                  <c:v>4.9427211301089589E-2</c:v>
                </c:pt>
                <c:pt idx="351">
                  <c:v>4.9444852390745524E-2</c:v>
                </c:pt>
                <c:pt idx="352">
                  <c:v>4.946090823814684E-2</c:v>
                </c:pt>
                <c:pt idx="353">
                  <c:v>4.9475480856734144E-2</c:v>
                </c:pt>
                <c:pt idx="354">
                  <c:v>4.9488671911252009E-2</c:v>
                </c:pt>
                <c:pt idx="355">
                  <c:v>4.9500582658812874E-2</c:v>
                </c:pt>
                <c:pt idx="356">
                  <c:v>4.9511348107647533E-2</c:v>
                </c:pt>
                <c:pt idx="357">
                  <c:v>4.9520958199685945E-2</c:v>
                </c:pt>
                <c:pt idx="358">
                  <c:v>4.952928309170726E-2</c:v>
                </c:pt>
                <c:pt idx="359">
                  <c:v>4.9536192534527755E-2</c:v>
                </c:pt>
                <c:pt idx="360">
                  <c:v>4.9547844495545244E-2</c:v>
                </c:pt>
                <c:pt idx="361">
                  <c:v>4.9565478369212122E-2</c:v>
                </c:pt>
                <c:pt idx="362">
                  <c:v>4.9588973180201022E-2</c:v>
                </c:pt>
                <c:pt idx="363">
                  <c:v>4.9618208508101745E-2</c:v>
                </c:pt>
                <c:pt idx="364">
                  <c:v>4.9653064362181504E-2</c:v>
                </c:pt>
                <c:pt idx="365">
                  <c:v>4.9693421055535425E-2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0.11916899734671965</c:v>
                </c:pt>
                <c:pt idx="1">
                  <c:v>0.11843592622618958</c:v>
                </c:pt>
                <c:pt idx="2">
                  <c:v>0.117677586055227</c:v>
                </c:pt>
                <c:pt idx="3">
                  <c:v>0.11689362794654622</c:v>
                </c:pt>
                <c:pt idx="4">
                  <c:v>0.11608371093463277</c:v>
                </c:pt>
                <c:pt idx="5">
                  <c:v>0.11524750261916149</c:v>
                </c:pt>
                <c:pt idx="6">
                  <c:v>0.11438467980988802</c:v>
                </c:pt>
                <c:pt idx="7">
                  <c:v>0.11349492916893072</c:v>
                </c:pt>
                <c:pt idx="8">
                  <c:v>0.11257794785469143</c:v>
                </c:pt>
                <c:pt idx="9">
                  <c:v>0.11165359727645768</c:v>
                </c:pt>
                <c:pt idx="10">
                  <c:v>0.1107530043959316</c:v>
                </c:pt>
                <c:pt idx="11">
                  <c:v>0.10987596489974545</c:v>
                </c:pt>
                <c:pt idx="12">
                  <c:v>0.10902228133059404</c:v>
                </c:pt>
                <c:pt idx="13">
                  <c:v>0.10819176242106542</c:v>
                </c:pt>
                <c:pt idx="14">
                  <c:v>0.10738422242562574</c:v>
                </c:pt>
                <c:pt idx="15">
                  <c:v>0.10657741766657806</c:v>
                </c:pt>
                <c:pt idx="16">
                  <c:v>0.10576508353715057</c:v>
                </c:pt>
                <c:pt idx="17">
                  <c:v>0.10494702705090381</c:v>
                </c:pt>
                <c:pt idx="18">
                  <c:v>0.10412306414466427</c:v>
                </c:pt>
                <c:pt idx="19">
                  <c:v>0.10329359588515069</c:v>
                </c:pt>
                <c:pt idx="20">
                  <c:v>0.10245927189007931</c:v>
                </c:pt>
                <c:pt idx="21">
                  <c:v>0.10162028466552118</c:v>
                </c:pt>
                <c:pt idx="22">
                  <c:v>0.10077682273104499</c:v>
                </c:pt>
                <c:pt idx="23">
                  <c:v>9.9865356177678929E-2</c:v>
                </c:pt>
                <c:pt idx="24">
                  <c:v>9.8865819860013707E-2</c:v>
                </c:pt>
                <c:pt idx="25">
                  <c:v>9.7778379740164012E-2</c:v>
                </c:pt>
                <c:pt idx="26">
                  <c:v>9.6603206677726747E-2</c:v>
                </c:pt>
                <c:pt idx="27">
                  <c:v>9.5340475355848275E-2</c:v>
                </c:pt>
                <c:pt idx="28">
                  <c:v>9.3990363209396091E-2</c:v>
                </c:pt>
                <c:pt idx="29">
                  <c:v>9.2465828456434432E-2</c:v>
                </c:pt>
                <c:pt idx="30">
                  <c:v>9.0789156379765715E-2</c:v>
                </c:pt>
                <c:pt idx="31">
                  <c:v>8.8960536368317925E-2</c:v>
                </c:pt>
                <c:pt idx="32">
                  <c:v>8.6980160115228869E-2</c:v>
                </c:pt>
                <c:pt idx="33">
                  <c:v>8.4848219730645436E-2</c:v>
                </c:pt>
                <c:pt idx="34">
                  <c:v>8.2564905854926582E-2</c:v>
                </c:pt>
                <c:pt idx="35">
                  <c:v>8.0130405771749E-2</c:v>
                </c:pt>
                <c:pt idx="36">
                  <c:v>7.7544901521027623E-2</c:v>
                </c:pt>
                <c:pt idx="37">
                  <c:v>7.4841416497779867E-2</c:v>
                </c:pt>
                <c:pt idx="38">
                  <c:v>7.208379970631737E-2</c:v>
                </c:pt>
                <c:pt idx="39">
                  <c:v>6.9272180359489635E-2</c:v>
                </c:pt>
                <c:pt idx="40">
                  <c:v>6.6406674488546008E-2</c:v>
                </c:pt>
                <c:pt idx="41">
                  <c:v>6.3487384264034455E-2</c:v>
                </c:pt>
                <c:pt idx="42">
                  <c:v>6.0514397316177138E-2</c:v>
                </c:pt>
                <c:pt idx="43">
                  <c:v>5.7642990287089531E-2</c:v>
                </c:pt>
                <c:pt idx="44">
                  <c:v>5.4960310365169428E-2</c:v>
                </c:pt>
                <c:pt idx="45">
                  <c:v>5.2466345243616049E-2</c:v>
                </c:pt>
                <c:pt idx="46">
                  <c:v>5.0161075660268943E-2</c:v>
                </c:pt>
                <c:pt idx="47">
                  <c:v>4.8044477750993485E-2</c:v>
                </c:pt>
                <c:pt idx="48">
                  <c:v>4.6116525402367707E-2</c:v>
                </c:pt>
                <c:pt idx="49">
                  <c:v>4.4377192604840937E-2</c:v>
                </c:pt>
                <c:pt idx="50">
                  <c:v>4.2826455805593112E-2</c:v>
                </c:pt>
                <c:pt idx="51">
                  <c:v>4.153728491560011E-2</c:v>
                </c:pt>
                <c:pt idx="52">
                  <c:v>4.047662798927136E-2</c:v>
                </c:pt>
                <c:pt idx="53">
                  <c:v>3.9644240717019136E-2</c:v>
                </c:pt>
                <c:pt idx="54">
                  <c:v>3.9040096890279687E-2</c:v>
                </c:pt>
                <c:pt idx="55">
                  <c:v>3.8664175294966407E-2</c:v>
                </c:pt>
                <c:pt idx="56">
                  <c:v>3.8516458867482804E-2</c:v>
                </c:pt>
                <c:pt idx="57">
                  <c:v>3.8583526401681306E-2</c:v>
                </c:pt>
                <c:pt idx="58">
                  <c:v>3.8710229049097412E-2</c:v>
                </c:pt>
                <c:pt idx="59">
                  <c:v>3.8896553895556678E-2</c:v>
                </c:pt>
                <c:pt idx="60">
                  <c:v>3.9142488161211721E-2</c:v>
                </c:pt>
                <c:pt idx="61">
                  <c:v>3.9448018980130957E-2</c:v>
                </c:pt>
                <c:pt idx="62">
                  <c:v>3.981313317982834E-2</c:v>
                </c:pt>
                <c:pt idx="63">
                  <c:v>4.0237817060911292E-2</c:v>
                </c:pt>
                <c:pt idx="64">
                  <c:v>4.0722056176570841E-2</c:v>
                </c:pt>
                <c:pt idx="65">
                  <c:v>4.1245697327142179E-2</c:v>
                </c:pt>
                <c:pt idx="66">
                  <c:v>4.1735731925061838E-2</c:v>
                </c:pt>
                <c:pt idx="67">
                  <c:v>4.2192141744444113E-2</c:v>
                </c:pt>
                <c:pt idx="68">
                  <c:v>4.2614908249203352E-2</c:v>
                </c:pt>
                <c:pt idx="69">
                  <c:v>4.300401271702118E-2</c:v>
                </c:pt>
                <c:pt idx="70">
                  <c:v>4.3359436363508752E-2</c:v>
                </c:pt>
                <c:pt idx="71">
                  <c:v>4.3652701699291641E-2</c:v>
                </c:pt>
                <c:pt idx="72">
                  <c:v>4.389719908536871E-2</c:v>
                </c:pt>
                <c:pt idx="73">
                  <c:v>4.4092911472561731E-2</c:v>
                </c:pt>
                <c:pt idx="74">
                  <c:v>4.4239822696866583E-2</c:v>
                </c:pt>
                <c:pt idx="75">
                  <c:v>4.4337917659300792E-2</c:v>
                </c:pt>
                <c:pt idx="76">
                  <c:v>4.4387182505614055E-2</c:v>
                </c:pt>
                <c:pt idx="77">
                  <c:v>4.4387604806142504E-2</c:v>
                </c:pt>
                <c:pt idx="78">
                  <c:v>4.4339175207621068E-2</c:v>
                </c:pt>
                <c:pt idx="79">
                  <c:v>4.4219747307581027E-2</c:v>
                </c:pt>
                <c:pt idx="80">
                  <c:v>4.4049567496230929E-2</c:v>
                </c:pt>
                <c:pt idx="81">
                  <c:v>4.3828628915042904E-2</c:v>
                </c:pt>
                <c:pt idx="82">
                  <c:v>4.3556925067561592E-2</c:v>
                </c:pt>
                <c:pt idx="83">
                  <c:v>4.3234449981979561E-2</c:v>
                </c:pt>
                <c:pt idx="84">
                  <c:v>4.2861198373857594E-2</c:v>
                </c:pt>
                <c:pt idx="85">
                  <c:v>4.2423682040533574E-2</c:v>
                </c:pt>
                <c:pt idx="86">
                  <c:v>4.1950341627490347E-2</c:v>
                </c:pt>
                <c:pt idx="87">
                  <c:v>4.1441172451688123E-2</c:v>
                </c:pt>
                <c:pt idx="88">
                  <c:v>4.0896170950117751E-2</c:v>
                </c:pt>
                <c:pt idx="89">
                  <c:v>4.0315334794498524E-2</c:v>
                </c:pt>
                <c:pt idx="90">
                  <c:v>3.9698663005891484E-2</c:v>
                </c:pt>
                <c:pt idx="91">
                  <c:v>3.9046156069467347E-2</c:v>
                </c:pt>
                <c:pt idx="92">
                  <c:v>3.8357816049163544E-2</c:v>
                </c:pt>
                <c:pt idx="93">
                  <c:v>3.7622148440246521E-2</c:v>
                </c:pt>
                <c:pt idx="94">
                  <c:v>3.6861452894731271E-2</c:v>
                </c:pt>
                <c:pt idx="95">
                  <c:v>3.6075734273552248E-2</c:v>
                </c:pt>
                <c:pt idx="96">
                  <c:v>3.5264999153968198E-2</c:v>
                </c:pt>
                <c:pt idx="97">
                  <c:v>3.4429255909839723E-2</c:v>
                </c:pt>
                <c:pt idx="98">
                  <c:v>3.3568514791580274E-2</c:v>
                </c:pt>
                <c:pt idx="99">
                  <c:v>3.2677863296424726E-2</c:v>
                </c:pt>
                <c:pt idx="100">
                  <c:v>3.1770784991319821E-2</c:v>
                </c:pt>
                <c:pt idx="101">
                  <c:v>3.0847293202347904E-2</c:v>
                </c:pt>
                <c:pt idx="102">
                  <c:v>2.9907403094277776E-2</c:v>
                </c:pt>
                <c:pt idx="103">
                  <c:v>2.8951131722918938E-2</c:v>
                </c:pt>
                <c:pt idx="104">
                  <c:v>2.7978498088187153E-2</c:v>
                </c:pt>
                <c:pt idx="105">
                  <c:v>2.6989523186509694E-2</c:v>
                </c:pt>
                <c:pt idx="106">
                  <c:v>2.5984230063590744E-2</c:v>
                </c:pt>
                <c:pt idx="107">
                  <c:v>2.4962247412828847E-2</c:v>
                </c:pt>
                <c:pt idx="108">
                  <c:v>2.3935079414965147E-2</c:v>
                </c:pt>
                <c:pt idx="109">
                  <c:v>2.2902749327403663E-2</c:v>
                </c:pt>
                <c:pt idx="110">
                  <c:v>2.1865344296995961E-2</c:v>
                </c:pt>
                <c:pt idx="111">
                  <c:v>2.0822942703544824E-2</c:v>
                </c:pt>
                <c:pt idx="112">
                  <c:v>1.97755566455276E-2</c:v>
                </c:pt>
                <c:pt idx="113">
                  <c:v>1.874321687636309E-2</c:v>
                </c:pt>
                <c:pt idx="114">
                  <c:v>1.7730837078322622E-2</c:v>
                </c:pt>
                <c:pt idx="115">
                  <c:v>1.6738415860969417E-2</c:v>
                </c:pt>
                <c:pt idx="116">
                  <c:v>1.5765952103551435E-2</c:v>
                </c:pt>
                <c:pt idx="117">
                  <c:v>1.4813444912231627E-2</c:v>
                </c:pt>
                <c:pt idx="118">
                  <c:v>1.3880893577135288E-2</c:v>
                </c:pt>
                <c:pt idx="119">
                  <c:v>1.296829752945057E-2</c:v>
                </c:pt>
                <c:pt idx="120">
                  <c:v>1.2075656298509485E-2</c:v>
                </c:pt>
                <c:pt idx="121">
                  <c:v>1.1231147701933009E-2</c:v>
                </c:pt>
                <c:pt idx="122">
                  <c:v>1.0435144384333064E-2</c:v>
                </c:pt>
                <c:pt idx="123">
                  <c:v>9.6876223306449089E-3</c:v>
                </c:pt>
                <c:pt idx="124">
                  <c:v>8.9885562088327792E-3</c:v>
                </c:pt>
                <c:pt idx="125">
                  <c:v>8.3379192644819373E-3</c:v>
                </c:pt>
                <c:pt idx="126">
                  <c:v>7.7356832152496594E-3</c:v>
                </c:pt>
                <c:pt idx="127">
                  <c:v>7.191632141905731E-3</c:v>
                </c:pt>
                <c:pt idx="128">
                  <c:v>6.6857847216596844E-3</c:v>
                </c:pt>
                <c:pt idx="129">
                  <c:v>6.2181167820142104E-3</c:v>
                </c:pt>
                <c:pt idx="130">
                  <c:v>5.7886027050150718E-3</c:v>
                </c:pt>
                <c:pt idx="131">
                  <c:v>5.3972153439180793E-3</c:v>
                </c:pt>
                <c:pt idx="132">
                  <c:v>5.043925939931632E-3</c:v>
                </c:pt>
                <c:pt idx="133">
                  <c:v>4.7287040389891091E-3</c:v>
                </c:pt>
                <c:pt idx="134">
                  <c:v>4.451517408487436E-3</c:v>
                </c:pt>
                <c:pt idx="135">
                  <c:v>4.215953446810891E-3</c:v>
                </c:pt>
                <c:pt idx="136">
                  <c:v>3.9939274455049953E-3</c:v>
                </c:pt>
                <c:pt idx="137">
                  <c:v>3.785429776371859E-3</c:v>
                </c:pt>
                <c:pt idx="138">
                  <c:v>3.5904501947621862E-3</c:v>
                </c:pt>
                <c:pt idx="139">
                  <c:v>3.408977810164852E-3</c:v>
                </c:pt>
                <c:pt idx="140">
                  <c:v>3.2410010565876754E-3</c:v>
                </c:pt>
                <c:pt idx="141">
                  <c:v>3.0931597350831509E-3</c:v>
                </c:pt>
                <c:pt idx="142">
                  <c:v>2.955656291250787E-3</c:v>
                </c:pt>
                <c:pt idx="143">
                  <c:v>2.8284704300841454E-3</c:v>
                </c:pt>
                <c:pt idx="144">
                  <c:v>2.711599354846066E-3</c:v>
                </c:pt>
                <c:pt idx="145">
                  <c:v>2.6050383901532938E-3</c:v>
                </c:pt>
                <c:pt idx="146">
                  <c:v>2.5087811197993127E-3</c:v>
                </c:pt>
                <c:pt idx="147">
                  <c:v>2.4228195246688527E-3</c:v>
                </c:pt>
                <c:pt idx="148">
                  <c:v>2.3471441205867604E-3</c:v>
                </c:pt>
                <c:pt idx="149">
                  <c:v>2.2848983734685326E-3</c:v>
                </c:pt>
                <c:pt idx="150">
                  <c:v>2.2324690363503237E-3</c:v>
                </c:pt>
                <c:pt idx="151">
                  <c:v>2.1898437487360991E-3</c:v>
                </c:pt>
                <c:pt idx="152">
                  <c:v>2.157009278211117E-3</c:v>
                </c:pt>
                <c:pt idx="153">
                  <c:v>2.1339516523195727E-3</c:v>
                </c:pt>
                <c:pt idx="154">
                  <c:v>2.1206562904545218E-3</c:v>
                </c:pt>
                <c:pt idx="155">
                  <c:v>2.1168471393839022E-3</c:v>
                </c:pt>
                <c:pt idx="156">
                  <c:v>2.1159128758387112E-3</c:v>
                </c:pt>
                <c:pt idx="157">
                  <c:v>2.1178509158156201E-3</c:v>
                </c:pt>
                <c:pt idx="158">
                  <c:v>2.1226586415958341E-3</c:v>
                </c:pt>
                <c:pt idx="159">
                  <c:v>2.1303334407416635E-3</c:v>
                </c:pt>
                <c:pt idx="160">
                  <c:v>2.1408727451192331E-3</c:v>
                </c:pt>
                <c:pt idx="161">
                  <c:v>2.1542740698972046E-3</c:v>
                </c:pt>
                <c:pt idx="162">
                  <c:v>2.1705350525569088E-3</c:v>
                </c:pt>
                <c:pt idx="163">
                  <c:v>2.1883927436180044E-3</c:v>
                </c:pt>
                <c:pt idx="164">
                  <c:v>2.2047224337652187E-3</c:v>
                </c:pt>
                <c:pt idx="165">
                  <c:v>2.2195303255706724E-3</c:v>
                </c:pt>
                <c:pt idx="166">
                  <c:v>2.2328226376197736E-3</c:v>
                </c:pt>
                <c:pt idx="167">
                  <c:v>2.2446055837911675E-3</c:v>
                </c:pt>
                <c:pt idx="168">
                  <c:v>2.2548853526075936E-3</c:v>
                </c:pt>
                <c:pt idx="169">
                  <c:v>2.2624118041557296E-3</c:v>
                </c:pt>
                <c:pt idx="170">
                  <c:v>2.267451696678587E-3</c:v>
                </c:pt>
                <c:pt idx="171">
                  <c:v>2.2700125441142008E-3</c:v>
                </c:pt>
                <c:pt idx="172">
                  <c:v>2.2701016381168424E-3</c:v>
                </c:pt>
                <c:pt idx="173">
                  <c:v>2.2677028239399158E-3</c:v>
                </c:pt>
                <c:pt idx="174">
                  <c:v>2.2627986290659429E-3</c:v>
                </c:pt>
                <c:pt idx="175">
                  <c:v>2.2553941775858067E-3</c:v>
                </c:pt>
                <c:pt idx="176">
                  <c:v>2.24549457709261E-3</c:v>
                </c:pt>
                <c:pt idx="177">
                  <c:v>2.2328472047110849E-3</c:v>
                </c:pt>
                <c:pt idx="178">
                  <c:v>2.2187079757237387E-3</c:v>
                </c:pt>
                <c:pt idx="179">
                  <c:v>2.2030803721742155E-3</c:v>
                </c:pt>
                <c:pt idx="180">
                  <c:v>2.1859678196211201E-3</c:v>
                </c:pt>
                <c:pt idx="181">
                  <c:v>2.1673736782682851E-3</c:v>
                </c:pt>
                <c:pt idx="182">
                  <c:v>2.1473012341143944E-3</c:v>
                </c:pt>
                <c:pt idx="183">
                  <c:v>2.1288476122213813E-3</c:v>
                </c:pt>
                <c:pt idx="184">
                  <c:v>2.113258319235567E-3</c:v>
                </c:pt>
                <c:pt idx="185">
                  <c:v>2.1005302807071556E-3</c:v>
                </c:pt>
                <c:pt idx="186">
                  <c:v>2.0906604968217251E-3</c:v>
                </c:pt>
                <c:pt idx="187">
                  <c:v>2.0836460591132124E-3</c:v>
                </c:pt>
                <c:pt idx="188">
                  <c:v>2.079484167188526E-3</c:v>
                </c:pt>
                <c:pt idx="189">
                  <c:v>2.0781721453885832E-3</c:v>
                </c:pt>
                <c:pt idx="190">
                  <c:v>2.0797074595382496E-3</c:v>
                </c:pt>
                <c:pt idx="191">
                  <c:v>2.0905621691188242E-3</c:v>
                </c:pt>
                <c:pt idx="192">
                  <c:v>2.1109819505201947E-3</c:v>
                </c:pt>
                <c:pt idx="193">
                  <c:v>2.1409568856144132E-3</c:v>
                </c:pt>
                <c:pt idx="194">
                  <c:v>2.1804777461264142E-3</c:v>
                </c:pt>
                <c:pt idx="195">
                  <c:v>2.2295360501565793E-3</c:v>
                </c:pt>
                <c:pt idx="196">
                  <c:v>2.2881241186213023E-3</c:v>
                </c:pt>
                <c:pt idx="197">
                  <c:v>2.3597432495131351E-3</c:v>
                </c:pt>
                <c:pt idx="198">
                  <c:v>2.4413093751704997E-3</c:v>
                </c:pt>
                <c:pt idx="199">
                  <c:v>2.5328172953632245E-3</c:v>
                </c:pt>
                <c:pt idx="200">
                  <c:v>2.6342628861699691E-3</c:v>
                </c:pt>
                <c:pt idx="201">
                  <c:v>2.7456431589921852E-3</c:v>
                </c:pt>
                <c:pt idx="202">
                  <c:v>2.866956319578793E-3</c:v>
                </c:pt>
                <c:pt idx="203">
                  <c:v>2.9982018271144085E-3</c:v>
                </c:pt>
                <c:pt idx="204">
                  <c:v>3.1393753836450587E-3</c:v>
                </c:pt>
                <c:pt idx="205">
                  <c:v>3.2999306045061569E-3</c:v>
                </c:pt>
                <c:pt idx="206">
                  <c:v>3.4734164854546678E-3</c:v>
                </c:pt>
                <c:pt idx="207">
                  <c:v>3.6598307595644129E-3</c:v>
                </c:pt>
                <c:pt idx="208">
                  <c:v>3.8591719991893244E-3</c:v>
                </c:pt>
                <c:pt idx="209">
                  <c:v>4.0714395757198698E-3</c:v>
                </c:pt>
                <c:pt idx="210">
                  <c:v>4.2966336194673691E-3</c:v>
                </c:pt>
                <c:pt idx="211">
                  <c:v>4.561839926608015E-3</c:v>
                </c:pt>
                <c:pt idx="212">
                  <c:v>4.863552897257809E-3</c:v>
                </c:pt>
                <c:pt idx="213">
                  <c:v>5.2017665954307932E-3</c:v>
                </c:pt>
                <c:pt idx="214">
                  <c:v>5.5764772797830403E-3</c:v>
                </c:pt>
                <c:pt idx="215">
                  <c:v>5.9876832901831446E-3</c:v>
                </c:pt>
                <c:pt idx="216">
                  <c:v>6.4353849342661433E-3</c:v>
                </c:pt>
                <c:pt idx="217">
                  <c:v>6.91958437401273E-3</c:v>
                </c:pt>
                <c:pt idx="218">
                  <c:v>7.4402855122971427E-3</c:v>
                </c:pt>
                <c:pt idx="219">
                  <c:v>8.0166834484851797E-3</c:v>
                </c:pt>
                <c:pt idx="220">
                  <c:v>8.6393411752280769E-3</c:v>
                </c:pt>
                <c:pt idx="221">
                  <c:v>9.3082663700464457E-3</c:v>
                </c:pt>
                <c:pt idx="222">
                  <c:v>1.0023468502452487E-2</c:v>
                </c:pt>
                <c:pt idx="223">
                  <c:v>1.0784958690364171E-2</c:v>
                </c:pt>
                <c:pt idx="224">
                  <c:v>1.1592749556314638E-2</c:v>
                </c:pt>
                <c:pt idx="225">
                  <c:v>1.2446475547587639E-2</c:v>
                </c:pt>
                <c:pt idx="226">
                  <c:v>1.3319093943099332E-2</c:v>
                </c:pt>
                <c:pt idx="227">
                  <c:v>1.4210620601842682E-2</c:v>
                </c:pt>
                <c:pt idx="228">
                  <c:v>1.5121071131302318E-2</c:v>
                </c:pt>
                <c:pt idx="229">
                  <c:v>1.605046082884214E-2</c:v>
                </c:pt>
                <c:pt idx="230">
                  <c:v>1.6998804623299942E-2</c:v>
                </c:pt>
                <c:pt idx="231">
                  <c:v>1.796611701666713E-2</c:v>
                </c:pt>
                <c:pt idx="232">
                  <c:v>1.8952412025407969E-2</c:v>
                </c:pt>
                <c:pt idx="233">
                  <c:v>1.9952993093809553E-2</c:v>
                </c:pt>
                <c:pt idx="234">
                  <c:v>2.0948682249564279E-2</c:v>
                </c:pt>
                <c:pt idx="235">
                  <c:v>2.1939505489775028E-2</c:v>
                </c:pt>
                <c:pt idx="236">
                  <c:v>2.2925498050282725E-2</c:v>
                </c:pt>
                <c:pt idx="237">
                  <c:v>2.3906682799459303E-2</c:v>
                </c:pt>
                <c:pt idx="238">
                  <c:v>2.4883083091016528E-2</c:v>
                </c:pt>
                <c:pt idx="239">
                  <c:v>2.5843727704534553E-2</c:v>
                </c:pt>
                <c:pt idx="240">
                  <c:v>2.6789017774093773E-2</c:v>
                </c:pt>
                <c:pt idx="241">
                  <c:v>2.7718974724529031E-2</c:v>
                </c:pt>
                <c:pt idx="242">
                  <c:v>2.8633619932802886E-2</c:v>
                </c:pt>
                <c:pt idx="243">
                  <c:v>2.9532974700531237E-2</c:v>
                </c:pt>
                <c:pt idx="244">
                  <c:v>3.0417060226381201E-2</c:v>
                </c:pt>
                <c:pt idx="245">
                  <c:v>3.1285897578156273E-2</c:v>
                </c:pt>
                <c:pt idx="246">
                  <c:v>3.2139507664795931E-2</c:v>
                </c:pt>
                <c:pt idx="247">
                  <c:v>3.2965012135281899E-2</c:v>
                </c:pt>
                <c:pt idx="248">
                  <c:v>3.3767142523831659E-2</c:v>
                </c:pt>
                <c:pt idx="249">
                  <c:v>3.4545914748409075E-2</c:v>
                </c:pt>
                <c:pt idx="250">
                  <c:v>3.5301344001716618E-2</c:v>
                </c:pt>
                <c:pt idx="251">
                  <c:v>3.6033444709959686E-2</c:v>
                </c:pt>
                <c:pt idx="252">
                  <c:v>3.674223049015831E-2</c:v>
                </c:pt>
                <c:pt idx="253">
                  <c:v>3.7406354052362221E-2</c:v>
                </c:pt>
                <c:pt idx="254">
                  <c:v>3.8036833142637443E-2</c:v>
                </c:pt>
                <c:pt idx="255">
                  <c:v>3.863367123079519E-2</c:v>
                </c:pt>
                <c:pt idx="256">
                  <c:v>3.919687016500626E-2</c:v>
                </c:pt>
                <c:pt idx="257">
                  <c:v>3.972643011110992E-2</c:v>
                </c:pt>
                <c:pt idx="258">
                  <c:v>4.0222349492283323E-2</c:v>
                </c:pt>
                <c:pt idx="259">
                  <c:v>4.0684624929277415E-2</c:v>
                </c:pt>
                <c:pt idx="260">
                  <c:v>4.1113251179437114E-2</c:v>
                </c:pt>
                <c:pt idx="261">
                  <c:v>4.1480928480918604E-2</c:v>
                </c:pt>
                <c:pt idx="262">
                  <c:v>4.1800565618282021E-2</c:v>
                </c:pt>
                <c:pt idx="263">
                  <c:v>4.2072137312372838E-2</c:v>
                </c:pt>
                <c:pt idx="264">
                  <c:v>4.2295617198356179E-2</c:v>
                </c:pt>
                <c:pt idx="265">
                  <c:v>4.2471203324988792E-2</c:v>
                </c:pt>
                <c:pt idx="266">
                  <c:v>4.2598981141395181E-2</c:v>
                </c:pt>
                <c:pt idx="267">
                  <c:v>4.2659508198772088E-2</c:v>
                </c:pt>
                <c:pt idx="268">
                  <c:v>4.2674116740919428E-2</c:v>
                </c:pt>
                <c:pt idx="269">
                  <c:v>4.2642705006552789E-2</c:v>
                </c:pt>
                <c:pt idx="270">
                  <c:v>4.2565166646322428E-2</c:v>
                </c:pt>
                <c:pt idx="271">
                  <c:v>4.2441391236403565E-2</c:v>
                </c:pt>
                <c:pt idx="272">
                  <c:v>4.2271264793265588E-2</c:v>
                </c:pt>
                <c:pt idx="273">
                  <c:v>4.2054670287904689E-2</c:v>
                </c:pt>
                <c:pt idx="274">
                  <c:v>4.1791488160632155E-2</c:v>
                </c:pt>
                <c:pt idx="275">
                  <c:v>4.1468667421455802E-2</c:v>
                </c:pt>
                <c:pt idx="276">
                  <c:v>4.1113522599944684E-2</c:v>
                </c:pt>
                <c:pt idx="277">
                  <c:v>4.0725951097041753E-2</c:v>
                </c:pt>
                <c:pt idx="278">
                  <c:v>4.0305850493064226E-2</c:v>
                </c:pt>
                <c:pt idx="279">
                  <c:v>3.9853118902699526E-2</c:v>
                </c:pt>
                <c:pt idx="280">
                  <c:v>3.9367655330380995E-2</c:v>
                </c:pt>
                <c:pt idx="281">
                  <c:v>3.8919960248542516E-2</c:v>
                </c:pt>
                <c:pt idx="282">
                  <c:v>3.8529534195332955E-2</c:v>
                </c:pt>
                <c:pt idx="283">
                  <c:v>3.8196422602362591E-2</c:v>
                </c:pt>
                <c:pt idx="284">
                  <c:v>3.7920673037087571E-2</c:v>
                </c:pt>
                <c:pt idx="285">
                  <c:v>3.7702334571900788E-2</c:v>
                </c:pt>
                <c:pt idx="286">
                  <c:v>3.7541457153584541E-2</c:v>
                </c:pt>
                <c:pt idx="287">
                  <c:v>3.743809097238588E-2</c:v>
                </c:pt>
                <c:pt idx="288">
                  <c:v>3.739228583123811E-2</c:v>
                </c:pt>
                <c:pt idx="289">
                  <c:v>3.7554774751676748E-2</c:v>
                </c:pt>
                <c:pt idx="290">
                  <c:v>3.7938859946713942E-2</c:v>
                </c:pt>
                <c:pt idx="291">
                  <c:v>3.8544824736005866E-2</c:v>
                </c:pt>
                <c:pt idx="292">
                  <c:v>3.9372940550515947E-2</c:v>
                </c:pt>
                <c:pt idx="293">
                  <c:v>4.0423464517460116E-2</c:v>
                </c:pt>
                <c:pt idx="294">
                  <c:v>4.169663704510948E-2</c:v>
                </c:pt>
                <c:pt idx="295">
                  <c:v>4.3224650306583838E-2</c:v>
                </c:pt>
                <c:pt idx="296">
                  <c:v>4.4937163190513524E-2</c:v>
                </c:pt>
                <c:pt idx="297">
                  <c:v>4.6834763812066547E-2</c:v>
                </c:pt>
                <c:pt idx="298">
                  <c:v>4.8917696076184548E-2</c:v>
                </c:pt>
                <c:pt idx="299">
                  <c:v>5.118620303830148E-2</c:v>
                </c:pt>
                <c:pt idx="300">
                  <c:v>5.3640525212497146E-2</c:v>
                </c:pt>
                <c:pt idx="301">
                  <c:v>5.6280898879505471E-2</c:v>
                </c:pt>
                <c:pt idx="302">
                  <c:v>5.9107554394836191E-2</c:v>
                </c:pt>
                <c:pt idx="303">
                  <c:v>6.2035557256691264E-2</c:v>
                </c:pt>
                <c:pt idx="304">
                  <c:v>6.4913245713557263E-2</c:v>
                </c:pt>
                <c:pt idx="305">
                  <c:v>6.7740484126263115E-2</c:v>
                </c:pt>
                <c:pt idx="306">
                  <c:v>7.0517126667165766E-2</c:v>
                </c:pt>
                <c:pt idx="307">
                  <c:v>7.3243017808919328E-2</c:v>
                </c:pt>
                <c:pt idx="308">
                  <c:v>7.59179928126366E-2</c:v>
                </c:pt>
                <c:pt idx="309">
                  <c:v>7.8479483485294696E-2</c:v>
                </c:pt>
                <c:pt idx="310">
                  <c:v>8.0895030831770853E-2</c:v>
                </c:pt>
                <c:pt idx="311">
                  <c:v>8.3164318407630985E-2</c:v>
                </c:pt>
                <c:pt idx="312">
                  <c:v>8.5287026738720892E-2</c:v>
                </c:pt>
                <c:pt idx="313">
                  <c:v>8.7262834678383305E-2</c:v>
                </c:pt>
                <c:pt idx="314">
                  <c:v>8.9091420763911688E-2</c:v>
                </c:pt>
                <c:pt idx="315">
                  <c:v>9.0772464574091008E-2</c:v>
                </c:pt>
                <c:pt idx="316">
                  <c:v>9.2305648085387673E-2</c:v>
                </c:pt>
                <c:pt idx="317">
                  <c:v>9.3668944407580612E-2</c:v>
                </c:pt>
                <c:pt idx="318">
                  <c:v>9.4947744382394991E-2</c:v>
                </c:pt>
                <c:pt idx="319">
                  <c:v>9.6141816896497437E-2</c:v>
                </c:pt>
                <c:pt idx="320">
                  <c:v>9.7250933235906903E-2</c:v>
                </c:pt>
                <c:pt idx="321">
                  <c:v>9.8274867857742795E-2</c:v>
                </c:pt>
                <c:pt idx="322">
                  <c:v>9.9213399162411106E-2</c:v>
                </c:pt>
                <c:pt idx="323">
                  <c:v>0.10008623008335642</c:v>
                </c:pt>
                <c:pt idx="324">
                  <c:v>0.10095592336705018</c:v>
                </c:pt>
                <c:pt idx="325">
                  <c:v>0.10182233326489397</c:v>
                </c:pt>
                <c:pt idx="326">
                  <c:v>0.10268467231045121</c:v>
                </c:pt>
                <c:pt idx="327">
                  <c:v>0.10354255818721181</c:v>
                </c:pt>
                <c:pt idx="328">
                  <c:v>0.10439613384951861</c:v>
                </c:pt>
                <c:pt idx="329">
                  <c:v>0.10524554950360653</c:v>
                </c:pt>
                <c:pt idx="330">
                  <c:v>0.10609096256845413</c:v>
                </c:pt>
                <c:pt idx="331">
                  <c:v>0.10693853015340841</c:v>
                </c:pt>
                <c:pt idx="332">
                  <c:v>0.10781022049330108</c:v>
                </c:pt>
                <c:pt idx="333">
                  <c:v>0.10870621888666311</c:v>
                </c:pt>
                <c:pt idx="334">
                  <c:v>0.1096267153120903</c:v>
                </c:pt>
                <c:pt idx="335">
                  <c:v>0.11057190496880338</c:v>
                </c:pt>
                <c:pt idx="336">
                  <c:v>0.11154198881578546</c:v>
                </c:pt>
                <c:pt idx="337">
                  <c:v>0.11250610835222012</c:v>
                </c:pt>
                <c:pt idx="338">
                  <c:v>0.11344451493545275</c:v>
                </c:pt>
                <c:pt idx="339">
                  <c:v>0.11435742661268257</c:v>
                </c:pt>
                <c:pt idx="340">
                  <c:v>0.11524506973131578</c:v>
                </c:pt>
                <c:pt idx="341">
                  <c:v>0.11610767841810904</c:v>
                </c:pt>
                <c:pt idx="342">
                  <c:v>0.11694549405824139</c:v>
                </c:pt>
                <c:pt idx="343">
                  <c:v>0.11775876477298049</c:v>
                </c:pt>
                <c:pt idx="344">
                  <c:v>0.11854774489916677</c:v>
                </c:pt>
                <c:pt idx="345">
                  <c:v>0.11931269446747102</c:v>
                </c:pt>
                <c:pt idx="346">
                  <c:v>0.12000965708483978</c:v>
                </c:pt>
                <c:pt idx="347">
                  <c:v>0.12063889379487959</c:v>
                </c:pt>
                <c:pt idx="348">
                  <c:v>0.1212006659142556</c:v>
                </c:pt>
                <c:pt idx="349">
                  <c:v>0.12169523359114726</c:v>
                </c:pt>
                <c:pt idx="350">
                  <c:v>0.12212285436653834</c:v>
                </c:pt>
                <c:pt idx="351">
                  <c:v>0.1224455375906482</c:v>
                </c:pt>
                <c:pt idx="352">
                  <c:v>0.12269460804250126</c:v>
                </c:pt>
                <c:pt idx="353">
                  <c:v>0.12287029996849587</c:v>
                </c:pt>
                <c:pt idx="354">
                  <c:v>0.12297283777059725</c:v>
                </c:pt>
                <c:pt idx="355">
                  <c:v>0.12300243441101939</c:v>
                </c:pt>
                <c:pt idx="356">
                  <c:v>0.12295937479510617</c:v>
                </c:pt>
                <c:pt idx="357">
                  <c:v>0.12284357025845037</c:v>
                </c:pt>
                <c:pt idx="358">
                  <c:v>0.12265462229954198</c:v>
                </c:pt>
                <c:pt idx="359">
                  <c:v>0.12239212101034679</c:v>
                </c:pt>
                <c:pt idx="360">
                  <c:v>0.12202448067574256</c:v>
                </c:pt>
                <c:pt idx="361">
                  <c:v>0.12158959005579571</c:v>
                </c:pt>
                <c:pt idx="362">
                  <c:v>0.12108702415169126</c:v>
                </c:pt>
                <c:pt idx="363">
                  <c:v>0.12051635542577362</c:v>
                </c:pt>
                <c:pt idx="364">
                  <c:v>0.11987715558230842</c:v>
                </c:pt>
                <c:pt idx="365">
                  <c:v>0.11916899734671965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0.20572830472163448</c:v>
                </c:pt>
                <c:pt idx="1">
                  <c:v>0.20513124447736186</c:v>
                </c:pt>
                <c:pt idx="2">
                  <c:v>0.20450684655097676</c:v>
                </c:pt>
                <c:pt idx="3">
                  <c:v>0.20385453814196997</c:v>
                </c:pt>
                <c:pt idx="4">
                  <c:v>0.20317375338551066</c:v>
                </c:pt>
                <c:pt idx="5">
                  <c:v>0.20246393406402896</c:v>
                </c:pt>
                <c:pt idx="6">
                  <c:v>0.20172453032138851</c:v>
                </c:pt>
                <c:pt idx="7">
                  <c:v>0.20095500137248754</c:v>
                </c:pt>
                <c:pt idx="8">
                  <c:v>0.20015481621571504</c:v>
                </c:pt>
                <c:pt idx="9">
                  <c:v>0.19931540057341465</c:v>
                </c:pt>
                <c:pt idx="10">
                  <c:v>0.19847759625155903</c:v>
                </c:pt>
                <c:pt idx="11">
                  <c:v>0.19764094776323626</c:v>
                </c:pt>
                <c:pt idx="12">
                  <c:v>0.19680500845219981</c:v>
                </c:pt>
                <c:pt idx="13">
                  <c:v>0.19596934035876543</c:v>
                </c:pt>
                <c:pt idx="14">
                  <c:v>0.19513351408235968</c:v>
                </c:pt>
                <c:pt idx="15">
                  <c:v>0.19421632441380518</c:v>
                </c:pt>
                <c:pt idx="16">
                  <c:v>0.19320391258003844</c:v>
                </c:pt>
                <c:pt idx="17">
                  <c:v>0.19209580840680704</c:v>
                </c:pt>
                <c:pt idx="18">
                  <c:v>0.19089157011878069</c:v>
                </c:pt>
                <c:pt idx="19">
                  <c:v>0.18959184411443486</c:v>
                </c:pt>
                <c:pt idx="20">
                  <c:v>0.1881977527633556</c:v>
                </c:pt>
                <c:pt idx="21">
                  <c:v>0.18670959594422218</c:v>
                </c:pt>
                <c:pt idx="22">
                  <c:v>0.18512767937844712</c:v>
                </c:pt>
                <c:pt idx="23">
                  <c:v>0.18338542702065361</c:v>
                </c:pt>
                <c:pt idx="24">
                  <c:v>0.18149122256859859</c:v>
                </c:pt>
                <c:pt idx="25">
                  <c:v>0.17944537657680057</c:v>
                </c:pt>
                <c:pt idx="26">
                  <c:v>0.17724820716681541</c:v>
                </c:pt>
                <c:pt idx="27">
                  <c:v>0.17490003817747976</c:v>
                </c:pt>
                <c:pt idx="28">
                  <c:v>0.1724011973190159</c:v>
                </c:pt>
                <c:pt idx="29">
                  <c:v>0.16971089372511003</c:v>
                </c:pt>
                <c:pt idx="30">
                  <c:v>0.16691037867857095</c:v>
                </c:pt>
                <c:pt idx="31">
                  <c:v>0.16399997767468136</c:v>
                </c:pt>
                <c:pt idx="32">
                  <c:v>0.16098000986536939</c:v>
                </c:pt>
                <c:pt idx="33">
                  <c:v>0.15785078670850916</c:v>
                </c:pt>
                <c:pt idx="34">
                  <c:v>0.154612610617964</c:v>
                </c:pt>
                <c:pt idx="35">
                  <c:v>0.15126577361345903</c:v>
                </c:pt>
                <c:pt idx="36">
                  <c:v>0.14781055597011636</c:v>
                </c:pt>
                <c:pt idx="37">
                  <c:v>0.14426481562199753</c:v>
                </c:pt>
                <c:pt idx="38">
                  <c:v>0.14069566329345792</c:v>
                </c:pt>
                <c:pt idx="39">
                  <c:v>0.13710331344983151</c:v>
                </c:pt>
                <c:pt idx="40">
                  <c:v>0.13348796301323809</c:v>
                </c:pt>
                <c:pt idx="41">
                  <c:v>0.1298497910693773</c:v>
                </c:pt>
                <c:pt idx="42">
                  <c:v>0.12618895857331772</c:v>
                </c:pt>
                <c:pt idx="43">
                  <c:v>0.12254061214662461</c:v>
                </c:pt>
                <c:pt idx="44">
                  <c:v>0.11894594403038061</c:v>
                </c:pt>
                <c:pt idx="45">
                  <c:v>0.11540504240395909</c:v>
                </c:pt>
                <c:pt idx="46">
                  <c:v>0.1119179793054122</c:v>
                </c:pt>
                <c:pt idx="47">
                  <c:v>0.10848481129036595</c:v>
                </c:pt>
                <c:pt idx="48">
                  <c:v>0.10510558008938947</c:v>
                </c:pt>
                <c:pt idx="49">
                  <c:v>0.10178031326640201</c:v>
                </c:pt>
                <c:pt idx="50">
                  <c:v>9.8509024876409654E-2</c:v>
                </c:pt>
                <c:pt idx="51">
                  <c:v>9.5361191847407725E-2</c:v>
                </c:pt>
                <c:pt idx="52">
                  <c:v>9.2318721068085183E-2</c:v>
                </c:pt>
                <c:pt idx="53">
                  <c:v>8.9381055565974768E-2</c:v>
                </c:pt>
                <c:pt idx="54">
                  <c:v>8.6548133069280928E-2</c:v>
                </c:pt>
                <c:pt idx="55">
                  <c:v>8.3819897375957339E-2</c:v>
                </c:pt>
                <c:pt idx="56">
                  <c:v>8.1196297967200487E-2</c:v>
                </c:pt>
                <c:pt idx="57">
                  <c:v>7.8793138427380463E-2</c:v>
                </c:pt>
                <c:pt idx="58">
                  <c:v>7.6575391281469118E-2</c:v>
                </c:pt>
                <c:pt idx="59">
                  <c:v>7.4543022630900069E-2</c:v>
                </c:pt>
                <c:pt idx="60">
                  <c:v>7.2696002859727687E-2</c:v>
                </c:pt>
                <c:pt idx="61">
                  <c:v>7.1034305949024421E-2</c:v>
                </c:pt>
                <c:pt idx="62">
                  <c:v>6.95579087911707E-2</c:v>
                </c:pt>
                <c:pt idx="63">
                  <c:v>6.8266790504359673E-2</c:v>
                </c:pt>
                <c:pt idx="64">
                  <c:v>6.7160931746819516E-2</c:v>
                </c:pt>
                <c:pt idx="65">
                  <c:v>6.6273803798574935E-2</c:v>
                </c:pt>
                <c:pt idx="66">
                  <c:v>6.5535909940538831E-2</c:v>
                </c:pt>
                <c:pt idx="67">
                  <c:v>6.494723101482365E-2</c:v>
                </c:pt>
                <c:pt idx="68">
                  <c:v>6.4507747109833549E-2</c:v>
                </c:pt>
                <c:pt idx="69">
                  <c:v>6.4217437007565367E-2</c:v>
                </c:pt>
                <c:pt idx="70">
                  <c:v>6.4076277631215914E-2</c:v>
                </c:pt>
                <c:pt idx="71">
                  <c:v>6.4049923842968384E-2</c:v>
                </c:pt>
                <c:pt idx="72">
                  <c:v>6.4022497680938359E-2</c:v>
                </c:pt>
                <c:pt idx="73">
                  <c:v>6.3993975806176828E-2</c:v>
                </c:pt>
                <c:pt idx="74">
                  <c:v>6.3964334940269416E-2</c:v>
                </c:pt>
                <c:pt idx="75">
                  <c:v>6.393355186850494E-2</c:v>
                </c:pt>
                <c:pt idx="76">
                  <c:v>6.3901603442844998E-2</c:v>
                </c:pt>
                <c:pt idx="77">
                  <c:v>6.3868466585101341E-2</c:v>
                </c:pt>
                <c:pt idx="78">
                  <c:v>6.383412040925833E-2</c:v>
                </c:pt>
                <c:pt idx="79">
                  <c:v>6.3773323992132022E-2</c:v>
                </c:pt>
                <c:pt idx="80">
                  <c:v>6.3652752531543941E-2</c:v>
                </c:pt>
                <c:pt idx="81">
                  <c:v>6.3472394138484198E-2</c:v>
                </c:pt>
                <c:pt idx="82">
                  <c:v>6.3232237247325296E-2</c:v>
                </c:pt>
                <c:pt idx="83">
                  <c:v>6.2932270807265434E-2</c:v>
                </c:pt>
                <c:pt idx="84">
                  <c:v>6.257248447398249E-2</c:v>
                </c:pt>
                <c:pt idx="85">
                  <c:v>6.2130391162350508E-2</c:v>
                </c:pt>
                <c:pt idx="86">
                  <c:v>6.1640285446348891E-2</c:v>
                </c:pt>
                <c:pt idx="87">
                  <c:v>6.1102158405728642E-2</c:v>
                </c:pt>
                <c:pt idx="88">
                  <c:v>6.0516002435663512E-2</c:v>
                </c:pt>
                <c:pt idx="89">
                  <c:v>5.9881811400391095E-2</c:v>
                </c:pt>
                <c:pt idx="90">
                  <c:v>5.9199580786728871E-2</c:v>
                </c:pt>
                <c:pt idx="91">
                  <c:v>5.8469307857819362E-2</c:v>
                </c:pt>
                <c:pt idx="92">
                  <c:v>5.7690991806711937E-2</c:v>
                </c:pt>
                <c:pt idx="93">
                  <c:v>5.6843089944296682E-2</c:v>
                </c:pt>
                <c:pt idx="94">
                  <c:v>5.5951056971750034E-2</c:v>
                </c:pt>
                <c:pt idx="95">
                  <c:v>5.5014898096969855E-2</c:v>
                </c:pt>
                <c:pt idx="96">
                  <c:v>5.403462097819519E-2</c:v>
                </c:pt>
                <c:pt idx="97">
                  <c:v>5.3010235865417192E-2</c:v>
                </c:pt>
                <c:pt idx="98">
                  <c:v>5.1941755741294039E-2</c:v>
                </c:pt>
                <c:pt idx="99">
                  <c:v>5.0813645924478679E-2</c:v>
                </c:pt>
                <c:pt idx="100">
                  <c:v>4.9648381388744139E-2</c:v>
                </c:pt>
                <c:pt idx="101">
                  <c:v>4.8445981945712903E-2</c:v>
                </c:pt>
                <c:pt idx="102">
                  <c:v>4.7206470429663118E-2</c:v>
                </c:pt>
                <c:pt idx="103">
                  <c:v>4.5929872815998363E-2</c:v>
                </c:pt>
                <c:pt idx="104">
                  <c:v>4.4616218340837337E-2</c:v>
                </c:pt>
                <c:pt idx="105">
                  <c:v>4.3265539619564586E-2</c:v>
                </c:pt>
                <c:pt idx="106">
                  <c:v>4.1877872765949183E-2</c:v>
                </c:pt>
                <c:pt idx="107">
                  <c:v>4.0448395542929012E-2</c:v>
                </c:pt>
                <c:pt idx="108">
                  <c:v>3.8998657529861099E-2</c:v>
                </c:pt>
                <c:pt idx="109">
                  <c:v>3.7528696778718514E-2</c:v>
                </c:pt>
                <c:pt idx="110">
                  <c:v>3.603865699362211E-2</c:v>
                </c:pt>
                <c:pt idx="111">
                  <c:v>3.4528670200658834E-2</c:v>
                </c:pt>
                <c:pt idx="112">
                  <c:v>3.2998760559504618E-2</c:v>
                </c:pt>
                <c:pt idx="113">
                  <c:v>3.1473927620748701E-2</c:v>
                </c:pt>
                <c:pt idx="114">
                  <c:v>2.9969694680756137E-2</c:v>
                </c:pt>
                <c:pt idx="115">
                  <c:v>2.848606466725365E-2</c:v>
                </c:pt>
                <c:pt idx="116">
                  <c:v>2.7023041189997345E-2</c:v>
                </c:pt>
                <c:pt idx="117">
                  <c:v>2.5580628497009639E-2</c:v>
                </c:pt>
                <c:pt idx="118">
                  <c:v>2.4158831430507569E-2</c:v>
                </c:pt>
                <c:pt idx="119">
                  <c:v>2.2757655382920624E-2</c:v>
                </c:pt>
                <c:pt idx="120">
                  <c:v>2.1377106252873836E-2</c:v>
                </c:pt>
                <c:pt idx="121">
                  <c:v>2.0051832246413596E-2</c:v>
                </c:pt>
                <c:pt idx="122">
                  <c:v>1.8786658902805609E-2</c:v>
                </c:pt>
                <c:pt idx="123">
                  <c:v>1.758156087436968E-2</c:v>
                </c:pt>
                <c:pt idx="124">
                  <c:v>1.6436511428887735E-2</c:v>
                </c:pt>
                <c:pt idx="125">
                  <c:v>1.5351482319268903E-2</c:v>
                </c:pt>
                <c:pt idx="126">
                  <c:v>1.4326443652959887E-2</c:v>
                </c:pt>
                <c:pt idx="127">
                  <c:v>1.3381329671908221E-2</c:v>
                </c:pt>
                <c:pt idx="128">
                  <c:v>1.2491210931541085E-2</c:v>
                </c:pt>
                <c:pt idx="129">
                  <c:v>1.1656055973092008E-2</c:v>
                </c:pt>
                <c:pt idx="130">
                  <c:v>1.0875831402040972E-2</c:v>
                </c:pt>
                <c:pt idx="131">
                  <c:v>1.0150501768283197E-2</c:v>
                </c:pt>
                <c:pt idx="132">
                  <c:v>9.4800294464383456E-3</c:v>
                </c:pt>
                <c:pt idx="133">
                  <c:v>8.8643745162163435E-3</c:v>
                </c:pt>
                <c:pt idx="134">
                  <c:v>8.3034946427194747E-3</c:v>
                </c:pt>
                <c:pt idx="135">
                  <c:v>7.8058598666544713E-3</c:v>
                </c:pt>
                <c:pt idx="136">
                  <c:v>7.3369354785095299E-3</c:v>
                </c:pt>
                <c:pt idx="137">
                  <c:v>6.8967012757660782E-3</c:v>
                </c:pt>
                <c:pt idx="138">
                  <c:v>6.4851357478659518E-3</c:v>
                </c:pt>
                <c:pt idx="139">
                  <c:v>6.1022160138339667E-3</c:v>
                </c:pt>
                <c:pt idx="140">
                  <c:v>5.7479177595212401E-3</c:v>
                </c:pt>
                <c:pt idx="141">
                  <c:v>5.4314700369067622E-3</c:v>
                </c:pt>
                <c:pt idx="142">
                  <c:v>5.1329500184789743E-3</c:v>
                </c:pt>
                <c:pt idx="143">
                  <c:v>4.8523258225879303E-3</c:v>
                </c:pt>
                <c:pt idx="144">
                  <c:v>4.5895963638846607E-3</c:v>
                </c:pt>
                <c:pt idx="145">
                  <c:v>4.3447569822278658E-3</c:v>
                </c:pt>
                <c:pt idx="146">
                  <c:v>4.1177996809987445E-3</c:v>
                </c:pt>
                <c:pt idx="147">
                  <c:v>3.9087133655709462E-3</c:v>
                </c:pt>
                <c:pt idx="148">
                  <c:v>3.7174840816690739E-3</c:v>
                </c:pt>
                <c:pt idx="149">
                  <c:v>3.5514303523392788E-3</c:v>
                </c:pt>
                <c:pt idx="150">
                  <c:v>3.4020660557667858E-3</c:v>
                </c:pt>
                <c:pt idx="151">
                  <c:v>3.2693718630417909E-3</c:v>
                </c:pt>
                <c:pt idx="152">
                  <c:v>3.1533266412167109E-3</c:v>
                </c:pt>
                <c:pt idx="153">
                  <c:v>3.0539076765237674E-3</c:v>
                </c:pt>
                <c:pt idx="154">
                  <c:v>2.9710908976114223E-3</c:v>
                </c:pt>
                <c:pt idx="155">
                  <c:v>2.9056957551248657E-3</c:v>
                </c:pt>
                <c:pt idx="156">
                  <c:v>2.8485171065388061E-3</c:v>
                </c:pt>
                <c:pt idx="157">
                  <c:v>2.7995439727839613E-3</c:v>
                </c:pt>
                <c:pt idx="158">
                  <c:v>2.7587649734050882E-3</c:v>
                </c:pt>
                <c:pt idx="159">
                  <c:v>2.726168436905724E-3</c:v>
                </c:pt>
                <c:pt idx="160">
                  <c:v>2.7017425111272842E-3</c:v>
                </c:pt>
                <c:pt idx="161">
                  <c:v>2.6854752735966619E-3</c:v>
                </c:pt>
                <c:pt idx="162">
                  <c:v>2.6773548418888853E-3</c:v>
                </c:pt>
                <c:pt idx="163">
                  <c:v>2.6769212605332882E-3</c:v>
                </c:pt>
                <c:pt idx="164">
                  <c:v>2.6768967833404717E-3</c:v>
                </c:pt>
                <c:pt idx="165">
                  <c:v>2.6772843666610126E-3</c:v>
                </c:pt>
                <c:pt idx="166">
                  <c:v>2.6780869964068191E-3</c:v>
                </c:pt>
                <c:pt idx="167">
                  <c:v>2.6793076933439817E-3</c:v>
                </c:pt>
                <c:pt idx="168">
                  <c:v>2.680949518471152E-3</c:v>
                </c:pt>
                <c:pt idx="169">
                  <c:v>2.6825689426040506E-3</c:v>
                </c:pt>
                <c:pt idx="170">
                  <c:v>2.683332890505831E-3</c:v>
                </c:pt>
                <c:pt idx="171">
                  <c:v>2.6832465978802872E-3</c:v>
                </c:pt>
                <c:pt idx="172">
                  <c:v>2.682315221408891E-3</c:v>
                </c:pt>
                <c:pt idx="173">
                  <c:v>2.6805164152582674E-3</c:v>
                </c:pt>
                <c:pt idx="174">
                  <c:v>2.6778263875955177E-3</c:v>
                </c:pt>
                <c:pt idx="175">
                  <c:v>2.6742480582041864E-3</c:v>
                </c:pt>
                <c:pt idx="176">
                  <c:v>2.669784341019514E-3</c:v>
                </c:pt>
                <c:pt idx="177">
                  <c:v>2.6652721247977652E-3</c:v>
                </c:pt>
                <c:pt idx="178">
                  <c:v>2.6611576210746404E-3</c:v>
                </c:pt>
                <c:pt idx="179">
                  <c:v>2.6574417889078509E-3</c:v>
                </c:pt>
                <c:pt idx="180">
                  <c:v>2.6541255875172452E-3</c:v>
                </c:pt>
                <c:pt idx="181">
                  <c:v>2.6512099785546347E-3</c:v>
                </c:pt>
                <c:pt idx="182">
                  <c:v>2.6486959283968619E-3</c:v>
                </c:pt>
                <c:pt idx="183">
                  <c:v>2.6537791564044625E-3</c:v>
                </c:pt>
                <c:pt idx="184">
                  <c:v>2.6668936073330888E-3</c:v>
                </c:pt>
                <c:pt idx="185">
                  <c:v>2.6880296025559984E-3</c:v>
                </c:pt>
                <c:pt idx="186">
                  <c:v>2.7171778056490938E-3</c:v>
                </c:pt>
                <c:pt idx="187">
                  <c:v>2.7543292696591728E-3</c:v>
                </c:pt>
                <c:pt idx="188">
                  <c:v>2.7994754843888212E-3</c:v>
                </c:pt>
                <c:pt idx="189">
                  <c:v>2.852608423597287E-3</c:v>
                </c:pt>
                <c:pt idx="190">
                  <c:v>2.9137205923192373E-3</c:v>
                </c:pt>
                <c:pt idx="191">
                  <c:v>2.9918127946256079E-3</c:v>
                </c:pt>
                <c:pt idx="192">
                  <c:v>3.0860394023077679E-3</c:v>
                </c:pt>
                <c:pt idx="193">
                  <c:v>3.1963852242212535E-3</c:v>
                </c:pt>
                <c:pt idx="194">
                  <c:v>3.3228363774213047E-3</c:v>
                </c:pt>
                <c:pt idx="195">
                  <c:v>3.4653803828224184E-3</c:v>
                </c:pt>
                <c:pt idx="196">
                  <c:v>3.6240062607367056E-3</c:v>
                </c:pt>
                <c:pt idx="197">
                  <c:v>3.8069529673071573E-3</c:v>
                </c:pt>
                <c:pt idx="198">
                  <c:v>4.007054615868799E-3</c:v>
                </c:pt>
                <c:pt idx="199">
                  <c:v>4.2243045900330518E-3</c:v>
                </c:pt>
                <c:pt idx="200">
                  <c:v>4.4586982742398345E-3</c:v>
                </c:pt>
                <c:pt idx="201">
                  <c:v>4.7102331558026341E-3</c:v>
                </c:pt>
                <c:pt idx="202">
                  <c:v>4.9789089269689146E-3</c:v>
                </c:pt>
                <c:pt idx="203">
                  <c:v>5.264727587090891E-3</c:v>
                </c:pt>
                <c:pt idx="204">
                  <c:v>5.5676845537520397E-3</c:v>
                </c:pt>
                <c:pt idx="205">
                  <c:v>5.9070168539420579E-3</c:v>
                </c:pt>
                <c:pt idx="206">
                  <c:v>6.2737473562256068E-3</c:v>
                </c:pt>
                <c:pt idx="207">
                  <c:v>6.6678715389531769E-3</c:v>
                </c:pt>
                <c:pt idx="208">
                  <c:v>7.089386661339965E-3</c:v>
                </c:pt>
                <c:pt idx="209">
                  <c:v>7.5382916781637811E-3</c:v>
                </c:pt>
                <c:pt idx="210">
                  <c:v>8.0145871546974962E-3</c:v>
                </c:pt>
                <c:pt idx="211">
                  <c:v>8.5515729593275674E-3</c:v>
                </c:pt>
                <c:pt idx="212">
                  <c:v>9.1410193625760319E-3</c:v>
                </c:pt>
                <c:pt idx="213">
                  <c:v>9.782922796403833E-3</c:v>
                </c:pt>
                <c:pt idx="214">
                  <c:v>1.0477282654013908E-2</c:v>
                </c:pt>
                <c:pt idx="215">
                  <c:v>1.1224101126790795E-2</c:v>
                </c:pt>
                <c:pt idx="216">
                  <c:v>1.2023383041209416E-2</c:v>
                </c:pt>
                <c:pt idx="217">
                  <c:v>1.2875135695791086E-2</c:v>
                </c:pt>
                <c:pt idx="218">
                  <c:v>1.377936869800047E-2</c:v>
                </c:pt>
                <c:pt idx="219">
                  <c:v>1.4760034286113053E-2</c:v>
                </c:pt>
                <c:pt idx="220">
                  <c:v>1.5797935359758555E-2</c:v>
                </c:pt>
                <c:pt idx="221">
                  <c:v>1.6893087512519202E-2</c:v>
                </c:pt>
                <c:pt idx="222">
                  <c:v>1.8045508221362843E-2</c:v>
                </c:pt>
                <c:pt idx="223">
                  <c:v>1.9255216669126555E-2</c:v>
                </c:pt>
                <c:pt idx="224">
                  <c:v>2.0522233566624675E-2</c:v>
                </c:pt>
                <c:pt idx="225">
                  <c:v>2.1841926482692925E-2</c:v>
                </c:pt>
                <c:pt idx="226">
                  <c:v>2.3181054129574139E-2</c:v>
                </c:pt>
                <c:pt idx="227">
                  <c:v>2.4539640068970674E-2</c:v>
                </c:pt>
                <c:pt idx="228">
                  <c:v>2.5917707052149252E-2</c:v>
                </c:pt>
                <c:pt idx="229">
                  <c:v>2.7315276959736082E-2</c:v>
                </c:pt>
                <c:pt idx="230">
                  <c:v>2.8732370741873643E-2</c:v>
                </c:pt>
                <c:pt idx="231">
                  <c:v>3.0169008358516342E-2</c:v>
                </c:pt>
                <c:pt idx="232">
                  <c:v>3.1625208719116095E-2</c:v>
                </c:pt>
                <c:pt idx="233">
                  <c:v>3.3086116974950369E-2</c:v>
                </c:pt>
                <c:pt idx="234">
                  <c:v>3.4527806368187398E-2</c:v>
                </c:pt>
                <c:pt idx="235">
                  <c:v>3.5950314839084709E-2</c:v>
                </c:pt>
                <c:pt idx="236">
                  <c:v>3.7353694619683221E-2</c:v>
                </c:pt>
                <c:pt idx="237">
                  <c:v>3.8737976833564426E-2</c:v>
                </c:pt>
                <c:pt idx="238">
                  <c:v>4.0103192788854637E-2</c:v>
                </c:pt>
                <c:pt idx="239">
                  <c:v>4.1428772831254242E-2</c:v>
                </c:pt>
                <c:pt idx="240">
                  <c:v>4.2719400533160777E-2</c:v>
                </c:pt>
                <c:pt idx="241">
                  <c:v>4.3975102454444949E-2</c:v>
                </c:pt>
                <c:pt idx="242">
                  <c:v>4.5195904451854375E-2</c:v>
                </c:pt>
                <c:pt idx="243">
                  <c:v>4.638183161679265E-2</c:v>
                </c:pt>
                <c:pt idx="244">
                  <c:v>4.7532908212886998E-2</c:v>
                </c:pt>
                <c:pt idx="245">
                  <c:v>4.8649157613064369E-2</c:v>
                </c:pt>
                <c:pt idx="246">
                  <c:v>4.9730602236503947E-2</c:v>
                </c:pt>
                <c:pt idx="247">
                  <c:v>5.0755760541958461E-2</c:v>
                </c:pt>
                <c:pt idx="248">
                  <c:v>5.1739537546157226E-2</c:v>
                </c:pt>
                <c:pt idx="249">
                  <c:v>5.2681948623389541E-2</c:v>
                </c:pt>
                <c:pt idx="250">
                  <c:v>5.3583007567824525E-2</c:v>
                </c:pt>
                <c:pt idx="251">
                  <c:v>5.4442726520635108E-2</c:v>
                </c:pt>
                <c:pt idx="252">
                  <c:v>5.5261115894899043E-2</c:v>
                </c:pt>
                <c:pt idx="253">
                  <c:v>5.6013801385084515E-2</c:v>
                </c:pt>
                <c:pt idx="254">
                  <c:v>5.6721420974925989E-2</c:v>
                </c:pt>
                <c:pt idx="255">
                  <c:v>5.7383976249724446E-2</c:v>
                </c:pt>
                <c:pt idx="256">
                  <c:v>5.8001466525292762E-2</c:v>
                </c:pt>
                <c:pt idx="257">
                  <c:v>5.857388876661155E-2</c:v>
                </c:pt>
                <c:pt idx="258">
                  <c:v>5.9101237507025117E-2</c:v>
                </c:pt>
                <c:pt idx="259">
                  <c:v>5.9583504768265787E-2</c:v>
                </c:pt>
                <c:pt idx="260">
                  <c:v>6.0020679978685716E-2</c:v>
                </c:pt>
                <c:pt idx="261">
                  <c:v>6.0379836579071776E-2</c:v>
                </c:pt>
                <c:pt idx="262">
                  <c:v>6.0682504059866277E-2</c:v>
                </c:pt>
                <c:pt idx="263">
                  <c:v>6.0928652067023976E-2</c:v>
                </c:pt>
                <c:pt idx="264">
                  <c:v>6.1118249456733907E-2</c:v>
                </c:pt>
                <c:pt idx="265">
                  <c:v>6.1251589502318904E-2</c:v>
                </c:pt>
                <c:pt idx="266">
                  <c:v>6.1328801872348654E-2</c:v>
                </c:pt>
                <c:pt idx="267">
                  <c:v>6.1381941779230509E-2</c:v>
                </c:pt>
                <c:pt idx="268">
                  <c:v>6.1435403900822132E-2</c:v>
                </c:pt>
                <c:pt idx="269">
                  <c:v>6.1489121191912827E-2</c:v>
                </c:pt>
                <c:pt idx="270">
                  <c:v>6.1543026399755264E-2</c:v>
                </c:pt>
                <c:pt idx="271">
                  <c:v>6.1597052071578708E-2</c:v>
                </c:pt>
                <c:pt idx="272">
                  <c:v>6.1651130563799748E-2</c:v>
                </c:pt>
                <c:pt idx="273">
                  <c:v>6.1705194050455547E-2</c:v>
                </c:pt>
                <c:pt idx="274">
                  <c:v>6.1759174532444054E-2</c:v>
                </c:pt>
                <c:pt idx="275">
                  <c:v>6.1924722128802297E-2</c:v>
                </c:pt>
                <c:pt idx="276">
                  <c:v>6.2235044674095651E-2</c:v>
                </c:pt>
                <c:pt idx="277">
                  <c:v>6.269029361483601E-2</c:v>
                </c:pt>
                <c:pt idx="278">
                  <c:v>6.3290625709719522E-2</c:v>
                </c:pt>
                <c:pt idx="279">
                  <c:v>6.403620144835577E-2</c:v>
                </c:pt>
                <c:pt idx="280">
                  <c:v>6.4927183470593591E-2</c:v>
                </c:pt>
                <c:pt idx="281">
                  <c:v>6.6030937232584672E-2</c:v>
                </c:pt>
                <c:pt idx="282">
                  <c:v>6.7315320631010381E-2</c:v>
                </c:pt>
                <c:pt idx="283">
                  <c:v>6.8780548160379332E-2</c:v>
                </c:pt>
                <c:pt idx="284">
                  <c:v>7.0426829898837459E-2</c:v>
                </c:pt>
                <c:pt idx="285">
                  <c:v>7.2254369545884503E-2</c:v>
                </c:pt>
                <c:pt idx="286">
                  <c:v>7.4263362460762136E-2</c:v>
                </c:pt>
                <c:pt idx="287">
                  <c:v>7.645399370015904E-2</c:v>
                </c:pt>
                <c:pt idx="288">
                  <c:v>7.8826436056175272E-2</c:v>
                </c:pt>
                <c:pt idx="289">
                  <c:v>8.1414832765682912E-2</c:v>
                </c:pt>
                <c:pt idx="290">
                  <c:v>8.4106796875869305E-2</c:v>
                </c:pt>
                <c:pt idx="291">
                  <c:v>8.6902335855071525E-2</c:v>
                </c:pt>
                <c:pt idx="292">
                  <c:v>8.9801440902558108E-2</c:v>
                </c:pt>
                <c:pt idx="293">
                  <c:v>9.2804085842852935E-2</c:v>
                </c:pt>
                <c:pt idx="294">
                  <c:v>9.5910226019751063E-2</c:v>
                </c:pt>
                <c:pt idx="295">
                  <c:v>9.9136925767468798E-2</c:v>
                </c:pt>
                <c:pt idx="296">
                  <c:v>0.10241765968925294</c:v>
                </c:pt>
                <c:pt idx="297">
                  <c:v>0.10575326763492267</c:v>
                </c:pt>
                <c:pt idx="298">
                  <c:v>0.10914378579523293</c:v>
                </c:pt>
                <c:pt idx="299">
                  <c:v>0.11258923991568877</c:v>
                </c:pt>
                <c:pt idx="300">
                  <c:v>0.11608964482357394</c:v>
                </c:pt>
                <c:pt idx="301">
                  <c:v>0.11964500395465349</c:v>
                </c:pt>
                <c:pt idx="302">
                  <c:v>0.12325530888012641</c:v>
                </c:pt>
                <c:pt idx="303">
                  <c:v>0.12688039115224778</c:v>
                </c:pt>
                <c:pt idx="304">
                  <c:v>0.13048593397603664</c:v>
                </c:pt>
                <c:pt idx="305">
                  <c:v>0.13407178437590636</c:v>
                </c:pt>
                <c:pt idx="306">
                  <c:v>0.13763777645473055</c:v>
                </c:pt>
                <c:pt idx="307">
                  <c:v>0.1411837316055593</c:v>
                </c:pt>
                <c:pt idx="308">
                  <c:v>0.14470945872216004</c:v>
                </c:pt>
                <c:pt idx="309">
                  <c:v>0.14814925330595477</c:v>
                </c:pt>
                <c:pt idx="310">
                  <c:v>0.15148557093854509</c:v>
                </c:pt>
                <c:pt idx="311">
                  <c:v>0.15471807338321913</c:v>
                </c:pt>
                <c:pt idx="312">
                  <c:v>0.15784641448807232</c:v>
                </c:pt>
                <c:pt idx="313">
                  <c:v>0.16087024115763957</c:v>
                </c:pt>
                <c:pt idx="314">
                  <c:v>0.16378919432310701</c:v>
                </c:pt>
                <c:pt idx="315">
                  <c:v>0.16660290991453153</c:v>
                </c:pt>
                <c:pt idx="316">
                  <c:v>0.16931101983057026</c:v>
                </c:pt>
                <c:pt idx="317">
                  <c:v>0.17183365083699628</c:v>
                </c:pt>
                <c:pt idx="318">
                  <c:v>0.17421075391892574</c:v>
                </c:pt>
                <c:pt idx="319">
                  <c:v>0.17644191470155005</c:v>
                </c:pt>
                <c:pt idx="320">
                  <c:v>0.17852672231832187</c:v>
                </c:pt>
                <c:pt idx="321">
                  <c:v>0.1804647707401722</c:v>
                </c:pt>
                <c:pt idx="322">
                  <c:v>0.18225566010553154</c:v>
                </c:pt>
                <c:pt idx="323">
                  <c:v>0.18389103750251823</c:v>
                </c:pt>
                <c:pt idx="324">
                  <c:v>0.18543639394794528</c:v>
                </c:pt>
                <c:pt idx="325">
                  <c:v>0.18689139215552297</c:v>
                </c:pt>
                <c:pt idx="326">
                  <c:v>0.18825452828818801</c:v>
                </c:pt>
                <c:pt idx="327">
                  <c:v>0.18952505829282573</c:v>
                </c:pt>
                <c:pt idx="328">
                  <c:v>0.19070321549806799</c:v>
                </c:pt>
                <c:pt idx="329">
                  <c:v>0.19178925735889371</c:v>
                </c:pt>
                <c:pt idx="330">
                  <c:v>0.19278346362940479</c:v>
                </c:pt>
                <c:pt idx="331">
                  <c:v>0.19369934220628826</c:v>
                </c:pt>
                <c:pt idx="332">
                  <c:v>0.19461701861730832</c:v>
                </c:pt>
                <c:pt idx="333">
                  <c:v>0.19553685055800288</c:v>
                </c:pt>
                <c:pt idx="334">
                  <c:v>0.19645920269858555</c:v>
                </c:pt>
                <c:pt idx="335">
                  <c:v>0.19738444679443812</c:v>
                </c:pt>
                <c:pt idx="336">
                  <c:v>0.19831296179404026</c:v>
                </c:pt>
                <c:pt idx="337">
                  <c:v>0.19920418756931343</c:v>
                </c:pt>
                <c:pt idx="338">
                  <c:v>0.20006649081788738</c:v>
                </c:pt>
                <c:pt idx="339">
                  <c:v>0.20090027076727865</c:v>
                </c:pt>
                <c:pt idx="340">
                  <c:v>0.20170593434656214</c:v>
                </c:pt>
                <c:pt idx="341">
                  <c:v>0.2024838956104906</c:v>
                </c:pt>
                <c:pt idx="342">
                  <c:v>0.20323457516347163</c:v>
                </c:pt>
                <c:pt idx="343">
                  <c:v>0.20395839958109632</c:v>
                </c:pt>
                <c:pt idx="344">
                  <c:v>0.20465580083484436</c:v>
                </c:pt>
                <c:pt idx="345">
                  <c:v>0.20532721571465049</c:v>
                </c:pt>
                <c:pt idx="346">
                  <c:v>0.20593208324505785</c:v>
                </c:pt>
                <c:pt idx="347">
                  <c:v>0.20647083995376272</c:v>
                </c:pt>
                <c:pt idx="348">
                  <c:v>0.20694392188140701</c:v>
                </c:pt>
                <c:pt idx="349">
                  <c:v>0.20735176315087264</c:v>
                </c:pt>
                <c:pt idx="350">
                  <c:v>0.20769479454141862</c:v>
                </c:pt>
                <c:pt idx="351">
                  <c:v>0.20794564265869217</c:v>
                </c:pt>
                <c:pt idx="352">
                  <c:v>0.20814569904289096</c:v>
                </c:pt>
                <c:pt idx="353">
                  <c:v>0.20829538108436216</c:v>
                </c:pt>
                <c:pt idx="354">
                  <c:v>0.20839509902038719</c:v>
                </c:pt>
                <c:pt idx="355">
                  <c:v>0.20844525476960188</c:v>
                </c:pt>
                <c:pt idx="356">
                  <c:v>0.20844638482536848</c:v>
                </c:pt>
                <c:pt idx="357">
                  <c:v>0.20839840651768859</c:v>
                </c:pt>
                <c:pt idx="358">
                  <c:v>0.20830072504892494</c:v>
                </c:pt>
                <c:pt idx="359">
                  <c:v>0.20815273732823558</c:v>
                </c:pt>
                <c:pt idx="360">
                  <c:v>0.20791275441970472</c:v>
                </c:pt>
                <c:pt idx="361">
                  <c:v>0.20760798990906626</c:v>
                </c:pt>
                <c:pt idx="362">
                  <c:v>0.20723780530191158</c:v>
                </c:pt>
                <c:pt idx="363">
                  <c:v>0.20680155864778779</c:v>
                </c:pt>
                <c:pt idx="364">
                  <c:v>0.20629860630813293</c:v>
                </c:pt>
                <c:pt idx="365">
                  <c:v>0.20572830472163448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0.33220571554611583</c:v>
                </c:pt>
                <c:pt idx="1">
                  <c:v>0.33063726018727219</c:v>
                </c:pt>
                <c:pt idx="2">
                  <c:v>0.32884760576026023</c:v>
                </c:pt>
                <c:pt idx="3">
                  <c:v>0.32683556642863038</c:v>
                </c:pt>
                <c:pt idx="4">
                  <c:v>0.32459997277068237</c:v>
                </c:pt>
                <c:pt idx="5">
                  <c:v>0.3221396774306815</c:v>
                </c:pt>
                <c:pt idx="6">
                  <c:v>0.31945356077419612</c:v>
                </c:pt>
                <c:pt idx="7">
                  <c:v>0.3165405365361364</c:v>
                </c:pt>
                <c:pt idx="8">
                  <c:v>0.31339955747338016</c:v>
                </c:pt>
                <c:pt idx="9">
                  <c:v>0.31016427326082291</c:v>
                </c:pt>
                <c:pt idx="10">
                  <c:v>0.3069836270859157</c:v>
                </c:pt>
                <c:pt idx="11">
                  <c:v>0.30385707012770996</c:v>
                </c:pt>
                <c:pt idx="12">
                  <c:v>0.30078408065923551</c:v>
                </c:pt>
                <c:pt idx="13">
                  <c:v>0.29776416247071452</c:v>
                </c:pt>
                <c:pt idx="14">
                  <c:v>0.29479684328769878</c:v>
                </c:pt>
                <c:pt idx="15">
                  <c:v>0.29194576138392664</c:v>
                </c:pt>
                <c:pt idx="16">
                  <c:v>0.28928335256175108</c:v>
                </c:pt>
                <c:pt idx="17">
                  <c:v>0.28680930748378924</c:v>
                </c:pt>
                <c:pt idx="18">
                  <c:v>0.28452330535568165</c:v>
                </c:pt>
                <c:pt idx="19">
                  <c:v>0.28242658421814187</c:v>
                </c:pt>
                <c:pt idx="20">
                  <c:v>0.28052102481788732</c:v>
                </c:pt>
                <c:pt idx="21">
                  <c:v>0.2788072281776009</c:v>
                </c:pt>
                <c:pt idx="22">
                  <c:v>0.27728575649614706</c:v>
                </c:pt>
                <c:pt idx="23">
                  <c:v>0.27583422579538869</c:v>
                </c:pt>
                <c:pt idx="24">
                  <c:v>0.27431792695949681</c:v>
                </c:pt>
                <c:pt idx="25">
                  <c:v>0.27273728420770393</c:v>
                </c:pt>
                <c:pt idx="26">
                  <c:v>0.27109272087065578</c:v>
                </c:pt>
                <c:pt idx="27">
                  <c:v>0.26938465865335104</c:v>
                </c:pt>
                <c:pt idx="28">
                  <c:v>0.26761351690395724</c:v>
                </c:pt>
                <c:pt idx="29">
                  <c:v>0.2656276327952895</c:v>
                </c:pt>
                <c:pt idx="30">
                  <c:v>0.26336323471151235</c:v>
                </c:pt>
                <c:pt idx="31">
                  <c:v>0.26082075915162772</c:v>
                </c:pt>
                <c:pt idx="32">
                  <c:v>0.25800065077622208</c:v>
                </c:pt>
                <c:pt idx="33">
                  <c:v>0.25490335896895505</c:v>
                </c:pt>
                <c:pt idx="34">
                  <c:v>0.25152933439923425</c:v>
                </c:pt>
                <c:pt idx="35">
                  <c:v>0.24787902558464037</c:v>
                </c:pt>
                <c:pt idx="36">
                  <c:v>0.243952875452813</c:v>
                </c:pt>
                <c:pt idx="37">
                  <c:v>0.23978254974614979</c:v>
                </c:pt>
                <c:pt idx="38">
                  <c:v>0.23549132764373984</c:v>
                </c:pt>
                <c:pt idx="39">
                  <c:v>0.23107957367465992</c:v>
                </c:pt>
                <c:pt idx="40">
                  <c:v>0.22654763229730024</c:v>
                </c:pt>
                <c:pt idx="41">
                  <c:v>0.22189582639021757</c:v>
                </c:pt>
                <c:pt idx="42">
                  <c:v>0.21712445574131914</c:v>
                </c:pt>
                <c:pt idx="43">
                  <c:v>0.21229030791365122</c:v>
                </c:pt>
                <c:pt idx="44">
                  <c:v>0.20754553575223453</c:v>
                </c:pt>
                <c:pt idx="45">
                  <c:v>0.20289031455287965</c:v>
                </c:pt>
                <c:pt idx="46">
                  <c:v>0.19832479895428737</c:v>
                </c:pt>
                <c:pt idx="47">
                  <c:v>0.19384912403734567</c:v>
                </c:pt>
                <c:pt idx="48">
                  <c:v>0.18946340642175122</c:v>
                </c:pt>
                <c:pt idx="49">
                  <c:v>0.18516774536445924</c:v>
                </c:pt>
                <c:pt idx="50">
                  <c:v>0.1809622238569378</c:v>
                </c:pt>
                <c:pt idx="51">
                  <c:v>0.17678763008247023</c:v>
                </c:pt>
                <c:pt idx="52">
                  <c:v>0.17261186740523449</c:v>
                </c:pt>
                <c:pt idx="53">
                  <c:v>0.16843393143441729</c:v>
                </c:pt>
                <c:pt idx="54">
                  <c:v>0.16425372081492898</c:v>
                </c:pt>
                <c:pt idx="55">
                  <c:v>0.16007114032700887</c:v>
                </c:pt>
                <c:pt idx="56">
                  <c:v>0.15588610089649271</c:v>
                </c:pt>
                <c:pt idx="57">
                  <c:v>0.1517597884143837</c:v>
                </c:pt>
                <c:pt idx="58">
                  <c:v>0.1476356390818068</c:v>
                </c:pt>
                <c:pt idx="59">
                  <c:v>0.14351358260218802</c:v>
                </c:pt>
                <c:pt idx="60">
                  <c:v>0.13939355479395879</c:v>
                </c:pt>
                <c:pt idx="61">
                  <c:v>0.13527549758324131</c:v>
                </c:pt>
                <c:pt idx="62">
                  <c:v>0.13115935899632822</c:v>
                </c:pt>
                <c:pt idx="63">
                  <c:v>0.12704509315257242</c:v>
                </c:pt>
                <c:pt idx="64">
                  <c:v>0.12293266025674092</c:v>
                </c:pt>
                <c:pt idx="65">
                  <c:v>0.11900190778402529</c:v>
                </c:pt>
                <c:pt idx="66">
                  <c:v>0.11531209196670127</c:v>
                </c:pt>
                <c:pt idx="67">
                  <c:v>0.11186319102785641</c:v>
                </c:pt>
                <c:pt idx="68">
                  <c:v>0.10865518567051836</c:v>
                </c:pt>
                <c:pt idx="69">
                  <c:v>0.10568805818515559</c:v>
                </c:pt>
                <c:pt idx="70">
                  <c:v>0.10296179155771806</c:v>
                </c:pt>
                <c:pt idx="71">
                  <c:v>0.10053550488278751</c:v>
                </c:pt>
                <c:pt idx="72">
                  <c:v>9.8347907422522404E-2</c:v>
                </c:pt>
                <c:pt idx="73">
                  <c:v>9.6398978275633304E-2</c:v>
                </c:pt>
                <c:pt idx="74">
                  <c:v>9.4688693638156851E-2</c:v>
                </c:pt>
                <c:pt idx="75">
                  <c:v>9.3217025919369256E-2</c:v>
                </c:pt>
                <c:pt idx="76">
                  <c:v>9.1983942857400317E-2</c:v>
                </c:pt>
                <c:pt idx="77">
                  <c:v>9.098940663515552E-2</c:v>
                </c:pt>
                <c:pt idx="78">
                  <c:v>9.0233375991766826E-2</c:v>
                </c:pt>
                <c:pt idx="79">
                  <c:v>8.9680661665253167E-2</c:v>
                </c:pt>
                <c:pt idx="80">
                  <c:v>8.9151624624564205E-2</c:v>
                </c:pt>
                <c:pt idx="81">
                  <c:v>8.864623322491523E-2</c:v>
                </c:pt>
                <c:pt idx="82">
                  <c:v>8.8164456425794402E-2</c:v>
                </c:pt>
                <c:pt idx="83">
                  <c:v>8.7706263715186347E-2</c:v>
                </c:pt>
                <c:pt idx="84">
                  <c:v>8.7271625034090028E-2</c:v>
                </c:pt>
                <c:pt idx="85">
                  <c:v>8.6831890799271852E-2</c:v>
                </c:pt>
                <c:pt idx="86">
                  <c:v>8.6327935054201041E-2</c:v>
                </c:pt>
                <c:pt idx="87">
                  <c:v>8.5759743671619273E-2</c:v>
                </c:pt>
                <c:pt idx="88">
                  <c:v>8.5127304088849651E-2</c:v>
                </c:pt>
                <c:pt idx="89">
                  <c:v>8.4430605513233711E-2</c:v>
                </c:pt>
                <c:pt idx="90">
                  <c:v>8.3669639127393017E-2</c:v>
                </c:pt>
                <c:pt idx="91">
                  <c:v>8.2844398294812951E-2</c:v>
                </c:pt>
                <c:pt idx="92">
                  <c:v>8.1954878765197456E-2</c:v>
                </c:pt>
                <c:pt idx="93">
                  <c:v>8.0975679837340331E-2</c:v>
                </c:pt>
                <c:pt idx="94">
                  <c:v>7.9942267302423944E-2</c:v>
                </c:pt>
                <c:pt idx="95">
                  <c:v>7.8854643066318036E-2</c:v>
                </c:pt>
                <c:pt idx="96">
                  <c:v>7.7712811961992825E-2</c:v>
                </c:pt>
                <c:pt idx="97">
                  <c:v>7.6516781923106805E-2</c:v>
                </c:pt>
                <c:pt idx="98">
                  <c:v>7.5266564156885554E-2</c:v>
                </c:pt>
                <c:pt idx="99">
                  <c:v>7.3935426512677607E-2</c:v>
                </c:pt>
                <c:pt idx="100">
                  <c:v>7.2551982151638703E-2</c:v>
                </c:pt>
                <c:pt idx="101">
                  <c:v>7.1116253009677888E-2</c:v>
                </c:pt>
                <c:pt idx="102">
                  <c:v>6.9628264944814042E-2</c:v>
                </c:pt>
                <c:pt idx="103">
                  <c:v>6.8088047903693036E-2</c:v>
                </c:pt>
                <c:pt idx="104">
                  <c:v>6.6495636089751814E-2</c:v>
                </c:pt>
                <c:pt idx="105">
                  <c:v>6.4851068129855707E-2</c:v>
                </c:pt>
                <c:pt idx="106">
                  <c:v>6.3154387241772206E-2</c:v>
                </c:pt>
                <c:pt idx="107">
                  <c:v>6.1383237208635373E-2</c:v>
                </c:pt>
                <c:pt idx="108">
                  <c:v>5.9563034300566954E-2</c:v>
                </c:pt>
                <c:pt idx="109">
                  <c:v>5.7693835472464129E-2</c:v>
                </c:pt>
                <c:pt idx="110">
                  <c:v>5.5775861647820231E-2</c:v>
                </c:pt>
                <c:pt idx="111">
                  <c:v>5.3809320433060193E-2</c:v>
                </c:pt>
                <c:pt idx="112">
                  <c:v>5.1794254842357002E-2</c:v>
                </c:pt>
                <c:pt idx="113">
                  <c:v>4.9749901521559732E-2</c:v>
                </c:pt>
                <c:pt idx="114">
                  <c:v>4.7702976815675896E-2</c:v>
                </c:pt>
                <c:pt idx="115">
                  <c:v>4.5653502780493231E-2</c:v>
                </c:pt>
                <c:pt idx="116">
                  <c:v>4.3601503352288219E-2</c:v>
                </c:pt>
                <c:pt idx="117">
                  <c:v>4.1547004355147014E-2</c:v>
                </c:pt>
                <c:pt idx="118">
                  <c:v>3.9490033507796458E-2</c:v>
                </c:pt>
                <c:pt idx="119">
                  <c:v>3.7430620430576607E-2</c:v>
                </c:pt>
                <c:pt idx="120">
                  <c:v>3.5368796652356184E-2</c:v>
                </c:pt>
                <c:pt idx="121">
                  <c:v>3.3349811688680946E-2</c:v>
                </c:pt>
                <c:pt idx="122">
                  <c:v>3.1395995724190974E-2</c:v>
                </c:pt>
                <c:pt idx="123">
                  <c:v>2.950733074741943E-2</c:v>
                </c:pt>
                <c:pt idx="124">
                  <c:v>2.7683797762185713E-2</c:v>
                </c:pt>
                <c:pt idx="125">
                  <c:v>2.5925376646843384E-2</c:v>
                </c:pt>
                <c:pt idx="126">
                  <c:v>2.4232046013101523E-2</c:v>
                </c:pt>
                <c:pt idx="127">
                  <c:v>2.2643341445154258E-2</c:v>
                </c:pt>
                <c:pt idx="128">
                  <c:v>2.1140085414786885E-2</c:v>
                </c:pt>
                <c:pt idx="129">
                  <c:v>1.9722231614780126E-2</c:v>
                </c:pt>
                <c:pt idx="130">
                  <c:v>1.8389730838193882E-2</c:v>
                </c:pt>
                <c:pt idx="131">
                  <c:v>1.7142530792287402E-2</c:v>
                </c:pt>
                <c:pt idx="132">
                  <c:v>1.5980575912677059E-2</c:v>
                </c:pt>
                <c:pt idx="133">
                  <c:v>1.4903807177589842E-2</c:v>
                </c:pt>
                <c:pt idx="134">
                  <c:v>1.3912161922008824E-2</c:v>
                </c:pt>
                <c:pt idx="135">
                  <c:v>1.3021903428650108E-2</c:v>
                </c:pt>
                <c:pt idx="136">
                  <c:v>1.2187941047359797E-2</c:v>
                </c:pt>
                <c:pt idx="137">
                  <c:v>1.1410233098246606E-2</c:v>
                </c:pt>
                <c:pt idx="138">
                  <c:v>1.0688735259587689E-2</c:v>
                </c:pt>
                <c:pt idx="139">
                  <c:v>1.0023400445375787E-2</c:v>
                </c:pt>
                <c:pt idx="140">
                  <c:v>9.4141786822398953E-3</c:v>
                </c:pt>
                <c:pt idx="141">
                  <c:v>8.8721272155920013E-3</c:v>
                </c:pt>
                <c:pt idx="142">
                  <c:v>8.3577907313594334E-3</c:v>
                </c:pt>
                <c:pt idx="143">
                  <c:v>7.8711208893198336E-3</c:v>
                </c:pt>
                <c:pt idx="144">
                  <c:v>7.4121198611218379E-3</c:v>
                </c:pt>
                <c:pt idx="145">
                  <c:v>6.9807840134502351E-3</c:v>
                </c:pt>
                <c:pt idx="146">
                  <c:v>6.5771042759214179E-3</c:v>
                </c:pt>
                <c:pt idx="147">
                  <c:v>6.2010665092292637E-3</c:v>
                </c:pt>
                <c:pt idx="148">
                  <c:v>5.8526518731108609E-3</c:v>
                </c:pt>
                <c:pt idx="149">
                  <c:v>5.544229815262868E-3</c:v>
                </c:pt>
                <c:pt idx="150">
                  <c:v>5.2595379252864212E-3</c:v>
                </c:pt>
                <c:pt idx="151">
                  <c:v>4.99855191381558E-3</c:v>
                </c:pt>
                <c:pt idx="152">
                  <c:v>4.7612445423143327E-3</c:v>
                </c:pt>
                <c:pt idx="153">
                  <c:v>4.547585939416488E-3</c:v>
                </c:pt>
                <c:pt idx="154">
                  <c:v>4.357543917294854E-3</c:v>
                </c:pt>
                <c:pt idx="155">
                  <c:v>4.1944365180879286E-3</c:v>
                </c:pt>
                <c:pt idx="156">
                  <c:v>4.0472042589145664E-3</c:v>
                </c:pt>
                <c:pt idx="157">
                  <c:v>3.915824441784203E-3</c:v>
                </c:pt>
                <c:pt idx="158">
                  <c:v>3.800273389849191E-3</c:v>
                </c:pt>
                <c:pt idx="159">
                  <c:v>3.7005266598956507E-3</c:v>
                </c:pt>
                <c:pt idx="160">
                  <c:v>3.6165592548821333E-3</c:v>
                </c:pt>
                <c:pt idx="161">
                  <c:v>3.5483458364344886E-3</c:v>
                </c:pt>
                <c:pt idx="162">
                  <c:v>3.495860937361765E-3</c:v>
                </c:pt>
                <c:pt idx="163">
                  <c:v>3.4600521071271348E-3</c:v>
                </c:pt>
                <c:pt idx="164">
                  <c:v>3.4286147185789272E-3</c:v>
                </c:pt>
                <c:pt idx="165">
                  <c:v>3.4015448318870703E-3</c:v>
                </c:pt>
                <c:pt idx="166">
                  <c:v>3.3788385750785337E-3</c:v>
                </c:pt>
                <c:pt idx="167">
                  <c:v>3.3604922025954401E-3</c:v>
                </c:pt>
                <c:pt idx="168">
                  <c:v>3.3465021539618414E-3</c:v>
                </c:pt>
                <c:pt idx="169">
                  <c:v>3.3378345989353597E-3</c:v>
                </c:pt>
                <c:pt idx="170">
                  <c:v>3.3311632226611237E-3</c:v>
                </c:pt>
                <c:pt idx="171">
                  <c:v>3.3264891673715716E-3</c:v>
                </c:pt>
                <c:pt idx="172">
                  <c:v>3.3238137468498074E-3</c:v>
                </c:pt>
                <c:pt idx="173">
                  <c:v>3.3231044904193045E-3</c:v>
                </c:pt>
                <c:pt idx="174">
                  <c:v>3.324327298558969E-3</c:v>
                </c:pt>
                <c:pt idx="175">
                  <c:v>3.3274811890369187E-3</c:v>
                </c:pt>
                <c:pt idx="176">
                  <c:v>3.3325651923988421E-3</c:v>
                </c:pt>
                <c:pt idx="177">
                  <c:v>3.3428882451344414E-3</c:v>
                </c:pt>
                <c:pt idx="178">
                  <c:v>3.3574794383137104E-3</c:v>
                </c:pt>
                <c:pt idx="179">
                  <c:v>3.3763344288951168E-3</c:v>
                </c:pt>
                <c:pt idx="180">
                  <c:v>3.3994489854639854E-3</c:v>
                </c:pt>
                <c:pt idx="181">
                  <c:v>3.4268190133119442E-3</c:v>
                </c:pt>
                <c:pt idx="182">
                  <c:v>3.4584405795457227E-3</c:v>
                </c:pt>
                <c:pt idx="183">
                  <c:v>3.5064654338942528E-3</c:v>
                </c:pt>
                <c:pt idx="184">
                  <c:v>3.5699104254617426E-3</c:v>
                </c:pt>
                <c:pt idx="185">
                  <c:v>3.6487566476770743E-3</c:v>
                </c:pt>
                <c:pt idx="186">
                  <c:v>3.7429859411154801E-3</c:v>
                </c:pt>
                <c:pt idx="187">
                  <c:v>3.8525809845121259E-3</c:v>
                </c:pt>
                <c:pt idx="188">
                  <c:v>3.9775253858005928E-3</c:v>
                </c:pt>
                <c:pt idx="189">
                  <c:v>4.1178037730338788E-3</c:v>
                </c:pt>
                <c:pt idx="190">
                  <c:v>4.2734018854706903E-3</c:v>
                </c:pt>
                <c:pt idx="191">
                  <c:v>4.4551202064146206E-3</c:v>
                </c:pt>
                <c:pt idx="192">
                  <c:v>4.6596467582994839E-3</c:v>
                </c:pt>
                <c:pt idx="193">
                  <c:v>4.8869624347222069E-3</c:v>
                </c:pt>
                <c:pt idx="194">
                  <c:v>5.1370501513174427E-3</c:v>
                </c:pt>
                <c:pt idx="195">
                  <c:v>5.4098949813322006E-3</c:v>
                </c:pt>
                <c:pt idx="196">
                  <c:v>5.7054842910163319E-3</c:v>
                </c:pt>
                <c:pt idx="197">
                  <c:v>6.0396264294327656E-3</c:v>
                </c:pt>
                <c:pt idx="198">
                  <c:v>6.4002180993634819E-3</c:v>
                </c:pt>
                <c:pt idx="199">
                  <c:v>6.7872514091515644E-3</c:v>
                </c:pt>
                <c:pt idx="200">
                  <c:v>7.2007216785552703E-3</c:v>
                </c:pt>
                <c:pt idx="201">
                  <c:v>7.6406275962795081E-3</c:v>
                </c:pt>
                <c:pt idx="202">
                  <c:v>8.1069713775304714E-3</c:v>
                </c:pt>
                <c:pt idx="203">
                  <c:v>8.5997589217500711E-3</c:v>
                </c:pt>
                <c:pt idx="204">
                  <c:v>9.1189852444469553E-3</c:v>
                </c:pt>
                <c:pt idx="205">
                  <c:v>9.7027694906927781E-3</c:v>
                </c:pt>
                <c:pt idx="206">
                  <c:v>1.0340327046862583E-2</c:v>
                </c:pt>
                <c:pt idx="207">
                  <c:v>1.1031646215555279E-2</c:v>
                </c:pt>
                <c:pt idx="208">
                  <c:v>1.1776718896252744E-2</c:v>
                </c:pt>
                <c:pt idx="209">
                  <c:v>1.2575540417960038E-2</c:v>
                </c:pt>
                <c:pt idx="210">
                  <c:v>1.3428109372234889E-2</c:v>
                </c:pt>
                <c:pt idx="211">
                  <c:v>1.4377889180759752E-2</c:v>
                </c:pt>
                <c:pt idx="212">
                  <c:v>1.5409103386042648E-2</c:v>
                </c:pt>
                <c:pt idx="213">
                  <c:v>1.6521750264596787E-2</c:v>
                </c:pt>
                <c:pt idx="214">
                  <c:v>1.7715832546543148E-2</c:v>
                </c:pt>
                <c:pt idx="215">
                  <c:v>1.8991357162431433E-2</c:v>
                </c:pt>
                <c:pt idx="216">
                  <c:v>2.0348334990009546E-2</c:v>
                </c:pt>
                <c:pt idx="217">
                  <c:v>2.1786780601072891E-2</c:v>
                </c:pt>
                <c:pt idx="218">
                  <c:v>2.3306712008213767E-2</c:v>
                </c:pt>
                <c:pt idx="219">
                  <c:v>2.4926547171766969E-2</c:v>
                </c:pt>
                <c:pt idx="220">
                  <c:v>2.6608252575481828E-2</c:v>
                </c:pt>
                <c:pt idx="221">
                  <c:v>2.8351858184768573E-2</c:v>
                </c:pt>
                <c:pt idx="222">
                  <c:v>3.0157395303225046E-2</c:v>
                </c:pt>
                <c:pt idx="223">
                  <c:v>3.2024896380976609E-2</c:v>
                </c:pt>
                <c:pt idx="224">
                  <c:v>3.39543948223828E-2</c:v>
                </c:pt>
                <c:pt idx="225">
                  <c:v>3.5924476660271681E-2</c:v>
                </c:pt>
                <c:pt idx="226">
                  <c:v>3.789175842201295E-2</c:v>
                </c:pt>
                <c:pt idx="227">
                  <c:v>3.9856273779139147E-2</c:v>
                </c:pt>
                <c:pt idx="228">
                  <c:v>4.1818053822017677E-2</c:v>
                </c:pt>
                <c:pt idx="229">
                  <c:v>4.37771270688996E-2</c:v>
                </c:pt>
                <c:pt idx="230">
                  <c:v>4.5733519475561833E-2</c:v>
                </c:pt>
                <c:pt idx="231">
                  <c:v>4.7687254445163446E-2</c:v>
                </c:pt>
                <c:pt idx="232">
                  <c:v>4.9638352837129092E-2</c:v>
                </c:pt>
                <c:pt idx="233">
                  <c:v>5.1561252137559778E-2</c:v>
                </c:pt>
                <c:pt idx="234">
                  <c:v>5.3437567091791614E-2</c:v>
                </c:pt>
                <c:pt idx="235">
                  <c:v>5.5267348123999104E-2</c:v>
                </c:pt>
                <c:pt idx="236">
                  <c:v>5.7050666223100101E-2</c:v>
                </c:pt>
                <c:pt idx="237">
                  <c:v>5.8787558543171747E-2</c:v>
                </c:pt>
                <c:pt idx="238">
                  <c:v>6.0478061557083178E-2</c:v>
                </c:pt>
                <c:pt idx="239">
                  <c:v>6.2097923498475531E-2</c:v>
                </c:pt>
                <c:pt idx="240">
                  <c:v>6.3668634802814553E-2</c:v>
                </c:pt>
                <c:pt idx="241">
                  <c:v>6.5190228034881906E-2</c:v>
                </c:pt>
                <c:pt idx="242">
                  <c:v>6.6662734598704337E-2</c:v>
                </c:pt>
                <c:pt idx="243">
                  <c:v>6.8086184650118245E-2</c:v>
                </c:pt>
                <c:pt idx="244">
                  <c:v>6.9460607009007094E-2</c:v>
                </c:pt>
                <c:pt idx="245">
                  <c:v>7.078602907081781E-2</c:v>
                </c:pt>
                <c:pt idx="246">
                  <c:v>7.2062476717910204E-2</c:v>
                </c:pt>
                <c:pt idx="247">
                  <c:v>7.326259537102138E-2</c:v>
                </c:pt>
                <c:pt idx="248">
                  <c:v>7.4412013622664711E-2</c:v>
                </c:pt>
                <c:pt idx="249">
                  <c:v>7.5510750695442899E-2</c:v>
                </c:pt>
                <c:pt idx="250">
                  <c:v>7.6558823830935263E-2</c:v>
                </c:pt>
                <c:pt idx="251">
                  <c:v>7.7556248200563449E-2</c:v>
                </c:pt>
                <c:pt idx="252">
                  <c:v>7.8503036813263274E-2</c:v>
                </c:pt>
                <c:pt idx="253">
                  <c:v>7.936522325929847E-2</c:v>
                </c:pt>
                <c:pt idx="254">
                  <c:v>8.0167135656962416E-2</c:v>
                </c:pt>
                <c:pt idx="255">
                  <c:v>8.0908772600850457E-2</c:v>
                </c:pt>
                <c:pt idx="256">
                  <c:v>8.1590129548742965E-2</c:v>
                </c:pt>
                <c:pt idx="257">
                  <c:v>8.2211198712803371E-2</c:v>
                </c:pt>
                <c:pt idx="258">
                  <c:v>8.2771968951541958E-2</c:v>
                </c:pt>
                <c:pt idx="259">
                  <c:v>8.3272425662935676E-2</c:v>
                </c:pt>
                <c:pt idx="260">
                  <c:v>8.3712550675032985E-2</c:v>
                </c:pt>
                <c:pt idx="261">
                  <c:v>8.4149035179460652E-2</c:v>
                </c:pt>
                <c:pt idx="262">
                  <c:v>8.4609373602710494E-2</c:v>
                </c:pt>
                <c:pt idx="263">
                  <c:v>8.5093615492571481E-2</c:v>
                </c:pt>
                <c:pt idx="264">
                  <c:v>8.5601816364139119E-2</c:v>
                </c:pt>
                <c:pt idx="265">
                  <c:v>8.6134495283547399E-2</c:v>
                </c:pt>
                <c:pt idx="266">
                  <c:v>8.6691957263494865E-2</c:v>
                </c:pt>
                <c:pt idx="267">
                  <c:v>8.7447010382877888E-2</c:v>
                </c:pt>
                <c:pt idx="268">
                  <c:v>8.8433941831975726E-2</c:v>
                </c:pt>
                <c:pt idx="269">
                  <c:v>8.9652973069519068E-2</c:v>
                </c:pt>
                <c:pt idx="270">
                  <c:v>9.1104343971889004E-2</c:v>
                </c:pt>
                <c:pt idx="271">
                  <c:v>9.2788310300889798E-2</c:v>
                </c:pt>
                <c:pt idx="272">
                  <c:v>9.4705141173954163E-2</c:v>
                </c:pt>
                <c:pt idx="273">
                  <c:v>9.6855116533194299E-2</c:v>
                </c:pt>
                <c:pt idx="274">
                  <c:v>9.9238524615674853E-2</c:v>
                </c:pt>
                <c:pt idx="275">
                  <c:v>0.10191474372727494</c:v>
                </c:pt>
                <c:pt idx="276">
                  <c:v>0.10482710429746273</c:v>
                </c:pt>
                <c:pt idx="277">
                  <c:v>0.10797590875934669</c:v>
                </c:pt>
                <c:pt idx="278">
                  <c:v>0.11136145754428266</c:v>
                </c:pt>
                <c:pt idx="279">
                  <c:v>0.11498404652850726</c:v>
                </c:pt>
                <c:pt idx="280">
                  <c:v>0.11884396448081656</c:v>
                </c:pt>
                <c:pt idx="281">
                  <c:v>0.12288415069300274</c:v>
                </c:pt>
                <c:pt idx="282">
                  <c:v>0.12693070361132444</c:v>
                </c:pt>
                <c:pt idx="283">
                  <c:v>0.13098351215144366</c:v>
                </c:pt>
                <c:pt idx="284">
                  <c:v>0.13504244781396205</c:v>
                </c:pt>
                <c:pt idx="285">
                  <c:v>0.13910736466291199</c:v>
                </c:pt>
                <c:pt idx="286">
                  <c:v>0.14317809930553624</c:v>
                </c:pt>
                <c:pt idx="287">
                  <c:v>0.14725447087076393</c:v>
                </c:pt>
                <c:pt idx="288">
                  <c:v>0.15133628098817545</c:v>
                </c:pt>
                <c:pt idx="289">
                  <c:v>0.1554781803404319</c:v>
                </c:pt>
                <c:pt idx="290">
                  <c:v>0.15962047756279535</c:v>
                </c:pt>
                <c:pt idx="291">
                  <c:v>0.16376291358630909</c:v>
                </c:pt>
                <c:pt idx="292">
                  <c:v>0.1679052117548239</c:v>
                </c:pt>
                <c:pt idx="293">
                  <c:v>0.17204707785512108</c:v>
                </c:pt>
                <c:pt idx="294">
                  <c:v>0.1761882001464419</c:v>
                </c:pt>
                <c:pt idx="295">
                  <c:v>0.18035866109665091</c:v>
                </c:pt>
                <c:pt idx="296">
                  <c:v>0.18461815886432117</c:v>
                </c:pt>
                <c:pt idx="297">
                  <c:v>0.18896818873793128</c:v>
                </c:pt>
                <c:pt idx="298">
                  <c:v>0.19340877586683355</c:v>
                </c:pt>
                <c:pt idx="299">
                  <c:v>0.1979399324840945</c:v>
                </c:pt>
                <c:pt idx="300">
                  <c:v>0.20256165711746613</c:v>
                </c:pt>
                <c:pt idx="301">
                  <c:v>0.2072739337997753</c:v>
                </c:pt>
                <c:pt idx="302">
                  <c:v>0.21207673127975504</c:v>
                </c:pt>
                <c:pt idx="303">
                  <c:v>0.21682152135616131</c:v>
                </c:pt>
                <c:pt idx="304">
                  <c:v>0.22145277164384733</c:v>
                </c:pt>
                <c:pt idx="305">
                  <c:v>0.22597010966275402</c:v>
                </c:pt>
                <c:pt idx="306">
                  <c:v>0.23037314692246014</c:v>
                </c:pt>
                <c:pt idx="307">
                  <c:v>0.23466148000881729</c:v>
                </c:pt>
                <c:pt idx="308">
                  <c:v>0.23883469166862706</c:v>
                </c:pt>
                <c:pt idx="309">
                  <c:v>0.24277198782861117</c:v>
                </c:pt>
                <c:pt idx="310">
                  <c:v>0.24644215421347485</c:v>
                </c:pt>
                <c:pt idx="311">
                  <c:v>0.24984453622911121</c:v>
                </c:pt>
                <c:pt idx="312">
                  <c:v>0.25297847661131706</c:v>
                </c:pt>
                <c:pt idx="313">
                  <c:v>0.25584331789893039</c:v>
                </c:pt>
                <c:pt idx="314">
                  <c:v>0.25843840490467967</c:v>
                </c:pt>
                <c:pt idx="315">
                  <c:v>0.26076308718923508</c:v>
                </c:pt>
                <c:pt idx="316">
                  <c:v>0.26281672153130026</c:v>
                </c:pt>
                <c:pt idx="317">
                  <c:v>0.2646617454074609</c:v>
                </c:pt>
                <c:pt idx="318">
                  <c:v>0.26644708028195951</c:v>
                </c:pt>
                <c:pt idx="319">
                  <c:v>0.26817235168782594</c:v>
                </c:pt>
                <c:pt idx="320">
                  <c:v>0.26983718374989368</c:v>
                </c:pt>
                <c:pt idx="321">
                  <c:v>0.27144119971349451</c:v>
                </c:pt>
                <c:pt idx="322">
                  <c:v>0.27298402247433212</c:v>
                </c:pt>
                <c:pt idx="323">
                  <c:v>0.27459836862427178</c:v>
                </c:pt>
                <c:pt idx="324">
                  <c:v>0.27640503940671807</c:v>
                </c:pt>
                <c:pt idx="325">
                  <c:v>0.27840384038038313</c:v>
                </c:pt>
                <c:pt idx="326">
                  <c:v>0.28059280251820934</c:v>
                </c:pt>
                <c:pt idx="327">
                  <c:v>0.28297104018363345</c:v>
                </c:pt>
                <c:pt idx="328">
                  <c:v>0.28553907002650941</c:v>
                </c:pt>
                <c:pt idx="329">
                  <c:v>0.28829739690470674</c:v>
                </c:pt>
                <c:pt idx="330">
                  <c:v>0.29124651797143597</c:v>
                </c:pt>
                <c:pt idx="331">
                  <c:v>0.29431503059403935</c:v>
                </c:pt>
                <c:pt idx="332">
                  <c:v>0.29744009812466793</c:v>
                </c:pt>
                <c:pt idx="333">
                  <c:v>0.3006221898092245</c:v>
                </c:pt>
                <c:pt idx="334">
                  <c:v>0.30386179477093084</c:v>
                </c:pt>
                <c:pt idx="335">
                  <c:v>0.30715942329020607</c:v>
                </c:pt>
                <c:pt idx="336">
                  <c:v>0.31051560808062045</c:v>
                </c:pt>
                <c:pt idx="337">
                  <c:v>0.31378268758066641</c:v>
                </c:pt>
                <c:pt idx="338">
                  <c:v>0.31682786809094216</c:v>
                </c:pt>
                <c:pt idx="339">
                  <c:v>0.31965173807321529</c:v>
                </c:pt>
                <c:pt idx="340">
                  <c:v>0.32225491583229454</c:v>
                </c:pt>
                <c:pt idx="341">
                  <c:v>0.32463804493987519</c:v>
                </c:pt>
                <c:pt idx="342">
                  <c:v>0.32680178965818646</c:v>
                </c:pt>
                <c:pt idx="343">
                  <c:v>0.32874683035970559</c:v>
                </c:pt>
                <c:pt idx="344">
                  <c:v>0.33047385895195797</c:v>
                </c:pt>
                <c:pt idx="345">
                  <c:v>0.33198357429888919</c:v>
                </c:pt>
                <c:pt idx="346">
                  <c:v>0.33330823289846612</c:v>
                </c:pt>
                <c:pt idx="347">
                  <c:v>0.33444854008331443</c:v>
                </c:pt>
                <c:pt idx="348">
                  <c:v>0.33540519716490408</c:v>
                </c:pt>
                <c:pt idx="349">
                  <c:v>0.33617889750929458</c:v>
                </c:pt>
                <c:pt idx="350">
                  <c:v>0.33677032262072676</c:v>
                </c:pt>
                <c:pt idx="351">
                  <c:v>0.33713972931606162</c:v>
                </c:pt>
                <c:pt idx="352">
                  <c:v>0.33743610226644316</c:v>
                </c:pt>
                <c:pt idx="353">
                  <c:v>0.33766012063842582</c:v>
                </c:pt>
                <c:pt idx="354">
                  <c:v>0.33781245320176417</c:v>
                </c:pt>
                <c:pt idx="355">
                  <c:v>0.33789375663339016</c:v>
                </c:pt>
                <c:pt idx="356">
                  <c:v>0.33790490735015993</c:v>
                </c:pt>
                <c:pt idx="357">
                  <c:v>0.33784577984182135</c:v>
                </c:pt>
                <c:pt idx="358">
                  <c:v>0.33771542005618688</c:v>
                </c:pt>
                <c:pt idx="359">
                  <c:v>0.33751286188560675</c:v>
                </c:pt>
                <c:pt idx="360">
                  <c:v>0.33708843125717558</c:v>
                </c:pt>
                <c:pt idx="361">
                  <c:v>0.33648148810267614</c:v>
                </c:pt>
                <c:pt idx="362">
                  <c:v>0.3356908968298668</c:v>
                </c:pt>
                <c:pt idx="363">
                  <c:v>0.33471550905216635</c:v>
                </c:pt>
                <c:pt idx="364">
                  <c:v>0.33355416843636004</c:v>
                </c:pt>
                <c:pt idx="365">
                  <c:v>0.33220571554611583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0.46423987531026545</c:v>
                </c:pt>
                <c:pt idx="1">
                  <c:v>0.46313615630294108</c:v>
                </c:pt>
                <c:pt idx="2">
                  <c:v>0.46183369599390955</c:v>
                </c:pt>
                <c:pt idx="3">
                  <c:v>0.46033100626535089</c:v>
                </c:pt>
                <c:pt idx="4">
                  <c:v>0.45862661142070982</c:v>
                </c:pt>
                <c:pt idx="5">
                  <c:v>0.45671905329273171</c:v>
                </c:pt>
                <c:pt idx="6">
                  <c:v>0.4546068963573407</c:v>
                </c:pt>
                <c:pt idx="7">
                  <c:v>0.45228873283719739</c:v>
                </c:pt>
                <c:pt idx="8">
                  <c:v>0.44976318781171254</c:v>
                </c:pt>
                <c:pt idx="9">
                  <c:v>0.44702224827384335</c:v>
                </c:pt>
                <c:pt idx="10">
                  <c:v>0.44418927166939731</c:v>
                </c:pt>
                <c:pt idx="11">
                  <c:v>0.44126315959479995</c:v>
                </c:pt>
                <c:pt idx="12">
                  <c:v>0.43824285325126228</c:v>
                </c:pt>
                <c:pt idx="13">
                  <c:v>0.43512733555592487</c:v>
                </c:pt>
                <c:pt idx="14">
                  <c:v>0.43191563324557425</c:v>
                </c:pt>
                <c:pt idx="15">
                  <c:v>0.42855190629056544</c:v>
                </c:pt>
                <c:pt idx="16">
                  <c:v>0.42511174569255289</c:v>
                </c:pt>
                <c:pt idx="17">
                  <c:v>0.42159434445111893</c:v>
                </c:pt>
                <c:pt idx="18">
                  <c:v>0.41799894390003695</c:v>
                </c:pt>
                <c:pt idx="19">
                  <c:v>0.41432714633751999</c:v>
                </c:pt>
                <c:pt idx="20">
                  <c:v>0.41058155642049304</c:v>
                </c:pt>
                <c:pt idx="21">
                  <c:v>0.40676294910002514</c:v>
                </c:pt>
                <c:pt idx="22">
                  <c:v>0.40287208924288986</c:v>
                </c:pt>
                <c:pt idx="23">
                  <c:v>0.39892023529740678</c:v>
                </c:pt>
                <c:pt idx="24">
                  <c:v>0.3949148339017014</c:v>
                </c:pt>
                <c:pt idx="25">
                  <c:v>0.39085661730142035</c:v>
                </c:pt>
                <c:pt idx="26">
                  <c:v>0.38674630271121629</c:v>
                </c:pt>
                <c:pt idx="27">
                  <c:v>0.38258459175447079</c:v>
                </c:pt>
                <c:pt idx="28">
                  <c:v>0.37837216991143002</c:v>
                </c:pt>
                <c:pt idx="29">
                  <c:v>0.37409028924748639</c:v>
                </c:pt>
                <c:pt idx="30">
                  <c:v>0.36979460661210012</c:v>
                </c:pt>
                <c:pt idx="31">
                  <c:v>0.36548575262728239</c:v>
                </c:pt>
                <c:pt idx="32">
                  <c:v>0.36116433710785811</c:v>
                </c:pt>
                <c:pt idx="33">
                  <c:v>0.35683094894935158</c:v>
                </c:pt>
                <c:pt idx="34">
                  <c:v>0.35248615601752897</c:v>
                </c:pt>
                <c:pt idx="35">
                  <c:v>0.34813050503758719</c:v>
                </c:pt>
                <c:pt idx="36">
                  <c:v>0.3437645214825979</c:v>
                </c:pt>
                <c:pt idx="37">
                  <c:v>0.33936576180358052</c:v>
                </c:pt>
                <c:pt idx="38">
                  <c:v>0.33492421386913046</c:v>
                </c:pt>
                <c:pt idx="39">
                  <c:v>0.33044034773156222</c:v>
                </c:pt>
                <c:pt idx="40">
                  <c:v>0.32591461182081022</c:v>
                </c:pt>
                <c:pt idx="41">
                  <c:v>0.32134743241670144</c:v>
                </c:pt>
                <c:pt idx="42">
                  <c:v>0.31673921311887127</c:v>
                </c:pt>
                <c:pt idx="43">
                  <c:v>0.31210467075928844</c:v>
                </c:pt>
                <c:pt idx="44">
                  <c:v>0.30746355459462771</c:v>
                </c:pt>
                <c:pt idx="45">
                  <c:v>0.30281618961678575</c:v>
                </c:pt>
                <c:pt idx="46">
                  <c:v>0.29816287741478259</c:v>
                </c:pt>
                <c:pt idx="47">
                  <c:v>0.29350389606940219</c:v>
                </c:pt>
                <c:pt idx="48">
                  <c:v>0.28883950004385117</c:v>
                </c:pt>
                <c:pt idx="49">
                  <c:v>0.28416992007714903</c:v>
                </c:pt>
                <c:pt idx="50">
                  <c:v>0.27949536307571382</c:v>
                </c:pt>
                <c:pt idx="51">
                  <c:v>0.27478143906895725</c:v>
                </c:pt>
                <c:pt idx="52">
                  <c:v>0.27004974859657138</c:v>
                </c:pt>
                <c:pt idx="53">
                  <c:v>0.26529875750222304</c:v>
                </c:pt>
                <c:pt idx="54">
                  <c:v>0.26052832352411487</c:v>
                </c:pt>
                <c:pt idx="55">
                  <c:v>0.25573831109518913</c:v>
                </c:pt>
                <c:pt idx="56">
                  <c:v>0.25092859141792317</c:v>
                </c:pt>
                <c:pt idx="57">
                  <c:v>0.24603266662670878</c:v>
                </c:pt>
                <c:pt idx="58">
                  <c:v>0.24103609036752691</c:v>
                </c:pt>
                <c:pt idx="59">
                  <c:v>0.23593875286648411</c:v>
                </c:pt>
                <c:pt idx="60">
                  <c:v>0.23074055120098039</c:v>
                </c:pt>
                <c:pt idx="61">
                  <c:v>0.22544138967325764</c:v>
                </c:pt>
                <c:pt idx="62">
                  <c:v>0.22004118018360663</c:v>
                </c:pt>
                <c:pt idx="63">
                  <c:v>0.21453984260425565</c:v>
                </c:pt>
                <c:pt idx="64">
                  <c:v>0.20893730515236544</c:v>
                </c:pt>
                <c:pt idx="65">
                  <c:v>0.2032778551165102</c:v>
                </c:pt>
                <c:pt idx="66">
                  <c:v>0.19759601336635235</c:v>
                </c:pt>
                <c:pt idx="67">
                  <c:v>0.19189173541848292</c:v>
                </c:pt>
                <c:pt idx="68">
                  <c:v>0.18616498547093432</c:v>
                </c:pt>
                <c:pt idx="69">
                  <c:v>0.18041573648403961</c:v>
                </c:pt>
                <c:pt idx="70">
                  <c:v>0.1746439702622187</c:v>
                </c:pt>
                <c:pt idx="71">
                  <c:v>0.16905871047494681</c:v>
                </c:pt>
                <c:pt idx="72">
                  <c:v>0.16372632519457309</c:v>
                </c:pt>
                <c:pt idx="73">
                  <c:v>0.1586468055991824</c:v>
                </c:pt>
                <c:pt idx="74">
                  <c:v>0.15382014424746471</c:v>
                </c:pt>
                <c:pt idx="75">
                  <c:v>0.14924633414156907</c:v>
                </c:pt>
                <c:pt idx="76">
                  <c:v>0.14492536778946502</c:v>
                </c:pt>
                <c:pt idx="77">
                  <c:v>0.14085723626780422</c:v>
                </c:pt>
                <c:pt idx="78">
                  <c:v>0.13704193283421678</c:v>
                </c:pt>
                <c:pt idx="79">
                  <c:v>0.1335867019691207</c:v>
                </c:pt>
                <c:pt idx="80">
                  <c:v>0.13044748966918707</c:v>
                </c:pt>
                <c:pt idx="81">
                  <c:v>0.12762421105678148</c:v>
                </c:pt>
                <c:pt idx="82">
                  <c:v>0.12511678435680199</c:v>
                </c:pt>
                <c:pt idx="83">
                  <c:v>0.12292512988521308</c:v>
                </c:pt>
                <c:pt idx="84">
                  <c:v>0.12104916903799577</c:v>
                </c:pt>
                <c:pt idx="85">
                  <c:v>0.11945626957340361</c:v>
                </c:pt>
                <c:pt idx="86">
                  <c:v>0.11793744838112875</c:v>
                </c:pt>
                <c:pt idx="87">
                  <c:v>0.1164926650750268</c:v>
                </c:pt>
                <c:pt idx="88">
                  <c:v>0.11512188013782226</c:v>
                </c:pt>
                <c:pt idx="89">
                  <c:v>0.11382505468356796</c:v>
                </c:pt>
                <c:pt idx="90">
                  <c:v>0.1126021502198654</c:v>
                </c:pt>
                <c:pt idx="91">
                  <c:v>0.11145312841052064</c:v>
                </c:pt>
                <c:pt idx="92">
                  <c:v>0.11037795083788972</c:v>
                </c:pt>
                <c:pt idx="93">
                  <c:v>0.10934729147787597</c:v>
                </c:pt>
                <c:pt idx="94">
                  <c:v>0.10825447804017839</c:v>
                </c:pt>
                <c:pt idx="95">
                  <c:v>0.10709950606288299</c:v>
                </c:pt>
                <c:pt idx="96">
                  <c:v>0.10588237431750629</c:v>
                </c:pt>
                <c:pt idx="97">
                  <c:v>0.10460308500781407</c:v>
                </c:pt>
                <c:pt idx="98">
                  <c:v>0.10326164396768028</c:v>
                </c:pt>
                <c:pt idx="99">
                  <c:v>0.10181561564068292</c:v>
                </c:pt>
                <c:pt idx="100">
                  <c:v>0.10029754313526262</c:v>
                </c:pt>
                <c:pt idx="101">
                  <c:v>9.8707448871624928E-2</c:v>
                </c:pt>
                <c:pt idx="102">
                  <c:v>9.7045360171330142E-2</c:v>
                </c:pt>
                <c:pt idx="103">
                  <c:v>9.5311309486356022E-2</c:v>
                </c:pt>
                <c:pt idx="104">
                  <c:v>9.3505334630450784E-2</c:v>
                </c:pt>
                <c:pt idx="105">
                  <c:v>9.1627479008363488E-2</c:v>
                </c:pt>
                <c:pt idx="106">
                  <c:v>8.9677791846240529E-2</c:v>
                </c:pt>
                <c:pt idx="107">
                  <c:v>8.7621860669589532E-2</c:v>
                </c:pt>
                <c:pt idx="108">
                  <c:v>8.5488997826739202E-2</c:v>
                </c:pt>
                <c:pt idx="109">
                  <c:v>8.327927531217269E-2</c:v>
                </c:pt>
                <c:pt idx="110">
                  <c:v>8.099300288118845E-2</c:v>
                </c:pt>
                <c:pt idx="111">
                  <c:v>7.8630476280995898E-2</c:v>
                </c:pt>
                <c:pt idx="112">
                  <c:v>7.6191754781724352E-2</c:v>
                </c:pt>
                <c:pt idx="113">
                  <c:v>7.3679835623418274E-2</c:v>
                </c:pt>
                <c:pt idx="114">
                  <c:v>7.1137122962497815E-2</c:v>
                </c:pt>
                <c:pt idx="115">
                  <c:v>6.856365922561293E-2</c:v>
                </c:pt>
                <c:pt idx="116">
                  <c:v>6.5959490032326887E-2</c:v>
                </c:pt>
                <c:pt idx="117">
                  <c:v>6.3324664264498606E-2</c:v>
                </c:pt>
                <c:pt idx="118">
                  <c:v>6.0659234134935867E-2</c:v>
                </c:pt>
                <c:pt idx="119">
                  <c:v>5.7963255256258284E-2</c:v>
                </c:pt>
                <c:pt idx="120">
                  <c:v>5.5236786709671228E-2</c:v>
                </c:pt>
                <c:pt idx="121">
                  <c:v>5.2509386267794368E-2</c:v>
                </c:pt>
                <c:pt idx="122">
                  <c:v>4.9815451062273815E-2</c:v>
                </c:pt>
                <c:pt idx="123">
                  <c:v>4.7154998983965669E-2</c:v>
                </c:pt>
                <c:pt idx="124">
                  <c:v>4.4528048917925972E-2</c:v>
                </c:pt>
                <c:pt idx="125">
                  <c:v>4.193462067278883E-2</c:v>
                </c:pt>
                <c:pt idx="126">
                  <c:v>3.9374734909466032E-2</c:v>
                </c:pt>
                <c:pt idx="127">
                  <c:v>3.6919963541142596E-2</c:v>
                </c:pt>
                <c:pt idx="128">
                  <c:v>3.4567340373358298E-2</c:v>
                </c:pt>
                <c:pt idx="129">
                  <c:v>3.231682162827574E-2</c:v>
                </c:pt>
                <c:pt idx="130">
                  <c:v>3.0168360559536814E-2</c:v>
                </c:pt>
                <c:pt idx="131">
                  <c:v>2.8121907230274513E-2</c:v>
                </c:pt>
                <c:pt idx="132">
                  <c:v>2.6177408291511706E-2</c:v>
                </c:pt>
                <c:pt idx="133">
                  <c:v>2.4334806760718312E-2</c:v>
                </c:pt>
                <c:pt idx="134">
                  <c:v>2.2594041800190087E-2</c:v>
                </c:pt>
                <c:pt idx="135">
                  <c:v>2.0999148915420818E-2</c:v>
                </c:pt>
                <c:pt idx="136">
                  <c:v>1.9520653470522276E-2</c:v>
                </c:pt>
                <c:pt idx="137">
                  <c:v>1.815846319413655E-2</c:v>
                </c:pt>
                <c:pt idx="138">
                  <c:v>1.6912480130770877E-2</c:v>
                </c:pt>
                <c:pt idx="139">
                  <c:v>1.5782600387209911E-2</c:v>
                </c:pt>
                <c:pt idx="140">
                  <c:v>1.4768713877933362E-2</c:v>
                </c:pt>
                <c:pt idx="141">
                  <c:v>1.3878983689818771E-2</c:v>
                </c:pt>
                <c:pt idx="142">
                  <c:v>1.3042051193553563E-2</c:v>
                </c:pt>
                <c:pt idx="143">
                  <c:v>1.2257829957159072E-2</c:v>
                </c:pt>
                <c:pt idx="144">
                  <c:v>1.1526311466044071E-2</c:v>
                </c:pt>
                <c:pt idx="145">
                  <c:v>1.0847476899395579E-2</c:v>
                </c:pt>
                <c:pt idx="146">
                  <c:v>1.0221297832073864E-2</c:v>
                </c:pt>
                <c:pt idx="147">
                  <c:v>9.6477369368969806E-3</c:v>
                </c:pt>
                <c:pt idx="148">
                  <c:v>9.1267486866451527E-3</c:v>
                </c:pt>
                <c:pt idx="149">
                  <c:v>8.6727950403075755E-3</c:v>
                </c:pt>
                <c:pt idx="150">
                  <c:v>8.2420042185248517E-3</c:v>
                </c:pt>
                <c:pt idx="151">
                  <c:v>7.8343621614768016E-3</c:v>
                </c:pt>
                <c:pt idx="152">
                  <c:v>7.4498511238947421E-3</c:v>
                </c:pt>
                <c:pt idx="153">
                  <c:v>7.0884499819949126E-3</c:v>
                </c:pt>
                <c:pt idx="154">
                  <c:v>6.750134540457948E-3</c:v>
                </c:pt>
                <c:pt idx="155">
                  <c:v>6.4433507490537891E-3</c:v>
                </c:pt>
                <c:pt idx="156">
                  <c:v>6.1598428227097489E-3</c:v>
                </c:pt>
                <c:pt idx="157">
                  <c:v>5.8995786403947962E-3</c:v>
                </c:pt>
                <c:pt idx="158">
                  <c:v>5.6625242814851246E-3</c:v>
                </c:pt>
                <c:pt idx="159">
                  <c:v>5.4486443361817065E-3</c:v>
                </c:pt>
                <c:pt idx="160">
                  <c:v>5.2579022159996583E-3</c:v>
                </c:pt>
                <c:pt idx="161">
                  <c:v>5.0902604641918188E-3</c:v>
                </c:pt>
                <c:pt idx="162">
                  <c:v>4.9456810662040262E-3</c:v>
                </c:pt>
                <c:pt idx="163">
                  <c:v>4.828652154695497E-3</c:v>
                </c:pt>
                <c:pt idx="164">
                  <c:v>4.7247467374326299E-3</c:v>
                </c:pt>
                <c:pt idx="165">
                  <c:v>4.6339450754630668E-3</c:v>
                </c:pt>
                <c:pt idx="166">
                  <c:v>4.5562275641962482E-3</c:v>
                </c:pt>
                <c:pt idx="167">
                  <c:v>4.491574909598812E-3</c:v>
                </c:pt>
                <c:pt idx="168">
                  <c:v>4.439968304538057E-3</c:v>
                </c:pt>
                <c:pt idx="169">
                  <c:v>4.4058999658809798E-3</c:v>
                </c:pt>
                <c:pt idx="170">
                  <c:v>4.3809494186974598E-3</c:v>
                </c:pt>
                <c:pt idx="171">
                  <c:v>4.3651067911876645E-3</c:v>
                </c:pt>
                <c:pt idx="172">
                  <c:v>4.358363009634143E-3</c:v>
                </c:pt>
                <c:pt idx="173">
                  <c:v>4.3606653288509644E-3</c:v>
                </c:pt>
                <c:pt idx="174">
                  <c:v>4.3719592144595325E-3</c:v>
                </c:pt>
                <c:pt idx="175">
                  <c:v>4.392233594176149E-3</c:v>
                </c:pt>
                <c:pt idx="176">
                  <c:v>4.4214774550616785E-3</c:v>
                </c:pt>
                <c:pt idx="177">
                  <c:v>4.468045768962689E-3</c:v>
                </c:pt>
                <c:pt idx="178">
                  <c:v>4.5274256295927103E-3</c:v>
                </c:pt>
                <c:pt idx="179">
                  <c:v>4.5996007911544004E-3</c:v>
                </c:pt>
                <c:pt idx="180">
                  <c:v>4.684555373371529E-3</c:v>
                </c:pt>
                <c:pt idx="181">
                  <c:v>4.7822739369434092E-3</c:v>
                </c:pt>
                <c:pt idx="182">
                  <c:v>4.8927415590390043E-3</c:v>
                </c:pt>
                <c:pt idx="183">
                  <c:v>5.0301811576354957E-3</c:v>
                </c:pt>
                <c:pt idx="184">
                  <c:v>5.190082233995451E-3</c:v>
                </c:pt>
                <c:pt idx="185">
                  <c:v>5.3724183257287108E-3</c:v>
                </c:pt>
                <c:pt idx="186">
                  <c:v>5.5771642201944173E-3</c:v>
                </c:pt>
                <c:pt idx="187">
                  <c:v>5.8042960874576032E-3</c:v>
                </c:pt>
                <c:pt idx="188">
                  <c:v>6.0537916132853134E-3</c:v>
                </c:pt>
                <c:pt idx="189">
                  <c:v>6.3256301319657184E-3</c:v>
                </c:pt>
                <c:pt idx="190">
                  <c:v>6.619792759376554E-3</c:v>
                </c:pt>
                <c:pt idx="191">
                  <c:v>6.9443210458595521E-3</c:v>
                </c:pt>
                <c:pt idx="192">
                  <c:v>7.2908825267765766E-3</c:v>
                </c:pt>
                <c:pt idx="193">
                  <c:v>7.659465029727159E-3</c:v>
                </c:pt>
                <c:pt idx="194">
                  <c:v>8.0500586970530079E-3</c:v>
                </c:pt>
                <c:pt idx="195">
                  <c:v>8.4626561174499567E-3</c:v>
                </c:pt>
                <c:pt idx="196">
                  <c:v>8.8972524572915913E-3</c:v>
                </c:pt>
                <c:pt idx="197">
                  <c:v>9.3965653975125671E-3</c:v>
                </c:pt>
                <c:pt idx="198">
                  <c:v>9.9464038639799496E-3</c:v>
                </c:pt>
                <c:pt idx="199">
                  <c:v>1.0546745570312084E-2</c:v>
                </c:pt>
                <c:pt idx="200">
                  <c:v>1.1197574027730561E-2</c:v>
                </c:pt>
                <c:pt idx="201">
                  <c:v>1.1898878845610569E-2</c:v>
                </c:pt>
                <c:pt idx="202">
                  <c:v>1.2650656032066991E-2</c:v>
                </c:pt>
                <c:pt idx="203">
                  <c:v>1.3452908294820758E-2</c:v>
                </c:pt>
                <c:pt idx="204">
                  <c:v>1.4305622240461896E-2</c:v>
                </c:pt>
                <c:pt idx="205">
                  <c:v>1.5277742753604532E-2</c:v>
                </c:pt>
                <c:pt idx="206">
                  <c:v>1.6361203779359203E-2</c:v>
                </c:pt>
                <c:pt idx="207">
                  <c:v>1.7555972787854687E-2</c:v>
                </c:pt>
                <c:pt idx="208">
                  <c:v>1.8862024988486551E-2</c:v>
                </c:pt>
                <c:pt idx="209">
                  <c:v>2.0279342983578794E-2</c:v>
                </c:pt>
                <c:pt idx="210">
                  <c:v>2.180791642266848E-2</c:v>
                </c:pt>
                <c:pt idx="211">
                  <c:v>2.3476092428712719E-2</c:v>
                </c:pt>
                <c:pt idx="212">
                  <c:v>2.5241292488249353E-2</c:v>
                </c:pt>
                <c:pt idx="213">
                  <c:v>2.7103531786088014E-2</c:v>
                </c:pt>
                <c:pt idx="214">
                  <c:v>2.9062830151187893E-2</c:v>
                </c:pt>
                <c:pt idx="215">
                  <c:v>3.1119211754780714E-2</c:v>
                </c:pt>
                <c:pt idx="216">
                  <c:v>3.3272704808409943E-2</c:v>
                </c:pt>
                <c:pt idx="217">
                  <c:v>3.5523341262100751E-2</c:v>
                </c:pt>
                <c:pt idx="218">
                  <c:v>3.7871156502365326E-2</c:v>
                </c:pt>
                <c:pt idx="219">
                  <c:v>4.0319001516134059E-2</c:v>
                </c:pt>
                <c:pt idx="220">
                  <c:v>4.2798086537099454E-2</c:v>
                </c:pt>
                <c:pt idx="221">
                  <c:v>4.5308464372475425E-2</c:v>
                </c:pt>
                <c:pt idx="222">
                  <c:v>4.7850186472535132E-2</c:v>
                </c:pt>
                <c:pt idx="223">
                  <c:v>5.0423302834586479E-2</c:v>
                </c:pt>
                <c:pt idx="224">
                  <c:v>5.3027861905926066E-2</c:v>
                </c:pt>
                <c:pt idx="225">
                  <c:v>5.5630913585012737E-2</c:v>
                </c:pt>
                <c:pt idx="226">
                  <c:v>5.8204180694137041E-2</c:v>
                </c:pt>
                <c:pt idx="227">
                  <c:v>6.074770480017188E-2</c:v>
                </c:pt>
                <c:pt idx="228">
                  <c:v>6.3261522933243733E-2</c:v>
                </c:pt>
                <c:pt idx="229">
                  <c:v>6.5745667679871278E-2</c:v>
                </c:pt>
                <c:pt idx="230">
                  <c:v>6.8200167277018484E-2</c:v>
                </c:pt>
                <c:pt idx="231">
                  <c:v>7.0625045706454462E-2</c:v>
                </c:pt>
                <c:pt idx="232">
                  <c:v>7.3020322787660366E-2</c:v>
                </c:pt>
                <c:pt idx="233">
                  <c:v>7.5345419354709217E-2</c:v>
                </c:pt>
                <c:pt idx="234">
                  <c:v>7.7597528707982297E-2</c:v>
                </c:pt>
                <c:pt idx="235">
                  <c:v>7.9776715527760889E-2</c:v>
                </c:pt>
                <c:pt idx="236">
                  <c:v>8.188307291648847E-2</c:v>
                </c:pt>
                <c:pt idx="237">
                  <c:v>8.3916643989745146E-2</c:v>
                </c:pt>
                <c:pt idx="238">
                  <c:v>8.5877470314412854E-2</c:v>
                </c:pt>
                <c:pt idx="239">
                  <c:v>8.7737586224891487E-2</c:v>
                </c:pt>
                <c:pt idx="240">
                  <c:v>8.9530040658091517E-2</c:v>
                </c:pt>
                <c:pt idx="241">
                  <c:v>9.1254870583266437E-2</c:v>
                </c:pt>
                <c:pt idx="242">
                  <c:v>9.2912111112699688E-2</c:v>
                </c:pt>
                <c:pt idx="243">
                  <c:v>9.4501795381443723E-2</c:v>
                </c:pt>
                <c:pt idx="244">
                  <c:v>9.602395442658572E-2</c:v>
                </c:pt>
                <c:pt idx="245">
                  <c:v>9.7478617065511877E-2</c:v>
                </c:pt>
                <c:pt idx="246">
                  <c:v>9.8865809773958521E-2</c:v>
                </c:pt>
                <c:pt idx="247">
                  <c:v>0.10015441448111639</c:v>
                </c:pt>
                <c:pt idx="248">
                  <c:v>0.10138509315513794</c:v>
                </c:pt>
                <c:pt idx="249">
                  <c:v>0.10255786834413794</c:v>
                </c:pt>
                <c:pt idx="250">
                  <c:v>0.10367276026628995</c:v>
                </c:pt>
                <c:pt idx="251">
                  <c:v>0.10472978670821682</c:v>
                </c:pt>
                <c:pt idx="252">
                  <c:v>0.10572896291903316</c:v>
                </c:pt>
                <c:pt idx="253">
                  <c:v>0.10677248675004336</c:v>
                </c:pt>
                <c:pt idx="254">
                  <c:v>0.10788849989178712</c:v>
                </c:pt>
                <c:pt idx="255">
                  <c:v>0.10907709840158226</c:v>
                </c:pt>
                <c:pt idx="256">
                  <c:v>0.11033838337622265</c:v>
                </c:pt>
                <c:pt idx="257">
                  <c:v>0.11167246107612165</c:v>
                </c:pt>
                <c:pt idx="258">
                  <c:v>0.11307944305047785</c:v>
                </c:pt>
                <c:pt idx="259">
                  <c:v>0.11455944626402483</c:v>
                </c:pt>
                <c:pt idx="260">
                  <c:v>0.11611259322036886</c:v>
                </c:pt>
                <c:pt idx="261">
                  <c:v>0.11793947935966514</c:v>
                </c:pt>
                <c:pt idx="262">
                  <c:v>0.12007166131086409</c:v>
                </c:pt>
                <c:pt idx="263">
                  <c:v>0.12250949812672018</c:v>
                </c:pt>
                <c:pt idx="264">
                  <c:v>0.12525337707360115</c:v>
                </c:pt>
                <c:pt idx="265">
                  <c:v>0.12830439625494036</c:v>
                </c:pt>
                <c:pt idx="266">
                  <c:v>0.13166340341355134</c:v>
                </c:pt>
                <c:pt idx="267">
                  <c:v>0.13537338749558392</c:v>
                </c:pt>
                <c:pt idx="268">
                  <c:v>0.13933216110272589</c:v>
                </c:pt>
                <c:pt idx="269">
                  <c:v>0.14354006087999716</c:v>
                </c:pt>
                <c:pt idx="270">
                  <c:v>0.14799743024102191</c:v>
                </c:pt>
                <c:pt idx="271">
                  <c:v>0.15270461668267268</c:v>
                </c:pt>
                <c:pt idx="272">
                  <c:v>0.15766196910351185</c:v>
                </c:pt>
                <c:pt idx="273">
                  <c:v>0.16286983512036779</c:v>
                </c:pt>
                <c:pt idx="274">
                  <c:v>0.16832855838693117</c:v>
                </c:pt>
                <c:pt idx="275">
                  <c:v>0.17397446659419291</c:v>
                </c:pt>
                <c:pt idx="276">
                  <c:v>0.17960612029760067</c:v>
                </c:pt>
                <c:pt idx="277">
                  <c:v>0.18522343520541215</c:v>
                </c:pt>
                <c:pt idx="278">
                  <c:v>0.19082630171839063</c:v>
                </c:pt>
                <c:pt idx="279">
                  <c:v>0.19641458516238708</c:v>
                </c:pt>
                <c:pt idx="280">
                  <c:v>0.20198812602270733</c:v>
                </c:pt>
                <c:pt idx="281">
                  <c:v>0.20751329857795944</c:v>
                </c:pt>
                <c:pt idx="282">
                  <c:v>0.2129469222623549</c:v>
                </c:pt>
                <c:pt idx="283">
                  <c:v>0.21828864451623883</c:v>
                </c:pt>
                <c:pt idx="284">
                  <c:v>0.22353808890361748</c:v>
                </c:pt>
                <c:pt idx="285">
                  <c:v>0.22869485618018637</c:v>
                </c:pt>
                <c:pt idx="286">
                  <c:v>0.23375852536349262</c:v>
                </c:pt>
                <c:pt idx="287">
                  <c:v>0.23872865480092653</c:v>
                </c:pt>
                <c:pt idx="288">
                  <c:v>0.24360478323853099</c:v>
                </c:pt>
                <c:pt idx="289">
                  <c:v>0.24840034981437739</c:v>
                </c:pt>
                <c:pt idx="290">
                  <c:v>0.25317938134509488</c:v>
                </c:pt>
                <c:pt idx="291">
                  <c:v>0.25794147966146735</c:v>
                </c:pt>
                <c:pt idx="292">
                  <c:v>0.26268622722211071</c:v>
                </c:pt>
                <c:pt idx="293">
                  <c:v>0.2674131873286919</c:v>
                </c:pt>
                <c:pt idx="294">
                  <c:v>0.27212190434019351</c:v>
                </c:pt>
                <c:pt idx="295">
                  <c:v>0.27678960073839193</c:v>
                </c:pt>
                <c:pt idx="296">
                  <c:v>0.28145285526368991</c:v>
                </c:pt>
                <c:pt idx="297">
                  <c:v>0.28611374904678893</c:v>
                </c:pt>
                <c:pt idx="298">
                  <c:v>0.29077209423022182</c:v>
                </c:pt>
                <c:pt idx="299">
                  <c:v>0.29542768593921825</c:v>
                </c:pt>
                <c:pt idx="300">
                  <c:v>0.30008030235959321</c:v>
                </c:pt>
                <c:pt idx="301">
                  <c:v>0.30472970481475986</c:v>
                </c:pt>
                <c:pt idx="302">
                  <c:v>0.309375637843401</c:v>
                </c:pt>
                <c:pt idx="303">
                  <c:v>0.31399887196597176</c:v>
                </c:pt>
                <c:pt idx="304">
                  <c:v>0.31858507358943217</c:v>
                </c:pt>
                <c:pt idx="305">
                  <c:v>0.3231338903153253</c:v>
                </c:pt>
                <c:pt idx="306">
                  <c:v>0.3276449536447027</c:v>
                </c:pt>
                <c:pt idx="307">
                  <c:v>0.33211787935967868</c:v>
                </c:pt>
                <c:pt idx="308">
                  <c:v>0.33655226790220921</c:v>
                </c:pt>
                <c:pt idx="309">
                  <c:v>0.34095799163489349</c:v>
                </c:pt>
                <c:pt idx="310">
                  <c:v>0.34535712435635219</c:v>
                </c:pt>
                <c:pt idx="311">
                  <c:v>0.34974926698907249</c:v>
                </c:pt>
                <c:pt idx="312">
                  <c:v>0.35413400521663602</c:v>
                </c:pt>
                <c:pt idx="313">
                  <c:v>0.35851090956525994</c:v>
                </c:pt>
                <c:pt idx="314">
                  <c:v>0.3628795354821297</c:v>
                </c:pt>
                <c:pt idx="315">
                  <c:v>0.36723942341821886</c:v>
                </c:pt>
                <c:pt idx="316">
                  <c:v>0.37159009890555961</c:v>
                </c:pt>
                <c:pt idx="317">
                  <c:v>0.37587703147578472</c:v>
                </c:pt>
                <c:pt idx="318">
                  <c:v>0.38011873884438452</c:v>
                </c:pt>
                <c:pt idx="319">
                  <c:v>0.38431466581095225</c:v>
                </c:pt>
                <c:pt idx="320">
                  <c:v>0.38846424578305533</c:v>
                </c:pt>
                <c:pt idx="321">
                  <c:v>0.39256690117723542</c:v>
                </c:pt>
                <c:pt idx="322">
                  <c:v>0.39662204382175076</c:v>
                </c:pt>
                <c:pt idx="323">
                  <c:v>0.40062247657551292</c:v>
                </c:pt>
                <c:pt idx="324">
                  <c:v>0.40455723900108037</c:v>
                </c:pt>
                <c:pt idx="325">
                  <c:v>0.40842567647638939</c:v>
                </c:pt>
                <c:pt idx="326">
                  <c:v>0.41222456266611424</c:v>
                </c:pt>
                <c:pt idx="327">
                  <c:v>0.41595229677688583</c:v>
                </c:pt>
                <c:pt idx="328">
                  <c:v>0.41960939489764182</c:v>
                </c:pt>
                <c:pt idx="329">
                  <c:v>0.42319641304757089</c:v>
                </c:pt>
                <c:pt idx="330">
                  <c:v>0.42671394590693162</c:v>
                </c:pt>
                <c:pt idx="331">
                  <c:v>0.43008706626688192</c:v>
                </c:pt>
                <c:pt idx="332">
                  <c:v>0.43337066572072747</c:v>
                </c:pt>
                <c:pt idx="333">
                  <c:v>0.436565445930787</c:v>
                </c:pt>
                <c:pt idx="334">
                  <c:v>0.43967214339310973</c:v>
                </c:pt>
                <c:pt idx="335">
                  <c:v>0.44269152773188991</c:v>
                </c:pt>
                <c:pt idx="336">
                  <c:v>0.44562439998816722</c:v>
                </c:pt>
                <c:pt idx="337">
                  <c:v>0.44834818221112133</c:v>
                </c:pt>
                <c:pt idx="338">
                  <c:v>0.45087033446512242</c:v>
                </c:pt>
                <c:pt idx="339">
                  <c:v>0.45319173459341933</c:v>
                </c:pt>
                <c:pt idx="340">
                  <c:v>0.45531328545810651</c:v>
                </c:pt>
                <c:pt idx="341">
                  <c:v>0.45723591080416209</c:v>
                </c:pt>
                <c:pt idx="342">
                  <c:v>0.45896055112317136</c:v>
                </c:pt>
                <c:pt idx="343">
                  <c:v>0.46048815951152139</c:v>
                </c:pt>
                <c:pt idx="344">
                  <c:v>0.46181969753576396</c:v>
                </c:pt>
                <c:pt idx="345">
                  <c:v>0.46295613109315309</c:v>
                </c:pt>
                <c:pt idx="346">
                  <c:v>0.46394898893484365</c:v>
                </c:pt>
                <c:pt idx="347">
                  <c:v>0.46479924328178684</c:v>
                </c:pt>
                <c:pt idx="348">
                  <c:v>0.46550786268589056</c:v>
                </c:pt>
                <c:pt idx="349">
                  <c:v>0.46607580893944117</c:v>
                </c:pt>
                <c:pt idx="350">
                  <c:v>0.46650403399541635</c:v>
                </c:pt>
                <c:pt idx="351">
                  <c:v>0.46676841746939729</c:v>
                </c:pt>
                <c:pt idx="352">
                  <c:v>0.46699339565792092</c:v>
                </c:pt>
                <c:pt idx="353">
                  <c:v>0.46717992514020262</c:v>
                </c:pt>
                <c:pt idx="354">
                  <c:v>0.46732895605395952</c:v>
                </c:pt>
                <c:pt idx="355">
                  <c:v>0.46744143103072616</c:v>
                </c:pt>
                <c:pt idx="356">
                  <c:v>0.46751860723700184</c:v>
                </c:pt>
                <c:pt idx="357">
                  <c:v>0.4675603673623881</c:v>
                </c:pt>
                <c:pt idx="358">
                  <c:v>0.467565458673248</c:v>
                </c:pt>
                <c:pt idx="359">
                  <c:v>0.46753262095572468</c:v>
                </c:pt>
                <c:pt idx="360">
                  <c:v>0.46733677945377766</c:v>
                </c:pt>
                <c:pt idx="361">
                  <c:v>0.46700164363593394</c:v>
                </c:pt>
                <c:pt idx="362">
                  <c:v>0.46652580628469204</c:v>
                </c:pt>
                <c:pt idx="363">
                  <c:v>0.46590784948558278</c:v>
                </c:pt>
                <c:pt idx="364">
                  <c:v>0.46514634844633584</c:v>
                </c:pt>
                <c:pt idx="365">
                  <c:v>0.46423987531026545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0.61213593049044202</c:v>
                </c:pt>
                <c:pt idx="1">
                  <c:v>0.61093927665109116</c:v>
                </c:pt>
                <c:pt idx="2">
                  <c:v>0.60951093453466321</c:v>
                </c:pt>
                <c:pt idx="3">
                  <c:v>0.60784898808281185</c:v>
                </c:pt>
                <c:pt idx="4">
                  <c:v>0.60595153513752509</c:v>
                </c:pt>
                <c:pt idx="5">
                  <c:v>0.60381669340805411</c:v>
                </c:pt>
                <c:pt idx="6">
                  <c:v>0.60144260644556458</c:v>
                </c:pt>
                <c:pt idx="7">
                  <c:v>0.59882744960415391</c:v>
                </c:pt>
                <c:pt idx="8">
                  <c:v>0.59596943601038721</c:v>
                </c:pt>
                <c:pt idx="9">
                  <c:v>0.59285627812426034</c:v>
                </c:pt>
                <c:pt idx="10">
                  <c:v>0.58960961750195495</c:v>
                </c:pt>
                <c:pt idx="11">
                  <c:v>0.58622795743364342</c:v>
                </c:pt>
                <c:pt idx="12">
                  <c:v>0.58270984981094298</c:v>
                </c:pt>
                <c:pt idx="13">
                  <c:v>0.57905389822922404</c:v>
                </c:pt>
                <c:pt idx="14">
                  <c:v>0.57525876108002583</c:v>
                </c:pt>
                <c:pt idx="15">
                  <c:v>0.57131066333388303</c:v>
                </c:pt>
                <c:pt idx="16">
                  <c:v>0.56732008244492682</c:v>
                </c:pt>
                <c:pt idx="17">
                  <c:v>0.56328593838926533</c:v>
                </c:pt>
                <c:pt idx="18">
                  <c:v>0.55920719786649742</c:v>
                </c:pt>
                <c:pt idx="19">
                  <c:v>0.55508597108799584</c:v>
                </c:pt>
                <c:pt idx="20">
                  <c:v>0.55092571140538971</c:v>
                </c:pt>
                <c:pt idx="21">
                  <c:v>0.54672742235804295</c:v>
                </c:pt>
                <c:pt idx="22">
                  <c:v>0.54249208958439443</c:v>
                </c:pt>
                <c:pt idx="23">
                  <c:v>0.53817296399943182</c:v>
                </c:pt>
                <c:pt idx="24">
                  <c:v>0.53378156883429728</c:v>
                </c:pt>
                <c:pt idx="25">
                  <c:v>0.52931883078092601</c:v>
                </c:pt>
                <c:pt idx="26">
                  <c:v>0.52478566133913052</c:v>
                </c:pt>
                <c:pt idx="27">
                  <c:v>0.52018295605815457</c:v>
                </c:pt>
                <c:pt idx="28">
                  <c:v>0.51551159378962941</c:v>
                </c:pt>
                <c:pt idx="29">
                  <c:v>0.51064650415760027</c:v>
                </c:pt>
                <c:pt idx="30">
                  <c:v>0.50560105126428689</c:v>
                </c:pt>
                <c:pt idx="31">
                  <c:v>0.50037607604684387</c:v>
                </c:pt>
                <c:pt idx="32">
                  <c:v>0.49497240655584318</c:v>
                </c:pt>
                <c:pt idx="33">
                  <c:v>0.48939085578334951</c:v>
                </c:pt>
                <c:pt idx="34">
                  <c:v>0.48363221949326135</c:v>
                </c:pt>
                <c:pt idx="35">
                  <c:v>0.47769727405117918</c:v>
                </c:pt>
                <c:pt idx="36">
                  <c:v>0.47158677425324469</c:v>
                </c:pt>
                <c:pt idx="37">
                  <c:v>0.46530578185406307</c:v>
                </c:pt>
                <c:pt idx="38">
                  <c:v>0.45890270030146207</c:v>
                </c:pt>
                <c:pt idx="39">
                  <c:v>0.45237819285268194</c:v>
                </c:pt>
                <c:pt idx="40">
                  <c:v>0.44573289223266183</c:v>
                </c:pt>
                <c:pt idx="41">
                  <c:v>0.43896739911665744</c:v>
                </c:pt>
                <c:pt idx="42">
                  <c:v>0.43208228060962295</c:v>
                </c:pt>
                <c:pt idx="43">
                  <c:v>0.42523005262176189</c:v>
                </c:pt>
                <c:pt idx="44">
                  <c:v>0.41853697173982524</c:v>
                </c:pt>
                <c:pt idx="45">
                  <c:v>0.41200343494210845</c:v>
                </c:pt>
                <c:pt idx="46">
                  <c:v>0.4056298112348049</c:v>
                </c:pt>
                <c:pt idx="47">
                  <c:v>0.39941644361108342</c:v>
                </c:pt>
                <c:pt idx="48">
                  <c:v>0.39336365100474741</c:v>
                </c:pt>
                <c:pt idx="49">
                  <c:v>0.38747173024761256</c:v>
                </c:pt>
                <c:pt idx="50">
                  <c:v>0.38174095802442581</c:v>
                </c:pt>
                <c:pt idx="51">
                  <c:v>0.37616891722014373</c:v>
                </c:pt>
                <c:pt idx="52">
                  <c:v>0.37074948550061598</c:v>
                </c:pt>
                <c:pt idx="53">
                  <c:v>0.36548057306251419</c:v>
                </c:pt>
                <c:pt idx="54">
                  <c:v>0.36036199294959381</c:v>
                </c:pt>
                <c:pt idx="55">
                  <c:v>0.3553935684617055</c:v>
                </c:pt>
                <c:pt idx="56">
                  <c:v>0.3505751326025271</c:v>
                </c:pt>
                <c:pt idx="57">
                  <c:v>0.34579833533446919</c:v>
                </c:pt>
                <c:pt idx="58">
                  <c:v>0.34091110729788737</c:v>
                </c:pt>
                <c:pt idx="59">
                  <c:v>0.33591330202949049</c:v>
                </c:pt>
                <c:pt idx="60">
                  <c:v>0.33080477970271666</c:v>
                </c:pt>
                <c:pt idx="61">
                  <c:v>0.32558540753801324</c:v>
                </c:pt>
                <c:pt idx="62">
                  <c:v>0.3202550602126264</c:v>
                </c:pt>
                <c:pt idx="63">
                  <c:v>0.31481362027137194</c:v>
                </c:pt>
                <c:pt idx="64">
                  <c:v>0.3092609785361124</c:v>
                </c:pt>
                <c:pt idx="65">
                  <c:v>0.30352427251331193</c:v>
                </c:pt>
                <c:pt idx="66">
                  <c:v>0.29760608585381026</c:v>
                </c:pt>
                <c:pt idx="67">
                  <c:v>0.29150633684595134</c:v>
                </c:pt>
                <c:pt idx="68">
                  <c:v>0.28522495477447313</c:v>
                </c:pt>
                <c:pt idx="69">
                  <c:v>0.27876188058900064</c:v>
                </c:pt>
                <c:pt idx="70">
                  <c:v>0.27211706757393156</c:v>
                </c:pt>
                <c:pt idx="71">
                  <c:v>0.26535620070827831</c:v>
                </c:pt>
                <c:pt idx="72">
                  <c:v>0.25858745138576228</c:v>
                </c:pt>
                <c:pt idx="73">
                  <c:v>0.25181080359424385</c:v>
                </c:pt>
                <c:pt idx="74">
                  <c:v>0.24502625151324406</c:v>
                </c:pt>
                <c:pt idx="75">
                  <c:v>0.2382337995403794</c:v>
                </c:pt>
                <c:pt idx="76">
                  <c:v>0.23143346231701509</c:v>
                </c:pt>
                <c:pt idx="77">
                  <c:v>0.22462526475471364</c:v>
                </c:pt>
                <c:pt idx="78">
                  <c:v>0.21780924929238102</c:v>
                </c:pt>
                <c:pt idx="79">
                  <c:v>0.21117632705246084</c:v>
                </c:pt>
                <c:pt idx="80">
                  <c:v>0.20479974338481599</c:v>
                </c:pt>
                <c:pt idx="81">
                  <c:v>0.19867939962957995</c:v>
                </c:pt>
                <c:pt idx="82">
                  <c:v>0.19281520454643505</c:v>
                </c:pt>
                <c:pt idx="83">
                  <c:v>0.18720707349521393</c:v>
                </c:pt>
                <c:pt idx="84">
                  <c:v>0.18185492761713742</c:v>
                </c:pt>
                <c:pt idx="85">
                  <c:v>0.17687258003649506</c:v>
                </c:pt>
                <c:pt idx="86">
                  <c:v>0.17219426283354014</c:v>
                </c:pt>
                <c:pt idx="87">
                  <c:v>0.16781990064292476</c:v>
                </c:pt>
                <c:pt idx="88">
                  <c:v>0.16374941970023699</c:v>
                </c:pt>
                <c:pt idx="89">
                  <c:v>0.15998274686839695</c:v>
                </c:pt>
                <c:pt idx="90">
                  <c:v>0.15651980866371629</c:v>
                </c:pt>
                <c:pt idx="91">
                  <c:v>0.15336053028257174</c:v>
                </c:pt>
                <c:pt idx="92">
                  <c:v>0.15050483462763234</c:v>
                </c:pt>
                <c:pt idx="93">
                  <c:v>0.14796412348008683</c:v>
                </c:pt>
                <c:pt idx="94">
                  <c:v>0.14554844100474582</c:v>
                </c:pt>
                <c:pt idx="95">
                  <c:v>0.14325774340762495</c:v>
                </c:pt>
                <c:pt idx="96">
                  <c:v>0.14109198623997052</c:v>
                </c:pt>
                <c:pt idx="97">
                  <c:v>0.13905112399734348</c:v>
                </c:pt>
                <c:pt idx="98">
                  <c:v>0.13713510971741297</c:v>
                </c:pt>
                <c:pt idx="99">
                  <c:v>0.13529223213318028</c:v>
                </c:pt>
                <c:pt idx="100">
                  <c:v>0.1334087074599222</c:v>
                </c:pt>
                <c:pt idx="101">
                  <c:v>0.13148454369530968</c:v>
                </c:pt>
                <c:pt idx="102">
                  <c:v>0.1295197528976092</c:v>
                </c:pt>
                <c:pt idx="103">
                  <c:v>0.1275143513132784</c:v>
                </c:pt>
                <c:pt idx="104">
                  <c:v>0.12546835950761506</c:v>
                </c:pt>
                <c:pt idx="105">
                  <c:v>0.12338180249257701</c:v>
                </c:pt>
                <c:pt idx="106">
                  <c:v>0.12125470985615867</c:v>
                </c:pt>
                <c:pt idx="107">
                  <c:v>0.11902459271731264</c:v>
                </c:pt>
                <c:pt idx="108">
                  <c:v>0.11668006320023798</c:v>
                </c:pt>
                <c:pt idx="109">
                  <c:v>0.11422120896323912</c:v>
                </c:pt>
                <c:pt idx="110">
                  <c:v>0.1116484451162727</c:v>
                </c:pt>
                <c:pt idx="111">
                  <c:v>0.10896217372418697</c:v>
                </c:pt>
                <c:pt idx="112">
                  <c:v>0.10616247385518253</c:v>
                </c:pt>
                <c:pt idx="113">
                  <c:v>0.10323478645520474</c:v>
                </c:pt>
                <c:pt idx="114">
                  <c:v>0.10023074342900244</c:v>
                </c:pt>
                <c:pt idx="115">
                  <c:v>9.7150416898164352E-2</c:v>
                </c:pt>
                <c:pt idx="116">
                  <c:v>9.3993883998061675E-2</c:v>
                </c:pt>
                <c:pt idx="117">
                  <c:v>9.0761227047144399E-2</c:v>
                </c:pt>
                <c:pt idx="118">
                  <c:v>8.7452533715211903E-2</c:v>
                </c:pt>
                <c:pt idx="119">
                  <c:v>8.4067897191978089E-2</c:v>
                </c:pt>
                <c:pt idx="120">
                  <c:v>8.0607416355506362E-2</c:v>
                </c:pt>
                <c:pt idx="121">
                  <c:v>7.7088486705377032E-2</c:v>
                </c:pt>
                <c:pt idx="122">
                  <c:v>7.357352234304422E-2</c:v>
                </c:pt>
                <c:pt idx="123">
                  <c:v>7.0062575776174627E-2</c:v>
                </c:pt>
                <c:pt idx="124">
                  <c:v>6.6555702463350824E-2</c:v>
                </c:pt>
                <c:pt idx="125">
                  <c:v>6.3052960808808137E-2</c:v>
                </c:pt>
                <c:pt idx="126">
                  <c:v>5.9554412156166248E-2</c:v>
                </c:pt>
                <c:pt idx="127">
                  <c:v>5.6152129304696187E-2</c:v>
                </c:pt>
                <c:pt idx="128">
                  <c:v>5.2860682104862833E-2</c:v>
                </c:pt>
                <c:pt idx="129">
                  <c:v>4.9680037750840816E-2</c:v>
                </c:pt>
                <c:pt idx="130">
                  <c:v>4.6610160875876404E-2</c:v>
                </c:pt>
                <c:pt idx="131">
                  <c:v>4.3651013311943689E-2</c:v>
                </c:pt>
                <c:pt idx="132">
                  <c:v>4.0802553849986899E-2</c:v>
                </c:pt>
                <c:pt idx="133">
                  <c:v>3.8064738000411012E-2</c:v>
                </c:pt>
                <c:pt idx="134">
                  <c:v>3.5437517753298696E-2</c:v>
                </c:pt>
                <c:pt idx="135">
                  <c:v>3.3000823303582373E-2</c:v>
                </c:pt>
                <c:pt idx="136">
                  <c:v>3.0737299098774967E-2</c:v>
                </c:pt>
                <c:pt idx="137">
                  <c:v>2.8646809393134087E-2</c:v>
                </c:pt>
                <c:pt idx="138">
                  <c:v>2.6729210041821314E-2</c:v>
                </c:pt>
                <c:pt idx="139">
                  <c:v>2.498434812373285E-2</c:v>
                </c:pt>
                <c:pt idx="140">
                  <c:v>2.3412061562760083E-2</c:v>
                </c:pt>
                <c:pt idx="141">
                  <c:v>2.2021880364308147E-2</c:v>
                </c:pt>
                <c:pt idx="142">
                  <c:v>2.0721999156847897E-2</c:v>
                </c:pt>
                <c:pt idx="143">
                  <c:v>1.9512270276320531E-2</c:v>
                </c:pt>
                <c:pt idx="144">
                  <c:v>1.8392668892261949E-2</c:v>
                </c:pt>
                <c:pt idx="145">
                  <c:v>1.7363153240544483E-2</c:v>
                </c:pt>
                <c:pt idx="146">
                  <c:v>1.6423665825017558E-2</c:v>
                </c:pt>
                <c:pt idx="147">
                  <c:v>1.557413461977007E-2</c:v>
                </c:pt>
                <c:pt idx="148">
                  <c:v>1.4814474270945878E-2</c:v>
                </c:pt>
                <c:pt idx="149">
                  <c:v>1.4155226054384918E-2</c:v>
                </c:pt>
                <c:pt idx="150">
                  <c:v>1.3516850276748545E-2</c:v>
                </c:pt>
                <c:pt idx="151">
                  <c:v>1.2899351368443149E-2</c:v>
                </c:pt>
                <c:pt idx="152">
                  <c:v>1.2302729121190473E-2</c:v>
                </c:pt>
                <c:pt idx="153">
                  <c:v>1.1726978961761635E-2</c:v>
                </c:pt>
                <c:pt idx="154">
                  <c:v>1.1172092225786844E-2</c:v>
                </c:pt>
                <c:pt idx="155">
                  <c:v>1.065576031909376E-2</c:v>
                </c:pt>
                <c:pt idx="156">
                  <c:v>1.0168313294430591E-2</c:v>
                </c:pt>
                <c:pt idx="157">
                  <c:v>9.7097163864086605E-3</c:v>
                </c:pt>
                <c:pt idx="158">
                  <c:v>9.2799318726748178E-3</c:v>
                </c:pt>
                <c:pt idx="159">
                  <c:v>8.8789194569814326E-3</c:v>
                </c:pt>
                <c:pt idx="160">
                  <c:v>8.5066366523742897E-3</c:v>
                </c:pt>
                <c:pt idx="161">
                  <c:v>8.163039164272393E-3</c:v>
                </c:pt>
                <c:pt idx="162">
                  <c:v>7.8480812735999429E-3</c:v>
                </c:pt>
                <c:pt idx="163">
                  <c:v>7.5734357171190038E-3</c:v>
                </c:pt>
                <c:pt idx="164">
                  <c:v>7.3284932909618156E-3</c:v>
                </c:pt>
                <c:pt idx="165">
                  <c:v>7.1132044573563131E-3</c:v>
                </c:pt>
                <c:pt idx="166">
                  <c:v>6.9275199186422881E-3</c:v>
                </c:pt>
                <c:pt idx="167">
                  <c:v>6.7713910162370524E-3</c:v>
                </c:pt>
                <c:pt idx="168">
                  <c:v>6.6447701298283507E-3</c:v>
                </c:pt>
                <c:pt idx="169">
                  <c:v>6.5592890600087959E-3</c:v>
                </c:pt>
                <c:pt idx="170">
                  <c:v>6.4973415907888443E-3</c:v>
                </c:pt>
                <c:pt idx="171">
                  <c:v>6.4588955433866899E-3</c:v>
                </c:pt>
                <c:pt idx="172">
                  <c:v>6.4439208053611446E-3</c:v>
                </c:pt>
                <c:pt idx="173">
                  <c:v>6.452323667218496E-3</c:v>
                </c:pt>
                <c:pt idx="174">
                  <c:v>6.4840083101863621E-3</c:v>
                </c:pt>
                <c:pt idx="175">
                  <c:v>6.5389432321171772E-3</c:v>
                </c:pt>
                <c:pt idx="176">
                  <c:v>6.6170970844711997E-3</c:v>
                </c:pt>
                <c:pt idx="177">
                  <c:v>6.7359190459972303E-3</c:v>
                </c:pt>
                <c:pt idx="178">
                  <c:v>6.8837279936670394E-3</c:v>
                </c:pt>
                <c:pt idx="179">
                  <c:v>7.0604852489386987E-3</c:v>
                </c:pt>
                <c:pt idx="180">
                  <c:v>7.2661529882440366E-3</c:v>
                </c:pt>
                <c:pt idx="181">
                  <c:v>7.50069441383866E-3</c:v>
                </c:pt>
                <c:pt idx="182">
                  <c:v>7.7640739247123404E-3</c:v>
                </c:pt>
                <c:pt idx="183">
                  <c:v>8.0666924771369119E-3</c:v>
                </c:pt>
                <c:pt idx="184">
                  <c:v>8.3969122944497904E-3</c:v>
                </c:pt>
                <c:pt idx="185">
                  <c:v>8.7547042273609481E-3</c:v>
                </c:pt>
                <c:pt idx="186">
                  <c:v>9.1400409840802829E-3</c:v>
                </c:pt>
                <c:pt idx="187">
                  <c:v>9.5528972944046216E-3</c:v>
                </c:pt>
                <c:pt idx="188">
                  <c:v>9.9932500738715742E-3</c:v>
                </c:pt>
                <c:pt idx="189">
                  <c:v>1.0461078587621901E-2</c:v>
                </c:pt>
                <c:pt idx="190">
                  <c:v>1.0956364614672316E-2</c:v>
                </c:pt>
                <c:pt idx="191">
                  <c:v>1.1488535154422415E-2</c:v>
                </c:pt>
                <c:pt idx="192">
                  <c:v>1.2040207420206735E-2</c:v>
                </c:pt>
                <c:pt idx="193">
                  <c:v>1.2611381587461478E-2</c:v>
                </c:pt>
                <c:pt idx="194">
                  <c:v>1.3202060474870507E-2</c:v>
                </c:pt>
                <c:pt idx="195">
                  <c:v>1.381224966187823E-2</c:v>
                </c:pt>
                <c:pt idx="196">
                  <c:v>1.4441957605727258E-2</c:v>
                </c:pt>
                <c:pt idx="197">
                  <c:v>1.5168673795888406E-2</c:v>
                </c:pt>
                <c:pt idx="198">
                  <c:v>1.59819639253703E-2</c:v>
                </c:pt>
                <c:pt idx="199">
                  <c:v>1.6881783775595415E-2</c:v>
                </c:pt>
                <c:pt idx="200">
                  <c:v>1.7868098749141758E-2</c:v>
                </c:pt>
                <c:pt idx="201">
                  <c:v>1.8940884384282649E-2</c:v>
                </c:pt>
                <c:pt idx="202">
                  <c:v>2.0100126869586215E-2</c:v>
                </c:pt>
                <c:pt idx="203">
                  <c:v>2.1345823558959736E-2</c:v>
                </c:pt>
                <c:pt idx="204">
                  <c:v>2.2677946864940606E-2</c:v>
                </c:pt>
                <c:pt idx="205">
                  <c:v>2.4185142760772341E-2</c:v>
                </c:pt>
                <c:pt idx="206">
                  <c:v>2.5857949217031814E-2</c:v>
                </c:pt>
                <c:pt idx="207">
                  <c:v>2.7696319935660522E-2</c:v>
                </c:pt>
                <c:pt idx="208">
                  <c:v>2.9700220054373342E-2</c:v>
                </c:pt>
                <c:pt idx="209">
                  <c:v>3.1869625631464109E-2</c:v>
                </c:pt>
                <c:pt idx="210">
                  <c:v>3.4204523131592453E-2</c:v>
                </c:pt>
                <c:pt idx="211">
                  <c:v>3.6721528810940297E-2</c:v>
                </c:pt>
                <c:pt idx="212">
                  <c:v>3.9343436314473609E-2</c:v>
                </c:pt>
                <c:pt idx="213">
                  <c:v>4.2070284106533136E-2</c:v>
                </c:pt>
                <c:pt idx="214">
                  <c:v>4.490211478949311E-2</c:v>
                </c:pt>
                <c:pt idx="215">
                  <c:v>4.7838974777186384E-2</c:v>
                </c:pt>
                <c:pt idx="216">
                  <c:v>5.0880913968199097E-2</c:v>
                </c:pt>
                <c:pt idx="217">
                  <c:v>5.4027985419364773E-2</c:v>
                </c:pt>
                <c:pt idx="218">
                  <c:v>5.728024501900391E-2</c:v>
                </c:pt>
                <c:pt idx="219">
                  <c:v>6.062371333423603E-2</c:v>
                </c:pt>
                <c:pt idx="220">
                  <c:v>6.3969942155206558E-2</c:v>
                </c:pt>
                <c:pt idx="221">
                  <c:v>6.7319007248374266E-2</c:v>
                </c:pt>
                <c:pt idx="222">
                  <c:v>7.0670980358181326E-2</c:v>
                </c:pt>
                <c:pt idx="223">
                  <c:v>7.4025929200190826E-2</c:v>
                </c:pt>
                <c:pt idx="224">
                  <c:v>7.7383917452694254E-2</c:v>
                </c:pt>
                <c:pt idx="225">
                  <c:v>8.0685149639792134E-2</c:v>
                </c:pt>
                <c:pt idx="226">
                  <c:v>8.3913078480308878E-2</c:v>
                </c:pt>
                <c:pt idx="227">
                  <c:v>8.7067753015349636E-2</c:v>
                </c:pt>
                <c:pt idx="228">
                  <c:v>9.014921499868761E-2</c:v>
                </c:pt>
                <c:pt idx="229">
                  <c:v>9.3157499125449628E-2</c:v>
                </c:pt>
                <c:pt idx="230">
                  <c:v>9.6092633262123514E-2</c:v>
                </c:pt>
                <c:pt idx="231">
                  <c:v>9.8954638676983619E-2</c:v>
                </c:pt>
                <c:pt idx="232">
                  <c:v>0.10174353026846698</c:v>
                </c:pt>
                <c:pt idx="233">
                  <c:v>0.10440990645549177</c:v>
                </c:pt>
                <c:pt idx="234">
                  <c:v>0.10696780112993914</c:v>
                </c:pt>
                <c:pt idx="235">
                  <c:v>0.1094172933246617</c:v>
                </c:pt>
                <c:pt idx="236">
                  <c:v>0.11175849952398477</c:v>
                </c:pt>
                <c:pt idx="237">
                  <c:v>0.11399146624775652</c:v>
                </c:pt>
                <c:pt idx="238">
                  <c:v>0.1161162371616931</c:v>
                </c:pt>
                <c:pt idx="239">
                  <c:v>0.11814383252634192</c:v>
                </c:pt>
                <c:pt idx="240">
                  <c:v>0.12013418670085846</c:v>
                </c:pt>
                <c:pt idx="241">
                  <c:v>0.12208735447358582</c:v>
                </c:pt>
                <c:pt idx="242">
                  <c:v>0.124003390283333</c:v>
                </c:pt>
                <c:pt idx="243">
                  <c:v>0.12588234815263849</c:v>
                </c:pt>
                <c:pt idx="244">
                  <c:v>0.12772428162038776</c:v>
                </c:pt>
                <c:pt idx="245">
                  <c:v>0.12952924367309912</c:v>
                </c:pt>
                <c:pt idx="246">
                  <c:v>0.13129728667593335</c:v>
                </c:pt>
                <c:pt idx="247">
                  <c:v>0.13313741086942804</c:v>
                </c:pt>
                <c:pt idx="248">
                  <c:v>0.13509920098210124</c:v>
                </c:pt>
                <c:pt idx="249">
                  <c:v>0.13718278755693825</c:v>
                </c:pt>
                <c:pt idx="250">
                  <c:v>0.13938830896045576</c:v>
                </c:pt>
                <c:pt idx="251">
                  <c:v>0.14171591159780186</c:v>
                </c:pt>
                <c:pt idx="252">
                  <c:v>0.14416575012205926</c:v>
                </c:pt>
                <c:pt idx="253">
                  <c:v>0.14691992428657411</c:v>
                </c:pt>
                <c:pt idx="254">
                  <c:v>0.14996771666531397</c:v>
                </c:pt>
                <c:pt idx="255">
                  <c:v>0.15330942621755442</c:v>
                </c:pt>
                <c:pt idx="256">
                  <c:v>0.1569453715218008</c:v>
                </c:pt>
                <c:pt idx="257">
                  <c:v>0.16087589128702329</c:v>
                </c:pt>
                <c:pt idx="258">
                  <c:v>0.16510134486528349</c:v>
                </c:pt>
                <c:pt idx="259">
                  <c:v>0.16962211276670927</c:v>
                </c:pt>
                <c:pt idx="260">
                  <c:v>0.17443859716955487</c:v>
                </c:pt>
                <c:pt idx="261">
                  <c:v>0.17961424812883631</c:v>
                </c:pt>
                <c:pt idx="262">
                  <c:v>0.18504025702788049</c:v>
                </c:pt>
                <c:pt idx="263">
                  <c:v>0.19071705388179613</c:v>
                </c:pt>
                <c:pt idx="264">
                  <c:v>0.19664509871219335</c:v>
                </c:pt>
                <c:pt idx="265">
                  <c:v>0.20282596056653104</c:v>
                </c:pt>
                <c:pt idx="266">
                  <c:v>0.20926081866838134</c:v>
                </c:pt>
                <c:pt idx="267">
                  <c:v>0.21588016216024827</c:v>
                </c:pt>
                <c:pt idx="268">
                  <c:v>0.22250158787218224</c:v>
                </c:pt>
                <c:pt idx="269">
                  <c:v>0.22912518613195595</c:v>
                </c:pt>
                <c:pt idx="270">
                  <c:v>0.23575101780694185</c:v>
                </c:pt>
                <c:pt idx="271">
                  <c:v>0.24237911437413115</c:v>
                </c:pt>
                <c:pt idx="272">
                  <c:v>0.24900947799620732</c:v>
                </c:pt>
                <c:pt idx="273">
                  <c:v>0.25564208159466101</c:v>
                </c:pt>
                <c:pt idx="274">
                  <c:v>0.26227686892610791</c:v>
                </c:pt>
                <c:pt idx="275">
                  <c:v>0.26880941999511104</c:v>
                </c:pt>
                <c:pt idx="276">
                  <c:v>0.27517606175786435</c:v>
                </c:pt>
                <c:pt idx="277">
                  <c:v>0.28137639683648652</c:v>
                </c:pt>
                <c:pt idx="278">
                  <c:v>0.28740999256434963</c:v>
                </c:pt>
                <c:pt idx="279">
                  <c:v>0.29327638290087121</c:v>
                </c:pt>
                <c:pt idx="280">
                  <c:v>0.29897507034899584</c:v>
                </c:pt>
                <c:pt idx="281">
                  <c:v>0.30450293981191573</c:v>
                </c:pt>
                <c:pt idx="282">
                  <c:v>0.30992984746909097</c:v>
                </c:pt>
                <c:pt idx="283">
                  <c:v>0.31525531930382161</c:v>
                </c:pt>
                <c:pt idx="284">
                  <c:v>0.3204788576175216</c:v>
                </c:pt>
                <c:pt idx="285">
                  <c:v>0.32559994220245198</c:v>
                </c:pt>
                <c:pt idx="286">
                  <c:v>0.33061803151751484</c:v>
                </c:pt>
                <c:pt idx="287">
                  <c:v>0.33553256386091568</c:v>
                </c:pt>
                <c:pt idx="288">
                  <c:v>0.34034295854401336</c:v>
                </c:pt>
                <c:pt idx="289">
                  <c:v>0.34519617475227871</c:v>
                </c:pt>
                <c:pt idx="290">
                  <c:v>0.35019695824672464</c:v>
                </c:pt>
                <c:pt idx="291">
                  <c:v>0.35534504831774805</c:v>
                </c:pt>
                <c:pt idx="292">
                  <c:v>0.36064015647793862</c:v>
                </c:pt>
                <c:pt idx="293">
                  <c:v>0.36608196488328865</c:v>
                </c:pt>
                <c:pt idx="294">
                  <c:v>0.37167012475307543</c:v>
                </c:pt>
                <c:pt idx="295">
                  <c:v>0.37740850785168928</c:v>
                </c:pt>
                <c:pt idx="296">
                  <c:v>0.38330395501802045</c:v>
                </c:pt>
                <c:pt idx="297">
                  <c:v>0.38935952007083419</c:v>
                </c:pt>
                <c:pt idx="298">
                  <c:v>0.39557516588785835</c:v>
                </c:pt>
                <c:pt idx="299">
                  <c:v>0.40195083868530818</c:v>
                </c:pt>
                <c:pt idx="300">
                  <c:v>0.40848646661209775</c:v>
                </c:pt>
                <c:pt idx="301">
                  <c:v>0.41518195834285815</c:v>
                </c:pt>
                <c:pt idx="302">
                  <c:v>0.42203720167185388</c:v>
                </c:pt>
                <c:pt idx="303">
                  <c:v>0.42892910989166255</c:v>
                </c:pt>
                <c:pt idx="304">
                  <c:v>0.43570874432364376</c:v>
                </c:pt>
                <c:pt idx="305">
                  <c:v>0.44237553420399472</c:v>
                </c:pt>
                <c:pt idx="306">
                  <c:v>0.44892888522671148</c:v>
                </c:pt>
                <c:pt idx="307">
                  <c:v>0.45536818063753848</c:v>
                </c:pt>
                <c:pt idx="308">
                  <c:v>0.46169278232410926</c:v>
                </c:pt>
                <c:pt idx="309">
                  <c:v>0.46785530372401007</c:v>
                </c:pt>
                <c:pt idx="310">
                  <c:v>0.47385075901241008</c:v>
                </c:pt>
                <c:pt idx="311">
                  <c:v>0.47967838435918925</c:v>
                </c:pt>
                <c:pt idx="312">
                  <c:v>0.4853374012755593</c:v>
                </c:pt>
                <c:pt idx="313">
                  <c:v>0.49082701817706553</c:v>
                </c:pt>
                <c:pt idx="314">
                  <c:v>0.49614643194219438</c:v>
                </c:pt>
                <c:pt idx="315">
                  <c:v>0.50129482947712278</c:v>
                </c:pt>
                <c:pt idx="316">
                  <c:v>0.50627138927287263</c:v>
                </c:pt>
                <c:pt idx="317">
                  <c:v>0.51106298988883114</c:v>
                </c:pt>
                <c:pt idx="318">
                  <c:v>0.51579255536102431</c:v>
                </c:pt>
                <c:pt idx="319">
                  <c:v>0.52045937193929759</c:v>
                </c:pt>
                <c:pt idx="320">
                  <c:v>0.52506271415908423</c:v>
                </c:pt>
                <c:pt idx="321">
                  <c:v>0.52960184538424748</c:v>
                </c:pt>
                <c:pt idx="322">
                  <c:v>0.53407601835224983</c:v>
                </c:pt>
                <c:pt idx="323">
                  <c:v>0.53847405335574128</c:v>
                </c:pt>
                <c:pt idx="324">
                  <c:v>0.54284217402256896</c:v>
                </c:pt>
                <c:pt idx="325">
                  <c:v>0.54717960251507203</c:v>
                </c:pt>
                <c:pt idx="326">
                  <c:v>0.55148211722608531</c:v>
                </c:pt>
                <c:pt idx="327">
                  <c:v>0.55574768233709981</c:v>
                </c:pt>
                <c:pt idx="328">
                  <c:v>0.5599770858370009</c:v>
                </c:pt>
                <c:pt idx="329">
                  <c:v>0.56417115385504568</c:v>
                </c:pt>
                <c:pt idx="330">
                  <c:v>0.56833075018246249</c:v>
                </c:pt>
                <c:pt idx="331">
                  <c:v>0.57234646492991981</c:v>
                </c:pt>
                <c:pt idx="332">
                  <c:v>0.57623154299291746</c:v>
                </c:pt>
                <c:pt idx="333">
                  <c:v>0.57998693996825745</c:v>
                </c:pt>
                <c:pt idx="334">
                  <c:v>0.58361365486832473</c:v>
                </c:pt>
                <c:pt idx="335">
                  <c:v>0.58711272761416133</c:v>
                </c:pt>
                <c:pt idx="336">
                  <c:v>0.59048523652094931</c:v>
                </c:pt>
                <c:pt idx="337">
                  <c:v>0.59361018525479292</c:v>
                </c:pt>
                <c:pt idx="338">
                  <c:v>0.59649915410991317</c:v>
                </c:pt>
                <c:pt idx="339">
                  <c:v>0.59915331468921162</c:v>
                </c:pt>
                <c:pt idx="340">
                  <c:v>0.6015738673279073</c:v>
                </c:pt>
                <c:pt idx="341">
                  <c:v>0.60376203626228031</c:v>
                </c:pt>
                <c:pt idx="342">
                  <c:v>0.60571906479798598</c:v>
                </c:pt>
                <c:pt idx="343">
                  <c:v>0.60744621047107539</c:v>
                </c:pt>
                <c:pt idx="344">
                  <c:v>0.60894474021848044</c:v>
                </c:pt>
                <c:pt idx="345">
                  <c:v>0.61021592554212889</c:v>
                </c:pt>
                <c:pt idx="346">
                  <c:v>0.61133729916006074</c:v>
                </c:pt>
                <c:pt idx="347">
                  <c:v>0.61231014239962933</c:v>
                </c:pt>
                <c:pt idx="348">
                  <c:v>0.61313573330847815</c:v>
                </c:pt>
                <c:pt idx="349">
                  <c:v>0.61381534340105437</c:v>
                </c:pt>
                <c:pt idx="350">
                  <c:v>0.61435023441947534</c:v>
                </c:pt>
                <c:pt idx="351">
                  <c:v>0.61470751525594747</c:v>
                </c:pt>
                <c:pt idx="352">
                  <c:v>0.61501062789290162</c:v>
                </c:pt>
                <c:pt idx="353">
                  <c:v>0.61526083149118271</c:v>
                </c:pt>
                <c:pt idx="354">
                  <c:v>0.61545937643552751</c:v>
                </c:pt>
                <c:pt idx="355">
                  <c:v>0.61560750288514876</c:v>
                </c:pt>
                <c:pt idx="356">
                  <c:v>0.61570686484423243</c:v>
                </c:pt>
                <c:pt idx="357">
                  <c:v>0.61575730574146237</c:v>
                </c:pt>
                <c:pt idx="358">
                  <c:v>0.61575717328686552</c:v>
                </c:pt>
                <c:pt idx="359">
                  <c:v>0.61570480500008551</c:v>
                </c:pt>
                <c:pt idx="360">
                  <c:v>0.61547602399084356</c:v>
                </c:pt>
                <c:pt idx="361">
                  <c:v>0.61510324138218175</c:v>
                </c:pt>
                <c:pt idx="362">
                  <c:v>0.6145846556512139</c:v>
                </c:pt>
                <c:pt idx="363">
                  <c:v>0.61391845473336926</c:v>
                </c:pt>
                <c:pt idx="364">
                  <c:v>0.61310282004367722</c:v>
                </c:pt>
                <c:pt idx="365">
                  <c:v>0.61213593049044202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0.73805410594683185</c:v>
                </c:pt>
                <c:pt idx="1">
                  <c:v>0.73843732667310447</c:v>
                </c:pt>
                <c:pt idx="2">
                  <c:v>0.73873494261773587</c:v>
                </c:pt>
                <c:pt idx="3">
                  <c:v>0.73894493952791773</c:v>
                </c:pt>
                <c:pt idx="4">
                  <c:v>0.73906530230659451</c:v>
                </c:pt>
                <c:pt idx="5">
                  <c:v>0.73909401730867696</c:v>
                </c:pt>
                <c:pt idx="6">
                  <c:v>0.7390290746467022</c:v>
                </c:pt>
                <c:pt idx="7">
                  <c:v>0.73886847047985704</c:v>
                </c:pt>
                <c:pt idx="8">
                  <c:v>0.73861020931334576</c:v>
                </c:pt>
                <c:pt idx="9">
                  <c:v>0.73803696755734949</c:v>
                </c:pt>
                <c:pt idx="10">
                  <c:v>0.73716518877617443</c:v>
                </c:pt>
                <c:pt idx="11">
                  <c:v>0.73599268218345859</c:v>
                </c:pt>
                <c:pt idx="12">
                  <c:v>0.73451729966447443</c:v>
                </c:pt>
                <c:pt idx="13">
                  <c:v>0.7327369430756222</c:v>
                </c:pt>
                <c:pt idx="14">
                  <c:v>0.73064957153138721</c:v>
                </c:pt>
                <c:pt idx="15">
                  <c:v>0.72807436679242554</c:v>
                </c:pt>
                <c:pt idx="16">
                  <c:v>0.72508113659558437</c:v>
                </c:pt>
                <c:pt idx="17">
                  <c:v>0.72166798942934307</c:v>
                </c:pt>
                <c:pt idx="18">
                  <c:v>0.71783314427132427</c:v>
                </c:pt>
                <c:pt idx="19">
                  <c:v>0.71357892085881236</c:v>
                </c:pt>
                <c:pt idx="20">
                  <c:v>0.7089094513720301</c:v>
                </c:pt>
                <c:pt idx="21">
                  <c:v>0.70382579053352989</c:v>
                </c:pt>
                <c:pt idx="22">
                  <c:v>0.69832902674061004</c:v>
                </c:pt>
                <c:pt idx="23">
                  <c:v>0.69248769166803081</c:v>
                </c:pt>
                <c:pt idx="24">
                  <c:v>0.68651911322290127</c:v>
                </c:pt>
                <c:pt idx="25">
                  <c:v>0.68042449515826953</c:v>
                </c:pt>
                <c:pt idx="26">
                  <c:v>0.67420502404766258</c:v>
                </c:pt>
                <c:pt idx="27">
                  <c:v>0.66786186788155122</c:v>
                </c:pt>
                <c:pt idx="28">
                  <c:v>0.66139617467847478</c:v>
                </c:pt>
                <c:pt idx="29">
                  <c:v>0.65473781829984468</c:v>
                </c:pt>
                <c:pt idx="30">
                  <c:v>0.64806704676458782</c:v>
                </c:pt>
                <c:pt idx="31">
                  <c:v>0.64138493088771942</c:v>
                </c:pt>
                <c:pt idx="32">
                  <c:v>0.63469250847316727</c:v>
                </c:pt>
                <c:pt idx="33">
                  <c:v>0.62799078426467003</c:v>
                </c:pt>
                <c:pt idx="34">
                  <c:v>0.62128072989958272</c:v>
                </c:pt>
                <c:pt idx="35">
                  <c:v>0.61456328386207737</c:v>
                </c:pt>
                <c:pt idx="36">
                  <c:v>0.60783935143503109</c:v>
                </c:pt>
                <c:pt idx="37">
                  <c:v>0.60096536919787791</c:v>
                </c:pt>
                <c:pt idx="38">
                  <c:v>0.593874822744211</c:v>
                </c:pt>
                <c:pt idx="39">
                  <c:v>0.58656857449072952</c:v>
                </c:pt>
                <c:pt idx="40">
                  <c:v>0.57904745395075718</c:v>
                </c:pt>
                <c:pt idx="41">
                  <c:v>0.57131225504061012</c:v>
                </c:pt>
                <c:pt idx="42">
                  <c:v>0.56336373338178924</c:v>
                </c:pt>
                <c:pt idx="43">
                  <c:v>0.55536804804521189</c:v>
                </c:pt>
                <c:pt idx="44">
                  <c:v>0.54739700703273564</c:v>
                </c:pt>
                <c:pt idx="45">
                  <c:v>0.53945118410939785</c:v>
                </c:pt>
                <c:pt idx="46">
                  <c:v>0.53153111408387244</c:v>
                </c:pt>
                <c:pt idx="47">
                  <c:v>0.52363729307631546</c:v>
                </c:pt>
                <c:pt idx="48">
                  <c:v>0.5157701787791179</c:v>
                </c:pt>
                <c:pt idx="49">
                  <c:v>0.50793019072252732</c:v>
                </c:pt>
                <c:pt idx="50">
                  <c:v>0.50011771053704945</c:v>
                </c:pt>
                <c:pt idx="51">
                  <c:v>0.49246210380361893</c:v>
                </c:pt>
                <c:pt idx="52">
                  <c:v>0.48510530707391736</c:v>
                </c:pt>
                <c:pt idx="53">
                  <c:v>0.47804457745208434</c:v>
                </c:pt>
                <c:pt idx="54">
                  <c:v>0.47127966718707848</c:v>
                </c:pt>
                <c:pt idx="55">
                  <c:v>0.46481034382898367</c:v>
                </c:pt>
                <c:pt idx="56">
                  <c:v>0.45863638913970101</c:v>
                </c:pt>
                <c:pt idx="57">
                  <c:v>0.4526902030594096</c:v>
                </c:pt>
                <c:pt idx="58">
                  <c:v>0.44680621829540529</c:v>
                </c:pt>
                <c:pt idx="59">
                  <c:v>0.44098424808852626</c:v>
                </c:pt>
                <c:pt idx="60">
                  <c:v>0.43522411472307171</c:v>
                </c:pt>
                <c:pt idx="61">
                  <c:v>0.42952564929895831</c:v>
                </c:pt>
                <c:pt idx="62">
                  <c:v>0.42388869150323116</c:v>
                </c:pt>
                <c:pt idx="63">
                  <c:v>0.41831308938286965</c:v>
                </c:pt>
                <c:pt idx="64">
                  <c:v>0.41279869911588268</c:v>
                </c:pt>
                <c:pt idx="65">
                  <c:v>0.4072497852170287</c:v>
                </c:pt>
                <c:pt idx="66">
                  <c:v>0.40153719140887528</c:v>
                </c:pt>
                <c:pt idx="67">
                  <c:v>0.39566079665197423</c:v>
                </c:pt>
                <c:pt idx="68">
                  <c:v>0.38962049037770252</c:v>
                </c:pt>
                <c:pt idx="69">
                  <c:v>0.38341617308997389</c:v>
                </c:pt>
                <c:pt idx="70">
                  <c:v>0.37704775696883058</c:v>
                </c:pt>
                <c:pt idx="71">
                  <c:v>0.37041893360396433</c:v>
                </c:pt>
                <c:pt idx="72">
                  <c:v>0.36359704058752002</c:v>
                </c:pt>
                <c:pt idx="73">
                  <c:v>0.35658203152049661</c:v>
                </c:pt>
                <c:pt idx="74">
                  <c:v>0.34937387501721573</c:v>
                </c:pt>
                <c:pt idx="75">
                  <c:v>0.34197255541553856</c:v>
                </c:pt>
                <c:pt idx="76">
                  <c:v>0.33437807348597692</c:v>
                </c:pt>
                <c:pt idx="77">
                  <c:v>0.3265904471419383</c:v>
                </c:pt>
                <c:pt idx="78">
                  <c:v>0.3186097227270005</c:v>
                </c:pt>
                <c:pt idx="79">
                  <c:v>0.31047124170407675</c:v>
                </c:pt>
                <c:pt idx="80">
                  <c:v>0.30227136897511681</c:v>
                </c:pt>
                <c:pt idx="81">
                  <c:v>0.29401002044315455</c:v>
                </c:pt>
                <c:pt idx="82">
                  <c:v>0.28568712267953827</c:v>
                </c:pt>
                <c:pt idx="83">
                  <c:v>0.27730261312274179</c:v>
                </c:pt>
                <c:pt idx="84">
                  <c:v>0.26885644027811662</c:v>
                </c:pt>
                <c:pt idx="85">
                  <c:v>0.26058759126587433</c:v>
                </c:pt>
                <c:pt idx="86">
                  <c:v>0.25259217432880426</c:v>
                </c:pt>
                <c:pt idx="87">
                  <c:v>0.24487011404910486</c:v>
                </c:pt>
                <c:pt idx="88">
                  <c:v>0.23742134129997203</c:v>
                </c:pt>
                <c:pt idx="89">
                  <c:v>0.23024579237067225</c:v>
                </c:pt>
                <c:pt idx="90">
                  <c:v>0.22334340809112999</c:v>
                </c:pt>
                <c:pt idx="91">
                  <c:v>0.21671413295740269</c:v>
                </c:pt>
                <c:pt idx="92">
                  <c:v>0.21035791425650363</c:v>
                </c:pt>
                <c:pt idx="93">
                  <c:v>0.20444840387743532</c:v>
                </c:pt>
                <c:pt idx="94">
                  <c:v>0.19895147136311495</c:v>
                </c:pt>
                <c:pt idx="95">
                  <c:v>0.19386702842583725</c:v>
                </c:pt>
                <c:pt idx="96">
                  <c:v>0.1891949815011563</c:v>
                </c:pt>
                <c:pt idx="97">
                  <c:v>0.18493523042621018</c:v>
                </c:pt>
                <c:pt idx="98">
                  <c:v>0.18108766711628554</c:v>
                </c:pt>
                <c:pt idx="99">
                  <c:v>0.17762098708130469</c:v>
                </c:pt>
                <c:pt idx="100">
                  <c:v>0.17429633219805926</c:v>
                </c:pt>
                <c:pt idx="101">
                  <c:v>0.17111366235628725</c:v>
                </c:pt>
                <c:pt idx="102">
                  <c:v>0.16807293579222862</c:v>
                </c:pt>
                <c:pt idx="103">
                  <c:v>0.16517410863007415</c:v>
                </c:pt>
                <c:pt idx="104">
                  <c:v>0.16241713442738182</c:v>
                </c:pt>
                <c:pt idx="105">
                  <c:v>0.15980196371681629</c:v>
                </c:pt>
                <c:pt idx="106">
                  <c:v>0.15732854354991219</c:v>
                </c:pt>
                <c:pt idx="107">
                  <c:v>0.15491842570616113</c:v>
                </c:pt>
                <c:pt idx="108">
                  <c:v>0.15239821457204408</c:v>
                </c:pt>
                <c:pt idx="109">
                  <c:v>0.149767988518694</c:v>
                </c:pt>
                <c:pt idx="110">
                  <c:v>0.14702825408876621</c:v>
                </c:pt>
                <c:pt idx="111">
                  <c:v>0.14417950536550717</c:v>
                </c:pt>
                <c:pt idx="112">
                  <c:v>0.14122181299241607</c:v>
                </c:pt>
                <c:pt idx="113">
                  <c:v>0.13809245432754783</c:v>
                </c:pt>
                <c:pt idx="114">
                  <c:v>0.13482266003386889</c:v>
                </c:pt>
                <c:pt idx="115">
                  <c:v>0.13141253959231752</c:v>
                </c:pt>
                <c:pt idx="116">
                  <c:v>0.12786220972072138</c:v>
                </c:pt>
                <c:pt idx="117">
                  <c:v>0.12417179468328858</c:v>
                </c:pt>
                <c:pt idx="118">
                  <c:v>0.12034142659872121</c:v>
                </c:pt>
                <c:pt idx="119">
                  <c:v>0.11637124574872303</c:v>
                </c:pt>
                <c:pt idx="120">
                  <c:v>0.11226140088632651</c:v>
                </c:pt>
                <c:pt idx="121">
                  <c:v>0.10799829882425928</c:v>
                </c:pt>
                <c:pt idx="122">
                  <c:v>0.10366024967746985</c:v>
                </c:pt>
                <c:pt idx="123">
                  <c:v>9.9247377911063486E-2</c:v>
                </c:pt>
                <c:pt idx="124">
                  <c:v>9.4759814960205122E-2</c:v>
                </c:pt>
                <c:pt idx="125">
                  <c:v>9.0197699398385803E-2</c:v>
                </c:pt>
                <c:pt idx="126">
                  <c:v>8.5561177104269026E-2</c:v>
                </c:pt>
                <c:pt idx="127">
                  <c:v>8.0973557053231129E-2</c:v>
                </c:pt>
                <c:pt idx="128">
                  <c:v>7.6497444274180065E-2</c:v>
                </c:pt>
                <c:pt idx="129">
                  <c:v>7.2132829140186969E-2</c:v>
                </c:pt>
                <c:pt idx="130">
                  <c:v>6.7879700489139841E-2</c:v>
                </c:pt>
                <c:pt idx="131">
                  <c:v>6.3738045382794803E-2</c:v>
                </c:pt>
                <c:pt idx="132">
                  <c:v>5.970784886667016E-2</c:v>
                </c:pt>
                <c:pt idx="133">
                  <c:v>5.5789093730306001E-2</c:v>
                </c:pt>
                <c:pt idx="134">
                  <c:v>5.198176026712592E-2</c:v>
                </c:pt>
                <c:pt idx="135">
                  <c:v>4.8418834418194785E-2</c:v>
                </c:pt>
                <c:pt idx="136">
                  <c:v>4.5113824830527116E-2</c:v>
                </c:pt>
                <c:pt idx="137">
                  <c:v>4.2066527474950183E-2</c:v>
                </c:pt>
                <c:pt idx="138">
                  <c:v>3.9276725752227917E-2</c:v>
                </c:pt>
                <c:pt idx="139">
                  <c:v>3.6744189931205491E-2</c:v>
                </c:pt>
                <c:pt idx="140">
                  <c:v>3.446867658464773E-2</c:v>
                </c:pt>
                <c:pt idx="141">
                  <c:v>3.2468698011551542E-2</c:v>
                </c:pt>
                <c:pt idx="142">
                  <c:v>3.0621317389600927E-2</c:v>
                </c:pt>
                <c:pt idx="143">
                  <c:v>2.8926286509868681E-2</c:v>
                </c:pt>
                <c:pt idx="144">
                  <c:v>2.7383535897040207E-2</c:v>
                </c:pt>
                <c:pt idx="145">
                  <c:v>2.5992969300108373E-2</c:v>
                </c:pt>
                <c:pt idx="146">
                  <c:v>2.4754465726141581E-2</c:v>
                </c:pt>
                <c:pt idx="147">
                  <c:v>2.3667881474977333E-2</c:v>
                </c:pt>
                <c:pt idx="148">
                  <c:v>2.2733052173251649E-2</c:v>
                </c:pt>
                <c:pt idx="149">
                  <c:v>2.1945997922725918E-2</c:v>
                </c:pt>
                <c:pt idx="150">
                  <c:v>2.1174464174253092E-2</c:v>
                </c:pt>
                <c:pt idx="151">
                  <c:v>2.0418479606561787E-2</c:v>
                </c:pt>
                <c:pt idx="152">
                  <c:v>1.9678067894993198E-2</c:v>
                </c:pt>
                <c:pt idx="153">
                  <c:v>1.8953247912314012E-2</c:v>
                </c:pt>
                <c:pt idx="154">
                  <c:v>1.824403392964755E-2</c:v>
                </c:pt>
                <c:pt idx="155">
                  <c:v>1.7573122504449021E-2</c:v>
                </c:pt>
                <c:pt idx="156">
                  <c:v>1.6921863464905072E-2</c:v>
                </c:pt>
                <c:pt idx="157">
                  <c:v>1.629025059831684E-2</c:v>
                </c:pt>
                <c:pt idx="158">
                  <c:v>1.5678273988216661E-2</c:v>
                </c:pt>
                <c:pt idx="159">
                  <c:v>1.5085920270159684E-2</c:v>
                </c:pt>
                <c:pt idx="160">
                  <c:v>1.4513172887713865E-2</c:v>
                </c:pt>
                <c:pt idx="161">
                  <c:v>1.3960012348267915E-2</c:v>
                </c:pt>
                <c:pt idx="162">
                  <c:v>1.3426416478926853E-2</c:v>
                </c:pt>
                <c:pt idx="163">
                  <c:v>1.2937045031378087E-2</c:v>
                </c:pt>
                <c:pt idx="164">
                  <c:v>1.2495587329020064E-2</c:v>
                </c:pt>
                <c:pt idx="165">
                  <c:v>1.2101963470208817E-2</c:v>
                </c:pt>
                <c:pt idx="166">
                  <c:v>1.1756093687423086E-2</c:v>
                </c:pt>
                <c:pt idx="167">
                  <c:v>1.1457898989978963E-2</c:v>
                </c:pt>
                <c:pt idx="168">
                  <c:v>1.1207301807131144E-2</c:v>
                </c:pt>
                <c:pt idx="169">
                  <c:v>1.1028823541298178E-2</c:v>
                </c:pt>
                <c:pt idx="170">
                  <c:v>1.0899870879386694E-2</c:v>
                </c:pt>
                <c:pt idx="171">
                  <c:v>1.0820372239652787E-2</c:v>
                </c:pt>
                <c:pt idx="172">
                  <c:v>1.0790260392603798E-2</c:v>
                </c:pt>
                <c:pt idx="173">
                  <c:v>1.0809362594741355E-2</c:v>
                </c:pt>
                <c:pt idx="174">
                  <c:v>1.087750311020988E-2</c:v>
                </c:pt>
                <c:pt idx="175">
                  <c:v>1.0994613957978185E-2</c:v>
                </c:pt>
                <c:pt idx="176">
                  <c:v>1.1160627480528366E-2</c:v>
                </c:pt>
                <c:pt idx="177">
                  <c:v>1.1397876721141016E-2</c:v>
                </c:pt>
                <c:pt idx="178">
                  <c:v>1.1681778206730461E-2</c:v>
                </c:pt>
                <c:pt idx="179">
                  <c:v>1.2012270289270023E-2</c:v>
                </c:pt>
                <c:pt idx="180">
                  <c:v>1.2389292806285321E-2</c:v>
                </c:pt>
                <c:pt idx="181">
                  <c:v>1.2812787356086571E-2</c:v>
                </c:pt>
                <c:pt idx="182">
                  <c:v>1.328269757310338E-2</c:v>
                </c:pt>
                <c:pt idx="183">
                  <c:v>1.379524516841501E-2</c:v>
                </c:pt>
                <c:pt idx="184">
                  <c:v>1.4325972159432236E-2</c:v>
                </c:pt>
                <c:pt idx="185">
                  <c:v>1.4874869695878278E-2</c:v>
                </c:pt>
                <c:pt idx="186">
                  <c:v>1.5441930908339273E-2</c:v>
                </c:pt>
                <c:pt idx="187">
                  <c:v>1.6027151017888094E-2</c:v>
                </c:pt>
                <c:pt idx="188">
                  <c:v>1.6630527445818326E-2</c:v>
                </c:pt>
                <c:pt idx="189">
                  <c:v>1.7252059922888981E-2</c:v>
                </c:pt>
                <c:pt idx="190">
                  <c:v>1.789175059925658E-2</c:v>
                </c:pt>
                <c:pt idx="191">
                  <c:v>1.8567872905810433E-2</c:v>
                </c:pt>
                <c:pt idx="192">
                  <c:v>1.9258167578162743E-2</c:v>
                </c:pt>
                <c:pt idx="193">
                  <c:v>1.9962650089841678E-2</c:v>
                </c:pt>
                <c:pt idx="194">
                  <c:v>2.068133853878219E-2</c:v>
                </c:pt>
                <c:pt idx="195">
                  <c:v>2.1414253733789829E-2</c:v>
                </c:pt>
                <c:pt idx="196">
                  <c:v>2.2161419280248566E-2</c:v>
                </c:pt>
                <c:pt idx="197">
                  <c:v>2.3051706068981038E-2</c:v>
                </c:pt>
                <c:pt idx="198">
                  <c:v>2.4088713350728885E-2</c:v>
                </c:pt>
                <c:pt idx="199">
                  <c:v>2.5272350092808312E-2</c:v>
                </c:pt>
                <c:pt idx="200">
                  <c:v>2.6602540739198221E-2</c:v>
                </c:pt>
                <c:pt idx="201">
                  <c:v>2.8079226081393436E-2</c:v>
                </c:pt>
                <c:pt idx="202">
                  <c:v>2.9702364129353152E-2</c:v>
                </c:pt>
                <c:pt idx="203">
                  <c:v>3.1471930983106133E-2</c:v>
                </c:pt>
                <c:pt idx="204">
                  <c:v>3.3387867787552088E-2</c:v>
                </c:pt>
                <c:pt idx="205">
                  <c:v>3.5568807907819258E-2</c:v>
                </c:pt>
                <c:pt idx="206">
                  <c:v>3.7996468220472382E-2</c:v>
                </c:pt>
                <c:pt idx="207">
                  <c:v>4.0670777242219368E-2</c:v>
                </c:pt>
                <c:pt idx="208">
                  <c:v>4.3591680604575599E-2</c:v>
                </c:pt>
                <c:pt idx="209">
                  <c:v>4.6759140286424562E-2</c:v>
                </c:pt>
                <c:pt idx="210">
                  <c:v>5.0173133848018893E-2</c:v>
                </c:pt>
                <c:pt idx="211">
                  <c:v>5.3820436455691865E-2</c:v>
                </c:pt>
                <c:pt idx="212">
                  <c:v>5.7572669544085582E-2</c:v>
                </c:pt>
                <c:pt idx="213">
                  <c:v>6.1429906758099943E-2</c:v>
                </c:pt>
                <c:pt idx="214">
                  <c:v>6.5392224484195363E-2</c:v>
                </c:pt>
                <c:pt idx="215">
                  <c:v>6.9459701523397047E-2</c:v>
                </c:pt>
                <c:pt idx="216">
                  <c:v>7.3632418764108185E-2</c:v>
                </c:pt>
                <c:pt idx="217">
                  <c:v>7.7910458855211959E-2</c:v>
                </c:pt>
                <c:pt idx="218">
                  <c:v>8.2293905878801824E-2</c:v>
                </c:pt>
                <c:pt idx="219">
                  <c:v>8.6722643974102939E-2</c:v>
                </c:pt>
                <c:pt idx="220">
                  <c:v>9.1078294680765212E-2</c:v>
                </c:pt>
                <c:pt idx="221">
                  <c:v>9.5360966663875266E-2</c:v>
                </c:pt>
                <c:pt idx="222">
                  <c:v>9.9570759093515607E-2</c:v>
                </c:pt>
                <c:pt idx="223">
                  <c:v>0.10370776187448538</c:v>
                </c:pt>
                <c:pt idx="224">
                  <c:v>0.10777205587383741</c:v>
                </c:pt>
                <c:pt idx="225">
                  <c:v>0.11168866702545166</c:v>
                </c:pt>
                <c:pt idx="226">
                  <c:v>0.11547086339997366</c:v>
                </c:pt>
                <c:pt idx="227">
                  <c:v>0.11911869751762492</c:v>
                </c:pt>
                <c:pt idx="228">
                  <c:v>0.12263221120385126</c:v>
                </c:pt>
                <c:pt idx="229">
                  <c:v>0.12601143600831777</c:v>
                </c:pt>
                <c:pt idx="230">
                  <c:v>0.1292563936257283</c:v>
                </c:pt>
                <c:pt idx="231">
                  <c:v>0.13236709631718738</c:v>
                </c:pt>
                <c:pt idx="232">
                  <c:v>0.13534354732880258</c:v>
                </c:pt>
                <c:pt idx="233">
                  <c:v>0.13815591368539393</c:v>
                </c:pt>
                <c:pt idx="234">
                  <c:v>0.14086438039930269</c:v>
                </c:pt>
                <c:pt idx="235">
                  <c:v>0.14346904641561409</c:v>
                </c:pt>
                <c:pt idx="236">
                  <c:v>0.14597005969629251</c:v>
                </c:pt>
                <c:pt idx="237">
                  <c:v>0.14836747676995668</c:v>
                </c:pt>
                <c:pt idx="238">
                  <c:v>0.15066135160289187</c:v>
                </c:pt>
                <c:pt idx="239">
                  <c:v>0.15301783615842349</c:v>
                </c:pt>
                <c:pt idx="240">
                  <c:v>0.15551211817297478</c:v>
                </c:pt>
                <c:pt idx="241">
                  <c:v>0.15814431663958542</c:v>
                </c:pt>
                <c:pt idx="242">
                  <c:v>0.16091455848889288</c:v>
                </c:pt>
                <c:pt idx="243">
                  <c:v>0.16382297883105149</c:v>
                </c:pt>
                <c:pt idx="244">
                  <c:v>0.16686972119682184</c:v>
                </c:pt>
                <c:pt idx="245">
                  <c:v>0.17005493777693567</c:v>
                </c:pt>
                <c:pt idx="246">
                  <c:v>0.17337878966106882</c:v>
                </c:pt>
                <c:pt idx="247">
                  <c:v>0.17707010953724542</c:v>
                </c:pt>
                <c:pt idx="248">
                  <c:v>0.18115905454160097</c:v>
                </c:pt>
                <c:pt idx="249">
                  <c:v>0.18564594654519037</c:v>
                </c:pt>
                <c:pt idx="250">
                  <c:v>0.19053113153987622</c:v>
                </c:pt>
                <c:pt idx="251">
                  <c:v>0.19581498033951195</c:v>
                </c:pt>
                <c:pt idx="252">
                  <c:v>0.20149788927333781</c:v>
                </c:pt>
                <c:pt idx="253">
                  <c:v>0.20761289718590967</c:v>
                </c:pt>
                <c:pt idx="254">
                  <c:v>0.21399400644322833</c:v>
                </c:pt>
                <c:pt idx="255">
                  <c:v>0.22064160672519925</c:v>
                </c:pt>
                <c:pt idx="256">
                  <c:v>0.22755610789791667</c:v>
                </c:pt>
                <c:pt idx="257">
                  <c:v>0.23473794047241089</c:v>
                </c:pt>
                <c:pt idx="258">
                  <c:v>0.24218755606536227</c:v>
                </c:pt>
                <c:pt idx="259">
                  <c:v>0.24990542786329542</c:v>
                </c:pt>
                <c:pt idx="260">
                  <c:v>0.25789205107959506</c:v>
                </c:pt>
                <c:pt idx="261">
                  <c:v>0.26605565393594066</c:v>
                </c:pt>
                <c:pt idx="262">
                  <c:v>0.27416727189398798</c:v>
                </c:pt>
                <c:pt idx="263">
                  <c:v>0.28222717108662337</c:v>
                </c:pt>
                <c:pt idx="264">
                  <c:v>0.29023563314869172</c:v>
                </c:pt>
                <c:pt idx="265">
                  <c:v>0.29819454058062794</c:v>
                </c:pt>
                <c:pt idx="266">
                  <c:v>0.30610514305597175</c:v>
                </c:pt>
                <c:pt idx="267">
                  <c:v>0.31387563979492256</c:v>
                </c:pt>
                <c:pt idx="268">
                  <c:v>0.32147318523178503</c:v>
                </c:pt>
                <c:pt idx="269">
                  <c:v>0.32889760211512381</c:v>
                </c:pt>
                <c:pt idx="270">
                  <c:v>0.3361486621200338</c:v>
                </c:pt>
                <c:pt idx="271">
                  <c:v>0.34322608787243536</c:v>
                </c:pt>
                <c:pt idx="272">
                  <c:v>0.35012955498214554</c:v>
                </c:pt>
                <c:pt idx="273">
                  <c:v>0.35685869407172954</c:v>
                </c:pt>
                <c:pt idx="274">
                  <c:v>0.36341309280987771</c:v>
                </c:pt>
                <c:pt idx="275">
                  <c:v>0.36972730592608793</c:v>
                </c:pt>
                <c:pt idx="276">
                  <c:v>0.37589358970037584</c:v>
                </c:pt>
                <c:pt idx="277">
                  <c:v>0.3819114552910019</c:v>
                </c:pt>
                <c:pt idx="278">
                  <c:v>0.38778038045170965</c:v>
                </c:pt>
                <c:pt idx="279">
                  <c:v>0.39349981125601291</c:v>
                </c:pt>
                <c:pt idx="280">
                  <c:v>0.39906916382512075</c:v>
                </c:pt>
                <c:pt idx="281">
                  <c:v>0.40461262561984462</c:v>
                </c:pt>
                <c:pt idx="282">
                  <c:v>0.41022226913212506</c:v>
                </c:pt>
                <c:pt idx="283">
                  <c:v>0.41589777239360698</c:v>
                </c:pt>
                <c:pt idx="284">
                  <c:v>0.42163879016316946</c:v>
                </c:pt>
                <c:pt idx="285">
                  <c:v>0.42744495327312265</c:v>
                </c:pt>
                <c:pt idx="286">
                  <c:v>0.43331586797942773</c:v>
                </c:pt>
                <c:pt idx="287">
                  <c:v>0.43925111530778826</c:v>
                </c:pt>
                <c:pt idx="288">
                  <c:v>0.4452502504013145</c:v>
                </c:pt>
                <c:pt idx="289">
                  <c:v>0.45147342809144164</c:v>
                </c:pt>
                <c:pt idx="290">
                  <c:v>0.45798588408719582</c:v>
                </c:pt>
                <c:pt idx="291">
                  <c:v>0.46478742235005882</c:v>
                </c:pt>
                <c:pt idx="292">
                  <c:v>0.47187780615578329</c:v>
                </c:pt>
                <c:pt idx="293">
                  <c:v>0.47925675497925685</c:v>
                </c:pt>
                <c:pt idx="294">
                  <c:v>0.48692394137763467</c:v>
                </c:pt>
                <c:pt idx="295">
                  <c:v>0.49473848131039017</c:v>
                </c:pt>
                <c:pt idx="296">
                  <c:v>0.50258011613788234</c:v>
                </c:pt>
                <c:pt idx="297">
                  <c:v>0.51045260750934052</c:v>
                </c:pt>
                <c:pt idx="298">
                  <c:v>0.51835566027116664</c:v>
                </c:pt>
                <c:pt idx="299">
                  <c:v>0.52628895172445023</c:v>
                </c:pt>
                <c:pt idx="300">
                  <c:v>0.53425213143616535</c:v>
                </c:pt>
                <c:pt idx="301">
                  <c:v>0.54224482104880589</c:v>
                </c:pt>
                <c:pt idx="302">
                  <c:v>0.55026661409119504</c:v>
                </c:pt>
                <c:pt idx="303">
                  <c:v>0.55824750885348473</c:v>
                </c:pt>
                <c:pt idx="304">
                  <c:v>0.566025176649954</c:v>
                </c:pt>
                <c:pt idx="305">
                  <c:v>0.57359879540460867</c:v>
                </c:pt>
                <c:pt idx="306">
                  <c:v>0.58096751656425172</c:v>
                </c:pt>
                <c:pt idx="307">
                  <c:v>0.58813046703905814</c:v>
                </c:pt>
                <c:pt idx="308">
                  <c:v>0.59508675113823062</c:v>
                </c:pt>
                <c:pt idx="309">
                  <c:v>0.60190147075888989</c:v>
                </c:pt>
                <c:pt idx="310">
                  <c:v>0.60871532862546041</c:v>
                </c:pt>
                <c:pt idx="311">
                  <c:v>0.61552765285400313</c:v>
                </c:pt>
                <c:pt idx="312">
                  <c:v>0.62233774770367845</c:v>
                </c:pt>
                <c:pt idx="313">
                  <c:v>0.62914489361368087</c:v>
                </c:pt>
                <c:pt idx="314">
                  <c:v>0.63594834723453253</c:v>
                </c:pt>
                <c:pt idx="315">
                  <c:v>0.64274734146725276</c:v>
                </c:pt>
                <c:pt idx="316">
                  <c:v>0.64954108549279166</c:v>
                </c:pt>
                <c:pt idx="317">
                  <c:v>0.65615276136445877</c:v>
                </c:pt>
                <c:pt idx="318">
                  <c:v>0.66265135999220726</c:v>
                </c:pt>
                <c:pt idx="319">
                  <c:v>0.66903590956648784</c:v>
                </c:pt>
                <c:pt idx="320">
                  <c:v>0.67530542446062614</c:v>
                </c:pt>
                <c:pt idx="321">
                  <c:v>0.68145890623679517</c:v>
                </c:pt>
                <c:pt idx="322">
                  <c:v>0.68749534465498607</c:v>
                </c:pt>
                <c:pt idx="323">
                  <c:v>0.69320087265844721</c:v>
                </c:pt>
                <c:pt idx="324">
                  <c:v>0.69850787465748088</c:v>
                </c:pt>
                <c:pt idx="325">
                  <c:v>0.70341505751504796</c:v>
                </c:pt>
                <c:pt idx="326">
                  <c:v>0.70791675022809086</c:v>
                </c:pt>
                <c:pt idx="327">
                  <c:v>0.71201016252791893</c:v>
                </c:pt>
                <c:pt idx="328">
                  <c:v>0.71569619061668144</c:v>
                </c:pt>
                <c:pt idx="329">
                  <c:v>0.71897582518166769</c:v>
                </c:pt>
                <c:pt idx="330">
                  <c:v>0.72185014328041086</c:v>
                </c:pt>
                <c:pt idx="331">
                  <c:v>0.72424933218716214</c:v>
                </c:pt>
                <c:pt idx="332">
                  <c:v>0.72635126569076025</c:v>
                </c:pt>
                <c:pt idx="333">
                  <c:v>0.72815726061125741</c:v>
                </c:pt>
                <c:pt idx="334">
                  <c:v>0.72966867787216039</c:v>
                </c:pt>
                <c:pt idx="335">
                  <c:v>0.73088691659576133</c:v>
                </c:pt>
                <c:pt idx="336">
                  <c:v>0.7318134081889015</c:v>
                </c:pt>
                <c:pt idx="337">
                  <c:v>0.73243110336776229</c:v>
                </c:pt>
                <c:pt idx="338">
                  <c:v>0.73295475439398972</c:v>
                </c:pt>
                <c:pt idx="339">
                  <c:v>0.73338586887692803</c:v>
                </c:pt>
                <c:pt idx="340">
                  <c:v>0.7337259604690024</c:v>
                </c:pt>
                <c:pt idx="341">
                  <c:v>0.73397654700759496</c:v>
                </c:pt>
                <c:pt idx="342">
                  <c:v>0.73413914865634144</c:v>
                </c:pt>
                <c:pt idx="343">
                  <c:v>0.73421528603757302</c:v>
                </c:pt>
                <c:pt idx="344">
                  <c:v>0.73420647837628283</c:v>
                </c:pt>
                <c:pt idx="345">
                  <c:v>0.73411424163634498</c:v>
                </c:pt>
                <c:pt idx="346">
                  <c:v>0.7340267895225403</c:v>
                </c:pt>
                <c:pt idx="347">
                  <c:v>0.73394564317038513</c:v>
                </c:pt>
                <c:pt idx="348">
                  <c:v>0.73387232243890033</c:v>
                </c:pt>
                <c:pt idx="349">
                  <c:v>0.73380834584573318</c:v>
                </c:pt>
                <c:pt idx="350">
                  <c:v>0.73375523051946201</c:v>
                </c:pt>
                <c:pt idx="351">
                  <c:v>0.73373018751098129</c:v>
                </c:pt>
                <c:pt idx="352">
                  <c:v>0.7337532630523449</c:v>
                </c:pt>
                <c:pt idx="353">
                  <c:v>0.73382598985426262</c:v>
                </c:pt>
                <c:pt idx="354">
                  <c:v>0.73394990468594834</c:v>
                </c:pt>
                <c:pt idx="355">
                  <c:v>0.73412654899058249</c:v>
                </c:pt>
                <c:pt idx="356">
                  <c:v>0.73435797702142314</c:v>
                </c:pt>
                <c:pt idx="357">
                  <c:v>0.73464410506869748</c:v>
                </c:pt>
                <c:pt idx="358">
                  <c:v>0.73498308545794588</c:v>
                </c:pt>
                <c:pt idx="359">
                  <c:v>0.73537307518354</c:v>
                </c:pt>
                <c:pt idx="360">
                  <c:v>0.73579366812493718</c:v>
                </c:pt>
                <c:pt idx="361">
                  <c:v>0.7362272654654225</c:v>
                </c:pt>
                <c:pt idx="362">
                  <c:v>0.7366719888173664</c:v>
                </c:pt>
                <c:pt idx="363">
                  <c:v>0.7371259580851931</c:v>
                </c:pt>
                <c:pt idx="364">
                  <c:v>0.7375872915502838</c:v>
                </c:pt>
                <c:pt idx="365">
                  <c:v>0.73805410594683185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0.85357806620388721</c:v>
                </c:pt>
                <c:pt idx="1">
                  <c:v>0.85613177940858243</c:v>
                </c:pt>
                <c:pt idx="2">
                  <c:v>0.85860796003586715</c:v>
                </c:pt>
                <c:pt idx="3">
                  <c:v>0.86100432849394948</c:v>
                </c:pt>
                <c:pt idx="4">
                  <c:v>0.86331858277294771</c:v>
                </c:pt>
                <c:pt idx="5">
                  <c:v>0.86554840060416416</c:v>
                </c:pt>
                <c:pt idx="6">
                  <c:v>0.86769144163042178</c:v>
                </c:pt>
                <c:pt idx="7">
                  <c:v>0.86974534955695426</c:v>
                </c:pt>
                <c:pt idx="8">
                  <c:v>0.87170775431434588</c:v>
                </c:pt>
                <c:pt idx="9">
                  <c:v>0.87332619108810405</c:v>
                </c:pt>
                <c:pt idx="10">
                  <c:v>0.87457679605560013</c:v>
                </c:pt>
                <c:pt idx="11">
                  <c:v>0.87545684551705416</c:v>
                </c:pt>
                <c:pt idx="12">
                  <c:v>0.8759636448302579</c:v>
                </c:pt>
                <c:pt idx="13">
                  <c:v>0.87609453746980503</c:v>
                </c:pt>
                <c:pt idx="14">
                  <c:v>0.87584691407132209</c:v>
                </c:pt>
                <c:pt idx="15">
                  <c:v>0.87492102298533558</c:v>
                </c:pt>
                <c:pt idx="16">
                  <c:v>0.87342052578006668</c:v>
                </c:pt>
                <c:pt idx="17">
                  <c:v>0.87134288875615296</c:v>
                </c:pt>
                <c:pt idx="18">
                  <c:v>0.86868570425734692</c:v>
                </c:pt>
                <c:pt idx="19">
                  <c:v>0.8654515319542373</c:v>
                </c:pt>
                <c:pt idx="20">
                  <c:v>0.8616451713641784</c:v>
                </c:pt>
                <c:pt idx="21">
                  <c:v>0.85726772674439844</c:v>
                </c:pt>
                <c:pt idx="22">
                  <c:v>0.8523203625844824</c:v>
                </c:pt>
                <c:pt idx="23">
                  <c:v>0.84682533668027515</c:v>
                </c:pt>
                <c:pt idx="24">
                  <c:v>0.8410349685633155</c:v>
                </c:pt>
                <c:pt idx="25">
                  <c:v>0.83495060702543134</c:v>
                </c:pt>
                <c:pt idx="26">
                  <c:v>0.82857360360268983</c:v>
                </c:pt>
                <c:pt idx="27">
                  <c:v>0.82190530910834325</c:v>
                </c:pt>
                <c:pt idx="28">
                  <c:v>0.81494707018376333</c:v>
                </c:pt>
                <c:pt idx="29">
                  <c:v>0.8076622385002199</c:v>
                </c:pt>
                <c:pt idx="30">
                  <c:v>0.80034983708096252</c:v>
                </c:pt>
                <c:pt idx="31">
                  <c:v>0.79301115298157521</c:v>
                </c:pt>
                <c:pt idx="32">
                  <c:v>0.78564743798376224</c:v>
                </c:pt>
                <c:pt idx="33">
                  <c:v>0.77825990838195236</c:v>
                </c:pt>
                <c:pt idx="34">
                  <c:v>0.77084974477349522</c:v>
                </c:pt>
                <c:pt idx="35">
                  <c:v>0.76341809184812615</c:v>
                </c:pt>
                <c:pt idx="36">
                  <c:v>0.75596605817580143</c:v>
                </c:pt>
                <c:pt idx="37">
                  <c:v>0.74829414974435204</c:v>
                </c:pt>
                <c:pt idx="38">
                  <c:v>0.7403824215842576</c:v>
                </c:pt>
                <c:pt idx="39">
                  <c:v>0.73223193261642461</c:v>
                </c:pt>
                <c:pt idx="40">
                  <c:v>0.72384370505840279</c:v>
                </c:pt>
                <c:pt idx="41">
                  <c:v>0.71521872144546506</c:v>
                </c:pt>
                <c:pt idx="42">
                  <c:v>0.70635792164649114</c:v>
                </c:pt>
                <c:pt idx="43">
                  <c:v>0.69744007025140742</c:v>
                </c:pt>
                <c:pt idx="44">
                  <c:v>0.68850391681404288</c:v>
                </c:pt>
                <c:pt idx="45">
                  <c:v>0.67955020940901434</c:v>
                </c:pt>
                <c:pt idx="46">
                  <c:v>0.670579650881862</c:v>
                </c:pt>
                <c:pt idx="47">
                  <c:v>0.66159289857139447</c:v>
                </c:pt>
                <c:pt idx="48">
                  <c:v>0.65259056402310722</c:v>
                </c:pt>
                <c:pt idx="49">
                  <c:v>0.64357321270873358</c:v>
                </c:pt>
                <c:pt idx="50">
                  <c:v>0.63454136374172954</c:v>
                </c:pt>
                <c:pt idx="51">
                  <c:v>0.62550033877079725</c:v>
                </c:pt>
                <c:pt idx="52">
                  <c:v>0.61664754863339311</c:v>
                </c:pt>
                <c:pt idx="53">
                  <c:v>0.6079795227975977</c:v>
                </c:pt>
                <c:pt idx="54">
                  <c:v>0.59949595224667873</c:v>
                </c:pt>
                <c:pt idx="55">
                  <c:v>0.5911965437991954</c:v>
                </c:pt>
                <c:pt idx="56">
                  <c:v>0.58308101943307822</c:v>
                </c:pt>
                <c:pt idx="57">
                  <c:v>0.57509446835031253</c:v>
                </c:pt>
                <c:pt idx="58">
                  <c:v>0.56705884623777891</c:v>
                </c:pt>
                <c:pt idx="59">
                  <c:v>0.55897391192106194</c:v>
                </c:pt>
                <c:pt idx="60">
                  <c:v>0.55083943585295181</c:v>
                </c:pt>
                <c:pt idx="61">
                  <c:v>0.54265520029786307</c:v>
                </c:pt>
                <c:pt idx="62">
                  <c:v>0.53442099951543798</c:v>
                </c:pt>
                <c:pt idx="63">
                  <c:v>0.52613663994578586</c:v>
                </c:pt>
                <c:pt idx="64">
                  <c:v>0.51780194039256311</c:v>
                </c:pt>
                <c:pt idx="65">
                  <c:v>0.50976689152270882</c:v>
                </c:pt>
                <c:pt idx="66">
                  <c:v>0.50202649131900323</c:v>
                </c:pt>
                <c:pt idx="67">
                  <c:v>0.49458059597688575</c:v>
                </c:pt>
                <c:pt idx="68">
                  <c:v>0.48742906949633746</c:v>
                </c:pt>
                <c:pt idx="69">
                  <c:v>0.48057178258705552</c:v>
                </c:pt>
                <c:pt idx="70">
                  <c:v>0.4740086115759759</c:v>
                </c:pt>
                <c:pt idx="71">
                  <c:v>0.46750047865191224</c:v>
                </c:pt>
                <c:pt idx="72">
                  <c:v>0.46110192644101161</c:v>
                </c:pt>
                <c:pt idx="73">
                  <c:v>0.45481285460771637</c:v>
                </c:pt>
                <c:pt idx="74">
                  <c:v>0.44863316941970655</c:v>
                </c:pt>
                <c:pt idx="75">
                  <c:v>0.44256278333722382</c:v>
                </c:pt>
                <c:pt idx="76">
                  <c:v>0.43660161460098323</c:v>
                </c:pt>
                <c:pt idx="77">
                  <c:v>0.43074958682154157</c:v>
                </c:pt>
                <c:pt idx="78">
                  <c:v>0.42500664267784682</c:v>
                </c:pt>
                <c:pt idx="79">
                  <c:v>0.41885402873132449</c:v>
                </c:pt>
                <c:pt idx="80">
                  <c:v>0.41194277036555998</c:v>
                </c:pt>
                <c:pt idx="81">
                  <c:v>0.40427284620703563</c:v>
                </c:pt>
                <c:pt idx="82">
                  <c:v>0.39584424590666539</c:v>
                </c:pt>
                <c:pt idx="83">
                  <c:v>0.38665697257155962</c:v>
                </c:pt>
                <c:pt idx="84">
                  <c:v>0.37671104519809456</c:v>
                </c:pt>
                <c:pt idx="85">
                  <c:v>0.36635346828278015</c:v>
                </c:pt>
                <c:pt idx="86">
                  <c:v>0.35582306050542034</c:v>
                </c:pt>
                <c:pt idx="87">
                  <c:v>0.34511980169660067</c:v>
                </c:pt>
                <c:pt idx="88">
                  <c:v>0.33424368765787332</c:v>
                </c:pt>
                <c:pt idx="89">
                  <c:v>0.3231947307169607</c:v>
                </c:pt>
                <c:pt idx="90">
                  <c:v>0.31197296028227739</c:v>
                </c:pt>
                <c:pt idx="91">
                  <c:v>0.30057842339870178</c:v>
                </c:pt>
                <c:pt idx="92">
                  <c:v>0.28901118530242698</c:v>
                </c:pt>
                <c:pt idx="93">
                  <c:v>0.27773729302512856</c:v>
                </c:pt>
                <c:pt idx="94">
                  <c:v>0.26727660622906713</c:v>
                </c:pt>
                <c:pt idx="95">
                  <c:v>0.25762898598053408</c:v>
                </c:pt>
                <c:pt idx="96">
                  <c:v>0.24879428249431051</c:v>
                </c:pt>
                <c:pt idx="97">
                  <c:v>0.24077233252952901</c:v>
                </c:pt>
                <c:pt idx="98">
                  <c:v>0.23356295678317526</c:v>
                </c:pt>
                <c:pt idx="99">
                  <c:v>0.22719296882089213</c:v>
                </c:pt>
                <c:pt idx="100">
                  <c:v>0.22131558847032948</c:v>
                </c:pt>
                <c:pt idx="101">
                  <c:v>0.21593068930555442</c:v>
                </c:pt>
                <c:pt idx="102">
                  <c:v>0.21103813201840993</c:v>
                </c:pt>
                <c:pt idx="103">
                  <c:v>0.20663776283585772</c:v>
                </c:pt>
                <c:pt idx="104">
                  <c:v>0.20272941194231481</c:v>
                </c:pt>
                <c:pt idx="105">
                  <c:v>0.19931289189735979</c:v>
                </c:pt>
                <c:pt idx="106">
                  <c:v>0.19638799605598714</c:v>
                </c:pt>
                <c:pt idx="107">
                  <c:v>0.19385225145445933</c:v>
                </c:pt>
                <c:pt idx="108">
                  <c:v>0.19124037534679733</c:v>
                </c:pt>
                <c:pt idx="109">
                  <c:v>0.18855241753429036</c:v>
                </c:pt>
                <c:pt idx="110">
                  <c:v>0.18578896454182567</c:v>
                </c:pt>
                <c:pt idx="111">
                  <c:v>0.18295059134937794</c:v>
                </c:pt>
                <c:pt idx="112">
                  <c:v>0.18003733937151783</c:v>
                </c:pt>
                <c:pt idx="113">
                  <c:v>0.17690412906915062</c:v>
                </c:pt>
                <c:pt idx="114">
                  <c:v>0.17352416059101514</c:v>
                </c:pt>
                <c:pt idx="115">
                  <c:v>0.16989760458050818</c:v>
                </c:pt>
                <c:pt idx="116">
                  <c:v>0.16602464231944397</c:v>
                </c:pt>
                <c:pt idx="117">
                  <c:v>0.16190546626992339</c:v>
                </c:pt>
                <c:pt idx="118">
                  <c:v>0.15754028061443254</c:v>
                </c:pt>
                <c:pt idx="119">
                  <c:v>0.15292930179644684</c:v>
                </c:pt>
                <c:pt idx="120">
                  <c:v>0.14807275906079748</c:v>
                </c:pt>
                <c:pt idx="121">
                  <c:v>0.14293842516182062</c:v>
                </c:pt>
                <c:pt idx="122">
                  <c:v>0.13762849024410947</c:v>
                </c:pt>
                <c:pt idx="123">
                  <c:v>0.13214316995952527</c:v>
                </c:pt>
                <c:pt idx="124">
                  <c:v>0.12648269198877232</c:v>
                </c:pt>
                <c:pt idx="125">
                  <c:v>0.1206472964309461</c:v>
                </c:pt>
                <c:pt idx="126">
                  <c:v>0.11463723619119431</c:v>
                </c:pt>
                <c:pt idx="127">
                  <c:v>0.10861510382893996</c:v>
                </c:pt>
                <c:pt idx="128">
                  <c:v>0.10272559724545385</c:v>
                </c:pt>
                <c:pt idx="129">
                  <c:v>9.6968716246519454E-2</c:v>
                </c:pt>
                <c:pt idx="130">
                  <c:v>9.1344459317407589E-2</c:v>
                </c:pt>
                <c:pt idx="131">
                  <c:v>8.5852823336695638E-2</c:v>
                </c:pt>
                <c:pt idx="132">
                  <c:v>8.0493803291216415E-2</c:v>
                </c:pt>
                <c:pt idx="133">
                  <c:v>7.526739199150026E-2</c:v>
                </c:pt>
                <c:pt idx="134">
                  <c:v>7.0173579786682511E-2</c:v>
                </c:pt>
                <c:pt idx="135">
                  <c:v>6.5399770249357489E-2</c:v>
                </c:pt>
                <c:pt idx="136">
                  <c:v>6.0978050382258744E-2</c:v>
                </c:pt>
                <c:pt idx="137">
                  <c:v>5.6908139068464474E-2</c:v>
                </c:pt>
                <c:pt idx="138">
                  <c:v>5.3189737948563118E-2</c:v>
                </c:pt>
                <c:pt idx="139">
                  <c:v>4.9822530653502006E-2</c:v>
                </c:pt>
                <c:pt idx="140">
                  <c:v>4.6806182034314837E-2</c:v>
                </c:pt>
                <c:pt idx="141">
                  <c:v>4.4179451605947211E-2</c:v>
                </c:pt>
                <c:pt idx="142">
                  <c:v>4.178025851535648E-2</c:v>
                </c:pt>
                <c:pt idx="143">
                  <c:v>3.96082311976396E-2</c:v>
                </c:pt>
                <c:pt idx="144">
                  <c:v>3.7663238829950062E-2</c:v>
                </c:pt>
                <c:pt idx="145">
                  <c:v>3.5945112537577761E-2</c:v>
                </c:pt>
                <c:pt idx="146">
                  <c:v>3.445364842977721E-2</c:v>
                </c:pt>
                <c:pt idx="147">
                  <c:v>3.3188610636868641E-2</c:v>
                </c:pt>
                <c:pt idx="148">
                  <c:v>3.2149734346427011E-2</c:v>
                </c:pt>
                <c:pt idx="149">
                  <c:v>3.1310192051213652E-2</c:v>
                </c:pt>
                <c:pt idx="150">
                  <c:v>3.0483634817354936E-2</c:v>
                </c:pt>
                <c:pt idx="151">
                  <c:v>2.9670109943028888E-2</c:v>
                </c:pt>
                <c:pt idx="152">
                  <c:v>2.8869659606731424E-2</c:v>
                </c:pt>
                <c:pt idx="153">
                  <c:v>2.8082321034612376E-2</c:v>
                </c:pt>
                <c:pt idx="154">
                  <c:v>2.7308126667981204E-2</c:v>
                </c:pt>
                <c:pt idx="155">
                  <c:v>2.6569071356956676E-2</c:v>
                </c:pt>
                <c:pt idx="156">
                  <c:v>2.5826349982776876E-2</c:v>
                </c:pt>
                <c:pt idx="157">
                  <c:v>2.5080013452200317E-2</c:v>
                </c:pt>
                <c:pt idx="158">
                  <c:v>2.433010879454478E-2</c:v>
                </c:pt>
                <c:pt idx="159">
                  <c:v>2.3576679101002303E-2</c:v>
                </c:pt>
                <c:pt idx="160">
                  <c:v>2.2819763464260359E-2</c:v>
                </c:pt>
                <c:pt idx="161">
                  <c:v>2.2059396917841968E-2</c:v>
                </c:pt>
                <c:pt idx="162">
                  <c:v>2.1295610375580639E-2</c:v>
                </c:pt>
                <c:pt idx="163">
                  <c:v>2.0569949765196924E-2</c:v>
                </c:pt>
                <c:pt idx="164">
                  <c:v>1.9908651675354803E-2</c:v>
                </c:pt>
                <c:pt idx="165">
                  <c:v>1.9311611738047667E-2</c:v>
                </c:pt>
                <c:pt idx="166">
                  <c:v>1.8778725398804867E-2</c:v>
                </c:pt>
                <c:pt idx="167">
                  <c:v>1.8309888778580946E-2</c:v>
                </c:pt>
                <c:pt idx="168">
                  <c:v>1.7904999536261783E-2</c:v>
                </c:pt>
                <c:pt idx="169">
                  <c:v>1.7605329852734289E-2</c:v>
                </c:pt>
                <c:pt idx="170">
                  <c:v>1.7388948106666014E-2</c:v>
                </c:pt>
                <c:pt idx="171">
                  <c:v>1.7255732606738142E-2</c:v>
                </c:pt>
                <c:pt idx="172">
                  <c:v>1.7205568982137223E-2</c:v>
                </c:pt>
                <c:pt idx="173">
                  <c:v>1.7238175032518035E-2</c:v>
                </c:pt>
                <c:pt idx="174">
                  <c:v>1.7353264016296367E-2</c:v>
                </c:pt>
                <c:pt idx="175">
                  <c:v>1.7550721036461377E-2</c:v>
                </c:pt>
                <c:pt idx="176">
                  <c:v>1.7830431740144578E-2</c:v>
                </c:pt>
                <c:pt idx="177">
                  <c:v>1.8213972322377054E-2</c:v>
                </c:pt>
                <c:pt idx="178">
                  <c:v>1.8660016749323785E-2</c:v>
                </c:pt>
                <c:pt idx="179">
                  <c:v>1.916848455954441E-2</c:v>
                </c:pt>
                <c:pt idx="180">
                  <c:v>1.9739297440743566E-2</c:v>
                </c:pt>
                <c:pt idx="181">
                  <c:v>2.0372379598865481E-2</c:v>
                </c:pt>
                <c:pt idx="182">
                  <c:v>2.1067658127352291E-2</c:v>
                </c:pt>
                <c:pt idx="183">
                  <c:v>2.1799034353058157E-2</c:v>
                </c:pt>
                <c:pt idx="184">
                  <c:v>2.2525418707757091E-2</c:v>
                </c:pt>
                <c:pt idx="185">
                  <c:v>2.3246843626943937E-2</c:v>
                </c:pt>
                <c:pt idx="186">
                  <c:v>2.3963343112903025E-2</c:v>
                </c:pt>
                <c:pt idx="187">
                  <c:v>2.4674952708868162E-2</c:v>
                </c:pt>
                <c:pt idx="188">
                  <c:v>2.538170947334787E-2</c:v>
                </c:pt>
                <c:pt idx="189">
                  <c:v>2.6083651953697089E-2</c:v>
                </c:pt>
                <c:pt idx="190">
                  <c:v>2.6780820160745341E-2</c:v>
                </c:pt>
                <c:pt idx="191">
                  <c:v>2.7511325250595946E-2</c:v>
                </c:pt>
                <c:pt idx="192">
                  <c:v>2.8253624573193494E-2</c:v>
                </c:pt>
                <c:pt idx="193">
                  <c:v>2.9007743687707074E-2</c:v>
                </c:pt>
                <c:pt idx="194">
                  <c:v>2.9773710747160544E-2</c:v>
                </c:pt>
                <c:pt idx="195">
                  <c:v>3.0551556570779886E-2</c:v>
                </c:pt>
                <c:pt idx="196">
                  <c:v>3.1341314715236782E-2</c:v>
                </c:pt>
                <c:pt idx="197">
                  <c:v>3.232457024291762E-2</c:v>
                </c:pt>
                <c:pt idx="198">
                  <c:v>3.3527043972322278E-2</c:v>
                </c:pt>
                <c:pt idx="199">
                  <c:v>3.4948583891539896E-2</c:v>
                </c:pt>
                <c:pt idx="200">
                  <c:v>3.6589060270050607E-2</c:v>
                </c:pt>
                <c:pt idx="201">
                  <c:v>3.8448366958655021E-2</c:v>
                </c:pt>
                <c:pt idx="202">
                  <c:v>4.0526422689543179E-2</c:v>
                </c:pt>
                <c:pt idx="203">
                  <c:v>4.2823172377259293E-2</c:v>
                </c:pt>
                <c:pt idx="204">
                  <c:v>4.5338515204202789E-2</c:v>
                </c:pt>
                <c:pt idx="205">
                  <c:v>4.822879550790822E-2</c:v>
                </c:pt>
                <c:pt idx="206">
                  <c:v>5.1455974216567515E-2</c:v>
                </c:pt>
                <c:pt idx="207">
                  <c:v>5.5019950213408983E-2</c:v>
                </c:pt>
                <c:pt idx="208">
                  <c:v>5.8920645858306066E-2</c:v>
                </c:pt>
                <c:pt idx="209">
                  <c:v>6.3158005939946707E-2</c:v>
                </c:pt>
                <c:pt idx="210">
                  <c:v>6.7731996629950275E-2</c:v>
                </c:pt>
                <c:pt idx="211">
                  <c:v>7.2611394396314227E-2</c:v>
                </c:pt>
                <c:pt idx="212">
                  <c:v>7.7615308961812818E-2</c:v>
                </c:pt>
                <c:pt idx="213">
                  <c:v>8.2743844760518243E-2</c:v>
                </c:pt>
                <c:pt idx="214">
                  <c:v>8.7997108797305754E-2</c:v>
                </c:pt>
                <c:pt idx="215">
                  <c:v>9.3375210259675726E-2</c:v>
                </c:pt>
                <c:pt idx="216">
                  <c:v>9.8878260129317899E-2</c:v>
                </c:pt>
                <c:pt idx="217">
                  <c:v>0.10450637079406315</c:v>
                </c:pt>
                <c:pt idx="218">
                  <c:v>0.11025965565933545</c:v>
                </c:pt>
                <c:pt idx="219">
                  <c:v>0.11599910645843195</c:v>
                </c:pt>
                <c:pt idx="220">
                  <c:v>0.12156870396810801</c:v>
                </c:pt>
                <c:pt idx="221">
                  <c:v>0.12696859796801119</c:v>
                </c:pt>
                <c:pt idx="222">
                  <c:v>0.13219892185421725</c:v>
                </c:pt>
                <c:pt idx="223">
                  <c:v>0.13725979317061446</c:v>
                </c:pt>
                <c:pt idx="224">
                  <c:v>0.14215131413737098</c:v>
                </c:pt>
                <c:pt idx="225">
                  <c:v>0.14677568979247255</c:v>
                </c:pt>
                <c:pt idx="226">
                  <c:v>0.15116417294504603</c:v>
                </c:pt>
                <c:pt idx="227">
                  <c:v>0.15531681983213375</c:v>
                </c:pt>
                <c:pt idx="228">
                  <c:v>0.15923367073377254</c:v>
                </c:pt>
                <c:pt idx="229">
                  <c:v>0.16291475070781425</c:v>
                </c:pt>
                <c:pt idx="230">
                  <c:v>0.16636007032713868</c:v>
                </c:pt>
                <c:pt idx="231">
                  <c:v>0.16956962641754664</c:v>
                </c:pt>
                <c:pt idx="232">
                  <c:v>0.17254340279209757</c:v>
                </c:pt>
                <c:pt idx="233">
                  <c:v>0.17530720502251962</c:v>
                </c:pt>
                <c:pt idx="234">
                  <c:v>0.17800012342805821</c:v>
                </c:pt>
                <c:pt idx="235">
                  <c:v>0.1806222799048062</c:v>
                </c:pt>
                <c:pt idx="236">
                  <c:v>0.18317385859213464</c:v>
                </c:pt>
                <c:pt idx="237">
                  <c:v>0.18565492957581392</c:v>
                </c:pt>
                <c:pt idx="238">
                  <c:v>0.18806556176496769</c:v>
                </c:pt>
                <c:pt idx="239">
                  <c:v>0.19085139335745446</c:v>
                </c:pt>
                <c:pt idx="240">
                  <c:v>0.19411055599682986</c:v>
                </c:pt>
                <c:pt idx="241">
                  <c:v>0.1978432822591874</c:v>
                </c:pt>
                <c:pt idx="242">
                  <c:v>0.2020498284152262</c:v>
                </c:pt>
                <c:pt idx="243">
                  <c:v>0.20673047526399585</c:v>
                </c:pt>
                <c:pt idx="244">
                  <c:v>0.2118855289656271</c:v>
                </c:pt>
                <c:pt idx="245">
                  <c:v>0.21751532187189729</c:v>
                </c:pt>
                <c:pt idx="246">
                  <c:v>0.22362021335623947</c:v>
                </c:pt>
                <c:pt idx="247">
                  <c:v>0.23053251236276873</c:v>
                </c:pt>
                <c:pt idx="248">
                  <c:v>0.23822691613915684</c:v>
                </c:pt>
                <c:pt idx="249">
                  <c:v>0.24670402877779743</c:v>
                </c:pt>
                <c:pt idx="250">
                  <c:v>0.25596450164481338</c:v>
                </c:pt>
                <c:pt idx="251">
                  <c:v>0.26600903475807103</c:v>
                </c:pt>
                <c:pt idx="252">
                  <c:v>0.27683837815493123</c:v>
                </c:pt>
                <c:pt idx="253">
                  <c:v>0.28795518068793235</c:v>
                </c:pt>
                <c:pt idx="254">
                  <c:v>0.29891342772703949</c:v>
                </c:pt>
                <c:pt idx="255">
                  <c:v>0.30971338905384271</c:v>
                </c:pt>
                <c:pt idx="256">
                  <c:v>0.32035533215514506</c:v>
                </c:pt>
                <c:pt idx="257">
                  <c:v>0.33083952192818866</c:v>
                </c:pt>
                <c:pt idx="258">
                  <c:v>0.3411662203886347</c:v>
                </c:pt>
                <c:pt idx="259">
                  <c:v>0.3513356863834674</c:v>
                </c:pt>
                <c:pt idx="260">
                  <c:v>0.36134817529376545</c:v>
                </c:pt>
                <c:pt idx="261">
                  <c:v>0.37097477202958506</c:v>
                </c:pt>
                <c:pt idx="262">
                  <c:v>0.37988249514802674</c:v>
                </c:pt>
                <c:pt idx="263">
                  <c:v>0.38807106492552113</c:v>
                </c:pt>
                <c:pt idx="264">
                  <c:v>0.39554017697229116</c:v>
                </c:pt>
                <c:pt idx="265">
                  <c:v>0.40229163893681941</c:v>
                </c:pt>
                <c:pt idx="266">
                  <c:v>0.40832626839863712</c:v>
                </c:pt>
                <c:pt idx="267">
                  <c:v>0.41397965965688621</c:v>
                </c:pt>
                <c:pt idx="268">
                  <c:v>0.41975154130136016</c:v>
                </c:pt>
                <c:pt idx="269">
                  <c:v>0.42564187072888748</c:v>
                </c:pt>
                <c:pt idx="270">
                  <c:v>0.43165059114873328</c:v>
                </c:pt>
                <c:pt idx="271">
                  <c:v>0.43777763039674716</c:v>
                </c:pt>
                <c:pt idx="272">
                  <c:v>0.44402289976103515</c:v>
                </c:pt>
                <c:pt idx="273">
                  <c:v>0.4503862928021895</c:v>
                </c:pt>
                <c:pt idx="274">
                  <c:v>0.45686768417927948</c:v>
                </c:pt>
                <c:pt idx="275">
                  <c:v>0.46341422962957396</c:v>
                </c:pt>
                <c:pt idx="276">
                  <c:v>0.4702562292852599</c:v>
                </c:pt>
                <c:pt idx="277">
                  <c:v>0.47739375941854756</c:v>
                </c:pt>
                <c:pt idx="278">
                  <c:v>0.48482688021365927</c:v>
                </c:pt>
                <c:pt idx="279">
                  <c:v>0.49255563263674074</c:v>
                </c:pt>
                <c:pt idx="280">
                  <c:v>0.5005800353103258</c:v>
                </c:pt>
                <c:pt idx="281">
                  <c:v>0.50890477187153715</c:v>
                </c:pt>
                <c:pt idx="282">
                  <c:v>0.51719095009499738</c:v>
                </c:pt>
                <c:pt idx="283">
                  <c:v>0.52543797873314846</c:v>
                </c:pt>
                <c:pt idx="284">
                  <c:v>0.53364523115862461</c:v>
                </c:pt>
                <c:pt idx="285">
                  <c:v>0.54181204588973964</c:v>
                </c:pt>
                <c:pt idx="286">
                  <c:v>0.54993772712107036</c:v>
                </c:pt>
                <c:pt idx="287">
                  <c:v>0.55802154524882108</c:v>
                </c:pt>
                <c:pt idx="288">
                  <c:v>0.56606273739817081</c:v>
                </c:pt>
                <c:pt idx="289">
                  <c:v>0.57423319822468932</c:v>
                </c:pt>
                <c:pt idx="290">
                  <c:v>0.58258546424282998</c:v>
                </c:pt>
                <c:pt idx="291">
                  <c:v>0.59111900557231634</c:v>
                </c:pt>
                <c:pt idx="292">
                  <c:v>0.59983324894058321</c:v>
                </c:pt>
                <c:pt idx="293">
                  <c:v>0.60872757575121095</c:v>
                </c:pt>
                <c:pt idx="294">
                  <c:v>0.6178013201501551</c:v>
                </c:pt>
                <c:pt idx="295">
                  <c:v>0.62685865042722699</c:v>
                </c:pt>
                <c:pt idx="296">
                  <c:v>0.63590152155283608</c:v>
                </c:pt>
                <c:pt idx="297">
                  <c:v>0.64493462297425086</c:v>
                </c:pt>
                <c:pt idx="298">
                  <c:v>0.6539574984173494</c:v>
                </c:pt>
                <c:pt idx="299">
                  <c:v>0.66296965858818735</c:v>
                </c:pt>
                <c:pt idx="300">
                  <c:v>0.6719705813774266</c:v>
                </c:pt>
                <c:pt idx="301">
                  <c:v>0.6809597120627896</c:v>
                </c:pt>
                <c:pt idx="302">
                  <c:v>0.68993646351299309</c:v>
                </c:pt>
                <c:pt idx="303">
                  <c:v>0.69886312784227667</c:v>
                </c:pt>
                <c:pt idx="304">
                  <c:v>0.70756508508451554</c:v>
                </c:pt>
                <c:pt idx="305">
                  <c:v>0.71604135095411203</c:v>
                </c:pt>
                <c:pt idx="306">
                  <c:v>0.72429091165715009</c:v>
                </c:pt>
                <c:pt idx="307">
                  <c:v>0.73231272603801623</c:v>
                </c:pt>
                <c:pt idx="308">
                  <c:v>0.74010572771989425</c:v>
                </c:pt>
                <c:pt idx="309">
                  <c:v>0.74768943142795319</c:v>
                </c:pt>
                <c:pt idx="310">
                  <c:v>0.75525931053179729</c:v>
                </c:pt>
                <c:pt idx="311">
                  <c:v>0.76281452963937191</c:v>
                </c:pt>
                <c:pt idx="312">
                  <c:v>0.77035422746706417</c:v>
                </c:pt>
                <c:pt idx="313">
                  <c:v>0.77787751699516627</c:v>
                </c:pt>
                <c:pt idx="314">
                  <c:v>0.78538348561634885</c:v>
                </c:pt>
                <c:pt idx="315">
                  <c:v>0.7928711952938825</c:v>
                </c:pt>
                <c:pt idx="316">
                  <c:v>0.80033968270781308</c:v>
                </c:pt>
                <c:pt idx="317">
                  <c:v>0.80749547786308917</c:v>
                </c:pt>
                <c:pt idx="318">
                  <c:v>0.81437456811676245</c:v>
                </c:pt>
                <c:pt idx="319">
                  <c:v>0.82097564504113751</c:v>
                </c:pt>
                <c:pt idx="320">
                  <c:v>0.8272973985612454</c:v>
                </c:pt>
                <c:pt idx="321">
                  <c:v>0.83333851944387882</c:v>
                </c:pt>
                <c:pt idx="322">
                  <c:v>0.83909770179026932</c:v>
                </c:pt>
                <c:pt idx="323">
                  <c:v>0.84432645730510503</c:v>
                </c:pt>
                <c:pt idx="324">
                  <c:v>0.84900255765192023</c:v>
                </c:pt>
                <c:pt idx="325">
                  <c:v>0.85312447065196728</c:v>
                </c:pt>
                <c:pt idx="326">
                  <c:v>0.85668538104590775</c:v>
                </c:pt>
                <c:pt idx="327">
                  <c:v>0.85968201573052716</c:v>
                </c:pt>
                <c:pt idx="328">
                  <c:v>0.86211557790926996</c:v>
                </c:pt>
                <c:pt idx="329">
                  <c:v>0.86398737980705764</c:v>
                </c:pt>
                <c:pt idx="330">
                  <c:v>0.86529883140693831</c:v>
                </c:pt>
                <c:pt idx="331">
                  <c:v>0.86594635317826762</c:v>
                </c:pt>
                <c:pt idx="332">
                  <c:v>0.86622507381676395</c:v>
                </c:pt>
                <c:pt idx="333">
                  <c:v>0.86613668022336487</c:v>
                </c:pt>
                <c:pt idx="334">
                  <c:v>0.86568289467792781</c:v>
                </c:pt>
                <c:pt idx="335">
                  <c:v>0.86486546751075244</c:v>
                </c:pt>
                <c:pt idx="336">
                  <c:v>0.8636861697627074</c:v>
                </c:pt>
                <c:pt idx="337">
                  <c:v>0.86216772196445568</c:v>
                </c:pt>
                <c:pt idx="338">
                  <c:v>0.86055960355013994</c:v>
                </c:pt>
                <c:pt idx="339">
                  <c:v>0.85886362352600243</c:v>
                </c:pt>
                <c:pt idx="340">
                  <c:v>0.85708157906869575</c:v>
                </c:pt>
                <c:pt idx="341">
                  <c:v>0.85521525377833163</c:v>
                </c:pt>
                <c:pt idx="342">
                  <c:v>0.85326641593081209</c:v>
                </c:pt>
                <c:pt idx="343">
                  <c:v>0.85123681671984897</c:v>
                </c:pt>
                <c:pt idx="344">
                  <c:v>0.84912818851242866</c:v>
                </c:pt>
                <c:pt idx="345">
                  <c:v>0.84694224309525323</c:v>
                </c:pt>
                <c:pt idx="346">
                  <c:v>0.84492564367430267</c:v>
                </c:pt>
                <c:pt idx="347">
                  <c:v>0.84308010443700909</c:v>
                </c:pt>
                <c:pt idx="348">
                  <c:v>0.84140733511422261</c:v>
                </c:pt>
                <c:pt idx="349">
                  <c:v>0.83990904431505353</c:v>
                </c:pt>
                <c:pt idx="350">
                  <c:v>0.83858694288142666</c:v>
                </c:pt>
                <c:pt idx="351">
                  <c:v>0.83758264466368137</c:v>
                </c:pt>
                <c:pt idx="352">
                  <c:v>0.83687698614953143</c:v>
                </c:pt>
                <c:pt idx="353">
                  <c:v>0.8364717812700152</c:v>
                </c:pt>
                <c:pt idx="354">
                  <c:v>0.83636887999729481</c:v>
                </c:pt>
                <c:pt idx="355">
                  <c:v>0.83657017411598245</c:v>
                </c:pt>
                <c:pt idx="356">
                  <c:v>0.83707818150587454</c:v>
                </c:pt>
                <c:pt idx="357">
                  <c:v>0.8378930295790068</c:v>
                </c:pt>
                <c:pt idx="358">
                  <c:v>0.83901287827512949</c:v>
                </c:pt>
                <c:pt idx="359">
                  <c:v>0.84043592923883303</c:v>
                </c:pt>
                <c:pt idx="360">
                  <c:v>0.84218142258333517</c:v>
                </c:pt>
                <c:pt idx="361">
                  <c:v>0.84410735019274008</c:v>
                </c:pt>
                <c:pt idx="362">
                  <c:v>0.8462118455872929</c:v>
                </c:pt>
                <c:pt idx="363">
                  <c:v>0.84849304343413667</c:v>
                </c:pt>
                <c:pt idx="364">
                  <c:v>0.85094907543504894</c:v>
                </c:pt>
                <c:pt idx="365">
                  <c:v>0.85357806620388721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34352608"/>
        <c:axId val="534353000"/>
      </c:lineChart>
      <c:dateAx>
        <c:axId val="534352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/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353000"/>
        <c:crosses val="autoZero"/>
        <c:auto val="1"/>
        <c:lblOffset val="100"/>
        <c:baseTimeUnit val="days"/>
      </c:dateAx>
      <c:valAx>
        <c:axId val="5343530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352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Models!$BS$3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Models!$BS$4:$BS$11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4353784"/>
        <c:axId val="534354176"/>
      </c:scatterChart>
      <c:valAx>
        <c:axId val="534353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354176"/>
        <c:crosses val="autoZero"/>
        <c:crossBetween val="midCat"/>
      </c:valAx>
      <c:valAx>
        <c:axId val="53435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3435378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19.107925593775924</c:v>
                </c:pt>
                <c:pt idx="1">
                  <c:v>19.241062348836969</c:v>
                </c:pt>
                <c:pt idx="2">
                  <c:v>19.383204955890264</c:v>
                </c:pt>
                <c:pt idx="3">
                  <c:v>19.534143105097883</c:v>
                </c:pt>
                <c:pt idx="4">
                  <c:v>19.693666491940107</c:v>
                </c:pt>
                <c:pt idx="5">
                  <c:v>19.86156480584679</c:v>
                </c:pt>
                <c:pt idx="6">
                  <c:v>20.037627743004727</c:v>
                </c:pt>
                <c:pt idx="7">
                  <c:v>20.221644993242002</c:v>
                </c:pt>
                <c:pt idx="8">
                  <c:v>20.414438758745991</c:v>
                </c:pt>
                <c:pt idx="9">
                  <c:v>20.616696811411437</c:v>
                </c:pt>
                <c:pt idx="10">
                  <c:v>20.828007211412299</c:v>
                </c:pt>
                <c:pt idx="11">
                  <c:v>21.047958011453595</c:v>
                </c:pt>
                <c:pt idx="12">
                  <c:v>21.276137271999687</c:v>
                </c:pt>
                <c:pt idx="13">
                  <c:v>21.512133047645314</c:v>
                </c:pt>
                <c:pt idx="14">
                  <c:v>21.755533394628557</c:v>
                </c:pt>
                <c:pt idx="15">
                  <c:v>22.005926372909123</c:v>
                </c:pt>
                <c:pt idx="16">
                  <c:v>22.262900034768116</c:v>
                </c:pt>
                <c:pt idx="17">
                  <c:v>22.52604244056208</c:v>
                </c:pt>
                <c:pt idx="18">
                  <c:v>22.79494164388425</c:v>
                </c:pt>
                <c:pt idx="19">
                  <c:v>23.06918570402771</c:v>
                </c:pt>
                <c:pt idx="20">
                  <c:v>23.348362675820262</c:v>
                </c:pt>
                <c:pt idx="21">
                  <c:v>23.632060617022216</c:v>
                </c:pt>
                <c:pt idx="22">
                  <c:v>23.921393988999938</c:v>
                </c:pt>
                <c:pt idx="23">
                  <c:v>24.217528570776008</c:v>
                </c:pt>
                <c:pt idx="24">
                  <c:v>24.520129386648271</c:v>
                </c:pt>
                <c:pt idx="25">
                  <c:v>24.82886146636946</c:v>
                </c:pt>
                <c:pt idx="26">
                  <c:v>25.143389836931604</c:v>
                </c:pt>
                <c:pt idx="27">
                  <c:v>25.463379526457615</c:v>
                </c:pt>
                <c:pt idx="28">
                  <c:v>25.788495560642332</c:v>
                </c:pt>
                <c:pt idx="29">
                  <c:v>26.118402967708448</c:v>
                </c:pt>
                <c:pt idx="30">
                  <c:v>26.452766776989613</c:v>
                </c:pt>
                <c:pt idx="31">
                  <c:v>26.791252013149538</c:v>
                </c:pt>
                <c:pt idx="32">
                  <c:v>27.133523706040744</c:v>
                </c:pt>
                <c:pt idx="33">
                  <c:v>27.479246881338099</c:v>
                </c:pt>
                <c:pt idx="34">
                  <c:v>27.828086568335333</c:v>
                </c:pt>
                <c:pt idx="35">
                  <c:v>28.179707792960109</c:v>
                </c:pt>
                <c:pt idx="36">
                  <c:v>28.535386125936306</c:v>
                </c:pt>
                <c:pt idx="37">
                  <c:v>28.89645555926753</c:v>
                </c:pt>
                <c:pt idx="38">
                  <c:v>29.262668751366437</c:v>
                </c:pt>
                <c:pt idx="39">
                  <c:v>29.633778362574851</c:v>
                </c:pt>
                <c:pt idx="40">
                  <c:v>30.009537050813172</c:v>
                </c:pt>
                <c:pt idx="41">
                  <c:v>30.389697476516346</c:v>
                </c:pt>
                <c:pt idx="42">
                  <c:v>30.774012297391891</c:v>
                </c:pt>
                <c:pt idx="43">
                  <c:v>31.162234173715113</c:v>
                </c:pt>
                <c:pt idx="44">
                  <c:v>31.554115763785582</c:v>
                </c:pt>
                <c:pt idx="45">
                  <c:v>31.949409727446202</c:v>
                </c:pt>
                <c:pt idx="46">
                  <c:v>32.347868724087519</c:v>
                </c:pt>
                <c:pt idx="47">
                  <c:v>32.749245411929273</c:v>
                </c:pt>
                <c:pt idx="48">
                  <c:v>33.153292450807726</c:v>
                </c:pt>
                <c:pt idx="49">
                  <c:v>33.559762500226498</c:v>
                </c:pt>
                <c:pt idx="50">
                  <c:v>33.970165399827863</c:v>
                </c:pt>
                <c:pt idx="51">
                  <c:v>34.385916819104125</c:v>
                </c:pt>
                <c:pt idx="52">
                  <c:v>34.806628159234037</c:v>
                </c:pt>
                <c:pt idx="53">
                  <c:v>35.231910823791154</c:v>
                </c:pt>
                <c:pt idx="54">
                  <c:v>35.661376213857771</c:v>
                </c:pt>
                <c:pt idx="55">
                  <c:v>36.094635732525163</c:v>
                </c:pt>
                <c:pt idx="56">
                  <c:v>36.531300781480965</c:v>
                </c:pt>
                <c:pt idx="57">
                  <c:v>36.970982762426132</c:v>
                </c:pt>
                <c:pt idx="58">
                  <c:v>37.4132930780262</c:v>
                </c:pt>
                <c:pt idx="59">
                  <c:v>37.857843130507639</c:v>
                </c:pt>
                <c:pt idx="60">
                  <c:v>38.30424432184747</c:v>
                </c:pt>
                <c:pt idx="61">
                  <c:v>38.75210805391626</c:v>
                </c:pt>
                <c:pt idx="62">
                  <c:v>39.201045729173345</c:v>
                </c:pt>
                <c:pt idx="63">
                  <c:v>39.65066875000484</c:v>
                </c:pt>
                <c:pt idx="64">
                  <c:v>40.10276113369369</c:v>
                </c:pt>
                <c:pt idx="65">
                  <c:v>40.558960878024138</c:v>
                </c:pt>
                <c:pt idx="66">
                  <c:v>41.018660358998126</c:v>
                </c:pt>
                <c:pt idx="67">
                  <c:v>41.481251949850204</c:v>
                </c:pt>
                <c:pt idx="68">
                  <c:v>41.946128025045617</c:v>
                </c:pt>
                <c:pt idx="69">
                  <c:v>42.412680958371077</c:v>
                </c:pt>
                <c:pt idx="70">
                  <c:v>42.880303125106728</c:v>
                </c:pt>
                <c:pt idx="71">
                  <c:v>43.348386898902916</c:v>
                </c:pt>
                <c:pt idx="72">
                  <c:v>43.816324654268101</c:v>
                </c:pt>
                <c:pt idx="73">
                  <c:v>44.283508764566591</c:v>
                </c:pt>
                <c:pt idx="74">
                  <c:v>44.749331605510918</c:v>
                </c:pt>
                <c:pt idx="75">
                  <c:v>45.213185550658295</c:v>
                </c:pt>
                <c:pt idx="76">
                  <c:v>45.674462973951762</c:v>
                </c:pt>
                <c:pt idx="77">
                  <c:v>46.132556250039485</c:v>
                </c:pt>
                <c:pt idx="78">
                  <c:v>46.5894566489184</c:v>
                </c:pt>
                <c:pt idx="79">
                  <c:v>47.047131887530639</c:v>
                </c:pt>
                <c:pt idx="80">
                  <c:v>47.504939014710757</c:v>
                </c:pt>
                <c:pt idx="81">
                  <c:v>47.962235076845218</c:v>
                </c:pt>
                <c:pt idx="82">
                  <c:v>48.418377120546737</c:v>
                </c:pt>
                <c:pt idx="83">
                  <c:v>48.872722193957969</c:v>
                </c:pt>
                <c:pt idx="84">
                  <c:v>49.324627343867903</c:v>
                </c:pt>
                <c:pt idx="85">
                  <c:v>49.773449617265058</c:v>
                </c:pt>
                <c:pt idx="86">
                  <c:v>50.218546062112523</c:v>
                </c:pt>
                <c:pt idx="87">
                  <c:v>50.659273724936483</c:v>
                </c:pt>
                <c:pt idx="88">
                  <c:v>51.094989653031476</c:v>
                </c:pt>
                <c:pt idx="89">
                  <c:v>51.525050892867149</c:v>
                </c:pt>
                <c:pt idx="90">
                  <c:v>51.948814493321279</c:v>
                </c:pt>
                <c:pt idx="91">
                  <c:v>52.365637500304729</c:v>
                </c:pt>
                <c:pt idx="92">
                  <c:v>52.777249762891529</c:v>
                </c:pt>
                <c:pt idx="93">
                  <c:v>53.185508309624026</c:v>
                </c:pt>
                <c:pt idx="94">
                  <c:v>53.589960952023311</c:v>
                </c:pt>
                <c:pt idx="95">
                  <c:v>53.990155502761311</c:v>
                </c:pt>
                <c:pt idx="96">
                  <c:v>54.385639778132159</c:v>
                </c:pt>
                <c:pt idx="97">
                  <c:v>54.775961589360875</c:v>
                </c:pt>
                <c:pt idx="98">
                  <c:v>55.160668749618338</c:v>
                </c:pt>
                <c:pt idx="99">
                  <c:v>55.539309074596638</c:v>
                </c:pt>
                <c:pt idx="100">
                  <c:v>55.911430375321238</c:v>
                </c:pt>
                <c:pt idx="101">
                  <c:v>56.276580465957522</c:v>
                </c:pt>
                <c:pt idx="102">
                  <c:v>56.634307161246298</c:v>
                </c:pt>
                <c:pt idx="103">
                  <c:v>56.984158273134376</c:v>
                </c:pt>
                <c:pt idx="104">
                  <c:v>57.325681615091995</c:v>
                </c:pt>
                <c:pt idx="105">
                  <c:v>57.658425000496209</c:v>
                </c:pt>
                <c:pt idx="106">
                  <c:v>57.983275139571305</c:v>
                </c:pt>
                <c:pt idx="107">
                  <c:v>58.301330703310668</c:v>
                </c:pt>
                <c:pt idx="108">
                  <c:v>58.612457449095594</c:v>
                </c:pt>
                <c:pt idx="109">
                  <c:v>58.916521137633495</c:v>
                </c:pt>
                <c:pt idx="110">
                  <c:v>59.213387520425016</c:v>
                </c:pt>
                <c:pt idx="111">
                  <c:v>59.502922357299504</c:v>
                </c:pt>
                <c:pt idx="112">
                  <c:v>59.784991406835616</c:v>
                </c:pt>
                <c:pt idx="113">
                  <c:v>60.05946042252971</c:v>
                </c:pt>
                <c:pt idx="114">
                  <c:v>60.326195164290922</c:v>
                </c:pt>
                <c:pt idx="115">
                  <c:v>60.585061389074795</c:v>
                </c:pt>
                <c:pt idx="116">
                  <c:v>60.835924851708114</c:v>
                </c:pt>
                <c:pt idx="117">
                  <c:v>61.078651311354974</c:v>
                </c:pt>
                <c:pt idx="118">
                  <c:v>61.313106524731431</c:v>
                </c:pt>
                <c:pt idx="119">
                  <c:v>61.539156250096859</c:v>
                </c:pt>
                <c:pt idx="120">
                  <c:v>61.756781644214477</c:v>
                </c:pt>
                <c:pt idx="121">
                  <c:v>61.966161697517549</c:v>
                </c:pt>
                <c:pt idx="122">
                  <c:v>62.167458917307002</c:v>
                </c:pt>
                <c:pt idx="123">
                  <c:v>62.360835804923298</c:v>
                </c:pt>
                <c:pt idx="124">
                  <c:v>62.546454866975544</c:v>
                </c:pt>
                <c:pt idx="125">
                  <c:v>62.72447860863592</c:v>
                </c:pt>
                <c:pt idx="126">
                  <c:v>62.895069530699402</c:v>
                </c:pt>
                <c:pt idx="127">
                  <c:v>63.058390141651039</c:v>
                </c:pt>
                <c:pt idx="128">
                  <c:v>63.214602945279324</c:v>
                </c:pt>
                <c:pt idx="129">
                  <c:v>63.36387044422861</c:v>
                </c:pt>
                <c:pt idx="130">
                  <c:v>63.506355145680047</c:v>
                </c:pt>
                <c:pt idx="131">
                  <c:v>63.642219551333355</c:v>
                </c:pt>
                <c:pt idx="132">
                  <c:v>63.771626169128083</c:v>
                </c:pt>
                <c:pt idx="133">
                  <c:v>63.894737499952313</c:v>
                </c:pt>
                <c:pt idx="134">
                  <c:v>64.010945920207149</c:v>
                </c:pt>
                <c:pt idx="135">
                  <c:v>64.119728590175498</c:v>
                </c:pt>
                <c:pt idx="136">
                  <c:v>64.221375188936619</c:v>
                </c:pt>
                <c:pt idx="137">
                  <c:v>64.316175401210785</c:v>
                </c:pt>
                <c:pt idx="138">
                  <c:v>64.404418907381071</c:v>
                </c:pt>
                <c:pt idx="139">
                  <c:v>64.486395390118872</c:v>
                </c:pt>
                <c:pt idx="140">
                  <c:v>64.562394531257453</c:v>
                </c:pt>
                <c:pt idx="141">
                  <c:v>64.632706012284103</c:v>
                </c:pt>
                <c:pt idx="142">
                  <c:v>64.697619518038948</c:v>
                </c:pt>
                <c:pt idx="143">
                  <c:v>64.757424726789552</c:v>
                </c:pt>
                <c:pt idx="144">
                  <c:v>64.812411323030076</c:v>
                </c:pt>
                <c:pt idx="145">
                  <c:v>64.862868987422985</c:v>
                </c:pt>
                <c:pt idx="146">
                  <c:v>64.909087402120761</c:v>
                </c:pt>
                <c:pt idx="147">
                  <c:v>64.951356250047681</c:v>
                </c:pt>
                <c:pt idx="148">
                  <c:v>64.988868895918131</c:v>
                </c:pt>
                <c:pt idx="149">
                  <c:v>65.020785732793485</c:v>
                </c:pt>
                <c:pt idx="150">
                  <c:v>65.047346984621669</c:v>
                </c:pt>
                <c:pt idx="151">
                  <c:v>65.068792875643283</c:v>
                </c:pt>
                <c:pt idx="152">
                  <c:v>65.085363629646594</c:v>
                </c:pt>
                <c:pt idx="153">
                  <c:v>65.097299472149459</c:v>
                </c:pt>
                <c:pt idx="154">
                  <c:v>65.104840625077486</c:v>
                </c:pt>
                <c:pt idx="155">
                  <c:v>65.108227314374275</c:v>
                </c:pt>
                <c:pt idx="156">
                  <c:v>65.107699763528743</c:v>
                </c:pt>
                <c:pt idx="157">
                  <c:v>65.10349819646882</c:v>
                </c:pt>
                <c:pt idx="158">
                  <c:v>65.095862837401882</c:v>
                </c:pt>
                <c:pt idx="159">
                  <c:v>65.085033910322394</c:v>
                </c:pt>
                <c:pt idx="160">
                  <c:v>65.071251640096307</c:v>
                </c:pt>
                <c:pt idx="161">
                  <c:v>65.05475625013932</c:v>
                </c:pt>
                <c:pt idx="162">
                  <c:v>65.034943647290191</c:v>
                </c:pt>
                <c:pt idx="163">
                  <c:v>65.011129664962311</c:v>
                </c:pt>
                <c:pt idx="164">
                  <c:v>64.983434413652873</c:v>
                </c:pt>
                <c:pt idx="165">
                  <c:v>64.951978006599745</c:v>
                </c:pt>
                <c:pt idx="166">
                  <c:v>64.916880555377745</c:v>
                </c:pt>
                <c:pt idx="167">
                  <c:v>64.878262172280145</c:v>
                </c:pt>
                <c:pt idx="168">
                  <c:v>64.836242969054723</c:v>
                </c:pt>
                <c:pt idx="169">
                  <c:v>64.790943057409351</c:v>
                </c:pt>
                <c:pt idx="170">
                  <c:v>64.742482550987717</c:v>
                </c:pt>
                <c:pt idx="171">
                  <c:v>64.690981559601752</c:v>
                </c:pt>
                <c:pt idx="172">
                  <c:v>64.636560197586988</c:v>
                </c:pt>
                <c:pt idx="173">
                  <c:v>64.579338575088016</c:v>
                </c:pt>
                <c:pt idx="174">
                  <c:v>64.519436805475777</c:v>
                </c:pt>
                <c:pt idx="175">
                  <c:v>64.456974999886</c:v>
                </c:pt>
                <c:pt idx="176">
                  <c:v>64.391629327414563</c:v>
                </c:pt>
                <c:pt idx="177">
                  <c:v>64.323014723110418</c:v>
                </c:pt>
                <c:pt idx="178">
                  <c:v>64.251159447957093</c:v>
                </c:pt>
                <c:pt idx="179">
                  <c:v>64.176091764228687</c:v>
                </c:pt>
                <c:pt idx="180">
                  <c:v>64.097839932596045</c:v>
                </c:pt>
                <c:pt idx="181">
                  <c:v>64.016432215845469</c:v>
                </c:pt>
                <c:pt idx="182">
                  <c:v>63.931896874867377</c:v>
                </c:pt>
                <c:pt idx="183">
                  <c:v>63.844262171856002</c:v>
                </c:pt>
                <c:pt idx="184">
                  <c:v>63.753556368307073</c:v>
                </c:pt>
                <c:pt idx="185">
                  <c:v>63.659807726062297</c:v>
                </c:pt>
                <c:pt idx="186">
                  <c:v>63.56304450616507</c:v>
                </c:pt>
                <c:pt idx="187">
                  <c:v>63.463294971069061</c:v>
                </c:pt>
                <c:pt idx="188">
                  <c:v>63.360587381564869</c:v>
                </c:pt>
                <c:pt idx="189">
                  <c:v>63.254949999973178</c:v>
                </c:pt>
                <c:pt idx="190">
                  <c:v>63.146465255772426</c:v>
                </c:pt>
                <c:pt idx="191">
                  <c:v>63.035168476881722</c:v>
                </c:pt>
                <c:pt idx="192">
                  <c:v>62.921017269457558</c:v>
                </c:pt>
                <c:pt idx="193">
                  <c:v>62.803969242144376</c:v>
                </c:pt>
                <c:pt idx="194">
                  <c:v>62.683982001923553</c:v>
                </c:pt>
                <c:pt idx="195">
                  <c:v>62.561013155936131</c:v>
                </c:pt>
                <c:pt idx="196">
                  <c:v>62.435020312247801</c:v>
                </c:pt>
                <c:pt idx="197">
                  <c:v>62.305961078737994</c:v>
                </c:pt>
                <c:pt idx="198">
                  <c:v>62.173793062141954</c:v>
                </c:pt>
                <c:pt idx="199">
                  <c:v>62.038473870192789</c:v>
                </c:pt>
                <c:pt idx="200">
                  <c:v>61.899961110636866</c:v>
                </c:pt>
                <c:pt idx="201">
                  <c:v>61.758212390661768</c:v>
                </c:pt>
                <c:pt idx="202">
                  <c:v>61.613185317954049</c:v>
                </c:pt>
                <c:pt idx="203">
                  <c:v>61.464837499614802</c:v>
                </c:pt>
                <c:pt idx="204">
                  <c:v>61.313698843161447</c:v>
                </c:pt>
                <c:pt idx="205">
                  <c:v>61.160214467732501</c:v>
                </c:pt>
                <c:pt idx="206">
                  <c:v>61.004214805364612</c:v>
                </c:pt>
                <c:pt idx="207">
                  <c:v>60.845530284236048</c:v>
                </c:pt>
                <c:pt idx="208">
                  <c:v>60.683991335698273</c:v>
                </c:pt>
                <c:pt idx="209">
                  <c:v>60.519428389146917</c:v>
                </c:pt>
                <c:pt idx="210">
                  <c:v>60.351671874616294</c:v>
                </c:pt>
                <c:pt idx="211">
                  <c:v>60.180552222925641</c:v>
                </c:pt>
                <c:pt idx="212">
                  <c:v>60.00589986318456</c:v>
                </c:pt>
                <c:pt idx="213">
                  <c:v>59.827545225886368</c:v>
                </c:pt>
                <c:pt idx="214">
                  <c:v>59.645318740459956</c:v>
                </c:pt>
                <c:pt idx="215">
                  <c:v>59.459050838556138</c:v>
                </c:pt>
                <c:pt idx="216">
                  <c:v>59.268571947654706</c:v>
                </c:pt>
                <c:pt idx="217">
                  <c:v>59.073712499439722</c:v>
                </c:pt>
                <c:pt idx="218">
                  <c:v>58.874984736993376</c:v>
                </c:pt>
                <c:pt idx="219">
                  <c:v>58.672858509022205</c:v>
                </c:pt>
                <c:pt idx="220">
                  <c:v>58.467100658074827</c:v>
                </c:pt>
                <c:pt idx="221">
                  <c:v>58.257478024318289</c:v>
                </c:pt>
                <c:pt idx="222">
                  <c:v>58.043757450786813</c:v>
                </c:pt>
                <c:pt idx="223">
                  <c:v>57.825705775937863</c:v>
                </c:pt>
                <c:pt idx="224">
                  <c:v>57.603089843457568</c:v>
                </c:pt>
                <c:pt idx="225">
                  <c:v>57.375676494078441</c:v>
                </c:pt>
                <c:pt idx="226">
                  <c:v>57.14323256794097</c:v>
                </c:pt>
                <c:pt idx="227">
                  <c:v>56.905524908751246</c:v>
                </c:pt>
                <c:pt idx="228">
                  <c:v>56.662320355552112</c:v>
                </c:pt>
                <c:pt idx="229">
                  <c:v>56.413385750606125</c:v>
                </c:pt>
                <c:pt idx="230">
                  <c:v>56.158487934605887</c:v>
                </c:pt>
                <c:pt idx="231">
                  <c:v>55.897393749468023</c:v>
                </c:pt>
                <c:pt idx="232">
                  <c:v>55.630039606988433</c:v>
                </c:pt>
                <c:pt idx="233">
                  <c:v>55.356512645073238</c:v>
                </c:pt>
                <c:pt idx="234">
                  <c:v>55.076805800532128</c:v>
                </c:pt>
                <c:pt idx="235">
                  <c:v>54.790912007912993</c:v>
                </c:pt>
                <c:pt idx="236">
                  <c:v>54.498824200499804</c:v>
                </c:pt>
                <c:pt idx="237">
                  <c:v>54.20053531234818</c:v>
                </c:pt>
                <c:pt idx="238">
                  <c:v>53.896038281172508</c:v>
                </c:pt>
                <c:pt idx="239">
                  <c:v>53.58532603851387</c:v>
                </c:pt>
                <c:pt idx="240">
                  <c:v>53.268391518906824</c:v>
                </c:pt>
                <c:pt idx="241">
                  <c:v>52.945227660025871</c:v>
                </c:pt>
                <c:pt idx="242">
                  <c:v>52.615827393159265</c:v>
                </c:pt>
                <c:pt idx="243">
                  <c:v>52.280183655076797</c:v>
                </c:pt>
                <c:pt idx="244">
                  <c:v>51.938289378450378</c:v>
                </c:pt>
                <c:pt idx="245">
                  <c:v>51.59013749919832</c:v>
                </c:pt>
                <c:pt idx="246">
                  <c:v>51.234643476461386</c:v>
                </c:pt>
                <c:pt idx="247">
                  <c:v>50.871028935343816</c:v>
                </c:pt>
                <c:pt idx="248">
                  <c:v>50.499746063351637</c:v>
                </c:pt>
                <c:pt idx="249">
                  <c:v>50.121247047751339</c:v>
                </c:pt>
                <c:pt idx="250">
                  <c:v>49.735984074450769</c:v>
                </c:pt>
                <c:pt idx="251">
                  <c:v>49.344409328981833</c:v>
                </c:pt>
                <c:pt idx="252">
                  <c:v>48.946974999830125</c:v>
                </c:pt>
                <c:pt idx="253">
                  <c:v>48.54413327208853</c:v>
                </c:pt>
                <c:pt idx="254">
                  <c:v>48.136336333510869</c:v>
                </c:pt>
                <c:pt idx="255">
                  <c:v>47.724036370513829</c:v>
                </c:pt>
                <c:pt idx="256">
                  <c:v>47.307685568027331</c:v>
                </c:pt>
                <c:pt idx="257">
                  <c:v>46.887736115138978</c:v>
                </c:pt>
                <c:pt idx="258">
                  <c:v>46.464640197315852</c:v>
                </c:pt>
                <c:pt idx="259">
                  <c:v>46.038849999662489</c:v>
                </c:pt>
                <c:pt idx="260">
                  <c:v>45.608463750639928</c:v>
                </c:pt>
                <c:pt idx="261">
                  <c:v>45.171791636251974</c:v>
                </c:pt>
                <c:pt idx="262">
                  <c:v>44.729603787549841</c:v>
                </c:pt>
                <c:pt idx="263">
                  <c:v>44.282670335471629</c:v>
                </c:pt>
                <c:pt idx="264">
                  <c:v>43.831761408916542</c:v>
                </c:pt>
                <c:pt idx="265">
                  <c:v>43.377647139531163</c:v>
                </c:pt>
                <c:pt idx="266">
                  <c:v>42.921097656572236</c:v>
                </c:pt>
                <c:pt idx="267">
                  <c:v>42.462883090277728</c:v>
                </c:pt>
                <c:pt idx="268">
                  <c:v>42.003773571916724</c:v>
                </c:pt>
                <c:pt idx="269">
                  <c:v>41.544539230689409</c:v>
                </c:pt>
                <c:pt idx="270">
                  <c:v>41.085950198273977</c:v>
                </c:pt>
                <c:pt idx="271">
                  <c:v>40.628776603697666</c:v>
                </c:pt>
                <c:pt idx="272">
                  <c:v>40.173788577161858</c:v>
                </c:pt>
                <c:pt idx="273">
                  <c:v>39.721756250271575</c:v>
                </c:pt>
                <c:pt idx="274">
                  <c:v>39.27066126782946</c:v>
                </c:pt>
                <c:pt idx="275">
                  <c:v>38.818409912667377</c:v>
                </c:pt>
                <c:pt idx="276">
                  <c:v>38.365659268160485</c:v>
                </c:pt>
                <c:pt idx="277">
                  <c:v>37.913066417298154</c:v>
                </c:pt>
                <c:pt idx="278">
                  <c:v>37.461288445148554</c:v>
                </c:pt>
                <c:pt idx="279">
                  <c:v>37.010982434338487</c:v>
                </c:pt>
                <c:pt idx="280">
                  <c:v>36.562805468379523</c:v>
                </c:pt>
                <c:pt idx="281">
                  <c:v>36.117414631900779</c:v>
                </c:pt>
                <c:pt idx="282">
                  <c:v>35.67546700767042</c:v>
                </c:pt>
                <c:pt idx="283">
                  <c:v>35.237619679005419</c:v>
                </c:pt>
                <c:pt idx="284">
                  <c:v>34.804529730672947</c:v>
                </c:pt>
                <c:pt idx="285">
                  <c:v>34.376854245338059</c:v>
                </c:pt>
                <c:pt idx="286">
                  <c:v>33.955250306640352</c:v>
                </c:pt>
                <c:pt idx="287">
                  <c:v>33.540374999889174</c:v>
                </c:pt>
                <c:pt idx="288">
                  <c:v>33.130552641935978</c:v>
                </c:pt>
                <c:pt idx="289">
                  <c:v>32.723876748712996</c:v>
                </c:pt>
                <c:pt idx="290">
                  <c:v>32.320658199577267</c:v>
                </c:pt>
                <c:pt idx="291">
                  <c:v>31.921207871510916</c:v>
                </c:pt>
                <c:pt idx="292">
                  <c:v>31.52583664278832</c:v>
                </c:pt>
                <c:pt idx="293">
                  <c:v>31.134855392854661</c:v>
                </c:pt>
                <c:pt idx="294">
                  <c:v>30.748574999941049</c:v>
                </c:pt>
                <c:pt idx="295">
                  <c:v>30.367306340755228</c:v>
                </c:pt>
                <c:pt idx="296">
                  <c:v>29.991360294497902</c:v>
                </c:pt>
                <c:pt idx="297">
                  <c:v>29.621047740210116</c:v>
                </c:pt>
                <c:pt idx="298">
                  <c:v>29.256679554483188</c:v>
                </c:pt>
                <c:pt idx="299">
                  <c:v>28.898566617364331</c:v>
                </c:pt>
                <c:pt idx="300">
                  <c:v>28.547019806073514</c:v>
                </c:pt>
                <c:pt idx="301">
                  <c:v>28.202349999174476</c:v>
                </c:pt>
                <c:pt idx="302">
                  <c:v>27.863420842614556</c:v>
                </c:pt>
                <c:pt idx="303">
                  <c:v>27.52897822452443</c:v>
                </c:pt>
                <c:pt idx="304">
                  <c:v>27.199156388334394</c:v>
                </c:pt>
                <c:pt idx="305">
                  <c:v>26.87408957659666</c:v>
                </c:pt>
                <c:pt idx="306">
                  <c:v>26.553912032502041</c:v>
                </c:pt>
                <c:pt idx="307">
                  <c:v>26.238757998336638</c:v>
                </c:pt>
                <c:pt idx="308">
                  <c:v>25.928761718049643</c:v>
                </c:pt>
                <c:pt idx="309">
                  <c:v>25.624057434153343</c:v>
                </c:pt>
                <c:pt idx="310">
                  <c:v>25.32477938849479</c:v>
                </c:pt>
                <c:pt idx="311">
                  <c:v>25.031061824464373</c:v>
                </c:pt>
                <c:pt idx="312">
                  <c:v>24.743038986184235</c:v>
                </c:pt>
                <c:pt idx="313">
                  <c:v>24.460845116179968</c:v>
                </c:pt>
                <c:pt idx="314">
                  <c:v>24.184614455739833</c:v>
                </c:pt>
                <c:pt idx="315">
                  <c:v>23.91448124907911</c:v>
                </c:pt>
                <c:pt idx="316">
                  <c:v>23.649496356158384</c:v>
                </c:pt>
                <c:pt idx="317">
                  <c:v>23.388773443044293</c:v>
                </c:pt>
                <c:pt idx="318">
                  <c:v>23.132540962113335</c:v>
                </c:pt>
                <c:pt idx="319">
                  <c:v>22.881027367471585</c:v>
                </c:pt>
                <c:pt idx="320">
                  <c:v>22.634461111136314</c:v>
                </c:pt>
                <c:pt idx="321">
                  <c:v>22.393070644778867</c:v>
                </c:pt>
                <c:pt idx="322">
                  <c:v>22.157084422558547</c:v>
                </c:pt>
                <c:pt idx="323">
                  <c:v>21.92673089525529</c:v>
                </c:pt>
                <c:pt idx="324">
                  <c:v>21.702238518877756</c:v>
                </c:pt>
                <c:pt idx="325">
                  <c:v>21.483835742835488</c:v>
                </c:pt>
                <c:pt idx="326">
                  <c:v>21.271751021154756</c:v>
                </c:pt>
                <c:pt idx="327">
                  <c:v>21.066212808101305</c:v>
                </c:pt>
                <c:pt idx="328">
                  <c:v>20.867449552592426</c:v>
                </c:pt>
                <c:pt idx="329">
                  <c:v>20.675689710304141</c:v>
                </c:pt>
                <c:pt idx="330">
                  <c:v>20.490062549537313</c:v>
                </c:pt>
                <c:pt idx="331">
                  <c:v>20.309772252637359</c:v>
                </c:pt>
                <c:pt idx="332">
                  <c:v>20.135159648781908</c:v>
                </c:pt>
                <c:pt idx="333">
                  <c:v>19.96656556650996</c:v>
                </c:pt>
                <c:pt idx="334">
                  <c:v>19.804330833203025</c:v>
                </c:pt>
                <c:pt idx="335">
                  <c:v>19.648796279276056</c:v>
                </c:pt>
                <c:pt idx="336">
                  <c:v>19.500302731432022</c:v>
                </c:pt>
                <c:pt idx="337">
                  <c:v>19.359191018555848</c:v>
                </c:pt>
                <c:pt idx="338">
                  <c:v>19.225801968481392</c:v>
                </c:pt>
                <c:pt idx="339">
                  <c:v>19.100476409441654</c:v>
                </c:pt>
                <c:pt idx="340">
                  <c:v>18.98355516856536</c:v>
                </c:pt>
                <c:pt idx="341">
                  <c:v>18.875379076759728</c:v>
                </c:pt>
                <c:pt idx="342">
                  <c:v>18.776288961565918</c:v>
                </c:pt>
                <c:pt idx="343">
                  <c:v>18.686625650338826</c:v>
                </c:pt>
                <c:pt idx="344">
                  <c:v>18.605994603687463</c:v>
                </c:pt>
                <c:pt idx="345">
                  <c:v>18.5338825906659</c:v>
                </c:pt>
                <c:pt idx="346">
                  <c:v>18.470452399452771</c:v>
                </c:pt>
                <c:pt idx="347">
                  <c:v>18.415866827783105</c:v>
                </c:pt>
                <c:pt idx="348">
                  <c:v>18.370288663576794</c:v>
                </c:pt>
                <c:pt idx="349">
                  <c:v>18.333880695102398</c:v>
                </c:pt>
                <c:pt idx="350">
                  <c:v>18.306805718263035</c:v>
                </c:pt>
                <c:pt idx="351">
                  <c:v>18.289226520715715</c:v>
                </c:pt>
                <c:pt idx="352">
                  <c:v>18.281305895871917</c:v>
                </c:pt>
                <c:pt idx="353">
                  <c:v>18.283206633375634</c:v>
                </c:pt>
                <c:pt idx="354">
                  <c:v>18.295091527265502</c:v>
                </c:pt>
                <c:pt idx="355">
                  <c:v>18.317123366052773</c:v>
                </c:pt>
                <c:pt idx="356">
                  <c:v>18.349464940893569</c:v>
                </c:pt>
                <c:pt idx="357">
                  <c:v>18.392279044924113</c:v>
                </c:pt>
                <c:pt idx="358">
                  <c:v>18.445797931248769</c:v>
                </c:pt>
                <c:pt idx="359">
                  <c:v>18.51000512997652</c:v>
                </c:pt>
                <c:pt idx="360">
                  <c:v>18.584690329239802</c:v>
                </c:pt>
                <c:pt idx="361">
                  <c:v>18.669643223414134</c:v>
                </c:pt>
                <c:pt idx="362">
                  <c:v>18.764653503689274</c:v>
                </c:pt>
                <c:pt idx="363">
                  <c:v>18.869510862436787</c:v>
                </c:pt>
                <c:pt idx="364">
                  <c:v>18.984004996215987</c:v>
                </c:pt>
                <c:pt idx="365">
                  <c:v>19.107925593313475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19.031827769378822</c:v>
                </c:pt>
                <c:pt idx="1">
                  <c:v>19.167670579552652</c:v>
                </c:pt>
                <c:pt idx="2">
                  <c:v>19.312539242208004</c:v>
                </c:pt>
                <c:pt idx="3">
                  <c:v>19.466168891191483</c:v>
                </c:pt>
                <c:pt idx="4">
                  <c:v>19.62829465985298</c:v>
                </c:pt>
                <c:pt idx="5">
                  <c:v>19.798651678363484</c:v>
                </c:pt>
                <c:pt idx="6">
                  <c:v>19.976975078682106</c:v>
                </c:pt>
                <c:pt idx="7">
                  <c:v>20.16300000101328</c:v>
                </c:pt>
                <c:pt idx="8">
                  <c:v>20.358786138040678</c:v>
                </c:pt>
                <c:pt idx="9">
                  <c:v>20.566071848358426</c:v>
                </c:pt>
                <c:pt idx="10">
                  <c:v>20.784110243192739</c:v>
                </c:pt>
                <c:pt idx="11">
                  <c:v>21.012154438240184</c:v>
                </c:pt>
                <c:pt idx="12">
                  <c:v>21.24945754179997</c:v>
                </c:pt>
                <c:pt idx="13">
                  <c:v>21.495272667599576</c:v>
                </c:pt>
                <c:pt idx="14">
                  <c:v>21.74885293133557</c:v>
                </c:pt>
                <c:pt idx="15">
                  <c:v>22.009451440828187</c:v>
                </c:pt>
                <c:pt idx="16">
                  <c:v>22.276321309804917</c:v>
                </c:pt>
                <c:pt idx="17">
                  <c:v>22.548715652312552</c:v>
                </c:pt>
                <c:pt idx="18">
                  <c:v>22.825887580960988</c:v>
                </c:pt>
                <c:pt idx="19">
                  <c:v>23.107090206444266</c:v>
                </c:pt>
                <c:pt idx="20">
                  <c:v>23.391576641052961</c:v>
                </c:pt>
                <c:pt idx="21">
                  <c:v>23.678599999099969</c:v>
                </c:pt>
                <c:pt idx="22">
                  <c:v>23.970015414910655</c:v>
                </c:pt>
                <c:pt idx="23">
                  <c:v>24.267949855434047</c:v>
                </c:pt>
                <c:pt idx="24">
                  <c:v>24.572064177319408</c:v>
                </c:pt>
                <c:pt idx="25">
                  <c:v>24.882019241792811</c:v>
                </c:pt>
                <c:pt idx="26">
                  <c:v>25.19747591077217</c:v>
                </c:pt>
                <c:pt idx="27">
                  <c:v>25.518095044153078</c:v>
                </c:pt>
                <c:pt idx="28">
                  <c:v>25.84353750050068</c:v>
                </c:pt>
                <c:pt idx="29">
                  <c:v>26.173464139550923</c:v>
                </c:pt>
                <c:pt idx="30">
                  <c:v>26.507535823328151</c:v>
                </c:pt>
                <c:pt idx="31">
                  <c:v>26.845413411621536</c:v>
                </c:pt>
                <c:pt idx="32">
                  <c:v>27.186757762357594</c:v>
                </c:pt>
                <c:pt idx="33">
                  <c:v>27.531229737933195</c:v>
                </c:pt>
                <c:pt idx="34">
                  <c:v>27.878490197498884</c:v>
                </c:pt>
                <c:pt idx="35">
                  <c:v>28.228199999779463</c:v>
                </c:pt>
                <c:pt idx="36">
                  <c:v>28.580622922363027</c:v>
                </c:pt>
                <c:pt idx="37">
                  <c:v>28.936324198331153</c:v>
                </c:pt>
                <c:pt idx="38">
                  <c:v>29.295416872735537</c:v>
                </c:pt>
                <c:pt idx="39">
                  <c:v>29.658013993927408</c:v>
                </c:pt>
                <c:pt idx="40">
                  <c:v>30.024228607650315</c:v>
                </c:pt>
                <c:pt idx="41">
                  <c:v>30.394173760073521</c:v>
                </c:pt>
                <c:pt idx="42">
                  <c:v>30.767962499707938</c:v>
                </c:pt>
                <c:pt idx="43">
                  <c:v>31.14570787155202</c:v>
                </c:pt>
                <c:pt idx="44">
                  <c:v>31.527522922254036</c:v>
                </c:pt>
                <c:pt idx="45">
                  <c:v>31.913520700378079</c:v>
                </c:pt>
                <c:pt idx="46">
                  <c:v>32.303814249272854</c:v>
                </c:pt>
                <c:pt idx="47">
                  <c:v>32.698516617715363</c:v>
                </c:pt>
                <c:pt idx="48">
                  <c:v>33.09774085240705</c:v>
                </c:pt>
                <c:pt idx="49">
                  <c:v>33.501600000262258</c:v>
                </c:pt>
                <c:pt idx="50">
                  <c:v>33.910904226931081</c:v>
                </c:pt>
                <c:pt idx="51">
                  <c:v>34.326086880692415</c:v>
                </c:pt>
                <c:pt idx="52">
                  <c:v>34.746695772212533</c:v>
                </c:pt>
                <c:pt idx="53">
                  <c:v>35.172278717479536</c:v>
                </c:pt>
                <c:pt idx="54">
                  <c:v>35.602383527133078</c:v>
                </c:pt>
                <c:pt idx="55">
                  <c:v>36.036558017453977</c:v>
                </c:pt>
                <c:pt idx="56">
                  <c:v>36.474349999800324</c:v>
                </c:pt>
                <c:pt idx="57">
                  <c:v>36.915307288723326</c:v>
                </c:pt>
                <c:pt idx="58">
                  <c:v>37.358977696698688</c:v>
                </c:pt>
                <c:pt idx="59">
                  <c:v>37.804909037585773</c:v>
                </c:pt>
                <c:pt idx="60">
                  <c:v>38.252649125297161</c:v>
                </c:pt>
                <c:pt idx="61">
                  <c:v>38.701745772255315</c:v>
                </c:pt>
                <c:pt idx="62">
                  <c:v>39.151746793064689</c:v>
                </c:pt>
                <c:pt idx="63">
                  <c:v>39.60219999998808</c:v>
                </c:pt>
                <c:pt idx="64">
                  <c:v>40.055253279834453</c:v>
                </c:pt>
                <c:pt idx="65">
                  <c:v>40.51290379001626</c:v>
                </c:pt>
                <c:pt idx="66">
                  <c:v>40.974473250936718</c:v>
                </c:pt>
                <c:pt idx="67">
                  <c:v>41.439283382094331</c:v>
                </c:pt>
                <c:pt idx="68">
                  <c:v>41.906655904051981</c:v>
                </c:pt>
                <c:pt idx="69">
                  <c:v>42.375912536467823</c:v>
                </c:pt>
                <c:pt idx="70">
                  <c:v>42.846375000011179</c:v>
                </c:pt>
                <c:pt idx="71">
                  <c:v>43.317365014553069</c:v>
                </c:pt>
                <c:pt idx="72">
                  <c:v>43.788204300563251</c:v>
                </c:pt>
                <c:pt idx="73">
                  <c:v>44.258214577473701</c:v>
                </c:pt>
                <c:pt idx="74">
                  <c:v>44.726717565634416</c:v>
                </c:pt>
                <c:pt idx="75">
                  <c:v>45.193034985235762</c:v>
                </c:pt>
                <c:pt idx="76">
                  <c:v>45.656488556547892</c:v>
                </c:pt>
                <c:pt idx="77">
                  <c:v>46.116400000080468</c:v>
                </c:pt>
                <c:pt idx="78">
                  <c:v>46.575746210025891</c:v>
                </c:pt>
                <c:pt idx="79">
                  <c:v>47.037353352723379</c:v>
                </c:pt>
                <c:pt idx="80">
                  <c:v>47.500317055479222</c:v>
                </c:pt>
                <c:pt idx="81">
                  <c:v>47.963732944322487</c:v>
                </c:pt>
                <c:pt idx="82">
                  <c:v>48.426696647065022</c:v>
                </c:pt>
                <c:pt idx="83">
                  <c:v>48.888303790347912</c:v>
                </c:pt>
                <c:pt idx="84">
                  <c:v>49.347650000080463</c:v>
                </c:pt>
                <c:pt idx="85">
                  <c:v>49.803830903954804</c:v>
                </c:pt>
                <c:pt idx="86">
                  <c:v>50.255942128159639</c:v>
                </c:pt>
                <c:pt idx="87">
                  <c:v>50.703079299415855</c:v>
                </c:pt>
                <c:pt idx="88">
                  <c:v>51.144338046945634</c:v>
                </c:pt>
                <c:pt idx="89">
                  <c:v>51.578813993930815</c:v>
                </c:pt>
                <c:pt idx="90">
                  <c:v>52.005602770165673</c:v>
                </c:pt>
                <c:pt idx="91">
                  <c:v>52.423799999803308</c:v>
                </c:pt>
                <c:pt idx="92">
                  <c:v>52.835497049348689</c:v>
                </c:pt>
                <c:pt idx="93">
                  <c:v>53.243162099591324</c:v>
                </c:pt>
                <c:pt idx="94">
                  <c:v>53.646456012661965</c:v>
                </c:pt>
                <c:pt idx="95">
                  <c:v>54.045039650159218</c:v>
                </c:pt>
                <c:pt idx="96">
                  <c:v>54.438573869956393</c:v>
                </c:pt>
                <c:pt idx="97">
                  <c:v>54.826719534184257</c:v>
                </c:pt>
                <c:pt idx="98">
                  <c:v>55.209137499704958</c:v>
                </c:pt>
                <c:pt idx="99">
                  <c:v>55.585488629341128</c:v>
                </c:pt>
                <c:pt idx="100">
                  <c:v>55.955433783307669</c:v>
                </c:pt>
                <c:pt idx="101">
                  <c:v>56.318633819052152</c:v>
                </c:pt>
                <c:pt idx="102">
                  <c:v>56.674749600195454</c:v>
                </c:pt>
                <c:pt idx="103">
                  <c:v>57.023441982695033</c:v>
                </c:pt>
                <c:pt idx="104">
                  <c:v>57.364371829373496</c:v>
                </c:pt>
                <c:pt idx="105">
                  <c:v>57.697199999541041</c:v>
                </c:pt>
                <c:pt idx="106">
                  <c:v>58.023170007765295</c:v>
                </c:pt>
                <c:pt idx="107">
                  <c:v>58.34352536456926</c:v>
                </c:pt>
                <c:pt idx="108">
                  <c:v>58.657926930859688</c:v>
                </c:pt>
                <c:pt idx="109">
                  <c:v>58.966035568820573</c:v>
                </c:pt>
                <c:pt idx="110">
                  <c:v>59.267512135260858</c:v>
                </c:pt>
                <c:pt idx="111">
                  <c:v>59.562017492311341</c:v>
                </c:pt>
                <c:pt idx="112">
                  <c:v>59.849212500452992</c:v>
                </c:pt>
                <c:pt idx="113">
                  <c:v>60.12875801676087</c:v>
                </c:pt>
                <c:pt idx="114">
                  <c:v>60.400314905600887</c:v>
                </c:pt>
                <c:pt idx="115">
                  <c:v>60.663544022824091</c:v>
                </c:pt>
                <c:pt idx="116">
                  <c:v>60.918106231465934</c:v>
                </c:pt>
                <c:pt idx="117">
                  <c:v>61.163662389559406</c:v>
                </c:pt>
                <c:pt idx="118">
                  <c:v>61.399873359394931</c:v>
                </c:pt>
                <c:pt idx="119">
                  <c:v>61.626399998366836</c:v>
                </c:pt>
                <c:pt idx="120">
                  <c:v>61.842771281727721</c:v>
                </c:pt>
                <c:pt idx="121">
                  <c:v>62.049043732349368</c:v>
                </c:pt>
                <c:pt idx="122">
                  <c:v>62.245669533152672</c:v>
                </c:pt>
                <c:pt idx="123">
                  <c:v>62.433100874296258</c:v>
                </c:pt>
                <c:pt idx="124">
                  <c:v>62.611789940510484</c:v>
                </c:pt>
                <c:pt idx="125">
                  <c:v>62.782188921421763</c:v>
                </c:pt>
                <c:pt idx="126">
                  <c:v>62.944749999046323</c:v>
                </c:pt>
                <c:pt idx="127">
                  <c:v>63.099925363915304</c:v>
                </c:pt>
                <c:pt idx="128">
                  <c:v>63.248167200705836</c:v>
                </c:pt>
                <c:pt idx="129">
                  <c:v>63.389927696649522</c:v>
                </c:pt>
                <c:pt idx="130">
                  <c:v>63.525659037860372</c:v>
                </c:pt>
                <c:pt idx="131">
                  <c:v>63.655813411091046</c:v>
                </c:pt>
                <c:pt idx="132">
                  <c:v>63.780843002774894</c:v>
                </c:pt>
                <c:pt idx="133">
                  <c:v>63.901199999451634</c:v>
                </c:pt>
                <c:pt idx="134">
                  <c:v>64.015471319801037</c:v>
                </c:pt>
                <c:pt idx="135">
                  <c:v>64.122168512642389</c:v>
                </c:pt>
                <c:pt idx="136">
                  <c:v>64.221630721911794</c:v>
                </c:pt>
                <c:pt idx="137">
                  <c:v>64.314197084626983</c:v>
                </c:pt>
                <c:pt idx="138">
                  <c:v>64.400206742595344</c:v>
                </c:pt>
                <c:pt idx="139">
                  <c:v>64.479998835069779</c:v>
                </c:pt>
                <c:pt idx="140">
                  <c:v>64.553912500292057</c:v>
                </c:pt>
                <c:pt idx="141">
                  <c:v>64.622286881293562</c:v>
                </c:pt>
                <c:pt idx="142">
                  <c:v>64.68546111589032</c:v>
                </c:pt>
                <c:pt idx="143">
                  <c:v>64.74377434413347</c:v>
                </c:pt>
                <c:pt idx="144">
                  <c:v>64.797565707191822</c:v>
                </c:pt>
                <c:pt idx="145">
                  <c:v>64.847174344424701</c:v>
                </c:pt>
                <c:pt idx="146">
                  <c:v>64.892939395617162</c:v>
                </c:pt>
                <c:pt idx="147">
                  <c:v>64.935200000554318</c:v>
                </c:pt>
                <c:pt idx="148">
                  <c:v>64.97295758064304</c:v>
                </c:pt>
                <c:pt idx="149">
                  <c:v>65.005138192858013</c:v>
                </c:pt>
                <c:pt idx="150">
                  <c:v>65.03196793033608</c:v>
                </c:pt>
                <c:pt idx="151">
                  <c:v>65.053672886426952</c:v>
                </c:pt>
                <c:pt idx="152">
                  <c:v>65.07047915490611</c:v>
                </c:pt>
                <c:pt idx="153">
                  <c:v>65.08261282837816</c:v>
                </c:pt>
                <c:pt idx="154">
                  <c:v>65.09030000008643</c:v>
                </c:pt>
                <c:pt idx="155">
                  <c:v>65.093766764338525</c:v>
                </c:pt>
                <c:pt idx="156">
                  <c:v>65.093239212940844</c:v>
                </c:pt>
                <c:pt idx="157">
                  <c:v>65.088943440467119</c:v>
                </c:pt>
                <c:pt idx="158">
                  <c:v>65.081105539202696</c:v>
                </c:pt>
                <c:pt idx="159">
                  <c:v>65.069951603668088</c:v>
                </c:pt>
                <c:pt idx="160">
                  <c:v>65.055707725722883</c:v>
                </c:pt>
                <c:pt idx="161">
                  <c:v>65.038599999994034</c:v>
                </c:pt>
                <c:pt idx="162">
                  <c:v>65.017799416423912</c:v>
                </c:pt>
                <c:pt idx="163">
                  <c:v>64.992476968307571</c:v>
                </c:pt>
                <c:pt idx="164">
                  <c:v>64.962858746200794</c:v>
                </c:pt>
                <c:pt idx="165">
                  <c:v>64.929170846087601</c:v>
                </c:pt>
                <c:pt idx="166">
                  <c:v>64.891639358789789</c:v>
                </c:pt>
                <c:pt idx="167">
                  <c:v>64.850490379546358</c:v>
                </c:pt>
                <c:pt idx="168">
                  <c:v>64.805949999764564</c:v>
                </c:pt>
                <c:pt idx="169">
                  <c:v>64.758244315534824</c:v>
                </c:pt>
                <c:pt idx="170">
                  <c:v>64.707599416987165</c:v>
                </c:pt>
                <c:pt idx="171">
                  <c:v>64.65424139994596</c:v>
                </c:pt>
                <c:pt idx="172">
                  <c:v>64.598396355951465</c:v>
                </c:pt>
                <c:pt idx="173">
                  <c:v>64.540290379311358</c:v>
                </c:pt>
                <c:pt idx="174">
                  <c:v>64.480149563135839</c:v>
                </c:pt>
                <c:pt idx="175">
                  <c:v>64.418200000748044</c:v>
                </c:pt>
                <c:pt idx="176">
                  <c:v>64.354592420400266</c:v>
                </c:pt>
                <c:pt idx="177">
                  <c:v>64.289176093680524</c:v>
                </c:pt>
                <c:pt idx="178">
                  <c:v>64.221724928037389</c:v>
                </c:pt>
                <c:pt idx="179">
                  <c:v>64.152012828684278</c:v>
                </c:pt>
                <c:pt idx="180">
                  <c:v>64.079813703043129</c:v>
                </c:pt>
                <c:pt idx="181">
                  <c:v>64.00490145842943</c:v>
                </c:pt>
                <c:pt idx="182">
                  <c:v>63.927050000615417</c:v>
                </c:pt>
                <c:pt idx="183">
                  <c:v>63.846033236756924</c:v>
                </c:pt>
                <c:pt idx="184">
                  <c:v>63.761625074169466</c:v>
                </c:pt>
                <c:pt idx="185">
                  <c:v>63.673599417401213</c:v>
                </c:pt>
                <c:pt idx="186">
                  <c:v>63.58173017560371</c:v>
                </c:pt>
                <c:pt idx="187">
                  <c:v>63.485791254575773</c:v>
                </c:pt>
                <c:pt idx="188">
                  <c:v>63.38555656019598</c:v>
                </c:pt>
                <c:pt idx="189">
                  <c:v>63.280800001323222</c:v>
                </c:pt>
                <c:pt idx="190">
                  <c:v>63.171370846112914</c:v>
                </c:pt>
                <c:pt idx="191">
                  <c:v>63.057419825771021</c:v>
                </c:pt>
                <c:pt idx="192">
                  <c:v>62.939173033274713</c:v>
                </c:pt>
                <c:pt idx="193">
                  <c:v>62.816856560217481</c:v>
                </c:pt>
                <c:pt idx="194">
                  <c:v>62.690696501306114</c:v>
                </c:pt>
                <c:pt idx="195">
                  <c:v>62.560918951353855</c:v>
                </c:pt>
                <c:pt idx="196">
                  <c:v>62.427750000357626</c:v>
                </c:pt>
                <c:pt idx="197">
                  <c:v>62.291415743742675</c:v>
                </c:pt>
                <c:pt idx="198">
                  <c:v>62.152142273820935</c:v>
                </c:pt>
                <c:pt idx="199">
                  <c:v>62.010155684660596</c:v>
                </c:pt>
                <c:pt idx="200">
                  <c:v>61.86568206985082</c:v>
                </c:pt>
                <c:pt idx="201">
                  <c:v>61.718947521916462</c:v>
                </c:pt>
                <c:pt idx="202">
                  <c:v>61.570178133887893</c:v>
                </c:pt>
                <c:pt idx="203">
                  <c:v>61.419599999487403</c:v>
                </c:pt>
                <c:pt idx="204">
                  <c:v>61.267363848031628</c:v>
                </c:pt>
                <c:pt idx="205">
                  <c:v>61.113318950044253</c:v>
                </c:pt>
                <c:pt idx="206">
                  <c:v>60.957239212707748</c:v>
                </c:pt>
                <c:pt idx="207">
                  <c:v>60.798898542140208</c:v>
                </c:pt>
                <c:pt idx="208">
                  <c:v>60.638070845018547</c:v>
                </c:pt>
                <c:pt idx="209">
                  <c:v>60.474530029403311</c:v>
                </c:pt>
                <c:pt idx="210">
                  <c:v>60.308049999922517</c:v>
                </c:pt>
                <c:pt idx="211">
                  <c:v>60.138404664450448</c:v>
                </c:pt>
                <c:pt idx="212">
                  <c:v>59.965367929610821</c:v>
                </c:pt>
                <c:pt idx="213">
                  <c:v>59.78871370298522</c:v>
                </c:pt>
                <c:pt idx="214">
                  <c:v>59.608215889175028</c:v>
                </c:pt>
                <c:pt idx="215">
                  <c:v>59.423648395921511</c:v>
                </c:pt>
                <c:pt idx="216">
                  <c:v>59.234785132136736</c:v>
                </c:pt>
                <c:pt idx="217">
                  <c:v>59.041400000452995</c:v>
                </c:pt>
                <c:pt idx="218">
                  <c:v>58.844811880322439</c:v>
                </c:pt>
                <c:pt idx="219">
                  <c:v>58.646188920949193</c:v>
                </c:pt>
                <c:pt idx="220">
                  <c:v>58.445078936378877</c:v>
                </c:pt>
                <c:pt idx="221">
                  <c:v>58.241029738102633</c:v>
                </c:pt>
                <c:pt idx="222">
                  <c:v>58.033589139633946</c:v>
                </c:pt>
                <c:pt idx="223">
                  <c:v>57.822304956721403</c:v>
                </c:pt>
                <c:pt idx="224">
                  <c:v>57.606725000590089</c:v>
                </c:pt>
                <c:pt idx="225">
                  <c:v>57.386397084168024</c:v>
                </c:pt>
                <c:pt idx="226">
                  <c:v>57.160869023629594</c:v>
                </c:pt>
                <c:pt idx="227">
                  <c:v>56.929688628975825</c:v>
                </c:pt>
                <c:pt idx="228">
                  <c:v>56.692403717179388</c:v>
                </c:pt>
                <c:pt idx="229">
                  <c:v>56.448562099358867</c:v>
                </c:pt>
                <c:pt idx="230">
                  <c:v>56.19771158817624</c:v>
                </c:pt>
                <c:pt idx="231">
                  <c:v>55.939399999380115</c:v>
                </c:pt>
                <c:pt idx="232">
                  <c:v>55.674795481402953</c:v>
                </c:pt>
                <c:pt idx="233">
                  <c:v>55.405216909519268</c:v>
                </c:pt>
                <c:pt idx="234">
                  <c:v>55.1304381923484</c:v>
                </c:pt>
                <c:pt idx="235">
                  <c:v>54.850233236168108</c:v>
                </c:pt>
                <c:pt idx="236">
                  <c:v>54.564375947575478</c:v>
                </c:pt>
                <c:pt idx="237">
                  <c:v>54.272640233699761</c:v>
                </c:pt>
                <c:pt idx="238">
                  <c:v>53.974799999967217</c:v>
                </c:pt>
                <c:pt idx="239">
                  <c:v>53.67062915510364</c:v>
                </c:pt>
                <c:pt idx="240">
                  <c:v>53.359901603417732</c:v>
                </c:pt>
                <c:pt idx="241">
                  <c:v>53.042391253794939</c:v>
                </c:pt>
                <c:pt idx="242">
                  <c:v>52.717872012087277</c:v>
                </c:pt>
                <c:pt idx="243">
                  <c:v>52.386117784359627</c:v>
                </c:pt>
                <c:pt idx="244">
                  <c:v>52.046902478592735</c:v>
                </c:pt>
                <c:pt idx="245">
                  <c:v>51.700000000745057</c:v>
                </c:pt>
                <c:pt idx="246">
                  <c:v>51.344524817275143</c:v>
                </c:pt>
                <c:pt idx="247">
                  <c:v>50.98011895088213</c:v>
                </c:pt>
                <c:pt idx="248">
                  <c:v>50.607347631667338</c:v>
                </c:pt>
                <c:pt idx="249">
                  <c:v>50.226776093138113</c:v>
                </c:pt>
                <c:pt idx="250">
                  <c:v>49.838969570132235</c:v>
                </c:pt>
                <c:pt idx="251">
                  <c:v>49.444493295678072</c:v>
                </c:pt>
                <c:pt idx="252">
                  <c:v>49.043912500515582</c:v>
                </c:pt>
                <c:pt idx="253">
                  <c:v>48.637792420280832</c:v>
                </c:pt>
                <c:pt idx="254">
                  <c:v>48.226698287363561</c:v>
                </c:pt>
                <c:pt idx="255">
                  <c:v>47.811195335962942</c:v>
                </c:pt>
                <c:pt idx="256">
                  <c:v>47.391848798042965</c:v>
                </c:pt>
                <c:pt idx="257">
                  <c:v>46.969223907377035</c:v>
                </c:pt>
                <c:pt idx="258">
                  <c:v>46.543885897099969</c:v>
                </c:pt>
                <c:pt idx="259">
                  <c:v>46.116400001198052</c:v>
                </c:pt>
                <c:pt idx="260">
                  <c:v>45.683713958705113</c:v>
                </c:pt>
                <c:pt idx="261">
                  <c:v>45.243076968685322</c:v>
                </c:pt>
                <c:pt idx="262">
                  <c:v>44.795506450347602</c:v>
                </c:pt>
                <c:pt idx="263">
                  <c:v>44.342019825881081</c:v>
                </c:pt>
                <c:pt idx="264">
                  <c:v>43.883634512698542</c:v>
                </c:pt>
                <c:pt idx="265">
                  <c:v>43.421367930288298</c:v>
                </c:pt>
                <c:pt idx="266">
                  <c:v>42.9562375000678</c:v>
                </c:pt>
                <c:pt idx="267">
                  <c:v>42.489260641964414</c:v>
                </c:pt>
                <c:pt idx="268">
                  <c:v>42.021454774308943</c:v>
                </c:pt>
                <c:pt idx="269">
                  <c:v>41.553837317840333</c:v>
                </c:pt>
                <c:pt idx="270">
                  <c:v>41.087425692412737</c:v>
                </c:pt>
                <c:pt idx="271">
                  <c:v>40.623237317880353</c:v>
                </c:pt>
                <c:pt idx="272">
                  <c:v>40.162289613791344</c:v>
                </c:pt>
                <c:pt idx="273">
                  <c:v>39.70560000007972</c:v>
                </c:pt>
                <c:pt idx="274">
                  <c:v>39.249193002822409</c:v>
                </c:pt>
                <c:pt idx="275">
                  <c:v>38.789168513220332</c:v>
                </c:pt>
                <c:pt idx="276">
                  <c:v>38.326656997163909</c:v>
                </c:pt>
                <c:pt idx="277">
                  <c:v>37.862788921222091</c:v>
                </c:pt>
                <c:pt idx="278">
                  <c:v>37.39869475245608</c:v>
                </c:pt>
                <c:pt idx="279">
                  <c:v>36.93550495659666</c:v>
                </c:pt>
                <c:pt idx="280">
                  <c:v>36.474350000685078</c:v>
                </c:pt>
                <c:pt idx="281">
                  <c:v>36.016360350285787</c:v>
                </c:pt>
                <c:pt idx="282">
                  <c:v>35.562666472413447</c:v>
                </c:pt>
                <c:pt idx="283">
                  <c:v>35.114398834561662</c:v>
                </c:pt>
                <c:pt idx="284">
                  <c:v>34.672687901310354</c:v>
                </c:pt>
                <c:pt idx="285">
                  <c:v>34.23866414131065</c:v>
                </c:pt>
                <c:pt idx="286">
                  <c:v>33.813458017891804</c:v>
                </c:pt>
                <c:pt idx="287">
                  <c:v>33.398200000822541</c:v>
                </c:pt>
                <c:pt idx="288">
                  <c:v>32.991929192149215</c:v>
                </c:pt>
                <c:pt idx="289">
                  <c:v>32.592704956446383</c:v>
                </c:pt>
                <c:pt idx="290">
                  <c:v>32.200188157175269</c:v>
                </c:pt>
                <c:pt idx="291">
                  <c:v>31.814039649920801</c:v>
                </c:pt>
                <c:pt idx="292">
                  <c:v>31.433920298623185</c:v>
                </c:pt>
                <c:pt idx="293">
                  <c:v>31.059490962113649</c:v>
                </c:pt>
                <c:pt idx="294">
                  <c:v>30.690412500500678</c:v>
                </c:pt>
                <c:pt idx="295">
                  <c:v>30.326345772509065</c:v>
                </c:pt>
                <c:pt idx="296">
                  <c:v>29.966951640588896</c:v>
                </c:pt>
                <c:pt idx="297">
                  <c:v>29.611890961868426</c:v>
                </c:pt>
                <c:pt idx="298">
                  <c:v>29.26082459948957</c:v>
                </c:pt>
                <c:pt idx="299">
                  <c:v>28.913413410420929</c:v>
                </c:pt>
                <c:pt idx="300">
                  <c:v>28.569318258709142</c:v>
                </c:pt>
                <c:pt idx="301">
                  <c:v>28.228199999779463</c:v>
                </c:pt>
                <c:pt idx="302">
                  <c:v>27.889587608990929</c:v>
                </c:pt>
                <c:pt idx="303">
                  <c:v>27.553537609002422</c:v>
                </c:pt>
                <c:pt idx="304">
                  <c:v>27.220502186992338</c:v>
                </c:pt>
                <c:pt idx="305">
                  <c:v>26.890933527584586</c:v>
                </c:pt>
                <c:pt idx="306">
                  <c:v>26.565283819447671</c:v>
                </c:pt>
                <c:pt idx="307">
                  <c:v>26.244005246886182</c:v>
                </c:pt>
                <c:pt idx="308">
                  <c:v>25.927549999952316</c:v>
                </c:pt>
                <c:pt idx="309">
                  <c:v>25.616370261779856</c:v>
                </c:pt>
                <c:pt idx="310">
                  <c:v>25.310918221463048</c:v>
                </c:pt>
                <c:pt idx="311">
                  <c:v>25.011646063519372</c:v>
                </c:pt>
                <c:pt idx="312">
                  <c:v>24.71900597693665</c:v>
                </c:pt>
                <c:pt idx="313">
                  <c:v>24.43345014559371</c:v>
                </c:pt>
                <c:pt idx="314">
                  <c:v>24.155430757041486</c:v>
                </c:pt>
                <c:pt idx="315">
                  <c:v>23.885400000214577</c:v>
                </c:pt>
                <c:pt idx="316">
                  <c:v>23.623414394419108</c:v>
                </c:pt>
                <c:pt idx="317">
                  <c:v>23.369002914748023</c:v>
                </c:pt>
                <c:pt idx="318">
                  <c:v>23.121826420671173</c:v>
                </c:pt>
                <c:pt idx="319">
                  <c:v>22.881545773042099</c:v>
                </c:pt>
                <c:pt idx="320">
                  <c:v>22.647821829308356</c:v>
                </c:pt>
                <c:pt idx="321">
                  <c:v>22.420315451281411</c:v>
                </c:pt>
                <c:pt idx="322">
                  <c:v>22.198687499016522</c:v>
                </c:pt>
                <c:pt idx="323">
                  <c:v>21.982598833633318</c:v>
                </c:pt>
                <c:pt idx="324">
                  <c:v>21.771710313005105</c:v>
                </c:pt>
                <c:pt idx="325">
                  <c:v>21.565682798517603</c:v>
                </c:pt>
                <c:pt idx="326">
                  <c:v>21.364177149587441</c:v>
                </c:pt>
                <c:pt idx="327">
                  <c:v>21.166854227760009</c:v>
                </c:pt>
                <c:pt idx="328">
                  <c:v>20.973374891121473</c:v>
                </c:pt>
                <c:pt idx="329">
                  <c:v>20.78339999988675</c:v>
                </c:pt>
                <c:pt idx="330">
                  <c:v>20.595233855609386</c:v>
                </c:pt>
                <c:pt idx="331">
                  <c:v>20.408085130367962</c:v>
                </c:pt>
                <c:pt idx="332">
                  <c:v>20.222971245965788</c:v>
                </c:pt>
                <c:pt idx="333">
                  <c:v>20.040909620374443</c:v>
                </c:pt>
                <c:pt idx="334">
                  <c:v>19.862917673747454</c:v>
                </c:pt>
                <c:pt idx="335">
                  <c:v>19.690012826664105</c:v>
                </c:pt>
                <c:pt idx="336">
                  <c:v>19.523212498426439</c:v>
                </c:pt>
                <c:pt idx="337">
                  <c:v>19.363534108549356</c:v>
                </c:pt>
                <c:pt idx="338">
                  <c:v>19.211995078250766</c:v>
                </c:pt>
                <c:pt idx="339">
                  <c:v>19.069612826619828</c:v>
                </c:pt>
                <c:pt idx="340">
                  <c:v>18.937404774661573</c:v>
                </c:pt>
                <c:pt idx="341">
                  <c:v>18.816388338697809</c:v>
                </c:pt>
                <c:pt idx="342">
                  <c:v>18.707580939414246</c:v>
                </c:pt>
                <c:pt idx="343">
                  <c:v>18.611999998986722</c:v>
                </c:pt>
                <c:pt idx="344">
                  <c:v>18.527845736060822</c:v>
                </c:pt>
                <c:pt idx="345">
                  <c:v>18.452724288829735</c:v>
                </c:pt>
                <c:pt idx="346">
                  <c:v>18.386761960706544</c:v>
                </c:pt>
                <c:pt idx="347">
                  <c:v>18.330085050208229</c:v>
                </c:pt>
                <c:pt idx="348">
                  <c:v>18.282819857022595</c:v>
                </c:pt>
                <c:pt idx="349">
                  <c:v>18.245092683179038</c:v>
                </c:pt>
                <c:pt idx="350">
                  <c:v>18.217029828578234</c:v>
                </c:pt>
                <c:pt idx="351">
                  <c:v>18.198757592056477</c:v>
                </c:pt>
                <c:pt idx="352">
                  <c:v>18.190402276494673</c:v>
                </c:pt>
                <c:pt idx="353">
                  <c:v>18.192090180941992</c:v>
                </c:pt>
                <c:pt idx="354">
                  <c:v>18.203947601041623</c:v>
                </c:pt>
                <c:pt idx="355">
                  <c:v>18.226100846912182</c:v>
                </c:pt>
                <c:pt idx="356">
                  <c:v>18.258676214196853</c:v>
                </c:pt>
                <c:pt idx="357">
                  <c:v>18.301800002157687</c:v>
                </c:pt>
                <c:pt idx="358">
                  <c:v>18.355900784035523</c:v>
                </c:pt>
                <c:pt idx="359">
                  <c:v>18.421146351794402</c:v>
                </c:pt>
                <c:pt idx="360">
                  <c:v>18.497271843254566</c:v>
                </c:pt>
                <c:pt idx="361">
                  <c:v>18.584012389282385</c:v>
                </c:pt>
                <c:pt idx="362">
                  <c:v>18.681103121737642</c:v>
                </c:pt>
                <c:pt idx="363">
                  <c:v>18.788279173970221</c:v>
                </c:pt>
                <c:pt idx="364">
                  <c:v>18.905275678833327</c:v>
                </c:pt>
                <c:pt idx="365">
                  <c:v>19.031827771464982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19.462082173692245</c:v>
                </c:pt>
                <c:pt idx="1">
                  <c:v>17.82763006390077</c:v>
                </c:pt>
                <c:pt idx="2">
                  <c:v>19.427917678346777</c:v>
                </c:pt>
                <c:pt idx="3">
                  <c:v>19.204055167696065</c:v>
                </c:pt>
                <c:pt idx="4">
                  <c:v>19.428700857508826</c:v>
                </c:pt>
                <c:pt idx="5">
                  <c:v>20.454909959477973</c:v>
                </c:pt>
                <c:pt idx="6">
                  <c:v>15.62674165622532</c:v>
                </c:pt>
                <c:pt idx="7">
                  <c:v>14.685729582313519</c:v>
                </c:pt>
                <c:pt idx="8">
                  <c:v>18.908516116999923</c:v>
                </c:pt>
                <c:pt idx="9">
                  <c:v>18.551618953476808</c:v>
                </c:pt>
                <c:pt idx="10">
                  <c:v>21.391910226810385</c:v>
                </c:pt>
                <c:pt idx="11">
                  <c:v>20.743234517449725</c:v>
                </c:pt>
                <c:pt idx="12">
                  <c:v>14.753138664755877</c:v>
                </c:pt>
                <c:pt idx="13">
                  <c:v>22.064358181548073</c:v>
                </c:pt>
                <c:pt idx="14">
                  <c:v>22.222811190623492</c:v>
                </c:pt>
                <c:pt idx="15">
                  <c:v>22.179762474374062</c:v>
                </c:pt>
                <c:pt idx="16">
                  <c:v>17.368757233641855</c:v>
                </c:pt>
                <c:pt idx="17">
                  <c:v>21.743395935695009</c:v>
                </c:pt>
                <c:pt idx="18">
                  <c:v>22.082454622527671</c:v>
                </c:pt>
                <c:pt idx="19">
                  <c:v>18.36031638130591</c:v>
                </c:pt>
                <c:pt idx="20">
                  <c:v>16.890929824623914</c:v>
                </c:pt>
                <c:pt idx="21">
                  <c:v>23.662480027421342</c:v>
                </c:pt>
                <c:pt idx="22">
                  <c:v>23.66568550843968</c:v>
                </c:pt>
                <c:pt idx="23">
                  <c:v>24.178380916845647</c:v>
                </c:pt>
                <c:pt idx="24">
                  <c:v>24.429204367487987</c:v>
                </c:pt>
                <c:pt idx="25">
                  <c:v>24.494094497904509</c:v>
                </c:pt>
                <c:pt idx="26">
                  <c:v>23.796328277938077</c:v>
                </c:pt>
                <c:pt idx="27">
                  <c:v>17.198833933173557</c:v>
                </c:pt>
                <c:pt idx="28">
                  <c:v>20.008035676598013</c:v>
                </c:pt>
                <c:pt idx="29">
                  <c:v>10.958880369584882</c:v>
                </c:pt>
                <c:pt idx="30">
                  <c:v>19.380623642476806</c:v>
                </c:pt>
                <c:pt idx="31">
                  <c:v>21.672609398761253</c:v>
                </c:pt>
                <c:pt idx="32">
                  <c:v>24.150188849551444</c:v>
                </c:pt>
                <c:pt idx="33">
                  <c:v>22.38607837569748</c:v>
                </c:pt>
                <c:pt idx="34">
                  <c:v>23.379370808970474</c:v>
                </c:pt>
                <c:pt idx="35">
                  <c:v>27.78824906234189</c:v>
                </c:pt>
                <c:pt idx="36">
                  <c:v>28.842415345268009</c:v>
                </c:pt>
                <c:pt idx="37">
                  <c:v>20.460774580395299</c:v>
                </c:pt>
                <c:pt idx="38">
                  <c:v>29.763398061400451</c:v>
                </c:pt>
                <c:pt idx="39">
                  <c:v>29.765187841712834</c:v>
                </c:pt>
                <c:pt idx="40">
                  <c:v>28.780840754960145</c:v>
                </c:pt>
                <c:pt idx="41">
                  <c:v>26.884629340458861</c:v>
                </c:pt>
                <c:pt idx="42">
                  <c:v>30.634138699782948</c:v>
                </c:pt>
                <c:pt idx="43">
                  <c:v>31.578425450237262</c:v>
                </c:pt>
                <c:pt idx="44">
                  <c:v>31.770566290205203</c:v>
                </c:pt>
                <c:pt idx="45">
                  <c:v>31.929826724148288</c:v>
                </c:pt>
                <c:pt idx="46">
                  <c:v>32.591538912686424</c:v>
                </c:pt>
                <c:pt idx="47">
                  <c:v>33.211013673025583</c:v>
                </c:pt>
                <c:pt idx="48">
                  <c:v>33.126742104724151</c:v>
                </c:pt>
                <c:pt idx="49">
                  <c:v>32.228087820026474</c:v>
                </c:pt>
                <c:pt idx="50">
                  <c:v>33.595449120875671</c:v>
                </c:pt>
                <c:pt idx="51">
                  <c:v>33.354248852750764</c:v>
                </c:pt>
                <c:pt idx="52">
                  <c:v>33.45014285747294</c:v>
                </c:pt>
                <c:pt idx="53">
                  <c:v>34.62690070447799</c:v>
                </c:pt>
                <c:pt idx="54">
                  <c:v>35.350844224345899</c:v>
                </c:pt>
                <c:pt idx="55">
                  <c:v>35.147494250668068</c:v>
                </c:pt>
                <c:pt idx="56">
                  <c:v>37.557751891620669</c:v>
                </c:pt>
                <c:pt idx="57">
                  <c:v>35.744529564271296</c:v>
                </c:pt>
                <c:pt idx="58">
                  <c:v>34.03299855797831</c:v>
                </c:pt>
                <c:pt idx="59">
                  <c:v>37.454455213013745</c:v>
                </c:pt>
                <c:pt idx="60">
                  <c:v>26.22963515117911</c:v>
                </c:pt>
                <c:pt idx="61">
                  <c:v>35.856959587503439</c:v>
                </c:pt>
                <c:pt idx="62">
                  <c:v>29.720518011114656</c:v>
                </c:pt>
                <c:pt idx="63">
                  <c:v>38.596496043622651</c:v>
                </c:pt>
                <c:pt idx="64">
                  <c:v>24.169421383322462</c:v>
                </c:pt>
                <c:pt idx="65">
                  <c:v>38.157203221065181</c:v>
                </c:pt>
                <c:pt idx="66">
                  <c:v>30.688096258779094</c:v>
                </c:pt>
                <c:pt idx="67">
                  <c:v>39.162385004311176</c:v>
                </c:pt>
                <c:pt idx="68">
                  <c:v>39.155466400635383</c:v>
                </c:pt>
                <c:pt idx="69">
                  <c:v>33.082890956820819</c:v>
                </c:pt>
                <c:pt idx="70">
                  <c:v>39.998388958381668</c:v>
                </c:pt>
                <c:pt idx="71">
                  <c:v>40.074289078669288</c:v>
                </c:pt>
                <c:pt idx="72">
                  <c:v>37.860664680473128</c:v>
                </c:pt>
                <c:pt idx="73">
                  <c:v>32.051148513928005</c:v>
                </c:pt>
                <c:pt idx="74">
                  <c:v>45.887721120206436</c:v>
                </c:pt>
                <c:pt idx="75">
                  <c:v>24.980493555127275</c:v>
                </c:pt>
                <c:pt idx="76">
                  <c:v>30.158532920094469</c:v>
                </c:pt>
                <c:pt idx="77">
                  <c:v>42.613877662343725</c:v>
                </c:pt>
                <c:pt idx="78">
                  <c:v>46.721665369048949</c:v>
                </c:pt>
                <c:pt idx="79">
                  <c:v>47.092775229679972</c:v>
                </c:pt>
                <c:pt idx="80">
                  <c:v>46.552413422501928</c:v>
                </c:pt>
                <c:pt idx="81">
                  <c:v>49.006133505479987</c:v>
                </c:pt>
                <c:pt idx="82">
                  <c:v>48.311210366969917</c:v>
                </c:pt>
                <c:pt idx="83">
                  <c:v>46.669924770661282</c:v>
                </c:pt>
                <c:pt idx="84">
                  <c:v>49.897175948996292</c:v>
                </c:pt>
                <c:pt idx="85">
                  <c:v>49.221953168491268</c:v>
                </c:pt>
                <c:pt idx="86">
                  <c:v>48.35240667023605</c:v>
                </c:pt>
                <c:pt idx="87">
                  <c:v>50.374159928114452</c:v>
                </c:pt>
                <c:pt idx="88">
                  <c:v>50.454310720909646</c:v>
                </c:pt>
                <c:pt idx="89">
                  <c:v>45.640923003520236</c:v>
                </c:pt>
                <c:pt idx="90">
                  <c:v>47.789967168011586</c:v>
                </c:pt>
                <c:pt idx="91">
                  <c:v>42.365894595773121</c:v>
                </c:pt>
                <c:pt idx="92">
                  <c:v>48.937909271344878</c:v>
                </c:pt>
                <c:pt idx="93">
                  <c:v>53.242583375883534</c:v>
                </c:pt>
                <c:pt idx="94">
                  <c:v>55.141802022819732</c:v>
                </c:pt>
                <c:pt idx="95">
                  <c:v>55.305797154452193</c:v>
                </c:pt>
                <c:pt idx="96">
                  <c:v>54.130419749791777</c:v>
                </c:pt>
                <c:pt idx="97">
                  <c:v>52.014022850554703</c:v>
                </c:pt>
                <c:pt idx="98">
                  <c:v>51.39394262397834</c:v>
                </c:pt>
                <c:pt idx="99">
                  <c:v>56.417502682718599</c:v>
                </c:pt>
                <c:pt idx="100">
                  <c:v>55.108352473035232</c:v>
                </c:pt>
                <c:pt idx="101">
                  <c:v>55.432889188888424</c:v>
                </c:pt>
                <c:pt idx="102">
                  <c:v>56.418752922877168</c:v>
                </c:pt>
                <c:pt idx="103">
                  <c:v>56.195003771164046</c:v>
                </c:pt>
                <c:pt idx="104">
                  <c:v>56.145689401906232</c:v>
                </c:pt>
                <c:pt idx="105">
                  <c:v>50.868217959412618</c:v>
                </c:pt>
                <c:pt idx="106">
                  <c:v>57.796922044603946</c:v>
                </c:pt>
                <c:pt idx="107">
                  <c:v>46.37724858489505</c:v>
                </c:pt>
                <c:pt idx="108">
                  <c:v>56.526054792556174</c:v>
                </c:pt>
                <c:pt idx="109">
                  <c:v>48.602789768147602</c:v>
                </c:pt>
                <c:pt idx="110">
                  <c:v>55.33124831385225</c:v>
                </c:pt>
                <c:pt idx="111">
                  <c:v>59.287065717944621</c:v>
                </c:pt>
                <c:pt idx="112">
                  <c:v>58.481630214798564</c:v>
                </c:pt>
                <c:pt idx="113">
                  <c:v>54.722101062954692</c:v>
                </c:pt>
                <c:pt idx="114">
                  <c:v>56.337889785916616</c:v>
                </c:pt>
                <c:pt idx="115">
                  <c:v>59.191543258844384</c:v>
                </c:pt>
                <c:pt idx="116">
                  <c:v>42.170302647803133</c:v>
                </c:pt>
                <c:pt idx="117">
                  <c:v>48.071799484183821</c:v>
                </c:pt>
                <c:pt idx="118">
                  <c:v>54.803359565450826</c:v>
                </c:pt>
                <c:pt idx="119">
                  <c:v>60.871126204254288</c:v>
                </c:pt>
                <c:pt idx="120">
                  <c:v>56.86994403885685</c:v>
                </c:pt>
                <c:pt idx="121">
                  <c:v>39.790318251802034</c:v>
                </c:pt>
                <c:pt idx="122">
                  <c:v>59.817954676163886</c:v>
                </c:pt>
                <c:pt idx="123">
                  <c:v>56.704587051571465</c:v>
                </c:pt>
                <c:pt idx="124">
                  <c:v>59.050028688885625</c:v>
                </c:pt>
                <c:pt idx="125">
                  <c:v>64.356840251433624</c:v>
                </c:pt>
                <c:pt idx="126">
                  <c:v>59.662433655928183</c:v>
                </c:pt>
                <c:pt idx="127">
                  <c:v>57.592377924413015</c:v>
                </c:pt>
                <c:pt idx="128">
                  <c:v>60.800047772515065</c:v>
                </c:pt>
                <c:pt idx="129">
                  <c:v>55.813009554196178</c:v>
                </c:pt>
                <c:pt idx="130">
                  <c:v>61.187606498630338</c:v>
                </c:pt>
                <c:pt idx="131">
                  <c:v>58.723826865317584</c:v>
                </c:pt>
                <c:pt idx="132">
                  <c:v>65.24369285904416</c:v>
                </c:pt>
                <c:pt idx="133">
                  <c:v>63.602775441610461</c:v>
                </c:pt>
                <c:pt idx="134">
                  <c:v>64.554726690936292</c:v>
                </c:pt>
                <c:pt idx="135">
                  <c:v>55.412116441841142</c:v>
                </c:pt>
                <c:pt idx="136">
                  <c:v>59.766951406904127</c:v>
                </c:pt>
                <c:pt idx="137">
                  <c:v>64.833198802654493</c:v>
                </c:pt>
                <c:pt idx="138">
                  <c:v>63.754093188120109</c:v>
                </c:pt>
                <c:pt idx="139">
                  <c:v>63.57811157089013</c:v>
                </c:pt>
                <c:pt idx="140">
                  <c:v>62.178708912121074</c:v>
                </c:pt>
                <c:pt idx="141">
                  <c:v>63.08837322256813</c:v>
                </c:pt>
                <c:pt idx="142">
                  <c:v>57.176818430303342</c:v>
                </c:pt>
                <c:pt idx="143">
                  <c:v>28.621272020184886</c:v>
                </c:pt>
                <c:pt idx="144">
                  <c:v>59.3893737120083</c:v>
                </c:pt>
                <c:pt idx="145">
                  <c:v>63.356163340026761</c:v>
                </c:pt>
                <c:pt idx="146">
                  <c:v>62.931716158042121</c:v>
                </c:pt>
                <c:pt idx="147">
                  <c:v>62.080985179253567</c:v>
                </c:pt>
                <c:pt idx="148">
                  <c:v>65.925460607676612</c:v>
                </c:pt>
                <c:pt idx="149">
                  <c:v>63.686724886206711</c:v>
                </c:pt>
                <c:pt idx="150">
                  <c:v>64.708611084195553</c:v>
                </c:pt>
                <c:pt idx="151">
                  <c:v>65.140726705313512</c:v>
                </c:pt>
                <c:pt idx="152">
                  <c:v>63.901540527508928</c:v>
                </c:pt>
                <c:pt idx="153">
                  <c:v>59.942123507520741</c:v>
                </c:pt>
                <c:pt idx="154">
                  <c:v>57.961791725127831</c:v>
                </c:pt>
                <c:pt idx="155">
                  <c:v>47.729541453271779</c:v>
                </c:pt>
                <c:pt idx="156">
                  <c:v>63.713317790939129</c:v>
                </c:pt>
                <c:pt idx="157">
                  <c:v>57.56714176960822</c:v>
                </c:pt>
                <c:pt idx="158">
                  <c:v>66.080309605009333</c:v>
                </c:pt>
                <c:pt idx="159">
                  <c:v>60.192808761372696</c:v>
                </c:pt>
                <c:pt idx="160">
                  <c:v>65.004837110945502</c:v>
                </c:pt>
                <c:pt idx="161">
                  <c:v>61.004914058296308</c:v>
                </c:pt>
                <c:pt idx="162">
                  <c:v>60.932539305572888</c:v>
                </c:pt>
                <c:pt idx="163">
                  <c:v>63.578698622220735</c:v>
                </c:pt>
                <c:pt idx="164">
                  <c:v>54.737043912408573</c:v>
                </c:pt>
                <c:pt idx="165">
                  <c:v>60.074800201950083</c:v>
                </c:pt>
                <c:pt idx="166">
                  <c:v>65.146942528286331</c:v>
                </c:pt>
                <c:pt idx="167">
                  <c:v>64.280395132327001</c:v>
                </c:pt>
                <c:pt idx="168">
                  <c:v>62.624362697411456</c:v>
                </c:pt>
                <c:pt idx="169">
                  <c:v>61.369602347085966</c:v>
                </c:pt>
                <c:pt idx="170">
                  <c:v>61.978111723562009</c:v>
                </c:pt>
                <c:pt idx="171">
                  <c:v>55.551816026089647</c:v>
                </c:pt>
                <c:pt idx="172">
                  <c:v>63.856670121040153</c:v>
                </c:pt>
                <c:pt idx="173">
                  <c:v>56.926407326668489</c:v>
                </c:pt>
                <c:pt idx="174">
                  <c:v>63.0959882762929</c:v>
                </c:pt>
                <c:pt idx="175">
                  <c:v>58.333269226080525</c:v>
                </c:pt>
                <c:pt idx="176">
                  <c:v>61.173275923851143</c:v>
                </c:pt>
                <c:pt idx="177">
                  <c:v>60.985394415911713</c:v>
                </c:pt>
                <c:pt idx="178">
                  <c:v>66.57992359839362</c:v>
                </c:pt>
                <c:pt idx="179">
                  <c:v>61.842506845841385</c:v>
                </c:pt>
                <c:pt idx="180">
                  <c:v>57.491267700625883</c:v>
                </c:pt>
                <c:pt idx="181">
                  <c:v>61.136183783970139</c:v>
                </c:pt>
                <c:pt idx="182">
                  <c:v>57.066664805016352</c:v>
                </c:pt>
                <c:pt idx="183">
                  <c:v>51.612823612045531</c:v>
                </c:pt>
                <c:pt idx="184">
                  <c:v>59.307857255602293</c:v>
                </c:pt>
                <c:pt idx="185">
                  <c:v>62.396203571574965</c:v>
                </c:pt>
                <c:pt idx="186">
                  <c:v>61.545383485754634</c:v>
                </c:pt>
                <c:pt idx="187">
                  <c:v>58.7192468171447</c:v>
                </c:pt>
                <c:pt idx="188">
                  <c:v>64.463220422098431</c:v>
                </c:pt>
                <c:pt idx="189">
                  <c:v>63.337531421263037</c:v>
                </c:pt>
                <c:pt idx="190">
                  <c:v>63.097862001735528</c:v>
                </c:pt>
                <c:pt idx="191">
                  <c:v>62.66471285413887</c:v>
                </c:pt>
                <c:pt idx="192">
                  <c:v>63.499999412795624</c:v>
                </c:pt>
                <c:pt idx="193">
                  <c:v>60.352705657987606</c:v>
                </c:pt>
                <c:pt idx="194">
                  <c:v>62.42092802890074</c:v>
                </c:pt>
                <c:pt idx="195">
                  <c:v>64.059383068495961</c:v>
                </c:pt>
                <c:pt idx="196">
                  <c:v>61.939106503544039</c:v>
                </c:pt>
                <c:pt idx="197">
                  <c:v>61.436079600146336</c:v>
                </c:pt>
                <c:pt idx="198">
                  <c:v>58.678514973829415</c:v>
                </c:pt>
                <c:pt idx="199">
                  <c:v>60.900356316381583</c:v>
                </c:pt>
                <c:pt idx="200">
                  <c:v>59.452822712934505</c:v>
                </c:pt>
                <c:pt idx="201">
                  <c:v>57.625511170704193</c:v>
                </c:pt>
                <c:pt idx="202">
                  <c:v>56.185831469090324</c:v>
                </c:pt>
                <c:pt idx="203">
                  <c:v>56.993648476218958</c:v>
                </c:pt>
                <c:pt idx="204">
                  <c:v>57.250617661501515</c:v>
                </c:pt>
                <c:pt idx="205">
                  <c:v>58.935772550617891</c:v>
                </c:pt>
                <c:pt idx="206">
                  <c:v>58.480876245023246</c:v>
                </c:pt>
                <c:pt idx="207">
                  <c:v>61.56989037067234</c:v>
                </c:pt>
                <c:pt idx="208">
                  <c:v>61.483978261170357</c:v>
                </c:pt>
                <c:pt idx="209">
                  <c:v>60.214404913663586</c:v>
                </c:pt>
                <c:pt idx="210">
                  <c:v>52.174946254120343</c:v>
                </c:pt>
                <c:pt idx="211">
                  <c:v>57.043276941412763</c:v>
                </c:pt>
                <c:pt idx="212">
                  <c:v>59.244412021710168</c:v>
                </c:pt>
                <c:pt idx="213">
                  <c:v>57.154241429769726</c:v>
                </c:pt>
                <c:pt idx="214">
                  <c:v>57.449799256977776</c:v>
                </c:pt>
                <c:pt idx="215">
                  <c:v>53.047340954372693</c:v>
                </c:pt>
                <c:pt idx="216">
                  <c:v>58.00298989323845</c:v>
                </c:pt>
                <c:pt idx="217">
                  <c:v>57.070736386069342</c:v>
                </c:pt>
                <c:pt idx="218">
                  <c:v>56.568958989801914</c:v>
                </c:pt>
                <c:pt idx="219">
                  <c:v>57.38042233361849</c:v>
                </c:pt>
                <c:pt idx="220">
                  <c:v>56.476341657102651</c:v>
                </c:pt>
                <c:pt idx="221">
                  <c:v>53.155188356658869</c:v>
                </c:pt>
                <c:pt idx="222">
                  <c:v>51.445554600155653</c:v>
                </c:pt>
                <c:pt idx="223">
                  <c:v>51.220274033581461</c:v>
                </c:pt>
                <c:pt idx="224">
                  <c:v>52.158181392668176</c:v>
                </c:pt>
                <c:pt idx="225">
                  <c:v>56.516623137013951</c:v>
                </c:pt>
                <c:pt idx="226">
                  <c:v>51.583884574540299</c:v>
                </c:pt>
                <c:pt idx="227">
                  <c:v>55.530808319610884</c:v>
                </c:pt>
                <c:pt idx="228">
                  <c:v>54.275394990879882</c:v>
                </c:pt>
                <c:pt idx="229">
                  <c:v>53.81892121253842</c:v>
                </c:pt>
                <c:pt idx="230">
                  <c:v>48.769575691470848</c:v>
                </c:pt>
                <c:pt idx="231">
                  <c:v>52.529091636366658</c:v>
                </c:pt>
                <c:pt idx="232">
                  <c:v>51.419921349849517</c:v>
                </c:pt>
                <c:pt idx="233">
                  <c:v>55.310874432474641</c:v>
                </c:pt>
                <c:pt idx="234">
                  <c:v>52.494512682759208</c:v>
                </c:pt>
                <c:pt idx="235">
                  <c:v>52.36810981673333</c:v>
                </c:pt>
                <c:pt idx="236">
                  <c:v>49.230030482850516</c:v>
                </c:pt>
                <c:pt idx="237">
                  <c:v>51.409197401417927</c:v>
                </c:pt>
                <c:pt idx="238">
                  <c:v>52.781666805057725</c:v>
                </c:pt>
                <c:pt idx="239">
                  <c:v>52.903282092675809</c:v>
                </c:pt>
                <c:pt idx="240">
                  <c:v>52.164540919966655</c:v>
                </c:pt>
                <c:pt idx="241">
                  <c:v>50.422665541987861</c:v>
                </c:pt>
                <c:pt idx="242">
                  <c:v>50.324433414295505</c:v>
                </c:pt>
                <c:pt idx="243">
                  <c:v>47.157889501262005</c:v>
                </c:pt>
                <c:pt idx="244">
                  <c:v>49.191044286339199</c:v>
                </c:pt>
                <c:pt idx="245">
                  <c:v>51.164853972749853</c:v>
                </c:pt>
                <c:pt idx="246">
                  <c:v>50.630743838713244</c:v>
                </c:pt>
                <c:pt idx="247">
                  <c:v>48.60501068816032</c:v>
                </c:pt>
                <c:pt idx="248">
                  <c:v>51.979212378770349</c:v>
                </c:pt>
                <c:pt idx="249">
                  <c:v>50.735283993858943</c:v>
                </c:pt>
                <c:pt idx="250">
                  <c:v>44.572005255446598</c:v>
                </c:pt>
                <c:pt idx="251">
                  <c:v>45.910285028445344</c:v>
                </c:pt>
                <c:pt idx="252">
                  <c:v>46.307820639917978</c:v>
                </c:pt>
                <c:pt idx="253">
                  <c:v>46.152308154930608</c:v>
                </c:pt>
                <c:pt idx="254">
                  <c:v>47.332460641090549</c:v>
                </c:pt>
                <c:pt idx="255">
                  <c:v>44.332714285498227</c:v>
                </c:pt>
                <c:pt idx="256">
                  <c:v>43.753374021516187</c:v>
                </c:pt>
                <c:pt idx="257">
                  <c:v>44.298163479728281</c:v>
                </c:pt>
                <c:pt idx="258">
                  <c:v>41.309842416196986</c:v>
                </c:pt>
                <c:pt idx="259">
                  <c:v>46.172782046829937</c:v>
                </c:pt>
                <c:pt idx="260">
                  <c:v>46.550502444170561</c:v>
                </c:pt>
                <c:pt idx="261">
                  <c:v>44.638887158912787</c:v>
                </c:pt>
                <c:pt idx="262">
                  <c:v>45.787183013416694</c:v>
                </c:pt>
                <c:pt idx="263">
                  <c:v>44.482939873798387</c:v>
                </c:pt>
                <c:pt idx="264">
                  <c:v>42.986661928230411</c:v>
                </c:pt>
                <c:pt idx="265">
                  <c:v>39.136561933282216</c:v>
                </c:pt>
                <c:pt idx="266">
                  <c:v>35.871023448312265</c:v>
                </c:pt>
                <c:pt idx="267">
                  <c:v>30.911204106697131</c:v>
                </c:pt>
                <c:pt idx="268">
                  <c:v>33.236088483579834</c:v>
                </c:pt>
                <c:pt idx="269">
                  <c:v>32.510091909422549</c:v>
                </c:pt>
                <c:pt idx="270">
                  <c:v>28.599911688914776</c:v>
                </c:pt>
                <c:pt idx="271">
                  <c:v>39.642846116741424</c:v>
                </c:pt>
                <c:pt idx="272">
                  <c:v>32.062263093878606</c:v>
                </c:pt>
                <c:pt idx="273">
                  <c:v>38.101768879016269</c:v>
                </c:pt>
                <c:pt idx="274">
                  <c:v>37.706519945613685</c:v>
                </c:pt>
                <c:pt idx="275">
                  <c:v>36.052378620144729</c:v>
                </c:pt>
                <c:pt idx="276">
                  <c:v>38.105877849887769</c:v>
                </c:pt>
                <c:pt idx="277">
                  <c:v>38.512022634162193</c:v>
                </c:pt>
                <c:pt idx="278">
                  <c:v>33.993896318509428</c:v>
                </c:pt>
                <c:pt idx="279">
                  <c:v>37.024189714848987</c:v>
                </c:pt>
                <c:pt idx="280">
                  <c:v>36.120260428293889</c:v>
                </c:pt>
                <c:pt idx="281">
                  <c:v>35.227074069795499</c:v>
                </c:pt>
                <c:pt idx="282">
                  <c:v>29.978792140738321</c:v>
                </c:pt>
                <c:pt idx="283">
                  <c:v>35.228282069749262</c:v>
                </c:pt>
                <c:pt idx="284">
                  <c:v>34.24330519553645</c:v>
                </c:pt>
                <c:pt idx="285">
                  <c:v>32.914868339815627</c:v>
                </c:pt>
                <c:pt idx="286">
                  <c:v>34.821662172601158</c:v>
                </c:pt>
                <c:pt idx="287">
                  <c:v>33.09419835540163</c:v>
                </c:pt>
                <c:pt idx="288">
                  <c:v>31.863522294539795</c:v>
                </c:pt>
                <c:pt idx="289">
                  <c:v>29.854260667658959</c:v>
                </c:pt>
                <c:pt idx="290">
                  <c:v>32.364301744109355</c:v>
                </c:pt>
                <c:pt idx="291">
                  <c:v>30.618334526163864</c:v>
                </c:pt>
                <c:pt idx="292">
                  <c:v>26.917739526991838</c:v>
                </c:pt>
                <c:pt idx="293">
                  <c:v>22.474187536944374</c:v>
                </c:pt>
                <c:pt idx="294">
                  <c:v>28.583639581005087</c:v>
                </c:pt>
                <c:pt idx="295">
                  <c:v>30.859930652265835</c:v>
                </c:pt>
                <c:pt idx="296">
                  <c:v>31.094214113391882</c:v>
                </c:pt>
                <c:pt idx="297">
                  <c:v>29.799774376559132</c:v>
                </c:pt>
                <c:pt idx="298">
                  <c:v>29.263227957076836</c:v>
                </c:pt>
                <c:pt idx="299">
                  <c:v>29.643885541046256</c:v>
                </c:pt>
                <c:pt idx="300">
                  <c:v>28.741781736753882</c:v>
                </c:pt>
                <c:pt idx="301">
                  <c:v>25.210255189313802</c:v>
                </c:pt>
                <c:pt idx="302">
                  <c:v>25.555453874343382</c:v>
                </c:pt>
                <c:pt idx="303">
                  <c:v>27.871025086088434</c:v>
                </c:pt>
                <c:pt idx="304">
                  <c:v>26.847448093899022</c:v>
                </c:pt>
                <c:pt idx="305">
                  <c:v>26.326466731477012</c:v>
                </c:pt>
                <c:pt idx="306">
                  <c:v>25.417463869453393</c:v>
                </c:pt>
                <c:pt idx="307">
                  <c:v>18.882274393596006</c:v>
                </c:pt>
                <c:pt idx="308">
                  <c:v>24.048869114323441</c:v>
                </c:pt>
                <c:pt idx="309">
                  <c:v>24.169643486522705</c:v>
                </c:pt>
                <c:pt idx="310">
                  <c:v>24.045788242607607</c:v>
                </c:pt>
                <c:pt idx="311">
                  <c:v>20.498806693630254</c:v>
                </c:pt>
                <c:pt idx="312">
                  <c:v>19.612077061652013</c:v>
                </c:pt>
                <c:pt idx="313">
                  <c:v>21.016789567634788</c:v>
                </c:pt>
                <c:pt idx="314">
                  <c:v>21.778957702491802</c:v>
                </c:pt>
                <c:pt idx="315">
                  <c:v>21.646886416658624</c:v>
                </c:pt>
                <c:pt idx="316">
                  <c:v>23.471862617221571</c:v>
                </c:pt>
                <c:pt idx="317">
                  <c:v>17.097007227824616</c:v>
                </c:pt>
                <c:pt idx="318">
                  <c:v>21.895850327793376</c:v>
                </c:pt>
                <c:pt idx="319">
                  <c:v>21.302314417663752</c:v>
                </c:pt>
                <c:pt idx="320">
                  <c:v>21.938135822618069</c:v>
                </c:pt>
                <c:pt idx="321">
                  <c:v>20.856889266520181</c:v>
                </c:pt>
                <c:pt idx="322">
                  <c:v>22.157788716528341</c:v>
                </c:pt>
                <c:pt idx="323">
                  <c:v>22.532430665642437</c:v>
                </c:pt>
                <c:pt idx="324">
                  <c:v>21.71388989490131</c:v>
                </c:pt>
                <c:pt idx="325">
                  <c:v>22.055020906483698</c:v>
                </c:pt>
                <c:pt idx="326">
                  <c:v>21.439200666327118</c:v>
                </c:pt>
                <c:pt idx="327">
                  <c:v>20.206281401845153</c:v>
                </c:pt>
                <c:pt idx="328">
                  <c:v>18.507554622634164</c:v>
                </c:pt>
                <c:pt idx="329">
                  <c:v>20.367586395989942</c:v>
                </c:pt>
                <c:pt idx="330">
                  <c:v>18.723509974078482</c:v>
                </c:pt>
                <c:pt idx="331">
                  <c:v>15.043607934783193</c:v>
                </c:pt>
                <c:pt idx="332">
                  <c:v>19.948122922418964</c:v>
                </c:pt>
                <c:pt idx="333">
                  <c:v>19.841900082377851</c:v>
                </c:pt>
                <c:pt idx="334">
                  <c:v>18.774902602934571</c:v>
                </c:pt>
                <c:pt idx="335">
                  <c:v>8.2901078959824659</c:v>
                </c:pt>
                <c:pt idx="336">
                  <c:v>13.468073041251417</c:v>
                </c:pt>
                <c:pt idx="337">
                  <c:v>16.33460099180688</c:v>
                </c:pt>
                <c:pt idx="338">
                  <c:v>19.680771499615478</c:v>
                </c:pt>
                <c:pt idx="339">
                  <c:v>16.269133792401302</c:v>
                </c:pt>
                <c:pt idx="340">
                  <c:v>17.136477996690616</c:v>
                </c:pt>
                <c:pt idx="341">
                  <c:v>15.197501570723485</c:v>
                </c:pt>
                <c:pt idx="342">
                  <c:v>9.1861126811797025</c:v>
                </c:pt>
                <c:pt idx="343">
                  <c:v>16.709769802628212</c:v>
                </c:pt>
                <c:pt idx="344">
                  <c:v>15.16428753732999</c:v>
                </c:pt>
                <c:pt idx="345">
                  <c:v>18.180866502884243</c:v>
                </c:pt>
                <c:pt idx="346">
                  <c:v>18.504532146725122</c:v>
                </c:pt>
                <c:pt idx="347">
                  <c:v>18.47305077116031</c:v>
                </c:pt>
                <c:pt idx="348">
                  <c:v>17.873939107740306</c:v>
                </c:pt>
                <c:pt idx="349">
                  <c:v>18.022426039936903</c:v>
                </c:pt>
                <c:pt idx="350">
                  <c:v>18.022391356123773</c:v>
                </c:pt>
                <c:pt idx="351">
                  <c:v>18.412762938360004</c:v>
                </c:pt>
                <c:pt idx="352">
                  <c:v>17.957139739546754</c:v>
                </c:pt>
                <c:pt idx="353">
                  <c:v>18.802231330650311</c:v>
                </c:pt>
                <c:pt idx="354">
                  <c:v>17.850386035050892</c:v>
                </c:pt>
                <c:pt idx="355">
                  <c:v>17.758391649876643</c:v>
                </c:pt>
                <c:pt idx="356">
                  <c:v>16.329649322578813</c:v>
                </c:pt>
                <c:pt idx="357">
                  <c:v>18.957181052151114</c:v>
                </c:pt>
                <c:pt idx="358">
                  <c:v>13.907050225818837</c:v>
                </c:pt>
                <c:pt idx="359">
                  <c:v>17.58318067946076</c:v>
                </c:pt>
                <c:pt idx="360">
                  <c:v>17.819544852558497</c:v>
                </c:pt>
                <c:pt idx="361">
                  <c:v>17.454162146130681</c:v>
                </c:pt>
                <c:pt idx="362">
                  <c:v>19.042847861253957</c:v>
                </c:pt>
                <c:pt idx="363">
                  <c:v>18.153924992563482</c:v>
                </c:pt>
                <c:pt idx="364">
                  <c:v>18.304438481335758</c:v>
                </c:pt>
                <c:pt idx="365">
                  <c:v>13.062281165272948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'2021'!$F$14</c:f>
              <c:strCache>
                <c:ptCount val="1"/>
                <c:pt idx="0">
                  <c:v>Hors pertes 2021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'2021'!Wh_hp</c:f>
              <c:numCache>
                <c:formatCode>0.00</c:formatCode>
                <c:ptCount val="366"/>
                <c:pt idx="0">
                  <c:v>11.582450282157536</c:v>
                </c:pt>
                <c:pt idx="1">
                  <c:v>4.2341284624499309</c:v>
                </c:pt>
                <c:pt idx="2">
                  <c:v>18.600684183970049</c:v>
                </c:pt>
                <c:pt idx="3">
                  <c:v>17.602445681798752</c:v>
                </c:pt>
                <c:pt idx="4">
                  <c:v>3.4929209228592555</c:v>
                </c:pt>
                <c:pt idx="5">
                  <c:v>7.9213669530545152</c:v>
                </c:pt>
                <c:pt idx="6">
                  <c:v>11.660889123317338</c:v>
                </c:pt>
                <c:pt idx="7">
                  <c:v>14.685729582313519</c:v>
                </c:pt>
                <c:pt idx="8">
                  <c:v>5.4752910701837383</c:v>
                </c:pt>
                <c:pt idx="9">
                  <c:v>5.0602897457473368</c:v>
                </c:pt>
                <c:pt idx="10">
                  <c:v>6.7963945619046937</c:v>
                </c:pt>
                <c:pt idx="11">
                  <c:v>14.256573439472042</c:v>
                </c:pt>
                <c:pt idx="12">
                  <c:v>14.014705435196035</c:v>
                </c:pt>
                <c:pt idx="13">
                  <c:v>10.617737113995585</c:v>
                </c:pt>
                <c:pt idx="14">
                  <c:v>15.628768606782408</c:v>
                </c:pt>
                <c:pt idx="15">
                  <c:v>14.824161411630195</c:v>
                </c:pt>
                <c:pt idx="16">
                  <c:v>6.6440685152729495</c:v>
                </c:pt>
                <c:pt idx="17">
                  <c:v>21.743395935695009</c:v>
                </c:pt>
                <c:pt idx="18">
                  <c:v>22.082454622527671</c:v>
                </c:pt>
                <c:pt idx="19">
                  <c:v>6.5694646941502688</c:v>
                </c:pt>
                <c:pt idx="20">
                  <c:v>12.162070678757374</c:v>
                </c:pt>
                <c:pt idx="21">
                  <c:v>6.0661689867258248</c:v>
                </c:pt>
                <c:pt idx="22">
                  <c:v>9.8163420277410651</c:v>
                </c:pt>
                <c:pt idx="23">
                  <c:v>15.601624549617876</c:v>
                </c:pt>
                <c:pt idx="24">
                  <c:v>7.5679930209441411</c:v>
                </c:pt>
                <c:pt idx="25">
                  <c:v>17.535070901571977</c:v>
                </c:pt>
                <c:pt idx="26">
                  <c:v>7.0318496032608939</c:v>
                </c:pt>
                <c:pt idx="27">
                  <c:v>16.661017484986811</c:v>
                </c:pt>
                <c:pt idx="28">
                  <c:v>13.62561651674941</c:v>
                </c:pt>
                <c:pt idx="29">
                  <c:v>7.8484955227731499</c:v>
                </c:pt>
                <c:pt idx="30">
                  <c:v>9.4240056621408215</c:v>
                </c:pt>
                <c:pt idx="31">
                  <c:v>10.676024312727471</c:v>
                </c:pt>
                <c:pt idx="32">
                  <c:v>24.150188849551444</c:v>
                </c:pt>
                <c:pt idx="33">
                  <c:v>19.477607833073812</c:v>
                </c:pt>
                <c:pt idx="34">
                  <c:v>15.505470363884703</c:v>
                </c:pt>
                <c:pt idx="35">
                  <c:v>10.070210986522122</c:v>
                </c:pt>
                <c:pt idx="36">
                  <c:v>8.3689384338016062</c:v>
                </c:pt>
                <c:pt idx="37">
                  <c:v>20.460774580395299</c:v>
                </c:pt>
                <c:pt idx="38">
                  <c:v>4.4030053308305437</c:v>
                </c:pt>
                <c:pt idx="39">
                  <c:v>13.781418442635335</c:v>
                </c:pt>
                <c:pt idx="40">
                  <c:v>14.206557776982189</c:v>
                </c:pt>
                <c:pt idx="41">
                  <c:v>26.884629340458861</c:v>
                </c:pt>
                <c:pt idx="42">
                  <c:v>4.6189916721073825</c:v>
                </c:pt>
                <c:pt idx="43">
                  <c:v>8.8595872938908382</c:v>
                </c:pt>
                <c:pt idx="44">
                  <c:v>29.075609307707047</c:v>
                </c:pt>
                <c:pt idx="45">
                  <c:v>30.077983616907947</c:v>
                </c:pt>
                <c:pt idx="46">
                  <c:v>28.694179325273645</c:v>
                </c:pt>
                <c:pt idx="47">
                  <c:v>30.45503282455963</c:v>
                </c:pt>
                <c:pt idx="48">
                  <c:v>14.905520802220352</c:v>
                </c:pt>
                <c:pt idx="49">
                  <c:v>32.228087820026474</c:v>
                </c:pt>
                <c:pt idx="50">
                  <c:v>27.642180039836475</c:v>
                </c:pt>
                <c:pt idx="51">
                  <c:v>10.659192962005132</c:v>
                </c:pt>
                <c:pt idx="52">
                  <c:v>8.7478389048609078</c:v>
                </c:pt>
                <c:pt idx="53">
                  <c:v>29.008283128218181</c:v>
                </c:pt>
                <c:pt idx="54">
                  <c:v>33.722155735105893</c:v>
                </c:pt>
                <c:pt idx="55">
                  <c:v>32.045194214691783</c:v>
                </c:pt>
                <c:pt idx="56">
                  <c:v>9.3635178451028906</c:v>
                </c:pt>
                <c:pt idx="57">
                  <c:v>35.557452957047893</c:v>
                </c:pt>
                <c:pt idx="58">
                  <c:v>31.029574101907489</c:v>
                </c:pt>
                <c:pt idx="59">
                  <c:v>33.651274550075208</c:v>
                </c:pt>
                <c:pt idx="60">
                  <c:v>16.046447387930204</c:v>
                </c:pt>
                <c:pt idx="61">
                  <c:v>18.171284043882078</c:v>
                </c:pt>
                <c:pt idx="62">
                  <c:v>29.720518011114656</c:v>
                </c:pt>
                <c:pt idx="63">
                  <c:v>30.974496566343859</c:v>
                </c:pt>
                <c:pt idx="64">
                  <c:v>11.538779638637696</c:v>
                </c:pt>
                <c:pt idx="65">
                  <c:v>11.539641577657909</c:v>
                </c:pt>
                <c:pt idx="66">
                  <c:v>23.976885514966192</c:v>
                </c:pt>
                <c:pt idx="67">
                  <c:v>39.162385004311176</c:v>
                </c:pt>
                <c:pt idx="68">
                  <c:v>39.155466400635383</c:v>
                </c:pt>
                <c:pt idx="69">
                  <c:v>32.028594734464335</c:v>
                </c:pt>
                <c:pt idx="70">
                  <c:v>27.608971524155418</c:v>
                </c:pt>
                <c:pt idx="71">
                  <c:v>40.074289078669288</c:v>
                </c:pt>
                <c:pt idx="72">
                  <c:v>25.683341734005133</c:v>
                </c:pt>
                <c:pt idx="73">
                  <c:v>18.649220801198886</c:v>
                </c:pt>
                <c:pt idx="74">
                  <c:v>33.658010324603623</c:v>
                </c:pt>
                <c:pt idx="75">
                  <c:v>24.980493555127275</c:v>
                </c:pt>
                <c:pt idx="76">
                  <c:v>19.816807765848885</c:v>
                </c:pt>
                <c:pt idx="77">
                  <c:v>13.156158225740754</c:v>
                </c:pt>
                <c:pt idx="78">
                  <c:v>38.736182038717473</c:v>
                </c:pt>
                <c:pt idx="79">
                  <c:v>40.711057272506821</c:v>
                </c:pt>
                <c:pt idx="80">
                  <c:v>38.027650395402404</c:v>
                </c:pt>
                <c:pt idx="81">
                  <c:v>47.463423803411175</c:v>
                </c:pt>
                <c:pt idx="82">
                  <c:v>47.071490576790602</c:v>
                </c:pt>
                <c:pt idx="83">
                  <c:v>35.194453225425754</c:v>
                </c:pt>
                <c:pt idx="84">
                  <c:v>40.157683128443054</c:v>
                </c:pt>
                <c:pt idx="85">
                  <c:v>41.26631043581488</c:v>
                </c:pt>
                <c:pt idx="86">
                  <c:v>48.35240667023605</c:v>
                </c:pt>
                <c:pt idx="87">
                  <c:v>50.374159928114452</c:v>
                </c:pt>
                <c:pt idx="88">
                  <c:v>47.08838858765511</c:v>
                </c:pt>
                <c:pt idx="89">
                  <c:v>45.640923003520236</c:v>
                </c:pt>
                <c:pt idx="90">
                  <c:v>47.115116896132911</c:v>
                </c:pt>
                <c:pt idx="91">
                  <c:v>40.67894723561659</c:v>
                </c:pt>
                <c:pt idx="92">
                  <c:v>48.937909271344878</c:v>
                </c:pt>
                <c:pt idx="93">
                  <c:v>50.461166697847609</c:v>
                </c:pt>
                <c:pt idx="94">
                  <c:v>49.496145304943148</c:v>
                </c:pt>
                <c:pt idx="95">
                  <c:v>33.236535688044974</c:v>
                </c:pt>
                <c:pt idx="96">
                  <c:v>54.130419749791777</c:v>
                </c:pt>
                <c:pt idx="97">
                  <c:v>52.014022850554703</c:v>
                </c:pt>
                <c:pt idx="98">
                  <c:v>31.611919268419737</c:v>
                </c:pt>
                <c:pt idx="99">
                  <c:v>31.389028396227598</c:v>
                </c:pt>
                <c:pt idx="100">
                  <c:v>8.0332952790119094</c:v>
                </c:pt>
                <c:pt idx="101">
                  <c:v>44.8109617283001</c:v>
                </c:pt>
                <c:pt idx="102">
                  <c:v>49.436181307086564</c:v>
                </c:pt>
                <c:pt idx="103">
                  <c:v>56.195003771164046</c:v>
                </c:pt>
                <c:pt idx="104">
                  <c:v>56.145689401906232</c:v>
                </c:pt>
                <c:pt idx="105">
                  <c:v>46.454726267096504</c:v>
                </c:pt>
                <c:pt idx="106">
                  <c:v>52.977314501682066</c:v>
                </c:pt>
                <c:pt idx="107">
                  <c:v>35.662665643652794</c:v>
                </c:pt>
                <c:pt idx="108">
                  <c:v>56.526054792556174</c:v>
                </c:pt>
                <c:pt idx="109">
                  <c:v>40.664534772910521</c:v>
                </c:pt>
                <c:pt idx="110">
                  <c:v>55.33124831385225</c:v>
                </c:pt>
                <c:pt idx="111">
                  <c:v>59.287065717944621</c:v>
                </c:pt>
                <c:pt idx="112">
                  <c:v>58.481630214798564</c:v>
                </c:pt>
                <c:pt idx="113">
                  <c:v>54.722101062954692</c:v>
                </c:pt>
                <c:pt idx="114">
                  <c:v>28.921235440188209</c:v>
                </c:pt>
                <c:pt idx="115">
                  <c:v>6.6767293668791154</c:v>
                </c:pt>
                <c:pt idx="116">
                  <c:v>21.289769878646798</c:v>
                </c:pt>
                <c:pt idx="117">
                  <c:v>16.366132793259506</c:v>
                </c:pt>
                <c:pt idx="118">
                  <c:v>26.028315878477876</c:v>
                </c:pt>
                <c:pt idx="119">
                  <c:v>18.379258139200694</c:v>
                </c:pt>
                <c:pt idx="120">
                  <c:v>21.880075207499132</c:v>
                </c:pt>
                <c:pt idx="121">
                  <c:v>39.790318251802034</c:v>
                </c:pt>
                <c:pt idx="122">
                  <c:v>59.817954676163886</c:v>
                </c:pt>
                <c:pt idx="123">
                  <c:v>51.968503518819773</c:v>
                </c:pt>
                <c:pt idx="124">
                  <c:v>36.984426167202514</c:v>
                </c:pt>
                <c:pt idx="125">
                  <c:v>38.648487928857342</c:v>
                </c:pt>
                <c:pt idx="126">
                  <c:v>35.374057126053323</c:v>
                </c:pt>
                <c:pt idx="127">
                  <c:v>57.592377924413015</c:v>
                </c:pt>
                <c:pt idx="128">
                  <c:v>22.369087307586295</c:v>
                </c:pt>
                <c:pt idx="129">
                  <c:v>44.078896085782773</c:v>
                </c:pt>
                <c:pt idx="130">
                  <c:v>37.266690744651562</c:v>
                </c:pt>
                <c:pt idx="131">
                  <c:v>38.076641737533087</c:v>
                </c:pt>
                <c:pt idx="132">
                  <c:v>48.679871461271325</c:v>
                </c:pt>
                <c:pt idx="133">
                  <c:v>46.4065442028541</c:v>
                </c:pt>
                <c:pt idx="134">
                  <c:v>21.850229119806041</c:v>
                </c:pt>
                <c:pt idx="135">
                  <c:v>14.215979456920278</c:v>
                </c:pt>
                <c:pt idx="136">
                  <c:v>59.341736603093388</c:v>
                </c:pt>
                <c:pt idx="137">
                  <c:v>38.3443675354237</c:v>
                </c:pt>
                <c:pt idx="138">
                  <c:v>54.449726442788119</c:v>
                </c:pt>
                <c:pt idx="139">
                  <c:v>63.57811157089013</c:v>
                </c:pt>
                <c:pt idx="140">
                  <c:v>41.853853743290308</c:v>
                </c:pt>
                <c:pt idx="141">
                  <c:v>36.438070018664028</c:v>
                </c:pt>
                <c:pt idx="142">
                  <c:v>38.420942658493487</c:v>
                </c:pt>
                <c:pt idx="143">
                  <c:v>28.621272020184886</c:v>
                </c:pt>
                <c:pt idx="144">
                  <c:v>51.85807146728623</c:v>
                </c:pt>
                <c:pt idx="145">
                  <c:v>53.961329571069562</c:v>
                </c:pt>
                <c:pt idx="146">
                  <c:v>62.931716158042121</c:v>
                </c:pt>
                <c:pt idx="147">
                  <c:v>43.267618427564663</c:v>
                </c:pt>
                <c:pt idx="148">
                  <c:v>41.003051113492091</c:v>
                </c:pt>
                <c:pt idx="149">
                  <c:v>52.652739856826997</c:v>
                </c:pt>
                <c:pt idx="150">
                  <c:v>59.655033321189798</c:v>
                </c:pt>
                <c:pt idx="151">
                  <c:v>36.024663451370948</c:v>
                </c:pt>
                <c:pt idx="152">
                  <c:v>40.632665728368302</c:v>
                </c:pt>
                <c:pt idx="153">
                  <c:v>53.137948009205523</c:v>
                </c:pt>
                <c:pt idx="154">
                  <c:v>11.257579516705041</c:v>
                </c:pt>
                <c:pt idx="155">
                  <c:v>47.729541453271779</c:v>
                </c:pt>
                <c:pt idx="156">
                  <c:v>48.537326971165704</c:v>
                </c:pt>
                <c:pt idx="157">
                  <c:v>57.56714176960822</c:v>
                </c:pt>
                <c:pt idx="158">
                  <c:v>64.013081985000142</c:v>
                </c:pt>
                <c:pt idx="159">
                  <c:v>60.192808761372696</c:v>
                </c:pt>
                <c:pt idx="160">
                  <c:v>61.198451279006086</c:v>
                </c:pt>
                <c:pt idx="161">
                  <c:v>47.754990628206258</c:v>
                </c:pt>
                <c:pt idx="162">
                  <c:v>52.667206388568715</c:v>
                </c:pt>
                <c:pt idx="163">
                  <c:v>61.520511704476611</c:v>
                </c:pt>
                <c:pt idx="164">
                  <c:v>54.737043912408573</c:v>
                </c:pt>
                <c:pt idx="165">
                  <c:v>55.631690238688194</c:v>
                </c:pt>
                <c:pt idx="166">
                  <c:v>51.734531499121822</c:v>
                </c:pt>
                <c:pt idx="167">
                  <c:v>16.996281240239739</c:v>
                </c:pt>
                <c:pt idx="168">
                  <c:v>43.404929529767671</c:v>
                </c:pt>
                <c:pt idx="169">
                  <c:v>35.228242776510477</c:v>
                </c:pt>
                <c:pt idx="170">
                  <c:v>37.106884314193003</c:v>
                </c:pt>
                <c:pt idx="171">
                  <c:v>38.739961352859801</c:v>
                </c:pt>
                <c:pt idx="172">
                  <c:v>42.507694201496491</c:v>
                </c:pt>
                <c:pt idx="173">
                  <c:v>26.987427603219476</c:v>
                </c:pt>
                <c:pt idx="174">
                  <c:v>41.909823276727295</c:v>
                </c:pt>
                <c:pt idx="175">
                  <c:v>58.333269226080525</c:v>
                </c:pt>
                <c:pt idx="176">
                  <c:v>60.835522203975074</c:v>
                </c:pt>
                <c:pt idx="177">
                  <c:v>8.9632218265791348</c:v>
                </c:pt>
                <c:pt idx="178">
                  <c:v>26.91305187988619</c:v>
                </c:pt>
                <c:pt idx="179">
                  <c:v>40.784361680402924</c:v>
                </c:pt>
                <c:pt idx="180">
                  <c:v>52.36278731739052</c:v>
                </c:pt>
                <c:pt idx="181">
                  <c:v>59.002327539581458</c:v>
                </c:pt>
                <c:pt idx="182">
                  <c:v>57.066664805016352</c:v>
                </c:pt>
                <c:pt idx="183">
                  <c:v>36.343844921405974</c:v>
                </c:pt>
                <c:pt idx="184">
                  <c:v>37.851307307115533</c:v>
                </c:pt>
                <c:pt idx="185">
                  <c:v>62.396203571574965</c:v>
                </c:pt>
                <c:pt idx="186">
                  <c:v>23.118008641944609</c:v>
                </c:pt>
                <c:pt idx="187">
                  <c:v>39.068714627681743</c:v>
                </c:pt>
                <c:pt idx="188">
                  <c:v>55.034193505251444</c:v>
                </c:pt>
                <c:pt idx="189">
                  <c:v>62.149769192838704</c:v>
                </c:pt>
                <c:pt idx="190">
                  <c:v>54.120448008326875</c:v>
                </c:pt>
                <c:pt idx="191">
                  <c:v>53.091450985561622</c:v>
                </c:pt>
                <c:pt idx="192">
                  <c:v>14.627970586543032</c:v>
                </c:pt>
                <c:pt idx="193">
                  <c:v>32.420746923890874</c:v>
                </c:pt>
                <c:pt idx="194">
                  <c:v>33.895357224060092</c:v>
                </c:pt>
                <c:pt idx="195">
                  <c:v>40.502306147652227</c:v>
                </c:pt>
                <c:pt idx="196">
                  <c:v>43.639253607994306</c:v>
                </c:pt>
                <c:pt idx="197">
                  <c:v>61.436079600146336</c:v>
                </c:pt>
                <c:pt idx="198">
                  <c:v>55.507500825501708</c:v>
                </c:pt>
                <c:pt idx="199">
                  <c:v>60.569071427398995</c:v>
                </c:pt>
                <c:pt idx="200">
                  <c:v>48.089688522784783</c:v>
                </c:pt>
                <c:pt idx="201">
                  <c:v>50.512665548279784</c:v>
                </c:pt>
                <c:pt idx="202">
                  <c:v>56.185831469090324</c:v>
                </c:pt>
                <c:pt idx="203">
                  <c:v>46.002858498427479</c:v>
                </c:pt>
                <c:pt idx="204">
                  <c:v>35.70672386807351</c:v>
                </c:pt>
                <c:pt idx="205">
                  <c:v>38.618272083895491</c:v>
                </c:pt>
                <c:pt idx="206">
                  <c:v>36.415527306933342</c:v>
                </c:pt>
                <c:pt idx="207">
                  <c:v>50.508668868399489</c:v>
                </c:pt>
                <c:pt idx="208">
                  <c:v>29.626950884809094</c:v>
                </c:pt>
                <c:pt idx="209">
                  <c:v>57.096579863746257</c:v>
                </c:pt>
                <c:pt idx="210">
                  <c:v>19.377304889236626</c:v>
                </c:pt>
                <c:pt idx="211">
                  <c:v>13.994510180298944</c:v>
                </c:pt>
                <c:pt idx="212">
                  <c:v>48.876705913029411</c:v>
                </c:pt>
                <c:pt idx="213">
                  <c:v>56.70254763966323</c:v>
                </c:pt>
                <c:pt idx="214">
                  <c:v>37.835483755529921</c:v>
                </c:pt>
                <c:pt idx="215">
                  <c:v>35.860925437254558</c:v>
                </c:pt>
                <c:pt idx="216">
                  <c:v>50.606758498745549</c:v>
                </c:pt>
                <c:pt idx="217">
                  <c:v>21.653788222516809</c:v>
                </c:pt>
                <c:pt idx="218">
                  <c:v>25.302496992400574</c:v>
                </c:pt>
                <c:pt idx="219">
                  <c:v>37.642647617188551</c:v>
                </c:pt>
                <c:pt idx="220">
                  <c:v>56.476341657102651</c:v>
                </c:pt>
                <c:pt idx="221">
                  <c:v>51.784839824946872</c:v>
                </c:pt>
                <c:pt idx="222">
                  <c:v>51.445554600155653</c:v>
                </c:pt>
                <c:pt idx="223">
                  <c:v>49.860154846078544</c:v>
                </c:pt>
                <c:pt idx="224">
                  <c:v>34.01419365755509</c:v>
                </c:pt>
                <c:pt idx="225">
                  <c:v>50.091420748990146</c:v>
                </c:pt>
                <c:pt idx="226">
                  <c:v>22.239765449347118</c:v>
                </c:pt>
                <c:pt idx="227">
                  <c:v>33.779795443634875</c:v>
                </c:pt>
                <c:pt idx="228">
                  <c:v>43.703087005260628</c:v>
                </c:pt>
                <c:pt idx="229">
                  <c:v>53.81892121253842</c:v>
                </c:pt>
                <c:pt idx="230">
                  <c:v>48.769575691470848</c:v>
                </c:pt>
                <c:pt idx="231">
                  <c:v>52.529091636366658</c:v>
                </c:pt>
                <c:pt idx="232">
                  <c:v>49.014844935373311</c:v>
                </c:pt>
                <c:pt idx="233">
                  <c:v>21.107713810787146</c:v>
                </c:pt>
                <c:pt idx="234">
                  <c:v>49.429976318574305</c:v>
                </c:pt>
                <c:pt idx="235">
                  <c:v>45.975470259546199</c:v>
                </c:pt>
                <c:pt idx="236">
                  <c:v>49.230030482850516</c:v>
                </c:pt>
                <c:pt idx="237">
                  <c:v>51.409197401417927</c:v>
                </c:pt>
                <c:pt idx="238">
                  <c:v>47.059243270687695</c:v>
                </c:pt>
                <c:pt idx="239">
                  <c:v>52.903282092675809</c:v>
                </c:pt>
                <c:pt idx="240">
                  <c:v>52.164540919966655</c:v>
                </c:pt>
                <c:pt idx="241">
                  <c:v>50.422665541987861</c:v>
                </c:pt>
                <c:pt idx="242">
                  <c:v>50.324433414295505</c:v>
                </c:pt>
                <c:pt idx="243">
                  <c:v>30.724240444572839</c:v>
                </c:pt>
                <c:pt idx="244">
                  <c:v>22.50466032545075</c:v>
                </c:pt>
                <c:pt idx="245">
                  <c:v>29.658344648139611</c:v>
                </c:pt>
                <c:pt idx="246">
                  <c:v>43.176365210244711</c:v>
                </c:pt>
                <c:pt idx="247">
                  <c:v>44.219343746564888</c:v>
                </c:pt>
                <c:pt idx="248">
                  <c:v>48.256072532467769</c:v>
                </c:pt>
                <c:pt idx="249">
                  <c:v>37.410073890143579</c:v>
                </c:pt>
                <c:pt idx="250">
                  <c:v>32.556762504832996</c:v>
                </c:pt>
                <c:pt idx="251">
                  <c:v>19.663090416993615</c:v>
                </c:pt>
                <c:pt idx="252">
                  <c:v>41.220671863023284</c:v>
                </c:pt>
                <c:pt idx="253">
                  <c:v>41.43560726345671</c:v>
                </c:pt>
                <c:pt idx="254">
                  <c:v>45.292848865283851</c:v>
                </c:pt>
                <c:pt idx="255">
                  <c:v>32.280677722651326</c:v>
                </c:pt>
                <c:pt idx="256">
                  <c:v>20.475603922385876</c:v>
                </c:pt>
                <c:pt idx="257">
                  <c:v>30.397306994087256</c:v>
                </c:pt>
                <c:pt idx="258">
                  <c:v>23.269156778271316</c:v>
                </c:pt>
                <c:pt idx="259">
                  <c:v>43.342169987619108</c:v>
                </c:pt>
                <c:pt idx="260">
                  <c:v>9.3243895339887377</c:v>
                </c:pt>
                <c:pt idx="261">
                  <c:v>29.669946282912303</c:v>
                </c:pt>
                <c:pt idx="262">
                  <c:v>28.538341952991143</c:v>
                </c:pt>
                <c:pt idx="263">
                  <c:v>14.279635456346535</c:v>
                </c:pt>
                <c:pt idx="264">
                  <c:v>40.43158543007678</c:v>
                </c:pt>
                <c:pt idx="265">
                  <c:v>33.450279049374153</c:v>
                </c:pt>
                <c:pt idx="266">
                  <c:v>35.871023448312265</c:v>
                </c:pt>
                <c:pt idx="267">
                  <c:v>30.33496439291245</c:v>
                </c:pt>
                <c:pt idx="268">
                  <c:v>31.76157342305665</c:v>
                </c:pt>
                <c:pt idx="269">
                  <c:v>25.207847329773248</c:v>
                </c:pt>
                <c:pt idx="270">
                  <c:v>26.051411761873958</c:v>
                </c:pt>
                <c:pt idx="271">
                  <c:v>26.015905617462145</c:v>
                </c:pt>
                <c:pt idx="272">
                  <c:v>22.113827441299364</c:v>
                </c:pt>
                <c:pt idx="273">
                  <c:v>30.534162547858664</c:v>
                </c:pt>
                <c:pt idx="274">
                  <c:v>37.60867290734209</c:v>
                </c:pt>
                <c:pt idx="275">
                  <c:v>6.7320240334768675</c:v>
                </c:pt>
                <c:pt idx="276">
                  <c:v>34.46045539093469</c:v>
                </c:pt>
                <c:pt idx="277">
                  <c:v>12.880514074725532</c:v>
                </c:pt>
                <c:pt idx="278">
                  <c:v>31.85074301914954</c:v>
                </c:pt>
                <c:pt idx="279">
                  <c:v>37.024189714848987</c:v>
                </c:pt>
                <c:pt idx="280">
                  <c:v>36.120260428293889</c:v>
                </c:pt>
                <c:pt idx="281">
                  <c:v>15.919675757786173</c:v>
                </c:pt>
                <c:pt idx="282">
                  <c:v>23.953994967685293</c:v>
                </c:pt>
                <c:pt idx="283">
                  <c:v>35.151224581110363</c:v>
                </c:pt>
                <c:pt idx="284">
                  <c:v>34.24330519553645</c:v>
                </c:pt>
                <c:pt idx="285">
                  <c:v>32.914868339815627</c:v>
                </c:pt>
                <c:pt idx="286">
                  <c:v>34.821662172601158</c:v>
                </c:pt>
                <c:pt idx="287">
                  <c:v>30.359750436412689</c:v>
                </c:pt>
                <c:pt idx="288">
                  <c:v>31.863522294539795</c:v>
                </c:pt>
                <c:pt idx="289">
                  <c:v>29.854260667658959</c:v>
                </c:pt>
                <c:pt idx="290">
                  <c:v>31.164048633566598</c:v>
                </c:pt>
                <c:pt idx="291">
                  <c:v>29.770719717751714</c:v>
                </c:pt>
                <c:pt idx="292">
                  <c:v>23.942966696494526</c:v>
                </c:pt>
                <c:pt idx="293">
                  <c:v>11.271137691327803</c:v>
                </c:pt>
                <c:pt idx="294">
                  <c:v>13.360288968906016</c:v>
                </c:pt>
                <c:pt idx="295">
                  <c:v>30.859930652265835</c:v>
                </c:pt>
                <c:pt idx="296">
                  <c:v>31.094214113391882</c:v>
                </c:pt>
                <c:pt idx="297">
                  <c:v>29.799774376559132</c:v>
                </c:pt>
                <c:pt idx="298">
                  <c:v>21.043695695387203</c:v>
                </c:pt>
                <c:pt idx="299">
                  <c:v>29.643885541046256</c:v>
                </c:pt>
                <c:pt idx="300">
                  <c:v>28.741781736753882</c:v>
                </c:pt>
                <c:pt idx="301">
                  <c:v>17.175804834647206</c:v>
                </c:pt>
                <c:pt idx="302">
                  <c:v>12.257378631148566</c:v>
                </c:pt>
                <c:pt idx="303">
                  <c:v>18.488588855953036</c:v>
                </c:pt>
                <c:pt idx="304">
                  <c:v>17.21829698010686</c:v>
                </c:pt>
                <c:pt idx="305">
                  <c:v>26.326466731477012</c:v>
                </c:pt>
                <c:pt idx="306">
                  <c:v>16.305514404735046</c:v>
                </c:pt>
                <c:pt idx="307">
                  <c:v>14.146739133164385</c:v>
                </c:pt>
                <c:pt idx="308">
                  <c:v>12.634003673509259</c:v>
                </c:pt>
                <c:pt idx="309">
                  <c:v>19.431542768292143</c:v>
                </c:pt>
                <c:pt idx="310">
                  <c:v>10.173233065527109</c:v>
                </c:pt>
                <c:pt idx="311">
                  <c:v>20.498806693630254</c:v>
                </c:pt>
                <c:pt idx="312">
                  <c:v>17.842725024026088</c:v>
                </c:pt>
                <c:pt idx="313">
                  <c:v>6.478652728824617</c:v>
                </c:pt>
                <c:pt idx="314">
                  <c:v>9.0993512296238279</c:v>
                </c:pt>
                <c:pt idx="315">
                  <c:v>8.8979947221643645</c:v>
                </c:pt>
                <c:pt idx="316">
                  <c:v>6.1913270842179644</c:v>
                </c:pt>
                <c:pt idx="317">
                  <c:v>5.3318595187418545</c:v>
                </c:pt>
                <c:pt idx="318">
                  <c:v>6.6872122524434694</c:v>
                </c:pt>
                <c:pt idx="319">
                  <c:v>9.1105932812373265</c:v>
                </c:pt>
                <c:pt idx="320">
                  <c:v>3.2517914999963615</c:v>
                </c:pt>
                <c:pt idx="321">
                  <c:v>18.068755190258464</c:v>
                </c:pt>
                <c:pt idx="322">
                  <c:v>22.157788716528341</c:v>
                </c:pt>
                <c:pt idx="323">
                  <c:v>17.666625115342882</c:v>
                </c:pt>
                <c:pt idx="324">
                  <c:v>9.0427309889449674</c:v>
                </c:pt>
                <c:pt idx="325">
                  <c:v>16.469150571954522</c:v>
                </c:pt>
                <c:pt idx="326">
                  <c:v>11.848534778031295</c:v>
                </c:pt>
                <c:pt idx="327">
                  <c:v>1.1318716414897503</c:v>
                </c:pt>
                <c:pt idx="328">
                  <c:v>13.800064897049323</c:v>
                </c:pt>
                <c:pt idx="329">
                  <c:v>7.737155423691771</c:v>
                </c:pt>
                <c:pt idx="330">
                  <c:v>11.032952733872154</c:v>
                </c:pt>
                <c:pt idx="331">
                  <c:v>6.5104484561592431</c:v>
                </c:pt>
                <c:pt idx="332">
                  <c:v>7.4095434957598787</c:v>
                </c:pt>
                <c:pt idx="333">
                  <c:v>19.841900082377851</c:v>
                </c:pt>
                <c:pt idx="334">
                  <c:v>4.8446359433124728</c:v>
                </c:pt>
                <c:pt idx="335">
                  <c:v>8.2901078959824659</c:v>
                </c:pt>
                <c:pt idx="336">
                  <c:v>13.468073041251417</c:v>
                </c:pt>
                <c:pt idx="337">
                  <c:v>6.698802785400761</c:v>
                </c:pt>
                <c:pt idx="338">
                  <c:v>7.2098406359810179</c:v>
                </c:pt>
                <c:pt idx="339">
                  <c:v>10.515015400463989</c:v>
                </c:pt>
                <c:pt idx="340">
                  <c:v>6.1531267467885611</c:v>
                </c:pt>
                <c:pt idx="341">
                  <c:v>9.8812152201849415</c:v>
                </c:pt>
                <c:pt idx="342">
                  <c:v>8.1952133854067846</c:v>
                </c:pt>
                <c:pt idx="343">
                  <c:v>2.7324549550782571</c:v>
                </c:pt>
                <c:pt idx="344">
                  <c:v>10.830198860420701</c:v>
                </c:pt>
                <c:pt idx="345">
                  <c:v>18.180866502884243</c:v>
                </c:pt>
                <c:pt idx="346">
                  <c:v>18.504532146725122</c:v>
                </c:pt>
                <c:pt idx="347">
                  <c:v>18.47305077116031</c:v>
                </c:pt>
                <c:pt idx="348">
                  <c:v>17.873939107740306</c:v>
                </c:pt>
                <c:pt idx="349">
                  <c:v>18.022426039936903</c:v>
                </c:pt>
                <c:pt idx="350">
                  <c:v>18.022391356123773</c:v>
                </c:pt>
                <c:pt idx="351">
                  <c:v>18.412762938360004</c:v>
                </c:pt>
                <c:pt idx="352">
                  <c:v>17.957139739546754</c:v>
                </c:pt>
                <c:pt idx="353">
                  <c:v>18.802231330650311</c:v>
                </c:pt>
                <c:pt idx="354">
                  <c:v>15.504861969813501</c:v>
                </c:pt>
                <c:pt idx="355">
                  <c:v>17.758391649876643</c:v>
                </c:pt>
                <c:pt idx="356">
                  <c:v>6.3107921308873838</c:v>
                </c:pt>
                <c:pt idx="357">
                  <c:v>10.248235301132292</c:v>
                </c:pt>
                <c:pt idx="358">
                  <c:v>9.556170020916408</c:v>
                </c:pt>
                <c:pt idx="359">
                  <c:v>11.519640153261831</c:v>
                </c:pt>
                <c:pt idx="360">
                  <c:v>11.816118132842899</c:v>
                </c:pt>
                <c:pt idx="361">
                  <c:v>5.8229673213826203</c:v>
                </c:pt>
                <c:pt idx="362">
                  <c:v>5.9226375973599072</c:v>
                </c:pt>
                <c:pt idx="363">
                  <c:v>15.803308493876765</c:v>
                </c:pt>
                <c:pt idx="364">
                  <c:v>18.304438481335758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20.163</c:v>
                </c:pt>
                <c:pt idx="21">
                  <c:v>23.678599999999999</c:v>
                </c:pt>
                <c:pt idx="35">
                  <c:v>28.228199999999998</c:v>
                </c:pt>
                <c:pt idx="49">
                  <c:v>33.501600000000003</c:v>
                </c:pt>
                <c:pt idx="63">
                  <c:v>39.602199999999996</c:v>
                </c:pt>
                <c:pt idx="77">
                  <c:v>46.116399999999999</c:v>
                </c:pt>
                <c:pt idx="91">
                  <c:v>52.423800000000007</c:v>
                </c:pt>
                <c:pt idx="105">
                  <c:v>57.697199999999995</c:v>
                </c:pt>
                <c:pt idx="119">
                  <c:v>61.626400000000004</c:v>
                </c:pt>
                <c:pt idx="133">
                  <c:v>63.901200000000003</c:v>
                </c:pt>
                <c:pt idx="147">
                  <c:v>64.935199999999995</c:v>
                </c:pt>
                <c:pt idx="161">
                  <c:v>65.038600000000002</c:v>
                </c:pt>
                <c:pt idx="175">
                  <c:v>64.418199999999999</c:v>
                </c:pt>
                <c:pt idx="189">
                  <c:v>63.280799999999999</c:v>
                </c:pt>
                <c:pt idx="203">
                  <c:v>61.419600000000003</c:v>
                </c:pt>
                <c:pt idx="217">
                  <c:v>59.041399999999996</c:v>
                </c:pt>
                <c:pt idx="231">
                  <c:v>55.939399999999999</c:v>
                </c:pt>
                <c:pt idx="245">
                  <c:v>51.7</c:v>
                </c:pt>
                <c:pt idx="259">
                  <c:v>46.116399999999999</c:v>
                </c:pt>
                <c:pt idx="273">
                  <c:v>39.705600000000004</c:v>
                </c:pt>
                <c:pt idx="287">
                  <c:v>33.398200000000003</c:v>
                </c:pt>
                <c:pt idx="301">
                  <c:v>28.228199999999998</c:v>
                </c:pt>
                <c:pt idx="315">
                  <c:v>23.885400000000001</c:v>
                </c:pt>
                <c:pt idx="329">
                  <c:v>20.7834</c:v>
                </c:pt>
                <c:pt idx="343">
                  <c:v>18.612000000000002</c:v>
                </c:pt>
                <c:pt idx="357">
                  <c:v>18.3018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747856"/>
        <c:axId val="463748248"/>
      </c:lineChart>
      <c:dateAx>
        <c:axId val="463747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748248"/>
        <c:crosses val="autoZero"/>
        <c:auto val="1"/>
        <c:lblOffset val="100"/>
        <c:baseTimeUnit val="days"/>
        <c:majorUnit val="1"/>
        <c:majorTimeUnit val="months"/>
      </c:dateAx>
      <c:valAx>
        <c:axId val="4637482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7478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15.350764953454233</c:v>
                </c:pt>
                <c:pt idx="1">
                  <c:v>15.482404820074393</c:v>
                </c:pt>
                <c:pt idx="2">
                  <c:v>15.623711564043118</c:v>
                </c:pt>
                <c:pt idx="3">
                  <c:v>15.77444220744704</c:v>
                </c:pt>
                <c:pt idx="4">
                  <c:v>15.934353883348125</c:v>
                </c:pt>
                <c:pt idx="5">
                  <c:v>16.103203799074112</c:v>
                </c:pt>
                <c:pt idx="6">
                  <c:v>16.280749206671722</c:v>
                </c:pt>
                <c:pt idx="7">
                  <c:v>16.466747374939569</c:v>
                </c:pt>
                <c:pt idx="8">
                  <c:v>16.663100897320415</c:v>
                </c:pt>
                <c:pt idx="9">
                  <c:v>16.870496494282605</c:v>
                </c:pt>
                <c:pt idx="10">
                  <c:v>17.08728778196588</c:v>
                </c:pt>
                <c:pt idx="11">
                  <c:v>17.312783359807725</c:v>
                </c:pt>
                <c:pt idx="12">
                  <c:v>17.546292261199476</c:v>
                </c:pt>
                <c:pt idx="13">
                  <c:v>17.787123977408317</c:v>
                </c:pt>
                <c:pt idx="14">
                  <c:v>18.034588466708492</c:v>
                </c:pt>
                <c:pt idx="15">
                  <c:v>18.287594243512082</c:v>
                </c:pt>
                <c:pt idx="16">
                  <c:v>18.545013494551874</c:v>
                </c:pt>
                <c:pt idx="17">
                  <c:v>18.806157133051524</c:v>
                </c:pt>
                <c:pt idx="18">
                  <c:v>19.070336727868614</c:v>
                </c:pt>
                <c:pt idx="19">
                  <c:v>19.336853735001391</c:v>
                </c:pt>
                <c:pt idx="20">
                  <c:v>19.605005729867329</c:v>
                </c:pt>
                <c:pt idx="21">
                  <c:v>19.874099589881595</c:v>
                </c:pt>
                <c:pt idx="22">
                  <c:v>20.145836897140892</c:v>
                </c:pt>
                <c:pt idx="23">
                  <c:v>20.423200009268442</c:v>
                </c:pt>
                <c:pt idx="24">
                  <c:v>20.706788715557774</c:v>
                </c:pt>
                <c:pt idx="25">
                  <c:v>20.996283783155949</c:v>
                </c:pt>
                <c:pt idx="26">
                  <c:v>21.291366219492847</c:v>
                </c:pt>
                <c:pt idx="27">
                  <c:v>21.591717278838161</c:v>
                </c:pt>
                <c:pt idx="28">
                  <c:v>21.897018471765591</c:v>
                </c:pt>
                <c:pt idx="29">
                  <c:v>22.20822298800552</c:v>
                </c:pt>
                <c:pt idx="30">
                  <c:v>22.525415378931168</c:v>
                </c:pt>
                <c:pt idx="31">
                  <c:v>22.848277531691018</c:v>
                </c:pt>
                <c:pt idx="32">
                  <c:v>23.176491592340707</c:v>
                </c:pt>
                <c:pt idx="33">
                  <c:v>23.509740004680548</c:v>
                </c:pt>
                <c:pt idx="34">
                  <c:v>23.847705535955878</c:v>
                </c:pt>
                <c:pt idx="35">
                  <c:v>24.19007131196749</c:v>
                </c:pt>
                <c:pt idx="36">
                  <c:v>24.537073810046433</c:v>
                </c:pt>
                <c:pt idx="37">
                  <c:v>24.88914515783117</c:v>
                </c:pt>
                <c:pt idx="38">
                  <c:v>25.245354119308697</c:v>
                </c:pt>
                <c:pt idx="39">
                  <c:v>25.60579951877272</c:v>
                </c:pt>
                <c:pt idx="40">
                  <c:v>25.970580304177844</c:v>
                </c:pt>
                <c:pt idx="41">
                  <c:v>26.339795565305966</c:v>
                </c:pt>
                <c:pt idx="42">
                  <c:v>26.713544550536685</c:v>
                </c:pt>
                <c:pt idx="43">
                  <c:v>27.091556358065102</c:v>
                </c:pt>
                <c:pt idx="44">
                  <c:v>27.472662512619483</c:v>
                </c:pt>
                <c:pt idx="45">
                  <c:v>27.856963465995939</c:v>
                </c:pt>
                <c:pt idx="46">
                  <c:v>28.244559744073737</c:v>
                </c:pt>
                <c:pt idx="47">
                  <c:v>28.635551944899319</c:v>
                </c:pt>
                <c:pt idx="48">
                  <c:v>29.030040719694963</c:v>
                </c:pt>
                <c:pt idx="49">
                  <c:v>29.428126762367722</c:v>
                </c:pt>
                <c:pt idx="50">
                  <c:v>29.830548162288096</c:v>
                </c:pt>
                <c:pt idx="51">
                  <c:v>30.237831111396034</c:v>
                </c:pt>
                <c:pt idx="52">
                  <c:v>30.649646963153106</c:v>
                </c:pt>
                <c:pt idx="53">
                  <c:v>31.065587321468545</c:v>
                </c:pt>
                <c:pt idx="54">
                  <c:v>31.485238316102318</c:v>
                </c:pt>
                <c:pt idx="55">
                  <c:v>31.908186427566275</c:v>
                </c:pt>
                <c:pt idx="56">
                  <c:v>32.334018475157606</c:v>
                </c:pt>
                <c:pt idx="57">
                  <c:v>32.761604777408721</c:v>
                </c:pt>
                <c:pt idx="58">
                  <c:v>33.190903627965881</c:v>
                </c:pt>
                <c:pt idx="59">
                  <c:v>33.621503917908605</c:v>
                </c:pt>
                <c:pt idx="60">
                  <c:v>34.052994941586967</c:v>
                </c:pt>
                <c:pt idx="61">
                  <c:v>34.484966400883856</c:v>
                </c:pt>
                <c:pt idx="62">
                  <c:v>34.917008415239913</c:v>
                </c:pt>
                <c:pt idx="63">
                  <c:v>35.348711525306214</c:v>
                </c:pt>
                <c:pt idx="64">
                  <c:v>35.782036601119579</c:v>
                </c:pt>
                <c:pt idx="65">
                  <c:v>36.217598327347815</c:v>
                </c:pt>
                <c:pt idx="66">
                  <c:v>36.654638707191531</c:v>
                </c:pt>
                <c:pt idx="67">
                  <c:v>37.092538049357856</c:v>
                </c:pt>
                <c:pt idx="68">
                  <c:v>37.530677024545014</c:v>
                </c:pt>
                <c:pt idx="69">
                  <c:v>37.968436663685559</c:v>
                </c:pt>
                <c:pt idx="70">
                  <c:v>38.405198360456488</c:v>
                </c:pt>
                <c:pt idx="71">
                  <c:v>38.839992425997231</c:v>
                </c:pt>
                <c:pt idx="72">
                  <c:v>39.272910358814919</c:v>
                </c:pt>
                <c:pt idx="73">
                  <c:v>39.703331609946481</c:v>
                </c:pt>
                <c:pt idx="74">
                  <c:v>40.130635778370575</c:v>
                </c:pt>
                <c:pt idx="75">
                  <c:v>40.554202600368868</c:v>
                </c:pt>
                <c:pt idx="76">
                  <c:v>40.97341194035819</c:v>
                </c:pt>
                <c:pt idx="77">
                  <c:v>41.387643781901367</c:v>
                </c:pt>
                <c:pt idx="78">
                  <c:v>41.799599570623066</c:v>
                </c:pt>
                <c:pt idx="79">
                  <c:v>42.212013309914823</c:v>
                </c:pt>
                <c:pt idx="80">
                  <c:v>42.625270755482241</c:v>
                </c:pt>
                <c:pt idx="81">
                  <c:v>43.038545478704606</c:v>
                </c:pt>
                <c:pt idx="82">
                  <c:v>43.451011513023843</c:v>
                </c:pt>
                <c:pt idx="83">
                  <c:v>43.861843351939157</c:v>
                </c:pt>
                <c:pt idx="84">
                  <c:v>44.270215950892322</c:v>
                </c:pt>
                <c:pt idx="85">
                  <c:v>44.675455921436672</c:v>
                </c:pt>
                <c:pt idx="86">
                  <c:v>45.077100216666501</c:v>
                </c:pt>
                <c:pt idx="87">
                  <c:v>45.474327882091501</c:v>
                </c:pt>
                <c:pt idx="88">
                  <c:v>45.866318663670484</c:v>
                </c:pt>
                <c:pt idx="89">
                  <c:v>46.252253016169277</c:v>
                </c:pt>
                <c:pt idx="90">
                  <c:v>46.631312131846641</c:v>
                </c:pt>
                <c:pt idx="91">
                  <c:v>47.002677947641381</c:v>
                </c:pt>
                <c:pt idx="92">
                  <c:v>47.368246727469661</c:v>
                </c:pt>
                <c:pt idx="93">
                  <c:v>47.73043644951683</c:v>
                </c:pt>
                <c:pt idx="94">
                  <c:v>48.088763900948763</c:v>
                </c:pt>
                <c:pt idx="95">
                  <c:v>48.442921120492173</c:v>
                </c:pt>
                <c:pt idx="96">
                  <c:v>48.792600445322925</c:v>
                </c:pt>
                <c:pt idx="97">
                  <c:v>49.137494531687871</c:v>
                </c:pt>
                <c:pt idx="98">
                  <c:v>49.477296360182812</c:v>
                </c:pt>
                <c:pt idx="99">
                  <c:v>49.811915072789212</c:v>
                </c:pt>
                <c:pt idx="100">
                  <c:v>50.140892995896209</c:v>
                </c:pt>
                <c:pt idx="101">
                  <c:v>50.463924390912524</c:v>
                </c:pt>
                <c:pt idx="102">
                  <c:v>50.78070392958697</c:v>
                </c:pt>
                <c:pt idx="103">
                  <c:v>51.090926698529088</c:v>
                </c:pt>
                <c:pt idx="104">
                  <c:v>51.394288229879486</c:v>
                </c:pt>
                <c:pt idx="105">
                  <c:v>51.690484509992366</c:v>
                </c:pt>
                <c:pt idx="106">
                  <c:v>51.980640714351374</c:v>
                </c:pt>
                <c:pt idx="107">
                  <c:v>52.26606388337833</c:v>
                </c:pt>
                <c:pt idx="108">
                  <c:v>52.546267977408419</c:v>
                </c:pt>
                <c:pt idx="109">
                  <c:v>52.820949714113276</c:v>
                </c:pt>
                <c:pt idx="110">
                  <c:v>53.089805368904777</c:v>
                </c:pt>
                <c:pt idx="111">
                  <c:v>53.352531928680548</c:v>
                </c:pt>
                <c:pt idx="112">
                  <c:v>53.60882808824222</c:v>
                </c:pt>
                <c:pt idx="113">
                  <c:v>53.858316701405521</c:v>
                </c:pt>
                <c:pt idx="114">
                  <c:v>54.100480397603334</c:v>
                </c:pt>
                <c:pt idx="115">
                  <c:v>54.335019944639441</c:v>
                </c:pt>
                <c:pt idx="116">
                  <c:v>54.561636838052138</c:v>
                </c:pt>
                <c:pt idx="117">
                  <c:v>54.780033312177714</c:v>
                </c:pt>
                <c:pt idx="118">
                  <c:v>54.989912370026026</c:v>
                </c:pt>
                <c:pt idx="119">
                  <c:v>57.419516307204326</c:v>
                </c:pt>
                <c:pt idx="120">
                  <c:v>57.615281013364985</c:v>
                </c:pt>
                <c:pt idx="121">
                  <c:v>57.801269512885362</c:v>
                </c:pt>
                <c:pt idx="122">
                  <c:v>57.977720245935053</c:v>
                </c:pt>
                <c:pt idx="123">
                  <c:v>58.145066021638527</c:v>
                </c:pt>
                <c:pt idx="124">
                  <c:v>58.303739233933541</c:v>
                </c:pt>
                <c:pt idx="125">
                  <c:v>58.454171875045056</c:v>
                </c:pt>
                <c:pt idx="126">
                  <c:v>58.596795526925128</c:v>
                </c:pt>
                <c:pt idx="127">
                  <c:v>58.731754465649367</c:v>
                </c:pt>
                <c:pt idx="128">
                  <c:v>58.859553722678299</c:v>
                </c:pt>
                <c:pt idx="129">
                  <c:v>58.98062096174246</c:v>
                </c:pt>
                <c:pt idx="130">
                  <c:v>59.095383322192355</c:v>
                </c:pt>
                <c:pt idx="131">
                  <c:v>59.204267421700116</c:v>
                </c:pt>
                <c:pt idx="132">
                  <c:v>59.307699356218023</c:v>
                </c:pt>
                <c:pt idx="133">
                  <c:v>59.406104701033669</c:v>
                </c:pt>
                <c:pt idx="134">
                  <c:v>59.498171983911661</c:v>
                </c:pt>
                <c:pt idx="135">
                  <c:v>59.582416129673938</c:v>
                </c:pt>
                <c:pt idx="136">
                  <c:v>59.659446128260065</c:v>
                </c:pt>
                <c:pt idx="137">
                  <c:v>59.729584273574957</c:v>
                </c:pt>
                <c:pt idx="138">
                  <c:v>59.793152510296281</c:v>
                </c:pt>
                <c:pt idx="139">
                  <c:v>59.850472425237172</c:v>
                </c:pt>
                <c:pt idx="140">
                  <c:v>59.901865246639197</c:v>
                </c:pt>
                <c:pt idx="141">
                  <c:v>59.947580754030902</c:v>
                </c:pt>
                <c:pt idx="142">
                  <c:v>59.988236926814963</c:v>
                </c:pt>
                <c:pt idx="143">
                  <c:v>60.024156332628408</c:v>
                </c:pt>
                <c:pt idx="144">
                  <c:v>60.055660859237662</c:v>
                </c:pt>
                <c:pt idx="145">
                  <c:v>60.08307209794345</c:v>
                </c:pt>
                <c:pt idx="146">
                  <c:v>60.106711332735586</c:v>
                </c:pt>
                <c:pt idx="147">
                  <c:v>60.126899526369058</c:v>
                </c:pt>
                <c:pt idx="148">
                  <c:v>60.142718247442133</c:v>
                </c:pt>
                <c:pt idx="149">
                  <c:v>60.153076038507578</c:v>
                </c:pt>
                <c:pt idx="150">
                  <c:v>60.15830065331653</c:v>
                </c:pt>
                <c:pt idx="151">
                  <c:v>60.158610393363205</c:v>
                </c:pt>
                <c:pt idx="152">
                  <c:v>60.154223318531791</c:v>
                </c:pt>
                <c:pt idx="153">
                  <c:v>60.145357226614607</c:v>
                </c:pt>
                <c:pt idx="154">
                  <c:v>60.132176102315341</c:v>
                </c:pt>
                <c:pt idx="155">
                  <c:v>60.114913587603048</c:v>
                </c:pt>
                <c:pt idx="156">
                  <c:v>60.093863987444344</c:v>
                </c:pt>
                <c:pt idx="157">
                  <c:v>60.069243755913917</c:v>
                </c:pt>
                <c:pt idx="158">
                  <c:v>60.041268979012948</c:v>
                </c:pt>
                <c:pt idx="159">
                  <c:v>60.010155360699521</c:v>
                </c:pt>
                <c:pt idx="160">
                  <c:v>59.976118200740395</c:v>
                </c:pt>
                <c:pt idx="161">
                  <c:v>59.939372382725104</c:v>
                </c:pt>
                <c:pt idx="162">
                  <c:v>59.899160045259492</c:v>
                </c:pt>
                <c:pt idx="163">
                  <c:v>59.854703822431453</c:v>
                </c:pt>
                <c:pt idx="164">
                  <c:v>59.806324485104113</c:v>
                </c:pt>
                <c:pt idx="165">
                  <c:v>59.754236666315926</c:v>
                </c:pt>
                <c:pt idx="166">
                  <c:v>59.698654498290779</c:v>
                </c:pt>
                <c:pt idx="167">
                  <c:v>59.639791611009912</c:v>
                </c:pt>
                <c:pt idx="168">
                  <c:v>59.577861115716658</c:v>
                </c:pt>
                <c:pt idx="169">
                  <c:v>59.513054017683821</c:v>
                </c:pt>
                <c:pt idx="170">
                  <c:v>59.445622399977111</c:v>
                </c:pt>
                <c:pt idx="171">
                  <c:v>59.375778010176568</c:v>
                </c:pt>
                <c:pt idx="172">
                  <c:v>59.303732052665275</c:v>
                </c:pt>
                <c:pt idx="173">
                  <c:v>59.229695343298552</c:v>
                </c:pt>
                <c:pt idx="174">
                  <c:v>59.153878168288877</c:v>
                </c:pt>
                <c:pt idx="175">
                  <c:v>59.076490135329131</c:v>
                </c:pt>
                <c:pt idx="176">
                  <c:v>58.997671212711353</c:v>
                </c:pt>
                <c:pt idx="177">
                  <c:v>58.917242318844323</c:v>
                </c:pt>
                <c:pt idx="178">
                  <c:v>58.835020019145489</c:v>
                </c:pt>
                <c:pt idx="179">
                  <c:v>58.750798271075539</c:v>
                </c:pt>
                <c:pt idx="180">
                  <c:v>58.664371091446675</c:v>
                </c:pt>
                <c:pt idx="181">
                  <c:v>58.5755325583212</c:v>
                </c:pt>
                <c:pt idx="182">
                  <c:v>58.484076814969811</c:v>
                </c:pt>
                <c:pt idx="183">
                  <c:v>58.389691941480265</c:v>
                </c:pt>
                <c:pt idx="184">
                  <c:v>58.292196291036298</c:v>
                </c:pt>
                <c:pt idx="185">
                  <c:v>58.191384649374925</c:v>
                </c:pt>
                <c:pt idx="186">
                  <c:v>58.087051892876104</c:v>
                </c:pt>
                <c:pt idx="187">
                  <c:v>57.978992991347482</c:v>
                </c:pt>
                <c:pt idx="188">
                  <c:v>57.867003022098594</c:v>
                </c:pt>
                <c:pt idx="189">
                  <c:v>57.750877184288335</c:v>
                </c:pt>
                <c:pt idx="190">
                  <c:v>57.630479592439087</c:v>
                </c:pt>
                <c:pt idx="191">
                  <c:v>57.505885880792505</c:v>
                </c:pt>
                <c:pt idx="192">
                  <c:v>57.37734948257588</c:v>
                </c:pt>
                <c:pt idx="193">
                  <c:v>57.245078688277836</c:v>
                </c:pt>
                <c:pt idx="194">
                  <c:v>57.109281413534077</c:v>
                </c:pt>
                <c:pt idx="195">
                  <c:v>56.97016521576402</c:v>
                </c:pt>
                <c:pt idx="196">
                  <c:v>56.827937308765833</c:v>
                </c:pt>
                <c:pt idx="197">
                  <c:v>56.682636949373567</c:v>
                </c:pt>
                <c:pt idx="198">
                  <c:v>56.534574523654882</c:v>
                </c:pt>
                <c:pt idx="199">
                  <c:v>56.383954042711729</c:v>
                </c:pt>
                <c:pt idx="200">
                  <c:v>56.230979380560164</c:v>
                </c:pt>
                <c:pt idx="201">
                  <c:v>56.075854285412241</c:v>
                </c:pt>
                <c:pt idx="202">
                  <c:v>55.918782391541818</c:v>
                </c:pt>
                <c:pt idx="203">
                  <c:v>55.759967228475027</c:v>
                </c:pt>
                <c:pt idx="204">
                  <c:v>55.599543865484499</c:v>
                </c:pt>
                <c:pt idx="205">
                  <c:v>55.43700323717097</c:v>
                </c:pt>
                <c:pt idx="206">
                  <c:v>55.272198126476546</c:v>
                </c:pt>
                <c:pt idx="207">
                  <c:v>55.104919929455207</c:v>
                </c:pt>
                <c:pt idx="208">
                  <c:v>54.934960617993028</c:v>
                </c:pt>
                <c:pt idx="209">
                  <c:v>54.762112734964326</c:v>
                </c:pt>
                <c:pt idx="210">
                  <c:v>54.586169382995266</c:v>
                </c:pt>
                <c:pt idx="211">
                  <c:v>54.406684546967369</c:v>
                </c:pt>
                <c:pt idx="212">
                  <c:v>54.223631381645077</c:v>
                </c:pt>
                <c:pt idx="213">
                  <c:v>54.036807409400033</c:v>
                </c:pt>
                <c:pt idx="214">
                  <c:v>53.846010489640129</c:v>
                </c:pt>
                <c:pt idx="215">
                  <c:v>53.651038820087244</c:v>
                </c:pt>
                <c:pt idx="216">
                  <c:v>53.451690929940291</c:v>
                </c:pt>
                <c:pt idx="217">
                  <c:v>53.247765667372484</c:v>
                </c:pt>
                <c:pt idx="218">
                  <c:v>53.040460356579636</c:v>
                </c:pt>
                <c:pt idx="219">
                  <c:v>52.830814106282233</c:v>
                </c:pt>
                <c:pt idx="220">
                  <c:v>52.618798807957852</c:v>
                </c:pt>
                <c:pt idx="221">
                  <c:v>52.404009900780473</c:v>
                </c:pt>
                <c:pt idx="222">
                  <c:v>52.186043224793607</c:v>
                </c:pt>
                <c:pt idx="223">
                  <c:v>51.964495018173764</c:v>
                </c:pt>
                <c:pt idx="224">
                  <c:v>51.738961908000398</c:v>
                </c:pt>
                <c:pt idx="225">
                  <c:v>51.509280731254059</c:v>
                </c:pt>
                <c:pt idx="226">
                  <c:v>51.275283491214616</c:v>
                </c:pt>
                <c:pt idx="227">
                  <c:v>51.036567417648463</c:v>
                </c:pt>
                <c:pt idx="228">
                  <c:v>50.792730159951013</c:v>
                </c:pt>
                <c:pt idx="229">
                  <c:v>50.543369770323984</c:v>
                </c:pt>
                <c:pt idx="230">
                  <c:v>50.288084705357285</c:v>
                </c:pt>
                <c:pt idx="231">
                  <c:v>50.026473822507043</c:v>
                </c:pt>
                <c:pt idx="232">
                  <c:v>49.759596823165367</c:v>
                </c:pt>
                <c:pt idx="233">
                  <c:v>49.488919856219091</c:v>
                </c:pt>
                <c:pt idx="234">
                  <c:v>49.214261591359346</c:v>
                </c:pt>
                <c:pt idx="235">
                  <c:v>48.935422721555852</c:v>
                </c:pt>
                <c:pt idx="236">
                  <c:v>48.652203929211581</c:v>
                </c:pt>
                <c:pt idx="237">
                  <c:v>48.364406339833323</c:v>
                </c:pt>
                <c:pt idx="238">
                  <c:v>48.071831240581339</c:v>
                </c:pt>
                <c:pt idx="239">
                  <c:v>47.774472155142817</c:v>
                </c:pt>
                <c:pt idx="240">
                  <c:v>47.471889840611063</c:v>
                </c:pt>
                <c:pt idx="241">
                  <c:v>47.163885926259809</c:v>
                </c:pt>
                <c:pt idx="242">
                  <c:v>46.850262219834491</c:v>
                </c:pt>
                <c:pt idx="243">
                  <c:v>46.530820711091344</c:v>
                </c:pt>
                <c:pt idx="244">
                  <c:v>46.205363573815433</c:v>
                </c:pt>
                <c:pt idx="245">
                  <c:v>45.873693162540647</c:v>
                </c:pt>
                <c:pt idx="246">
                  <c:v>45.535019930743324</c:v>
                </c:pt>
                <c:pt idx="247">
                  <c:v>45.189196205869727</c:v>
                </c:pt>
                <c:pt idx="248">
                  <c:v>44.836462597603969</c:v>
                </c:pt>
                <c:pt idx="249">
                  <c:v>44.477331951408082</c:v>
                </c:pt>
                <c:pt idx="250">
                  <c:v>44.112316552190734</c:v>
                </c:pt>
                <c:pt idx="251">
                  <c:v>43.741928127283884</c:v>
                </c:pt>
                <c:pt idx="252">
                  <c:v>43.366677851468424</c:v>
                </c:pt>
                <c:pt idx="253">
                  <c:v>42.986839638424648</c:v>
                </c:pt>
                <c:pt idx="254">
                  <c:v>42.602729579919227</c:v>
                </c:pt>
                <c:pt idx="255">
                  <c:v>42.214855416924664</c:v>
                </c:pt>
                <c:pt idx="256">
                  <c:v>41.823724470437604</c:v>
                </c:pt>
                <c:pt idx="257">
                  <c:v>41.429843638024423</c:v>
                </c:pt>
                <c:pt idx="258">
                  <c:v>41.033719384565977</c:v>
                </c:pt>
                <c:pt idx="259">
                  <c:v>40.635857736556702</c:v>
                </c:pt>
                <c:pt idx="260">
                  <c:v>40.233527966263573</c:v>
                </c:pt>
                <c:pt idx="261">
                  <c:v>39.82328557672853</c:v>
                </c:pt>
                <c:pt idx="262">
                  <c:v>39.405874735657882</c:v>
                </c:pt>
                <c:pt idx="263">
                  <c:v>38.982206341715987</c:v>
                </c:pt>
                <c:pt idx="264">
                  <c:v>38.55319033994904</c:v>
                </c:pt>
                <c:pt idx="265">
                  <c:v>38.119732106889892</c:v>
                </c:pt>
                <c:pt idx="266">
                  <c:v>37.682737635956684</c:v>
                </c:pt>
                <c:pt idx="267">
                  <c:v>37.242062651102934</c:v>
                </c:pt>
                <c:pt idx="268">
                  <c:v>36.798858878074782</c:v>
                </c:pt>
                <c:pt idx="269">
                  <c:v>36.354033738639998</c:v>
                </c:pt>
                <c:pt idx="270">
                  <c:v>35.908493497061187</c:v>
                </c:pt>
                <c:pt idx="271">
                  <c:v>35.46314329512203</c:v>
                </c:pt>
                <c:pt idx="272">
                  <c:v>35.018887187386667</c:v>
                </c:pt>
                <c:pt idx="273">
                  <c:v>34.576628178777192</c:v>
                </c:pt>
                <c:pt idx="274">
                  <c:v>34.1328158964346</c:v>
                </c:pt>
                <c:pt idx="275">
                  <c:v>33.683806803766416</c:v>
                </c:pt>
                <c:pt idx="276">
                  <c:v>33.231602293140718</c:v>
                </c:pt>
                <c:pt idx="277">
                  <c:v>32.777209838994303</c:v>
                </c:pt>
                <c:pt idx="278">
                  <c:v>32.32163577095492</c:v>
                </c:pt>
                <c:pt idx="279">
                  <c:v>31.865885318000821</c:v>
                </c:pt>
                <c:pt idx="280">
                  <c:v>31.410962658264154</c:v>
                </c:pt>
                <c:pt idx="281">
                  <c:v>30.958213471615483</c:v>
                </c:pt>
                <c:pt idx="282">
                  <c:v>30.509692233944183</c:v>
                </c:pt>
                <c:pt idx="283">
                  <c:v>30.066400980054553</c:v>
                </c:pt>
                <c:pt idx="284">
                  <c:v>29.629340972684151</c:v>
                </c:pt>
                <c:pt idx="285">
                  <c:v>29.199512744267494</c:v>
                </c:pt>
                <c:pt idx="286">
                  <c:v>28.777916125004229</c:v>
                </c:pt>
                <c:pt idx="287">
                  <c:v>28.365550290369001</c:v>
                </c:pt>
                <c:pt idx="288">
                  <c:v>27.96155388913807</c:v>
                </c:pt>
                <c:pt idx="289">
                  <c:v>27.563926550515426</c:v>
                </c:pt>
                <c:pt idx="290">
                  <c:v>27.172522530266534</c:v>
                </c:pt>
                <c:pt idx="291">
                  <c:v>26.787034958780616</c:v>
                </c:pt>
                <c:pt idx="292">
                  <c:v>26.407157287346372</c:v>
                </c:pt>
                <c:pt idx="293">
                  <c:v>26.032583280177967</c:v>
                </c:pt>
                <c:pt idx="294">
                  <c:v>25.663007025148357</c:v>
                </c:pt>
                <c:pt idx="295">
                  <c:v>25.298182664184765</c:v>
                </c:pt>
                <c:pt idx="296">
                  <c:v>24.937441062453466</c:v>
                </c:pt>
                <c:pt idx="297">
                  <c:v>24.580461459789301</c:v>
                </c:pt>
                <c:pt idx="298">
                  <c:v>24.226936682954413</c:v>
                </c:pt>
                <c:pt idx="299">
                  <c:v>23.87655987842064</c:v>
                </c:pt>
                <c:pt idx="300">
                  <c:v>23.52902453892224</c:v>
                </c:pt>
                <c:pt idx="301">
                  <c:v>23.184024505052694</c:v>
                </c:pt>
                <c:pt idx="302">
                  <c:v>22.841136961516508</c:v>
                </c:pt>
                <c:pt idx="303">
                  <c:v>22.501452713531258</c:v>
                </c:pt>
                <c:pt idx="304">
                  <c:v>22.165638811516587</c:v>
                </c:pt>
                <c:pt idx="305">
                  <c:v>21.834093235990466</c:v>
                </c:pt>
                <c:pt idx="306">
                  <c:v>21.507214043104188</c:v>
                </c:pt>
                <c:pt idx="307">
                  <c:v>21.185399363676961</c:v>
                </c:pt>
                <c:pt idx="308">
                  <c:v>20.869047416472032</c:v>
                </c:pt>
                <c:pt idx="309">
                  <c:v>20.559246003899272</c:v>
                </c:pt>
                <c:pt idx="310">
                  <c:v>20.256333268938384</c:v>
                </c:pt>
                <c:pt idx="311">
                  <c:v>19.960708005526559</c:v>
                </c:pt>
                <c:pt idx="312">
                  <c:v>19.672769077408002</c:v>
                </c:pt>
                <c:pt idx="313">
                  <c:v>19.3929153934384</c:v>
                </c:pt>
                <c:pt idx="314">
                  <c:v>19.121545896739914</c:v>
                </c:pt>
                <c:pt idx="315">
                  <c:v>18.859059541623196</c:v>
                </c:pt>
                <c:pt idx="316">
                  <c:v>18.605504836568365</c:v>
                </c:pt>
                <c:pt idx="317">
                  <c:v>18.360115287870038</c:v>
                </c:pt>
                <c:pt idx="318">
                  <c:v>18.121540476367684</c:v>
                </c:pt>
                <c:pt idx="319">
                  <c:v>17.889478687126712</c:v>
                </c:pt>
                <c:pt idx="320">
                  <c:v>17.663628601659713</c:v>
                </c:pt>
                <c:pt idx="321">
                  <c:v>17.443689299693286</c:v>
                </c:pt>
                <c:pt idx="322">
                  <c:v>17.229360248492977</c:v>
                </c:pt>
                <c:pt idx="323">
                  <c:v>17.019579063147162</c:v>
                </c:pt>
                <c:pt idx="324">
                  <c:v>16.813354457294825</c:v>
                </c:pt>
                <c:pt idx="325">
                  <c:v>16.610386924124366</c:v>
                </c:pt>
                <c:pt idx="326">
                  <c:v>16.410392950075096</c:v>
                </c:pt>
                <c:pt idx="327">
                  <c:v>16.213079689176279</c:v>
                </c:pt>
                <c:pt idx="328">
                  <c:v>16.018142127599841</c:v>
                </c:pt>
                <c:pt idx="329">
                  <c:v>15.825275619218342</c:v>
                </c:pt>
                <c:pt idx="330">
                  <c:v>15.632976892054932</c:v>
                </c:pt>
                <c:pt idx="331">
                  <c:v>15.441172413037583</c:v>
                </c:pt>
                <c:pt idx="332">
                  <c:v>15.251105773511703</c:v>
                </c:pt>
                <c:pt idx="333">
                  <c:v>15.063671769963031</c:v>
                </c:pt>
                <c:pt idx="334">
                  <c:v>14.879764539369454</c:v>
                </c:pt>
                <c:pt idx="335">
                  <c:v>14.700277523175489</c:v>
                </c:pt>
                <c:pt idx="336">
                  <c:v>14.52610343124463</c:v>
                </c:pt>
                <c:pt idx="337">
                  <c:v>14.359215943096864</c:v>
                </c:pt>
                <c:pt idx="338">
                  <c:v>14.20126717834051</c:v>
                </c:pt>
                <c:pt idx="339">
                  <c:v>14.053146498567147</c:v>
                </c:pt>
                <c:pt idx="340">
                  <c:v>13.915742374008753</c:v>
                </c:pt>
                <c:pt idx="341">
                  <c:v>13.789942386945688</c:v>
                </c:pt>
                <c:pt idx="342">
                  <c:v>13.67663325091895</c:v>
                </c:pt>
                <c:pt idx="343">
                  <c:v>13.576700821635516</c:v>
                </c:pt>
                <c:pt idx="344">
                  <c:v>13.488546349363187</c:v>
                </c:pt>
                <c:pt idx="345">
                  <c:v>13.410048502825353</c:v>
                </c:pt>
                <c:pt idx="346">
                  <c:v>13.340884806838217</c:v>
                </c:pt>
                <c:pt idx="347">
                  <c:v>13.281156540062726</c:v>
                </c:pt>
                <c:pt idx="348">
                  <c:v>13.230964863956512</c:v>
                </c:pt>
                <c:pt idx="349">
                  <c:v>13.190410847578519</c:v>
                </c:pt>
                <c:pt idx="350">
                  <c:v>13.159595488110703</c:v>
                </c:pt>
                <c:pt idx="351">
                  <c:v>13.138824102136061</c:v>
                </c:pt>
                <c:pt idx="352">
                  <c:v>13.12711798752378</c:v>
                </c:pt>
                <c:pt idx="353">
                  <c:v>13.124578149636386</c:v>
                </c:pt>
                <c:pt idx="354">
                  <c:v>13.131305490028797</c:v>
                </c:pt>
                <c:pt idx="355">
                  <c:v>13.147400830785399</c:v>
                </c:pt>
                <c:pt idx="356">
                  <c:v>13.172972482173757</c:v>
                </c:pt>
                <c:pt idx="357">
                  <c:v>13.208117576934622</c:v>
                </c:pt>
                <c:pt idx="358">
                  <c:v>13.253215840377772</c:v>
                </c:pt>
                <c:pt idx="359">
                  <c:v>13.308417453078059</c:v>
                </c:pt>
                <c:pt idx="360">
                  <c:v>13.374572533730385</c:v>
                </c:pt>
                <c:pt idx="361">
                  <c:v>13.451247176735322</c:v>
                </c:pt>
                <c:pt idx="362">
                  <c:v>13.538212146306325</c:v>
                </c:pt>
                <c:pt idx="363">
                  <c:v>13.635238430849917</c:v>
                </c:pt>
                <c:pt idx="364">
                  <c:v>13.742097210666886</c:v>
                </c:pt>
                <c:pt idx="365">
                  <c:v>14.546431082060559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5.8540000000000001</c:v>
                </c:pt>
                <c:pt idx="1">
                  <c:v>1.4279999999999999</c:v>
                </c:pt>
                <c:pt idx="2">
                  <c:v>10.759</c:v>
                </c:pt>
                <c:pt idx="3">
                  <c:v>10.831</c:v>
                </c:pt>
                <c:pt idx="4">
                  <c:v>11.666</c:v>
                </c:pt>
                <c:pt idx="5">
                  <c:v>5.173</c:v>
                </c:pt>
                <c:pt idx="6">
                  <c:v>13.194000000000001</c:v>
                </c:pt>
                <c:pt idx="7">
                  <c:v>6.883</c:v>
                </c:pt>
                <c:pt idx="8">
                  <c:v>7.0140000000000002</c:v>
                </c:pt>
                <c:pt idx="9">
                  <c:v>15.447000000000001</c:v>
                </c:pt>
                <c:pt idx="10">
                  <c:v>4.5840000000000005</c:v>
                </c:pt>
                <c:pt idx="11">
                  <c:v>16.565000000000001</c:v>
                </c:pt>
                <c:pt idx="12">
                  <c:v>10.811</c:v>
                </c:pt>
                <c:pt idx="13">
                  <c:v>13.064</c:v>
                </c:pt>
                <c:pt idx="14">
                  <c:v>5.4139999999999997</c:v>
                </c:pt>
                <c:pt idx="15">
                  <c:v>3.47</c:v>
                </c:pt>
                <c:pt idx="16">
                  <c:v>5.9670000000000005</c:v>
                </c:pt>
                <c:pt idx="17">
                  <c:v>13.895</c:v>
                </c:pt>
                <c:pt idx="18">
                  <c:v>9.011000000000001</c:v>
                </c:pt>
                <c:pt idx="19">
                  <c:v>15.77</c:v>
                </c:pt>
                <c:pt idx="20">
                  <c:v>7.3159999999999998</c:v>
                </c:pt>
                <c:pt idx="21">
                  <c:v>19.861761958603605</c:v>
                </c:pt>
                <c:pt idx="22">
                  <c:v>19.911957038897512</c:v>
                </c:pt>
                <c:pt idx="23">
                  <c:v>20.354207083796275</c:v>
                </c:pt>
                <c:pt idx="24">
                  <c:v>20.596380211990521</c:v>
                </c:pt>
                <c:pt idx="25">
                  <c:v>20.695273981927773</c:v>
                </c:pt>
                <c:pt idx="26">
                  <c:v>20.197110577806129</c:v>
                </c:pt>
                <c:pt idx="27">
                  <c:v>4.2247638904954181</c:v>
                </c:pt>
                <c:pt idx="28">
                  <c:v>6.6065115586312375</c:v>
                </c:pt>
                <c:pt idx="29">
                  <c:v>4.8085478153339194</c:v>
                </c:pt>
                <c:pt idx="30">
                  <c:v>10.782113410671691</c:v>
                </c:pt>
                <c:pt idx="31">
                  <c:v>10.602344597396231</c:v>
                </c:pt>
                <c:pt idx="32">
                  <c:v>5.5402083020607966</c:v>
                </c:pt>
                <c:pt idx="33">
                  <c:v>13.251262385509621</c:v>
                </c:pt>
                <c:pt idx="34">
                  <c:v>11.051734259776639</c:v>
                </c:pt>
                <c:pt idx="35">
                  <c:v>9.5766237958898834</c:v>
                </c:pt>
                <c:pt idx="36">
                  <c:v>17.783098400993687</c:v>
                </c:pt>
                <c:pt idx="37">
                  <c:v>12.330468860010171</c:v>
                </c:pt>
                <c:pt idx="38">
                  <c:v>25.64863736597982</c:v>
                </c:pt>
                <c:pt idx="39">
                  <c:v>25.698330059105288</c:v>
                </c:pt>
                <c:pt idx="40">
                  <c:v>24.948100105556225</c:v>
                </c:pt>
                <c:pt idx="41">
                  <c:v>13.162224892767213</c:v>
                </c:pt>
                <c:pt idx="42">
                  <c:v>22.512783507272133</c:v>
                </c:pt>
                <c:pt idx="43">
                  <c:v>26.252321292363543</c:v>
                </c:pt>
                <c:pt idx="44">
                  <c:v>15.43236267520666</c:v>
                </c:pt>
                <c:pt idx="45">
                  <c:v>18.797797563233779</c:v>
                </c:pt>
                <c:pt idx="46">
                  <c:v>9.5926048166335995</c:v>
                </c:pt>
                <c:pt idx="47">
                  <c:v>11.149448725888748</c:v>
                </c:pt>
                <c:pt idx="48">
                  <c:v>26.328875243635448</c:v>
                </c:pt>
                <c:pt idx="49">
                  <c:v>15.896690686184666</c:v>
                </c:pt>
                <c:pt idx="50">
                  <c:v>19.027577988450474</c:v>
                </c:pt>
                <c:pt idx="51">
                  <c:v>19.539190459402796</c:v>
                </c:pt>
                <c:pt idx="52">
                  <c:v>28.89015594508005</c:v>
                </c:pt>
                <c:pt idx="53">
                  <c:v>30.596763960685422</c:v>
                </c:pt>
                <c:pt idx="54">
                  <c:v>18.422202304964792</c:v>
                </c:pt>
                <c:pt idx="55">
                  <c:v>27.273922920520846</c:v>
                </c:pt>
                <c:pt idx="56">
                  <c:v>33.29443961457013</c:v>
                </c:pt>
                <c:pt idx="57">
                  <c:v>25.42894630341906</c:v>
                </c:pt>
                <c:pt idx="58">
                  <c:v>30.2918122454195</c:v>
                </c:pt>
                <c:pt idx="59">
                  <c:v>33.315907612189228</c:v>
                </c:pt>
                <c:pt idx="60">
                  <c:v>15.472035835273838</c:v>
                </c:pt>
                <c:pt idx="61">
                  <c:v>31.992230734598923</c:v>
                </c:pt>
                <c:pt idx="62">
                  <c:v>6.0834246244121948</c:v>
                </c:pt>
                <c:pt idx="63">
                  <c:v>13.639918533134862</c:v>
                </c:pt>
                <c:pt idx="64">
                  <c:v>20.015999147081786</c:v>
                </c:pt>
                <c:pt idx="65">
                  <c:v>34.142091176285057</c:v>
                </c:pt>
                <c:pt idx="66">
                  <c:v>27.555620859692187</c:v>
                </c:pt>
                <c:pt idx="67">
                  <c:v>28.704042608192314</c:v>
                </c:pt>
                <c:pt idx="68">
                  <c:v>20.142711575198195</c:v>
                </c:pt>
                <c:pt idx="69">
                  <c:v>14.331900311382689</c:v>
                </c:pt>
                <c:pt idx="70">
                  <c:v>13.589754194098798</c:v>
                </c:pt>
                <c:pt idx="71">
                  <c:v>8.9761615159360701</c:v>
                </c:pt>
                <c:pt idx="72">
                  <c:v>12.367210388082032</c:v>
                </c:pt>
                <c:pt idx="73">
                  <c:v>14.295373851806787</c:v>
                </c:pt>
                <c:pt idx="74">
                  <c:v>12.54884081687654</c:v>
                </c:pt>
                <c:pt idx="75">
                  <c:v>11.00709122970979</c:v>
                </c:pt>
                <c:pt idx="76">
                  <c:v>13.815706424290834</c:v>
                </c:pt>
                <c:pt idx="77">
                  <c:v>27.826065395621967</c:v>
                </c:pt>
                <c:pt idx="78">
                  <c:v>31.386582669804884</c:v>
                </c:pt>
                <c:pt idx="79">
                  <c:v>42.075561589999765</c:v>
                </c:pt>
                <c:pt idx="80">
                  <c:v>38.917574301032921</c:v>
                </c:pt>
                <c:pt idx="81">
                  <c:v>43.973906452598833</c:v>
                </c:pt>
                <c:pt idx="82">
                  <c:v>43.348634369395512</c:v>
                </c:pt>
                <c:pt idx="83">
                  <c:v>39.678735979017326</c:v>
                </c:pt>
                <c:pt idx="84">
                  <c:v>42.84877040034791</c:v>
                </c:pt>
                <c:pt idx="85">
                  <c:v>42.299229212193708</c:v>
                </c:pt>
                <c:pt idx="86">
                  <c:v>32.898461161424017</c:v>
                </c:pt>
                <c:pt idx="87">
                  <c:v>27.163913571868097</c:v>
                </c:pt>
                <c:pt idx="88">
                  <c:v>7.6559241720628481</c:v>
                </c:pt>
                <c:pt idx="89">
                  <c:v>26.734471478881929</c:v>
                </c:pt>
                <c:pt idx="90">
                  <c:v>29.141583763044625</c:v>
                </c:pt>
                <c:pt idx="91">
                  <c:v>19.743979490434434</c:v>
                </c:pt>
                <c:pt idx="92">
                  <c:v>24.445510643393149</c:v>
                </c:pt>
                <c:pt idx="93">
                  <c:v>42.338403282510107</c:v>
                </c:pt>
                <c:pt idx="94">
                  <c:v>48.995914261204597</c:v>
                </c:pt>
                <c:pt idx="95">
                  <c:v>12.447870805134519</c:v>
                </c:pt>
                <c:pt idx="96">
                  <c:v>37.659378461684192</c:v>
                </c:pt>
                <c:pt idx="97">
                  <c:v>29.418447193117924</c:v>
                </c:pt>
                <c:pt idx="98">
                  <c:v>35.700959541311605</c:v>
                </c:pt>
                <c:pt idx="99">
                  <c:v>50.557509190753464</c:v>
                </c:pt>
                <c:pt idx="100">
                  <c:v>38.687396540513895</c:v>
                </c:pt>
                <c:pt idx="101">
                  <c:v>35.546079015633595</c:v>
                </c:pt>
                <c:pt idx="102">
                  <c:v>7.83459767615894</c:v>
                </c:pt>
                <c:pt idx="103">
                  <c:v>38.306882554388899</c:v>
                </c:pt>
                <c:pt idx="104">
                  <c:v>42.53593764801424</c:v>
                </c:pt>
                <c:pt idx="105">
                  <c:v>45.614546729548167</c:v>
                </c:pt>
                <c:pt idx="106">
                  <c:v>51.779479992889883</c:v>
                </c:pt>
                <c:pt idx="107">
                  <c:v>41.608658012410913</c:v>
                </c:pt>
                <c:pt idx="108">
                  <c:v>11.369592791848556</c:v>
                </c:pt>
                <c:pt idx="109">
                  <c:v>10.733852577079801</c:v>
                </c:pt>
                <c:pt idx="110">
                  <c:v>10.243179645940678</c:v>
                </c:pt>
                <c:pt idx="111">
                  <c:v>30.980986535946215</c:v>
                </c:pt>
                <c:pt idx="112">
                  <c:v>8.9618908024306307</c:v>
                </c:pt>
                <c:pt idx="113">
                  <c:v>38.313163064576855</c:v>
                </c:pt>
                <c:pt idx="114">
                  <c:v>47.806898685481357</c:v>
                </c:pt>
                <c:pt idx="115">
                  <c:v>53.02333414356719</c:v>
                </c:pt>
                <c:pt idx="116">
                  <c:v>37.828223096524859</c:v>
                </c:pt>
                <c:pt idx="117">
                  <c:v>23.176038552833187</c:v>
                </c:pt>
                <c:pt idx="118">
                  <c:v>43.549921572601285</c:v>
                </c:pt>
                <c:pt idx="119">
                  <c:v>47.321922623737727</c:v>
                </c:pt>
                <c:pt idx="120">
                  <c:v>46.6766215185826</c:v>
                </c:pt>
                <c:pt idx="121">
                  <c:v>28.533982540001588</c:v>
                </c:pt>
                <c:pt idx="122">
                  <c:v>33.721394959878801</c:v>
                </c:pt>
                <c:pt idx="123">
                  <c:v>0.85609716845391948</c:v>
                </c:pt>
                <c:pt idx="124">
                  <c:v>39.342880624390986</c:v>
                </c:pt>
                <c:pt idx="125">
                  <c:v>36.469763553710969</c:v>
                </c:pt>
                <c:pt idx="126">
                  <c:v>50.098850642752815</c:v>
                </c:pt>
                <c:pt idx="127">
                  <c:v>50.962374297458936</c:v>
                </c:pt>
                <c:pt idx="128">
                  <c:v>56.586537200589468</c:v>
                </c:pt>
                <c:pt idx="129">
                  <c:v>51.944598153544042</c:v>
                </c:pt>
                <c:pt idx="130">
                  <c:v>56.924750559525698</c:v>
                </c:pt>
                <c:pt idx="131">
                  <c:v>44.399578421445135</c:v>
                </c:pt>
                <c:pt idx="132">
                  <c:v>47.379706197485589</c:v>
                </c:pt>
                <c:pt idx="133">
                  <c:v>48.83569307893714</c:v>
                </c:pt>
                <c:pt idx="134">
                  <c:v>52.83170885101579</c:v>
                </c:pt>
                <c:pt idx="135">
                  <c:v>51.499394773692032</c:v>
                </c:pt>
                <c:pt idx="136">
                  <c:v>55.526565334503573</c:v>
                </c:pt>
                <c:pt idx="137">
                  <c:v>54.033985309136376</c:v>
                </c:pt>
                <c:pt idx="138">
                  <c:v>56.0034467072634</c:v>
                </c:pt>
                <c:pt idx="139">
                  <c:v>48.775965666002804</c:v>
                </c:pt>
                <c:pt idx="140">
                  <c:v>49.486459838359842</c:v>
                </c:pt>
                <c:pt idx="141">
                  <c:v>35.164972487692978</c:v>
                </c:pt>
                <c:pt idx="142">
                  <c:v>18.147259041659588</c:v>
                </c:pt>
                <c:pt idx="143">
                  <c:v>15.120031788366472</c:v>
                </c:pt>
                <c:pt idx="144">
                  <c:v>42.065195705322125</c:v>
                </c:pt>
                <c:pt idx="145">
                  <c:v>22.092162822665649</c:v>
                </c:pt>
                <c:pt idx="146">
                  <c:v>41.876338372603456</c:v>
                </c:pt>
                <c:pt idx="147">
                  <c:v>55.912257334709786</c:v>
                </c:pt>
                <c:pt idx="148">
                  <c:v>61.02441000533409</c:v>
                </c:pt>
                <c:pt idx="149">
                  <c:v>52.175097387532439</c:v>
                </c:pt>
                <c:pt idx="150">
                  <c:v>55.927596979459317</c:v>
                </c:pt>
                <c:pt idx="151">
                  <c:v>57.51986218432689</c:v>
                </c:pt>
                <c:pt idx="152">
                  <c:v>45.174211560749519</c:v>
                </c:pt>
                <c:pt idx="153">
                  <c:v>54.746761521369756</c:v>
                </c:pt>
                <c:pt idx="154">
                  <c:v>31.087768597771234</c:v>
                </c:pt>
                <c:pt idx="155">
                  <c:v>32.473921975608</c:v>
                </c:pt>
                <c:pt idx="156">
                  <c:v>43.328356392545281</c:v>
                </c:pt>
                <c:pt idx="157">
                  <c:v>32.607413316786825</c:v>
                </c:pt>
                <c:pt idx="158">
                  <c:v>22.938999674709443</c:v>
                </c:pt>
                <c:pt idx="159">
                  <c:v>45.62569308534345</c:v>
                </c:pt>
                <c:pt idx="160">
                  <c:v>59.929233412568067</c:v>
                </c:pt>
                <c:pt idx="161">
                  <c:v>56.222930886079041</c:v>
                </c:pt>
                <c:pt idx="162">
                  <c:v>44.368616524128079</c:v>
                </c:pt>
                <c:pt idx="163">
                  <c:v>54.506260140523992</c:v>
                </c:pt>
                <c:pt idx="164">
                  <c:v>46.810986905354667</c:v>
                </c:pt>
                <c:pt idx="165">
                  <c:v>55.287842337905388</c:v>
                </c:pt>
                <c:pt idx="166">
                  <c:v>51.322690491789373</c:v>
                </c:pt>
                <c:pt idx="167">
                  <c:v>52.943618866404073</c:v>
                </c:pt>
                <c:pt idx="168">
                  <c:v>55.036737297284276</c:v>
                </c:pt>
                <c:pt idx="169">
                  <c:v>56.399621488537782</c:v>
                </c:pt>
                <c:pt idx="170">
                  <c:v>33.490790642581828</c:v>
                </c:pt>
                <c:pt idx="171">
                  <c:v>19.882859267305996</c:v>
                </c:pt>
                <c:pt idx="172">
                  <c:v>48.016703073186029</c:v>
                </c:pt>
                <c:pt idx="173">
                  <c:v>42.550788855815746</c:v>
                </c:pt>
                <c:pt idx="174">
                  <c:v>44.994587259715388</c:v>
                </c:pt>
                <c:pt idx="175">
                  <c:v>31.51375016550379</c:v>
                </c:pt>
                <c:pt idx="176">
                  <c:v>12.041672487753132</c:v>
                </c:pt>
                <c:pt idx="177">
                  <c:v>17.877781227660673</c:v>
                </c:pt>
                <c:pt idx="178">
                  <c:v>60.995420820198397</c:v>
                </c:pt>
                <c:pt idx="179">
                  <c:v>56.636300292497111</c:v>
                </c:pt>
                <c:pt idx="180">
                  <c:v>13.717250978997992</c:v>
                </c:pt>
                <c:pt idx="181">
                  <c:v>55.950888892167271</c:v>
                </c:pt>
                <c:pt idx="182">
                  <c:v>52.096909693253039</c:v>
                </c:pt>
                <c:pt idx="183">
                  <c:v>44.078419077095447</c:v>
                </c:pt>
                <c:pt idx="184">
                  <c:v>46.248789428726987</c:v>
                </c:pt>
                <c:pt idx="185">
                  <c:v>55.750077284976022</c:v>
                </c:pt>
                <c:pt idx="186">
                  <c:v>43.188347230020099</c:v>
                </c:pt>
                <c:pt idx="187">
                  <c:v>53.627461083759115</c:v>
                </c:pt>
                <c:pt idx="188">
                  <c:v>58.850841949099134</c:v>
                </c:pt>
                <c:pt idx="189">
                  <c:v>57.802651012453687</c:v>
                </c:pt>
                <c:pt idx="190">
                  <c:v>57.216186849856001</c:v>
                </c:pt>
                <c:pt idx="191">
                  <c:v>55.240553270990901</c:v>
                </c:pt>
                <c:pt idx="192">
                  <c:v>55.3459754094592</c:v>
                </c:pt>
                <c:pt idx="193">
                  <c:v>55.000781319080161</c:v>
                </c:pt>
                <c:pt idx="194">
                  <c:v>54.300979438220764</c:v>
                </c:pt>
                <c:pt idx="195">
                  <c:v>52.460658672533384</c:v>
                </c:pt>
                <c:pt idx="196">
                  <c:v>54.021109439832024</c:v>
                </c:pt>
                <c:pt idx="197">
                  <c:v>53.09458050707628</c:v>
                </c:pt>
                <c:pt idx="198">
                  <c:v>53.377545823130482</c:v>
                </c:pt>
                <c:pt idx="199">
                  <c:v>43.164967112692892</c:v>
                </c:pt>
                <c:pt idx="200">
                  <c:v>41.398656006502542</c:v>
                </c:pt>
                <c:pt idx="201">
                  <c:v>52.360546253909384</c:v>
                </c:pt>
                <c:pt idx="202">
                  <c:v>39.43341525755703</c:v>
                </c:pt>
                <c:pt idx="203">
                  <c:v>49.237062833613052</c:v>
                </c:pt>
                <c:pt idx="204">
                  <c:v>51.88069601325396</c:v>
                </c:pt>
                <c:pt idx="205">
                  <c:v>31.340216180388282</c:v>
                </c:pt>
                <c:pt idx="206">
                  <c:v>53.030215282695636</c:v>
                </c:pt>
                <c:pt idx="207">
                  <c:v>55.80370632191066</c:v>
                </c:pt>
                <c:pt idx="208">
                  <c:v>47.571745551057113</c:v>
                </c:pt>
                <c:pt idx="209">
                  <c:v>27.561454173576411</c:v>
                </c:pt>
                <c:pt idx="210">
                  <c:v>46.76220335670866</c:v>
                </c:pt>
                <c:pt idx="211">
                  <c:v>51.61265058817807</c:v>
                </c:pt>
                <c:pt idx="212">
                  <c:v>53.573302463828249</c:v>
                </c:pt>
                <c:pt idx="213">
                  <c:v>51.661858783839087</c:v>
                </c:pt>
                <c:pt idx="214">
                  <c:v>49.746712634369594</c:v>
                </c:pt>
                <c:pt idx="215">
                  <c:v>46.197067289503075</c:v>
                </c:pt>
                <c:pt idx="216">
                  <c:v>45.203673315717843</c:v>
                </c:pt>
                <c:pt idx="217">
                  <c:v>47.906954385316382</c:v>
                </c:pt>
                <c:pt idx="218">
                  <c:v>50.996705584495992</c:v>
                </c:pt>
                <c:pt idx="219">
                  <c:v>51.6951861278894</c:v>
                </c:pt>
                <c:pt idx="220">
                  <c:v>49.70306552301895</c:v>
                </c:pt>
                <c:pt idx="221">
                  <c:v>47.84773060001077</c:v>
                </c:pt>
                <c:pt idx="222">
                  <c:v>43.332847225545486</c:v>
                </c:pt>
                <c:pt idx="223">
                  <c:v>46.059714251365982</c:v>
                </c:pt>
                <c:pt idx="224">
                  <c:v>31.058588408991785</c:v>
                </c:pt>
                <c:pt idx="225">
                  <c:v>33.409756109992315</c:v>
                </c:pt>
                <c:pt idx="226">
                  <c:v>39.173495791419256</c:v>
                </c:pt>
                <c:pt idx="227">
                  <c:v>31.245949365148551</c:v>
                </c:pt>
                <c:pt idx="228">
                  <c:v>22.6367900933882</c:v>
                </c:pt>
                <c:pt idx="229">
                  <c:v>38.155101894900369</c:v>
                </c:pt>
                <c:pt idx="230">
                  <c:v>39.493404844014343</c:v>
                </c:pt>
                <c:pt idx="231">
                  <c:v>46.536014965624318</c:v>
                </c:pt>
                <c:pt idx="232">
                  <c:v>30.548191505046447</c:v>
                </c:pt>
                <c:pt idx="233">
                  <c:v>24.494931440233199</c:v>
                </c:pt>
                <c:pt idx="234">
                  <c:v>43.409799750108043</c:v>
                </c:pt>
                <c:pt idx="235">
                  <c:v>43.821224802461742</c:v>
                </c:pt>
                <c:pt idx="236">
                  <c:v>33.38036799202569</c:v>
                </c:pt>
                <c:pt idx="237">
                  <c:v>40.422752097540815</c:v>
                </c:pt>
                <c:pt idx="238">
                  <c:v>47.020306836305338</c:v>
                </c:pt>
                <c:pt idx="239">
                  <c:v>45.338212753271073</c:v>
                </c:pt>
                <c:pt idx="240">
                  <c:v>31.851649358864435</c:v>
                </c:pt>
                <c:pt idx="241">
                  <c:v>44.340520957075881</c:v>
                </c:pt>
                <c:pt idx="242">
                  <c:v>20.817890200773107</c:v>
                </c:pt>
                <c:pt idx="243">
                  <c:v>41.938253390861853</c:v>
                </c:pt>
                <c:pt idx="244">
                  <c:v>36.446651544409292</c:v>
                </c:pt>
                <c:pt idx="245">
                  <c:v>29.98929042120589</c:v>
                </c:pt>
                <c:pt idx="246">
                  <c:v>43.637567086543065</c:v>
                </c:pt>
                <c:pt idx="247">
                  <c:v>37.670252998396954</c:v>
                </c:pt>
                <c:pt idx="248">
                  <c:v>42.249343447788874</c:v>
                </c:pt>
                <c:pt idx="249">
                  <c:v>34.061875876497915</c:v>
                </c:pt>
                <c:pt idx="250">
                  <c:v>36.654316473519167</c:v>
                </c:pt>
                <c:pt idx="251">
                  <c:v>20.840912891097375</c:v>
                </c:pt>
                <c:pt idx="252">
                  <c:v>40.980934236217195</c:v>
                </c:pt>
                <c:pt idx="253">
                  <c:v>40.821320399811327</c:v>
                </c:pt>
                <c:pt idx="254">
                  <c:v>28.371195456922894</c:v>
                </c:pt>
                <c:pt idx="255">
                  <c:v>11.777367710930349</c:v>
                </c:pt>
                <c:pt idx="256">
                  <c:v>34.428597914818191</c:v>
                </c:pt>
                <c:pt idx="257">
                  <c:v>37.563908309082478</c:v>
                </c:pt>
                <c:pt idx="258">
                  <c:v>25.922232067424286</c:v>
                </c:pt>
                <c:pt idx="259">
                  <c:v>40.685539255173374</c:v>
                </c:pt>
                <c:pt idx="260">
                  <c:v>40.99690632911588</c:v>
                </c:pt>
                <c:pt idx="261">
                  <c:v>39.300269435253512</c:v>
                </c:pt>
                <c:pt idx="262">
                  <c:v>40.278236396886193</c:v>
                </c:pt>
                <c:pt idx="263">
                  <c:v>39.106092768341746</c:v>
                </c:pt>
                <c:pt idx="264">
                  <c:v>37.77867878823762</c:v>
                </c:pt>
                <c:pt idx="265">
                  <c:v>24.319518198950387</c:v>
                </c:pt>
                <c:pt idx="266">
                  <c:v>16.311917573006518</c:v>
                </c:pt>
                <c:pt idx="267">
                  <c:v>27.230228846275736</c:v>
                </c:pt>
                <c:pt idx="268">
                  <c:v>29.220104414394367</c:v>
                </c:pt>
                <c:pt idx="269">
                  <c:v>14.26607467131536</c:v>
                </c:pt>
                <c:pt idx="270">
                  <c:v>16.773024858191388</c:v>
                </c:pt>
                <c:pt idx="271">
                  <c:v>22.407699505809084</c:v>
                </c:pt>
                <c:pt idx="272">
                  <c:v>25.863813145070345</c:v>
                </c:pt>
                <c:pt idx="273">
                  <c:v>31.096734041024138</c:v>
                </c:pt>
                <c:pt idx="274">
                  <c:v>32.820362081605005</c:v>
                </c:pt>
                <c:pt idx="275">
                  <c:v>30.935597377962313</c:v>
                </c:pt>
                <c:pt idx="276">
                  <c:v>33.044838565904854</c:v>
                </c:pt>
                <c:pt idx="277">
                  <c:v>33.339241064107235</c:v>
                </c:pt>
                <c:pt idx="278">
                  <c:v>14.310891297416159</c:v>
                </c:pt>
                <c:pt idx="279">
                  <c:v>24.547598325381315</c:v>
                </c:pt>
                <c:pt idx="280">
                  <c:v>15.017221571318942</c:v>
                </c:pt>
                <c:pt idx="281">
                  <c:v>30.300470608384742</c:v>
                </c:pt>
                <c:pt idx="282">
                  <c:v>25.852256952682705</c:v>
                </c:pt>
                <c:pt idx="283">
                  <c:v>22.323826970672119</c:v>
                </c:pt>
                <c:pt idx="284">
                  <c:v>24.055536932337862</c:v>
                </c:pt>
                <c:pt idx="285">
                  <c:v>19.819556563342839</c:v>
                </c:pt>
                <c:pt idx="286">
                  <c:v>16.614788443991216</c:v>
                </c:pt>
                <c:pt idx="287">
                  <c:v>28.11804240526493</c:v>
                </c:pt>
                <c:pt idx="288">
                  <c:v>26.126164966351546</c:v>
                </c:pt>
                <c:pt idx="289">
                  <c:v>16.632153457224423</c:v>
                </c:pt>
                <c:pt idx="290">
                  <c:v>25.971498458502175</c:v>
                </c:pt>
                <c:pt idx="291">
                  <c:v>14.027315206110046</c:v>
                </c:pt>
                <c:pt idx="292">
                  <c:v>7.7540516483287503</c:v>
                </c:pt>
                <c:pt idx="293">
                  <c:v>13.549205754446797</c:v>
                </c:pt>
                <c:pt idx="294">
                  <c:v>23.995041379792305</c:v>
                </c:pt>
                <c:pt idx="295">
                  <c:v>16.200999600835647</c:v>
                </c:pt>
                <c:pt idx="296">
                  <c:v>19.135132304641978</c:v>
                </c:pt>
                <c:pt idx="297">
                  <c:v>17.669496527670344</c:v>
                </c:pt>
                <c:pt idx="298">
                  <c:v>13.983687611791742</c:v>
                </c:pt>
                <c:pt idx="299">
                  <c:v>11.165148022586557</c:v>
                </c:pt>
                <c:pt idx="300">
                  <c:v>15.177969191931508</c:v>
                </c:pt>
                <c:pt idx="301">
                  <c:v>19.248093507436575</c:v>
                </c:pt>
                <c:pt idx="302">
                  <c:v>16.569523411550175</c:v>
                </c:pt>
                <c:pt idx="303">
                  <c:v>16.118340546475164</c:v>
                </c:pt>
                <c:pt idx="304">
                  <c:v>15.192795061669734</c:v>
                </c:pt>
                <c:pt idx="305">
                  <c:v>20.544537810633031</c:v>
                </c:pt>
                <c:pt idx="306">
                  <c:v>5.3998498751575061</c:v>
                </c:pt>
                <c:pt idx="307">
                  <c:v>11.149215964754386</c:v>
                </c:pt>
                <c:pt idx="308">
                  <c:v>19.491782549233594</c:v>
                </c:pt>
                <c:pt idx="309">
                  <c:v>19.506434935116268</c:v>
                </c:pt>
                <c:pt idx="310">
                  <c:v>19.341525657483377</c:v>
                </c:pt>
                <c:pt idx="311">
                  <c:v>12.769092388757491</c:v>
                </c:pt>
                <c:pt idx="312">
                  <c:v>7.5404396355584886</c:v>
                </c:pt>
                <c:pt idx="313">
                  <c:v>16.938355343887423</c:v>
                </c:pt>
                <c:pt idx="314">
                  <c:v>17.430524458270543</c:v>
                </c:pt>
                <c:pt idx="315">
                  <c:v>17.274708396272615</c:v>
                </c:pt>
                <c:pt idx="316">
                  <c:v>15.304106457560897</c:v>
                </c:pt>
                <c:pt idx="317">
                  <c:v>8.821162047843119</c:v>
                </c:pt>
                <c:pt idx="318">
                  <c:v>10.732923717523136</c:v>
                </c:pt>
                <c:pt idx="319">
                  <c:v>16.794883914899117</c:v>
                </c:pt>
                <c:pt idx="320">
                  <c:v>11.010307538463639</c:v>
                </c:pt>
                <c:pt idx="321">
                  <c:v>10.400019455208971</c:v>
                </c:pt>
                <c:pt idx="322">
                  <c:v>7.6383601601925522</c:v>
                </c:pt>
                <c:pt idx="323">
                  <c:v>12.471092421588278</c:v>
                </c:pt>
                <c:pt idx="324">
                  <c:v>2.9724426683936294</c:v>
                </c:pt>
                <c:pt idx="325">
                  <c:v>7.8623302382140849</c:v>
                </c:pt>
                <c:pt idx="326">
                  <c:v>11.668997524821732</c:v>
                </c:pt>
                <c:pt idx="327">
                  <c:v>10.529437782252002</c:v>
                </c:pt>
                <c:pt idx="328">
                  <c:v>4.311684437525459</c:v>
                </c:pt>
                <c:pt idx="329">
                  <c:v>9.2363924387457157</c:v>
                </c:pt>
                <c:pt idx="330">
                  <c:v>10.936477203902616</c:v>
                </c:pt>
                <c:pt idx="331">
                  <c:v>8.6027942056234092</c:v>
                </c:pt>
                <c:pt idx="332">
                  <c:v>9.71472634106083</c:v>
                </c:pt>
                <c:pt idx="333">
                  <c:v>3.9362344178083943</c:v>
                </c:pt>
                <c:pt idx="334">
                  <c:v>3.3988887944491144</c:v>
                </c:pt>
                <c:pt idx="335">
                  <c:v>4.6810500835584667</c:v>
                </c:pt>
                <c:pt idx="336">
                  <c:v>7.3356743291809048</c:v>
                </c:pt>
                <c:pt idx="337">
                  <c:v>12.427475911135097</c:v>
                </c:pt>
                <c:pt idx="338">
                  <c:v>14.547780863129189</c:v>
                </c:pt>
                <c:pt idx="339">
                  <c:v>10.41995201934448</c:v>
                </c:pt>
                <c:pt idx="340">
                  <c:v>12.798136339953624</c:v>
                </c:pt>
                <c:pt idx="341">
                  <c:v>3.814531382676619</c:v>
                </c:pt>
                <c:pt idx="342">
                  <c:v>7.2608233678275802</c:v>
                </c:pt>
                <c:pt idx="343">
                  <c:v>10.622313516028418</c:v>
                </c:pt>
                <c:pt idx="344">
                  <c:v>11.114024827166769</c:v>
                </c:pt>
                <c:pt idx="345">
                  <c:v>3.8560660817261474</c:v>
                </c:pt>
                <c:pt idx="346">
                  <c:v>4.6377199890867438</c:v>
                </c:pt>
                <c:pt idx="347">
                  <c:v>10.911298634194168</c:v>
                </c:pt>
                <c:pt idx="348">
                  <c:v>5.3461436646737512</c:v>
                </c:pt>
                <c:pt idx="349">
                  <c:v>4.7179533288200242</c:v>
                </c:pt>
                <c:pt idx="350">
                  <c:v>2.9226798753527397</c:v>
                </c:pt>
                <c:pt idx="351">
                  <c:v>11.375156659950296</c:v>
                </c:pt>
                <c:pt idx="352">
                  <c:v>11.15357325287791</c:v>
                </c:pt>
                <c:pt idx="353">
                  <c:v>3.5445053848643941</c:v>
                </c:pt>
                <c:pt idx="354">
                  <c:v>12.922143913165204</c:v>
                </c:pt>
                <c:pt idx="355">
                  <c:v>11.463075434104068</c:v>
                </c:pt>
                <c:pt idx="356">
                  <c:v>12.012654733629832</c:v>
                </c:pt>
                <c:pt idx="357">
                  <c:v>13.681095642752604</c:v>
                </c:pt>
                <c:pt idx="358">
                  <c:v>7.7360577238107311</c:v>
                </c:pt>
                <c:pt idx="359">
                  <c:v>12.035325550341776</c:v>
                </c:pt>
                <c:pt idx="360">
                  <c:v>5.736766772439915</c:v>
                </c:pt>
                <c:pt idx="361">
                  <c:v>12.772232429747474</c:v>
                </c:pt>
                <c:pt idx="362">
                  <c:v>8.5878579629534837</c:v>
                </c:pt>
                <c:pt idx="363">
                  <c:v>10.922855010013864</c:v>
                </c:pt>
                <c:pt idx="364">
                  <c:v>8.5336564181030994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19.861761958603605</c:v>
                </c:pt>
                <c:pt idx="22">
                  <c:v>19.911957038897512</c:v>
                </c:pt>
                <c:pt idx="23">
                  <c:v>20.354207083796275</c:v>
                </c:pt>
                <c:pt idx="24">
                  <c:v>20.596380211990521</c:v>
                </c:pt>
                <c:pt idx="25">
                  <c:v>20.695273981927773</c:v>
                </c:pt>
                <c:pt idx="26">
                  <c:v>20.197110577806129</c:v>
                </c:pt>
                <c:pt idx="27">
                  <c:v>4.2247638904954181</c:v>
                </c:pt>
                <c:pt idx="28">
                  <c:v>6.6065115586312375</c:v>
                </c:pt>
                <c:pt idx="29">
                  <c:v>4.8085478153339194</c:v>
                </c:pt>
                <c:pt idx="30">
                  <c:v>10.782113410671691</c:v>
                </c:pt>
                <c:pt idx="31">
                  <c:v>10.602344597396231</c:v>
                </c:pt>
                <c:pt idx="32">
                  <c:v>5.5402083020607966</c:v>
                </c:pt>
                <c:pt idx="33">
                  <c:v>13.251262385509621</c:v>
                </c:pt>
                <c:pt idx="34">
                  <c:v>11.051734259776639</c:v>
                </c:pt>
                <c:pt idx="35">
                  <c:v>9.5766237958898834</c:v>
                </c:pt>
                <c:pt idx="36">
                  <c:v>17.783098400993687</c:v>
                </c:pt>
                <c:pt idx="37">
                  <c:v>12.330468860010171</c:v>
                </c:pt>
                <c:pt idx="38">
                  <c:v>25.64863736597982</c:v>
                </c:pt>
                <c:pt idx="39">
                  <c:v>25.698330059105288</c:v>
                </c:pt>
                <c:pt idx="40">
                  <c:v>24.948100105556225</c:v>
                </c:pt>
                <c:pt idx="41">
                  <c:v>13.162224892767213</c:v>
                </c:pt>
                <c:pt idx="42">
                  <c:v>22.512783507272133</c:v>
                </c:pt>
                <c:pt idx="43">
                  <c:v>26.252321292363543</c:v>
                </c:pt>
                <c:pt idx="44">
                  <c:v>15.43236267520666</c:v>
                </c:pt>
                <c:pt idx="45">
                  <c:v>18.797797563233779</c:v>
                </c:pt>
                <c:pt idx="46">
                  <c:v>9.5926048166335995</c:v>
                </c:pt>
                <c:pt idx="47">
                  <c:v>11.149448725888748</c:v>
                </c:pt>
                <c:pt idx="48">
                  <c:v>26.328875243635448</c:v>
                </c:pt>
                <c:pt idx="49">
                  <c:v>15.896690686184666</c:v>
                </c:pt>
                <c:pt idx="50">
                  <c:v>19.027577988450474</c:v>
                </c:pt>
                <c:pt idx="51">
                  <c:v>19.539190459402796</c:v>
                </c:pt>
                <c:pt idx="52">
                  <c:v>28.89015594508005</c:v>
                </c:pt>
                <c:pt idx="53">
                  <c:v>30.596763960685422</c:v>
                </c:pt>
                <c:pt idx="54">
                  <c:v>18.422202304964792</c:v>
                </c:pt>
                <c:pt idx="55">
                  <c:v>27.273922920520846</c:v>
                </c:pt>
                <c:pt idx="56">
                  <c:v>33.29443961457013</c:v>
                </c:pt>
                <c:pt idx="57">
                  <c:v>25.42894630341906</c:v>
                </c:pt>
                <c:pt idx="58">
                  <c:v>30.2918122454195</c:v>
                </c:pt>
                <c:pt idx="59">
                  <c:v>33.315907612189228</c:v>
                </c:pt>
                <c:pt idx="60">
                  <c:v>15.472035835273838</c:v>
                </c:pt>
                <c:pt idx="61">
                  <c:v>31.992230734598923</c:v>
                </c:pt>
                <c:pt idx="62">
                  <c:v>6.0834246244121948</c:v>
                </c:pt>
                <c:pt idx="63">
                  <c:v>13.639918533134862</c:v>
                </c:pt>
                <c:pt idx="64">
                  <c:v>20.015999147081786</c:v>
                </c:pt>
                <c:pt idx="65">
                  <c:v>34.142091176285057</c:v>
                </c:pt>
                <c:pt idx="66">
                  <c:v>27.555620859692187</c:v>
                </c:pt>
                <c:pt idx="67">
                  <c:v>28.704042608192314</c:v>
                </c:pt>
                <c:pt idx="68">
                  <c:v>20.142711575198195</c:v>
                </c:pt>
                <c:pt idx="69">
                  <c:v>14.331900311382689</c:v>
                </c:pt>
                <c:pt idx="70">
                  <c:v>13.589754194098798</c:v>
                </c:pt>
                <c:pt idx="71">
                  <c:v>8.9761615159360701</c:v>
                </c:pt>
                <c:pt idx="72">
                  <c:v>12.367210388082032</c:v>
                </c:pt>
                <c:pt idx="73">
                  <c:v>14.295373851806787</c:v>
                </c:pt>
                <c:pt idx="74">
                  <c:v>12.54884081687654</c:v>
                </c:pt>
                <c:pt idx="75">
                  <c:v>11.00709122970979</c:v>
                </c:pt>
                <c:pt idx="76">
                  <c:v>13.815706424290834</c:v>
                </c:pt>
                <c:pt idx="77">
                  <c:v>27.826065395621967</c:v>
                </c:pt>
                <c:pt idx="78">
                  <c:v>31.386582669804884</c:v>
                </c:pt>
                <c:pt idx="79">
                  <c:v>42.075561589999765</c:v>
                </c:pt>
                <c:pt idx="80">
                  <c:v>38.917574301032921</c:v>
                </c:pt>
                <c:pt idx="81">
                  <c:v>43.973906452598833</c:v>
                </c:pt>
                <c:pt idx="82">
                  <c:v>43.348634369395512</c:v>
                </c:pt>
                <c:pt idx="83">
                  <c:v>39.678735979017326</c:v>
                </c:pt>
                <c:pt idx="84">
                  <c:v>42.84877040034791</c:v>
                </c:pt>
                <c:pt idx="85">
                  <c:v>42.299229212193708</c:v>
                </c:pt>
                <c:pt idx="86">
                  <c:v>32.898461161424017</c:v>
                </c:pt>
                <c:pt idx="87">
                  <c:v>27.163913571868097</c:v>
                </c:pt>
                <c:pt idx="88">
                  <c:v>7.6559241720628481</c:v>
                </c:pt>
                <c:pt idx="89">
                  <c:v>26.734471478881929</c:v>
                </c:pt>
                <c:pt idx="90">
                  <c:v>29.141583763044625</c:v>
                </c:pt>
                <c:pt idx="91">
                  <c:v>19.743979490434434</c:v>
                </c:pt>
                <c:pt idx="92">
                  <c:v>24.445510643393149</c:v>
                </c:pt>
                <c:pt idx="93">
                  <c:v>42.338403282510107</c:v>
                </c:pt>
                <c:pt idx="94">
                  <c:v>48.995914261204597</c:v>
                </c:pt>
                <c:pt idx="95">
                  <c:v>12.447870805134519</c:v>
                </c:pt>
                <c:pt idx="96">
                  <c:v>37.659378461684192</c:v>
                </c:pt>
                <c:pt idx="97">
                  <c:v>29.418447193117924</c:v>
                </c:pt>
                <c:pt idx="98">
                  <c:v>35.700959541311605</c:v>
                </c:pt>
                <c:pt idx="99">
                  <c:v>50.557509190753464</c:v>
                </c:pt>
                <c:pt idx="100">
                  <c:v>38.687396540513895</c:v>
                </c:pt>
                <c:pt idx="101">
                  <c:v>35.546079015633595</c:v>
                </c:pt>
                <c:pt idx="102">
                  <c:v>7.83459767615894</c:v>
                </c:pt>
                <c:pt idx="103">
                  <c:v>38.306882554388899</c:v>
                </c:pt>
                <c:pt idx="104">
                  <c:v>42.53593764801424</c:v>
                </c:pt>
                <c:pt idx="105">
                  <c:v>45.614546729548167</c:v>
                </c:pt>
                <c:pt idx="106">
                  <c:v>51.779479992889883</c:v>
                </c:pt>
                <c:pt idx="107">
                  <c:v>41.608658012410913</c:v>
                </c:pt>
                <c:pt idx="108">
                  <c:v>11.369592791848556</c:v>
                </c:pt>
                <c:pt idx="109">
                  <c:v>10.733852577079801</c:v>
                </c:pt>
                <c:pt idx="110">
                  <c:v>10.243179645940678</c:v>
                </c:pt>
                <c:pt idx="111">
                  <c:v>30.980986535946215</c:v>
                </c:pt>
                <c:pt idx="112">
                  <c:v>8.9618908024306307</c:v>
                </c:pt>
                <c:pt idx="113">
                  <c:v>38.313163064576855</c:v>
                </c:pt>
                <c:pt idx="114">
                  <c:v>47.806898685481357</c:v>
                </c:pt>
                <c:pt idx="115">
                  <c:v>53.02333414356719</c:v>
                </c:pt>
                <c:pt idx="116">
                  <c:v>37.828223096524859</c:v>
                </c:pt>
                <c:pt idx="117">
                  <c:v>23.176038552833187</c:v>
                </c:pt>
                <c:pt idx="118">
                  <c:v>43.549921572601285</c:v>
                </c:pt>
                <c:pt idx="119">
                  <c:v>47.321922623737727</c:v>
                </c:pt>
                <c:pt idx="120">
                  <c:v>46.6766215185826</c:v>
                </c:pt>
                <c:pt idx="121">
                  <c:v>28.533982540001588</c:v>
                </c:pt>
                <c:pt idx="122">
                  <c:v>33.721394959878801</c:v>
                </c:pt>
                <c:pt idx="123">
                  <c:v>0.85609716845391948</c:v>
                </c:pt>
                <c:pt idx="124">
                  <c:v>39.342880624390986</c:v>
                </c:pt>
                <c:pt idx="125">
                  <c:v>36.469763553710969</c:v>
                </c:pt>
                <c:pt idx="126">
                  <c:v>50.098850642752815</c:v>
                </c:pt>
                <c:pt idx="127">
                  <c:v>50.962374297458936</c:v>
                </c:pt>
                <c:pt idx="128">
                  <c:v>56.586537200589468</c:v>
                </c:pt>
                <c:pt idx="129">
                  <c:v>51.944598153544042</c:v>
                </c:pt>
                <c:pt idx="130">
                  <c:v>56.924750559525698</c:v>
                </c:pt>
                <c:pt idx="131">
                  <c:v>44.399578421445135</c:v>
                </c:pt>
                <c:pt idx="132">
                  <c:v>47.379706197485589</c:v>
                </c:pt>
                <c:pt idx="133">
                  <c:v>48.83569307893714</c:v>
                </c:pt>
                <c:pt idx="134">
                  <c:v>52.83170885101579</c:v>
                </c:pt>
                <c:pt idx="135">
                  <c:v>51.499394773692032</c:v>
                </c:pt>
                <c:pt idx="136">
                  <c:v>55.526565334503573</c:v>
                </c:pt>
                <c:pt idx="137">
                  <c:v>54.033985309136376</c:v>
                </c:pt>
                <c:pt idx="138">
                  <c:v>56.0034467072634</c:v>
                </c:pt>
                <c:pt idx="139">
                  <c:v>48.775965666002804</c:v>
                </c:pt>
                <c:pt idx="140">
                  <c:v>49.486459838359842</c:v>
                </c:pt>
                <c:pt idx="141">
                  <c:v>35.164972487692978</c:v>
                </c:pt>
                <c:pt idx="142">
                  <c:v>18.147259041659588</c:v>
                </c:pt>
                <c:pt idx="143">
                  <c:v>15.120031788366472</c:v>
                </c:pt>
                <c:pt idx="144">
                  <c:v>42.065195705322125</c:v>
                </c:pt>
                <c:pt idx="145">
                  <c:v>22.092162822665649</c:v>
                </c:pt>
                <c:pt idx="146">
                  <c:v>41.876338372603456</c:v>
                </c:pt>
                <c:pt idx="147">
                  <c:v>55.912257334709786</c:v>
                </c:pt>
                <c:pt idx="148">
                  <c:v>61.02441000533409</c:v>
                </c:pt>
                <c:pt idx="149">
                  <c:v>52.175097387532439</c:v>
                </c:pt>
                <c:pt idx="150">
                  <c:v>55.927596979459317</c:v>
                </c:pt>
                <c:pt idx="151">
                  <c:v>57.51986218432689</c:v>
                </c:pt>
                <c:pt idx="152">
                  <c:v>45.174211560749519</c:v>
                </c:pt>
                <c:pt idx="153">
                  <c:v>54.746761521369756</c:v>
                </c:pt>
                <c:pt idx="154">
                  <c:v>31.087768597771234</c:v>
                </c:pt>
                <c:pt idx="155">
                  <c:v>32.473921975608</c:v>
                </c:pt>
                <c:pt idx="156">
                  <c:v>43.328356392545281</c:v>
                </c:pt>
                <c:pt idx="157">
                  <c:v>32.607413316786825</c:v>
                </c:pt>
                <c:pt idx="158">
                  <c:v>22.938999674709443</c:v>
                </c:pt>
                <c:pt idx="159">
                  <c:v>45.62569308534345</c:v>
                </c:pt>
                <c:pt idx="160">
                  <c:v>59.929233412568067</c:v>
                </c:pt>
                <c:pt idx="161">
                  <c:v>56.222930886079041</c:v>
                </c:pt>
                <c:pt idx="162">
                  <c:v>44.368616524128079</c:v>
                </c:pt>
                <c:pt idx="163">
                  <c:v>54.506260140523992</c:v>
                </c:pt>
                <c:pt idx="164">
                  <c:v>46.810986905354667</c:v>
                </c:pt>
                <c:pt idx="165">
                  <c:v>55.287842337905388</c:v>
                </c:pt>
                <c:pt idx="166">
                  <c:v>51.322690491789373</c:v>
                </c:pt>
                <c:pt idx="167">
                  <c:v>52.943618866404073</c:v>
                </c:pt>
                <c:pt idx="168">
                  <c:v>55.036737297284276</c:v>
                </c:pt>
                <c:pt idx="169">
                  <c:v>56.399621488537782</c:v>
                </c:pt>
                <c:pt idx="170">
                  <c:v>33.490790642581828</c:v>
                </c:pt>
                <c:pt idx="171">
                  <c:v>19.882859267305996</c:v>
                </c:pt>
                <c:pt idx="172">
                  <c:v>48.016703073186029</c:v>
                </c:pt>
                <c:pt idx="173">
                  <c:v>42.550788855815746</c:v>
                </c:pt>
                <c:pt idx="174">
                  <c:v>44.994587259715388</c:v>
                </c:pt>
                <c:pt idx="175">
                  <c:v>31.51375016550379</c:v>
                </c:pt>
                <c:pt idx="176">
                  <c:v>12.041672487753132</c:v>
                </c:pt>
                <c:pt idx="177">
                  <c:v>17.877781227660673</c:v>
                </c:pt>
                <c:pt idx="178">
                  <c:v>60.995420820198397</c:v>
                </c:pt>
                <c:pt idx="179">
                  <c:v>56.636300292497111</c:v>
                </c:pt>
                <c:pt idx="180">
                  <c:v>13.717250978997992</c:v>
                </c:pt>
                <c:pt idx="181">
                  <c:v>55.950888892167271</c:v>
                </c:pt>
                <c:pt idx="182">
                  <c:v>52.096909693253039</c:v>
                </c:pt>
                <c:pt idx="183">
                  <c:v>44.078419077095447</c:v>
                </c:pt>
                <c:pt idx="184">
                  <c:v>46.248789428726987</c:v>
                </c:pt>
                <c:pt idx="185">
                  <c:v>55.750077284976022</c:v>
                </c:pt>
                <c:pt idx="186">
                  <c:v>43.188347230020099</c:v>
                </c:pt>
                <c:pt idx="187">
                  <c:v>53.627461083759115</c:v>
                </c:pt>
                <c:pt idx="188">
                  <c:v>58.850841949099134</c:v>
                </c:pt>
                <c:pt idx="189">
                  <c:v>57.802651012453687</c:v>
                </c:pt>
                <c:pt idx="190">
                  <c:v>57.216186849856001</c:v>
                </c:pt>
                <c:pt idx="191">
                  <c:v>55.240553270990901</c:v>
                </c:pt>
                <c:pt idx="192">
                  <c:v>55.3459754094592</c:v>
                </c:pt>
                <c:pt idx="193">
                  <c:v>55.000781319080161</c:v>
                </c:pt>
                <c:pt idx="194">
                  <c:v>54.300979438220764</c:v>
                </c:pt>
                <c:pt idx="195">
                  <c:v>52.460658672533384</c:v>
                </c:pt>
                <c:pt idx="196">
                  <c:v>54.021109439832024</c:v>
                </c:pt>
                <c:pt idx="197">
                  <c:v>53.09458050707628</c:v>
                </c:pt>
                <c:pt idx="198">
                  <c:v>53.377545823130482</c:v>
                </c:pt>
                <c:pt idx="199">
                  <c:v>43.164967112692892</c:v>
                </c:pt>
                <c:pt idx="200">
                  <c:v>41.398656006502542</c:v>
                </c:pt>
                <c:pt idx="201">
                  <c:v>52.360546253909384</c:v>
                </c:pt>
                <c:pt idx="202">
                  <c:v>39.43341525755703</c:v>
                </c:pt>
                <c:pt idx="203">
                  <c:v>49.237062833613052</c:v>
                </c:pt>
                <c:pt idx="204">
                  <c:v>51.88069601325396</c:v>
                </c:pt>
                <c:pt idx="205">
                  <c:v>31.340216180388282</c:v>
                </c:pt>
                <c:pt idx="206">
                  <c:v>53.030215282695636</c:v>
                </c:pt>
                <c:pt idx="207">
                  <c:v>55.80370632191066</c:v>
                </c:pt>
                <c:pt idx="208">
                  <c:v>47.571745551057113</c:v>
                </c:pt>
                <c:pt idx="209">
                  <c:v>27.561454173576411</c:v>
                </c:pt>
                <c:pt idx="210">
                  <c:v>46.76220335670866</c:v>
                </c:pt>
                <c:pt idx="211">
                  <c:v>51.61265058817807</c:v>
                </c:pt>
                <c:pt idx="212">
                  <c:v>53.573302463828249</c:v>
                </c:pt>
                <c:pt idx="213">
                  <c:v>51.661858783839087</c:v>
                </c:pt>
                <c:pt idx="214">
                  <c:v>49.746712634369594</c:v>
                </c:pt>
                <c:pt idx="215">
                  <c:v>46.197067289503075</c:v>
                </c:pt>
                <c:pt idx="216">
                  <c:v>45.203673315717843</c:v>
                </c:pt>
                <c:pt idx="217">
                  <c:v>47.906954385316382</c:v>
                </c:pt>
                <c:pt idx="218">
                  <c:v>50.996705584495992</c:v>
                </c:pt>
                <c:pt idx="219">
                  <c:v>51.6951861278894</c:v>
                </c:pt>
                <c:pt idx="220">
                  <c:v>49.70306552301895</c:v>
                </c:pt>
                <c:pt idx="221">
                  <c:v>47.84773060001077</c:v>
                </c:pt>
                <c:pt idx="222">
                  <c:v>43.332847225545486</c:v>
                </c:pt>
                <c:pt idx="223">
                  <c:v>46.059714251365982</c:v>
                </c:pt>
                <c:pt idx="224">
                  <c:v>31.058588408991785</c:v>
                </c:pt>
                <c:pt idx="225">
                  <c:v>33.409756109992315</c:v>
                </c:pt>
                <c:pt idx="226">
                  <c:v>39.173495791419256</c:v>
                </c:pt>
                <c:pt idx="227">
                  <c:v>31.245949365148551</c:v>
                </c:pt>
                <c:pt idx="228">
                  <c:v>22.6367900933882</c:v>
                </c:pt>
                <c:pt idx="229">
                  <c:v>38.155101894900369</c:v>
                </c:pt>
                <c:pt idx="230">
                  <c:v>39.493404844014343</c:v>
                </c:pt>
                <c:pt idx="231">
                  <c:v>46.536014965624318</c:v>
                </c:pt>
                <c:pt idx="232">
                  <c:v>30.548191505046447</c:v>
                </c:pt>
                <c:pt idx="233">
                  <c:v>24.494931440233199</c:v>
                </c:pt>
                <c:pt idx="234">
                  <c:v>43.409799750108043</c:v>
                </c:pt>
                <c:pt idx="235">
                  <c:v>43.821224802461742</c:v>
                </c:pt>
                <c:pt idx="236">
                  <c:v>33.38036799202569</c:v>
                </c:pt>
                <c:pt idx="237">
                  <c:v>40.422752097540815</c:v>
                </c:pt>
                <c:pt idx="238">
                  <c:v>47.020306836305338</c:v>
                </c:pt>
                <c:pt idx="239">
                  <c:v>45.338212753271073</c:v>
                </c:pt>
                <c:pt idx="240">
                  <c:v>31.851649358864435</c:v>
                </c:pt>
                <c:pt idx="241">
                  <c:v>44.340520957075881</c:v>
                </c:pt>
                <c:pt idx="242">
                  <c:v>20.817890200773107</c:v>
                </c:pt>
                <c:pt idx="243">
                  <c:v>41.938253390861853</c:v>
                </c:pt>
                <c:pt idx="244">
                  <c:v>36.446651544409292</c:v>
                </c:pt>
                <c:pt idx="245">
                  <c:v>29.98929042120589</c:v>
                </c:pt>
                <c:pt idx="246">
                  <c:v>43.637567086543065</c:v>
                </c:pt>
                <c:pt idx="247">
                  <c:v>37.670252998396954</c:v>
                </c:pt>
                <c:pt idx="248">
                  <c:v>42.249343447788874</c:v>
                </c:pt>
                <c:pt idx="249">
                  <c:v>34.061875876497915</c:v>
                </c:pt>
                <c:pt idx="250">
                  <c:v>36.654316473519167</c:v>
                </c:pt>
                <c:pt idx="251">
                  <c:v>20.840912891097375</c:v>
                </c:pt>
                <c:pt idx="252">
                  <c:v>40.980934236217195</c:v>
                </c:pt>
                <c:pt idx="253">
                  <c:v>40.821320399811327</c:v>
                </c:pt>
                <c:pt idx="254">
                  <c:v>28.371195456922894</c:v>
                </c:pt>
                <c:pt idx="255">
                  <c:v>11.777367710930349</c:v>
                </c:pt>
                <c:pt idx="256">
                  <c:v>34.428597914818191</c:v>
                </c:pt>
                <c:pt idx="257">
                  <c:v>37.563908309082478</c:v>
                </c:pt>
                <c:pt idx="258">
                  <c:v>25.922232067424286</c:v>
                </c:pt>
                <c:pt idx="259">
                  <c:v>40.685539255173374</c:v>
                </c:pt>
                <c:pt idx="260">
                  <c:v>40.99690632911588</c:v>
                </c:pt>
                <c:pt idx="261">
                  <c:v>39.300269435253512</c:v>
                </c:pt>
                <c:pt idx="262">
                  <c:v>40.278236396886193</c:v>
                </c:pt>
                <c:pt idx="263">
                  <c:v>39.106092768341746</c:v>
                </c:pt>
                <c:pt idx="264">
                  <c:v>37.77867878823762</c:v>
                </c:pt>
                <c:pt idx="265">
                  <c:v>24.319518198950387</c:v>
                </c:pt>
                <c:pt idx="266">
                  <c:v>16.311917573006518</c:v>
                </c:pt>
                <c:pt idx="267">
                  <c:v>27.230228846275736</c:v>
                </c:pt>
                <c:pt idx="268">
                  <c:v>29.220104414394367</c:v>
                </c:pt>
                <c:pt idx="269">
                  <c:v>14.26607467131536</c:v>
                </c:pt>
                <c:pt idx="270">
                  <c:v>16.773024858191388</c:v>
                </c:pt>
                <c:pt idx="271">
                  <c:v>22.407699505809084</c:v>
                </c:pt>
                <c:pt idx="272">
                  <c:v>25.863813145070345</c:v>
                </c:pt>
                <c:pt idx="273">
                  <c:v>31.096734041024138</c:v>
                </c:pt>
                <c:pt idx="274">
                  <c:v>32.820362081605005</c:v>
                </c:pt>
                <c:pt idx="275">
                  <c:v>30.935597377962313</c:v>
                </c:pt>
                <c:pt idx="276">
                  <c:v>33.044838565904854</c:v>
                </c:pt>
                <c:pt idx="277">
                  <c:v>33.339241064107235</c:v>
                </c:pt>
                <c:pt idx="278">
                  <c:v>14.310891297416159</c:v>
                </c:pt>
                <c:pt idx="279">
                  <c:v>24.547598325381315</c:v>
                </c:pt>
                <c:pt idx="280">
                  <c:v>15.017221571318942</c:v>
                </c:pt>
                <c:pt idx="281">
                  <c:v>30.300470608384742</c:v>
                </c:pt>
                <c:pt idx="282">
                  <c:v>25.852256952682705</c:v>
                </c:pt>
                <c:pt idx="283">
                  <c:v>22.323826970672119</c:v>
                </c:pt>
                <c:pt idx="284">
                  <c:v>24.055536932337862</c:v>
                </c:pt>
                <c:pt idx="285">
                  <c:v>19.819556563342839</c:v>
                </c:pt>
                <c:pt idx="286">
                  <c:v>16.614788443991216</c:v>
                </c:pt>
                <c:pt idx="287">
                  <c:v>28.11804240526493</c:v>
                </c:pt>
                <c:pt idx="288">
                  <c:v>26.126164966351546</c:v>
                </c:pt>
                <c:pt idx="289">
                  <c:v>16.632153457224423</c:v>
                </c:pt>
                <c:pt idx="290">
                  <c:v>25.971498458502175</c:v>
                </c:pt>
                <c:pt idx="291">
                  <c:v>14.027315206110046</c:v>
                </c:pt>
                <c:pt idx="292">
                  <c:v>7.7540516483287503</c:v>
                </c:pt>
                <c:pt idx="293">
                  <c:v>13.549205754446797</c:v>
                </c:pt>
                <c:pt idx="294">
                  <c:v>23.995041379792305</c:v>
                </c:pt>
                <c:pt idx="295">
                  <c:v>16.200999600835647</c:v>
                </c:pt>
                <c:pt idx="296">
                  <c:v>19.135132304641978</c:v>
                </c:pt>
                <c:pt idx="297">
                  <c:v>17.669496527670344</c:v>
                </c:pt>
                <c:pt idx="298">
                  <c:v>13.983687611791742</c:v>
                </c:pt>
                <c:pt idx="299">
                  <c:v>11.165148022586557</c:v>
                </c:pt>
                <c:pt idx="300">
                  <c:v>15.177969191931508</c:v>
                </c:pt>
                <c:pt idx="301">
                  <c:v>19.248093507436575</c:v>
                </c:pt>
                <c:pt idx="302">
                  <c:v>16.569523411550175</c:v>
                </c:pt>
                <c:pt idx="303">
                  <c:v>16.118340546475164</c:v>
                </c:pt>
                <c:pt idx="304">
                  <c:v>15.192795061669734</c:v>
                </c:pt>
                <c:pt idx="305">
                  <c:v>20.544537810633031</c:v>
                </c:pt>
                <c:pt idx="306">
                  <c:v>5.3998498751575061</c:v>
                </c:pt>
                <c:pt idx="307">
                  <c:v>11.149215964754386</c:v>
                </c:pt>
                <c:pt idx="308">
                  <c:v>19.491782549233594</c:v>
                </c:pt>
                <c:pt idx="309">
                  <c:v>19.506434935116268</c:v>
                </c:pt>
                <c:pt idx="310">
                  <c:v>19.341525657483377</c:v>
                </c:pt>
                <c:pt idx="311">
                  <c:v>12.769092388757491</c:v>
                </c:pt>
                <c:pt idx="312">
                  <c:v>7.5404396355584886</c:v>
                </c:pt>
                <c:pt idx="313">
                  <c:v>16.938355343887423</c:v>
                </c:pt>
                <c:pt idx="314">
                  <c:v>17.430524458270543</c:v>
                </c:pt>
                <c:pt idx="315">
                  <c:v>17.274708396272615</c:v>
                </c:pt>
                <c:pt idx="316">
                  <c:v>15.304106457560897</c:v>
                </c:pt>
                <c:pt idx="317">
                  <c:v>8.821162047843119</c:v>
                </c:pt>
                <c:pt idx="318">
                  <c:v>10.732923717523136</c:v>
                </c:pt>
                <c:pt idx="319">
                  <c:v>16.794883914899117</c:v>
                </c:pt>
                <c:pt idx="320">
                  <c:v>11.010307538463639</c:v>
                </c:pt>
                <c:pt idx="321">
                  <c:v>10.400019455208971</c:v>
                </c:pt>
                <c:pt idx="322">
                  <c:v>7.6383601601925522</c:v>
                </c:pt>
                <c:pt idx="323">
                  <c:v>12.471092421588278</c:v>
                </c:pt>
                <c:pt idx="324">
                  <c:v>2.9724426683936294</c:v>
                </c:pt>
                <c:pt idx="325">
                  <c:v>7.8623302382140849</c:v>
                </c:pt>
                <c:pt idx="326">
                  <c:v>11.668997524821732</c:v>
                </c:pt>
                <c:pt idx="327">
                  <c:v>10.529437782252002</c:v>
                </c:pt>
                <c:pt idx="328">
                  <c:v>4.311684437525459</c:v>
                </c:pt>
                <c:pt idx="329">
                  <c:v>9.2363924387457157</c:v>
                </c:pt>
                <c:pt idx="330">
                  <c:v>10.936477203902616</c:v>
                </c:pt>
                <c:pt idx="331">
                  <c:v>8.6027942056234092</c:v>
                </c:pt>
                <c:pt idx="332">
                  <c:v>9.71472634106083</c:v>
                </c:pt>
                <c:pt idx="333">
                  <c:v>3.9362344178083943</c:v>
                </c:pt>
                <c:pt idx="334">
                  <c:v>3.3988887944491144</c:v>
                </c:pt>
                <c:pt idx="335">
                  <c:v>4.6810500835584667</c:v>
                </c:pt>
                <c:pt idx="336">
                  <c:v>7.3356743291809048</c:v>
                </c:pt>
                <c:pt idx="337">
                  <c:v>12.427475911135097</c:v>
                </c:pt>
                <c:pt idx="338">
                  <c:v>14.547780863129189</c:v>
                </c:pt>
                <c:pt idx="339">
                  <c:v>10.41995201934448</c:v>
                </c:pt>
                <c:pt idx="340">
                  <c:v>12.798136339953624</c:v>
                </c:pt>
                <c:pt idx="341">
                  <c:v>3.814531382676619</c:v>
                </c:pt>
                <c:pt idx="342">
                  <c:v>7.2608233678275802</c:v>
                </c:pt>
                <c:pt idx="343">
                  <c:v>10.622313516028418</c:v>
                </c:pt>
                <c:pt idx="344">
                  <c:v>11.114024827166769</c:v>
                </c:pt>
                <c:pt idx="345">
                  <c:v>3.8560660817261474</c:v>
                </c:pt>
                <c:pt idx="346">
                  <c:v>4.6377199890867438</c:v>
                </c:pt>
                <c:pt idx="347">
                  <c:v>10.911298634194168</c:v>
                </c:pt>
                <c:pt idx="348">
                  <c:v>5.3461436646737512</c:v>
                </c:pt>
                <c:pt idx="349">
                  <c:v>4.7179533288200242</c:v>
                </c:pt>
                <c:pt idx="350">
                  <c:v>2.9226798753527397</c:v>
                </c:pt>
                <c:pt idx="351">
                  <c:v>11.375156659950296</c:v>
                </c:pt>
                <c:pt idx="352">
                  <c:v>11.15357325287791</c:v>
                </c:pt>
                <c:pt idx="353">
                  <c:v>3.5445053848643941</c:v>
                </c:pt>
                <c:pt idx="354">
                  <c:v>12.922143913165204</c:v>
                </c:pt>
                <c:pt idx="355">
                  <c:v>11.463075434104068</c:v>
                </c:pt>
                <c:pt idx="356">
                  <c:v>12.012654733629832</c:v>
                </c:pt>
                <c:pt idx="357">
                  <c:v>13.681095642752604</c:v>
                </c:pt>
                <c:pt idx="358">
                  <c:v>7.7360577238107311</c:v>
                </c:pt>
                <c:pt idx="359">
                  <c:v>12.035325550341776</c:v>
                </c:pt>
                <c:pt idx="360">
                  <c:v>5.736766772439915</c:v>
                </c:pt>
                <c:pt idx="361">
                  <c:v>12.772232429747474</c:v>
                </c:pt>
                <c:pt idx="362">
                  <c:v>8.5878579629534837</c:v>
                </c:pt>
                <c:pt idx="363">
                  <c:v>10.922855010013864</c:v>
                </c:pt>
                <c:pt idx="364">
                  <c:v>8.5336564181030994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1487040"/>
        <c:axId val="418743488"/>
      </c:lineChart>
      <c:dateAx>
        <c:axId val="551487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18743488"/>
        <c:crosses val="autoZero"/>
        <c:auto val="1"/>
        <c:lblOffset val="100"/>
        <c:baseTimeUnit val="days"/>
        <c:majorUnit val="1"/>
        <c:majorTimeUnit val="months"/>
      </c:dateAx>
      <c:valAx>
        <c:axId val="4187434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14870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15.144623994178326</c:v>
                </c:pt>
                <c:pt idx="1">
                  <c:v>15.263035536928287</c:v>
                </c:pt>
                <c:pt idx="2">
                  <c:v>15.389489265830264</c:v>
                </c:pt>
                <c:pt idx="3">
                  <c:v>15.523754090077679</c:v>
                </c:pt>
                <c:pt idx="4">
                  <c:v>15.66559901685002</c:v>
                </c:pt>
                <c:pt idx="5">
                  <c:v>15.814793143241811</c:v>
                </c:pt>
                <c:pt idx="6">
                  <c:v>15.971093824674707</c:v>
                </c:pt>
                <c:pt idx="7">
                  <c:v>16.134283376211496</c:v>
                </c:pt>
                <c:pt idx="8">
                  <c:v>16.306151178321674</c:v>
                </c:pt>
                <c:pt idx="9">
                  <c:v>16.488122971093851</c:v>
                </c:pt>
                <c:pt idx="10">
                  <c:v>16.679240739226408</c:v>
                </c:pt>
                <c:pt idx="11">
                  <c:v>16.878853109022103</c:v>
                </c:pt>
                <c:pt idx="12">
                  <c:v>17.08630919073822</c:v>
                </c:pt>
                <c:pt idx="13">
                  <c:v>17.300958594079425</c:v>
                </c:pt>
                <c:pt idx="14">
                  <c:v>17.52215143001029</c:v>
                </c:pt>
                <c:pt idx="15">
                  <c:v>17.749651664527303</c:v>
                </c:pt>
                <c:pt idx="16">
                  <c:v>17.982868446398122</c:v>
                </c:pt>
                <c:pt idx="17">
                  <c:v>18.221152994327678</c:v>
                </c:pt>
                <c:pt idx="18">
                  <c:v>18.463856912728279</c:v>
                </c:pt>
                <c:pt idx="19">
                  <c:v>18.710324844716133</c:v>
                </c:pt>
                <c:pt idx="20">
                  <c:v>18.959898679950722</c:v>
                </c:pt>
                <c:pt idx="21">
                  <c:v>19.211926561250262</c:v>
                </c:pt>
                <c:pt idx="22">
                  <c:v>19.468010744374745</c:v>
                </c:pt>
                <c:pt idx="23">
                  <c:v>19.730653389193666</c:v>
                </c:pt>
                <c:pt idx="24">
                  <c:v>19.999637979045694</c:v>
                </c:pt>
                <c:pt idx="25">
                  <c:v>20.274664422853103</c:v>
                </c:pt>
                <c:pt idx="26">
                  <c:v>20.555432833550736</c:v>
                </c:pt>
                <c:pt idx="27">
                  <c:v>20.841643543960679</c:v>
                </c:pt>
                <c:pt idx="28">
                  <c:v>21.132997125173194</c:v>
                </c:pt>
                <c:pt idx="29">
                  <c:v>21.429786834133786</c:v>
                </c:pt>
                <c:pt idx="30">
                  <c:v>21.73130274624382</c:v>
                </c:pt>
                <c:pt idx="31">
                  <c:v>22.037246940309057</c:v>
                </c:pt>
                <c:pt idx="32">
                  <c:v>22.347321857958079</c:v>
                </c:pt>
                <c:pt idx="33">
                  <c:v>22.661230329885736</c:v>
                </c:pt>
                <c:pt idx="34">
                  <c:v>22.978675589104032</c:v>
                </c:pt>
                <c:pt idx="35">
                  <c:v>23.299361292374378</c:v>
                </c:pt>
                <c:pt idx="36">
                  <c:v>23.623512125329665</c:v>
                </c:pt>
                <c:pt idx="37">
                  <c:v>23.951611231965838</c:v>
                </c:pt>
                <c:pt idx="38">
                  <c:v>24.283088516179028</c:v>
                </c:pt>
                <c:pt idx="39">
                  <c:v>24.618038886389165</c:v>
                </c:pt>
                <c:pt idx="40">
                  <c:v>24.956557396276256</c:v>
                </c:pt>
                <c:pt idx="41">
                  <c:v>25.298739251870586</c:v>
                </c:pt>
                <c:pt idx="42">
                  <c:v>25.644679816678703</c:v>
                </c:pt>
                <c:pt idx="43">
                  <c:v>25.994242775849532</c:v>
                </c:pt>
                <c:pt idx="44">
                  <c:v>26.346931687913013</c:v>
                </c:pt>
                <c:pt idx="45">
                  <c:v>26.702842341250847</c:v>
                </c:pt>
                <c:pt idx="46">
                  <c:v>27.062070581458972</c:v>
                </c:pt>
                <c:pt idx="47">
                  <c:v>27.42471230507061</c:v>
                </c:pt>
                <c:pt idx="48">
                  <c:v>27.790863436780803</c:v>
                </c:pt>
                <c:pt idx="49">
                  <c:v>28.160619914318779</c:v>
                </c:pt>
                <c:pt idx="50">
                  <c:v>28.534677794061214</c:v>
                </c:pt>
                <c:pt idx="51">
                  <c:v>28.912835453853237</c:v>
                </c:pt>
                <c:pt idx="52">
                  <c:v>29.294708661400467</c:v>
                </c:pt>
                <c:pt idx="53">
                  <c:v>29.679911566727178</c:v>
                </c:pt>
                <c:pt idx="54">
                  <c:v>30.068055302264618</c:v>
                </c:pt>
                <c:pt idx="55">
                  <c:v>30.458751242442229</c:v>
                </c:pt>
                <c:pt idx="56">
                  <c:v>30.851610983994295</c:v>
                </c:pt>
                <c:pt idx="57">
                  <c:v>31.245275741326598</c:v>
                </c:pt>
                <c:pt idx="58">
                  <c:v>31.639590441013244</c:v>
                </c:pt>
                <c:pt idx="59">
                  <c:v>32.034168520616895</c:v>
                </c:pt>
                <c:pt idx="60">
                  <c:v>32.428623667317289</c:v>
                </c:pt>
                <c:pt idx="61">
                  <c:v>32.822569817592864</c:v>
                </c:pt>
                <c:pt idx="62">
                  <c:v>33.215621163140106</c:v>
                </c:pt>
                <c:pt idx="63">
                  <c:v>33.607392151690249</c:v>
                </c:pt>
                <c:pt idx="64">
                  <c:v>33.999729372286261</c:v>
                </c:pt>
                <c:pt idx="65">
                  <c:v>34.394003123723429</c:v>
                </c:pt>
                <c:pt idx="66">
                  <c:v>34.790194916283085</c:v>
                </c:pt>
                <c:pt idx="67">
                  <c:v>35.187719892658798</c:v>
                </c:pt>
                <c:pt idx="68">
                  <c:v>35.585993366175288</c:v>
                </c:pt>
                <c:pt idx="69">
                  <c:v>35.984430815028858</c:v>
                </c:pt>
                <c:pt idx="70">
                  <c:v>36.382447881744397</c:v>
                </c:pt>
                <c:pt idx="71">
                  <c:v>36.779634037873947</c:v>
                </c:pt>
                <c:pt idx="72">
                  <c:v>37.176367761456781</c:v>
                </c:pt>
                <c:pt idx="73">
                  <c:v>37.572061814352011</c:v>
                </c:pt>
                <c:pt idx="74">
                  <c:v>37.966128896947886</c:v>
                </c:pt>
                <c:pt idx="75">
                  <c:v>38.357981637585844</c:v>
                </c:pt>
                <c:pt idx="76">
                  <c:v>38.747032584564913</c:v>
                </c:pt>
                <c:pt idx="77">
                  <c:v>39.132694199487837</c:v>
                </c:pt>
                <c:pt idx="78">
                  <c:v>39.517507563903543</c:v>
                </c:pt>
                <c:pt idx="79">
                  <c:v>39.903990961844016</c:v>
                </c:pt>
                <c:pt idx="80">
                  <c:v>40.291715592364319</c:v>
                </c:pt>
                <c:pt idx="81">
                  <c:v>40.679899708368026</c:v>
                </c:pt>
                <c:pt idx="82">
                  <c:v>41.067761847578709</c:v>
                </c:pt>
                <c:pt idx="83">
                  <c:v>41.454520839849756</c:v>
                </c:pt>
                <c:pt idx="84">
                  <c:v>41.839395819227036</c:v>
                </c:pt>
                <c:pt idx="85">
                  <c:v>42.221715600446757</c:v>
                </c:pt>
                <c:pt idx="86">
                  <c:v>42.600537330899108</c:v>
                </c:pt>
                <c:pt idx="87">
                  <c:v>42.975084130371471</c:v>
                </c:pt>
                <c:pt idx="88">
                  <c:v>43.344579710256284</c:v>
                </c:pt>
                <c:pt idx="89">
                  <c:v>43.708248398459432</c:v>
                </c:pt>
                <c:pt idx="90">
                  <c:v>44.065315184250316</c:v>
                </c:pt>
                <c:pt idx="91">
                  <c:v>44.415005743598954</c:v>
                </c:pt>
                <c:pt idx="92">
                  <c:v>44.759103097465399</c:v>
                </c:pt>
                <c:pt idx="93">
                  <c:v>45.099861169108202</c:v>
                </c:pt>
                <c:pt idx="94">
                  <c:v>45.436875086404171</c:v>
                </c:pt>
                <c:pt idx="95">
                  <c:v>45.769851263486956</c:v>
                </c:pt>
                <c:pt idx="96">
                  <c:v>46.098496437239149</c:v>
                </c:pt>
                <c:pt idx="97">
                  <c:v>46.422517699665818</c:v>
                </c:pt>
                <c:pt idx="98">
                  <c:v>46.741622516025501</c:v>
                </c:pt>
                <c:pt idx="99">
                  <c:v>47.055661996725007</c:v>
                </c:pt>
                <c:pt idx="100">
                  <c:v>47.364234825574719</c:v>
                </c:pt>
                <c:pt idx="101">
                  <c:v>47.667049988947355</c:v>
                </c:pt>
                <c:pt idx="102">
                  <c:v>47.963816983538521</c:v>
                </c:pt>
                <c:pt idx="103">
                  <c:v>48.254245835021607</c:v>
                </c:pt>
                <c:pt idx="104">
                  <c:v>48.538047141582261</c:v>
                </c:pt>
                <c:pt idx="105">
                  <c:v>48.814932096969613</c:v>
                </c:pt>
                <c:pt idx="106">
                  <c:v>49.085958544155552</c:v>
                </c:pt>
                <c:pt idx="107">
                  <c:v>49.352261812951156</c:v>
                </c:pt>
                <c:pt idx="108">
                  <c:v>49.613402789755163</c:v>
                </c:pt>
                <c:pt idx="109">
                  <c:v>49.869094116853574</c:v>
                </c:pt>
                <c:pt idx="110">
                  <c:v>50.119048543755504</c:v>
                </c:pt>
                <c:pt idx="111">
                  <c:v>50.36297970834157</c:v>
                </c:pt>
                <c:pt idx="112">
                  <c:v>50.60060279639309</c:v>
                </c:pt>
                <c:pt idx="113">
                  <c:v>50.83153089292793</c:v>
                </c:pt>
                <c:pt idx="114">
                  <c:v>51.05533596053003</c:v>
                </c:pt>
                <c:pt idx="115">
                  <c:v>51.271735959665435</c:v>
                </c:pt>
                <c:pt idx="116">
                  <c:v>51.480449849695923</c:v>
                </c:pt>
                <c:pt idx="117">
                  <c:v>51.681197614522574</c:v>
                </c:pt>
                <c:pt idx="118">
                  <c:v>51.873700305505999</c:v>
                </c:pt>
                <c:pt idx="119">
                  <c:v>52.057680067551949</c:v>
                </c:pt>
                <c:pt idx="120">
                  <c:v>52.232748473257267</c:v>
                </c:pt>
                <c:pt idx="121">
                  <c:v>52.398764749847729</c:v>
                </c:pt>
                <c:pt idx="122">
                  <c:v>52.556039113635542</c:v>
                </c:pt>
                <c:pt idx="123">
                  <c:v>52.704964921537609</c:v>
                </c:pt>
                <c:pt idx="124">
                  <c:v>52.845935734383062</c:v>
                </c:pt>
                <c:pt idx="125">
                  <c:v>52.979345322932176</c:v>
                </c:pt>
                <c:pt idx="126">
                  <c:v>53.105587652625616</c:v>
                </c:pt>
                <c:pt idx="127">
                  <c:v>53.224901422553977</c:v>
                </c:pt>
                <c:pt idx="128">
                  <c:v>53.337778650290986</c:v>
                </c:pt>
                <c:pt idx="129">
                  <c:v>53.444611118987858</c:v>
                </c:pt>
                <c:pt idx="130">
                  <c:v>53.545790651959187</c:v>
                </c:pt>
                <c:pt idx="131">
                  <c:v>53.641709099872863</c:v>
                </c:pt>
                <c:pt idx="132">
                  <c:v>53.732758323860637</c:v>
                </c:pt>
                <c:pt idx="133">
                  <c:v>53.819330178021403</c:v>
                </c:pt>
                <c:pt idx="134">
                  <c:v>53.900244214176027</c:v>
                </c:pt>
                <c:pt idx="135">
                  <c:v>53.974204735732158</c:v>
                </c:pt>
                <c:pt idx="136">
                  <c:v>54.041715047240508</c:v>
                </c:pt>
                <c:pt idx="137">
                  <c:v>54.103075239788886</c:v>
                </c:pt>
                <c:pt idx="138">
                  <c:v>54.158585454418358</c:v>
                </c:pt>
                <c:pt idx="139">
                  <c:v>54.208545842180357</c:v>
                </c:pt>
                <c:pt idx="140">
                  <c:v>54.253256529642123</c:v>
                </c:pt>
                <c:pt idx="141">
                  <c:v>54.292963047889792</c:v>
                </c:pt>
                <c:pt idx="142">
                  <c:v>54.328131407002907</c:v>
                </c:pt>
                <c:pt idx="143">
                  <c:v>54.359063801378277</c:v>
                </c:pt>
                <c:pt idx="144">
                  <c:v>54.386062073695534</c:v>
                </c:pt>
                <c:pt idx="145">
                  <c:v>54.409427906181811</c:v>
                </c:pt>
                <c:pt idx="146">
                  <c:v>54.429462771268582</c:v>
                </c:pt>
                <c:pt idx="147">
                  <c:v>54.44646787906094</c:v>
                </c:pt>
                <c:pt idx="148">
                  <c:v>54.459622381054814</c:v>
                </c:pt>
                <c:pt idx="149">
                  <c:v>54.467975464523711</c:v>
                </c:pt>
                <c:pt idx="150">
                  <c:v>54.471793317054015</c:v>
                </c:pt>
                <c:pt idx="151">
                  <c:v>54.471283962166325</c:v>
                </c:pt>
                <c:pt idx="152">
                  <c:v>54.46665500933166</c:v>
                </c:pt>
                <c:pt idx="153">
                  <c:v>54.458113591970722</c:v>
                </c:pt>
                <c:pt idx="154">
                  <c:v>54.445866309276354</c:v>
                </c:pt>
                <c:pt idx="155">
                  <c:v>54.430099497804783</c:v>
                </c:pt>
                <c:pt idx="156">
                  <c:v>54.411073356501667</c:v>
                </c:pt>
                <c:pt idx="157">
                  <c:v>54.388992325759986</c:v>
                </c:pt>
                <c:pt idx="158">
                  <c:v>54.36406008885367</c:v>
                </c:pt>
                <c:pt idx="159">
                  <c:v>54.336479527531907</c:v>
                </c:pt>
                <c:pt idx="160">
                  <c:v>54.306452672936246</c:v>
                </c:pt>
                <c:pt idx="161">
                  <c:v>54.274180668651354</c:v>
                </c:pt>
                <c:pt idx="162">
                  <c:v>54.238983373972523</c:v>
                </c:pt>
                <c:pt idx="163">
                  <c:v>54.200170933528092</c:v>
                </c:pt>
                <c:pt idx="164">
                  <c:v>54.158014229637303</c:v>
                </c:pt>
                <c:pt idx="165">
                  <c:v>54.112712576557584</c:v>
                </c:pt>
                <c:pt idx="166">
                  <c:v>54.064464193862946</c:v>
                </c:pt>
                <c:pt idx="167">
                  <c:v>54.013466196413461</c:v>
                </c:pt>
                <c:pt idx="168">
                  <c:v>53.959914574762927</c:v>
                </c:pt>
                <c:pt idx="169">
                  <c:v>53.903993877994722</c:v>
                </c:pt>
                <c:pt idx="170">
                  <c:v>53.845919028046119</c:v>
                </c:pt>
                <c:pt idx="171">
                  <c:v>53.785882772895043</c:v>
                </c:pt>
                <c:pt idx="172">
                  <c:v>53.724076736943708</c:v>
                </c:pt>
                <c:pt idx="173">
                  <c:v>53.660691537851065</c:v>
                </c:pt>
                <c:pt idx="174">
                  <c:v>53.59591671253586</c:v>
                </c:pt>
                <c:pt idx="175">
                  <c:v>53.529940643525926</c:v>
                </c:pt>
                <c:pt idx="176">
                  <c:v>53.462888060430075</c:v>
                </c:pt>
                <c:pt idx="177">
                  <c:v>53.394610208843204</c:v>
                </c:pt>
                <c:pt idx="178">
                  <c:v>53.324927805750008</c:v>
                </c:pt>
                <c:pt idx="179">
                  <c:v>53.253650313768141</c:v>
                </c:pt>
                <c:pt idx="180">
                  <c:v>53.180586667039819</c:v>
                </c:pt>
                <c:pt idx="181">
                  <c:v>53.105545298483406</c:v>
                </c:pt>
                <c:pt idx="182">
                  <c:v>53.02833417135507</c:v>
                </c:pt>
                <c:pt idx="183">
                  <c:v>52.948686124854099</c:v>
                </c:pt>
                <c:pt idx="184">
                  <c:v>52.866419022689783</c:v>
                </c:pt>
                <c:pt idx="185">
                  <c:v>52.781339342787383</c:v>
                </c:pt>
                <c:pt idx="186">
                  <c:v>52.693253273587722</c:v>
                </c:pt>
                <c:pt idx="187">
                  <c:v>52.60196675347219</c:v>
                </c:pt>
                <c:pt idx="188">
                  <c:v>52.507285521126974</c:v>
                </c:pt>
                <c:pt idx="189">
                  <c:v>52.409015166559456</c:v>
                </c:pt>
                <c:pt idx="190">
                  <c:v>52.307023597509918</c:v>
                </c:pt>
                <c:pt idx="191">
                  <c:v>52.201371578344691</c:v>
                </c:pt>
                <c:pt idx="192">
                  <c:v>52.092262092605957</c:v>
                </c:pt>
                <c:pt idx="193">
                  <c:v>51.979874672401927</c:v>
                </c:pt>
                <c:pt idx="194">
                  <c:v>51.86438868623285</c:v>
                </c:pt>
                <c:pt idx="195">
                  <c:v>51.74598339445636</c:v>
                </c:pt>
                <c:pt idx="196">
                  <c:v>51.624838000297743</c:v>
                </c:pt>
                <c:pt idx="197">
                  <c:v>51.501058355857886</c:v>
                </c:pt>
                <c:pt idx="198">
                  <c:v>51.374899867653291</c:v>
                </c:pt>
                <c:pt idx="199">
                  <c:v>51.246541650976951</c:v>
                </c:pt>
                <c:pt idx="200">
                  <c:v>51.116162966648865</c:v>
                </c:pt>
                <c:pt idx="201">
                  <c:v>50.983943256933067</c:v>
                </c:pt>
                <c:pt idx="202">
                  <c:v>50.850062179030324</c:v>
                </c:pt>
                <c:pt idx="203">
                  <c:v>50.714699633157096</c:v>
                </c:pt>
                <c:pt idx="204">
                  <c:v>50.577973588889066</c:v>
                </c:pt>
                <c:pt idx="205">
                  <c:v>50.439541903898423</c:v>
                </c:pt>
                <c:pt idx="206">
                  <c:v>50.299267977062662</c:v>
                </c:pt>
                <c:pt idx="207">
                  <c:v>50.156958783897942</c:v>
                </c:pt>
                <c:pt idx="208">
                  <c:v>50.012421908108671</c:v>
                </c:pt>
                <c:pt idx="209">
                  <c:v>49.865465539442553</c:v>
                </c:pt>
                <c:pt idx="210">
                  <c:v>49.715898463716023</c:v>
                </c:pt>
                <c:pt idx="211">
                  <c:v>49.563304051957481</c:v>
                </c:pt>
                <c:pt idx="212">
                  <c:v>49.407567653350526</c:v>
                </c:pt>
                <c:pt idx="213">
                  <c:v>49.248499762848105</c:v>
                </c:pt>
                <c:pt idx="214">
                  <c:v>49.085911417745173</c:v>
                </c:pt>
                <c:pt idx="215">
                  <c:v>48.919614183648413</c:v>
                </c:pt>
                <c:pt idx="216">
                  <c:v>48.749420131801827</c:v>
                </c:pt>
                <c:pt idx="217">
                  <c:v>48.575141810192775</c:v>
                </c:pt>
                <c:pt idx="218">
                  <c:v>48.397866361843597</c:v>
                </c:pt>
                <c:pt idx="219">
                  <c:v>48.218483341872016</c:v>
                </c:pt>
                <c:pt idx="220">
                  <c:v>48.036835772339437</c:v>
                </c:pt>
                <c:pt idx="221">
                  <c:v>47.85255166489307</c:v>
                </c:pt>
                <c:pt idx="222">
                  <c:v>47.665259428798251</c:v>
                </c:pt>
                <c:pt idx="223">
                  <c:v>47.474587845492387</c:v>
                </c:pt>
                <c:pt idx="224">
                  <c:v>47.280166037672664</c:v>
                </c:pt>
                <c:pt idx="225">
                  <c:v>47.081768863933142</c:v>
                </c:pt>
                <c:pt idx="226">
                  <c:v>46.87925448410224</c:v>
                </c:pt>
                <c:pt idx="227">
                  <c:v>46.67225374878457</c:v>
                </c:pt>
                <c:pt idx="228">
                  <c:v>46.460397713328291</c:v>
                </c:pt>
                <c:pt idx="229">
                  <c:v>46.243317608544082</c:v>
                </c:pt>
                <c:pt idx="230">
                  <c:v>46.020644829170436</c:v>
                </c:pt>
                <c:pt idx="231">
                  <c:v>45.792010918671572</c:v>
                </c:pt>
                <c:pt idx="232">
                  <c:v>45.558381527011321</c:v>
                </c:pt>
                <c:pt idx="233">
                  <c:v>45.32102704281494</c:v>
                </c:pt>
                <c:pt idx="234">
                  <c:v>45.079836694071624</c:v>
                </c:pt>
                <c:pt idx="235">
                  <c:v>44.834627414096708</c:v>
                </c:pt>
                <c:pt idx="236">
                  <c:v>44.585216033271969</c:v>
                </c:pt>
                <c:pt idx="237">
                  <c:v>44.331419577256426</c:v>
                </c:pt>
                <c:pt idx="238">
                  <c:v>44.073055077346581</c:v>
                </c:pt>
                <c:pt idx="239">
                  <c:v>43.81009602498969</c:v>
                </c:pt>
                <c:pt idx="240">
                  <c:v>43.542211772699773</c:v>
                </c:pt>
                <c:pt idx="241">
                  <c:v>43.269219084088256</c:v>
                </c:pt>
                <c:pt idx="242">
                  <c:v>42.990934746704632</c:v>
                </c:pt>
                <c:pt idx="243">
                  <c:v>42.707175573544326</c:v>
                </c:pt>
                <c:pt idx="244">
                  <c:v>42.417758403197837</c:v>
                </c:pt>
                <c:pt idx="245">
                  <c:v>42.122500095021806</c:v>
                </c:pt>
                <c:pt idx="246">
                  <c:v>41.82067540944805</c:v>
                </c:pt>
                <c:pt idx="247">
                  <c:v>41.512121906127568</c:v>
                </c:pt>
                <c:pt idx="248">
                  <c:v>41.197124878163713</c:v>
                </c:pt>
                <c:pt idx="249">
                  <c:v>40.876151520696297</c:v>
                </c:pt>
                <c:pt idx="250">
                  <c:v>40.549668822314658</c:v>
                </c:pt>
                <c:pt idx="251">
                  <c:v>40.218143569567957</c:v>
                </c:pt>
                <c:pt idx="252">
                  <c:v>39.882042352800404</c:v>
                </c:pt>
                <c:pt idx="253">
                  <c:v>39.541979843217085</c:v>
                </c:pt>
                <c:pt idx="254">
                  <c:v>39.198265531065097</c:v>
                </c:pt>
                <c:pt idx="255">
                  <c:v>38.851365525370113</c:v>
                </c:pt>
                <c:pt idx="256">
                  <c:v>38.501745747697818</c:v>
                </c:pt>
                <c:pt idx="257">
                  <c:v>38.149871936855135</c:v>
                </c:pt>
                <c:pt idx="258">
                  <c:v>37.796209647259516</c:v>
                </c:pt>
                <c:pt idx="259">
                  <c:v>37.441224249635667</c:v>
                </c:pt>
                <c:pt idx="260">
                  <c:v>37.082409963542744</c:v>
                </c:pt>
                <c:pt idx="261">
                  <c:v>36.71722289970733</c:v>
                </c:pt>
                <c:pt idx="262">
                  <c:v>36.346369237199319</c:v>
                </c:pt>
                <c:pt idx="263">
                  <c:v>35.970684265843872</c:v>
                </c:pt>
                <c:pt idx="264">
                  <c:v>35.591002899622247</c:v>
                </c:pt>
                <c:pt idx="265">
                  <c:v>35.208157315465058</c:v>
                </c:pt>
                <c:pt idx="266">
                  <c:v>34.822980473148327</c:v>
                </c:pt>
                <c:pt idx="267">
                  <c:v>34.435283622587541</c:v>
                </c:pt>
                <c:pt idx="268">
                  <c:v>34.045749351251686</c:v>
                </c:pt>
                <c:pt idx="269">
                  <c:v>33.655208923839858</c:v>
                </c:pt>
                <c:pt idx="270">
                  <c:v>33.264493236880547</c:v>
                </c:pt>
                <c:pt idx="271">
                  <c:v>32.874432841055572</c:v>
                </c:pt>
                <c:pt idx="272">
                  <c:v>32.48585796588592</c:v>
                </c:pt>
                <c:pt idx="273">
                  <c:v>32.099598548717701</c:v>
                </c:pt>
                <c:pt idx="274">
                  <c:v>31.712384907335601</c:v>
                </c:pt>
                <c:pt idx="275">
                  <c:v>31.320381205910373</c:v>
                </c:pt>
                <c:pt idx="276">
                  <c:v>30.924799347355744</c:v>
                </c:pt>
                <c:pt idx="277">
                  <c:v>30.526560683963972</c:v>
                </c:pt>
                <c:pt idx="278">
                  <c:v>30.12658614957197</c:v>
                </c:pt>
                <c:pt idx="279">
                  <c:v>29.72579631720717</c:v>
                </c:pt>
                <c:pt idx="280">
                  <c:v>29.325111464689225</c:v>
                </c:pt>
                <c:pt idx="281">
                  <c:v>28.925556732190575</c:v>
                </c:pt>
                <c:pt idx="282">
                  <c:v>28.529087476319223</c:v>
                </c:pt>
                <c:pt idx="283">
                  <c:v>28.13662656046866</c:v>
                </c:pt>
                <c:pt idx="284">
                  <c:v>27.749096794270876</c:v>
                </c:pt>
                <c:pt idx="285">
                  <c:v>27.367421011866881</c:v>
                </c:pt>
                <c:pt idx="286">
                  <c:v>26.992522137966684</c:v>
                </c:pt>
                <c:pt idx="287">
                  <c:v>26.625323271919122</c:v>
                </c:pt>
                <c:pt idx="288">
                  <c:v>26.265029516468072</c:v>
                </c:pt>
                <c:pt idx="289">
                  <c:v>25.909719315605241</c:v>
                </c:pt>
                <c:pt idx="290">
                  <c:v>25.559739129996096</c:v>
                </c:pt>
                <c:pt idx="291">
                  <c:v>25.214804429694119</c:v>
                </c:pt>
                <c:pt idx="292">
                  <c:v>28.423093463363109</c:v>
                </c:pt>
                <c:pt idx="293">
                  <c:v>28.030377895019488</c:v>
                </c:pt>
                <c:pt idx="294">
                  <c:v>27.642631203402644</c:v>
                </c:pt>
                <c:pt idx="295">
                  <c:v>27.259452234409917</c:v>
                </c:pt>
                <c:pt idx="296">
                  <c:v>26.880381654292879</c:v>
                </c:pt>
                <c:pt idx="297">
                  <c:v>26.505086404695273</c:v>
                </c:pt>
                <c:pt idx="298">
                  <c:v>26.13324346701852</c:v>
                </c:pt>
                <c:pt idx="299">
                  <c:v>25.764530199983003</c:v>
                </c:pt>
                <c:pt idx="300">
                  <c:v>25.398624359484835</c:v>
                </c:pt>
                <c:pt idx="301">
                  <c:v>25.035204091841305</c:v>
                </c:pt>
                <c:pt idx="302">
                  <c:v>24.673824365352417</c:v>
                </c:pt>
                <c:pt idx="303">
                  <c:v>24.315797413152225</c:v>
                </c:pt>
                <c:pt idx="304">
                  <c:v>23.961914207532157</c:v>
                </c:pt>
                <c:pt idx="305">
                  <c:v>23.612596593249361</c:v>
                </c:pt>
                <c:pt idx="306">
                  <c:v>23.268266219373331</c:v>
                </c:pt>
                <c:pt idx="307">
                  <c:v>22.929344532355341</c:v>
                </c:pt>
                <c:pt idx="308">
                  <c:v>22.596252785610936</c:v>
                </c:pt>
                <c:pt idx="309">
                  <c:v>22.270438935017125</c:v>
                </c:pt>
                <c:pt idx="310">
                  <c:v>21.952404850024816</c:v>
                </c:pt>
                <c:pt idx="311">
                  <c:v>21.642572073472664</c:v>
                </c:pt>
                <c:pt idx="312">
                  <c:v>21.341361887486094</c:v>
                </c:pt>
                <c:pt idx="313">
                  <c:v>21.049195289023725</c:v>
                </c:pt>
                <c:pt idx="314">
                  <c:v>20.766492981428126</c:v>
                </c:pt>
                <c:pt idx="315">
                  <c:v>20.493675354412265</c:v>
                </c:pt>
                <c:pt idx="316">
                  <c:v>20.230792751207716</c:v>
                </c:pt>
                <c:pt idx="317">
                  <c:v>19.977003662013516</c:v>
                </c:pt>
                <c:pt idx="318">
                  <c:v>19.730720871619415</c:v>
                </c:pt>
                <c:pt idx="319">
                  <c:v>19.491624482460619</c:v>
                </c:pt>
                <c:pt idx="320">
                  <c:v>19.259394946248182</c:v>
                </c:pt>
                <c:pt idx="321">
                  <c:v>19.03371306423599</c:v>
                </c:pt>
                <c:pt idx="322">
                  <c:v>18.814259974493947</c:v>
                </c:pt>
                <c:pt idx="323">
                  <c:v>18.59980146166626</c:v>
                </c:pt>
                <c:pt idx="324">
                  <c:v>18.38898893555616</c:v>
                </c:pt>
                <c:pt idx="325">
                  <c:v>18.181504151813002</c:v>
                </c:pt>
                <c:pt idx="326">
                  <c:v>17.977041526882548</c:v>
                </c:pt>
                <c:pt idx="327">
                  <c:v>17.775288272971874</c:v>
                </c:pt>
                <c:pt idx="328">
                  <c:v>17.575922241927145</c:v>
                </c:pt>
                <c:pt idx="329">
                  <c:v>17.378621758467574</c:v>
                </c:pt>
                <c:pt idx="330">
                  <c:v>17.181801666028832</c:v>
                </c:pt>
                <c:pt idx="331">
                  <c:v>16.985157502554248</c:v>
                </c:pt>
                <c:pt idx="332">
                  <c:v>16.79003304069359</c:v>
                </c:pt>
                <c:pt idx="333">
                  <c:v>16.597371378787077</c:v>
                </c:pt>
                <c:pt idx="334">
                  <c:v>16.408114788761633</c:v>
                </c:pt>
                <c:pt idx="335">
                  <c:v>16.223204693207393</c:v>
                </c:pt>
                <c:pt idx="336">
                  <c:v>16.043581642082689</c:v>
                </c:pt>
                <c:pt idx="337">
                  <c:v>15.871138403708501</c:v>
                </c:pt>
                <c:pt idx="338">
                  <c:v>15.707728368787425</c:v>
                </c:pt>
                <c:pt idx="339">
                  <c:v>15.554288375520855</c:v>
                </c:pt>
                <c:pt idx="340">
                  <c:v>15.411754271865711</c:v>
                </c:pt>
                <c:pt idx="341">
                  <c:v>15.281060927782391</c:v>
                </c:pt>
                <c:pt idx="342">
                  <c:v>15.163142262588639</c:v>
                </c:pt>
                <c:pt idx="343">
                  <c:v>15.058931261926961</c:v>
                </c:pt>
                <c:pt idx="344">
                  <c:v>14.966743026680017</c:v>
                </c:pt>
                <c:pt idx="345">
                  <c:v>14.884342326000789</c:v>
                </c:pt>
                <c:pt idx="346">
                  <c:v>14.811635034468047</c:v>
                </c:pt>
                <c:pt idx="347">
                  <c:v>14.748727827100211</c:v>
                </c:pt>
                <c:pt idx="348">
                  <c:v>14.695727292425506</c:v>
                </c:pt>
                <c:pt idx="349">
                  <c:v>14.652739956087888</c:v>
                </c:pt>
                <c:pt idx="350">
                  <c:v>14.619872299472567</c:v>
                </c:pt>
                <c:pt idx="351">
                  <c:v>14.597465684795333</c:v>
                </c:pt>
                <c:pt idx="352">
                  <c:v>14.584675458998872</c:v>
                </c:pt>
                <c:pt idx="353">
                  <c:v>14.58160819108064</c:v>
                </c:pt>
                <c:pt idx="354">
                  <c:v>14.588370388198088</c:v>
                </c:pt>
                <c:pt idx="355">
                  <c:v>14.605068521238987</c:v>
                </c:pt>
                <c:pt idx="356">
                  <c:v>14.631817506381738</c:v>
                </c:pt>
                <c:pt idx="357">
                  <c:v>14.668718332530236</c:v>
                </c:pt>
                <c:pt idx="358">
                  <c:v>14.716167863955093</c:v>
                </c:pt>
                <c:pt idx="359">
                  <c:v>14.774321213565049</c:v>
                </c:pt>
                <c:pt idx="360">
                  <c:v>14.843884491062123</c:v>
                </c:pt>
                <c:pt idx="361">
                  <c:v>14.924377926098003</c:v>
                </c:pt>
                <c:pt idx="362">
                  <c:v>15.015556993355249</c:v>
                </c:pt>
                <c:pt idx="363">
                  <c:v>15.117177445476582</c:v>
                </c:pt>
                <c:pt idx="364">
                  <c:v>15.228995281036241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15.487</c:v>
                </c:pt>
                <c:pt idx="1">
                  <c:v>13.262</c:v>
                </c:pt>
                <c:pt idx="2">
                  <c:v>12.878</c:v>
                </c:pt>
                <c:pt idx="3">
                  <c:v>13.521000000000001</c:v>
                </c:pt>
                <c:pt idx="4">
                  <c:v>10.683</c:v>
                </c:pt>
                <c:pt idx="5">
                  <c:v>16.338999999999999</c:v>
                </c:pt>
                <c:pt idx="6">
                  <c:v>8.1850000000000005</c:v>
                </c:pt>
                <c:pt idx="7">
                  <c:v>6.6420000000000003</c:v>
                </c:pt>
                <c:pt idx="8">
                  <c:v>2.0020000000000002</c:v>
                </c:pt>
                <c:pt idx="9">
                  <c:v>1.694</c:v>
                </c:pt>
                <c:pt idx="10">
                  <c:v>17.167000000000002</c:v>
                </c:pt>
                <c:pt idx="11">
                  <c:v>15.641</c:v>
                </c:pt>
                <c:pt idx="12">
                  <c:v>5.75</c:v>
                </c:pt>
                <c:pt idx="13">
                  <c:v>17.759</c:v>
                </c:pt>
                <c:pt idx="14">
                  <c:v>17.904</c:v>
                </c:pt>
                <c:pt idx="15">
                  <c:v>17.887</c:v>
                </c:pt>
                <c:pt idx="16">
                  <c:v>14.324</c:v>
                </c:pt>
                <c:pt idx="17">
                  <c:v>3.9670000000000001</c:v>
                </c:pt>
                <c:pt idx="18">
                  <c:v>9.7170000000000005</c:v>
                </c:pt>
                <c:pt idx="19">
                  <c:v>5.7350000000000003</c:v>
                </c:pt>
                <c:pt idx="20">
                  <c:v>14.041</c:v>
                </c:pt>
                <c:pt idx="21">
                  <c:v>19.2</c:v>
                </c:pt>
                <c:pt idx="22">
                  <c:v>19.242000000000001</c:v>
                </c:pt>
                <c:pt idx="23">
                  <c:v>19.664000000000001</c:v>
                </c:pt>
                <c:pt idx="24">
                  <c:v>19.893000000000001</c:v>
                </c:pt>
                <c:pt idx="25">
                  <c:v>19.984000000000002</c:v>
                </c:pt>
                <c:pt idx="26">
                  <c:v>19.498999999999999</c:v>
                </c:pt>
                <c:pt idx="27">
                  <c:v>4.0780000000000003</c:v>
                </c:pt>
                <c:pt idx="28">
                  <c:v>6.3760000000000003</c:v>
                </c:pt>
                <c:pt idx="29">
                  <c:v>4.6399999999999997</c:v>
                </c:pt>
                <c:pt idx="30">
                  <c:v>10.402000000000001</c:v>
                </c:pt>
                <c:pt idx="31">
                  <c:v>10.226000000000001</c:v>
                </c:pt>
                <c:pt idx="32">
                  <c:v>5.3420000000000005</c:v>
                </c:pt>
                <c:pt idx="33">
                  <c:v>12.773</c:v>
                </c:pt>
                <c:pt idx="34">
                  <c:v>10.649000000000001</c:v>
                </c:pt>
                <c:pt idx="35">
                  <c:v>9.2240000000000002</c:v>
                </c:pt>
                <c:pt idx="36">
                  <c:v>17.120999999999999</c:v>
                </c:pt>
                <c:pt idx="37">
                  <c:v>11.866</c:v>
                </c:pt>
                <c:pt idx="38">
                  <c:v>24.670999999999999</c:v>
                </c:pt>
                <c:pt idx="39">
                  <c:v>24.707000000000001</c:v>
                </c:pt>
                <c:pt idx="40">
                  <c:v>23.974</c:v>
                </c:pt>
                <c:pt idx="41">
                  <c:v>12.641999999999999</c:v>
                </c:pt>
                <c:pt idx="42">
                  <c:v>21.612000000000002</c:v>
                </c:pt>
                <c:pt idx="43">
                  <c:v>25.189</c:v>
                </c:pt>
                <c:pt idx="44">
                  <c:v>14.8</c:v>
                </c:pt>
                <c:pt idx="45">
                  <c:v>18.019000000000002</c:v>
                </c:pt>
                <c:pt idx="46">
                  <c:v>9.1910000000000007</c:v>
                </c:pt>
                <c:pt idx="47">
                  <c:v>10.678000000000001</c:v>
                </c:pt>
                <c:pt idx="48">
                  <c:v>25.205000000000002</c:v>
                </c:pt>
                <c:pt idx="49">
                  <c:v>15.212</c:v>
                </c:pt>
                <c:pt idx="50">
                  <c:v>18.201000000000001</c:v>
                </c:pt>
                <c:pt idx="51">
                  <c:v>18.683</c:v>
                </c:pt>
                <c:pt idx="52">
                  <c:v>27.613</c:v>
                </c:pt>
                <c:pt idx="53">
                  <c:v>29.231999999999999</c:v>
                </c:pt>
                <c:pt idx="54">
                  <c:v>17.593</c:v>
                </c:pt>
                <c:pt idx="55">
                  <c:v>26.035</c:v>
                </c:pt>
                <c:pt idx="56">
                  <c:v>31.767999999999997</c:v>
                </c:pt>
                <c:pt idx="57">
                  <c:v>24.251999999999999</c:v>
                </c:pt>
                <c:pt idx="58">
                  <c:v>28.876000000000001</c:v>
                </c:pt>
                <c:pt idx="59">
                  <c:v>31.743000000000002</c:v>
                </c:pt>
                <c:pt idx="60">
                  <c:v>14.734</c:v>
                </c:pt>
                <c:pt idx="61">
                  <c:v>30.45</c:v>
                </c:pt>
                <c:pt idx="62">
                  <c:v>5.7869999999999999</c:v>
                </c:pt>
                <c:pt idx="63">
                  <c:v>12.968</c:v>
                </c:pt>
                <c:pt idx="64">
                  <c:v>19.019000000000002</c:v>
                </c:pt>
                <c:pt idx="65">
                  <c:v>32.423000000000002</c:v>
                </c:pt>
                <c:pt idx="66">
                  <c:v>26.154</c:v>
                </c:pt>
                <c:pt idx="67">
                  <c:v>27.23</c:v>
                </c:pt>
                <c:pt idx="68">
                  <c:v>19.099</c:v>
                </c:pt>
                <c:pt idx="69">
                  <c:v>13.583</c:v>
                </c:pt>
                <c:pt idx="70">
                  <c:v>12.874000000000001</c:v>
                </c:pt>
                <c:pt idx="71">
                  <c:v>8.5</c:v>
                </c:pt>
                <c:pt idx="72">
                  <c:v>11.707000000000001</c:v>
                </c:pt>
                <c:pt idx="73">
                  <c:v>13.528</c:v>
                </c:pt>
                <c:pt idx="74">
                  <c:v>11.872</c:v>
                </c:pt>
                <c:pt idx="75">
                  <c:v>10.411</c:v>
                </c:pt>
                <c:pt idx="76">
                  <c:v>13.065</c:v>
                </c:pt>
                <c:pt idx="77">
                  <c:v>26.310000000000002</c:v>
                </c:pt>
                <c:pt idx="78">
                  <c:v>29.673000000000002</c:v>
                </c:pt>
                <c:pt idx="79">
                  <c:v>39.774999999999999</c:v>
                </c:pt>
                <c:pt idx="80">
                  <c:v>36.786999999999999</c:v>
                </c:pt>
                <c:pt idx="81">
                  <c:v>41.564</c:v>
                </c:pt>
                <c:pt idx="82">
                  <c:v>40.971000000000004</c:v>
                </c:pt>
                <c:pt idx="83">
                  <c:v>37.500999999999998</c:v>
                </c:pt>
                <c:pt idx="84">
                  <c:v>40.496000000000002</c:v>
                </c:pt>
                <c:pt idx="85">
                  <c:v>39.975999999999999</c:v>
                </c:pt>
                <c:pt idx="86">
                  <c:v>31.091000000000001</c:v>
                </c:pt>
                <c:pt idx="87">
                  <c:v>25.670999999999999</c:v>
                </c:pt>
                <c:pt idx="88">
                  <c:v>7.2350000000000003</c:v>
                </c:pt>
                <c:pt idx="89">
                  <c:v>25.263999999999999</c:v>
                </c:pt>
                <c:pt idx="90">
                  <c:v>27.538</c:v>
                </c:pt>
                <c:pt idx="91">
                  <c:v>18.657</c:v>
                </c:pt>
                <c:pt idx="92">
                  <c:v>23.099</c:v>
                </c:pt>
                <c:pt idx="93">
                  <c:v>40.005000000000003</c:v>
                </c:pt>
                <c:pt idx="94">
                  <c:v>46.294000000000004</c:v>
                </c:pt>
                <c:pt idx="95">
                  <c:v>11.761000000000001</c:v>
                </c:pt>
                <c:pt idx="96">
                  <c:v>35.58</c:v>
                </c:pt>
                <c:pt idx="97">
                  <c:v>27.792999999999999</c:v>
                </c:pt>
                <c:pt idx="98">
                  <c:v>33.727000000000004</c:v>
                </c:pt>
                <c:pt idx="99">
                  <c:v>47.76</c:v>
                </c:pt>
                <c:pt idx="100">
                  <c:v>36.545000000000002</c:v>
                </c:pt>
                <c:pt idx="101">
                  <c:v>33.576000000000001</c:v>
                </c:pt>
                <c:pt idx="102">
                  <c:v>7.4</c:v>
                </c:pt>
                <c:pt idx="103">
                  <c:v>36.18</c:v>
                </c:pt>
                <c:pt idx="104">
                  <c:v>40.172000000000004</c:v>
                </c:pt>
                <c:pt idx="105">
                  <c:v>43.076999999999998</c:v>
                </c:pt>
                <c:pt idx="106">
                  <c:v>48.896000000000001</c:v>
                </c:pt>
                <c:pt idx="107">
                  <c:v>39.289000000000001</c:v>
                </c:pt>
                <c:pt idx="108">
                  <c:v>10.734999999999999</c:v>
                </c:pt>
                <c:pt idx="109">
                  <c:v>10.134</c:v>
                </c:pt>
                <c:pt idx="110">
                  <c:v>9.67</c:v>
                </c:pt>
                <c:pt idx="111">
                  <c:v>29.245000000000001</c:v>
                </c:pt>
                <c:pt idx="112">
                  <c:v>8.4589999999999996</c:v>
                </c:pt>
                <c:pt idx="113">
                  <c:v>36.160000000000004</c:v>
                </c:pt>
                <c:pt idx="114">
                  <c:v>45.116</c:v>
                </c:pt>
                <c:pt idx="115">
                  <c:v>50.033999999999999</c:v>
                </c:pt>
                <c:pt idx="116">
                  <c:v>35.692</c:v>
                </c:pt>
                <c:pt idx="117">
                  <c:v>21.865000000000002</c:v>
                </c:pt>
                <c:pt idx="118">
                  <c:v>41.082000000000001</c:v>
                </c:pt>
                <c:pt idx="119">
                  <c:v>42.902999999999999</c:v>
                </c:pt>
                <c:pt idx="120">
                  <c:v>42.316000000000003</c:v>
                </c:pt>
                <c:pt idx="121">
                  <c:v>25.867000000000001</c:v>
                </c:pt>
                <c:pt idx="122">
                  <c:v>30.568000000000001</c:v>
                </c:pt>
                <c:pt idx="123">
                  <c:v>0.77600000000000002</c:v>
                </c:pt>
                <c:pt idx="124">
                  <c:v>35.660000000000004</c:v>
                </c:pt>
                <c:pt idx="125">
                  <c:v>33.054000000000002</c:v>
                </c:pt>
                <c:pt idx="126">
                  <c:v>45.404000000000003</c:v>
                </c:pt>
                <c:pt idx="127">
                  <c:v>46.183999999999997</c:v>
                </c:pt>
                <c:pt idx="128">
                  <c:v>51.277999999999999</c:v>
                </c:pt>
                <c:pt idx="129">
                  <c:v>47.069000000000003</c:v>
                </c:pt>
                <c:pt idx="130">
                  <c:v>51.579000000000001</c:v>
                </c:pt>
                <c:pt idx="131">
                  <c:v>40.228000000000002</c:v>
                </c:pt>
                <c:pt idx="132">
                  <c:v>42.926000000000002</c:v>
                </c:pt>
                <c:pt idx="133">
                  <c:v>44.243000000000002</c:v>
                </c:pt>
                <c:pt idx="134">
                  <c:v>47.861000000000004</c:v>
                </c:pt>
                <c:pt idx="135">
                  <c:v>46.652000000000001</c:v>
                </c:pt>
                <c:pt idx="136">
                  <c:v>50.298000000000002</c:v>
                </c:pt>
                <c:pt idx="137">
                  <c:v>48.944000000000003</c:v>
                </c:pt>
                <c:pt idx="138">
                  <c:v>50.725999999999999</c:v>
                </c:pt>
                <c:pt idx="139">
                  <c:v>44.178000000000004</c:v>
                </c:pt>
                <c:pt idx="140">
                  <c:v>44.82</c:v>
                </c:pt>
                <c:pt idx="141">
                  <c:v>31.847999999999999</c:v>
                </c:pt>
                <c:pt idx="142">
                  <c:v>16.434999999999999</c:v>
                </c:pt>
                <c:pt idx="143">
                  <c:v>13.693</c:v>
                </c:pt>
                <c:pt idx="144">
                  <c:v>38.094000000000001</c:v>
                </c:pt>
                <c:pt idx="145">
                  <c:v>20.006</c:v>
                </c:pt>
                <c:pt idx="146">
                  <c:v>37.920999999999999</c:v>
                </c:pt>
                <c:pt idx="147">
                  <c:v>50.63</c:v>
                </c:pt>
                <c:pt idx="148">
                  <c:v>55.258000000000003</c:v>
                </c:pt>
                <c:pt idx="149">
                  <c:v>47.244</c:v>
                </c:pt>
                <c:pt idx="150">
                  <c:v>50.640999999999998</c:v>
                </c:pt>
                <c:pt idx="151">
                  <c:v>52.082000000000001</c:v>
                </c:pt>
                <c:pt idx="152">
                  <c:v>40.902999999999999</c:v>
                </c:pt>
                <c:pt idx="153">
                  <c:v>49.57</c:v>
                </c:pt>
                <c:pt idx="154">
                  <c:v>28.148</c:v>
                </c:pt>
                <c:pt idx="155">
                  <c:v>29.403000000000002</c:v>
                </c:pt>
                <c:pt idx="156">
                  <c:v>39.231000000000002</c:v>
                </c:pt>
                <c:pt idx="157">
                  <c:v>29.524000000000001</c:v>
                </c:pt>
                <c:pt idx="158">
                  <c:v>20.77</c:v>
                </c:pt>
                <c:pt idx="159">
                  <c:v>41.311999999999998</c:v>
                </c:pt>
                <c:pt idx="160">
                  <c:v>54.264000000000003</c:v>
                </c:pt>
                <c:pt idx="161">
                  <c:v>50.908999999999999</c:v>
                </c:pt>
                <c:pt idx="162">
                  <c:v>40.176000000000002</c:v>
                </c:pt>
                <c:pt idx="163">
                  <c:v>49.356999999999999</c:v>
                </c:pt>
                <c:pt idx="164">
                  <c:v>42.39</c:v>
                </c:pt>
                <c:pt idx="165">
                  <c:v>50.067999999999998</c:v>
                </c:pt>
                <c:pt idx="166">
                  <c:v>46.478999999999999</c:v>
                </c:pt>
                <c:pt idx="167">
                  <c:v>47.948999999999998</c:v>
                </c:pt>
                <c:pt idx="168">
                  <c:v>49.847000000000001</c:v>
                </c:pt>
                <c:pt idx="169">
                  <c:v>51.084000000000003</c:v>
                </c:pt>
                <c:pt idx="170">
                  <c:v>30.336000000000002</c:v>
                </c:pt>
                <c:pt idx="171">
                  <c:v>18.010999999999999</c:v>
                </c:pt>
                <c:pt idx="172">
                  <c:v>43.499000000000002</c:v>
                </c:pt>
                <c:pt idx="173">
                  <c:v>38.550000000000004</c:v>
                </c:pt>
                <c:pt idx="174">
                  <c:v>40.767000000000003</c:v>
                </c:pt>
                <c:pt idx="175">
                  <c:v>28.555</c:v>
                </c:pt>
                <c:pt idx="176">
                  <c:v>10.912000000000001</c:v>
                </c:pt>
                <c:pt idx="177">
                  <c:v>16.202000000000002</c:v>
                </c:pt>
                <c:pt idx="178">
                  <c:v>55.283000000000001</c:v>
                </c:pt>
                <c:pt idx="179">
                  <c:v>51.337000000000003</c:v>
                </c:pt>
                <c:pt idx="180">
                  <c:v>12.435</c:v>
                </c:pt>
                <c:pt idx="181">
                  <c:v>50.725999999999999</c:v>
                </c:pt>
                <c:pt idx="182">
                  <c:v>47.237000000000002</c:v>
                </c:pt>
                <c:pt idx="183">
                  <c:v>39.971000000000004</c:v>
                </c:pt>
                <c:pt idx="184">
                  <c:v>41.944000000000003</c:v>
                </c:pt>
                <c:pt idx="185">
                  <c:v>50.567</c:v>
                </c:pt>
                <c:pt idx="186">
                  <c:v>39.177999999999997</c:v>
                </c:pt>
                <c:pt idx="187">
                  <c:v>48.654000000000003</c:v>
                </c:pt>
                <c:pt idx="188">
                  <c:v>53.4</c:v>
                </c:pt>
                <c:pt idx="189">
                  <c:v>52.456000000000003</c:v>
                </c:pt>
                <c:pt idx="190">
                  <c:v>51.931000000000004</c:v>
                </c:pt>
                <c:pt idx="191">
                  <c:v>50.145000000000003</c:v>
                </c:pt>
                <c:pt idx="192">
                  <c:v>50.247999999999998</c:v>
                </c:pt>
                <c:pt idx="193">
                  <c:v>49.942</c:v>
                </c:pt>
                <c:pt idx="194">
                  <c:v>49.314</c:v>
                </c:pt>
                <c:pt idx="195">
                  <c:v>47.65</c:v>
                </c:pt>
                <c:pt idx="196">
                  <c:v>49.075000000000003</c:v>
                </c:pt>
                <c:pt idx="197">
                  <c:v>48.241</c:v>
                </c:pt>
                <c:pt idx="198">
                  <c:v>48.506</c:v>
                </c:pt>
                <c:pt idx="199">
                  <c:v>39.231999999999999</c:v>
                </c:pt>
                <c:pt idx="200">
                  <c:v>37.633000000000003</c:v>
                </c:pt>
                <c:pt idx="201">
                  <c:v>47.606000000000002</c:v>
                </c:pt>
                <c:pt idx="202">
                  <c:v>35.859000000000002</c:v>
                </c:pt>
                <c:pt idx="203">
                  <c:v>44.782000000000004</c:v>
                </c:pt>
                <c:pt idx="204">
                  <c:v>47.195</c:v>
                </c:pt>
                <c:pt idx="205">
                  <c:v>28.515000000000001</c:v>
                </c:pt>
                <c:pt idx="206">
                  <c:v>48.259</c:v>
                </c:pt>
                <c:pt idx="207">
                  <c:v>50.792999999999999</c:v>
                </c:pt>
                <c:pt idx="208">
                  <c:v>43.308999999999997</c:v>
                </c:pt>
                <c:pt idx="209">
                  <c:v>25.097000000000001</c:v>
                </c:pt>
                <c:pt idx="210">
                  <c:v>42.59</c:v>
                </c:pt>
                <c:pt idx="211">
                  <c:v>47.018000000000001</c:v>
                </c:pt>
                <c:pt idx="212">
                  <c:v>48.814999999999998</c:v>
                </c:pt>
                <c:pt idx="213">
                  <c:v>47.084000000000003</c:v>
                </c:pt>
                <c:pt idx="214">
                  <c:v>45.349000000000004</c:v>
                </c:pt>
                <c:pt idx="215">
                  <c:v>42.122999999999998</c:v>
                </c:pt>
                <c:pt idx="216">
                  <c:v>41.227000000000004</c:v>
                </c:pt>
                <c:pt idx="217">
                  <c:v>43.703000000000003</c:v>
                </c:pt>
                <c:pt idx="218">
                  <c:v>46.533000000000001</c:v>
                </c:pt>
                <c:pt idx="219">
                  <c:v>47.182000000000002</c:v>
                </c:pt>
                <c:pt idx="220">
                  <c:v>45.375</c:v>
                </c:pt>
                <c:pt idx="221">
                  <c:v>43.692</c:v>
                </c:pt>
                <c:pt idx="222">
                  <c:v>39.579000000000001</c:v>
                </c:pt>
                <c:pt idx="223">
                  <c:v>42.08</c:v>
                </c:pt>
                <c:pt idx="224">
                  <c:v>28.382000000000001</c:v>
                </c:pt>
                <c:pt idx="225">
                  <c:v>30.538</c:v>
                </c:pt>
                <c:pt idx="226">
                  <c:v>35.814999999999998</c:v>
                </c:pt>
                <c:pt idx="227">
                  <c:v>28.574000000000002</c:v>
                </c:pt>
                <c:pt idx="228">
                  <c:v>20.706</c:v>
                </c:pt>
                <c:pt idx="229">
                  <c:v>34.908999999999999</c:v>
                </c:pt>
                <c:pt idx="230">
                  <c:v>36.142000000000003</c:v>
                </c:pt>
                <c:pt idx="231">
                  <c:v>42.597000000000001</c:v>
                </c:pt>
                <c:pt idx="232">
                  <c:v>27.969000000000001</c:v>
                </c:pt>
                <c:pt idx="233">
                  <c:v>22.432000000000002</c:v>
                </c:pt>
                <c:pt idx="234">
                  <c:v>39.762999999999998</c:v>
                </c:pt>
                <c:pt idx="235">
                  <c:v>40.149000000000001</c:v>
                </c:pt>
                <c:pt idx="236">
                  <c:v>30.59</c:v>
                </c:pt>
                <c:pt idx="237">
                  <c:v>37.052</c:v>
                </c:pt>
                <c:pt idx="238">
                  <c:v>43.109000000000002</c:v>
                </c:pt>
                <c:pt idx="239">
                  <c:v>41.576000000000001</c:v>
                </c:pt>
                <c:pt idx="240">
                  <c:v>29.215</c:v>
                </c:pt>
                <c:pt idx="241">
                  <c:v>40.679000000000002</c:v>
                </c:pt>
                <c:pt idx="242">
                  <c:v>19.103000000000002</c:v>
                </c:pt>
                <c:pt idx="243">
                  <c:v>38.491999999999997</c:v>
                </c:pt>
                <c:pt idx="244">
                  <c:v>33.459000000000003</c:v>
                </c:pt>
                <c:pt idx="245">
                  <c:v>27.536999999999999</c:v>
                </c:pt>
                <c:pt idx="246">
                  <c:v>40.078000000000003</c:v>
                </c:pt>
                <c:pt idx="247">
                  <c:v>34.605000000000004</c:v>
                </c:pt>
                <c:pt idx="248">
                  <c:v>38.82</c:v>
                </c:pt>
                <c:pt idx="249">
                  <c:v>31.304000000000002</c:v>
                </c:pt>
                <c:pt idx="250">
                  <c:v>33.694000000000003</c:v>
                </c:pt>
                <c:pt idx="251">
                  <c:v>19.161999999999999</c:v>
                </c:pt>
                <c:pt idx="252">
                  <c:v>37.688000000000002</c:v>
                </c:pt>
                <c:pt idx="253">
                  <c:v>37.550000000000004</c:v>
                </c:pt>
                <c:pt idx="254">
                  <c:v>26.103999999999999</c:v>
                </c:pt>
                <c:pt idx="255">
                  <c:v>10.839</c:v>
                </c:pt>
                <c:pt idx="256">
                  <c:v>31.693999999999999</c:v>
                </c:pt>
                <c:pt idx="257">
                  <c:v>34.590000000000003</c:v>
                </c:pt>
                <c:pt idx="258">
                  <c:v>23.876999999999999</c:v>
                </c:pt>
                <c:pt idx="259">
                  <c:v>37.487000000000002</c:v>
                </c:pt>
                <c:pt idx="260">
                  <c:v>37.786000000000001</c:v>
                </c:pt>
                <c:pt idx="261">
                  <c:v>36.234999999999999</c:v>
                </c:pt>
                <c:pt idx="262">
                  <c:v>37.151000000000003</c:v>
                </c:pt>
                <c:pt idx="263">
                  <c:v>36.085000000000001</c:v>
                </c:pt>
                <c:pt idx="264">
                  <c:v>34.875999999999998</c:v>
                </c:pt>
                <c:pt idx="265">
                  <c:v>22.462</c:v>
                </c:pt>
                <c:pt idx="266">
                  <c:v>15.074</c:v>
                </c:pt>
                <c:pt idx="267">
                  <c:v>25.178000000000001</c:v>
                </c:pt>
                <c:pt idx="268">
                  <c:v>27.033999999999999</c:v>
                </c:pt>
                <c:pt idx="269">
                  <c:v>13.207000000000001</c:v>
                </c:pt>
                <c:pt idx="270">
                  <c:v>15.538</c:v>
                </c:pt>
                <c:pt idx="271">
                  <c:v>20.772000000000002</c:v>
                </c:pt>
                <c:pt idx="272">
                  <c:v>23.993000000000002</c:v>
                </c:pt>
                <c:pt idx="273">
                  <c:v>28.869</c:v>
                </c:pt>
                <c:pt idx="274">
                  <c:v>30.493000000000002</c:v>
                </c:pt>
                <c:pt idx="275">
                  <c:v>28.765000000000001</c:v>
                </c:pt>
                <c:pt idx="276">
                  <c:v>30.751000000000001</c:v>
                </c:pt>
                <c:pt idx="277">
                  <c:v>31.05</c:v>
                </c:pt>
                <c:pt idx="278">
                  <c:v>13.339</c:v>
                </c:pt>
                <c:pt idx="279">
                  <c:v>22.899000000000001</c:v>
                </c:pt>
                <c:pt idx="280">
                  <c:v>14.02</c:v>
                </c:pt>
                <c:pt idx="281">
                  <c:v>28.311</c:v>
                </c:pt>
                <c:pt idx="282">
                  <c:v>24.173999999999999</c:v>
                </c:pt>
                <c:pt idx="283">
                  <c:v>20.891000000000002</c:v>
                </c:pt>
                <c:pt idx="284">
                  <c:v>22.529</c:v>
                </c:pt>
                <c:pt idx="285">
                  <c:v>18.576000000000001</c:v>
                </c:pt>
                <c:pt idx="286">
                  <c:v>15.584</c:v>
                </c:pt>
                <c:pt idx="287">
                  <c:v>26.393000000000001</c:v>
                </c:pt>
                <c:pt idx="288">
                  <c:v>24.541</c:v>
                </c:pt>
                <c:pt idx="289">
                  <c:v>15.634</c:v>
                </c:pt>
                <c:pt idx="290">
                  <c:v>24.43</c:v>
                </c:pt>
                <c:pt idx="291">
                  <c:v>13.204000000000001</c:v>
                </c:pt>
                <c:pt idx="292">
                  <c:v>8.3460000000000001</c:v>
                </c:pt>
                <c:pt idx="293">
                  <c:v>14.589</c:v>
                </c:pt>
                <c:pt idx="294">
                  <c:v>25.846</c:v>
                </c:pt>
                <c:pt idx="295">
                  <c:v>17.457000000000001</c:v>
                </c:pt>
                <c:pt idx="296">
                  <c:v>20.626000000000001</c:v>
                </c:pt>
                <c:pt idx="297">
                  <c:v>19.053000000000001</c:v>
                </c:pt>
                <c:pt idx="298">
                  <c:v>15.084</c:v>
                </c:pt>
                <c:pt idx="299">
                  <c:v>12.048</c:v>
                </c:pt>
                <c:pt idx="300">
                  <c:v>16.384</c:v>
                </c:pt>
                <c:pt idx="301">
                  <c:v>20.785</c:v>
                </c:pt>
                <c:pt idx="302">
                  <c:v>17.899000000000001</c:v>
                </c:pt>
                <c:pt idx="303">
                  <c:v>17.417999999999999</c:v>
                </c:pt>
                <c:pt idx="304">
                  <c:v>16.423999999999999</c:v>
                </c:pt>
                <c:pt idx="305">
                  <c:v>22.218</c:v>
                </c:pt>
                <c:pt idx="306">
                  <c:v>5.8420000000000005</c:v>
                </c:pt>
                <c:pt idx="307">
                  <c:v>12.067</c:v>
                </c:pt>
                <c:pt idx="308">
                  <c:v>21.105</c:v>
                </c:pt>
                <c:pt idx="309">
                  <c:v>21.13</c:v>
                </c:pt>
                <c:pt idx="310">
                  <c:v>20.961000000000002</c:v>
                </c:pt>
                <c:pt idx="311">
                  <c:v>13.845000000000001</c:v>
                </c:pt>
                <c:pt idx="312">
                  <c:v>8.18</c:v>
                </c:pt>
                <c:pt idx="313">
                  <c:v>18.385000000000002</c:v>
                </c:pt>
                <c:pt idx="314">
                  <c:v>18.93</c:v>
                </c:pt>
                <c:pt idx="315">
                  <c:v>18.772000000000002</c:v>
                </c:pt>
                <c:pt idx="316">
                  <c:v>16.641000000000002</c:v>
                </c:pt>
                <c:pt idx="317">
                  <c:v>9.5980000000000008</c:v>
                </c:pt>
                <c:pt idx="318">
                  <c:v>11.686</c:v>
                </c:pt>
                <c:pt idx="319">
                  <c:v>18.298999999999999</c:v>
                </c:pt>
                <c:pt idx="320">
                  <c:v>12.005000000000001</c:v>
                </c:pt>
                <c:pt idx="321">
                  <c:v>11.348000000000001</c:v>
                </c:pt>
                <c:pt idx="322">
                  <c:v>8.3409999999999993</c:v>
                </c:pt>
                <c:pt idx="323">
                  <c:v>13.629</c:v>
                </c:pt>
                <c:pt idx="324">
                  <c:v>3.2509999999999999</c:v>
                </c:pt>
                <c:pt idx="325">
                  <c:v>8.6059999999999999</c:v>
                </c:pt>
                <c:pt idx="326">
                  <c:v>12.782999999999999</c:v>
                </c:pt>
                <c:pt idx="327">
                  <c:v>11.544</c:v>
                </c:pt>
                <c:pt idx="328">
                  <c:v>4.7309999999999999</c:v>
                </c:pt>
                <c:pt idx="329">
                  <c:v>10.143000000000001</c:v>
                </c:pt>
                <c:pt idx="330">
                  <c:v>12.02</c:v>
                </c:pt>
                <c:pt idx="331">
                  <c:v>9.463000000000001</c:v>
                </c:pt>
                <c:pt idx="332">
                  <c:v>10.695</c:v>
                </c:pt>
                <c:pt idx="333">
                  <c:v>4.3369999999999997</c:v>
                </c:pt>
                <c:pt idx="334">
                  <c:v>3.7480000000000002</c:v>
                </c:pt>
                <c:pt idx="335">
                  <c:v>5.1660000000000004</c:v>
                </c:pt>
                <c:pt idx="336">
                  <c:v>8.1020000000000003</c:v>
                </c:pt>
                <c:pt idx="337">
                  <c:v>13.736000000000001</c:v>
                </c:pt>
                <c:pt idx="338">
                  <c:v>16.091000000000001</c:v>
                </c:pt>
                <c:pt idx="339">
                  <c:v>11.532999999999999</c:v>
                </c:pt>
                <c:pt idx="340">
                  <c:v>14.173999999999999</c:v>
                </c:pt>
                <c:pt idx="341">
                  <c:v>4.2270000000000003</c:v>
                </c:pt>
                <c:pt idx="342">
                  <c:v>8.0500000000000007</c:v>
                </c:pt>
                <c:pt idx="343">
                  <c:v>11.782</c:v>
                </c:pt>
                <c:pt idx="344">
                  <c:v>12.332000000000001</c:v>
                </c:pt>
                <c:pt idx="345">
                  <c:v>4.28</c:v>
                </c:pt>
                <c:pt idx="346">
                  <c:v>5.149</c:v>
                </c:pt>
                <c:pt idx="347">
                  <c:v>12.117000000000001</c:v>
                </c:pt>
                <c:pt idx="348">
                  <c:v>5.9379999999999997</c:v>
                </c:pt>
                <c:pt idx="349">
                  <c:v>5.2410000000000005</c:v>
                </c:pt>
                <c:pt idx="350">
                  <c:v>3.2469999999999999</c:v>
                </c:pt>
                <c:pt idx="351">
                  <c:v>12.638</c:v>
                </c:pt>
                <c:pt idx="352">
                  <c:v>12.391999999999999</c:v>
                </c:pt>
                <c:pt idx="353">
                  <c:v>3.9380000000000002</c:v>
                </c:pt>
                <c:pt idx="354">
                  <c:v>14.356</c:v>
                </c:pt>
                <c:pt idx="355">
                  <c:v>12.734</c:v>
                </c:pt>
                <c:pt idx="356">
                  <c:v>13.343</c:v>
                </c:pt>
                <c:pt idx="357">
                  <c:v>15.194000000000001</c:v>
                </c:pt>
                <c:pt idx="358">
                  <c:v>8.59</c:v>
                </c:pt>
                <c:pt idx="359">
                  <c:v>13.361000000000001</c:v>
                </c:pt>
                <c:pt idx="360">
                  <c:v>6.367</c:v>
                </c:pt>
                <c:pt idx="361">
                  <c:v>14.171000000000001</c:v>
                </c:pt>
                <c:pt idx="362">
                  <c:v>9.5250000000000004</c:v>
                </c:pt>
                <c:pt idx="363">
                  <c:v>12.11</c:v>
                </c:pt>
                <c:pt idx="364">
                  <c:v>9.4570000000000007</c:v>
                </c:pt>
                <c:pt idx="365">
                  <c:v>3.6450000000000005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1481944"/>
        <c:axId val="551484688"/>
      </c:lineChart>
      <c:dateAx>
        <c:axId val="551481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1484688"/>
        <c:crosses val="autoZero"/>
        <c:auto val="1"/>
        <c:lblOffset val="100"/>
        <c:baseTimeUnit val="days"/>
        <c:majorUnit val="1"/>
        <c:majorTimeUnit val="months"/>
      </c:dateAx>
      <c:valAx>
        <c:axId val="5514846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514819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2219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22198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22199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515216" y="1095374"/>
            <a:ext cx="5364511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80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4735080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5081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4738562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856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4738869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8869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27</xdr:row>
      <xdr:rowOff>87000</xdr:rowOff>
    </xdr:to>
    <xdr:graphicFrame macro="">
      <xdr:nvGraphicFramePr>
        <xdr:cNvPr id="47357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57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13</xdr:row>
      <xdr:rowOff>190500</xdr:rowOff>
    </xdr:from>
    <xdr:to>
      <xdr:col>32</xdr:col>
      <xdr:colOff>114300</xdr:colOff>
      <xdr:row>44</xdr:row>
      <xdr:rowOff>142875</xdr:rowOff>
    </xdr:to>
    <xdr:grpSp>
      <xdr:nvGrpSpPr>
        <xdr:cNvPr id="42869231" name="Groupe 1"/>
        <xdr:cNvGrpSpPr>
          <a:grpSpLocks/>
        </xdr:cNvGrpSpPr>
      </xdr:nvGrpSpPr>
      <xdr:grpSpPr bwMode="auto">
        <a:xfrm>
          <a:off x="9201150" y="2724150"/>
          <a:ext cx="8639175" cy="5038725"/>
          <a:chOff x="12715662" y="8254361"/>
          <a:chExt cx="8021762" cy="4954782"/>
        </a:xfrm>
      </xdr:grpSpPr>
      <xdr:pic>
        <xdr:nvPicPr>
          <xdr:cNvPr id="42869232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2869233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49085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49085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68</xdr:col>
      <xdr:colOff>647700</xdr:colOff>
      <xdr:row>2</xdr:row>
      <xdr:rowOff>133350</xdr:rowOff>
    </xdr:from>
    <xdr:to>
      <xdr:col>72</xdr:col>
      <xdr:colOff>561975</xdr:colOff>
      <xdr:row>10</xdr:row>
      <xdr:rowOff>142875</xdr:rowOff>
    </xdr:to>
    <xdr:graphicFrame macro="">
      <xdr:nvGraphicFramePr>
        <xdr:cNvPr id="4349085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49085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52</xdr:col>
      <xdr:colOff>19050</xdr:colOff>
      <xdr:row>58</xdr:row>
      <xdr:rowOff>39375</xdr:rowOff>
    </xdr:to>
    <xdr:grpSp>
      <xdr:nvGrpSpPr>
        <xdr:cNvPr id="2" name="Groupe 1"/>
        <xdr:cNvGrpSpPr/>
      </xdr:nvGrpSpPr>
      <xdr:grpSpPr>
        <a:xfrm>
          <a:off x="0" y="4467225"/>
          <a:ext cx="17630775" cy="5040000"/>
          <a:chOff x="0" y="4467225"/>
          <a:chExt cx="17630775" cy="5040000"/>
        </a:xfrm>
      </xdr:grpSpPr>
      <xdr:graphicFrame macro="">
        <xdr:nvGraphicFramePr>
          <xdr:cNvPr id="8" name="Graphique 1"/>
          <xdr:cNvGraphicFramePr>
            <a:graphicFrameLocks/>
          </xdr:cNvGraphicFramePr>
        </xdr:nvGraphicFramePr>
        <xdr:xfrm>
          <a:off x="862965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7" name="Graphique 1"/>
          <xdr:cNvGraphicFramePr>
            <a:graphicFrameLocks/>
          </xdr:cNvGraphicFramePr>
        </xdr:nvGraphicFramePr>
        <xdr:xfrm>
          <a:off x="0" y="4467225"/>
          <a:ext cx="9001125" cy="5040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683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687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688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4653987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4653987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390525</xdr:colOff>
      <xdr:row>367</xdr:row>
      <xdr:rowOff>19050</xdr:rowOff>
    </xdr:from>
    <xdr:to>
      <xdr:col>46</xdr:col>
      <xdr:colOff>609600</xdr:colOff>
      <xdr:row>382</xdr:row>
      <xdr:rowOff>76200</xdr:rowOff>
    </xdr:to>
    <xdr:graphicFrame macro="">
      <xdr:nvGraphicFramePr>
        <xdr:cNvPr id="427267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28</xdr:row>
      <xdr:rowOff>47625</xdr:rowOff>
    </xdr:to>
    <xdr:graphicFrame macro="">
      <xdr:nvGraphicFramePr>
        <xdr:cNvPr id="4272672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5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5405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5405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84142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406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ug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Sep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Oct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Nov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De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a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Fev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r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Avr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Ma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n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PICEA%20Ju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ttoyages"/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/>
      <sheetData sheetId="4">
        <row r="4">
          <cell r="M4">
            <v>1</v>
          </cell>
          <cell r="N4">
            <v>7</v>
          </cell>
        </row>
      </sheetData>
      <sheetData sheetId="5"/>
      <sheetData sheetId="6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208">
          <cell r="B208">
            <v>30000</v>
          </cell>
        </row>
        <row r="209">
          <cell r="B209">
            <v>29000</v>
          </cell>
        </row>
        <row r="210">
          <cell r="B210">
            <v>28000</v>
          </cell>
        </row>
        <row r="211">
          <cell r="B211">
            <v>27000</v>
          </cell>
        </row>
        <row r="212">
          <cell r="B212">
            <v>26000</v>
          </cell>
        </row>
        <row r="213">
          <cell r="B213">
            <v>25000</v>
          </cell>
        </row>
        <row r="214">
          <cell r="B214">
            <v>24000</v>
          </cell>
        </row>
        <row r="215">
          <cell r="B215">
            <v>23000</v>
          </cell>
        </row>
        <row r="216">
          <cell r="B216">
            <v>22000</v>
          </cell>
        </row>
        <row r="217">
          <cell r="B217">
            <v>21000</v>
          </cell>
        </row>
        <row r="218">
          <cell r="B218">
            <v>20000</v>
          </cell>
        </row>
        <row r="219">
          <cell r="B219">
            <v>19000</v>
          </cell>
        </row>
        <row r="220">
          <cell r="B220">
            <v>18000</v>
          </cell>
        </row>
        <row r="221">
          <cell r="B221">
            <v>17000</v>
          </cell>
        </row>
        <row r="222">
          <cell r="B222">
            <v>16000</v>
          </cell>
        </row>
        <row r="223">
          <cell r="B223">
            <v>15000</v>
          </cell>
        </row>
        <row r="224">
          <cell r="B224">
            <v>14000</v>
          </cell>
        </row>
        <row r="225">
          <cell r="B225">
            <v>13000</v>
          </cell>
        </row>
        <row r="226">
          <cell r="B226">
            <v>12000</v>
          </cell>
        </row>
        <row r="227">
          <cell r="B227">
            <v>11000</v>
          </cell>
        </row>
        <row r="228">
          <cell r="B228">
            <v>10000</v>
          </cell>
        </row>
        <row r="229">
          <cell r="B229">
            <v>9000</v>
          </cell>
        </row>
        <row r="230">
          <cell r="B230">
            <v>8000</v>
          </cell>
        </row>
        <row r="231">
          <cell r="B231">
            <v>7000</v>
          </cell>
        </row>
        <row r="232">
          <cell r="B232">
            <v>6000</v>
          </cell>
        </row>
        <row r="233">
          <cell r="B233">
            <v>5000</v>
          </cell>
        </row>
        <row r="234">
          <cell r="B234">
            <v>4000</v>
          </cell>
        </row>
        <row r="235">
          <cell r="B235">
            <v>3000</v>
          </cell>
        </row>
        <row r="236">
          <cell r="B236">
            <v>2000</v>
          </cell>
        </row>
        <row r="237">
          <cell r="B237">
            <v>1000</v>
          </cell>
        </row>
        <row r="238">
          <cell r="B238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202">
          <cell r="B202">
            <v>0</v>
          </cell>
        </row>
        <row r="203">
          <cell r="B203">
            <v>1000</v>
          </cell>
        </row>
        <row r="204">
          <cell r="B204">
            <v>2000</v>
          </cell>
        </row>
        <row r="205">
          <cell r="B205">
            <v>3000</v>
          </cell>
        </row>
        <row r="206">
          <cell r="B206">
            <v>4000</v>
          </cell>
        </row>
        <row r="207">
          <cell r="B207">
            <v>5000</v>
          </cell>
        </row>
        <row r="208">
          <cell r="B208">
            <v>6000</v>
          </cell>
        </row>
        <row r="209">
          <cell r="B209">
            <v>7000</v>
          </cell>
        </row>
        <row r="210">
          <cell r="B210">
            <v>8000</v>
          </cell>
        </row>
        <row r="211">
          <cell r="B211">
            <v>9000</v>
          </cell>
        </row>
        <row r="212">
          <cell r="B212">
            <v>10000</v>
          </cell>
        </row>
        <row r="213">
          <cell r="B213">
            <v>11000</v>
          </cell>
        </row>
        <row r="214">
          <cell r="B214">
            <v>12000</v>
          </cell>
        </row>
        <row r="215">
          <cell r="B215">
            <v>13000</v>
          </cell>
        </row>
        <row r="216">
          <cell r="B216">
            <v>14000</v>
          </cell>
        </row>
        <row r="217">
          <cell r="B217">
            <v>15000</v>
          </cell>
        </row>
        <row r="218">
          <cell r="B218">
            <v>16000</v>
          </cell>
        </row>
        <row r="219">
          <cell r="B219">
            <v>17000</v>
          </cell>
        </row>
        <row r="220">
          <cell r="B220">
            <v>18000</v>
          </cell>
        </row>
        <row r="221">
          <cell r="B221">
            <v>19000</v>
          </cell>
        </row>
        <row r="222">
          <cell r="B222">
            <v>20000</v>
          </cell>
        </row>
        <row r="223">
          <cell r="B223">
            <v>21000</v>
          </cell>
        </row>
        <row r="224">
          <cell r="B224">
            <v>22000</v>
          </cell>
        </row>
        <row r="225">
          <cell r="B225">
            <v>23000</v>
          </cell>
        </row>
        <row r="226">
          <cell r="B226">
            <v>24000</v>
          </cell>
        </row>
        <row r="227">
          <cell r="B227">
            <v>25000</v>
          </cell>
        </row>
        <row r="228">
          <cell r="B228">
            <v>26000</v>
          </cell>
        </row>
        <row r="229">
          <cell r="B229">
            <v>27000</v>
          </cell>
        </row>
        <row r="230">
          <cell r="B230">
            <v>28000</v>
          </cell>
        </row>
        <row r="231">
          <cell r="B231">
            <v>29000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1)"/>
    </sheetNames>
    <sheetDataSet>
      <sheetData sheetId="0">
        <row r="4">
          <cell r="B4">
            <v>20000</v>
          </cell>
        </row>
        <row r="208">
          <cell r="B208">
            <v>30000</v>
          </cell>
        </row>
        <row r="209">
          <cell r="B209">
            <v>29000</v>
          </cell>
        </row>
        <row r="210">
          <cell r="B210">
            <v>28000</v>
          </cell>
        </row>
        <row r="211">
          <cell r="B211">
            <v>27000</v>
          </cell>
        </row>
        <row r="212">
          <cell r="B212">
            <v>26000</v>
          </cell>
        </row>
        <row r="213">
          <cell r="B213">
            <v>25000</v>
          </cell>
        </row>
        <row r="214">
          <cell r="B214">
            <v>24000</v>
          </cell>
        </row>
        <row r="215">
          <cell r="B215">
            <v>23000</v>
          </cell>
        </row>
        <row r="216">
          <cell r="B216">
            <v>22000</v>
          </cell>
        </row>
        <row r="217">
          <cell r="B217">
            <v>21000</v>
          </cell>
        </row>
        <row r="218">
          <cell r="B218">
            <v>20000</v>
          </cell>
        </row>
        <row r="219">
          <cell r="B219">
            <v>19000</v>
          </cell>
        </row>
        <row r="220">
          <cell r="B220">
            <v>18000</v>
          </cell>
        </row>
        <row r="221">
          <cell r="B221">
            <v>17000</v>
          </cell>
        </row>
        <row r="222">
          <cell r="B222">
            <v>16000</v>
          </cell>
        </row>
        <row r="223">
          <cell r="B223">
            <v>15000</v>
          </cell>
        </row>
        <row r="224">
          <cell r="B224">
            <v>14000</v>
          </cell>
        </row>
        <row r="225">
          <cell r="B225">
            <v>13000</v>
          </cell>
        </row>
        <row r="226">
          <cell r="B226">
            <v>12000</v>
          </cell>
        </row>
        <row r="227">
          <cell r="B227">
            <v>11000</v>
          </cell>
        </row>
        <row r="228">
          <cell r="B228">
            <v>10000</v>
          </cell>
        </row>
        <row r="229">
          <cell r="B229">
            <v>9000</v>
          </cell>
        </row>
        <row r="230">
          <cell r="B230">
            <v>8000</v>
          </cell>
        </row>
        <row r="231">
          <cell r="B231">
            <v>7000</v>
          </cell>
        </row>
        <row r="232">
          <cell r="B232">
            <v>6000</v>
          </cell>
        </row>
        <row r="233">
          <cell r="B233">
            <v>5000</v>
          </cell>
        </row>
        <row r="234">
          <cell r="B234">
            <v>4000</v>
          </cell>
        </row>
        <row r="235">
          <cell r="B235">
            <v>3000</v>
          </cell>
        </row>
        <row r="236">
          <cell r="B236">
            <v>2000</v>
          </cell>
        </row>
        <row r="237">
          <cell r="B237">
            <v>1000</v>
          </cell>
        </row>
        <row r="238">
          <cell r="B23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3)"/>
    </sheetNames>
    <sheetDataSet>
      <sheetData sheetId="0">
        <row r="4">
          <cell r="B4">
            <v>0</v>
          </cell>
        </row>
        <row r="202">
          <cell r="B202">
            <v>0</v>
          </cell>
        </row>
        <row r="203">
          <cell r="B203">
            <v>1000</v>
          </cell>
        </row>
        <row r="204">
          <cell r="B204">
            <v>2000</v>
          </cell>
        </row>
        <row r="205">
          <cell r="B205">
            <v>3000</v>
          </cell>
        </row>
        <row r="206">
          <cell r="B206">
            <v>4000</v>
          </cell>
        </row>
        <row r="207">
          <cell r="B207">
            <v>5000</v>
          </cell>
        </row>
        <row r="208">
          <cell r="B208">
            <v>6000</v>
          </cell>
        </row>
        <row r="209">
          <cell r="B209">
            <v>7000</v>
          </cell>
        </row>
        <row r="210">
          <cell r="B210">
            <v>8000</v>
          </cell>
        </row>
        <row r="211">
          <cell r="B211">
            <v>9000</v>
          </cell>
        </row>
        <row r="212">
          <cell r="B212">
            <v>10000</v>
          </cell>
        </row>
        <row r="213">
          <cell r="B213">
            <v>11000</v>
          </cell>
        </row>
        <row r="214">
          <cell r="B214">
            <v>12000</v>
          </cell>
        </row>
        <row r="215">
          <cell r="B215">
            <v>13000</v>
          </cell>
        </row>
        <row r="216">
          <cell r="B216">
            <v>14000</v>
          </cell>
        </row>
        <row r="217">
          <cell r="B217">
            <v>15000</v>
          </cell>
        </row>
        <row r="218">
          <cell r="B218">
            <v>16000</v>
          </cell>
        </row>
        <row r="219">
          <cell r="B219">
            <v>17000</v>
          </cell>
        </row>
        <row r="220">
          <cell r="B220">
            <v>18000</v>
          </cell>
        </row>
        <row r="221">
          <cell r="B221">
            <v>19000</v>
          </cell>
        </row>
        <row r="222">
          <cell r="B222">
            <v>20000</v>
          </cell>
        </row>
        <row r="223">
          <cell r="B223">
            <v>21000</v>
          </cell>
        </row>
        <row r="224">
          <cell r="B224">
            <v>22000</v>
          </cell>
        </row>
        <row r="225">
          <cell r="B225">
            <v>23000</v>
          </cell>
        </row>
        <row r="226">
          <cell r="B226">
            <v>24000</v>
          </cell>
        </row>
        <row r="227">
          <cell r="B227">
            <v>25000</v>
          </cell>
        </row>
        <row r="228">
          <cell r="B228">
            <v>26000</v>
          </cell>
        </row>
        <row r="229">
          <cell r="B229">
            <v>27000</v>
          </cell>
        </row>
        <row r="230">
          <cell r="B230">
            <v>28000</v>
          </cell>
        </row>
        <row r="231">
          <cell r="B231">
            <v>29000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20000</v>
          </cell>
        </row>
        <row r="208">
          <cell r="B208">
            <v>30000</v>
          </cell>
        </row>
        <row r="209">
          <cell r="B209">
            <v>29000</v>
          </cell>
        </row>
        <row r="210">
          <cell r="B210">
            <v>28000</v>
          </cell>
        </row>
        <row r="211">
          <cell r="B211">
            <v>27000</v>
          </cell>
        </row>
        <row r="212">
          <cell r="B212">
            <v>26000</v>
          </cell>
        </row>
        <row r="213">
          <cell r="B213">
            <v>25000</v>
          </cell>
        </row>
        <row r="214">
          <cell r="B214">
            <v>24000</v>
          </cell>
        </row>
        <row r="215">
          <cell r="B215">
            <v>23000</v>
          </cell>
        </row>
        <row r="216">
          <cell r="B216">
            <v>22000</v>
          </cell>
        </row>
        <row r="217">
          <cell r="B217">
            <v>21000</v>
          </cell>
        </row>
        <row r="218">
          <cell r="B218">
            <v>20000</v>
          </cell>
        </row>
        <row r="219">
          <cell r="B219">
            <v>19000</v>
          </cell>
        </row>
        <row r="220">
          <cell r="B220">
            <v>18000</v>
          </cell>
        </row>
        <row r="221">
          <cell r="B221">
            <v>17000</v>
          </cell>
        </row>
        <row r="222">
          <cell r="B222">
            <v>16000</v>
          </cell>
        </row>
        <row r="223">
          <cell r="B223">
            <v>15000</v>
          </cell>
        </row>
        <row r="224">
          <cell r="B224">
            <v>14000</v>
          </cell>
        </row>
        <row r="225">
          <cell r="B225">
            <v>13000</v>
          </cell>
        </row>
        <row r="226">
          <cell r="B226">
            <v>12000</v>
          </cell>
        </row>
        <row r="227">
          <cell r="B227">
            <v>11000</v>
          </cell>
        </row>
        <row r="228">
          <cell r="B228">
            <v>10000</v>
          </cell>
        </row>
        <row r="229">
          <cell r="B229">
            <v>9000</v>
          </cell>
        </row>
        <row r="230">
          <cell r="B230">
            <v>8000</v>
          </cell>
        </row>
        <row r="231">
          <cell r="B231">
            <v>7000</v>
          </cell>
        </row>
        <row r="232">
          <cell r="B232">
            <v>6000</v>
          </cell>
        </row>
        <row r="233">
          <cell r="B233">
            <v>5000</v>
          </cell>
        </row>
        <row r="234">
          <cell r="B234">
            <v>4000</v>
          </cell>
        </row>
        <row r="235">
          <cell r="B235">
            <v>3000</v>
          </cell>
        </row>
        <row r="236">
          <cell r="B236">
            <v>2000</v>
          </cell>
        </row>
        <row r="237">
          <cell r="B237">
            <v>1000</v>
          </cell>
        </row>
        <row r="238">
          <cell r="B23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 (2)"/>
    </sheetNames>
    <sheetDataSet>
      <sheetData sheetId="0">
        <row r="4">
          <cell r="B4">
            <v>4597</v>
          </cell>
        </row>
        <row r="208">
          <cell r="B208">
            <v>5854</v>
          </cell>
        </row>
        <row r="209">
          <cell r="B209">
            <v>1428</v>
          </cell>
        </row>
        <row r="210">
          <cell r="B210">
            <v>10759</v>
          </cell>
        </row>
        <row r="211">
          <cell r="B211">
            <v>10831</v>
          </cell>
        </row>
        <row r="212">
          <cell r="B212">
            <v>11666</v>
          </cell>
        </row>
        <row r="213">
          <cell r="B213">
            <v>5173</v>
          </cell>
        </row>
        <row r="214">
          <cell r="B214">
            <v>13194</v>
          </cell>
        </row>
        <row r="215">
          <cell r="B215">
            <v>6883</v>
          </cell>
        </row>
        <row r="216">
          <cell r="B216">
            <v>7014</v>
          </cell>
        </row>
        <row r="217">
          <cell r="B217">
            <v>15447</v>
          </cell>
        </row>
        <row r="218">
          <cell r="B218">
            <v>4584</v>
          </cell>
        </row>
        <row r="219">
          <cell r="B219">
            <v>16565</v>
          </cell>
        </row>
        <row r="220">
          <cell r="B220">
            <v>10811</v>
          </cell>
        </row>
        <row r="221">
          <cell r="B221">
            <v>13064</v>
          </cell>
        </row>
        <row r="222">
          <cell r="B222">
            <v>5414</v>
          </cell>
        </row>
        <row r="223">
          <cell r="B223">
            <v>3470</v>
          </cell>
        </row>
        <row r="224">
          <cell r="B224">
            <v>5967</v>
          </cell>
        </row>
        <row r="225">
          <cell r="B225">
            <v>13895</v>
          </cell>
        </row>
        <row r="226">
          <cell r="B226">
            <v>9011</v>
          </cell>
        </row>
        <row r="227">
          <cell r="B227">
            <v>15770</v>
          </cell>
        </row>
        <row r="228">
          <cell r="B228">
            <v>7316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18000</v>
          </cell>
        </row>
        <row r="190">
          <cell r="B190">
            <v>27000</v>
          </cell>
        </row>
        <row r="191">
          <cell r="B191">
            <v>26000</v>
          </cell>
        </row>
        <row r="192">
          <cell r="B192">
            <v>25000</v>
          </cell>
        </row>
        <row r="193">
          <cell r="B193">
            <v>24000</v>
          </cell>
        </row>
        <row r="194">
          <cell r="B194">
            <v>23000</v>
          </cell>
        </row>
        <row r="195">
          <cell r="B195">
            <v>22000</v>
          </cell>
        </row>
        <row r="196">
          <cell r="B196">
            <v>21000</v>
          </cell>
        </row>
        <row r="197">
          <cell r="B197">
            <v>20000</v>
          </cell>
        </row>
        <row r="198">
          <cell r="B198">
            <v>19000</v>
          </cell>
        </row>
        <row r="199">
          <cell r="B199">
            <v>18000</v>
          </cell>
        </row>
        <row r="200">
          <cell r="B200">
            <v>17000</v>
          </cell>
        </row>
        <row r="201">
          <cell r="B201">
            <v>16000</v>
          </cell>
        </row>
        <row r="202">
          <cell r="B202">
            <v>15000</v>
          </cell>
        </row>
        <row r="203">
          <cell r="B203">
            <v>14000</v>
          </cell>
        </row>
        <row r="204">
          <cell r="B204">
            <v>13000</v>
          </cell>
        </row>
        <row r="205">
          <cell r="B205">
            <v>12000</v>
          </cell>
        </row>
        <row r="206">
          <cell r="B206">
            <v>11000</v>
          </cell>
        </row>
        <row r="207">
          <cell r="B207">
            <v>10000</v>
          </cell>
        </row>
        <row r="208">
          <cell r="B208">
            <v>9000</v>
          </cell>
        </row>
        <row r="209">
          <cell r="B209">
            <v>8000</v>
          </cell>
        </row>
        <row r="210">
          <cell r="B210">
            <v>7000</v>
          </cell>
        </row>
        <row r="211">
          <cell r="B211">
            <v>6000</v>
          </cell>
        </row>
        <row r="212">
          <cell r="B212">
            <v>5000</v>
          </cell>
        </row>
        <row r="213">
          <cell r="B213">
            <v>4000</v>
          </cell>
        </row>
        <row r="214">
          <cell r="B214">
            <v>3000</v>
          </cell>
        </row>
        <row r="215">
          <cell r="B215">
            <v>2000</v>
          </cell>
        </row>
        <row r="216">
          <cell r="B216">
            <v>1000</v>
          </cell>
        </row>
        <row r="217">
          <cell r="B217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0</v>
          </cell>
        </row>
        <row r="208">
          <cell r="B208">
            <v>0</v>
          </cell>
        </row>
        <row r="209">
          <cell r="B209">
            <v>1000</v>
          </cell>
        </row>
        <row r="210">
          <cell r="B210">
            <v>2000</v>
          </cell>
        </row>
        <row r="211">
          <cell r="B211">
            <v>3000</v>
          </cell>
        </row>
        <row r="212">
          <cell r="B212">
            <v>4000</v>
          </cell>
        </row>
        <row r="213">
          <cell r="B213">
            <v>5000</v>
          </cell>
        </row>
        <row r="214">
          <cell r="B214">
            <v>6000</v>
          </cell>
        </row>
        <row r="215">
          <cell r="B215">
            <v>7000</v>
          </cell>
        </row>
        <row r="216">
          <cell r="B216">
            <v>8000</v>
          </cell>
        </row>
        <row r="217">
          <cell r="B217">
            <v>9000</v>
          </cell>
        </row>
        <row r="218">
          <cell r="B218">
            <v>10000</v>
          </cell>
        </row>
        <row r="219">
          <cell r="B219">
            <v>11000</v>
          </cell>
        </row>
        <row r="220">
          <cell r="B220">
            <v>12000</v>
          </cell>
        </row>
        <row r="221">
          <cell r="B221">
            <v>13000</v>
          </cell>
        </row>
        <row r="222">
          <cell r="B222">
            <v>14000</v>
          </cell>
        </row>
        <row r="223">
          <cell r="B223">
            <v>15000</v>
          </cell>
        </row>
        <row r="224">
          <cell r="B224">
            <v>16000</v>
          </cell>
        </row>
        <row r="225">
          <cell r="B225">
            <v>17000</v>
          </cell>
        </row>
        <row r="226">
          <cell r="B226">
            <v>18000</v>
          </cell>
        </row>
        <row r="227">
          <cell r="B227">
            <v>19000</v>
          </cell>
        </row>
        <row r="228">
          <cell r="B228">
            <v>20000</v>
          </cell>
        </row>
        <row r="229">
          <cell r="B229">
            <v>21000</v>
          </cell>
        </row>
        <row r="230">
          <cell r="B230">
            <v>22000</v>
          </cell>
        </row>
        <row r="231">
          <cell r="B231">
            <v>23000</v>
          </cell>
        </row>
        <row r="232">
          <cell r="B232">
            <v>24000</v>
          </cell>
        </row>
        <row r="233">
          <cell r="B233">
            <v>25000</v>
          </cell>
        </row>
        <row r="234">
          <cell r="B234">
            <v>26000</v>
          </cell>
        </row>
        <row r="235">
          <cell r="B235">
            <v>27000</v>
          </cell>
        </row>
        <row r="236">
          <cell r="B236">
            <v>28000</v>
          </cell>
        </row>
        <row r="237">
          <cell r="B237">
            <v>29000</v>
          </cell>
        </row>
        <row r="238">
          <cell r="B238">
            <v>30000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202">
          <cell r="B202">
            <v>29000</v>
          </cell>
        </row>
        <row r="203">
          <cell r="B203">
            <v>28000</v>
          </cell>
        </row>
        <row r="204">
          <cell r="B204">
            <v>27000</v>
          </cell>
        </row>
        <row r="205">
          <cell r="B205">
            <v>26000</v>
          </cell>
        </row>
        <row r="206">
          <cell r="B206">
            <v>25000</v>
          </cell>
        </row>
        <row r="207">
          <cell r="B207">
            <v>24000</v>
          </cell>
        </row>
        <row r="208">
          <cell r="B208">
            <v>23000</v>
          </cell>
        </row>
        <row r="209">
          <cell r="B209">
            <v>22000</v>
          </cell>
        </row>
        <row r="210">
          <cell r="B210">
            <v>21000</v>
          </cell>
        </row>
        <row r="211">
          <cell r="B211">
            <v>20000</v>
          </cell>
        </row>
        <row r="212">
          <cell r="B212">
            <v>19000</v>
          </cell>
        </row>
        <row r="213">
          <cell r="B213">
            <v>18000</v>
          </cell>
        </row>
        <row r="214">
          <cell r="B214">
            <v>17000</v>
          </cell>
        </row>
        <row r="215">
          <cell r="B215">
            <v>16000</v>
          </cell>
        </row>
        <row r="216">
          <cell r="B216">
            <v>15000</v>
          </cell>
        </row>
        <row r="217">
          <cell r="B217">
            <v>14000</v>
          </cell>
        </row>
        <row r="218">
          <cell r="B218">
            <v>13000</v>
          </cell>
        </row>
        <row r="219">
          <cell r="B219">
            <v>12000</v>
          </cell>
        </row>
        <row r="220">
          <cell r="B220">
            <v>11000</v>
          </cell>
        </row>
        <row r="221">
          <cell r="B221">
            <v>10000</v>
          </cell>
        </row>
        <row r="222">
          <cell r="B222">
            <v>9000</v>
          </cell>
        </row>
        <row r="223">
          <cell r="B223">
            <v>8000</v>
          </cell>
        </row>
        <row r="224">
          <cell r="B224">
            <v>7000</v>
          </cell>
        </row>
        <row r="225">
          <cell r="B225">
            <v>6000</v>
          </cell>
        </row>
        <row r="226">
          <cell r="B226">
            <v>5000</v>
          </cell>
        </row>
        <row r="227">
          <cell r="B227">
            <v>4000</v>
          </cell>
        </row>
        <row r="228">
          <cell r="B228">
            <v>3000</v>
          </cell>
        </row>
        <row r="229">
          <cell r="B229">
            <v>2000</v>
          </cell>
        </row>
        <row r="230">
          <cell r="B230">
            <v>1000</v>
          </cell>
        </row>
        <row r="231">
          <cell r="B231">
            <v>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208">
          <cell r="B208">
            <v>0</v>
          </cell>
        </row>
        <row r="209">
          <cell r="B209">
            <v>1000</v>
          </cell>
        </row>
        <row r="210">
          <cell r="B210">
            <v>2000</v>
          </cell>
        </row>
        <row r="211">
          <cell r="B211">
            <v>3000</v>
          </cell>
        </row>
        <row r="212">
          <cell r="B212">
            <v>4000</v>
          </cell>
        </row>
        <row r="213">
          <cell r="B213">
            <v>5000</v>
          </cell>
        </row>
        <row r="214">
          <cell r="B214">
            <v>6000</v>
          </cell>
        </row>
        <row r="215">
          <cell r="B215">
            <v>7000</v>
          </cell>
        </row>
        <row r="216">
          <cell r="B216">
            <v>8000</v>
          </cell>
        </row>
        <row r="217">
          <cell r="B217">
            <v>9000</v>
          </cell>
        </row>
        <row r="218">
          <cell r="B218">
            <v>10000</v>
          </cell>
        </row>
        <row r="219">
          <cell r="B219">
            <v>11000</v>
          </cell>
        </row>
        <row r="220">
          <cell r="B220">
            <v>12000</v>
          </cell>
        </row>
        <row r="221">
          <cell r="B221">
            <v>13000</v>
          </cell>
        </row>
        <row r="222">
          <cell r="B222">
            <v>14000</v>
          </cell>
        </row>
        <row r="223">
          <cell r="B223">
            <v>15000</v>
          </cell>
        </row>
        <row r="224">
          <cell r="B224">
            <v>16000</v>
          </cell>
        </row>
        <row r="225">
          <cell r="B225">
            <v>17000</v>
          </cell>
        </row>
        <row r="226">
          <cell r="B226">
            <v>18000</v>
          </cell>
        </row>
        <row r="227">
          <cell r="B227">
            <v>19000</v>
          </cell>
        </row>
        <row r="228">
          <cell r="B228">
            <v>20000</v>
          </cell>
        </row>
        <row r="229">
          <cell r="B229">
            <v>21000</v>
          </cell>
        </row>
        <row r="230">
          <cell r="B230">
            <v>22000</v>
          </cell>
        </row>
        <row r="231">
          <cell r="B231">
            <v>23000</v>
          </cell>
        </row>
        <row r="232">
          <cell r="B232">
            <v>24000</v>
          </cell>
        </row>
        <row r="233">
          <cell r="B233">
            <v>25000</v>
          </cell>
        </row>
        <row r="234">
          <cell r="B234">
            <v>26000</v>
          </cell>
        </row>
        <row r="235">
          <cell r="B235">
            <v>27000</v>
          </cell>
        </row>
        <row r="236">
          <cell r="B236">
            <v>28000</v>
          </cell>
        </row>
        <row r="237">
          <cell r="B237">
            <v>29000</v>
          </cell>
        </row>
        <row r="238">
          <cell r="B238">
            <v>30000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-tableau"/>
    </sheetNames>
    <sheetDataSet>
      <sheetData sheetId="0">
        <row r="4">
          <cell r="B4">
            <v>19333.333333333332</v>
          </cell>
        </row>
        <row r="202">
          <cell r="B202">
            <v>29000</v>
          </cell>
        </row>
        <row r="203">
          <cell r="B203">
            <v>28000</v>
          </cell>
        </row>
        <row r="204">
          <cell r="B204">
            <v>27000</v>
          </cell>
        </row>
        <row r="205">
          <cell r="B205">
            <v>26000</v>
          </cell>
        </row>
        <row r="206">
          <cell r="B206">
            <v>25000</v>
          </cell>
        </row>
        <row r="207">
          <cell r="B207">
            <v>24000</v>
          </cell>
        </row>
        <row r="208">
          <cell r="B208">
            <v>23000</v>
          </cell>
        </row>
        <row r="209">
          <cell r="B209">
            <v>22000</v>
          </cell>
        </row>
        <row r="210">
          <cell r="B210">
            <v>21000</v>
          </cell>
        </row>
        <row r="211">
          <cell r="B211">
            <v>20000</v>
          </cell>
        </row>
        <row r="212">
          <cell r="B212">
            <v>19000</v>
          </cell>
        </row>
        <row r="213">
          <cell r="B213">
            <v>18000</v>
          </cell>
        </row>
        <row r="214">
          <cell r="B214">
            <v>17000</v>
          </cell>
        </row>
        <row r="215">
          <cell r="B215">
            <v>16000</v>
          </cell>
        </row>
        <row r="216">
          <cell r="B216">
            <v>15000</v>
          </cell>
        </row>
        <row r="217">
          <cell r="B217">
            <v>14000</v>
          </cell>
        </row>
        <row r="218">
          <cell r="B218">
            <v>13000</v>
          </cell>
        </row>
        <row r="219">
          <cell r="B219">
            <v>12000</v>
          </cell>
        </row>
        <row r="220">
          <cell r="B220">
            <v>11000</v>
          </cell>
        </row>
        <row r="221">
          <cell r="B221">
            <v>10000</v>
          </cell>
        </row>
        <row r="222">
          <cell r="B222">
            <v>9000</v>
          </cell>
        </row>
        <row r="223">
          <cell r="B223">
            <v>8000</v>
          </cell>
        </row>
        <row r="224">
          <cell r="B224">
            <v>7000</v>
          </cell>
        </row>
        <row r="225">
          <cell r="B225">
            <v>6000</v>
          </cell>
        </row>
        <row r="226">
          <cell r="B226">
            <v>5000</v>
          </cell>
        </row>
        <row r="227">
          <cell r="B227">
            <v>4000</v>
          </cell>
        </row>
        <row r="228">
          <cell r="B228">
            <v>3000</v>
          </cell>
        </row>
        <row r="229">
          <cell r="B229">
            <v>2000</v>
          </cell>
        </row>
        <row r="230">
          <cell r="B230">
            <v>1000</v>
          </cell>
        </row>
        <row r="231">
          <cell r="B231">
            <v>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is"/>
    </sheetNames>
    <sheetDataSet>
      <sheetData sheetId="0">
        <row r="4">
          <cell r="B4">
            <v>0</v>
          </cell>
        </row>
        <row r="208">
          <cell r="B208">
            <v>0</v>
          </cell>
        </row>
        <row r="209">
          <cell r="B209">
            <v>1000</v>
          </cell>
        </row>
        <row r="210">
          <cell r="B210">
            <v>2000</v>
          </cell>
        </row>
        <row r="211">
          <cell r="B211">
            <v>3000</v>
          </cell>
        </row>
        <row r="212">
          <cell r="B212">
            <v>4000</v>
          </cell>
        </row>
        <row r="213">
          <cell r="B213">
            <v>5000</v>
          </cell>
        </row>
        <row r="214">
          <cell r="B214">
            <v>6000</v>
          </cell>
        </row>
        <row r="215">
          <cell r="B215">
            <v>7000</v>
          </cell>
        </row>
        <row r="216">
          <cell r="B216">
            <v>8000</v>
          </cell>
        </row>
        <row r="217">
          <cell r="B217">
            <v>9000</v>
          </cell>
        </row>
        <row r="218">
          <cell r="B218">
            <v>10000</v>
          </cell>
        </row>
        <row r="219">
          <cell r="B219">
            <v>11000</v>
          </cell>
        </row>
        <row r="220">
          <cell r="B220">
            <v>12000</v>
          </cell>
        </row>
        <row r="221">
          <cell r="B221">
            <v>13000</v>
          </cell>
        </row>
        <row r="222">
          <cell r="B222">
            <v>14000</v>
          </cell>
        </row>
        <row r="223">
          <cell r="B223">
            <v>15000</v>
          </cell>
        </row>
        <row r="224">
          <cell r="B224">
            <v>16000</v>
          </cell>
        </row>
        <row r="225">
          <cell r="B225">
            <v>17000</v>
          </cell>
        </row>
        <row r="226">
          <cell r="B226">
            <v>18000</v>
          </cell>
        </row>
        <row r="227">
          <cell r="B227">
            <v>19000</v>
          </cell>
        </row>
        <row r="228">
          <cell r="B228">
            <v>20000</v>
          </cell>
        </row>
        <row r="229">
          <cell r="B229">
            <v>21000</v>
          </cell>
        </row>
        <row r="230">
          <cell r="B230">
            <v>22000</v>
          </cell>
        </row>
        <row r="231">
          <cell r="B231">
            <v>23000</v>
          </cell>
        </row>
        <row r="232">
          <cell r="B232">
            <v>24000</v>
          </cell>
        </row>
        <row r="233">
          <cell r="B233">
            <v>25000</v>
          </cell>
        </row>
        <row r="234">
          <cell r="B234">
            <v>26000</v>
          </cell>
        </row>
        <row r="235">
          <cell r="B235">
            <v>27000</v>
          </cell>
        </row>
        <row r="236">
          <cell r="B236">
            <v>28000</v>
          </cell>
        </row>
        <row r="237">
          <cell r="B237">
            <v>29000</v>
          </cell>
        </row>
        <row r="238">
          <cell r="B238">
            <v>30000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AD80"/>
  <sheetViews>
    <sheetView workbookViewId="0">
      <pane ySplit="5" topLeftCell="A6" activePane="bottomLeft" state="frozen"/>
      <selection activeCell="B15" sqref="B15:B380"/>
      <selection pane="bottomLeft" activeCell="A65" sqref="A65:XFD65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40" t="s">
        <v>50</v>
      </c>
      <c r="M1" s="240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1">
        <f>Tmaj</f>
        <v>44947</v>
      </c>
      <c r="D2" s="1211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8.5000000000000006E-3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2" t="str">
        <f>Station</f>
        <v>Crèche Ayguesvives</v>
      </c>
      <c r="D3" s="1213"/>
      <c r="E3" s="1213"/>
      <c r="F3" s="1213"/>
      <c r="G3" s="1213"/>
      <c r="H3" s="1214"/>
      <c r="K3" s="21"/>
      <c r="L3" s="30"/>
      <c r="M3" s="30"/>
      <c r="N3" s="211" t="s">
        <v>165</v>
      </c>
      <c r="O3" s="731">
        <f>Salim_i</f>
        <v>0.21</v>
      </c>
      <c r="P3" s="450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5">
        <f>T0</f>
        <v>43313</v>
      </c>
      <c r="D4" s="1216"/>
      <c r="G4" s="33"/>
      <c r="H4" s="33" t="s">
        <v>340</v>
      </c>
      <c r="I4" s="662">
        <f>Azi_pvG</f>
        <v>68</v>
      </c>
      <c r="J4" s="662"/>
      <c r="K4" s="21"/>
      <c r="L4" s="30"/>
      <c r="M4" s="30"/>
      <c r="N4" s="82" t="s">
        <v>22</v>
      </c>
      <c r="O4" s="160">
        <f>Persistant</f>
        <v>1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09">
        <f>Tservice</f>
        <v>43354</v>
      </c>
      <c r="D5" s="1210"/>
      <c r="E5" s="95"/>
      <c r="G5" s="33"/>
      <c r="H5" s="33" t="s">
        <v>15</v>
      </c>
      <c r="I5" s="663">
        <f>Ram_pv</f>
        <v>0.3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5">
        <f>Pc</f>
        <v>9</v>
      </c>
      <c r="D6" s="561"/>
      <c r="E6" s="132"/>
      <c r="F6" s="562"/>
      <c r="G6" s="562"/>
      <c r="H6" s="563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51"/>
      <c r="B7" s="535"/>
      <c r="C7" s="52"/>
      <c r="D7" s="852"/>
      <c r="E7" s="29"/>
      <c r="F7" s="535"/>
      <c r="G7" s="535"/>
      <c r="H7" s="706"/>
      <c r="I7" s="535"/>
      <c r="J7" s="22" t="s">
        <v>359</v>
      </c>
      <c r="K7" s="1217" t="s">
        <v>360</v>
      </c>
      <c r="L7" s="1218"/>
      <c r="M7" s="1199" t="b">
        <f>IF(K7="début",TRUE,FALSE)</f>
        <v>0</v>
      </c>
      <c r="N7" s="826"/>
      <c r="O7" s="30"/>
      <c r="P7" s="30"/>
      <c r="Q7" s="535"/>
      <c r="R7" s="535"/>
      <c r="S7" s="535"/>
      <c r="T7" s="535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5" t="str">
        <f>"Bilan ICEA "&amp;C3&amp;" (kWh)"</f>
        <v>Bilan ICEA Crèche Ayguesvives (kWh)</v>
      </c>
      <c r="B8" s="132"/>
      <c r="C8" s="133"/>
      <c r="D8" s="564"/>
      <c r="E8" s="561"/>
      <c r="F8" s="132"/>
      <c r="G8" s="132"/>
      <c r="H8" s="62"/>
      <c r="I8" s="132"/>
      <c r="J8" s="22" t="s">
        <v>115</v>
      </c>
      <c r="K8" s="558">
        <f>[1]!Inter_net</f>
        <v>1</v>
      </c>
      <c r="L8" s="559">
        <f>[1]!Inter_tai</f>
        <v>7</v>
      </c>
      <c r="N8" s="15"/>
    </row>
    <row r="9" spans="1:29" ht="15.75" x14ac:dyDescent="0.25">
      <c r="A9" s="29" t="s">
        <v>282</v>
      </c>
      <c r="B9" s="149">
        <f>AVERAGE(B11:B30)</f>
        <v>9256.1402683054675</v>
      </c>
      <c r="C9" s="905">
        <f t="shared" ref="C9:J9" si="0">AVERAGE(C11:C30)</f>
        <v>763.70166556272466</v>
      </c>
      <c r="D9" s="906">
        <f t="shared" si="0"/>
        <v>76.13081517347932</v>
      </c>
      <c r="E9" s="149">
        <f t="shared" si="0"/>
        <v>839.83248073620393</v>
      </c>
      <c r="F9" s="149">
        <f t="shared" si="0"/>
        <v>10095.972749041674</v>
      </c>
      <c r="G9" s="149">
        <f t="shared" si="0"/>
        <v>10524.843751450706</v>
      </c>
      <c r="H9" s="912">
        <f t="shared" si="0"/>
        <v>401.32047838503917</v>
      </c>
      <c r="I9" s="913">
        <f t="shared" si="0"/>
        <v>73.97643658368338</v>
      </c>
      <c r="J9" s="149">
        <f t="shared" si="0"/>
        <v>8765.7705656742291</v>
      </c>
      <c r="K9" s="344" t="s">
        <v>6</v>
      </c>
      <c r="L9" s="21"/>
      <c r="P9" s="15"/>
    </row>
    <row r="10" spans="1:29" s="242" customFormat="1" ht="51" customHeight="1" x14ac:dyDescent="0.25">
      <c r="A10" s="176" t="s">
        <v>52</v>
      </c>
      <c r="B10" s="176" t="s">
        <v>107</v>
      </c>
      <c r="C10" s="334" t="s">
        <v>61</v>
      </c>
      <c r="D10" s="335" t="s">
        <v>98</v>
      </c>
      <c r="E10" s="176" t="s">
        <v>97</v>
      </c>
      <c r="F10" s="176" t="s">
        <v>110</v>
      </c>
      <c r="G10" s="176" t="s">
        <v>109</v>
      </c>
      <c r="H10" s="334" t="s">
        <v>62</v>
      </c>
      <c r="I10" s="335" t="s">
        <v>63</v>
      </c>
      <c r="J10" s="176" t="s">
        <v>108</v>
      </c>
      <c r="K10" s="334" t="s">
        <v>55</v>
      </c>
      <c r="L10" s="335" t="s">
        <v>56</v>
      </c>
      <c r="M10" s="334" t="s">
        <v>276</v>
      </c>
      <c r="N10" s="335" t="s">
        <v>277</v>
      </c>
      <c r="O10" s="100" t="s">
        <v>278</v>
      </c>
      <c r="P10" s="100" t="s">
        <v>279</v>
      </c>
      <c r="Q10" s="100" t="s">
        <v>280</v>
      </c>
      <c r="R10" s="100" t="s">
        <v>281</v>
      </c>
      <c r="S10" s="100"/>
      <c r="T10" s="100"/>
      <c r="U10" s="243"/>
      <c r="V10" s="243"/>
      <c r="W10" s="243"/>
      <c r="X10" s="244"/>
      <c r="Y10" s="241"/>
      <c r="Z10" s="241"/>
      <c r="AA10" s="241"/>
      <c r="AB10" s="241"/>
    </row>
    <row r="11" spans="1:29" s="19" customFormat="1" ht="12.75" x14ac:dyDescent="0.2">
      <c r="A11" s="142">
        <f>'2018'!An</f>
        <v>2018</v>
      </c>
      <c r="B11" s="139">
        <f>'2018'!Prod_an</f>
        <v>1364.6160000000002</v>
      </c>
      <c r="C11" s="143">
        <f>'2018'!Wh_Psa</f>
        <v>30.552063883907749</v>
      </c>
      <c r="D11" s="331">
        <f>'2018'!Wh_Pvg</f>
        <v>4.7353371617019926</v>
      </c>
      <c r="E11" s="139">
        <f t="shared" ref="E11:E16" si="1">C11+D11</f>
        <v>35.287401045609741</v>
      </c>
      <c r="F11" s="139">
        <f t="shared" ref="F11:F16" si="2">B11+E11</f>
        <v>1399.9034010456101</v>
      </c>
      <c r="G11" s="139">
        <f>'2018'!F$9</f>
        <v>1403.1758466090839</v>
      </c>
      <c r="H11" s="145">
        <f>'2018'!Wh_gain_sa</f>
        <v>0</v>
      </c>
      <c r="I11" s="331">
        <f>'2018'!Wh_gain_vg</f>
        <v>0</v>
      </c>
      <c r="J11" s="139">
        <f>'2018'!Prod_an_s</f>
        <v>1364.6160000000002</v>
      </c>
      <c r="K11" s="883" t="str">
        <f>IF('2018'!Acti_net,'2018'!Tnet,"")</f>
        <v/>
      </c>
      <c r="L11" s="884" t="str">
        <f>IF('2018'!Acti_tai,'2018'!Ttai,"")</f>
        <v/>
      </c>
      <c r="M11" s="895">
        <v>0</v>
      </c>
      <c r="N11" s="896">
        <v>0</v>
      </c>
      <c r="O11" s="372">
        <f>+'2018'!$AJ$3</f>
        <v>0</v>
      </c>
      <c r="P11" s="372">
        <f>+'2018'!$AJ$4</f>
        <v>0</v>
      </c>
      <c r="Q11" s="372">
        <f>+'2018'!$AK$3</f>
        <v>0</v>
      </c>
      <c r="R11" s="372">
        <f>+'2018'!$AK$4</f>
        <v>0</v>
      </c>
      <c r="S11" s="889"/>
      <c r="T11" s="889"/>
    </row>
    <row r="12" spans="1:29" s="19" customFormat="1" ht="12.75" x14ac:dyDescent="0.2">
      <c r="A12" s="144">
        <f>'2019'!An</f>
        <v>2019</v>
      </c>
      <c r="B12" s="137">
        <f>'2019'!Prod_an</f>
        <v>10766.592999999999</v>
      </c>
      <c r="C12" s="145">
        <f>'2019'!Wh_Psa</f>
        <v>767.13225606728577</v>
      </c>
      <c r="D12" s="332">
        <f>'2019'!Wh_Pvg</f>
        <v>20.962438019564079</v>
      </c>
      <c r="E12" s="137">
        <f t="shared" si="1"/>
        <v>788.09469408684981</v>
      </c>
      <c r="F12" s="137">
        <f t="shared" si="2"/>
        <v>11554.68769408685</v>
      </c>
      <c r="G12" s="137">
        <f>'2019'!F$9</f>
        <v>11644.129113364914</v>
      </c>
      <c r="H12" s="145">
        <f>'2019'!Wh_gain_sa</f>
        <v>0</v>
      </c>
      <c r="I12" s="332">
        <f>'2019'!Wh_gain_vg</f>
        <v>0</v>
      </c>
      <c r="J12" s="137">
        <f>'2019'!Prod_an_s</f>
        <v>10766.592999999999</v>
      </c>
      <c r="K12" s="885" t="str">
        <f>IF('2019'!Acti_net,'2019'!Tnet,"")</f>
        <v/>
      </c>
      <c r="L12" s="886" t="str">
        <f>IF('2019'!Acti_tai,'2019'!Ttai,"")</f>
        <v/>
      </c>
      <c r="M12" s="897">
        <f>O12+P11+(K11="")*M11</f>
        <v>0</v>
      </c>
      <c r="N12" s="898">
        <f>Q12+R11+(L11="")*N11</f>
        <v>0</v>
      </c>
      <c r="O12" s="372">
        <f>+'2019'!$AJ$3</f>
        <v>0</v>
      </c>
      <c r="P12" s="372">
        <f>+'2019'!$AJ$4</f>
        <v>0</v>
      </c>
      <c r="Q12" s="372">
        <f>+'2019'!$AK$3</f>
        <v>0</v>
      </c>
      <c r="R12" s="372">
        <f>+'2019'!$AK$4</f>
        <v>0</v>
      </c>
      <c r="S12" s="889"/>
      <c r="T12" s="889"/>
    </row>
    <row r="13" spans="1:29" s="19" customFormat="1" ht="12.75" x14ac:dyDescent="0.2">
      <c r="A13" s="144">
        <f>'2020'!An</f>
        <v>2020</v>
      </c>
      <c r="B13" s="137">
        <f>'2020'!Prod_an</f>
        <v>9848.9630000000052</v>
      </c>
      <c r="C13" s="145">
        <f>'2020'!Wh_Psa</f>
        <v>1278.2745582991847</v>
      </c>
      <c r="D13" s="332">
        <f>'2020'!Wh_Pvg</f>
        <v>42.716885176540714</v>
      </c>
      <c r="E13" s="137">
        <f t="shared" si="1"/>
        <v>1320.9914434757254</v>
      </c>
      <c r="F13" s="137">
        <f t="shared" si="2"/>
        <v>11169.95444347573</v>
      </c>
      <c r="G13" s="137">
        <f>'2020'!F$9</f>
        <v>11356.434113473997</v>
      </c>
      <c r="H13" s="145">
        <f>'2020'!Wh_gain_sa</f>
        <v>0</v>
      </c>
      <c r="I13" s="332">
        <f>'2020'!Wh_gain_vg</f>
        <v>0</v>
      </c>
      <c r="J13" s="137">
        <f>'2020'!Prod_an_s</f>
        <v>9848.9630000000052</v>
      </c>
      <c r="K13" s="885" t="str">
        <f>IF('2020'!Acti_net,'2020'!Tnet,"")</f>
        <v/>
      </c>
      <c r="L13" s="886" t="str">
        <f>IF('2020'!Acti_tai,'2020'!Ttai,"")</f>
        <v/>
      </c>
      <c r="M13" s="897">
        <f t="shared" ref="M13:M20" si="3">O13+P12+(K12="")*M12</f>
        <v>0</v>
      </c>
      <c r="N13" s="898">
        <f>Q13+R12+(L12="")*N12</f>
        <v>0</v>
      </c>
      <c r="O13" s="372">
        <f>+'2020'!$AJ$3</f>
        <v>0</v>
      </c>
      <c r="P13" s="372">
        <f>+'2020'!$AJ$4</f>
        <v>0</v>
      </c>
      <c r="Q13" s="372">
        <f>+'2020'!$AK$3</f>
        <v>0</v>
      </c>
      <c r="R13" s="372">
        <f>+'2020'!$AK$4</f>
        <v>0</v>
      </c>
      <c r="S13" s="889"/>
      <c r="T13" s="889"/>
    </row>
    <row r="14" spans="1:29" s="19" customFormat="1" ht="12.75" x14ac:dyDescent="0.2">
      <c r="A14" s="144">
        <f>'2021'!An</f>
        <v>2021</v>
      </c>
      <c r="B14" s="137">
        <f>'2021'!Prod_an</f>
        <v>9878.5520000000051</v>
      </c>
      <c r="C14" s="145">
        <f>'2021'!Wh_Psa</f>
        <v>877.12569765304715</v>
      </c>
      <c r="D14" s="332">
        <f>'2021'!Wh_Pvg</f>
        <v>70.870907418280993</v>
      </c>
      <c r="E14" s="137">
        <f t="shared" si="1"/>
        <v>947.99660507132819</v>
      </c>
      <c r="F14" s="137">
        <f t="shared" si="2"/>
        <v>10826.548605071333</v>
      </c>
      <c r="G14" s="137">
        <f>'2021'!F$9</f>
        <v>11103.268873971585</v>
      </c>
      <c r="H14" s="145">
        <f>'2021'!Wh_gain_sa</f>
        <v>635.44106915727116</v>
      </c>
      <c r="I14" s="332">
        <f>'2021'!Wh_gain_vg</f>
        <v>-4.5560801234965567</v>
      </c>
      <c r="J14" s="137">
        <f>'2021'!Prod_an_s</f>
        <v>9243.4892350985701</v>
      </c>
      <c r="K14" s="885">
        <f>IF('2021'!Acti_net,'2021'!Tnet,"")</f>
        <v>44306</v>
      </c>
      <c r="L14" s="886" t="str">
        <f>IF('2021'!Acti_tai,'2021'!Ttai,"")</f>
        <v/>
      </c>
      <c r="M14" s="897">
        <f t="shared" si="3"/>
        <v>0</v>
      </c>
      <c r="N14" s="898">
        <f>Q14+R13+(L13="")*N13</f>
        <v>0</v>
      </c>
      <c r="O14" s="372">
        <f>+'2021'!$AJ$3</f>
        <v>0</v>
      </c>
      <c r="P14" s="372">
        <f>+'2021'!$AJ$4</f>
        <v>634.86868256986463</v>
      </c>
      <c r="Q14" s="372">
        <f>+'2021'!$AK$3</f>
        <v>0</v>
      </c>
      <c r="R14" s="372">
        <f>+'2021'!$AK$4</f>
        <v>-4.5560801234965567</v>
      </c>
      <c r="S14" s="889"/>
      <c r="T14" s="889"/>
    </row>
    <row r="15" spans="1:29" s="19" customFormat="1" ht="12.75" x14ac:dyDescent="0.2">
      <c r="A15" s="144">
        <f>'2022'!An</f>
        <v>2022</v>
      </c>
      <c r="B15" s="137">
        <f>'2022'!Prod_an</f>
        <v>9761.7630000000063</v>
      </c>
      <c r="C15" s="145">
        <f>'2022'!Wh_Psa</f>
        <v>1409.4394233069897</v>
      </c>
      <c r="D15" s="332">
        <f>'2022'!Wh_Pvg</f>
        <v>110.83408688654788</v>
      </c>
      <c r="E15" s="137">
        <f t="shared" si="1"/>
        <v>1520.2735101935377</v>
      </c>
      <c r="F15" s="137">
        <f t="shared" si="2"/>
        <v>11282.036510193544</v>
      </c>
      <c r="G15" s="137">
        <f>'2022'!F$9</f>
        <v>11674.669000295462</v>
      </c>
      <c r="H15" s="145">
        <f>'2022'!Wh_gain_sa</f>
        <v>374.03532286829932</v>
      </c>
      <c r="I15" s="332">
        <f>'2022'!Wh_gain_vg</f>
        <v>-4.291747278890341</v>
      </c>
      <c r="J15" s="137">
        <f>'2022'!Prod_an_s</f>
        <v>9383.7653914185685</v>
      </c>
      <c r="K15" s="885">
        <f>IF('2022'!Acti_net,'2022'!Tnet,"")</f>
        <v>44854</v>
      </c>
      <c r="L15" s="886" t="str">
        <f>IF('2022'!Acti_tai,'2022'!Ttai,"")</f>
        <v/>
      </c>
      <c r="M15" s="897">
        <f t="shared" si="3"/>
        <v>903.4999841428214</v>
      </c>
      <c r="N15" s="898">
        <f t="shared" ref="N15:N20" si="4">Q15+R14+(L14="")*N14</f>
        <v>-4.5560801234965567</v>
      </c>
      <c r="O15" s="372">
        <f>+'2022'!$AJ$3</f>
        <v>268.63130157295677</v>
      </c>
      <c r="P15" s="372">
        <f>+'2022'!$AJ$4</f>
        <v>105.04486995575107</v>
      </c>
      <c r="Q15" s="372">
        <f>+'2022'!$AK$3</f>
        <v>0</v>
      </c>
      <c r="R15" s="372">
        <f>+'2022'!$AK$4</f>
        <v>-4.2503623111645794</v>
      </c>
      <c r="S15" s="889"/>
      <c r="T15" s="889"/>
    </row>
    <row r="16" spans="1:29" s="19" customFormat="1" ht="12.75" x14ac:dyDescent="0.2">
      <c r="A16" s="366">
        <f>'2023'!An</f>
        <v>2023</v>
      </c>
      <c r="B16" s="367">
        <f>'2023'!Prod_an</f>
        <v>10367.512729766382</v>
      </c>
      <c r="C16" s="368">
        <f>'2023'!Wh_Psa</f>
        <v>573.42235007598697</v>
      </c>
      <c r="D16" s="369">
        <f>'2023'!Wh_Pvg</f>
        <v>156.5333157990847</v>
      </c>
      <c r="E16" s="367">
        <f t="shared" si="1"/>
        <v>729.95566587507165</v>
      </c>
      <c r="F16" s="367">
        <f t="shared" si="2"/>
        <v>11097.468395641454</v>
      </c>
      <c r="G16" s="367">
        <f>'2023'!F$9</f>
        <v>11578.457398787843</v>
      </c>
      <c r="H16" s="368">
        <f>'2023'!Wh_gain_sa</f>
        <v>544.9251407068075</v>
      </c>
      <c r="I16" s="369">
        <f>'2023'!Wh_gain_vg</f>
        <v>-8.235418110492418</v>
      </c>
      <c r="J16" s="367">
        <f>'2023'!Prod_an_s</f>
        <v>9822.0646143947779</v>
      </c>
      <c r="K16" s="887">
        <f>IF('2023'!Acti_net,'2023'!Tnet,"")</f>
        <v>45046</v>
      </c>
      <c r="L16" s="888" t="str">
        <f>IF('2023'!Acti_tai,'2023'!Ttai,"")</f>
        <v/>
      </c>
      <c r="M16" s="899">
        <f t="shared" si="3"/>
        <v>376.15601620326197</v>
      </c>
      <c r="N16" s="900">
        <f t="shared" si="4"/>
        <v>-8.8064424346611361</v>
      </c>
      <c r="O16" s="372">
        <f>+'2023'!$AJ$3</f>
        <v>271.11114624751087</v>
      </c>
      <c r="P16" s="372">
        <f>+'2023'!$AJ$4</f>
        <v>274.29278207796762</v>
      </c>
      <c r="Q16" s="372">
        <f>+'2023'!$AK$3</f>
        <v>0</v>
      </c>
      <c r="R16" s="372">
        <f>+'2023'!$AK$4</f>
        <v>-8.235418110492418</v>
      </c>
      <c r="S16" s="889"/>
      <c r="T16" s="889"/>
    </row>
    <row r="17" spans="1:30" s="19" customFormat="1" ht="12.75" x14ac:dyDescent="0.2">
      <c r="A17" s="364">
        <f>'2024'!An</f>
        <v>2024</v>
      </c>
      <c r="B17" s="365">
        <f>'2024'!Prod_an</f>
        <v>10102.995255923337</v>
      </c>
      <c r="C17" s="145">
        <f>'2024'!Wh_Psa</f>
        <v>671.26324195215989</v>
      </c>
      <c r="D17" s="332">
        <f>'2024'!Wh_Pvg</f>
        <v>204.34874194320091</v>
      </c>
      <c r="E17" s="365">
        <f>C17+D17</f>
        <v>875.61198389536082</v>
      </c>
      <c r="F17" s="365">
        <f>B17+E17</f>
        <v>10978.607239818697</v>
      </c>
      <c r="G17" s="365">
        <f>'2024'!F$9</f>
        <v>11557.717238484547</v>
      </c>
      <c r="H17" s="145">
        <f>'2024'!Wh_gain_sa</f>
        <v>599.78020227336037</v>
      </c>
      <c r="I17" s="332">
        <f>'2024'!Wh_gain_vg</f>
        <v>-12.12632639154802</v>
      </c>
      <c r="J17" s="365">
        <f>'2024'!Prod_an_s</f>
        <v>9503.4700675586337</v>
      </c>
      <c r="K17" s="885">
        <f>IF('2024'!Acti_net,'2024'!Tnet,"")</f>
        <v>45412</v>
      </c>
      <c r="L17" s="886" t="str">
        <f>IF('2024'!Acti_tai,'2024'!Ttai,"")</f>
        <v/>
      </c>
      <c r="M17" s="897">
        <f t="shared" si="3"/>
        <v>330.08098400708894</v>
      </c>
      <c r="N17" s="898">
        <f t="shared" si="4"/>
        <v>-17.041860545153554</v>
      </c>
      <c r="O17" s="372">
        <f>+'2024'!$AJ$3</f>
        <v>55.788201929121328</v>
      </c>
      <c r="P17" s="372">
        <f>+'2024'!$AJ$4</f>
        <v>543.65608946197858</v>
      </c>
      <c r="Q17" s="372">
        <f>+'2024'!$AK$3</f>
        <v>0</v>
      </c>
      <c r="R17" s="372">
        <f>+'2024'!$AK$4</f>
        <v>-12.12632639154802</v>
      </c>
      <c r="S17" s="889"/>
      <c r="T17" s="889"/>
    </row>
    <row r="18" spans="1:30" s="19" customFormat="1" ht="12.75" x14ac:dyDescent="0.2">
      <c r="A18" s="364">
        <f>'2025'!An</f>
        <v>2025</v>
      </c>
      <c r="B18" s="365">
        <f>'2025'!Prod_an</f>
        <v>10185.589963667546</v>
      </c>
      <c r="C18" s="145">
        <f>'2025'!Wh_Psa</f>
        <v>676.60211684299975</v>
      </c>
      <c r="D18" s="332">
        <f>'2025'!Wh_Pvg</f>
        <v>86.796744593305903</v>
      </c>
      <c r="E18" s="365">
        <f>C18+D18</f>
        <v>763.39886143630565</v>
      </c>
      <c r="F18" s="365">
        <f>B18+E18</f>
        <v>10948.988825103852</v>
      </c>
      <c r="G18" s="365">
        <f>'2025'!F$9</f>
        <v>11617.60777166108</v>
      </c>
      <c r="H18" s="145">
        <f>'2025'!Wh_gain_sa</f>
        <v>636.66240872103094</v>
      </c>
      <c r="I18" s="332">
        <f>'2025'!Wh_gain_vg</f>
        <v>160.29433461185278</v>
      </c>
      <c r="J18" s="365">
        <f>'2025'!Prod_an_s</f>
        <v>9360.335082347714</v>
      </c>
      <c r="K18" s="885">
        <f>IF('2025'!Acti_net,'2025'!Tnet,"")</f>
        <v>45777</v>
      </c>
      <c r="L18" s="886">
        <f>IF('2025'!Acti_tai,'2025'!Ttai,"")</f>
        <v>45747</v>
      </c>
      <c r="M18" s="897">
        <f t="shared" si="3"/>
        <v>651.17671531494136</v>
      </c>
      <c r="N18" s="898">
        <f t="shared" si="4"/>
        <v>-32.80747904852592</v>
      </c>
      <c r="O18" s="372">
        <f>+'2025'!$AJ$3</f>
        <v>107.52062585296278</v>
      </c>
      <c r="P18" s="372">
        <f>+'2025'!$AJ$4</f>
        <v>528.96335222460175</v>
      </c>
      <c r="Q18" s="372">
        <f>+'2025'!$AK$3</f>
        <v>-3.6392921118243464</v>
      </c>
      <c r="R18" s="372">
        <f>+'2025'!$AK$4</f>
        <v>165.71781638998345</v>
      </c>
      <c r="S18" s="889"/>
      <c r="T18" s="889"/>
    </row>
    <row r="19" spans="1:30" s="19" customFormat="1" ht="12.75" x14ac:dyDescent="0.2">
      <c r="A19" s="364">
        <f>'2026'!An</f>
        <v>2026</v>
      </c>
      <c r="B19" s="365">
        <f>'2026'!Prod_an</f>
        <v>10201.692806810939</v>
      </c>
      <c r="C19" s="145">
        <f>'2026'!Wh_Psa</f>
        <v>680.83915922456083</v>
      </c>
      <c r="D19" s="332">
        <f>'2026'!Wh_Pvg</f>
        <v>21.309460079939232</v>
      </c>
      <c r="E19" s="365">
        <f>C19+D19</f>
        <v>702.14861930450002</v>
      </c>
      <c r="F19" s="365">
        <f>B19+E19</f>
        <v>10903.841426115439</v>
      </c>
      <c r="G19" s="365">
        <f>'2026'!F$9</f>
        <v>11663.260208182624</v>
      </c>
      <c r="H19" s="145">
        <f>'2026'!Wh_gain_sa</f>
        <v>617.77226155945425</v>
      </c>
      <c r="I19" s="332">
        <f>'2026'!Wh_gain_vg</f>
        <v>284.96604432968928</v>
      </c>
      <c r="J19" s="365">
        <f>'2026'!Prod_an_s</f>
        <v>9257.7474546141548</v>
      </c>
      <c r="K19" s="885">
        <f>IF('2026'!Acti_net,'2026'!Tnet,"")</f>
        <v>46142</v>
      </c>
      <c r="L19" s="886" t="str">
        <f>IF('2026'!Acti_tai,'2026'!Ttai,"")</f>
        <v/>
      </c>
      <c r="M19" s="897">
        <f t="shared" si="3"/>
        <v>626.74036515095281</v>
      </c>
      <c r="N19" s="898">
        <f t="shared" si="4"/>
        <v>165.71781638998345</v>
      </c>
      <c r="O19" s="372">
        <f>+'2026'!$AJ$3</f>
        <v>97.777012926351006</v>
      </c>
      <c r="P19" s="372">
        <f>+'2026'!$AJ$4</f>
        <v>519.80646365310474</v>
      </c>
      <c r="Q19" s="372">
        <f>+'2026'!$AK$3</f>
        <v>0</v>
      </c>
      <c r="R19" s="372">
        <f>+'2026'!$AK$4</f>
        <v>284.96604432968928</v>
      </c>
      <c r="S19" s="889"/>
      <c r="T19" s="889"/>
    </row>
    <row r="20" spans="1:30" s="19" customFormat="1" ht="12.75" x14ac:dyDescent="0.2">
      <c r="A20" s="364">
        <f>'2027'!An</f>
        <v>2027</v>
      </c>
      <c r="B20" s="365">
        <f>'2027'!Prod_an</f>
        <v>10083.124926886461</v>
      </c>
      <c r="C20" s="145">
        <f>'2027'!Wh_Psa</f>
        <v>672.36578832112446</v>
      </c>
      <c r="D20" s="332">
        <f>'2027'!Wh_Pvg</f>
        <v>42.200234656626883</v>
      </c>
      <c r="E20" s="365">
        <f>C20+D20</f>
        <v>714.56602297775135</v>
      </c>
      <c r="F20" s="365">
        <f>B20+E20</f>
        <v>10797.690949864213</v>
      </c>
      <c r="G20" s="365">
        <f>'2027'!F$9</f>
        <v>11649.717949675918</v>
      </c>
      <c r="H20" s="145">
        <f>'2027'!Wh_gain_sa</f>
        <v>604.58837856416812</v>
      </c>
      <c r="I20" s="332">
        <f>'2027'!Wh_gain_vg</f>
        <v>323.71355879971907</v>
      </c>
      <c r="J20" s="365">
        <f>'2027'!Prod_an_s</f>
        <v>9106.6618113098521</v>
      </c>
      <c r="K20" s="885">
        <f>IF('2027'!Acti_net,'2027'!Tnet,"")</f>
        <v>46507</v>
      </c>
      <c r="L20" s="886" t="str">
        <f>IF('2027'!Acti_tai,'2027'!Ttai,"")</f>
        <v/>
      </c>
      <c r="M20" s="897">
        <f t="shared" si="3"/>
        <v>613.48816837809113</v>
      </c>
      <c r="N20" s="898">
        <f t="shared" si="4"/>
        <v>450.68386071967274</v>
      </c>
      <c r="O20" s="372">
        <f>+'2027'!$AJ$3</f>
        <v>93.681704724986446</v>
      </c>
      <c r="P20" s="372">
        <f>+'2027'!$AJ$4</f>
        <v>510.71966364421951</v>
      </c>
      <c r="Q20" s="372">
        <f>+'2027'!$AK$3</f>
        <v>0</v>
      </c>
      <c r="R20" s="372">
        <f>+'2027'!$AK$4</f>
        <v>323.71355879971907</v>
      </c>
      <c r="S20" s="889"/>
      <c r="T20" s="889"/>
    </row>
    <row r="21" spans="1:30" s="19" customFormat="1" ht="12.75" x14ac:dyDescent="0.2">
      <c r="A21" s="724"/>
      <c r="B21" s="725"/>
      <c r="C21" s="726"/>
      <c r="D21" s="723"/>
      <c r="E21" s="725"/>
      <c r="F21" s="725"/>
      <c r="G21" s="725"/>
      <c r="H21" s="726"/>
      <c r="I21" s="723"/>
      <c r="J21" s="725"/>
      <c r="K21" s="901"/>
      <c r="L21" s="902"/>
      <c r="M21" s="891"/>
      <c r="N21" s="892"/>
      <c r="O21" s="10"/>
      <c r="P21" s="10"/>
      <c r="Q21" s="10"/>
      <c r="R21" s="10"/>
      <c r="S21" s="889"/>
      <c r="T21" s="889"/>
    </row>
    <row r="22" spans="1:30" s="19" customFormat="1" ht="12.75" x14ac:dyDescent="0.2">
      <c r="A22" s="724"/>
      <c r="B22" s="725"/>
      <c r="C22" s="726"/>
      <c r="D22" s="723"/>
      <c r="E22" s="725"/>
      <c r="F22" s="725"/>
      <c r="G22" s="725"/>
      <c r="H22" s="726"/>
      <c r="I22" s="723"/>
      <c r="J22" s="725"/>
      <c r="K22" s="901"/>
      <c r="L22" s="902"/>
      <c r="M22" s="891"/>
      <c r="N22" s="892"/>
      <c r="O22" s="10"/>
      <c r="P22" s="890"/>
      <c r="Q22" s="10"/>
      <c r="R22" s="890"/>
      <c r="S22" s="889"/>
      <c r="T22" s="889"/>
    </row>
    <row r="23" spans="1:30" s="19" customFormat="1" ht="12.75" x14ac:dyDescent="0.2">
      <c r="A23" s="724"/>
      <c r="B23" s="725"/>
      <c r="C23" s="726"/>
      <c r="D23" s="723"/>
      <c r="E23" s="725"/>
      <c r="F23" s="725"/>
      <c r="G23" s="725"/>
      <c r="H23" s="726"/>
      <c r="I23" s="723"/>
      <c r="J23" s="725"/>
      <c r="K23" s="901"/>
      <c r="L23" s="902"/>
      <c r="M23" s="891"/>
      <c r="N23" s="892"/>
      <c r="O23" s="10"/>
      <c r="P23" s="890"/>
      <c r="Q23" s="10"/>
      <c r="S23" s="889"/>
      <c r="T23" s="889"/>
    </row>
    <row r="24" spans="1:30" s="19" customFormat="1" ht="12.75" x14ac:dyDescent="0.2">
      <c r="A24" s="724"/>
      <c r="B24" s="725"/>
      <c r="C24" s="726"/>
      <c r="D24" s="723"/>
      <c r="E24" s="725"/>
      <c r="F24" s="725"/>
      <c r="G24" s="725"/>
      <c r="H24" s="726"/>
      <c r="I24" s="723"/>
      <c r="J24" s="725"/>
      <c r="K24" s="901"/>
      <c r="L24" s="902"/>
      <c r="M24" s="891"/>
      <c r="N24" s="892"/>
      <c r="O24" s="10"/>
      <c r="P24" s="890"/>
      <c r="Q24" s="10"/>
      <c r="R24" s="890"/>
      <c r="S24" s="889"/>
      <c r="T24" s="889"/>
    </row>
    <row r="25" spans="1:30" s="19" customFormat="1" ht="12.75" x14ac:dyDescent="0.2">
      <c r="A25" s="724"/>
      <c r="B25" s="725"/>
      <c r="C25" s="726"/>
      <c r="D25" s="723"/>
      <c r="E25" s="725"/>
      <c r="F25" s="725"/>
      <c r="G25" s="725"/>
      <c r="H25" s="726"/>
      <c r="I25" s="723"/>
      <c r="J25" s="725"/>
      <c r="K25" s="901"/>
      <c r="L25" s="902"/>
      <c r="M25" s="891"/>
      <c r="N25" s="892"/>
      <c r="O25" s="10"/>
      <c r="P25" s="890"/>
      <c r="Q25" s="10"/>
      <c r="R25" s="890"/>
      <c r="S25" s="889"/>
      <c r="T25" s="889"/>
    </row>
    <row r="26" spans="1:30" s="19" customFormat="1" ht="12.75" x14ac:dyDescent="0.2">
      <c r="A26" s="724"/>
      <c r="B26" s="725"/>
      <c r="C26" s="726"/>
      <c r="D26" s="723"/>
      <c r="E26" s="725"/>
      <c r="F26" s="725"/>
      <c r="G26" s="725"/>
      <c r="H26" s="726"/>
      <c r="I26" s="723"/>
      <c r="J26" s="725"/>
      <c r="K26" s="901"/>
      <c r="L26" s="902"/>
      <c r="M26" s="891"/>
      <c r="N26" s="892"/>
      <c r="O26" s="10"/>
      <c r="P26" s="890"/>
      <c r="Q26" s="10"/>
      <c r="R26" s="890"/>
      <c r="S26" s="889"/>
      <c r="T26" s="889"/>
    </row>
    <row r="27" spans="1:30" s="19" customFormat="1" ht="12.75" x14ac:dyDescent="0.2">
      <c r="A27" s="724"/>
      <c r="B27" s="725"/>
      <c r="C27" s="726"/>
      <c r="D27" s="723"/>
      <c r="E27" s="725"/>
      <c r="F27" s="725"/>
      <c r="G27" s="725"/>
      <c r="H27" s="726"/>
      <c r="I27" s="723"/>
      <c r="J27" s="725"/>
      <c r="K27" s="901"/>
      <c r="L27" s="902"/>
      <c r="M27" s="891"/>
      <c r="N27" s="892"/>
      <c r="O27" s="10"/>
      <c r="P27" s="890"/>
      <c r="Q27" s="10"/>
      <c r="R27" s="890"/>
      <c r="S27" s="889"/>
      <c r="T27" s="889"/>
    </row>
    <row r="28" spans="1:30" s="19" customFormat="1" ht="12.75" x14ac:dyDescent="0.2">
      <c r="A28" s="724"/>
      <c r="B28" s="725"/>
      <c r="C28" s="726"/>
      <c r="D28" s="723"/>
      <c r="E28" s="725"/>
      <c r="F28" s="725"/>
      <c r="G28" s="725"/>
      <c r="H28" s="726"/>
      <c r="I28" s="723"/>
      <c r="J28" s="725"/>
      <c r="K28" s="901"/>
      <c r="L28" s="902"/>
      <c r="M28" s="891"/>
      <c r="N28" s="892"/>
      <c r="O28" s="10"/>
      <c r="P28" s="10"/>
      <c r="Q28" s="10"/>
      <c r="R28" s="10"/>
      <c r="S28" s="889"/>
      <c r="T28" s="889"/>
    </row>
    <row r="29" spans="1:30" s="19" customFormat="1" ht="12.75" x14ac:dyDescent="0.2">
      <c r="A29" s="724"/>
      <c r="B29" s="725"/>
      <c r="C29" s="726"/>
      <c r="D29" s="723"/>
      <c r="E29" s="725"/>
      <c r="F29" s="725"/>
      <c r="G29" s="725"/>
      <c r="H29" s="726"/>
      <c r="I29" s="723"/>
      <c r="J29" s="725"/>
      <c r="K29" s="901"/>
      <c r="L29" s="902"/>
      <c r="M29" s="891"/>
      <c r="N29" s="892"/>
      <c r="O29" s="10"/>
      <c r="P29" s="10"/>
      <c r="Q29" s="10"/>
      <c r="R29" s="10"/>
      <c r="S29" s="889"/>
      <c r="T29" s="889"/>
    </row>
    <row r="30" spans="1:30" s="19" customFormat="1" ht="12.75" x14ac:dyDescent="0.2">
      <c r="A30" s="727"/>
      <c r="B30" s="728"/>
      <c r="C30" s="729"/>
      <c r="D30" s="730"/>
      <c r="E30" s="728"/>
      <c r="F30" s="728"/>
      <c r="G30" s="728"/>
      <c r="H30" s="729"/>
      <c r="I30" s="730"/>
      <c r="J30" s="728"/>
      <c r="K30" s="903"/>
      <c r="L30" s="904"/>
      <c r="M30" s="893"/>
      <c r="N30" s="894"/>
      <c r="O30" s="10"/>
      <c r="P30" s="10"/>
      <c r="Q30" s="10"/>
      <c r="R30" s="10"/>
      <c r="S30" s="889"/>
      <c r="T30" s="889"/>
      <c r="AD30" s="30"/>
    </row>
    <row r="31" spans="1:30" s="4" customFormat="1" x14ac:dyDescent="0.25">
      <c r="A31" s="907" t="s">
        <v>361</v>
      </c>
      <c r="B31" s="908">
        <f>SUM(B11:B16)/1000</f>
        <v>51.987999729766393</v>
      </c>
      <c r="C31" s="909">
        <f t="shared" ref="C31:J31" si="5">SUM(C11:C16)/1000</f>
        <v>4.9359463492864029</v>
      </c>
      <c r="D31" s="910">
        <f t="shared" si="5"/>
        <v>0.40665297046172033</v>
      </c>
      <c r="E31" s="908">
        <f t="shared" si="5"/>
        <v>5.3425993197481221</v>
      </c>
      <c r="F31" s="908">
        <f t="shared" si="5"/>
        <v>57.330599049514525</v>
      </c>
      <c r="G31" s="908">
        <f t="shared" si="5"/>
        <v>58.760134346502895</v>
      </c>
      <c r="H31" s="909">
        <f t="shared" si="5"/>
        <v>1.5544015327323779</v>
      </c>
      <c r="I31" s="910">
        <f t="shared" si="5"/>
        <v>-1.7083245512879316E-2</v>
      </c>
      <c r="J31" s="908">
        <f t="shared" si="5"/>
        <v>50.429491240911929</v>
      </c>
      <c r="K31" s="1195" t="s">
        <v>10</v>
      </c>
      <c r="L31" s="3"/>
      <c r="M31" s="1196" t="s">
        <v>356</v>
      </c>
      <c r="N31" s="1196" t="s">
        <v>357</v>
      </c>
      <c r="O31" s="1196" t="s">
        <v>357</v>
      </c>
      <c r="P31" s="3"/>
      <c r="Q31" s="3"/>
      <c r="R31" s="77"/>
      <c r="S31" s="134"/>
      <c r="T31" s="77"/>
      <c r="U31" s="77"/>
      <c r="V31" s="77"/>
      <c r="W31" s="77"/>
      <c r="X31" s="911"/>
      <c r="Y31" s="3"/>
      <c r="Z31" s="3"/>
      <c r="AA31" s="3"/>
      <c r="AB31" s="3"/>
    </row>
    <row r="32" spans="1:30" ht="15.75" x14ac:dyDescent="0.25">
      <c r="A32" s="1200" t="s">
        <v>362</v>
      </c>
      <c r="B32" s="1201">
        <f>IF(K17&lt;&gt;"",B16-H17-C17+C16-D17+D16,B17)</f>
        <v>9622.0762094727343</v>
      </c>
      <c r="J32" s="358" t="s">
        <v>256</v>
      </c>
      <c r="K32" s="68">
        <f>[1]!Inter_net</f>
        <v>1</v>
      </c>
      <c r="L32" s="68">
        <f>[1]!Inter_tai</f>
        <v>7</v>
      </c>
      <c r="M32" s="1197">
        <f>Inter_net</f>
        <v>1</v>
      </c>
      <c r="N32" s="1197">
        <f>CHOOSE(Inter_net,N33,N34,N35,N36)</f>
        <v>579.82513765409738</v>
      </c>
      <c r="O32" s="1202">
        <f>CHOOSE(Inter_net,O33,O34,O35,O36)</f>
        <v>6.025987791317549E-2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282</v>
      </c>
      <c r="B33" s="1141">
        <f t="shared" ref="B33:J33" si="6">AVERAGE(B35:B54)</f>
        <v>4.0637592177166768E-2</v>
      </c>
      <c r="C33" s="1142">
        <f t="shared" si="6"/>
        <v>7.9151763438256334E-2</v>
      </c>
      <c r="D33" s="1143">
        <f t="shared" si="6"/>
        <v>8.0178577448906843E-2</v>
      </c>
      <c r="E33" s="1141">
        <f t="shared" si="6"/>
        <v>3.8698243559869595E-2</v>
      </c>
      <c r="F33" s="1142">
        <f t="shared" si="6"/>
        <v>7.5022878256273268E-2</v>
      </c>
      <c r="G33" s="1143">
        <f t="shared" si="6"/>
        <v>6.9763088803496878E-3</v>
      </c>
      <c r="H33" s="1144">
        <f t="shared" si="6"/>
        <v>4.0695919499429696E-2</v>
      </c>
      <c r="I33" s="1145">
        <f t="shared" si="6"/>
        <v>6.5729130669423012E-3</v>
      </c>
      <c r="J33" s="1146">
        <f t="shared" si="6"/>
        <v>0.11232414508017396</v>
      </c>
      <c r="K33" s="344"/>
      <c r="L33" s="21"/>
      <c r="M33" s="372">
        <v>1</v>
      </c>
      <c r="N33" s="1203">
        <f>O33*$B$32</f>
        <v>579.82513765409738</v>
      </c>
      <c r="O33" s="1204">
        <f>AVERAGE(H19:H20)/AVERAGE(B19:B20)</f>
        <v>6.025987791317549E-2</v>
      </c>
      <c r="P33" s="15"/>
    </row>
    <row r="34" spans="1:28" s="242" customFormat="1" ht="41.25" customHeight="1" x14ac:dyDescent="0.2">
      <c r="A34" s="176" t="s">
        <v>52</v>
      </c>
      <c r="B34" s="1147" t="s">
        <v>342</v>
      </c>
      <c r="C34" s="1148" t="s">
        <v>343</v>
      </c>
      <c r="D34" s="1149" t="s">
        <v>344</v>
      </c>
      <c r="E34" s="1147" t="s">
        <v>345</v>
      </c>
      <c r="F34" s="334" t="s">
        <v>346</v>
      </c>
      <c r="G34" s="335" t="s">
        <v>347</v>
      </c>
      <c r="H34" s="334" t="s">
        <v>348</v>
      </c>
      <c r="I34" s="335" t="s">
        <v>349</v>
      </c>
      <c r="J34" s="176" t="s">
        <v>350</v>
      </c>
      <c r="K34" s="334" t="s">
        <v>351</v>
      </c>
      <c r="L34" s="334" t="s">
        <v>352</v>
      </c>
      <c r="M34" s="372">
        <v>2</v>
      </c>
      <c r="N34" s="1205">
        <f>O34*$B$32</f>
        <v>579.82513765409738</v>
      </c>
      <c r="O34" s="1206">
        <f>AVERAGE(H19:H20)/AVERAGE(B19:B20)</f>
        <v>6.025987791317549E-2</v>
      </c>
      <c r="P34" s="100"/>
      <c r="Q34" s="100"/>
      <c r="R34" s="100"/>
      <c r="S34" s="100"/>
      <c r="T34" s="100"/>
      <c r="U34" s="243"/>
      <c r="V34" s="243"/>
      <c r="W34" s="243"/>
      <c r="X34" s="244"/>
      <c r="Y34" s="241"/>
      <c r="Z34" s="241"/>
      <c r="AA34" s="241"/>
      <c r="AB34" s="241"/>
    </row>
    <row r="35" spans="1:28" s="19" customFormat="1" ht="12.75" x14ac:dyDescent="0.2">
      <c r="A35" s="142">
        <f>A11</f>
        <v>2018</v>
      </c>
      <c r="B35" s="1150">
        <f>'2018'!L$379</f>
        <v>3.5310543301907416E-3</v>
      </c>
      <c r="C35" s="1151">
        <f>'2018'!O$379</f>
        <v>3.2262224656483263E-2</v>
      </c>
      <c r="D35" s="1152">
        <f>'2018'!P$379</f>
        <v>1.0473892923201137E-2</v>
      </c>
      <c r="E35" s="1150">
        <f>'2018'!Wh_Ppv/Recap!B11</f>
        <v>2.2617185136911489E-3</v>
      </c>
      <c r="F35" s="1151">
        <f>'2018'!Wh_Psa/'2018'!D$9</f>
        <v>2.2338239950172905E-2</v>
      </c>
      <c r="G35" s="1152">
        <f>'2018'!Wh_Pvg/'2018'!E$9</f>
        <v>3.3864388474925816E-3</v>
      </c>
      <c r="H35" s="1153">
        <f>H11/'2018'!Z$9</f>
        <v>0</v>
      </c>
      <c r="I35" s="1154">
        <f>I11/'2018'!AA$9</f>
        <v>0</v>
      </c>
      <c r="J35" s="1155">
        <f>1-B11/G11</f>
        <v>2.7480409317383492E-2</v>
      </c>
      <c r="K35" s="883" t="str">
        <f>K11</f>
        <v/>
      </c>
      <c r="L35" s="1156">
        <f>(K35&lt;&gt;"")*('2018'!O$383-'2018'!O$381)</f>
        <v>0</v>
      </c>
      <c r="M35" s="372">
        <v>3</v>
      </c>
      <c r="N35" s="1205">
        <f>O35*$B$32</f>
        <v>587.0502826483845</v>
      </c>
      <c r="O35" s="1206">
        <f>AVERAGE(H18:H20)/AVERAGE(B18:B20)</f>
        <v>6.1010770427119013E-2</v>
      </c>
      <c r="P35" s="372"/>
      <c r="Q35" s="372"/>
      <c r="R35" s="372"/>
      <c r="S35" s="889"/>
      <c r="T35" s="889"/>
    </row>
    <row r="36" spans="1:28" s="19" customFormat="1" ht="12.75" x14ac:dyDescent="0.2">
      <c r="A36" s="144">
        <f t="shared" ref="A36:A44" si="7">A12</f>
        <v>2019</v>
      </c>
      <c r="B36" s="1141">
        <f>'2019'!L$379</f>
        <v>1.1959396366868713E-2</v>
      </c>
      <c r="C36" s="1142">
        <f>'2019'!O$379</f>
        <v>9.094393619497694E-2</v>
      </c>
      <c r="D36" s="1143">
        <f>'2019'!P$379</f>
        <v>3.2024447909223271E-2</v>
      </c>
      <c r="E36" s="1141">
        <f>'2019'!Wh_Ppv/Recap!B12</f>
        <v>7.610457035857404E-3</v>
      </c>
      <c r="F36" s="1142">
        <f>'2019'!Wh_Psa/'2019'!D$9</f>
        <v>7.0713003173555944E-2</v>
      </c>
      <c r="G36" s="1143">
        <f>'2019'!Wh_Pvg/'2019'!E$9</f>
        <v>1.8037632055679191E-3</v>
      </c>
      <c r="H36" s="1157">
        <f>H12/'2019'!Z$9</f>
        <v>0</v>
      </c>
      <c r="I36" s="1158">
        <f>I12/'2019'!AA$9</f>
        <v>0</v>
      </c>
      <c r="J36" s="1159">
        <f t="shared" ref="J36:J44" si="8">1-B12/G12</f>
        <v>7.536296659212538E-2</v>
      </c>
      <c r="K36" s="885" t="str">
        <f t="shared" ref="K36:K44" si="9">K12</f>
        <v/>
      </c>
      <c r="L36" s="1160">
        <f>(K36&lt;&gt;"")*('2019'!O$383-'2019'!O$381)</f>
        <v>0</v>
      </c>
      <c r="M36" s="372">
        <v>4</v>
      </c>
      <c r="N36" s="1205">
        <f>O36*$B$32</f>
        <v>583.11086929521196</v>
      </c>
      <c r="O36" s="1206">
        <f>AVERAGE(H17:H20)/AVERAGE(B17:B20)</f>
        <v>6.0601356360195049E-2</v>
      </c>
      <c r="P36" s="372"/>
      <c r="Q36" s="372"/>
      <c r="R36" s="372"/>
      <c r="S36" s="889"/>
      <c r="T36" s="889"/>
    </row>
    <row r="37" spans="1:28" s="19" customFormat="1" ht="12.75" x14ac:dyDescent="0.2">
      <c r="A37" s="144">
        <f t="shared" si="7"/>
        <v>2020</v>
      </c>
      <c r="B37" s="1141">
        <f>'2020'!L$379</f>
        <v>2.0316449729879449E-2</v>
      </c>
      <c r="C37" s="1142">
        <f>'2020'!O$379</f>
        <v>0.12206062326046031</v>
      </c>
      <c r="D37" s="1143">
        <f>'2020'!P$379</f>
        <v>5.7737475420914453E-2</v>
      </c>
      <c r="E37" s="1141">
        <f>'2020'!Wh_Ppv/Recap!B13</f>
        <v>1.6190377660076076E-2</v>
      </c>
      <c r="F37" s="1142">
        <f>'2020'!Wh_Psa/'2020'!D$9</f>
        <v>0.12771989740558692</v>
      </c>
      <c r="G37" s="1143">
        <f>'2020'!Wh_Pvg/'2020'!E$9</f>
        <v>3.7777841407905031E-3</v>
      </c>
      <c r="H37" s="1157">
        <f>H13/'2020'!Z$9</f>
        <v>0</v>
      </c>
      <c r="I37" s="1158">
        <f>I13/'2020'!AA$9</f>
        <v>0</v>
      </c>
      <c r="J37" s="1159">
        <f t="shared" si="8"/>
        <v>0.13274158934144942</v>
      </c>
      <c r="K37" s="885" t="str">
        <f t="shared" si="9"/>
        <v/>
      </c>
      <c r="L37" s="1160">
        <f>(K37&lt;&gt;"")*('2020'!O$383-'2020'!O$381)</f>
        <v>0</v>
      </c>
      <c r="M37" s="372"/>
      <c r="N37" s="1207" t="s">
        <v>358</v>
      </c>
      <c r="O37" s="1208"/>
      <c r="P37" s="372"/>
      <c r="Q37" s="372"/>
      <c r="R37" s="372"/>
      <c r="S37" s="889"/>
      <c r="T37" s="889"/>
    </row>
    <row r="38" spans="1:28" s="19" customFormat="1" ht="12.75" x14ac:dyDescent="0.2">
      <c r="A38" s="144">
        <f t="shared" si="7"/>
        <v>2021</v>
      </c>
      <c r="B38" s="1141">
        <f>'2021'!L$379</f>
        <v>2.8625423225242974E-2</v>
      </c>
      <c r="C38" s="1142">
        <f>'2021'!O$379</f>
        <v>0.10375460307887995</v>
      </c>
      <c r="D38" s="1143">
        <f>'2021'!P$379</f>
        <v>8.6536582315209248E-2</v>
      </c>
      <c r="E38" s="1141">
        <f>'2021'!Wh_Ppv/Recap!B14</f>
        <v>2.4963679292763781E-2</v>
      </c>
      <c r="F38" s="1142">
        <f>'2021'!Wh_Psa/'2021'!D$9</f>
        <v>8.6628355225119927E-2</v>
      </c>
      <c r="G38" s="1143">
        <f>'2021'!Wh_Pvg/'2021'!E$9</f>
        <v>6.4286789525572511E-3</v>
      </c>
      <c r="H38" s="1157">
        <f>H14/'2021'!Z$9</f>
        <v>6.7072754105821697E-2</v>
      </c>
      <c r="I38" s="1158">
        <f>I14/'2021'!AA$9</f>
        <v>-4.1328067415899314E-4</v>
      </c>
      <c r="J38" s="1159">
        <f t="shared" si="8"/>
        <v>0.11030237021842959</v>
      </c>
      <c r="K38" s="885">
        <f t="shared" si="9"/>
        <v>44306</v>
      </c>
      <c r="L38" s="1160">
        <f>(K38&lt;&gt;"")*('2021'!O$383-'2021'!O$381)</f>
        <v>0.10287433262255685</v>
      </c>
      <c r="M38" s="372"/>
      <c r="N38" s="372"/>
      <c r="O38" s="372"/>
      <c r="P38" s="372"/>
      <c r="Q38" s="372"/>
      <c r="R38" s="372"/>
      <c r="S38" s="889"/>
      <c r="T38" s="889"/>
    </row>
    <row r="39" spans="1:28" s="19" customFormat="1" ht="12.75" x14ac:dyDescent="0.2">
      <c r="A39" s="144">
        <f t="shared" si="7"/>
        <v>2022</v>
      </c>
      <c r="B39" s="1141">
        <f>'2022'!L$379</f>
        <v>3.684151185938267E-2</v>
      </c>
      <c r="C39" s="1142">
        <f>'2022'!O$379</f>
        <v>3.9843868227822786E-2</v>
      </c>
      <c r="D39" s="1143">
        <f>'2022'!P$379</f>
        <v>0.1289388961003638</v>
      </c>
      <c r="E39" s="1141">
        <f>'2022'!Wh_Ppv/Recap!B15</f>
        <v>3.3335860331915448E-2</v>
      </c>
      <c r="F39" s="1142">
        <f>'2022'!Wh_Psa/'2022'!D$9</f>
        <v>0.13972581590977767</v>
      </c>
      <c r="G39" s="1143">
        <f>'2022'!Wh_Pvg/'2022'!E$9</f>
        <v>9.6013416817634055E-3</v>
      </c>
      <c r="H39" s="1157">
        <f>H15/'2022'!Z$9</f>
        <v>3.8560256060623979E-2</v>
      </c>
      <c r="I39" s="1158">
        <f>I15/'2022'!AA$9</f>
        <v>-3.7178573121267636E-4</v>
      </c>
      <c r="J39" s="1159">
        <f t="shared" si="8"/>
        <v>0.16385098371928519</v>
      </c>
      <c r="K39" s="885">
        <f t="shared" si="9"/>
        <v>44854</v>
      </c>
      <c r="L39" s="1160">
        <f>(K39&lt;&gt;"")*('2022'!O$383-'2022'!O$381)</f>
        <v>0.12287224511935209</v>
      </c>
      <c r="M39" s="372"/>
      <c r="N39" s="372"/>
      <c r="O39" s="372"/>
      <c r="P39" s="372"/>
      <c r="Q39" s="372"/>
      <c r="R39" s="372"/>
      <c r="S39" s="889"/>
      <c r="T39" s="889"/>
    </row>
    <row r="40" spans="1:28" s="19" customFormat="1" ht="12.75" x14ac:dyDescent="0.2">
      <c r="A40" s="366">
        <f t="shared" si="7"/>
        <v>2023</v>
      </c>
      <c r="B40" s="1161">
        <f>'2023'!L$379</f>
        <v>4.4988107103373975E-2</v>
      </c>
      <c r="C40" s="1162">
        <f>'2023'!O$379</f>
        <v>8.0566055021326258E-2</v>
      </c>
      <c r="D40" s="1163">
        <f>'2023'!P$379</f>
        <v>0.17217090111475211</v>
      </c>
      <c r="E40" s="1161">
        <f>'2023'!Wh_Ppv/Recap!B16</f>
        <v>4.2528889902709525E-2</v>
      </c>
      <c r="F40" s="1162">
        <f>'2023'!Wh_Psa/'2023'!D$9</f>
        <v>5.305324348880603E-2</v>
      </c>
      <c r="G40" s="1163">
        <f>'2023'!Wh_Pvg/'2023'!E$9</f>
        <v>1.3723479727137253E-2</v>
      </c>
      <c r="H40" s="1164">
        <f>H16/'2023'!Z$9</f>
        <v>5.3213913557759583E-2</v>
      </c>
      <c r="I40" s="1165">
        <f>I16/'2023'!AA$9</f>
        <v>-7.2200983481947388E-4</v>
      </c>
      <c r="J40" s="1166">
        <f t="shared" si="8"/>
        <v>0.1045860106673826</v>
      </c>
      <c r="K40" s="887">
        <f t="shared" si="9"/>
        <v>45046</v>
      </c>
      <c r="L40" s="1167">
        <f>(K40&lt;&gt;"")*('2023'!O$383-'2023'!O$381)</f>
        <v>5.5012866075945493E-2</v>
      </c>
      <c r="M40" s="372"/>
      <c r="N40" s="372"/>
      <c r="O40" s="372"/>
      <c r="P40" s="372"/>
      <c r="Q40" s="372"/>
      <c r="R40" s="372"/>
      <c r="S40" s="889"/>
      <c r="T40" s="889"/>
    </row>
    <row r="41" spans="1:28" s="19" customFormat="1" ht="12.75" x14ac:dyDescent="0.2">
      <c r="A41" s="1168">
        <f t="shared" si="7"/>
        <v>2024</v>
      </c>
      <c r="B41" s="1169">
        <f>'2024'!L$379</f>
        <v>5.3065796746795235E-2</v>
      </c>
      <c r="C41" s="1170">
        <f>'2024'!O$379</f>
        <v>8.0388158878635013E-2</v>
      </c>
      <c r="D41" s="1171">
        <f>'2024'!P$379</f>
        <v>0.21679999714967699</v>
      </c>
      <c r="E41" s="1169">
        <f>'2024'!Wh_Ppv/Recap!B17</f>
        <v>5.1448613770095429E-2</v>
      </c>
      <c r="F41" s="1170">
        <f>'2024'!Wh_Psa/'2024'!D$9</f>
        <v>6.3190917952528514E-2</v>
      </c>
      <c r="G41" s="1171">
        <f>'2024'!Wh_Pvg/'2024'!E$9</f>
        <v>1.8038338172963873E-2</v>
      </c>
      <c r="H41" s="1169">
        <f>H17/'2024'!Z$9</f>
        <v>6.0024996235706646E-2</v>
      </c>
      <c r="I41" s="1172">
        <f>I17/'2024'!AA$9</f>
        <v>-1.0704190011959003E-3</v>
      </c>
      <c r="J41" s="1171">
        <f t="shared" si="8"/>
        <v>0.12586585677293782</v>
      </c>
      <c r="K41" s="885">
        <f t="shared" si="9"/>
        <v>45412</v>
      </c>
      <c r="L41" s="1160">
        <f>(K41&lt;&gt;"")*('2024'!O$383-'2024'!O$381)</f>
        <v>7.6124250129628993E-2</v>
      </c>
      <c r="M41" s="372"/>
      <c r="N41" s="372"/>
      <c r="O41" s="372"/>
      <c r="P41" s="372"/>
      <c r="Q41" s="372"/>
      <c r="R41" s="372"/>
      <c r="S41" s="889"/>
      <c r="T41" s="889"/>
    </row>
    <row r="42" spans="1:28" s="19" customFormat="1" ht="12.75" x14ac:dyDescent="0.2">
      <c r="A42" s="1168">
        <f t="shared" si="7"/>
        <v>2025</v>
      </c>
      <c r="B42" s="1169">
        <f>'2025'!L$379</f>
        <v>6.1097013760201824E-2</v>
      </c>
      <c r="C42" s="1170">
        <f>'2025'!O$379</f>
        <v>8.0566055021326258E-2</v>
      </c>
      <c r="D42" s="1171">
        <f>'2025'!P$379</f>
        <v>9.9504472830650934E-3</v>
      </c>
      <c r="E42" s="1169">
        <f>'2025'!Wh_Ppv/Recap!B18</f>
        <v>6.0508272032358375E-2</v>
      </c>
      <c r="F42" s="1170">
        <f>'2025'!Wh_Psa/'2025'!D$9</f>
        <v>6.2637310636263668E-2</v>
      </c>
      <c r="G42" s="1171">
        <f>'2025'!Wh_Pvg/'2025'!E$9</f>
        <v>7.534802931516398E-3</v>
      </c>
      <c r="H42" s="1169">
        <f>H18/'2025'!Z$9</f>
        <v>6.4139809971983944E-2</v>
      </c>
      <c r="I42" s="1172">
        <f>I18/'2025'!AA$9</f>
        <v>1.4161756492662601E-2</v>
      </c>
      <c r="J42" s="1171">
        <f t="shared" si="8"/>
        <v>0.12326270916863502</v>
      </c>
      <c r="K42" s="885">
        <f t="shared" si="9"/>
        <v>45777</v>
      </c>
      <c r="L42" s="1160">
        <f>(K42&lt;&gt;"")*('2025'!O$383-'2025'!O$381)</f>
        <v>7.5905342544370119E-2</v>
      </c>
      <c r="M42" s="372"/>
      <c r="N42" s="372"/>
      <c r="O42" s="372"/>
      <c r="P42" s="372"/>
      <c r="Q42" s="372"/>
      <c r="R42" s="372"/>
      <c r="S42" s="889"/>
      <c r="T42" s="889"/>
    </row>
    <row r="43" spans="1:28" s="19" customFormat="1" ht="12.75" x14ac:dyDescent="0.2">
      <c r="A43" s="1168">
        <f t="shared" si="7"/>
        <v>2026</v>
      </c>
      <c r="B43" s="1169">
        <f>'2026'!L$379</f>
        <v>6.903845091353733E-2</v>
      </c>
      <c r="C43" s="1170">
        <f>'2026'!O$379</f>
        <v>8.0566055021326258E-2</v>
      </c>
      <c r="D43" s="1171">
        <f>'2026'!P$379</f>
        <v>3.0854929527337701E-2</v>
      </c>
      <c r="E43" s="1169">
        <f>'2026'!Wh_Ppv/Recap!B19</f>
        <v>6.9507410723243582E-2</v>
      </c>
      <c r="F43" s="1170">
        <f>'2026'!Wh_Psa/'2026'!D$9</f>
        <v>6.2400559918874256E-2</v>
      </c>
      <c r="G43" s="1171">
        <f>'2026'!Wh_Pvg/'2026'!E$9</f>
        <v>1.8308750076622413E-3</v>
      </c>
      <c r="H43" s="1169">
        <f>H19/'2026'!Z$9</f>
        <v>6.2395394775097764E-2</v>
      </c>
      <c r="I43" s="1172">
        <f>I19/'2026'!AA$9</f>
        <v>2.5241108850347003E-2</v>
      </c>
      <c r="J43" s="1171">
        <f t="shared" si="8"/>
        <v>0.1253137952239366</v>
      </c>
      <c r="K43" s="885">
        <f t="shared" si="9"/>
        <v>46142</v>
      </c>
      <c r="L43" s="1160">
        <f>(K43&lt;&gt;"")*('2026'!O$383-'2026'!O$381)</f>
        <v>7.5905342544370119E-2</v>
      </c>
      <c r="M43" s="372"/>
      <c r="N43" s="372"/>
      <c r="O43" s="372"/>
      <c r="P43" s="372"/>
      <c r="Q43" s="372"/>
      <c r="R43" s="372"/>
      <c r="S43" s="889"/>
      <c r="T43" s="889"/>
    </row>
    <row r="44" spans="1:28" s="19" customFormat="1" ht="12.75" x14ac:dyDescent="0.2">
      <c r="A44" s="1168">
        <f t="shared" si="7"/>
        <v>2027</v>
      </c>
      <c r="B44" s="1169">
        <f>'2027'!L$379</f>
        <v>7.6912717736194791E-2</v>
      </c>
      <c r="C44" s="1170">
        <f>'2027'!O$379</f>
        <v>8.0566055021326258E-2</v>
      </c>
      <c r="D44" s="1171">
        <f>'2027'!P$379</f>
        <v>5.6298204745324681E-2</v>
      </c>
      <c r="E44" s="1169">
        <f>'2027'!Wh_Ppv/Recap!B20</f>
        <v>7.8627156335985132E-2</v>
      </c>
      <c r="F44" s="1170">
        <f>'2027'!Wh_Psa/'2027'!D$9</f>
        <v>6.1821438902046728E-2</v>
      </c>
      <c r="G44" s="1171">
        <f>'2027'!Wh_Pvg/'2027'!E$9</f>
        <v>3.6375861360454669E-3</v>
      </c>
      <c r="H44" s="1169">
        <f>H20/'2027'!Z$9</f>
        <v>6.1552070287303355E-2</v>
      </c>
      <c r="I44" s="1172">
        <f>I20/'2027'!AA$9</f>
        <v>2.890376056780046E-2</v>
      </c>
      <c r="J44" s="1171">
        <f t="shared" si="8"/>
        <v>0.13447475978017454</v>
      </c>
      <c r="K44" s="885">
        <f t="shared" si="9"/>
        <v>46507</v>
      </c>
      <c r="L44" s="1160">
        <f>(K44&lt;&gt;"")*('2027'!O$383-'2027'!O$381)</f>
        <v>7.5905342544370119E-2</v>
      </c>
      <c r="M44" s="372"/>
      <c r="N44" s="372"/>
      <c r="O44" s="372"/>
      <c r="P44" s="372"/>
      <c r="Q44" s="372"/>
      <c r="R44" s="372"/>
      <c r="S44" s="889"/>
      <c r="T44" s="889"/>
    </row>
    <row r="45" spans="1:28" s="19" customFormat="1" ht="12.75" x14ac:dyDescent="0.2">
      <c r="A45" s="724"/>
      <c r="B45" s="891"/>
      <c r="C45" s="1173"/>
      <c r="D45" s="1174"/>
      <c r="E45" s="891"/>
      <c r="F45" s="1173"/>
      <c r="G45" s="1174"/>
      <c r="H45" s="1175"/>
      <c r="I45" s="725"/>
      <c r="J45" s="1174"/>
      <c r="K45" s="901"/>
      <c r="L45" s="1174"/>
      <c r="M45" s="10"/>
      <c r="N45" s="10"/>
      <c r="O45" s="10"/>
      <c r="P45" s="10"/>
      <c r="Q45" s="10"/>
      <c r="R45" s="10"/>
      <c r="S45" s="889"/>
      <c r="T45" s="889"/>
    </row>
    <row r="46" spans="1:28" s="19" customFormat="1" ht="12.75" x14ac:dyDescent="0.2">
      <c r="A46" s="724"/>
      <c r="B46" s="891"/>
      <c r="C46" s="1173"/>
      <c r="D46" s="1174"/>
      <c r="E46" s="891"/>
      <c r="F46" s="1173"/>
      <c r="G46" s="1174"/>
      <c r="H46" s="1175"/>
      <c r="I46" s="725"/>
      <c r="J46" s="1174"/>
      <c r="K46" s="901"/>
      <c r="L46" s="1174"/>
      <c r="M46" s="10"/>
      <c r="N46" s="10"/>
      <c r="O46" s="10"/>
      <c r="P46" s="890"/>
      <c r="Q46" s="10"/>
      <c r="R46" s="890"/>
      <c r="S46" s="889"/>
      <c r="T46" s="889"/>
    </row>
    <row r="47" spans="1:28" s="19" customFormat="1" ht="12.75" x14ac:dyDescent="0.2">
      <c r="A47" s="724"/>
      <c r="B47" s="891"/>
      <c r="C47" s="1173"/>
      <c r="D47" s="1174"/>
      <c r="E47" s="891"/>
      <c r="F47" s="1173"/>
      <c r="G47" s="1174"/>
      <c r="H47" s="1175"/>
      <c r="I47" s="725"/>
      <c r="J47" s="1174"/>
      <c r="K47" s="901"/>
      <c r="L47" s="1174"/>
      <c r="M47" s="10"/>
      <c r="N47" s="10"/>
      <c r="O47" s="10"/>
      <c r="P47" s="890"/>
      <c r="Q47" s="10"/>
      <c r="S47" s="889"/>
      <c r="T47" s="889"/>
    </row>
    <row r="48" spans="1:28" s="19" customFormat="1" ht="12.75" x14ac:dyDescent="0.2">
      <c r="A48" s="724"/>
      <c r="B48" s="891"/>
      <c r="C48" s="1173"/>
      <c r="D48" s="1174"/>
      <c r="E48" s="891"/>
      <c r="F48" s="1173"/>
      <c r="G48" s="1174"/>
      <c r="H48" s="1175"/>
      <c r="I48" s="725"/>
      <c r="J48" s="1174"/>
      <c r="K48" s="901"/>
      <c r="L48" s="1174"/>
      <c r="M48" s="10"/>
      <c r="N48" s="10"/>
      <c r="O48" s="10"/>
      <c r="P48" s="890"/>
      <c r="Q48" s="10"/>
      <c r="R48" s="890"/>
      <c r="S48" s="889"/>
      <c r="T48" s="889"/>
    </row>
    <row r="49" spans="1:30" s="19" customFormat="1" ht="12.75" x14ac:dyDescent="0.2">
      <c r="A49" s="724"/>
      <c r="B49" s="891"/>
      <c r="C49" s="1173"/>
      <c r="D49" s="1174"/>
      <c r="E49" s="891"/>
      <c r="F49" s="1173"/>
      <c r="G49" s="1174"/>
      <c r="H49" s="1175"/>
      <c r="I49" s="725"/>
      <c r="J49" s="1174"/>
      <c r="K49" s="901"/>
      <c r="L49" s="1174"/>
      <c r="M49" s="10"/>
      <c r="N49" s="10"/>
      <c r="O49" s="10"/>
      <c r="P49" s="890"/>
      <c r="Q49" s="10"/>
      <c r="R49" s="890"/>
      <c r="S49" s="889"/>
      <c r="T49" s="889"/>
    </row>
    <row r="50" spans="1:30" s="19" customFormat="1" ht="12.75" x14ac:dyDescent="0.2">
      <c r="A50" s="724"/>
      <c r="B50" s="891"/>
      <c r="C50" s="1173"/>
      <c r="D50" s="1174"/>
      <c r="E50" s="891"/>
      <c r="F50" s="1173"/>
      <c r="G50" s="1174"/>
      <c r="H50" s="1175"/>
      <c r="I50" s="725"/>
      <c r="J50" s="1174"/>
      <c r="K50" s="901"/>
      <c r="L50" s="1174"/>
      <c r="M50" s="10"/>
      <c r="N50" s="10"/>
      <c r="O50" s="10"/>
      <c r="P50" s="890"/>
      <c r="Q50" s="10"/>
      <c r="R50" s="890"/>
      <c r="S50" s="889"/>
      <c r="T50" s="889"/>
    </row>
    <row r="51" spans="1:30" s="19" customFormat="1" ht="12.75" x14ac:dyDescent="0.2">
      <c r="A51" s="724"/>
      <c r="B51" s="891"/>
      <c r="C51" s="1173"/>
      <c r="D51" s="1174"/>
      <c r="E51" s="891"/>
      <c r="F51" s="1173"/>
      <c r="G51" s="1174"/>
      <c r="H51" s="1175"/>
      <c r="I51" s="725"/>
      <c r="J51" s="1174"/>
      <c r="K51" s="901"/>
      <c r="L51" s="1174"/>
      <c r="M51" s="10"/>
      <c r="N51" s="10"/>
      <c r="O51" s="10"/>
      <c r="P51" s="890"/>
      <c r="Q51" s="10"/>
      <c r="R51" s="890"/>
      <c r="S51" s="889"/>
      <c r="T51" s="889"/>
    </row>
    <row r="52" spans="1:30" s="19" customFormat="1" ht="12.75" x14ac:dyDescent="0.2">
      <c r="A52" s="724"/>
      <c r="B52" s="891"/>
      <c r="C52" s="1173"/>
      <c r="D52" s="1174"/>
      <c r="E52" s="891"/>
      <c r="F52" s="1173"/>
      <c r="G52" s="1174"/>
      <c r="H52" s="1175"/>
      <c r="I52" s="725"/>
      <c r="J52" s="1174"/>
      <c r="K52" s="901"/>
      <c r="L52" s="1174"/>
      <c r="M52" s="10"/>
      <c r="N52" s="10"/>
      <c r="O52" s="10"/>
      <c r="P52" s="10"/>
      <c r="Q52" s="10"/>
      <c r="R52" s="10"/>
      <c r="S52" s="889"/>
      <c r="T52" s="889"/>
    </row>
    <row r="53" spans="1:30" s="19" customFormat="1" ht="12.75" x14ac:dyDescent="0.2">
      <c r="A53" s="724"/>
      <c r="B53" s="891"/>
      <c r="C53" s="1173"/>
      <c r="D53" s="1174"/>
      <c r="E53" s="891"/>
      <c r="F53" s="1173"/>
      <c r="G53" s="1174"/>
      <c r="H53" s="1175"/>
      <c r="I53" s="725"/>
      <c r="J53" s="1174"/>
      <c r="K53" s="901"/>
      <c r="L53" s="1174"/>
      <c r="M53" s="10"/>
      <c r="N53" s="10"/>
      <c r="O53" s="10"/>
      <c r="P53" s="10"/>
      <c r="Q53" s="10"/>
      <c r="R53" s="10"/>
      <c r="S53" s="889"/>
      <c r="T53" s="889"/>
    </row>
    <row r="54" spans="1:30" s="19" customFormat="1" ht="12.75" x14ac:dyDescent="0.2">
      <c r="A54" s="727"/>
      <c r="B54" s="893"/>
      <c r="C54" s="728"/>
      <c r="D54" s="1176"/>
      <c r="E54" s="893"/>
      <c r="F54" s="728"/>
      <c r="G54" s="1176"/>
      <c r="H54" s="1177"/>
      <c r="I54" s="728"/>
      <c r="J54" s="1176"/>
      <c r="K54" s="903"/>
      <c r="L54" s="1176"/>
      <c r="M54" s="10"/>
      <c r="N54" s="10"/>
      <c r="O54" s="10"/>
      <c r="P54" s="10"/>
      <c r="Q54" s="10"/>
      <c r="R54" s="10"/>
      <c r="S54" s="889"/>
      <c r="T54" s="889"/>
      <c r="AD54" s="30"/>
    </row>
    <row r="55" spans="1:30" s="19" customFormat="1" ht="12.75" x14ac:dyDescent="0.2">
      <c r="A55" s="1178"/>
      <c r="B55" s="725"/>
      <c r="C55" s="726"/>
      <c r="D55" s="723"/>
      <c r="E55" s="725"/>
      <c r="F55" s="725"/>
      <c r="G55" s="725"/>
      <c r="H55" s="726"/>
      <c r="I55" s="723"/>
      <c r="J55" s="725"/>
      <c r="K55" s="1179"/>
      <c r="L55" s="1179"/>
      <c r="M55" s="725"/>
      <c r="N55" s="1180"/>
      <c r="O55" s="10"/>
      <c r="P55" s="10"/>
      <c r="Q55" s="10"/>
      <c r="R55" s="10"/>
      <c r="S55" s="889"/>
      <c r="T55" s="889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71">
        <f>MIN(B$61:B$80)</f>
        <v>1.7846130798124089</v>
      </c>
      <c r="C57" s="371">
        <f t="shared" ref="C57:N57" si="10">MIN(C$61:C$80)</f>
        <v>2.7913408265014299</v>
      </c>
      <c r="D57" s="371">
        <f t="shared" si="10"/>
        <v>4.1289863450244431</v>
      </c>
      <c r="E57" s="371">
        <f t="shared" si="10"/>
        <v>5.332509010590547</v>
      </c>
      <c r="F57" s="371">
        <f t="shared" si="10"/>
        <v>5.9722611560073657</v>
      </c>
      <c r="G57" s="371">
        <f t="shared" si="10"/>
        <v>5.9991261757597885</v>
      </c>
      <c r="H57" s="371">
        <f t="shared" si="10"/>
        <v>5.7246443972186238</v>
      </c>
      <c r="I57" s="371">
        <f t="shared" si="10"/>
        <v>5.166514618542597</v>
      </c>
      <c r="J57" s="371">
        <f t="shared" si="10"/>
        <v>4.2047551037333806</v>
      </c>
      <c r="K57" s="371">
        <f t="shared" si="10"/>
        <v>3.0513261216512713</v>
      </c>
      <c r="L57" s="371">
        <f t="shared" si="10"/>
        <v>1.9364940118324172</v>
      </c>
      <c r="M57" s="371">
        <f t="shared" si="10"/>
        <v>1.4152695911514825</v>
      </c>
      <c r="N57" s="371">
        <f t="shared" si="10"/>
        <v>4.0486663588965142</v>
      </c>
      <c r="P57" s="372"/>
      <c r="Q57" s="373"/>
      <c r="R57" s="372"/>
      <c r="S57" s="372"/>
      <c r="T57" s="372"/>
      <c r="U57" s="372"/>
      <c r="V57" s="372"/>
    </row>
    <row r="58" spans="1:30" s="10" customFormat="1" ht="11.25" x14ac:dyDescent="0.2">
      <c r="A58" s="75" t="s">
        <v>58</v>
      </c>
      <c r="B58" s="371">
        <f>AVERAGE(B$61:B$80)</f>
        <v>2.0484994482254262</v>
      </c>
      <c r="C58" s="371">
        <f t="shared" ref="C58:N58" si="11">AVERAGE(C$61:C$80)</f>
        <v>3.0233836554406395</v>
      </c>
      <c r="D58" s="371">
        <f t="shared" si="11"/>
        <v>4.304621152389732</v>
      </c>
      <c r="E58" s="371">
        <f t="shared" si="11"/>
        <v>5.5475051727062681</v>
      </c>
      <c r="F58" s="371">
        <f t="shared" si="11"/>
        <v>6.4360872448336623</v>
      </c>
      <c r="G58" s="371">
        <f t="shared" si="11"/>
        <v>6.53304648705811</v>
      </c>
      <c r="H58" s="371">
        <f t="shared" si="11"/>
        <v>6.2265842673292822</v>
      </c>
      <c r="I58" s="371">
        <f t="shared" si="11"/>
        <v>5.6084617770630869</v>
      </c>
      <c r="J58" s="371">
        <f t="shared" si="11"/>
        <v>4.5524121884598028</v>
      </c>
      <c r="K58" s="371">
        <f t="shared" si="11"/>
        <v>3.2057524368628281</v>
      </c>
      <c r="L58" s="371">
        <f t="shared" si="11"/>
        <v>2.1734752443558119</v>
      </c>
      <c r="M58" s="371">
        <f t="shared" si="11"/>
        <v>1.6878606237328853</v>
      </c>
      <c r="N58" s="371">
        <f t="shared" si="11"/>
        <v>4.3009438705318797</v>
      </c>
      <c r="P58" s="372"/>
      <c r="Q58" s="373"/>
      <c r="R58" s="372"/>
      <c r="S58" s="372"/>
      <c r="T58" s="372"/>
      <c r="U58" s="372"/>
      <c r="V58" s="372"/>
    </row>
    <row r="59" spans="1:30" s="10" customFormat="1" ht="11.25" x14ac:dyDescent="0.2">
      <c r="A59" s="75" t="s">
        <v>59</v>
      </c>
      <c r="B59" s="371">
        <f>MAX(B$61:B$80)</f>
        <v>2.3550517817260719</v>
      </c>
      <c r="C59" s="371">
        <f t="shared" ref="C59:N59" si="12">MAX(C$61:C$80)</f>
        <v>3.3703022361655499</v>
      </c>
      <c r="D59" s="371">
        <f t="shared" si="12"/>
        <v>4.7038115142973815</v>
      </c>
      <c r="E59" s="371">
        <f t="shared" si="12"/>
        <v>5.9896365777005443</v>
      </c>
      <c r="F59" s="371">
        <f t="shared" si="12"/>
        <v>6.6618666643308018</v>
      </c>
      <c r="G59" s="371">
        <f t="shared" si="12"/>
        <v>7.1981196722987608</v>
      </c>
      <c r="H59" s="371">
        <f t="shared" si="12"/>
        <v>6.9220571384498504</v>
      </c>
      <c r="I59" s="371">
        <f t="shared" si="12"/>
        <v>6.2735046696041534</v>
      </c>
      <c r="J59" s="371">
        <f t="shared" si="12"/>
        <v>5.1069959681525301</v>
      </c>
      <c r="K59" s="371">
        <f t="shared" si="12"/>
        <v>3.6158463438055932</v>
      </c>
      <c r="L59" s="371">
        <f t="shared" si="12"/>
        <v>2.4952785127147674</v>
      </c>
      <c r="M59" s="371">
        <f t="shared" si="12"/>
        <v>1.9832475089587542</v>
      </c>
      <c r="N59" s="371">
        <f t="shared" si="12"/>
        <v>4.7992928305692013</v>
      </c>
      <c r="P59" s="372"/>
      <c r="Q59" s="373"/>
      <c r="R59" s="372"/>
      <c r="S59" s="372"/>
      <c r="T59" s="372"/>
      <c r="U59" s="372"/>
      <c r="V59" s="372"/>
    </row>
    <row r="60" spans="1:30" s="19" customFormat="1" ht="12.75" x14ac:dyDescent="0.2">
      <c r="A60" s="107" t="s">
        <v>52</v>
      </c>
      <c r="B60" s="346">
        <v>15</v>
      </c>
      <c r="C60" s="346">
        <v>46</v>
      </c>
      <c r="D60" s="346">
        <v>75</v>
      </c>
      <c r="E60" s="346">
        <v>106</v>
      </c>
      <c r="F60" s="346">
        <v>136</v>
      </c>
      <c r="G60" s="346">
        <v>167</v>
      </c>
      <c r="H60" s="346">
        <v>197</v>
      </c>
      <c r="I60" s="346">
        <v>228</v>
      </c>
      <c r="J60" s="346">
        <v>259</v>
      </c>
      <c r="K60" s="346">
        <v>289</v>
      </c>
      <c r="L60" s="346">
        <v>320</v>
      </c>
      <c r="M60" s="346">
        <v>350</v>
      </c>
      <c r="N60" s="346" t="s">
        <v>60</v>
      </c>
      <c r="O60" s="30"/>
      <c r="P60" s="149"/>
      <c r="Q60" s="345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7"/>
      <c r="C61" s="347"/>
      <c r="D61" s="347"/>
      <c r="E61" s="348"/>
      <c r="F61" s="347"/>
      <c r="G61" s="347">
        <f>AVERAGE('2018'!$V$166:$V$195)/Pc</f>
        <v>7.1981196722987608</v>
      </c>
      <c r="H61" s="347">
        <f>AVERAGE('2018'!$V$196:$V$226)/Pc</f>
        <v>6.9220571384498504</v>
      </c>
      <c r="I61" s="347">
        <f>AVERAGE('2018'!$V$227:$V$257)/Pc</f>
        <v>6.2735046696041534</v>
      </c>
      <c r="J61" s="349">
        <f>AVERAGE('2018'!$V$258:$V$287)/Pc</f>
        <v>5.1069959681525301</v>
      </c>
      <c r="K61" s="350">
        <f>AVERAGE('2018'!$V$288:$V$318)/Pc</f>
        <v>3.6158463438055932</v>
      </c>
      <c r="L61" s="347">
        <f>AVERAGE('2018'!$V$319:$V$348)/Pc</f>
        <v>2.4952785127147674</v>
      </c>
      <c r="M61" s="351">
        <f>AVERAGE('2018'!$V$349:$V$379)/Pc</f>
        <v>1.9832475089587542</v>
      </c>
      <c r="N61" s="355">
        <f t="shared" ref="N61:N66" si="13">AVERAGE(B61:M61)</f>
        <v>4.7992928305692013</v>
      </c>
      <c r="O61" s="30"/>
      <c r="P61" s="149"/>
      <c r="Q61" s="345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2">
        <f>AVERAGE('2019'!$V$15:$V$45)/Pc</f>
        <v>2.3550517817260719</v>
      </c>
      <c r="C62" s="352">
        <f>AVERAGE('2019'!$V$46:$V$73)/Pc</f>
        <v>3.3703022361655499</v>
      </c>
      <c r="D62" s="352">
        <f>AVERAGE('2019'!$V$74:$V$104)/Pc</f>
        <v>4.7038115142973815</v>
      </c>
      <c r="E62" s="353">
        <f>AVERAGE('2019'!$V$105:$V$134)/Pc</f>
        <v>5.9896365777005443</v>
      </c>
      <c r="F62" s="352">
        <f>AVERAGE('2019'!$V$135:$V$165)/Pc</f>
        <v>6.630877805908316</v>
      </c>
      <c r="G62" s="352">
        <f>AVERAGE('2019'!$V$166:$V$195)/Pc</f>
        <v>6.6668127603478391</v>
      </c>
      <c r="H62" s="352">
        <f>AVERAGE('2019'!$V$196:$V$226)/Pc</f>
        <v>6.3623922423397605</v>
      </c>
      <c r="I62" s="352">
        <f>AVERAGE('2019'!$V$227:$V$257)/Pc</f>
        <v>5.7490556387643021</v>
      </c>
      <c r="J62" s="350">
        <f>AVERAGE('2019'!$V$258:$V$287)/Pc</f>
        <v>4.6867495986776673</v>
      </c>
      <c r="K62" s="350">
        <f>AVERAGE('2019'!$V$288:$V$318)/Pc</f>
        <v>3.325053239933776</v>
      </c>
      <c r="L62" s="352">
        <f>AVERAGE('2019'!$V$319:$V$348)/Pc</f>
        <v>2.2826767015219747</v>
      </c>
      <c r="M62" s="354">
        <f>AVERAGE('2019'!$V$349:$V$379)/Pc</f>
        <v>1.8048580884944339</v>
      </c>
      <c r="N62" s="356">
        <f t="shared" si="13"/>
        <v>4.4939398488231346</v>
      </c>
      <c r="O62" s="30"/>
      <c r="P62" s="149"/>
      <c r="Q62" s="345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2">
        <f>AVERAGE('2020'!$V$15:$V$45)/Pc</f>
        <v>2.1614281692922024</v>
      </c>
      <c r="C63" s="352">
        <f>AVERAGE('2020'!$V$46:$V$74)/Pc</f>
        <v>3.1489166640655961</v>
      </c>
      <c r="D63" s="352">
        <f>AVERAGE('2020'!$V$75:$V$105)/Pc</f>
        <v>4.4365257548944603</v>
      </c>
      <c r="E63" s="353">
        <f>AVERAGE('2020'!$V$106:$V$135)/Pc</f>
        <v>5.6370757221331393</v>
      </c>
      <c r="F63" s="352">
        <f>AVERAGE('2020'!$V$136:$V$166)/Pc</f>
        <v>6.2228485085726115</v>
      </c>
      <c r="G63" s="352">
        <f>AVERAGE('2020'!$V$167:$V$196)/Pc</f>
        <v>6.2455609501650029</v>
      </c>
      <c r="H63" s="352">
        <f>AVERAGE('2020'!$V$197:$V$227)/Pc</f>
        <v>5.9608626341791524</v>
      </c>
      <c r="I63" s="352">
        <f>AVERAGE('2020'!$V$228:$V$258)/Pc</f>
        <v>5.3844920588034677</v>
      </c>
      <c r="J63" s="350">
        <f>AVERAGE('2020'!$V$259:$V$288)/Pc</f>
        <v>4.3769223882379551</v>
      </c>
      <c r="K63" s="350">
        <f>AVERAGE('2020'!$V$289:$V$319)/Pc</f>
        <v>3.0962777250875586</v>
      </c>
      <c r="L63" s="352">
        <f>AVERAGE('2020'!$V$320:$V$349)/Pc</f>
        <v>2.111972802182926</v>
      </c>
      <c r="M63" s="354">
        <f>AVERAGE('2020'!$V$350:$V$380)/Pc</f>
        <v>1.6768426520395936</v>
      </c>
      <c r="N63" s="357">
        <f t="shared" si="13"/>
        <v>4.2049771691378064</v>
      </c>
      <c r="O63" s="30"/>
      <c r="P63" s="149"/>
      <c r="Q63" s="345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2">
        <f>AVERAGE('2021'!$V$15:$V$45)/Pc</f>
        <v>2.0308723096075063</v>
      </c>
      <c r="C64" s="352">
        <f>AVERAGE('2021'!$V$46:$V$73)/Pc</f>
        <v>2.9804080274911211</v>
      </c>
      <c r="D64" s="352">
        <f>AVERAGE('2021'!$V$74:$V$104)/Pc</f>
        <v>4.2211982085748971</v>
      </c>
      <c r="E64" s="353">
        <f>AVERAGE('2021'!$V$105:$V$134)/Pc</f>
        <v>5.6466303552915722</v>
      </c>
      <c r="F64" s="352">
        <f>AVERAGE('2021'!$V$135:$V$165)/Pc</f>
        <v>6.6618666643308018</v>
      </c>
      <c r="G64" s="352">
        <f>AVERAGE('2021'!$V$166:$V$195)/Pc</f>
        <v>6.6536830078236608</v>
      </c>
      <c r="H64" s="352">
        <f>AVERAGE('2021'!$V$196:$V$226)/Pc</f>
        <v>6.3053908722327012</v>
      </c>
      <c r="I64" s="352">
        <f>AVERAGE('2021'!$V$227:$V$257)/Pc</f>
        <v>5.6521876433881433</v>
      </c>
      <c r="J64" s="350">
        <f>AVERAGE('2021'!$V$258:$V$287)/Pc</f>
        <v>4.571884600543326</v>
      </c>
      <c r="K64" s="350">
        <f>AVERAGE('2021'!$V$288:$V$318)/Pc</f>
        <v>3.2014801952789917</v>
      </c>
      <c r="L64" s="352">
        <f>AVERAGE('2021'!$V$319:$V$348)/Pc</f>
        <v>2.1336104713526534</v>
      </c>
      <c r="M64" s="354">
        <f>AVERAGE('2021'!$V$349:$V$379)/Pc</f>
        <v>1.6519904826112046</v>
      </c>
      <c r="N64" s="356">
        <f t="shared" si="13"/>
        <v>4.3092669032105482</v>
      </c>
      <c r="O64" s="30"/>
      <c r="P64" s="149"/>
      <c r="Q64" s="345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140">
        <f>'2022'!An</f>
        <v>2022</v>
      </c>
      <c r="B65" s="352">
        <f>AVERAGE('2022'!$V$15:$V$45)/Pc</f>
        <v>1.9986819683975361</v>
      </c>
      <c r="C65" s="352">
        <f>AVERAGE('2022'!$V$46:$V$73)/Pc</f>
        <v>2.9597927121589134</v>
      </c>
      <c r="D65" s="352">
        <f>AVERAGE('2022'!$V$74:$V$104)/Pc</f>
        <v>4.2142285058211293</v>
      </c>
      <c r="E65" s="353">
        <f>AVERAGE('2022'!$V$105:$V$134)/Pc</f>
        <v>5.3841541334378116</v>
      </c>
      <c r="F65" s="352">
        <f>AVERAGE('2022'!$V$135:$V$165)/Pc</f>
        <v>5.9722611560073657</v>
      </c>
      <c r="G65" s="352">
        <f>AVERAGE('2022'!$V$166:$V$195)/Pc</f>
        <v>5.9991261757597885</v>
      </c>
      <c r="H65" s="352">
        <f>AVERAGE('2022'!$V$196:$V$226)/Pc</f>
        <v>5.7246443972186238</v>
      </c>
      <c r="I65" s="352">
        <f>AVERAGE('2022'!$V$227:$V$257)/Pc</f>
        <v>5.166514618542597</v>
      </c>
      <c r="J65" s="350">
        <f>AVERAGE('2022'!$V$258:$V$287)/Pc</f>
        <v>4.2047551037333806</v>
      </c>
      <c r="K65" s="350">
        <f>AVERAGE('2022'!$V$288:$V$318)/Pc</f>
        <v>3.079205705209795</v>
      </c>
      <c r="L65" s="352">
        <f>AVERAGE('2022'!$V$319:$V$348)/Pc</f>
        <v>2.206865027402273</v>
      </c>
      <c r="M65" s="354">
        <f>AVERAGE('2022'!$V$349:$V$379)/Pc</f>
        <v>1.6737668030689588</v>
      </c>
      <c r="N65" s="356">
        <f t="shared" si="13"/>
        <v>4.0486663588965142</v>
      </c>
      <c r="O65" s="30"/>
      <c r="P65" s="149"/>
      <c r="Q65" s="345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6">
        <v>2023</v>
      </c>
      <c r="B66" s="547">
        <f>AVERAGE('2023'!$V$15:$V$45)/Pc</f>
        <v>2.0560177829521002</v>
      </c>
      <c r="C66" s="547">
        <f>AVERAGE('2023'!$V$46:$V$73)/Pc</f>
        <v>3.0876849432255482</v>
      </c>
      <c r="D66" s="547">
        <f>AVERAGE('2023'!$V$74:$V$104)/Pc</f>
        <v>4.4499727349856686</v>
      </c>
      <c r="E66" s="549">
        <f>AVERAGE('2023'!$V$105:$V$134)/Pc</f>
        <v>5.7102032925514168</v>
      </c>
      <c r="F66" s="547">
        <f>AVERAGE('2023'!$V$135:$V$165)/Pc</f>
        <v>6.5924048345790736</v>
      </c>
      <c r="G66" s="547">
        <f>AVERAGE('2023'!$V$166:$V$195)/Pc</f>
        <v>6.6234421799249459</v>
      </c>
      <c r="H66" s="547">
        <f>AVERAGE('2023'!$V$196:$V$226)/Pc</f>
        <v>6.3009796636959825</v>
      </c>
      <c r="I66" s="547">
        <f>AVERAGE('2023'!$V$227:$V$257)/Pc</f>
        <v>5.6503923683250328</v>
      </c>
      <c r="J66" s="547">
        <f>AVERAGE('2023'!$V$258:$V$287)/Pc</f>
        <v>4.563638572145992</v>
      </c>
      <c r="K66" s="547">
        <f>AVERAGE('2023'!$V$288:$V$318)/Pc</f>
        <v>3.1328680271127989</v>
      </c>
      <c r="L66" s="547">
        <f>AVERAGE('2023'!$V$319:$V$348)/Pc</f>
        <v>2.0259126858345033</v>
      </c>
      <c r="M66" s="548">
        <f>AVERAGE('2023'!$V$349:$V$379)/Pc</f>
        <v>1.5094398521756331</v>
      </c>
      <c r="N66" s="554">
        <f t="shared" si="13"/>
        <v>4.3085797447923921</v>
      </c>
      <c r="O66" s="30"/>
      <c r="P66" s="149"/>
      <c r="Q66" s="345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6">
        <v>2024</v>
      </c>
      <c r="B67" s="547">
        <f>AVERAGE('2024'!$V$15:$V$45)/Pc</f>
        <v>1.880185428533852</v>
      </c>
      <c r="C67" s="547">
        <f>AVERAGE('2024'!$V$46:$V$73)/Pc</f>
        <v>2.8767660611991053</v>
      </c>
      <c r="D67" s="547">
        <f>AVERAGE('2024'!$V$74:$V$104)/Pc</f>
        <v>4.2000893967555042</v>
      </c>
      <c r="E67" s="549">
        <f>AVERAGE('2024'!$V$105:$V$134)/Pc</f>
        <v>5.4082052132535843</v>
      </c>
      <c r="F67" s="547">
        <f>AVERAGE('2024'!$V$135:$V$165)/Pc</f>
        <v>6.5328805821427416</v>
      </c>
      <c r="G67" s="547">
        <f>AVERAGE('2024'!$V$166:$V$195)/Pc</f>
        <v>6.5683706823993386</v>
      </c>
      <c r="H67" s="547">
        <f>AVERAGE('2024'!$V$196:$V$226)/Pc</f>
        <v>6.2470185271734318</v>
      </c>
      <c r="I67" s="547">
        <f>AVERAGE('2024'!$V$227:$V$257)/Pc</f>
        <v>5.5914629786386483</v>
      </c>
      <c r="J67" s="547">
        <f>AVERAGE('2024'!$V$258:$V$287)/Pc</f>
        <v>4.502465544884152</v>
      </c>
      <c r="K67" s="547">
        <f>AVERAGE('2024'!$V$288:$V$318)/Pc</f>
        <v>3.0513261216512713</v>
      </c>
      <c r="L67" s="547">
        <f>AVERAGE('2024'!$V$319:$V$348)/Pc</f>
        <v>1.9364940118324172</v>
      </c>
      <c r="M67" s="548">
        <f>AVERAGE('2024'!$V$349:$V$379)/Pc</f>
        <v>1.4152695911514825</v>
      </c>
      <c r="N67" s="554">
        <f>AVERAGE(B67:M67)</f>
        <v>4.1842111783012941</v>
      </c>
      <c r="O67" s="30"/>
      <c r="P67" s="149"/>
      <c r="Q67" s="345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6">
        <v>2025</v>
      </c>
      <c r="B68" s="547">
        <f>AVERAGE('2025'!$V$15:$V$45)/Pc</f>
        <v>1.7846130798124089</v>
      </c>
      <c r="C68" s="547">
        <f>AVERAGE('2025'!$V$46:$V$73)/Pc</f>
        <v>2.7913408265014299</v>
      </c>
      <c r="D68" s="547">
        <f>AVERAGE('2025'!$V$74:$V$104)/Pc</f>
        <v>4.1289863450244431</v>
      </c>
      <c r="E68" s="549">
        <f>AVERAGE('2025'!$V$105:$V$134)/Pc</f>
        <v>5.4347619233729532</v>
      </c>
      <c r="F68" s="547">
        <f>AVERAGE('2025'!$V$135:$V$165)/Pc</f>
        <v>6.4930719205757548</v>
      </c>
      <c r="G68" s="547">
        <f>AVERAGE('2025'!$V$166:$V$195)/Pc</f>
        <v>6.5136062113745439</v>
      </c>
      <c r="H68" s="547">
        <f>AVERAGE('2025'!$V$196:$V$226)/Pc</f>
        <v>6.2003676658659819</v>
      </c>
      <c r="I68" s="547">
        <f>AVERAGE('2025'!$V$227:$V$257)/Pc</f>
        <v>5.5902726833953587</v>
      </c>
      <c r="J68" s="547">
        <f>AVERAGE('2025'!$V$258:$V$287)/Pc</f>
        <v>4.5505768202600407</v>
      </c>
      <c r="K68" s="547">
        <f>AVERAGE('2025'!$V$288:$V$318)/Pc</f>
        <v>3.2251245488975</v>
      </c>
      <c r="L68" s="547">
        <f>AVERAGE('2025'!$V$319:$V$348)/Pc</f>
        <v>2.2309381262392027</v>
      </c>
      <c r="M68" s="548">
        <f>AVERAGE('2025'!$V$349:$V$379)/Pc</f>
        <v>1.7758575040990472</v>
      </c>
      <c r="N68" s="554">
        <f>AVERAGE(B68:M68)</f>
        <v>4.2266264712848889</v>
      </c>
      <c r="O68" s="30"/>
      <c r="P68" s="149"/>
      <c r="Q68" s="345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6">
        <v>2026</v>
      </c>
      <c r="B69" s="547">
        <f>AVERAGE('2026'!$V$15:$V$45)/Pc</f>
        <v>2.1097111169054172</v>
      </c>
      <c r="C69" s="547">
        <f>AVERAGE('2026'!$V$46:$V$73)/Pc</f>
        <v>3.0192662305751741</v>
      </c>
      <c r="D69" s="547">
        <f>AVERAGE('2026'!$V$74:$V$104)/Pc</f>
        <v>4.2154713903310874</v>
      </c>
      <c r="E69" s="549">
        <f>AVERAGE('2026'!$V$105:$V$134)/Pc</f>
        <v>5.3843703260248423</v>
      </c>
      <c r="F69" s="547">
        <f>AVERAGE('2026'!$V$135:$V$165)/Pc</f>
        <v>6.4372849325945589</v>
      </c>
      <c r="G69" s="547">
        <f>AVERAGE('2026'!$V$166:$V$195)/Pc</f>
        <v>6.4583080503265826</v>
      </c>
      <c r="H69" s="547">
        <f>AVERAGE('2026'!$V$196:$V$226)/Pc</f>
        <v>6.1474134529512972</v>
      </c>
      <c r="I69" s="547">
        <f>AVERAGE('2026'!$V$227:$V$257)/Pc</f>
        <v>5.5392130646015376</v>
      </c>
      <c r="J69" s="547">
        <f>AVERAGE('2026'!$V$258:$V$287)/Pc</f>
        <v>4.5038865187092751</v>
      </c>
      <c r="K69" s="547">
        <f>AVERAGE('2026'!$V$288:$V$318)/Pc</f>
        <v>3.1870524637882744</v>
      </c>
      <c r="L69" s="547">
        <f>AVERAGE('2026'!$V$319:$V$348)/Pc</f>
        <v>2.1833143102836572</v>
      </c>
      <c r="M69" s="548">
        <f>AVERAGE('2026'!$V$349:$V$379)/Pc</f>
        <v>1.7235128411455127</v>
      </c>
      <c r="N69" s="554">
        <f>AVERAGE(B69:M69)</f>
        <v>4.2424003915197686</v>
      </c>
      <c r="O69" s="30"/>
      <c r="P69" s="149"/>
      <c r="Q69" s="345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6">
        <v>2027</v>
      </c>
      <c r="B70" s="547">
        <f>AVERAGE('2027'!$V$15:$V$45)/Pc</f>
        <v>2.0599333968017444</v>
      </c>
      <c r="C70" s="547">
        <f>AVERAGE('2027'!$V$46:$V$73)/Pc</f>
        <v>2.9759751975833155</v>
      </c>
      <c r="D70" s="547">
        <f>AVERAGE('2027'!$V$74:$V$104)/Pc</f>
        <v>4.171306520823018</v>
      </c>
      <c r="E70" s="549">
        <f>AVERAGE('2027'!$V$105:$V$134)/Pc</f>
        <v>5.332509010590547</v>
      </c>
      <c r="F70" s="547">
        <f>AVERAGE('2027'!$V$135:$V$165)/Pc</f>
        <v>6.381288798791739</v>
      </c>
      <c r="G70" s="547">
        <f>AVERAGE('2027'!$V$166:$V$195)/Pc</f>
        <v>6.4034351801606206</v>
      </c>
      <c r="H70" s="547">
        <f>AVERAGE('2027'!$V$196:$V$226)/Pc</f>
        <v>6.0947160791860462</v>
      </c>
      <c r="I70" s="547">
        <f>AVERAGE('2027'!$V$227:$V$257)/Pc</f>
        <v>5.4875220465676335</v>
      </c>
      <c r="J70" s="547">
        <f>AVERAGE('2027'!$V$258:$V$287)/Pc</f>
        <v>4.4562467692537204</v>
      </c>
      <c r="K70" s="547">
        <f>AVERAGE('2027'!$V$288:$V$318)/Pc</f>
        <v>3.1432899978627185</v>
      </c>
      <c r="L70" s="547">
        <f>AVERAGE('2027'!$V$319:$V$348)/Pc</f>
        <v>2.1276897941937429</v>
      </c>
      <c r="M70" s="548">
        <f>AVERAGE('2027'!$V$349:$V$379)/Pc</f>
        <v>1.6638209135842301</v>
      </c>
      <c r="N70" s="554">
        <f>AVERAGE(B70:M70)</f>
        <v>4.1914778087832563</v>
      </c>
      <c r="O70" s="30"/>
      <c r="P70" s="149"/>
      <c r="Q70" s="345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6"/>
      <c r="B71" s="547"/>
      <c r="C71" s="547"/>
      <c r="D71" s="547"/>
      <c r="E71" s="549"/>
      <c r="F71" s="547"/>
      <c r="G71" s="547"/>
      <c r="H71" s="547"/>
      <c r="I71" s="547"/>
      <c r="J71" s="547"/>
      <c r="K71" s="547"/>
      <c r="L71" s="547"/>
      <c r="M71" s="548"/>
      <c r="N71" s="554"/>
      <c r="O71" s="30"/>
      <c r="P71" s="149"/>
      <c r="Q71" s="345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6"/>
      <c r="B72" s="547"/>
      <c r="C72" s="547"/>
      <c r="D72" s="547"/>
      <c r="E72" s="549"/>
      <c r="F72" s="547"/>
      <c r="G72" s="547"/>
      <c r="H72" s="547"/>
      <c r="I72" s="547"/>
      <c r="J72" s="547"/>
      <c r="K72" s="547"/>
      <c r="L72" s="547"/>
      <c r="M72" s="548"/>
      <c r="N72" s="554"/>
      <c r="O72" s="30"/>
      <c r="P72" s="149"/>
      <c r="Q72" s="345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6"/>
      <c r="B73" s="547"/>
      <c r="C73" s="547"/>
      <c r="D73" s="547"/>
      <c r="E73" s="549"/>
      <c r="F73" s="547"/>
      <c r="G73" s="547"/>
      <c r="H73" s="547"/>
      <c r="I73" s="547"/>
      <c r="J73" s="547"/>
      <c r="K73" s="547"/>
      <c r="L73" s="547"/>
      <c r="M73" s="548"/>
      <c r="N73" s="554"/>
      <c r="O73" s="30"/>
      <c r="P73" s="149"/>
      <c r="Q73" s="345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6"/>
      <c r="B74" s="547"/>
      <c r="C74" s="547"/>
      <c r="D74" s="547"/>
      <c r="E74" s="549"/>
      <c r="F74" s="547"/>
      <c r="G74" s="547"/>
      <c r="H74" s="547"/>
      <c r="I74" s="547"/>
      <c r="J74" s="547"/>
      <c r="K74" s="547"/>
      <c r="L74" s="547"/>
      <c r="M74" s="548"/>
      <c r="N74" s="554"/>
      <c r="O74" s="30"/>
      <c r="P74" s="149"/>
      <c r="Q74" s="345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6"/>
      <c r="B75" s="547"/>
      <c r="C75" s="547"/>
      <c r="D75" s="547"/>
      <c r="E75" s="549"/>
      <c r="F75" s="547"/>
      <c r="G75" s="547"/>
      <c r="H75" s="547"/>
      <c r="I75" s="547"/>
      <c r="J75" s="547"/>
      <c r="K75" s="547"/>
      <c r="L75" s="547"/>
      <c r="M75" s="548"/>
      <c r="N75" s="554"/>
      <c r="O75" s="30"/>
      <c r="P75" s="149"/>
      <c r="Q75" s="345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6"/>
      <c r="B76" s="547"/>
      <c r="C76" s="547"/>
      <c r="D76" s="547"/>
      <c r="E76" s="549"/>
      <c r="F76" s="547"/>
      <c r="G76" s="547"/>
      <c r="H76" s="547"/>
      <c r="I76" s="547"/>
      <c r="J76" s="547"/>
      <c r="K76" s="547"/>
      <c r="L76" s="547"/>
      <c r="M76" s="548"/>
      <c r="N76" s="554"/>
      <c r="O76" s="30"/>
      <c r="P76" s="149"/>
      <c r="Q76" s="345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6"/>
      <c r="B77" s="547"/>
      <c r="C77" s="547"/>
      <c r="D77" s="547"/>
      <c r="E77" s="549"/>
      <c r="F77" s="547"/>
      <c r="G77" s="547"/>
      <c r="H77" s="547"/>
      <c r="I77" s="547"/>
      <c r="J77" s="547"/>
      <c r="K77" s="547"/>
      <c r="L77" s="547"/>
      <c r="M77" s="548"/>
      <c r="N77" s="554"/>
      <c r="O77" s="30"/>
      <c r="P77" s="149"/>
      <c r="Q77" s="345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6"/>
      <c r="B78" s="547"/>
      <c r="C78" s="547"/>
      <c r="D78" s="547"/>
      <c r="E78" s="549"/>
      <c r="F78" s="547"/>
      <c r="G78" s="547"/>
      <c r="H78" s="547"/>
      <c r="I78" s="547"/>
      <c r="J78" s="547"/>
      <c r="K78" s="547"/>
      <c r="L78" s="547"/>
      <c r="M78" s="548"/>
      <c r="N78" s="554"/>
      <c r="O78" s="30"/>
      <c r="P78" s="149"/>
      <c r="Q78" s="345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6"/>
      <c r="B79" s="547"/>
      <c r="C79" s="547"/>
      <c r="D79" s="547"/>
      <c r="E79" s="549"/>
      <c r="F79" s="547"/>
      <c r="G79" s="547"/>
      <c r="H79" s="547"/>
      <c r="I79" s="547"/>
      <c r="J79" s="547"/>
      <c r="K79" s="547"/>
      <c r="L79" s="547"/>
      <c r="M79" s="548"/>
      <c r="N79" s="554"/>
      <c r="O79" s="30"/>
      <c r="P79" s="149"/>
      <c r="Q79" s="345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50"/>
      <c r="B80" s="551"/>
      <c r="C80" s="551"/>
      <c r="D80" s="551"/>
      <c r="E80" s="552"/>
      <c r="F80" s="551"/>
      <c r="G80" s="551"/>
      <c r="H80" s="551"/>
      <c r="I80" s="551"/>
      <c r="J80" s="551"/>
      <c r="K80" s="551"/>
      <c r="L80" s="551"/>
      <c r="M80" s="553"/>
      <c r="N80" s="555"/>
      <c r="O80" s="30"/>
      <c r="P80" s="149"/>
      <c r="Q80" s="345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55" priority="5" stopIfTrue="1">
      <formula>K12&lt;&gt;""</formula>
    </cfRule>
  </conditionalFormatting>
  <conditionalFormatting sqref="N12:N30">
    <cfRule type="expression" dxfId="54" priority="4" stopIfTrue="1">
      <formula>$L12&lt;&gt;""</formula>
    </cfRule>
  </conditionalFormatting>
  <conditionalFormatting sqref="M55">
    <cfRule type="expression" dxfId="53" priority="3" stopIfTrue="1">
      <formula>K55&lt;&gt;""</formula>
    </cfRule>
  </conditionalFormatting>
  <conditionalFormatting sqref="N55">
    <cfRule type="expression" dxfId="52" priority="2" stopIfTrue="1">
      <formula>$L55&lt;&gt;""</formula>
    </cfRule>
  </conditionalFormatting>
  <conditionalFormatting sqref="L36:L54">
    <cfRule type="expression" dxfId="51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0"/>
  <dimension ref="A1:AN385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'2022'!An+1</f>
        <v>2023</v>
      </c>
      <c r="K1" s="1263"/>
      <c r="L1" s="113" t="str">
        <f>"Calcul pertes et enveloppes en "&amp;TEXT(An,0)</f>
        <v>Calcul pertes et enveloppes en 2023</v>
      </c>
      <c r="M1" s="245"/>
      <c r="N1" s="245"/>
      <c r="V1" s="458"/>
      <c r="W1" s="456"/>
      <c r="X1" s="487" t="str">
        <f>"Prévision sans nettoyage ni taille végétation en "&amp;TEXT(An,0)</f>
        <v>Prévision sans nettoyage ni taille végétation en 2023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54" t="s">
        <v>269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2">
        <f>Tmaj</f>
        <v>44947</v>
      </c>
      <c r="F3" s="1272"/>
      <c r="G3" s="8"/>
      <c r="H3" s="26"/>
      <c r="I3" s="6"/>
      <c r="J3" s="34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58">
        <f>AL11-AJ11</f>
        <v>271.11114624751087</v>
      </c>
      <c r="AK3" s="859">
        <f>AM11-AK11</f>
        <v>0</v>
      </c>
      <c r="AL3" s="858"/>
      <c r="AM3" s="859"/>
      <c r="AN3" s="857" t="s">
        <v>270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2" t="str">
        <f>Station</f>
        <v>Crèche Ayguesvives</v>
      </c>
      <c r="F4" s="1213"/>
      <c r="G4" s="1213"/>
      <c r="H4" s="1213"/>
      <c r="I4" s="1214"/>
      <c r="J4" s="158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58">
        <f>AL12-AJ12</f>
        <v>274.29278207796762</v>
      </c>
      <c r="AK4" s="859">
        <f>AM12-AK12</f>
        <v>-8.235418110492418</v>
      </c>
      <c r="AL4" s="858"/>
      <c r="AM4" s="859"/>
      <c r="AN4" s="857" t="s">
        <v>271</v>
      </c>
    </row>
    <row r="5" spans="1:40" s="35" customFormat="1" ht="16.5" customHeight="1" x14ac:dyDescent="0.25">
      <c r="D5" s="161" t="s">
        <v>20</v>
      </c>
      <c r="E5" s="1273">
        <f>T0</f>
        <v>43313</v>
      </c>
      <c r="F5" s="1273"/>
      <c r="G5" s="34"/>
      <c r="H5" s="158"/>
      <c r="I5" s="158"/>
      <c r="K5" s="194"/>
      <c r="L5" s="506"/>
      <c r="M5" s="505"/>
      <c r="N5" s="505"/>
      <c r="O5" s="19"/>
      <c r="R5" s="39"/>
      <c r="S5" s="180"/>
      <c r="T5" s="180"/>
      <c r="U5" s="41"/>
      <c r="V5" s="507"/>
      <c r="W5" s="508"/>
      <c r="X5" s="509"/>
      <c r="Y5" s="510"/>
      <c r="Z5" s="238">
        <f>Wh_Psa_s-Wh_Psa</f>
        <v>544.9251407068075</v>
      </c>
      <c r="AA5" s="239">
        <f>Wh_Pvg_s-Wh_Pvg</f>
        <v>-8.235418110492418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2617.6296252696002</v>
      </c>
      <c r="AK5" s="516">
        <f>SUMIF(AK15:AK380,"VRAI",Wh)</f>
        <v>0</v>
      </c>
      <c r="AL5" s="516">
        <f>SUMIF(AJ15:AJ380,"VRAI",Wh_s)</f>
        <v>2346.5129224062584</v>
      </c>
      <c r="AM5" s="516">
        <f>SUMIF(AK15:AK380,"VRAI",Wh_s)</f>
        <v>0</v>
      </c>
      <c r="AN5" s="857" t="s">
        <v>267</v>
      </c>
    </row>
    <row r="6" spans="1:40" s="6" customFormat="1" ht="16.5" customHeight="1" x14ac:dyDescent="0.2">
      <c r="B6" s="8"/>
      <c r="C6" s="8"/>
      <c r="D6" s="161" t="s">
        <v>11</v>
      </c>
      <c r="E6" s="1274">
        <f>Tservice</f>
        <v>43354</v>
      </c>
      <c r="F6" s="1274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7749.8831044967737</v>
      </c>
      <c r="AK6" s="516">
        <f>SUMIF(AK15:AK380,"FAUX",Wh)</f>
        <v>10367.512729766382</v>
      </c>
      <c r="AL6" s="516">
        <f>SUMIF(AJ15:AJ380,"FAUX",Wh_s)</f>
        <v>7475.5516919885267</v>
      </c>
      <c r="AM6" s="516">
        <f>SUMIF(AK15:AK380,"FAUX",Wh_s)</f>
        <v>9822.0646143947779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AND(YEAR(Tnet)=An,Resal_2023="I")</f>
        <v>0</v>
      </c>
      <c r="F7" s="322" t="b">
        <f>YEAR(Tnet)=An</f>
        <v>1</v>
      </c>
      <c r="J7" s="180"/>
      <c r="K7" s="193"/>
      <c r="L7" s="191" t="s">
        <v>81</v>
      </c>
      <c r="M7" s="868"/>
      <c r="N7" s="868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50"/>
      <c r="Z7" s="518"/>
      <c r="AA7" s="518"/>
      <c r="AB7" s="518"/>
      <c r="AC7" s="518"/>
      <c r="AD7" s="250"/>
      <c r="AE7" s="250"/>
      <c r="AF7" s="493"/>
      <c r="AG7" s="493"/>
      <c r="AH7" s="493"/>
      <c r="AI7" s="518"/>
      <c r="AJ7" s="516">
        <f>SUMIF(AJ15:AJ380,"VRAI",Wh_pvt)</f>
        <v>2722.3873014475544</v>
      </c>
      <c r="AK7" s="516">
        <f>SUMIF(AK15:AK380,"VRAI",Wh_sa)</f>
        <v>0</v>
      </c>
      <c r="AL7" s="516">
        <f>SUMIF(AJ15:AJ380,"VRAI",Wh_pvt_s)</f>
        <v>2440.4253950382617</v>
      </c>
      <c r="AM7" s="516">
        <f>SUMIF(AK15:AK380,"VRAI",Wh_sa_s)</f>
        <v>0</v>
      </c>
      <c r="AN7" s="857" t="s">
        <v>259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AND(YEAR(Tnet)=An,Resal_2023&lt;&gt;"I")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6"/>
      <c r="X8" s="1260" t="s">
        <v>102</v>
      </c>
      <c r="Y8" s="1261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8086.044235768004</v>
      </c>
      <c r="AK8" s="516">
        <f>SUMIF(AK15:AK380,"FAUX",Wh_sa)</f>
        <v>11406.240903285678</v>
      </c>
      <c r="AL8" s="516">
        <f>SUMIF(AJ15:AJ380,"FAUX",Wh_pvt_s)</f>
        <v>7799.8502072313222</v>
      </c>
      <c r="AM8" s="516">
        <f>SUMIF(AK15:AK380,"FAUX",Wh_sa_s)</f>
        <v>11406.240903285678</v>
      </c>
      <c r="AN8" s="857" t="s">
        <v>260</v>
      </c>
    </row>
    <row r="9" spans="1:40" s="19" customFormat="1" ht="15" customHeight="1" x14ac:dyDescent="0.25">
      <c r="A9" s="34"/>
      <c r="B9" s="212"/>
      <c r="C9" s="212"/>
      <c r="D9" s="186">
        <f>SUM(D$15:D$380)</f>
        <v>10808.431537215556</v>
      </c>
      <c r="E9" s="186">
        <f>SUM(E$15:E$380)</f>
        <v>11406.240903285678</v>
      </c>
      <c r="F9" s="186">
        <f>SUM(F$15:F$380)</f>
        <v>11578.457398787843</v>
      </c>
      <c r="H9" s="1264">
        <f>+SUM(Wh)</f>
        <v>10367.512729766382</v>
      </c>
      <c r="I9" s="1265"/>
      <c r="J9" s="1266"/>
      <c r="K9" s="193"/>
      <c r="L9" s="234"/>
      <c r="M9" s="234"/>
      <c r="N9" s="234"/>
      <c r="O9" s="225">
        <f>Tnet_2023</f>
        <v>45046</v>
      </c>
      <c r="P9" s="246" t="s">
        <v>91</v>
      </c>
      <c r="Q9" s="247"/>
      <c r="R9" s="247"/>
      <c r="S9" s="247"/>
      <c r="T9" s="247"/>
      <c r="U9" s="248"/>
      <c r="V9" s="462"/>
      <c r="W9" s="521"/>
      <c r="X9" s="1258">
        <f>+SUM(Wh_s)</f>
        <v>9822.0646143947779</v>
      </c>
      <c r="Y9" s="1259"/>
      <c r="Z9" s="516">
        <f>SUM(Z$15:Z$380)</f>
        <v>10240.275602269572</v>
      </c>
      <c r="AA9" s="516">
        <f>SUM(AA$15:AA$380)</f>
        <v>11406.240903285678</v>
      </c>
      <c r="AB9" s="516">
        <f>F9</f>
        <v>11578.457398787843</v>
      </c>
      <c r="AC9" s="327">
        <f>IF(An_Tnet,Tnet,'2022'!Tnet_s)</f>
        <v>45046</v>
      </c>
      <c r="AD9" s="318" t="s">
        <v>91</v>
      </c>
      <c r="AE9" s="318"/>
      <c r="AF9" s="318"/>
      <c r="AG9" s="318"/>
      <c r="AH9" s="318"/>
      <c r="AI9" s="319"/>
      <c r="AJ9" s="516">
        <f>SUMIF(AJ15:AJ380,"VRAI",Wh_sa)</f>
        <v>2877.4666386468962</v>
      </c>
      <c r="AK9" s="516">
        <f>SUMIF(AK15:AK380,"VRAI",Wh_hp)</f>
        <v>0</v>
      </c>
      <c r="AL9" s="516">
        <f>SUMIF(AJ15:AJ380,"VRAI",Wh_sa_s)</f>
        <v>2877.4666386468962</v>
      </c>
      <c r="AM9" s="516">
        <f>SUMIF(AK15:AK380,"VRAI",Wh_hp)</f>
        <v>0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IF(Inflex,'2022'!Resal+('2022'!Salim-'2022'!Resal)*(1-EXP(-(Tnet-'2022'!Tnet)/('2022'!Tau_j))),IF(An_Tnet,Resal_2023,'2022'!Resal))</f>
        <v>2.5000000000000001E-2</v>
      </c>
      <c r="P10" s="421" t="b">
        <f>NOT(Acti_tai)</f>
        <v>1</v>
      </c>
      <c r="Q10" s="259">
        <f>IF(Acti_tai,'2022'!PousD,Dens-Dd)</f>
        <v>0</v>
      </c>
      <c r="R10" s="276"/>
      <c r="S10" s="277"/>
      <c r="T10" s="278"/>
      <c r="U10" s="268">
        <f>IF(Acti_tai,'2022'!PousH,Hdtf-Hdd)</f>
        <v>0.70000000000000029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IF(OR(Inflex,GainD),'2022'!Resal_s+('2022'!Salim-'2022'!Resal_s)*(1-EXP(('2022'!Tnet_s-Tnet)/('2022'!Tau_j))),IF(Acti_net,'2022'!Resal+('2022'!Salim-'2022'!Resal)*(1-EXP(('2022'!Tnet-Tnet)/'2022'!Tau_j)),'2022'!Resal_s))</f>
        <v>6.2001016468768405E-2</v>
      </c>
      <c r="AD10" s="428"/>
      <c r="AE10" s="428"/>
      <c r="AF10" s="262"/>
      <c r="AG10" s="263"/>
      <c r="AH10" s="264"/>
      <c r="AI10" s="473"/>
      <c r="AJ10" s="516">
        <f>SUMIF(AJ15:AJ380,"FAUX",Wh_sa)</f>
        <v>8528.7742646387796</v>
      </c>
      <c r="AK10" s="516">
        <f>SUMIF(AK15:AK380,"FAUX",Wh_hp)</f>
        <v>11578.457398787843</v>
      </c>
      <c r="AL10" s="516">
        <f>SUMIF(AJ15:AJ380,"FAUX",Wh_sa_s)</f>
        <v>8528.7742646387796</v>
      </c>
      <c r="AM10" s="516">
        <f>SUMIF(AK15:AK380,"FAUX",Wh_hp)</f>
        <v>11578.457398787843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50">
        <f>D$9-Prod_an</f>
        <v>440.91880744917398</v>
      </c>
      <c r="E11" s="51">
        <f>(E$9-D$9)*Prod_an/D$9</f>
        <v>573.42235007598697</v>
      </c>
      <c r="F11" s="188">
        <f>(F$9-E$9)*Prod_an/E$9</f>
        <v>156.5333157990847</v>
      </c>
      <c r="G11" s="187" t="s">
        <v>6</v>
      </c>
      <c r="K11" s="196"/>
      <c r="L11" s="213">
        <f>Tvie_2023</f>
        <v>43313</v>
      </c>
      <c r="M11" s="869"/>
      <c r="N11" s="869"/>
      <c r="O11" s="204">
        <f>IF(An_Tnet,Salim_2023,'2022'!Salim)</f>
        <v>0.17333333333333334</v>
      </c>
      <c r="P11" s="258">
        <f>Ttai_2023</f>
        <v>43101</v>
      </c>
      <c r="Q11" s="274">
        <f>Dens_2023</f>
        <v>1</v>
      </c>
      <c r="R11" s="279"/>
      <c r="S11" s="232"/>
      <c r="T11" s="232"/>
      <c r="U11" s="268">
        <f>Htf_2023</f>
        <v>1.3997754452387601</v>
      </c>
      <c r="V11" s="428"/>
      <c r="W11" s="519"/>
      <c r="X11" s="526" t="s">
        <v>43</v>
      </c>
      <c r="Y11" s="50">
        <f>Z$9-Prod_an_s</f>
        <v>418.21098787479423</v>
      </c>
      <c r="Z11" s="51">
        <f>(AA$9-Z$9)*Prod_an_s/Z$9</f>
        <v>1118.3474907827945</v>
      </c>
      <c r="AA11" s="188">
        <f>(AB$9-AA$9)*Prod_an_s/AA$9</f>
        <v>148.29789768859229</v>
      </c>
      <c r="AB11" s="527" t="s">
        <v>6</v>
      </c>
      <c r="AC11" s="327"/>
      <c r="AD11" s="428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58">
        <f>IF($AJ7=0,0,($AJ9-$AJ7)*$AJ5/$AJ7)</f>
        <v>149.11187218083316</v>
      </c>
      <c r="AK11" s="859">
        <f>IF($AK7=0,0,($AK9-$AK7)*$AK5/$AK7)</f>
        <v>0</v>
      </c>
      <c r="AL11" s="858">
        <f>IF($AL7=0,0,($AL9-$AL7)*$AL5/$AL7)</f>
        <v>420.22301842834406</v>
      </c>
      <c r="AM11" s="859">
        <f>IF($AM7=0,0,($AM9-$AM7)*$AM5/$AM7)</f>
        <v>0</v>
      </c>
      <c r="AN11" s="857" t="s">
        <v>272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Pspv_2023</f>
        <v>0</v>
      </c>
      <c r="M12" s="214"/>
      <c r="N12" s="214"/>
      <c r="O12" s="207">
        <f>IF(An_Tnet,Tau_2023*365,'2022'!Tau_j)</f>
        <v>523.16666666666663</v>
      </c>
      <c r="P12" s="283">
        <f>INDEX(Croivg,MIN(MAX(Ttai-$A$15,0)+1,366))</f>
        <v>2.3909964587625958E-6</v>
      </c>
      <c r="Q12" s="282">
        <f>'2022'!Df</f>
        <v>1</v>
      </c>
      <c r="R12" s="280"/>
      <c r="S12" s="281"/>
      <c r="T12" s="281"/>
      <c r="U12" s="269">
        <f>'2022'!Hdf</f>
        <v>0.69977544523875979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'2022'!Df_s</f>
        <v>1</v>
      </c>
      <c r="AF12" s="205"/>
      <c r="AG12" s="205"/>
      <c r="AH12" s="205"/>
      <c r="AI12" s="299">
        <f>'2022'!Hdf_s</f>
        <v>0.69977544523875979</v>
      </c>
      <c r="AJ12" s="858">
        <f>IF($AJ8=0,0,($AJ10-$AJ8)*$AJ6/$AJ8)</f>
        <v>424.32441259989099</v>
      </c>
      <c r="AK12" s="859">
        <f>IF($AK8=0,0,($AK10-$AK8)*$AK6/$AK8)</f>
        <v>156.5333157990847</v>
      </c>
      <c r="AL12" s="858">
        <f>IF($AL8=0,0,($AL10-$AL8)*$AL6/$AL8)</f>
        <v>698.61719467785861</v>
      </c>
      <c r="AM12" s="859">
        <f>IF($AM8=0,0,($AM10-$AM8)*$AM6/$AM8)</f>
        <v>148.29789768859229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204</v>
      </c>
      <c r="V13" s="124" t="s">
        <v>41</v>
      </c>
      <c r="W13" s="862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573.43628478072412</v>
      </c>
      <c r="AK13" s="73">
        <f>+AK11+AK12</f>
        <v>156.5333157990847</v>
      </c>
      <c r="AL13" s="73">
        <f>+AL11+AL12</f>
        <v>1118.8402131062026</v>
      </c>
      <c r="AM13" s="73">
        <f>+AM11+AM12</f>
        <v>148.29789768859229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1281" t="s">
        <v>365</v>
      </c>
      <c r="C14" s="416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203</v>
      </c>
      <c r="V14" s="45" t="str">
        <f>"Enveloppe "&amp; TEXT(An,0)</f>
        <v>Enveloppe 2023</v>
      </c>
      <c r="W14" s="863" t="s">
        <v>116</v>
      </c>
      <c r="X14" s="260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129">
        <f>DATE(An,1,1)</f>
        <v>44927</v>
      </c>
      <c r="B15" s="1138">
        <f>IF(t&gt;Tmaj,'2022'!Wh/'2022'!Env_an*'2023'!Env_an,0.001*'[3]mon-tableau (2)'!$B$208)</f>
        <v>5.8540000000000001</v>
      </c>
      <c r="C15" s="866"/>
      <c r="D15" s="395">
        <f t="shared" ref="D15:D78" si="0">Wh/(1-Ppv)</f>
        <v>6.0780611980110937</v>
      </c>
      <c r="E15" s="402">
        <f t="shared" ref="E15:E79" si="1">Wh_pvt/(1-Psa)</f>
        <v>6.3315649438630865</v>
      </c>
      <c r="F15" s="402">
        <f t="shared" ref="F15:F78" si="2">Wh_sa/(1-Pvg*MEDIAN((-Sdif+Wh/Env_an)/Csdif,0,1))</f>
        <v>6.4268793674172544</v>
      </c>
      <c r="G15" s="123">
        <f>+Wh_hp/MaxiM</f>
        <v>0.33769112695301678</v>
      </c>
      <c r="H15" s="414" t="b">
        <f>Wh_hp&gt;='2022'!Maxi_hp</f>
        <v>0</v>
      </c>
      <c r="I15" s="398">
        <f>IF(H15,Wh_hp,'2022'!Maxi_hp)</f>
        <v>19.462082173692245</v>
      </c>
      <c r="J15" s="84">
        <f>IF(H15,An,'2022'!An_max)</f>
        <v>2022</v>
      </c>
      <c r="K15" s="199">
        <f t="shared" ref="K15:K78" si="3">t</f>
        <v>44927</v>
      </c>
      <c r="L15" s="146">
        <f>IF(t&lt;Tvie,1-EXP((T0-t)*PertePVj)+'2022'!Pspv,1-EXP((T0-t)*PertePVj)+Pspv)</f>
        <v>3.6863925964485622E-2</v>
      </c>
      <c r="M15" s="870"/>
      <c r="N15" s="870"/>
      <c r="O15" s="48">
        <f>IF(t&lt;Tnet,'2022'!Resal+('2022'!Salim-'2022'!Resal)*(1-EXP(('2022'!Tnet-t)/('2022'!Tau_j))),Resal+(Salim-Resal)*(1-EXP((Tnet-t)/(Tau_j))))*Salcycl</f>
        <v>4.0038086649920999E-2</v>
      </c>
      <c r="P15" s="304">
        <f>(INDEX(Models!$BJ15:$BT15,,T15)*(1-R15)+INDEX(Models!$BJ15:$BT15,,T15+1)*R15-ERP_i)*Q15*Ramure*Pc/MaxiM</f>
        <v>0.12761564027703989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0.69977711893628092</v>
      </c>
      <c r="S15" s="836">
        <f t="shared" ref="S15:S78" si="6">INDEX(Echel_vg,T15)</f>
        <v>0</v>
      </c>
      <c r="T15" s="251">
        <f t="shared" ref="T15:T78" si="7">MIN(MATCH(Hp_vg,Echel_vg),10)</f>
        <v>6</v>
      </c>
      <c r="U15" s="253">
        <f t="shared" ref="U15:U78" si="8">IF(OR(t&lt;Ttai,Notai),Hdd+PousH*Croivg,Hdtf+PousH*(Croivg-Croi_tai))</f>
        <v>0.69977711893628092</v>
      </c>
      <c r="V15" s="384">
        <f t="shared" ref="V15:V78" si="9">MaxiM*(1-Ppv)*(1-Pvg)*(1-Psa)</f>
        <v>15.350764953454233</v>
      </c>
      <c r="W15" s="404">
        <f t="shared" ref="W15:W78" si="10">Wh*(A15&gt;Tmaj)</f>
        <v>0</v>
      </c>
      <c r="X15" s="156">
        <f t="shared" ref="X15:X78" si="11">t</f>
        <v>44927</v>
      </c>
      <c r="Y15" s="387">
        <f t="shared" ref="Y15:Y78" si="12">Wh_pvt_s*(1-Ppv)</f>
        <v>5.2096502674634779</v>
      </c>
      <c r="Z15" s="387">
        <f>Wh_sa_s*(1-Psa_s)</f>
        <v>5.40904905122615</v>
      </c>
      <c r="AA15" s="388">
        <f t="shared" ref="AA15:AA78" si="13">Wh_hp*(1-Pvg_s*MEDIAN((-Sdif+Wh/Env_an)/Csdif,0,1))</f>
        <v>6.3315649438630865</v>
      </c>
      <c r="AB15" s="199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0.14570108666911658</v>
      </c>
      <c r="AD15" s="233">
        <f>(INDEX(Models!$BJ15:$BT15,,AH15)*(1-AF15)+INDEX(Models!$BJ15:$BT15,,AH15+1)*AF15-ERP_i)*AE15*Ramure*Pc/MaxiM</f>
        <v>0.12761564027703989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0.69977711893628092</v>
      </c>
      <c r="AG15" s="836">
        <f>INDEX(Echel_vg,AH15)</f>
        <v>0</v>
      </c>
      <c r="AH15" s="251">
        <f t="shared" ref="AH15:AH78" si="16">MIN(MATCH(Hp_vg_s,Echel_vg),10)</f>
        <v>6</v>
      </c>
      <c r="AI15" s="226">
        <f t="shared" ref="AI15:AI78" si="17">IF(OR(t&lt;Ttai,Notai),Hdd_s+PousH*Croivg,Hdtai_s+PousH*(Croivg-Croi_tai))</f>
        <v>0.69977711893628092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44928</v>
      </c>
      <c r="B16" s="1139">
        <f>IF(t&gt;Tmaj,'2022'!Wh/'2022'!Env_an*'2023'!Env_an,0.001*'[3]mon-tableau (2)'!$B$209)</f>
        <v>1.4279999999999999</v>
      </c>
      <c r="C16" s="866"/>
      <c r="D16" s="395">
        <f t="shared" si="0"/>
        <v>1.4826910453432811</v>
      </c>
      <c r="E16" s="387">
        <f t="shared" si="1"/>
        <v>1.5448435902034532</v>
      </c>
      <c r="F16" s="387">
        <f t="shared" si="2"/>
        <v>1.5448435902034532</v>
      </c>
      <c r="G16" s="110">
        <f t="shared" ref="G16:G79" si="21">+Wh_hp/MaxiM</f>
        <v>8.059631366220546E-2</v>
      </c>
      <c r="H16" s="414" t="b">
        <f>Wh_hp&gt;='2022'!Maxi_hp</f>
        <v>0</v>
      </c>
      <c r="I16" s="392">
        <f>IF(H16,Wh_hp,'2022'!Maxi_hp)</f>
        <v>17.82763006390077</v>
      </c>
      <c r="J16" s="85">
        <f>IF(H16,An,'2022'!An_max)</f>
        <v>2020</v>
      </c>
      <c r="K16" s="199">
        <f t="shared" si="3"/>
        <v>44928</v>
      </c>
      <c r="L16" s="147">
        <f>IF(t&lt;Tvie,1-EXP((T0-t)*PertePVj)+'2022'!Pspv,1-EXP((T0-t)*PertePVj)+Pspv)</f>
        <v>3.6886339547979707E-2</v>
      </c>
      <c r="M16" s="870"/>
      <c r="N16" s="870"/>
      <c r="O16" s="48">
        <f>IF(t&lt;Tnet,'2022'!Resal+('2022'!Salim-'2022'!Resal)*(1-EXP(('2022'!Tnet-t)/('2022'!Tau_j))),Resal+(Salim-Resal)*(1-EXP((Tnet-t)/(Tau_j))))*Salcycl</f>
        <v>4.0232257332916611E-2</v>
      </c>
      <c r="P16" s="171">
        <f>(INDEX(Models!$BJ16:$BT16,,T16)*(1-R16)+INDEX(Models!$BJ16:$BT16,,T16+1)*R16-ERP_i)*Q16*Ramure*Pc/MaxiM</f>
        <v>0.12617314066949753</v>
      </c>
      <c r="Q16" s="307">
        <f t="shared" si="4"/>
        <v>1</v>
      </c>
      <c r="R16" s="179">
        <f t="shared" si="5"/>
        <v>0.69981801939587285</v>
      </c>
      <c r="S16" s="837">
        <f t="shared" si="6"/>
        <v>0</v>
      </c>
      <c r="T16" s="178">
        <f t="shared" si="7"/>
        <v>6</v>
      </c>
      <c r="U16" s="253">
        <f t="shared" si="8"/>
        <v>0.69981801939587285</v>
      </c>
      <c r="V16" s="385">
        <f t="shared" si="9"/>
        <v>15.482404820074393</v>
      </c>
      <c r="W16" s="404">
        <f t="shared" si="10"/>
        <v>0</v>
      </c>
      <c r="X16" s="157">
        <f t="shared" si="11"/>
        <v>44928</v>
      </c>
      <c r="Y16" s="387">
        <f t="shared" si="12"/>
        <v>1.2709729956041034</v>
      </c>
      <c r="Z16" s="387">
        <f t="shared" ref="Z16:Z78" si="22">Wh_sa_s*(1-Psa_s)</f>
        <v>1.3196500556409871</v>
      </c>
      <c r="AA16" s="388">
        <f t="shared" si="13"/>
        <v>1.5448435902034532</v>
      </c>
      <c r="AB16" s="199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0.14577109034889962</v>
      </c>
      <c r="AD16" s="233">
        <f>(INDEX(Models!$BJ16:$BT16,,AH16)*(1-AF16)+INDEX(Models!$BJ16:$BT16,,AH16+1)*AF16-ERP_i)*AE16*Ramure*Pc/MaxiM</f>
        <v>0.12617314066949753</v>
      </c>
      <c r="AE16" s="307">
        <f t="shared" si="15"/>
        <v>1</v>
      </c>
      <c r="AF16" s="179">
        <f t="shared" ref="AF16:AF78" si="23">(Hp_vg_s-AG16)/(INDEX(Echel_vg,AH16+1)-AG16)</f>
        <v>0.69981801939587285</v>
      </c>
      <c r="AG16" s="837">
        <f t="shared" ref="AG16:AG79" si="24">INDEX(Echel_vg,AH16)</f>
        <v>0</v>
      </c>
      <c r="AH16" s="178">
        <f t="shared" si="16"/>
        <v>6</v>
      </c>
      <c r="AI16" s="227">
        <f t="shared" si="17"/>
        <v>0.69981801939587285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44929</v>
      </c>
      <c r="B17" s="1139">
        <f>IF(t&gt;Tmaj,'2022'!Wh/'2022'!Env_an*'2023'!Env_an,0.001*'[3]mon-tableau (2)'!$B$210)</f>
        <v>10.759</v>
      </c>
      <c r="C17" s="866"/>
      <c r="D17" s="395">
        <f t="shared" si="0"/>
        <v>11.171319466515524</v>
      </c>
      <c r="E17" s="387">
        <f t="shared" si="1"/>
        <v>11.641961623010753</v>
      </c>
      <c r="F17" s="387">
        <f t="shared" si="2"/>
        <v>12.507277305506452</v>
      </c>
      <c r="G17" s="110">
        <f t="shared" si="21"/>
        <v>0.64762469339979423</v>
      </c>
      <c r="H17" s="414" t="b">
        <f>Wh_hp&gt;='2022'!Maxi_hp</f>
        <v>0</v>
      </c>
      <c r="I17" s="392">
        <f>IF(H17,Wh_hp,'2022'!Maxi_hp)</f>
        <v>19.427917678346777</v>
      </c>
      <c r="J17" s="85">
        <f>IF(H17,An,'2022'!An_max)</f>
        <v>2019</v>
      </c>
      <c r="K17" s="199">
        <f t="shared" si="3"/>
        <v>44929</v>
      </c>
      <c r="L17" s="147">
        <f>IF(t&lt;Tvie,1-EXP((T0-t)*PertePVj)+'2022'!Pspv,1-EXP((T0-t)*PertePVj)+Pspv)</f>
        <v>3.6908752609876916E-2</v>
      </c>
      <c r="M17" s="870"/>
      <c r="N17" s="870"/>
      <c r="O17" s="48">
        <f>IF(t&lt;Tnet,'2022'!Resal+('2022'!Salim-'2022'!Resal)*(1-EXP(('2022'!Tnet-t)/('2022'!Tau_j))),Resal+(Salim-Resal)*(1-EXP((Tnet-t)/(Tau_j))))*Salcycl</f>
        <v>4.0426362131703635E-2</v>
      </c>
      <c r="P17" s="171">
        <f>(INDEX(Models!$BJ17:$BT17,,T17)*(1-R17)+INDEX(Models!$BJ17:$BT17,,T17+1)*R17-ERP_i)*Q17*Ramure*Pc/MaxiM</f>
        <v>0.12461502283967112</v>
      </c>
      <c r="Q17" s="307">
        <f t="shared" si="4"/>
        <v>1</v>
      </c>
      <c r="R17" s="179">
        <f t="shared" si="5"/>
        <v>0.69986063062955828</v>
      </c>
      <c r="S17" s="837">
        <f t="shared" si="6"/>
        <v>0</v>
      </c>
      <c r="T17" s="178">
        <f t="shared" si="7"/>
        <v>6</v>
      </c>
      <c r="U17" s="253">
        <f t="shared" si="8"/>
        <v>0.69986063062955828</v>
      </c>
      <c r="V17" s="385">
        <f t="shared" si="9"/>
        <v>15.623711564043118</v>
      </c>
      <c r="W17" s="404">
        <f t="shared" si="10"/>
        <v>0</v>
      </c>
      <c r="X17" s="157">
        <f t="shared" si="11"/>
        <v>44929</v>
      </c>
      <c r="Y17" s="387">
        <f t="shared" si="12"/>
        <v>9.5770552167673468</v>
      </c>
      <c r="Z17" s="387">
        <f t="shared" si="22"/>
        <v>9.944078759640032</v>
      </c>
      <c r="AA17" s="388">
        <f t="shared" si="13"/>
        <v>11.641961623010753</v>
      </c>
      <c r="AB17" s="199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0.14584164751194459</v>
      </c>
      <c r="AD17" s="233">
        <f>(INDEX(Models!$BJ17:$BT17,,AH17)*(1-AF17)+INDEX(Models!$BJ17:$BT17,,AH17+1)*AF17-ERP_i)*AE17*Ramure*Pc/MaxiM</f>
        <v>0.12461502283967112</v>
      </c>
      <c r="AE17" s="307">
        <f t="shared" si="15"/>
        <v>1</v>
      </c>
      <c r="AF17" s="179">
        <f>(Hp_vg_s-AG17)/(INDEX(Echel_vg,AH17+1)-AG17)</f>
        <v>0.69986063062955828</v>
      </c>
      <c r="AG17" s="837">
        <f>INDEX(Echel_vg,AH17)</f>
        <v>0</v>
      </c>
      <c r="AH17" s="178">
        <f t="shared" si="16"/>
        <v>6</v>
      </c>
      <c r="AI17" s="227">
        <f t="shared" si="17"/>
        <v>0.69986063062955828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44930</v>
      </c>
      <c r="B18" s="1139">
        <f>IF(t&gt;Tmaj,'2022'!Wh/'2022'!Env_an*'2023'!Env_an,0.001*'[3]mon-tableau (2)'!$B$211)</f>
        <v>10.831</v>
      </c>
      <c r="C18" s="866"/>
      <c r="D18" s="395">
        <f t="shared" si="0"/>
        <v>11.246340456743241</v>
      </c>
      <c r="E18" s="387">
        <f t="shared" si="1"/>
        <v>11.722513466799313</v>
      </c>
      <c r="F18" s="387">
        <f t="shared" si="2"/>
        <v>12.576522209242828</v>
      </c>
      <c r="G18" s="110">
        <f t="shared" si="21"/>
        <v>0.64607074353155092</v>
      </c>
      <c r="H18" s="414" t="b">
        <f>Wh_hp&gt;='2022'!Maxi_hp</f>
        <v>0</v>
      </c>
      <c r="I18" s="392">
        <f>IF(H18,Wh_hp,'2022'!Maxi_hp)</f>
        <v>19.204055167696065</v>
      </c>
      <c r="J18" s="85">
        <f>IF(H18,An,'2022'!An_max)</f>
        <v>2019</v>
      </c>
      <c r="K18" s="199">
        <f t="shared" si="3"/>
        <v>44930</v>
      </c>
      <c r="L18" s="147">
        <f>IF(t&lt;Tvie,1-EXP((T0-t)*PertePVj)+'2022'!Pspv,1-EXP((T0-t)*PertePVj)+Pspv)</f>
        <v>3.693116515018946E-2</v>
      </c>
      <c r="M18" s="870"/>
      <c r="N18" s="870"/>
      <c r="O18" s="48">
        <f>IF(t&lt;Tnet,'2022'!Resal+('2022'!Salim-'2022'!Resal)*(1-EXP(('2022'!Tnet-t)/('2022'!Tau_j))),Resal+(Salim-Resal)*(1-EXP((Tnet-t)/(Tau_j))))*Salcycl</f>
        <v>4.0620384988654265E-2</v>
      </c>
      <c r="P18" s="171">
        <f>(INDEX(Models!$BJ18:$BT18,,T18)*(1-R18)+INDEX(Models!$BJ18:$BT18,,T18+1)*R18-ERP_i)*Q18*Ramure*Pc/MaxiM</f>
        <v>0.1229472618758372</v>
      </c>
      <c r="Q18" s="307">
        <f t="shared" si="4"/>
        <v>1</v>
      </c>
      <c r="R18" s="179">
        <f t="shared" si="5"/>
        <v>0.6999050239733714</v>
      </c>
      <c r="S18" s="837">
        <f t="shared" si="6"/>
        <v>0</v>
      </c>
      <c r="T18" s="178">
        <f t="shared" si="7"/>
        <v>6</v>
      </c>
      <c r="U18" s="253">
        <f t="shared" si="8"/>
        <v>0.6999050239733714</v>
      </c>
      <c r="V18" s="385">
        <f t="shared" si="9"/>
        <v>15.77444220744704</v>
      </c>
      <c r="W18" s="404">
        <f t="shared" si="10"/>
        <v>0</v>
      </c>
      <c r="X18" s="157">
        <f t="shared" si="11"/>
        <v>44930</v>
      </c>
      <c r="Y18" s="387">
        <f t="shared" si="12"/>
        <v>9.6422933089165337</v>
      </c>
      <c r="Z18" s="387">
        <f>Wh_sa_s*(1-Psa_s)</f>
        <v>10.012049980228296</v>
      </c>
      <c r="AA18" s="388">
        <f t="shared" si="13"/>
        <v>11.722513466799313</v>
      </c>
      <c r="AB18" s="199">
        <f>t</f>
        <v>44930</v>
      </c>
      <c r="AC18" s="119">
        <f>IF(OR(t&lt;Tnet,NoTnet),'2022'!Resal_s+('2022'!Salim-'2022'!Resal_s)*(1-EXP(('2022'!Tnet_s-t)/'2022'!Tau_j)),Resal_s+(Salim-Resal_s)*(1-EXP((Tnet_s-t)/Tau_j)))*Salcycl</f>
        <v>0.14591269111487212</v>
      </c>
      <c r="AD18" s="233">
        <f>(INDEX(Models!$BJ18:$BT18,,AH18)*(1-AF18)+INDEX(Models!$BJ18:$BT18,,AH18+1)*AF18-ERP_i)*AE18*Ramure*Pc/MaxiM</f>
        <v>0.1229472618758372</v>
      </c>
      <c r="AE18" s="307">
        <f t="shared" si="15"/>
        <v>1</v>
      </c>
      <c r="AF18" s="179">
        <f t="shared" si="23"/>
        <v>0.6999050239733714</v>
      </c>
      <c r="AG18" s="837">
        <f t="shared" si="24"/>
        <v>0</v>
      </c>
      <c r="AH18" s="178">
        <f t="shared" si="16"/>
        <v>6</v>
      </c>
      <c r="AI18" s="227">
        <f t="shared" si="17"/>
        <v>0.6999050239733714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44931</v>
      </c>
      <c r="B19" s="1139">
        <f>IF(t&gt;Tmaj,'2022'!Wh/'2022'!Env_an*'2023'!Env_an,0.001*'[3]mon-tableau (2)'!$B$212)</f>
        <v>11.666</v>
      </c>
      <c r="C19" s="866"/>
      <c r="D19" s="395">
        <f t="shared" si="0"/>
        <v>12.113642419962916</v>
      </c>
      <c r="E19" s="387">
        <f t="shared" si="1"/>
        <v>12.62909004032552</v>
      </c>
      <c r="F19" s="387">
        <f t="shared" si="2"/>
        <v>13.650194490520384</v>
      </c>
      <c r="G19" s="110">
        <f t="shared" si="21"/>
        <v>0.69543456153834948</v>
      </c>
      <c r="H19" s="414" t="b">
        <f>Wh_hp&gt;='2022'!Maxi_hp</f>
        <v>0</v>
      </c>
      <c r="I19" s="392">
        <f>IF(H19,Wh_hp,'2022'!Maxi_hp)</f>
        <v>19.428700857508826</v>
      </c>
      <c r="J19" s="85">
        <f>IF(H19,An,'2022'!An_max)</f>
        <v>2019</v>
      </c>
      <c r="K19" s="199">
        <f t="shared" si="3"/>
        <v>44931</v>
      </c>
      <c r="L19" s="147">
        <f>IF(t&lt;Tvie,1-EXP((T0-t)*PertePVj)+'2022'!Pspv,1-EXP((T0-t)*PertePVj)+Pspv)</f>
        <v>3.6953577168929441E-2</v>
      </c>
      <c r="M19" s="870"/>
      <c r="N19" s="870"/>
      <c r="O19" s="48">
        <f>IF(t&lt;Tnet,'2022'!Resal+('2022'!Salim-'2022'!Resal)*(1-EXP(('2022'!Tnet-t)/('2022'!Tau_j))),Resal+(Salim-Resal)*(1-EXP((Tnet-t)/(Tau_j))))*Salcycl</f>
        <v>4.0814311935123339E-2</v>
      </c>
      <c r="P19" s="171">
        <f>(INDEX(Models!$BJ19:$BT19,,T19)*(1-R19)+INDEX(Models!$BJ19:$BT19,,T19+1)*R19-ERP_i)*Q19*Ramure*Pc/MaxiM</f>
        <v>0.12117586243674634</v>
      </c>
      <c r="Q19" s="307">
        <f t="shared" si="4"/>
        <v>1</v>
      </c>
      <c r="R19" s="179">
        <f t="shared" si="5"/>
        <v>0.69995127371895782</v>
      </c>
      <c r="S19" s="837">
        <f t="shared" si="6"/>
        <v>0</v>
      </c>
      <c r="T19" s="178">
        <f t="shared" si="7"/>
        <v>6</v>
      </c>
      <c r="U19" s="253">
        <f t="shared" si="8"/>
        <v>0.69995127371895782</v>
      </c>
      <c r="V19" s="385">
        <f t="shared" si="9"/>
        <v>15.934353883348125</v>
      </c>
      <c r="W19" s="404">
        <f t="shared" si="10"/>
        <v>0</v>
      </c>
      <c r="X19" s="157">
        <f t="shared" si="11"/>
        <v>44931</v>
      </c>
      <c r="Y19" s="387">
        <f t="shared" si="12"/>
        <v>10.386882207580079</v>
      </c>
      <c r="Z19" s="387">
        <f t="shared" si="22"/>
        <v>10.78544290424311</v>
      </c>
      <c r="AA19" s="388">
        <f t="shared" si="13"/>
        <v>12.62909004032552</v>
      </c>
      <c r="AB19" s="199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0.14598416276988471</v>
      </c>
      <c r="AD19" s="233">
        <f>(INDEX(Models!$BJ19:$BT19,,AH19)*(1-AF19)+INDEX(Models!$BJ19:$BT19,,AH19+1)*AF19-ERP_i)*AE19*Ramure*Pc/MaxiM</f>
        <v>0.12117586243674634</v>
      </c>
      <c r="AE19" s="307">
        <f t="shared" si="15"/>
        <v>1</v>
      </c>
      <c r="AF19" s="179">
        <f t="shared" si="23"/>
        <v>0.69995127371895782</v>
      </c>
      <c r="AG19" s="837">
        <f t="shared" si="24"/>
        <v>0</v>
      </c>
      <c r="AH19" s="178">
        <f t="shared" si="16"/>
        <v>6</v>
      </c>
      <c r="AI19" s="227">
        <f t="shared" si="17"/>
        <v>0.69995127371895782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44932</v>
      </c>
      <c r="B20" s="1139">
        <f>IF(t&gt;Tmaj,'2022'!Wh/'2022'!Env_an*'2023'!Env_an,0.001*'[3]mon-tableau (2)'!$B$213)</f>
        <v>5.173</v>
      </c>
      <c r="C20" s="866"/>
      <c r="D20" s="395">
        <f t="shared" si="0"/>
        <v>5.3716209971076871</v>
      </c>
      <c r="E20" s="387">
        <f t="shared" si="1"/>
        <v>5.6013206901427699</v>
      </c>
      <c r="F20" s="387">
        <f t="shared" si="2"/>
        <v>5.6216721657475599</v>
      </c>
      <c r="G20" s="110">
        <f t="shared" si="21"/>
        <v>0.28394217227888702</v>
      </c>
      <c r="H20" s="414" t="b">
        <f>Wh_hp&gt;='2022'!Maxi_hp</f>
        <v>0</v>
      </c>
      <c r="I20" s="392">
        <f>IF(H20,Wh_hp,'2022'!Maxi_hp)</f>
        <v>20.454909959477973</v>
      </c>
      <c r="J20" s="85">
        <f>IF(H20,An,'2022'!An_max)</f>
        <v>2022</v>
      </c>
      <c r="K20" s="199">
        <f t="shared" si="3"/>
        <v>44932</v>
      </c>
      <c r="L20" s="147">
        <f>IF(t&lt;Tvie,1-EXP((T0-t)*PertePVj)+'2022'!Pspv,1-EXP((T0-t)*PertePVj)+Pspv)</f>
        <v>3.6975988666108961E-2</v>
      </c>
      <c r="M20" s="870"/>
      <c r="N20" s="870"/>
      <c r="O20" s="48">
        <f>IF(t&lt;Tnet,'2022'!Resal+('2022'!Salim-'2022'!Resal)*(1-EXP(('2022'!Tnet-t)/('2022'!Tau_j))),Resal+(Salim-Resal)*(1-EXP((Tnet-t)/(Tau_j))))*Salcycl</f>
        <v>4.100813107153635E-2</v>
      </c>
      <c r="P20" s="171">
        <f>(INDEX(Models!$BJ20:$BT20,,T20)*(1-R20)+INDEX(Models!$BJ20:$BT20,,T20+1)*R20-ERP_i)*Q20*Ramure*Pc/MaxiM</f>
        <v>0.11930681905199701</v>
      </c>
      <c r="Q20" s="307">
        <f t="shared" si="4"/>
        <v>1</v>
      </c>
      <c r="R20" s="179">
        <f t="shared" si="5"/>
        <v>0.69999945723440882</v>
      </c>
      <c r="S20" s="837">
        <f t="shared" si="6"/>
        <v>0</v>
      </c>
      <c r="T20" s="178">
        <f t="shared" si="7"/>
        <v>6</v>
      </c>
      <c r="U20" s="253">
        <f t="shared" si="8"/>
        <v>0.69999945723440882</v>
      </c>
      <c r="V20" s="385">
        <f t="shared" si="9"/>
        <v>16.103203799074112</v>
      </c>
      <c r="W20" s="404">
        <f t="shared" si="10"/>
        <v>0</v>
      </c>
      <c r="X20" s="157">
        <f t="shared" si="11"/>
        <v>44932</v>
      </c>
      <c r="Y20" s="387">
        <f t="shared" si="12"/>
        <v>4.6063500542043947</v>
      </c>
      <c r="Z20" s="387">
        <f t="shared" si="22"/>
        <v>4.7832141254963192</v>
      </c>
      <c r="AA20" s="388">
        <f t="shared" si="13"/>
        <v>5.6013206901427699</v>
      </c>
      <c r="AB20" s="199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0.14605601248401273</v>
      </c>
      <c r="AD20" s="233">
        <f>(INDEX(Models!$BJ20:$BT20,,AH20)*(1-AF20)+INDEX(Models!$BJ20:$BT20,,AH20+1)*AF20-ERP_i)*AE20*Ramure*Pc/MaxiM</f>
        <v>0.11930681905199701</v>
      </c>
      <c r="AE20" s="307">
        <f t="shared" si="15"/>
        <v>1</v>
      </c>
      <c r="AF20" s="179">
        <f t="shared" si="23"/>
        <v>0.69999945723440882</v>
      </c>
      <c r="AG20" s="837">
        <f t="shared" si="24"/>
        <v>0</v>
      </c>
      <c r="AH20" s="178">
        <f t="shared" si="16"/>
        <v>6</v>
      </c>
      <c r="AI20" s="227">
        <f t="shared" si="17"/>
        <v>0.69999945723440882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44933</v>
      </c>
      <c r="B21" s="1139">
        <f>IF(t&gt;Tmaj,'2022'!Wh/'2022'!Env_an*'2023'!Env_an,0.001*'[3]mon-tableau (2)'!$B$214)</f>
        <v>13.194000000000001</v>
      </c>
      <c r="C21" s="866"/>
      <c r="D21" s="395">
        <f t="shared" si="0"/>
        <v>13.700911810625772</v>
      </c>
      <c r="E21" s="387">
        <f t="shared" si="1"/>
        <v>14.28967250399916</v>
      </c>
      <c r="F21" s="387">
        <f t="shared" si="2"/>
        <v>15.62674165622532</v>
      </c>
      <c r="G21" s="110">
        <f t="shared" si="21"/>
        <v>0.78223763080632658</v>
      </c>
      <c r="H21" s="414" t="b">
        <f>Wh_hp&gt;='2022'!Maxi_hp</f>
        <v>1</v>
      </c>
      <c r="I21" s="392">
        <f>IF(H21,Wh_hp,'2022'!Maxi_hp)</f>
        <v>15.62674165622532</v>
      </c>
      <c r="J21" s="85">
        <f>IF(H21,An,'2022'!An_max)</f>
        <v>2023</v>
      </c>
      <c r="K21" s="199">
        <f t="shared" si="3"/>
        <v>44933</v>
      </c>
      <c r="L21" s="147">
        <f>IF(t&lt;Tvie,1-EXP((T0-t)*PertePVj)+'2022'!Pspv,1-EXP((T0-t)*PertePVj)+Pspv)</f>
        <v>3.6998399641740232E-2</v>
      </c>
      <c r="M21" s="870"/>
      <c r="N21" s="870"/>
      <c r="O21" s="48">
        <f>IF(t&lt;Tnet,'2022'!Resal+('2022'!Salim-'2022'!Resal)*(1-EXP(('2022'!Tnet-t)/('2022'!Tau_j))),Resal+(Salim-Resal)*(1-EXP((Tnet-t)/(Tau_j))))*Salcycl</f>
        <v>4.1201832526855761E-2</v>
      </c>
      <c r="P21" s="171">
        <f>(INDEX(Models!$BJ21:$BT21,,T21)*(1-R21)+INDEX(Models!$BJ21:$BT21,,T21+1)*R21-ERP_i)*Q21*Ramure*Pc/MaxiM</f>
        <v>0.11734607990728094</v>
      </c>
      <c r="Q21" s="307">
        <f t="shared" si="4"/>
        <v>1</v>
      </c>
      <c r="R21" s="179">
        <f t="shared" si="5"/>
        <v>0.70004965508989725</v>
      </c>
      <c r="S21" s="837">
        <f t="shared" si="6"/>
        <v>0</v>
      </c>
      <c r="T21" s="178">
        <f t="shared" si="7"/>
        <v>6</v>
      </c>
      <c r="U21" s="253">
        <f t="shared" si="8"/>
        <v>0.70004965508989725</v>
      </c>
      <c r="V21" s="385">
        <f t="shared" si="9"/>
        <v>16.280749206671722</v>
      </c>
      <c r="W21" s="404">
        <f t="shared" si="10"/>
        <v>0</v>
      </c>
      <c r="X21" s="157">
        <f t="shared" si="11"/>
        <v>44933</v>
      </c>
      <c r="Y21" s="387">
        <f t="shared" si="12"/>
        <v>11.750110642038955</v>
      </c>
      <c r="Z21" s="387">
        <f t="shared" si="22"/>
        <v>12.201548406220333</v>
      </c>
      <c r="AA21" s="388">
        <f t="shared" si="13"/>
        <v>14.28967250399916</v>
      </c>
      <c r="AB21" s="199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0.14612819833305743</v>
      </c>
      <c r="AD21" s="233">
        <f>(INDEX(Models!$BJ21:$BT21,,AH21)*(1-AF21)+INDEX(Models!$BJ21:$BT21,,AH21+1)*AF21-ERP_i)*AE21*Ramure*Pc/MaxiM</f>
        <v>0.11734607990728094</v>
      </c>
      <c r="AE21" s="307">
        <f t="shared" si="15"/>
        <v>1</v>
      </c>
      <c r="AF21" s="179">
        <f t="shared" si="23"/>
        <v>0.70004965508989725</v>
      </c>
      <c r="AG21" s="837">
        <f t="shared" si="24"/>
        <v>0</v>
      </c>
      <c r="AH21" s="178">
        <f t="shared" si="16"/>
        <v>6</v>
      </c>
      <c r="AI21" s="227">
        <f t="shared" si="17"/>
        <v>0.70004965508989725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44934</v>
      </c>
      <c r="B22" s="1139">
        <f>IF(t&gt;Tmaj,'2022'!Wh/'2022'!Env_an*'2023'!Env_an,0.001*'[3]mon-tableau (2)'!$B$215)</f>
        <v>6.883</v>
      </c>
      <c r="C22" s="866"/>
      <c r="D22" s="395">
        <f t="shared" si="0"/>
        <v>7.1476103244608993</v>
      </c>
      <c r="E22" s="387">
        <f t="shared" si="1"/>
        <v>7.4562654790950349</v>
      </c>
      <c r="F22" s="387">
        <f t="shared" si="2"/>
        <v>7.6040517418859759</v>
      </c>
      <c r="G22" s="110">
        <f t="shared" si="21"/>
        <v>0.37712898584059112</v>
      </c>
      <c r="H22" s="414" t="b">
        <f>Wh_hp&gt;='2022'!Maxi_hp</f>
        <v>0</v>
      </c>
      <c r="I22" s="392">
        <f>IF(H22,Wh_hp,'2022'!Maxi_hp)</f>
        <v>14.685729582313519</v>
      </c>
      <c r="J22" s="85">
        <f>IF(H22,An,'2022'!An_max)</f>
        <v>2021</v>
      </c>
      <c r="K22" s="199">
        <f t="shared" si="3"/>
        <v>44934</v>
      </c>
      <c r="L22" s="147">
        <f>IF(t&lt;Tvie,1-EXP((T0-t)*PertePVj)+'2022'!Pspv,1-EXP((T0-t)*PertePVj)+Pspv)</f>
        <v>3.7020810095835355E-2</v>
      </c>
      <c r="M22" s="870"/>
      <c r="N22" s="870"/>
      <c r="O22" s="48">
        <f>IF(t&lt;Tnet,'2022'!Resal+('2022'!Salim-'2022'!Resal)*(1-EXP(('2022'!Tnet-t)/('2022'!Tau_j))),Resal+(Salim-Resal)*(1-EXP((Tnet-t)/(Tau_j))))*Salcycl</f>
        <v>4.1395408398414019E-2</v>
      </c>
      <c r="P22" s="171">
        <f>(INDEX(Models!$BJ22:$BT22,,T22)*(1-R22)+INDEX(Models!$BJ22:$BT22,,T22+1)*R22-ERP_i)*Q22*Ramure*Pc/MaxiM</f>
        <v>0.11529951425757719</v>
      </c>
      <c r="Q22" s="307">
        <f t="shared" si="4"/>
        <v>1</v>
      </c>
      <c r="R22" s="179">
        <f t="shared" si="5"/>
        <v>0.70010195118829321</v>
      </c>
      <c r="S22" s="837">
        <f t="shared" si="6"/>
        <v>0</v>
      </c>
      <c r="T22" s="178">
        <f t="shared" si="7"/>
        <v>6</v>
      </c>
      <c r="U22" s="253">
        <f t="shared" si="8"/>
        <v>0.70010195118829321</v>
      </c>
      <c r="V22" s="385">
        <f t="shared" si="9"/>
        <v>16.466747374939569</v>
      </c>
      <c r="W22" s="404">
        <f t="shared" si="10"/>
        <v>0</v>
      </c>
      <c r="X22" s="157">
        <f t="shared" si="11"/>
        <v>44934</v>
      </c>
      <c r="Y22" s="387">
        <f t="shared" si="12"/>
        <v>6.1304741592394931</v>
      </c>
      <c r="Z22" s="387">
        <f t="shared" si="22"/>
        <v>6.36615435048975</v>
      </c>
      <c r="AA22" s="388">
        <f t="shared" si="13"/>
        <v>7.4562654790950349</v>
      </c>
      <c r="AB22" s="199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0.1462006860755703</v>
      </c>
      <c r="AD22" s="233">
        <f>(INDEX(Models!$BJ22:$BT22,,AH22)*(1-AF22)+INDEX(Models!$BJ22:$BT22,,AH22+1)*AF22-ERP_i)*AE22*Ramure*Pc/MaxiM</f>
        <v>0.11529951425757719</v>
      </c>
      <c r="AE22" s="307">
        <f t="shared" si="15"/>
        <v>1</v>
      </c>
      <c r="AF22" s="179">
        <f t="shared" si="23"/>
        <v>0.70010195118829321</v>
      </c>
      <c r="AG22" s="837">
        <f t="shared" si="24"/>
        <v>0</v>
      </c>
      <c r="AH22" s="178">
        <f t="shared" si="16"/>
        <v>6</v>
      </c>
      <c r="AI22" s="227">
        <f t="shared" si="17"/>
        <v>0.70010195118829321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44935</v>
      </c>
      <c r="B23" s="1139">
        <f>IF(t&gt;Tmaj,'2022'!Wh/'2022'!Env_an*'2023'!Env_an,0.001*'[3]mon-tableau (2)'!$B$216)</f>
        <v>7.0140000000000002</v>
      </c>
      <c r="C23" s="866"/>
      <c r="D23" s="395">
        <f t="shared" si="0"/>
        <v>7.2838159986857436</v>
      </c>
      <c r="E23" s="387">
        <f t="shared" si="1"/>
        <v>7.5998865612137019</v>
      </c>
      <c r="F23" s="387">
        <f t="shared" si="2"/>
        <v>7.7514206394938947</v>
      </c>
      <c r="G23" s="110">
        <f t="shared" si="21"/>
        <v>0.38074080580915659</v>
      </c>
      <c r="H23" s="414" t="b">
        <f>Wh_hp&gt;='2022'!Maxi_hp</f>
        <v>0</v>
      </c>
      <c r="I23" s="392">
        <f>IF(H23,Wh_hp,'2022'!Maxi_hp)</f>
        <v>18.908516116999923</v>
      </c>
      <c r="J23" s="85">
        <f>IF(H23,An,'2022'!An_max)</f>
        <v>2020</v>
      </c>
      <c r="K23" s="199">
        <f t="shared" si="3"/>
        <v>44935</v>
      </c>
      <c r="L23" s="147">
        <f>IF(t&lt;Tvie,1-EXP((T0-t)*PertePVj)+'2022'!Pspv,1-EXP((T0-t)*PertePVj)+Pspv)</f>
        <v>3.7043220028406543E-2</v>
      </c>
      <c r="M23" s="870"/>
      <c r="N23" s="870"/>
      <c r="O23" s="48">
        <f>IF(t&lt;Tnet,'2022'!Resal+('2022'!Salim-'2022'!Resal)*(1-EXP(('2022'!Tnet-t)/('2022'!Tau_j))),Resal+(Salim-Resal)*(1-EXP((Tnet-t)/(Tau_j))))*Salcycl</f>
        <v>4.1588852673280205E-2</v>
      </c>
      <c r="P23" s="171">
        <f>(INDEX(Models!$BJ23:$BT23,,T23)*(1-R23)+INDEX(Models!$BJ23:$BT23,,T23+1)*R23-ERP_i)*Q23*Ramure*Pc/MaxiM</f>
        <v>0.11315996159225754</v>
      </c>
      <c r="Q23" s="307">
        <f t="shared" si="4"/>
        <v>1</v>
      </c>
      <c r="R23" s="179">
        <f t="shared" si="5"/>
        <v>0.70015643290094243</v>
      </c>
      <c r="S23" s="837">
        <f t="shared" si="6"/>
        <v>0</v>
      </c>
      <c r="T23" s="178">
        <f t="shared" si="7"/>
        <v>6</v>
      </c>
      <c r="U23" s="253">
        <f t="shared" si="8"/>
        <v>0.70015643290094243</v>
      </c>
      <c r="V23" s="385">
        <f t="shared" si="9"/>
        <v>16.663100897320415</v>
      </c>
      <c r="W23" s="404">
        <f t="shared" si="10"/>
        <v>0</v>
      </c>
      <c r="X23" s="157">
        <f t="shared" si="11"/>
        <v>44935</v>
      </c>
      <c r="Y23" s="387">
        <f t="shared" si="12"/>
        <v>6.2478801998826929</v>
      </c>
      <c r="Z23" s="387">
        <f t="shared" si="22"/>
        <v>6.4882249440800459</v>
      </c>
      <c r="AA23" s="388">
        <f t="shared" si="13"/>
        <v>7.5998865612137019</v>
      </c>
      <c r="AB23" s="199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0.14627344871265066</v>
      </c>
      <c r="AD23" s="233">
        <f>(INDEX(Models!$BJ23:$BT23,,AH23)*(1-AF23)+INDEX(Models!$BJ23:$BT23,,AH23+1)*AF23-ERP_i)*AE23*Ramure*Pc/MaxiM</f>
        <v>0.11315996159225754</v>
      </c>
      <c r="AE23" s="307">
        <f t="shared" si="15"/>
        <v>1</v>
      </c>
      <c r="AF23" s="179">
        <f t="shared" si="23"/>
        <v>0.70015643290094243</v>
      </c>
      <c r="AG23" s="837">
        <f t="shared" si="24"/>
        <v>0</v>
      </c>
      <c r="AH23" s="178">
        <f t="shared" si="16"/>
        <v>6</v>
      </c>
      <c r="AI23" s="227">
        <f t="shared" si="17"/>
        <v>0.70015643290094243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44936</v>
      </c>
      <c r="B24" s="1139">
        <f>IF(t&gt;Tmaj,'2022'!Wh/'2022'!Env_an*'2023'!Env_an,0.001*'[3]mon-tableau (2)'!$B$217)</f>
        <v>15.447000000000001</v>
      </c>
      <c r="C24" s="866"/>
      <c r="D24" s="395">
        <f t="shared" si="0"/>
        <v>16.041591693323959</v>
      </c>
      <c r="E24" s="387">
        <f t="shared" si="1"/>
        <v>16.741069767896565</v>
      </c>
      <c r="F24" s="387">
        <f t="shared" si="2"/>
        <v>18.551618953476808</v>
      </c>
      <c r="G24" s="110">
        <f t="shared" si="21"/>
        <v>0.90204970060714773</v>
      </c>
      <c r="H24" s="414" t="b">
        <f>Wh_hp&gt;='2022'!Maxi_hp</f>
        <v>1</v>
      </c>
      <c r="I24" s="392">
        <f>IF(H24,Wh_hp,'2022'!Maxi_hp)</f>
        <v>18.551618953476808</v>
      </c>
      <c r="J24" s="85">
        <f>IF(H24,An,'2022'!An_max)</f>
        <v>2023</v>
      </c>
      <c r="K24" s="199">
        <f t="shared" si="3"/>
        <v>44936</v>
      </c>
      <c r="L24" s="147">
        <f>IF(t&lt;Tvie,1-EXP((T0-t)*PertePVj)+'2022'!Pspv,1-EXP((T0-t)*PertePVj)+Pspv)</f>
        <v>3.7065629439465786E-2</v>
      </c>
      <c r="M24" s="870"/>
      <c r="N24" s="870"/>
      <c r="O24" s="48">
        <f>IF(t&lt;Tnet,'2022'!Resal+('2022'!Salim-'2022'!Resal)*(1-EXP(('2022'!Tnet-t)/('2022'!Tau_j))),Resal+(Salim-Resal)*(1-EXP((Tnet-t)/(Tau_j))))*Salcycl</f>
        <v>4.1782161132495686E-2</v>
      </c>
      <c r="P24" s="171">
        <f>(INDEX(Models!$BJ24:$BT24,,T24)*(1-R24)+INDEX(Models!$BJ24:$BT24,,T24+1)*R24-ERP_i)*Q24*Ramure*Pc/MaxiM</f>
        <v>0.11097172221609815</v>
      </c>
      <c r="Q24" s="307">
        <f t="shared" si="4"/>
        <v>1</v>
      </c>
      <c r="R24" s="179">
        <f t="shared" si="5"/>
        <v>0.70021319120879977</v>
      </c>
      <c r="S24" s="837">
        <f t="shared" si="6"/>
        <v>0</v>
      </c>
      <c r="T24" s="178">
        <f t="shared" si="7"/>
        <v>6</v>
      </c>
      <c r="U24" s="253">
        <f t="shared" si="8"/>
        <v>0.70021319120879977</v>
      </c>
      <c r="V24" s="385">
        <f t="shared" si="9"/>
        <v>16.870496494282605</v>
      </c>
      <c r="W24" s="404">
        <f t="shared" si="10"/>
        <v>0</v>
      </c>
      <c r="X24" s="157">
        <f t="shared" si="11"/>
        <v>44936</v>
      </c>
      <c r="Y24" s="387">
        <f t="shared" si="12"/>
        <v>13.761365740474028</v>
      </c>
      <c r="Z24" s="387">
        <f t="shared" si="22"/>
        <v>14.291073370310162</v>
      </c>
      <c r="AA24" s="388">
        <f t="shared" si="13"/>
        <v>16.741069767896565</v>
      </c>
      <c r="AB24" s="199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0.14634646599971932</v>
      </c>
      <c r="AD24" s="233">
        <f>(INDEX(Models!$BJ24:$BT24,,AH24)*(1-AF24)+INDEX(Models!$BJ24:$BT24,,AH24+1)*AF24-ERP_i)*AE24*Ramure*Pc/MaxiM</f>
        <v>0.11097172221609815</v>
      </c>
      <c r="AE24" s="307">
        <f t="shared" si="15"/>
        <v>1</v>
      </c>
      <c r="AF24" s="179">
        <f t="shared" si="23"/>
        <v>0.70021319120879977</v>
      </c>
      <c r="AG24" s="837">
        <f t="shared" si="24"/>
        <v>0</v>
      </c>
      <c r="AH24" s="178">
        <f t="shared" si="16"/>
        <v>6</v>
      </c>
      <c r="AI24" s="227">
        <f t="shared" si="17"/>
        <v>0.70021319120879977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44937</v>
      </c>
      <c r="B25" s="1139">
        <f>IF(t&gt;Tmaj,'2022'!Wh/'2022'!Env_an*'2023'!Env_an,0.001*'[3]mon-tableau (2)'!$B$218)</f>
        <v>4.5840000000000005</v>
      </c>
      <c r="C25" s="866"/>
      <c r="D25" s="395">
        <f t="shared" si="0"/>
        <v>4.7605598252671255</v>
      </c>
      <c r="E25" s="387">
        <f t="shared" si="1"/>
        <v>4.9691411719357825</v>
      </c>
      <c r="F25" s="387">
        <f t="shared" si="2"/>
        <v>4.9691411719357825</v>
      </c>
      <c r="G25" s="110">
        <f t="shared" si="21"/>
        <v>0.23908366121004807</v>
      </c>
      <c r="H25" s="414" t="b">
        <f>Wh_hp&gt;='2022'!Maxi_hp</f>
        <v>0</v>
      </c>
      <c r="I25" s="392">
        <f>IF(H25,Wh_hp,'2022'!Maxi_hp)</f>
        <v>21.391910226810385</v>
      </c>
      <c r="J25" s="85">
        <f>IF(H25,An,'2022'!An_max)</f>
        <v>2022</v>
      </c>
      <c r="K25" s="199">
        <f t="shared" si="3"/>
        <v>44937</v>
      </c>
      <c r="L25" s="147">
        <f>IF(t&lt;Tvie,1-EXP((T0-t)*PertePVj)+'2022'!Pspv,1-EXP((T0-t)*PertePVj)+Pspv)</f>
        <v>3.7088038329025297E-2</v>
      </c>
      <c r="M25" s="870"/>
      <c r="N25" s="870"/>
      <c r="O25" s="48">
        <f>IF(t&lt;Tnet,'2022'!Resal+('2022'!Salim-'2022'!Resal)*(1-EXP(('2022'!Tnet-t)/('2022'!Tau_j))),Resal+(Salim-Resal)*(1-EXP((Tnet-t)/(Tau_j))))*Salcycl</f>
        <v>4.1975331239664029E-2</v>
      </c>
      <c r="P25" s="171">
        <f>(INDEX(Models!$BJ25:$BT25,,T25)*(1-R25)+INDEX(Models!$BJ25:$BT25,,T25+1)*R25-ERP_i)*Q25*Ramure*Pc/MaxiM</f>
        <v>0.10879334139133411</v>
      </c>
      <c r="Q25" s="307">
        <f t="shared" si="4"/>
        <v>1</v>
      </c>
      <c r="R25" s="179">
        <f t="shared" si="5"/>
        <v>0.70027232084911217</v>
      </c>
      <c r="S25" s="837">
        <f t="shared" si="6"/>
        <v>0</v>
      </c>
      <c r="T25" s="178">
        <f t="shared" si="7"/>
        <v>6</v>
      </c>
      <c r="U25" s="253">
        <f t="shared" si="8"/>
        <v>0.70027232084911217</v>
      </c>
      <c r="V25" s="385">
        <f t="shared" si="9"/>
        <v>17.08728778196588</v>
      </c>
      <c r="W25" s="404">
        <f t="shared" si="10"/>
        <v>0</v>
      </c>
      <c r="X25" s="157">
        <f t="shared" si="11"/>
        <v>44937</v>
      </c>
      <c r="Y25" s="387">
        <f t="shared" si="12"/>
        <v>4.0842497204469286</v>
      </c>
      <c r="Z25" s="387">
        <f t="shared" si="22"/>
        <v>4.2415608934376383</v>
      </c>
      <c r="AA25" s="388">
        <f t="shared" si="13"/>
        <v>4.9691411719357825</v>
      </c>
      <c r="AB25" s="199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0.14641972391674027</v>
      </c>
      <c r="AD25" s="233">
        <f>(INDEX(Models!$BJ25:$BT25,,AH25)*(1-AF25)+INDEX(Models!$BJ25:$BT25,,AH25+1)*AF25-ERP_i)*AE25*Ramure*Pc/MaxiM</f>
        <v>0.10879334139133411</v>
      </c>
      <c r="AE25" s="307">
        <f t="shared" si="15"/>
        <v>1</v>
      </c>
      <c r="AF25" s="179">
        <f t="shared" si="23"/>
        <v>0.70027232084911217</v>
      </c>
      <c r="AG25" s="837">
        <f t="shared" si="24"/>
        <v>0</v>
      </c>
      <c r="AH25" s="178">
        <f t="shared" si="16"/>
        <v>6</v>
      </c>
      <c r="AI25" s="227">
        <f t="shared" si="17"/>
        <v>0.70027232084911217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44938</v>
      </c>
      <c r="B26" s="1139">
        <f>IF(t&gt;Tmaj,'2022'!Wh/'2022'!Env_an*'2023'!Env_an,0.001*'[3]mon-tableau (2)'!$B$219)</f>
        <v>16.565000000000001</v>
      </c>
      <c r="C26" s="866"/>
      <c r="D26" s="395">
        <f t="shared" si="0"/>
        <v>17.203426855321833</v>
      </c>
      <c r="E26" s="387">
        <f t="shared" si="1"/>
        <v>17.960804564278241</v>
      </c>
      <c r="F26" s="387">
        <f t="shared" si="2"/>
        <v>19.957600500799099</v>
      </c>
      <c r="G26" s="110">
        <f t="shared" si="21"/>
        <v>0.94981219367387215</v>
      </c>
      <c r="H26" s="414" t="b">
        <f>Wh_hp&gt;='2022'!Maxi_hp</f>
        <v>0</v>
      </c>
      <c r="I26" s="392">
        <f>IF(H26,Wh_hp,'2022'!Maxi_hp)</f>
        <v>20.743234517449725</v>
      </c>
      <c r="J26" s="85">
        <f>IF(H26,An,'2022'!An_max)</f>
        <v>2020</v>
      </c>
      <c r="K26" s="199">
        <f t="shared" si="3"/>
        <v>44938</v>
      </c>
      <c r="L26" s="147">
        <f>IF(t&lt;Tvie,1-EXP((T0-t)*PertePVj)+'2022'!Pspv,1-EXP((T0-t)*PertePVj)+Pspv)</f>
        <v>3.7110446697097177E-2</v>
      </c>
      <c r="M26" s="870"/>
      <c r="N26" s="870"/>
      <c r="O26" s="48">
        <f>IF(t&lt;Tnet,'2022'!Resal+('2022'!Salim-'2022'!Resal)*(1-EXP(('2022'!Tnet-t)/('2022'!Tau_j))),Resal+(Salim-Resal)*(1-EXP((Tnet-t)/(Tau_j))))*Salcycl</f>
        <v>4.2168362015515472E-2</v>
      </c>
      <c r="P26" s="171">
        <f>(INDEX(Models!$BJ26:$BT26,,T26)*(1-R26)+INDEX(Models!$BJ26:$BT26,,T26+1)*R26-ERP_i)*Q26*Ramure*Pc/MaxiM</f>
        <v>0.1066314544083319</v>
      </c>
      <c r="Q26" s="307">
        <f t="shared" si="4"/>
        <v>1</v>
      </c>
      <c r="R26" s="179">
        <f t="shared" si="5"/>
        <v>0.70033392046785181</v>
      </c>
      <c r="S26" s="837">
        <f t="shared" si="6"/>
        <v>0</v>
      </c>
      <c r="T26" s="178">
        <f t="shared" si="7"/>
        <v>6</v>
      </c>
      <c r="U26" s="253">
        <f t="shared" si="8"/>
        <v>0.70033392046785181</v>
      </c>
      <c r="V26" s="385">
        <f t="shared" si="9"/>
        <v>17.312783359807725</v>
      </c>
      <c r="W26" s="404">
        <f t="shared" si="10"/>
        <v>0</v>
      </c>
      <c r="X26" s="157">
        <f t="shared" si="11"/>
        <v>44938</v>
      </c>
      <c r="Y26" s="387">
        <f t="shared" si="12"/>
        <v>14.760777727205118</v>
      </c>
      <c r="Z26" s="387">
        <f t="shared" si="22"/>
        <v>15.329668575770413</v>
      </c>
      <c r="AA26" s="388">
        <f t="shared" si="13"/>
        <v>17.960804564278241</v>
      </c>
      <c r="AB26" s="199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0.14649321410360558</v>
      </c>
      <c r="AD26" s="233">
        <f>(INDEX(Models!$BJ26:$BT26,,AH26)*(1-AF26)+INDEX(Models!$BJ26:$BT26,,AH26+1)*AF26-ERP_i)*AE26*Ramure*Pc/MaxiM</f>
        <v>0.1066314544083319</v>
      </c>
      <c r="AE26" s="307">
        <f t="shared" si="15"/>
        <v>1</v>
      </c>
      <c r="AF26" s="179">
        <f t="shared" si="23"/>
        <v>0.70033392046785181</v>
      </c>
      <c r="AG26" s="837">
        <f t="shared" si="24"/>
        <v>0</v>
      </c>
      <c r="AH26" s="178">
        <f t="shared" si="16"/>
        <v>6</v>
      </c>
      <c r="AI26" s="227">
        <f t="shared" si="17"/>
        <v>0.70033392046785181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44939</v>
      </c>
      <c r="B27" s="1139">
        <f>IF(t&gt;Tmaj,'2022'!Wh/'2022'!Env_an*'2023'!Env_an,0.001*'[3]mon-tableau (2)'!$B$220)</f>
        <v>10.811</v>
      </c>
      <c r="C27" s="866"/>
      <c r="D27" s="395">
        <f t="shared" si="0"/>
        <v>11.227924902221714</v>
      </c>
      <c r="E27" s="387">
        <f t="shared" si="1"/>
        <v>11.724593379235939</v>
      </c>
      <c r="F27" s="387">
        <f t="shared" si="2"/>
        <v>12.305303287234697</v>
      </c>
      <c r="G27" s="110">
        <f t="shared" si="21"/>
        <v>0.57908787850366727</v>
      </c>
      <c r="H27" s="414" t="b">
        <f>Wh_hp&gt;='2022'!Maxi_hp</f>
        <v>0</v>
      </c>
      <c r="I27" s="392">
        <f>IF(H27,Wh_hp,'2022'!Maxi_hp)</f>
        <v>14.753138664755877</v>
      </c>
      <c r="J27" s="85">
        <f>IF(H27,An,'2022'!An_max)</f>
        <v>2020</v>
      </c>
      <c r="K27" s="199">
        <f t="shared" si="3"/>
        <v>44939</v>
      </c>
      <c r="L27" s="147">
        <f>IF(t&lt;Tvie,1-EXP((T0-t)*PertePVj)+'2022'!Pspv,1-EXP((T0-t)*PertePVj)+Pspv)</f>
        <v>3.7132854543693639E-2</v>
      </c>
      <c r="M27" s="870"/>
      <c r="N27" s="870"/>
      <c r="O27" s="48">
        <f>IF(t&lt;Tnet,'2022'!Resal+('2022'!Salim-'2022'!Resal)*(1-EXP(('2022'!Tnet-t)/('2022'!Tau_j))),Resal+(Salim-Resal)*(1-EXP((Tnet-t)/(Tau_j))))*Salcycl</f>
        <v>4.2361253900183547E-2</v>
      </c>
      <c r="P27" s="171">
        <f>(INDEX(Models!$BJ27:$BT27,,T27)*(1-R27)+INDEX(Models!$BJ27:$BT27,,T27+1)*R27-ERP_i)*Q27*Ramure*Pc/MaxiM</f>
        <v>0.10449207486494458</v>
      </c>
      <c r="Q27" s="307">
        <f t="shared" si="4"/>
        <v>1</v>
      </c>
      <c r="R27" s="179">
        <f t="shared" si="5"/>
        <v>0.70039809277810849</v>
      </c>
      <c r="S27" s="837">
        <f t="shared" si="6"/>
        <v>0</v>
      </c>
      <c r="T27" s="178">
        <f t="shared" si="7"/>
        <v>6</v>
      </c>
      <c r="U27" s="253">
        <f t="shared" si="8"/>
        <v>0.70039809277810849</v>
      </c>
      <c r="V27" s="385">
        <f t="shared" si="9"/>
        <v>17.546292261199476</v>
      </c>
      <c r="W27" s="404">
        <f t="shared" si="10"/>
        <v>0</v>
      </c>
      <c r="X27" s="157">
        <f t="shared" si="11"/>
        <v>44939</v>
      </c>
      <c r="Y27" s="387">
        <f t="shared" si="12"/>
        <v>9.6345985602827007</v>
      </c>
      <c r="Z27" s="387">
        <f t="shared" si="22"/>
        <v>10.006155683831988</v>
      </c>
      <c r="AA27" s="388">
        <f t="shared" si="13"/>
        <v>11.724593379235939</v>
      </c>
      <c r="AB27" s="199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0.14656693326757714</v>
      </c>
      <c r="AD27" s="233">
        <f>(INDEX(Models!$BJ27:$BT27,,AH27)*(1-AF27)+INDEX(Models!$BJ27:$BT27,,AH27+1)*AF27-ERP_i)*AE27*Ramure*Pc/MaxiM</f>
        <v>0.10449207486494458</v>
      </c>
      <c r="AE27" s="307">
        <f t="shared" si="15"/>
        <v>1</v>
      </c>
      <c r="AF27" s="179">
        <f t="shared" si="23"/>
        <v>0.70039809277810849</v>
      </c>
      <c r="AG27" s="837">
        <f t="shared" si="24"/>
        <v>0</v>
      </c>
      <c r="AH27" s="178">
        <f t="shared" si="16"/>
        <v>6</v>
      </c>
      <c r="AI27" s="227">
        <f t="shared" si="17"/>
        <v>0.70039809277810849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44940</v>
      </c>
      <c r="B28" s="1139">
        <f>IF(t&gt;Tmaj,'2022'!Wh/'2022'!Env_an*'2023'!Env_an,0.001*'[3]mon-tableau (2)'!$B$221)</f>
        <v>13.064</v>
      </c>
      <c r="C28" s="866"/>
      <c r="D28" s="395">
        <f t="shared" si="0"/>
        <v>13.568127323784809</v>
      </c>
      <c r="E28" s="387">
        <f t="shared" si="1"/>
        <v>14.171167298968401</v>
      </c>
      <c r="F28" s="387">
        <f t="shared" si="2"/>
        <v>15.132760747837573</v>
      </c>
      <c r="G28" s="110">
        <f t="shared" si="21"/>
        <v>0.70400413066858203</v>
      </c>
      <c r="H28" s="414" t="b">
        <f>Wh_hp&gt;='2022'!Maxi_hp</f>
        <v>0</v>
      </c>
      <c r="I28" s="392">
        <f>IF(H28,Wh_hp,'2022'!Maxi_hp)</f>
        <v>22.064358181548073</v>
      </c>
      <c r="J28" s="85">
        <f>IF(H28,An,'2022'!An_max)</f>
        <v>2022</v>
      </c>
      <c r="K28" s="199">
        <f t="shared" si="3"/>
        <v>44940</v>
      </c>
      <c r="L28" s="147">
        <f>IF(t&lt;Tvie,1-EXP((T0-t)*PertePVj)+'2022'!Pspv,1-EXP((T0-t)*PertePVj)+Pspv)</f>
        <v>3.7155261868826783E-2</v>
      </c>
      <c r="M28" s="870"/>
      <c r="N28" s="870"/>
      <c r="O28" s="48">
        <f>IF(t&lt;Tnet,'2022'!Resal+('2022'!Salim-'2022'!Resal)*(1-EXP(('2022'!Tnet-t)/('2022'!Tau_j))),Resal+(Salim-Resal)*(1-EXP((Tnet-t)/(Tau_j))))*Salcycl</f>
        <v>4.2554008605027914E-2</v>
      </c>
      <c r="P28" s="171">
        <f>(INDEX(Models!$BJ28:$BT28,,T28)*(1-R28)+INDEX(Models!$BJ28:$BT28,,T28+1)*R28-ERP_i)*Q28*Ramure*Pc/MaxiM</f>
        <v>0.10238060669627633</v>
      </c>
      <c r="Q28" s="307">
        <f t="shared" si="4"/>
        <v>1</v>
      </c>
      <c r="R28" s="179">
        <f t="shared" si="5"/>
        <v>0.70046494472465382</v>
      </c>
      <c r="S28" s="837">
        <f t="shared" si="6"/>
        <v>0</v>
      </c>
      <c r="T28" s="178">
        <f t="shared" si="7"/>
        <v>6</v>
      </c>
      <c r="U28" s="253">
        <f t="shared" si="8"/>
        <v>0.70046494472465382</v>
      </c>
      <c r="V28" s="385">
        <f t="shared" si="9"/>
        <v>17.787123977408317</v>
      </c>
      <c r="W28" s="404">
        <f t="shared" si="10"/>
        <v>0</v>
      </c>
      <c r="X28" s="157">
        <f t="shared" si="11"/>
        <v>44940</v>
      </c>
      <c r="Y28" s="387">
        <f t="shared" si="12"/>
        <v>11.643772714391551</v>
      </c>
      <c r="Z28" s="387">
        <f t="shared" si="22"/>
        <v>12.093094819203614</v>
      </c>
      <c r="AA28" s="388">
        <f t="shared" si="13"/>
        <v>14.171167298968401</v>
      </c>
      <c r="AB28" s="199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0.14664088256978389</v>
      </c>
      <c r="AD28" s="233">
        <f>(INDEX(Models!$BJ28:$BT28,,AH28)*(1-AF28)+INDEX(Models!$BJ28:$BT28,,AH28+1)*AF28-ERP_i)*AE28*Ramure*Pc/MaxiM</f>
        <v>0.10238060669627633</v>
      </c>
      <c r="AE28" s="307">
        <f t="shared" si="15"/>
        <v>1</v>
      </c>
      <c r="AF28" s="179">
        <f t="shared" si="23"/>
        <v>0.70046494472465382</v>
      </c>
      <c r="AG28" s="837">
        <f t="shared" si="24"/>
        <v>0</v>
      </c>
      <c r="AH28" s="178">
        <f t="shared" si="16"/>
        <v>6</v>
      </c>
      <c r="AI28" s="227">
        <f t="shared" si="17"/>
        <v>0.70046494472465382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44941</v>
      </c>
      <c r="B29" s="1139">
        <f>IF(t&gt;Tmaj,'2022'!Wh/'2022'!Env_an*'2023'!Env_an,0.001*'[3]mon-tableau (2)'!$B$222)</f>
        <v>5.4139999999999997</v>
      </c>
      <c r="C29" s="866"/>
      <c r="D29" s="395">
        <f t="shared" si="0"/>
        <v>5.6230519628013269</v>
      </c>
      <c r="E29" s="387">
        <f t="shared" si="1"/>
        <v>5.8741521658662021</v>
      </c>
      <c r="F29" s="387">
        <f t="shared" si="2"/>
        <v>5.8743212823303841</v>
      </c>
      <c r="G29" s="110">
        <f t="shared" si="21"/>
        <v>0.27009798175915339</v>
      </c>
      <c r="H29" s="414" t="b">
        <f>Wh_hp&gt;='2022'!Maxi_hp</f>
        <v>0</v>
      </c>
      <c r="I29" s="392">
        <f>IF(H29,Wh_hp,'2022'!Maxi_hp)</f>
        <v>22.222811190623492</v>
      </c>
      <c r="J29" s="85">
        <f>IF(H29,An,'2022'!An_max)</f>
        <v>2022</v>
      </c>
      <c r="K29" s="199">
        <f t="shared" si="3"/>
        <v>44941</v>
      </c>
      <c r="L29" s="147">
        <f>IF(t&lt;Tvie,1-EXP((T0-t)*PertePVj)+'2022'!Pspv,1-EXP((T0-t)*PertePVj)+Pspv)</f>
        <v>3.7177668672508712E-2</v>
      </c>
      <c r="M29" s="870"/>
      <c r="N29" s="870"/>
      <c r="O29" s="48">
        <f>IF(t&lt;Tnet,'2022'!Resal+('2022'!Salim-'2022'!Resal)*(1-EXP(('2022'!Tnet-t)/('2022'!Tau_j))),Resal+(Salim-Resal)*(1-EXP((Tnet-t)/(Tau_j))))*Salcycl</f>
        <v>4.2746628955916452E-2</v>
      </c>
      <c r="P29" s="171">
        <f>(INDEX(Models!$BJ29:$BT29,,T29)*(1-R29)+INDEX(Models!$BJ29:$BT29,,T29+1)*R29-ERP_i)*Q29*Ramure*Pc/MaxiM</f>
        <v>0.10030186333129532</v>
      </c>
      <c r="Q29" s="307">
        <f t="shared" si="4"/>
        <v>1</v>
      </c>
      <c r="R29" s="179">
        <f t="shared" si="5"/>
        <v>0.70053458765489507</v>
      </c>
      <c r="S29" s="837">
        <f t="shared" si="6"/>
        <v>0</v>
      </c>
      <c r="T29" s="178">
        <f t="shared" si="7"/>
        <v>6</v>
      </c>
      <c r="U29" s="253">
        <f t="shared" si="8"/>
        <v>0.70053458765489507</v>
      </c>
      <c r="V29" s="385">
        <f t="shared" si="9"/>
        <v>18.034588466708492</v>
      </c>
      <c r="W29" s="404">
        <f t="shared" si="10"/>
        <v>0</v>
      </c>
      <c r="X29" s="157">
        <f t="shared" si="11"/>
        <v>44941</v>
      </c>
      <c r="Y29" s="387">
        <f t="shared" si="12"/>
        <v>4.8259789591914659</v>
      </c>
      <c r="Z29" s="387">
        <f t="shared" si="22"/>
        <v>5.0123255372958031</v>
      </c>
      <c r="AA29" s="388">
        <f t="shared" si="13"/>
        <v>5.8741521658662021</v>
      </c>
      <c r="AB29" s="199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0.14671506699781139</v>
      </c>
      <c r="AD29" s="233">
        <f>(INDEX(Models!$BJ29:$BT29,,AH29)*(1-AF29)+INDEX(Models!$BJ29:$BT29,,AH29+1)*AF29-ERP_i)*AE29*Ramure*Pc/MaxiM</f>
        <v>0.10030186333129532</v>
      </c>
      <c r="AE29" s="307">
        <f t="shared" si="15"/>
        <v>1</v>
      </c>
      <c r="AF29" s="179">
        <f t="shared" si="23"/>
        <v>0.70053458765489507</v>
      </c>
      <c r="AG29" s="837">
        <f t="shared" si="24"/>
        <v>0</v>
      </c>
      <c r="AH29" s="178">
        <f t="shared" si="16"/>
        <v>6</v>
      </c>
      <c r="AI29" s="227">
        <f t="shared" si="17"/>
        <v>0.70053458765489507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44942</v>
      </c>
      <c r="B30" s="1139">
        <f>IF(t&gt;Tmaj,'2022'!Wh/'2022'!Env_an*'2023'!Env_an,0.001*'[3]mon-tableau (2)'!$B$223)</f>
        <v>3.47</v>
      </c>
      <c r="C30" s="866"/>
      <c r="D30" s="395">
        <f t="shared" si="0"/>
        <v>3.6040717388266539</v>
      </c>
      <c r="E30" s="387">
        <f t="shared" si="1"/>
        <v>3.7657706101662898</v>
      </c>
      <c r="F30" s="387">
        <f t="shared" si="2"/>
        <v>3.7657706101662898</v>
      </c>
      <c r="G30" s="110">
        <f t="shared" si="21"/>
        <v>0.17109788584647201</v>
      </c>
      <c r="H30" s="414" t="b">
        <f>Wh_hp&gt;='2022'!Maxi_hp</f>
        <v>0</v>
      </c>
      <c r="I30" s="392">
        <f>IF(H30,Wh_hp,'2022'!Maxi_hp)</f>
        <v>22.179762474374062</v>
      </c>
      <c r="J30" s="85">
        <f>IF(H30,An,'2022'!An_max)</f>
        <v>2022</v>
      </c>
      <c r="K30" s="199">
        <f t="shared" si="3"/>
        <v>44942</v>
      </c>
      <c r="L30" s="147">
        <f>IF(t&lt;Tvie,1-EXP((T0-t)*PertePVj)+'2022'!Pspv,1-EXP((T0-t)*PertePVj)+Pspv)</f>
        <v>3.7200074954751639E-2</v>
      </c>
      <c r="M30" s="870"/>
      <c r="N30" s="870"/>
      <c r="O30" s="48">
        <f>IF(t&lt;Tnet,'2022'!Resal+('2022'!Salim-'2022'!Resal)*(1-EXP(('2022'!Tnet-t)/('2022'!Tau_j))),Resal+(Salim-Resal)*(1-EXP((Tnet-t)/(Tau_j))))*Salcycl</f>
        <v>4.293911872993645E-2</v>
      </c>
      <c r="P30" s="171">
        <f>(INDEX(Models!$BJ30:$BT30,,T30)*(1-R30)+INDEX(Models!$BJ30:$BT30,,T30+1)*R30-ERP_i)*Q30*Ramure*Pc/MaxiM</f>
        <v>9.8279910004890961E-2</v>
      </c>
      <c r="Q30" s="307">
        <f t="shared" si="4"/>
        <v>1</v>
      </c>
      <c r="R30" s="179">
        <f t="shared" si="5"/>
        <v>0.70060713749644565</v>
      </c>
      <c r="S30" s="837">
        <f t="shared" si="6"/>
        <v>0</v>
      </c>
      <c r="T30" s="178">
        <f t="shared" si="7"/>
        <v>6</v>
      </c>
      <c r="U30" s="253">
        <f t="shared" si="8"/>
        <v>0.70060713749644565</v>
      </c>
      <c r="V30" s="385">
        <f t="shared" si="9"/>
        <v>18.287594243512082</v>
      </c>
      <c r="W30" s="404">
        <f t="shared" si="10"/>
        <v>0</v>
      </c>
      <c r="X30" s="157">
        <f t="shared" si="11"/>
        <v>44942</v>
      </c>
      <c r="Y30" s="387">
        <f t="shared" si="12"/>
        <v>3.0934713885214666</v>
      </c>
      <c r="Z30" s="387">
        <f t="shared" si="22"/>
        <v>3.212995045025667</v>
      </c>
      <c r="AA30" s="388">
        <f t="shared" si="13"/>
        <v>3.7657706101662898</v>
      </c>
      <c r="AB30" s="199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0.14678949473138869</v>
      </c>
      <c r="AD30" s="233">
        <f>(INDEX(Models!$BJ30:$BT30,,AH30)*(1-AF30)+INDEX(Models!$BJ30:$BT30,,AH30+1)*AF30-ERP_i)*AE30*Ramure*Pc/MaxiM</f>
        <v>9.8279910004890961E-2</v>
      </c>
      <c r="AE30" s="307">
        <f t="shared" si="15"/>
        <v>1</v>
      </c>
      <c r="AF30" s="179">
        <f t="shared" si="23"/>
        <v>0.70060713749644565</v>
      </c>
      <c r="AG30" s="837">
        <f t="shared" si="24"/>
        <v>0</v>
      </c>
      <c r="AH30" s="178">
        <f t="shared" si="16"/>
        <v>6</v>
      </c>
      <c r="AI30" s="227">
        <f t="shared" si="17"/>
        <v>0.70060713749644565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44943</v>
      </c>
      <c r="B31" s="1139">
        <f>IF(t&gt;Tmaj,'2022'!Wh/'2022'!Env_an*'2023'!Env_an,0.001*'[3]mon-tableau (2)'!$B$224)</f>
        <v>5.9670000000000005</v>
      </c>
      <c r="C31" s="866"/>
      <c r="D31" s="395">
        <f t="shared" si="0"/>
        <v>6.1976935278202889</v>
      </c>
      <c r="E31" s="387">
        <f t="shared" si="1"/>
        <v>6.4770586704349347</v>
      </c>
      <c r="F31" s="387">
        <f t="shared" si="2"/>
        <v>6.4965121367064906</v>
      </c>
      <c r="G31" s="110">
        <f t="shared" si="21"/>
        <v>0.29163307739896233</v>
      </c>
      <c r="H31" s="414" t="b">
        <f>Wh_hp&gt;='2022'!Maxi_hp</f>
        <v>0</v>
      </c>
      <c r="I31" s="392">
        <f>IF(H31,Wh_hp,'2022'!Maxi_hp)</f>
        <v>17.368757233641855</v>
      </c>
      <c r="J31" s="85">
        <f>IF(H31,An,'2022'!An_max)</f>
        <v>2022</v>
      </c>
      <c r="K31" s="199">
        <f t="shared" si="3"/>
        <v>44943</v>
      </c>
      <c r="L31" s="147">
        <f>IF(t&lt;Tvie,1-EXP((T0-t)*PertePVj)+'2022'!Pspv,1-EXP((T0-t)*PertePVj)+Pspv)</f>
        <v>3.7222480715567552E-2</v>
      </c>
      <c r="M31" s="870"/>
      <c r="N31" s="870"/>
      <c r="O31" s="48">
        <f>IF(t&lt;Tnet,'2022'!Resal+('2022'!Salim-'2022'!Resal)*(1-EXP(('2022'!Tnet-t)/('2022'!Tau_j))),Resal+(Salim-Resal)*(1-EXP((Tnet-t)/(Tau_j))))*Salcycl</f>
        <v>4.3131482487541908E-2</v>
      </c>
      <c r="P31" s="171">
        <f>(INDEX(Models!$BJ31:$BT31,,T31)*(1-R31)+INDEX(Models!$BJ31:$BT31,,T31+1)*R31-ERP_i)*Q31*Ramure*Pc/MaxiM</f>
        <v>9.6339137572401076E-2</v>
      </c>
      <c r="Q31" s="307">
        <f t="shared" si="4"/>
        <v>1</v>
      </c>
      <c r="R31" s="179">
        <f t="shared" si="5"/>
        <v>0.70068271494154144</v>
      </c>
      <c r="S31" s="837">
        <f t="shared" si="6"/>
        <v>0</v>
      </c>
      <c r="T31" s="178">
        <f t="shared" si="7"/>
        <v>6</v>
      </c>
      <c r="U31" s="253">
        <f t="shared" si="8"/>
        <v>0.70068271494154144</v>
      </c>
      <c r="V31" s="385">
        <f t="shared" si="9"/>
        <v>18.545013494551874</v>
      </c>
      <c r="W31" s="404">
        <f t="shared" si="10"/>
        <v>0</v>
      </c>
      <c r="X31" s="157">
        <f t="shared" si="11"/>
        <v>44943</v>
      </c>
      <c r="Y31" s="387">
        <f t="shared" si="12"/>
        <v>5.320126397313536</v>
      </c>
      <c r="Z31" s="387">
        <f t="shared" si="22"/>
        <v>5.5258107826070004</v>
      </c>
      <c r="AA31" s="388">
        <f t="shared" si="13"/>
        <v>6.4770586704349347</v>
      </c>
      <c r="AB31" s="199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0.14686417650807818</v>
      </c>
      <c r="AD31" s="233">
        <f>(INDEX(Models!$BJ31:$BT31,,AH31)*(1-AF31)+INDEX(Models!$BJ31:$BT31,,AH31+1)*AF31-ERP_i)*AE31*Ramure*Pc/MaxiM</f>
        <v>9.6339137572401076E-2</v>
      </c>
      <c r="AE31" s="307">
        <f t="shared" si="15"/>
        <v>1</v>
      </c>
      <c r="AF31" s="179">
        <f t="shared" si="23"/>
        <v>0.70068271494154144</v>
      </c>
      <c r="AG31" s="837">
        <f t="shared" si="24"/>
        <v>0</v>
      </c>
      <c r="AH31" s="178">
        <f t="shared" si="16"/>
        <v>6</v>
      </c>
      <c r="AI31" s="227">
        <f t="shared" si="17"/>
        <v>0.70068271494154144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44944</v>
      </c>
      <c r="B32" s="1139">
        <f>IF(t&gt;Tmaj,'2022'!Wh/'2022'!Env_an*'2023'!Env_an,0.001*'[3]mon-tableau (2)'!$B$225)</f>
        <v>13.895</v>
      </c>
      <c r="C32" s="866"/>
      <c r="D32" s="395">
        <f t="shared" si="0"/>
        <v>14.432538240820069</v>
      </c>
      <c r="E32" s="387">
        <f t="shared" si="1"/>
        <v>15.086125394807238</v>
      </c>
      <c r="F32" s="387">
        <f t="shared" si="2"/>
        <v>16.035994241825218</v>
      </c>
      <c r="G32" s="110">
        <f t="shared" si="21"/>
        <v>0.71117107018823034</v>
      </c>
      <c r="H32" s="414" t="b">
        <f>Wh_hp&gt;='2022'!Maxi_hp</f>
        <v>0</v>
      </c>
      <c r="I32" s="392">
        <f>IF(H32,Wh_hp,'2022'!Maxi_hp)</f>
        <v>21.743395935695009</v>
      </c>
      <c r="J32" s="85">
        <f>IF(H32,An,'2022'!An_max)</f>
        <v>2021</v>
      </c>
      <c r="K32" s="199">
        <f t="shared" si="3"/>
        <v>44944</v>
      </c>
      <c r="L32" s="147">
        <f>IF(t&lt;Tvie,1-EXP((T0-t)*PertePVj)+'2022'!Pspv,1-EXP((T0-t)*PertePVj)+Pspv)</f>
        <v>3.7244885954968776E-2</v>
      </c>
      <c r="M32" s="870"/>
      <c r="N32" s="870"/>
      <c r="O32" s="48">
        <f>IF(t&lt;Tnet,'2022'!Resal+('2022'!Salim-'2022'!Resal)*(1-EXP(('2022'!Tnet-t)/('2022'!Tau_j))),Resal+(Salim-Resal)*(1-EXP((Tnet-t)/(Tau_j))))*Salcycl</f>
        <v>4.3323725402159265E-2</v>
      </c>
      <c r="P32" s="171">
        <f>(INDEX(Models!$BJ32:$BT32,,T32)*(1-R32)+INDEX(Models!$BJ32:$BT32,,T32+1)*R32-ERP_i)*Q32*Ramure*Pc/MaxiM</f>
        <v>9.448132262144357E-2</v>
      </c>
      <c r="Q32" s="307">
        <f t="shared" si="4"/>
        <v>1</v>
      </c>
      <c r="R32" s="179">
        <f t="shared" si="5"/>
        <v>0.70076144563853981</v>
      </c>
      <c r="S32" s="837">
        <f t="shared" si="6"/>
        <v>0</v>
      </c>
      <c r="T32" s="178">
        <f t="shared" si="7"/>
        <v>6</v>
      </c>
      <c r="U32" s="253">
        <f t="shared" si="8"/>
        <v>0.70076144563853981</v>
      </c>
      <c r="V32" s="385">
        <f t="shared" si="9"/>
        <v>18.806157133051524</v>
      </c>
      <c r="W32" s="404">
        <f t="shared" si="10"/>
        <v>0</v>
      </c>
      <c r="X32" s="157">
        <f t="shared" si="11"/>
        <v>44944</v>
      </c>
      <c r="Y32" s="387">
        <f t="shared" si="12"/>
        <v>12.390064615292552</v>
      </c>
      <c r="Z32" s="387">
        <f t="shared" si="22"/>
        <v>12.869383329718701</v>
      </c>
      <c r="AA32" s="388">
        <f t="shared" si="13"/>
        <v>15.086125394807238</v>
      </c>
      <c r="AB32" s="199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0.14693912499571019</v>
      </c>
      <c r="AD32" s="233">
        <f>(INDEX(Models!$BJ32:$BT32,,AH32)*(1-AF32)+INDEX(Models!$BJ32:$BT32,,AH32+1)*AF32-ERP_i)*AE32*Ramure*Pc/MaxiM</f>
        <v>9.448132262144357E-2</v>
      </c>
      <c r="AE32" s="307">
        <f t="shared" si="15"/>
        <v>1</v>
      </c>
      <c r="AF32" s="179">
        <f t="shared" si="23"/>
        <v>0.70076144563853981</v>
      </c>
      <c r="AG32" s="837">
        <f t="shared" si="24"/>
        <v>0</v>
      </c>
      <c r="AH32" s="178">
        <f t="shared" si="16"/>
        <v>6</v>
      </c>
      <c r="AI32" s="227">
        <f t="shared" si="17"/>
        <v>0.70076144563853981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44945</v>
      </c>
      <c r="B33" s="1139">
        <f>IF(t&gt;Tmaj,'2022'!Wh/'2022'!Env_an*'2023'!Env_an,0.001*'[3]mon-tableau (2)'!$B$226)</f>
        <v>9.011000000000001</v>
      </c>
      <c r="C33" s="866"/>
      <c r="D33" s="395">
        <f t="shared" si="0"/>
        <v>9.3598149441695515</v>
      </c>
      <c r="E33" s="387">
        <f t="shared" si="1"/>
        <v>9.7856456632345026</v>
      </c>
      <c r="F33" s="387">
        <f t="shared" si="2"/>
        <v>10.014452816215421</v>
      </c>
      <c r="G33" s="110">
        <f t="shared" si="21"/>
        <v>0.43873224121932719</v>
      </c>
      <c r="H33" s="414" t="b">
        <f>Wh_hp&gt;='2022'!Maxi_hp</f>
        <v>0</v>
      </c>
      <c r="I33" s="392">
        <f>IF(H33,Wh_hp,'2022'!Maxi_hp)</f>
        <v>22.082454622527671</v>
      </c>
      <c r="J33" s="85">
        <f>IF(H33,An,'2022'!An_max)</f>
        <v>2021</v>
      </c>
      <c r="K33" s="199">
        <f t="shared" si="3"/>
        <v>44945</v>
      </c>
      <c r="L33" s="147">
        <f>IF(t&lt;Tvie,1-EXP((T0-t)*PertePVj)+'2022'!Pspv,1-EXP((T0-t)*PertePVj)+Pspv)</f>
        <v>3.7267290672967301E-2</v>
      </c>
      <c r="M33" s="870"/>
      <c r="N33" s="870"/>
      <c r="O33" s="48">
        <f>IF(t&lt;Tnet,'2022'!Resal+('2022'!Salim-'2022'!Resal)*(1-EXP(('2022'!Tnet-t)/('2022'!Tau_j))),Resal+(Salim-Resal)*(1-EXP((Tnet-t)/(Tau_j))))*Salcycl</f>
        <v>4.3515853089268579E-2</v>
      </c>
      <c r="P33" s="171">
        <f>(INDEX(Models!$BJ33:$BT33,,T33)*(1-R33)+INDEX(Models!$BJ33:$BT33,,T33+1)*R33-ERP_i)*Q33*Ramure*Pc/MaxiM</f>
        <v>9.2707786350031809E-2</v>
      </c>
      <c r="Q33" s="307">
        <f t="shared" si="4"/>
        <v>1</v>
      </c>
      <c r="R33" s="179">
        <f t="shared" si="5"/>
        <v>0.70084346039074497</v>
      </c>
      <c r="S33" s="837">
        <f t="shared" si="6"/>
        <v>0</v>
      </c>
      <c r="T33" s="178">
        <f t="shared" si="7"/>
        <v>6</v>
      </c>
      <c r="U33" s="253">
        <f t="shared" si="8"/>
        <v>0.70084346039074497</v>
      </c>
      <c r="V33" s="385">
        <f t="shared" si="9"/>
        <v>19.070336727868614</v>
      </c>
      <c r="W33" s="404">
        <f t="shared" si="10"/>
        <v>0</v>
      </c>
      <c r="X33" s="157">
        <f t="shared" si="11"/>
        <v>44945</v>
      </c>
      <c r="Y33" s="387">
        <f t="shared" si="12"/>
        <v>8.0359446409295483</v>
      </c>
      <c r="Z33" s="387">
        <f t="shared" si="22"/>
        <v>8.3470152858385962</v>
      </c>
      <c r="AA33" s="388">
        <f t="shared" si="13"/>
        <v>9.7856456632345026</v>
      </c>
      <c r="AB33" s="199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0.14701435417807546</v>
      </c>
      <c r="AD33" s="233">
        <f>(INDEX(Models!$BJ33:$BT33,,AH33)*(1-AF33)+INDEX(Models!$BJ33:$BT33,,AH33+1)*AF33-ERP_i)*AE33*Ramure*Pc/MaxiM</f>
        <v>9.2707786350031809E-2</v>
      </c>
      <c r="AE33" s="307">
        <f t="shared" si="15"/>
        <v>1</v>
      </c>
      <c r="AF33" s="179">
        <f t="shared" si="23"/>
        <v>0.70084346039074497</v>
      </c>
      <c r="AG33" s="837">
        <f t="shared" si="24"/>
        <v>0</v>
      </c>
      <c r="AH33" s="178">
        <f t="shared" si="16"/>
        <v>6</v>
      </c>
      <c r="AI33" s="227">
        <f t="shared" si="17"/>
        <v>0.70084346039074497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44946</v>
      </c>
      <c r="B34" s="1139">
        <f>IF(t&gt;Tmaj,'2022'!Wh/'2022'!Env_an*'2023'!Env_an,0.001*'[3]mon-tableau (2)'!$B$227)</f>
        <v>15.77</v>
      </c>
      <c r="C34" s="866"/>
      <c r="D34" s="395">
        <f t="shared" si="0"/>
        <v>16.380836390718322</v>
      </c>
      <c r="E34" s="387">
        <f t="shared" si="1"/>
        <v>17.129531762781145</v>
      </c>
      <c r="F34" s="387">
        <f t="shared" si="2"/>
        <v>18.36031638130591</v>
      </c>
      <c r="G34" s="110">
        <f t="shared" si="21"/>
        <v>0.79457500781234058</v>
      </c>
      <c r="H34" s="414" t="b">
        <f>Wh_hp&gt;='2022'!Maxi_hp</f>
        <v>1</v>
      </c>
      <c r="I34" s="392">
        <f>IF(H34,Wh_hp,'2022'!Maxi_hp)</f>
        <v>18.36031638130591</v>
      </c>
      <c r="J34" s="85">
        <f>IF(H34,An,'2022'!An_max)</f>
        <v>2023</v>
      </c>
      <c r="K34" s="199">
        <f t="shared" si="3"/>
        <v>44946</v>
      </c>
      <c r="L34" s="147">
        <f>IF(t&lt;Tvie,1-EXP((T0-t)*PertePVj)+'2022'!Pspv,1-EXP((T0-t)*PertePVj)+Pspv)</f>
        <v>3.7289694869575341E-2</v>
      </c>
      <c r="M34" s="870"/>
      <c r="N34" s="870"/>
      <c r="O34" s="48">
        <f>IF(t&lt;Tnet,'2022'!Resal+('2022'!Salim-'2022'!Resal)*(1-EXP(('2022'!Tnet-t)/('2022'!Tau_j))),Resal+(Salim-Resal)*(1-EXP((Tnet-t)/(Tau_j))))*Salcycl</f>
        <v>4.3707871436951963E-2</v>
      </c>
      <c r="P34" s="171">
        <f>(INDEX(Models!$BJ34:$BT34,,T34)*(1-R34)+INDEX(Models!$BJ34:$BT34,,T34+1)*R34-ERP_i)*Q34*Ramure*Pc/MaxiM</f>
        <v>9.1019951676169095E-2</v>
      </c>
      <c r="Q34" s="307">
        <f t="shared" si="4"/>
        <v>1</v>
      </c>
      <c r="R34" s="179">
        <f t="shared" si="5"/>
        <v>0.70092889536280467</v>
      </c>
      <c r="S34" s="837">
        <f t="shared" si="6"/>
        <v>0</v>
      </c>
      <c r="T34" s="178">
        <f t="shared" si="7"/>
        <v>6</v>
      </c>
      <c r="U34" s="253">
        <f t="shared" si="8"/>
        <v>0.70092889536280467</v>
      </c>
      <c r="V34" s="385">
        <f t="shared" si="9"/>
        <v>19.336853735001391</v>
      </c>
      <c r="W34" s="404">
        <f t="shared" si="10"/>
        <v>0</v>
      </c>
      <c r="X34" s="157">
        <f t="shared" si="11"/>
        <v>44946</v>
      </c>
      <c r="Y34" s="387">
        <f t="shared" si="12"/>
        <v>14.065150397257916</v>
      </c>
      <c r="Z34" s="387">
        <f t="shared" si="22"/>
        <v>14.609951012576332</v>
      </c>
      <c r="AA34" s="388">
        <f t="shared" si="13"/>
        <v>17.129531762781145</v>
      </c>
      <c r="AB34" s="199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0.14708987876010302</v>
      </c>
      <c r="AD34" s="233">
        <f>(INDEX(Models!$BJ34:$BT34,,AH34)*(1-AF34)+INDEX(Models!$BJ34:$BT34,,AH34+1)*AF34-ERP_i)*AE34*Ramure*Pc/MaxiM</f>
        <v>9.1019951676169095E-2</v>
      </c>
      <c r="AE34" s="307">
        <f t="shared" si="15"/>
        <v>1</v>
      </c>
      <c r="AF34" s="179">
        <f t="shared" si="23"/>
        <v>0.70092889536280467</v>
      </c>
      <c r="AG34" s="837">
        <f t="shared" si="24"/>
        <v>0</v>
      </c>
      <c r="AH34" s="178">
        <f t="shared" si="16"/>
        <v>6</v>
      </c>
      <c r="AI34" s="227">
        <f t="shared" si="17"/>
        <v>0.70092889536280467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44947</v>
      </c>
      <c r="B35" s="1139">
        <f>IF(t&gt;Tmaj,'2022'!Wh/'2022'!Env_an*'2023'!Env_an,0.001*'[3]mon-tableau (2)'!$B$228)</f>
        <v>7.3159999999999998</v>
      </c>
      <c r="C35" s="866"/>
      <c r="D35" s="395">
        <f t="shared" si="0"/>
        <v>7.5995553584304574</v>
      </c>
      <c r="E35" s="387">
        <f t="shared" si="1"/>
        <v>7.948492480858949</v>
      </c>
      <c r="F35" s="387">
        <f t="shared" si="2"/>
        <v>8.0234867926319051</v>
      </c>
      <c r="G35" s="110">
        <f t="shared" si="21"/>
        <v>0.34300752427907877</v>
      </c>
      <c r="H35" s="414" t="b">
        <f>Wh_hp&gt;='2022'!Maxi_hp</f>
        <v>0</v>
      </c>
      <c r="I35" s="392">
        <f>IF(H35,Wh_hp,'2022'!Maxi_hp)</f>
        <v>16.890929824623914</v>
      </c>
      <c r="J35" s="85">
        <f>IF(H35,An,'2022'!An_max)</f>
        <v>2022</v>
      </c>
      <c r="K35" s="199">
        <f t="shared" si="3"/>
        <v>44947</v>
      </c>
      <c r="L35" s="147">
        <f>IF(t&lt;Tvie,1-EXP((T0-t)*PertePVj)+'2022'!Pspv,1-EXP((T0-t)*PertePVj)+Pspv)</f>
        <v>3.7312098544804884E-2</v>
      </c>
      <c r="M35" s="870"/>
      <c r="N35" s="870"/>
      <c r="O35" s="48">
        <f>IF(t&lt;Tnet,'2022'!Resal+('2022'!Salim-'2022'!Resal)*(1-EXP(('2022'!Tnet-t)/('2022'!Tau_j))),Resal+(Salim-Resal)*(1-EXP((Tnet-t)/(Tau_j))))*Salcycl</f>
        <v>4.3899786439853802E-2</v>
      </c>
      <c r="P35" s="171">
        <f>(INDEX(Models!$BJ35:$BT35,,T35)*(1-R35)+INDEX(Models!$BJ35:$BT35,,T35+1)*R35-ERP_i)*Q35*Ramure*Pc/MaxiM</f>
        <v>8.9419073004517471E-2</v>
      </c>
      <c r="Q35" s="307">
        <f t="shared" si="4"/>
        <v>1</v>
      </c>
      <c r="R35" s="179">
        <f t="shared" si="5"/>
        <v>0.70101789229493539</v>
      </c>
      <c r="S35" s="837">
        <f t="shared" si="6"/>
        <v>0</v>
      </c>
      <c r="T35" s="178">
        <f t="shared" si="7"/>
        <v>6</v>
      </c>
      <c r="U35" s="253">
        <f t="shared" si="8"/>
        <v>0.70101789229493539</v>
      </c>
      <c r="V35" s="385">
        <f t="shared" si="9"/>
        <v>19.605005729867329</v>
      </c>
      <c r="W35" s="404">
        <f t="shared" si="10"/>
        <v>0</v>
      </c>
      <c r="X35" s="157">
        <f t="shared" si="11"/>
        <v>44947</v>
      </c>
      <c r="Y35" s="387">
        <f t="shared" si="12"/>
        <v>6.525817640058035</v>
      </c>
      <c r="Z35" s="387">
        <f t="shared" si="22"/>
        <v>6.7787469128817719</v>
      </c>
      <c r="AA35" s="388">
        <f t="shared" si="13"/>
        <v>7.9484924808589499</v>
      </c>
      <c r="AB35" s="199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0.14716571359840677</v>
      </c>
      <c r="AD35" s="233">
        <f>(INDEX(Models!$BJ35:$BT35,,AH35)*(1-AF35)+INDEX(Models!$BJ35:$BT35,,AH35+1)*AF35-ERP_i)*AE35*Ramure*Pc/MaxiM</f>
        <v>8.9419073004517471E-2</v>
      </c>
      <c r="AE35" s="307">
        <f t="shared" si="15"/>
        <v>1</v>
      </c>
      <c r="AF35" s="179">
        <f t="shared" si="23"/>
        <v>0.70101789229493539</v>
      </c>
      <c r="AG35" s="837">
        <f t="shared" si="24"/>
        <v>0</v>
      </c>
      <c r="AH35" s="178">
        <f t="shared" si="16"/>
        <v>6</v>
      </c>
      <c r="AI35" s="227">
        <f t="shared" si="17"/>
        <v>0.70101789229493539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44948</v>
      </c>
      <c r="B36" s="1139">
        <f>IF(t&gt;Tmaj,'2022'!Wh/'2022'!Env_an*'2023'!Env_an,0.001*'[3]mon-tableau (2)'!$B$229)</f>
        <v>19.861761958603605</v>
      </c>
      <c r="C36" s="866"/>
      <c r="D36" s="395">
        <f t="shared" si="0"/>
        <v>20.632049235846317</v>
      </c>
      <c r="E36" s="387">
        <f t="shared" si="1"/>
        <v>21.583709613819344</v>
      </c>
      <c r="F36" s="387">
        <f t="shared" si="2"/>
        <v>23.661878148240607</v>
      </c>
      <c r="G36" s="110">
        <f t="shared" si="21"/>
        <v>0.99929379900585347</v>
      </c>
      <c r="H36" s="414" t="b">
        <f>Wh_hp&gt;='2022'!Maxi_hp</f>
        <v>0</v>
      </c>
      <c r="I36" s="392">
        <f>IF(H36,Wh_hp,'2022'!Maxi_hp)</f>
        <v>23.662480027421342</v>
      </c>
      <c r="J36" s="85">
        <f>IF(H36,An,'2022'!An_max)</f>
        <v>2022</v>
      </c>
      <c r="K36" s="199">
        <f t="shared" si="3"/>
        <v>44948</v>
      </c>
      <c r="L36" s="147">
        <f>IF(t&lt;Tvie,1-EXP((T0-t)*PertePVj)+'2022'!Pspv,1-EXP((T0-t)*PertePVj)+Pspv)</f>
        <v>3.7334501698668254E-2</v>
      </c>
      <c r="M36" s="870"/>
      <c r="N36" s="870"/>
      <c r="O36" s="48">
        <f>IF(t&lt;Tnet,'2022'!Resal+('2022'!Salim-'2022'!Resal)*(1-EXP(('2022'!Tnet-t)/('2022'!Tau_j))),Resal+(Salim-Resal)*(1-EXP((Tnet-t)/(Tau_j))))*Salcycl</f>
        <v>4.4091604038432354E-2</v>
      </c>
      <c r="P36" s="171">
        <f>(INDEX(Models!$BJ36:$BT36,,T36)*(1-R36)+INDEX(Models!$BJ36:$BT36,,T36+1)*R36-ERP_i)*Q36*Ramure*Pc/MaxiM</f>
        <v>8.7905666852554382E-2</v>
      </c>
      <c r="Q36" s="307">
        <f t="shared" si="4"/>
        <v>1</v>
      </c>
      <c r="R36" s="179">
        <f t="shared" si="5"/>
        <v>0.70111059872523029</v>
      </c>
      <c r="S36" s="837">
        <f t="shared" si="6"/>
        <v>0</v>
      </c>
      <c r="T36" s="178">
        <f t="shared" si="7"/>
        <v>6</v>
      </c>
      <c r="U36" s="253">
        <f t="shared" si="8"/>
        <v>0.70111059872523029</v>
      </c>
      <c r="V36" s="385">
        <f t="shared" si="9"/>
        <v>19.874099589881595</v>
      </c>
      <c r="W36" s="404">
        <f t="shared" si="10"/>
        <v>19.861761958603605</v>
      </c>
      <c r="X36" s="157">
        <f t="shared" si="11"/>
        <v>44948</v>
      </c>
      <c r="Y36" s="387">
        <f t="shared" si="12"/>
        <v>17.718516748113498</v>
      </c>
      <c r="Z36" s="387">
        <f t="shared" si="22"/>
        <v>18.405683780481016</v>
      </c>
      <c r="AA36" s="388">
        <f t="shared" si="13"/>
        <v>21.583709613819344</v>
      </c>
      <c r="AB36" s="199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0.14724187316269027</v>
      </c>
      <c r="AD36" s="233">
        <f>(INDEX(Models!$BJ36:$BT36,,AH36)*(1-AF36)+INDEX(Models!$BJ36:$BT36,,AH36+1)*AF36-ERP_i)*AE36*Ramure*Pc/MaxiM</f>
        <v>8.7905666852554382E-2</v>
      </c>
      <c r="AE36" s="307">
        <f t="shared" si="15"/>
        <v>1</v>
      </c>
      <c r="AF36" s="179">
        <f t="shared" si="23"/>
        <v>0.70111059872523029</v>
      </c>
      <c r="AG36" s="837">
        <f t="shared" si="24"/>
        <v>0</v>
      </c>
      <c r="AH36" s="178">
        <f t="shared" si="16"/>
        <v>6</v>
      </c>
      <c r="AI36" s="227">
        <f t="shared" si="17"/>
        <v>0.70111059872523029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44949</v>
      </c>
      <c r="B37" s="1139">
        <f>IF(t&gt;Tmaj,'2022'!Wh/'2022'!Env_an*'2023'!Env_an,0.001*'[3]mon-tableau (2)'!$B$230)</f>
        <v>19.911957038897512</v>
      </c>
      <c r="C37" s="866"/>
      <c r="D37" s="395">
        <f t="shared" si="0"/>
        <v>20.684672365580244</v>
      </c>
      <c r="E37" s="387">
        <f t="shared" si="1"/>
        <v>21.643100946255533</v>
      </c>
      <c r="F37" s="387">
        <f t="shared" si="2"/>
        <v>23.654605432489372</v>
      </c>
      <c r="G37" s="110">
        <f t="shared" si="21"/>
        <v>0.98684147769779573</v>
      </c>
      <c r="H37" s="414" t="b">
        <f>Wh_hp&gt;='2022'!Maxi_hp</f>
        <v>0</v>
      </c>
      <c r="I37" s="392">
        <f>IF(H37,Wh_hp,'2022'!Maxi_hp)</f>
        <v>23.66568550843968</v>
      </c>
      <c r="J37" s="85">
        <f>IF(H37,An,'2022'!An_max)</f>
        <v>2022</v>
      </c>
      <c r="K37" s="199">
        <f t="shared" si="3"/>
        <v>44949</v>
      </c>
      <c r="L37" s="147">
        <f>IF(t&lt;Tvie,1-EXP((T0-t)*PertePVj)+'2022'!Pspv,1-EXP((T0-t)*PertePVj)+Pspv)</f>
        <v>3.7356904331177554E-2</v>
      </c>
      <c r="M37" s="870"/>
      <c r="N37" s="870"/>
      <c r="O37" s="48">
        <f>IF(t&lt;Tnet,'2022'!Resal+('2022'!Salim-'2022'!Resal)*(1-EXP(('2022'!Tnet-t)/('2022'!Tau_j))),Resal+(Salim-Resal)*(1-EXP((Tnet-t)/(Tau_j))))*Salcycl</f>
        <v>4.4283329965298039E-2</v>
      </c>
      <c r="P37" s="171">
        <f>(INDEX(Models!$BJ37:$BT37,,T37)*(1-R37)+INDEX(Models!$BJ37:$BT37,,T37+1)*R37-ERP_i)*Q37*Ramure*Pc/MaxiM</f>
        <v>8.6470579133692452E-2</v>
      </c>
      <c r="Q37" s="307">
        <f t="shared" si="4"/>
        <v>1</v>
      </c>
      <c r="R37" s="179">
        <f t="shared" si="5"/>
        <v>0.70120716822031848</v>
      </c>
      <c r="S37" s="837">
        <f t="shared" si="6"/>
        <v>0</v>
      </c>
      <c r="T37" s="178">
        <f t="shared" si="7"/>
        <v>6</v>
      </c>
      <c r="U37" s="253">
        <f t="shared" si="8"/>
        <v>0.70120716822031848</v>
      </c>
      <c r="V37" s="385">
        <f t="shared" si="9"/>
        <v>20.145836897140892</v>
      </c>
      <c r="W37" s="404">
        <f t="shared" si="10"/>
        <v>19.911957038897512</v>
      </c>
      <c r="X37" s="157">
        <f t="shared" si="11"/>
        <v>44949</v>
      </c>
      <c r="Y37" s="387">
        <f t="shared" si="12"/>
        <v>17.765265058346625</v>
      </c>
      <c r="Z37" s="387">
        <f t="shared" si="22"/>
        <v>18.454674570749116</v>
      </c>
      <c r="AA37" s="388">
        <f t="shared" si="13"/>
        <v>21.643100946255533</v>
      </c>
      <c r="AB37" s="199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0.14731837103305864</v>
      </c>
      <c r="AD37" s="233">
        <f>(INDEX(Models!$BJ37:$BT37,,AH37)*(1-AF37)+INDEX(Models!$BJ37:$BT37,,AH37+1)*AF37-ERP_i)*AE37*Ramure*Pc/MaxiM</f>
        <v>8.6470579133692452E-2</v>
      </c>
      <c r="AE37" s="307">
        <f t="shared" si="15"/>
        <v>1</v>
      </c>
      <c r="AF37" s="179">
        <f t="shared" si="23"/>
        <v>0.70120716822031848</v>
      </c>
      <c r="AG37" s="837">
        <f t="shared" si="24"/>
        <v>0</v>
      </c>
      <c r="AH37" s="178">
        <f t="shared" si="16"/>
        <v>6</v>
      </c>
      <c r="AI37" s="227">
        <f t="shared" si="17"/>
        <v>0.70120716822031848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44950</v>
      </c>
      <c r="B38" s="1139">
        <f>IF(t&gt;Tmaj,'2022'!Wh/'2022'!Env_an*'2023'!Env_an,0.001*'[3]mon-tableau (2)'!$B$231)</f>
        <v>20.354207083796275</v>
      </c>
      <c r="C38" s="866"/>
      <c r="D38" s="395">
        <f t="shared" si="0"/>
        <v>21.144576695698451</v>
      </c>
      <c r="E38" s="387">
        <f t="shared" si="1"/>
        <v>22.128752280674721</v>
      </c>
      <c r="F38" s="387">
        <f t="shared" si="2"/>
        <v>24.175122611430574</v>
      </c>
      <c r="G38" s="110">
        <f t="shared" si="21"/>
        <v>0.99617490374932982</v>
      </c>
      <c r="H38" s="414" t="b">
        <f>Wh_hp&gt;='2022'!Maxi_hp</f>
        <v>0</v>
      </c>
      <c r="I38" s="392">
        <f>IF(H38,Wh_hp,'2022'!Maxi_hp)</f>
        <v>24.178380916845647</v>
      </c>
      <c r="J38" s="85">
        <f>IF(H38,An,'2022'!An_max)</f>
        <v>2022</v>
      </c>
      <c r="K38" s="199">
        <f t="shared" si="3"/>
        <v>44950</v>
      </c>
      <c r="L38" s="147">
        <f>IF(t&lt;Tvie,1-EXP((T0-t)*PertePVj)+'2022'!Pspv,1-EXP((T0-t)*PertePVj)+Pspv)</f>
        <v>3.7379306442344773E-2</v>
      </c>
      <c r="M38" s="870"/>
      <c r="N38" s="870"/>
      <c r="O38" s="48">
        <f>IF(t&lt;Tnet,'2022'!Resal+('2022'!Salim-'2022'!Resal)*(1-EXP(('2022'!Tnet-t)/('2022'!Tau_j))),Resal+(Salim-Resal)*(1-EXP((Tnet-t)/(Tau_j))))*Salcycl</f>
        <v>4.4474969600331295E-2</v>
      </c>
      <c r="P38" s="171">
        <f>(INDEX(Models!$BJ38:$BT38,,T38)*(1-R38)+INDEX(Models!$BJ38:$BT38,,T38+1)*R38-ERP_i)*Q38*Ramure*Pc/MaxiM</f>
        <v>8.5058261475781133E-2</v>
      </c>
      <c r="Q38" s="307">
        <f t="shared" si="4"/>
        <v>1</v>
      </c>
      <c r="R38" s="179">
        <f t="shared" si="5"/>
        <v>0.70130776061463973</v>
      </c>
      <c r="S38" s="837">
        <f t="shared" si="6"/>
        <v>0</v>
      </c>
      <c r="T38" s="178">
        <f t="shared" si="7"/>
        <v>6</v>
      </c>
      <c r="U38" s="253">
        <f t="shared" si="8"/>
        <v>0.70130776061463973</v>
      </c>
      <c r="V38" s="385">
        <f t="shared" si="9"/>
        <v>20.423200009268442</v>
      </c>
      <c r="W38" s="404">
        <f t="shared" si="10"/>
        <v>20.354207083796275</v>
      </c>
      <c r="X38" s="157">
        <f t="shared" si="11"/>
        <v>44950</v>
      </c>
      <c r="Y38" s="387">
        <f t="shared" si="12"/>
        <v>18.161841618046306</v>
      </c>
      <c r="Z38" s="387">
        <f t="shared" si="22"/>
        <v>18.867079982379913</v>
      </c>
      <c r="AA38" s="388">
        <f t="shared" si="13"/>
        <v>22.128752280674721</v>
      </c>
      <c r="AB38" s="199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0.14739521943780176</v>
      </c>
      <c r="AD38" s="233">
        <f>(INDEX(Models!$BJ38:$BT38,,AH38)*(1-AF38)+INDEX(Models!$BJ38:$BT38,,AH38+1)*AF38-ERP_i)*AE38*Ramure*Pc/MaxiM</f>
        <v>8.5058261475781133E-2</v>
      </c>
      <c r="AE38" s="307">
        <f t="shared" si="15"/>
        <v>1</v>
      </c>
      <c r="AF38" s="179">
        <f t="shared" si="23"/>
        <v>0.70130776061463973</v>
      </c>
      <c r="AG38" s="837">
        <f t="shared" si="24"/>
        <v>0</v>
      </c>
      <c r="AH38" s="178">
        <f t="shared" si="16"/>
        <v>6</v>
      </c>
      <c r="AI38" s="227">
        <f t="shared" si="17"/>
        <v>0.70130776061463973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44951</v>
      </c>
      <c r="B39" s="1139">
        <f>IF(t&gt;Tmaj,'2022'!Wh/'2022'!Env_an*'2023'!Env_an,0.001*'[3]mon-tableau (2)'!$B$232)</f>
        <v>20.596380211990521</v>
      </c>
      <c r="C39" s="866"/>
      <c r="D39" s="395">
        <f t="shared" si="0"/>
        <v>21.39665152520249</v>
      </c>
      <c r="E39" s="387">
        <f t="shared" si="1"/>
        <v>22.397049981655883</v>
      </c>
      <c r="F39" s="387">
        <f t="shared" si="2"/>
        <v>24.42406755656976</v>
      </c>
      <c r="G39" s="110">
        <f t="shared" si="21"/>
        <v>0.99397703751375299</v>
      </c>
      <c r="H39" s="414" t="b">
        <f>Wh_hp&gt;='2022'!Maxi_hp</f>
        <v>0</v>
      </c>
      <c r="I39" s="392">
        <f>IF(H39,Wh_hp,'2022'!Maxi_hp)</f>
        <v>24.429204367487987</v>
      </c>
      <c r="J39" s="85">
        <f>IF(H39,An,'2022'!An_max)</f>
        <v>2022</v>
      </c>
      <c r="K39" s="199">
        <f t="shared" si="3"/>
        <v>44951</v>
      </c>
      <c r="L39" s="147">
        <f>IF(t&lt;Tvie,1-EXP((T0-t)*PertePVj)+'2022'!Pspv,1-EXP((T0-t)*PertePVj)+Pspv)</f>
        <v>3.7401708032182235E-2</v>
      </c>
      <c r="M39" s="870"/>
      <c r="N39" s="870"/>
      <c r="O39" s="48">
        <f>IF(t&lt;Tnet,'2022'!Resal+('2022'!Salim-'2022'!Resal)*(1-EXP(('2022'!Tnet-t)/('2022'!Tau_j))),Resal+(Salim-Resal)*(1-EXP((Tnet-t)/(Tau_j))))*Salcycl</f>
        <v>4.4666527836155184E-2</v>
      </c>
      <c r="P39" s="171">
        <f>(INDEX(Models!$BJ39:$BT39,,T39)*(1-R39)+INDEX(Models!$BJ39:$BT39,,T39+1)*R39-ERP_i)*Q39*Ramure*Pc/MaxiM</f>
        <v>8.3629647327707821E-2</v>
      </c>
      <c r="Q39" s="307">
        <f t="shared" si="4"/>
        <v>1</v>
      </c>
      <c r="R39" s="179">
        <f t="shared" si="5"/>
        <v>0.70141254225861127</v>
      </c>
      <c r="S39" s="837">
        <f t="shared" si="6"/>
        <v>0</v>
      </c>
      <c r="T39" s="178">
        <f t="shared" si="7"/>
        <v>6</v>
      </c>
      <c r="U39" s="253">
        <f t="shared" si="8"/>
        <v>0.70141254225861127</v>
      </c>
      <c r="V39" s="385">
        <f t="shared" si="9"/>
        <v>20.706788715557774</v>
      </c>
      <c r="W39" s="404">
        <f t="shared" si="10"/>
        <v>20.596380211990521</v>
      </c>
      <c r="X39" s="157">
        <f t="shared" si="11"/>
        <v>44951</v>
      </c>
      <c r="Y39" s="387">
        <f t="shared" si="12"/>
        <v>18.379950570698036</v>
      </c>
      <c r="Z39" s="387">
        <f t="shared" si="22"/>
        <v>19.094102622106593</v>
      </c>
      <c r="AA39" s="388">
        <f t="shared" si="13"/>
        <v>22.397049981655883</v>
      </c>
      <c r="AB39" s="199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0.14747242883569672</v>
      </c>
      <c r="AD39" s="233">
        <f>(INDEX(Models!$BJ39:$BT39,,AH39)*(1-AF39)+INDEX(Models!$BJ39:$BT39,,AH39+1)*AF39-ERP_i)*AE39*Ramure*Pc/MaxiM</f>
        <v>8.3629647327707821E-2</v>
      </c>
      <c r="AE39" s="307">
        <f t="shared" si="15"/>
        <v>1</v>
      </c>
      <c r="AF39" s="179">
        <f t="shared" si="23"/>
        <v>0.70141254225861127</v>
      </c>
      <c r="AG39" s="837">
        <f t="shared" si="24"/>
        <v>0</v>
      </c>
      <c r="AH39" s="178">
        <f t="shared" si="16"/>
        <v>6</v>
      </c>
      <c r="AI39" s="227">
        <f t="shared" si="17"/>
        <v>0.70141254225861127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44952</v>
      </c>
      <c r="B40" s="1139">
        <f>IF(t&gt;Tmaj,'2022'!Wh/'2022'!Env_an*'2023'!Env_an,0.001*'[3]mon-tableau (2)'!$B$233)</f>
        <v>20.695273981927773</v>
      </c>
      <c r="C40" s="866"/>
      <c r="D40" s="395">
        <f t="shared" si="0"/>
        <v>21.49988814138381</v>
      </c>
      <c r="E40" s="387">
        <f t="shared" si="1"/>
        <v>22.509625105970223</v>
      </c>
      <c r="F40" s="387">
        <f t="shared" si="2"/>
        <v>24.480405831256807</v>
      </c>
      <c r="G40" s="110">
        <f t="shared" si="21"/>
        <v>0.98385929185918164</v>
      </c>
      <c r="H40" s="414" t="b">
        <f>Wh_hp&gt;='2022'!Maxi_hp</f>
        <v>0</v>
      </c>
      <c r="I40" s="392">
        <f>IF(H40,Wh_hp,'2022'!Maxi_hp)</f>
        <v>24.494094497904509</v>
      </c>
      <c r="J40" s="85">
        <f>IF(H40,An,'2022'!An_max)</f>
        <v>2022</v>
      </c>
      <c r="K40" s="199">
        <f t="shared" si="3"/>
        <v>44952</v>
      </c>
      <c r="L40" s="147">
        <f>IF(t&lt;Tvie,1-EXP((T0-t)*PertePVj)+'2022'!Pspv,1-EXP((T0-t)*PertePVj)+Pspv)</f>
        <v>3.742410910070193E-2</v>
      </c>
      <c r="M40" s="870"/>
      <c r="N40" s="870"/>
      <c r="O40" s="48">
        <f>IF(t&lt;Tnet,'2022'!Resal+('2022'!Salim-'2022'!Resal)*(1-EXP(('2022'!Tnet-t)/('2022'!Tau_j))),Resal+(Salim-Resal)*(1-EXP((Tnet-t)/(Tau_j))))*Salcycl</f>
        <v>4.4858008955404635E-2</v>
      </c>
      <c r="P40" s="171">
        <f>(INDEX(Models!$BJ40:$BT40,,T40)*(1-R40)+INDEX(Models!$BJ40:$BT40,,T40+1)*R40-ERP_i)*Q40*Ramure*Pc/MaxiM</f>
        <v>8.2187656758229269E-2</v>
      </c>
      <c r="Q40" s="307">
        <f t="shared" si="4"/>
        <v>1</v>
      </c>
      <c r="R40" s="179">
        <f t="shared" si="5"/>
        <v>0.70152168627596101</v>
      </c>
      <c r="S40" s="837">
        <f t="shared" si="6"/>
        <v>0</v>
      </c>
      <c r="T40" s="178">
        <f t="shared" si="7"/>
        <v>6</v>
      </c>
      <c r="U40" s="253">
        <f t="shared" si="8"/>
        <v>0.70152168627596101</v>
      </c>
      <c r="V40" s="385">
        <f t="shared" si="9"/>
        <v>20.996283783155949</v>
      </c>
      <c r="W40" s="404">
        <f t="shared" si="10"/>
        <v>20.695273981927773</v>
      </c>
      <c r="X40" s="157">
        <f t="shared" si="11"/>
        <v>44952</v>
      </c>
      <c r="Y40" s="387">
        <f t="shared" si="12"/>
        <v>18.470223605630753</v>
      </c>
      <c r="Z40" s="387">
        <f t="shared" si="22"/>
        <v>19.188329751719344</v>
      </c>
      <c r="AA40" s="388">
        <f t="shared" si="13"/>
        <v>22.509625105970223</v>
      </c>
      <c r="AB40" s="199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0.14755000754632605</v>
      </c>
      <c r="AD40" s="233">
        <f>(INDEX(Models!$BJ40:$BT40,,AH40)*(1-AF40)+INDEX(Models!$BJ40:$BT40,,AH40+1)*AF40-ERP_i)*AE40*Ramure*Pc/MaxiM</f>
        <v>8.2187656758229269E-2</v>
      </c>
      <c r="AE40" s="307">
        <f t="shared" si="15"/>
        <v>1</v>
      </c>
      <c r="AF40" s="179">
        <f t="shared" si="23"/>
        <v>0.70152168627596101</v>
      </c>
      <c r="AG40" s="837">
        <f t="shared" si="24"/>
        <v>0</v>
      </c>
      <c r="AH40" s="178">
        <f t="shared" si="16"/>
        <v>6</v>
      </c>
      <c r="AI40" s="227">
        <f t="shared" si="17"/>
        <v>0.70152168627596101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44953</v>
      </c>
      <c r="B41" s="1139">
        <f>IF(t&gt;Tmaj,'2022'!Wh/'2022'!Env_an*'2023'!Env_an,0.001*'[3]mon-tableau (2)'!$B$234)</f>
        <v>20.197110577806129</v>
      </c>
      <c r="C41" s="866"/>
      <c r="D41" s="395">
        <f t="shared" si="0"/>
        <v>20.982844881086461</v>
      </c>
      <c r="E41" s="387">
        <f t="shared" si="1"/>
        <v>21.972702299050233</v>
      </c>
      <c r="F41" s="387">
        <f t="shared" si="2"/>
        <v>23.749327965938438</v>
      </c>
      <c r="G41" s="110">
        <f t="shared" si="21"/>
        <v>0.94252805519243954</v>
      </c>
      <c r="H41" s="414" t="b">
        <f>Wh_hp&gt;='2022'!Maxi_hp</f>
        <v>0</v>
      </c>
      <c r="I41" s="392">
        <f>IF(H41,Wh_hp,'2022'!Maxi_hp)</f>
        <v>23.796328277938077</v>
      </c>
      <c r="J41" s="85">
        <f>IF(H41,An,'2022'!An_max)</f>
        <v>2022</v>
      </c>
      <c r="K41" s="199">
        <f t="shared" si="3"/>
        <v>44953</v>
      </c>
      <c r="L41" s="147">
        <f>IF(t&lt;Tvie,1-EXP((T0-t)*PertePVj)+'2022'!Pspv,1-EXP((T0-t)*PertePVj)+Pspv)</f>
        <v>3.7446509647916071E-2</v>
      </c>
      <c r="M41" s="870"/>
      <c r="N41" s="870"/>
      <c r="O41" s="48">
        <f>IF(t&lt;Tnet,'2022'!Resal+('2022'!Salim-'2022'!Resal)*(1-EXP(('2022'!Tnet-t)/('2022'!Tau_j))),Resal+(Salim-Resal)*(1-EXP((Tnet-t)/(Tau_j))))*Salcycl</f>
        <v>4.5049416521087557E-2</v>
      </c>
      <c r="P41" s="171">
        <f>(INDEX(Models!$BJ41:$BT41,,T41)*(1-R41)+INDEX(Models!$BJ41:$BT41,,T41+1)*R41-ERP_i)*Q41*Ramure*Pc/MaxiM</f>
        <v>8.0735011353643707E-2</v>
      </c>
      <c r="Q41" s="307">
        <f t="shared" si="4"/>
        <v>1</v>
      </c>
      <c r="R41" s="179">
        <f t="shared" si="5"/>
        <v>0.70163537283051147</v>
      </c>
      <c r="S41" s="837">
        <f t="shared" si="6"/>
        <v>0</v>
      </c>
      <c r="T41" s="178">
        <f t="shared" si="7"/>
        <v>6</v>
      </c>
      <c r="U41" s="253">
        <f t="shared" si="8"/>
        <v>0.70163537283051147</v>
      </c>
      <c r="V41" s="385">
        <f t="shared" si="9"/>
        <v>21.291366219492847</v>
      </c>
      <c r="W41" s="404">
        <f t="shared" si="10"/>
        <v>20.197110577806129</v>
      </c>
      <c r="X41" s="157">
        <f t="shared" si="11"/>
        <v>44953</v>
      </c>
      <c r="Y41" s="387">
        <f t="shared" si="12"/>
        <v>18.027584478439657</v>
      </c>
      <c r="Z41" s="387">
        <f t="shared" si="22"/>
        <v>18.728917051503814</v>
      </c>
      <c r="AA41" s="388">
        <f t="shared" si="13"/>
        <v>21.972702299050233</v>
      </c>
      <c r="AB41" s="199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0.14762796143133619</v>
      </c>
      <c r="AD41" s="233">
        <f>(INDEX(Models!$BJ41:$BT41,,AH41)*(1-AF41)+INDEX(Models!$BJ41:$BT41,,AH41+1)*AF41-ERP_i)*AE41*Ramure*Pc/MaxiM</f>
        <v>8.0735011353643707E-2</v>
      </c>
      <c r="AE41" s="307">
        <f t="shared" si="15"/>
        <v>1</v>
      </c>
      <c r="AF41" s="179">
        <f t="shared" si="23"/>
        <v>0.70163537283051147</v>
      </c>
      <c r="AG41" s="837">
        <f t="shared" si="24"/>
        <v>0</v>
      </c>
      <c r="AH41" s="178">
        <f t="shared" si="16"/>
        <v>6</v>
      </c>
      <c r="AI41" s="227">
        <f t="shared" si="17"/>
        <v>0.70163537283051147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44954</v>
      </c>
      <c r="B42" s="1139">
        <f>IF(t&gt;Tmaj,'2022'!Wh/'2022'!Env_an*'2023'!Env_an,0.001*'[3]mon-tableau (2)'!$B$235)</f>
        <v>4.2247638904954181</v>
      </c>
      <c r="C42" s="866"/>
      <c r="D42" s="395">
        <f t="shared" si="0"/>
        <v>4.3892233019338773</v>
      </c>
      <c r="E42" s="387">
        <f t="shared" si="1"/>
        <v>4.5972042868588199</v>
      </c>
      <c r="F42" s="387">
        <f t="shared" si="2"/>
        <v>4.5972042868588199</v>
      </c>
      <c r="G42" s="110">
        <f t="shared" si="21"/>
        <v>0.18015468156633307</v>
      </c>
      <c r="H42" s="414" t="b">
        <f>Wh_hp&gt;='2022'!Maxi_hp</f>
        <v>0</v>
      </c>
      <c r="I42" s="392">
        <f>IF(H42,Wh_hp,'2022'!Maxi_hp)</f>
        <v>17.198833933173557</v>
      </c>
      <c r="J42" s="85">
        <f>IF(H42,An,'2022'!An_max)</f>
        <v>2020</v>
      </c>
      <c r="K42" s="199">
        <f t="shared" si="3"/>
        <v>44954</v>
      </c>
      <c r="L42" s="147">
        <f>IF(t&lt;Tvie,1-EXP((T0-t)*PertePVj)+'2022'!Pspv,1-EXP((T0-t)*PertePVj)+Pspv)</f>
        <v>3.7468909673836648E-2</v>
      </c>
      <c r="M42" s="870"/>
      <c r="N42" s="870"/>
      <c r="O42" s="48">
        <f>IF(t&lt;Tnet,'2022'!Resal+('2022'!Salim-'2022'!Resal)*(1-EXP(('2022'!Tnet-t)/('2022'!Tau_j))),Resal+(Salim-Resal)*(1-EXP((Tnet-t)/(Tau_j))))*Salcycl</f>
        <v>4.5240753281175591E-2</v>
      </c>
      <c r="P42" s="171">
        <f>(INDEX(Models!$BJ42:$BT42,,T42)*(1-R42)+INDEX(Models!$BJ42:$BT42,,T42+1)*R42-ERP_i)*Q42*Ramure*Pc/MaxiM</f>
        <v>7.9274238356729421E-2</v>
      </c>
      <c r="Q42" s="307">
        <f t="shared" si="4"/>
        <v>1</v>
      </c>
      <c r="R42" s="179">
        <f t="shared" si="5"/>
        <v>0.70175378940269584</v>
      </c>
      <c r="S42" s="837">
        <f t="shared" si="6"/>
        <v>0</v>
      </c>
      <c r="T42" s="178">
        <f t="shared" si="7"/>
        <v>6</v>
      </c>
      <c r="U42" s="253">
        <f t="shared" si="8"/>
        <v>0.70175378940269584</v>
      </c>
      <c r="V42" s="385">
        <f t="shared" si="9"/>
        <v>21.591717278838161</v>
      </c>
      <c r="W42" s="404">
        <f t="shared" si="10"/>
        <v>4.2247638904954181</v>
      </c>
      <c r="X42" s="157">
        <f t="shared" si="11"/>
        <v>44954</v>
      </c>
      <c r="Y42" s="387">
        <f t="shared" si="12"/>
        <v>3.7713587871993135</v>
      </c>
      <c r="Z42" s="387">
        <f t="shared" si="22"/>
        <v>3.9181682805916958</v>
      </c>
      <c r="AA42" s="388">
        <f t="shared" si="13"/>
        <v>4.5972042868588199</v>
      </c>
      <c r="AB42" s="199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0.14770629362896906</v>
      </c>
      <c r="AD42" s="233">
        <f>(INDEX(Models!$BJ42:$BT42,,AH42)*(1-AF42)+INDEX(Models!$BJ42:$BT42,,AH42+1)*AF42-ERP_i)*AE42*Ramure*Pc/MaxiM</f>
        <v>7.9274238356729421E-2</v>
      </c>
      <c r="AE42" s="307">
        <f t="shared" si="15"/>
        <v>1</v>
      </c>
      <c r="AF42" s="179">
        <f t="shared" si="23"/>
        <v>0.70175378940269584</v>
      </c>
      <c r="AG42" s="837">
        <f t="shared" si="24"/>
        <v>0</v>
      </c>
      <c r="AH42" s="178">
        <f t="shared" si="16"/>
        <v>6</v>
      </c>
      <c r="AI42" s="227">
        <f t="shared" si="17"/>
        <v>0.70175378940269584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44955</v>
      </c>
      <c r="B43" s="1139">
        <f>IF(t&gt;Tmaj,'2022'!Wh/'2022'!Env_an*'2023'!Env_an,0.001*'[3]mon-tableau (2)'!$B$236)</f>
        <v>6.6065115586312375</v>
      </c>
      <c r="C43" s="866"/>
      <c r="D43" s="395">
        <f t="shared" si="0"/>
        <v>6.8638461362799985</v>
      </c>
      <c r="E43" s="387">
        <f t="shared" si="1"/>
        <v>7.1905262777682113</v>
      </c>
      <c r="F43" s="387">
        <f t="shared" si="2"/>
        <v>7.1918918794274322</v>
      </c>
      <c r="G43" s="110">
        <f t="shared" si="21"/>
        <v>0.27828589175487684</v>
      </c>
      <c r="H43" s="414" t="b">
        <f>Wh_hp&gt;='2022'!Maxi_hp</f>
        <v>0</v>
      </c>
      <c r="I43" s="392">
        <f>IF(H43,Wh_hp,'2022'!Maxi_hp)</f>
        <v>20.008035676598013</v>
      </c>
      <c r="J43" s="85">
        <f>IF(H43,An,'2022'!An_max)</f>
        <v>2020</v>
      </c>
      <c r="K43" s="199">
        <f t="shared" si="3"/>
        <v>44955</v>
      </c>
      <c r="L43" s="147">
        <f>IF(t&lt;Tvie,1-EXP((T0-t)*PertePVj)+'2022'!Pspv,1-EXP((T0-t)*PertePVj)+Pspv)</f>
        <v>3.7491309178475984E-2</v>
      </c>
      <c r="M43" s="870"/>
      <c r="N43" s="870"/>
      <c r="O43" s="48">
        <f>IF(t&lt;Tnet,'2022'!Resal+('2022'!Salim-'2022'!Resal)*(1-EXP(('2022'!Tnet-t)/('2022'!Tau_j))),Resal+(Salim-Resal)*(1-EXP((Tnet-t)/(Tau_j))))*Salcycl</f>
        <v>4.5432021088393455E-2</v>
      </c>
      <c r="P43" s="171">
        <f>(INDEX(Models!$BJ43:$BT43,,T43)*(1-R43)+INDEX(Models!$BJ43:$BT43,,T43+1)*R43-ERP_i)*Q43*Ramure*Pc/MaxiM</f>
        <v>7.7807675809715648E-2</v>
      </c>
      <c r="Q43" s="307">
        <f t="shared" si="4"/>
        <v>1</v>
      </c>
      <c r="R43" s="179">
        <f t="shared" si="5"/>
        <v>0.70187713107609517</v>
      </c>
      <c r="S43" s="837">
        <f t="shared" si="6"/>
        <v>0</v>
      </c>
      <c r="T43" s="178">
        <f t="shared" si="7"/>
        <v>6</v>
      </c>
      <c r="U43" s="253">
        <f t="shared" si="8"/>
        <v>0.70187713107609517</v>
      </c>
      <c r="V43" s="385">
        <f t="shared" si="9"/>
        <v>21.897018471765591</v>
      </c>
      <c r="W43" s="404">
        <f t="shared" si="10"/>
        <v>6.6065115586312375</v>
      </c>
      <c r="X43" s="157">
        <f t="shared" si="11"/>
        <v>44955</v>
      </c>
      <c r="Y43" s="387">
        <f t="shared" si="12"/>
        <v>5.8981322898159529</v>
      </c>
      <c r="Z43" s="387">
        <f t="shared" si="22"/>
        <v>6.1278743205754918</v>
      </c>
      <c r="AA43" s="388">
        <f t="shared" si="13"/>
        <v>7.1905262777682113</v>
      </c>
      <c r="AB43" s="199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0.1477850043435964</v>
      </c>
      <c r="AD43" s="233">
        <f>(INDEX(Models!$BJ43:$BT43,,AH43)*(1-AF43)+INDEX(Models!$BJ43:$BT43,,AH43+1)*AF43-ERP_i)*AE43*Ramure*Pc/MaxiM</f>
        <v>7.7807675809715648E-2</v>
      </c>
      <c r="AE43" s="307">
        <f t="shared" si="15"/>
        <v>1</v>
      </c>
      <c r="AF43" s="179">
        <f t="shared" si="23"/>
        <v>0.70187713107609517</v>
      </c>
      <c r="AG43" s="837">
        <f t="shared" si="24"/>
        <v>0</v>
      </c>
      <c r="AH43" s="178">
        <f t="shared" si="16"/>
        <v>6</v>
      </c>
      <c r="AI43" s="227">
        <f t="shared" si="17"/>
        <v>0.70187713107609517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44956</v>
      </c>
      <c r="B44" s="1139">
        <f>IF(t&gt;Tmaj,'2022'!Wh/'2022'!Env_an*'2023'!Env_an,0.001*'[3]mon-tableau (2)'!$B$237)</f>
        <v>4.8085478153339194</v>
      </c>
      <c r="C44" s="866"/>
      <c r="D44" s="395">
        <f t="shared" si="0"/>
        <v>4.9959649878758965</v>
      </c>
      <c r="E44" s="387">
        <f t="shared" si="1"/>
        <v>5.2347931099624905</v>
      </c>
      <c r="F44" s="387">
        <f t="shared" si="2"/>
        <v>5.2347931099624905</v>
      </c>
      <c r="G44" s="110">
        <f t="shared" si="21"/>
        <v>0.20000383143980374</v>
      </c>
      <c r="H44" s="414" t="b">
        <f>Wh_hp&gt;='2022'!Maxi_hp</f>
        <v>0</v>
      </c>
      <c r="I44" s="392">
        <f>IF(H44,Wh_hp,'2022'!Maxi_hp)</f>
        <v>10.958880369584882</v>
      </c>
      <c r="J44" s="85">
        <f>IF(H44,An,'2022'!An_max)</f>
        <v>2020</v>
      </c>
      <c r="K44" s="199">
        <f t="shared" si="3"/>
        <v>44956</v>
      </c>
      <c r="L44" s="147">
        <f>IF(t&lt;Tvie,1-EXP((T0-t)*PertePVj)+'2022'!Pspv,1-EXP((T0-t)*PertePVj)+Pspv)</f>
        <v>3.7513708161846071E-2</v>
      </c>
      <c r="M44" s="870"/>
      <c r="N44" s="870"/>
      <c r="O44" s="48">
        <f>IF(t&lt;Tnet,'2022'!Resal+('2022'!Salim-'2022'!Resal)*(1-EXP(('2022'!Tnet-t)/('2022'!Tau_j))),Resal+(Salim-Resal)*(1-EXP((Tnet-t)/(Tau_j))))*Salcycl</f>
        <v>4.5623220836000809E-2</v>
      </c>
      <c r="P44" s="171">
        <f>(INDEX(Models!$BJ44:$BT44,,T44)*(1-R44)+INDEX(Models!$BJ44:$BT44,,T44+1)*R44-ERP_i)*Q44*Ramure*Pc/MaxiM</f>
        <v>7.6284596171332028E-2</v>
      </c>
      <c r="Q44" s="307">
        <f t="shared" si="4"/>
        <v>1</v>
      </c>
      <c r="R44" s="179">
        <f t="shared" si="5"/>
        <v>0.70200560083428609</v>
      </c>
      <c r="S44" s="837">
        <f t="shared" si="6"/>
        <v>0</v>
      </c>
      <c r="T44" s="178">
        <f t="shared" si="7"/>
        <v>6</v>
      </c>
      <c r="U44" s="253">
        <f t="shared" si="8"/>
        <v>0.70200560083428609</v>
      </c>
      <c r="V44" s="385">
        <f t="shared" si="9"/>
        <v>22.20822298800552</v>
      </c>
      <c r="W44" s="404">
        <f t="shared" si="10"/>
        <v>4.8085478153339194</v>
      </c>
      <c r="X44" s="157">
        <f t="shared" si="11"/>
        <v>44956</v>
      </c>
      <c r="Y44" s="387">
        <f t="shared" si="12"/>
        <v>4.2934157185413273</v>
      </c>
      <c r="Z44" s="387">
        <f t="shared" si="22"/>
        <v>4.460755186800399</v>
      </c>
      <c r="AA44" s="388">
        <f t="shared" si="13"/>
        <v>5.2347931099624905</v>
      </c>
      <c r="AB44" s="199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0.14786409069137746</v>
      </c>
      <c r="AD44" s="233">
        <f>(INDEX(Models!$BJ44:$BT44,,AH44)*(1-AF44)+INDEX(Models!$BJ44:$BT44,,AH44+1)*AF44-ERP_i)*AE44*Ramure*Pc/MaxiM</f>
        <v>7.6284596171332028E-2</v>
      </c>
      <c r="AE44" s="307">
        <f t="shared" si="15"/>
        <v>1</v>
      </c>
      <c r="AF44" s="179">
        <f t="shared" si="23"/>
        <v>0.70200560083428609</v>
      </c>
      <c r="AG44" s="837">
        <f t="shared" si="24"/>
        <v>0</v>
      </c>
      <c r="AH44" s="178">
        <f t="shared" si="16"/>
        <v>6</v>
      </c>
      <c r="AI44" s="227">
        <f t="shared" si="17"/>
        <v>0.70200560083428609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44957</v>
      </c>
      <c r="B45" s="1139">
        <f>IF(t&gt;Tmaj,'2022'!Wh/'2022'!Env_an*'2023'!Env_an,0.001*'[3]mon-tableau (2)'!$B$238)</f>
        <v>10.782113410671691</v>
      </c>
      <c r="C45" s="866"/>
      <c r="D45" s="395">
        <f t="shared" si="0"/>
        <v>11.202615999288245</v>
      </c>
      <c r="E45" s="387">
        <f t="shared" si="1"/>
        <v>11.740499375132016</v>
      </c>
      <c r="F45" s="387">
        <f t="shared" si="2"/>
        <v>11.96867133720774</v>
      </c>
      <c r="G45" s="110">
        <f t="shared" si="21"/>
        <v>0.45151957605484483</v>
      </c>
      <c r="H45" s="414" t="b">
        <f>Wh_hp&gt;='2022'!Maxi_hp</f>
        <v>0</v>
      </c>
      <c r="I45" s="392">
        <f>IF(H45,Wh_hp,'2022'!Maxi_hp)</f>
        <v>19.380623642476806</v>
      </c>
      <c r="J45" s="85">
        <f>IF(H45,An,'2022'!An_max)</f>
        <v>2020</v>
      </c>
      <c r="K45" s="199">
        <f t="shared" si="3"/>
        <v>44957</v>
      </c>
      <c r="L45" s="147">
        <f>IF(t&lt;Tvie,1-EXP((T0-t)*PertePVj)+'2022'!Pspv,1-EXP((T0-t)*PertePVj)+Pspv)</f>
        <v>3.753610662395912E-2</v>
      </c>
      <c r="M45" s="870"/>
      <c r="N45" s="870"/>
      <c r="O45" s="48">
        <f>IF(t&lt;Tnet,'2022'!Resal+('2022'!Salim-'2022'!Resal)*(1-EXP(('2022'!Tnet-t)/('2022'!Tau_j))),Resal+(Salim-Resal)*(1-EXP((Tnet-t)/(Tau_j))))*Salcycl</f>
        <v>4.5814352410177839E-2</v>
      </c>
      <c r="P45" s="171">
        <f>(INDEX(Models!$BJ45:$BT45,,T45)*(1-R45)+INDEX(Models!$BJ45:$BT45,,T45+1)*R45-ERP_i)*Q45*Ramure*Pc/MaxiM</f>
        <v>7.4692408063812041E-2</v>
      </c>
      <c r="Q45" s="307">
        <f t="shared" si="4"/>
        <v>1</v>
      </c>
      <c r="R45" s="179">
        <f t="shared" si="5"/>
        <v>0.70213940986828816</v>
      </c>
      <c r="S45" s="837">
        <f t="shared" si="6"/>
        <v>0</v>
      </c>
      <c r="T45" s="178">
        <f t="shared" si="7"/>
        <v>6</v>
      </c>
      <c r="U45" s="253">
        <f t="shared" si="8"/>
        <v>0.70213940986828816</v>
      </c>
      <c r="V45" s="385">
        <f t="shared" si="9"/>
        <v>22.525415378931168</v>
      </c>
      <c r="W45" s="404">
        <f t="shared" si="10"/>
        <v>10.782113410671691</v>
      </c>
      <c r="X45" s="157">
        <f t="shared" si="11"/>
        <v>44957</v>
      </c>
      <c r="Y45" s="387">
        <f t="shared" si="12"/>
        <v>9.6280732539116674</v>
      </c>
      <c r="Z45" s="387">
        <f t="shared" si="22"/>
        <v>10.003568258689905</v>
      </c>
      <c r="AA45" s="388">
        <f t="shared" si="13"/>
        <v>11.740499375132016</v>
      </c>
      <c r="AB45" s="199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0.14794354660255488</v>
      </c>
      <c r="AD45" s="233">
        <f>(INDEX(Models!$BJ45:$BT45,,AH45)*(1-AF45)+INDEX(Models!$BJ45:$BT45,,AH45+1)*AF45-ERP_i)*AE45*Ramure*Pc/MaxiM</f>
        <v>7.4692408063812041E-2</v>
      </c>
      <c r="AE45" s="307">
        <f t="shared" si="15"/>
        <v>1</v>
      </c>
      <c r="AF45" s="179">
        <f t="shared" si="23"/>
        <v>0.70213940986828816</v>
      </c>
      <c r="AG45" s="837">
        <f t="shared" si="24"/>
        <v>0</v>
      </c>
      <c r="AH45" s="178">
        <f t="shared" si="16"/>
        <v>6</v>
      </c>
      <c r="AI45" s="227">
        <f t="shared" si="17"/>
        <v>0.70213940986828816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44958</v>
      </c>
      <c r="B46" s="1139">
        <f>IF(t&gt;Tmaj,'2022'!Wh/'2022'!Env_an*'2023'!Env_an,0.001*'[4]mon-tableau'!$B$190)</f>
        <v>10.602344597396231</v>
      </c>
      <c r="C46" s="866"/>
      <c r="D46" s="395">
        <f t="shared" si="0"/>
        <v>11.016092560101356</v>
      </c>
      <c r="E46" s="387">
        <f t="shared" si="1"/>
        <v>11.547332374186173</v>
      </c>
      <c r="F46" s="387">
        <f t="shared" si="2"/>
        <v>11.748401114163</v>
      </c>
      <c r="G46" s="110">
        <f t="shared" si="21"/>
        <v>0.43763159590893275</v>
      </c>
      <c r="H46" s="414" t="b">
        <f>Wh_hp&gt;='2022'!Maxi_hp</f>
        <v>0</v>
      </c>
      <c r="I46" s="392">
        <f>IF(H46,Wh_hp,'2022'!Maxi_hp)</f>
        <v>21.672609398761253</v>
      </c>
      <c r="J46" s="85">
        <f>IF(H46,An,'2022'!An_max)</f>
        <v>2019</v>
      </c>
      <c r="K46" s="199">
        <f t="shared" si="3"/>
        <v>44958</v>
      </c>
      <c r="L46" s="147">
        <f>IF(t&lt;Tvie,1-EXP((T0-t)*PertePVj)+'2022'!Pspv,1-EXP((T0-t)*PertePVj)+Pspv)</f>
        <v>3.7558504564827233E-2</v>
      </c>
      <c r="M46" s="870"/>
      <c r="N46" s="870"/>
      <c r="O46" s="48">
        <f>IF(t&lt;Tnet,'2022'!Resal+('2022'!Salim-'2022'!Resal)*(1-EXP(('2022'!Tnet-t)/('2022'!Tau_j))),Resal+(Salim-Resal)*(1-EXP((Tnet-t)/(Tau_j))))*Salcycl</f>
        <v>4.6005414659440566E-2</v>
      </c>
      <c r="P46" s="171">
        <f>(INDEX(Models!$BJ46:$BT46,,T46)*(1-R46)+INDEX(Models!$BJ46:$BT46,,T46+1)*R46-ERP_i)*Q46*Ramure*Pc/MaxiM</f>
        <v>7.3035462086768518E-2</v>
      </c>
      <c r="Q46" s="307">
        <f t="shared" si="4"/>
        <v>1</v>
      </c>
      <c r="R46" s="179">
        <f t="shared" si="5"/>
        <v>0.70227877789490478</v>
      </c>
      <c r="S46" s="837">
        <f t="shared" si="6"/>
        <v>0</v>
      </c>
      <c r="T46" s="178">
        <f t="shared" si="7"/>
        <v>6</v>
      </c>
      <c r="U46" s="253">
        <f t="shared" si="8"/>
        <v>0.70227877789490478</v>
      </c>
      <c r="V46" s="385">
        <f t="shared" si="9"/>
        <v>22.848277531691018</v>
      </c>
      <c r="W46" s="404">
        <f t="shared" si="10"/>
        <v>10.602344597396231</v>
      </c>
      <c r="X46" s="157">
        <f t="shared" si="11"/>
        <v>44958</v>
      </c>
      <c r="Y46" s="387">
        <f t="shared" si="12"/>
        <v>9.4685546810619297</v>
      </c>
      <c r="Z46" s="387">
        <f t="shared" si="22"/>
        <v>9.8380574050173042</v>
      </c>
      <c r="AA46" s="388">
        <f t="shared" si="13"/>
        <v>11.547332374186173</v>
      </c>
      <c r="AB46" s="199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0.14802336278030045</v>
      </c>
      <c r="AD46" s="233">
        <f>(INDEX(Models!$BJ46:$BT46,,AH46)*(1-AF46)+INDEX(Models!$BJ46:$BT46,,AH46+1)*AF46-ERP_i)*AE46*Ramure*Pc/MaxiM</f>
        <v>7.3035462086768518E-2</v>
      </c>
      <c r="AE46" s="307">
        <f t="shared" si="15"/>
        <v>1</v>
      </c>
      <c r="AF46" s="179">
        <f t="shared" si="23"/>
        <v>0.70227877789490478</v>
      </c>
      <c r="AG46" s="837">
        <f t="shared" si="24"/>
        <v>0</v>
      </c>
      <c r="AH46" s="178">
        <f t="shared" si="16"/>
        <v>6</v>
      </c>
      <c r="AI46" s="227">
        <f t="shared" si="17"/>
        <v>0.70227877789490478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44959</v>
      </c>
      <c r="B47" s="1139">
        <f>IF(t&gt;Tmaj,'2022'!Wh/'2022'!Env_an*'2023'!Env_an,0.001*'[4]mon-tableau'!$B$191)</f>
        <v>5.5402083020607966</v>
      </c>
      <c r="C47" s="866"/>
      <c r="D47" s="395">
        <f t="shared" si="0"/>
        <v>5.7565444342121257</v>
      </c>
      <c r="E47" s="387">
        <f t="shared" si="1"/>
        <v>6.0353561956469131</v>
      </c>
      <c r="F47" s="387">
        <f t="shared" si="2"/>
        <v>6.0353561956469131</v>
      </c>
      <c r="G47" s="110">
        <f t="shared" si="21"/>
        <v>0.22199617359313745</v>
      </c>
      <c r="H47" s="414" t="b">
        <f>Wh_hp&gt;='2022'!Maxi_hp</f>
        <v>0</v>
      </c>
      <c r="I47" s="392">
        <f>IF(H47,Wh_hp,'2022'!Maxi_hp)</f>
        <v>24.150188849551444</v>
      </c>
      <c r="J47" s="85">
        <f>IF(H47,An,'2022'!An_max)</f>
        <v>2021</v>
      </c>
      <c r="K47" s="199">
        <f t="shared" si="3"/>
        <v>44959</v>
      </c>
      <c r="L47" s="147">
        <f>IF(t&lt;Tvie,1-EXP((T0-t)*PertePVj)+'2022'!Pspv,1-EXP((T0-t)*PertePVj)+Pspv)</f>
        <v>3.7580901984462511E-2</v>
      </c>
      <c r="M47" s="870"/>
      <c r="N47" s="870"/>
      <c r="O47" s="48">
        <f>IF(t&lt;Tnet,'2022'!Resal+('2022'!Salim-'2022'!Resal)*(1-EXP(('2022'!Tnet-t)/('2022'!Tau_j))),Resal+(Salim-Resal)*(1-EXP((Tnet-t)/(Tau_j))))*Salcycl</f>
        <v>4.6196405381323496E-2</v>
      </c>
      <c r="P47" s="171">
        <f>(INDEX(Models!$BJ47:$BT47,,T47)*(1-R47)+INDEX(Models!$BJ47:$BT47,,T47+1)*R47-ERP_i)*Q47*Ramure*Pc/MaxiM</f>
        <v>7.1317869239802337E-2</v>
      </c>
      <c r="Q47" s="307">
        <f t="shared" si="4"/>
        <v>1</v>
      </c>
      <c r="R47" s="179">
        <f t="shared" si="5"/>
        <v>0.70242393348624765</v>
      </c>
      <c r="S47" s="837">
        <f t="shared" si="6"/>
        <v>0</v>
      </c>
      <c r="T47" s="178">
        <f t="shared" si="7"/>
        <v>6</v>
      </c>
      <c r="U47" s="253">
        <f t="shared" si="8"/>
        <v>0.70242393348624765</v>
      </c>
      <c r="V47" s="385">
        <f t="shared" si="9"/>
        <v>23.176491592340707</v>
      </c>
      <c r="W47" s="404">
        <f t="shared" si="10"/>
        <v>5.5402083020607966</v>
      </c>
      <c r="X47" s="157">
        <f t="shared" si="11"/>
        <v>44959</v>
      </c>
      <c r="Y47" s="387">
        <f t="shared" si="12"/>
        <v>4.9482765009648979</v>
      </c>
      <c r="Z47" s="387">
        <f t="shared" si="22"/>
        <v>5.1414986580877384</v>
      </c>
      <c r="AA47" s="388">
        <f t="shared" si="13"/>
        <v>6.0353561956469131</v>
      </c>
      <c r="AB47" s="199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0.14810352671543769</v>
      </c>
      <c r="AD47" s="233">
        <f>(INDEX(Models!$BJ47:$BT47,,AH47)*(1-AF47)+INDEX(Models!$BJ47:$BT47,,AH47+1)*AF47-ERP_i)*AE47*Ramure*Pc/MaxiM</f>
        <v>7.1317869239802337E-2</v>
      </c>
      <c r="AE47" s="307">
        <f t="shared" si="15"/>
        <v>1</v>
      </c>
      <c r="AF47" s="179">
        <f t="shared" si="23"/>
        <v>0.70242393348624765</v>
      </c>
      <c r="AG47" s="837">
        <f t="shared" si="24"/>
        <v>0</v>
      </c>
      <c r="AH47" s="178">
        <f t="shared" si="16"/>
        <v>6</v>
      </c>
      <c r="AI47" s="227">
        <f t="shared" si="17"/>
        <v>0.70242393348624765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44960</v>
      </c>
      <c r="B48" s="1139">
        <f>IF(t&gt;Tmaj,'2022'!Wh/'2022'!Env_an*'2023'!Env_an,0.001*'[4]mon-tableau'!$B$192)</f>
        <v>13.251262385509621</v>
      </c>
      <c r="C48" s="866"/>
      <c r="D48" s="395">
        <f t="shared" si="0"/>
        <v>13.769023075544556</v>
      </c>
      <c r="E48" s="387">
        <f t="shared" si="1"/>
        <v>14.438800346798956</v>
      </c>
      <c r="F48" s="387">
        <f t="shared" si="2"/>
        <v>14.827169161652925</v>
      </c>
      <c r="G48" s="110">
        <f t="shared" si="21"/>
        <v>0.53855818656816812</v>
      </c>
      <c r="H48" s="414" t="b">
        <f>Wh_hp&gt;='2022'!Maxi_hp</f>
        <v>0</v>
      </c>
      <c r="I48" s="392">
        <f>IF(H48,Wh_hp,'2022'!Maxi_hp)</f>
        <v>22.38607837569748</v>
      </c>
      <c r="J48" s="85">
        <f>IF(H48,An,'2022'!An_max)</f>
        <v>2020</v>
      </c>
      <c r="K48" s="199">
        <f t="shared" si="3"/>
        <v>44960</v>
      </c>
      <c r="L48" s="147">
        <f>IF(t&lt;Tvie,1-EXP((T0-t)*PertePVj)+'2022'!Pspv,1-EXP((T0-t)*PertePVj)+Pspv)</f>
        <v>3.7603298882877167E-2</v>
      </c>
      <c r="M48" s="870"/>
      <c r="N48" s="870"/>
      <c r="O48" s="48">
        <f>IF(t&lt;Tnet,'2022'!Resal+('2022'!Salim-'2022'!Resal)*(1-EXP(('2022'!Tnet-t)/('2022'!Tau_j))),Resal+(Salim-Resal)*(1-EXP((Tnet-t)/(Tau_j))))*Salcycl</f>
        <v>4.6387321326379335E-2</v>
      </c>
      <c r="P48" s="171">
        <f>(INDEX(Models!$BJ48:$BT48,,T48)*(1-R48)+INDEX(Models!$BJ48:$BT48,,T48+1)*R48-ERP_i)*Q48*Ramure*Pc/MaxiM</f>
        <v>6.9543501197261381E-2</v>
      </c>
      <c r="Q48" s="307">
        <f t="shared" si="4"/>
        <v>1</v>
      </c>
      <c r="R48" s="179">
        <f t="shared" si="5"/>
        <v>0.70257511441073384</v>
      </c>
      <c r="S48" s="837">
        <f t="shared" si="6"/>
        <v>0</v>
      </c>
      <c r="T48" s="178">
        <f t="shared" si="7"/>
        <v>6</v>
      </c>
      <c r="U48" s="253">
        <f t="shared" si="8"/>
        <v>0.70257511441073384</v>
      </c>
      <c r="V48" s="385">
        <f t="shared" si="9"/>
        <v>23.509740004680548</v>
      </c>
      <c r="W48" s="404">
        <f t="shared" si="10"/>
        <v>13.251262385509621</v>
      </c>
      <c r="X48" s="157">
        <f t="shared" si="11"/>
        <v>44960</v>
      </c>
      <c r="Y48" s="387">
        <f t="shared" si="12"/>
        <v>11.836710302900117</v>
      </c>
      <c r="Z48" s="387">
        <f t="shared" si="22"/>
        <v>12.299200827642489</v>
      </c>
      <c r="AA48" s="388">
        <f t="shared" si="13"/>
        <v>14.438800346798956</v>
      </c>
      <c r="AB48" s="199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0.14818402275579715</v>
      </c>
      <c r="AD48" s="233">
        <f>(INDEX(Models!$BJ48:$BT48,,AH48)*(1-AF48)+INDEX(Models!$BJ48:$BT48,,AH48+1)*AF48-ERP_i)*AE48*Ramure*Pc/MaxiM</f>
        <v>6.9543501197261381E-2</v>
      </c>
      <c r="AE48" s="307">
        <f t="shared" si="15"/>
        <v>1</v>
      </c>
      <c r="AF48" s="179">
        <f t="shared" si="23"/>
        <v>0.70257511441073384</v>
      </c>
      <c r="AG48" s="837">
        <f t="shared" si="24"/>
        <v>0</v>
      </c>
      <c r="AH48" s="178">
        <f t="shared" si="16"/>
        <v>6</v>
      </c>
      <c r="AI48" s="227">
        <f t="shared" si="17"/>
        <v>0.70257511441073384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44961</v>
      </c>
      <c r="B49" s="1139">
        <f>IF(t&gt;Tmaj,'2022'!Wh/'2022'!Env_an*'2023'!Env_an,0.001*'[4]mon-tableau'!$B$193)</f>
        <v>11.051734259776639</v>
      </c>
      <c r="C49" s="866"/>
      <c r="D49" s="395">
        <f t="shared" si="0"/>
        <v>11.483821009501485</v>
      </c>
      <c r="E49" s="387">
        <f t="shared" si="1"/>
        <v>12.044847837819562</v>
      </c>
      <c r="F49" s="387">
        <f t="shared" si="2"/>
        <v>12.238332413225004</v>
      </c>
      <c r="G49" s="110">
        <f t="shared" si="21"/>
        <v>0.43898835003349518</v>
      </c>
      <c r="H49" s="414" t="b">
        <f>Wh_hp&gt;='2022'!Maxi_hp</f>
        <v>0</v>
      </c>
      <c r="I49" s="392">
        <f>IF(H49,Wh_hp,'2022'!Maxi_hp)</f>
        <v>23.379370808970474</v>
      </c>
      <c r="J49" s="85">
        <f>IF(H49,An,'2022'!An_max)</f>
        <v>2019</v>
      </c>
      <c r="K49" s="199">
        <f t="shared" si="3"/>
        <v>44961</v>
      </c>
      <c r="L49" s="147">
        <f>IF(t&lt;Tvie,1-EXP((T0-t)*PertePVj)+'2022'!Pspv,1-EXP((T0-t)*PertePVj)+Pspv)</f>
        <v>3.7625695260083303E-2</v>
      </c>
      <c r="M49" s="870"/>
      <c r="N49" s="870"/>
      <c r="O49" s="48">
        <f>IF(t&lt;Tnet,'2022'!Resal+('2022'!Salim-'2022'!Resal)*(1-EXP(('2022'!Tnet-t)/('2022'!Tau_j))),Resal+(Salim-Resal)*(1-EXP((Tnet-t)/(Tau_j))))*Salcycl</f>
        <v>4.6578158219360101E-2</v>
      </c>
      <c r="P49" s="171">
        <f>(INDEX(Models!$BJ49:$BT49,,T49)*(1-R49)+INDEX(Models!$BJ49:$BT49,,T49+1)*R49-ERP_i)*Q49*Ramure*Pc/MaxiM</f>
        <v>6.7715992010368098E-2</v>
      </c>
      <c r="Q49" s="307">
        <f t="shared" si="4"/>
        <v>1</v>
      </c>
      <c r="R49" s="179">
        <f t="shared" si="5"/>
        <v>0.70273256798584616</v>
      </c>
      <c r="S49" s="837">
        <f t="shared" si="6"/>
        <v>0</v>
      </c>
      <c r="T49" s="178">
        <f t="shared" si="7"/>
        <v>6</v>
      </c>
      <c r="U49" s="253">
        <f t="shared" si="8"/>
        <v>0.70273256798584616</v>
      </c>
      <c r="V49" s="385">
        <f t="shared" si="9"/>
        <v>23.847705535955878</v>
      </c>
      <c r="W49" s="404">
        <f t="shared" si="10"/>
        <v>11.051734259776639</v>
      </c>
      <c r="X49" s="157">
        <f t="shared" si="11"/>
        <v>44961</v>
      </c>
      <c r="Y49" s="387">
        <f t="shared" si="12"/>
        <v>9.8730177151569176</v>
      </c>
      <c r="Z49" s="387">
        <f t="shared" si="22"/>
        <v>10.259020493928418</v>
      </c>
      <c r="AA49" s="388">
        <f t="shared" si="13"/>
        <v>12.044847837819562</v>
      </c>
      <c r="AB49" s="199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0.14826483222841824</v>
      </c>
      <c r="AD49" s="233">
        <f>(INDEX(Models!$BJ49:$BT49,,AH49)*(1-AF49)+INDEX(Models!$BJ49:$BT49,,AH49+1)*AF49-ERP_i)*AE49*Ramure*Pc/MaxiM</f>
        <v>6.7715992010368098E-2</v>
      </c>
      <c r="AE49" s="307">
        <f t="shared" si="15"/>
        <v>1</v>
      </c>
      <c r="AF49" s="179">
        <f t="shared" si="23"/>
        <v>0.70273256798584616</v>
      </c>
      <c r="AG49" s="837">
        <f t="shared" si="24"/>
        <v>0</v>
      </c>
      <c r="AH49" s="178">
        <f t="shared" si="16"/>
        <v>6</v>
      </c>
      <c r="AI49" s="227">
        <f t="shared" si="17"/>
        <v>0.70273256798584616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44962</v>
      </c>
      <c r="B50" s="1139">
        <f>IF(t&gt;Tmaj,'2022'!Wh/'2022'!Env_an*'2023'!Env_an,0.001*'[4]mon-tableau'!$B$194)</f>
        <v>9.5766237958898834</v>
      </c>
      <c r="C50" s="866"/>
      <c r="D50" s="395">
        <f t="shared" si="0"/>
        <v>9.9512701200919587</v>
      </c>
      <c r="E50" s="387">
        <f t="shared" si="1"/>
        <v>10.439514859313897</v>
      </c>
      <c r="F50" s="387">
        <f t="shared" si="2"/>
        <v>10.534526076271955</v>
      </c>
      <c r="G50" s="110">
        <f t="shared" si="21"/>
        <v>0.3731915629177297</v>
      </c>
      <c r="H50" s="414" t="b">
        <f>Wh_hp&gt;='2022'!Maxi_hp</f>
        <v>0</v>
      </c>
      <c r="I50" s="392">
        <f>IF(H50,Wh_hp,'2022'!Maxi_hp)</f>
        <v>27.78824906234189</v>
      </c>
      <c r="J50" s="85">
        <f>IF(H50,An,'2022'!An_max)</f>
        <v>2020</v>
      </c>
      <c r="K50" s="199">
        <f t="shared" si="3"/>
        <v>44962</v>
      </c>
      <c r="L50" s="147">
        <f>IF(t&lt;Tvie,1-EXP((T0-t)*PertePVj)+'2022'!Pspv,1-EXP((T0-t)*PertePVj)+Pspv)</f>
        <v>3.7648091116092908E-2</v>
      </c>
      <c r="M50" s="870"/>
      <c r="N50" s="870"/>
      <c r="O50" s="48">
        <f>IF(t&lt;Tnet,'2022'!Resal+('2022'!Salim-'2022'!Resal)*(1-EXP(('2022'!Tnet-t)/('2022'!Tau_j))),Resal+(Salim-Resal)*(1-EXP((Tnet-t)/(Tau_j))))*Salcycl</f>
        <v>4.6768910797261552E-2</v>
      </c>
      <c r="P50" s="171">
        <f>(INDEX(Models!$BJ50:$BT50,,T50)*(1-R50)+INDEX(Models!$BJ50:$BT50,,T50+1)*R50-ERP_i)*Q50*Ramure*Pc/MaxiM</f>
        <v>6.5838740947232743E-2</v>
      </c>
      <c r="Q50" s="307">
        <f t="shared" si="4"/>
        <v>1</v>
      </c>
      <c r="R50" s="179">
        <f t="shared" si="5"/>
        <v>0.70289655144293939</v>
      </c>
      <c r="S50" s="837">
        <f t="shared" si="6"/>
        <v>0</v>
      </c>
      <c r="T50" s="178">
        <f t="shared" si="7"/>
        <v>6</v>
      </c>
      <c r="U50" s="253">
        <f t="shared" si="8"/>
        <v>0.70289655144293939</v>
      </c>
      <c r="V50" s="385">
        <f t="shared" si="9"/>
        <v>24.19007131196749</v>
      </c>
      <c r="W50" s="404">
        <f t="shared" si="10"/>
        <v>9.5766237958898834</v>
      </c>
      <c r="X50" s="157">
        <f t="shared" si="11"/>
        <v>44962</v>
      </c>
      <c r="Y50" s="387">
        <f t="shared" si="12"/>
        <v>8.5561315513285905</v>
      </c>
      <c r="Z50" s="387">
        <f t="shared" si="22"/>
        <v>8.8908552810495394</v>
      </c>
      <c r="AA50" s="388">
        <f t="shared" si="13"/>
        <v>10.439514859313897</v>
      </c>
      <c r="AB50" s="199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0.14834593361229606</v>
      </c>
      <c r="AD50" s="233">
        <f>(INDEX(Models!$BJ50:$BT50,,AH50)*(1-AF50)+INDEX(Models!$BJ50:$BT50,,AH50+1)*AF50-ERP_i)*AE50*Ramure*Pc/MaxiM</f>
        <v>6.5838740947232743E-2</v>
      </c>
      <c r="AE50" s="307">
        <f t="shared" si="15"/>
        <v>1</v>
      </c>
      <c r="AF50" s="179">
        <f t="shared" si="23"/>
        <v>0.70289655144293939</v>
      </c>
      <c r="AG50" s="837">
        <f t="shared" si="24"/>
        <v>0</v>
      </c>
      <c r="AH50" s="178">
        <f t="shared" si="16"/>
        <v>6</v>
      </c>
      <c r="AI50" s="227">
        <f t="shared" si="17"/>
        <v>0.70289655144293939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44963</v>
      </c>
      <c r="B51" s="1139">
        <f>IF(t&gt;Tmaj,'2022'!Wh/'2022'!Env_an*'2023'!Env_an,0.001*'[4]mon-tableau'!$B$195)</f>
        <v>17.783098400993687</v>
      </c>
      <c r="C51" s="866"/>
      <c r="D51" s="395">
        <f t="shared" si="0"/>
        <v>18.479219592267754</v>
      </c>
      <c r="E51" s="387">
        <f t="shared" si="1"/>
        <v>19.38975416582791</v>
      </c>
      <c r="F51" s="387">
        <f t="shared" si="2"/>
        <v>20.1720525324703</v>
      </c>
      <c r="G51" s="110">
        <f t="shared" si="21"/>
        <v>0.70579471228692481</v>
      </c>
      <c r="H51" s="414" t="b">
        <f>Wh_hp&gt;='2022'!Maxi_hp</f>
        <v>0</v>
      </c>
      <c r="I51" s="392">
        <f>IF(H51,Wh_hp,'2022'!Maxi_hp)</f>
        <v>28.842415345268009</v>
      </c>
      <c r="J51" s="85">
        <f>IF(H51,An,'2022'!An_max)</f>
        <v>2020</v>
      </c>
      <c r="K51" s="199">
        <f t="shared" si="3"/>
        <v>44963</v>
      </c>
      <c r="L51" s="147">
        <f>IF(t&lt;Tvie,1-EXP((T0-t)*PertePVj)+'2022'!Pspv,1-EXP((T0-t)*PertePVj)+Pspv)</f>
        <v>3.7670486450918306E-2</v>
      </c>
      <c r="M51" s="870"/>
      <c r="N51" s="870"/>
      <c r="O51" s="48">
        <f>IF(t&lt;Tnet,'2022'!Resal+('2022'!Salim-'2022'!Resal)*(1-EXP(('2022'!Tnet-t)/('2022'!Tau_j))),Resal+(Salim-Resal)*(1-EXP((Tnet-t)/(Tau_j))))*Salcycl</f>
        <v>4.6959572863737593E-2</v>
      </c>
      <c r="P51" s="171">
        <f>(INDEX(Models!$BJ51:$BT51,,T51)*(1-R51)+INDEX(Models!$BJ51:$BT51,,T51+1)*R51-ERP_i)*Q51*Ramure*Pc/MaxiM</f>
        <v>6.3913567994838452E-2</v>
      </c>
      <c r="Q51" s="307">
        <f t="shared" si="4"/>
        <v>1</v>
      </c>
      <c r="R51" s="179">
        <f t="shared" si="5"/>
        <v>0.70306733230437113</v>
      </c>
      <c r="S51" s="837">
        <f t="shared" si="6"/>
        <v>0</v>
      </c>
      <c r="T51" s="178">
        <f t="shared" si="7"/>
        <v>6</v>
      </c>
      <c r="U51" s="253">
        <f t="shared" si="8"/>
        <v>0.70306733230437113</v>
      </c>
      <c r="V51" s="385">
        <f t="shared" si="9"/>
        <v>24.537073810046433</v>
      </c>
      <c r="W51" s="404">
        <f t="shared" si="10"/>
        <v>17.783098400993687</v>
      </c>
      <c r="X51" s="157">
        <f t="shared" si="11"/>
        <v>44963</v>
      </c>
      <c r="Y51" s="387">
        <f t="shared" si="12"/>
        <v>15.889778271151007</v>
      </c>
      <c r="Z51" s="387">
        <f t="shared" si="22"/>
        <v>16.511785253836113</v>
      </c>
      <c r="AA51" s="388">
        <f t="shared" si="13"/>
        <v>19.38975416582791</v>
      </c>
      <c r="AB51" s="199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0.14842730275889035</v>
      </c>
      <c r="AD51" s="233">
        <f>(INDEX(Models!$BJ51:$BT51,,AH51)*(1-AF51)+INDEX(Models!$BJ51:$BT51,,AH51+1)*AF51-ERP_i)*AE51*Ramure*Pc/MaxiM</f>
        <v>6.3913567994838452E-2</v>
      </c>
      <c r="AE51" s="307">
        <f t="shared" si="15"/>
        <v>1</v>
      </c>
      <c r="AF51" s="179">
        <f t="shared" si="23"/>
        <v>0.70306733230437113</v>
      </c>
      <c r="AG51" s="837">
        <f t="shared" si="24"/>
        <v>0</v>
      </c>
      <c r="AH51" s="178">
        <f t="shared" si="16"/>
        <v>6</v>
      </c>
      <c r="AI51" s="227">
        <f t="shared" si="17"/>
        <v>0.70306733230437113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44964</v>
      </c>
      <c r="B52" s="1139">
        <f>IF(t&gt;Tmaj,'2022'!Wh/'2022'!Env_an*'2023'!Env_an,0.001*'[4]mon-tableau'!$B$196)</f>
        <v>12.330468860010171</v>
      </c>
      <c r="C52" s="866"/>
      <c r="D52" s="395">
        <f t="shared" si="0"/>
        <v>12.813444502222627</v>
      </c>
      <c r="E52" s="387">
        <f t="shared" si="1"/>
        <v>13.447495775158931</v>
      </c>
      <c r="F52" s="387">
        <f t="shared" si="2"/>
        <v>13.684132637696408</v>
      </c>
      <c r="G52" s="110">
        <f t="shared" si="21"/>
        <v>0.47290500838685012</v>
      </c>
      <c r="H52" s="414" t="b">
        <f>Wh_hp&gt;='2022'!Maxi_hp</f>
        <v>0</v>
      </c>
      <c r="I52" s="392">
        <f>IF(H52,Wh_hp,'2022'!Maxi_hp)</f>
        <v>20.460774580395299</v>
      </c>
      <c r="J52" s="85">
        <f>IF(H52,An,'2022'!An_max)</f>
        <v>2021</v>
      </c>
      <c r="K52" s="199">
        <f t="shared" si="3"/>
        <v>44964</v>
      </c>
      <c r="L52" s="147">
        <f>IF(t&lt;Tvie,1-EXP((T0-t)*PertePVj)+'2022'!Pspv,1-EXP((T0-t)*PertePVj)+Pspv)</f>
        <v>3.7692881264571598E-2</v>
      </c>
      <c r="M52" s="870"/>
      <c r="N52" s="870"/>
      <c r="O52" s="48">
        <f>IF(t&lt;Tnet,'2022'!Resal+('2022'!Salim-'2022'!Resal)*(1-EXP(('2022'!Tnet-t)/('2022'!Tau_j))),Resal+(Salim-Resal)*(1-EXP((Tnet-t)/(Tau_j))))*Salcycl</f>
        <v>4.7150137359222286E-2</v>
      </c>
      <c r="P52" s="171">
        <f>(INDEX(Models!$BJ52:$BT52,,T52)*(1-R52)+INDEX(Models!$BJ52:$BT52,,T52+1)*R52-ERP_i)*Q52*Ramure*Pc/MaxiM</f>
        <v>6.1944692969321848E-2</v>
      </c>
      <c r="Q52" s="307">
        <f t="shared" si="4"/>
        <v>1</v>
      </c>
      <c r="R52" s="179">
        <f t="shared" si="5"/>
        <v>0.70324518877323328</v>
      </c>
      <c r="S52" s="837">
        <f t="shared" si="6"/>
        <v>0</v>
      </c>
      <c r="T52" s="178">
        <f t="shared" si="7"/>
        <v>6</v>
      </c>
      <c r="U52" s="253">
        <f t="shared" si="8"/>
        <v>0.70324518877323328</v>
      </c>
      <c r="V52" s="385">
        <f t="shared" si="9"/>
        <v>24.88914515783117</v>
      </c>
      <c r="W52" s="404">
        <f t="shared" si="10"/>
        <v>12.330468860010171</v>
      </c>
      <c r="X52" s="157">
        <f t="shared" si="11"/>
        <v>44964</v>
      </c>
      <c r="Y52" s="387">
        <f t="shared" si="12"/>
        <v>11.018823366142289</v>
      </c>
      <c r="Z52" s="387">
        <f t="shared" si="22"/>
        <v>11.450422792904378</v>
      </c>
      <c r="AA52" s="388">
        <f t="shared" si="13"/>
        <v>13.447495775158931</v>
      </c>
      <c r="AB52" s="199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0.14850891315717471</v>
      </c>
      <c r="AD52" s="233">
        <f>(INDEX(Models!$BJ52:$BT52,,AH52)*(1-AF52)+INDEX(Models!$BJ52:$BT52,,AH52+1)*AF52-ERP_i)*AE52*Ramure*Pc/MaxiM</f>
        <v>6.1944692969321848E-2</v>
      </c>
      <c r="AE52" s="307">
        <f t="shared" si="15"/>
        <v>1</v>
      </c>
      <c r="AF52" s="179">
        <f t="shared" si="23"/>
        <v>0.70324518877323328</v>
      </c>
      <c r="AG52" s="837">
        <f t="shared" si="24"/>
        <v>0</v>
      </c>
      <c r="AH52" s="178">
        <f t="shared" si="16"/>
        <v>6</v>
      </c>
      <c r="AI52" s="227">
        <f t="shared" si="17"/>
        <v>0.70324518877323328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44965</v>
      </c>
      <c r="B53" s="1139">
        <f>IF(t&gt;Tmaj,'2022'!Wh/'2022'!Env_an*'2023'!Env_an,0.001*'[4]mon-tableau'!$B$197)</f>
        <v>25.64863736597982</v>
      </c>
      <c r="C53" s="866"/>
      <c r="D53" s="395">
        <f t="shared" si="0"/>
        <v>26.653896413899499</v>
      </c>
      <c r="E53" s="387">
        <f t="shared" si="1"/>
        <v>27.978411082137573</v>
      </c>
      <c r="F53" s="387">
        <f t="shared" si="2"/>
        <v>29.763398061400451</v>
      </c>
      <c r="G53" s="110">
        <f t="shared" si="21"/>
        <v>1.0159745529718149</v>
      </c>
      <c r="H53" s="414" t="b">
        <f>Wh_hp&gt;='2022'!Maxi_hp</f>
        <v>1</v>
      </c>
      <c r="I53" s="392">
        <f>IF(H53,Wh_hp,'2022'!Maxi_hp)</f>
        <v>29.763398061400451</v>
      </c>
      <c r="J53" s="85">
        <f>IF(H53,An,'2022'!An_max)</f>
        <v>2023</v>
      </c>
      <c r="K53" s="199">
        <f t="shared" si="3"/>
        <v>44965</v>
      </c>
      <c r="L53" s="147">
        <f>IF(t&lt;Tvie,1-EXP((T0-t)*PertePVj)+'2022'!Pspv,1-EXP((T0-t)*PertePVj)+Pspv)</f>
        <v>3.7715275557064776E-2</v>
      </c>
      <c r="M53" s="870"/>
      <c r="N53" s="870"/>
      <c r="O53" s="48">
        <f>IF(t&lt;Tnet,'2022'!Resal+('2022'!Salim-'2022'!Resal)*(1-EXP(('2022'!Tnet-t)/('2022'!Tau_j))),Resal+(Salim-Resal)*(1-EXP((Tnet-t)/(Tau_j))))*Salcycl</f>
        <v>4.7340596445939326E-2</v>
      </c>
      <c r="P53" s="171">
        <f>(INDEX(Models!$BJ53:$BT53,,T53)*(1-R53)+INDEX(Models!$BJ53:$BT53,,T53+1)*R53-ERP_i)*Q53*Ramure*Pc/MaxiM</f>
        <v>5.9972553388579437E-2</v>
      </c>
      <c r="Q53" s="307">
        <f t="shared" si="4"/>
        <v>1</v>
      </c>
      <c r="R53" s="179">
        <f t="shared" si="5"/>
        <v>0.70343041013594598</v>
      </c>
      <c r="S53" s="837">
        <f t="shared" si="6"/>
        <v>0</v>
      </c>
      <c r="T53" s="178">
        <f t="shared" si="7"/>
        <v>6</v>
      </c>
      <c r="U53" s="253">
        <f t="shared" si="8"/>
        <v>0.70343041013594598</v>
      </c>
      <c r="V53" s="385">
        <f t="shared" si="9"/>
        <v>25.245354119308697</v>
      </c>
      <c r="W53" s="404">
        <f t="shared" si="10"/>
        <v>25.64863736597982</v>
      </c>
      <c r="X53" s="157">
        <f t="shared" si="11"/>
        <v>44965</v>
      </c>
      <c r="Y53" s="387">
        <f t="shared" si="12"/>
        <v>22.922659845436659</v>
      </c>
      <c r="Z53" s="387">
        <f t="shared" si="22"/>
        <v>23.821078380628499</v>
      </c>
      <c r="AA53" s="388">
        <f t="shared" si="13"/>
        <v>27.978411082137573</v>
      </c>
      <c r="AB53" s="199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0.14859073623960239</v>
      </c>
      <c r="AD53" s="233">
        <f>(INDEX(Models!$BJ53:$BT53,,AH53)*(1-AF53)+INDEX(Models!$BJ53:$BT53,,AH53+1)*AF53-ERP_i)*AE53*Ramure*Pc/MaxiM</f>
        <v>5.9972553388579437E-2</v>
      </c>
      <c r="AE53" s="307">
        <f t="shared" si="15"/>
        <v>1</v>
      </c>
      <c r="AF53" s="179">
        <f t="shared" si="23"/>
        <v>0.70343041013594598</v>
      </c>
      <c r="AG53" s="837">
        <f t="shared" si="24"/>
        <v>0</v>
      </c>
      <c r="AH53" s="178">
        <f t="shared" si="16"/>
        <v>6</v>
      </c>
      <c r="AI53" s="227">
        <f t="shared" si="17"/>
        <v>0.70343041013594598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44966</v>
      </c>
      <c r="B54" s="1139">
        <f>IF(t&gt;Tmaj,'2022'!Wh/'2022'!Env_an*'2023'!Env_an,0.001*'[4]mon-tableau'!$B$198)</f>
        <v>25.698330059105288</v>
      </c>
      <c r="C54" s="866"/>
      <c r="D54" s="395">
        <f t="shared" si="0"/>
        <v>26.706158227320092</v>
      </c>
      <c r="E54" s="387">
        <f t="shared" si="1"/>
        <v>28.038872225806259</v>
      </c>
      <c r="F54" s="387">
        <f t="shared" si="2"/>
        <v>29.765187841712834</v>
      </c>
      <c r="G54" s="110">
        <f t="shared" si="21"/>
        <v>1.0036136555808277</v>
      </c>
      <c r="H54" s="414" t="b">
        <f>Wh_hp&gt;='2022'!Maxi_hp</f>
        <v>1</v>
      </c>
      <c r="I54" s="392">
        <f>IF(H54,Wh_hp,'2022'!Maxi_hp)</f>
        <v>29.765187841712834</v>
      </c>
      <c r="J54" s="85">
        <f>IF(H54,An,'2022'!An_max)</f>
        <v>2023</v>
      </c>
      <c r="K54" s="199">
        <f t="shared" si="3"/>
        <v>44966</v>
      </c>
      <c r="L54" s="147">
        <f>IF(t&lt;Tvie,1-EXP((T0-t)*PertePVj)+'2022'!Pspv,1-EXP((T0-t)*PertePVj)+Pspv)</f>
        <v>3.7737669328410051E-2</v>
      </c>
      <c r="M54" s="870"/>
      <c r="N54" s="870"/>
      <c r="O54" s="48">
        <f>IF(t&lt;Tnet,'2022'!Resal+('2022'!Salim-'2022'!Resal)*(1-EXP(('2022'!Tnet-t)/('2022'!Tau_j))),Resal+(Salim-Resal)*(1-EXP((Tnet-t)/(Tau_j))))*Salcycl</f>
        <v>4.7530941606830031E-2</v>
      </c>
      <c r="P54" s="171">
        <f>(INDEX(Models!$BJ54:$BT54,,T54)*(1-R54)+INDEX(Models!$BJ54:$BT54,,T54+1)*R54-ERP_i)*Q54*Ramure*Pc/MaxiM</f>
        <v>5.799780687045835E-2</v>
      </c>
      <c r="Q54" s="307">
        <f t="shared" si="4"/>
        <v>1</v>
      </c>
      <c r="R54" s="179">
        <f t="shared" si="5"/>
        <v>0.70362329717797356</v>
      </c>
      <c r="S54" s="837">
        <f t="shared" si="6"/>
        <v>0</v>
      </c>
      <c r="T54" s="178">
        <f t="shared" si="7"/>
        <v>6</v>
      </c>
      <c r="U54" s="253">
        <f t="shared" si="8"/>
        <v>0.70362329717797356</v>
      </c>
      <c r="V54" s="385">
        <f t="shared" si="9"/>
        <v>25.60579951877272</v>
      </c>
      <c r="W54" s="404">
        <f t="shared" si="10"/>
        <v>25.698330059105288</v>
      </c>
      <c r="X54" s="157">
        <f t="shared" si="11"/>
        <v>44966</v>
      </c>
      <c r="Y54" s="387">
        <f t="shared" si="12"/>
        <v>22.96944838121226</v>
      </c>
      <c r="Z54" s="387">
        <f t="shared" si="22"/>
        <v>23.870256217118293</v>
      </c>
      <c r="AA54" s="388">
        <f t="shared" si="13"/>
        <v>28.038872225806259</v>
      </c>
      <c r="AB54" s="199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0.14867274172501407</v>
      </c>
      <c r="AD54" s="233">
        <f>(INDEX(Models!$BJ54:$BT54,,AH54)*(1-AF54)+INDEX(Models!$BJ54:$BT54,,AH54+1)*AF54-ERP_i)*AE54*Ramure*Pc/MaxiM</f>
        <v>5.799780687045835E-2</v>
      </c>
      <c r="AE54" s="307">
        <f t="shared" si="15"/>
        <v>1</v>
      </c>
      <c r="AF54" s="179">
        <f t="shared" si="23"/>
        <v>0.70362329717797356</v>
      </c>
      <c r="AG54" s="837">
        <f t="shared" si="24"/>
        <v>0</v>
      </c>
      <c r="AH54" s="178">
        <f t="shared" si="16"/>
        <v>6</v>
      </c>
      <c r="AI54" s="227">
        <f t="shared" si="17"/>
        <v>0.70362329717797356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44967</v>
      </c>
      <c r="B55" s="1139">
        <f>IF(t&gt;Tmaj,'2022'!Wh/'2022'!Env_an*'2023'!Env_an,0.001*'[4]mon-tableau'!$B$199)</f>
        <v>24.948100105556225</v>
      </c>
      <c r="C55" s="866"/>
      <c r="D55" s="395">
        <f t="shared" si="0"/>
        <v>25.927109378158192</v>
      </c>
      <c r="E55" s="387">
        <f t="shared" si="1"/>
        <v>27.226384112930401</v>
      </c>
      <c r="F55" s="387">
        <f t="shared" si="2"/>
        <v>28.74620337155228</v>
      </c>
      <c r="G55" s="110">
        <f t="shared" si="21"/>
        <v>0.95743353633497219</v>
      </c>
      <c r="H55" s="414" t="b">
        <f>Wh_hp&gt;='2022'!Maxi_hp</f>
        <v>0</v>
      </c>
      <c r="I55" s="392">
        <f>IF(H55,Wh_hp,'2022'!Maxi_hp)</f>
        <v>28.780840754960145</v>
      </c>
      <c r="J55" s="85">
        <f>IF(H55,An,'2022'!An_max)</f>
        <v>2022</v>
      </c>
      <c r="K55" s="199">
        <f t="shared" si="3"/>
        <v>44967</v>
      </c>
      <c r="L55" s="147">
        <f>IF(t&lt;Tvie,1-EXP((T0-t)*PertePVj)+'2022'!Pspv,1-EXP((T0-t)*PertePVj)+Pspv)</f>
        <v>3.7760062578619524E-2</v>
      </c>
      <c r="M55" s="870"/>
      <c r="N55" s="870"/>
      <c r="O55" s="48">
        <f>IF(t&lt;Tnet,'2022'!Resal+('2022'!Salim-'2022'!Resal)*(1-EXP(('2022'!Tnet-t)/('2022'!Tau_j))),Resal+(Salim-Resal)*(1-EXP((Tnet-t)/(Tau_j))))*Salcycl</f>
        <v>4.7721163757296507E-2</v>
      </c>
      <c r="P55" s="171">
        <f>(INDEX(Models!$BJ55:$BT55,,T55)*(1-R55)+INDEX(Models!$BJ55:$BT55,,T55+1)*R55-ERP_i)*Q55*Ramure*Pc/MaxiM</f>
        <v>5.6021104254638979E-2</v>
      </c>
      <c r="Q55" s="307">
        <f t="shared" si="4"/>
        <v>1</v>
      </c>
      <c r="R55" s="179">
        <f t="shared" si="5"/>
        <v>0.70382416261290104</v>
      </c>
      <c r="S55" s="837">
        <f t="shared" si="6"/>
        <v>0</v>
      </c>
      <c r="T55" s="178">
        <f t="shared" si="7"/>
        <v>6</v>
      </c>
      <c r="U55" s="253">
        <f t="shared" si="8"/>
        <v>0.70382416261290104</v>
      </c>
      <c r="V55" s="385">
        <f t="shared" si="9"/>
        <v>25.970580304177844</v>
      </c>
      <c r="W55" s="404">
        <f t="shared" si="10"/>
        <v>24.948100105556225</v>
      </c>
      <c r="X55" s="157">
        <f t="shared" si="11"/>
        <v>44967</v>
      </c>
      <c r="Y55" s="387">
        <f t="shared" si="12"/>
        <v>22.301186596771494</v>
      </c>
      <c r="Z55" s="387">
        <f t="shared" si="22"/>
        <v>23.176326121460331</v>
      </c>
      <c r="AA55" s="388">
        <f t="shared" si="13"/>
        <v>27.226384112930401</v>
      </c>
      <c r="AB55" s="199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0.14875489799420741</v>
      </c>
      <c r="AD55" s="233">
        <f>(INDEX(Models!$BJ55:$BT55,,AH55)*(1-AF55)+INDEX(Models!$BJ55:$BT55,,AH55+1)*AF55-ERP_i)*AE55*Ramure*Pc/MaxiM</f>
        <v>5.6021104254638979E-2</v>
      </c>
      <c r="AE55" s="307">
        <f t="shared" si="15"/>
        <v>1</v>
      </c>
      <c r="AF55" s="179">
        <f t="shared" si="23"/>
        <v>0.70382416261290104</v>
      </c>
      <c r="AG55" s="837">
        <f t="shared" si="24"/>
        <v>0</v>
      </c>
      <c r="AH55" s="178">
        <f t="shared" si="16"/>
        <v>6</v>
      </c>
      <c r="AI55" s="227">
        <f t="shared" si="17"/>
        <v>0.70382416261290104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44968</v>
      </c>
      <c r="B56" s="1139">
        <f>IF(t&gt;Tmaj,'2022'!Wh/'2022'!Env_an*'2023'!Env_an,0.001*'[4]mon-tableau'!$B$200)</f>
        <v>13.162224892767213</v>
      </c>
      <c r="C56" s="866"/>
      <c r="D56" s="395">
        <f t="shared" si="0"/>
        <v>13.679053105372686</v>
      </c>
      <c r="E56" s="387">
        <f t="shared" si="1"/>
        <v>14.367413913639686</v>
      </c>
      <c r="F56" s="387">
        <f t="shared" si="2"/>
        <v>14.592405347172551</v>
      </c>
      <c r="G56" s="110">
        <f t="shared" si="21"/>
        <v>0.48010534724064347</v>
      </c>
      <c r="H56" s="414" t="b">
        <f>Wh_hp&gt;='2022'!Maxi_hp</f>
        <v>0</v>
      </c>
      <c r="I56" s="392">
        <f>IF(H56,Wh_hp,'2022'!Maxi_hp)</f>
        <v>26.884629340458861</v>
      </c>
      <c r="J56" s="85">
        <f>IF(H56,An,'2022'!An_max)</f>
        <v>2021</v>
      </c>
      <c r="K56" s="199">
        <f t="shared" si="3"/>
        <v>44968</v>
      </c>
      <c r="L56" s="147">
        <f>IF(t&lt;Tvie,1-EXP((T0-t)*PertePVj)+'2022'!Pspv,1-EXP((T0-t)*PertePVj)+Pspv)</f>
        <v>3.7782455307705409E-2</v>
      </c>
      <c r="M56" s="870"/>
      <c r="N56" s="870"/>
      <c r="O56" s="48">
        <f>IF(t&lt;Tnet,'2022'!Resal+('2022'!Salim-'2022'!Resal)*(1-EXP(('2022'!Tnet-t)/('2022'!Tau_j))),Resal+(Salim-Resal)*(1-EXP((Tnet-t)/(Tau_j))))*Salcycl</f>
        <v>4.7911253368534489E-2</v>
      </c>
      <c r="P56" s="171">
        <f>(INDEX(Models!$BJ56:$BT56,,T56)*(1-R56)+INDEX(Models!$BJ56:$BT56,,T56+1)*R56-ERP_i)*Q56*Ramure*Pc/MaxiM</f>
        <v>5.4043088699874398E-2</v>
      </c>
      <c r="Q56" s="307">
        <f t="shared" si="4"/>
        <v>1</v>
      </c>
      <c r="R56" s="179">
        <f t="shared" si="5"/>
        <v>0.70403333152510683</v>
      </c>
      <c r="S56" s="837">
        <f t="shared" si="6"/>
        <v>0</v>
      </c>
      <c r="T56" s="178">
        <f t="shared" si="7"/>
        <v>6</v>
      </c>
      <c r="U56" s="253">
        <f t="shared" si="8"/>
        <v>0.70403333152510683</v>
      </c>
      <c r="V56" s="385">
        <f t="shared" si="9"/>
        <v>26.339795565305966</v>
      </c>
      <c r="W56" s="404">
        <f t="shared" si="10"/>
        <v>13.162224892767213</v>
      </c>
      <c r="X56" s="157">
        <f t="shared" si="11"/>
        <v>44968</v>
      </c>
      <c r="Y56" s="387">
        <f t="shared" si="12"/>
        <v>11.766966677885682</v>
      </c>
      <c r="Z56" s="387">
        <f t="shared" si="22"/>
        <v>12.229008650687838</v>
      </c>
      <c r="AA56" s="388">
        <f t="shared" si="13"/>
        <v>14.367413913639686</v>
      </c>
      <c r="AB56" s="199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0.14883717249363537</v>
      </c>
      <c r="AD56" s="233">
        <f>(INDEX(Models!$BJ56:$BT56,,AH56)*(1-AF56)+INDEX(Models!$BJ56:$BT56,,AH56+1)*AF56-ERP_i)*AE56*Ramure*Pc/MaxiM</f>
        <v>5.4043088699874398E-2</v>
      </c>
      <c r="AE56" s="307">
        <f t="shared" si="15"/>
        <v>1</v>
      </c>
      <c r="AF56" s="179">
        <f t="shared" si="23"/>
        <v>0.70403333152510683</v>
      </c>
      <c r="AG56" s="837">
        <f t="shared" si="24"/>
        <v>0</v>
      </c>
      <c r="AH56" s="178">
        <f t="shared" si="16"/>
        <v>6</v>
      </c>
      <c r="AI56" s="227">
        <f t="shared" si="17"/>
        <v>0.70403333152510683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44969</v>
      </c>
      <c r="B57" s="1139">
        <f>IF(t&gt;Tmaj,'2022'!Wh/'2022'!Env_an*'2023'!Env_an,0.001*'[4]mon-tableau'!$B$201)</f>
        <v>22.512783507272133</v>
      </c>
      <c r="C57" s="866"/>
      <c r="D57" s="395">
        <f t="shared" si="0"/>
        <v>23.397315450140972</v>
      </c>
      <c r="E57" s="387">
        <f t="shared" si="1"/>
        <v>24.579624919073723</v>
      </c>
      <c r="F57" s="387">
        <f t="shared" si="2"/>
        <v>25.613603684482669</v>
      </c>
      <c r="G57" s="110">
        <f t="shared" si="21"/>
        <v>0.83247643339157751</v>
      </c>
      <c r="H57" s="414" t="b">
        <f>Wh_hp&gt;='2022'!Maxi_hp</f>
        <v>0</v>
      </c>
      <c r="I57" s="392">
        <f>IF(H57,Wh_hp,'2022'!Maxi_hp)</f>
        <v>30.634138699782948</v>
      </c>
      <c r="J57" s="85">
        <f>IF(H57,An,'2022'!An_max)</f>
        <v>2019</v>
      </c>
      <c r="K57" s="199">
        <f t="shared" si="3"/>
        <v>44969</v>
      </c>
      <c r="L57" s="147">
        <f>IF(t&lt;Tvie,1-EXP((T0-t)*PertePVj)+'2022'!Pspv,1-EXP((T0-t)*PertePVj)+Pspv)</f>
        <v>3.7804847515679807E-2</v>
      </c>
      <c r="M57" s="870"/>
      <c r="N57" s="870"/>
      <c r="O57" s="48">
        <f>IF(t&lt;Tnet,'2022'!Resal+('2022'!Salim-'2022'!Resal)*(1-EXP(('2022'!Tnet-t)/('2022'!Tau_j))),Resal+(Salim-Resal)*(1-EXP((Tnet-t)/(Tau_j))))*Salcycl</f>
        <v>4.8101200601124043E-2</v>
      </c>
      <c r="P57" s="171">
        <f>(INDEX(Models!$BJ57:$BT57,,T57)*(1-R57)+INDEX(Models!$BJ57:$BT57,,T57+1)*R57-ERP_i)*Q57*Ramure*Pc/MaxiM</f>
        <v>5.2064394808201742E-2</v>
      </c>
      <c r="Q57" s="307">
        <f t="shared" si="4"/>
        <v>1</v>
      </c>
      <c r="R57" s="179">
        <f t="shared" si="5"/>
        <v>0.70425114182623871</v>
      </c>
      <c r="S57" s="837">
        <f t="shared" si="6"/>
        <v>0</v>
      </c>
      <c r="T57" s="178">
        <f t="shared" si="7"/>
        <v>6</v>
      </c>
      <c r="U57" s="253">
        <f t="shared" si="8"/>
        <v>0.70425114182623871</v>
      </c>
      <c r="V57" s="385">
        <f t="shared" si="9"/>
        <v>26.713544550536685</v>
      </c>
      <c r="W57" s="404">
        <f t="shared" si="10"/>
        <v>22.512783507272133</v>
      </c>
      <c r="X57" s="157">
        <f t="shared" si="11"/>
        <v>44969</v>
      </c>
      <c r="Y57" s="387">
        <f t="shared" si="12"/>
        <v>20.1283900471281</v>
      </c>
      <c r="Z57" s="387">
        <f t="shared" si="22"/>
        <v>20.91923867539554</v>
      </c>
      <c r="AA57" s="388">
        <f t="shared" si="13"/>
        <v>24.579624919073723</v>
      </c>
      <c r="AB57" s="199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0.14891953216249981</v>
      </c>
      <c r="AD57" s="233">
        <f>(INDEX(Models!$BJ57:$BT57,,AH57)*(1-AF57)+INDEX(Models!$BJ57:$BT57,,AH57+1)*AF57-ERP_i)*AE57*Ramure*Pc/MaxiM</f>
        <v>5.2064394808201742E-2</v>
      </c>
      <c r="AE57" s="307">
        <f t="shared" si="15"/>
        <v>1</v>
      </c>
      <c r="AF57" s="179">
        <f t="shared" si="23"/>
        <v>0.70425114182623871</v>
      </c>
      <c r="AG57" s="837">
        <f t="shared" si="24"/>
        <v>0</v>
      </c>
      <c r="AH57" s="178">
        <f t="shared" si="16"/>
        <v>6</v>
      </c>
      <c r="AI57" s="227">
        <f t="shared" si="17"/>
        <v>0.70425114182623871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44970</v>
      </c>
      <c r="B58" s="1139">
        <f>IF(t&gt;Tmaj,'2022'!Wh/'2022'!Env_an*'2023'!Env_an,0.001*'[4]mon-tableau'!$B$202)</f>
        <v>26.252321292363543</v>
      </c>
      <c r="C58" s="866"/>
      <c r="D58" s="395">
        <f t="shared" si="0"/>
        <v>27.28441540020912</v>
      </c>
      <c r="E58" s="387">
        <f t="shared" si="1"/>
        <v>28.668863349713874</v>
      </c>
      <c r="F58" s="387">
        <f t="shared" si="2"/>
        <v>30.110606519816926</v>
      </c>
      <c r="G58" s="110">
        <f t="shared" si="21"/>
        <v>0.96676584279272271</v>
      </c>
      <c r="H58" s="414" t="b">
        <f>Wh_hp&gt;='2022'!Maxi_hp</f>
        <v>0</v>
      </c>
      <c r="I58" s="392">
        <f>IF(H58,Wh_hp,'2022'!Maxi_hp)</f>
        <v>31.578425450237262</v>
      </c>
      <c r="J58" s="85">
        <f>IF(H58,An,'2022'!An_max)</f>
        <v>2019</v>
      </c>
      <c r="K58" s="199">
        <f t="shared" si="3"/>
        <v>44970</v>
      </c>
      <c r="L58" s="147">
        <f>IF(t&lt;Tvie,1-EXP((T0-t)*PertePVj)+'2022'!Pspv,1-EXP((T0-t)*PertePVj)+Pspv)</f>
        <v>3.7827239202554708E-2</v>
      </c>
      <c r="M58" s="870"/>
      <c r="N58" s="870"/>
      <c r="O58" s="48">
        <f>IF(t&lt;Tnet,'2022'!Resal+('2022'!Salim-'2022'!Resal)*(1-EXP(('2022'!Tnet-t)/('2022'!Tau_j))),Resal+(Salim-Resal)*(1-EXP((Tnet-t)/(Tau_j))))*Salcycl</f>
        <v>4.8290995447455395E-2</v>
      </c>
      <c r="P58" s="171">
        <f>(INDEX(Models!$BJ58:$BT58,,T58)*(1-R58)+INDEX(Models!$BJ58:$BT58,,T58+1)*R58-ERP_i)*Q58*Ramure*Pc/MaxiM</f>
        <v>5.0098632114740048E-2</v>
      </c>
      <c r="Q58" s="307">
        <f t="shared" si="4"/>
        <v>1</v>
      </c>
      <c r="R58" s="179">
        <f t="shared" si="5"/>
        <v>0.70447794472569358</v>
      </c>
      <c r="S58" s="837">
        <f t="shared" si="6"/>
        <v>0</v>
      </c>
      <c r="T58" s="178">
        <f t="shared" si="7"/>
        <v>6</v>
      </c>
      <c r="U58" s="253">
        <f t="shared" si="8"/>
        <v>0.70447794472569358</v>
      </c>
      <c r="V58" s="385">
        <f t="shared" si="9"/>
        <v>27.091556358065102</v>
      </c>
      <c r="W58" s="404">
        <f t="shared" si="10"/>
        <v>26.252321292363543</v>
      </c>
      <c r="X58" s="157">
        <f t="shared" si="11"/>
        <v>44970</v>
      </c>
      <c r="Y58" s="387">
        <f t="shared" si="12"/>
        <v>23.474270267082158</v>
      </c>
      <c r="Z58" s="387">
        <f t="shared" si="22"/>
        <v>24.397146981823479</v>
      </c>
      <c r="AA58" s="388">
        <f t="shared" si="13"/>
        <v>28.668863349713874</v>
      </c>
      <c r="AB58" s="199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0.14900194387835858</v>
      </c>
      <c r="AD58" s="233">
        <f>(INDEX(Models!$BJ58:$BT58,,AH58)*(1-AF58)+INDEX(Models!$BJ58:$BT58,,AH58+1)*AF58-ERP_i)*AE58*Ramure*Pc/MaxiM</f>
        <v>5.0098632114740048E-2</v>
      </c>
      <c r="AE58" s="307">
        <f t="shared" si="15"/>
        <v>1</v>
      </c>
      <c r="AF58" s="179">
        <f t="shared" si="23"/>
        <v>0.70447794472569358</v>
      </c>
      <c r="AG58" s="837">
        <f t="shared" si="24"/>
        <v>0</v>
      </c>
      <c r="AH58" s="178">
        <f t="shared" si="16"/>
        <v>6</v>
      </c>
      <c r="AI58" s="227">
        <f t="shared" si="17"/>
        <v>0.70447794472569358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44971</v>
      </c>
      <c r="B59" s="1139">
        <f>IF(t&gt;Tmaj,'2022'!Wh/'2022'!Env_an*'2023'!Env_an,0.001*'[4]mon-tableau'!$B$203)</f>
        <v>15.43236267520666</v>
      </c>
      <c r="C59" s="866"/>
      <c r="D59" s="395">
        <f t="shared" si="0"/>
        <v>16.039449926225846</v>
      </c>
      <c r="E59" s="387">
        <f t="shared" si="1"/>
        <v>16.856671967187456</v>
      </c>
      <c r="F59" s="387">
        <f t="shared" si="2"/>
        <v>17.165978159008898</v>
      </c>
      <c r="G59" s="110">
        <f t="shared" si="21"/>
        <v>0.54447595522615921</v>
      </c>
      <c r="H59" s="414" t="b">
        <f>Wh_hp&gt;='2022'!Maxi_hp</f>
        <v>0</v>
      </c>
      <c r="I59" s="392">
        <f>IF(H59,Wh_hp,'2022'!Maxi_hp)</f>
        <v>31.770566290205203</v>
      </c>
      <c r="J59" s="85">
        <f>IF(H59,An,'2022'!An_max)</f>
        <v>2019</v>
      </c>
      <c r="K59" s="199">
        <f t="shared" si="3"/>
        <v>44971</v>
      </c>
      <c r="L59" s="147">
        <f>IF(t&lt;Tvie,1-EXP((T0-t)*PertePVj)+'2022'!Pspv,1-EXP((T0-t)*PertePVj)+Pspv)</f>
        <v>3.7849630368342435E-2</v>
      </c>
      <c r="M59" s="870"/>
      <c r="N59" s="870"/>
      <c r="O59" s="48">
        <f>IF(t&lt;Tnet,'2022'!Resal+('2022'!Salim-'2022'!Resal)*(1-EXP(('2022'!Tnet-t)/('2022'!Tau_j))),Resal+(Salim-Resal)*(1-EXP((Tnet-t)/(Tau_j))))*Salcycl</f>
        <v>4.8480627881493016E-2</v>
      </c>
      <c r="P59" s="171">
        <f>(INDEX(Models!$BJ59:$BT59,,T59)*(1-R59)+INDEX(Models!$BJ59:$BT59,,T59+1)*R59-ERP_i)*Q59*Ramure*Pc/MaxiM</f>
        <v>4.8189885912396833E-2</v>
      </c>
      <c r="Q59" s="307">
        <f t="shared" si="4"/>
        <v>1</v>
      </c>
      <c r="R59" s="179">
        <f t="shared" si="5"/>
        <v>0.70471410521526801</v>
      </c>
      <c r="S59" s="837">
        <f t="shared" si="6"/>
        <v>0</v>
      </c>
      <c r="T59" s="178">
        <f t="shared" si="7"/>
        <v>6</v>
      </c>
      <c r="U59" s="253">
        <f t="shared" si="8"/>
        <v>0.70471410521526801</v>
      </c>
      <c r="V59" s="385">
        <f t="shared" si="9"/>
        <v>27.472662512619483</v>
      </c>
      <c r="W59" s="404">
        <f t="shared" si="10"/>
        <v>15.43236267520666</v>
      </c>
      <c r="X59" s="157">
        <f t="shared" si="11"/>
        <v>44971</v>
      </c>
      <c r="Y59" s="387">
        <f t="shared" si="12"/>
        <v>13.800705395051864</v>
      </c>
      <c r="Z59" s="387">
        <f t="shared" si="22"/>
        <v>14.343605563790639</v>
      </c>
      <c r="AA59" s="388">
        <f t="shared" si="13"/>
        <v>16.856671967187456</v>
      </c>
      <c r="AB59" s="199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0.14908437491627374</v>
      </c>
      <c r="AD59" s="233">
        <f>(INDEX(Models!$BJ59:$BT59,,AH59)*(1-AF59)+INDEX(Models!$BJ59:$BT59,,AH59+1)*AF59-ERP_i)*AE59*Ramure*Pc/MaxiM</f>
        <v>4.8189885912396833E-2</v>
      </c>
      <c r="AE59" s="307">
        <f t="shared" si="15"/>
        <v>1</v>
      </c>
      <c r="AF59" s="179">
        <f t="shared" si="23"/>
        <v>0.70471410521526801</v>
      </c>
      <c r="AG59" s="837">
        <f t="shared" si="24"/>
        <v>0</v>
      </c>
      <c r="AH59" s="178">
        <f t="shared" si="16"/>
        <v>6</v>
      </c>
      <c r="AI59" s="227">
        <f t="shared" si="17"/>
        <v>0.70471410521526801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44972</v>
      </c>
      <c r="B60" s="1139">
        <f>IF(t&gt;Tmaj,'2022'!Wh/'2022'!Env_an*'2023'!Env_an,0.001*'[4]mon-tableau'!$B$204)</f>
        <v>18.797797563233779</v>
      </c>
      <c r="C60" s="866"/>
      <c r="D60" s="395">
        <f t="shared" si="0"/>
        <v>19.53773091915129</v>
      </c>
      <c r="E60" s="387">
        <f t="shared" si="1"/>
        <v>20.537282254029932</v>
      </c>
      <c r="F60" s="387">
        <f t="shared" si="2"/>
        <v>21.059771205437425</v>
      </c>
      <c r="G60" s="110">
        <f t="shared" si="21"/>
        <v>0.659901218770511</v>
      </c>
      <c r="H60" s="414" t="b">
        <f>Wh_hp&gt;='2022'!Maxi_hp</f>
        <v>0</v>
      </c>
      <c r="I60" s="392">
        <f>IF(H60,Wh_hp,'2022'!Maxi_hp)</f>
        <v>31.929826724148288</v>
      </c>
      <c r="J60" s="85">
        <f>IF(H60,An,'2022'!An_max)</f>
        <v>2019</v>
      </c>
      <c r="K60" s="199">
        <f t="shared" si="3"/>
        <v>44972</v>
      </c>
      <c r="L60" s="147">
        <f>IF(t&lt;Tvie,1-EXP((T0-t)*PertePVj)+'2022'!Pspv,1-EXP((T0-t)*PertePVj)+Pspv)</f>
        <v>3.7872021013054979E-2</v>
      </c>
      <c r="M60" s="870"/>
      <c r="N60" s="870"/>
      <c r="O60" s="48">
        <f>IF(t&lt;Tnet,'2022'!Resal+('2022'!Salim-'2022'!Resal)*(1-EXP(('2022'!Tnet-t)/('2022'!Tau_j))),Resal+(Salim-Resal)*(1-EXP((Tnet-t)/(Tau_j))))*Salcycl</f>
        <v>4.867008801432357E-2</v>
      </c>
      <c r="P60" s="171">
        <f>(INDEX(Models!$BJ60:$BT60,,T60)*(1-R60)+INDEX(Models!$BJ60:$BT60,,T60+1)*R60-ERP_i)*Q60*Ramure*Pc/MaxiM</f>
        <v>4.6336721827772653E-2</v>
      </c>
      <c r="Q60" s="307">
        <f t="shared" si="4"/>
        <v>1</v>
      </c>
      <c r="R60" s="179">
        <f t="shared" si="5"/>
        <v>0.70496000256813063</v>
      </c>
      <c r="S60" s="837">
        <f t="shared" si="6"/>
        <v>0</v>
      </c>
      <c r="T60" s="178">
        <f t="shared" si="7"/>
        <v>6</v>
      </c>
      <c r="U60" s="253">
        <f t="shared" si="8"/>
        <v>0.70496000256813063</v>
      </c>
      <c r="V60" s="385">
        <f t="shared" si="9"/>
        <v>27.856963465995939</v>
      </c>
      <c r="W60" s="404">
        <f t="shared" si="10"/>
        <v>18.797797563233779</v>
      </c>
      <c r="X60" s="157">
        <f t="shared" si="11"/>
        <v>44972</v>
      </c>
      <c r="Y60" s="387">
        <f t="shared" si="12"/>
        <v>16.812033528989616</v>
      </c>
      <c r="Z60" s="387">
        <f t="shared" si="22"/>
        <v>17.473801714706955</v>
      </c>
      <c r="AA60" s="388">
        <f t="shared" si="13"/>
        <v>20.537282254029932</v>
      </c>
      <c r="AB60" s="199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0.14916679341648753</v>
      </c>
      <c r="AD60" s="233">
        <f>(INDEX(Models!$BJ60:$BT60,,AH60)*(1-AF60)+INDEX(Models!$BJ60:$BT60,,AH60+1)*AF60-ERP_i)*AE60*Ramure*Pc/MaxiM</f>
        <v>4.6336721827772653E-2</v>
      </c>
      <c r="AE60" s="307">
        <f t="shared" si="15"/>
        <v>1</v>
      </c>
      <c r="AF60" s="179">
        <f t="shared" si="23"/>
        <v>0.70496000256813063</v>
      </c>
      <c r="AG60" s="837">
        <f t="shared" si="24"/>
        <v>0</v>
      </c>
      <c r="AH60" s="178">
        <f t="shared" si="16"/>
        <v>6</v>
      </c>
      <c r="AI60" s="227">
        <f t="shared" si="17"/>
        <v>0.70496000256813063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44973</v>
      </c>
      <c r="B61" s="1139">
        <f>IF(t&gt;Tmaj,'2022'!Wh/'2022'!Env_an*'2023'!Env_an,0.001*'[4]mon-tableau'!$B$205)</f>
        <v>9.5926048166335995</v>
      </c>
      <c r="C61" s="866"/>
      <c r="D61" s="395">
        <f t="shared" si="0"/>
        <v>9.9704283268607039</v>
      </c>
      <c r="E61" s="387">
        <f t="shared" si="1"/>
        <v>10.482601597612097</v>
      </c>
      <c r="F61" s="387">
        <f t="shared" si="2"/>
        <v>10.509097754525044</v>
      </c>
      <c r="G61" s="110">
        <f t="shared" si="21"/>
        <v>0.32532064707379249</v>
      </c>
      <c r="H61" s="414" t="b">
        <f>Wh_hp&gt;='2022'!Maxi_hp</f>
        <v>0</v>
      </c>
      <c r="I61" s="392">
        <f>IF(H61,Wh_hp,'2022'!Maxi_hp)</f>
        <v>32.591538912686424</v>
      </c>
      <c r="J61" s="85">
        <f>IF(H61,An,'2022'!An_max)</f>
        <v>2019</v>
      </c>
      <c r="K61" s="199">
        <f t="shared" si="3"/>
        <v>44973</v>
      </c>
      <c r="L61" s="147">
        <f>IF(t&lt;Tvie,1-EXP((T0-t)*PertePVj)+'2022'!Pspv,1-EXP((T0-t)*PertePVj)+Pspv)</f>
        <v>3.7894411136704553E-2</v>
      </c>
      <c r="M61" s="870"/>
      <c r="N61" s="870"/>
      <c r="O61" s="48">
        <f>IF(t&lt;Tnet,'2022'!Resal+('2022'!Salim-'2022'!Resal)*(1-EXP(('2022'!Tnet-t)/('2022'!Tau_j))),Resal+(Salim-Resal)*(1-EXP((Tnet-t)/(Tau_j))))*Salcycl</f>
        <v>4.885936625389499E-2</v>
      </c>
      <c r="P61" s="171">
        <f>(INDEX(Models!$BJ61:$BT61,,T61)*(1-R61)+INDEX(Models!$BJ61:$BT61,,T61+1)*R61-ERP_i)*Q61*Ramure*Pc/MaxiM</f>
        <v>4.4537751474078478E-2</v>
      </c>
      <c r="Q61" s="307">
        <f t="shared" si="4"/>
        <v>1</v>
      </c>
      <c r="R61" s="179">
        <f t="shared" si="5"/>
        <v>0.70521603085223394</v>
      </c>
      <c r="S61" s="837">
        <f t="shared" si="6"/>
        <v>0</v>
      </c>
      <c r="T61" s="178">
        <f t="shared" si="7"/>
        <v>6</v>
      </c>
      <c r="U61" s="253">
        <f t="shared" si="8"/>
        <v>0.70521603085223394</v>
      </c>
      <c r="V61" s="385">
        <f t="shared" si="9"/>
        <v>28.244559744073737</v>
      </c>
      <c r="W61" s="404">
        <f t="shared" si="10"/>
        <v>9.5926048166335995</v>
      </c>
      <c r="X61" s="157">
        <f t="shared" si="11"/>
        <v>44973</v>
      </c>
      <c r="Y61" s="387">
        <f t="shared" si="12"/>
        <v>8.5801365550417437</v>
      </c>
      <c r="Z61" s="387">
        <f t="shared" si="22"/>
        <v>8.9180820217237979</v>
      </c>
      <c r="AA61" s="388">
        <f t="shared" si="13"/>
        <v>10.482601597612097</v>
      </c>
      <c r="AB61" s="199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0.14924916885562939</v>
      </c>
      <c r="AD61" s="233">
        <f>(INDEX(Models!$BJ61:$BT61,,AH61)*(1-AF61)+INDEX(Models!$BJ61:$BT61,,AH61+1)*AF61-ERP_i)*AE61*Ramure*Pc/MaxiM</f>
        <v>4.4537751474078478E-2</v>
      </c>
      <c r="AE61" s="307">
        <f t="shared" si="15"/>
        <v>1</v>
      </c>
      <c r="AF61" s="179">
        <f t="shared" si="23"/>
        <v>0.70521603085223394</v>
      </c>
      <c r="AG61" s="837">
        <f t="shared" si="24"/>
        <v>0</v>
      </c>
      <c r="AH61" s="178">
        <f t="shared" si="16"/>
        <v>6</v>
      </c>
      <c r="AI61" s="227">
        <f t="shared" si="17"/>
        <v>0.70521603085223394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44974</v>
      </c>
      <c r="B62" s="1139">
        <f>IF(t&gt;Tmaj,'2022'!Wh/'2022'!Env_an*'2023'!Env_an,0.001*'[4]mon-tableau'!$B$206)</f>
        <v>11.149448725888748</v>
      </c>
      <c r="C62" s="866"/>
      <c r="D62" s="395">
        <f t="shared" si="0"/>
        <v>11.588861269437436</v>
      </c>
      <c r="E62" s="387">
        <f t="shared" si="1"/>
        <v>12.186594902434713</v>
      </c>
      <c r="F62" s="387">
        <f t="shared" si="2"/>
        <v>12.253529384484899</v>
      </c>
      <c r="G62" s="110">
        <f t="shared" si="21"/>
        <v>0.3747426688416256</v>
      </c>
      <c r="H62" s="414" t="b">
        <f>Wh_hp&gt;='2022'!Maxi_hp</f>
        <v>0</v>
      </c>
      <c r="I62" s="392">
        <f>IF(H62,Wh_hp,'2022'!Maxi_hp)</f>
        <v>33.211013673025583</v>
      </c>
      <c r="J62" s="85">
        <f>IF(H62,An,'2022'!An_max)</f>
        <v>2019</v>
      </c>
      <c r="K62" s="199">
        <f t="shared" si="3"/>
        <v>44974</v>
      </c>
      <c r="L62" s="147">
        <f>IF(t&lt;Tvie,1-EXP((T0-t)*PertePVj)+'2022'!Pspv,1-EXP((T0-t)*PertePVj)+Pspv)</f>
        <v>3.7916800739303147E-2</v>
      </c>
      <c r="M62" s="870"/>
      <c r="N62" s="870"/>
      <c r="O62" s="48">
        <f>IF(t&lt;Tnet,'2022'!Resal+('2022'!Salim-'2022'!Resal)*(1-EXP(('2022'!Tnet-t)/('2022'!Tau_j))),Resal+(Salim-Resal)*(1-EXP((Tnet-t)/(Tau_j))))*Salcycl</f>
        <v>4.9048453467330617E-2</v>
      </c>
      <c r="P62" s="171">
        <f>(INDEX(Models!$BJ62:$BT62,,T62)*(1-R62)+INDEX(Models!$BJ62:$BT62,,T62+1)*R62-ERP_i)*Q62*Ramure*Pc/MaxiM</f>
        <v>4.279162984131938E-2</v>
      </c>
      <c r="Q62" s="307">
        <f t="shared" si="4"/>
        <v>1</v>
      </c>
      <c r="R62" s="179">
        <f t="shared" si="5"/>
        <v>0.70548259945825276</v>
      </c>
      <c r="S62" s="837">
        <f t="shared" si="6"/>
        <v>0</v>
      </c>
      <c r="T62" s="178">
        <f t="shared" si="7"/>
        <v>6</v>
      </c>
      <c r="U62" s="253">
        <f t="shared" si="8"/>
        <v>0.70548259945825276</v>
      </c>
      <c r="V62" s="385">
        <f t="shared" si="9"/>
        <v>28.635551944899319</v>
      </c>
      <c r="W62" s="404">
        <f t="shared" si="10"/>
        <v>11.149448725888748</v>
      </c>
      <c r="X62" s="157">
        <f t="shared" si="11"/>
        <v>44974</v>
      </c>
      <c r="Y62" s="387">
        <f t="shared" si="12"/>
        <v>9.9736786427093485</v>
      </c>
      <c r="Z62" s="387">
        <f t="shared" si="22"/>
        <v>10.366752740691783</v>
      </c>
      <c r="AA62" s="388">
        <f t="shared" si="13"/>
        <v>12.186594902434713</v>
      </c>
      <c r="AB62" s="199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0.14933147251652309</v>
      </c>
      <c r="AD62" s="233">
        <f>(INDEX(Models!$BJ62:$BT62,,AH62)*(1-AF62)+INDEX(Models!$BJ62:$BT62,,AH62+1)*AF62-ERP_i)*AE62*Ramure*Pc/MaxiM</f>
        <v>4.279162984131938E-2</v>
      </c>
      <c r="AE62" s="307">
        <f t="shared" si="15"/>
        <v>1</v>
      </c>
      <c r="AF62" s="179">
        <f t="shared" si="23"/>
        <v>0.70548259945825276</v>
      </c>
      <c r="AG62" s="837">
        <f t="shared" si="24"/>
        <v>0</v>
      </c>
      <c r="AH62" s="178">
        <f t="shared" si="16"/>
        <v>6</v>
      </c>
      <c r="AI62" s="227">
        <f t="shared" si="17"/>
        <v>0.70548259945825276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44975</v>
      </c>
      <c r="B63" s="1139">
        <f>IF(t&gt;Tmaj,'2022'!Wh/'2022'!Env_an*'2023'!Env_an,0.001*'[4]mon-tableau'!$B$207)</f>
        <v>26.328875243635448</v>
      </c>
      <c r="C63" s="866"/>
      <c r="D63" s="395">
        <f t="shared" si="0"/>
        <v>27.367163244839979</v>
      </c>
      <c r="E63" s="387">
        <f t="shared" si="1"/>
        <v>28.784432150264621</v>
      </c>
      <c r="F63" s="387">
        <f t="shared" si="2"/>
        <v>29.8480445879621</v>
      </c>
      <c r="G63" s="110">
        <f t="shared" si="21"/>
        <v>0.90181516379210469</v>
      </c>
      <c r="H63" s="414" t="b">
        <f>Wh_hp&gt;='2022'!Maxi_hp</f>
        <v>0</v>
      </c>
      <c r="I63" s="392">
        <f>IF(H63,Wh_hp,'2022'!Maxi_hp)</f>
        <v>33.126742104724151</v>
      </c>
      <c r="J63" s="85">
        <f>IF(H63,An,'2022'!An_max)</f>
        <v>2019</v>
      </c>
      <c r="K63" s="199">
        <f t="shared" si="3"/>
        <v>44975</v>
      </c>
      <c r="L63" s="147">
        <f>IF(t&lt;Tvie,1-EXP((T0-t)*PertePVj)+'2022'!Pspv,1-EXP((T0-t)*PertePVj)+Pspv)</f>
        <v>3.7939189820863084E-2</v>
      </c>
      <c r="M63" s="870"/>
      <c r="N63" s="870"/>
      <c r="O63" s="48">
        <f>IF(t&lt;Tnet,'2022'!Resal+('2022'!Salim-'2022'!Resal)*(1-EXP(('2022'!Tnet-t)/('2022'!Tau_j))),Resal+(Salim-Resal)*(1-EXP((Tnet-t)/(Tau_j))))*Salcycl</f>
        <v>4.9237341144199379E-2</v>
      </c>
      <c r="P63" s="171">
        <f>(INDEX(Models!$BJ63:$BT63,,T63)*(1-R63)+INDEX(Models!$BJ63:$BT63,,T63+1)*R63-ERP_i)*Q63*Ramure*Pc/MaxiM</f>
        <v>4.1097052906253199E-2</v>
      </c>
      <c r="Q63" s="307">
        <f t="shared" si="4"/>
        <v>1</v>
      </c>
      <c r="R63" s="179">
        <f t="shared" si="5"/>
        <v>0.70576013364210033</v>
      </c>
      <c r="S63" s="837">
        <f t="shared" si="6"/>
        <v>0</v>
      </c>
      <c r="T63" s="178">
        <f t="shared" si="7"/>
        <v>6</v>
      </c>
      <c r="U63" s="253">
        <f t="shared" si="8"/>
        <v>0.70576013364210033</v>
      </c>
      <c r="V63" s="385">
        <f t="shared" si="9"/>
        <v>29.030040719694963</v>
      </c>
      <c r="W63" s="404">
        <f t="shared" si="10"/>
        <v>26.328875243635448</v>
      </c>
      <c r="X63" s="157">
        <f t="shared" si="11"/>
        <v>44975</v>
      </c>
      <c r="Y63" s="387">
        <f t="shared" si="12"/>
        <v>23.554754647286664</v>
      </c>
      <c r="Z63" s="387">
        <f t="shared" si="22"/>
        <v>24.483644274940104</v>
      </c>
      <c r="AA63" s="388">
        <f t="shared" si="13"/>
        <v>28.784432150264621</v>
      </c>
      <c r="AB63" s="199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0.14941367795178057</v>
      </c>
      <c r="AD63" s="233">
        <f>(INDEX(Models!$BJ63:$BT63,,AH63)*(1-AF63)+INDEX(Models!$BJ63:$BT63,,AH63+1)*AF63-ERP_i)*AE63*Ramure*Pc/MaxiM</f>
        <v>4.1097052906253199E-2</v>
      </c>
      <c r="AE63" s="307">
        <f t="shared" si="15"/>
        <v>1</v>
      </c>
      <c r="AF63" s="179">
        <f t="shared" si="23"/>
        <v>0.70576013364210033</v>
      </c>
      <c r="AG63" s="837">
        <f t="shared" si="24"/>
        <v>0</v>
      </c>
      <c r="AH63" s="178">
        <f t="shared" si="16"/>
        <v>6</v>
      </c>
      <c r="AI63" s="227">
        <f t="shared" si="17"/>
        <v>0.70576013364210033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44976</v>
      </c>
      <c r="B64" s="1139">
        <f>IF(t&gt;Tmaj,'2022'!Wh/'2022'!Env_an*'2023'!Env_an,0.001*'[4]mon-tableau'!$B$208)</f>
        <v>15.896690686184666</v>
      </c>
      <c r="C64" s="866"/>
      <c r="D64" s="395">
        <f t="shared" si="0"/>
        <v>16.523966537052559</v>
      </c>
      <c r="E64" s="387">
        <f t="shared" si="1"/>
        <v>17.383146300885748</v>
      </c>
      <c r="F64" s="387">
        <f t="shared" si="2"/>
        <v>17.621694651771108</v>
      </c>
      <c r="G64" s="110">
        <f t="shared" si="21"/>
        <v>0.52599561369108228</v>
      </c>
      <c r="H64" s="414" t="b">
        <f>Wh_hp&gt;='2022'!Maxi_hp</f>
        <v>0</v>
      </c>
      <c r="I64" s="392">
        <f>IF(H64,Wh_hp,'2022'!Maxi_hp)</f>
        <v>32.228087820026474</v>
      </c>
      <c r="J64" s="85">
        <f>IF(H64,An,'2022'!An_max)</f>
        <v>2021</v>
      </c>
      <c r="K64" s="199">
        <f t="shared" si="3"/>
        <v>44976</v>
      </c>
      <c r="L64" s="147">
        <f>IF(t&lt;Tvie,1-EXP((T0-t)*PertePVj)+'2022'!Pspv,1-EXP((T0-t)*PertePVj)+Pspv)</f>
        <v>3.7961578381396355E-2</v>
      </c>
      <c r="M64" s="870"/>
      <c r="N64" s="870"/>
      <c r="O64" s="48">
        <f>IF(t&lt;Tnet,'2022'!Resal+('2022'!Salim-'2022'!Resal)*(1-EXP(('2022'!Tnet-t)/('2022'!Tau_j))),Resal+(Salim-Resal)*(1-EXP((Tnet-t)/(Tau_j))))*Salcycl</f>
        <v>4.9426021559135669E-2</v>
      </c>
      <c r="P64" s="171">
        <f>(INDEX(Models!$BJ64:$BT64,,T64)*(1-R64)+INDEX(Models!$BJ64:$BT64,,T64+1)*R64-ERP_i)*Q64*Ramure*Pc/MaxiM</f>
        <v>3.9452755407332937E-2</v>
      </c>
      <c r="Q64" s="307">
        <f t="shared" si="4"/>
        <v>1</v>
      </c>
      <c r="R64" s="179">
        <f t="shared" si="5"/>
        <v>0.70604907508203296</v>
      </c>
      <c r="S64" s="837">
        <f t="shared" si="6"/>
        <v>0</v>
      </c>
      <c r="T64" s="178">
        <f t="shared" si="7"/>
        <v>6</v>
      </c>
      <c r="U64" s="253">
        <f t="shared" si="8"/>
        <v>0.70604907508203296</v>
      </c>
      <c r="V64" s="385">
        <f t="shared" si="9"/>
        <v>29.428126762367722</v>
      </c>
      <c r="W64" s="404">
        <f t="shared" si="10"/>
        <v>15.896690686184666</v>
      </c>
      <c r="X64" s="157">
        <f t="shared" si="11"/>
        <v>44976</v>
      </c>
      <c r="Y64" s="387">
        <f t="shared" si="12"/>
        <v>14.223198945450118</v>
      </c>
      <c r="Z64" s="387">
        <f t="shared" si="22"/>
        <v>14.784439608472155</v>
      </c>
      <c r="AA64" s="388">
        <f t="shared" si="13"/>
        <v>17.383146300885748</v>
      </c>
      <c r="AB64" s="199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0.14949576143653451</v>
      </c>
      <c r="AD64" s="233">
        <f>(INDEX(Models!$BJ64:$BT64,,AH64)*(1-AF64)+INDEX(Models!$BJ64:$BT64,,AH64+1)*AF64-ERP_i)*AE64*Ramure*Pc/MaxiM</f>
        <v>3.9452755407332937E-2</v>
      </c>
      <c r="AE64" s="307">
        <f t="shared" si="15"/>
        <v>1</v>
      </c>
      <c r="AF64" s="179">
        <f t="shared" si="23"/>
        <v>0.70604907508203296</v>
      </c>
      <c r="AG64" s="837">
        <f t="shared" si="24"/>
        <v>0</v>
      </c>
      <c r="AH64" s="178">
        <f t="shared" si="16"/>
        <v>6</v>
      </c>
      <c r="AI64" s="227">
        <f t="shared" si="17"/>
        <v>0.70604907508203296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44977</v>
      </c>
      <c r="B65" s="1139">
        <f>IF(t&gt;Tmaj,'2022'!Wh/'2022'!Env_an*'2023'!Env_an,0.001*'[4]mon-tableau'!$B$209)</f>
        <v>19.027577988450474</v>
      </c>
      <c r="C65" s="866"/>
      <c r="D65" s="395">
        <f t="shared" si="0"/>
        <v>19.778857445504585</v>
      </c>
      <c r="E65" s="387">
        <f t="shared" si="1"/>
        <v>20.811404629339783</v>
      </c>
      <c r="F65" s="387">
        <f t="shared" si="2"/>
        <v>21.198738996077211</v>
      </c>
      <c r="G65" s="110">
        <f t="shared" si="21"/>
        <v>0.62513045521333432</v>
      </c>
      <c r="H65" s="414" t="b">
        <f>Wh_hp&gt;='2022'!Maxi_hp</f>
        <v>0</v>
      </c>
      <c r="I65" s="392">
        <f>IF(H65,Wh_hp,'2022'!Maxi_hp)</f>
        <v>33.595449120875671</v>
      </c>
      <c r="J65" s="85">
        <f>IF(H65,An,'2022'!An_max)</f>
        <v>2020</v>
      </c>
      <c r="K65" s="199">
        <f t="shared" si="3"/>
        <v>44977</v>
      </c>
      <c r="L65" s="147">
        <f>IF(t&lt;Tvie,1-EXP((T0-t)*PertePVj)+'2022'!Pspv,1-EXP((T0-t)*PertePVj)+Pspv)</f>
        <v>3.7983966420915061E-2</v>
      </c>
      <c r="M65" s="870"/>
      <c r="N65" s="870"/>
      <c r="O65" s="48">
        <f>IF(t&lt;Tnet,'2022'!Resal+('2022'!Salim-'2022'!Resal)*(1-EXP(('2022'!Tnet-t)/('2022'!Tau_j))),Resal+(Salim-Resal)*(1-EXP((Tnet-t)/(Tau_j))))*Salcycl</f>
        <v>4.9614487932233074E-2</v>
      </c>
      <c r="P65" s="171">
        <f>(INDEX(Models!$BJ65:$BT65,,T65)*(1-R65)+INDEX(Models!$BJ65:$BT65,,T65+1)*R65-ERP_i)*Q65*Ramure*Pc/MaxiM</f>
        <v>3.7856730538812007E-2</v>
      </c>
      <c r="Q65" s="307">
        <f t="shared" si="4"/>
        <v>1</v>
      </c>
      <c r="R65" s="179">
        <f t="shared" si="5"/>
        <v>0.70634988245030728</v>
      </c>
      <c r="S65" s="837">
        <f t="shared" si="6"/>
        <v>0</v>
      </c>
      <c r="T65" s="178">
        <f t="shared" si="7"/>
        <v>6</v>
      </c>
      <c r="U65" s="253">
        <f t="shared" si="8"/>
        <v>0.70634988245030728</v>
      </c>
      <c r="V65" s="385">
        <f t="shared" si="9"/>
        <v>29.830548162288096</v>
      </c>
      <c r="W65" s="404">
        <f t="shared" si="10"/>
        <v>19.027577988450474</v>
      </c>
      <c r="X65" s="157">
        <f t="shared" si="11"/>
        <v>44977</v>
      </c>
      <c r="Y65" s="387">
        <f t="shared" si="12"/>
        <v>17.026223974504024</v>
      </c>
      <c r="Z65" s="387">
        <f t="shared" si="22"/>
        <v>17.6984825410442</v>
      </c>
      <c r="AA65" s="388">
        <f t="shared" si="13"/>
        <v>20.811404629339783</v>
      </c>
      <c r="AB65" s="199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0.14957770240587245</v>
      </c>
      <c r="AD65" s="233">
        <f>(INDEX(Models!$BJ65:$BT65,,AH65)*(1-AF65)+INDEX(Models!$BJ65:$BT65,,AH65+1)*AF65-ERP_i)*AE65*Ramure*Pc/MaxiM</f>
        <v>3.7856730538812007E-2</v>
      </c>
      <c r="AE65" s="307">
        <f t="shared" si="15"/>
        <v>1</v>
      </c>
      <c r="AF65" s="179">
        <f t="shared" si="23"/>
        <v>0.70634988245030728</v>
      </c>
      <c r="AG65" s="837">
        <f t="shared" si="24"/>
        <v>0</v>
      </c>
      <c r="AH65" s="178">
        <f t="shared" si="16"/>
        <v>6</v>
      </c>
      <c r="AI65" s="227">
        <f t="shared" si="17"/>
        <v>0.70634988245030728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44978</v>
      </c>
      <c r="B66" s="1139">
        <f>IF(t&gt;Tmaj,'2022'!Wh/'2022'!Env_an*'2023'!Env_an,0.001*'[4]mon-tableau'!$B$210)</f>
        <v>19.539190459402796</v>
      </c>
      <c r="C66" s="866"/>
      <c r="D66" s="395">
        <f t="shared" si="0"/>
        <v>20.31114294716722</v>
      </c>
      <c r="E66" s="387">
        <f t="shared" si="1"/>
        <v>21.375711851065887</v>
      </c>
      <c r="F66" s="387">
        <f t="shared" si="2"/>
        <v>21.766501908937201</v>
      </c>
      <c r="G66" s="110">
        <f t="shared" si="21"/>
        <v>0.63410962002721982</v>
      </c>
      <c r="H66" s="414" t="b">
        <f>Wh_hp&gt;='2022'!Maxi_hp</f>
        <v>0</v>
      </c>
      <c r="I66" s="392">
        <f>IF(H66,Wh_hp,'2022'!Maxi_hp)</f>
        <v>33.354248852750764</v>
      </c>
      <c r="J66" s="85">
        <f>IF(H66,An,'2022'!An_max)</f>
        <v>2019</v>
      </c>
      <c r="K66" s="199">
        <f t="shared" si="3"/>
        <v>44978</v>
      </c>
      <c r="L66" s="147">
        <f>IF(t&lt;Tvie,1-EXP((T0-t)*PertePVj)+'2022'!Pspv,1-EXP((T0-t)*PertePVj)+Pspv)</f>
        <v>3.8006353939431414E-2</v>
      </c>
      <c r="M66" s="870"/>
      <c r="N66" s="870"/>
      <c r="O66" s="48">
        <f>IF(t&lt;Tnet,'2022'!Resal+('2022'!Salim-'2022'!Resal)*(1-EXP(('2022'!Tnet-t)/('2022'!Tau_j))),Resal+(Salim-Resal)*(1-EXP((Tnet-t)/(Tau_j))))*Salcycl</f>
        <v>4.9802734585682705E-2</v>
      </c>
      <c r="P66" s="171">
        <f>(INDEX(Models!$BJ66:$BT66,,T66)*(1-R66)+INDEX(Models!$BJ66:$BT66,,T66+1)*R66-ERP_i)*Q66*Ramure*Pc/MaxiM</f>
        <v>3.6303326490492387E-2</v>
      </c>
      <c r="Q66" s="307">
        <f t="shared" si="4"/>
        <v>1</v>
      </c>
      <c r="R66" s="179">
        <f t="shared" si="5"/>
        <v>0.70666303199930858</v>
      </c>
      <c r="S66" s="837">
        <f t="shared" si="6"/>
        <v>0</v>
      </c>
      <c r="T66" s="178">
        <f t="shared" si="7"/>
        <v>6</v>
      </c>
      <c r="U66" s="253">
        <f t="shared" si="8"/>
        <v>0.70666303199930858</v>
      </c>
      <c r="V66" s="385">
        <f t="shared" si="9"/>
        <v>30.237831111396034</v>
      </c>
      <c r="W66" s="404">
        <f t="shared" si="10"/>
        <v>19.539190459402796</v>
      </c>
      <c r="X66" s="157">
        <f t="shared" si="11"/>
        <v>44978</v>
      </c>
      <c r="Y66" s="387">
        <f t="shared" si="12"/>
        <v>17.485806268566577</v>
      </c>
      <c r="Z66" s="387">
        <f t="shared" si="22"/>
        <v>18.17663384802195</v>
      </c>
      <c r="AA66" s="388">
        <f t="shared" si="13"/>
        <v>21.375711851065887</v>
      </c>
      <c r="AB66" s="199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0.14965948387278688</v>
      </c>
      <c r="AD66" s="233">
        <f>(INDEX(Models!$BJ66:$BT66,,AH66)*(1-AF66)+INDEX(Models!$BJ66:$BT66,,AH66+1)*AF66-ERP_i)*AE66*Ramure*Pc/MaxiM</f>
        <v>3.6303326490492387E-2</v>
      </c>
      <c r="AE66" s="307">
        <f t="shared" si="15"/>
        <v>1</v>
      </c>
      <c r="AF66" s="179">
        <f t="shared" si="23"/>
        <v>0.70666303199930858</v>
      </c>
      <c r="AG66" s="837">
        <f t="shared" si="24"/>
        <v>0</v>
      </c>
      <c r="AH66" s="178">
        <f t="shared" si="16"/>
        <v>6</v>
      </c>
      <c r="AI66" s="227">
        <f t="shared" si="17"/>
        <v>0.70666303199930858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44979</v>
      </c>
      <c r="B67" s="1139">
        <f>IF(t&gt;Tmaj,'2022'!Wh/'2022'!Env_an*'2023'!Env_an,0.001*'[4]mon-tableau'!$B$211)</f>
        <v>28.89015594508005</v>
      </c>
      <c r="C67" s="866"/>
      <c r="D67" s="395">
        <f t="shared" si="0"/>
        <v>30.032244386613989</v>
      </c>
      <c r="E67" s="387">
        <f t="shared" si="1"/>
        <v>31.612581257404845</v>
      </c>
      <c r="F67" s="387">
        <f t="shared" si="2"/>
        <v>32.655480918650113</v>
      </c>
      <c r="G67" s="110">
        <f t="shared" si="21"/>
        <v>0.93981543260194556</v>
      </c>
      <c r="H67" s="414" t="b">
        <f>Wh_hp&gt;='2022'!Maxi_hp</f>
        <v>0</v>
      </c>
      <c r="I67" s="392">
        <f>IF(H67,Wh_hp,'2022'!Maxi_hp)</f>
        <v>33.45014285747294</v>
      </c>
      <c r="J67" s="85">
        <f>IF(H67,An,'2022'!An_max)</f>
        <v>2020</v>
      </c>
      <c r="K67" s="199">
        <f t="shared" si="3"/>
        <v>44979</v>
      </c>
      <c r="L67" s="147">
        <f>IF(t&lt;Tvie,1-EXP((T0-t)*PertePVj)+'2022'!Pspv,1-EXP((T0-t)*PertePVj)+Pspv)</f>
        <v>3.8028740936957517E-2</v>
      </c>
      <c r="M67" s="870"/>
      <c r="N67" s="870"/>
      <c r="O67" s="48">
        <f>IF(t&lt;Tnet,'2022'!Resal+('2022'!Salim-'2022'!Resal)*(1-EXP(('2022'!Tnet-t)/('2022'!Tau_j))),Resal+(Salim-Resal)*(1-EXP((Tnet-t)/(Tau_j))))*Salcycl</f>
        <v>4.9990757095189152E-2</v>
      </c>
      <c r="P67" s="171">
        <f>(INDEX(Models!$BJ67:$BT67,,T67)*(1-R67)+INDEX(Models!$BJ67:$BT67,,T67+1)*R67-ERP_i)*Q67*Ramure*Pc/MaxiM</f>
        <v>3.4789501003144596E-2</v>
      </c>
      <c r="Q67" s="307">
        <f t="shared" si="4"/>
        <v>1</v>
      </c>
      <c r="R67" s="179">
        <f t="shared" si="5"/>
        <v>0.70698901816200554</v>
      </c>
      <c r="S67" s="837">
        <f t="shared" si="6"/>
        <v>0</v>
      </c>
      <c r="T67" s="178">
        <f t="shared" si="7"/>
        <v>6</v>
      </c>
      <c r="U67" s="253">
        <f t="shared" si="8"/>
        <v>0.70698901816200554</v>
      </c>
      <c r="V67" s="385">
        <f t="shared" si="9"/>
        <v>30.649646963153106</v>
      </c>
      <c r="W67" s="404">
        <f t="shared" si="10"/>
        <v>28.89015594508005</v>
      </c>
      <c r="X67" s="157">
        <f t="shared" si="11"/>
        <v>44979</v>
      </c>
      <c r="Y67" s="387">
        <f t="shared" si="12"/>
        <v>25.856708874679299</v>
      </c>
      <c r="Z67" s="387">
        <f t="shared" si="22"/>
        <v>26.878878792973158</v>
      </c>
      <c r="AA67" s="388">
        <f t="shared" si="13"/>
        <v>31.612581257404848</v>
      </c>
      <c r="AB67" s="199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0.14974109282274695</v>
      </c>
      <c r="AD67" s="233">
        <f>(INDEX(Models!$BJ67:$BT67,,AH67)*(1-AF67)+INDEX(Models!$BJ67:$BT67,,AH67+1)*AF67-ERP_i)*AE67*Ramure*Pc/MaxiM</f>
        <v>3.4789501003144596E-2</v>
      </c>
      <c r="AE67" s="307">
        <f t="shared" si="15"/>
        <v>1</v>
      </c>
      <c r="AF67" s="179">
        <f t="shared" si="23"/>
        <v>0.70698901816200554</v>
      </c>
      <c r="AG67" s="837">
        <f t="shared" si="24"/>
        <v>0</v>
      </c>
      <c r="AH67" s="178">
        <f t="shared" si="16"/>
        <v>6</v>
      </c>
      <c r="AI67" s="227">
        <f t="shared" si="17"/>
        <v>0.70698901816200554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44980</v>
      </c>
      <c r="B68" s="1139">
        <f>IF(t&gt;Tmaj,'2022'!Wh/'2022'!Env_an*'2023'!Env_an,0.001*'[4]mon-tableau'!$B$212)</f>
        <v>30.596763960685422</v>
      </c>
      <c r="C68" s="866"/>
      <c r="D68" s="395">
        <f t="shared" si="0"/>
        <v>31.807058392216458</v>
      </c>
      <c r="E68" s="387">
        <f t="shared" si="1"/>
        <v>33.487408053114322</v>
      </c>
      <c r="F68" s="387">
        <f t="shared" si="2"/>
        <v>34.615760457267491</v>
      </c>
      <c r="G68" s="110">
        <f t="shared" si="21"/>
        <v>0.98417736124854849</v>
      </c>
      <c r="H68" s="414" t="b">
        <f>Wh_hp&gt;='2022'!Maxi_hp</f>
        <v>0</v>
      </c>
      <c r="I68" s="392">
        <f>IF(H68,Wh_hp,'2022'!Maxi_hp)</f>
        <v>34.62690070447799</v>
      </c>
      <c r="J68" s="85">
        <f>IF(H68,An,'2022'!An_max)</f>
        <v>2022</v>
      </c>
      <c r="K68" s="199">
        <f t="shared" si="3"/>
        <v>44980</v>
      </c>
      <c r="L68" s="147">
        <f>IF(t&lt;Tvie,1-EXP((T0-t)*PertePVj)+'2022'!Pspv,1-EXP((T0-t)*PertePVj)+Pspv)</f>
        <v>3.805112741350547E-2</v>
      </c>
      <c r="M68" s="870"/>
      <c r="N68" s="870"/>
      <c r="O68" s="48">
        <f>IF(t&lt;Tnet,'2022'!Resal+('2022'!Salim-'2022'!Resal)*(1-EXP(('2022'!Tnet-t)/('2022'!Tau_j))),Resal+(Salim-Resal)*(1-EXP((Tnet-t)/(Tau_j))))*Salcycl</f>
        <v>5.0178552434773843E-2</v>
      </c>
      <c r="P68" s="171">
        <f>(INDEX(Models!$BJ68:$BT68,,T68)*(1-R68)+INDEX(Models!$BJ68:$BT68,,T68+1)*R68-ERP_i)*Q68*Ramure*Pc/MaxiM</f>
        <v>3.3314730584982369E-2</v>
      </c>
      <c r="Q68" s="307">
        <f t="shared" si="4"/>
        <v>1</v>
      </c>
      <c r="R68" s="179">
        <f t="shared" si="5"/>
        <v>0.70732835416653461</v>
      </c>
      <c r="S68" s="837">
        <f t="shared" si="6"/>
        <v>0</v>
      </c>
      <c r="T68" s="178">
        <f t="shared" si="7"/>
        <v>6</v>
      </c>
      <c r="U68" s="253">
        <f t="shared" si="8"/>
        <v>0.70732835416653461</v>
      </c>
      <c r="V68" s="385">
        <f t="shared" si="9"/>
        <v>31.065587321468545</v>
      </c>
      <c r="W68" s="404">
        <f t="shared" si="10"/>
        <v>30.596763960685422</v>
      </c>
      <c r="X68" s="157">
        <f t="shared" si="11"/>
        <v>44980</v>
      </c>
      <c r="Y68" s="387">
        <f t="shared" si="12"/>
        <v>27.386915434626889</v>
      </c>
      <c r="Z68" s="387">
        <f t="shared" si="22"/>
        <v>28.470240170861441</v>
      </c>
      <c r="AA68" s="388">
        <f t="shared" si="13"/>
        <v>33.487408053114322</v>
      </c>
      <c r="AB68" s="199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0.14982252058132295</v>
      </c>
      <c r="AD68" s="233">
        <f>(INDEX(Models!$BJ68:$BT68,,AH68)*(1-AF68)+INDEX(Models!$BJ68:$BT68,,AH68+1)*AF68-ERP_i)*AE68*Ramure*Pc/MaxiM</f>
        <v>3.3314730584982369E-2</v>
      </c>
      <c r="AE68" s="307">
        <f t="shared" si="15"/>
        <v>1</v>
      </c>
      <c r="AF68" s="179">
        <f t="shared" si="23"/>
        <v>0.70732835416653461</v>
      </c>
      <c r="AG68" s="837">
        <f t="shared" si="24"/>
        <v>0</v>
      </c>
      <c r="AH68" s="178">
        <f t="shared" si="16"/>
        <v>6</v>
      </c>
      <c r="AI68" s="227">
        <f t="shared" si="17"/>
        <v>0.70732835416653461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44981</v>
      </c>
      <c r="B69" s="1139">
        <f>IF(t&gt;Tmaj,'2022'!Wh/'2022'!Env_an*'2023'!Env_an,0.001*'[4]mon-tableau'!$B$213)</f>
        <v>18.422202304964792</v>
      </c>
      <c r="C69" s="866"/>
      <c r="D69" s="395">
        <f t="shared" si="0"/>
        <v>19.151361939816631</v>
      </c>
      <c r="E69" s="387">
        <f t="shared" si="1"/>
        <v>20.16710052714404</v>
      </c>
      <c r="F69" s="387">
        <f t="shared" si="2"/>
        <v>20.432394048171808</v>
      </c>
      <c r="G69" s="110">
        <f t="shared" si="21"/>
        <v>0.57390522835641022</v>
      </c>
      <c r="H69" s="414" t="b">
        <f>Wh_hp&gt;='2022'!Maxi_hp</f>
        <v>0</v>
      </c>
      <c r="I69" s="392">
        <f>IF(H69,Wh_hp,'2022'!Maxi_hp)</f>
        <v>35.350844224345899</v>
      </c>
      <c r="J69" s="85">
        <f>IF(H69,An,'2022'!An_max)</f>
        <v>2020</v>
      </c>
      <c r="K69" s="199">
        <f t="shared" si="3"/>
        <v>44981</v>
      </c>
      <c r="L69" s="147">
        <f>IF(t&lt;Tvie,1-EXP((T0-t)*PertePVj)+'2022'!Pspv,1-EXP((T0-t)*PertePVj)+Pspv)</f>
        <v>3.8073513369087375E-2</v>
      </c>
      <c r="M69" s="870"/>
      <c r="N69" s="870"/>
      <c r="O69" s="48">
        <f>IF(t&lt;Tnet,'2022'!Resal+('2022'!Salim-'2022'!Resal)*(1-EXP(('2022'!Tnet-t)/('2022'!Tau_j))),Resal+(Salim-Resal)*(1-EXP((Tnet-t)/(Tau_j))))*Salcycl</f>
        <v>5.0366119113665835E-2</v>
      </c>
      <c r="P69" s="171">
        <f>(INDEX(Models!$BJ69:$BT69,,T69)*(1-R69)+INDEX(Models!$BJ69:$BT69,,T69+1)*R69-ERP_i)*Q69*Ramure*Pc/MaxiM</f>
        <v>3.1878585965763991E-2</v>
      </c>
      <c r="Q69" s="307">
        <f t="shared" si="4"/>
        <v>1</v>
      </c>
      <c r="R69" s="179">
        <f t="shared" si="5"/>
        <v>0.70768157266464016</v>
      </c>
      <c r="S69" s="837">
        <f t="shared" si="6"/>
        <v>0</v>
      </c>
      <c r="T69" s="178">
        <f t="shared" si="7"/>
        <v>6</v>
      </c>
      <c r="U69" s="253">
        <f t="shared" si="8"/>
        <v>0.70768157266464016</v>
      </c>
      <c r="V69" s="385">
        <f t="shared" si="9"/>
        <v>31.485238316102318</v>
      </c>
      <c r="W69" s="404">
        <f t="shared" si="10"/>
        <v>18.422202304964792</v>
      </c>
      <c r="X69" s="157">
        <f t="shared" si="11"/>
        <v>44981</v>
      </c>
      <c r="Y69" s="387">
        <f t="shared" si="12"/>
        <v>16.491244856694514</v>
      </c>
      <c r="Z69" s="387">
        <f t="shared" si="22"/>
        <v>17.143976266267568</v>
      </c>
      <c r="AA69" s="388">
        <f t="shared" si="13"/>
        <v>20.16710052714404</v>
      </c>
      <c r="AB69" s="199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0.14990376315164788</v>
      </c>
      <c r="AD69" s="233">
        <f>(INDEX(Models!$BJ69:$BT69,,AH69)*(1-AF69)+INDEX(Models!$BJ69:$BT69,,AH69+1)*AF69-ERP_i)*AE69*Ramure*Pc/MaxiM</f>
        <v>3.1878585965763991E-2</v>
      </c>
      <c r="AE69" s="307">
        <f t="shared" si="15"/>
        <v>1</v>
      </c>
      <c r="AF69" s="179">
        <f t="shared" si="23"/>
        <v>0.70768157266464016</v>
      </c>
      <c r="AG69" s="837">
        <f t="shared" si="24"/>
        <v>0</v>
      </c>
      <c r="AH69" s="178">
        <f t="shared" si="16"/>
        <v>6</v>
      </c>
      <c r="AI69" s="227">
        <f t="shared" si="17"/>
        <v>0.70768157266464016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44982</v>
      </c>
      <c r="B70" s="1139">
        <f>IF(t&gt;Tmaj,'2022'!Wh/'2022'!Env_an*'2023'!Env_an,0.001*'[4]mon-tableau'!$B$214)</f>
        <v>27.273922920520846</v>
      </c>
      <c r="C70" s="866"/>
      <c r="D70" s="395">
        <f t="shared" si="0"/>
        <v>28.354097759434936</v>
      </c>
      <c r="E70" s="387">
        <f t="shared" si="1"/>
        <v>29.863816954796174</v>
      </c>
      <c r="F70" s="387">
        <f t="shared" si="2"/>
        <v>30.603076708472379</v>
      </c>
      <c r="G70" s="110">
        <f t="shared" si="21"/>
        <v>0.84922307767712057</v>
      </c>
      <c r="H70" s="414" t="b">
        <f>Wh_hp&gt;='2022'!Maxi_hp</f>
        <v>0</v>
      </c>
      <c r="I70" s="392">
        <f>IF(H70,Wh_hp,'2022'!Maxi_hp)</f>
        <v>35.147494250668068</v>
      </c>
      <c r="J70" s="85">
        <f>IF(H70,An,'2022'!An_max)</f>
        <v>2019</v>
      </c>
      <c r="K70" s="199">
        <f t="shared" si="3"/>
        <v>44982</v>
      </c>
      <c r="L70" s="147">
        <f>IF(t&lt;Tvie,1-EXP((T0-t)*PertePVj)+'2022'!Pspv,1-EXP((T0-t)*PertePVj)+Pspv)</f>
        <v>3.8095898803715444E-2</v>
      </c>
      <c r="M70" s="870"/>
      <c r="N70" s="870"/>
      <c r="O70" s="48">
        <f>IF(t&lt;Tnet,'2022'!Resal+('2022'!Salim-'2022'!Resal)*(1-EXP(('2022'!Tnet-t)/('2022'!Tau_j))),Resal+(Salim-Resal)*(1-EXP((Tnet-t)/(Tau_j))))*Salcycl</f>
        <v>5.055345730408304E-2</v>
      </c>
      <c r="P70" s="171">
        <f>(INDEX(Models!$BJ70:$BT70,,T70)*(1-R70)+INDEX(Models!$BJ70:$BT70,,T70+1)*R70-ERP_i)*Q70*Ramure*Pc/MaxiM</f>
        <v>3.0480555216520117E-2</v>
      </c>
      <c r="Q70" s="307">
        <f t="shared" si="4"/>
        <v>1</v>
      </c>
      <c r="R70" s="179">
        <f t="shared" si="5"/>
        <v>0.70804922637363066</v>
      </c>
      <c r="S70" s="837">
        <f t="shared" si="6"/>
        <v>0</v>
      </c>
      <c r="T70" s="178">
        <f t="shared" si="7"/>
        <v>6</v>
      </c>
      <c r="U70" s="253">
        <f t="shared" si="8"/>
        <v>0.70804922637363066</v>
      </c>
      <c r="V70" s="385">
        <f t="shared" si="9"/>
        <v>31.908186427566275</v>
      </c>
      <c r="W70" s="404">
        <f t="shared" si="10"/>
        <v>27.273922920520846</v>
      </c>
      <c r="X70" s="157">
        <f t="shared" si="11"/>
        <v>44982</v>
      </c>
      <c r="Y70" s="387">
        <f t="shared" si="12"/>
        <v>24.417644824256044</v>
      </c>
      <c r="Z70" s="387">
        <f t="shared" si="22"/>
        <v>25.384697698958473</v>
      </c>
      <c r="AA70" s="388">
        <f t="shared" si="13"/>
        <v>29.863816954796174</v>
      </c>
      <c r="AB70" s="199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0.14998482151888315</v>
      </c>
      <c r="AD70" s="233">
        <f>(INDEX(Models!$BJ70:$BT70,,AH70)*(1-AF70)+INDEX(Models!$BJ70:$BT70,,AH70+1)*AF70-ERP_i)*AE70*Ramure*Pc/MaxiM</f>
        <v>3.0480555216520117E-2</v>
      </c>
      <c r="AE70" s="307">
        <f t="shared" si="15"/>
        <v>1</v>
      </c>
      <c r="AF70" s="179">
        <f t="shared" si="23"/>
        <v>0.70804922637363066</v>
      </c>
      <c r="AG70" s="837">
        <f t="shared" si="24"/>
        <v>0</v>
      </c>
      <c r="AH70" s="178">
        <f t="shared" si="16"/>
        <v>6</v>
      </c>
      <c r="AI70" s="227">
        <f t="shared" si="17"/>
        <v>0.70804922637363066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44983</v>
      </c>
      <c r="B71" s="1139">
        <f>IF(t&gt;Tmaj,'2022'!Wh/'2022'!Env_an*'2023'!Env_an,0.001*'[4]mon-tableau'!$B$215)</f>
        <v>33.29443961457013</v>
      </c>
      <c r="C71" s="866"/>
      <c r="D71" s="395">
        <f t="shared" si="0"/>
        <v>34.613860572424393</v>
      </c>
      <c r="E71" s="387">
        <f t="shared" si="1"/>
        <v>36.464068136208788</v>
      </c>
      <c r="F71" s="387">
        <f t="shared" si="2"/>
        <v>37.557751891620669</v>
      </c>
      <c r="G71" s="110">
        <f t="shared" si="21"/>
        <v>1.0297031171721025</v>
      </c>
      <c r="H71" s="414" t="b">
        <f>Wh_hp&gt;='2022'!Maxi_hp</f>
        <v>1</v>
      </c>
      <c r="I71" s="392">
        <f>IF(H71,Wh_hp,'2022'!Maxi_hp)</f>
        <v>37.557751891620669</v>
      </c>
      <c r="J71" s="85">
        <f>IF(H71,An,'2022'!An_max)</f>
        <v>2023</v>
      </c>
      <c r="K71" s="199">
        <f t="shared" si="3"/>
        <v>44983</v>
      </c>
      <c r="L71" s="147">
        <f>IF(t&lt;Tvie,1-EXP((T0-t)*PertePVj)+'2022'!Pspv,1-EXP((T0-t)*PertePVj)+Pspv)</f>
        <v>3.811828371740178E-2</v>
      </c>
      <c r="M71" s="870"/>
      <c r="N71" s="870"/>
      <c r="O71" s="48">
        <f>IF(t&lt;Tnet,'2022'!Resal+('2022'!Salim-'2022'!Resal)*(1-EXP(('2022'!Tnet-t)/('2022'!Tau_j))),Resal+(Salim-Resal)*(1-EXP((Tnet-t)/(Tau_j))))*Salcycl</f>
        <v>5.0740568958819496E-2</v>
      </c>
      <c r="P71" s="171">
        <f>(INDEX(Models!$BJ71:$BT71,,T71)*(1-R71)+INDEX(Models!$BJ71:$BT71,,T71+1)*R71-ERP_i)*Q71*Ramure*Pc/MaxiM</f>
        <v>2.912005379256696E-2</v>
      </c>
      <c r="Q71" s="307">
        <f t="shared" si="4"/>
        <v>1</v>
      </c>
      <c r="R71" s="179">
        <f t="shared" si="5"/>
        <v>0.70843188873142215</v>
      </c>
      <c r="S71" s="837">
        <f t="shared" si="6"/>
        <v>0</v>
      </c>
      <c r="T71" s="178">
        <f t="shared" si="7"/>
        <v>6</v>
      </c>
      <c r="U71" s="253">
        <f t="shared" si="8"/>
        <v>0.70843188873142215</v>
      </c>
      <c r="V71" s="385">
        <f t="shared" si="9"/>
        <v>32.334018475157606</v>
      </c>
      <c r="W71" s="404">
        <f t="shared" si="10"/>
        <v>33.29443961457013</v>
      </c>
      <c r="X71" s="157">
        <f t="shared" si="11"/>
        <v>44983</v>
      </c>
      <c r="Y71" s="387">
        <f t="shared" si="12"/>
        <v>29.810697938247678</v>
      </c>
      <c r="Z71" s="387">
        <f t="shared" si="22"/>
        <v>30.99206215651715</v>
      </c>
      <c r="AA71" s="388">
        <f t="shared" si="13"/>
        <v>36.464068136208788</v>
      </c>
      <c r="AB71" s="199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0.15006570191925292</v>
      </c>
      <c r="AD71" s="233">
        <f>(INDEX(Models!$BJ71:$BT71,,AH71)*(1-AF71)+INDEX(Models!$BJ71:$BT71,,AH71+1)*AF71-ERP_i)*AE71*Ramure*Pc/MaxiM</f>
        <v>2.912005379256696E-2</v>
      </c>
      <c r="AE71" s="307">
        <f t="shared" si="15"/>
        <v>1</v>
      </c>
      <c r="AF71" s="179">
        <f t="shared" si="23"/>
        <v>0.70843188873142215</v>
      </c>
      <c r="AG71" s="837">
        <f t="shared" si="24"/>
        <v>0</v>
      </c>
      <c r="AH71" s="178">
        <f t="shared" si="16"/>
        <v>6</v>
      </c>
      <c r="AI71" s="227">
        <f t="shared" si="17"/>
        <v>0.70843188873142215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44984</v>
      </c>
      <c r="B72" s="1139">
        <f>IF(t&gt;Tmaj,'2022'!Wh/'2022'!Env_an*'2023'!Env_an,0.001*'[4]mon-tableau'!$B$216)</f>
        <v>25.42894630341906</v>
      </c>
      <c r="C72" s="866"/>
      <c r="D72" s="395">
        <f t="shared" si="0"/>
        <v>26.437281898026381</v>
      </c>
      <c r="E72" s="387">
        <f t="shared" si="1"/>
        <v>27.855912720877363</v>
      </c>
      <c r="F72" s="387">
        <f t="shared" si="2"/>
        <v>28.393204320347657</v>
      </c>
      <c r="G72" s="110">
        <f t="shared" si="21"/>
        <v>0.76914446623124944</v>
      </c>
      <c r="H72" s="414" t="b">
        <f>Wh_hp&gt;='2022'!Maxi_hp</f>
        <v>0</v>
      </c>
      <c r="I72" s="392">
        <f>IF(H72,Wh_hp,'2022'!Maxi_hp)</f>
        <v>35.744529564271296</v>
      </c>
      <c r="J72" s="85">
        <f>IF(H72,An,'2022'!An_max)</f>
        <v>2019</v>
      </c>
      <c r="K72" s="199">
        <f t="shared" si="3"/>
        <v>44984</v>
      </c>
      <c r="L72" s="147">
        <f>IF(t&lt;Tvie,1-EXP((T0-t)*PertePVj)+'2022'!Pspv,1-EXP((T0-t)*PertePVj)+Pspv)</f>
        <v>3.8140668110158371E-2</v>
      </c>
      <c r="M72" s="870"/>
      <c r="N72" s="870"/>
      <c r="O72" s="48">
        <f>IF(t&lt;Tnet,'2022'!Resal+('2022'!Salim-'2022'!Resal)*(1-EXP(('2022'!Tnet-t)/('2022'!Tau_j))),Resal+(Salim-Resal)*(1-EXP((Tnet-t)/(Tau_j))))*Salcycl</f>
        <v>5.0927457917677658E-2</v>
      </c>
      <c r="P72" s="171">
        <f>(INDEX(Models!$BJ72:$BT72,,T72)*(1-R72)+INDEX(Models!$BJ72:$BT72,,T72+1)*R72-ERP_i)*Q72*Ramure*Pc/MaxiM</f>
        <v>2.7817705804535381E-2</v>
      </c>
      <c r="Q72" s="307">
        <f t="shared" si="4"/>
        <v>1</v>
      </c>
      <c r="R72" s="179">
        <f t="shared" si="5"/>
        <v>0.70883015456415632</v>
      </c>
      <c r="S72" s="837">
        <f t="shared" si="6"/>
        <v>0</v>
      </c>
      <c r="T72" s="178">
        <f t="shared" si="7"/>
        <v>6</v>
      </c>
      <c r="U72" s="253">
        <f t="shared" si="8"/>
        <v>0.70883015456415632</v>
      </c>
      <c r="V72" s="385">
        <f t="shared" si="9"/>
        <v>32.761604777408721</v>
      </c>
      <c r="W72" s="404">
        <f t="shared" si="10"/>
        <v>25.42894630341906</v>
      </c>
      <c r="X72" s="157">
        <f t="shared" si="11"/>
        <v>44984</v>
      </c>
      <c r="Y72" s="387">
        <f t="shared" si="12"/>
        <v>22.770526164488086</v>
      </c>
      <c r="Z72" s="387">
        <f t="shared" si="22"/>
        <v>23.673447259433477</v>
      </c>
      <c r="AA72" s="388">
        <f t="shared" si="13"/>
        <v>27.855912720877363</v>
      </c>
      <c r="AB72" s="199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0.15014641607163076</v>
      </c>
      <c r="AD72" s="233">
        <f>(INDEX(Models!$BJ72:$BT72,,AH72)*(1-AF72)+INDEX(Models!$BJ72:$BT72,,AH72+1)*AF72-ERP_i)*AE72*Ramure*Pc/MaxiM</f>
        <v>2.7817705804535381E-2</v>
      </c>
      <c r="AE72" s="307">
        <f t="shared" si="15"/>
        <v>1</v>
      </c>
      <c r="AF72" s="179">
        <f t="shared" si="23"/>
        <v>0.70883015456415632</v>
      </c>
      <c r="AG72" s="837">
        <f t="shared" si="24"/>
        <v>0</v>
      </c>
      <c r="AH72" s="178">
        <f t="shared" si="16"/>
        <v>6</v>
      </c>
      <c r="AI72" s="227">
        <f t="shared" si="17"/>
        <v>0.70883015456415632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44985</v>
      </c>
      <c r="B73" s="1139">
        <f>IF(t&gt;Tmaj,'2022'!Wh/'2022'!Env_an*'2023'!Env_an,0.001*'[4]mon-tableau'!$B$217)</f>
        <v>30.2918122454195</v>
      </c>
      <c r="C73" s="866"/>
      <c r="D73" s="395">
        <f t="shared" si="0"/>
        <v>31.493708271282312</v>
      </c>
      <c r="E73" s="387">
        <f t="shared" si="1"/>
        <v>33.190196278658732</v>
      </c>
      <c r="F73" s="387">
        <f t="shared" si="2"/>
        <v>33.980128453988137</v>
      </c>
      <c r="G73" s="110">
        <f t="shared" si="21"/>
        <v>0.90955723493983265</v>
      </c>
      <c r="H73" s="414" t="b">
        <f>Wh_hp&gt;='2022'!Maxi_hp</f>
        <v>0</v>
      </c>
      <c r="I73" s="392">
        <f>IF(H73,Wh_hp,'2022'!Maxi_hp)</f>
        <v>34.03299855797831</v>
      </c>
      <c r="J73" s="85">
        <f>IF(H73,An,'2022'!An_max)</f>
        <v>2022</v>
      </c>
      <c r="K73" s="199">
        <f t="shared" si="3"/>
        <v>44985</v>
      </c>
      <c r="L73" s="147">
        <f>IF(t&lt;Tvie,1-EXP((T0-t)*PertePVj)+'2022'!Pspv,1-EXP((T0-t)*PertePVj)+Pspv)</f>
        <v>3.8163051981997542E-2</v>
      </c>
      <c r="M73" s="870"/>
      <c r="N73" s="870"/>
      <c r="O73" s="48">
        <f>IF(t&lt;Tnet,'2022'!Resal+('2022'!Salim-'2022'!Resal)*(1-EXP(('2022'!Tnet-t)/('2022'!Tau_j))),Resal+(Salim-Resal)*(1-EXP((Tnet-t)/(Tau_j))))*Salcycl</f>
        <v>5.1114130001914539E-2</v>
      </c>
      <c r="P73" s="171">
        <f>(INDEX(Models!$BJ73:$BT73,,T73)*(1-R73)+INDEX(Models!$BJ73:$BT73,,T73+1)*R73-ERP_i)*Q73*Ramure*Pc/MaxiM</f>
        <v>2.6561189889724987E-2</v>
      </c>
      <c r="Q73" s="307">
        <f t="shared" si="4"/>
        <v>1</v>
      </c>
      <c r="R73" s="179">
        <f t="shared" si="5"/>
        <v>0.70924464076577898</v>
      </c>
      <c r="S73" s="837">
        <f t="shared" si="6"/>
        <v>0</v>
      </c>
      <c r="T73" s="178">
        <f t="shared" si="7"/>
        <v>6</v>
      </c>
      <c r="U73" s="253">
        <f t="shared" si="8"/>
        <v>0.70924464076577898</v>
      </c>
      <c r="V73" s="385">
        <f t="shared" si="9"/>
        <v>33.190903627965881</v>
      </c>
      <c r="W73" s="404">
        <f t="shared" si="10"/>
        <v>30.2918122454195</v>
      </c>
      <c r="X73" s="157">
        <f t="shared" si="11"/>
        <v>44985</v>
      </c>
      <c r="Y73" s="387">
        <f t="shared" si="12"/>
        <v>27.127777476139073</v>
      </c>
      <c r="Z73" s="387">
        <f t="shared" si="22"/>
        <v>28.204133280635141</v>
      </c>
      <c r="AA73" s="388">
        <f t="shared" si="13"/>
        <v>33.190196278658732</v>
      </c>
      <c r="AB73" s="199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0.15022698137008686</v>
      </c>
      <c r="AD73" s="233">
        <f>(INDEX(Models!$BJ73:$BT73,,AH73)*(1-AF73)+INDEX(Models!$BJ73:$BT73,,AH73+1)*AF73-ERP_i)*AE73*Ramure*Pc/MaxiM</f>
        <v>2.6561189889724987E-2</v>
      </c>
      <c r="AE73" s="307">
        <f t="shared" si="15"/>
        <v>1</v>
      </c>
      <c r="AF73" s="179">
        <f t="shared" si="23"/>
        <v>0.70924464076577898</v>
      </c>
      <c r="AG73" s="837">
        <f t="shared" si="24"/>
        <v>0</v>
      </c>
      <c r="AH73" s="178">
        <f t="shared" si="16"/>
        <v>6</v>
      </c>
      <c r="AI73" s="227">
        <f t="shared" si="17"/>
        <v>0.70924464076577898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44986</v>
      </c>
      <c r="B74" s="1139">
        <f>IF(t&gt;Tmaj,'2022'!Wh/'2022'!Env_an*'2023'!Env_an,0.001*'[5]mon-tableau'!$B$208)</f>
        <v>33.315907612189228</v>
      </c>
      <c r="C74" s="866"/>
      <c r="D74" s="395">
        <f t="shared" si="0"/>
        <v>34.638597538519811</v>
      </c>
      <c r="E74" s="387">
        <f t="shared" si="1"/>
        <v>36.511667748966133</v>
      </c>
      <c r="F74" s="387">
        <f t="shared" si="2"/>
        <v>37.448641462219676</v>
      </c>
      <c r="G74" s="110">
        <f t="shared" si="21"/>
        <v>0.99057615573120694</v>
      </c>
      <c r="H74" s="414" t="b">
        <f>Wh_hp&gt;='2022'!Maxi_hp</f>
        <v>0</v>
      </c>
      <c r="I74" s="392">
        <f>IF(H74,Wh_hp,'2022'!Maxi_hp)</f>
        <v>37.454455213013745</v>
      </c>
      <c r="J74" s="85">
        <f>IF(H74,An,'2022'!An_max)</f>
        <v>2022</v>
      </c>
      <c r="K74" s="199">
        <f t="shared" si="3"/>
        <v>44986</v>
      </c>
      <c r="L74" s="147">
        <f>IF(t&lt;Tvie,1-EXP((T0-t)*PertePVj)+'2022'!Pspv,1-EXP((T0-t)*PertePVj)+Pspv)</f>
        <v>3.8185435332931283E-2</v>
      </c>
      <c r="M74" s="870"/>
      <c r="N74" s="870"/>
      <c r="O74" s="48">
        <f>IF(t&lt;Tnet,'2022'!Resal+('2022'!Salim-'2022'!Resal)*(1-EXP(('2022'!Tnet-t)/('2022'!Tau_j))),Resal+(Salim-Resal)*(1-EXP((Tnet-t)/(Tau_j))))*Salcycl</f>
        <v>5.130059309600718E-2</v>
      </c>
      <c r="P74" s="171">
        <f>(INDEX(Models!$BJ74:$BT74,,T74)*(1-R74)+INDEX(Models!$BJ74:$BT74,,T74+1)*R74-ERP_i)*Q74*Ramure*Pc/MaxiM</f>
        <v>2.5349387372527808E-2</v>
      </c>
      <c r="Q74" s="307">
        <f t="shared" si="4"/>
        <v>1</v>
      </c>
      <c r="R74" s="179">
        <f t="shared" si="5"/>
        <v>0.70967598698886125</v>
      </c>
      <c r="S74" s="837">
        <f t="shared" si="6"/>
        <v>0</v>
      </c>
      <c r="T74" s="178">
        <f t="shared" si="7"/>
        <v>6</v>
      </c>
      <c r="U74" s="253">
        <f t="shared" si="8"/>
        <v>0.70967598698886125</v>
      </c>
      <c r="V74" s="385">
        <f t="shared" si="9"/>
        <v>33.621503917908605</v>
      </c>
      <c r="W74" s="404">
        <f t="shared" si="10"/>
        <v>33.315907612189228</v>
      </c>
      <c r="X74" s="157">
        <f t="shared" si="11"/>
        <v>44986</v>
      </c>
      <c r="Y74" s="387">
        <f t="shared" si="12"/>
        <v>29.839039904010725</v>
      </c>
      <c r="Z74" s="387">
        <f t="shared" si="22"/>
        <v>31.023693131887104</v>
      </c>
      <c r="AA74" s="388">
        <f t="shared" si="13"/>
        <v>36.511667748966133</v>
      </c>
      <c r="AB74" s="199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0.15030742103623654</v>
      </c>
      <c r="AD74" s="233">
        <f>(INDEX(Models!$BJ74:$BT74,,AH74)*(1-AF74)+INDEX(Models!$BJ74:$BT74,,AH74+1)*AF74-ERP_i)*AE74*Ramure*Pc/MaxiM</f>
        <v>2.5349387372527808E-2</v>
      </c>
      <c r="AE74" s="307">
        <f t="shared" si="15"/>
        <v>1</v>
      </c>
      <c r="AF74" s="179">
        <f t="shared" si="23"/>
        <v>0.70967598698886125</v>
      </c>
      <c r="AG74" s="837">
        <f t="shared" si="24"/>
        <v>0</v>
      </c>
      <c r="AH74" s="178">
        <f t="shared" si="16"/>
        <v>6</v>
      </c>
      <c r="AI74" s="227">
        <f t="shared" si="17"/>
        <v>0.70967598698886125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44987</v>
      </c>
      <c r="B75" s="1139">
        <f>IF(t&gt;Tmaj,'2022'!Wh/'2022'!Env_an*'2023'!Env_an,0.001*'[5]mon-tableau'!$B$209)</f>
        <v>15.472035835273838</v>
      </c>
      <c r="C75" s="866"/>
      <c r="D75" s="395">
        <f t="shared" si="0"/>
        <v>16.086672492723078</v>
      </c>
      <c r="E75" s="387">
        <f t="shared" si="1"/>
        <v>16.959883597932951</v>
      </c>
      <c r="F75" s="387">
        <f t="shared" si="2"/>
        <v>17.050798503002905</v>
      </c>
      <c r="G75" s="110">
        <f t="shared" si="21"/>
        <v>0.44574163862881089</v>
      </c>
      <c r="H75" s="414" t="b">
        <f>Wh_hp&gt;='2022'!Maxi_hp</f>
        <v>0</v>
      </c>
      <c r="I75" s="392">
        <f>IF(H75,Wh_hp,'2022'!Maxi_hp)</f>
        <v>26.22963515117911</v>
      </c>
      <c r="J75" s="85">
        <f>IF(H75,An,'2022'!An_max)</f>
        <v>2020</v>
      </c>
      <c r="K75" s="199">
        <f t="shared" si="3"/>
        <v>44987</v>
      </c>
      <c r="L75" s="147">
        <f>IF(t&lt;Tvie,1-EXP((T0-t)*PertePVj)+'2022'!Pspv,1-EXP((T0-t)*PertePVj)+Pspv)</f>
        <v>3.8207818162971696E-2</v>
      </c>
      <c r="M75" s="870"/>
      <c r="N75" s="870"/>
      <c r="O75" s="48">
        <f>IF(t&lt;Tnet,'2022'!Resal+('2022'!Salim-'2022'!Resal)*(1-EXP(('2022'!Tnet-t)/('2022'!Tau_j))),Resal+(Salim-Resal)*(1-EXP((Tnet-t)/(Tau_j))))*Salcycl</f>
        <v>5.1486857216183818E-2</v>
      </c>
      <c r="P75" s="171">
        <f>(INDEX(Models!$BJ75:$BT75,,T75)*(1-R75)+INDEX(Models!$BJ75:$BT75,,T75+1)*R75-ERP_i)*Q75*Ramure*Pc/MaxiM</f>
        <v>2.4181153597587133E-2</v>
      </c>
      <c r="Q75" s="307">
        <f t="shared" si="4"/>
        <v>1</v>
      </c>
      <c r="R75" s="179">
        <f t="shared" si="5"/>
        <v>0.71012485634582745</v>
      </c>
      <c r="S75" s="837">
        <f t="shared" si="6"/>
        <v>0</v>
      </c>
      <c r="T75" s="178">
        <f t="shared" si="7"/>
        <v>6</v>
      </c>
      <c r="U75" s="253">
        <f t="shared" si="8"/>
        <v>0.71012485634582745</v>
      </c>
      <c r="V75" s="385">
        <f t="shared" si="9"/>
        <v>34.052994941586967</v>
      </c>
      <c r="W75" s="404">
        <f t="shared" si="10"/>
        <v>15.472035835273838</v>
      </c>
      <c r="X75" s="157">
        <f t="shared" si="11"/>
        <v>44987</v>
      </c>
      <c r="Y75" s="387">
        <f t="shared" si="12"/>
        <v>13.858775767017846</v>
      </c>
      <c r="Z75" s="387">
        <f t="shared" si="22"/>
        <v>14.409324622027503</v>
      </c>
      <c r="AA75" s="388">
        <f t="shared" si="13"/>
        <v>16.959883597932951</v>
      </c>
      <c r="AB75" s="199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0.15038776423066419</v>
      </c>
      <c r="AD75" s="233">
        <f>(INDEX(Models!$BJ75:$BT75,,AH75)*(1-AF75)+INDEX(Models!$BJ75:$BT75,,AH75+1)*AF75-ERP_i)*AE75*Ramure*Pc/MaxiM</f>
        <v>2.4181153597587133E-2</v>
      </c>
      <c r="AE75" s="307">
        <f t="shared" si="15"/>
        <v>1</v>
      </c>
      <c r="AF75" s="179">
        <f t="shared" si="23"/>
        <v>0.71012485634582745</v>
      </c>
      <c r="AG75" s="837">
        <f t="shared" si="24"/>
        <v>0</v>
      </c>
      <c r="AH75" s="178">
        <f t="shared" si="16"/>
        <v>6</v>
      </c>
      <c r="AI75" s="227">
        <f t="shared" si="17"/>
        <v>0.71012485634582745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44988</v>
      </c>
      <c r="B76" s="1139">
        <f>IF(t&gt;Tmaj,'2022'!Wh/'2022'!Env_an*'2023'!Env_an,0.001*'[5]mon-tableau'!$B$210)</f>
        <v>31.992230734598923</v>
      </c>
      <c r="C76" s="866"/>
      <c r="D76" s="395">
        <f t="shared" si="0"/>
        <v>33.263916948009651</v>
      </c>
      <c r="E76" s="387">
        <f t="shared" si="1"/>
        <v>35.076418421910461</v>
      </c>
      <c r="F76" s="387">
        <f t="shared" si="2"/>
        <v>35.816916802130891</v>
      </c>
      <c r="G76" s="110">
        <f t="shared" si="21"/>
        <v>0.92545997828882143</v>
      </c>
      <c r="H76" s="414" t="b">
        <f>Wh_hp&gt;='2022'!Maxi_hp</f>
        <v>0</v>
      </c>
      <c r="I76" s="392">
        <f>IF(H76,Wh_hp,'2022'!Maxi_hp)</f>
        <v>35.856959587503439</v>
      </c>
      <c r="J76" s="85">
        <f>IF(H76,An,'2022'!An_max)</f>
        <v>2022</v>
      </c>
      <c r="K76" s="199">
        <f t="shared" si="3"/>
        <v>44988</v>
      </c>
      <c r="L76" s="147">
        <f>IF(t&lt;Tvie,1-EXP((T0-t)*PertePVj)+'2022'!Pspv,1-EXP((T0-t)*PertePVj)+Pspv)</f>
        <v>3.8230200472130993E-2</v>
      </c>
      <c r="M76" s="870"/>
      <c r="N76" s="870"/>
      <c r="O76" s="48">
        <f>IF(t&lt;Tnet,'2022'!Resal+('2022'!Salim-'2022'!Resal)*(1-EXP(('2022'!Tnet-t)/('2022'!Tau_j))),Resal+(Salim-Resal)*(1-EXP((Tnet-t)/(Tau_j))))*Salcycl</f>
        <v>5.1672934565309969E-2</v>
      </c>
      <c r="P76" s="171">
        <f>(INDEX(Models!$BJ76:$BT76,,T76)*(1-R76)+INDEX(Models!$BJ76:$BT76,,T76+1)*R76-ERP_i)*Q76*Ramure*Pc/MaxiM</f>
        <v>2.3055324795017786E-2</v>
      </c>
      <c r="Q76" s="307">
        <f t="shared" si="4"/>
        <v>1</v>
      </c>
      <c r="R76" s="179">
        <f t="shared" si="5"/>
        <v>0.71059193611962856</v>
      </c>
      <c r="S76" s="837">
        <f t="shared" si="6"/>
        <v>0</v>
      </c>
      <c r="T76" s="178">
        <f t="shared" si="7"/>
        <v>6</v>
      </c>
      <c r="U76" s="253">
        <f t="shared" si="8"/>
        <v>0.71059193611962856</v>
      </c>
      <c r="V76" s="385">
        <f t="shared" si="9"/>
        <v>34.484966400883856</v>
      </c>
      <c r="W76" s="404">
        <f t="shared" si="10"/>
        <v>31.992230734598923</v>
      </c>
      <c r="X76" s="157">
        <f t="shared" si="11"/>
        <v>44988</v>
      </c>
      <c r="Y76" s="387">
        <f t="shared" si="12"/>
        <v>28.659334184863511</v>
      </c>
      <c r="Z76" s="387">
        <f t="shared" si="22"/>
        <v>29.798538276968486</v>
      </c>
      <c r="AA76" s="388">
        <f t="shared" si="13"/>
        <v>35.076418421910461</v>
      </c>
      <c r="AB76" s="199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0.15046804612312276</v>
      </c>
      <c r="AD76" s="233">
        <f>(INDEX(Models!$BJ76:$BT76,,AH76)*(1-AF76)+INDEX(Models!$BJ76:$BT76,,AH76+1)*AF76-ERP_i)*AE76*Ramure*Pc/MaxiM</f>
        <v>2.3055324795017786E-2</v>
      </c>
      <c r="AE76" s="307">
        <f t="shared" si="15"/>
        <v>1</v>
      </c>
      <c r="AF76" s="179">
        <f t="shared" si="23"/>
        <v>0.71059193611962856</v>
      </c>
      <c r="AG76" s="837">
        <f t="shared" si="24"/>
        <v>0</v>
      </c>
      <c r="AH76" s="178">
        <f t="shared" si="16"/>
        <v>6</v>
      </c>
      <c r="AI76" s="227">
        <f t="shared" si="17"/>
        <v>0.71059193611962856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44989</v>
      </c>
      <c r="B77" s="1139">
        <f>IF(t&gt;Tmaj,'2022'!Wh/'2022'!Env_an*'2023'!Env_an,0.001*'[5]mon-tableau'!$B$211)</f>
        <v>6.0834246244121948</v>
      </c>
      <c r="C77" s="866"/>
      <c r="D77" s="395">
        <f t="shared" si="0"/>
        <v>6.3253870113945654</v>
      </c>
      <c r="E77" s="387">
        <f t="shared" si="1"/>
        <v>6.6713557805587271</v>
      </c>
      <c r="F77" s="387">
        <f t="shared" si="2"/>
        <v>6.6713557805587271</v>
      </c>
      <c r="G77" s="110">
        <f t="shared" si="21"/>
        <v>0.17039739799656872</v>
      </c>
      <c r="H77" s="414" t="b">
        <f>Wh_hp&gt;='2022'!Maxi_hp</f>
        <v>0</v>
      </c>
      <c r="I77" s="392">
        <f>IF(H77,Wh_hp,'2022'!Maxi_hp)</f>
        <v>29.720518011114656</v>
      </c>
      <c r="J77" s="85">
        <f>IF(H77,An,'2022'!An_max)</f>
        <v>2021</v>
      </c>
      <c r="K77" s="199">
        <f t="shared" si="3"/>
        <v>44989</v>
      </c>
      <c r="L77" s="147">
        <f>IF(t&lt;Tvie,1-EXP((T0-t)*PertePVj)+'2022'!Pspv,1-EXP((T0-t)*PertePVj)+Pspv)</f>
        <v>3.8252582260421275E-2</v>
      </c>
      <c r="M77" s="870"/>
      <c r="N77" s="870"/>
      <c r="O77" s="48">
        <f>IF(t&lt;Tnet,'2022'!Resal+('2022'!Salim-'2022'!Resal)*(1-EXP(('2022'!Tnet-t)/('2022'!Tau_j))),Resal+(Salim-Resal)*(1-EXP((Tnet-t)/(Tau_j))))*Salcycl</f>
        <v>5.1858839573863537E-2</v>
      </c>
      <c r="P77" s="171">
        <f>(INDEX(Models!$BJ77:$BT77,,T77)*(1-R77)+INDEX(Models!$BJ77:$BT77,,T77+1)*R77-ERP_i)*Q77*Ramure*Pc/MaxiM</f>
        <v>2.1970724202723908E-2</v>
      </c>
      <c r="Q77" s="307">
        <f t="shared" si="4"/>
        <v>1</v>
      </c>
      <c r="R77" s="179">
        <f t="shared" si="5"/>
        <v>0.71107793848276613</v>
      </c>
      <c r="S77" s="837">
        <f t="shared" si="6"/>
        <v>0</v>
      </c>
      <c r="T77" s="178">
        <f t="shared" si="7"/>
        <v>6</v>
      </c>
      <c r="U77" s="253">
        <f t="shared" si="8"/>
        <v>0.71107793848276613</v>
      </c>
      <c r="V77" s="385">
        <f t="shared" si="9"/>
        <v>34.917008415239913</v>
      </c>
      <c r="W77" s="404">
        <f t="shared" si="10"/>
        <v>6.0834246244121948</v>
      </c>
      <c r="X77" s="157">
        <f t="shared" si="11"/>
        <v>44989</v>
      </c>
      <c r="Y77" s="387">
        <f t="shared" si="12"/>
        <v>5.4502172846452837</v>
      </c>
      <c r="Z77" s="387">
        <f t="shared" si="22"/>
        <v>5.6669944562524313</v>
      </c>
      <c r="AA77" s="388">
        <f t="shared" si="13"/>
        <v>6.6713557805587271</v>
      </c>
      <c r="AB77" s="199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0.15054830792162918</v>
      </c>
      <c r="AD77" s="233">
        <f>(INDEX(Models!$BJ77:$BT77,,AH77)*(1-AF77)+INDEX(Models!$BJ77:$BT77,,AH77+1)*AF77-ERP_i)*AE77*Ramure*Pc/MaxiM</f>
        <v>2.1970724202723908E-2</v>
      </c>
      <c r="AE77" s="307">
        <f t="shared" si="15"/>
        <v>1</v>
      </c>
      <c r="AF77" s="179">
        <f t="shared" si="23"/>
        <v>0.71107793848276613</v>
      </c>
      <c r="AG77" s="837">
        <f t="shared" si="24"/>
        <v>0</v>
      </c>
      <c r="AH77" s="178">
        <f t="shared" si="16"/>
        <v>6</v>
      </c>
      <c r="AI77" s="227">
        <f t="shared" si="17"/>
        <v>0.71107793848276613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44990</v>
      </c>
      <c r="B78" s="1139">
        <f>IF(t&gt;Tmaj,'2022'!Wh/'2022'!Env_an*'2023'!Env_an,0.001*'[5]mon-tableau'!$B$212)</f>
        <v>13.639918533134862</v>
      </c>
      <c r="C78" s="866"/>
      <c r="D78" s="395">
        <f t="shared" si="0"/>
        <v>14.182763280417019</v>
      </c>
      <c r="E78" s="387">
        <f t="shared" si="1"/>
        <v>14.961424466538515</v>
      </c>
      <c r="F78" s="387">
        <f t="shared" si="2"/>
        <v>14.999928800435754</v>
      </c>
      <c r="G78" s="110">
        <f t="shared" si="21"/>
        <v>0.37876503831706998</v>
      </c>
      <c r="H78" s="414" t="b">
        <f>Wh_hp&gt;='2022'!Maxi_hp</f>
        <v>0</v>
      </c>
      <c r="I78" s="392">
        <f>IF(H78,Wh_hp,'2022'!Maxi_hp)</f>
        <v>38.596496043622651</v>
      </c>
      <c r="J78" s="85">
        <f>IF(H78,An,'2022'!An_max)</f>
        <v>2019</v>
      </c>
      <c r="K78" s="199">
        <f t="shared" si="3"/>
        <v>44990</v>
      </c>
      <c r="L78" s="147">
        <f>IF(t&lt;Tvie,1-EXP((T0-t)*PertePVj)+'2022'!Pspv,1-EXP((T0-t)*PertePVj)+Pspv)</f>
        <v>3.8274963527854533E-2</v>
      </c>
      <c r="M78" s="870"/>
      <c r="N78" s="870"/>
      <c r="O78" s="48">
        <f>IF(t&lt;Tnet,'2022'!Resal+('2022'!Salim-'2022'!Resal)*(1-EXP(('2022'!Tnet-t)/('2022'!Tau_j))),Resal+(Salim-Resal)*(1-EXP((Tnet-t)/(Tau_j))))*Salcycl</f>
        <v>5.2044588926875593E-2</v>
      </c>
      <c r="P78" s="171">
        <f>(INDEX(Models!$BJ78:$BT78,,T78)*(1-R78)+INDEX(Models!$BJ78:$BT78,,T78+1)*R78-ERP_i)*Q78*Ramure*Pc/MaxiM</f>
        <v>2.0926167500512797E-2</v>
      </c>
      <c r="Q78" s="307">
        <f t="shared" si="4"/>
        <v>1</v>
      </c>
      <c r="R78" s="179">
        <f t="shared" si="5"/>
        <v>0.71158360122342001</v>
      </c>
      <c r="S78" s="837">
        <f t="shared" si="6"/>
        <v>0</v>
      </c>
      <c r="T78" s="178">
        <f t="shared" si="7"/>
        <v>6</v>
      </c>
      <c r="U78" s="253">
        <f t="shared" si="8"/>
        <v>0.71158360122342001</v>
      </c>
      <c r="V78" s="385">
        <f t="shared" si="9"/>
        <v>35.348711525306214</v>
      </c>
      <c r="W78" s="404">
        <f t="shared" si="10"/>
        <v>13.639918533134862</v>
      </c>
      <c r="X78" s="157">
        <f t="shared" si="11"/>
        <v>44990</v>
      </c>
      <c r="Y78" s="387">
        <f t="shared" si="12"/>
        <v>12.221415277408042</v>
      </c>
      <c r="Z78" s="387">
        <f t="shared" si="22"/>
        <v>12.707806092102306</v>
      </c>
      <c r="AA78" s="388">
        <f t="shared" si="13"/>
        <v>14.961424466538515</v>
      </c>
      <c r="AB78" s="199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0.15062859686097843</v>
      </c>
      <c r="AD78" s="233">
        <f>(INDEX(Models!$BJ78:$BT78,,AH78)*(1-AF78)+INDEX(Models!$BJ78:$BT78,,AH78+1)*AF78-ERP_i)*AE78*Ramure*Pc/MaxiM</f>
        <v>2.0926167500512797E-2</v>
      </c>
      <c r="AE78" s="307">
        <f t="shared" si="15"/>
        <v>1</v>
      </c>
      <c r="AF78" s="179">
        <f t="shared" si="23"/>
        <v>0.71158360122342001</v>
      </c>
      <c r="AG78" s="837">
        <f t="shared" si="24"/>
        <v>0</v>
      </c>
      <c r="AH78" s="178">
        <f t="shared" si="16"/>
        <v>6</v>
      </c>
      <c r="AI78" s="227">
        <f t="shared" si="17"/>
        <v>0.71158360122342001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44991</v>
      </c>
      <c r="B79" s="1139">
        <f>IF(t&gt;Tmaj,'2022'!Wh/'2022'!Env_an*'2023'!Env_an,0.001*'[5]mon-tableau'!$B$213)</f>
        <v>20.015999147081786</v>
      </c>
      <c r="C79" s="866"/>
      <c r="D79" s="395">
        <f t="shared" ref="D79:D142" si="25">Wh/(1-Ppv)</f>
        <v>20.813085029884533</v>
      </c>
      <c r="E79" s="387">
        <f t="shared" si="1"/>
        <v>21.960063577160156</v>
      </c>
      <c r="F79" s="387">
        <f t="shared" ref="F79:F142" si="26">Wh_sa/(1-Pvg*MEDIAN((-Sdif+Wh/Env_an)/Csdif,0,1))</f>
        <v>22.123358330324514</v>
      </c>
      <c r="G79" s="110">
        <f t="shared" si="21"/>
        <v>0.55232101956180535</v>
      </c>
      <c r="H79" s="414" t="b">
        <f>Wh_hp&gt;='2022'!Maxi_hp</f>
        <v>0</v>
      </c>
      <c r="I79" s="392">
        <f>IF(H79,Wh_hp,'2022'!Maxi_hp)</f>
        <v>24.169421383322462</v>
      </c>
      <c r="J79" s="85">
        <f>IF(H79,An,'2022'!An_max)</f>
        <v>2019</v>
      </c>
      <c r="K79" s="199">
        <f t="shared" ref="K79:K142" si="27">t</f>
        <v>44991</v>
      </c>
      <c r="L79" s="147">
        <f>IF(t&lt;Tvie,1-EXP((T0-t)*PertePVj)+'2022'!Pspv,1-EXP((T0-t)*PertePVj)+Pspv)</f>
        <v>3.8297344274443201E-2</v>
      </c>
      <c r="M79" s="870"/>
      <c r="N79" s="870"/>
      <c r="O79" s="48">
        <f>IF(t&lt;Tnet,'2022'!Resal+('2022'!Salim-'2022'!Resal)*(1-EXP(('2022'!Tnet-t)/('2022'!Tau_j))),Resal+(Salim-Resal)*(1-EXP((Tnet-t)/(Tau_j))))*Salcycl</f>
        <v>5.2230201576854748E-2</v>
      </c>
      <c r="P79" s="171">
        <f>(INDEX(Models!$BJ79:$BT79,,T79)*(1-R79)+INDEX(Models!$BJ79:$BT79,,T79+1)*R79-ERP_i)*Q79*Ramure*Pc/MaxiM</f>
        <v>1.9919174511524151E-2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0.7121096884772774</v>
      </c>
      <c r="S79" s="837">
        <f t="shared" ref="S79:S142" si="30">INDEX(Echel_vg,T79)</f>
        <v>0</v>
      </c>
      <c r="T79" s="178">
        <f t="shared" ref="T79:T142" si="31">MIN(MATCH(Hp_vg,Echel_vg),10)</f>
        <v>6</v>
      </c>
      <c r="U79" s="253">
        <f t="shared" ref="U79:U142" si="32">IF(OR(t&lt;Ttai,Notai),Hdd+PousH*Croivg,Hdtf+PousH*(Croivg-Croi_tai))</f>
        <v>0.7121096884772774</v>
      </c>
      <c r="V79" s="385">
        <f t="shared" ref="V79:V142" si="33">MaxiM*(1-Ppv)*(1-Pvg)*(1-Psa)</f>
        <v>35.782036601119579</v>
      </c>
      <c r="W79" s="404">
        <f t="shared" ref="W79:W142" si="34">Wh*(A79&gt;Tmaj)</f>
        <v>20.015999147081786</v>
      </c>
      <c r="X79" s="157">
        <f t="shared" ref="X79:X142" si="35">t</f>
        <v>44991</v>
      </c>
      <c r="Y79" s="387">
        <f t="shared" ref="Y79:Y142" si="36">Wh_pvt_s*(1-Ppv)</f>
        <v>17.93622105010823</v>
      </c>
      <c r="Z79" s="387">
        <f t="shared" ref="Z79:Z142" si="37">Wh_sa_s*(1-Psa_s)</f>
        <v>18.650485098823236</v>
      </c>
      <c r="AA79" s="388">
        <f t="shared" ref="AA79:AA142" si="38">Wh_hp*(1-Pvg_s*MEDIAN((-Sdif+Wh/Env_an)/Csdif,0,1))</f>
        <v>21.960063577160156</v>
      </c>
      <c r="AB79" s="199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0.15070896615158669</v>
      </c>
      <c r="AD79" s="233">
        <f>(INDEX(Models!$BJ79:$BT79,,AH79)*(1-AF79)+INDEX(Models!$BJ79:$BT79,,AH79+1)*AF79-ERP_i)*AE79*Ramure*Pc/MaxiM</f>
        <v>1.9919174511524151E-2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0.7121096884772774</v>
      </c>
      <c r="AG79" s="837">
        <f t="shared" si="24"/>
        <v>0</v>
      </c>
      <c r="AH79" s="178">
        <f t="shared" ref="AH79:AH142" si="42">MIN(MATCH(Hp_vg_s,Echel_vg),10)</f>
        <v>6</v>
      </c>
      <c r="AI79" s="227">
        <f t="shared" ref="AI79:AI142" si="43">IF(OR(t&lt;Ttai,Notai),Hdd_s+PousH*Croivg,Hdtai_s+PousH*(Croivg-Croi_tai))</f>
        <v>0.7121096884772774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44992</v>
      </c>
      <c r="B80" s="1139">
        <f>IF(t&gt;Tmaj,'2022'!Wh/'2022'!Env_an*'2023'!Env_an,0.001*'[5]mon-tableau'!$B$214)</f>
        <v>34.142091176285057</v>
      </c>
      <c r="C80" s="866"/>
      <c r="D80" s="395">
        <f t="shared" si="25"/>
        <v>35.5025386774631</v>
      </c>
      <c r="E80" s="387">
        <f t="shared" ref="E80:E143" si="47">Wh_pvt/(1-Psa)</f>
        <v>37.466364343902939</v>
      </c>
      <c r="F80" s="387">
        <f t="shared" si="26"/>
        <v>38.130851149613854</v>
      </c>
      <c r="G80" s="110">
        <f t="shared" ref="G80:G143" si="48">+Wh_hp/MaxiM</f>
        <v>0.94120261897915536</v>
      </c>
      <c r="H80" s="414" t="b">
        <f>Wh_hp&gt;='2022'!Maxi_hp</f>
        <v>0</v>
      </c>
      <c r="I80" s="392">
        <f>IF(H80,Wh_hp,'2022'!Maxi_hp)</f>
        <v>38.157203221065181</v>
      </c>
      <c r="J80" s="85">
        <f>IF(H80,An,'2022'!An_max)</f>
        <v>2022</v>
      </c>
      <c r="K80" s="199">
        <f t="shared" si="27"/>
        <v>44992</v>
      </c>
      <c r="L80" s="147">
        <f>IF(t&lt;Tvie,1-EXP((T0-t)*PertePVj)+'2022'!Pspv,1-EXP((T0-t)*PertePVj)+Pspv)</f>
        <v>3.8319724500199048E-2</v>
      </c>
      <c r="M80" s="870"/>
      <c r="N80" s="870"/>
      <c r="O80" s="48">
        <f>IF(t&lt;Tnet,'2022'!Resal+('2022'!Salim-'2022'!Resal)*(1-EXP(('2022'!Tnet-t)/('2022'!Tau_j))),Resal+(Salim-Resal)*(1-EXP((Tnet-t)/(Tau_j))))*Salcycl</f>
        <v>5.2415698742849161E-2</v>
      </c>
      <c r="P80" s="171">
        <f>(INDEX(Models!$BJ80:$BT80,,T80)*(1-R80)+INDEX(Models!$BJ80:$BT80,,T80+1)*R80-ERP_i)*Q80*Ramure*Pc/MaxiM</f>
        <v>1.8980343032607889E-2</v>
      </c>
      <c r="Q80" s="307">
        <f t="shared" si="28"/>
        <v>1</v>
      </c>
      <c r="R80" s="179">
        <f t="shared" si="29"/>
        <v>0.71265699146348715</v>
      </c>
      <c r="S80" s="837">
        <f t="shared" si="30"/>
        <v>0</v>
      </c>
      <c r="T80" s="178">
        <f t="shared" si="31"/>
        <v>6</v>
      </c>
      <c r="U80" s="253">
        <f t="shared" si="32"/>
        <v>0.71265699146348715</v>
      </c>
      <c r="V80" s="385">
        <f t="shared" si="33"/>
        <v>36.217598327347815</v>
      </c>
      <c r="W80" s="404">
        <f t="shared" si="34"/>
        <v>34.142091176285057</v>
      </c>
      <c r="X80" s="157">
        <f t="shared" si="35"/>
        <v>44992</v>
      </c>
      <c r="Y80" s="387">
        <f t="shared" si="36"/>
        <v>30.597618742419943</v>
      </c>
      <c r="Z80" s="387">
        <f t="shared" si="37"/>
        <v>31.816830938450789</v>
      </c>
      <c r="AA80" s="388">
        <f t="shared" si="38"/>
        <v>37.466364343902939</v>
      </c>
      <c r="AB80" s="199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0.15078947488993608</v>
      </c>
      <c r="AD80" s="233">
        <f>(INDEX(Models!$BJ80:$BT80,,AH80)*(1-AF80)+INDEX(Models!$BJ80:$BT80,,AH80+1)*AF80-ERP_i)*AE80*Ramure*Pc/MaxiM</f>
        <v>1.8980343032607889E-2</v>
      </c>
      <c r="AE80" s="307">
        <f t="shared" si="40"/>
        <v>1</v>
      </c>
      <c r="AF80" s="179">
        <f t="shared" si="41"/>
        <v>0.71265699146348715</v>
      </c>
      <c r="AG80" s="837">
        <f t="shared" ref="AG80:AG143" si="49">INDEX(Echel_vg,AH80)</f>
        <v>0</v>
      </c>
      <c r="AH80" s="178">
        <f t="shared" si="42"/>
        <v>6</v>
      </c>
      <c r="AI80" s="227">
        <f t="shared" si="43"/>
        <v>0.71265699146348715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44993</v>
      </c>
      <c r="B81" s="1139">
        <f>IF(t&gt;Tmaj,'2022'!Wh/'2022'!Env_an*'2023'!Env_an,0.001*'[5]mon-tableau'!$B$215)</f>
        <v>27.555620859692187</v>
      </c>
      <c r="C81" s="866"/>
      <c r="D81" s="395">
        <f t="shared" si="25"/>
        <v>28.654286498543101</v>
      </c>
      <c r="E81" s="387">
        <f t="shared" si="47"/>
        <v>30.245218372510642</v>
      </c>
      <c r="F81" s="387">
        <f t="shared" si="26"/>
        <v>30.602931794801691</v>
      </c>
      <c r="G81" s="110">
        <f t="shared" si="48"/>
        <v>0.74687797955040403</v>
      </c>
      <c r="H81" s="414" t="b">
        <f>Wh_hp&gt;='2022'!Maxi_hp</f>
        <v>0</v>
      </c>
      <c r="I81" s="392">
        <f>IF(H81,Wh_hp,'2022'!Maxi_hp)</f>
        <v>30.688096258779094</v>
      </c>
      <c r="J81" s="85">
        <f>IF(H81,An,'2022'!An_max)</f>
        <v>2022</v>
      </c>
      <c r="K81" s="199">
        <f t="shared" si="27"/>
        <v>44993</v>
      </c>
      <c r="L81" s="147">
        <f>IF(t&lt;Tvie,1-EXP((T0-t)*PertePVj)+'2022'!Pspv,1-EXP((T0-t)*PertePVj)+Pspv)</f>
        <v>3.8342104205134397E-2</v>
      </c>
      <c r="M81" s="870"/>
      <c r="N81" s="870"/>
      <c r="O81" s="48">
        <f>IF(t&lt;Tnet,'2022'!Resal+('2022'!Salim-'2022'!Resal)*(1-EXP(('2022'!Tnet-t)/('2022'!Tau_j))),Resal+(Salim-Resal)*(1-EXP((Tnet-t)/(Tau_j))))*Salcycl</f>
        <v>5.2601103895930645E-2</v>
      </c>
      <c r="P81" s="171">
        <f>(INDEX(Models!$BJ81:$BT81,,T81)*(1-R81)+INDEX(Models!$BJ81:$BT81,,T81+1)*R81-ERP_i)*Q81*Ramure*Pc/MaxiM</f>
        <v>1.8111693765301567E-2</v>
      </c>
      <c r="Q81" s="307">
        <f t="shared" si="28"/>
        <v>1</v>
      </c>
      <c r="R81" s="179">
        <f t="shared" si="29"/>
        <v>0.71322632922298135</v>
      </c>
      <c r="S81" s="837">
        <f t="shared" si="30"/>
        <v>0</v>
      </c>
      <c r="T81" s="178">
        <f t="shared" si="31"/>
        <v>6</v>
      </c>
      <c r="U81" s="253">
        <f t="shared" si="32"/>
        <v>0.71322632922298135</v>
      </c>
      <c r="V81" s="385">
        <f t="shared" si="33"/>
        <v>36.654638707191531</v>
      </c>
      <c r="W81" s="404">
        <f t="shared" si="34"/>
        <v>27.555620859692187</v>
      </c>
      <c r="X81" s="157">
        <f t="shared" si="35"/>
        <v>44993</v>
      </c>
      <c r="Y81" s="387">
        <f t="shared" si="36"/>
        <v>24.697410201996771</v>
      </c>
      <c r="Z81" s="387">
        <f t="shared" si="37"/>
        <v>25.682116592598597</v>
      </c>
      <c r="AA81" s="388">
        <f t="shared" si="38"/>
        <v>30.245218372510642</v>
      </c>
      <c r="AB81" s="199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0.15087018793223089</v>
      </c>
      <c r="AD81" s="233">
        <f>(INDEX(Models!$BJ81:$BT81,,AH81)*(1-AF81)+INDEX(Models!$BJ81:$BT81,,AH81+1)*AF81-ERP_i)*AE81*Ramure*Pc/MaxiM</f>
        <v>1.8111693765301567E-2</v>
      </c>
      <c r="AE81" s="307">
        <f t="shared" si="40"/>
        <v>1</v>
      </c>
      <c r="AF81" s="179">
        <f t="shared" si="41"/>
        <v>0.71322632922298135</v>
      </c>
      <c r="AG81" s="837">
        <f t="shared" si="49"/>
        <v>0</v>
      </c>
      <c r="AH81" s="178">
        <f t="shared" si="42"/>
        <v>6</v>
      </c>
      <c r="AI81" s="227">
        <f t="shared" si="43"/>
        <v>0.71322632922298135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44994</v>
      </c>
      <c r="B82" s="1139">
        <f>IF(t&gt;Tmaj,'2022'!Wh/'2022'!Env_an*'2023'!Env_an,0.001*'[5]mon-tableau'!$B$216)</f>
        <v>28.704042608192314</v>
      </c>
      <c r="C82" s="866"/>
      <c r="D82" s="395">
        <f t="shared" si="25"/>
        <v>29.849191416472451</v>
      </c>
      <c r="E82" s="387">
        <f t="shared" si="47"/>
        <v>31.512631114095839</v>
      </c>
      <c r="F82" s="387">
        <f t="shared" si="26"/>
        <v>31.886293038602439</v>
      </c>
      <c r="G82" s="110">
        <f t="shared" si="48"/>
        <v>0.76947018471801854</v>
      </c>
      <c r="H82" s="414" t="b">
        <f>Wh_hp&gt;='2022'!Maxi_hp</f>
        <v>0</v>
      </c>
      <c r="I82" s="392">
        <f>IF(H82,Wh_hp,'2022'!Maxi_hp)</f>
        <v>39.162385004311176</v>
      </c>
      <c r="J82" s="85">
        <f>IF(H82,An,'2022'!An_max)</f>
        <v>2021</v>
      </c>
      <c r="K82" s="199">
        <f t="shared" si="27"/>
        <v>44994</v>
      </c>
      <c r="L82" s="147">
        <f>IF(t&lt;Tvie,1-EXP((T0-t)*PertePVj)+'2022'!Pspv,1-EXP((T0-t)*PertePVj)+Pspv)</f>
        <v>3.8364483389261239E-2</v>
      </c>
      <c r="M82" s="870"/>
      <c r="N82" s="870"/>
      <c r="O82" s="48">
        <f>IF(t&lt;Tnet,'2022'!Resal+('2022'!Salim-'2022'!Resal)*(1-EXP(('2022'!Tnet-t)/('2022'!Tau_j))),Resal+(Salim-Resal)*(1-EXP((Tnet-t)/(Tau_j))))*Salcycl</f>
        <v>5.2786442731509002E-2</v>
      </c>
      <c r="P82" s="171">
        <f>(INDEX(Models!$BJ82:$BT82,,T82)*(1-R82)+INDEX(Models!$BJ82:$BT82,,T82+1)*R82-ERP_i)*Q82*Ramure*Pc/MaxiM</f>
        <v>1.7311408799568769E-2</v>
      </c>
      <c r="Q82" s="307">
        <f t="shared" si="28"/>
        <v>1</v>
      </c>
      <c r="R82" s="179">
        <f t="shared" si="29"/>
        <v>0.71381854935720301</v>
      </c>
      <c r="S82" s="837">
        <f t="shared" si="30"/>
        <v>0</v>
      </c>
      <c r="T82" s="178">
        <f t="shared" si="31"/>
        <v>6</v>
      </c>
      <c r="U82" s="253">
        <f t="shared" si="32"/>
        <v>0.71381854935720301</v>
      </c>
      <c r="V82" s="385">
        <f t="shared" si="33"/>
        <v>37.092538049357856</v>
      </c>
      <c r="W82" s="404">
        <f t="shared" si="34"/>
        <v>28.704042608192314</v>
      </c>
      <c r="X82" s="157">
        <f t="shared" si="35"/>
        <v>44994</v>
      </c>
      <c r="Y82" s="387">
        <f t="shared" si="36"/>
        <v>25.729291394931156</v>
      </c>
      <c r="Z82" s="387">
        <f t="shared" si="37"/>
        <v>26.755762396977001</v>
      </c>
      <c r="AA82" s="388">
        <f t="shared" si="38"/>
        <v>31.512631114095839</v>
      </c>
      <c r="AB82" s="199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0.15095117573318265</v>
      </c>
      <c r="AD82" s="233">
        <f>(INDEX(Models!$BJ82:$BT82,,AH82)*(1-AF82)+INDEX(Models!$BJ82:$BT82,,AH82+1)*AF82-ERP_i)*AE82*Ramure*Pc/MaxiM</f>
        <v>1.7311408799568769E-2</v>
      </c>
      <c r="AE82" s="307">
        <f t="shared" si="40"/>
        <v>1</v>
      </c>
      <c r="AF82" s="179">
        <f t="shared" si="41"/>
        <v>0.71381854935720301</v>
      </c>
      <c r="AG82" s="837">
        <f t="shared" si="49"/>
        <v>0</v>
      </c>
      <c r="AH82" s="178">
        <f t="shared" si="42"/>
        <v>6</v>
      </c>
      <c r="AI82" s="227">
        <f t="shared" si="43"/>
        <v>0.71381854935720301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44995</v>
      </c>
      <c r="B83" s="1139">
        <f>IF(t&gt;Tmaj,'2022'!Wh/'2022'!Env_an*'2023'!Env_an,0.001*'[5]mon-tableau'!$B$217)</f>
        <v>20.142711575198195</v>
      </c>
      <c r="C83" s="866"/>
      <c r="D83" s="395">
        <f t="shared" si="25"/>
        <v>20.946793237656273</v>
      </c>
      <c r="E83" s="387">
        <f t="shared" si="47"/>
        <v>22.118445870733424</v>
      </c>
      <c r="F83" s="387">
        <f t="shared" si="26"/>
        <v>22.243132364713883</v>
      </c>
      <c r="G83" s="110">
        <f t="shared" si="48"/>
        <v>0.53077803238800503</v>
      </c>
      <c r="H83" s="414" t="b">
        <f>Wh_hp&gt;='2022'!Maxi_hp</f>
        <v>0</v>
      </c>
      <c r="I83" s="392">
        <f>IF(H83,Wh_hp,'2022'!Maxi_hp)</f>
        <v>39.155466400635383</v>
      </c>
      <c r="J83" s="85">
        <f>IF(H83,An,'2022'!An_max)</f>
        <v>2021</v>
      </c>
      <c r="K83" s="199">
        <f t="shared" si="27"/>
        <v>44995</v>
      </c>
      <c r="L83" s="147">
        <f>IF(t&lt;Tvie,1-EXP((T0-t)*PertePVj)+'2022'!Pspv,1-EXP((T0-t)*PertePVj)+Pspv)</f>
        <v>3.8386862052591897E-2</v>
      </c>
      <c r="M83" s="870"/>
      <c r="N83" s="870"/>
      <c r="O83" s="48">
        <f>IF(t&lt;Tnet,'2022'!Resal+('2022'!Salim-'2022'!Resal)*(1-EXP(('2022'!Tnet-t)/('2022'!Tau_j))),Resal+(Salim-Resal)*(1-EXP((Tnet-t)/(Tau_j))))*Salcycl</f>
        <v>5.2971743128998675E-2</v>
      </c>
      <c r="P83" s="171">
        <f>(INDEX(Models!$BJ83:$BT83,,T83)*(1-R83)+INDEX(Models!$BJ83:$BT83,,T83+1)*R83-ERP_i)*Q83*Ramure*Pc/MaxiM</f>
        <v>1.6577665994002302E-2</v>
      </c>
      <c r="Q83" s="307">
        <f t="shared" si="28"/>
        <v>1</v>
      </c>
      <c r="R83" s="179">
        <f t="shared" si="29"/>
        <v>0.71443452876507441</v>
      </c>
      <c r="S83" s="837">
        <f t="shared" si="30"/>
        <v>0</v>
      </c>
      <c r="T83" s="178">
        <f t="shared" si="31"/>
        <v>6</v>
      </c>
      <c r="U83" s="253">
        <f t="shared" si="32"/>
        <v>0.71443452876507441</v>
      </c>
      <c r="V83" s="385">
        <f t="shared" si="33"/>
        <v>37.530677024545014</v>
      </c>
      <c r="W83" s="404">
        <f t="shared" si="34"/>
        <v>20.142711575198195</v>
      </c>
      <c r="X83" s="157">
        <f t="shared" si="35"/>
        <v>44995</v>
      </c>
      <c r="Y83" s="387">
        <f t="shared" si="36"/>
        <v>18.057018974972792</v>
      </c>
      <c r="Z83" s="387">
        <f t="shared" si="37"/>
        <v>18.777841381739062</v>
      </c>
      <c r="AA83" s="388">
        <f t="shared" si="38"/>
        <v>22.118445870733424</v>
      </c>
      <c r="AB83" s="199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0.15103251415211624</v>
      </c>
      <c r="AD83" s="233">
        <f>(INDEX(Models!$BJ83:$BT83,,AH83)*(1-AF83)+INDEX(Models!$BJ83:$BT83,,AH83+1)*AF83-ERP_i)*AE83*Ramure*Pc/MaxiM</f>
        <v>1.6577665994002302E-2</v>
      </c>
      <c r="AE83" s="307">
        <f t="shared" si="40"/>
        <v>1</v>
      </c>
      <c r="AF83" s="179">
        <f t="shared" si="41"/>
        <v>0.71443452876507441</v>
      </c>
      <c r="AG83" s="837">
        <f t="shared" si="49"/>
        <v>0</v>
      </c>
      <c r="AH83" s="178">
        <f t="shared" si="42"/>
        <v>6</v>
      </c>
      <c r="AI83" s="227">
        <f t="shared" si="43"/>
        <v>0.71443452876507441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44996</v>
      </c>
      <c r="B84" s="1139">
        <f>IF(t&gt;Tmaj,'2022'!Wh/'2022'!Env_an*'2023'!Env_an,0.001*'[5]mon-tableau'!$B$218)</f>
        <v>14.331900311382689</v>
      </c>
      <c r="C84" s="866"/>
      <c r="D84" s="395">
        <f t="shared" si="25"/>
        <v>14.904365672452077</v>
      </c>
      <c r="E84" s="387">
        <f t="shared" si="47"/>
        <v>15.741116769049198</v>
      </c>
      <c r="F84" s="387">
        <f t="shared" si="26"/>
        <v>15.768879551896655</v>
      </c>
      <c r="G84" s="110">
        <f t="shared" si="48"/>
        <v>0.37211893757630088</v>
      </c>
      <c r="H84" s="414" t="b">
        <f>Wh_hp&gt;='2022'!Maxi_hp</f>
        <v>0</v>
      </c>
      <c r="I84" s="392">
        <f>IF(H84,Wh_hp,'2022'!Maxi_hp)</f>
        <v>33.082890956820819</v>
      </c>
      <c r="J84" s="85">
        <f>IF(H84,An,'2022'!An_max)</f>
        <v>2019</v>
      </c>
      <c r="K84" s="199">
        <f t="shared" si="27"/>
        <v>44996</v>
      </c>
      <c r="L84" s="147">
        <f>IF(t&lt;Tvie,1-EXP((T0-t)*PertePVj)+'2022'!Pspv,1-EXP((T0-t)*PertePVj)+Pspv)</f>
        <v>3.8409240195138361E-2</v>
      </c>
      <c r="M84" s="870"/>
      <c r="N84" s="870"/>
      <c r="O84" s="48">
        <f>IF(t&lt;Tnet,'2022'!Resal+('2022'!Salim-'2022'!Resal)*(1-EXP(('2022'!Tnet-t)/('2022'!Tau_j))),Resal+(Salim-Resal)*(1-EXP((Tnet-t)/(Tau_j))))*Salcycl</f>
        <v>5.3157035099464719E-2</v>
      </c>
      <c r="P84" s="171">
        <f>(INDEX(Models!$BJ84:$BT84,,T84)*(1-R84)+INDEX(Models!$BJ84:$BT84,,T84+1)*R84-ERP_i)*Q84*Ramure*Pc/MaxiM</f>
        <v>1.5908651158808625E-2</v>
      </c>
      <c r="Q84" s="307">
        <f t="shared" si="28"/>
        <v>1</v>
      </c>
      <c r="R84" s="179">
        <f t="shared" si="29"/>
        <v>0.71507517437580526</v>
      </c>
      <c r="S84" s="837">
        <f t="shared" si="30"/>
        <v>0</v>
      </c>
      <c r="T84" s="178">
        <f t="shared" si="31"/>
        <v>6</v>
      </c>
      <c r="U84" s="253">
        <f t="shared" si="32"/>
        <v>0.71507517437580526</v>
      </c>
      <c r="V84" s="385">
        <f t="shared" si="33"/>
        <v>37.968436663685559</v>
      </c>
      <c r="W84" s="404">
        <f t="shared" si="34"/>
        <v>14.331900311382689</v>
      </c>
      <c r="X84" s="157">
        <f t="shared" si="35"/>
        <v>44996</v>
      </c>
      <c r="Y84" s="387">
        <f t="shared" si="36"/>
        <v>12.849169191923192</v>
      </c>
      <c r="Z84" s="387">
        <f t="shared" si="37"/>
        <v>13.362409175531917</v>
      </c>
      <c r="AA84" s="388">
        <f t="shared" si="38"/>
        <v>15.741116769049198</v>
      </c>
      <c r="AB84" s="199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0.15111428422882858</v>
      </c>
      <c r="AD84" s="233">
        <f>(INDEX(Models!$BJ84:$BT84,,AH84)*(1-AF84)+INDEX(Models!$BJ84:$BT84,,AH84+1)*AF84-ERP_i)*AE84*Ramure*Pc/MaxiM</f>
        <v>1.5908651158808625E-2</v>
      </c>
      <c r="AE84" s="307">
        <f t="shared" si="40"/>
        <v>1</v>
      </c>
      <c r="AF84" s="179">
        <f t="shared" si="41"/>
        <v>0.71507517437580526</v>
      </c>
      <c r="AG84" s="837">
        <f t="shared" si="49"/>
        <v>0</v>
      </c>
      <c r="AH84" s="178">
        <f t="shared" si="42"/>
        <v>6</v>
      </c>
      <c r="AI84" s="227">
        <f t="shared" si="43"/>
        <v>0.71507517437580526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44997</v>
      </c>
      <c r="B85" s="1139">
        <f>IF(t&gt;Tmaj,'2022'!Wh/'2022'!Env_an*'2023'!Env_an,0.001*'[5]mon-tableau'!$B$219)</f>
        <v>13.589754194098798</v>
      </c>
      <c r="C85" s="866"/>
      <c r="D85" s="395">
        <f t="shared" si="25"/>
        <v>14.132904581622611</v>
      </c>
      <c r="E85" s="387">
        <f t="shared" si="47"/>
        <v>14.929266765446913</v>
      </c>
      <c r="F85" s="387">
        <f t="shared" si="26"/>
        <v>14.946862919662129</v>
      </c>
      <c r="G85" s="110">
        <f t="shared" si="48"/>
        <v>0.34884778279745321</v>
      </c>
      <c r="H85" s="414" t="b">
        <f>Wh_hp&gt;='2022'!Maxi_hp</f>
        <v>0</v>
      </c>
      <c r="I85" s="392">
        <f>IF(H85,Wh_hp,'2022'!Maxi_hp)</f>
        <v>39.998388958381668</v>
      </c>
      <c r="J85" s="85">
        <f>IF(H85,An,'2022'!An_max)</f>
        <v>2020</v>
      </c>
      <c r="K85" s="199">
        <f t="shared" si="27"/>
        <v>44997</v>
      </c>
      <c r="L85" s="147">
        <f>IF(t&lt;Tvie,1-EXP((T0-t)*PertePVj)+'2022'!Pspv,1-EXP((T0-t)*PertePVj)+Pspv)</f>
        <v>3.8431617816912622E-2</v>
      </c>
      <c r="M85" s="870"/>
      <c r="N85" s="870"/>
      <c r="O85" s="48">
        <f>IF(t&lt;Tnet,'2022'!Resal+('2022'!Salim-'2022'!Resal)*(1-EXP(('2022'!Tnet-t)/('2022'!Tau_j))),Resal+(Salim-Resal)*(1-EXP((Tnet-t)/(Tau_j))))*Salcycl</f>
        <v>5.3342350721968745E-2</v>
      </c>
      <c r="P85" s="171">
        <f>(INDEX(Models!$BJ85:$BT85,,T85)*(1-R85)+INDEX(Models!$BJ85:$BT85,,T85+1)*R85-ERP_i)*Q85*Ramure*Pc/MaxiM</f>
        <v>1.5302568866868824E-2</v>
      </c>
      <c r="Q85" s="307">
        <f t="shared" si="28"/>
        <v>1</v>
      </c>
      <c r="R85" s="179">
        <f t="shared" si="29"/>
        <v>0.71574142387490258</v>
      </c>
      <c r="S85" s="837">
        <f t="shared" si="30"/>
        <v>0</v>
      </c>
      <c r="T85" s="178">
        <f t="shared" si="31"/>
        <v>6</v>
      </c>
      <c r="U85" s="253">
        <f t="shared" si="32"/>
        <v>0.71574142387490258</v>
      </c>
      <c r="V85" s="385">
        <f t="shared" si="33"/>
        <v>38.405198360456488</v>
      </c>
      <c r="W85" s="404">
        <f t="shared" si="34"/>
        <v>13.589754194098798</v>
      </c>
      <c r="X85" s="157">
        <f t="shared" si="35"/>
        <v>44997</v>
      </c>
      <c r="Y85" s="387">
        <f t="shared" si="36"/>
        <v>12.185006855806833</v>
      </c>
      <c r="Z85" s="387">
        <f t="shared" si="37"/>
        <v>12.672012809055474</v>
      </c>
      <c r="AA85" s="388">
        <f t="shared" si="38"/>
        <v>14.929266765446913</v>
      </c>
      <c r="AB85" s="199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0.15119657193183439</v>
      </c>
      <c r="AD85" s="233">
        <f>(INDEX(Models!$BJ85:$BT85,,AH85)*(1-AF85)+INDEX(Models!$BJ85:$BT85,,AH85+1)*AF85-ERP_i)*AE85*Ramure*Pc/MaxiM</f>
        <v>1.5302568866868824E-2</v>
      </c>
      <c r="AE85" s="307">
        <f t="shared" si="40"/>
        <v>1</v>
      </c>
      <c r="AF85" s="179">
        <f t="shared" si="41"/>
        <v>0.71574142387490258</v>
      </c>
      <c r="AG85" s="837">
        <f t="shared" si="49"/>
        <v>0</v>
      </c>
      <c r="AH85" s="178">
        <f t="shared" si="42"/>
        <v>6</v>
      </c>
      <c r="AI85" s="227">
        <f t="shared" si="43"/>
        <v>0.71574142387490258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44998</v>
      </c>
      <c r="B86" s="1139">
        <f>IF(t&gt;Tmaj,'2022'!Wh/'2022'!Env_an*'2023'!Env_an,0.001*'[5]mon-tableau'!$B$220)</f>
        <v>8.9761615159360701</v>
      </c>
      <c r="C86" s="866"/>
      <c r="D86" s="395">
        <f t="shared" si="25"/>
        <v>9.3351347397776436</v>
      </c>
      <c r="E86" s="387">
        <f t="shared" si="47"/>
        <v>9.8630831321490291</v>
      </c>
      <c r="F86" s="387">
        <f t="shared" si="26"/>
        <v>9.8630831321490291</v>
      </c>
      <c r="G86" s="110">
        <f t="shared" si="48"/>
        <v>0.2276935157259771</v>
      </c>
      <c r="H86" s="414" t="b">
        <f>Wh_hp&gt;='2022'!Maxi_hp</f>
        <v>0</v>
      </c>
      <c r="I86" s="392">
        <f>IF(H86,Wh_hp,'2022'!Maxi_hp)</f>
        <v>40.074289078669288</v>
      </c>
      <c r="J86" s="85">
        <f>IF(H86,An,'2022'!An_max)</f>
        <v>2021</v>
      </c>
      <c r="K86" s="199">
        <f t="shared" si="27"/>
        <v>44998</v>
      </c>
      <c r="L86" s="147">
        <f>IF(t&lt;Tvie,1-EXP((T0-t)*PertePVj)+'2022'!Pspv,1-EXP((T0-t)*PertePVj)+Pspv)</f>
        <v>3.8453994917927004E-2</v>
      </c>
      <c r="M86" s="870"/>
      <c r="N86" s="870"/>
      <c r="O86" s="48">
        <f>IF(t&lt;Tnet,'2022'!Resal+('2022'!Salim-'2022'!Resal)*(1-EXP(('2022'!Tnet-t)/('2022'!Tau_j))),Resal+(Salim-Resal)*(1-EXP((Tnet-t)/(Tau_j))))*Salcycl</f>
        <v>5.3527724069416131E-2</v>
      </c>
      <c r="P86" s="171">
        <f>(INDEX(Models!$BJ86:$BT86,,T86)*(1-R86)+INDEX(Models!$BJ86:$BT86,,T86+1)*R86-ERP_i)*Q86*Ramure*Pc/MaxiM</f>
        <v>1.4766566917843196E-2</v>
      </c>
      <c r="Q86" s="307">
        <f t="shared" si="28"/>
        <v>1</v>
      </c>
      <c r="R86" s="179">
        <f t="shared" si="29"/>
        <v>0.7164342464204867</v>
      </c>
      <c r="S86" s="837">
        <f t="shared" si="30"/>
        <v>0</v>
      </c>
      <c r="T86" s="178">
        <f t="shared" si="31"/>
        <v>6</v>
      </c>
      <c r="U86" s="253">
        <f t="shared" si="32"/>
        <v>0.7164342464204867</v>
      </c>
      <c r="V86" s="385">
        <f t="shared" si="33"/>
        <v>38.839992425997231</v>
      </c>
      <c r="W86" s="404">
        <f t="shared" si="34"/>
        <v>8.9761615159360701</v>
      </c>
      <c r="X86" s="157">
        <f t="shared" si="35"/>
        <v>44998</v>
      </c>
      <c r="Y86" s="387">
        <f t="shared" si="36"/>
        <v>8.0491027280158196</v>
      </c>
      <c r="Z86" s="387">
        <f t="shared" si="37"/>
        <v>8.3710011642436033</v>
      </c>
      <c r="AA86" s="388">
        <f t="shared" si="38"/>
        <v>9.8630831321490291</v>
      </c>
      <c r="AB86" s="199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0.15127946788179636</v>
      </c>
      <c r="AD86" s="233">
        <f>(INDEX(Models!$BJ86:$BT86,,AH86)*(1-AF86)+INDEX(Models!$BJ86:$BT86,,AH86+1)*AF86-ERP_i)*AE86*Ramure*Pc/MaxiM</f>
        <v>1.4766566917843196E-2</v>
      </c>
      <c r="AE86" s="307">
        <f t="shared" si="40"/>
        <v>1</v>
      </c>
      <c r="AF86" s="179">
        <f t="shared" si="41"/>
        <v>0.7164342464204867</v>
      </c>
      <c r="AG86" s="837">
        <f t="shared" si="49"/>
        <v>0</v>
      </c>
      <c r="AH86" s="178">
        <f t="shared" si="42"/>
        <v>6</v>
      </c>
      <c r="AI86" s="227">
        <f t="shared" si="43"/>
        <v>0.7164342464204867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44999</v>
      </c>
      <c r="B87" s="1139">
        <f>IF(t&gt;Tmaj,'2022'!Wh/'2022'!Env_an*'2023'!Env_an,0.001*'[5]mon-tableau'!$B$221)</f>
        <v>12.367210388082032</v>
      </c>
      <c r="C87" s="866"/>
      <c r="D87" s="395">
        <f t="shared" si="25"/>
        <v>12.862097218923205</v>
      </c>
      <c r="E87" s="387">
        <f t="shared" si="47"/>
        <v>13.592176386999784</v>
      </c>
      <c r="F87" s="387">
        <f t="shared" si="26"/>
        <v>13.596310568442567</v>
      </c>
      <c r="G87" s="110">
        <f t="shared" si="48"/>
        <v>0.31050167015566965</v>
      </c>
      <c r="H87" s="414" t="b">
        <f>Wh_hp&gt;='2022'!Maxi_hp</f>
        <v>0</v>
      </c>
      <c r="I87" s="392">
        <f>IF(H87,Wh_hp,'2022'!Maxi_hp)</f>
        <v>37.860664680473128</v>
      </c>
      <c r="J87" s="85">
        <f>IF(H87,An,'2022'!An_max)</f>
        <v>2020</v>
      </c>
      <c r="K87" s="199">
        <f t="shared" si="27"/>
        <v>44999</v>
      </c>
      <c r="L87" s="147">
        <f>IF(t&lt;Tvie,1-EXP((T0-t)*PertePVj)+'2022'!Pspv,1-EXP((T0-t)*PertePVj)+Pspv)</f>
        <v>3.8476371498193607E-2</v>
      </c>
      <c r="M87" s="870"/>
      <c r="N87" s="870"/>
      <c r="O87" s="48">
        <f>IF(t&lt;Tnet,'2022'!Resal+('2022'!Salim-'2022'!Resal)*(1-EXP(('2022'!Tnet-t)/('2022'!Tau_j))),Resal+(Salim-Resal)*(1-EXP((Tnet-t)/(Tau_j))))*Salcycl</f>
        <v>5.3713191124775343E-2</v>
      </c>
      <c r="P87" s="171">
        <f>(INDEX(Models!$BJ87:$BT87,,T87)*(1-R87)+INDEX(Models!$BJ87:$BT87,,T87+1)*R87-ERP_i)*Q87*Ramure*Pc/MaxiM</f>
        <v>1.4280828308164588E-2</v>
      </c>
      <c r="Q87" s="307">
        <f t="shared" si="28"/>
        <v>1</v>
      </c>
      <c r="R87" s="179">
        <f t="shared" si="29"/>
        <v>0.7171546433467394</v>
      </c>
      <c r="S87" s="837">
        <f t="shared" si="30"/>
        <v>0</v>
      </c>
      <c r="T87" s="178">
        <f t="shared" si="31"/>
        <v>6</v>
      </c>
      <c r="U87" s="253">
        <f t="shared" si="32"/>
        <v>0.7171546433467394</v>
      </c>
      <c r="V87" s="385">
        <f t="shared" si="33"/>
        <v>39.272910358814919</v>
      </c>
      <c r="W87" s="404">
        <f t="shared" si="34"/>
        <v>12.367210388082032</v>
      </c>
      <c r="X87" s="157">
        <f t="shared" si="35"/>
        <v>44999</v>
      </c>
      <c r="Y87" s="387">
        <f t="shared" si="36"/>
        <v>11.091004750796788</v>
      </c>
      <c r="Z87" s="387">
        <f t="shared" si="37"/>
        <v>11.534822881137291</v>
      </c>
      <c r="AA87" s="388">
        <f t="shared" si="38"/>
        <v>13.592176386999784</v>
      </c>
      <c r="AB87" s="199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0.15136306705306196</v>
      </c>
      <c r="AD87" s="233">
        <f>(INDEX(Models!$BJ87:$BT87,,AH87)*(1-AF87)+INDEX(Models!$BJ87:$BT87,,AH87+1)*AF87-ERP_i)*AE87*Ramure*Pc/MaxiM</f>
        <v>1.4280828308164588E-2</v>
      </c>
      <c r="AE87" s="307">
        <f t="shared" si="40"/>
        <v>1</v>
      </c>
      <c r="AF87" s="179">
        <f t="shared" si="41"/>
        <v>0.7171546433467394</v>
      </c>
      <c r="AG87" s="837">
        <f t="shared" si="49"/>
        <v>0</v>
      </c>
      <c r="AH87" s="178">
        <f t="shared" si="42"/>
        <v>6</v>
      </c>
      <c r="AI87" s="227">
        <f t="shared" si="43"/>
        <v>0.7171546433467394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45000</v>
      </c>
      <c r="B88" s="1139">
        <f>IF(t&gt;Tmaj,'2022'!Wh/'2022'!Env_an*'2023'!Env_an,0.001*'[5]mon-tableau'!$B$222)</f>
        <v>14.295373851806787</v>
      </c>
      <c r="C88" s="866"/>
      <c r="D88" s="395">
        <f t="shared" si="25"/>
        <v>14.867764150588062</v>
      </c>
      <c r="E88" s="387">
        <f t="shared" si="47"/>
        <v>15.714771304112798</v>
      </c>
      <c r="F88" s="387">
        <f t="shared" si="26"/>
        <v>15.733458155885819</v>
      </c>
      <c r="G88" s="110">
        <f t="shared" si="48"/>
        <v>0.35549238273822609</v>
      </c>
      <c r="H88" s="414" t="b">
        <f>Wh_hp&gt;='2022'!Maxi_hp</f>
        <v>0</v>
      </c>
      <c r="I88" s="392">
        <f>IF(H88,Wh_hp,'2022'!Maxi_hp)</f>
        <v>32.051148513928005</v>
      </c>
      <c r="J88" s="85">
        <f>IF(H88,An,'2022'!An_max)</f>
        <v>2020</v>
      </c>
      <c r="K88" s="199">
        <f t="shared" si="27"/>
        <v>45000</v>
      </c>
      <c r="L88" s="147">
        <f>IF(t&lt;Tvie,1-EXP((T0-t)*PertePVj)+'2022'!Pspv,1-EXP((T0-t)*PertePVj)+Pspv)</f>
        <v>3.8498747557724422E-2</v>
      </c>
      <c r="M88" s="870"/>
      <c r="N88" s="870"/>
      <c r="O88" s="48">
        <f>IF(t&lt;Tnet,'2022'!Resal+('2022'!Salim-'2022'!Resal)*(1-EXP(('2022'!Tnet-t)/('2022'!Tau_j))),Resal+(Salim-Resal)*(1-EXP((Tnet-t)/(Tau_j))))*Salcycl</f>
        <v>5.3898789688594517E-2</v>
      </c>
      <c r="P88" s="171">
        <f>(INDEX(Models!$BJ88:$BT88,,T88)*(1-R88)+INDEX(Models!$BJ88:$BT88,,T88+1)*R88-ERP_i)*Q88*Ramure*Pc/MaxiM</f>
        <v>1.3844028914867303E-2</v>
      </c>
      <c r="Q88" s="307">
        <f t="shared" si="28"/>
        <v>1</v>
      </c>
      <c r="R88" s="179">
        <f t="shared" si="29"/>
        <v>0.71790364885102365</v>
      </c>
      <c r="S88" s="837">
        <f t="shared" si="30"/>
        <v>0</v>
      </c>
      <c r="T88" s="178">
        <f t="shared" si="31"/>
        <v>6</v>
      </c>
      <c r="U88" s="253">
        <f t="shared" si="32"/>
        <v>0.71790364885102365</v>
      </c>
      <c r="V88" s="385">
        <f t="shared" si="33"/>
        <v>39.703331609946481</v>
      </c>
      <c r="W88" s="404">
        <f t="shared" si="34"/>
        <v>14.295373851806787</v>
      </c>
      <c r="X88" s="157">
        <f t="shared" si="35"/>
        <v>45000</v>
      </c>
      <c r="Y88" s="387">
        <f t="shared" si="36"/>
        <v>12.821435528363216</v>
      </c>
      <c r="Z88" s="387">
        <f t="shared" si="37"/>
        <v>13.33480897273502</v>
      </c>
      <c r="AA88" s="388">
        <f t="shared" si="38"/>
        <v>15.714771304112798</v>
      </c>
      <c r="AB88" s="199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0.15144746845631185</v>
      </c>
      <c r="AD88" s="233">
        <f>(INDEX(Models!$BJ88:$BT88,,AH88)*(1-AF88)+INDEX(Models!$BJ88:$BT88,,AH88+1)*AF88-ERP_i)*AE88*Ramure*Pc/MaxiM</f>
        <v>1.3844028914867303E-2</v>
      </c>
      <c r="AE88" s="307">
        <f t="shared" si="40"/>
        <v>1</v>
      </c>
      <c r="AF88" s="179">
        <f t="shared" si="41"/>
        <v>0.71790364885102365</v>
      </c>
      <c r="AG88" s="837">
        <f t="shared" si="49"/>
        <v>0</v>
      </c>
      <c r="AH88" s="178">
        <f t="shared" si="42"/>
        <v>6</v>
      </c>
      <c r="AI88" s="227">
        <f t="shared" si="43"/>
        <v>0.71790364885102365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45001</v>
      </c>
      <c r="B89" s="1139">
        <f>IF(t&gt;Tmaj,'2022'!Wh/'2022'!Env_an*'2023'!Env_an,0.001*'[5]mon-tableau'!$B$223)</f>
        <v>12.54884081687654</v>
      </c>
      <c r="C89" s="866"/>
      <c r="D89" s="395">
        <f t="shared" si="25"/>
        <v>13.051603231566817</v>
      </c>
      <c r="E89" s="387">
        <f t="shared" si="47"/>
        <v>13.797854088961232</v>
      </c>
      <c r="F89" s="387">
        <f t="shared" si="26"/>
        <v>13.801223046621347</v>
      </c>
      <c r="G89" s="110">
        <f t="shared" si="48"/>
        <v>0.30856775989359564</v>
      </c>
      <c r="H89" s="414" t="b">
        <f>Wh_hp&gt;='2022'!Maxi_hp</f>
        <v>0</v>
      </c>
      <c r="I89" s="392">
        <f>IF(H89,Wh_hp,'2022'!Maxi_hp)</f>
        <v>45.887721120206436</v>
      </c>
      <c r="J89" s="85">
        <f>IF(H89,An,'2022'!An_max)</f>
        <v>2020</v>
      </c>
      <c r="K89" s="199">
        <f t="shared" si="27"/>
        <v>45001</v>
      </c>
      <c r="L89" s="147">
        <f>IF(t&lt;Tvie,1-EXP((T0-t)*PertePVj)+'2022'!Pspv,1-EXP((T0-t)*PertePVj)+Pspv)</f>
        <v>3.8521123096531773E-2</v>
      </c>
      <c r="M89" s="870"/>
      <c r="N89" s="870"/>
      <c r="O89" s="48">
        <f>IF(t&lt;Tnet,'2022'!Resal+('2022'!Salim-'2022'!Resal)*(1-EXP(('2022'!Tnet-t)/('2022'!Tau_j))),Resal+(Salim-Resal)*(1-EXP((Tnet-t)/(Tau_j))))*Salcycl</f>
        <v>5.4084559278782453E-2</v>
      </c>
      <c r="P89" s="171">
        <f>(INDEX(Models!$BJ89:$BT89,,T89)*(1-R89)+INDEX(Models!$BJ89:$BT89,,T89+1)*R89-ERP_i)*Q89*Ramure*Pc/MaxiM</f>
        <v>1.3454884029815262E-2</v>
      </c>
      <c r="Q89" s="307">
        <f t="shared" si="28"/>
        <v>1</v>
      </c>
      <c r="R89" s="179">
        <f t="shared" si="29"/>
        <v>0.71868233066090426</v>
      </c>
      <c r="S89" s="837">
        <f t="shared" si="30"/>
        <v>0</v>
      </c>
      <c r="T89" s="178">
        <f t="shared" si="31"/>
        <v>6</v>
      </c>
      <c r="U89" s="253">
        <f t="shared" si="32"/>
        <v>0.71868233066090426</v>
      </c>
      <c r="V89" s="385">
        <f t="shared" si="33"/>
        <v>40.130635778370575</v>
      </c>
      <c r="W89" s="404">
        <f t="shared" si="34"/>
        <v>12.54884081687654</v>
      </c>
      <c r="X89" s="157">
        <f t="shared" si="35"/>
        <v>45001</v>
      </c>
      <c r="Y89" s="387">
        <f t="shared" si="36"/>
        <v>11.256059145399202</v>
      </c>
      <c r="Z89" s="387">
        <f t="shared" si="37"/>
        <v>11.707026972501344</v>
      </c>
      <c r="AA89" s="388">
        <f t="shared" si="38"/>
        <v>13.797854088961232</v>
      </c>
      <c r="AB89" s="199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0.15153277480536795</v>
      </c>
      <c r="AD89" s="233">
        <f>(INDEX(Models!$BJ89:$BT89,,AH89)*(1-AF89)+INDEX(Models!$BJ89:$BT89,,AH89+1)*AF89-ERP_i)*AE89*Ramure*Pc/MaxiM</f>
        <v>1.3454884029815262E-2</v>
      </c>
      <c r="AE89" s="307">
        <f t="shared" si="40"/>
        <v>1</v>
      </c>
      <c r="AF89" s="179">
        <f t="shared" si="41"/>
        <v>0.71868233066090426</v>
      </c>
      <c r="AG89" s="837">
        <f t="shared" si="49"/>
        <v>0</v>
      </c>
      <c r="AH89" s="178">
        <f t="shared" si="42"/>
        <v>6</v>
      </c>
      <c r="AI89" s="227">
        <f t="shared" si="43"/>
        <v>0.71868233066090426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45002</v>
      </c>
      <c r="B90" s="1139">
        <f>IF(t&gt;Tmaj,'2022'!Wh/'2022'!Env_an*'2023'!Env_an,0.001*'[5]mon-tableau'!$B$224)</f>
        <v>11.00709122970979</v>
      </c>
      <c r="C90" s="866"/>
      <c r="D90" s="395">
        <f t="shared" si="25"/>
        <v>11.448350713865249</v>
      </c>
      <c r="E90" s="387">
        <f t="shared" si="47"/>
        <v>12.105312576661007</v>
      </c>
      <c r="F90" s="387">
        <f t="shared" si="26"/>
        <v>12.105312576661007</v>
      </c>
      <c r="G90" s="110">
        <f t="shared" si="48"/>
        <v>0.26785792502352906</v>
      </c>
      <c r="H90" s="414" t="b">
        <f>Wh_hp&gt;='2022'!Maxi_hp</f>
        <v>0</v>
      </c>
      <c r="I90" s="392">
        <f>IF(H90,Wh_hp,'2022'!Maxi_hp)</f>
        <v>24.980493555127275</v>
      </c>
      <c r="J90" s="85">
        <f>IF(H90,An,'2022'!An_max)</f>
        <v>2021</v>
      </c>
      <c r="K90" s="199">
        <f t="shared" si="27"/>
        <v>45002</v>
      </c>
      <c r="L90" s="147">
        <f>IF(t&lt;Tvie,1-EXP((T0-t)*PertePVj)+'2022'!Pspv,1-EXP((T0-t)*PertePVj)+Pspv)</f>
        <v>3.8543498114627539E-2</v>
      </c>
      <c r="M90" s="870"/>
      <c r="N90" s="870"/>
      <c r="O90" s="48">
        <f>IF(t&lt;Tnet,'2022'!Resal+('2022'!Salim-'2022'!Resal)*(1-EXP(('2022'!Tnet-t)/('2022'!Tau_j))),Resal+(Salim-Resal)*(1-EXP((Tnet-t)/(Tau_j))))*Salcycl</f>
        <v>5.4270541023647513E-2</v>
      </c>
      <c r="P90" s="171">
        <f>(INDEX(Models!$BJ90:$BT90,,T90)*(1-R90)+INDEX(Models!$BJ90:$BT90,,T90+1)*R90-ERP_i)*Q90*Ramure*Pc/MaxiM</f>
        <v>1.3112153536223702E-2</v>
      </c>
      <c r="Q90" s="307">
        <f t="shared" si="28"/>
        <v>1</v>
      </c>
      <c r="R90" s="179">
        <f t="shared" si="29"/>
        <v>0.71949179067697422</v>
      </c>
      <c r="S90" s="837">
        <f t="shared" si="30"/>
        <v>0</v>
      </c>
      <c r="T90" s="178">
        <f t="shared" si="31"/>
        <v>6</v>
      </c>
      <c r="U90" s="253">
        <f t="shared" si="32"/>
        <v>0.71949179067697422</v>
      </c>
      <c r="V90" s="385">
        <f t="shared" si="33"/>
        <v>40.554202600368868</v>
      </c>
      <c r="W90" s="404">
        <f t="shared" si="34"/>
        <v>11.00709122970979</v>
      </c>
      <c r="X90" s="157">
        <f t="shared" si="35"/>
        <v>45002</v>
      </c>
      <c r="Y90" s="387">
        <f t="shared" si="36"/>
        <v>9.874077582528777</v>
      </c>
      <c r="Z90" s="387">
        <f t="shared" si="37"/>
        <v>10.269916073338898</v>
      </c>
      <c r="AA90" s="388">
        <f t="shared" si="38"/>
        <v>12.105312576661007</v>
      </c>
      <c r="AB90" s="199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0.15161909217121294</v>
      </c>
      <c r="AD90" s="233">
        <f>(INDEX(Models!$BJ90:$BT90,,AH90)*(1-AF90)+INDEX(Models!$BJ90:$BT90,,AH90+1)*AF90-ERP_i)*AE90*Ramure*Pc/MaxiM</f>
        <v>1.3112153536223702E-2</v>
      </c>
      <c r="AE90" s="307">
        <f t="shared" si="40"/>
        <v>1</v>
      </c>
      <c r="AF90" s="179">
        <f t="shared" si="41"/>
        <v>0.71949179067697422</v>
      </c>
      <c r="AG90" s="837">
        <f t="shared" si="49"/>
        <v>0</v>
      </c>
      <c r="AH90" s="178">
        <f t="shared" si="42"/>
        <v>6</v>
      </c>
      <c r="AI90" s="227">
        <f t="shared" si="43"/>
        <v>0.71949179067697422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45003</v>
      </c>
      <c r="B91" s="1139">
        <f>IF(t&gt;Tmaj,'2022'!Wh/'2022'!Env_an*'2023'!Env_an,0.001*'[5]mon-tableau'!$B$225)</f>
        <v>13.815706424290834</v>
      </c>
      <c r="C91" s="866"/>
      <c r="D91" s="395">
        <f t="shared" si="25"/>
        <v>14.369893922764465</v>
      </c>
      <c r="E91" s="387">
        <f t="shared" si="47"/>
        <v>15.197500845618084</v>
      </c>
      <c r="F91" s="387">
        <f t="shared" si="26"/>
        <v>15.207853911250524</v>
      </c>
      <c r="G91" s="110">
        <f t="shared" si="48"/>
        <v>0.33309293798218453</v>
      </c>
      <c r="H91" s="414" t="b">
        <f>Wh_hp&gt;='2022'!Maxi_hp</f>
        <v>0</v>
      </c>
      <c r="I91" s="392">
        <f>IF(H91,Wh_hp,'2022'!Maxi_hp)</f>
        <v>30.158532920094469</v>
      </c>
      <c r="J91" s="85">
        <f>IF(H91,An,'2022'!An_max)</f>
        <v>2019</v>
      </c>
      <c r="K91" s="199">
        <f t="shared" si="27"/>
        <v>45003</v>
      </c>
      <c r="L91" s="147">
        <f>IF(t&lt;Tvie,1-EXP((T0-t)*PertePVj)+'2022'!Pspv,1-EXP((T0-t)*PertePVj)+Pspv)</f>
        <v>3.8565872612023933E-2</v>
      </c>
      <c r="M91" s="870"/>
      <c r="N91" s="870"/>
      <c r="O91" s="48">
        <f>IF(t&lt;Tnet,'2022'!Resal+('2022'!Salim-'2022'!Resal)*(1-EXP(('2022'!Tnet-t)/('2022'!Tau_j))),Resal+(Salim-Resal)*(1-EXP((Tnet-t)/(Tau_j))))*Salcycl</f>
        <v>5.4456777549201134E-2</v>
      </c>
      <c r="P91" s="171">
        <f>(INDEX(Models!$BJ91:$BT91,,T91)*(1-R91)+INDEX(Models!$BJ91:$BT91,,T91+1)*R91-ERP_i)*Q91*Ramure*Pc/MaxiM</f>
        <v>1.2814646434640935E-2</v>
      </c>
      <c r="Q91" s="307">
        <f t="shared" si="28"/>
        <v>1</v>
      </c>
      <c r="R91" s="179">
        <f t="shared" si="29"/>
        <v>0.72033316558704985</v>
      </c>
      <c r="S91" s="837">
        <f t="shared" si="30"/>
        <v>0</v>
      </c>
      <c r="T91" s="178">
        <f t="shared" si="31"/>
        <v>6</v>
      </c>
      <c r="U91" s="253">
        <f t="shared" si="32"/>
        <v>0.72033316558704985</v>
      </c>
      <c r="V91" s="385">
        <f t="shared" si="33"/>
        <v>40.97341194035819</v>
      </c>
      <c r="W91" s="404">
        <f t="shared" si="34"/>
        <v>13.815706424290834</v>
      </c>
      <c r="X91" s="157">
        <f t="shared" si="35"/>
        <v>45003</v>
      </c>
      <c r="Y91" s="387">
        <f t="shared" si="36"/>
        <v>12.39475178929392</v>
      </c>
      <c r="Z91" s="387">
        <f t="shared" si="37"/>
        <v>12.891940733337579</v>
      </c>
      <c r="AA91" s="388">
        <f t="shared" si="38"/>
        <v>15.197500845618084</v>
      </c>
      <c r="AB91" s="199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0.15170652962623582</v>
      </c>
      <c r="AD91" s="233">
        <f>(INDEX(Models!$BJ91:$BT91,,AH91)*(1-AF91)+INDEX(Models!$BJ91:$BT91,,AH91+1)*AF91-ERP_i)*AE91*Ramure*Pc/MaxiM</f>
        <v>1.2814646434640935E-2</v>
      </c>
      <c r="AE91" s="307">
        <f t="shared" si="40"/>
        <v>1</v>
      </c>
      <c r="AF91" s="179">
        <f t="shared" si="41"/>
        <v>0.72033316558704985</v>
      </c>
      <c r="AG91" s="837">
        <f t="shared" si="49"/>
        <v>0</v>
      </c>
      <c r="AH91" s="178">
        <f t="shared" si="42"/>
        <v>6</v>
      </c>
      <c r="AI91" s="227">
        <f t="shared" si="43"/>
        <v>0.72033316558704985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45004</v>
      </c>
      <c r="B92" s="1139">
        <f>IF(t&gt;Tmaj,'2022'!Wh/'2022'!Env_an*'2023'!Env_an,0.001*'[5]mon-tableau'!$B$226)</f>
        <v>27.826065395621967</v>
      </c>
      <c r="C92" s="866"/>
      <c r="D92" s="395">
        <f t="shared" si="25"/>
        <v>28.942922007027619</v>
      </c>
      <c r="E92" s="387">
        <f t="shared" si="47"/>
        <v>30.615874834124288</v>
      </c>
      <c r="F92" s="387">
        <f t="shared" si="26"/>
        <v>30.821803837509016</v>
      </c>
      <c r="G92" s="110">
        <f t="shared" si="48"/>
        <v>0.66834800282448836</v>
      </c>
      <c r="H92" s="414" t="b">
        <f>Wh_hp&gt;='2022'!Maxi_hp</f>
        <v>0</v>
      </c>
      <c r="I92" s="392">
        <f>IF(H92,Wh_hp,'2022'!Maxi_hp)</f>
        <v>42.613877662343725</v>
      </c>
      <c r="J92" s="85">
        <f>IF(H92,An,'2022'!An_max)</f>
        <v>2020</v>
      </c>
      <c r="K92" s="199">
        <f t="shared" si="27"/>
        <v>45004</v>
      </c>
      <c r="L92" s="147">
        <f>IF(t&lt;Tvie,1-EXP((T0-t)*PertePVj)+'2022'!Pspv,1-EXP((T0-t)*PertePVj)+Pspv)</f>
        <v>3.8588246588733055E-2</v>
      </c>
      <c r="M92" s="870"/>
      <c r="N92" s="870"/>
      <c r="O92" s="48">
        <f>IF(t&lt;Tnet,'2022'!Resal+('2022'!Salim-'2022'!Resal)*(1-EXP(('2022'!Tnet-t)/('2022'!Tau_j))),Resal+(Salim-Resal)*(1-EXP((Tnet-t)/(Tau_j))))*Salcycl</f>
        <v>5.4643312861731616E-2</v>
      </c>
      <c r="P92" s="171">
        <f>(INDEX(Models!$BJ92:$BT92,,T92)*(1-R92)+INDEX(Models!$BJ92:$BT92,,T92+1)*R92-ERP_i)*Q92*Ramure*Pc/MaxiM</f>
        <v>1.256122479348153E-2</v>
      </c>
      <c r="Q92" s="307">
        <f t="shared" si="28"/>
        <v>1</v>
      </c>
      <c r="R92" s="179">
        <f t="shared" si="29"/>
        <v>0.72120762744693911</v>
      </c>
      <c r="S92" s="837">
        <f t="shared" si="30"/>
        <v>0</v>
      </c>
      <c r="T92" s="178">
        <f t="shared" si="31"/>
        <v>6</v>
      </c>
      <c r="U92" s="253">
        <f t="shared" si="32"/>
        <v>0.72120762744693911</v>
      </c>
      <c r="V92" s="385">
        <f t="shared" si="33"/>
        <v>41.387643781901367</v>
      </c>
      <c r="W92" s="404">
        <f t="shared" si="34"/>
        <v>27.826065395621967</v>
      </c>
      <c r="X92" s="157">
        <f t="shared" si="35"/>
        <v>45004</v>
      </c>
      <c r="Y92" s="387">
        <f t="shared" si="36"/>
        <v>24.966451907424631</v>
      </c>
      <c r="Z92" s="387">
        <f t="shared" si="37"/>
        <v>25.968532024742817</v>
      </c>
      <c r="AA92" s="388">
        <f t="shared" si="38"/>
        <v>30.615874834124288</v>
      </c>
      <c r="AB92" s="199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0.1517951988816458</v>
      </c>
      <c r="AD92" s="233">
        <f>(INDEX(Models!$BJ92:$BT92,,AH92)*(1-AF92)+INDEX(Models!$BJ92:$BT92,,AH92+1)*AF92-ERP_i)*AE92*Ramure*Pc/MaxiM</f>
        <v>1.256122479348153E-2</v>
      </c>
      <c r="AE92" s="307">
        <f t="shared" si="40"/>
        <v>1</v>
      </c>
      <c r="AF92" s="179">
        <f t="shared" si="41"/>
        <v>0.72120762744693911</v>
      </c>
      <c r="AG92" s="837">
        <f t="shared" si="49"/>
        <v>0</v>
      </c>
      <c r="AH92" s="178">
        <f t="shared" si="42"/>
        <v>6</v>
      </c>
      <c r="AI92" s="227">
        <f t="shared" si="43"/>
        <v>0.72120762744693911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45005</v>
      </c>
      <c r="B93" s="1139">
        <f>IF(t&gt;Tmaj,'2022'!Wh/'2022'!Env_an*'2023'!Env_an,0.001*'[5]mon-tableau'!$B$227)</f>
        <v>31.386582669804884</v>
      </c>
      <c r="C93" s="866"/>
      <c r="D93" s="395">
        <f t="shared" si="25"/>
        <v>32.647107742407556</v>
      </c>
      <c r="E93" s="387">
        <f t="shared" si="47"/>
        <v>34.540997261981801</v>
      </c>
      <c r="F93" s="387">
        <f t="shared" si="26"/>
        <v>34.81796544582572</v>
      </c>
      <c r="G93" s="110">
        <f t="shared" si="48"/>
        <v>0.74755571899631335</v>
      </c>
      <c r="H93" s="414" t="b">
        <f>Wh_hp&gt;='2022'!Maxi_hp</f>
        <v>0</v>
      </c>
      <c r="I93" s="392">
        <f>IF(H93,Wh_hp,'2022'!Maxi_hp)</f>
        <v>46.721665369048949</v>
      </c>
      <c r="J93" s="85">
        <f>IF(H93,An,'2022'!An_max)</f>
        <v>2019</v>
      </c>
      <c r="K93" s="199">
        <f t="shared" si="27"/>
        <v>45005</v>
      </c>
      <c r="L93" s="147">
        <f>IF(t&lt;Tvie,1-EXP((T0-t)*PertePVj)+'2022'!Pspv,1-EXP((T0-t)*PertePVj)+Pspv)</f>
        <v>3.8610620044767119E-2</v>
      </c>
      <c r="M93" s="870"/>
      <c r="N93" s="870"/>
      <c r="O93" s="48">
        <f>IF(t&lt;Tnet,'2022'!Resal+('2022'!Salim-'2022'!Resal)*(1-EXP(('2022'!Tnet-t)/('2022'!Tau_j))),Resal+(Salim-Resal)*(1-EXP((Tnet-t)/(Tau_j))))*Salcycl</f>
        <v>5.4830192226638048E-2</v>
      </c>
      <c r="P93" s="171">
        <f>(INDEX(Models!$BJ93:$BT93,,T93)*(1-R93)+INDEX(Models!$BJ93:$BT93,,T93+1)*R93-ERP_i)*Q93*Ramure*Pc/MaxiM</f>
        <v>1.2349838338087549E-2</v>
      </c>
      <c r="Q93" s="307">
        <f t="shared" si="28"/>
        <v>1</v>
      </c>
      <c r="R93" s="179">
        <f t="shared" si="29"/>
        <v>0.72211638422260915</v>
      </c>
      <c r="S93" s="837">
        <f t="shared" si="30"/>
        <v>0</v>
      </c>
      <c r="T93" s="178">
        <f t="shared" si="31"/>
        <v>6</v>
      </c>
      <c r="U93" s="253">
        <f t="shared" si="32"/>
        <v>0.72211638422260915</v>
      </c>
      <c r="V93" s="385">
        <f t="shared" si="33"/>
        <v>41.799599570623066</v>
      </c>
      <c r="W93" s="404">
        <f t="shared" si="34"/>
        <v>31.386582669804884</v>
      </c>
      <c r="X93" s="157">
        <f t="shared" si="35"/>
        <v>45005</v>
      </c>
      <c r="Y93" s="387">
        <f t="shared" si="36"/>
        <v>28.163642795008695</v>
      </c>
      <c r="Z93" s="387">
        <f t="shared" si="37"/>
        <v>29.294730503804956</v>
      </c>
      <c r="AA93" s="388">
        <f t="shared" si="38"/>
        <v>34.540997261981801</v>
      </c>
      <c r="AB93" s="199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0.15188521392088605</v>
      </c>
      <c r="AD93" s="233">
        <f>(INDEX(Models!$BJ93:$BT93,,AH93)*(1-AF93)+INDEX(Models!$BJ93:$BT93,,AH93+1)*AF93-ERP_i)*AE93*Ramure*Pc/MaxiM</f>
        <v>1.2349838338087549E-2</v>
      </c>
      <c r="AE93" s="307">
        <f t="shared" si="40"/>
        <v>1</v>
      </c>
      <c r="AF93" s="179">
        <f t="shared" si="41"/>
        <v>0.72211638422260915</v>
      </c>
      <c r="AG93" s="837">
        <f t="shared" si="49"/>
        <v>0</v>
      </c>
      <c r="AH93" s="178">
        <f t="shared" si="42"/>
        <v>6</v>
      </c>
      <c r="AI93" s="227">
        <f t="shared" si="43"/>
        <v>0.72211638422260915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45006</v>
      </c>
      <c r="B94" s="1139">
        <f>IF(t&gt;Tmaj,'2022'!Wh/'2022'!Env_an*'2023'!Env_an,0.001*'[5]mon-tableau'!$B$228)</f>
        <v>42.075561589999765</v>
      </c>
      <c r="C94" s="866"/>
      <c r="D94" s="395">
        <f t="shared" si="25"/>
        <v>43.766388156412454</v>
      </c>
      <c r="E94" s="387">
        <f t="shared" si="47"/>
        <v>46.314494076368661</v>
      </c>
      <c r="F94" s="387">
        <f t="shared" si="26"/>
        <v>46.882635283934064</v>
      </c>
      <c r="G94" s="110">
        <f t="shared" si="48"/>
        <v>0.99671074034227403</v>
      </c>
      <c r="H94" s="414" t="b">
        <f>Wh_hp&gt;='2022'!Maxi_hp</f>
        <v>0</v>
      </c>
      <c r="I94" s="392">
        <f>IF(H94,Wh_hp,'2022'!Maxi_hp)</f>
        <v>47.092775229679972</v>
      </c>
      <c r="J94" s="85">
        <f>IF(H94,An,'2022'!An_max)</f>
        <v>2020</v>
      </c>
      <c r="K94" s="199">
        <f t="shared" si="27"/>
        <v>45006</v>
      </c>
      <c r="L94" s="147">
        <f>IF(t&lt;Tvie,1-EXP((T0-t)*PertePVj)+'2022'!Pspv,1-EXP((T0-t)*PertePVj)+Pspv)</f>
        <v>3.8632992980138225E-2</v>
      </c>
      <c r="M94" s="870"/>
      <c r="N94" s="870"/>
      <c r="O94" s="48">
        <f>IF(t&lt;Tnet,'2022'!Resal+('2022'!Salim-'2022'!Resal)*(1-EXP(('2022'!Tnet-t)/('2022'!Tau_j))),Resal+(Salim-Resal)*(1-EXP((Tnet-t)/(Tau_j))))*Salcycl</f>
        <v>5.5017462044486556E-2</v>
      </c>
      <c r="P94" s="171">
        <f>(INDEX(Models!$BJ94:$BT94,,T94)*(1-R94)+INDEX(Models!$BJ94:$BT94,,T94+1)*R94-ERP_i)*Q94*Ramure*Pc/MaxiM</f>
        <v>1.2174592950029674E-2</v>
      </c>
      <c r="Q94" s="307">
        <f t="shared" si="28"/>
        <v>1</v>
      </c>
      <c r="R94" s="179">
        <f t="shared" si="29"/>
        <v>0.72306068028818948</v>
      </c>
      <c r="S94" s="837">
        <f t="shared" si="30"/>
        <v>0</v>
      </c>
      <c r="T94" s="178">
        <f t="shared" si="31"/>
        <v>6</v>
      </c>
      <c r="U94" s="253">
        <f t="shared" si="32"/>
        <v>0.72306068028818948</v>
      </c>
      <c r="V94" s="385">
        <f t="shared" si="33"/>
        <v>42.212013309914823</v>
      </c>
      <c r="W94" s="404">
        <f t="shared" si="34"/>
        <v>42.075561589999765</v>
      </c>
      <c r="X94" s="157">
        <f t="shared" si="35"/>
        <v>45006</v>
      </c>
      <c r="Y94" s="387">
        <f t="shared" si="36"/>
        <v>37.758429970861002</v>
      </c>
      <c r="Z94" s="387">
        <f t="shared" si="37"/>
        <v>39.275770538358941</v>
      </c>
      <c r="AA94" s="388">
        <f t="shared" si="38"/>
        <v>46.314494076368661</v>
      </c>
      <c r="AB94" s="199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0.15197669063173741</v>
      </c>
      <c r="AD94" s="233">
        <f>(INDEX(Models!$BJ94:$BT94,,AH94)*(1-AF94)+INDEX(Models!$BJ94:$BT94,,AH94+1)*AF94-ERP_i)*AE94*Ramure*Pc/MaxiM</f>
        <v>1.2174592950029674E-2</v>
      </c>
      <c r="AE94" s="307">
        <f t="shared" si="40"/>
        <v>1</v>
      </c>
      <c r="AF94" s="179">
        <f t="shared" si="41"/>
        <v>0.72306068028818948</v>
      </c>
      <c r="AG94" s="837">
        <f t="shared" si="49"/>
        <v>0</v>
      </c>
      <c r="AH94" s="178">
        <f t="shared" si="42"/>
        <v>6</v>
      </c>
      <c r="AI94" s="227">
        <f t="shared" si="43"/>
        <v>0.72306068028818948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45007</v>
      </c>
      <c r="B95" s="1139">
        <f>IF(t&gt;Tmaj,'2022'!Wh/'2022'!Env_an*'2023'!Env_an,0.001*'[5]mon-tableau'!$B$229)</f>
        <v>38.917574301032921</v>
      </c>
      <c r="C95" s="866"/>
      <c r="D95" s="395">
        <f t="shared" si="25"/>
        <v>40.48243772330175</v>
      </c>
      <c r="E95" s="387">
        <f t="shared" si="47"/>
        <v>42.847861171644603</v>
      </c>
      <c r="F95" s="387">
        <f t="shared" si="26"/>
        <v>43.303179646064187</v>
      </c>
      <c r="G95" s="110">
        <f t="shared" si="48"/>
        <v>0.9116398022246277</v>
      </c>
      <c r="H95" s="414" t="b">
        <f>Wh_hp&gt;='2022'!Maxi_hp</f>
        <v>0</v>
      </c>
      <c r="I95" s="392">
        <f>IF(H95,Wh_hp,'2022'!Maxi_hp)</f>
        <v>46.552413422501928</v>
      </c>
      <c r="J95" s="85">
        <f>IF(H95,An,'2022'!An_max)</f>
        <v>2020</v>
      </c>
      <c r="K95" s="199">
        <f t="shared" si="27"/>
        <v>45007</v>
      </c>
      <c r="L95" s="147">
        <f>IF(t&lt;Tvie,1-EXP((T0-t)*PertePVj)+'2022'!Pspv,1-EXP((T0-t)*PertePVj)+Pspv)</f>
        <v>3.8655365394858365E-2</v>
      </c>
      <c r="M95" s="870"/>
      <c r="N95" s="870"/>
      <c r="O95" s="48">
        <f>IF(t&lt;Tnet,'2022'!Resal+('2022'!Salim-'2022'!Resal)*(1-EXP(('2022'!Tnet-t)/('2022'!Tau_j))),Resal+(Salim-Resal)*(1-EXP((Tnet-t)/(Tau_j))))*Salcycl</f>
        <v>5.5205169725209419E-2</v>
      </c>
      <c r="P95" s="171">
        <f>(INDEX(Models!$BJ95:$BT95,,T95)*(1-R95)+INDEX(Models!$BJ95:$BT95,,T95+1)*R95-ERP_i)*Q95*Ramure*Pc/MaxiM</f>
        <v>1.2006637019227053E-2</v>
      </c>
      <c r="Q95" s="307">
        <f t="shared" si="28"/>
        <v>1</v>
      </c>
      <c r="R95" s="179">
        <f t="shared" si="29"/>
        <v>0.72404179687383408</v>
      </c>
      <c r="S95" s="837">
        <f t="shared" si="30"/>
        <v>0</v>
      </c>
      <c r="T95" s="178">
        <f t="shared" si="31"/>
        <v>6</v>
      </c>
      <c r="U95" s="253">
        <f t="shared" si="32"/>
        <v>0.72404179687383408</v>
      </c>
      <c r="V95" s="385">
        <f t="shared" si="33"/>
        <v>42.625270755482241</v>
      </c>
      <c r="W95" s="404">
        <f t="shared" si="34"/>
        <v>38.917574301032921</v>
      </c>
      <c r="X95" s="157">
        <f t="shared" si="35"/>
        <v>45007</v>
      </c>
      <c r="Y95" s="387">
        <f t="shared" si="36"/>
        <v>34.92757113777995</v>
      </c>
      <c r="Z95" s="387">
        <f t="shared" si="37"/>
        <v>36.331997787792247</v>
      </c>
      <c r="AA95" s="388">
        <f t="shared" si="38"/>
        <v>42.847861171644603</v>
      </c>
      <c r="AB95" s="199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0.1520697464396274</v>
      </c>
      <c r="AD95" s="233">
        <f>(INDEX(Models!$BJ95:$BT95,,AH95)*(1-AF95)+INDEX(Models!$BJ95:$BT95,,AH95+1)*AF95-ERP_i)*AE95*Ramure*Pc/MaxiM</f>
        <v>1.2006637019227053E-2</v>
      </c>
      <c r="AE95" s="307">
        <f t="shared" si="40"/>
        <v>1</v>
      </c>
      <c r="AF95" s="179">
        <f t="shared" si="41"/>
        <v>0.72404179687383408</v>
      </c>
      <c r="AG95" s="837">
        <f t="shared" si="49"/>
        <v>0</v>
      </c>
      <c r="AH95" s="178">
        <f t="shared" si="42"/>
        <v>6</v>
      </c>
      <c r="AI95" s="227">
        <f t="shared" si="43"/>
        <v>0.72404179687383408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45008</v>
      </c>
      <c r="B96" s="1139">
        <f>IF(t&gt;Tmaj,'2022'!Wh/'2022'!Env_an*'2023'!Env_an,0.001*'[5]mon-tableau'!$B$230)</f>
        <v>43.973906452598833</v>
      </c>
      <c r="C96" s="866"/>
      <c r="D96" s="395">
        <f t="shared" si="25"/>
        <v>45.743147910240218</v>
      </c>
      <c r="E96" s="387">
        <f t="shared" si="47"/>
        <v>48.425605056829845</v>
      </c>
      <c r="F96" s="387">
        <f t="shared" si="26"/>
        <v>49.006133505479987</v>
      </c>
      <c r="G96" s="110">
        <f t="shared" si="48"/>
        <v>1.0217330990973439</v>
      </c>
      <c r="H96" s="414" t="b">
        <f>Wh_hp&gt;='2022'!Maxi_hp</f>
        <v>1</v>
      </c>
      <c r="I96" s="392">
        <f>IF(H96,Wh_hp,'2022'!Maxi_hp)</f>
        <v>49.006133505479987</v>
      </c>
      <c r="J96" s="85">
        <f>IF(H96,An,'2022'!An_max)</f>
        <v>2023</v>
      </c>
      <c r="K96" s="199">
        <f t="shared" si="27"/>
        <v>45008</v>
      </c>
      <c r="L96" s="147">
        <f>IF(t&lt;Tvie,1-EXP((T0-t)*PertePVj)+'2022'!Pspv,1-EXP((T0-t)*PertePVj)+Pspv)</f>
        <v>3.8677737288939751E-2</v>
      </c>
      <c r="M96" s="870"/>
      <c r="N96" s="870"/>
      <c r="O96" s="48">
        <f>IF(t&lt;Tnet,'2022'!Resal+('2022'!Salim-'2022'!Resal)*(1-EXP(('2022'!Tnet-t)/('2022'!Tau_j))),Resal+(Salim-Resal)*(1-EXP((Tnet-t)/(Tau_j))))*Salcycl</f>
        <v>5.5393363561314996E-2</v>
      </c>
      <c r="P96" s="171">
        <f>(INDEX(Models!$BJ96:$BT96,,T96)*(1-R96)+INDEX(Models!$BJ96:$BT96,,T96+1)*R96-ERP_i)*Q96*Ramure*Pc/MaxiM</f>
        <v>1.1846036549388721E-2</v>
      </c>
      <c r="Q96" s="307">
        <f t="shared" si="28"/>
        <v>1</v>
      </c>
      <c r="R96" s="179">
        <f t="shared" si="29"/>
        <v>0.72506105245704655</v>
      </c>
      <c r="S96" s="837">
        <f t="shared" si="30"/>
        <v>0</v>
      </c>
      <c r="T96" s="178">
        <f t="shared" si="31"/>
        <v>6</v>
      </c>
      <c r="U96" s="253">
        <f t="shared" si="32"/>
        <v>0.72506105245704655</v>
      </c>
      <c r="V96" s="385">
        <f t="shared" si="33"/>
        <v>43.038545478704606</v>
      </c>
      <c r="W96" s="404">
        <f t="shared" si="34"/>
        <v>43.973906452598833</v>
      </c>
      <c r="X96" s="157">
        <f t="shared" si="35"/>
        <v>45008</v>
      </c>
      <c r="Y96" s="387">
        <f t="shared" si="36"/>
        <v>39.468957265847806</v>
      </c>
      <c r="Z96" s="387">
        <f t="shared" si="37"/>
        <v>41.056947078849447</v>
      </c>
      <c r="AA96" s="388">
        <f t="shared" si="38"/>
        <v>48.425605056829845</v>
      </c>
      <c r="AB96" s="199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0.15216449994445935</v>
      </c>
      <c r="AD96" s="233">
        <f>(INDEX(Models!$BJ96:$BT96,,AH96)*(1-AF96)+INDEX(Models!$BJ96:$BT96,,AH96+1)*AF96-ERP_i)*AE96*Ramure*Pc/MaxiM</f>
        <v>1.1846036549388721E-2</v>
      </c>
      <c r="AE96" s="307">
        <f t="shared" si="40"/>
        <v>1</v>
      </c>
      <c r="AF96" s="179">
        <f t="shared" si="41"/>
        <v>0.72506105245704655</v>
      </c>
      <c r="AG96" s="837">
        <f t="shared" si="49"/>
        <v>0</v>
      </c>
      <c r="AH96" s="178">
        <f t="shared" si="42"/>
        <v>6</v>
      </c>
      <c r="AI96" s="227">
        <f t="shared" si="43"/>
        <v>0.72506105245704655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45009</v>
      </c>
      <c r="B97" s="1139">
        <f>IF(t&gt;Tmaj,'2022'!Wh/'2022'!Env_an*'2023'!Env_an,0.001*'[5]mon-tableau'!$B$231)</f>
        <v>43.348634369395512</v>
      </c>
      <c r="C97" s="866"/>
      <c r="D97" s="395">
        <f t="shared" si="25"/>
        <v>45.093768094655495</v>
      </c>
      <c r="E97" s="387">
        <f t="shared" si="47"/>
        <v>47.74768430518543</v>
      </c>
      <c r="F97" s="387">
        <f t="shared" si="26"/>
        <v>48.310672164829555</v>
      </c>
      <c r="G97" s="110">
        <f t="shared" si="48"/>
        <v>0.99760412148115207</v>
      </c>
      <c r="H97" s="414" t="b">
        <f>Wh_hp&gt;='2022'!Maxi_hp</f>
        <v>0</v>
      </c>
      <c r="I97" s="392">
        <f>IF(H97,Wh_hp,'2022'!Maxi_hp)</f>
        <v>48.311210366969917</v>
      </c>
      <c r="J97" s="85">
        <f>IF(H97,An,'2022'!An_max)</f>
        <v>2022</v>
      </c>
      <c r="K97" s="199">
        <f t="shared" si="27"/>
        <v>45009</v>
      </c>
      <c r="L97" s="147">
        <f>IF(t&lt;Tvie,1-EXP((T0-t)*PertePVj)+'2022'!Pspv,1-EXP((T0-t)*PertePVj)+Pspv)</f>
        <v>3.8700108662394483E-2</v>
      </c>
      <c r="M97" s="870"/>
      <c r="N97" s="870"/>
      <c r="O97" s="48">
        <f>IF(t&lt;Tnet,'2022'!Resal+('2022'!Salim-'2022'!Resal)*(1-EXP(('2022'!Tnet-t)/('2022'!Tau_j))),Resal+(Salim-Resal)*(1-EXP((Tnet-t)/(Tau_j))))*Salcycl</f>
        <v>5.5582092600912104E-2</v>
      </c>
      <c r="P97" s="171">
        <f>(INDEX(Models!$BJ97:$BT97,,T97)*(1-R97)+INDEX(Models!$BJ97:$BT97,,T97+1)*R97-ERP_i)*Q97*Ramure*Pc/MaxiM</f>
        <v>1.1692845740917288E-2</v>
      </c>
      <c r="Q97" s="307">
        <f t="shared" si="28"/>
        <v>1</v>
      </c>
      <c r="R97" s="179">
        <f t="shared" si="29"/>
        <v>0.72611980309063029</v>
      </c>
      <c r="S97" s="837">
        <f t="shared" si="30"/>
        <v>0</v>
      </c>
      <c r="T97" s="178">
        <f t="shared" si="31"/>
        <v>6</v>
      </c>
      <c r="U97" s="253">
        <f t="shared" si="32"/>
        <v>0.72611980309063029</v>
      </c>
      <c r="V97" s="385">
        <f t="shared" si="33"/>
        <v>43.451011513023843</v>
      </c>
      <c r="W97" s="404">
        <f t="shared" si="34"/>
        <v>43.348634369395512</v>
      </c>
      <c r="X97" s="157">
        <f t="shared" si="35"/>
        <v>45009</v>
      </c>
      <c r="Y97" s="387">
        <f t="shared" si="36"/>
        <v>38.911084388551494</v>
      </c>
      <c r="Z97" s="387">
        <f t="shared" si="37"/>
        <v>40.477570775971351</v>
      </c>
      <c r="AA97" s="388">
        <f t="shared" si="38"/>
        <v>47.74768430518543</v>
      </c>
      <c r="AB97" s="199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0.15226107056305013</v>
      </c>
      <c r="AD97" s="233">
        <f>(INDEX(Models!$BJ97:$BT97,,AH97)*(1-AF97)+INDEX(Models!$BJ97:$BT97,,AH97+1)*AF97-ERP_i)*AE97*Ramure*Pc/MaxiM</f>
        <v>1.1692845740917288E-2</v>
      </c>
      <c r="AE97" s="307">
        <f t="shared" si="40"/>
        <v>1</v>
      </c>
      <c r="AF97" s="179">
        <f t="shared" si="41"/>
        <v>0.72611980309063029</v>
      </c>
      <c r="AG97" s="837">
        <f t="shared" si="49"/>
        <v>0</v>
      </c>
      <c r="AH97" s="178">
        <f t="shared" si="42"/>
        <v>6</v>
      </c>
      <c r="AI97" s="227">
        <f t="shared" si="43"/>
        <v>0.72611980309063029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45010</v>
      </c>
      <c r="B98" s="1139">
        <f>IF(t&gt;Tmaj,'2022'!Wh/'2022'!Env_an*'2023'!Env_an,0.001*'[5]mon-tableau'!$B$232)</f>
        <v>39.678735979017326</v>
      </c>
      <c r="C98" s="866"/>
      <c r="D98" s="395">
        <f t="shared" si="25"/>
        <v>41.27708714025438</v>
      </c>
      <c r="E98" s="387">
        <f t="shared" si="47"/>
        <v>43.715142101534553</v>
      </c>
      <c r="F98" s="387">
        <f t="shared" si="26"/>
        <v>44.155544945358756</v>
      </c>
      <c r="G98" s="110">
        <f t="shared" si="48"/>
        <v>0.90319241049382548</v>
      </c>
      <c r="H98" s="414" t="b">
        <f>Wh_hp&gt;='2022'!Maxi_hp</f>
        <v>0</v>
      </c>
      <c r="I98" s="392">
        <f>IF(H98,Wh_hp,'2022'!Maxi_hp)</f>
        <v>46.669924770661282</v>
      </c>
      <c r="J98" s="85">
        <f>IF(H98,An,'2022'!An_max)</f>
        <v>2020</v>
      </c>
      <c r="K98" s="199">
        <f t="shared" si="27"/>
        <v>45010</v>
      </c>
      <c r="L98" s="147">
        <f>IF(t&lt;Tvie,1-EXP((T0-t)*PertePVj)+'2022'!Pspv,1-EXP((T0-t)*PertePVj)+Pspv)</f>
        <v>3.8722479515234665E-2</v>
      </c>
      <c r="M98" s="870"/>
      <c r="N98" s="870"/>
      <c r="O98" s="48">
        <f>IF(t&lt;Tnet,'2022'!Resal+('2022'!Salim-'2022'!Resal)*(1-EXP(('2022'!Tnet-t)/('2022'!Tau_j))),Resal+(Salim-Resal)*(1-EXP((Tnet-t)/(Tau_j))))*Salcycl</f>
        <v>5.5771406521279245E-2</v>
      </c>
      <c r="P98" s="171">
        <f>(INDEX(Models!$BJ98:$BT98,,T98)*(1-R98)+INDEX(Models!$BJ98:$BT98,,T98+1)*R98-ERP_i)*Q98*Ramure*Pc/MaxiM</f>
        <v>1.1547109099405792E-2</v>
      </c>
      <c r="Q98" s="307">
        <f t="shared" si="28"/>
        <v>1</v>
      </c>
      <c r="R98" s="179">
        <f t="shared" si="29"/>
        <v>0.7272194426599764</v>
      </c>
      <c r="S98" s="837">
        <f t="shared" si="30"/>
        <v>0</v>
      </c>
      <c r="T98" s="178">
        <f t="shared" si="31"/>
        <v>6</v>
      </c>
      <c r="U98" s="253">
        <f t="shared" si="32"/>
        <v>0.7272194426599764</v>
      </c>
      <c r="V98" s="385">
        <f t="shared" si="33"/>
        <v>43.861843351939157</v>
      </c>
      <c r="W98" s="404">
        <f t="shared" si="34"/>
        <v>39.678735979017326</v>
      </c>
      <c r="X98" s="157">
        <f t="shared" si="35"/>
        <v>45010</v>
      </c>
      <c r="Y98" s="387">
        <f t="shared" si="36"/>
        <v>35.619870797034402</v>
      </c>
      <c r="Z98" s="387">
        <f t="shared" si="37"/>
        <v>37.054721490908847</v>
      </c>
      <c r="AA98" s="388">
        <f t="shared" si="38"/>
        <v>43.715142101534553</v>
      </c>
      <c r="AB98" s="199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0.15235957817901974</v>
      </c>
      <c r="AD98" s="233">
        <f>(INDEX(Models!$BJ98:$BT98,,AH98)*(1-AF98)+INDEX(Models!$BJ98:$BT98,,AH98+1)*AF98-ERP_i)*AE98*Ramure*Pc/MaxiM</f>
        <v>1.1547109099405792E-2</v>
      </c>
      <c r="AE98" s="307">
        <f t="shared" si="40"/>
        <v>1</v>
      </c>
      <c r="AF98" s="179">
        <f t="shared" si="41"/>
        <v>0.7272194426599764</v>
      </c>
      <c r="AG98" s="837">
        <f t="shared" si="49"/>
        <v>0</v>
      </c>
      <c r="AH98" s="178">
        <f t="shared" si="42"/>
        <v>6</v>
      </c>
      <c r="AI98" s="227">
        <f t="shared" si="43"/>
        <v>0.7272194426599764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45011</v>
      </c>
      <c r="B99" s="1139">
        <f>IF(t&gt;Tmaj,'2022'!Wh/'2022'!Env_an*'2023'!Env_an,0.001*'[5]mon-tableau'!$B$233)</f>
        <v>42.84877040034791</v>
      </c>
      <c r="C99" s="866"/>
      <c r="D99" s="395">
        <f t="shared" si="25"/>
        <v>44.575855217575544</v>
      </c>
      <c r="E99" s="387">
        <f t="shared" si="47"/>
        <v>47.218252639812128</v>
      </c>
      <c r="F99" s="387">
        <f t="shared" si="26"/>
        <v>47.737905942389069</v>
      </c>
      <c r="G99" s="110">
        <f t="shared" si="48"/>
        <v>0.96737951943631018</v>
      </c>
      <c r="H99" s="414" t="b">
        <f>Wh_hp&gt;='2022'!Maxi_hp</f>
        <v>0</v>
      </c>
      <c r="I99" s="392">
        <f>IF(H99,Wh_hp,'2022'!Maxi_hp)</f>
        <v>49.897175948996292</v>
      </c>
      <c r="J99" s="85">
        <f>IF(H99,An,'2022'!An_max)</f>
        <v>2019</v>
      </c>
      <c r="K99" s="199">
        <f t="shared" si="27"/>
        <v>45011</v>
      </c>
      <c r="L99" s="147">
        <f>IF(t&lt;Tvie,1-EXP((T0-t)*PertePVj)+'2022'!Pspv,1-EXP((T0-t)*PertePVj)+Pspv)</f>
        <v>3.8744849847472396E-2</v>
      </c>
      <c r="M99" s="870"/>
      <c r="N99" s="870"/>
      <c r="O99" s="48">
        <f>IF(t&lt;Tnet,'2022'!Resal+('2022'!Salim-'2022'!Resal)*(1-EXP(('2022'!Tnet-t)/('2022'!Tau_j))),Resal+(Salim-Resal)*(1-EXP((Tnet-t)/(Tau_j))))*Salcycl</f>
        <v>5.5961355503626652E-2</v>
      </c>
      <c r="P99" s="171">
        <f>(INDEX(Models!$BJ99:$BT99,,T99)*(1-R99)+INDEX(Models!$BJ99:$BT99,,T99+1)*R99-ERP_i)*Q99*Ramure*Pc/MaxiM</f>
        <v>1.1408863449455226E-2</v>
      </c>
      <c r="Q99" s="307">
        <f t="shared" si="28"/>
        <v>1</v>
      </c>
      <c r="R99" s="179">
        <f t="shared" si="29"/>
        <v>0.72836140306194153</v>
      </c>
      <c r="S99" s="837">
        <f t="shared" si="30"/>
        <v>0</v>
      </c>
      <c r="T99" s="178">
        <f t="shared" si="31"/>
        <v>6</v>
      </c>
      <c r="U99" s="253">
        <f t="shared" si="32"/>
        <v>0.72836140306194153</v>
      </c>
      <c r="V99" s="385">
        <f t="shared" si="33"/>
        <v>44.270215950892322</v>
      </c>
      <c r="W99" s="404">
        <f t="shared" si="34"/>
        <v>42.84877040034791</v>
      </c>
      <c r="X99" s="157">
        <f t="shared" si="35"/>
        <v>45011</v>
      </c>
      <c r="Y99" s="387">
        <f t="shared" si="36"/>
        <v>38.468807350155686</v>
      </c>
      <c r="Z99" s="387">
        <f t="shared" si="37"/>
        <v>40.019351099499055</v>
      </c>
      <c r="AA99" s="388">
        <f t="shared" si="38"/>
        <v>47.218252639812128</v>
      </c>
      <c r="AB99" s="199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0.15246014280171202</v>
      </c>
      <c r="AD99" s="233">
        <f>(INDEX(Models!$BJ99:$BT99,,AH99)*(1-AF99)+INDEX(Models!$BJ99:$BT99,,AH99+1)*AF99-ERP_i)*AE99*Ramure*Pc/MaxiM</f>
        <v>1.1408863449455226E-2</v>
      </c>
      <c r="AE99" s="307">
        <f t="shared" si="40"/>
        <v>1</v>
      </c>
      <c r="AF99" s="179">
        <f t="shared" si="41"/>
        <v>0.72836140306194153</v>
      </c>
      <c r="AG99" s="837">
        <f t="shared" si="49"/>
        <v>0</v>
      </c>
      <c r="AH99" s="178">
        <f t="shared" si="42"/>
        <v>6</v>
      </c>
      <c r="AI99" s="227">
        <f t="shared" si="43"/>
        <v>0.72836140306194153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45012</v>
      </c>
      <c r="B100" s="1139">
        <f>IF(t&gt;Tmaj,'2022'!Wh/'2022'!Env_an*'2023'!Env_an,0.001*'[5]mon-tableau'!$B$234)</f>
        <v>42.299229212193708</v>
      </c>
      <c r="C100" s="866"/>
      <c r="D100" s="395">
        <f t="shared" si="25"/>
        <v>44.005188001592302</v>
      </c>
      <c r="E100" s="387">
        <f t="shared" si="47"/>
        <v>46.623171888345318</v>
      </c>
      <c r="F100" s="387">
        <f t="shared" si="26"/>
        <v>47.114010002097451</v>
      </c>
      <c r="G100" s="110">
        <f t="shared" si="48"/>
        <v>0.9459916867229633</v>
      </c>
      <c r="H100" s="414" t="b">
        <f>Wh_hp&gt;='2022'!Maxi_hp</f>
        <v>0</v>
      </c>
      <c r="I100" s="392">
        <f>IF(H100,Wh_hp,'2022'!Maxi_hp)</f>
        <v>49.221953168491268</v>
      </c>
      <c r="J100" s="85">
        <f>IF(H100,An,'2022'!An_max)</f>
        <v>2019</v>
      </c>
      <c r="K100" s="199">
        <f t="shared" si="27"/>
        <v>45012</v>
      </c>
      <c r="L100" s="147">
        <f>IF(t&lt;Tvie,1-EXP((T0-t)*PertePVj)+'2022'!Pspv,1-EXP((T0-t)*PertePVj)+Pspv)</f>
        <v>3.8767219659119889E-2</v>
      </c>
      <c r="M100" s="870"/>
      <c r="N100" s="870"/>
      <c r="O100" s="48">
        <f>IF(t&lt;Tnet,'2022'!Resal+('2022'!Salim-'2022'!Resal)*(1-EXP(('2022'!Tnet-t)/('2022'!Tau_j))),Resal+(Salim-Resal)*(1-EXP((Tnet-t)/(Tau_j))))*Salcycl</f>
        <v>5.6151990109610014E-2</v>
      </c>
      <c r="P100" s="171">
        <f>(INDEX(Models!$BJ100:$BT100,,T100)*(1-R100)+INDEX(Models!$BJ100:$BT100,,T100+1)*R100-ERP_i)*Q100*Ramure*Pc/MaxiM</f>
        <v>1.1274793835422254E-2</v>
      </c>
      <c r="Q100" s="307">
        <f t="shared" si="28"/>
        <v>1</v>
      </c>
      <c r="R100" s="179">
        <f t="shared" si="29"/>
        <v>0.72954715429709194</v>
      </c>
      <c r="S100" s="837">
        <f t="shared" si="30"/>
        <v>0</v>
      </c>
      <c r="T100" s="178">
        <f t="shared" si="31"/>
        <v>6</v>
      </c>
      <c r="U100" s="253">
        <f t="shared" si="32"/>
        <v>0.72954715429709194</v>
      </c>
      <c r="V100" s="385">
        <f t="shared" si="33"/>
        <v>44.675455921436672</v>
      </c>
      <c r="W100" s="404">
        <f t="shared" si="34"/>
        <v>42.299229212193708</v>
      </c>
      <c r="X100" s="157">
        <f t="shared" si="35"/>
        <v>45012</v>
      </c>
      <c r="Y100" s="387">
        <f t="shared" si="36"/>
        <v>37.978505465946611</v>
      </c>
      <c r="Z100" s="387">
        <f t="shared" si="37"/>
        <v>39.510206312854173</v>
      </c>
      <c r="AA100" s="388">
        <f t="shared" si="38"/>
        <v>46.623171888345318</v>
      </c>
      <c r="AB100" s="199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0.15256288423545059</v>
      </c>
      <c r="AD100" s="233">
        <f>(INDEX(Models!$BJ100:$BT100,,AH100)*(1-AF100)+INDEX(Models!$BJ100:$BT100,,AH100+1)*AF100-ERP_i)*AE100*Ramure*Pc/MaxiM</f>
        <v>1.1274793835422254E-2</v>
      </c>
      <c r="AE100" s="307">
        <f t="shared" si="40"/>
        <v>1</v>
      </c>
      <c r="AF100" s="179">
        <f t="shared" si="41"/>
        <v>0.72954715429709194</v>
      </c>
      <c r="AG100" s="837">
        <f t="shared" si="49"/>
        <v>0</v>
      </c>
      <c r="AH100" s="178">
        <f t="shared" si="42"/>
        <v>6</v>
      </c>
      <c r="AI100" s="227">
        <f t="shared" si="43"/>
        <v>0.72954715429709194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45013</v>
      </c>
      <c r="B101" s="1139">
        <f>IF(t&gt;Tmaj,'2022'!Wh/'2022'!Env_an*'2023'!Env_an,0.001*'[5]mon-tableau'!$B$235)</f>
        <v>32.898461161424017</v>
      </c>
      <c r="C101" s="866"/>
      <c r="D101" s="395">
        <f t="shared" si="25"/>
        <v>34.226076604281793</v>
      </c>
      <c r="E101" s="387">
        <f t="shared" si="47"/>
        <v>36.269629434660374</v>
      </c>
      <c r="F101" s="387">
        <f t="shared" si="26"/>
        <v>36.519370707637762</v>
      </c>
      <c r="G101" s="110">
        <f t="shared" si="48"/>
        <v>0.72666771651615425</v>
      </c>
      <c r="H101" s="414" t="b">
        <f>Wh_hp&gt;='2022'!Maxi_hp</f>
        <v>0</v>
      </c>
      <c r="I101" s="392">
        <f>IF(H101,Wh_hp,'2022'!Maxi_hp)</f>
        <v>48.35240667023605</v>
      </c>
      <c r="J101" s="85">
        <f>IF(H101,An,'2022'!An_max)</f>
        <v>2021</v>
      </c>
      <c r="K101" s="199">
        <f t="shared" si="27"/>
        <v>45013</v>
      </c>
      <c r="L101" s="147">
        <f>IF(t&lt;Tvie,1-EXP((T0-t)*PertePVj)+'2022'!Pspv,1-EXP((T0-t)*PertePVj)+Pspv)</f>
        <v>3.8789588950189136E-2</v>
      </c>
      <c r="M101" s="870"/>
      <c r="N101" s="870"/>
      <c r="O101" s="48">
        <f>IF(t&lt;Tnet,'2022'!Resal+('2022'!Salim-'2022'!Resal)*(1-EXP(('2022'!Tnet-t)/('2022'!Tau_j))),Resal+(Salim-Resal)*(1-EXP((Tnet-t)/(Tau_j))))*Salcycl</f>
        <v>5.6343361160059106E-2</v>
      </c>
      <c r="P101" s="171">
        <f>(INDEX(Models!$BJ101:$BT101,,T101)*(1-R101)+INDEX(Models!$BJ101:$BT101,,T101+1)*R101-ERP_i)*Q101*Ramure*Pc/MaxiM</f>
        <v>1.1137094723810187E-2</v>
      </c>
      <c r="Q101" s="307">
        <f t="shared" si="28"/>
        <v>1</v>
      </c>
      <c r="R101" s="179">
        <f t="shared" si="29"/>
        <v>0.73077820446662178</v>
      </c>
      <c r="S101" s="837">
        <f t="shared" si="30"/>
        <v>0</v>
      </c>
      <c r="T101" s="178">
        <f t="shared" si="31"/>
        <v>6</v>
      </c>
      <c r="U101" s="253">
        <f t="shared" si="32"/>
        <v>0.73077820446662178</v>
      </c>
      <c r="V101" s="385">
        <f t="shared" si="33"/>
        <v>45.077100216666501</v>
      </c>
      <c r="W101" s="404">
        <f t="shared" si="34"/>
        <v>32.898461161424017</v>
      </c>
      <c r="X101" s="157">
        <f t="shared" si="35"/>
        <v>45013</v>
      </c>
      <c r="Y101" s="387">
        <f t="shared" si="36"/>
        <v>29.540322527769149</v>
      </c>
      <c r="Z101" s="387">
        <f t="shared" si="37"/>
        <v>30.732420485860032</v>
      </c>
      <c r="AA101" s="388">
        <f t="shared" si="38"/>
        <v>36.269629434660374</v>
      </c>
      <c r="AB101" s="199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0.1526679217601494</v>
      </c>
      <c r="AD101" s="233">
        <f>(INDEX(Models!$BJ101:$BT101,,AH101)*(1-AF101)+INDEX(Models!$BJ101:$BT101,,AH101+1)*AF101-ERP_i)*AE101*Ramure*Pc/MaxiM</f>
        <v>1.1137094723810187E-2</v>
      </c>
      <c r="AE101" s="307">
        <f t="shared" si="40"/>
        <v>1</v>
      </c>
      <c r="AF101" s="179">
        <f t="shared" si="41"/>
        <v>0.73077820446662178</v>
      </c>
      <c r="AG101" s="837">
        <f t="shared" si="49"/>
        <v>0</v>
      </c>
      <c r="AH101" s="178">
        <f t="shared" si="42"/>
        <v>6</v>
      </c>
      <c r="AI101" s="227">
        <f t="shared" si="43"/>
        <v>0.73077820446662178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45014</v>
      </c>
      <c r="B102" s="1139">
        <f>IF(t&gt;Tmaj,'2022'!Wh/'2022'!Env_an*'2023'!Env_an,0.001*'[5]mon-tableau'!$B$236)</f>
        <v>27.163913571868097</v>
      </c>
      <c r="C102" s="866"/>
      <c r="D102" s="395">
        <f t="shared" si="25"/>
        <v>28.26076935731858</v>
      </c>
      <c r="E102" s="387">
        <f t="shared" si="47"/>
        <v>29.954248352650975</v>
      </c>
      <c r="F102" s="387">
        <f t="shared" si="26"/>
        <v>30.094817975631635</v>
      </c>
      <c r="G102" s="110">
        <f t="shared" si="48"/>
        <v>0.59355010369120431</v>
      </c>
      <c r="H102" s="414" t="b">
        <f>Wh_hp&gt;='2022'!Maxi_hp</f>
        <v>0</v>
      </c>
      <c r="I102" s="392">
        <f>IF(H102,Wh_hp,'2022'!Maxi_hp)</f>
        <v>50.374159928114452</v>
      </c>
      <c r="J102" s="85">
        <f>IF(H102,An,'2022'!An_max)</f>
        <v>2021</v>
      </c>
      <c r="K102" s="199">
        <f t="shared" si="27"/>
        <v>45014</v>
      </c>
      <c r="L102" s="147">
        <f>IF(t&lt;Tvie,1-EXP((T0-t)*PertePVj)+'2022'!Pspv,1-EXP((T0-t)*PertePVj)+Pspv)</f>
        <v>3.8811957720692236E-2</v>
      </c>
      <c r="M102" s="870"/>
      <c r="N102" s="870"/>
      <c r="O102" s="48">
        <f>IF(t&lt;Tnet,'2022'!Resal+('2022'!Salim-'2022'!Resal)*(1-EXP(('2022'!Tnet-t)/('2022'!Tau_j))),Resal+(Salim-Resal)*(1-EXP((Tnet-t)/(Tau_j))))*Salcycl</f>
        <v>5.6535519616285744E-2</v>
      </c>
      <c r="P102" s="171">
        <f>(INDEX(Models!$BJ102:$BT102,,T102)*(1-R102)+INDEX(Models!$BJ102:$BT102,,T102+1)*R102-ERP_i)*Q102*Ramure*Pc/MaxiM</f>
        <v>1.0996019850536883E-2</v>
      </c>
      <c r="Q102" s="307">
        <f t="shared" si="28"/>
        <v>1</v>
      </c>
      <c r="R102" s="179">
        <f t="shared" si="29"/>
        <v>0.73205609966476271</v>
      </c>
      <c r="S102" s="837">
        <f t="shared" si="30"/>
        <v>0</v>
      </c>
      <c r="T102" s="178">
        <f t="shared" si="31"/>
        <v>6</v>
      </c>
      <c r="U102" s="253">
        <f t="shared" si="32"/>
        <v>0.73205609966476271</v>
      </c>
      <c r="V102" s="385">
        <f t="shared" si="33"/>
        <v>45.474327882091501</v>
      </c>
      <c r="W102" s="404">
        <f t="shared" si="34"/>
        <v>27.163913571868097</v>
      </c>
      <c r="X102" s="157">
        <f t="shared" si="35"/>
        <v>45014</v>
      </c>
      <c r="Y102" s="387">
        <f t="shared" si="36"/>
        <v>24.393007897915684</v>
      </c>
      <c r="Z102" s="387">
        <f t="shared" si="37"/>
        <v>25.377976862957496</v>
      </c>
      <c r="AA102" s="388">
        <f t="shared" si="38"/>
        <v>29.954248352650975</v>
      </c>
      <c r="AB102" s="199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0.15277537382400957</v>
      </c>
      <c r="AD102" s="233">
        <f>(INDEX(Models!$BJ102:$BT102,,AH102)*(1-AF102)+INDEX(Models!$BJ102:$BT102,,AH102+1)*AF102-ERP_i)*AE102*Ramure*Pc/MaxiM</f>
        <v>1.0996019850536883E-2</v>
      </c>
      <c r="AE102" s="307">
        <f t="shared" si="40"/>
        <v>1</v>
      </c>
      <c r="AF102" s="179">
        <f t="shared" si="41"/>
        <v>0.73205609966476271</v>
      </c>
      <c r="AG102" s="837">
        <f t="shared" si="49"/>
        <v>0</v>
      </c>
      <c r="AH102" s="178">
        <f t="shared" si="42"/>
        <v>6</v>
      </c>
      <c r="AI102" s="227">
        <f t="shared" si="43"/>
        <v>0.73205609966476271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45015</v>
      </c>
      <c r="B103" s="1139">
        <f>IF(t&gt;Tmaj,'2022'!Wh/'2022'!Env_an*'2023'!Env_an,0.001*'[5]mon-tableau'!$B$237)</f>
        <v>7.6559241720628481</v>
      </c>
      <c r="C103" s="866"/>
      <c r="D103" s="395">
        <f t="shared" si="25"/>
        <v>7.9652492581929222</v>
      </c>
      <c r="E103" s="387">
        <f t="shared" si="47"/>
        <v>8.4442807794166725</v>
      </c>
      <c r="F103" s="387">
        <f t="shared" si="26"/>
        <v>8.4442807794166725</v>
      </c>
      <c r="G103" s="110">
        <f t="shared" si="48"/>
        <v>0.16510685448046325</v>
      </c>
      <c r="H103" s="414" t="b">
        <f>Wh_hp&gt;='2022'!Maxi_hp</f>
        <v>0</v>
      </c>
      <c r="I103" s="392">
        <f>IF(H103,Wh_hp,'2022'!Maxi_hp)</f>
        <v>50.454310720909646</v>
      </c>
      <c r="J103" s="85">
        <f>IF(H103,An,'2022'!An_max)</f>
        <v>2019</v>
      </c>
      <c r="K103" s="199">
        <f t="shared" si="27"/>
        <v>45015</v>
      </c>
      <c r="L103" s="147">
        <f>IF(t&lt;Tvie,1-EXP((T0-t)*PertePVj)+'2022'!Pspv,1-EXP((T0-t)*PertePVj)+Pspv)</f>
        <v>3.8834325970641514E-2</v>
      </c>
      <c r="M103" s="870"/>
      <c r="N103" s="870"/>
      <c r="O103" s="48">
        <f>IF(t&lt;Tnet,'2022'!Resal+('2022'!Salim-'2022'!Resal)*(1-EXP(('2022'!Tnet-t)/('2022'!Tau_j))),Resal+(Salim-Resal)*(1-EXP((Tnet-t)/(Tau_j))))*Salcycl</f>
        <v>5.6728516464233575E-2</v>
      </c>
      <c r="P103" s="171">
        <f>(INDEX(Models!$BJ103:$BT103,,T103)*(1-R103)+INDEX(Models!$BJ103:$BT103,,T103+1)*R103-ERP_i)*Q103*Ramure*Pc/MaxiM</f>
        <v>1.0851801694799724E-2</v>
      </c>
      <c r="Q103" s="307">
        <f t="shared" si="28"/>
        <v>1</v>
      </c>
      <c r="R103" s="179">
        <f t="shared" si="29"/>
        <v>0.73338242375702845</v>
      </c>
      <c r="S103" s="837">
        <f t="shared" si="30"/>
        <v>0</v>
      </c>
      <c r="T103" s="178">
        <f t="shared" si="31"/>
        <v>6</v>
      </c>
      <c r="U103" s="253">
        <f t="shared" si="32"/>
        <v>0.73338242375702845</v>
      </c>
      <c r="V103" s="385">
        <f t="shared" si="33"/>
        <v>45.866318663670484</v>
      </c>
      <c r="W103" s="404">
        <f t="shared" si="34"/>
        <v>7.6559241720628481</v>
      </c>
      <c r="X103" s="157">
        <f t="shared" si="35"/>
        <v>45015</v>
      </c>
      <c r="Y103" s="387">
        <f t="shared" si="36"/>
        <v>6.8754813214639547</v>
      </c>
      <c r="Z103" s="387">
        <f t="shared" si="37"/>
        <v>7.1532738915247043</v>
      </c>
      <c r="AA103" s="388">
        <f t="shared" si="38"/>
        <v>8.4442807794166725</v>
      </c>
      <c r="AB103" s="199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0.15288535774874487</v>
      </c>
      <c r="AD103" s="233">
        <f>(INDEX(Models!$BJ103:$BT103,,AH103)*(1-AF103)+INDEX(Models!$BJ103:$BT103,,AH103+1)*AF103-ERP_i)*AE103*Ramure*Pc/MaxiM</f>
        <v>1.0851801694799724E-2</v>
      </c>
      <c r="AE103" s="307">
        <f t="shared" si="40"/>
        <v>1</v>
      </c>
      <c r="AF103" s="179">
        <f t="shared" si="41"/>
        <v>0.73338242375702845</v>
      </c>
      <c r="AG103" s="837">
        <f t="shared" si="49"/>
        <v>0</v>
      </c>
      <c r="AH103" s="178">
        <f t="shared" si="42"/>
        <v>6</v>
      </c>
      <c r="AI103" s="227">
        <f t="shared" si="43"/>
        <v>0.73338242375702845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45016</v>
      </c>
      <c r="B104" s="1139">
        <f>IF(t&gt;Tmaj,'2022'!Wh/'2022'!Env_an*'2023'!Env_an,0.001*'[5]mon-tableau'!$B$238)</f>
        <v>26.734471478881929</v>
      </c>
      <c r="C104" s="866"/>
      <c r="D104" s="395">
        <f t="shared" si="25"/>
        <v>27.815281346337237</v>
      </c>
      <c r="E104" s="387">
        <f t="shared" si="47"/>
        <v>29.494159783956359</v>
      </c>
      <c r="F104" s="387">
        <f t="shared" si="26"/>
        <v>29.620089516583086</v>
      </c>
      <c r="G104" s="110">
        <f t="shared" si="48"/>
        <v>0.57426852660994543</v>
      </c>
      <c r="H104" s="414" t="b">
        <f>Wh_hp&gt;='2022'!Maxi_hp</f>
        <v>0</v>
      </c>
      <c r="I104" s="392">
        <f>IF(H104,Wh_hp,'2022'!Maxi_hp)</f>
        <v>45.640923003520236</v>
      </c>
      <c r="J104" s="85">
        <f>IF(H104,An,'2022'!An_max)</f>
        <v>2021</v>
      </c>
      <c r="K104" s="199">
        <f t="shared" si="27"/>
        <v>45016</v>
      </c>
      <c r="L104" s="147">
        <f>IF(t&lt;Tvie,1-EXP((T0-t)*PertePVj)+'2022'!Pspv,1-EXP((T0-t)*PertePVj)+Pspv)</f>
        <v>3.885669370004885E-2</v>
      </c>
      <c r="M104" s="870"/>
      <c r="N104" s="870"/>
      <c r="O104" s="48">
        <f>IF(t&lt;Tnet,'2022'!Resal+('2022'!Salim-'2022'!Resal)*(1-EXP(('2022'!Tnet-t)/('2022'!Tau_j))),Resal+(Salim-Resal)*(1-EXP((Tnet-t)/(Tau_j))))*Salcycl</f>
        <v>5.6922402601628355E-2</v>
      </c>
      <c r="P104" s="171">
        <f>(INDEX(Models!$BJ104:$BT104,,T104)*(1-R104)+INDEX(Models!$BJ104:$BT104,,T104+1)*R104-ERP_i)*Q104*Ramure*Pc/MaxiM</f>
        <v>1.0704652048385895E-2</v>
      </c>
      <c r="Q104" s="307">
        <f t="shared" si="28"/>
        <v>1</v>
      </c>
      <c r="R104" s="179">
        <f t="shared" si="29"/>
        <v>0.73475879803415833</v>
      </c>
      <c r="S104" s="837">
        <f t="shared" si="30"/>
        <v>0</v>
      </c>
      <c r="T104" s="178">
        <f t="shared" si="31"/>
        <v>6</v>
      </c>
      <c r="U104" s="253">
        <f t="shared" si="32"/>
        <v>0.73475879803415833</v>
      </c>
      <c r="V104" s="385">
        <f t="shared" si="33"/>
        <v>46.252253016169277</v>
      </c>
      <c r="W104" s="404">
        <f t="shared" si="34"/>
        <v>26.734471478881929</v>
      </c>
      <c r="X104" s="157">
        <f t="shared" si="35"/>
        <v>45016</v>
      </c>
      <c r="Y104" s="387">
        <f t="shared" si="36"/>
        <v>24.010909766215509</v>
      </c>
      <c r="Z104" s="387">
        <f t="shared" si="37"/>
        <v>24.981612636567895</v>
      </c>
      <c r="AA104" s="388">
        <f t="shared" si="38"/>
        <v>29.494159783956359</v>
      </c>
      <c r="AB104" s="199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0.15299798944749426</v>
      </c>
      <c r="AD104" s="233">
        <f>(INDEX(Models!$BJ104:$BT104,,AH104)*(1-AF104)+INDEX(Models!$BJ104:$BT104,,AH104+1)*AF104-ERP_i)*AE104*Ramure*Pc/MaxiM</f>
        <v>1.0704652048385895E-2</v>
      </c>
      <c r="AE104" s="307">
        <f t="shared" si="40"/>
        <v>1</v>
      </c>
      <c r="AF104" s="179">
        <f t="shared" si="41"/>
        <v>0.73475879803415833</v>
      </c>
      <c r="AG104" s="837">
        <f t="shared" si="49"/>
        <v>0</v>
      </c>
      <c r="AH104" s="178">
        <f t="shared" si="42"/>
        <v>6</v>
      </c>
      <c r="AI104" s="227">
        <f t="shared" si="43"/>
        <v>0.73475879803415833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45017</v>
      </c>
      <c r="B105" s="1139">
        <f>IF(t&gt;Tmaj,'2022'!Wh/'2022'!Env_an*'2023'!Env_an,0.001*'[6]mon-tableau'!$B$202)</f>
        <v>29.141583763044625</v>
      </c>
      <c r="C105" s="866"/>
      <c r="D105" s="395">
        <f t="shared" si="25"/>
        <v>30.320412944705634</v>
      </c>
      <c r="E105" s="387">
        <f t="shared" si="47"/>
        <v>32.157139645056553</v>
      </c>
      <c r="F105" s="387">
        <f t="shared" si="26"/>
        <v>32.315467983386426</v>
      </c>
      <c r="G105" s="110">
        <f t="shared" si="48"/>
        <v>0.62138435595491281</v>
      </c>
      <c r="H105" s="414" t="b">
        <f>Wh_hp&gt;='2022'!Maxi_hp</f>
        <v>0</v>
      </c>
      <c r="I105" s="392">
        <f>IF(H105,Wh_hp,'2022'!Maxi_hp)</f>
        <v>47.789967168011586</v>
      </c>
      <c r="J105" s="85">
        <f>IF(H105,An,'2022'!An_max)</f>
        <v>2020</v>
      </c>
      <c r="K105" s="199">
        <f t="shared" si="27"/>
        <v>45017</v>
      </c>
      <c r="L105" s="147">
        <f>IF(t&lt;Tvie,1-EXP((T0-t)*PertePVj)+'2022'!Pspv,1-EXP((T0-t)*PertePVj)+Pspv)</f>
        <v>3.8879060908926344E-2</v>
      </c>
      <c r="M105" s="870"/>
      <c r="N105" s="870"/>
      <c r="O105" s="48">
        <f>IF(t&lt;Tnet,'2022'!Resal+('2022'!Salim-'2022'!Resal)*(1-EXP(('2022'!Tnet-t)/('2022'!Tau_j))),Resal+(Salim-Resal)*(1-EXP((Tnet-t)/(Tau_j))))*Salcycl</f>
        <v>5.7117228728186177E-2</v>
      </c>
      <c r="P105" s="171">
        <f>(INDEX(Models!$BJ105:$BT105,,T105)*(1-R105)+INDEX(Models!$BJ105:$BT105,,T105+1)*R105-ERP_i)*Q105*Ramure*Pc/MaxiM</f>
        <v>1.0554762591547055E-2</v>
      </c>
      <c r="Q105" s="307">
        <f t="shared" si="28"/>
        <v>1</v>
      </c>
      <c r="R105" s="179">
        <f t="shared" si="29"/>
        <v>0.73618688073115768</v>
      </c>
      <c r="S105" s="837">
        <f t="shared" si="30"/>
        <v>0</v>
      </c>
      <c r="T105" s="178">
        <f t="shared" si="31"/>
        <v>6</v>
      </c>
      <c r="U105" s="253">
        <f t="shared" si="32"/>
        <v>0.73618688073115768</v>
      </c>
      <c r="V105" s="385">
        <f t="shared" si="33"/>
        <v>46.631312131846641</v>
      </c>
      <c r="W105" s="404">
        <f t="shared" si="34"/>
        <v>29.141583763044625</v>
      </c>
      <c r="X105" s="157">
        <f t="shared" si="35"/>
        <v>45017</v>
      </c>
      <c r="Y105" s="387">
        <f t="shared" si="36"/>
        <v>26.174640193384697</v>
      </c>
      <c r="Z105" s="387">
        <f t="shared" si="37"/>
        <v>27.233451201404371</v>
      </c>
      <c r="AA105" s="388">
        <f t="shared" si="38"/>
        <v>32.157139645056553</v>
      </c>
      <c r="AB105" s="199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0.15311338315530465</v>
      </c>
      <c r="AD105" s="233">
        <f>(INDEX(Models!$BJ105:$BT105,,AH105)*(1-AF105)+INDEX(Models!$BJ105:$BT105,,AH105+1)*AF105-ERP_i)*AE105*Ramure*Pc/MaxiM</f>
        <v>1.0554762591547055E-2</v>
      </c>
      <c r="AE105" s="307">
        <f t="shared" si="40"/>
        <v>1</v>
      </c>
      <c r="AF105" s="179">
        <f t="shared" si="41"/>
        <v>0.73618688073115768</v>
      </c>
      <c r="AG105" s="837">
        <f t="shared" si="49"/>
        <v>0</v>
      </c>
      <c r="AH105" s="178">
        <f t="shared" si="42"/>
        <v>6</v>
      </c>
      <c r="AI105" s="227">
        <f t="shared" si="43"/>
        <v>0.73618688073115768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45018</v>
      </c>
      <c r="B106" s="1139">
        <f>IF(t&gt;Tmaj,'2022'!Wh/'2022'!Env_an*'2023'!Env_an,0.001*'[6]mon-tableau'!$B$203)</f>
        <v>19.743979490434434</v>
      </c>
      <c r="C106" s="866"/>
      <c r="D106" s="395">
        <f t="shared" si="25"/>
        <v>20.543136840870712</v>
      </c>
      <c r="E106" s="387">
        <f t="shared" si="47"/>
        <v>21.792108968003539</v>
      </c>
      <c r="F106" s="387">
        <f t="shared" si="26"/>
        <v>21.831058959466731</v>
      </c>
      <c r="G106" s="110">
        <f t="shared" si="48"/>
        <v>0.41643411884580361</v>
      </c>
      <c r="H106" s="414" t="b">
        <f>Wh_hp&gt;='2022'!Maxi_hp</f>
        <v>0</v>
      </c>
      <c r="I106" s="392">
        <f>IF(H106,Wh_hp,'2022'!Maxi_hp)</f>
        <v>42.365894595773121</v>
      </c>
      <c r="J106" s="85">
        <f>IF(H106,An,'2022'!An_max)</f>
        <v>2020</v>
      </c>
      <c r="K106" s="199">
        <f t="shared" si="27"/>
        <v>45018</v>
      </c>
      <c r="L106" s="147">
        <f>IF(t&lt;Tvie,1-EXP((T0-t)*PertePVj)+'2022'!Pspv,1-EXP((T0-t)*PertePVj)+Pspv)</f>
        <v>3.890142759728632E-2</v>
      </c>
      <c r="M106" s="870"/>
      <c r="N106" s="870"/>
      <c r="O106" s="48">
        <f>IF(t&lt;Tnet,'2022'!Resal+('2022'!Salim-'2022'!Resal)*(1-EXP(('2022'!Tnet-t)/('2022'!Tau_j))),Resal+(Salim-Resal)*(1-EXP((Tnet-t)/(Tau_j))))*Salcycl</f>
        <v>5.7313045238835889E-2</v>
      </c>
      <c r="P106" s="171">
        <f>(INDEX(Models!$BJ106:$BT106,,T106)*(1-R106)+INDEX(Models!$BJ106:$BT106,,T106+1)*R106-ERP_i)*Q106*Ramure*Pc/MaxiM</f>
        <v>1.0402305473829346E-2</v>
      </c>
      <c r="Q106" s="307">
        <f t="shared" si="28"/>
        <v>1</v>
      </c>
      <c r="R106" s="179">
        <f t="shared" si="29"/>
        <v>0.73766836640037281</v>
      </c>
      <c r="S106" s="837">
        <f t="shared" si="30"/>
        <v>0</v>
      </c>
      <c r="T106" s="178">
        <f t="shared" si="31"/>
        <v>6</v>
      </c>
      <c r="U106" s="253">
        <f t="shared" si="32"/>
        <v>0.73766836640037281</v>
      </c>
      <c r="V106" s="385">
        <f t="shared" si="33"/>
        <v>47.002677947641381</v>
      </c>
      <c r="W106" s="404">
        <f t="shared" si="34"/>
        <v>19.743979490434434</v>
      </c>
      <c r="X106" s="157">
        <f t="shared" si="35"/>
        <v>45018</v>
      </c>
      <c r="Y106" s="387">
        <f t="shared" si="36"/>
        <v>17.735025214864358</v>
      </c>
      <c r="Z106" s="387">
        <f t="shared" si="37"/>
        <v>18.452868128320489</v>
      </c>
      <c r="AA106" s="388">
        <f t="shared" si="38"/>
        <v>21.792108968003539</v>
      </c>
      <c r="AB106" s="199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0.15323165117180348</v>
      </c>
      <c r="AD106" s="233">
        <f>(INDEX(Models!$BJ106:$BT106,,AH106)*(1-AF106)+INDEX(Models!$BJ106:$BT106,,AH106+1)*AF106-ERP_i)*AE106*Ramure*Pc/MaxiM</f>
        <v>1.0402305473829346E-2</v>
      </c>
      <c r="AE106" s="307">
        <f t="shared" si="40"/>
        <v>1</v>
      </c>
      <c r="AF106" s="179">
        <f t="shared" si="41"/>
        <v>0.73766836640037281</v>
      </c>
      <c r="AG106" s="837">
        <f t="shared" si="49"/>
        <v>0</v>
      </c>
      <c r="AH106" s="178">
        <f t="shared" si="42"/>
        <v>6</v>
      </c>
      <c r="AI106" s="227">
        <f t="shared" si="43"/>
        <v>0.73766836640037281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45019</v>
      </c>
      <c r="B107" s="1139">
        <f>IF(t&gt;Tmaj,'2022'!Wh/'2022'!Env_an*'2023'!Env_an,0.001*'[6]mon-tableau'!$B$204)</f>
        <v>24.445510643393149</v>
      </c>
      <c r="C107" s="866"/>
      <c r="D107" s="395">
        <f t="shared" si="25"/>
        <v>25.435559100106758</v>
      </c>
      <c r="E107" s="387">
        <f t="shared" si="47"/>
        <v>26.98761414821815</v>
      </c>
      <c r="F107" s="387">
        <f t="shared" si="26"/>
        <v>27.073245909903449</v>
      </c>
      <c r="G107" s="110">
        <f t="shared" si="48"/>
        <v>0.5124063824859425</v>
      </c>
      <c r="H107" s="414" t="b">
        <f>Wh_hp&gt;='2022'!Maxi_hp</f>
        <v>0</v>
      </c>
      <c r="I107" s="392">
        <f>IF(H107,Wh_hp,'2022'!Maxi_hp)</f>
        <v>48.937909271344878</v>
      </c>
      <c r="J107" s="85">
        <f>IF(H107,An,'2022'!An_max)</f>
        <v>2021</v>
      </c>
      <c r="K107" s="199">
        <f t="shared" si="27"/>
        <v>45019</v>
      </c>
      <c r="L107" s="147">
        <f>IF(t&lt;Tvie,1-EXP((T0-t)*PertePVj)+'2022'!Pspv,1-EXP((T0-t)*PertePVj)+Pspv)</f>
        <v>3.8923793765140879E-2</v>
      </c>
      <c r="M107" s="870"/>
      <c r="N107" s="870"/>
      <c r="O107" s="48">
        <f>IF(t&lt;Tnet,'2022'!Resal+('2022'!Salim-'2022'!Resal)*(1-EXP(('2022'!Tnet-t)/('2022'!Tau_j))),Resal+(Salim-Resal)*(1-EXP((Tnet-t)/(Tau_j))))*Salcycl</f>
        <v>5.7509902119816061E-2</v>
      </c>
      <c r="P107" s="171">
        <f>(INDEX(Models!$BJ107:$BT107,,T107)*(1-R107)+INDEX(Models!$BJ107:$BT107,,T107+1)*R107-ERP_i)*Q107*Ramure*Pc/MaxiM</f>
        <v>1.02468528568953E-2</v>
      </c>
      <c r="Q107" s="307">
        <f t="shared" si="28"/>
        <v>1</v>
      </c>
      <c r="R107" s="179">
        <f t="shared" si="29"/>
        <v>0.73920498512711186</v>
      </c>
      <c r="S107" s="837">
        <f t="shared" si="30"/>
        <v>0</v>
      </c>
      <c r="T107" s="178">
        <f t="shared" si="31"/>
        <v>6</v>
      </c>
      <c r="U107" s="253">
        <f t="shared" si="32"/>
        <v>0.73920498512711186</v>
      </c>
      <c r="V107" s="385">
        <f t="shared" si="33"/>
        <v>47.368246727469661</v>
      </c>
      <c r="W107" s="404">
        <f t="shared" si="34"/>
        <v>24.445510643393149</v>
      </c>
      <c r="X107" s="157">
        <f t="shared" si="35"/>
        <v>45019</v>
      </c>
      <c r="Y107" s="387">
        <f t="shared" si="36"/>
        <v>21.959615970944615</v>
      </c>
      <c r="Z107" s="387">
        <f t="shared" si="37"/>
        <v>22.848985156935957</v>
      </c>
      <c r="AA107" s="388">
        <f t="shared" si="38"/>
        <v>26.98761414821815</v>
      </c>
      <c r="AB107" s="199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0.15335290361543297</v>
      </c>
      <c r="AD107" s="233">
        <f>(INDEX(Models!$BJ107:$BT107,,AH107)*(1-AF107)+INDEX(Models!$BJ107:$BT107,,AH107+1)*AF107-ERP_i)*AE107*Ramure*Pc/MaxiM</f>
        <v>1.02468528568953E-2</v>
      </c>
      <c r="AE107" s="307">
        <f t="shared" si="40"/>
        <v>1</v>
      </c>
      <c r="AF107" s="179">
        <f t="shared" si="41"/>
        <v>0.73920498512711186</v>
      </c>
      <c r="AG107" s="837">
        <f t="shared" si="49"/>
        <v>0</v>
      </c>
      <c r="AH107" s="178">
        <f t="shared" si="42"/>
        <v>6</v>
      </c>
      <c r="AI107" s="227">
        <f t="shared" si="43"/>
        <v>0.73920498512711186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45020</v>
      </c>
      <c r="B108" s="1139">
        <f>IF(t&gt;Tmaj,'2022'!Wh/'2022'!Env_an*'2023'!Env_an,0.001*'[6]mon-tableau'!$B$205)</f>
        <v>42.338403282510107</v>
      </c>
      <c r="C108" s="866"/>
      <c r="D108" s="395">
        <f t="shared" si="25"/>
        <v>44.054142956890303</v>
      </c>
      <c r="E108" s="387">
        <f t="shared" si="47"/>
        <v>46.752106449156514</v>
      </c>
      <c r="F108" s="387">
        <f t="shared" si="26"/>
        <v>47.150849108656729</v>
      </c>
      <c r="G108" s="110">
        <f t="shared" si="48"/>
        <v>0.88557567299367146</v>
      </c>
      <c r="H108" s="414" t="b">
        <f>Wh_hp&gt;='2022'!Maxi_hp</f>
        <v>0</v>
      </c>
      <c r="I108" s="392">
        <f>IF(H108,Wh_hp,'2022'!Maxi_hp)</f>
        <v>53.242583375883534</v>
      </c>
      <c r="J108" s="85">
        <f>IF(H108,An,'2022'!An_max)</f>
        <v>2020</v>
      </c>
      <c r="K108" s="199">
        <f t="shared" si="27"/>
        <v>45020</v>
      </c>
      <c r="L108" s="147">
        <f>IF(t&lt;Tvie,1-EXP((T0-t)*PertePVj)+'2022'!Pspv,1-EXP((T0-t)*PertePVj)+Pspv)</f>
        <v>3.8946159412501902E-2</v>
      </c>
      <c r="M108" s="870"/>
      <c r="N108" s="870"/>
      <c r="O108" s="48">
        <f>IF(t&lt;Tnet,'2022'!Resal+('2022'!Salim-'2022'!Resal)*(1-EXP(('2022'!Tnet-t)/('2022'!Tau_j))),Resal+(Salim-Resal)*(1-EXP((Tnet-t)/(Tau_j))))*Salcycl</f>
        <v>5.7707848847415699E-2</v>
      </c>
      <c r="P108" s="171">
        <f>(INDEX(Models!$BJ108:$BT108,,T108)*(1-R108)+INDEX(Models!$BJ108:$BT108,,T108+1)*R108-ERP_i)*Q108*Ramure*Pc/MaxiM</f>
        <v>1.0084161122195149E-2</v>
      </c>
      <c r="Q108" s="307">
        <f t="shared" si="28"/>
        <v>1</v>
      </c>
      <c r="R108" s="179">
        <f t="shared" si="29"/>
        <v>0.74079850157590554</v>
      </c>
      <c r="S108" s="837">
        <f t="shared" si="30"/>
        <v>0</v>
      </c>
      <c r="T108" s="178">
        <f t="shared" si="31"/>
        <v>6</v>
      </c>
      <c r="U108" s="253">
        <f t="shared" si="32"/>
        <v>0.74079850157590554</v>
      </c>
      <c r="V108" s="385">
        <f t="shared" si="33"/>
        <v>47.73043644951683</v>
      </c>
      <c r="W108" s="404">
        <f t="shared" si="34"/>
        <v>42.338403282510107</v>
      </c>
      <c r="X108" s="157">
        <f t="shared" si="35"/>
        <v>45020</v>
      </c>
      <c r="Y108" s="387">
        <f t="shared" si="36"/>
        <v>38.035360487913501</v>
      </c>
      <c r="Z108" s="387">
        <f t="shared" si="37"/>
        <v>39.576721804329146</v>
      </c>
      <c r="AA108" s="388">
        <f t="shared" si="38"/>
        <v>46.752106449156514</v>
      </c>
      <c r="AB108" s="199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0.15347724818839309</v>
      </c>
      <c r="AD108" s="233">
        <f>(INDEX(Models!$BJ108:$BT108,,AH108)*(1-AF108)+INDEX(Models!$BJ108:$BT108,,AH108+1)*AF108-ERP_i)*AE108*Ramure*Pc/MaxiM</f>
        <v>1.0084161122195149E-2</v>
      </c>
      <c r="AE108" s="307">
        <f t="shared" si="40"/>
        <v>1</v>
      </c>
      <c r="AF108" s="179">
        <f t="shared" si="41"/>
        <v>0.74079850157590554</v>
      </c>
      <c r="AG108" s="837">
        <f t="shared" si="49"/>
        <v>0</v>
      </c>
      <c r="AH108" s="178">
        <f t="shared" si="42"/>
        <v>6</v>
      </c>
      <c r="AI108" s="227">
        <f t="shared" si="43"/>
        <v>0.74079850157590554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45021</v>
      </c>
      <c r="B109" s="1139">
        <f>IF(t&gt;Tmaj,'2022'!Wh/'2022'!Env_an*'2023'!Env_an,0.001*'[6]mon-tableau'!$B$206)</f>
        <v>48.995914261204597</v>
      </c>
      <c r="C109" s="866"/>
      <c r="D109" s="395">
        <f t="shared" si="25"/>
        <v>50.982632215787788</v>
      </c>
      <c r="E109" s="387">
        <f t="shared" si="47"/>
        <v>54.116343778959269</v>
      </c>
      <c r="F109" s="387">
        <f t="shared" si="26"/>
        <v>54.658447129725694</v>
      </c>
      <c r="G109" s="110">
        <f t="shared" si="48"/>
        <v>1.018864081474923</v>
      </c>
      <c r="H109" s="414" t="b">
        <f>Wh_hp&gt;='2022'!Maxi_hp</f>
        <v>0</v>
      </c>
      <c r="I109" s="392">
        <f>IF(H109,Wh_hp,'2022'!Maxi_hp)</f>
        <v>55.141802022819732</v>
      </c>
      <c r="J109" s="85">
        <f>IF(H109,An,'2022'!An_max)</f>
        <v>2020</v>
      </c>
      <c r="K109" s="199">
        <f t="shared" si="27"/>
        <v>45021</v>
      </c>
      <c r="L109" s="147">
        <f>IF(t&lt;Tvie,1-EXP((T0-t)*PertePVj)+'2022'!Pspv,1-EXP((T0-t)*PertePVj)+Pspv)</f>
        <v>3.8968524539381599E-2</v>
      </c>
      <c r="M109" s="870"/>
      <c r="N109" s="870"/>
      <c r="O109" s="48">
        <f>IF(t&lt;Tnet,'2022'!Resal+('2022'!Salim-'2022'!Resal)*(1-EXP(('2022'!Tnet-t)/('2022'!Tau_j))),Resal+(Salim-Resal)*(1-EXP((Tnet-t)/(Tau_j))))*Salcycl</f>
        <v>5.7906934289043456E-2</v>
      </c>
      <c r="P109" s="171">
        <f>(INDEX(Models!$BJ109:$BT109,,T109)*(1-R109)+INDEX(Models!$BJ109:$BT109,,T109+1)*R109-ERP_i)*Q109*Ramure*Pc/MaxiM</f>
        <v>9.918015956066192E-3</v>
      </c>
      <c r="Q109" s="307">
        <f t="shared" si="28"/>
        <v>1</v>
      </c>
      <c r="R109" s="179">
        <f t="shared" si="29"/>
        <v>0.74245071385513184</v>
      </c>
      <c r="S109" s="837">
        <f t="shared" si="30"/>
        <v>0</v>
      </c>
      <c r="T109" s="178">
        <f t="shared" si="31"/>
        <v>6</v>
      </c>
      <c r="U109" s="253">
        <f t="shared" si="32"/>
        <v>0.74245071385513184</v>
      </c>
      <c r="V109" s="385">
        <f t="shared" si="33"/>
        <v>48.088763900948763</v>
      </c>
      <c r="W109" s="404">
        <f t="shared" si="34"/>
        <v>48.995914261204597</v>
      </c>
      <c r="X109" s="157">
        <f t="shared" si="35"/>
        <v>45021</v>
      </c>
      <c r="Y109" s="387">
        <f t="shared" si="36"/>
        <v>44.018907103777543</v>
      </c>
      <c r="Z109" s="387">
        <f t="shared" si="37"/>
        <v>45.803814159863457</v>
      </c>
      <c r="AA109" s="388">
        <f t="shared" si="38"/>
        <v>54.116343778959269</v>
      </c>
      <c r="AB109" s="199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0.15360478995123411</v>
      </c>
      <c r="AD109" s="233">
        <f>(INDEX(Models!$BJ109:$BT109,,AH109)*(1-AF109)+INDEX(Models!$BJ109:$BT109,,AH109+1)*AF109-ERP_i)*AE109*Ramure*Pc/MaxiM</f>
        <v>9.918015956066192E-3</v>
      </c>
      <c r="AE109" s="307">
        <f t="shared" si="40"/>
        <v>1</v>
      </c>
      <c r="AF109" s="179">
        <f t="shared" si="41"/>
        <v>0.74245071385513184</v>
      </c>
      <c r="AG109" s="837">
        <f t="shared" si="49"/>
        <v>0</v>
      </c>
      <c r="AH109" s="178">
        <f t="shared" si="42"/>
        <v>6</v>
      </c>
      <c r="AI109" s="227">
        <f t="shared" si="43"/>
        <v>0.74245071385513184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45022</v>
      </c>
      <c r="B110" s="1139">
        <f>IF(t&gt;Tmaj,'2022'!Wh/'2022'!Env_an*'2023'!Env_an,0.001*'[6]mon-tableau'!$B$207)</f>
        <v>12.447870805134519</v>
      </c>
      <c r="C110" s="866"/>
      <c r="D110" s="395">
        <f t="shared" si="25"/>
        <v>12.952916537981661</v>
      </c>
      <c r="E110" s="387">
        <f t="shared" si="47"/>
        <v>13.752007265402861</v>
      </c>
      <c r="F110" s="387">
        <f t="shared" si="26"/>
        <v>13.752007265402861</v>
      </c>
      <c r="G110" s="110">
        <f t="shared" si="48"/>
        <v>0.25445456890070667</v>
      </c>
      <c r="H110" s="414" t="b">
        <f>Wh_hp&gt;='2022'!Maxi_hp</f>
        <v>0</v>
      </c>
      <c r="I110" s="392">
        <f>IF(H110,Wh_hp,'2022'!Maxi_hp)</f>
        <v>55.305797154452193</v>
      </c>
      <c r="J110" s="85">
        <f>IF(H110,An,'2022'!An_max)</f>
        <v>2020</v>
      </c>
      <c r="K110" s="199">
        <f t="shared" si="27"/>
        <v>45022</v>
      </c>
      <c r="L110" s="147">
        <f>IF(t&lt;Tvie,1-EXP((T0-t)*PertePVj)+'2022'!Pspv,1-EXP((T0-t)*PertePVj)+Pspv)</f>
        <v>3.8990889145792296E-2</v>
      </c>
      <c r="M110" s="870"/>
      <c r="N110" s="870"/>
      <c r="O110" s="48">
        <f>IF(t&lt;Tnet,'2022'!Resal+('2022'!Salim-'2022'!Resal)*(1-EXP(('2022'!Tnet-t)/('2022'!Tau_j))),Resal+(Salim-Resal)*(1-EXP((Tnet-t)/(Tau_j))))*Salcycl</f>
        <v>5.8107206606234411E-2</v>
      </c>
      <c r="P110" s="171">
        <f>(INDEX(Models!$BJ110:$BT110,,T110)*(1-R110)+INDEX(Models!$BJ110:$BT110,,T110+1)*R110-ERP_i)*Q110*Ramure*Pc/MaxiM</f>
        <v>9.7485101692002911E-3</v>
      </c>
      <c r="Q110" s="307">
        <f t="shared" si="28"/>
        <v>1</v>
      </c>
      <c r="R110" s="179">
        <f t="shared" si="29"/>
        <v>0.74416345218738811</v>
      </c>
      <c r="S110" s="837">
        <f t="shared" si="30"/>
        <v>0</v>
      </c>
      <c r="T110" s="178">
        <f t="shared" si="31"/>
        <v>6</v>
      </c>
      <c r="U110" s="253">
        <f t="shared" si="32"/>
        <v>0.74416345218738811</v>
      </c>
      <c r="V110" s="385">
        <f t="shared" si="33"/>
        <v>48.442921120492173</v>
      </c>
      <c r="W110" s="404">
        <f t="shared" si="34"/>
        <v>12.447870805134519</v>
      </c>
      <c r="X110" s="157">
        <f t="shared" si="35"/>
        <v>45022</v>
      </c>
      <c r="Y110" s="387">
        <f t="shared" si="36"/>
        <v>11.184064263860453</v>
      </c>
      <c r="Z110" s="387">
        <f t="shared" si="37"/>
        <v>11.637833749483733</v>
      </c>
      <c r="AA110" s="388">
        <f t="shared" si="38"/>
        <v>13.752007265402861</v>
      </c>
      <c r="AB110" s="199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0.15373563110586355</v>
      </c>
      <c r="AD110" s="233">
        <f>(INDEX(Models!$BJ110:$BT110,,AH110)*(1-AF110)+INDEX(Models!$BJ110:$BT110,,AH110+1)*AF110-ERP_i)*AE110*Ramure*Pc/MaxiM</f>
        <v>9.7485101692002911E-3</v>
      </c>
      <c r="AE110" s="307">
        <f t="shared" si="40"/>
        <v>1</v>
      </c>
      <c r="AF110" s="179">
        <f t="shared" si="41"/>
        <v>0.74416345218738811</v>
      </c>
      <c r="AG110" s="837">
        <f t="shared" si="49"/>
        <v>0</v>
      </c>
      <c r="AH110" s="178">
        <f t="shared" si="42"/>
        <v>6</v>
      </c>
      <c r="AI110" s="227">
        <f t="shared" si="43"/>
        <v>0.74416345218738811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45023</v>
      </c>
      <c r="B111" s="1139">
        <f>IF(t&gt;Tmaj,'2022'!Wh/'2022'!Env_an*'2023'!Env_an,0.001*'[6]mon-tableau'!$B$208)</f>
        <v>37.659378461684192</v>
      </c>
      <c r="C111" s="866"/>
      <c r="D111" s="395">
        <f t="shared" si="25"/>
        <v>39.188239159728909</v>
      </c>
      <c r="E111" s="387">
        <f t="shared" si="47"/>
        <v>41.614741165542213</v>
      </c>
      <c r="F111" s="387">
        <f t="shared" si="26"/>
        <v>41.885083860347336</v>
      </c>
      <c r="G111" s="110">
        <f t="shared" si="48"/>
        <v>0.76940082891228923</v>
      </c>
      <c r="H111" s="414" t="b">
        <f>Wh_hp&gt;='2022'!Maxi_hp</f>
        <v>0</v>
      </c>
      <c r="I111" s="392">
        <f>IF(H111,Wh_hp,'2022'!Maxi_hp)</f>
        <v>54.130419749791777</v>
      </c>
      <c r="J111" s="85">
        <f>IF(H111,An,'2022'!An_max)</f>
        <v>2021</v>
      </c>
      <c r="K111" s="199">
        <f t="shared" si="27"/>
        <v>45023</v>
      </c>
      <c r="L111" s="147">
        <f>IF(t&lt;Tvie,1-EXP((T0-t)*PertePVj)+'2022'!Pspv,1-EXP((T0-t)*PertePVj)+Pspv)</f>
        <v>3.9013253231745759E-2</v>
      </c>
      <c r="M111" s="870"/>
      <c r="N111" s="870"/>
      <c r="O111" s="48">
        <f>IF(t&lt;Tnet,'2022'!Resal+('2022'!Salim-'2022'!Resal)*(1-EXP(('2022'!Tnet-t)/('2022'!Tau_j))),Resal+(Salim-Resal)*(1-EXP((Tnet-t)/(Tau_j))))*Salcycl</f>
        <v>5.8308713159136362E-2</v>
      </c>
      <c r="P111" s="171">
        <f>(INDEX(Models!$BJ111:$BT111,,T111)*(1-R111)+INDEX(Models!$BJ111:$BT111,,T111+1)*R111-ERP_i)*Q111*Ramure*Pc/MaxiM</f>
        <v>9.5757275701997824E-3</v>
      </c>
      <c r="Q111" s="307">
        <f t="shared" si="28"/>
        <v>1</v>
      </c>
      <c r="R111" s="179">
        <f t="shared" si="29"/>
        <v>0.74593857737271674</v>
      </c>
      <c r="S111" s="837">
        <f t="shared" si="30"/>
        <v>0</v>
      </c>
      <c r="T111" s="178">
        <f t="shared" si="31"/>
        <v>6</v>
      </c>
      <c r="U111" s="253">
        <f t="shared" si="32"/>
        <v>0.74593857737271674</v>
      </c>
      <c r="V111" s="385">
        <f t="shared" si="33"/>
        <v>48.792600445322925</v>
      </c>
      <c r="W111" s="404">
        <f t="shared" si="34"/>
        <v>37.659378461684192</v>
      </c>
      <c r="X111" s="157">
        <f t="shared" si="35"/>
        <v>45023</v>
      </c>
      <c r="Y111" s="387">
        <f t="shared" si="36"/>
        <v>33.837771687171056</v>
      </c>
      <c r="Z111" s="387">
        <f t="shared" si="37"/>
        <v>35.211486319624726</v>
      </c>
      <c r="AA111" s="388">
        <f t="shared" si="38"/>
        <v>41.614741165542213</v>
      </c>
      <c r="AB111" s="199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0.15386987078558373</v>
      </c>
      <c r="AD111" s="233">
        <f>(INDEX(Models!$BJ111:$BT111,,AH111)*(1-AF111)+INDEX(Models!$BJ111:$BT111,,AH111+1)*AF111-ERP_i)*AE111*Ramure*Pc/MaxiM</f>
        <v>9.5757275701997824E-3</v>
      </c>
      <c r="AE111" s="307">
        <f t="shared" si="40"/>
        <v>1</v>
      </c>
      <c r="AF111" s="179">
        <f t="shared" si="41"/>
        <v>0.74593857737271674</v>
      </c>
      <c r="AG111" s="837">
        <f t="shared" si="49"/>
        <v>0</v>
      </c>
      <c r="AH111" s="178">
        <f t="shared" si="42"/>
        <v>6</v>
      </c>
      <c r="AI111" s="227">
        <f t="shared" si="43"/>
        <v>0.74593857737271674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45024</v>
      </c>
      <c r="B112" s="1139">
        <f>IF(t&gt;Tmaj,'2022'!Wh/'2022'!Env_an*'2023'!Env_an,0.001*'[6]mon-tableau'!$B$209)</f>
        <v>29.418447193117924</v>
      </c>
      <c r="C112" s="866"/>
      <c r="D112" s="395">
        <f t="shared" si="25"/>
        <v>30.613462587521493</v>
      </c>
      <c r="E112" s="387">
        <f t="shared" si="47"/>
        <v>32.516023935413827</v>
      </c>
      <c r="F112" s="387">
        <f t="shared" si="26"/>
        <v>32.646969559439626</v>
      </c>
      <c r="G112" s="110">
        <f t="shared" si="48"/>
        <v>0.5954572850028782</v>
      </c>
      <c r="H112" s="414" t="b">
        <f>Wh_hp&gt;='2022'!Maxi_hp</f>
        <v>0</v>
      </c>
      <c r="I112" s="392">
        <f>IF(H112,Wh_hp,'2022'!Maxi_hp)</f>
        <v>52.014022850554703</v>
      </c>
      <c r="J112" s="85">
        <f>IF(H112,An,'2022'!An_max)</f>
        <v>2021</v>
      </c>
      <c r="K112" s="199">
        <f t="shared" si="27"/>
        <v>45024</v>
      </c>
      <c r="L112" s="147">
        <f>IF(t&lt;Tvie,1-EXP((T0-t)*PertePVj)+'2022'!Pspv,1-EXP((T0-t)*PertePVj)+Pspv)</f>
        <v>3.9035616797254313E-2</v>
      </c>
      <c r="M112" s="870"/>
      <c r="N112" s="870"/>
      <c r="O112" s="48">
        <f>IF(t&lt;Tnet,'2022'!Resal+('2022'!Salim-'2022'!Resal)*(1-EXP(('2022'!Tnet-t)/('2022'!Tau_j))),Resal+(Salim-Resal)*(1-EXP((Tnet-t)/(Tau_j))))*Salcycl</f>
        <v>5.8511500411962077E-2</v>
      </c>
      <c r="P112" s="171">
        <f>(INDEX(Models!$BJ112:$BT112,,T112)*(1-R112)+INDEX(Models!$BJ112:$BT112,,T112+1)*R112-ERP_i)*Q112*Ramure*Pc/MaxiM</f>
        <v>9.3997431410269162E-3</v>
      </c>
      <c r="Q112" s="307">
        <f t="shared" si="28"/>
        <v>1</v>
      </c>
      <c r="R112" s="179">
        <f t="shared" si="29"/>
        <v>0.74777797903155774</v>
      </c>
      <c r="S112" s="837">
        <f t="shared" si="30"/>
        <v>0</v>
      </c>
      <c r="T112" s="178">
        <f t="shared" si="31"/>
        <v>6</v>
      </c>
      <c r="U112" s="253">
        <f t="shared" si="32"/>
        <v>0.74777797903155774</v>
      </c>
      <c r="V112" s="385">
        <f t="shared" si="33"/>
        <v>49.137494531687871</v>
      </c>
      <c r="W112" s="404">
        <f t="shared" si="34"/>
        <v>29.418447193117924</v>
      </c>
      <c r="X112" s="157">
        <f t="shared" si="35"/>
        <v>45024</v>
      </c>
      <c r="Y112" s="387">
        <f t="shared" si="36"/>
        <v>26.434505162166371</v>
      </c>
      <c r="Z112" s="387">
        <f t="shared" si="37"/>
        <v>27.508308969854067</v>
      </c>
      <c r="AA112" s="388">
        <f t="shared" si="38"/>
        <v>32.516023935413827</v>
      </c>
      <c r="AB112" s="199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0.15400760485065831</v>
      </c>
      <c r="AD112" s="233">
        <f>(INDEX(Models!$BJ112:$BT112,,AH112)*(1-AF112)+INDEX(Models!$BJ112:$BT112,,AH112+1)*AF112-ERP_i)*AE112*Ramure*Pc/MaxiM</f>
        <v>9.3997431410269162E-3</v>
      </c>
      <c r="AE112" s="307">
        <f t="shared" si="40"/>
        <v>1</v>
      </c>
      <c r="AF112" s="179">
        <f t="shared" si="41"/>
        <v>0.74777797903155774</v>
      </c>
      <c r="AG112" s="837">
        <f t="shared" si="49"/>
        <v>0</v>
      </c>
      <c r="AH112" s="178">
        <f t="shared" si="42"/>
        <v>6</v>
      </c>
      <c r="AI112" s="227">
        <f t="shared" si="43"/>
        <v>0.74777797903155774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45025</v>
      </c>
      <c r="B113" s="1139">
        <f>IF(t&gt;Tmaj,'2022'!Wh/'2022'!Env_an*'2023'!Env_an,0.001*'[6]mon-tableau'!$B$210)</f>
        <v>35.700959541311605</v>
      </c>
      <c r="C113" s="866"/>
      <c r="D113" s="395">
        <f t="shared" si="25"/>
        <v>37.152043299609112</v>
      </c>
      <c r="E113" s="387">
        <f t="shared" si="47"/>
        <v>39.469520418931694</v>
      </c>
      <c r="F113" s="387">
        <f t="shared" si="26"/>
        <v>39.689916744861137</v>
      </c>
      <c r="G113" s="110">
        <f t="shared" si="48"/>
        <v>0.71890122799098688</v>
      </c>
      <c r="H113" s="414" t="b">
        <f>Wh_hp&gt;='2022'!Maxi_hp</f>
        <v>0</v>
      </c>
      <c r="I113" s="392">
        <f>IF(H113,Wh_hp,'2022'!Maxi_hp)</f>
        <v>51.39394262397834</v>
      </c>
      <c r="J113" s="85">
        <f>IF(H113,An,'2022'!An_max)</f>
        <v>2020</v>
      </c>
      <c r="K113" s="199">
        <f t="shared" si="27"/>
        <v>45025</v>
      </c>
      <c r="L113" s="147">
        <f>IF(t&lt;Tvie,1-EXP((T0-t)*PertePVj)+'2022'!Pspv,1-EXP((T0-t)*PertePVj)+Pspv)</f>
        <v>3.9057979842330059E-2</v>
      </c>
      <c r="M113" s="870"/>
      <c r="N113" s="870"/>
      <c r="O113" s="48">
        <f>IF(t&lt;Tnet,'2022'!Resal+('2022'!Salim-'2022'!Resal)*(1-EXP(('2022'!Tnet-t)/('2022'!Tau_j))),Resal+(Salim-Resal)*(1-EXP((Tnet-t)/(Tau_j))))*Salcycl</f>
        <v>5.8715613838849587E-2</v>
      </c>
      <c r="P113" s="171">
        <f>(INDEX(Models!$BJ113:$BT113,,T113)*(1-R113)+INDEX(Models!$BJ113:$BT113,,T113+1)*R113-ERP_i)*Q113*Ramure*Pc/MaxiM</f>
        <v>9.220623204332562E-3</v>
      </c>
      <c r="Q113" s="307">
        <f t="shared" si="28"/>
        <v>1</v>
      </c>
      <c r="R113" s="179">
        <f t="shared" si="29"/>
        <v>0.74968357361415017</v>
      </c>
      <c r="S113" s="837">
        <f t="shared" si="30"/>
        <v>0</v>
      </c>
      <c r="T113" s="178">
        <f t="shared" si="31"/>
        <v>6</v>
      </c>
      <c r="U113" s="253">
        <f t="shared" si="32"/>
        <v>0.74968357361415017</v>
      </c>
      <c r="V113" s="385">
        <f t="shared" si="33"/>
        <v>49.477296360182812</v>
      </c>
      <c r="W113" s="404">
        <f t="shared" si="34"/>
        <v>35.700959541311605</v>
      </c>
      <c r="X113" s="157">
        <f t="shared" si="35"/>
        <v>45025</v>
      </c>
      <c r="Y113" s="387">
        <f t="shared" si="36"/>
        <v>32.08137245869932</v>
      </c>
      <c r="Z113" s="387">
        <f t="shared" si="37"/>
        <v>33.385336248939822</v>
      </c>
      <c r="AA113" s="388">
        <f t="shared" si="38"/>
        <v>39.469520418931694</v>
      </c>
      <c r="AB113" s="199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0.15414892568782193</v>
      </c>
      <c r="AD113" s="233">
        <f>(INDEX(Models!$BJ113:$BT113,,AH113)*(1-AF113)+INDEX(Models!$BJ113:$BT113,,AH113+1)*AF113-ERP_i)*AE113*Ramure*Pc/MaxiM</f>
        <v>9.220623204332562E-3</v>
      </c>
      <c r="AE113" s="307">
        <f t="shared" si="40"/>
        <v>1</v>
      </c>
      <c r="AF113" s="179">
        <f t="shared" si="41"/>
        <v>0.74968357361415017</v>
      </c>
      <c r="AG113" s="837">
        <f t="shared" si="49"/>
        <v>0</v>
      </c>
      <c r="AH113" s="178">
        <f t="shared" si="42"/>
        <v>6</v>
      </c>
      <c r="AI113" s="227">
        <f t="shared" si="43"/>
        <v>0.74968357361415017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45026</v>
      </c>
      <c r="B114" s="1139">
        <f>IF(t&gt;Tmaj,'2022'!Wh/'2022'!Env_an*'2023'!Env_an,0.001*'[6]mon-tableau'!$B$211)</f>
        <v>50.557509190753464</v>
      </c>
      <c r="C114" s="866"/>
      <c r="D114" s="395">
        <f t="shared" si="25"/>
        <v>52.61366940425512</v>
      </c>
      <c r="E114" s="387">
        <f t="shared" si="47"/>
        <v>55.907819506854779</v>
      </c>
      <c r="F114" s="387">
        <f t="shared" si="26"/>
        <v>56.417502682718599</v>
      </c>
      <c r="G114" s="110">
        <f t="shared" si="48"/>
        <v>1.0149681881709371</v>
      </c>
      <c r="H114" s="414" t="b">
        <f>Wh_hp&gt;='2022'!Maxi_hp</f>
        <v>1</v>
      </c>
      <c r="I114" s="392">
        <f>IF(H114,Wh_hp,'2022'!Maxi_hp)</f>
        <v>56.417502682718599</v>
      </c>
      <c r="J114" s="85">
        <f>IF(H114,An,'2022'!An_max)</f>
        <v>2023</v>
      </c>
      <c r="K114" s="199">
        <f t="shared" si="27"/>
        <v>45026</v>
      </c>
      <c r="L114" s="147">
        <f>IF(t&lt;Tvie,1-EXP((T0-t)*PertePVj)+'2022'!Pspv,1-EXP((T0-t)*PertePVj)+Pspv)</f>
        <v>3.9080342366985099E-2</v>
      </c>
      <c r="M114" s="870"/>
      <c r="N114" s="870"/>
      <c r="O114" s="48">
        <f>IF(t&lt;Tnet,'2022'!Resal+('2022'!Salim-'2022'!Resal)*(1-EXP(('2022'!Tnet-t)/('2022'!Tau_j))),Resal+(Salim-Resal)*(1-EXP((Tnet-t)/(Tau_j))))*Salcycl</f>
        <v>5.8921097829540033E-2</v>
      </c>
      <c r="P114" s="171">
        <f>(INDEX(Models!$BJ114:$BT114,,T114)*(1-R114)+INDEX(Models!$BJ114:$BT114,,T114+1)*R114-ERP_i)*Q114*Ramure*Pc/MaxiM</f>
        <v>9.0341321687027517E-3</v>
      </c>
      <c r="Q114" s="307">
        <f t="shared" si="28"/>
        <v>1</v>
      </c>
      <c r="R114" s="179">
        <f t="shared" si="29"/>
        <v>0.75165730216302973</v>
      </c>
      <c r="S114" s="837">
        <f t="shared" si="30"/>
        <v>0</v>
      </c>
      <c r="T114" s="178">
        <f t="shared" si="31"/>
        <v>6</v>
      </c>
      <c r="U114" s="253">
        <f t="shared" si="32"/>
        <v>0.75165730216302973</v>
      </c>
      <c r="V114" s="385">
        <f t="shared" si="33"/>
        <v>49.811915072789212</v>
      </c>
      <c r="W114" s="404">
        <f t="shared" si="34"/>
        <v>50.557509190753464</v>
      </c>
      <c r="X114" s="157">
        <f t="shared" si="35"/>
        <v>45026</v>
      </c>
      <c r="Y114" s="387">
        <f t="shared" si="36"/>
        <v>45.433802321927764</v>
      </c>
      <c r="Z114" s="387">
        <f t="shared" si="37"/>
        <v>47.28158276399774</v>
      </c>
      <c r="AA114" s="388">
        <f t="shared" si="38"/>
        <v>55.907819506854779</v>
      </c>
      <c r="AB114" s="199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0.1542939220120968</v>
      </c>
      <c r="AD114" s="233">
        <f>(INDEX(Models!$BJ114:$BT114,,AH114)*(1-AF114)+INDEX(Models!$BJ114:$BT114,,AH114+1)*AF114-ERP_i)*AE114*Ramure*Pc/MaxiM</f>
        <v>9.0341321687027517E-3</v>
      </c>
      <c r="AE114" s="307">
        <f t="shared" si="40"/>
        <v>1</v>
      </c>
      <c r="AF114" s="179">
        <f t="shared" si="41"/>
        <v>0.75165730216302973</v>
      </c>
      <c r="AG114" s="837">
        <f t="shared" si="49"/>
        <v>0</v>
      </c>
      <c r="AH114" s="178">
        <f t="shared" si="42"/>
        <v>6</v>
      </c>
      <c r="AI114" s="227">
        <f t="shared" si="43"/>
        <v>0.75165730216302973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45027</v>
      </c>
      <c r="B115" s="1139">
        <f>IF(t&gt;Tmaj,'2022'!Wh/'2022'!Env_an*'2023'!Env_an,0.001*'[6]mon-tableau'!$B$212)</f>
        <v>38.687396540513895</v>
      </c>
      <c r="C115" s="866"/>
      <c r="D115" s="395">
        <f t="shared" si="25"/>
        <v>40.261739435116823</v>
      </c>
      <c r="E115" s="387">
        <f t="shared" si="47"/>
        <v>42.791941142458143</v>
      </c>
      <c r="F115" s="387">
        <f t="shared" si="26"/>
        <v>43.048405844723746</v>
      </c>
      <c r="G115" s="110">
        <f t="shared" si="48"/>
        <v>0.76933378823283682</v>
      </c>
      <c r="H115" s="414" t="b">
        <f>Wh_hp&gt;='2022'!Maxi_hp</f>
        <v>0</v>
      </c>
      <c r="I115" s="392">
        <f>IF(H115,Wh_hp,'2022'!Maxi_hp)</f>
        <v>55.108352473035232</v>
      </c>
      <c r="J115" s="85">
        <f>IF(H115,An,'2022'!An_max)</f>
        <v>2020</v>
      </c>
      <c r="K115" s="199">
        <f t="shared" si="27"/>
        <v>45027</v>
      </c>
      <c r="L115" s="147">
        <f>IF(t&lt;Tvie,1-EXP((T0-t)*PertePVj)+'2022'!Pspv,1-EXP((T0-t)*PertePVj)+Pspv)</f>
        <v>3.9102704371231534E-2</v>
      </c>
      <c r="M115" s="870"/>
      <c r="N115" s="870"/>
      <c r="O115" s="48">
        <f>IF(t&lt;Tnet,'2022'!Resal+('2022'!Salim-'2022'!Resal)*(1-EXP(('2022'!Tnet-t)/('2022'!Tau_j))),Resal+(Salim-Resal)*(1-EXP((Tnet-t)/(Tau_j))))*Salcycl</f>
        <v>5.9127995594265188E-2</v>
      </c>
      <c r="P115" s="171">
        <f>(INDEX(Models!$BJ115:$BT115,,T115)*(1-R115)+INDEX(Models!$BJ115:$BT115,,T115+1)*R115-ERP_i)*Q115*Ramure*Pc/MaxiM</f>
        <v>8.843393511060834E-3</v>
      </c>
      <c r="Q115" s="307">
        <f t="shared" si="28"/>
        <v>1</v>
      </c>
      <c r="R115" s="179">
        <f t="shared" si="29"/>
        <v>0.75370112781528564</v>
      </c>
      <c r="S115" s="837">
        <f t="shared" si="30"/>
        <v>0</v>
      </c>
      <c r="T115" s="178">
        <f t="shared" si="31"/>
        <v>6</v>
      </c>
      <c r="U115" s="253">
        <f t="shared" si="32"/>
        <v>0.75370112781528564</v>
      </c>
      <c r="V115" s="385">
        <f t="shared" si="33"/>
        <v>50.140892995896209</v>
      </c>
      <c r="W115" s="404">
        <f t="shared" si="34"/>
        <v>38.687396540513895</v>
      </c>
      <c r="X115" s="157">
        <f t="shared" si="35"/>
        <v>45027</v>
      </c>
      <c r="Y115" s="387">
        <f t="shared" si="36"/>
        <v>34.768184444725129</v>
      </c>
      <c r="Z115" s="387">
        <f t="shared" si="37"/>
        <v>36.183039126959322</v>
      </c>
      <c r="AA115" s="388">
        <f t="shared" si="38"/>
        <v>42.791941142458143</v>
      </c>
      <c r="AB115" s="199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0.15444267866926628</v>
      </c>
      <c r="AD115" s="233">
        <f>(INDEX(Models!$BJ115:$BT115,,AH115)*(1-AF115)+INDEX(Models!$BJ115:$BT115,,AH115+1)*AF115-ERP_i)*AE115*Ramure*Pc/MaxiM</f>
        <v>8.843393511060834E-3</v>
      </c>
      <c r="AE115" s="307">
        <f t="shared" si="40"/>
        <v>1</v>
      </c>
      <c r="AF115" s="179">
        <f t="shared" si="41"/>
        <v>0.75370112781528564</v>
      </c>
      <c r="AG115" s="837">
        <f t="shared" si="49"/>
        <v>0</v>
      </c>
      <c r="AH115" s="178">
        <f t="shared" si="42"/>
        <v>6</v>
      </c>
      <c r="AI115" s="227">
        <f t="shared" si="43"/>
        <v>0.75370112781528564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45028</v>
      </c>
      <c r="B116" s="1139">
        <f>IF(t&gt;Tmaj,'2022'!Wh/'2022'!Env_an*'2023'!Env_an,0.001*'[6]mon-tableau'!$B$213)</f>
        <v>35.546079015633595</v>
      </c>
      <c r="C116" s="866"/>
      <c r="D116" s="395">
        <f t="shared" si="25"/>
        <v>36.993450190545353</v>
      </c>
      <c r="E116" s="387">
        <f t="shared" si="47"/>
        <v>39.326968947787407</v>
      </c>
      <c r="F116" s="387">
        <f t="shared" si="26"/>
        <v>39.524439705278709</v>
      </c>
      <c r="G116" s="110">
        <f t="shared" si="48"/>
        <v>0.7018003993539329</v>
      </c>
      <c r="H116" s="414" t="b">
        <f>Wh_hp&gt;='2022'!Maxi_hp</f>
        <v>0</v>
      </c>
      <c r="I116" s="392">
        <f>IF(H116,Wh_hp,'2022'!Maxi_hp)</f>
        <v>55.432889188888424</v>
      </c>
      <c r="J116" s="85">
        <f>IF(H116,An,'2022'!An_max)</f>
        <v>2019</v>
      </c>
      <c r="K116" s="199">
        <f t="shared" si="27"/>
        <v>45028</v>
      </c>
      <c r="L116" s="147">
        <f>IF(t&lt;Tvie,1-EXP((T0-t)*PertePVj)+'2022'!Pspv,1-EXP((T0-t)*PertePVj)+Pspv)</f>
        <v>3.9125065855081353E-2</v>
      </c>
      <c r="M116" s="870"/>
      <c r="N116" s="870"/>
      <c r="O116" s="48">
        <f>IF(t&lt;Tnet,'2022'!Resal+('2022'!Salim-'2022'!Resal)*(1-EXP(('2022'!Tnet-t)/('2022'!Tau_j))),Resal+(Salim-Resal)*(1-EXP((Tnet-t)/(Tau_j))))*Salcycl</f>
        <v>5.9336349067230613E-2</v>
      </c>
      <c r="P116" s="171">
        <f>(INDEX(Models!$BJ116:$BT116,,T116)*(1-R116)+INDEX(Models!$BJ116:$BT116,,T116+1)*R116-ERP_i)*Q116*Ramure*Pc/MaxiM</f>
        <v>8.6484655239806429E-3</v>
      </c>
      <c r="Q116" s="307">
        <f t="shared" si="28"/>
        <v>1</v>
      </c>
      <c r="R116" s="179">
        <f t="shared" si="29"/>
        <v>0.75581703303136527</v>
      </c>
      <c r="S116" s="837">
        <f t="shared" si="30"/>
        <v>0</v>
      </c>
      <c r="T116" s="178">
        <f t="shared" si="31"/>
        <v>6</v>
      </c>
      <c r="U116" s="253">
        <f t="shared" si="32"/>
        <v>0.75581703303136527</v>
      </c>
      <c r="V116" s="385">
        <f t="shared" si="33"/>
        <v>50.463924390912524</v>
      </c>
      <c r="W116" s="404">
        <f t="shared" si="34"/>
        <v>35.546079015633595</v>
      </c>
      <c r="X116" s="157">
        <f t="shared" si="35"/>
        <v>45028</v>
      </c>
      <c r="Y116" s="387">
        <f t="shared" si="36"/>
        <v>31.946406214536246</v>
      </c>
      <c r="Z116" s="387">
        <f t="shared" si="37"/>
        <v>33.247205311860185</v>
      </c>
      <c r="AA116" s="388">
        <f t="shared" si="38"/>
        <v>39.326968947787407</v>
      </c>
      <c r="AB116" s="199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0.15459527643737417</v>
      </c>
      <c r="AD116" s="233">
        <f>(INDEX(Models!$BJ116:$BT116,,AH116)*(1-AF116)+INDEX(Models!$BJ116:$BT116,,AH116+1)*AF116-ERP_i)*AE116*Ramure*Pc/MaxiM</f>
        <v>8.6484655239806429E-3</v>
      </c>
      <c r="AE116" s="307">
        <f t="shared" si="40"/>
        <v>1</v>
      </c>
      <c r="AF116" s="179">
        <f t="shared" si="41"/>
        <v>0.75581703303136527</v>
      </c>
      <c r="AG116" s="837">
        <f t="shared" si="49"/>
        <v>0</v>
      </c>
      <c r="AH116" s="178">
        <f t="shared" si="42"/>
        <v>6</v>
      </c>
      <c r="AI116" s="227">
        <f t="shared" si="43"/>
        <v>0.75581703303136527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45029</v>
      </c>
      <c r="B117" s="1139">
        <f>IF(t&gt;Tmaj,'2022'!Wh/'2022'!Env_an*'2023'!Env_an,0.001*'[6]mon-tableau'!$B$214)</f>
        <v>7.83459767615894</v>
      </c>
      <c r="C117" s="866"/>
      <c r="D117" s="395">
        <f t="shared" si="25"/>
        <v>8.1537978820392958</v>
      </c>
      <c r="E117" s="387">
        <f t="shared" si="47"/>
        <v>8.6700674415961263</v>
      </c>
      <c r="F117" s="387">
        <f t="shared" si="26"/>
        <v>8.6700674415961263</v>
      </c>
      <c r="G117" s="110">
        <f t="shared" si="48"/>
        <v>0.1529793691680682</v>
      </c>
      <c r="H117" s="414" t="b">
        <f>Wh_hp&gt;='2022'!Maxi_hp</f>
        <v>0</v>
      </c>
      <c r="I117" s="392">
        <f>IF(H117,Wh_hp,'2022'!Maxi_hp)</f>
        <v>56.418752922877168</v>
      </c>
      <c r="J117" s="85">
        <f>IF(H117,An,'2022'!An_max)</f>
        <v>2019</v>
      </c>
      <c r="K117" s="199">
        <f t="shared" si="27"/>
        <v>45029</v>
      </c>
      <c r="L117" s="147">
        <f>IF(t&lt;Tvie,1-EXP((T0-t)*PertePVj)+'2022'!Pspv,1-EXP((T0-t)*PertePVj)+Pspv)</f>
        <v>3.9147426818546882E-2</v>
      </c>
      <c r="M117" s="870"/>
      <c r="N117" s="870"/>
      <c r="O117" s="48">
        <f>IF(t&lt;Tnet,'2022'!Resal+('2022'!Salim-'2022'!Resal)*(1-EXP(('2022'!Tnet-t)/('2022'!Tau_j))),Resal+(Salim-Resal)*(1-EXP((Tnet-t)/(Tau_j))))*Salcycl</f>
        <v>5.9546198808089909E-2</v>
      </c>
      <c r="P117" s="171">
        <f>(INDEX(Models!$BJ117:$BT117,,T117)*(1-R117)+INDEX(Models!$BJ117:$BT117,,T117+1)*R117-ERP_i)*Q117*Ramure*Pc/MaxiM</f>
        <v>8.4493966169732117E-3</v>
      </c>
      <c r="Q117" s="307">
        <f t="shared" si="28"/>
        <v>1</v>
      </c>
      <c r="R117" s="179">
        <f t="shared" si="29"/>
        <v>0.7580070165374555</v>
      </c>
      <c r="S117" s="837">
        <f t="shared" si="30"/>
        <v>0</v>
      </c>
      <c r="T117" s="178">
        <f t="shared" si="31"/>
        <v>6</v>
      </c>
      <c r="U117" s="253">
        <f t="shared" si="32"/>
        <v>0.7580070165374555</v>
      </c>
      <c r="V117" s="385">
        <f t="shared" si="33"/>
        <v>50.78070392958697</v>
      </c>
      <c r="W117" s="404">
        <f t="shared" si="34"/>
        <v>7.83459767615894</v>
      </c>
      <c r="X117" s="157">
        <f t="shared" si="35"/>
        <v>45029</v>
      </c>
      <c r="Y117" s="387">
        <f t="shared" si="36"/>
        <v>7.0414725732909487</v>
      </c>
      <c r="Z117" s="387">
        <f t="shared" si="37"/>
        <v>7.3283589697596563</v>
      </c>
      <c r="AA117" s="388">
        <f t="shared" si="38"/>
        <v>8.6700674415961263</v>
      </c>
      <c r="AB117" s="199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0.15475179182567778</v>
      </c>
      <c r="AD117" s="233">
        <f>(INDEX(Models!$BJ117:$BT117,,AH117)*(1-AF117)+INDEX(Models!$BJ117:$BT117,,AH117+1)*AF117-ERP_i)*AE117*Ramure*Pc/MaxiM</f>
        <v>8.4493966169732117E-3</v>
      </c>
      <c r="AE117" s="307">
        <f t="shared" si="40"/>
        <v>1</v>
      </c>
      <c r="AF117" s="179">
        <f t="shared" si="41"/>
        <v>0.7580070165374555</v>
      </c>
      <c r="AG117" s="837">
        <f t="shared" si="49"/>
        <v>0</v>
      </c>
      <c r="AH117" s="178">
        <f t="shared" si="42"/>
        <v>6</v>
      </c>
      <c r="AI117" s="227">
        <f t="shared" si="43"/>
        <v>0.7580070165374555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45030</v>
      </c>
      <c r="B118" s="1139">
        <f>IF(t&gt;Tmaj,'2022'!Wh/'2022'!Env_an*'2023'!Env_an,0.001*'[6]mon-tableau'!$B$215)</f>
        <v>38.306882554388899</v>
      </c>
      <c r="C118" s="866"/>
      <c r="D118" s="395">
        <f t="shared" si="25"/>
        <v>39.868524164341721</v>
      </c>
      <c r="E118" s="387">
        <f t="shared" si="47"/>
        <v>42.402388449721499</v>
      </c>
      <c r="F118" s="387">
        <f t="shared" si="26"/>
        <v>42.628255820205602</v>
      </c>
      <c r="G118" s="110">
        <f t="shared" si="48"/>
        <v>0.74755669489649623</v>
      </c>
      <c r="H118" s="414" t="b">
        <f>Wh_hp&gt;='2022'!Maxi_hp</f>
        <v>0</v>
      </c>
      <c r="I118" s="392">
        <f>IF(H118,Wh_hp,'2022'!Maxi_hp)</f>
        <v>56.195003771164046</v>
      </c>
      <c r="J118" s="85">
        <f>IF(H118,An,'2022'!An_max)</f>
        <v>2021</v>
      </c>
      <c r="K118" s="199">
        <f t="shared" si="27"/>
        <v>45030</v>
      </c>
      <c r="L118" s="147">
        <f>IF(t&lt;Tvie,1-EXP((T0-t)*PertePVj)+'2022'!Pspv,1-EXP((T0-t)*PertePVj)+Pspv)</f>
        <v>3.916978726164011E-2</v>
      </c>
      <c r="M118" s="870"/>
      <c r="N118" s="870"/>
      <c r="O118" s="48">
        <f>IF(t&lt;Tnet,'2022'!Resal+('2022'!Salim-'2022'!Resal)*(1-EXP(('2022'!Tnet-t)/('2022'!Tau_j))),Resal+(Salim-Resal)*(1-EXP((Tnet-t)/(Tau_j))))*Salcycl</f>
        <v>5.9757583900829102E-2</v>
      </c>
      <c r="P118" s="171">
        <f>(INDEX(Models!$BJ118:$BT118,,T118)*(1-R118)+INDEX(Models!$BJ118:$BT118,,T118+1)*R118-ERP_i)*Q118*Ramure*Pc/MaxiM</f>
        <v>8.2462254080995674E-3</v>
      </c>
      <c r="Q118" s="307">
        <f t="shared" si="28"/>
        <v>1</v>
      </c>
      <c r="R118" s="179">
        <f t="shared" si="29"/>
        <v>0.76027308996884446</v>
      </c>
      <c r="S118" s="837">
        <f t="shared" si="30"/>
        <v>0</v>
      </c>
      <c r="T118" s="178">
        <f t="shared" si="31"/>
        <v>6</v>
      </c>
      <c r="U118" s="253">
        <f t="shared" si="32"/>
        <v>0.76027308996884446</v>
      </c>
      <c r="V118" s="385">
        <f t="shared" si="33"/>
        <v>51.090926698529088</v>
      </c>
      <c r="W118" s="404">
        <f t="shared" si="34"/>
        <v>38.306882554388899</v>
      </c>
      <c r="X118" s="157">
        <f t="shared" si="35"/>
        <v>45030</v>
      </c>
      <c r="Y118" s="387">
        <f t="shared" si="36"/>
        <v>34.430137204702625</v>
      </c>
      <c r="Z118" s="387">
        <f t="shared" si="37"/>
        <v>35.833737062219306</v>
      </c>
      <c r="AA118" s="388">
        <f t="shared" si="38"/>
        <v>42.402388449721499</v>
      </c>
      <c r="AB118" s="199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0.1549122968695725</v>
      </c>
      <c r="AD118" s="233">
        <f>(INDEX(Models!$BJ118:$BT118,,AH118)*(1-AF118)+INDEX(Models!$BJ118:$BT118,,AH118+1)*AF118-ERP_i)*AE118*Ramure*Pc/MaxiM</f>
        <v>8.2462254080995674E-3</v>
      </c>
      <c r="AE118" s="307">
        <f t="shared" si="40"/>
        <v>1</v>
      </c>
      <c r="AF118" s="179">
        <f t="shared" si="41"/>
        <v>0.76027308996884446</v>
      </c>
      <c r="AG118" s="837">
        <f t="shared" si="49"/>
        <v>0</v>
      </c>
      <c r="AH118" s="178">
        <f t="shared" si="42"/>
        <v>6</v>
      </c>
      <c r="AI118" s="227">
        <f t="shared" si="43"/>
        <v>0.76027308996884446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45031</v>
      </c>
      <c r="B119" s="1139">
        <f>IF(t&gt;Tmaj,'2022'!Wh/'2022'!Env_an*'2023'!Env_an,0.001*'[6]mon-tableau'!$B$216)</f>
        <v>42.53593764801424</v>
      </c>
      <c r="C119" s="866"/>
      <c r="D119" s="395">
        <f t="shared" si="25"/>
        <v>44.27101373428993</v>
      </c>
      <c r="E119" s="387">
        <f t="shared" si="47"/>
        <v>47.095347226025844</v>
      </c>
      <c r="F119" s="387">
        <f t="shared" si="26"/>
        <v>47.382463495134509</v>
      </c>
      <c r="G119" s="110">
        <f t="shared" si="48"/>
        <v>0.82599115067572759</v>
      </c>
      <c r="H119" s="414" t="b">
        <f>Wh_hp&gt;='2022'!Maxi_hp</f>
        <v>0</v>
      </c>
      <c r="I119" s="392">
        <f>IF(H119,Wh_hp,'2022'!Maxi_hp)</f>
        <v>56.145689401906232</v>
      </c>
      <c r="J119" s="85">
        <f>IF(H119,An,'2022'!An_max)</f>
        <v>2021</v>
      </c>
      <c r="K119" s="199">
        <f t="shared" si="27"/>
        <v>45031</v>
      </c>
      <c r="L119" s="147">
        <f>IF(t&lt;Tvie,1-EXP((T0-t)*PertePVj)+'2022'!Pspv,1-EXP((T0-t)*PertePVj)+Pspv)</f>
        <v>3.9192147184373027E-2</v>
      </c>
      <c r="M119" s="870"/>
      <c r="N119" s="870"/>
      <c r="O119" s="48">
        <f>IF(t&lt;Tnet,'2022'!Resal+('2022'!Salim-'2022'!Resal)*(1-EXP(('2022'!Tnet-t)/('2022'!Tau_j))),Resal+(Salim-Resal)*(1-EXP((Tnet-t)/(Tau_j))))*Salcycl</f>
        <v>5.9970541849516945E-2</v>
      </c>
      <c r="P119" s="171">
        <f>(INDEX(Models!$BJ119:$BT119,,T119)*(1-R119)+INDEX(Models!$BJ119:$BT119,,T119+1)*R119-ERP_i)*Q119*Ramure*Pc/MaxiM</f>
        <v>8.0389807945954548E-3</v>
      </c>
      <c r="Q119" s="307">
        <f t="shared" si="28"/>
        <v>1</v>
      </c>
      <c r="R119" s="179">
        <f t="shared" si="29"/>
        <v>0.76261727420218861</v>
      </c>
      <c r="S119" s="837">
        <f t="shared" si="30"/>
        <v>0</v>
      </c>
      <c r="T119" s="178">
        <f t="shared" si="31"/>
        <v>6</v>
      </c>
      <c r="U119" s="253">
        <f t="shared" si="32"/>
        <v>0.76261727420218861</v>
      </c>
      <c r="V119" s="385">
        <f t="shared" si="33"/>
        <v>51.394288229879486</v>
      </c>
      <c r="W119" s="404">
        <f t="shared" si="34"/>
        <v>42.53593764801424</v>
      </c>
      <c r="X119" s="157">
        <f t="shared" si="35"/>
        <v>45031</v>
      </c>
      <c r="Y119" s="387">
        <f t="shared" si="36"/>
        <v>38.232416797925779</v>
      </c>
      <c r="Z119" s="387">
        <f t="shared" si="37"/>
        <v>39.791948708460801</v>
      </c>
      <c r="AA119" s="388">
        <f t="shared" si="38"/>
        <v>47.095347226025844</v>
      </c>
      <c r="AB119" s="199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0.15507685892013198</v>
      </c>
      <c r="AD119" s="233">
        <f>(INDEX(Models!$BJ119:$BT119,,AH119)*(1-AF119)+INDEX(Models!$BJ119:$BT119,,AH119+1)*AF119-ERP_i)*AE119*Ramure*Pc/MaxiM</f>
        <v>8.0389807945954548E-3</v>
      </c>
      <c r="AE119" s="307">
        <f t="shared" si="40"/>
        <v>1</v>
      </c>
      <c r="AF119" s="179">
        <f t="shared" si="41"/>
        <v>0.76261727420218861</v>
      </c>
      <c r="AG119" s="837">
        <f t="shared" si="49"/>
        <v>0</v>
      </c>
      <c r="AH119" s="178">
        <f t="shared" si="42"/>
        <v>6</v>
      </c>
      <c r="AI119" s="227">
        <f t="shared" si="43"/>
        <v>0.76261727420218861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45032</v>
      </c>
      <c r="B120" s="1139">
        <f>IF(t&gt;Tmaj,'2022'!Wh/'2022'!Env_an*'2023'!Env_an,0.001*'[6]mon-tableau'!$B$217)</f>
        <v>45.614546729548167</v>
      </c>
      <c r="C120" s="866"/>
      <c r="D120" s="395">
        <f t="shared" si="25"/>
        <v>47.476306670180925</v>
      </c>
      <c r="E120" s="387">
        <f t="shared" si="47"/>
        <v>50.5166571609778</v>
      </c>
      <c r="F120" s="387">
        <f t="shared" si="26"/>
        <v>50.847841909934978</v>
      </c>
      <c r="G120" s="110">
        <f t="shared" si="48"/>
        <v>0.88128785990203085</v>
      </c>
      <c r="H120" s="414" t="b">
        <f>Wh_hp&gt;='2022'!Maxi_hp</f>
        <v>0</v>
      </c>
      <c r="I120" s="392">
        <f>IF(H120,Wh_hp,'2022'!Maxi_hp)</f>
        <v>50.868217959412618</v>
      </c>
      <c r="J120" s="85">
        <f>IF(H120,An,'2022'!An_max)</f>
        <v>2022</v>
      </c>
      <c r="K120" s="199">
        <f t="shared" si="27"/>
        <v>45032</v>
      </c>
      <c r="L120" s="147">
        <f>IF(t&lt;Tvie,1-EXP((T0-t)*PertePVj)+'2022'!Pspv,1-EXP((T0-t)*PertePVj)+Pspv)</f>
        <v>3.9214506586758069E-2</v>
      </c>
      <c r="M120" s="870"/>
      <c r="N120" s="870"/>
      <c r="O120" s="48">
        <f>IF(t&lt;Tnet,'2022'!Resal+('2022'!Salim-'2022'!Resal)*(1-EXP(('2022'!Tnet-t)/('2022'!Tau_j))),Resal+(Salim-Resal)*(1-EXP((Tnet-t)/(Tau_j))))*Salcycl</f>
        <v>6.0185108470428024E-2</v>
      </c>
      <c r="P120" s="171">
        <f>(INDEX(Models!$BJ120:$BT120,,T120)*(1-R120)+INDEX(Models!$BJ120:$BT120,,T120+1)*R120-ERP_i)*Q120*Ramure*Pc/MaxiM</f>
        <v>7.827682009399815E-3</v>
      </c>
      <c r="Q120" s="307">
        <f t="shared" si="28"/>
        <v>1</v>
      </c>
      <c r="R120" s="179">
        <f t="shared" si="29"/>
        <v>0.76504159536528793</v>
      </c>
      <c r="S120" s="837">
        <f t="shared" si="30"/>
        <v>0</v>
      </c>
      <c r="T120" s="178">
        <f t="shared" si="31"/>
        <v>6</v>
      </c>
      <c r="U120" s="253">
        <f t="shared" si="32"/>
        <v>0.76504159536528793</v>
      </c>
      <c r="V120" s="385">
        <f t="shared" si="33"/>
        <v>51.690484509992366</v>
      </c>
      <c r="W120" s="404">
        <f t="shared" si="34"/>
        <v>45.614546729548167</v>
      </c>
      <c r="X120" s="157">
        <f t="shared" si="35"/>
        <v>45032</v>
      </c>
      <c r="Y120" s="387">
        <f t="shared" si="36"/>
        <v>41.00072484324037</v>
      </c>
      <c r="Z120" s="387">
        <f t="shared" si="37"/>
        <v>42.674171419452954</v>
      </c>
      <c r="AA120" s="388">
        <f t="shared" si="38"/>
        <v>50.5166571609778</v>
      </c>
      <c r="AB120" s="199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0.15524554042706665</v>
      </c>
      <c r="AD120" s="233">
        <f>(INDEX(Models!$BJ120:$BT120,,AH120)*(1-AF120)+INDEX(Models!$BJ120:$BT120,,AH120+1)*AF120-ERP_i)*AE120*Ramure*Pc/MaxiM</f>
        <v>7.827682009399815E-3</v>
      </c>
      <c r="AE120" s="307">
        <f t="shared" si="40"/>
        <v>1</v>
      </c>
      <c r="AF120" s="179">
        <f t="shared" si="41"/>
        <v>0.76504159536528793</v>
      </c>
      <c r="AG120" s="837">
        <f t="shared" si="49"/>
        <v>0</v>
      </c>
      <c r="AH120" s="178">
        <f t="shared" si="42"/>
        <v>6</v>
      </c>
      <c r="AI120" s="227">
        <f t="shared" si="43"/>
        <v>0.76504159536528793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45033</v>
      </c>
      <c r="B121" s="1139">
        <f>IF(t&gt;Tmaj,'2022'!Wh/'2022'!Env_an*'2023'!Env_an,0.001*'[6]mon-tableau'!$B$218)</f>
        <v>51.779479992889883</v>
      </c>
      <c r="C121" s="866"/>
      <c r="D121" s="395">
        <f t="shared" si="25"/>
        <v>53.894116178964154</v>
      </c>
      <c r="E121" s="387">
        <f t="shared" si="47"/>
        <v>57.358654496656285</v>
      </c>
      <c r="F121" s="387">
        <f t="shared" si="26"/>
        <v>57.796174294252808</v>
      </c>
      <c r="G121" s="110">
        <f t="shared" si="48"/>
        <v>0.99608784364104708</v>
      </c>
      <c r="H121" s="414" t="b">
        <f>Wh_hp&gt;='2022'!Maxi_hp</f>
        <v>0</v>
      </c>
      <c r="I121" s="392">
        <f>IF(H121,Wh_hp,'2022'!Maxi_hp)</f>
        <v>57.796922044603946</v>
      </c>
      <c r="J121" s="85">
        <f>IF(H121,An,'2022'!An_max)</f>
        <v>2022</v>
      </c>
      <c r="K121" s="199">
        <f t="shared" si="27"/>
        <v>45033</v>
      </c>
      <c r="L121" s="147">
        <f>IF(t&lt;Tvie,1-EXP((T0-t)*PertePVj)+'2022'!Pspv,1-EXP((T0-t)*PertePVj)+Pspv)</f>
        <v>3.9236865468807003E-2</v>
      </c>
      <c r="M121" s="870"/>
      <c r="N121" s="870"/>
      <c r="O121" s="48">
        <f>IF(t&lt;Tnet,'2022'!Resal+('2022'!Salim-'2022'!Resal)*(1-EXP(('2022'!Tnet-t)/('2022'!Tau_j))),Resal+(Salim-Resal)*(1-EXP((Tnet-t)/(Tau_j))))*Salcycl</f>
        <v>6.0401317780111062E-2</v>
      </c>
      <c r="P121" s="171">
        <f>(INDEX(Models!$BJ121:$BT121,,T121)*(1-R121)+INDEX(Models!$BJ121:$BT121,,T121+1)*R121-ERP_i)*Q121*Ramure*Pc/MaxiM</f>
        <v>7.6121310210400901E-3</v>
      </c>
      <c r="Q121" s="307">
        <f t="shared" si="28"/>
        <v>1</v>
      </c>
      <c r="R121" s="179">
        <f t="shared" si="29"/>
        <v>0.76754808051383538</v>
      </c>
      <c r="S121" s="837">
        <f t="shared" si="30"/>
        <v>0</v>
      </c>
      <c r="T121" s="178">
        <f t="shared" si="31"/>
        <v>6</v>
      </c>
      <c r="U121" s="253">
        <f t="shared" si="32"/>
        <v>0.76754808051383538</v>
      </c>
      <c r="V121" s="385">
        <f t="shared" si="33"/>
        <v>51.980640714351374</v>
      </c>
      <c r="W121" s="404">
        <f t="shared" si="34"/>
        <v>51.779479992889883</v>
      </c>
      <c r="X121" s="157">
        <f t="shared" si="35"/>
        <v>45033</v>
      </c>
      <c r="Y121" s="387">
        <f t="shared" si="36"/>
        <v>46.543271030165414</v>
      </c>
      <c r="Z121" s="387">
        <f t="shared" si="37"/>
        <v>48.444064262391095</v>
      </c>
      <c r="AA121" s="388">
        <f t="shared" si="38"/>
        <v>57.358654496656285</v>
      </c>
      <c r="AB121" s="199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0.15541839871409235</v>
      </c>
      <c r="AD121" s="233">
        <f>(INDEX(Models!$BJ121:$BT121,,AH121)*(1-AF121)+INDEX(Models!$BJ121:$BT121,,AH121+1)*AF121-ERP_i)*AE121*Ramure*Pc/MaxiM</f>
        <v>7.6121310210400901E-3</v>
      </c>
      <c r="AE121" s="307">
        <f t="shared" si="40"/>
        <v>1</v>
      </c>
      <c r="AF121" s="179">
        <f t="shared" si="41"/>
        <v>0.76754808051383538</v>
      </c>
      <c r="AG121" s="837">
        <f t="shared" si="49"/>
        <v>0</v>
      </c>
      <c r="AH121" s="178">
        <f t="shared" si="42"/>
        <v>6</v>
      </c>
      <c r="AI121" s="227">
        <f t="shared" si="43"/>
        <v>0.76754808051383538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45034</v>
      </c>
      <c r="B122" s="1139">
        <f>IF(t&gt;Tmaj,'2022'!Wh/'2022'!Env_an*'2023'!Env_an,0.001*'[6]mon-tableau'!$B$219)</f>
        <v>41.608658012410913</v>
      </c>
      <c r="C122" s="866"/>
      <c r="D122" s="395">
        <f t="shared" si="25"/>
        <v>43.308933111288532</v>
      </c>
      <c r="E122" s="387">
        <f t="shared" si="47"/>
        <v>46.103702777318553</v>
      </c>
      <c r="F122" s="387">
        <f t="shared" si="26"/>
        <v>46.346390491115677</v>
      </c>
      <c r="G122" s="110">
        <f t="shared" si="48"/>
        <v>0.79437075839199844</v>
      </c>
      <c r="H122" s="414" t="b">
        <f>Wh_hp&gt;='2022'!Maxi_hp</f>
        <v>0</v>
      </c>
      <c r="I122" s="392">
        <f>IF(H122,Wh_hp,'2022'!Maxi_hp)</f>
        <v>46.37724858489505</v>
      </c>
      <c r="J122" s="85">
        <f>IF(H122,An,'2022'!An_max)</f>
        <v>2022</v>
      </c>
      <c r="K122" s="199">
        <f t="shared" si="27"/>
        <v>45034</v>
      </c>
      <c r="L122" s="147">
        <f>IF(t&lt;Tvie,1-EXP((T0-t)*PertePVj)+'2022'!Pspv,1-EXP((T0-t)*PertePVj)+Pspv)</f>
        <v>3.9259223830532153E-2</v>
      </c>
      <c r="M122" s="870"/>
      <c r="N122" s="870"/>
      <c r="O122" s="48">
        <f>IF(t&lt;Tnet,'2022'!Resal+('2022'!Salim-'2022'!Resal)*(1-EXP(('2022'!Tnet-t)/('2022'!Tau_j))),Resal+(Salim-Resal)*(1-EXP((Tnet-t)/(Tau_j))))*Salcycl</f>
        <v>6.0619201879050719E-2</v>
      </c>
      <c r="P122" s="171">
        <f>(INDEX(Models!$BJ122:$BT122,,T122)*(1-R122)+INDEX(Models!$BJ122:$BT122,,T122+1)*R122-ERP_i)*Q122*Ramure*Pc/MaxiM</f>
        <v>7.3886763012675268E-3</v>
      </c>
      <c r="Q122" s="307">
        <f t="shared" si="28"/>
        <v>1</v>
      </c>
      <c r="R122" s="179">
        <f t="shared" si="29"/>
        <v>0.77013875296564749</v>
      </c>
      <c r="S122" s="837">
        <f t="shared" si="30"/>
        <v>0</v>
      </c>
      <c r="T122" s="178">
        <f t="shared" si="31"/>
        <v>6</v>
      </c>
      <c r="U122" s="253">
        <f t="shared" si="32"/>
        <v>0.77013875296564749</v>
      </c>
      <c r="V122" s="385">
        <f t="shared" si="33"/>
        <v>52.26606388337833</v>
      </c>
      <c r="W122" s="404">
        <f t="shared" si="34"/>
        <v>41.608658012410913</v>
      </c>
      <c r="X122" s="157">
        <f t="shared" si="35"/>
        <v>45034</v>
      </c>
      <c r="Y122" s="387">
        <f t="shared" si="36"/>
        <v>37.401806304763646</v>
      </c>
      <c r="Z122" s="387">
        <f t="shared" si="37"/>
        <v>38.930174748996222</v>
      </c>
      <c r="AA122" s="388">
        <f t="shared" si="38"/>
        <v>46.103702777318553</v>
      </c>
      <c r="AB122" s="199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0.15559548574591855</v>
      </c>
      <c r="AD122" s="233">
        <f>(INDEX(Models!$BJ122:$BT122,,AH122)*(1-AF122)+INDEX(Models!$BJ122:$BT122,,AH122+1)*AF122-ERP_i)*AE122*Ramure*Pc/MaxiM</f>
        <v>7.3886763012675268E-3</v>
      </c>
      <c r="AE122" s="307">
        <f t="shared" si="40"/>
        <v>1</v>
      </c>
      <c r="AF122" s="179">
        <f t="shared" si="41"/>
        <v>0.77013875296564749</v>
      </c>
      <c r="AG122" s="837">
        <f t="shared" si="49"/>
        <v>0</v>
      </c>
      <c r="AH122" s="178">
        <f t="shared" si="42"/>
        <v>6</v>
      </c>
      <c r="AI122" s="227">
        <f t="shared" si="43"/>
        <v>0.77013875296564749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45035</v>
      </c>
      <c r="B123" s="1139">
        <f>IF(t&gt;Tmaj,'2022'!Wh/'2022'!Env_an*'2023'!Env_an,0.001*'[6]mon-tableau'!$B$220)</f>
        <v>11.369592791848556</v>
      </c>
      <c r="C123" s="866"/>
      <c r="D123" s="395">
        <f t="shared" si="25"/>
        <v>11.834469470914428</v>
      </c>
      <c r="E123" s="387">
        <f t="shared" si="47"/>
        <v>12.601105492188802</v>
      </c>
      <c r="F123" s="387">
        <f t="shared" si="26"/>
        <v>12.601105492188802</v>
      </c>
      <c r="G123" s="110">
        <f t="shared" si="48"/>
        <v>0.21482357375230413</v>
      </c>
      <c r="H123" s="414" t="b">
        <f>Wh_hp&gt;='2022'!Maxi_hp</f>
        <v>0</v>
      </c>
      <c r="I123" s="392">
        <f>IF(H123,Wh_hp,'2022'!Maxi_hp)</f>
        <v>56.526054792556174</v>
      </c>
      <c r="J123" s="85">
        <f>IF(H123,An,'2022'!An_max)</f>
        <v>2021</v>
      </c>
      <c r="K123" s="199">
        <f t="shared" si="27"/>
        <v>45035</v>
      </c>
      <c r="L123" s="147">
        <f>IF(t&lt;Tvie,1-EXP((T0-t)*PertePVj)+'2022'!Pspv,1-EXP((T0-t)*PertePVj)+Pspv)</f>
        <v>3.928158167194562E-2</v>
      </c>
      <c r="M123" s="870"/>
      <c r="N123" s="870"/>
      <c r="O123" s="48">
        <f>IF(t&lt;Tnet,'2022'!Resal+('2022'!Salim-'2022'!Resal)*(1-EXP(('2022'!Tnet-t)/('2022'!Tau_j))),Resal+(Salim-Resal)*(1-EXP((Tnet-t)/(Tau_j))))*Salcycl</f>
        <v>6.0838790830661474E-2</v>
      </c>
      <c r="P123" s="171">
        <f>(INDEX(Models!$BJ123:$BT123,,T123)*(1-R123)+INDEX(Models!$BJ123:$BT123,,T123+1)*R123-ERP_i)*Q123*Ramure*Pc/MaxiM</f>
        <v>7.1608296872156607E-3</v>
      </c>
      <c r="Q123" s="307">
        <f t="shared" si="28"/>
        <v>1</v>
      </c>
      <c r="R123" s="179">
        <f t="shared" si="29"/>
        <v>0.77281562728413911</v>
      </c>
      <c r="S123" s="837">
        <f t="shared" si="30"/>
        <v>0</v>
      </c>
      <c r="T123" s="178">
        <f t="shared" si="31"/>
        <v>6</v>
      </c>
      <c r="U123" s="253">
        <f t="shared" si="32"/>
        <v>0.77281562728413911</v>
      </c>
      <c r="V123" s="385">
        <f t="shared" si="33"/>
        <v>52.546267977408419</v>
      </c>
      <c r="W123" s="404">
        <f t="shared" si="34"/>
        <v>11.369592791848556</v>
      </c>
      <c r="X123" s="157">
        <f t="shared" si="35"/>
        <v>45035</v>
      </c>
      <c r="Y123" s="387">
        <f t="shared" si="36"/>
        <v>10.220261837127067</v>
      </c>
      <c r="Z123" s="387">
        <f t="shared" si="37"/>
        <v>10.638144998732789</v>
      </c>
      <c r="AA123" s="388">
        <f t="shared" si="38"/>
        <v>12.601105492188802</v>
      </c>
      <c r="AB123" s="199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0.15577684788630775</v>
      </c>
      <c r="AD123" s="233">
        <f>(INDEX(Models!$BJ123:$BT123,,AH123)*(1-AF123)+INDEX(Models!$BJ123:$BT123,,AH123+1)*AF123-ERP_i)*AE123*Ramure*Pc/MaxiM</f>
        <v>7.1608296872156607E-3</v>
      </c>
      <c r="AE123" s="307">
        <f t="shared" si="40"/>
        <v>1</v>
      </c>
      <c r="AF123" s="179">
        <f t="shared" si="41"/>
        <v>0.77281562728413911</v>
      </c>
      <c r="AG123" s="837">
        <f t="shared" si="49"/>
        <v>0</v>
      </c>
      <c r="AH123" s="178">
        <f t="shared" si="42"/>
        <v>6</v>
      </c>
      <c r="AI123" s="227">
        <f t="shared" si="43"/>
        <v>0.77281562728413911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45036</v>
      </c>
      <c r="B124" s="1139">
        <f>IF(t&gt;Tmaj,'2022'!Wh/'2022'!Env_an*'2023'!Env_an,0.001*'[6]mon-tableau'!$B$221)</f>
        <v>10.733852577079801</v>
      </c>
      <c r="C124" s="866"/>
      <c r="D124" s="395">
        <f t="shared" si="25"/>
        <v>11.172995302832051</v>
      </c>
      <c r="E124" s="387">
        <f t="shared" si="47"/>
        <v>11.899585321700282</v>
      </c>
      <c r="F124" s="387">
        <f t="shared" si="26"/>
        <v>11.899585321700282</v>
      </c>
      <c r="G124" s="110">
        <f t="shared" si="48"/>
        <v>0.20180405901312479</v>
      </c>
      <c r="H124" s="414" t="b">
        <f>Wh_hp&gt;='2022'!Maxi_hp</f>
        <v>0</v>
      </c>
      <c r="I124" s="392">
        <f>IF(H124,Wh_hp,'2022'!Maxi_hp)</f>
        <v>48.602789768147602</v>
      </c>
      <c r="J124" s="85">
        <f>IF(H124,An,'2022'!An_max)</f>
        <v>2019</v>
      </c>
      <c r="K124" s="199">
        <f t="shared" si="27"/>
        <v>45036</v>
      </c>
      <c r="L124" s="147">
        <f>IF(t&lt;Tvie,1-EXP((T0-t)*PertePVj)+'2022'!Pspv,1-EXP((T0-t)*PertePVj)+Pspv)</f>
        <v>3.9303938993059395E-2</v>
      </c>
      <c r="M124" s="870"/>
      <c r="N124" s="870"/>
      <c r="O124" s="48">
        <f>IF(t&lt;Tnet,'2022'!Resal+('2022'!Salim-'2022'!Resal)*(1-EXP(('2022'!Tnet-t)/('2022'!Tau_j))),Resal+(Salim-Resal)*(1-EXP((Tnet-t)/(Tau_j))))*Salcycl</f>
        <v>6.1060112535452016E-2</v>
      </c>
      <c r="P124" s="171">
        <f>(INDEX(Models!$BJ124:$BT124,,T124)*(1-R124)+INDEX(Models!$BJ124:$BT124,,T124+1)*R124-ERP_i)*Q124*Ramure*Pc/MaxiM</f>
        <v>6.9285956099669529E-3</v>
      </c>
      <c r="Q124" s="307">
        <f t="shared" si="28"/>
        <v>1</v>
      </c>
      <c r="R124" s="179">
        <f t="shared" si="29"/>
        <v>0.77558070390427603</v>
      </c>
      <c r="S124" s="837">
        <f t="shared" si="30"/>
        <v>0</v>
      </c>
      <c r="T124" s="178">
        <f t="shared" si="31"/>
        <v>6</v>
      </c>
      <c r="U124" s="253">
        <f t="shared" si="32"/>
        <v>0.77558070390427603</v>
      </c>
      <c r="V124" s="385">
        <f t="shared" si="33"/>
        <v>52.820949714113276</v>
      </c>
      <c r="W124" s="404">
        <f t="shared" si="34"/>
        <v>10.733852577079801</v>
      </c>
      <c r="X124" s="157">
        <f t="shared" si="35"/>
        <v>45036</v>
      </c>
      <c r="Y124" s="387">
        <f t="shared" si="36"/>
        <v>9.6489391282557051</v>
      </c>
      <c r="Z124" s="387">
        <f t="shared" si="37"/>
        <v>10.043695940776836</v>
      </c>
      <c r="AA124" s="388">
        <f t="shared" si="38"/>
        <v>11.899585321700282</v>
      </c>
      <c r="AB124" s="199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0.15596252564692448</v>
      </c>
      <c r="AD124" s="233">
        <f>(INDEX(Models!$BJ124:$BT124,,AH124)*(1-AF124)+INDEX(Models!$BJ124:$BT124,,AH124+1)*AF124-ERP_i)*AE124*Ramure*Pc/MaxiM</f>
        <v>6.9285956099669529E-3</v>
      </c>
      <c r="AE124" s="307">
        <f t="shared" si="40"/>
        <v>1</v>
      </c>
      <c r="AF124" s="179">
        <f t="shared" si="41"/>
        <v>0.77558070390427603</v>
      </c>
      <c r="AG124" s="837">
        <f t="shared" si="49"/>
        <v>0</v>
      </c>
      <c r="AH124" s="178">
        <f t="shared" si="42"/>
        <v>6</v>
      </c>
      <c r="AI124" s="227">
        <f t="shared" si="43"/>
        <v>0.77558070390427603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45037</v>
      </c>
      <c r="B125" s="1139">
        <f>IF(t&gt;Tmaj,'2022'!Wh/'2022'!Env_an*'2023'!Env_an,0.001*'[6]mon-tableau'!$B$222)</f>
        <v>10.243179645940678</v>
      </c>
      <c r="C125" s="866"/>
      <c r="D125" s="395">
        <f t="shared" si="25"/>
        <v>10.662496122349348</v>
      </c>
      <c r="E125" s="387">
        <f t="shared" si="47"/>
        <v>11.358586570837245</v>
      </c>
      <c r="F125" s="387">
        <f t="shared" si="26"/>
        <v>11.358586570837245</v>
      </c>
      <c r="G125" s="110">
        <f t="shared" si="48"/>
        <v>0.19164945788368129</v>
      </c>
      <c r="H125" s="414" t="b">
        <f>Wh_hp&gt;='2022'!Maxi_hp</f>
        <v>0</v>
      </c>
      <c r="I125" s="392">
        <f>IF(H125,Wh_hp,'2022'!Maxi_hp)</f>
        <v>55.33124831385225</v>
      </c>
      <c r="J125" s="85">
        <f>IF(H125,An,'2022'!An_max)</f>
        <v>2021</v>
      </c>
      <c r="K125" s="199">
        <f t="shared" si="27"/>
        <v>45037</v>
      </c>
      <c r="L125" s="147">
        <f>IF(t&lt;Tvie,1-EXP((T0-t)*PertePVj)+'2022'!Pspv,1-EXP((T0-t)*PertePVj)+Pspv)</f>
        <v>3.9326295793885579E-2</v>
      </c>
      <c r="M125" s="870"/>
      <c r="N125" s="870"/>
      <c r="O125" s="48">
        <f>IF(t&lt;Tnet,'2022'!Resal+('2022'!Salim-'2022'!Resal)*(1-EXP(('2022'!Tnet-t)/('2022'!Tau_j))),Resal+(Salim-Resal)*(1-EXP((Tnet-t)/(Tau_j))))*Salcycl</f>
        <v>6.1283192600308546E-2</v>
      </c>
      <c r="P125" s="171">
        <f>(INDEX(Models!$BJ125:$BT125,,T125)*(1-R125)+INDEX(Models!$BJ125:$BT125,,T125+1)*R125-ERP_i)*Q125*Ramure*Pc/MaxiM</f>
        <v>6.6919872743902604E-3</v>
      </c>
      <c r="Q125" s="307">
        <f t="shared" si="28"/>
        <v>1</v>
      </c>
      <c r="R125" s="179">
        <f t="shared" si="29"/>
        <v>0.77843596339593835</v>
      </c>
      <c r="S125" s="837">
        <f t="shared" si="30"/>
        <v>0</v>
      </c>
      <c r="T125" s="178">
        <f t="shared" si="31"/>
        <v>6</v>
      </c>
      <c r="U125" s="253">
        <f t="shared" si="32"/>
        <v>0.77843596339593835</v>
      </c>
      <c r="V125" s="385">
        <f t="shared" si="33"/>
        <v>53.089805368904777</v>
      </c>
      <c r="W125" s="404">
        <f t="shared" si="34"/>
        <v>10.243179645940678</v>
      </c>
      <c r="X125" s="157">
        <f t="shared" si="35"/>
        <v>45037</v>
      </c>
      <c r="Y125" s="387">
        <f t="shared" si="36"/>
        <v>9.2079751005624253</v>
      </c>
      <c r="Z125" s="387">
        <f t="shared" si="37"/>
        <v>9.5849142744796474</v>
      </c>
      <c r="AA125" s="388">
        <f t="shared" si="38"/>
        <v>11.358586570837245</v>
      </c>
      <c r="AB125" s="199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0.15615255342697618</v>
      </c>
      <c r="AD125" s="233">
        <f>(INDEX(Models!$BJ125:$BT125,,AH125)*(1-AF125)+INDEX(Models!$BJ125:$BT125,,AH125+1)*AF125-ERP_i)*AE125*Ramure*Pc/MaxiM</f>
        <v>6.6919872743902604E-3</v>
      </c>
      <c r="AE125" s="307">
        <f t="shared" si="40"/>
        <v>1</v>
      </c>
      <c r="AF125" s="179">
        <f t="shared" si="41"/>
        <v>0.77843596339593835</v>
      </c>
      <c r="AG125" s="837">
        <f t="shared" si="49"/>
        <v>0</v>
      </c>
      <c r="AH125" s="178">
        <f t="shared" si="42"/>
        <v>6</v>
      </c>
      <c r="AI125" s="227">
        <f t="shared" si="43"/>
        <v>0.77843596339593835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45038</v>
      </c>
      <c r="B126" s="1139">
        <f>IF(t&gt;Tmaj,'2022'!Wh/'2022'!Env_an*'2023'!Env_an,0.001*'[6]mon-tableau'!$B$223)</f>
        <v>30.980986535946215</v>
      </c>
      <c r="C126" s="866"/>
      <c r="D126" s="395">
        <f t="shared" si="25"/>
        <v>32.249979769295848</v>
      </c>
      <c r="E126" s="387">
        <f t="shared" si="47"/>
        <v>34.363619116525044</v>
      </c>
      <c r="F126" s="387">
        <f t="shared" si="26"/>
        <v>34.452738357762037</v>
      </c>
      <c r="G126" s="110">
        <f t="shared" si="48"/>
        <v>0.5784347107149187</v>
      </c>
      <c r="H126" s="414" t="b">
        <f>Wh_hp&gt;='2022'!Maxi_hp</f>
        <v>0</v>
      </c>
      <c r="I126" s="392">
        <f>IF(H126,Wh_hp,'2022'!Maxi_hp)</f>
        <v>59.287065717944621</v>
      </c>
      <c r="J126" s="85">
        <f>IF(H126,An,'2022'!An_max)</f>
        <v>2021</v>
      </c>
      <c r="K126" s="199">
        <f t="shared" si="27"/>
        <v>45038</v>
      </c>
      <c r="L126" s="147">
        <f>IF(t&lt;Tvie,1-EXP((T0-t)*PertePVj)+'2022'!Pspv,1-EXP((T0-t)*PertePVj)+Pspv)</f>
        <v>3.9348652074436385E-2</v>
      </c>
      <c r="M126" s="870"/>
      <c r="N126" s="870"/>
      <c r="O126" s="48">
        <f>IF(t&lt;Tnet,'2022'!Resal+('2022'!Salim-'2022'!Resal)*(1-EXP(('2022'!Tnet-t)/('2022'!Tau_j))),Resal+(Salim-Resal)*(1-EXP((Tnet-t)/(Tau_j))))*Salcycl</f>
        <v>6.1508054202962952E-2</v>
      </c>
      <c r="P126" s="171">
        <f>(INDEX(Models!$BJ126:$BT126,,T126)*(1-R126)+INDEX(Models!$BJ126:$BT126,,T126+1)*R126-ERP_i)*Q126*Ramure*Pc/MaxiM</f>
        <v>6.4510052532760079E-3</v>
      </c>
      <c r="Q126" s="307">
        <f t="shared" si="28"/>
        <v>1</v>
      </c>
      <c r="R126" s="179">
        <f t="shared" si="29"/>
        <v>0.78138336036157374</v>
      </c>
      <c r="S126" s="837">
        <f t="shared" si="30"/>
        <v>0</v>
      </c>
      <c r="T126" s="178">
        <f t="shared" si="31"/>
        <v>6</v>
      </c>
      <c r="U126" s="253">
        <f t="shared" si="32"/>
        <v>0.78138336036157374</v>
      </c>
      <c r="V126" s="385">
        <f t="shared" si="33"/>
        <v>53.352531928680548</v>
      </c>
      <c r="W126" s="404">
        <f t="shared" si="34"/>
        <v>30.980986535946215</v>
      </c>
      <c r="X126" s="157">
        <f t="shared" si="35"/>
        <v>45038</v>
      </c>
      <c r="Y126" s="387">
        <f t="shared" si="36"/>
        <v>27.850216097992945</v>
      </c>
      <c r="Z126" s="387">
        <f t="shared" si="37"/>
        <v>28.990971759039191</v>
      </c>
      <c r="AA126" s="388">
        <f t="shared" si="38"/>
        <v>34.363619116525044</v>
      </c>
      <c r="AB126" s="199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0.15634695924394679</v>
      </c>
      <c r="AD126" s="233">
        <f>(INDEX(Models!$BJ126:$BT126,,AH126)*(1-AF126)+INDEX(Models!$BJ126:$BT126,,AH126+1)*AF126-ERP_i)*AE126*Ramure*Pc/MaxiM</f>
        <v>6.4510052532760079E-3</v>
      </c>
      <c r="AE126" s="307">
        <f t="shared" si="40"/>
        <v>1</v>
      </c>
      <c r="AF126" s="179">
        <f t="shared" si="41"/>
        <v>0.78138336036157374</v>
      </c>
      <c r="AG126" s="837">
        <f t="shared" si="49"/>
        <v>0</v>
      </c>
      <c r="AH126" s="178">
        <f t="shared" si="42"/>
        <v>6</v>
      </c>
      <c r="AI126" s="227">
        <f t="shared" si="43"/>
        <v>0.78138336036157374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45039</v>
      </c>
      <c r="B127" s="1139">
        <f>IF(t&gt;Tmaj,'2022'!Wh/'2022'!Env_an*'2023'!Env_an,0.001*'[6]mon-tableau'!$B$224)</f>
        <v>8.9618908024306307</v>
      </c>
      <c r="C127" s="866"/>
      <c r="D127" s="395">
        <f t="shared" si="25"/>
        <v>9.3291904320213757</v>
      </c>
      <c r="E127" s="387">
        <f t="shared" si="47"/>
        <v>9.9430199651600333</v>
      </c>
      <c r="F127" s="387">
        <f t="shared" si="26"/>
        <v>9.9430199651600333</v>
      </c>
      <c r="G127" s="110">
        <f t="shared" si="48"/>
        <v>0.16613451622416545</v>
      </c>
      <c r="H127" s="414" t="b">
        <f>Wh_hp&gt;='2022'!Maxi_hp</f>
        <v>0</v>
      </c>
      <c r="I127" s="392">
        <f>IF(H127,Wh_hp,'2022'!Maxi_hp)</f>
        <v>58.481630214798564</v>
      </c>
      <c r="J127" s="85">
        <f>IF(H127,An,'2022'!An_max)</f>
        <v>2021</v>
      </c>
      <c r="K127" s="199">
        <f t="shared" si="27"/>
        <v>45039</v>
      </c>
      <c r="L127" s="147">
        <f>IF(t&lt;Tvie,1-EXP((T0-t)*PertePVj)+'2022'!Pspv,1-EXP((T0-t)*PertePVj)+Pspv)</f>
        <v>3.9371007834723915E-2</v>
      </c>
      <c r="M127" s="870"/>
      <c r="N127" s="870"/>
      <c r="O127" s="48">
        <f>IF(t&lt;Tnet,'2022'!Resal+('2022'!Salim-'2022'!Resal)*(1-EXP(('2022'!Tnet-t)/('2022'!Tau_j))),Resal+(Salim-Resal)*(1-EXP((Tnet-t)/(Tau_j))))*Salcycl</f>
        <v>6.1734717951838769E-2</v>
      </c>
      <c r="P127" s="171">
        <f>(INDEX(Models!$BJ127:$BT127,,T127)*(1-R127)+INDEX(Models!$BJ127:$BT127,,T127+1)*R127-ERP_i)*Q127*Ramure*Pc/MaxiM</f>
        <v>6.2056193131671293E-3</v>
      </c>
      <c r="Q127" s="307">
        <f t="shared" si="28"/>
        <v>1</v>
      </c>
      <c r="R127" s="179">
        <f t="shared" si="29"/>
        <v>0.78442481696722044</v>
      </c>
      <c r="S127" s="837">
        <f t="shared" si="30"/>
        <v>0</v>
      </c>
      <c r="T127" s="178">
        <f t="shared" si="31"/>
        <v>6</v>
      </c>
      <c r="U127" s="253">
        <f t="shared" si="32"/>
        <v>0.78442481696722044</v>
      </c>
      <c r="V127" s="385">
        <f t="shared" si="33"/>
        <v>53.60882808824222</v>
      </c>
      <c r="W127" s="404">
        <f t="shared" si="34"/>
        <v>8.9618908024306307</v>
      </c>
      <c r="X127" s="157">
        <f t="shared" si="35"/>
        <v>45039</v>
      </c>
      <c r="Y127" s="387">
        <f t="shared" si="36"/>
        <v>8.0562980432271818</v>
      </c>
      <c r="Z127" s="387">
        <f t="shared" si="37"/>
        <v>8.3864823037124161</v>
      </c>
      <c r="AA127" s="388">
        <f t="shared" si="38"/>
        <v>9.9430199651600333</v>
      </c>
      <c r="AB127" s="199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0.1565457644560371</v>
      </c>
      <c r="AD127" s="233">
        <f>(INDEX(Models!$BJ127:$BT127,,AH127)*(1-AF127)+INDEX(Models!$BJ127:$BT127,,AH127+1)*AF127-ERP_i)*AE127*Ramure*Pc/MaxiM</f>
        <v>6.2056193131671293E-3</v>
      </c>
      <c r="AE127" s="307">
        <f t="shared" si="40"/>
        <v>1</v>
      </c>
      <c r="AF127" s="179">
        <f t="shared" si="41"/>
        <v>0.78442481696722044</v>
      </c>
      <c r="AG127" s="837">
        <f t="shared" si="49"/>
        <v>0</v>
      </c>
      <c r="AH127" s="178">
        <f t="shared" si="42"/>
        <v>6</v>
      </c>
      <c r="AI127" s="227">
        <f t="shared" si="43"/>
        <v>0.78442481696722044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45040</v>
      </c>
      <c r="B128" s="1139">
        <f>IF(t&gt;Tmaj,'2022'!Wh/'2022'!Env_an*'2023'!Env_an,0.001*'[6]mon-tableau'!$B$225)</f>
        <v>38.313163064576855</v>
      </c>
      <c r="C128" s="866"/>
      <c r="D128" s="395">
        <f t="shared" si="25"/>
        <v>39.884341406604939</v>
      </c>
      <c r="E128" s="387">
        <f t="shared" si="47"/>
        <v>42.518951794488018</v>
      </c>
      <c r="F128" s="387">
        <f t="shared" si="26"/>
        <v>42.66832815560447</v>
      </c>
      <c r="G128" s="110">
        <f t="shared" si="48"/>
        <v>0.7096159901342165</v>
      </c>
      <c r="H128" s="414" t="b">
        <f>Wh_hp&gt;='2022'!Maxi_hp</f>
        <v>0</v>
      </c>
      <c r="I128" s="392">
        <f>IF(H128,Wh_hp,'2022'!Maxi_hp)</f>
        <v>54.722101062954692</v>
      </c>
      <c r="J128" s="85">
        <f>IF(H128,An,'2022'!An_max)</f>
        <v>2021</v>
      </c>
      <c r="K128" s="199">
        <f t="shared" si="27"/>
        <v>45040</v>
      </c>
      <c r="L128" s="147">
        <f>IF(t&lt;Tvie,1-EXP((T0-t)*PertePVj)+'2022'!Pspv,1-EXP((T0-t)*PertePVj)+Pspv)</f>
        <v>3.9393363074760268E-2</v>
      </c>
      <c r="M128" s="870"/>
      <c r="N128" s="870"/>
      <c r="O128" s="48">
        <f>IF(t&lt;Tnet,'2022'!Resal+('2022'!Salim-'2022'!Resal)*(1-EXP(('2022'!Tnet-t)/('2022'!Tau_j))),Resal+(Salim-Resal)*(1-EXP((Tnet-t)/(Tau_j))))*Salcycl</f>
        <v>6.1963201741596481E-2</v>
      </c>
      <c r="P128" s="171">
        <f>(INDEX(Models!$BJ128:$BT128,,T128)*(1-R128)+INDEX(Models!$BJ128:$BT128,,T128+1)*R128-ERP_i)*Q128*Ramure*Pc/MaxiM</f>
        <v>5.9572004702357698E-3</v>
      </c>
      <c r="Q128" s="307">
        <f t="shared" si="28"/>
        <v>1</v>
      </c>
      <c r="R128" s="179">
        <f t="shared" si="29"/>
        <v>0.78756221610843458</v>
      </c>
      <c r="S128" s="837">
        <f t="shared" si="30"/>
        <v>0</v>
      </c>
      <c r="T128" s="178">
        <f t="shared" si="31"/>
        <v>6</v>
      </c>
      <c r="U128" s="253">
        <f t="shared" si="32"/>
        <v>0.78756221610843458</v>
      </c>
      <c r="V128" s="385">
        <f t="shared" si="33"/>
        <v>53.858316701405521</v>
      </c>
      <c r="W128" s="404">
        <f t="shared" si="34"/>
        <v>38.313163064576855</v>
      </c>
      <c r="X128" s="157">
        <f t="shared" si="35"/>
        <v>45040</v>
      </c>
      <c r="Y128" s="387">
        <f t="shared" si="36"/>
        <v>34.441733800198769</v>
      </c>
      <c r="Z128" s="387">
        <f t="shared" si="37"/>
        <v>35.854149322184242</v>
      </c>
      <c r="AA128" s="388">
        <f t="shared" si="38"/>
        <v>42.518951794488018</v>
      </c>
      <c r="AB128" s="199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0.15674898347724034</v>
      </c>
      <c r="AD128" s="233">
        <f>(INDEX(Models!$BJ128:$BT128,,AH128)*(1-AF128)+INDEX(Models!$BJ128:$BT128,,AH128+1)*AF128-ERP_i)*AE128*Ramure*Pc/MaxiM</f>
        <v>5.9572004702357698E-3</v>
      </c>
      <c r="AE128" s="307">
        <f t="shared" si="40"/>
        <v>1</v>
      </c>
      <c r="AF128" s="179">
        <f t="shared" si="41"/>
        <v>0.78756221610843458</v>
      </c>
      <c r="AG128" s="837">
        <f t="shared" si="49"/>
        <v>0</v>
      </c>
      <c r="AH128" s="178">
        <f t="shared" si="42"/>
        <v>6</v>
      </c>
      <c r="AI128" s="227">
        <f t="shared" si="43"/>
        <v>0.78756221610843458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45041</v>
      </c>
      <c r="B129" s="1139">
        <f>IF(t&gt;Tmaj,'2022'!Wh/'2022'!Env_an*'2023'!Env_an,0.001*'[6]mon-tableau'!$B$226)</f>
        <v>47.806898685481357</v>
      </c>
      <c r="C129" s="866"/>
      <c r="D129" s="395">
        <f t="shared" si="25"/>
        <v>49.768562291816451</v>
      </c>
      <c r="E129" s="387">
        <f t="shared" si="47"/>
        <v>53.069117547486492</v>
      </c>
      <c r="F129" s="387">
        <f t="shared" si="26"/>
        <v>53.322977446210992</v>
      </c>
      <c r="G129" s="110">
        <f t="shared" si="48"/>
        <v>0.88282614965748107</v>
      </c>
      <c r="H129" s="414" t="b">
        <f>Wh_hp&gt;='2022'!Maxi_hp</f>
        <v>0</v>
      </c>
      <c r="I129" s="392">
        <f>IF(H129,Wh_hp,'2022'!Maxi_hp)</f>
        <v>56.337889785916616</v>
      </c>
      <c r="J129" s="85">
        <f>IF(H129,An,'2022'!An_max)</f>
        <v>2020</v>
      </c>
      <c r="K129" s="199">
        <f t="shared" si="27"/>
        <v>45041</v>
      </c>
      <c r="L129" s="147">
        <f>IF(t&lt;Tvie,1-EXP((T0-t)*PertePVj)+'2022'!Pspv,1-EXP((T0-t)*PertePVj)+Pspv)</f>
        <v>3.9415717794557548E-2</v>
      </c>
      <c r="M129" s="870"/>
      <c r="N129" s="870"/>
      <c r="O129" s="48">
        <f>IF(t&lt;Tnet,'2022'!Resal+('2022'!Salim-'2022'!Resal)*(1-EXP(('2022'!Tnet-t)/('2022'!Tau_j))),Resal+(Salim-Resal)*(1-EXP((Tnet-t)/(Tau_j))))*Salcycl</f>
        <v>6.2193520604835476E-2</v>
      </c>
      <c r="P129" s="171">
        <f>(INDEX(Models!$BJ129:$BT129,,T129)*(1-R129)+INDEX(Models!$BJ129:$BT129,,T129+1)*R129-ERP_i)*Q129*Ramure*Pc/MaxiM</f>
        <v>5.7096749007089741E-3</v>
      </c>
      <c r="Q129" s="307">
        <f t="shared" si="28"/>
        <v>1</v>
      </c>
      <c r="R129" s="179">
        <f t="shared" si="29"/>
        <v>0.79079739421538675</v>
      </c>
      <c r="S129" s="837">
        <f t="shared" si="30"/>
        <v>0</v>
      </c>
      <c r="T129" s="178">
        <f t="shared" si="31"/>
        <v>6</v>
      </c>
      <c r="U129" s="253">
        <f t="shared" si="32"/>
        <v>0.79079739421538675</v>
      </c>
      <c r="V129" s="385">
        <f t="shared" si="33"/>
        <v>54.100480397603334</v>
      </c>
      <c r="W129" s="404">
        <f t="shared" si="34"/>
        <v>47.806898685481357</v>
      </c>
      <c r="X129" s="157">
        <f t="shared" si="35"/>
        <v>45041</v>
      </c>
      <c r="Y129" s="387">
        <f t="shared" si="36"/>
        <v>42.976125857490139</v>
      </c>
      <c r="Z129" s="387">
        <f t="shared" si="37"/>
        <v>44.739568045835185</v>
      </c>
      <c r="AA129" s="388">
        <f t="shared" si="38"/>
        <v>53.069117547486492</v>
      </c>
      <c r="AB129" s="199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0.1569566234863051</v>
      </c>
      <c r="AD129" s="233">
        <f>(INDEX(Models!$BJ129:$BT129,,AH129)*(1-AF129)+INDEX(Models!$BJ129:$BT129,,AH129+1)*AF129-ERP_i)*AE129*Ramure*Pc/MaxiM</f>
        <v>5.7096749007089741E-3</v>
      </c>
      <c r="AE129" s="307">
        <f t="shared" si="40"/>
        <v>1</v>
      </c>
      <c r="AF129" s="179">
        <f t="shared" si="41"/>
        <v>0.79079739421538675</v>
      </c>
      <c r="AG129" s="837">
        <f t="shared" si="49"/>
        <v>0</v>
      </c>
      <c r="AH129" s="178">
        <f t="shared" si="42"/>
        <v>6</v>
      </c>
      <c r="AI129" s="227">
        <f t="shared" si="43"/>
        <v>0.79079739421538675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45042</v>
      </c>
      <c r="B130" s="1139">
        <f>IF(t&gt;Tmaj,'2022'!Wh/'2022'!Env_an*'2023'!Env_an,0.001*'[6]mon-tableau'!$B$227)</f>
        <v>53.02333414356719</v>
      </c>
      <c r="C130" s="866"/>
      <c r="D130" s="395">
        <f t="shared" si="25"/>
        <v>55.200328680154641</v>
      </c>
      <c r="E130" s="387">
        <f t="shared" si="47"/>
        <v>58.87568365397555</v>
      </c>
      <c r="F130" s="387">
        <f t="shared" si="26"/>
        <v>59.187871046948814</v>
      </c>
      <c r="G130" s="110">
        <f t="shared" si="48"/>
        <v>0.97567446809042235</v>
      </c>
      <c r="H130" s="414" t="b">
        <f>Wh_hp&gt;='2022'!Maxi_hp</f>
        <v>0</v>
      </c>
      <c r="I130" s="392">
        <f>IF(H130,Wh_hp,'2022'!Maxi_hp)</f>
        <v>59.191543258844384</v>
      </c>
      <c r="J130" s="85">
        <f>IF(H130,An,'2022'!An_max)</f>
        <v>2022</v>
      </c>
      <c r="K130" s="199">
        <f t="shared" si="27"/>
        <v>45042</v>
      </c>
      <c r="L130" s="147">
        <f>IF(t&lt;Tvie,1-EXP((T0-t)*PertePVj)+'2022'!Pspv,1-EXP((T0-t)*PertePVj)+Pspv)</f>
        <v>3.9438071994127744E-2</v>
      </c>
      <c r="M130" s="870"/>
      <c r="N130" s="870"/>
      <c r="O130" s="48">
        <f>IF(t&lt;Tnet,'2022'!Resal+('2022'!Salim-'2022'!Resal)*(1-EXP(('2022'!Tnet-t)/('2022'!Tau_j))),Resal+(Salim-Resal)*(1-EXP((Tnet-t)/(Tau_j))))*Salcycl</f>
        <v>6.2425686560545528E-2</v>
      </c>
      <c r="P130" s="171">
        <f>(INDEX(Models!$BJ130:$BT130,,T130)*(1-R130)+INDEX(Models!$BJ130:$BT130,,T130+1)*R130-ERP_i)*Q130*Ramure*Pc/MaxiM</f>
        <v>5.4629143621944473E-3</v>
      </c>
      <c r="Q130" s="307">
        <f t="shared" si="28"/>
        <v>1</v>
      </c>
      <c r="R130" s="179">
        <f t="shared" si="29"/>
        <v>0.79413213370438929</v>
      </c>
      <c r="S130" s="837">
        <f t="shared" si="30"/>
        <v>0</v>
      </c>
      <c r="T130" s="178">
        <f t="shared" si="31"/>
        <v>6</v>
      </c>
      <c r="U130" s="253">
        <f t="shared" si="32"/>
        <v>0.79413213370438929</v>
      </c>
      <c r="V130" s="385">
        <f t="shared" si="33"/>
        <v>54.335019944639441</v>
      </c>
      <c r="W130" s="404">
        <f t="shared" si="34"/>
        <v>53.02333414356719</v>
      </c>
      <c r="X130" s="157">
        <f t="shared" si="35"/>
        <v>45042</v>
      </c>
      <c r="Y130" s="387">
        <f t="shared" si="36"/>
        <v>47.665263272874647</v>
      </c>
      <c r="Z130" s="387">
        <f t="shared" si="37"/>
        <v>49.622269926758179</v>
      </c>
      <c r="AA130" s="388">
        <f t="shared" si="38"/>
        <v>58.87568365397555</v>
      </c>
      <c r="AB130" s="199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0.15716868413115304</v>
      </c>
      <c r="AD130" s="233">
        <f>(INDEX(Models!$BJ130:$BT130,,AH130)*(1-AF130)+INDEX(Models!$BJ130:$BT130,,AH130+1)*AF130-ERP_i)*AE130*Ramure*Pc/MaxiM</f>
        <v>5.4629143621944473E-3</v>
      </c>
      <c r="AE130" s="307">
        <f t="shared" si="40"/>
        <v>1</v>
      </c>
      <c r="AF130" s="179">
        <f t="shared" si="41"/>
        <v>0.79413213370438929</v>
      </c>
      <c r="AG130" s="837">
        <f t="shared" si="49"/>
        <v>0</v>
      </c>
      <c r="AH130" s="178">
        <f t="shared" si="42"/>
        <v>6</v>
      </c>
      <c r="AI130" s="227">
        <f t="shared" si="43"/>
        <v>0.79413213370438929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45043</v>
      </c>
      <c r="B131" s="1139">
        <f>IF(t&gt;Tmaj,'2022'!Wh/'2022'!Env_an*'2023'!Env_an,0.001*'[6]mon-tableau'!$B$228)</f>
        <v>37.828223096524859</v>
      </c>
      <c r="C131" s="866"/>
      <c r="D131" s="395">
        <f t="shared" si="25"/>
        <v>39.382263997866147</v>
      </c>
      <c r="E131" s="387">
        <f t="shared" si="47"/>
        <v>42.014905742678287</v>
      </c>
      <c r="F131" s="387">
        <f t="shared" si="26"/>
        <v>42.13842085598958</v>
      </c>
      <c r="G131" s="110">
        <f t="shared" si="48"/>
        <v>0.69172243627993624</v>
      </c>
      <c r="H131" s="414" t="b">
        <f>Wh_hp&gt;='2022'!Maxi_hp</f>
        <v>0</v>
      </c>
      <c r="I131" s="392">
        <f>IF(H131,Wh_hp,'2022'!Maxi_hp)</f>
        <v>42.170302647803133</v>
      </c>
      <c r="J131" s="85">
        <f>IF(H131,An,'2022'!An_max)</f>
        <v>2022</v>
      </c>
      <c r="K131" s="199">
        <f t="shared" si="27"/>
        <v>45043</v>
      </c>
      <c r="L131" s="147">
        <f>IF(t&lt;Tvie,1-EXP((T0-t)*PertePVj)+'2022'!Pspv,1-EXP((T0-t)*PertePVj)+Pspv)</f>
        <v>3.9460425673483068E-2</v>
      </c>
      <c r="M131" s="870"/>
      <c r="N131" s="870"/>
      <c r="O131" s="48">
        <f>IF(t&lt;Tnet,'2022'!Resal+('2022'!Salim-'2022'!Resal)*(1-EXP(('2022'!Tnet-t)/('2022'!Tau_j))),Resal+(Salim-Resal)*(1-EXP((Tnet-t)/(Tau_j))))*Salcycl</f>
        <v>6.2659708460036684E-2</v>
      </c>
      <c r="P131" s="171">
        <f>(INDEX(Models!$BJ131:$BT131,,T131)*(1-R131)+INDEX(Models!$BJ131:$BT131,,T131+1)*R131-ERP_i)*Q131*Ramure*Pc/MaxiM</f>
        <v>5.2167855052581806E-3</v>
      </c>
      <c r="Q131" s="307">
        <f t="shared" si="28"/>
        <v>1</v>
      </c>
      <c r="R131" s="179">
        <f t="shared" si="29"/>
        <v>0.79756815508637824</v>
      </c>
      <c r="S131" s="837">
        <f t="shared" si="30"/>
        <v>0</v>
      </c>
      <c r="T131" s="178">
        <f t="shared" si="31"/>
        <v>6</v>
      </c>
      <c r="U131" s="253">
        <f t="shared" si="32"/>
        <v>0.79756815508637824</v>
      </c>
      <c r="V131" s="385">
        <f t="shared" si="33"/>
        <v>54.561636838052138</v>
      </c>
      <c r="W131" s="404">
        <f t="shared" si="34"/>
        <v>37.828223096524859</v>
      </c>
      <c r="X131" s="157">
        <f t="shared" si="35"/>
        <v>45043</v>
      </c>
      <c r="Y131" s="387">
        <f t="shared" si="36"/>
        <v>34.005390085553465</v>
      </c>
      <c r="Z131" s="387">
        <f t="shared" si="37"/>
        <v>35.402383196336672</v>
      </c>
      <c r="AA131" s="388">
        <f t="shared" si="38"/>
        <v>42.014905742678287</v>
      </c>
      <c r="AB131" s="199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0.15738515723063226</v>
      </c>
      <c r="AD131" s="233">
        <f>(INDEX(Models!$BJ131:$BT131,,AH131)*(1-AF131)+INDEX(Models!$BJ131:$BT131,,AH131+1)*AF131-ERP_i)*AE131*Ramure*Pc/MaxiM</f>
        <v>5.2167855052581806E-3</v>
      </c>
      <c r="AE131" s="307">
        <f t="shared" si="40"/>
        <v>1</v>
      </c>
      <c r="AF131" s="179">
        <f t="shared" si="41"/>
        <v>0.79756815508637824</v>
      </c>
      <c r="AG131" s="837">
        <f t="shared" si="49"/>
        <v>0</v>
      </c>
      <c r="AH131" s="178">
        <f t="shared" si="42"/>
        <v>6</v>
      </c>
      <c r="AI131" s="227">
        <f t="shared" si="43"/>
        <v>0.79756815508637824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45044</v>
      </c>
      <c r="B132" s="1139">
        <f>IF(t&gt;Tmaj,'2022'!Wh/'2022'!Env_an*'2023'!Env_an,0.001*'[6]mon-tableau'!$B$229)</f>
        <v>23.176038552833187</v>
      </c>
      <c r="C132" s="866"/>
      <c r="D132" s="395">
        <f t="shared" si="25"/>
        <v>24.128706952974976</v>
      </c>
      <c r="E132" s="387">
        <f t="shared" si="47"/>
        <v>25.748152225775225</v>
      </c>
      <c r="F132" s="387">
        <f t="shared" si="26"/>
        <v>25.770676609995174</v>
      </c>
      <c r="G132" s="110">
        <f t="shared" si="48"/>
        <v>0.42133965827386771</v>
      </c>
      <c r="H132" s="414" t="b">
        <f>Wh_hp&gt;='2022'!Maxi_hp</f>
        <v>0</v>
      </c>
      <c r="I132" s="392">
        <f>IF(H132,Wh_hp,'2022'!Maxi_hp)</f>
        <v>48.071799484183821</v>
      </c>
      <c r="J132" s="85">
        <f>IF(H132,An,'2022'!An_max)</f>
        <v>2019</v>
      </c>
      <c r="K132" s="199">
        <f t="shared" si="27"/>
        <v>45044</v>
      </c>
      <c r="L132" s="147">
        <f>IF(t&lt;Tvie,1-EXP((T0-t)*PertePVj)+'2022'!Pspv,1-EXP((T0-t)*PertePVj)+Pspv)</f>
        <v>3.9482778832635623E-2</v>
      </c>
      <c r="M132" s="870"/>
      <c r="N132" s="870"/>
      <c r="O132" s="48">
        <f>IF(t&lt;Tnet,'2022'!Resal+('2022'!Salim-'2022'!Resal)*(1-EXP(('2022'!Tnet-t)/('2022'!Tau_j))),Resal+(Salim-Resal)*(1-EXP((Tnet-t)/(Tau_j))))*Salcycl</f>
        <v>6.2895591831211226E-2</v>
      </c>
      <c r="P132" s="171">
        <f>(INDEX(Models!$BJ132:$BT132,,T132)*(1-R132)+INDEX(Models!$BJ132:$BT132,,T132+1)*R132-ERP_i)*Q132*Ramure*Pc/MaxiM</f>
        <v>4.9711497960312342E-3</v>
      </c>
      <c r="Q132" s="307">
        <f t="shared" si="28"/>
        <v>1</v>
      </c>
      <c r="R132" s="179">
        <f t="shared" si="29"/>
        <v>0.80110710874640645</v>
      </c>
      <c r="S132" s="837">
        <f t="shared" si="30"/>
        <v>0</v>
      </c>
      <c r="T132" s="178">
        <f t="shared" si="31"/>
        <v>6</v>
      </c>
      <c r="U132" s="253">
        <f t="shared" si="32"/>
        <v>0.80110710874640645</v>
      </c>
      <c r="V132" s="385">
        <f t="shared" si="33"/>
        <v>54.780033312177714</v>
      </c>
      <c r="W132" s="404">
        <f t="shared" si="34"/>
        <v>23.176038552833187</v>
      </c>
      <c r="X132" s="157">
        <f t="shared" si="35"/>
        <v>45044</v>
      </c>
      <c r="Y132" s="387">
        <f t="shared" si="36"/>
        <v>20.833703306574339</v>
      </c>
      <c r="Z132" s="387">
        <f t="shared" si="37"/>
        <v>21.690088264377085</v>
      </c>
      <c r="AA132" s="388">
        <f t="shared" si="38"/>
        <v>25.748152225775225</v>
      </c>
      <c r="AB132" s="199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0.15760602647578764</v>
      </c>
      <c r="AD132" s="233">
        <f>(INDEX(Models!$BJ132:$BT132,,AH132)*(1-AF132)+INDEX(Models!$BJ132:$BT132,,AH132+1)*AF132-ERP_i)*AE132*Ramure*Pc/MaxiM</f>
        <v>4.9711497960312342E-3</v>
      </c>
      <c r="AE132" s="307">
        <f t="shared" si="40"/>
        <v>1</v>
      </c>
      <c r="AF132" s="179">
        <f t="shared" si="41"/>
        <v>0.80110710874640645</v>
      </c>
      <c r="AG132" s="837">
        <f t="shared" si="49"/>
        <v>0</v>
      </c>
      <c r="AH132" s="178">
        <f t="shared" si="42"/>
        <v>6</v>
      </c>
      <c r="AI132" s="227">
        <f t="shared" si="43"/>
        <v>0.80110710874640645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45045</v>
      </c>
      <c r="B133" s="1139">
        <f>IF(t&gt;Tmaj,'2022'!Wh/'2022'!Env_an*'2023'!Env_an,0.001*'[6]mon-tableau'!$B$230)</f>
        <v>43.549921572601285</v>
      </c>
      <c r="C133" s="866"/>
      <c r="D133" s="395">
        <f t="shared" si="25"/>
        <v>45.341128828022981</v>
      </c>
      <c r="E133" s="387">
        <f t="shared" si="47"/>
        <v>48.396565596837959</v>
      </c>
      <c r="F133" s="387">
        <f t="shared" si="26"/>
        <v>48.55784320816911</v>
      </c>
      <c r="G133" s="110">
        <f t="shared" si="48"/>
        <v>0.79084598308441245</v>
      </c>
      <c r="H133" s="414" t="b">
        <f>Wh_hp&gt;='2022'!Maxi_hp</f>
        <v>0</v>
      </c>
      <c r="I133" s="392">
        <f>IF(H133,Wh_hp,'2022'!Maxi_hp)</f>
        <v>54.803359565450826</v>
      </c>
      <c r="J133" s="85">
        <f>IF(H133,An,'2022'!An_max)</f>
        <v>2019</v>
      </c>
      <c r="K133" s="199">
        <f t="shared" si="27"/>
        <v>45045</v>
      </c>
      <c r="L133" s="147">
        <f>IF(t&lt;Tvie,1-EXP((T0-t)*PertePVj)+'2022'!Pspv,1-EXP((T0-t)*PertePVj)+Pspv)</f>
        <v>3.9505131471597621E-2</v>
      </c>
      <c r="M133" s="870"/>
      <c r="N133" s="870"/>
      <c r="O133" s="48">
        <f>IF(t&lt;Tnet,'2022'!Resal+('2022'!Salim-'2022'!Resal)*(1-EXP(('2022'!Tnet-t)/('2022'!Tau_j))),Resal+(Salim-Resal)*(1-EXP((Tnet-t)/(Tau_j))))*Salcycl</f>
        <v>6.3133338722171847E-2</v>
      </c>
      <c r="P133" s="171">
        <f>(INDEX(Models!$BJ133:$BT133,,T133)*(1-R133)+INDEX(Models!$BJ133:$BT133,,T133+1)*R133-ERP_i)*Q133*Ramure*Pc/MaxiM</f>
        <v>4.7258634203504726E-3</v>
      </c>
      <c r="Q133" s="307">
        <f t="shared" si="28"/>
        <v>1</v>
      </c>
      <c r="R133" s="179">
        <f t="shared" si="29"/>
        <v>0.80475056641199139</v>
      </c>
      <c r="S133" s="837">
        <f t="shared" si="30"/>
        <v>0</v>
      </c>
      <c r="T133" s="178">
        <f t="shared" si="31"/>
        <v>6</v>
      </c>
      <c r="U133" s="253">
        <f t="shared" si="32"/>
        <v>0.80475056641199139</v>
      </c>
      <c r="V133" s="385">
        <f t="shared" si="33"/>
        <v>54.989912370026026</v>
      </c>
      <c r="W133" s="404">
        <f t="shared" si="34"/>
        <v>43.549921572601285</v>
      </c>
      <c r="X133" s="157">
        <f t="shared" si="35"/>
        <v>45045</v>
      </c>
      <c r="Y133" s="387">
        <f t="shared" si="36"/>
        <v>39.147921239107333</v>
      </c>
      <c r="Z133" s="387">
        <f t="shared" si="37"/>
        <v>40.758074323798127</v>
      </c>
      <c r="AA133" s="388">
        <f t="shared" si="38"/>
        <v>48.396565596837959</v>
      </c>
      <c r="AB133" s="199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0.15783126713311463</v>
      </c>
      <c r="AD133" s="233">
        <f>(INDEX(Models!$BJ133:$BT133,,AH133)*(1-AF133)+INDEX(Models!$BJ133:$BT133,,AH133+1)*AF133-ERP_i)*AE133*Ramure*Pc/MaxiM</f>
        <v>4.7258634203504726E-3</v>
      </c>
      <c r="AE133" s="307">
        <f t="shared" si="40"/>
        <v>1</v>
      </c>
      <c r="AF133" s="179">
        <f t="shared" si="41"/>
        <v>0.80475056641199139</v>
      </c>
      <c r="AG133" s="837">
        <f t="shared" si="49"/>
        <v>0</v>
      </c>
      <c r="AH133" s="178">
        <f t="shared" si="42"/>
        <v>6</v>
      </c>
      <c r="AI133" s="227">
        <f t="shared" si="43"/>
        <v>0.80475056641199139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45046</v>
      </c>
      <c r="B134" s="1139">
        <f>IF(t&gt;Tmaj,'2022'!Wh/'2022'!Env_an*'2023'!Env_an,0.001*'[6]mon-tableau'!$B$231)</f>
        <v>47.321922623737727</v>
      </c>
      <c r="C134" s="866"/>
      <c r="D134" s="395">
        <f t="shared" si="25"/>
        <v>49.269418765498578</v>
      </c>
      <c r="E134" s="387">
        <f t="shared" si="47"/>
        <v>50.561424396448615</v>
      </c>
      <c r="F134" s="387">
        <f t="shared" si="26"/>
        <v>50.731634127198433</v>
      </c>
      <c r="G134" s="110">
        <f t="shared" si="48"/>
        <v>0.82321268366386602</v>
      </c>
      <c r="H134" s="414" t="b">
        <f>Wh_hp&gt;='2022'!Maxi_hp</f>
        <v>0</v>
      </c>
      <c r="I134" s="392">
        <f>IF(H134,Wh_hp,'2022'!Maxi_hp)</f>
        <v>60.871126204254288</v>
      </c>
      <c r="J134" s="85">
        <f>IF(H134,An,'2022'!An_max)</f>
        <v>2019</v>
      </c>
      <c r="K134" s="199">
        <f t="shared" si="27"/>
        <v>45046</v>
      </c>
      <c r="L134" s="147">
        <f>IF(t&lt;Tvie,1-EXP((T0-t)*PertePVj)+'2022'!Pspv,1-EXP((T0-t)*PertePVj)+Pspv)</f>
        <v>3.9527483590380941E-2</v>
      </c>
      <c r="M134" s="870"/>
      <c r="N134" s="870"/>
      <c r="O134" s="48">
        <f>IF(t&lt;Tnet,'2022'!Resal+('2022'!Salim-'2022'!Resal)*(1-EXP(('2022'!Tnet-t)/('2022'!Tau_j))),Resal+(Salim-Resal)*(1-EXP((Tnet-t)/(Tau_j))))*Salcycl</f>
        <v>2.5553188945380768E-2</v>
      </c>
      <c r="P134" s="171">
        <f>(INDEX(Models!$BJ134:$BT134,,T134)*(1-R134)+INDEX(Models!$BJ134:$BT134,,T134+1)*R134-ERP_i)*Q134*Ramure*Pc/MaxiM</f>
        <v>4.4807771730974713E-3</v>
      </c>
      <c r="Q134" s="307">
        <f t="shared" si="28"/>
        <v>1</v>
      </c>
      <c r="R134" s="179">
        <f t="shared" si="29"/>
        <v>0.80850001233218216</v>
      </c>
      <c r="S134" s="837">
        <f t="shared" si="30"/>
        <v>0</v>
      </c>
      <c r="T134" s="178">
        <f t="shared" si="31"/>
        <v>6</v>
      </c>
      <c r="U134" s="253">
        <f t="shared" si="32"/>
        <v>0.80850001233218216</v>
      </c>
      <c r="V134" s="385">
        <f t="shared" si="33"/>
        <v>57.419516307204326</v>
      </c>
      <c r="W134" s="404">
        <f t="shared" si="34"/>
        <v>47.321922623737727</v>
      </c>
      <c r="X134" s="157">
        <f t="shared" si="35"/>
        <v>45046</v>
      </c>
      <c r="Y134" s="387">
        <f t="shared" si="36"/>
        <v>45.485287037464815</v>
      </c>
      <c r="Z134" s="387">
        <f t="shared" si="37"/>
        <v>47.357197900357626</v>
      </c>
      <c r="AA134" s="388">
        <f t="shared" si="38"/>
        <v>50.561424396448615</v>
      </c>
      <c r="AB134" s="199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6.337294754528415E-2</v>
      </c>
      <c r="AD134" s="233">
        <f>(INDEX(Models!$BJ134:$BT134,,AH134)*(1-AF134)+INDEX(Models!$BJ134:$BT134,,AH134+1)*AF134-ERP_i)*AE134*Ramure*Pc/MaxiM</f>
        <v>4.4807771730974713E-3</v>
      </c>
      <c r="AE134" s="307">
        <f t="shared" si="40"/>
        <v>1</v>
      </c>
      <c r="AF134" s="179">
        <f t="shared" si="41"/>
        <v>0.80850001233218216</v>
      </c>
      <c r="AG134" s="837">
        <f t="shared" si="49"/>
        <v>0</v>
      </c>
      <c r="AH134" s="178">
        <f t="shared" si="42"/>
        <v>6</v>
      </c>
      <c r="AI134" s="227">
        <f t="shared" si="43"/>
        <v>0.80850001233218216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45047</v>
      </c>
      <c r="B135" s="1139">
        <f>IF(t&gt;Tmaj,'2022'!Wh/'2022'!Env_an*'2023'!Env_an,0.001*[7]mois!$B$208)</f>
        <v>46.6766215185826</v>
      </c>
      <c r="C135" s="866"/>
      <c r="D135" s="395">
        <f t="shared" si="25"/>
        <v>48.5986917684247</v>
      </c>
      <c r="E135" s="387">
        <f t="shared" si="47"/>
        <v>49.889276358645247</v>
      </c>
      <c r="F135" s="387">
        <f t="shared" si="26"/>
        <v>50.043756875543764</v>
      </c>
      <c r="G135" s="110">
        <f t="shared" si="48"/>
        <v>0.80920948137280302</v>
      </c>
      <c r="H135" s="414" t="b">
        <f>Wh_hp&gt;='2022'!Maxi_hp</f>
        <v>0</v>
      </c>
      <c r="I135" s="392">
        <f>IF(H135,Wh_hp,'2022'!Maxi_hp)</f>
        <v>56.86994403885685</v>
      </c>
      <c r="J135" s="85">
        <f>IF(H135,An,'2022'!An_max)</f>
        <v>2019</v>
      </c>
      <c r="K135" s="199">
        <f t="shared" si="27"/>
        <v>45047</v>
      </c>
      <c r="L135" s="147">
        <f>IF(t&lt;Tvie,1-EXP((T0-t)*PertePVj)+'2022'!Pspv,1-EXP((T0-t)*PertePVj)+Pspv)</f>
        <v>3.9549835188997795E-2</v>
      </c>
      <c r="M135" s="870"/>
      <c r="N135" s="870"/>
      <c r="O135" s="48">
        <f>IF(t&lt;Tnet,'2022'!Resal+('2022'!Salim-'2022'!Resal)*(1-EXP(('2022'!Tnet-t)/('2022'!Tau_j))),Resal+(Salim-Resal)*(1-EXP((Tnet-t)/(Tau_j))))*Salcycl</f>
        <v>2.5868977953152919E-2</v>
      </c>
      <c r="P135" s="171">
        <f>(INDEX(Models!$BJ135:$BT135,,T135)*(1-R135)+INDEX(Models!$BJ135:$BT135,,T135+1)*R135-ERP_i)*Q135*Ramure*Pc/MaxiM</f>
        <v>4.2357453627665355E-3</v>
      </c>
      <c r="Q135" s="307">
        <f t="shared" si="28"/>
        <v>1</v>
      </c>
      <c r="R135" s="179">
        <f t="shared" si="29"/>
        <v>0.81235683419346616</v>
      </c>
      <c r="S135" s="837">
        <f t="shared" si="30"/>
        <v>0</v>
      </c>
      <c r="T135" s="178">
        <f t="shared" si="31"/>
        <v>6</v>
      </c>
      <c r="U135" s="253">
        <f t="shared" si="32"/>
        <v>0.81235683419346616</v>
      </c>
      <c r="V135" s="385">
        <f t="shared" si="33"/>
        <v>57.615281013364985</v>
      </c>
      <c r="W135" s="404">
        <f t="shared" si="34"/>
        <v>46.6766215185826</v>
      </c>
      <c r="X135" s="157">
        <f t="shared" si="35"/>
        <v>45047</v>
      </c>
      <c r="Y135" s="387">
        <f t="shared" si="36"/>
        <v>44.866066252954425</v>
      </c>
      <c r="Z135" s="387">
        <f t="shared" si="37"/>
        <v>46.713580669521974</v>
      </c>
      <c r="AA135" s="388">
        <f t="shared" si="38"/>
        <v>49.889276358645247</v>
      </c>
      <c r="AB135" s="199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6.3654875775181696E-2</v>
      </c>
      <c r="AD135" s="233">
        <f>(INDEX(Models!$BJ135:$BT135,,AH135)*(1-AF135)+INDEX(Models!$BJ135:$BT135,,AH135+1)*AF135-ERP_i)*AE135*Ramure*Pc/MaxiM</f>
        <v>4.2357453627665355E-3</v>
      </c>
      <c r="AE135" s="307">
        <f t="shared" si="40"/>
        <v>1</v>
      </c>
      <c r="AF135" s="179">
        <f t="shared" si="41"/>
        <v>0.81235683419346616</v>
      </c>
      <c r="AG135" s="837">
        <f t="shared" si="49"/>
        <v>0</v>
      </c>
      <c r="AH135" s="178">
        <f t="shared" si="42"/>
        <v>6</v>
      </c>
      <c r="AI135" s="227">
        <f t="shared" si="43"/>
        <v>0.81235683419346616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45048</v>
      </c>
      <c r="B136" s="1139">
        <f>IF(t&gt;Tmaj,'2022'!Wh/'2022'!Env_an*'2023'!Env_an,0.001*[7]mois!$B$209)</f>
        <v>28.533982540001588</v>
      </c>
      <c r="C136" s="866"/>
      <c r="D136" s="395">
        <f t="shared" si="25"/>
        <v>29.709658687527082</v>
      </c>
      <c r="E136" s="387">
        <f t="shared" si="47"/>
        <v>30.508539783559218</v>
      </c>
      <c r="F136" s="387">
        <f t="shared" si="26"/>
        <v>30.542299884841633</v>
      </c>
      <c r="G136" s="110">
        <f t="shared" si="48"/>
        <v>0.49222837368109762</v>
      </c>
      <c r="H136" s="414" t="b">
        <f>Wh_hp&gt;='2022'!Maxi_hp</f>
        <v>0</v>
      </c>
      <c r="I136" s="392">
        <f>IF(H136,Wh_hp,'2022'!Maxi_hp)</f>
        <v>39.790318251802034</v>
      </c>
      <c r="J136" s="85">
        <f>IF(H136,An,'2022'!An_max)</f>
        <v>2021</v>
      </c>
      <c r="K136" s="199">
        <f t="shared" si="27"/>
        <v>45048</v>
      </c>
      <c r="L136" s="147">
        <f>IF(t&lt;Tvie,1-EXP((T0-t)*PertePVj)+'2022'!Pspv,1-EXP((T0-t)*PertePVj)+Pspv)</f>
        <v>3.9572186267460396E-2</v>
      </c>
      <c r="M136" s="870"/>
      <c r="N136" s="870"/>
      <c r="O136" s="48">
        <f>IF(t&lt;Tnet,'2022'!Resal+('2022'!Salim-'2022'!Resal)*(1-EXP(('2022'!Tnet-t)/('2022'!Tau_j))),Resal+(Salim-Resal)*(1-EXP((Tnet-t)/(Tau_j))))*Salcycl</f>
        <v>2.6185491069049702E-2</v>
      </c>
      <c r="P136" s="171">
        <f>(INDEX(Models!$BJ136:$BT136,,T136)*(1-R136)+INDEX(Models!$BJ136:$BT136,,T136+1)*R136-ERP_i)*Q136*Ramure*Pc/MaxiM</f>
        <v>3.9954672213072112E-3</v>
      </c>
      <c r="Q136" s="307">
        <f t="shared" si="28"/>
        <v>1</v>
      </c>
      <c r="R136" s="179">
        <f t="shared" si="29"/>
        <v>0.81632231380307529</v>
      </c>
      <c r="S136" s="837">
        <f t="shared" si="30"/>
        <v>0</v>
      </c>
      <c r="T136" s="178">
        <f t="shared" si="31"/>
        <v>6</v>
      </c>
      <c r="U136" s="253">
        <f t="shared" si="32"/>
        <v>0.81632231380307529</v>
      </c>
      <c r="V136" s="385">
        <f t="shared" si="33"/>
        <v>57.801269512885362</v>
      </c>
      <c r="W136" s="404">
        <f t="shared" si="34"/>
        <v>28.533982540001588</v>
      </c>
      <c r="X136" s="157">
        <f t="shared" si="35"/>
        <v>45048</v>
      </c>
      <c r="Y136" s="387">
        <f t="shared" si="36"/>
        <v>27.427771775192308</v>
      </c>
      <c r="Z136" s="387">
        <f t="shared" si="37"/>
        <v>28.557869090232749</v>
      </c>
      <c r="AA136" s="388">
        <f t="shared" si="38"/>
        <v>30.508539783559218</v>
      </c>
      <c r="AB136" s="199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6.3938513844496392E-2</v>
      </c>
      <c r="AD136" s="233">
        <f>(INDEX(Models!$BJ136:$BT136,,AH136)*(1-AF136)+INDEX(Models!$BJ136:$BT136,,AH136+1)*AF136-ERP_i)*AE136*Ramure*Pc/MaxiM</f>
        <v>3.9954672213072112E-3</v>
      </c>
      <c r="AE136" s="307">
        <f t="shared" si="40"/>
        <v>1</v>
      </c>
      <c r="AF136" s="179">
        <f t="shared" si="41"/>
        <v>0.81632231380307529</v>
      </c>
      <c r="AG136" s="837">
        <f t="shared" si="49"/>
        <v>0</v>
      </c>
      <c r="AH136" s="178">
        <f t="shared" si="42"/>
        <v>6</v>
      </c>
      <c r="AI136" s="227">
        <f t="shared" si="43"/>
        <v>0.81632231380307529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45049</v>
      </c>
      <c r="B137" s="1139">
        <f>IF(t&gt;Tmaj,'2022'!Wh/'2022'!Env_an*'2023'!Env_an,0.001*[7]mois!$B$210)</f>
        <v>33.721394959878801</v>
      </c>
      <c r="C137" s="866"/>
      <c r="D137" s="395">
        <f t="shared" si="25"/>
        <v>35.111623426658575</v>
      </c>
      <c r="E137" s="387">
        <f t="shared" si="47"/>
        <v>36.067511276601934</v>
      </c>
      <c r="F137" s="387">
        <f t="shared" si="26"/>
        <v>36.122199345810657</v>
      </c>
      <c r="G137" s="110">
        <f t="shared" si="48"/>
        <v>0.58031666486568367</v>
      </c>
      <c r="H137" s="414" t="b">
        <f>Wh_hp&gt;='2022'!Maxi_hp</f>
        <v>0</v>
      </c>
      <c r="I137" s="392">
        <f>IF(H137,Wh_hp,'2022'!Maxi_hp)</f>
        <v>59.817954676163886</v>
      </c>
      <c r="J137" s="85">
        <f>IF(H137,An,'2022'!An_max)</f>
        <v>2021</v>
      </c>
      <c r="K137" s="199">
        <f t="shared" si="27"/>
        <v>45049</v>
      </c>
      <c r="L137" s="147">
        <f>IF(t&lt;Tvie,1-EXP((T0-t)*PertePVj)+'2022'!Pspv,1-EXP((T0-t)*PertePVj)+Pspv)</f>
        <v>3.9594536825780624E-2</v>
      </c>
      <c r="M137" s="870"/>
      <c r="N137" s="870"/>
      <c r="O137" s="48">
        <f>IF(t&lt;Tnet,'2022'!Resal+('2022'!Salim-'2022'!Resal)*(1-EXP(('2022'!Tnet-t)/('2022'!Tau_j))),Resal+(Salim-Resal)*(1-EXP((Tnet-t)/(Tau_j))))*Salcycl</f>
        <v>2.6502739338255209E-2</v>
      </c>
      <c r="P137" s="171">
        <f>(INDEX(Models!$BJ137:$BT137,,T137)*(1-R137)+INDEX(Models!$BJ137:$BT137,,T137+1)*R137-ERP_i)*Q137*Ramure*Pc/MaxiM</f>
        <v>3.7630716724994344E-3</v>
      </c>
      <c r="Q137" s="307">
        <f t="shared" si="28"/>
        <v>1</v>
      </c>
      <c r="R137" s="179">
        <f t="shared" si="29"/>
        <v>0.82039761757486462</v>
      </c>
      <c r="S137" s="837">
        <f t="shared" si="30"/>
        <v>0</v>
      </c>
      <c r="T137" s="178">
        <f t="shared" si="31"/>
        <v>6</v>
      </c>
      <c r="U137" s="253">
        <f t="shared" si="32"/>
        <v>0.82039761757486462</v>
      </c>
      <c r="V137" s="385">
        <f t="shared" si="33"/>
        <v>57.977720245935053</v>
      </c>
      <c r="W137" s="404">
        <f t="shared" si="34"/>
        <v>33.721394959878801</v>
      </c>
      <c r="X137" s="157">
        <f t="shared" si="35"/>
        <v>45049</v>
      </c>
      <c r="Y137" s="387">
        <f t="shared" si="36"/>
        <v>32.414756956364975</v>
      </c>
      <c r="Z137" s="387">
        <f t="shared" si="37"/>
        <v>33.751116793142273</v>
      </c>
      <c r="AA137" s="388">
        <f t="shared" si="38"/>
        <v>36.067511276601934</v>
      </c>
      <c r="AB137" s="199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6.4223851368485477E-2</v>
      </c>
      <c r="AD137" s="233">
        <f>(INDEX(Models!$BJ137:$BT137,,AH137)*(1-AF137)+INDEX(Models!$BJ137:$BT137,,AH137+1)*AF137-ERP_i)*AE137*Ramure*Pc/MaxiM</f>
        <v>3.7630716724994344E-3</v>
      </c>
      <c r="AE137" s="307">
        <f t="shared" si="40"/>
        <v>1</v>
      </c>
      <c r="AF137" s="179">
        <f t="shared" si="41"/>
        <v>0.82039761757486462</v>
      </c>
      <c r="AG137" s="837">
        <f t="shared" si="49"/>
        <v>0</v>
      </c>
      <c r="AH137" s="178">
        <f t="shared" si="42"/>
        <v>6</v>
      </c>
      <c r="AI137" s="227">
        <f t="shared" si="43"/>
        <v>0.82039761757486462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45050</v>
      </c>
      <c r="B138" s="1139">
        <f>IF(t&gt;Tmaj,'2022'!Wh/'2022'!Env_an*'2023'!Env_an,0.001*[7]mois!$B$211)</f>
        <v>0.85609716845391948</v>
      </c>
      <c r="C138" s="866"/>
      <c r="D138" s="395">
        <f t="shared" si="25"/>
        <v>0.89141214245055289</v>
      </c>
      <c r="E138" s="387">
        <f t="shared" si="47"/>
        <v>0.91597937954847153</v>
      </c>
      <c r="F138" s="387">
        <f t="shared" si="26"/>
        <v>0.91597937954847153</v>
      </c>
      <c r="G138" s="110">
        <f t="shared" si="48"/>
        <v>1.467137410638498E-2</v>
      </c>
      <c r="H138" s="414" t="b">
        <f>Wh_hp&gt;='2022'!Maxi_hp</f>
        <v>0</v>
      </c>
      <c r="I138" s="392">
        <f>IF(H138,Wh_hp,'2022'!Maxi_hp)</f>
        <v>56.704587051571465</v>
      </c>
      <c r="J138" s="85">
        <f>IF(H138,An,'2022'!An_max)</f>
        <v>2020</v>
      </c>
      <c r="K138" s="199">
        <f t="shared" si="27"/>
        <v>45050</v>
      </c>
      <c r="L138" s="147">
        <f>IF(t&lt;Tvie,1-EXP((T0-t)*PertePVj)+'2022'!Pspv,1-EXP((T0-t)*PertePVj)+Pspv)</f>
        <v>3.9616886863970802E-2</v>
      </c>
      <c r="M138" s="870"/>
      <c r="N138" s="870"/>
      <c r="O138" s="48">
        <f>IF(t&lt;Tnet,'2022'!Resal+('2022'!Salim-'2022'!Resal)*(1-EXP(('2022'!Tnet-t)/('2022'!Tau_j))),Resal+(Salim-Resal)*(1-EXP((Tnet-t)/(Tau_j))))*Salcycl</f>
        <v>2.6820731608640559E-2</v>
      </c>
      <c r="P138" s="171">
        <f>(INDEX(Models!$BJ138:$BT138,,T138)*(1-R138)+INDEX(Models!$BJ138:$BT138,,T138+1)*R138-ERP_i)*Q138*Ramure*Pc/MaxiM</f>
        <v>3.5383277992585478E-3</v>
      </c>
      <c r="Q138" s="307">
        <f t="shared" si="28"/>
        <v>1</v>
      </c>
      <c r="R138" s="179">
        <f t="shared" si="29"/>
        <v>0.82458378685767109</v>
      </c>
      <c r="S138" s="837">
        <f t="shared" si="30"/>
        <v>0</v>
      </c>
      <c r="T138" s="178">
        <f t="shared" si="31"/>
        <v>6</v>
      </c>
      <c r="U138" s="253">
        <f t="shared" si="32"/>
        <v>0.82458378685767109</v>
      </c>
      <c r="V138" s="385">
        <f t="shared" si="33"/>
        <v>58.145066021638527</v>
      </c>
      <c r="W138" s="404">
        <f t="shared" si="34"/>
        <v>0.85609716845391948</v>
      </c>
      <c r="X138" s="157">
        <f t="shared" si="35"/>
        <v>45050</v>
      </c>
      <c r="Y138" s="387">
        <f t="shared" si="36"/>
        <v>0.82294148490708985</v>
      </c>
      <c r="Z138" s="387">
        <f t="shared" si="37"/>
        <v>0.8568887495531462</v>
      </c>
      <c r="AA138" s="388">
        <f t="shared" si="38"/>
        <v>0.91597937954847153</v>
      </c>
      <c r="AB138" s="199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6.4510873622999898E-2</v>
      </c>
      <c r="AD138" s="233">
        <f>(INDEX(Models!$BJ138:$BT138,,AH138)*(1-AF138)+INDEX(Models!$BJ138:$BT138,,AH138+1)*AF138-ERP_i)*AE138*Ramure*Pc/MaxiM</f>
        <v>3.5383277992585478E-3</v>
      </c>
      <c r="AE138" s="307">
        <f t="shared" si="40"/>
        <v>1</v>
      </c>
      <c r="AF138" s="179">
        <f t="shared" si="41"/>
        <v>0.82458378685767109</v>
      </c>
      <c r="AG138" s="837">
        <f t="shared" si="49"/>
        <v>0</v>
      </c>
      <c r="AH138" s="178">
        <f t="shared" si="42"/>
        <v>6</v>
      </c>
      <c r="AI138" s="227">
        <f t="shared" si="43"/>
        <v>0.82458378685767109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45051</v>
      </c>
      <c r="B139" s="1139">
        <f>IF(t&gt;Tmaj,'2022'!Wh/'2022'!Env_an*'2023'!Env_an,0.001*[7]mois!$B$212)</f>
        <v>39.342880624390986</v>
      </c>
      <c r="C139" s="866"/>
      <c r="D139" s="395">
        <f t="shared" si="25"/>
        <v>40.966772191082612</v>
      </c>
      <c r="E139" s="387">
        <f t="shared" si="47"/>
        <v>42.109604731189457</v>
      </c>
      <c r="F139" s="387">
        <f t="shared" si="26"/>
        <v>42.184614463375837</v>
      </c>
      <c r="G139" s="110">
        <f t="shared" si="48"/>
        <v>0.6737487381123719</v>
      </c>
      <c r="H139" s="414" t="b">
        <f>Wh_hp&gt;='2022'!Maxi_hp</f>
        <v>0</v>
      </c>
      <c r="I139" s="392">
        <f>IF(H139,Wh_hp,'2022'!Maxi_hp)</f>
        <v>59.050028688885625</v>
      </c>
      <c r="J139" s="85">
        <f>IF(H139,An,'2022'!An_max)</f>
        <v>2020</v>
      </c>
      <c r="K139" s="199">
        <f t="shared" si="27"/>
        <v>45051</v>
      </c>
      <c r="L139" s="147">
        <f>IF(t&lt;Tvie,1-EXP((T0-t)*PertePVj)+'2022'!Pspv,1-EXP((T0-t)*PertePVj)+Pspv)</f>
        <v>3.9639236382042919E-2</v>
      </c>
      <c r="M139" s="870"/>
      <c r="N139" s="870"/>
      <c r="O139" s="48">
        <f>IF(t&lt;Tnet,'2022'!Resal+('2022'!Salim-'2022'!Resal)*(1-EXP(('2022'!Tnet-t)/('2022'!Tau_j))),Resal+(Salim-Resal)*(1-EXP((Tnet-t)/(Tau_j))))*Salcycl</f>
        <v>2.7139474412125712E-2</v>
      </c>
      <c r="P139" s="171">
        <f>(INDEX(Models!$BJ139:$BT139,,T139)*(1-R139)+INDEX(Models!$BJ139:$BT139,,T139+1)*R139-ERP_i)*Q139*Ramure*Pc/MaxiM</f>
        <v>3.321020679673031E-3</v>
      </c>
      <c r="Q139" s="307">
        <f t="shared" si="28"/>
        <v>1</v>
      </c>
      <c r="R139" s="179">
        <f t="shared" si="29"/>
        <v>0.82888172815087813</v>
      </c>
      <c r="S139" s="837">
        <f t="shared" si="30"/>
        <v>0</v>
      </c>
      <c r="T139" s="178">
        <f t="shared" si="31"/>
        <v>6</v>
      </c>
      <c r="U139" s="253">
        <f t="shared" si="32"/>
        <v>0.82888172815087813</v>
      </c>
      <c r="V139" s="385">
        <f t="shared" si="33"/>
        <v>58.303739233933541</v>
      </c>
      <c r="W139" s="404">
        <f t="shared" si="34"/>
        <v>39.342880624390986</v>
      </c>
      <c r="X139" s="157">
        <f t="shared" si="35"/>
        <v>45051</v>
      </c>
      <c r="Y139" s="387">
        <f t="shared" si="36"/>
        <v>37.819891184791587</v>
      </c>
      <c r="Z139" s="387">
        <f t="shared" si="37"/>
        <v>39.380920813875306</v>
      </c>
      <c r="AA139" s="388">
        <f t="shared" si="38"/>
        <v>42.109604731189457</v>
      </c>
      <c r="AB139" s="199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6.4799561400135486E-2</v>
      </c>
      <c r="AD139" s="233">
        <f>(INDEX(Models!$BJ139:$BT139,,AH139)*(1-AF139)+INDEX(Models!$BJ139:$BT139,,AH139+1)*AF139-ERP_i)*AE139*Ramure*Pc/MaxiM</f>
        <v>3.321020679673031E-3</v>
      </c>
      <c r="AE139" s="307">
        <f t="shared" si="40"/>
        <v>1</v>
      </c>
      <c r="AF139" s="179">
        <f t="shared" si="41"/>
        <v>0.82888172815087813</v>
      </c>
      <c r="AG139" s="837">
        <f t="shared" si="49"/>
        <v>0</v>
      </c>
      <c r="AH139" s="178">
        <f t="shared" si="42"/>
        <v>6</v>
      </c>
      <c r="AI139" s="227">
        <f t="shared" si="43"/>
        <v>0.82888172815087813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45052</v>
      </c>
      <c r="B140" s="1139">
        <f>IF(t&gt;Tmaj,'2022'!Wh/'2022'!Env_an*'2023'!Env_an,0.001*[7]mois!$B$213)</f>
        <v>36.469763553710969</v>
      </c>
      <c r="C140" s="866"/>
      <c r="D140" s="395">
        <f t="shared" si="25"/>
        <v>37.975949934421998</v>
      </c>
      <c r="E140" s="387">
        <f t="shared" si="47"/>
        <v>39.048172606777761</v>
      </c>
      <c r="F140" s="387">
        <f t="shared" si="26"/>
        <v>39.104463356911218</v>
      </c>
      <c r="G140" s="110">
        <f t="shared" si="48"/>
        <v>0.62285919030084147</v>
      </c>
      <c r="H140" s="414" t="b">
        <f>Wh_hp&gt;='2022'!Maxi_hp</f>
        <v>0</v>
      </c>
      <c r="I140" s="392">
        <f>IF(H140,Wh_hp,'2022'!Maxi_hp)</f>
        <v>64.356840251433624</v>
      </c>
      <c r="J140" s="85">
        <f>IF(H140,An,'2022'!An_max)</f>
        <v>2019</v>
      </c>
      <c r="K140" s="199">
        <f t="shared" si="27"/>
        <v>45052</v>
      </c>
      <c r="L140" s="147">
        <f>IF(t&lt;Tvie,1-EXP((T0-t)*PertePVj)+'2022'!Pspv,1-EXP((T0-t)*PertePVj)+Pspv)</f>
        <v>3.9661585380009079E-2</v>
      </c>
      <c r="M140" s="870"/>
      <c r="N140" s="870"/>
      <c r="O140" s="48">
        <f>IF(t&lt;Tnet,'2022'!Resal+('2022'!Salim-'2022'!Resal)*(1-EXP(('2022'!Tnet-t)/('2022'!Tau_j))),Resal+(Salim-Resal)*(1-EXP((Tnet-t)/(Tau_j))))*Salcycl</f>
        <v>2.7458971848778744E-2</v>
      </c>
      <c r="P140" s="171">
        <f>(INDEX(Models!$BJ140:$BT140,,T140)*(1-R140)+INDEX(Models!$BJ140:$BT140,,T140+1)*R140-ERP_i)*Q140*Ramure*Pc/MaxiM</f>
        <v>3.110950343375433E-3</v>
      </c>
      <c r="Q140" s="307">
        <f t="shared" si="28"/>
        <v>1</v>
      </c>
      <c r="R140" s="179">
        <f t="shared" si="29"/>
        <v>0.83329220325675601</v>
      </c>
      <c r="S140" s="837">
        <f t="shared" si="30"/>
        <v>0</v>
      </c>
      <c r="T140" s="178">
        <f t="shared" si="31"/>
        <v>6</v>
      </c>
      <c r="U140" s="253">
        <f t="shared" si="32"/>
        <v>0.83329220325675601</v>
      </c>
      <c r="V140" s="385">
        <f t="shared" si="33"/>
        <v>58.454171875045056</v>
      </c>
      <c r="W140" s="404">
        <f t="shared" si="34"/>
        <v>36.469763553710969</v>
      </c>
      <c r="X140" s="157">
        <f t="shared" si="35"/>
        <v>45052</v>
      </c>
      <c r="Y140" s="387">
        <f t="shared" si="36"/>
        <v>35.05862440441107</v>
      </c>
      <c r="Z140" s="387">
        <f t="shared" si="37"/>
        <v>36.506531313009994</v>
      </c>
      <c r="AA140" s="388">
        <f t="shared" si="38"/>
        <v>39.048172606777761</v>
      </c>
      <c r="AB140" s="199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6.5089890873064896E-2</v>
      </c>
      <c r="AD140" s="233">
        <f>(INDEX(Models!$BJ140:$BT140,,AH140)*(1-AF140)+INDEX(Models!$BJ140:$BT140,,AH140+1)*AF140-ERP_i)*AE140*Ramure*Pc/MaxiM</f>
        <v>3.110950343375433E-3</v>
      </c>
      <c r="AE140" s="307">
        <f t="shared" si="40"/>
        <v>1</v>
      </c>
      <c r="AF140" s="179">
        <f t="shared" si="41"/>
        <v>0.83329220325675601</v>
      </c>
      <c r="AG140" s="837">
        <f t="shared" si="49"/>
        <v>0</v>
      </c>
      <c r="AH140" s="178">
        <f t="shared" si="42"/>
        <v>6</v>
      </c>
      <c r="AI140" s="227">
        <f t="shared" si="43"/>
        <v>0.83329220325675601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45053</v>
      </c>
      <c r="B141" s="1139">
        <f>IF(t&gt;Tmaj,'2022'!Wh/'2022'!Env_an*'2023'!Env_an,0.001*[7]mois!$B$214)</f>
        <v>50.098850642752815</v>
      </c>
      <c r="C141" s="866"/>
      <c r="D141" s="395">
        <f t="shared" si="25"/>
        <v>52.169126820938359</v>
      </c>
      <c r="E141" s="387">
        <f t="shared" si="47"/>
        <v>53.659753204107716</v>
      </c>
      <c r="F141" s="387">
        <f t="shared" si="26"/>
        <v>53.783750230466225</v>
      </c>
      <c r="G141" s="110">
        <f t="shared" si="48"/>
        <v>0.85445966869804235</v>
      </c>
      <c r="H141" s="414" t="b">
        <f>Wh_hp&gt;='2022'!Maxi_hp</f>
        <v>0</v>
      </c>
      <c r="I141" s="392">
        <f>IF(H141,Wh_hp,'2022'!Maxi_hp)</f>
        <v>59.662433655928183</v>
      </c>
      <c r="J141" s="85">
        <f>IF(H141,An,'2022'!An_max)</f>
        <v>2020</v>
      </c>
      <c r="K141" s="199">
        <f t="shared" si="27"/>
        <v>45053</v>
      </c>
      <c r="L141" s="147">
        <f>IF(t&lt;Tvie,1-EXP((T0-t)*PertePVj)+'2022'!Pspv,1-EXP((T0-t)*PertePVj)+Pspv)</f>
        <v>3.9683933857881382E-2</v>
      </c>
      <c r="M141" s="870"/>
      <c r="N141" s="870"/>
      <c r="O141" s="48">
        <f>IF(t&lt;Tnet,'2022'!Resal+('2022'!Salim-'2022'!Resal)*(1-EXP(('2022'!Tnet-t)/('2022'!Tau_j))),Resal+(Salim-Resal)*(1-EXP((Tnet-t)/(Tau_j))))*Salcycl</f>
        <v>2.7779225474619751E-2</v>
      </c>
      <c r="P141" s="171">
        <f>(INDEX(Models!$BJ141:$BT141,,T141)*(1-R141)+INDEX(Models!$BJ141:$BT141,,T141+1)*R141-ERP_i)*Q141*Ramure*Pc/MaxiM</f>
        <v>2.9079308125887424E-3</v>
      </c>
      <c r="Q141" s="307">
        <f t="shared" si="28"/>
        <v>1</v>
      </c>
      <c r="R141" s="179">
        <f t="shared" si="29"/>
        <v>0.83781581942396932</v>
      </c>
      <c r="S141" s="837">
        <f t="shared" si="30"/>
        <v>0</v>
      </c>
      <c r="T141" s="178">
        <f t="shared" si="31"/>
        <v>6</v>
      </c>
      <c r="U141" s="253">
        <f t="shared" si="32"/>
        <v>0.83781581942396932</v>
      </c>
      <c r="V141" s="385">
        <f t="shared" si="33"/>
        <v>58.596795526925128</v>
      </c>
      <c r="W141" s="404">
        <f t="shared" si="34"/>
        <v>50.098850642752815</v>
      </c>
      <c r="X141" s="157">
        <f t="shared" si="35"/>
        <v>45053</v>
      </c>
      <c r="Y141" s="387">
        <f t="shared" si="36"/>
        <v>48.161176102988044</v>
      </c>
      <c r="Z141" s="387">
        <f t="shared" si="37"/>
        <v>50.151380155979396</v>
      </c>
      <c r="AA141" s="388">
        <f t="shared" si="38"/>
        <v>53.659753204107716</v>
      </c>
      <c r="AB141" s="199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6.5381833471789996E-2</v>
      </c>
      <c r="AD141" s="233">
        <f>(INDEX(Models!$BJ141:$BT141,,AH141)*(1-AF141)+INDEX(Models!$BJ141:$BT141,,AH141+1)*AF141-ERP_i)*AE141*Ramure*Pc/MaxiM</f>
        <v>2.9079308125887424E-3</v>
      </c>
      <c r="AE141" s="307">
        <f t="shared" si="40"/>
        <v>1</v>
      </c>
      <c r="AF141" s="179">
        <f t="shared" si="41"/>
        <v>0.83781581942396932</v>
      </c>
      <c r="AG141" s="837">
        <f t="shared" si="49"/>
        <v>0</v>
      </c>
      <c r="AH141" s="178">
        <f t="shared" si="42"/>
        <v>6</v>
      </c>
      <c r="AI141" s="227">
        <f t="shared" si="43"/>
        <v>0.83781581942396932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45054</v>
      </c>
      <c r="B142" s="1139">
        <f>IF(t&gt;Tmaj,'2022'!Wh/'2022'!Env_an*'2023'!Env_an,0.001*[7]mois!$B$215)</f>
        <v>50.962374297458936</v>
      </c>
      <c r="C142" s="866"/>
      <c r="D142" s="395">
        <f t="shared" si="25"/>
        <v>53.06956958316448</v>
      </c>
      <c r="E142" s="387">
        <f t="shared" si="47"/>
        <v>54.603953463412395</v>
      </c>
      <c r="F142" s="387">
        <f t="shared" si="26"/>
        <v>54.724526208927458</v>
      </c>
      <c r="G142" s="110">
        <f t="shared" si="48"/>
        <v>0.86726768523600428</v>
      </c>
      <c r="H142" s="414" t="b">
        <f>Wh_hp&gt;='2022'!Maxi_hp</f>
        <v>0</v>
      </c>
      <c r="I142" s="392">
        <f>IF(H142,Wh_hp,'2022'!Maxi_hp)</f>
        <v>57.592377924413015</v>
      </c>
      <c r="J142" s="85">
        <f>IF(H142,An,'2022'!An_max)</f>
        <v>2021</v>
      </c>
      <c r="K142" s="199">
        <f t="shared" si="27"/>
        <v>45054</v>
      </c>
      <c r="L142" s="147">
        <f>IF(t&lt;Tvie,1-EXP((T0-t)*PertePVj)+'2022'!Pspv,1-EXP((T0-t)*PertePVj)+Pspv)</f>
        <v>3.970628181567204E-2</v>
      </c>
      <c r="M142" s="870"/>
      <c r="N142" s="870"/>
      <c r="O142" s="48">
        <f>IF(t&lt;Tnet,'2022'!Resal+('2022'!Salim-'2022'!Resal)*(1-EXP(('2022'!Tnet-t)/('2022'!Tau_j))),Resal+(Salim-Resal)*(1-EXP((Tnet-t)/(Tau_j))))*Salcycl</f>
        <v>2.8100234194141906E-2</v>
      </c>
      <c r="P142" s="171">
        <f>(INDEX(Models!$BJ142:$BT142,,T142)*(1-R142)+INDEX(Models!$BJ142:$BT142,,T142+1)*R142-ERP_i)*Q142*Ramure*Pc/MaxiM</f>
        <v>2.7166610892358682E-3</v>
      </c>
      <c r="Q142" s="307">
        <f t="shared" si="28"/>
        <v>1</v>
      </c>
      <c r="R142" s="179">
        <f t="shared" si="29"/>
        <v>0.84245301954135543</v>
      </c>
      <c r="S142" s="837">
        <f t="shared" si="30"/>
        <v>0</v>
      </c>
      <c r="T142" s="178">
        <f t="shared" si="31"/>
        <v>6</v>
      </c>
      <c r="U142" s="253">
        <f t="shared" si="32"/>
        <v>0.84245301954135543</v>
      </c>
      <c r="V142" s="385">
        <f t="shared" si="33"/>
        <v>58.731754465649367</v>
      </c>
      <c r="W142" s="404">
        <f t="shared" si="34"/>
        <v>50.962374297458936</v>
      </c>
      <c r="X142" s="157">
        <f t="shared" si="35"/>
        <v>45054</v>
      </c>
      <c r="Y142" s="387">
        <f t="shared" si="36"/>
        <v>48.992091478721846</v>
      </c>
      <c r="Z142" s="387">
        <f t="shared" si="37"/>
        <v>51.017819393168033</v>
      </c>
      <c r="AA142" s="388">
        <f t="shared" si="38"/>
        <v>54.603953463412395</v>
      </c>
      <c r="AB142" s="199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6.567535577157918E-2</v>
      </c>
      <c r="AD142" s="233">
        <f>(INDEX(Models!$BJ142:$BT142,,AH142)*(1-AF142)+INDEX(Models!$BJ142:$BT142,,AH142+1)*AF142-ERP_i)*AE142*Ramure*Pc/MaxiM</f>
        <v>2.7166610892358682E-3</v>
      </c>
      <c r="AE142" s="307">
        <f t="shared" si="40"/>
        <v>1</v>
      </c>
      <c r="AF142" s="179">
        <f t="shared" si="41"/>
        <v>0.84245301954135543</v>
      </c>
      <c r="AG142" s="837">
        <f t="shared" si="49"/>
        <v>0</v>
      </c>
      <c r="AH142" s="178">
        <f t="shared" si="42"/>
        <v>6</v>
      </c>
      <c r="AI142" s="227">
        <f t="shared" si="43"/>
        <v>0.84245301954135543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45055</v>
      </c>
      <c r="B143" s="1139">
        <f>IF(t&gt;Tmaj,'2022'!Wh/'2022'!Env_an*'2023'!Env_an,0.001*[7]mois!$B$216)</f>
        <v>56.586537200589468</v>
      </c>
      <c r="C143" s="866"/>
      <c r="D143" s="395">
        <f t="shared" ref="D143:D206" si="50">Wh/(1-Ppv)</f>
        <v>58.927652041311681</v>
      </c>
      <c r="E143" s="387">
        <f t="shared" si="47"/>
        <v>60.651488287118354</v>
      </c>
      <c r="F143" s="387">
        <f t="shared" ref="F143:F206" si="51">Wh_sa/(1-Pvg*MEDIAN((-Sdif+Wh/Env_an)/Csdif,0,1))</f>
        <v>60.797146335966715</v>
      </c>
      <c r="G143" s="110">
        <f t="shared" si="48"/>
        <v>0.96124755904844994</v>
      </c>
      <c r="H143" s="414" t="b">
        <f>Wh_hp&gt;='2022'!Maxi_hp</f>
        <v>0</v>
      </c>
      <c r="I143" s="392">
        <f>IF(H143,Wh_hp,'2022'!Maxi_hp)</f>
        <v>60.800047772515065</v>
      </c>
      <c r="J143" s="85">
        <f>IF(H143,An,'2022'!An_max)</f>
        <v>2022</v>
      </c>
      <c r="K143" s="199">
        <f t="shared" ref="K143:K206" si="52">t</f>
        <v>45055</v>
      </c>
      <c r="L143" s="147">
        <f>IF(t&lt;Tvie,1-EXP((T0-t)*PertePVj)+'2022'!Pspv,1-EXP((T0-t)*PertePVj)+Pspv)</f>
        <v>3.9728629253392933E-2</v>
      </c>
      <c r="M143" s="870"/>
      <c r="N143" s="870"/>
      <c r="O143" s="48">
        <f>IF(t&lt;Tnet,'2022'!Resal+('2022'!Salim-'2022'!Resal)*(1-EXP(('2022'!Tnet-t)/('2022'!Tau_j))),Resal+(Salim-Resal)*(1-EXP((Tnet-t)/(Tau_j))))*Salcycl</f>
        <v>2.8421994158596683E-2</v>
      </c>
      <c r="P143" s="171">
        <f>(INDEX(Models!$BJ143:$BT143,,T143)*(1-R143)+INDEX(Models!$BJ143:$BT143,,T143+1)*R143-ERP_i)*Q143*Ramure*Pc/MaxiM</f>
        <v>2.5356932794607253E-3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0.847204072445639</v>
      </c>
      <c r="S143" s="837">
        <f t="shared" ref="S143:S206" si="55">INDEX(Echel_vg,T143)</f>
        <v>0</v>
      </c>
      <c r="T143" s="178">
        <f t="shared" ref="T143:T206" si="56">MIN(MATCH(Hp_vg,Echel_vg),10)</f>
        <v>6</v>
      </c>
      <c r="U143" s="253">
        <f t="shared" ref="U143:U206" si="57">IF(OR(t&lt;Ttai,Notai),Hdd+PousH*Croivg,Hdtf+PousH*(Croivg-Croi_tai))</f>
        <v>0.847204072445639</v>
      </c>
      <c r="V143" s="385">
        <f t="shared" ref="V143:V206" si="58">MaxiM*(1-Ppv)*(1-Pvg)*(1-Psa)</f>
        <v>58.859553722678299</v>
      </c>
      <c r="W143" s="404">
        <f t="shared" ref="W143:W206" si="59">Wh*(A143&gt;Tmaj)</f>
        <v>56.586537200589468</v>
      </c>
      <c r="X143" s="157">
        <f t="shared" ref="X143:X206" si="60">t</f>
        <v>45055</v>
      </c>
      <c r="Y143" s="387">
        <f t="shared" ref="Y143:Y206" si="61">Wh_pvt_s*(1-Ppv)</f>
        <v>54.399646031030827</v>
      </c>
      <c r="Z143" s="387">
        <f t="shared" ref="Z143:Z206" si="62">Wh_sa_s*(1-Psa_s)</f>
        <v>56.650284167834059</v>
      </c>
      <c r="AA143" s="388">
        <f t="shared" ref="AA143:AA206" si="63">Wh_hp*(1-Pvg_s*MEDIAN((-Sdif+Wh/Env_an)/Csdif,0,1))</f>
        <v>60.651488287118354</v>
      </c>
      <c r="AB143" s="199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6.5970419395860139E-2</v>
      </c>
      <c r="AD143" s="233">
        <f>(INDEX(Models!$BJ143:$BT143,,AH143)*(1-AF143)+INDEX(Models!$BJ143:$BT143,,AH143+1)*AF143-ERP_i)*AE143*Ramure*Pc/MaxiM</f>
        <v>2.5356932794607253E-3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0.847204072445639</v>
      </c>
      <c r="AG143" s="837">
        <f t="shared" si="49"/>
        <v>0</v>
      </c>
      <c r="AH143" s="178">
        <f t="shared" ref="AH143:AH206" si="67">MIN(MATCH(Hp_vg_s,Echel_vg),10)</f>
        <v>6</v>
      </c>
      <c r="AI143" s="227">
        <f t="shared" ref="AI143:AI206" si="68">IF(OR(t&lt;Ttai,Notai),Hdd_s+PousH*Croivg,Hdtai_s+PousH*(Croivg-Croi_tai))</f>
        <v>0.847204072445639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45056</v>
      </c>
      <c r="B144" s="1139">
        <f>IF(t&gt;Tmaj,'2022'!Wh/'2022'!Env_an*'2023'!Env_an,0.001*[7]mois!$B$217)</f>
        <v>51.944598153544042</v>
      </c>
      <c r="C144" s="866"/>
      <c r="D144" s="395">
        <f t="shared" si="50"/>
        <v>54.094924196244044</v>
      </c>
      <c r="E144" s="387">
        <f t="shared" ref="E144:E169" si="72">Wh_pvt/(1-Psa)</f>
        <v>55.69587417752664</v>
      </c>
      <c r="F144" s="387">
        <f t="shared" si="51"/>
        <v>55.805357544499167</v>
      </c>
      <c r="G144" s="110">
        <f t="shared" ref="G144:G169" si="73">+Wh_hp/MaxiM</f>
        <v>0.88035054735436713</v>
      </c>
      <c r="H144" s="414" t="b">
        <f>Wh_hp&gt;='2022'!Maxi_hp</f>
        <v>0</v>
      </c>
      <c r="I144" s="392">
        <f>IF(H144,Wh_hp,'2022'!Maxi_hp)</f>
        <v>55.813009554196178</v>
      </c>
      <c r="J144" s="85">
        <f>IF(H144,An,'2022'!An_max)</f>
        <v>2022</v>
      </c>
      <c r="K144" s="199">
        <f t="shared" si="52"/>
        <v>45056</v>
      </c>
      <c r="L144" s="147">
        <f>IF(t&lt;Tvie,1-EXP((T0-t)*PertePVj)+'2022'!Pspv,1-EXP((T0-t)*PertePVj)+Pspv)</f>
        <v>3.9750976171056496E-2</v>
      </c>
      <c r="M144" s="870"/>
      <c r="N144" s="870"/>
      <c r="O144" s="48">
        <f>IF(t&lt;Tnet,'2022'!Resal+('2022'!Salim-'2022'!Resal)*(1-EXP(('2022'!Tnet-t)/('2022'!Tau_j))),Resal+(Salim-Resal)*(1-EXP((Tnet-t)/(Tau_j))))*Salcycl</f>
        <v>2.8744498671116742E-2</v>
      </c>
      <c r="P144" s="171">
        <f>(INDEX(Models!$BJ144:$BT144,,T144)*(1-R144)+INDEX(Models!$BJ144:$BT144,,T144+1)*R144-ERP_i)*Q144*Ramure*Pc/MaxiM</f>
        <v>2.3649057228216012E-3</v>
      </c>
      <c r="Q144" s="307">
        <f t="shared" si="53"/>
        <v>1</v>
      </c>
      <c r="R144" s="179">
        <f t="shared" si="54"/>
        <v>0.85206906341104449</v>
      </c>
      <c r="S144" s="837">
        <f t="shared" si="55"/>
        <v>0</v>
      </c>
      <c r="T144" s="178">
        <f t="shared" si="56"/>
        <v>6</v>
      </c>
      <c r="U144" s="253">
        <f t="shared" si="57"/>
        <v>0.85206906341104449</v>
      </c>
      <c r="V144" s="385">
        <f t="shared" si="58"/>
        <v>58.98062096174246</v>
      </c>
      <c r="W144" s="404">
        <f t="shared" si="59"/>
        <v>51.944598153544042</v>
      </c>
      <c r="X144" s="157">
        <f t="shared" si="60"/>
        <v>45056</v>
      </c>
      <c r="Y144" s="387">
        <f t="shared" si="61"/>
        <v>49.937824178754838</v>
      </c>
      <c r="Z144" s="387">
        <f t="shared" si="62"/>
        <v>52.005076745228372</v>
      </c>
      <c r="AA144" s="388">
        <f t="shared" si="63"/>
        <v>55.69587417752664</v>
      </c>
      <c r="AB144" s="199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6.6266980935322392E-2</v>
      </c>
      <c r="AD144" s="233">
        <f>(INDEX(Models!$BJ144:$BT144,,AH144)*(1-AF144)+INDEX(Models!$BJ144:$BT144,,AH144+1)*AF144-ERP_i)*AE144*Ramure*Pc/MaxiM</f>
        <v>2.3649057228216012E-3</v>
      </c>
      <c r="AE144" s="307">
        <f t="shared" si="65"/>
        <v>1</v>
      </c>
      <c r="AF144" s="179">
        <f t="shared" si="66"/>
        <v>0.85206906341104449</v>
      </c>
      <c r="AG144" s="837">
        <f t="shared" ref="AG144:AG207" si="74">INDEX(Echel_vg,AH144)</f>
        <v>0</v>
      </c>
      <c r="AH144" s="178">
        <f t="shared" si="67"/>
        <v>6</v>
      </c>
      <c r="AI144" s="227">
        <f t="shared" si="68"/>
        <v>0.85206906341104449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45057</v>
      </c>
      <c r="B145" s="1139">
        <f>IF(t&gt;Tmaj,'2022'!Wh/'2022'!Env_an*'2023'!Env_an,0.001*[7]mois!$B$218)</f>
        <v>56.924750559525698</v>
      </c>
      <c r="C145" s="866"/>
      <c r="D145" s="395">
        <f t="shared" si="50"/>
        <v>59.282617216804937</v>
      </c>
      <c r="E145" s="387">
        <f t="shared" si="72"/>
        <v>61.057418259829433</v>
      </c>
      <c r="F145" s="387">
        <f t="shared" si="51"/>
        <v>61.185205471879776</v>
      </c>
      <c r="G145" s="110">
        <f t="shared" si="73"/>
        <v>0.96315735088107124</v>
      </c>
      <c r="H145" s="414" t="b">
        <f>Wh_hp&gt;='2022'!Maxi_hp</f>
        <v>0</v>
      </c>
      <c r="I145" s="392">
        <f>IF(H145,Wh_hp,'2022'!Maxi_hp)</f>
        <v>61.187606498630338</v>
      </c>
      <c r="J145" s="85">
        <f>IF(H145,An,'2022'!An_max)</f>
        <v>2022</v>
      </c>
      <c r="K145" s="199">
        <f t="shared" si="52"/>
        <v>45057</v>
      </c>
      <c r="L145" s="147">
        <f>IF(t&lt;Tvie,1-EXP((T0-t)*PertePVj)+'2022'!Pspv,1-EXP((T0-t)*PertePVj)+Pspv)</f>
        <v>3.9773322568674496E-2</v>
      </c>
      <c r="M145" s="870"/>
      <c r="N145" s="870"/>
      <c r="O145" s="48">
        <f>IF(t&lt;Tnet,'2022'!Resal+('2022'!Salim-'2022'!Resal)*(1-EXP(('2022'!Tnet-t)/('2022'!Tau_j))),Resal+(Salim-Resal)*(1-EXP((Tnet-t)/(Tau_j))))*Salcycl</f>
        <v>2.9067738099764411E-2</v>
      </c>
      <c r="P145" s="171">
        <f>(INDEX(Models!$BJ145:$BT145,,T145)*(1-R145)+INDEX(Models!$BJ145:$BT145,,T145+1)*R145-ERP_i)*Q145*Ramure*Pc/MaxiM</f>
        <v>2.2041914598619093E-3</v>
      </c>
      <c r="Q145" s="307">
        <f t="shared" si="53"/>
        <v>1</v>
      </c>
      <c r="R145" s="179">
        <f t="shared" si="54"/>
        <v>0.85704788489275452</v>
      </c>
      <c r="S145" s="837">
        <f t="shared" si="55"/>
        <v>0</v>
      </c>
      <c r="T145" s="178">
        <f t="shared" si="56"/>
        <v>6</v>
      </c>
      <c r="U145" s="253">
        <f t="shared" si="57"/>
        <v>0.85704788489275452</v>
      </c>
      <c r="V145" s="385">
        <f t="shared" si="58"/>
        <v>59.095383322192355</v>
      </c>
      <c r="W145" s="404">
        <f t="shared" si="59"/>
        <v>56.924750559525698</v>
      </c>
      <c r="X145" s="157">
        <f t="shared" si="60"/>
        <v>45057</v>
      </c>
      <c r="Y145" s="387">
        <f t="shared" si="61"/>
        <v>54.726325497192903</v>
      </c>
      <c r="Z145" s="387">
        <f t="shared" si="62"/>
        <v>56.993131708847862</v>
      </c>
      <c r="AA145" s="388">
        <f t="shared" si="63"/>
        <v>61.057418259829433</v>
      </c>
      <c r="AB145" s="199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6.6564991884950436E-2</v>
      </c>
      <c r="AD145" s="233">
        <f>(INDEX(Models!$BJ145:$BT145,,AH145)*(1-AF145)+INDEX(Models!$BJ145:$BT145,,AH145+1)*AF145-ERP_i)*AE145*Ramure*Pc/MaxiM</f>
        <v>2.2041914598619093E-3</v>
      </c>
      <c r="AE145" s="307">
        <f t="shared" si="65"/>
        <v>1</v>
      </c>
      <c r="AF145" s="179">
        <f t="shared" si="66"/>
        <v>0.85704788489275452</v>
      </c>
      <c r="AG145" s="837">
        <f t="shared" si="74"/>
        <v>0</v>
      </c>
      <c r="AH145" s="178">
        <f t="shared" si="67"/>
        <v>6</v>
      </c>
      <c r="AI145" s="227">
        <f t="shared" si="68"/>
        <v>0.85704788489275452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45058</v>
      </c>
      <c r="B146" s="1139">
        <f>IF(t&gt;Tmaj,'2022'!Wh/'2022'!Env_an*'2023'!Env_an,0.001*[7]mois!$B$219)</f>
        <v>44.399578421445135</v>
      </c>
      <c r="C146" s="866"/>
      <c r="D146" s="395">
        <f t="shared" si="50"/>
        <v>46.239718945654616</v>
      </c>
      <c r="E146" s="387">
        <f t="shared" si="72"/>
        <v>47.639937692792721</v>
      </c>
      <c r="F146" s="387">
        <f t="shared" si="51"/>
        <v>47.70290076142193</v>
      </c>
      <c r="G146" s="110">
        <f t="shared" si="73"/>
        <v>0.74938796953791553</v>
      </c>
      <c r="H146" s="414" t="b">
        <f>Wh_hp&gt;='2022'!Maxi_hp</f>
        <v>0</v>
      </c>
      <c r="I146" s="392">
        <f>IF(H146,Wh_hp,'2022'!Maxi_hp)</f>
        <v>58.723826865317584</v>
      </c>
      <c r="J146" s="85">
        <f>IF(H146,An,'2022'!An_max)</f>
        <v>2019</v>
      </c>
      <c r="K146" s="199">
        <f t="shared" si="52"/>
        <v>45058</v>
      </c>
      <c r="L146" s="147">
        <f>IF(t&lt;Tvie,1-EXP((T0-t)*PertePVj)+'2022'!Pspv,1-EXP((T0-t)*PertePVj)+Pspv)</f>
        <v>3.9795668446259147E-2</v>
      </c>
      <c r="M146" s="870"/>
      <c r="N146" s="870"/>
      <c r="O146" s="48">
        <f>IF(t&lt;Tnet,'2022'!Resal+('2022'!Salim-'2022'!Resal)*(1-EXP(('2022'!Tnet-t)/('2022'!Tau_j))),Resal+(Salim-Resal)*(1-EXP((Tnet-t)/(Tau_j))))*Salcycl</f>
        <v>2.9391699799597729E-2</v>
      </c>
      <c r="P146" s="171">
        <f>(INDEX(Models!$BJ146:$BT146,,T146)*(1-R146)+INDEX(Models!$BJ146:$BT146,,T146+1)*R146-ERP_i)*Q146*Ramure*Pc/MaxiM</f>
        <v>2.0534572821371356E-3</v>
      </c>
      <c r="Q146" s="307">
        <f t="shared" si="53"/>
        <v>1</v>
      </c>
      <c r="R146" s="179">
        <f t="shared" si="54"/>
        <v>0.86214022759971476</v>
      </c>
      <c r="S146" s="837">
        <f t="shared" si="55"/>
        <v>0</v>
      </c>
      <c r="T146" s="178">
        <f t="shared" si="56"/>
        <v>6</v>
      </c>
      <c r="U146" s="253">
        <f t="shared" si="57"/>
        <v>0.86214022759971476</v>
      </c>
      <c r="V146" s="385">
        <f t="shared" si="58"/>
        <v>59.204267421700116</v>
      </c>
      <c r="W146" s="404">
        <f t="shared" si="59"/>
        <v>44.399578421445135</v>
      </c>
      <c r="X146" s="157">
        <f t="shared" si="60"/>
        <v>45058</v>
      </c>
      <c r="Y146" s="387">
        <f t="shared" si="61"/>
        <v>42.685424494740609</v>
      </c>
      <c r="Z146" s="387">
        <f t="shared" si="62"/>
        <v>44.454521909591683</v>
      </c>
      <c r="AA146" s="388">
        <f t="shared" si="63"/>
        <v>47.639937692792721</v>
      </c>
      <c r="AB146" s="199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6.6864398600650327E-2</v>
      </c>
      <c r="AD146" s="233">
        <f>(INDEX(Models!$BJ146:$BT146,,AH146)*(1-AF146)+INDEX(Models!$BJ146:$BT146,,AH146+1)*AF146-ERP_i)*AE146*Ramure*Pc/MaxiM</f>
        <v>2.0534572821371356E-3</v>
      </c>
      <c r="AE146" s="307">
        <f t="shared" si="65"/>
        <v>1</v>
      </c>
      <c r="AF146" s="179">
        <f t="shared" si="66"/>
        <v>0.86214022759971476</v>
      </c>
      <c r="AG146" s="837">
        <f t="shared" si="74"/>
        <v>0</v>
      </c>
      <c r="AH146" s="178">
        <f t="shared" si="67"/>
        <v>6</v>
      </c>
      <c r="AI146" s="227">
        <f t="shared" si="68"/>
        <v>0.86214022759971476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45059</v>
      </c>
      <c r="B147" s="1139">
        <f>IF(t&gt;Tmaj,'2022'!Wh/'2022'!Env_an*'2023'!Env_an,0.001*[7]mois!$B$220)</f>
        <v>47.379706197485589</v>
      </c>
      <c r="C147" s="866"/>
      <c r="D147" s="395">
        <f t="shared" si="50"/>
        <v>49.344506435892782</v>
      </c>
      <c r="E147" s="387">
        <f t="shared" si="72"/>
        <v>50.855754761586084</v>
      </c>
      <c r="F147" s="387">
        <f t="shared" si="51"/>
        <v>50.925170741632215</v>
      </c>
      <c r="G147" s="110">
        <f t="shared" si="73"/>
        <v>0.79843991305377737</v>
      </c>
      <c r="H147" s="414" t="b">
        <f>Wh_hp&gt;='2022'!Maxi_hp</f>
        <v>0</v>
      </c>
      <c r="I147" s="392">
        <f>IF(H147,Wh_hp,'2022'!Maxi_hp)</f>
        <v>65.24369285904416</v>
      </c>
      <c r="J147" s="85">
        <f>IF(H147,An,'2022'!An_max)</f>
        <v>2019</v>
      </c>
      <c r="K147" s="199">
        <f t="shared" si="52"/>
        <v>45059</v>
      </c>
      <c r="L147" s="147">
        <f>IF(t&lt;Tvie,1-EXP((T0-t)*PertePVj)+'2022'!Pspv,1-EXP((T0-t)*PertePVj)+Pspv)</f>
        <v>3.9818013803822661E-2</v>
      </c>
      <c r="M147" s="870"/>
      <c r="N147" s="870"/>
      <c r="O147" s="48">
        <f>IF(t&lt;Tnet,'2022'!Resal+('2022'!Salim-'2022'!Resal)*(1-EXP(('2022'!Tnet-t)/('2022'!Tau_j))),Resal+(Salim-Resal)*(1-EXP((Tnet-t)/(Tau_j))))*Salcycl</f>
        <v>2.9716368044837745E-2</v>
      </c>
      <c r="P147" s="171">
        <f>(INDEX(Models!$BJ147:$BT147,,T147)*(1-R147)+INDEX(Models!$BJ147:$BT147,,T147+1)*R147-ERP_i)*Q147*Ramure*Pc/MaxiM</f>
        <v>1.9126228196782631E-3</v>
      </c>
      <c r="Q147" s="307">
        <f t="shared" si="53"/>
        <v>1</v>
      </c>
      <c r="R147" s="179">
        <f t="shared" si="54"/>
        <v>0.86734557197534767</v>
      </c>
      <c r="S147" s="837">
        <f t="shared" si="55"/>
        <v>0</v>
      </c>
      <c r="T147" s="178">
        <f t="shared" si="56"/>
        <v>6</v>
      </c>
      <c r="U147" s="253">
        <f t="shared" si="57"/>
        <v>0.86734557197534767</v>
      </c>
      <c r="V147" s="385">
        <f t="shared" si="58"/>
        <v>59.307699356218023</v>
      </c>
      <c r="W147" s="404">
        <f t="shared" si="59"/>
        <v>47.379706197485589</v>
      </c>
      <c r="X147" s="157">
        <f t="shared" si="60"/>
        <v>45059</v>
      </c>
      <c r="Y147" s="387">
        <f t="shared" si="61"/>
        <v>45.551053356044626</v>
      </c>
      <c r="Z147" s="387">
        <f t="shared" si="62"/>
        <v>47.440020757417095</v>
      </c>
      <c r="AA147" s="388">
        <f t="shared" si="63"/>
        <v>50.855754761586084</v>
      </c>
      <c r="AB147" s="199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6.7165142277055875E-2</v>
      </c>
      <c r="AD147" s="233">
        <f>(INDEX(Models!$BJ147:$BT147,,AH147)*(1-AF147)+INDEX(Models!$BJ147:$BT147,,AH147+1)*AF147-ERP_i)*AE147*Ramure*Pc/MaxiM</f>
        <v>1.9126228196782631E-3</v>
      </c>
      <c r="AE147" s="307">
        <f t="shared" si="65"/>
        <v>1</v>
      </c>
      <c r="AF147" s="179">
        <f t="shared" si="66"/>
        <v>0.86734557197534767</v>
      </c>
      <c r="AG147" s="837">
        <f t="shared" si="74"/>
        <v>0</v>
      </c>
      <c r="AH147" s="178">
        <f t="shared" si="67"/>
        <v>6</v>
      </c>
      <c r="AI147" s="227">
        <f t="shared" si="68"/>
        <v>0.86734557197534767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45060</v>
      </c>
      <c r="B148" s="1139">
        <f>IF(t&gt;Tmaj,'2022'!Wh/'2022'!Env_an*'2023'!Env_an,0.001*[7]mois!$B$221)</f>
        <v>48.83569307893714</v>
      </c>
      <c r="C148" s="866"/>
      <c r="D148" s="395">
        <f t="shared" si="50"/>
        <v>50.862055615912773</v>
      </c>
      <c r="E148" s="387">
        <f t="shared" si="72"/>
        <v>52.43736444438052</v>
      </c>
      <c r="F148" s="387">
        <f t="shared" si="51"/>
        <v>52.507133048068326</v>
      </c>
      <c r="G148" s="110">
        <f t="shared" si="73"/>
        <v>0.82169244158981225</v>
      </c>
      <c r="H148" s="414" t="b">
        <f>Wh_hp&gt;='2022'!Maxi_hp</f>
        <v>0</v>
      </c>
      <c r="I148" s="392">
        <f>IF(H148,Wh_hp,'2022'!Maxi_hp)</f>
        <v>63.602775441610461</v>
      </c>
      <c r="J148" s="85">
        <f>IF(H148,An,'2022'!An_max)</f>
        <v>2019</v>
      </c>
      <c r="K148" s="199">
        <f t="shared" si="52"/>
        <v>45060</v>
      </c>
      <c r="L148" s="147">
        <f>IF(t&lt;Tvie,1-EXP((T0-t)*PertePVj)+'2022'!Pspv,1-EXP((T0-t)*PertePVj)+Pspv)</f>
        <v>3.9840358641377138E-2</v>
      </c>
      <c r="M148" s="870"/>
      <c r="N148" s="870"/>
      <c r="O148" s="48">
        <f>IF(t&lt;Tnet,'2022'!Resal+('2022'!Salim-'2022'!Resal)*(1-EXP(('2022'!Tnet-t)/('2022'!Tau_j))),Resal+(Salim-Resal)*(1-EXP((Tnet-t)/(Tau_j))))*Salcycl</f>
        <v>3.0041723972200306E-2</v>
      </c>
      <c r="P148" s="171">
        <f>(INDEX(Models!$BJ148:$BT148,,T148)*(1-R148)+INDEX(Models!$BJ148:$BT148,,T148+1)*R148-ERP_i)*Q148*Ramure*Pc/MaxiM</f>
        <v>1.7816196591997665E-3</v>
      </c>
      <c r="Q148" s="307">
        <f t="shared" si="53"/>
        <v>1</v>
      </c>
      <c r="R148" s="179">
        <f t="shared" si="54"/>
        <v>0.87266318016719091</v>
      </c>
      <c r="S148" s="837">
        <f t="shared" si="55"/>
        <v>0</v>
      </c>
      <c r="T148" s="178">
        <f t="shared" si="56"/>
        <v>6</v>
      </c>
      <c r="U148" s="253">
        <f t="shared" si="57"/>
        <v>0.87266318016719091</v>
      </c>
      <c r="V148" s="385">
        <f t="shared" si="58"/>
        <v>59.406104701033669</v>
      </c>
      <c r="W148" s="404">
        <f t="shared" si="59"/>
        <v>48.83569307893714</v>
      </c>
      <c r="X148" s="157">
        <f t="shared" si="60"/>
        <v>45060</v>
      </c>
      <c r="Y148" s="387">
        <f t="shared" si="61"/>
        <v>46.951388257796971</v>
      </c>
      <c r="Z148" s="387">
        <f t="shared" si="62"/>
        <v>48.899564442597175</v>
      </c>
      <c r="AA148" s="388">
        <f t="shared" si="63"/>
        <v>52.43736444438052</v>
      </c>
      <c r="AB148" s="199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6.7467158948002218E-2</v>
      </c>
      <c r="AD148" s="233">
        <f>(INDEX(Models!$BJ148:$BT148,,AH148)*(1-AF148)+INDEX(Models!$BJ148:$BT148,,AH148+1)*AF148-ERP_i)*AE148*Ramure*Pc/MaxiM</f>
        <v>1.7816196591997665E-3</v>
      </c>
      <c r="AE148" s="307">
        <f t="shared" si="65"/>
        <v>1</v>
      </c>
      <c r="AF148" s="179">
        <f t="shared" si="66"/>
        <v>0.87266318016719091</v>
      </c>
      <c r="AG148" s="837">
        <f t="shared" si="74"/>
        <v>0</v>
      </c>
      <c r="AH148" s="178">
        <f t="shared" si="67"/>
        <v>6</v>
      </c>
      <c r="AI148" s="227">
        <f t="shared" si="68"/>
        <v>0.87266318016719091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45061</v>
      </c>
      <c r="B149" s="1139">
        <f>IF(t&gt;Tmaj,'2022'!Wh/'2022'!Env_an*'2023'!Env_an,0.001*[7]mois!$B$222)</f>
        <v>52.83170885101579</v>
      </c>
      <c r="C149" s="866"/>
      <c r="D149" s="395">
        <f t="shared" si="50"/>
        <v>55.02516047843536</v>
      </c>
      <c r="E149" s="387">
        <f t="shared" si="72"/>
        <v>56.748484000129018</v>
      </c>
      <c r="F149" s="387">
        <f t="shared" si="51"/>
        <v>56.827739505248346</v>
      </c>
      <c r="G149" s="110">
        <f t="shared" si="73"/>
        <v>0.88771883317635736</v>
      </c>
      <c r="H149" s="414" t="b">
        <f>Wh_hp&gt;='2022'!Maxi_hp</f>
        <v>0</v>
      </c>
      <c r="I149" s="392">
        <f>IF(H149,Wh_hp,'2022'!Maxi_hp)</f>
        <v>64.554726690936292</v>
      </c>
      <c r="J149" s="85">
        <f>IF(H149,An,'2022'!An_max)</f>
        <v>2019</v>
      </c>
      <c r="K149" s="199">
        <f t="shared" si="52"/>
        <v>45061</v>
      </c>
      <c r="L149" s="147">
        <f>IF(t&lt;Tvie,1-EXP((T0-t)*PertePVj)+'2022'!Pspv,1-EXP((T0-t)*PertePVj)+Pspv)</f>
        <v>3.9862702958934459E-2</v>
      </c>
      <c r="M149" s="870"/>
      <c r="N149" s="870"/>
      <c r="O149" s="48">
        <f>IF(t&lt;Tnet,'2022'!Resal+('2022'!Salim-'2022'!Resal)*(1-EXP(('2022'!Tnet-t)/('2022'!Tau_j))),Resal+(Salim-Resal)*(1-EXP((Tnet-t)/(Tau_j))))*Salcycl</f>
        <v>3.0367745536422353E-2</v>
      </c>
      <c r="P149" s="171">
        <f>(INDEX(Models!$BJ149:$BT149,,T149)*(1-R149)+INDEX(Models!$BJ149:$BT149,,T149+1)*R149-ERP_i)*Q149*Ramure*Pc/MaxiM</f>
        <v>1.6604388672093911E-3</v>
      </c>
      <c r="Q149" s="307">
        <f t="shared" si="53"/>
        <v>1</v>
      </c>
      <c r="R149" s="179">
        <f t="shared" si="54"/>
        <v>0.87809208856824639</v>
      </c>
      <c r="S149" s="837">
        <f t="shared" si="55"/>
        <v>0</v>
      </c>
      <c r="T149" s="178">
        <f t="shared" si="56"/>
        <v>6</v>
      </c>
      <c r="U149" s="253">
        <f t="shared" si="57"/>
        <v>0.87809208856824639</v>
      </c>
      <c r="V149" s="385">
        <f t="shared" si="58"/>
        <v>59.498171983911661</v>
      </c>
      <c r="W149" s="404">
        <f t="shared" si="59"/>
        <v>52.83170885101579</v>
      </c>
      <c r="X149" s="157">
        <f t="shared" si="60"/>
        <v>45061</v>
      </c>
      <c r="Y149" s="387">
        <f t="shared" si="61"/>
        <v>50.793776367529027</v>
      </c>
      <c r="Z149" s="387">
        <f t="shared" si="62"/>
        <v>52.902617702764395</v>
      </c>
      <c r="AA149" s="388">
        <f t="shared" si="63"/>
        <v>56.748484000129018</v>
      </c>
      <c r="AB149" s="199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6.7770379511034678E-2</v>
      </c>
      <c r="AD149" s="233">
        <f>(INDEX(Models!$BJ149:$BT149,,AH149)*(1-AF149)+INDEX(Models!$BJ149:$BT149,,AH149+1)*AF149-ERP_i)*AE149*Ramure*Pc/MaxiM</f>
        <v>1.6604388672093911E-3</v>
      </c>
      <c r="AE149" s="307">
        <f t="shared" si="65"/>
        <v>1</v>
      </c>
      <c r="AF149" s="179">
        <f t="shared" si="66"/>
        <v>0.87809208856824639</v>
      </c>
      <c r="AG149" s="837">
        <f t="shared" si="74"/>
        <v>0</v>
      </c>
      <c r="AH149" s="178">
        <f t="shared" si="67"/>
        <v>6</v>
      </c>
      <c r="AI149" s="227">
        <f t="shared" si="68"/>
        <v>0.87809208856824639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45062</v>
      </c>
      <c r="B150" s="1139">
        <f>IF(t&gt;Tmaj,'2022'!Wh/'2022'!Env_an*'2023'!Env_an,0.001*[7]mois!$B$223)</f>
        <v>51.499394773692032</v>
      </c>
      <c r="C150" s="866"/>
      <c r="D150" s="395">
        <f t="shared" si="50"/>
        <v>53.638780022866037</v>
      </c>
      <c r="E150" s="387">
        <f t="shared" si="72"/>
        <v>55.337326470343413</v>
      </c>
      <c r="F150" s="387">
        <f t="shared" si="51"/>
        <v>55.406600364787749</v>
      </c>
      <c r="G150" s="110">
        <f t="shared" si="73"/>
        <v>0.86407870553946919</v>
      </c>
      <c r="H150" s="414" t="b">
        <f>Wh_hp&gt;='2022'!Maxi_hp</f>
        <v>0</v>
      </c>
      <c r="I150" s="392">
        <f>IF(H150,Wh_hp,'2022'!Maxi_hp)</f>
        <v>55.412116441841142</v>
      </c>
      <c r="J150" s="85">
        <f>IF(H150,An,'2022'!An_max)</f>
        <v>2022</v>
      </c>
      <c r="K150" s="199">
        <f t="shared" si="52"/>
        <v>45062</v>
      </c>
      <c r="L150" s="147">
        <f>IF(t&lt;Tvie,1-EXP((T0-t)*PertePVj)+'2022'!Pspv,1-EXP((T0-t)*PertePVj)+Pspv)</f>
        <v>3.9885046756506948E-2</v>
      </c>
      <c r="M150" s="870"/>
      <c r="N150" s="870"/>
      <c r="O150" s="48">
        <f>IF(t&lt;Tnet,'2022'!Resal+('2022'!Salim-'2022'!Resal)*(1-EXP(('2022'!Tnet-t)/('2022'!Tau_j))),Resal+(Salim-Resal)*(1-EXP((Tnet-t)/(Tau_j))))*Salcycl</f>
        <v>3.0694407478967557E-2</v>
      </c>
      <c r="P150" s="171">
        <f>(INDEX(Models!$BJ150:$BT150,,T150)*(1-R150)+INDEX(Models!$BJ150:$BT150,,T150+1)*R150-ERP_i)*Q150*Ramure*Pc/MaxiM</f>
        <v>1.5508372374243976E-3</v>
      </c>
      <c r="Q150" s="307">
        <f t="shared" si="53"/>
        <v>1</v>
      </c>
      <c r="R150" s="179">
        <f t="shared" si="54"/>
        <v>0.88363110101382303</v>
      </c>
      <c r="S150" s="837">
        <f t="shared" si="55"/>
        <v>0</v>
      </c>
      <c r="T150" s="178">
        <f t="shared" si="56"/>
        <v>6</v>
      </c>
      <c r="U150" s="253">
        <f t="shared" si="57"/>
        <v>0.88363110101382303</v>
      </c>
      <c r="V150" s="385">
        <f t="shared" si="58"/>
        <v>59.582416129673938</v>
      </c>
      <c r="W150" s="404">
        <f t="shared" si="59"/>
        <v>51.499394773692032</v>
      </c>
      <c r="X150" s="157">
        <f t="shared" si="60"/>
        <v>45062</v>
      </c>
      <c r="Y150" s="387">
        <f t="shared" si="61"/>
        <v>49.513370975153094</v>
      </c>
      <c r="Z150" s="387">
        <f t="shared" si="62"/>
        <v>51.570252924283011</v>
      </c>
      <c r="AA150" s="388">
        <f t="shared" si="63"/>
        <v>55.337326470343413</v>
      </c>
      <c r="AB150" s="199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6.807472977718336E-2</v>
      </c>
      <c r="AD150" s="233">
        <f>(INDEX(Models!$BJ150:$BT150,,AH150)*(1-AF150)+INDEX(Models!$BJ150:$BT150,,AH150+1)*AF150-ERP_i)*AE150*Ramure*Pc/MaxiM</f>
        <v>1.5508372374243976E-3</v>
      </c>
      <c r="AE150" s="307">
        <f t="shared" si="65"/>
        <v>1</v>
      </c>
      <c r="AF150" s="179">
        <f t="shared" si="66"/>
        <v>0.88363110101382303</v>
      </c>
      <c r="AG150" s="837">
        <f t="shared" si="74"/>
        <v>0</v>
      </c>
      <c r="AH150" s="178">
        <f t="shared" si="67"/>
        <v>6</v>
      </c>
      <c r="AI150" s="227">
        <f t="shared" si="68"/>
        <v>0.88363110101382303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45063</v>
      </c>
      <c r="B151" s="1139">
        <f>IF(t&gt;Tmaj,'2022'!Wh/'2022'!Env_an*'2023'!Env_an,0.001*[7]mois!$B$224)</f>
        <v>55.526565334503573</v>
      </c>
      <c r="C151" s="866"/>
      <c r="D151" s="395">
        <f t="shared" si="50"/>
        <v>57.834592994603007</v>
      </c>
      <c r="E151" s="387">
        <f t="shared" si="72"/>
        <v>59.686157965682675</v>
      </c>
      <c r="F151" s="387">
        <f t="shared" si="51"/>
        <v>59.764130316451677</v>
      </c>
      <c r="G151" s="110">
        <f t="shared" si="73"/>
        <v>0.93059191497703186</v>
      </c>
      <c r="H151" s="414" t="b">
        <f>Wh_hp&gt;='2022'!Maxi_hp</f>
        <v>0</v>
      </c>
      <c r="I151" s="392">
        <f>IF(H151,Wh_hp,'2022'!Maxi_hp)</f>
        <v>59.766951406904127</v>
      </c>
      <c r="J151" s="85">
        <f>IF(H151,An,'2022'!An_max)</f>
        <v>2022</v>
      </c>
      <c r="K151" s="199">
        <f t="shared" si="52"/>
        <v>45063</v>
      </c>
      <c r="L151" s="147">
        <f>IF(t&lt;Tvie,1-EXP((T0-t)*PertePVj)+'2022'!Pspv,1-EXP((T0-t)*PertePVj)+Pspv)</f>
        <v>3.9907390034106593E-2</v>
      </c>
      <c r="M151" s="870"/>
      <c r="N151" s="870"/>
      <c r="O151" s="48">
        <f>IF(t&lt;Tnet,'2022'!Resal+('2022'!Salim-'2022'!Resal)*(1-EXP(('2022'!Tnet-t)/('2022'!Tau_j))),Resal+(Salim-Resal)*(1-EXP((Tnet-t)/(Tau_j))))*Salcycl</f>
        <v>3.1021681310836751E-2</v>
      </c>
      <c r="P151" s="171">
        <f>(INDEX(Models!$BJ151:$BT151,,T151)*(1-R151)+INDEX(Models!$BJ151:$BT151,,T151+1)*R151-ERP_i)*Q151*Ramure*Pc/MaxiM</f>
        <v>1.4479637950009011E-3</v>
      </c>
      <c r="Q151" s="307">
        <f t="shared" si="53"/>
        <v>1</v>
      </c>
      <c r="R151" s="179">
        <f t="shared" si="54"/>
        <v>0.88927878271778638</v>
      </c>
      <c r="S151" s="837">
        <f t="shared" si="55"/>
        <v>0</v>
      </c>
      <c r="T151" s="178">
        <f t="shared" si="56"/>
        <v>6</v>
      </c>
      <c r="U151" s="253">
        <f t="shared" si="57"/>
        <v>0.88927878271778638</v>
      </c>
      <c r="V151" s="385">
        <f t="shared" si="58"/>
        <v>59.659446128260065</v>
      </c>
      <c r="W151" s="404">
        <f t="shared" si="59"/>
        <v>55.526565334503573</v>
      </c>
      <c r="X151" s="157">
        <f t="shared" si="60"/>
        <v>45063</v>
      </c>
      <c r="Y151" s="387">
        <f t="shared" si="61"/>
        <v>53.385767824072275</v>
      </c>
      <c r="Z151" s="387">
        <f t="shared" si="62"/>
        <v>55.604810692136006</v>
      </c>
      <c r="AA151" s="388">
        <f t="shared" si="63"/>
        <v>59.686157965682675</v>
      </c>
      <c r="AB151" s="199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6.8380130547074119E-2</v>
      </c>
      <c r="AD151" s="233">
        <f>(INDEX(Models!$BJ151:$BT151,,AH151)*(1-AF151)+INDEX(Models!$BJ151:$BT151,,AH151+1)*AF151-ERP_i)*AE151*Ramure*Pc/MaxiM</f>
        <v>1.4479637950009011E-3</v>
      </c>
      <c r="AE151" s="307">
        <f t="shared" si="65"/>
        <v>1</v>
      </c>
      <c r="AF151" s="179">
        <f t="shared" si="66"/>
        <v>0.88927878271778638</v>
      </c>
      <c r="AG151" s="837">
        <f t="shared" si="74"/>
        <v>0</v>
      </c>
      <c r="AH151" s="178">
        <f t="shared" si="67"/>
        <v>6</v>
      </c>
      <c r="AI151" s="227">
        <f t="shared" si="68"/>
        <v>0.88927878271778638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45064</v>
      </c>
      <c r="B152" s="1139">
        <f>IF(t&gt;Tmaj,'2022'!Wh/'2022'!Env_an*'2023'!Env_an,0.001*[7]mois!$B$225)</f>
        <v>54.033985309136376</v>
      </c>
      <c r="C152" s="866"/>
      <c r="D152" s="395">
        <f t="shared" si="50"/>
        <v>56.281281854774434</v>
      </c>
      <c r="E152" s="387">
        <f t="shared" si="72"/>
        <v>58.102776911180179</v>
      </c>
      <c r="F152" s="387">
        <f t="shared" si="51"/>
        <v>58.170699524338069</v>
      </c>
      <c r="G152" s="110">
        <f t="shared" si="73"/>
        <v>0.90447680545237819</v>
      </c>
      <c r="H152" s="414" t="b">
        <f>Wh_hp&gt;='2022'!Maxi_hp</f>
        <v>0</v>
      </c>
      <c r="I152" s="392">
        <f>IF(H152,Wh_hp,'2022'!Maxi_hp)</f>
        <v>64.833198802654493</v>
      </c>
      <c r="J152" s="85">
        <f>IF(H152,An,'2022'!An_max)</f>
        <v>2020</v>
      </c>
      <c r="K152" s="199">
        <f t="shared" si="52"/>
        <v>45064</v>
      </c>
      <c r="L152" s="147">
        <f>IF(t&lt;Tvie,1-EXP((T0-t)*PertePVj)+'2022'!Pspv,1-EXP((T0-t)*PertePVj)+Pspv)</f>
        <v>3.9929732791745498E-2</v>
      </c>
      <c r="M152" s="870"/>
      <c r="N152" s="870"/>
      <c r="O152" s="48">
        <f>IF(t&lt;Tnet,'2022'!Resal+('2022'!Salim-'2022'!Resal)*(1-EXP(('2022'!Tnet-t)/('2022'!Tau_j))),Resal+(Salim-Resal)*(1-EXP((Tnet-t)/(Tau_j))))*Salcycl</f>
        <v>3.1349535310338156E-2</v>
      </c>
      <c r="P152" s="171">
        <f>(INDEX(Models!$BJ152:$BT152,,T152)*(1-R152)+INDEX(Models!$BJ152:$BT152,,T152+1)*R152-ERP_i)*Q152*Ramure*Pc/MaxiM</f>
        <v>1.351788318985892E-3</v>
      </c>
      <c r="Q152" s="307">
        <f t="shared" si="53"/>
        <v>1</v>
      </c>
      <c r="R152" s="179">
        <f t="shared" si="54"/>
        <v>0.89503345503132636</v>
      </c>
      <c r="S152" s="837">
        <f t="shared" si="55"/>
        <v>0</v>
      </c>
      <c r="T152" s="178">
        <f t="shared" si="56"/>
        <v>6</v>
      </c>
      <c r="U152" s="253">
        <f t="shared" si="57"/>
        <v>0.89503345503132636</v>
      </c>
      <c r="V152" s="385">
        <f t="shared" si="58"/>
        <v>59.729584273574957</v>
      </c>
      <c r="W152" s="404">
        <f t="shared" si="59"/>
        <v>54.033985309136376</v>
      </c>
      <c r="X152" s="157">
        <f t="shared" si="60"/>
        <v>45064</v>
      </c>
      <c r="Y152" s="387">
        <f t="shared" si="61"/>
        <v>51.951226923562984</v>
      </c>
      <c r="Z152" s="387">
        <f t="shared" si="62"/>
        <v>54.111900657677523</v>
      </c>
      <c r="AA152" s="388">
        <f t="shared" si="63"/>
        <v>58.102776911180179</v>
      </c>
      <c r="AB152" s="199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6.8686497714272363E-2</v>
      </c>
      <c r="AD152" s="233">
        <f>(INDEX(Models!$BJ152:$BT152,,AH152)*(1-AF152)+INDEX(Models!$BJ152:$BT152,,AH152+1)*AF152-ERP_i)*AE152*Ramure*Pc/MaxiM</f>
        <v>1.351788318985892E-3</v>
      </c>
      <c r="AE152" s="307">
        <f t="shared" si="65"/>
        <v>1</v>
      </c>
      <c r="AF152" s="179">
        <f t="shared" si="66"/>
        <v>0.89503345503132636</v>
      </c>
      <c r="AG152" s="837">
        <f t="shared" si="74"/>
        <v>0</v>
      </c>
      <c r="AH152" s="178">
        <f t="shared" si="67"/>
        <v>6</v>
      </c>
      <c r="AI152" s="227">
        <f t="shared" si="68"/>
        <v>0.89503345503132636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45065</v>
      </c>
      <c r="B153" s="1139">
        <f>IF(t&gt;Tmaj,'2022'!Wh/'2022'!Env_an*'2023'!Env_an,0.001*[7]mois!$B$226)</f>
        <v>56.0034467072634</v>
      </c>
      <c r="C153" s="866"/>
      <c r="D153" s="395">
        <f t="shared" si="50"/>
        <v>58.334011511957087</v>
      </c>
      <c r="E153" s="387">
        <f t="shared" si="72"/>
        <v>60.242365213520273</v>
      </c>
      <c r="F153" s="387">
        <f t="shared" si="51"/>
        <v>60.311602793272876</v>
      </c>
      <c r="G153" s="110">
        <f t="shared" si="73"/>
        <v>0.93651256484836409</v>
      </c>
      <c r="H153" s="414" t="b">
        <f>Wh_hp&gt;='2022'!Maxi_hp</f>
        <v>0</v>
      </c>
      <c r="I153" s="392">
        <f>IF(H153,Wh_hp,'2022'!Maxi_hp)</f>
        <v>63.754093188120109</v>
      </c>
      <c r="J153" s="85">
        <f>IF(H153,An,'2022'!An_max)</f>
        <v>2020</v>
      </c>
      <c r="K153" s="199">
        <f t="shared" si="52"/>
        <v>45065</v>
      </c>
      <c r="L153" s="147">
        <f>IF(t&lt;Tvie,1-EXP((T0-t)*PertePVj)+'2022'!Pspv,1-EXP((T0-t)*PertePVj)+Pspv)</f>
        <v>3.9952075029435874E-2</v>
      </c>
      <c r="M153" s="870"/>
      <c r="N153" s="870"/>
      <c r="O153" s="48">
        <f>IF(t&lt;Tnet,'2022'!Resal+('2022'!Salim-'2022'!Resal)*(1-EXP(('2022'!Tnet-t)/('2022'!Tau_j))),Resal+(Salim-Resal)*(1-EXP((Tnet-t)/(Tau_j))))*Salcycl</f>
        <v>3.1677934536589104E-2</v>
      </c>
      <c r="P153" s="171">
        <f>(INDEX(Models!$BJ153:$BT153,,T153)*(1-R153)+INDEX(Models!$BJ153:$BT153,,T153+1)*R153-ERP_i)*Q153*Ramure*Pc/MaxiM</f>
        <v>1.2622894436939622E-3</v>
      </c>
      <c r="Q153" s="307">
        <f t="shared" si="53"/>
        <v>1</v>
      </c>
      <c r="R153" s="179">
        <f t="shared" si="54"/>
        <v>0.90089319110554134</v>
      </c>
      <c r="S153" s="837">
        <f t="shared" si="55"/>
        <v>0</v>
      </c>
      <c r="T153" s="178">
        <f t="shared" si="56"/>
        <v>6</v>
      </c>
      <c r="U153" s="253">
        <f t="shared" si="57"/>
        <v>0.90089319110554134</v>
      </c>
      <c r="V153" s="385">
        <f t="shared" si="58"/>
        <v>59.793152510296281</v>
      </c>
      <c r="W153" s="404">
        <f t="shared" si="59"/>
        <v>56.0034467072634</v>
      </c>
      <c r="X153" s="157">
        <f t="shared" si="60"/>
        <v>45065</v>
      </c>
      <c r="Y153" s="387">
        <f t="shared" si="61"/>
        <v>53.84526614796323</v>
      </c>
      <c r="Z153" s="387">
        <f t="shared" si="62"/>
        <v>56.086018986618996</v>
      </c>
      <c r="AA153" s="388">
        <f t="shared" si="63"/>
        <v>60.242365213520273</v>
      </c>
      <c r="AB153" s="199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6.8993742396562904E-2</v>
      </c>
      <c r="AD153" s="233">
        <f>(INDEX(Models!$BJ153:$BT153,,AH153)*(1-AF153)+INDEX(Models!$BJ153:$BT153,,AH153+1)*AF153-ERP_i)*AE153*Ramure*Pc/MaxiM</f>
        <v>1.2622894436939622E-3</v>
      </c>
      <c r="AE153" s="307">
        <f t="shared" si="65"/>
        <v>1</v>
      </c>
      <c r="AF153" s="179">
        <f t="shared" si="66"/>
        <v>0.90089319110554134</v>
      </c>
      <c r="AG153" s="837">
        <f t="shared" si="74"/>
        <v>0</v>
      </c>
      <c r="AH153" s="178">
        <f t="shared" si="67"/>
        <v>6</v>
      </c>
      <c r="AI153" s="227">
        <f t="shared" si="68"/>
        <v>0.90089319110554134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45066</v>
      </c>
      <c r="B154" s="1139">
        <f>IF(t&gt;Tmaj,'2022'!Wh/'2022'!Env_an*'2023'!Env_an,0.001*[7]mois!$B$227)</f>
        <v>48.775965666002804</v>
      </c>
      <c r="C154" s="866"/>
      <c r="D154" s="395">
        <f t="shared" si="50"/>
        <v>50.806943603250083</v>
      </c>
      <c r="E154" s="387">
        <f t="shared" si="72"/>
        <v>52.486882911815854</v>
      </c>
      <c r="F154" s="387">
        <f t="shared" si="51"/>
        <v>52.532464291829527</v>
      </c>
      <c r="G154" s="110">
        <f t="shared" si="73"/>
        <v>0.8147094485252665</v>
      </c>
      <c r="H154" s="414" t="b">
        <f>Wh_hp&gt;='2022'!Maxi_hp</f>
        <v>0</v>
      </c>
      <c r="I154" s="392">
        <f>IF(H154,Wh_hp,'2022'!Maxi_hp)</f>
        <v>63.57811157089013</v>
      </c>
      <c r="J154" s="85">
        <f>IF(H154,An,'2022'!An_max)</f>
        <v>2021</v>
      </c>
      <c r="K154" s="199">
        <f t="shared" si="52"/>
        <v>45066</v>
      </c>
      <c r="L154" s="147">
        <f>IF(t&lt;Tvie,1-EXP((T0-t)*PertePVj)+'2022'!Pspv,1-EXP((T0-t)*PertePVj)+Pspv)</f>
        <v>3.9974416747189601E-2</v>
      </c>
      <c r="M154" s="870"/>
      <c r="N154" s="870"/>
      <c r="O154" s="48">
        <f>IF(t&lt;Tnet,'2022'!Resal+('2022'!Salim-'2022'!Resal)*(1-EXP(('2022'!Tnet-t)/('2022'!Tau_j))),Resal+(Salim-Resal)*(1-EXP((Tnet-t)/(Tau_j))))*Salcycl</f>
        <v>3.2006840859425123E-2</v>
      </c>
      <c r="P154" s="171">
        <f>(INDEX(Models!$BJ154:$BT154,,T154)*(1-R154)+INDEX(Models!$BJ154:$BT154,,T154+1)*R154-ERP_i)*Q154*Ramure*Pc/MaxiM</f>
        <v>1.1794541801210792E-3</v>
      </c>
      <c r="Q154" s="307">
        <f t="shared" si="53"/>
        <v>1</v>
      </c>
      <c r="R154" s="179">
        <f t="shared" si="54"/>
        <v>0.90685581253626635</v>
      </c>
      <c r="S154" s="837">
        <f t="shared" si="55"/>
        <v>0</v>
      </c>
      <c r="T154" s="178">
        <f t="shared" si="56"/>
        <v>6</v>
      </c>
      <c r="U154" s="253">
        <f t="shared" si="57"/>
        <v>0.90685581253626635</v>
      </c>
      <c r="V154" s="385">
        <f t="shared" si="58"/>
        <v>59.850472425237172</v>
      </c>
      <c r="W154" s="404">
        <f t="shared" si="59"/>
        <v>48.775965666002804</v>
      </c>
      <c r="X154" s="157">
        <f t="shared" si="60"/>
        <v>45066</v>
      </c>
      <c r="Y154" s="387">
        <f t="shared" si="61"/>
        <v>46.896720735869515</v>
      </c>
      <c r="Z154" s="387">
        <f t="shared" si="62"/>
        <v>48.849448966736404</v>
      </c>
      <c r="AA154" s="388">
        <f t="shared" si="63"/>
        <v>52.486882911815854</v>
      </c>
      <c r="AB154" s="199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6.9301771095661505E-2</v>
      </c>
      <c r="AD154" s="233">
        <f>(INDEX(Models!$BJ154:$BT154,,AH154)*(1-AF154)+INDEX(Models!$BJ154:$BT154,,AH154+1)*AF154-ERP_i)*AE154*Ramure*Pc/MaxiM</f>
        <v>1.1794541801210792E-3</v>
      </c>
      <c r="AE154" s="307">
        <f t="shared" si="65"/>
        <v>1</v>
      </c>
      <c r="AF154" s="179">
        <f t="shared" si="66"/>
        <v>0.90685581253626635</v>
      </c>
      <c r="AG154" s="837">
        <f t="shared" si="74"/>
        <v>0</v>
      </c>
      <c r="AH154" s="178">
        <f t="shared" si="67"/>
        <v>6</v>
      </c>
      <c r="AI154" s="227">
        <f t="shared" si="68"/>
        <v>0.90685581253626635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45067</v>
      </c>
      <c r="B155" s="1139">
        <f>IF(t&gt;Tmaj,'2022'!Wh/'2022'!Env_an*'2023'!Env_an,0.001*[7]mois!$B$228)</f>
        <v>49.486459838359842</v>
      </c>
      <c r="C155" s="866"/>
      <c r="D155" s="395">
        <f t="shared" si="50"/>
        <v>51.548221579365944</v>
      </c>
      <c r="E155" s="387">
        <f t="shared" si="72"/>
        <v>53.270797432146601</v>
      </c>
      <c r="F155" s="387">
        <f t="shared" si="51"/>
        <v>53.315007944549443</v>
      </c>
      <c r="G155" s="110">
        <f t="shared" si="73"/>
        <v>0.82589894058409297</v>
      </c>
      <c r="H155" s="414" t="b">
        <f>Wh_hp&gt;='2022'!Maxi_hp</f>
        <v>0</v>
      </c>
      <c r="I155" s="392">
        <f>IF(H155,Wh_hp,'2022'!Maxi_hp)</f>
        <v>62.178708912121074</v>
      </c>
      <c r="J155" s="85">
        <f>IF(H155,An,'2022'!An_max)</f>
        <v>2020</v>
      </c>
      <c r="K155" s="199">
        <f t="shared" si="52"/>
        <v>45067</v>
      </c>
      <c r="L155" s="147">
        <f>IF(t&lt;Tvie,1-EXP((T0-t)*PertePVj)+'2022'!Pspv,1-EXP((T0-t)*PertePVj)+Pspv)</f>
        <v>3.9996757945019001E-2</v>
      </c>
      <c r="M155" s="870"/>
      <c r="N155" s="870"/>
      <c r="O155" s="48">
        <f>IF(t&lt;Tnet,'2022'!Resal+('2022'!Salim-'2022'!Resal)*(1-EXP(('2022'!Tnet-t)/('2022'!Tau_j))),Resal+(Salim-Resal)*(1-EXP((Tnet-t)/(Tau_j))))*Salcycl</f>
        <v>3.2336213006286973E-2</v>
      </c>
      <c r="P155" s="171">
        <f>(INDEX(Models!$BJ155:$BT155,,T155)*(1-R155)+INDEX(Models!$BJ155:$BT155,,T155+1)*R155-ERP_i)*Q155*Ramure*Pc/MaxiM</f>
        <v>1.1032774421288448E-3</v>
      </c>
      <c r="Q155" s="307">
        <f t="shared" si="53"/>
        <v>1</v>
      </c>
      <c r="R155" s="179">
        <f t="shared" si="54"/>
        <v>0.91291888706558633</v>
      </c>
      <c r="S155" s="837">
        <f t="shared" si="55"/>
        <v>0</v>
      </c>
      <c r="T155" s="178">
        <f t="shared" si="56"/>
        <v>6</v>
      </c>
      <c r="U155" s="253">
        <f t="shared" si="57"/>
        <v>0.91291888706558633</v>
      </c>
      <c r="V155" s="385">
        <f t="shared" si="58"/>
        <v>59.901865246639197</v>
      </c>
      <c r="W155" s="404">
        <f t="shared" si="59"/>
        <v>49.486459838359842</v>
      </c>
      <c r="X155" s="157">
        <f t="shared" si="60"/>
        <v>45067</v>
      </c>
      <c r="Y155" s="387">
        <f t="shared" si="61"/>
        <v>47.580248370450633</v>
      </c>
      <c r="Z155" s="387">
        <f t="shared" si="62"/>
        <v>49.562591339379701</v>
      </c>
      <c r="AA155" s="388">
        <f t="shared" si="63"/>
        <v>53.270797432146601</v>
      </c>
      <c r="AB155" s="199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6.9610485885633816E-2</v>
      </c>
      <c r="AD155" s="233">
        <f>(INDEX(Models!$BJ155:$BT155,,AH155)*(1-AF155)+INDEX(Models!$BJ155:$BT155,,AH155+1)*AF155-ERP_i)*AE155*Ramure*Pc/MaxiM</f>
        <v>1.1032774421288448E-3</v>
      </c>
      <c r="AE155" s="307">
        <f t="shared" si="65"/>
        <v>1</v>
      </c>
      <c r="AF155" s="179">
        <f t="shared" si="66"/>
        <v>0.91291888706558633</v>
      </c>
      <c r="AG155" s="837">
        <f t="shared" si="74"/>
        <v>0</v>
      </c>
      <c r="AH155" s="178">
        <f t="shared" si="67"/>
        <v>6</v>
      </c>
      <c r="AI155" s="227">
        <f t="shared" si="68"/>
        <v>0.91291888706558633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45068</v>
      </c>
      <c r="B156" s="1139">
        <f>IF(t&gt;Tmaj,'2022'!Wh/'2022'!Env_an*'2023'!Env_an,0.001*[7]mois!$B$229)</f>
        <v>35.164972487692978</v>
      </c>
      <c r="C156" s="866"/>
      <c r="D156" s="395">
        <f t="shared" si="50"/>
        <v>36.630908424584156</v>
      </c>
      <c r="E156" s="387">
        <f t="shared" si="72"/>
        <v>37.867901547466822</v>
      </c>
      <c r="F156" s="387">
        <f t="shared" si="51"/>
        <v>37.88395410420771</v>
      </c>
      <c r="G156" s="110">
        <f t="shared" si="73"/>
        <v>0.58623666744876701</v>
      </c>
      <c r="H156" s="414" t="b">
        <f>Wh_hp&gt;='2022'!Maxi_hp</f>
        <v>0</v>
      </c>
      <c r="I156" s="392">
        <f>IF(H156,Wh_hp,'2022'!Maxi_hp)</f>
        <v>63.08837322256813</v>
      </c>
      <c r="J156" s="85">
        <f>IF(H156,An,'2022'!An_max)</f>
        <v>2019</v>
      </c>
      <c r="K156" s="199">
        <f t="shared" si="52"/>
        <v>45068</v>
      </c>
      <c r="L156" s="147">
        <f>IF(t&lt;Tvie,1-EXP((T0-t)*PertePVj)+'2022'!Pspv,1-EXP((T0-t)*PertePVj)+Pspv)</f>
        <v>4.0019098622936178E-2</v>
      </c>
      <c r="M156" s="870"/>
      <c r="N156" s="870"/>
      <c r="O156" s="48">
        <f>IF(t&lt;Tnet,'2022'!Resal+('2022'!Salim-'2022'!Resal)*(1-EXP(('2022'!Tnet-t)/('2022'!Tau_j))),Resal+(Salim-Resal)*(1-EXP((Tnet-t)/(Tau_j))))*Salcycl</f>
        <v>3.2666006626538575E-2</v>
      </c>
      <c r="P156" s="171">
        <f>(INDEX(Models!$BJ156:$BT156,,T156)*(1-R156)+INDEX(Models!$BJ156:$BT156,,T156+1)*R156-ERP_i)*Q156*Ramure*Pc/MaxiM</f>
        <v>1.0349462678444922E-3</v>
      </c>
      <c r="Q156" s="307">
        <f t="shared" si="53"/>
        <v>1</v>
      </c>
      <c r="R156" s="179">
        <f t="shared" si="54"/>
        <v>0.91907972740936417</v>
      </c>
      <c r="S156" s="837">
        <f t="shared" si="55"/>
        <v>0</v>
      </c>
      <c r="T156" s="178">
        <f t="shared" si="56"/>
        <v>6</v>
      </c>
      <c r="U156" s="253">
        <f t="shared" si="57"/>
        <v>0.91907972740936417</v>
      </c>
      <c r="V156" s="385">
        <f t="shared" si="58"/>
        <v>59.947580754030902</v>
      </c>
      <c r="W156" s="404">
        <f t="shared" si="59"/>
        <v>35.164972487692978</v>
      </c>
      <c r="X156" s="157">
        <f t="shared" si="60"/>
        <v>45068</v>
      </c>
      <c r="Y156" s="387">
        <f t="shared" si="61"/>
        <v>33.81070592874773</v>
      </c>
      <c r="Z156" s="387">
        <f t="shared" si="62"/>
        <v>35.220186026875417</v>
      </c>
      <c r="AA156" s="388">
        <f t="shared" si="63"/>
        <v>37.867901547466822</v>
      </c>
      <c r="AB156" s="199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6.9919784630065401E-2</v>
      </c>
      <c r="AD156" s="233">
        <f>(INDEX(Models!$BJ156:$BT156,,AH156)*(1-AF156)+INDEX(Models!$BJ156:$BT156,,AH156+1)*AF156-ERP_i)*AE156*Ramure*Pc/MaxiM</f>
        <v>1.0349462678444922E-3</v>
      </c>
      <c r="AE156" s="307">
        <f t="shared" si="65"/>
        <v>1</v>
      </c>
      <c r="AF156" s="179">
        <f t="shared" si="66"/>
        <v>0.91907972740936417</v>
      </c>
      <c r="AG156" s="837">
        <f t="shared" si="74"/>
        <v>0</v>
      </c>
      <c r="AH156" s="178">
        <f t="shared" si="67"/>
        <v>6</v>
      </c>
      <c r="AI156" s="227">
        <f t="shared" si="68"/>
        <v>0.91907972740936417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45069</v>
      </c>
      <c r="B157" s="1139">
        <f>IF(t&gt;Tmaj,'2022'!Wh/'2022'!Env_an*'2023'!Env_an,0.001*[7]mois!$B$230)</f>
        <v>18.147259041659588</v>
      </c>
      <c r="C157" s="866"/>
      <c r="D157" s="395">
        <f t="shared" si="50"/>
        <v>18.904210842824785</v>
      </c>
      <c r="E157" s="387">
        <f t="shared" si="72"/>
        <v>19.54926169043646</v>
      </c>
      <c r="F157" s="387">
        <f t="shared" si="51"/>
        <v>19.549329749875639</v>
      </c>
      <c r="G157" s="110">
        <f t="shared" si="73"/>
        <v>0.3022213865779067</v>
      </c>
      <c r="H157" s="414" t="b">
        <f>Wh_hp&gt;='2022'!Maxi_hp</f>
        <v>0</v>
      </c>
      <c r="I157" s="392">
        <f>IF(H157,Wh_hp,'2022'!Maxi_hp)</f>
        <v>57.176818430303342</v>
      </c>
      <c r="J157" s="85">
        <f>IF(H157,An,'2022'!An_max)</f>
        <v>2020</v>
      </c>
      <c r="K157" s="199">
        <f t="shared" si="52"/>
        <v>45069</v>
      </c>
      <c r="L157" s="147">
        <f>IF(t&lt;Tvie,1-EXP((T0-t)*PertePVj)+'2022'!Pspv,1-EXP((T0-t)*PertePVj)+Pspv)</f>
        <v>4.0041438780953009E-2</v>
      </c>
      <c r="M157" s="870"/>
      <c r="N157" s="870"/>
      <c r="O157" s="48">
        <f>IF(t&lt;Tnet,'2022'!Resal+('2022'!Salim-'2022'!Resal)*(1-EXP(('2022'!Tnet-t)/('2022'!Tau_j))),Resal+(Salim-Resal)*(1-EXP((Tnet-t)/(Tau_j))))*Salcycl</f>
        <v>3.2996174373543352E-2</v>
      </c>
      <c r="P157" s="171">
        <f>(INDEX(Models!$BJ157:$BT157,,T157)*(1-R157)+INDEX(Models!$BJ157:$BT157,,T157+1)*R157-ERP_i)*Q157*Ramure*Pc/MaxiM</f>
        <v>9.6951371235218437E-4</v>
      </c>
      <c r="Q157" s="307">
        <f t="shared" si="53"/>
        <v>1</v>
      </c>
      <c r="R157" s="179">
        <f t="shared" si="54"/>
        <v>0.92533539127384545</v>
      </c>
      <c r="S157" s="837">
        <f t="shared" si="55"/>
        <v>0</v>
      </c>
      <c r="T157" s="178">
        <f t="shared" si="56"/>
        <v>6</v>
      </c>
      <c r="U157" s="253">
        <f t="shared" si="57"/>
        <v>0.92533539127384545</v>
      </c>
      <c r="V157" s="385">
        <f t="shared" si="58"/>
        <v>59.988236926814963</v>
      </c>
      <c r="W157" s="404">
        <f t="shared" si="59"/>
        <v>18.147259041659588</v>
      </c>
      <c r="X157" s="157">
        <f t="shared" si="60"/>
        <v>45069</v>
      </c>
      <c r="Y157" s="387">
        <f t="shared" si="61"/>
        <v>17.448519390030476</v>
      </c>
      <c r="Z157" s="387">
        <f t="shared" si="62"/>
        <v>18.176325619589957</v>
      </c>
      <c r="AA157" s="388">
        <f t="shared" si="63"/>
        <v>19.54926169043646</v>
      </c>
      <c r="AB157" s="199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7.0229561227785217E-2</v>
      </c>
      <c r="AD157" s="233">
        <f>(INDEX(Models!$BJ157:$BT157,,AH157)*(1-AF157)+INDEX(Models!$BJ157:$BT157,,AH157+1)*AF157-ERP_i)*AE157*Ramure*Pc/MaxiM</f>
        <v>9.6951371235218437E-4</v>
      </c>
      <c r="AE157" s="307">
        <f t="shared" si="65"/>
        <v>1</v>
      </c>
      <c r="AF157" s="179">
        <f t="shared" si="66"/>
        <v>0.92533539127384545</v>
      </c>
      <c r="AG157" s="837">
        <f t="shared" si="74"/>
        <v>0</v>
      </c>
      <c r="AH157" s="178">
        <f t="shared" si="67"/>
        <v>6</v>
      </c>
      <c r="AI157" s="227">
        <f t="shared" si="68"/>
        <v>0.92533539127384545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45070</v>
      </c>
      <c r="B158" s="1139">
        <f>IF(t&gt;Tmaj,'2022'!Wh/'2022'!Env_an*'2023'!Env_an,0.001*[7]mois!$B$231)</f>
        <v>15.120031788366472</v>
      </c>
      <c r="C158" s="866"/>
      <c r="D158" s="395">
        <f t="shared" si="50"/>
        <v>15.75107954929058</v>
      </c>
      <c r="E158" s="387">
        <f t="shared" si="72"/>
        <v>16.294107839088298</v>
      </c>
      <c r="F158" s="387">
        <f t="shared" si="51"/>
        <v>16.294107839088298</v>
      </c>
      <c r="G158" s="110">
        <f t="shared" si="73"/>
        <v>0.2516706510263057</v>
      </c>
      <c r="H158" s="414" t="b">
        <f>Wh_hp&gt;='2022'!Maxi_hp</f>
        <v>0</v>
      </c>
      <c r="I158" s="392">
        <f>IF(H158,Wh_hp,'2022'!Maxi_hp)</f>
        <v>28.621272020184886</v>
      </c>
      <c r="J158" s="85">
        <f>IF(H158,An,'2022'!An_max)</f>
        <v>2021</v>
      </c>
      <c r="K158" s="199">
        <f t="shared" si="52"/>
        <v>45070</v>
      </c>
      <c r="L158" s="147">
        <f>IF(t&lt;Tvie,1-EXP((T0-t)*PertePVj)+'2022'!Pspv,1-EXP((T0-t)*PertePVj)+Pspv)</f>
        <v>4.0063778419081819E-2</v>
      </c>
      <c r="M158" s="870"/>
      <c r="N158" s="870"/>
      <c r="O158" s="48">
        <f>IF(t&lt;Tnet,'2022'!Resal+('2022'!Salim-'2022'!Resal)*(1-EXP(('2022'!Tnet-t)/('2022'!Tau_j))),Resal+(Salim-Resal)*(1-EXP((Tnet-t)/(Tau_j))))*Salcycl</f>
        <v>3.3326666004691238E-2</v>
      </c>
      <c r="P158" s="171">
        <f>(INDEX(Models!$BJ158:$BT158,,T158)*(1-R158)+INDEX(Models!$BJ158:$BT158,,T158+1)*R158-ERP_i)*Q158*Ramure*Pc/MaxiM</f>
        <v>9.0696150782455006E-4</v>
      </c>
      <c r="Q158" s="307">
        <f t="shared" si="53"/>
        <v>1</v>
      </c>
      <c r="R158" s="179">
        <f t="shared" si="54"/>
        <v>0.93168268261700671</v>
      </c>
      <c r="S158" s="837">
        <f t="shared" si="55"/>
        <v>0</v>
      </c>
      <c r="T158" s="178">
        <f t="shared" si="56"/>
        <v>6</v>
      </c>
      <c r="U158" s="253">
        <f t="shared" si="57"/>
        <v>0.93168268261700671</v>
      </c>
      <c r="V158" s="385">
        <f t="shared" si="58"/>
        <v>60.024156332628408</v>
      </c>
      <c r="W158" s="404">
        <f t="shared" si="59"/>
        <v>15.120031788366472</v>
      </c>
      <c r="X158" s="157">
        <f t="shared" si="60"/>
        <v>45070</v>
      </c>
      <c r="Y158" s="387">
        <f t="shared" si="61"/>
        <v>14.53797130715698</v>
      </c>
      <c r="Z158" s="387">
        <f t="shared" si="62"/>
        <v>15.144726264432867</v>
      </c>
      <c r="AA158" s="388">
        <f t="shared" si="63"/>
        <v>16.294107839088298</v>
      </c>
      <c r="AB158" s="199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7.0539705886698154E-2</v>
      </c>
      <c r="AD158" s="233">
        <f>(INDEX(Models!$BJ158:$BT158,,AH158)*(1-AF158)+INDEX(Models!$BJ158:$BT158,,AH158+1)*AF158-ERP_i)*AE158*Ramure*Pc/MaxiM</f>
        <v>9.0696150782455006E-4</v>
      </c>
      <c r="AE158" s="307">
        <f t="shared" si="65"/>
        <v>1</v>
      </c>
      <c r="AF158" s="179">
        <f t="shared" si="66"/>
        <v>0.93168268261700671</v>
      </c>
      <c r="AG158" s="837">
        <f t="shared" si="74"/>
        <v>0</v>
      </c>
      <c r="AH158" s="178">
        <f t="shared" si="67"/>
        <v>6</v>
      </c>
      <c r="AI158" s="227">
        <f t="shared" si="68"/>
        <v>0.93168268261700671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45071</v>
      </c>
      <c r="B159" s="1139">
        <f>IF(t&gt;Tmaj,'2022'!Wh/'2022'!Env_an*'2023'!Env_an,0.001*[7]mois!$B$232)</f>
        <v>42.065195705322125</v>
      </c>
      <c r="C159" s="866"/>
      <c r="D159" s="395">
        <f t="shared" si="50"/>
        <v>43.821843265151642</v>
      </c>
      <c r="E159" s="387">
        <f t="shared" si="72"/>
        <v>45.348145220492</v>
      </c>
      <c r="F159" s="387">
        <f t="shared" si="51"/>
        <v>45.370135639762182</v>
      </c>
      <c r="G159" s="110">
        <f t="shared" si="73"/>
        <v>0.70018271743079685</v>
      </c>
      <c r="H159" s="414" t="b">
        <f>Wh_hp&gt;='2022'!Maxi_hp</f>
        <v>0</v>
      </c>
      <c r="I159" s="392">
        <f>IF(H159,Wh_hp,'2022'!Maxi_hp)</f>
        <v>59.3893737120083</v>
      </c>
      <c r="J159" s="85">
        <f>IF(H159,An,'2022'!An_max)</f>
        <v>2020</v>
      </c>
      <c r="K159" s="199">
        <f t="shared" si="52"/>
        <v>45071</v>
      </c>
      <c r="L159" s="147">
        <f>IF(t&lt;Tvie,1-EXP((T0-t)*PertePVj)+'2022'!Pspv,1-EXP((T0-t)*PertePVj)+Pspv)</f>
        <v>4.0086117537334487E-2</v>
      </c>
      <c r="M159" s="870"/>
      <c r="N159" s="870"/>
      <c r="O159" s="48">
        <f>IF(t&lt;Tnet,'2022'!Resal+('2022'!Salim-'2022'!Resal)*(1-EXP(('2022'!Tnet-t)/('2022'!Tau_j))),Resal+(Salim-Resal)*(1-EXP((Tnet-t)/(Tau_j))))*Salcycl</f>
        <v>3.3657428499427412E-2</v>
      </c>
      <c r="P159" s="171">
        <f>(INDEX(Models!$BJ159:$BT159,,T159)*(1-R159)+INDEX(Models!$BJ159:$BT159,,T159+1)*R159-ERP_i)*Q159*Ramure*Pc/MaxiM</f>
        <v>8.4728101568643703E-4</v>
      </c>
      <c r="Q159" s="307">
        <f t="shared" si="53"/>
        <v>1</v>
      </c>
      <c r="R159" s="179">
        <f t="shared" si="54"/>
        <v>0.93811815420181066</v>
      </c>
      <c r="S159" s="837">
        <f t="shared" si="55"/>
        <v>0</v>
      </c>
      <c r="T159" s="178">
        <f t="shared" si="56"/>
        <v>6</v>
      </c>
      <c r="U159" s="253">
        <f t="shared" si="57"/>
        <v>0.93811815420181066</v>
      </c>
      <c r="V159" s="385">
        <f t="shared" si="58"/>
        <v>60.055660859237662</v>
      </c>
      <c r="W159" s="404">
        <f t="shared" si="59"/>
        <v>42.065195705322125</v>
      </c>
      <c r="X159" s="157">
        <f t="shared" si="60"/>
        <v>45071</v>
      </c>
      <c r="Y159" s="387">
        <f t="shared" si="61"/>
        <v>40.446186795002859</v>
      </c>
      <c r="Z159" s="387">
        <f t="shared" si="62"/>
        <v>42.135224350790608</v>
      </c>
      <c r="AA159" s="388">
        <f t="shared" si="63"/>
        <v>45.348145220492</v>
      </c>
      <c r="AB159" s="199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7.0850105425029231E-2</v>
      </c>
      <c r="AD159" s="233">
        <f>(INDEX(Models!$BJ159:$BT159,,AH159)*(1-AF159)+INDEX(Models!$BJ159:$BT159,,AH159+1)*AF159-ERP_i)*AE159*Ramure*Pc/MaxiM</f>
        <v>8.4728101568643703E-4</v>
      </c>
      <c r="AE159" s="307">
        <f t="shared" si="65"/>
        <v>1</v>
      </c>
      <c r="AF159" s="179">
        <f t="shared" si="66"/>
        <v>0.93811815420181066</v>
      </c>
      <c r="AG159" s="837">
        <f t="shared" si="74"/>
        <v>0</v>
      </c>
      <c r="AH159" s="178">
        <f t="shared" si="67"/>
        <v>6</v>
      </c>
      <c r="AI159" s="227">
        <f t="shared" si="68"/>
        <v>0.93811815420181066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45072</v>
      </c>
      <c r="B160" s="1139">
        <f>IF(t&gt;Tmaj,'2022'!Wh/'2022'!Env_an*'2023'!Env_an,0.001*[7]mois!$B$233)</f>
        <v>22.092162822665649</v>
      </c>
      <c r="C160" s="866"/>
      <c r="D160" s="395">
        <f t="shared" si="50"/>
        <v>23.01526976029842</v>
      </c>
      <c r="E160" s="387">
        <f t="shared" si="72"/>
        <v>23.825045069747599</v>
      </c>
      <c r="F160" s="387">
        <f t="shared" si="51"/>
        <v>23.826866447890982</v>
      </c>
      <c r="G160" s="110">
        <f t="shared" si="73"/>
        <v>0.36743106679311338</v>
      </c>
      <c r="H160" s="414" t="b">
        <f>Wh_hp&gt;='2022'!Maxi_hp</f>
        <v>0</v>
      </c>
      <c r="I160" s="392">
        <f>IF(H160,Wh_hp,'2022'!Maxi_hp)</f>
        <v>63.356163340026761</v>
      </c>
      <c r="J160" s="85">
        <f>IF(H160,An,'2022'!An_max)</f>
        <v>2020</v>
      </c>
      <c r="K160" s="199">
        <f t="shared" si="52"/>
        <v>45072</v>
      </c>
      <c r="L160" s="147">
        <f>IF(t&lt;Tvie,1-EXP((T0-t)*PertePVj)+'2022'!Pspv,1-EXP((T0-t)*PertePVj)+Pspv)</f>
        <v>4.0108456135723336E-2</v>
      </c>
      <c r="M160" s="870"/>
      <c r="N160" s="870"/>
      <c r="O160" s="48">
        <f>IF(t&lt;Tnet,'2022'!Resal+('2022'!Salim-'2022'!Resal)*(1-EXP(('2022'!Tnet-t)/('2022'!Tau_j))),Resal+(Salim-Resal)*(1-EXP((Tnet-t)/(Tau_j))))*Salcycl</f>
        <v>3.3988406195185422E-2</v>
      </c>
      <c r="P160" s="171">
        <f>(INDEX(Models!$BJ160:$BT160,,T160)*(1-R160)+INDEX(Models!$BJ160:$BT160,,T160+1)*R160-ERP_i)*Q160*Ramure*Pc/MaxiM</f>
        <v>7.9046643425279646E-4</v>
      </c>
      <c r="Q160" s="307">
        <f t="shared" si="53"/>
        <v>1</v>
      </c>
      <c r="R160" s="179">
        <f t="shared" si="54"/>
        <v>0.94463811147897592</v>
      </c>
      <c r="S160" s="837">
        <f t="shared" si="55"/>
        <v>0</v>
      </c>
      <c r="T160" s="178">
        <f t="shared" si="56"/>
        <v>6</v>
      </c>
      <c r="U160" s="253">
        <f t="shared" si="57"/>
        <v>0.94463811147897592</v>
      </c>
      <c r="V160" s="385">
        <f t="shared" si="58"/>
        <v>60.08307209794345</v>
      </c>
      <c r="W160" s="404">
        <f t="shared" si="59"/>
        <v>22.092162822665649</v>
      </c>
      <c r="X160" s="157">
        <f t="shared" si="60"/>
        <v>45072</v>
      </c>
      <c r="Y160" s="387">
        <f t="shared" si="61"/>
        <v>21.242053852467897</v>
      </c>
      <c r="Z160" s="387">
        <f t="shared" si="62"/>
        <v>22.129639528808482</v>
      </c>
      <c r="AA160" s="388">
        <f t="shared" si="63"/>
        <v>23.825045069747599</v>
      </c>
      <c r="AB160" s="199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7.1160643599029169E-2</v>
      </c>
      <c r="AD160" s="233">
        <f>(INDEX(Models!$BJ160:$BT160,,AH160)*(1-AF160)+INDEX(Models!$BJ160:$BT160,,AH160+1)*AF160-ERP_i)*AE160*Ramure*Pc/MaxiM</f>
        <v>7.9046643425279646E-4</v>
      </c>
      <c r="AE160" s="307">
        <f t="shared" si="65"/>
        <v>1</v>
      </c>
      <c r="AF160" s="179">
        <f t="shared" si="66"/>
        <v>0.94463811147897592</v>
      </c>
      <c r="AG160" s="837">
        <f t="shared" si="74"/>
        <v>0</v>
      </c>
      <c r="AH160" s="178">
        <f t="shared" si="67"/>
        <v>6</v>
      </c>
      <c r="AI160" s="227">
        <f t="shared" si="68"/>
        <v>0.94463811147897592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45073</v>
      </c>
      <c r="B161" s="1139">
        <f>IF(t&gt;Tmaj,'2022'!Wh/'2022'!Env_an*'2023'!Env_an,0.001*[7]mois!$B$234)</f>
        <v>41.876338372603456</v>
      </c>
      <c r="C161" s="866"/>
      <c r="D161" s="395">
        <f t="shared" si="50"/>
        <v>43.627129738289597</v>
      </c>
      <c r="E161" s="387">
        <f t="shared" si="72"/>
        <v>45.177604381474815</v>
      </c>
      <c r="F161" s="387">
        <f t="shared" si="51"/>
        <v>45.196469082295614</v>
      </c>
      <c r="G161" s="110">
        <f t="shared" si="73"/>
        <v>0.69647745198837707</v>
      </c>
      <c r="H161" s="414" t="b">
        <f>Wh_hp&gt;='2022'!Maxi_hp</f>
        <v>0</v>
      </c>
      <c r="I161" s="392">
        <f>IF(H161,Wh_hp,'2022'!Maxi_hp)</f>
        <v>62.931716158042121</v>
      </c>
      <c r="J161" s="85">
        <f>IF(H161,An,'2022'!An_max)</f>
        <v>2021</v>
      </c>
      <c r="K161" s="199">
        <f t="shared" si="52"/>
        <v>45073</v>
      </c>
      <c r="L161" s="147">
        <f>IF(t&lt;Tvie,1-EXP((T0-t)*PertePVj)+'2022'!Pspv,1-EXP((T0-t)*PertePVj)+Pspv)</f>
        <v>4.0130794214260357E-2</v>
      </c>
      <c r="M161" s="870"/>
      <c r="N161" s="870"/>
      <c r="O161" s="48">
        <f>IF(t&lt;Tnet,'2022'!Resal+('2022'!Salim-'2022'!Resal)*(1-EXP(('2022'!Tnet-t)/('2022'!Tau_j))),Resal+(Salim-Resal)*(1-EXP((Tnet-t)/(Tau_j))))*Salcycl</f>
        <v>3.4319540940975432E-2</v>
      </c>
      <c r="P161" s="171">
        <f>(INDEX(Models!$BJ161:$BT161,,T161)*(1-R161)+INDEX(Models!$BJ161:$BT161,,T161+1)*R161-ERP_i)*Q161*Ramure*Pc/MaxiM</f>
        <v>7.3651464889996823E-4</v>
      </c>
      <c r="Q161" s="307">
        <f t="shared" si="53"/>
        <v>1</v>
      </c>
      <c r="R161" s="179">
        <f t="shared" si="54"/>
        <v>0.95123861782634211</v>
      </c>
      <c r="S161" s="837">
        <f t="shared" si="55"/>
        <v>0</v>
      </c>
      <c r="T161" s="178">
        <f t="shared" si="56"/>
        <v>6</v>
      </c>
      <c r="U161" s="253">
        <f t="shared" si="57"/>
        <v>0.95123861782634211</v>
      </c>
      <c r="V161" s="385">
        <f t="shared" si="58"/>
        <v>60.106711332735586</v>
      </c>
      <c r="W161" s="404">
        <f t="shared" si="59"/>
        <v>41.876338372603456</v>
      </c>
      <c r="X161" s="157">
        <f t="shared" si="60"/>
        <v>45073</v>
      </c>
      <c r="Y161" s="387">
        <f t="shared" si="61"/>
        <v>40.265271800598285</v>
      </c>
      <c r="Z161" s="387">
        <f t="shared" si="62"/>
        <v>41.948706717429822</v>
      </c>
      <c r="AA161" s="388">
        <f t="shared" si="63"/>
        <v>45.177604381474815</v>
      </c>
      <c r="AB161" s="199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7.1471201455936648E-2</v>
      </c>
      <c r="AD161" s="233">
        <f>(INDEX(Models!$BJ161:$BT161,,AH161)*(1-AF161)+INDEX(Models!$BJ161:$BT161,,AH161+1)*AF161-ERP_i)*AE161*Ramure*Pc/MaxiM</f>
        <v>7.3651464889996823E-4</v>
      </c>
      <c r="AE161" s="307">
        <f t="shared" si="65"/>
        <v>1</v>
      </c>
      <c r="AF161" s="179">
        <f t="shared" si="66"/>
        <v>0.95123861782634211</v>
      </c>
      <c r="AG161" s="837">
        <f t="shared" si="74"/>
        <v>0</v>
      </c>
      <c r="AH161" s="178">
        <f t="shared" si="67"/>
        <v>6</v>
      </c>
      <c r="AI161" s="227">
        <f t="shared" si="68"/>
        <v>0.95123861782634211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45074</v>
      </c>
      <c r="B162" s="1139">
        <f>IF(t&gt;Tmaj,'2022'!Wh/'2022'!Env_an*'2023'!Env_an,0.001*[7]mois!$B$235)</f>
        <v>55.912257334709786</v>
      </c>
      <c r="C162" s="866"/>
      <c r="D162" s="395">
        <f t="shared" si="50"/>
        <v>58.251226508647932</v>
      </c>
      <c r="E162" s="387">
        <f t="shared" si="72"/>
        <v>60.342127838561908</v>
      </c>
      <c r="F162" s="387">
        <f t="shared" si="51"/>
        <v>60.379369156173233</v>
      </c>
      <c r="G162" s="110">
        <f t="shared" si="73"/>
        <v>0.92984035092920025</v>
      </c>
      <c r="H162" s="414" t="b">
        <f>Wh_hp&gt;='2022'!Maxi_hp</f>
        <v>0</v>
      </c>
      <c r="I162" s="392">
        <f>IF(H162,Wh_hp,'2022'!Maxi_hp)</f>
        <v>62.080985179253567</v>
      </c>
      <c r="J162" s="85">
        <f>IF(H162,An,'2022'!An_max)</f>
        <v>2020</v>
      </c>
      <c r="K162" s="199">
        <f t="shared" si="52"/>
        <v>45074</v>
      </c>
      <c r="L162" s="147">
        <f>IF(t&lt;Tvie,1-EXP((T0-t)*PertePVj)+'2022'!Pspv,1-EXP((T0-t)*PertePVj)+Pspv)</f>
        <v>4.0153131772957651E-2</v>
      </c>
      <c r="M162" s="870"/>
      <c r="N162" s="870"/>
      <c r="O162" s="48">
        <f>IF(t&lt;Tnet,'2022'!Resal+('2022'!Salim-'2022'!Resal)*(1-EXP(('2022'!Tnet-t)/('2022'!Tau_j))),Resal+(Salim-Resal)*(1-EXP((Tnet-t)/(Tau_j))))*Salcycl</f>
        <v>3.465077226822242E-2</v>
      </c>
      <c r="P162" s="171">
        <f>(INDEX(Models!$BJ162:$BT162,,T162)*(1-R162)+INDEX(Models!$BJ162:$BT162,,T162+1)*R162-ERP_i)*Q162*Ramure*Pc/MaxiM</f>
        <v>6.8542508110201912E-4</v>
      </c>
      <c r="Q162" s="307">
        <f t="shared" si="53"/>
        <v>1</v>
      </c>
      <c r="R162" s="179">
        <f t="shared" si="54"/>
        <v>0.95791550116050139</v>
      </c>
      <c r="S162" s="837">
        <f t="shared" si="55"/>
        <v>0</v>
      </c>
      <c r="T162" s="178">
        <f t="shared" si="56"/>
        <v>6</v>
      </c>
      <c r="U162" s="253">
        <f t="shared" si="57"/>
        <v>0.95791550116050139</v>
      </c>
      <c r="V162" s="385">
        <f t="shared" si="58"/>
        <v>60.126899526369058</v>
      </c>
      <c r="W162" s="404">
        <f t="shared" si="59"/>
        <v>55.912257334709786</v>
      </c>
      <c r="X162" s="157">
        <f t="shared" si="60"/>
        <v>45074</v>
      </c>
      <c r="Y162" s="387">
        <f t="shared" si="61"/>
        <v>53.76166606443352</v>
      </c>
      <c r="Z162" s="387">
        <f t="shared" si="62"/>
        <v>56.010669872516296</v>
      </c>
      <c r="AA162" s="388">
        <f t="shared" si="63"/>
        <v>60.342127838561908</v>
      </c>
      <c r="AB162" s="199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7.1781657710744101E-2</v>
      </c>
      <c r="AD162" s="233">
        <f>(INDEX(Models!$BJ162:$BT162,,AH162)*(1-AF162)+INDEX(Models!$BJ162:$BT162,,AH162+1)*AF162-ERP_i)*AE162*Ramure*Pc/MaxiM</f>
        <v>6.8542508110201912E-4</v>
      </c>
      <c r="AE162" s="307">
        <f t="shared" si="65"/>
        <v>1</v>
      </c>
      <c r="AF162" s="179">
        <f t="shared" si="66"/>
        <v>0.95791550116050139</v>
      </c>
      <c r="AG162" s="837">
        <f t="shared" si="74"/>
        <v>0</v>
      </c>
      <c r="AH162" s="178">
        <f t="shared" si="67"/>
        <v>6</v>
      </c>
      <c r="AI162" s="227">
        <f t="shared" si="68"/>
        <v>0.95791550116050139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45075</v>
      </c>
      <c r="B163" s="1139">
        <f>IF(t&gt;Tmaj,'2022'!Wh/'2022'!Env_an*'2023'!Env_an,0.001*[7]mois!$B$236)</f>
        <v>61.02441000533409</v>
      </c>
      <c r="C163" s="866"/>
      <c r="D163" s="395">
        <f t="shared" si="50"/>
        <v>63.578714673807717</v>
      </c>
      <c r="E163" s="387">
        <f t="shared" si="72"/>
        <v>65.883452069904763</v>
      </c>
      <c r="F163" s="387">
        <f t="shared" si="51"/>
        <v>65.925460607676612</v>
      </c>
      <c r="G163" s="110">
        <f t="shared" si="73"/>
        <v>1.0146599918258508</v>
      </c>
      <c r="H163" s="414" t="b">
        <f>Wh_hp&gt;='2022'!Maxi_hp</f>
        <v>1</v>
      </c>
      <c r="I163" s="392">
        <f>IF(H163,Wh_hp,'2022'!Maxi_hp)</f>
        <v>65.925460607676612</v>
      </c>
      <c r="J163" s="85">
        <f>IF(H163,An,'2022'!An_max)</f>
        <v>2023</v>
      </c>
      <c r="K163" s="199">
        <f t="shared" si="52"/>
        <v>45075</v>
      </c>
      <c r="L163" s="147">
        <f>IF(t&lt;Tvie,1-EXP((T0-t)*PertePVj)+'2022'!Pspv,1-EXP((T0-t)*PertePVj)+Pspv)</f>
        <v>4.017546881182732E-2</v>
      </c>
      <c r="M163" s="870"/>
      <c r="N163" s="870"/>
      <c r="O163" s="48">
        <f>IF(t&lt;Tnet,'2022'!Resal+('2022'!Salim-'2022'!Resal)*(1-EXP(('2022'!Tnet-t)/('2022'!Tau_j))),Resal+(Salim-Resal)*(1-EXP((Tnet-t)/(Tau_j))))*Salcycl</f>
        <v>3.4982037578292643E-2</v>
      </c>
      <c r="P163" s="171">
        <f>(INDEX(Models!$BJ163:$BT163,,T163)*(1-R163)+INDEX(Models!$BJ163:$BT163,,T163+1)*R163-ERP_i)*Q163*Ramure*Pc/MaxiM</f>
        <v>6.3721265478668078E-4</v>
      </c>
      <c r="Q163" s="307">
        <f t="shared" si="53"/>
        <v>1</v>
      </c>
      <c r="R163" s="179">
        <f t="shared" si="54"/>
        <v>0.96466436192421223</v>
      </c>
      <c r="S163" s="837">
        <f t="shared" si="55"/>
        <v>0</v>
      </c>
      <c r="T163" s="178">
        <f t="shared" si="56"/>
        <v>6</v>
      </c>
      <c r="U163" s="253">
        <f t="shared" si="57"/>
        <v>0.96466436192421223</v>
      </c>
      <c r="V163" s="385">
        <f t="shared" si="58"/>
        <v>60.142718247442133</v>
      </c>
      <c r="W163" s="404">
        <f t="shared" si="59"/>
        <v>61.02441000533409</v>
      </c>
      <c r="X163" s="157">
        <f t="shared" si="60"/>
        <v>45075</v>
      </c>
      <c r="Y163" s="387">
        <f t="shared" si="61"/>
        <v>58.677710891500993</v>
      </c>
      <c r="Z163" s="387">
        <f t="shared" si="62"/>
        <v>61.133789546786737</v>
      </c>
      <c r="AA163" s="388">
        <f t="shared" si="63"/>
        <v>65.883452069904763</v>
      </c>
      <c r="AB163" s="199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7.2091889145068824E-2</v>
      </c>
      <c r="AD163" s="233">
        <f>(INDEX(Models!$BJ163:$BT163,,AH163)*(1-AF163)+INDEX(Models!$BJ163:$BT163,,AH163+1)*AF163-ERP_i)*AE163*Ramure*Pc/MaxiM</f>
        <v>6.3721265478668078E-4</v>
      </c>
      <c r="AE163" s="307">
        <f t="shared" si="65"/>
        <v>1</v>
      </c>
      <c r="AF163" s="179">
        <f t="shared" si="66"/>
        <v>0.96466436192421223</v>
      </c>
      <c r="AG163" s="837">
        <f t="shared" si="74"/>
        <v>0</v>
      </c>
      <c r="AH163" s="178">
        <f t="shared" si="67"/>
        <v>6</v>
      </c>
      <c r="AI163" s="227">
        <f t="shared" si="68"/>
        <v>0.96466436192421223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45076</v>
      </c>
      <c r="B164" s="1139">
        <f>IF(t&gt;Tmaj,'2022'!Wh/'2022'!Env_an*'2023'!Env_an,0.001*[7]mois!$B$237)</f>
        <v>52.175097387532439</v>
      </c>
      <c r="C164" s="866"/>
      <c r="D164" s="395">
        <f t="shared" si="50"/>
        <v>54.360260559228294</v>
      </c>
      <c r="E164" s="387">
        <f t="shared" si="72"/>
        <v>56.350169439383897</v>
      </c>
      <c r="F164" s="387">
        <f t="shared" si="51"/>
        <v>56.377295757191291</v>
      </c>
      <c r="G164" s="110">
        <f t="shared" si="73"/>
        <v>0.86727445436590667</v>
      </c>
      <c r="H164" s="414" t="b">
        <f>Wh_hp&gt;='2022'!Maxi_hp</f>
        <v>0</v>
      </c>
      <c r="I164" s="392">
        <f>IF(H164,Wh_hp,'2022'!Maxi_hp)</f>
        <v>63.686724886206711</v>
      </c>
      <c r="J164" s="85">
        <f>IF(H164,An,'2022'!An_max)</f>
        <v>2019</v>
      </c>
      <c r="K164" s="199">
        <f t="shared" si="52"/>
        <v>45076</v>
      </c>
      <c r="L164" s="147">
        <f>IF(t&lt;Tvie,1-EXP((T0-t)*PertePVj)+'2022'!Pspv,1-EXP((T0-t)*PertePVj)+Pspv)</f>
        <v>4.0197805330881464E-2</v>
      </c>
      <c r="M164" s="870"/>
      <c r="N164" s="870"/>
      <c r="O164" s="48">
        <f>IF(t&lt;Tnet,'2022'!Resal+('2022'!Salim-'2022'!Resal)*(1-EXP(('2022'!Tnet-t)/('2022'!Tau_j))),Resal+(Salim-Resal)*(1-EXP((Tnet-t)/(Tau_j))))*Salcycl</f>
        <v>3.5313272345989299E-2</v>
      </c>
      <c r="P164" s="171">
        <f>(INDEX(Models!$BJ164:$BT164,,T164)*(1-R164)+INDEX(Models!$BJ164:$BT164,,T164+1)*R164-ERP_i)*Q164*Ramure*Pc/MaxiM</f>
        <v>5.9363117629020808E-4</v>
      </c>
      <c r="Q164" s="307">
        <f t="shared" si="53"/>
        <v>1</v>
      </c>
      <c r="R164" s="179">
        <f t="shared" si="54"/>
        <v>0.97148058244033475</v>
      </c>
      <c r="S164" s="837">
        <f t="shared" si="55"/>
        <v>0</v>
      </c>
      <c r="T164" s="178">
        <f t="shared" si="56"/>
        <v>6</v>
      </c>
      <c r="U164" s="253">
        <f t="shared" si="57"/>
        <v>0.97148058244033475</v>
      </c>
      <c r="V164" s="385">
        <f t="shared" si="58"/>
        <v>60.153076038507578</v>
      </c>
      <c r="W164" s="404">
        <f t="shared" si="59"/>
        <v>52.175097387532439</v>
      </c>
      <c r="X164" s="157">
        <f t="shared" si="60"/>
        <v>45076</v>
      </c>
      <c r="Y164" s="387">
        <f t="shared" si="61"/>
        <v>50.169165331948875</v>
      </c>
      <c r="Z164" s="387">
        <f t="shared" si="62"/>
        <v>52.270317374346234</v>
      </c>
      <c r="AA164" s="388">
        <f t="shared" si="63"/>
        <v>56.350169439383897</v>
      </c>
      <c r="AB164" s="199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7.2401771026196715E-2</v>
      </c>
      <c r="AD164" s="233">
        <f>(INDEX(Models!$BJ164:$BT164,,AH164)*(1-AF164)+INDEX(Models!$BJ164:$BT164,,AH164+1)*AF164-ERP_i)*AE164*Ramure*Pc/MaxiM</f>
        <v>5.9363117629020808E-4</v>
      </c>
      <c r="AE164" s="307">
        <f t="shared" si="65"/>
        <v>1</v>
      </c>
      <c r="AF164" s="179">
        <f t="shared" si="66"/>
        <v>0.97148058244033475</v>
      </c>
      <c r="AG164" s="837">
        <f t="shared" si="74"/>
        <v>0</v>
      </c>
      <c r="AH164" s="178">
        <f t="shared" si="67"/>
        <v>6</v>
      </c>
      <c r="AI164" s="227">
        <f t="shared" si="68"/>
        <v>0.97148058244033475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45077</v>
      </c>
      <c r="B165" s="1139">
        <f>IF(t&gt;Tmaj,'2022'!Wh/'2022'!Env_an*'2023'!Env_an,0.001*[7]mois!$B$238)</f>
        <v>55.927596979459317</v>
      </c>
      <c r="C165" s="866"/>
      <c r="D165" s="395">
        <f t="shared" si="50"/>
        <v>58.271275932970518</v>
      </c>
      <c r="E165" s="387">
        <f t="shared" si="72"/>
        <v>60.425092733068375</v>
      </c>
      <c r="F165" s="387">
        <f t="shared" si="51"/>
        <v>60.45515808189483</v>
      </c>
      <c r="G165" s="110">
        <f t="shared" si="73"/>
        <v>0.92962215362536704</v>
      </c>
      <c r="H165" s="414" t="b">
        <f>Wh_hp&gt;='2022'!Maxi_hp</f>
        <v>0</v>
      </c>
      <c r="I165" s="392">
        <f>IF(H165,Wh_hp,'2022'!Maxi_hp)</f>
        <v>64.708611084195553</v>
      </c>
      <c r="J165" s="85">
        <f>IF(H165,An,'2022'!An_max)</f>
        <v>2019</v>
      </c>
      <c r="K165" s="199">
        <f t="shared" si="52"/>
        <v>45077</v>
      </c>
      <c r="L165" s="147">
        <f>IF(t&lt;Tvie,1-EXP((T0-t)*PertePVj)+'2022'!Pspv,1-EXP((T0-t)*PertePVj)+Pspv)</f>
        <v>4.0220141330132186E-2</v>
      </c>
      <c r="M165" s="870"/>
      <c r="N165" s="870"/>
      <c r="O165" s="48">
        <f>IF(t&lt;Tnet,'2022'!Resal+('2022'!Salim-'2022'!Resal)*(1-EXP(('2022'!Tnet-t)/('2022'!Tau_j))),Resal+(Salim-Resal)*(1-EXP((Tnet-t)/(Tau_j))))*Salcycl</f>
        <v>3.5644410338143487E-2</v>
      </c>
      <c r="P165" s="171">
        <f>(INDEX(Models!$BJ165:$BT165,,T165)*(1-R165)+INDEX(Models!$BJ165:$BT165,,T165+1)*R165-ERP_i)*Q165*Ramure*Pc/MaxiM</f>
        <v>5.5286015496038921E-4</v>
      </c>
      <c r="Q165" s="307">
        <f t="shared" si="53"/>
        <v>1</v>
      </c>
      <c r="R165" s="179">
        <f t="shared" si="54"/>
        <v>0.97835933760981209</v>
      </c>
      <c r="S165" s="837">
        <f t="shared" si="55"/>
        <v>0</v>
      </c>
      <c r="T165" s="178">
        <f t="shared" si="56"/>
        <v>6</v>
      </c>
      <c r="U165" s="253">
        <f t="shared" si="57"/>
        <v>0.97835933760981209</v>
      </c>
      <c r="V165" s="385">
        <f t="shared" si="58"/>
        <v>60.15830065331653</v>
      </c>
      <c r="W165" s="404">
        <f t="shared" si="59"/>
        <v>55.927596979459317</v>
      </c>
      <c r="X165" s="157">
        <f t="shared" si="60"/>
        <v>45077</v>
      </c>
      <c r="Y165" s="387">
        <f t="shared" si="61"/>
        <v>53.777917711923344</v>
      </c>
      <c r="Z165" s="387">
        <f t="shared" si="62"/>
        <v>56.031513087233009</v>
      </c>
      <c r="AA165" s="388">
        <f t="shared" si="63"/>
        <v>60.425092733068375</v>
      </c>
      <c r="AB165" s="199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7.2711177544141831E-2</v>
      </c>
      <c r="AD165" s="233">
        <f>(INDEX(Models!$BJ165:$BT165,,AH165)*(1-AF165)+INDEX(Models!$BJ165:$BT165,,AH165+1)*AF165-ERP_i)*AE165*Ramure*Pc/MaxiM</f>
        <v>5.5286015496038921E-4</v>
      </c>
      <c r="AE165" s="307">
        <f t="shared" si="65"/>
        <v>1</v>
      </c>
      <c r="AF165" s="179">
        <f t="shared" si="66"/>
        <v>0.97835933760981209</v>
      </c>
      <c r="AG165" s="837">
        <f t="shared" si="74"/>
        <v>0</v>
      </c>
      <c r="AH165" s="178">
        <f t="shared" si="67"/>
        <v>6</v>
      </c>
      <c r="AI165" s="227">
        <f t="shared" si="68"/>
        <v>0.97835933760981209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45078</v>
      </c>
      <c r="B166" s="1139">
        <f>IF(t&gt;Tmaj,'2022'!Wh/'2022'!Env_an*'2023'!Env_an,0.001*'[8]mon-tableau'!$B$202)</f>
        <v>57.51986218432689</v>
      </c>
      <c r="C166" s="866"/>
      <c r="D166" s="395">
        <f t="shared" si="50"/>
        <v>59.931660648119134</v>
      </c>
      <c r="E166" s="387">
        <f t="shared" si="72"/>
        <v>62.168184965270946</v>
      </c>
      <c r="F166" s="387">
        <f t="shared" si="51"/>
        <v>62.198203834320431</v>
      </c>
      <c r="G166" s="110">
        <f t="shared" si="73"/>
        <v>0.95610595181779046</v>
      </c>
      <c r="H166" s="414" t="b">
        <f>Wh_hp&gt;='2022'!Maxi_hp</f>
        <v>0</v>
      </c>
      <c r="I166" s="392">
        <f>IF(H166,Wh_hp,'2022'!Maxi_hp)</f>
        <v>65.140726705313512</v>
      </c>
      <c r="J166" s="85">
        <f>IF(H166,An,'2022'!An_max)</f>
        <v>2019</v>
      </c>
      <c r="K166" s="199">
        <f t="shared" si="52"/>
        <v>45078</v>
      </c>
      <c r="L166" s="147">
        <f>IF(t&lt;Tvie,1-EXP((T0-t)*PertePVj)+'2022'!Pspv,1-EXP((T0-t)*PertePVj)+Pspv)</f>
        <v>4.0242476809591587E-2</v>
      </c>
      <c r="M166" s="870"/>
      <c r="N166" s="870"/>
      <c r="O166" s="48">
        <f>IF(t&lt;Tnet,'2022'!Resal+('2022'!Salim-'2022'!Resal)*(1-EXP(('2022'!Tnet-t)/('2022'!Tau_j))),Resal+(Salim-Resal)*(1-EXP((Tnet-t)/(Tau_j))))*Salcycl</f>
        <v>3.5975383846274543E-2</v>
      </c>
      <c r="P166" s="171">
        <f>(INDEX(Models!$BJ166:$BT166,,T166)*(1-R166)+INDEX(Models!$BJ166:$BT166,,T166+1)*R166-ERP_i)*Q166*Ramure*Pc/MaxiM</f>
        <v>5.148967094401023E-4</v>
      </c>
      <c r="Q166" s="307">
        <f t="shared" si="53"/>
        <v>1</v>
      </c>
      <c r="R166" s="179">
        <f t="shared" si="54"/>
        <v>0.98529560691772744</v>
      </c>
      <c r="S166" s="837">
        <f t="shared" si="55"/>
        <v>0</v>
      </c>
      <c r="T166" s="178">
        <f t="shared" si="56"/>
        <v>6</v>
      </c>
      <c r="U166" s="253">
        <f t="shared" si="57"/>
        <v>0.98529560691772744</v>
      </c>
      <c r="V166" s="385">
        <f t="shared" si="58"/>
        <v>60.158610393363205</v>
      </c>
      <c r="W166" s="404">
        <f t="shared" si="59"/>
        <v>57.51986218432689</v>
      </c>
      <c r="X166" s="157">
        <f t="shared" si="60"/>
        <v>45078</v>
      </c>
      <c r="Y166" s="387">
        <f t="shared" si="61"/>
        <v>55.309544978752633</v>
      </c>
      <c r="Z166" s="387">
        <f t="shared" si="62"/>
        <v>57.628665201699754</v>
      </c>
      <c r="AA166" s="388">
        <f t="shared" si="63"/>
        <v>62.168184965270946</v>
      </c>
      <c r="AB166" s="199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7.3019982264354452E-2</v>
      </c>
      <c r="AD166" s="233">
        <f>(INDEX(Models!$BJ166:$BT166,,AH166)*(1-AF166)+INDEX(Models!$BJ166:$BT166,,AH166+1)*AF166-ERP_i)*AE166*Ramure*Pc/MaxiM</f>
        <v>5.148967094401023E-4</v>
      </c>
      <c r="AE166" s="307">
        <f t="shared" si="65"/>
        <v>1</v>
      </c>
      <c r="AF166" s="179">
        <f t="shared" si="66"/>
        <v>0.98529560691772744</v>
      </c>
      <c r="AG166" s="837">
        <f t="shared" si="74"/>
        <v>0</v>
      </c>
      <c r="AH166" s="178">
        <f t="shared" si="67"/>
        <v>6</v>
      </c>
      <c r="AI166" s="227">
        <f t="shared" si="68"/>
        <v>0.98529560691772744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45079</v>
      </c>
      <c r="B167" s="1139">
        <f>IF(t&gt;Tmaj,'2022'!Wh/'2022'!Env_an*'2023'!Env_an,0.001*'[8]mon-tableau'!$B$203)</f>
        <v>45.174211560749519</v>
      </c>
      <c r="C167" s="866"/>
      <c r="D167" s="395">
        <f t="shared" si="50"/>
        <v>47.069454277307656</v>
      </c>
      <c r="E167" s="387">
        <f t="shared" si="72"/>
        <v>48.842745031611621</v>
      </c>
      <c r="F167" s="387">
        <f t="shared" si="51"/>
        <v>48.857845590921727</v>
      </c>
      <c r="G167" s="110">
        <f t="shared" si="73"/>
        <v>0.75084502566227063</v>
      </c>
      <c r="H167" s="414" t="b">
        <f>Wh_hp&gt;='2022'!Maxi_hp</f>
        <v>0</v>
      </c>
      <c r="I167" s="392">
        <f>IF(H167,Wh_hp,'2022'!Maxi_hp)</f>
        <v>63.901540527508928</v>
      </c>
      <c r="J167" s="85">
        <f>IF(H167,An,'2022'!An_max)</f>
        <v>2019</v>
      </c>
      <c r="K167" s="199">
        <f t="shared" si="52"/>
        <v>45079</v>
      </c>
      <c r="L167" s="147">
        <f>IF(t&lt;Tvie,1-EXP((T0-t)*PertePVj)+'2022'!Pspv,1-EXP((T0-t)*PertePVj)+Pspv)</f>
        <v>4.0264811769271769E-2</v>
      </c>
      <c r="M167" s="870"/>
      <c r="N167" s="870"/>
      <c r="O167" s="48">
        <f>IF(t&lt;Tnet,'2022'!Resal+('2022'!Salim-'2022'!Resal)*(1-EXP(('2022'!Tnet-t)/('2022'!Tau_j))),Resal+(Salim-Resal)*(1-EXP((Tnet-t)/(Tau_j))))*Salcycl</f>
        <v>3.6306123932147348E-2</v>
      </c>
      <c r="P167" s="171">
        <f>(INDEX(Models!$BJ167:$BT167,,T167)*(1-R167)+INDEX(Models!$BJ167:$BT167,,T167+1)*R167-ERP_i)*Q167*Ramure*Pc/MaxiM</f>
        <v>4.797400712201077E-4</v>
      </c>
      <c r="Q167" s="307">
        <f t="shared" si="53"/>
        <v>1</v>
      </c>
      <c r="R167" s="179">
        <f t="shared" si="54"/>
        <v>0.99228418769790494</v>
      </c>
      <c r="S167" s="837">
        <f t="shared" si="55"/>
        <v>0</v>
      </c>
      <c r="T167" s="178">
        <f t="shared" si="56"/>
        <v>6</v>
      </c>
      <c r="U167" s="253">
        <f t="shared" si="57"/>
        <v>0.99228418769790494</v>
      </c>
      <c r="V167" s="385">
        <f t="shared" si="58"/>
        <v>60.154223318531791</v>
      </c>
      <c r="W167" s="404">
        <f t="shared" si="59"/>
        <v>45.174211560749519</v>
      </c>
      <c r="X167" s="157">
        <f t="shared" si="60"/>
        <v>45079</v>
      </c>
      <c r="Y167" s="387">
        <f t="shared" si="61"/>
        <v>43.438767608770732</v>
      </c>
      <c r="Z167" s="387">
        <f t="shared" si="62"/>
        <v>45.2612013620654</v>
      </c>
      <c r="AA167" s="388">
        <f t="shared" si="63"/>
        <v>48.842745031611621</v>
      </c>
      <c r="AB167" s="199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7.3328058593516862E-2</v>
      </c>
      <c r="AD167" s="233">
        <f>(INDEX(Models!$BJ167:$BT167,,AH167)*(1-AF167)+INDEX(Models!$BJ167:$BT167,,AH167+1)*AF167-ERP_i)*AE167*Ramure*Pc/MaxiM</f>
        <v>4.797400712201077E-4</v>
      </c>
      <c r="AE167" s="307">
        <f t="shared" si="65"/>
        <v>1</v>
      </c>
      <c r="AF167" s="179">
        <f t="shared" si="66"/>
        <v>0.99228418769790494</v>
      </c>
      <c r="AG167" s="837">
        <f t="shared" si="74"/>
        <v>0</v>
      </c>
      <c r="AH167" s="178">
        <f t="shared" si="67"/>
        <v>6</v>
      </c>
      <c r="AI167" s="227">
        <f t="shared" si="68"/>
        <v>0.99228418769790494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45080</v>
      </c>
      <c r="B168" s="1139">
        <f>IF(t&gt;Tmaj,'2022'!Wh/'2022'!Env_an*'2023'!Env_an,0.001*'[8]mon-tableau'!$B$204)</f>
        <v>54.746761521369756</v>
      </c>
      <c r="C168" s="866"/>
      <c r="D168" s="395">
        <f t="shared" si="50"/>
        <v>57.044939332762844</v>
      </c>
      <c r="E168" s="387">
        <f t="shared" si="72"/>
        <v>59.214349439417767</v>
      </c>
      <c r="F168" s="387">
        <f t="shared" si="51"/>
        <v>59.237453447951211</v>
      </c>
      <c r="G168" s="110">
        <f t="shared" si="73"/>
        <v>0.91018861833589038</v>
      </c>
      <c r="H168" s="414" t="b">
        <f>Wh_hp&gt;='2022'!Maxi_hp</f>
        <v>0</v>
      </c>
      <c r="I168" s="392">
        <f>IF(H168,Wh_hp,'2022'!Maxi_hp)</f>
        <v>59.942123507520741</v>
      </c>
      <c r="J168" s="85">
        <f>IF(H168,An,'2022'!An_max)</f>
        <v>2020</v>
      </c>
      <c r="K168" s="199">
        <f t="shared" si="52"/>
        <v>45080</v>
      </c>
      <c r="L168" s="147">
        <f>IF(t&lt;Tvie,1-EXP((T0-t)*PertePVj)+'2022'!Pspv,1-EXP((T0-t)*PertePVj)+Pspv)</f>
        <v>4.0287146209184721E-2</v>
      </c>
      <c r="M168" s="870"/>
      <c r="N168" s="870"/>
      <c r="O168" s="48">
        <f>IF(t&lt;Tnet,'2022'!Resal+('2022'!Salim-'2022'!Resal)*(1-EXP(('2022'!Tnet-t)/('2022'!Tau_j))),Resal+(Salim-Resal)*(1-EXP((Tnet-t)/(Tau_j))))*Salcycl</f>
        <v>3.663656068491386E-2</v>
      </c>
      <c r="P168" s="171">
        <f>(INDEX(Models!$BJ168:$BT168,,T168)*(1-R168)+INDEX(Models!$BJ168:$BT168,,T168+1)*R168-ERP_i)*Q168*Ramure*Pc/MaxiM</f>
        <v>4.4739148534733318E-4</v>
      </c>
      <c r="Q168" s="307">
        <f t="shared" si="53"/>
        <v>1</v>
      </c>
      <c r="R168" s="179">
        <f t="shared" si="54"/>
        <v>0.99931970959308569</v>
      </c>
      <c r="S168" s="837">
        <f t="shared" si="55"/>
        <v>0</v>
      </c>
      <c r="T168" s="178">
        <f t="shared" si="56"/>
        <v>6</v>
      </c>
      <c r="U168" s="253">
        <f t="shared" si="57"/>
        <v>0.99931970959308569</v>
      </c>
      <c r="V168" s="385">
        <f t="shared" si="58"/>
        <v>60.145357226614607</v>
      </c>
      <c r="W168" s="404">
        <f t="shared" si="59"/>
        <v>54.746761521369756</v>
      </c>
      <c r="X168" s="157">
        <f t="shared" si="60"/>
        <v>45080</v>
      </c>
      <c r="Y168" s="387">
        <f t="shared" si="61"/>
        <v>52.644169712013344</v>
      </c>
      <c r="Z168" s="387">
        <f t="shared" si="62"/>
        <v>54.854084223287877</v>
      </c>
      <c r="AA168" s="388">
        <f t="shared" si="63"/>
        <v>59.214349439417767</v>
      </c>
      <c r="AB168" s="199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7.3635280255689994E-2</v>
      </c>
      <c r="AD168" s="233">
        <f>(INDEX(Models!$BJ168:$BT168,,AH168)*(1-AF168)+INDEX(Models!$BJ168:$BT168,,AH168+1)*AF168-ERP_i)*AE168*Ramure*Pc/MaxiM</f>
        <v>4.4739148534733318E-4</v>
      </c>
      <c r="AE168" s="307">
        <f t="shared" si="65"/>
        <v>1</v>
      </c>
      <c r="AF168" s="179">
        <f t="shared" si="66"/>
        <v>0.99931970959308569</v>
      </c>
      <c r="AG168" s="837">
        <f t="shared" si="74"/>
        <v>0</v>
      </c>
      <c r="AH168" s="178">
        <f t="shared" si="67"/>
        <v>6</v>
      </c>
      <c r="AI168" s="227">
        <f t="shared" si="68"/>
        <v>0.99931970959308569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45081</v>
      </c>
      <c r="B169" s="1139">
        <f>IF(t&gt;Tmaj,'2022'!Wh/'2022'!Env_an*'2023'!Env_an,0.001*'[8]mon-tableau'!$B$205)</f>
        <v>31.087768597771234</v>
      </c>
      <c r="C169" s="866"/>
      <c r="D169" s="395">
        <f t="shared" si="50"/>
        <v>32.393535159606557</v>
      </c>
      <c r="E169" s="387">
        <f t="shared" si="72"/>
        <v>33.636980762749502</v>
      </c>
      <c r="F169" s="387">
        <f t="shared" si="51"/>
        <v>33.641347578037248</v>
      </c>
      <c r="G169" s="110">
        <f t="shared" si="73"/>
        <v>0.51684118183496741</v>
      </c>
      <c r="H169" s="414" t="b">
        <f>Wh_hp&gt;='2022'!Maxi_hp</f>
        <v>0</v>
      </c>
      <c r="I169" s="392">
        <f>IF(H169,Wh_hp,'2022'!Maxi_hp)</f>
        <v>57.961791725127831</v>
      </c>
      <c r="J169" s="85">
        <f>IF(H169,An,'2022'!An_max)</f>
        <v>2019</v>
      </c>
      <c r="K169" s="199">
        <f t="shared" si="52"/>
        <v>45081</v>
      </c>
      <c r="L169" s="147">
        <f>IF(t&lt;Tvie,1-EXP((T0-t)*PertePVj)+'2022'!Pspv,1-EXP((T0-t)*PertePVj)+Pspv)</f>
        <v>4.0309480129342656E-2</v>
      </c>
      <c r="M169" s="870"/>
      <c r="N169" s="870"/>
      <c r="O169" s="48">
        <f>IF(t&lt;Tnet,'2022'!Resal+('2022'!Salim-'2022'!Resal)*(1-EXP(('2022'!Tnet-t)/('2022'!Tau_j))),Resal+(Salim-Resal)*(1-EXP((Tnet-t)/(Tau_j))))*Salcycl</f>
        <v>3.6966623488394981E-2</v>
      </c>
      <c r="P169" s="171">
        <f>(INDEX(Models!$BJ169:$BT169,,T169)*(1-R169)+INDEX(Models!$BJ169:$BT169,,T169+1)*R169-ERP_i)*Q169*Ramure*Pc/MaxiM</f>
        <v>4.1874400010912633E-4</v>
      </c>
      <c r="Q169" s="307">
        <f t="shared" si="53"/>
        <v>1</v>
      </c>
      <c r="R169" s="179">
        <f t="shared" si="54"/>
        <v>6.3966501346093274E-3</v>
      </c>
      <c r="S169" s="837">
        <f t="shared" si="55"/>
        <v>1</v>
      </c>
      <c r="T169" s="178">
        <f t="shared" si="56"/>
        <v>7</v>
      </c>
      <c r="U169" s="253">
        <f t="shared" si="57"/>
        <v>1.0063966501346093</v>
      </c>
      <c r="V169" s="385">
        <f t="shared" si="58"/>
        <v>60.132176102315341</v>
      </c>
      <c r="W169" s="404">
        <f t="shared" si="59"/>
        <v>31.087768597771234</v>
      </c>
      <c r="X169" s="157">
        <f t="shared" si="60"/>
        <v>45081</v>
      </c>
      <c r="Y169" s="387">
        <f t="shared" si="61"/>
        <v>29.89417852091179</v>
      </c>
      <c r="Z169" s="387">
        <f t="shared" si="62"/>
        <v>31.149811217204469</v>
      </c>
      <c r="AA169" s="388">
        <f t="shared" si="63"/>
        <v>33.636980762749502</v>
      </c>
      <c r="AB169" s="199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7.3941521775919561E-2</v>
      </c>
      <c r="AD169" s="233">
        <f>(INDEX(Models!$BJ169:$BT169,,AH169)*(1-AF169)+INDEX(Models!$BJ169:$BT169,,AH169+1)*AF169-ERP_i)*AE169*Ramure*Pc/MaxiM</f>
        <v>4.1874400010912633E-4</v>
      </c>
      <c r="AE169" s="307">
        <f t="shared" si="65"/>
        <v>1</v>
      </c>
      <c r="AF169" s="179">
        <f t="shared" si="66"/>
        <v>6.3966501346093274E-3</v>
      </c>
      <c r="AG169" s="837">
        <f t="shared" si="74"/>
        <v>1</v>
      </c>
      <c r="AH169" s="178">
        <f t="shared" si="67"/>
        <v>7</v>
      </c>
      <c r="AI169" s="227">
        <f t="shared" si="68"/>
        <v>1.0063966501346093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45082</v>
      </c>
      <c r="B170" s="1139">
        <f>IF(t&gt;Tmaj,'2022'!Wh/'2022'!Env_an*'2023'!Env_an,0.001*'[8]mon-tableau'!$B$206)</f>
        <v>32.473921975608</v>
      </c>
      <c r="C170" s="866"/>
      <c r="D170" s="395">
        <f t="shared" si="50"/>
        <v>33.838698034838899</v>
      </c>
      <c r="E170" s="387">
        <f t="shared" ref="E170:E232" si="75">Wh_pvt/(1-Psa)</f>
        <v>35.149647779941937</v>
      </c>
      <c r="F170" s="387">
        <f t="shared" si="51"/>
        <v>35.15439487766146</v>
      </c>
      <c r="G170" s="110">
        <f t="shared" ref="G170:G232" si="76">+Wh_hp/MaxiM</f>
        <v>0.54005777549995337</v>
      </c>
      <c r="H170" s="414" t="b">
        <f>Wh_hp&gt;='2022'!Maxi_hp</f>
        <v>0</v>
      </c>
      <c r="I170" s="392">
        <f>IF(H170,Wh_hp,'2022'!Maxi_hp)</f>
        <v>47.729541453271779</v>
      </c>
      <c r="J170" s="85">
        <f>IF(H170,An,'2022'!An_max)</f>
        <v>2021</v>
      </c>
      <c r="K170" s="199">
        <f t="shared" si="52"/>
        <v>45082</v>
      </c>
      <c r="L170" s="147">
        <f>IF(t&lt;Tvie,1-EXP((T0-t)*PertePVj)+'2022'!Pspv,1-EXP((T0-t)*PertePVj)+Pspv)</f>
        <v>4.0331813529757676E-2</v>
      </c>
      <c r="M170" s="870"/>
      <c r="N170" s="870"/>
      <c r="O170" s="48">
        <f>IF(t&lt;Tnet,'2022'!Resal+('2022'!Salim-'2022'!Resal)*(1-EXP(('2022'!Tnet-t)/('2022'!Tau_j))),Resal+(Salim-Resal)*(1-EXP((Tnet-t)/(Tau_j))))*Salcycl</f>
        <v>3.7296241296936421E-2</v>
      </c>
      <c r="P170" s="171">
        <f>(INDEX(Models!$BJ170:$BT170,,T170)*(1-R170)+INDEX(Models!$BJ170:$BT170,,T170+1)*R170-ERP_i)*Q170*Ramure*Pc/MaxiM</f>
        <v>3.9353034313328064E-4</v>
      </c>
      <c r="Q170" s="307">
        <f t="shared" si="53"/>
        <v>1</v>
      </c>
      <c r="R170" s="179">
        <f t="shared" si="54"/>
        <v>1.3509351352990251E-2</v>
      </c>
      <c r="S170" s="837">
        <f t="shared" si="55"/>
        <v>1</v>
      </c>
      <c r="T170" s="178">
        <f t="shared" si="56"/>
        <v>7</v>
      </c>
      <c r="U170" s="253">
        <f t="shared" si="57"/>
        <v>1.0135093513529903</v>
      </c>
      <c r="V170" s="385">
        <f t="shared" si="58"/>
        <v>60.114913587603048</v>
      </c>
      <c r="W170" s="404">
        <f t="shared" si="59"/>
        <v>32.473921975608</v>
      </c>
      <c r="X170" s="157">
        <f t="shared" si="60"/>
        <v>45082</v>
      </c>
      <c r="Y170" s="387">
        <f t="shared" si="61"/>
        <v>31.227510533274181</v>
      </c>
      <c r="Z170" s="387">
        <f t="shared" si="62"/>
        <v>32.5399038683695</v>
      </c>
      <c r="AA170" s="388">
        <f t="shared" si="63"/>
        <v>35.149647779941937</v>
      </c>
      <c r="AB170" s="199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7.4246658968277854E-2</v>
      </c>
      <c r="AD170" s="233">
        <f>(INDEX(Models!$BJ170:$BT170,,AH170)*(1-AF170)+INDEX(Models!$BJ170:$BT170,,AH170+1)*AF170-ERP_i)*AE170*Ramure*Pc/MaxiM</f>
        <v>3.9353034313328064E-4</v>
      </c>
      <c r="AE170" s="307">
        <f t="shared" si="65"/>
        <v>1</v>
      </c>
      <c r="AF170" s="179">
        <f t="shared" si="66"/>
        <v>1.3509351352990251E-2</v>
      </c>
      <c r="AG170" s="837">
        <f t="shared" si="74"/>
        <v>1</v>
      </c>
      <c r="AH170" s="178">
        <f t="shared" si="67"/>
        <v>7</v>
      </c>
      <c r="AI170" s="227">
        <f t="shared" si="68"/>
        <v>1.0135093513529903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45083</v>
      </c>
      <c r="B171" s="1139">
        <f>IF(t&gt;Tmaj,'2022'!Wh/'2022'!Env_an*'2023'!Env_an,0.001*'[8]mon-tableau'!$B$207)</f>
        <v>43.328356392545281</v>
      </c>
      <c r="C171" s="866"/>
      <c r="D171" s="395">
        <f t="shared" si="50"/>
        <v>45.150360656981363</v>
      </c>
      <c r="E171" s="387">
        <f t="shared" si="75"/>
        <v>46.915575264511482</v>
      </c>
      <c r="F171" s="387">
        <f t="shared" si="51"/>
        <v>46.926031205173665</v>
      </c>
      <c r="G171" s="110">
        <f t="shared" si="76"/>
        <v>0.72090484008121913</v>
      </c>
      <c r="H171" s="414" t="b">
        <f>Wh_hp&gt;='2022'!Maxi_hp</f>
        <v>0</v>
      </c>
      <c r="I171" s="392">
        <f>IF(H171,Wh_hp,'2022'!Maxi_hp)</f>
        <v>63.713317790939129</v>
      </c>
      <c r="J171" s="85">
        <f>IF(H171,An,'2022'!An_max)</f>
        <v>2019</v>
      </c>
      <c r="K171" s="199">
        <f t="shared" si="52"/>
        <v>45083</v>
      </c>
      <c r="L171" s="147">
        <f>IF(t&lt;Tvie,1-EXP((T0-t)*PertePVj)+'2022'!Pspv,1-EXP((T0-t)*PertePVj)+Pspv)</f>
        <v>4.0354146410441882E-2</v>
      </c>
      <c r="M171" s="870"/>
      <c r="N171" s="870"/>
      <c r="O171" s="48">
        <f>IF(t&lt;Tnet,'2022'!Resal+('2022'!Salim-'2022'!Resal)*(1-EXP(('2022'!Tnet-t)/('2022'!Tau_j))),Resal+(Salim-Resal)*(1-EXP((Tnet-t)/(Tau_j))))*Salcycl</f>
        <v>3.7625342918162781E-2</v>
      </c>
      <c r="P171" s="171">
        <f>(INDEX(Models!$BJ171:$BT171,,T171)*(1-R171)+INDEX(Models!$BJ171:$BT171,,T171+1)*R171-ERP_i)*Q171*Ramure*Pc/MaxiM</f>
        <v>3.7047042911796379E-4</v>
      </c>
      <c r="Q171" s="307">
        <f t="shared" si="53"/>
        <v>1</v>
      </c>
      <c r="R171" s="179">
        <f t="shared" si="54"/>
        <v>2.0652037318986016E-2</v>
      </c>
      <c r="S171" s="837">
        <f t="shared" si="55"/>
        <v>1</v>
      </c>
      <c r="T171" s="178">
        <f t="shared" si="56"/>
        <v>7</v>
      </c>
      <c r="U171" s="253">
        <f t="shared" si="57"/>
        <v>1.020652037318986</v>
      </c>
      <c r="V171" s="385">
        <f t="shared" si="58"/>
        <v>60.093863987444344</v>
      </c>
      <c r="W171" s="404">
        <f t="shared" si="59"/>
        <v>43.328356392545281</v>
      </c>
      <c r="X171" s="157">
        <f t="shared" si="60"/>
        <v>45083</v>
      </c>
      <c r="Y171" s="387">
        <f t="shared" si="61"/>
        <v>41.665896390923741</v>
      </c>
      <c r="Z171" s="387">
        <f t="shared" si="62"/>
        <v>43.417992413630856</v>
      </c>
      <c r="AA171" s="388">
        <f t="shared" si="63"/>
        <v>46.915575264511482</v>
      </c>
      <c r="AB171" s="199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7.4550569425209837E-2</v>
      </c>
      <c r="AD171" s="233">
        <f>(INDEX(Models!$BJ171:$BT171,,AH171)*(1-AF171)+INDEX(Models!$BJ171:$BT171,,AH171+1)*AF171-ERP_i)*AE171*Ramure*Pc/MaxiM</f>
        <v>3.7047042911796379E-4</v>
      </c>
      <c r="AE171" s="307">
        <f t="shared" si="65"/>
        <v>1</v>
      </c>
      <c r="AF171" s="179">
        <f t="shared" si="66"/>
        <v>2.0652037318986016E-2</v>
      </c>
      <c r="AG171" s="837">
        <f t="shared" si="74"/>
        <v>1</v>
      </c>
      <c r="AH171" s="178">
        <f t="shared" si="67"/>
        <v>7</v>
      </c>
      <c r="AI171" s="227">
        <f t="shared" si="68"/>
        <v>1.020652037318986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45084</v>
      </c>
      <c r="B172" s="1139">
        <f>IF(t&gt;Tmaj,'2022'!Wh/'2022'!Env_an*'2023'!Env_an,0.001*'[8]mon-tableau'!$B$208)</f>
        <v>32.607413316786825</v>
      </c>
      <c r="C172" s="866"/>
      <c r="D172" s="395">
        <f t="shared" si="50"/>
        <v>33.97938107544509</v>
      </c>
      <c r="E172" s="387">
        <f t="shared" si="75"/>
        <v>35.319907816595531</v>
      </c>
      <c r="F172" s="387">
        <f t="shared" si="51"/>
        <v>35.32419148750413</v>
      </c>
      <c r="G172" s="110">
        <f t="shared" si="76"/>
        <v>0.54270648162868107</v>
      </c>
      <c r="H172" s="414" t="b">
        <f>Wh_hp&gt;='2022'!Maxi_hp</f>
        <v>0</v>
      </c>
      <c r="I172" s="392">
        <f>IF(H172,Wh_hp,'2022'!Maxi_hp)</f>
        <v>57.56714176960822</v>
      </c>
      <c r="J172" s="85">
        <f>IF(H172,An,'2022'!An_max)</f>
        <v>2021</v>
      </c>
      <c r="K172" s="199">
        <f t="shared" si="52"/>
        <v>45084</v>
      </c>
      <c r="L172" s="147">
        <f>IF(t&lt;Tvie,1-EXP((T0-t)*PertePVj)+'2022'!Pspv,1-EXP((T0-t)*PertePVj)+Pspv)</f>
        <v>4.0376478771407265E-2</v>
      </c>
      <c r="M172" s="870"/>
      <c r="N172" s="870"/>
      <c r="O172" s="48">
        <f>IF(t&lt;Tnet,'2022'!Resal+('2022'!Salim-'2022'!Resal)*(1-EXP(('2022'!Tnet-t)/('2022'!Tau_j))),Resal+(Salim-Resal)*(1-EXP((Tnet-t)/(Tau_j))))*Salcycl</f>
        <v>3.7953857300855529E-2</v>
      </c>
      <c r="P172" s="171">
        <f>(INDEX(Models!$BJ172:$BT172,,T172)*(1-R172)+INDEX(Models!$BJ172:$BT172,,T172+1)*R172-ERP_i)*Q172*Ramure*Pc/MaxiM</f>
        <v>3.4957374140462562E-4</v>
      </c>
      <c r="Q172" s="307">
        <f t="shared" si="53"/>
        <v>1</v>
      </c>
      <c r="R172" s="179">
        <f t="shared" si="54"/>
        <v>2.781883250394257E-2</v>
      </c>
      <c r="S172" s="837">
        <f t="shared" si="55"/>
        <v>1</v>
      </c>
      <c r="T172" s="178">
        <f t="shared" si="56"/>
        <v>7</v>
      </c>
      <c r="U172" s="253">
        <f t="shared" si="57"/>
        <v>1.0278188325039426</v>
      </c>
      <c r="V172" s="385">
        <f t="shared" si="58"/>
        <v>60.069243755913917</v>
      </c>
      <c r="W172" s="404">
        <f t="shared" si="59"/>
        <v>32.607413316786825</v>
      </c>
      <c r="X172" s="157">
        <f t="shared" si="60"/>
        <v>45084</v>
      </c>
      <c r="Y172" s="387">
        <f t="shared" si="61"/>
        <v>31.356756117955989</v>
      </c>
      <c r="Z172" s="387">
        <f t="shared" si="62"/>
        <v>32.676102059076634</v>
      </c>
      <c r="AA172" s="388">
        <f t="shared" si="63"/>
        <v>35.319907816595531</v>
      </c>
      <c r="AB172" s="199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7.485313300496986E-2</v>
      </c>
      <c r="AD172" s="233">
        <f>(INDEX(Models!$BJ172:$BT172,,AH172)*(1-AF172)+INDEX(Models!$BJ172:$BT172,,AH172+1)*AF172-ERP_i)*AE172*Ramure*Pc/MaxiM</f>
        <v>3.4957374140462562E-4</v>
      </c>
      <c r="AE172" s="307">
        <f t="shared" si="65"/>
        <v>1</v>
      </c>
      <c r="AF172" s="179">
        <f t="shared" si="66"/>
        <v>2.781883250394257E-2</v>
      </c>
      <c r="AG172" s="837">
        <f t="shared" si="74"/>
        <v>1</v>
      </c>
      <c r="AH172" s="178">
        <f t="shared" si="67"/>
        <v>7</v>
      </c>
      <c r="AI172" s="227">
        <f t="shared" si="68"/>
        <v>1.0278188325039426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45085</v>
      </c>
      <c r="B173" s="1139">
        <f>IF(t&gt;Tmaj,'2022'!Wh/'2022'!Env_an*'2023'!Env_an,0.001*'[8]mon-tableau'!$B$209)</f>
        <v>22.938999674709443</v>
      </c>
      <c r="C173" s="866"/>
      <c r="D173" s="395">
        <f t="shared" si="50"/>
        <v>23.904722012021526</v>
      </c>
      <c r="E173" s="387">
        <f t="shared" si="75"/>
        <v>24.856262333457352</v>
      </c>
      <c r="F173" s="387">
        <f t="shared" si="51"/>
        <v>24.857226354297016</v>
      </c>
      <c r="G173" s="110">
        <f t="shared" si="76"/>
        <v>0.38194228798593238</v>
      </c>
      <c r="H173" s="414" t="b">
        <f>Wh_hp&gt;='2022'!Maxi_hp</f>
        <v>0</v>
      </c>
      <c r="I173" s="392">
        <f>IF(H173,Wh_hp,'2022'!Maxi_hp)</f>
        <v>66.080309605009333</v>
      </c>
      <c r="J173" s="85">
        <f>IF(H173,An,'2022'!An_max)</f>
        <v>2019</v>
      </c>
      <c r="K173" s="199">
        <f t="shared" si="52"/>
        <v>45085</v>
      </c>
      <c r="L173" s="147">
        <f>IF(t&lt;Tvie,1-EXP((T0-t)*PertePVj)+'2022'!Pspv,1-EXP((T0-t)*PertePVj)+Pspv)</f>
        <v>4.0398810612665925E-2</v>
      </c>
      <c r="M173" s="870"/>
      <c r="N173" s="870"/>
      <c r="O173" s="48">
        <f>IF(t&lt;Tnet,'2022'!Resal+('2022'!Salim-'2022'!Resal)*(1-EXP(('2022'!Tnet-t)/('2022'!Tau_j))),Resal+(Salim-Resal)*(1-EXP((Tnet-t)/(Tau_j))))*Salcycl</f>
        <v>3.8281713826097692E-2</v>
      </c>
      <c r="P173" s="171">
        <f>(INDEX(Models!$BJ173:$BT173,,T173)*(1-R173)+INDEX(Models!$BJ173:$BT173,,T173+1)*R173-ERP_i)*Q173*Ramure*Pc/MaxiM</f>
        <v>3.3085117552698542E-4</v>
      </c>
      <c r="Q173" s="307">
        <f t="shared" si="53"/>
        <v>1</v>
      </c>
      <c r="R173" s="179">
        <f t="shared" si="54"/>
        <v>3.5003780838515519E-2</v>
      </c>
      <c r="S173" s="837">
        <f t="shared" si="55"/>
        <v>1</v>
      </c>
      <c r="T173" s="178">
        <f t="shared" si="56"/>
        <v>7</v>
      </c>
      <c r="U173" s="253">
        <f t="shared" si="57"/>
        <v>1.0350037808385155</v>
      </c>
      <c r="V173" s="385">
        <f t="shared" si="58"/>
        <v>60.041268979012948</v>
      </c>
      <c r="W173" s="404">
        <f t="shared" si="59"/>
        <v>22.938999674709443</v>
      </c>
      <c r="X173" s="157">
        <f t="shared" si="60"/>
        <v>45085</v>
      </c>
      <c r="Y173" s="387">
        <f t="shared" si="61"/>
        <v>22.059512717086985</v>
      </c>
      <c r="Z173" s="387">
        <f t="shared" si="62"/>
        <v>22.988209019593938</v>
      </c>
      <c r="AA173" s="388">
        <f t="shared" si="63"/>
        <v>24.856262333457352</v>
      </c>
      <c r="AB173" s="199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7.5154232313880673E-2</v>
      </c>
      <c r="AD173" s="233">
        <f>(INDEX(Models!$BJ173:$BT173,,AH173)*(1-AF173)+INDEX(Models!$BJ173:$BT173,,AH173+1)*AF173-ERP_i)*AE173*Ramure*Pc/MaxiM</f>
        <v>3.3085117552698542E-4</v>
      </c>
      <c r="AE173" s="307">
        <f t="shared" si="65"/>
        <v>1</v>
      </c>
      <c r="AF173" s="179">
        <f t="shared" si="66"/>
        <v>3.5003780838515519E-2</v>
      </c>
      <c r="AG173" s="837">
        <f t="shared" si="74"/>
        <v>1</v>
      </c>
      <c r="AH173" s="178">
        <f t="shared" si="67"/>
        <v>7</v>
      </c>
      <c r="AI173" s="227">
        <f t="shared" si="68"/>
        <v>1.0350037808385155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45086</v>
      </c>
      <c r="B174" s="1139">
        <f>IF(t&gt;Tmaj,'2022'!Wh/'2022'!Env_an*'2023'!Env_an,0.001*'[8]mon-tableau'!$B$210)</f>
        <v>45.62569308534345</v>
      </c>
      <c r="C174" s="866"/>
      <c r="D174" s="395">
        <f t="shared" si="50"/>
        <v>47.547622273912424</v>
      </c>
      <c r="E174" s="387">
        <f t="shared" si="75"/>
        <v>49.457103810366846</v>
      </c>
      <c r="F174" s="387">
        <f t="shared" si="51"/>
        <v>49.467327931431903</v>
      </c>
      <c r="G174" s="110">
        <f t="shared" si="76"/>
        <v>0.760217684388801</v>
      </c>
      <c r="H174" s="414" t="b">
        <f>Wh_hp&gt;='2022'!Maxi_hp</f>
        <v>0</v>
      </c>
      <c r="I174" s="392">
        <f>IF(H174,Wh_hp,'2022'!Maxi_hp)</f>
        <v>60.192808761372696</v>
      </c>
      <c r="J174" s="85">
        <f>IF(H174,An,'2022'!An_max)</f>
        <v>2021</v>
      </c>
      <c r="K174" s="199">
        <f t="shared" si="52"/>
        <v>45086</v>
      </c>
      <c r="L174" s="147">
        <f>IF(t&lt;Tvie,1-EXP((T0-t)*PertePVj)+'2022'!Pspv,1-EXP((T0-t)*PertePVj)+Pspv)</f>
        <v>4.0421141934230076E-2</v>
      </c>
      <c r="M174" s="870"/>
      <c r="N174" s="870"/>
      <c r="O174" s="48">
        <f>IF(t&lt;Tnet,'2022'!Resal+('2022'!Salim-'2022'!Resal)*(1-EXP(('2022'!Tnet-t)/('2022'!Tau_j))),Resal+(Salim-Resal)*(1-EXP((Tnet-t)/(Tau_j))))*Salcycl</f>
        <v>3.8608842599759455E-2</v>
      </c>
      <c r="P174" s="171">
        <f>(INDEX(Models!$BJ174:$BT174,,T174)*(1-R174)+INDEX(Models!$BJ174:$BT174,,T174+1)*R174-ERP_i)*Q174*Ramure*Pc/MaxiM</f>
        <v>3.1431494950236199E-4</v>
      </c>
      <c r="Q174" s="307">
        <f t="shared" si="53"/>
        <v>1</v>
      </c>
      <c r="R174" s="179">
        <f t="shared" si="54"/>
        <v>4.2200865340543903E-2</v>
      </c>
      <c r="S174" s="837">
        <f t="shared" si="55"/>
        <v>1</v>
      </c>
      <c r="T174" s="178">
        <f t="shared" si="56"/>
        <v>7</v>
      </c>
      <c r="U174" s="253">
        <f t="shared" si="57"/>
        <v>1.0422008653405439</v>
      </c>
      <c r="V174" s="385">
        <f t="shared" si="58"/>
        <v>60.010155360699521</v>
      </c>
      <c r="W174" s="404">
        <f t="shared" si="59"/>
        <v>45.62569308534345</v>
      </c>
      <c r="X174" s="157">
        <f t="shared" si="60"/>
        <v>45086</v>
      </c>
      <c r="Y174" s="387">
        <f t="shared" si="61"/>
        <v>43.877107643344615</v>
      </c>
      <c r="Z174" s="387">
        <f t="shared" si="62"/>
        <v>45.725379706455833</v>
      </c>
      <c r="AA174" s="388">
        <f t="shared" si="63"/>
        <v>49.457103810366846</v>
      </c>
      <c r="AB174" s="199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7.5453753180120375E-2</v>
      </c>
      <c r="AD174" s="233">
        <f>(INDEX(Models!$BJ174:$BT174,,AH174)*(1-AF174)+INDEX(Models!$BJ174:$BT174,,AH174+1)*AF174-ERP_i)*AE174*Ramure*Pc/MaxiM</f>
        <v>3.1431494950236199E-4</v>
      </c>
      <c r="AE174" s="307">
        <f t="shared" si="65"/>
        <v>1</v>
      </c>
      <c r="AF174" s="179">
        <f t="shared" si="66"/>
        <v>4.2200865340543903E-2</v>
      </c>
      <c r="AG174" s="837">
        <f t="shared" si="74"/>
        <v>1</v>
      </c>
      <c r="AH174" s="178">
        <f t="shared" si="67"/>
        <v>7</v>
      </c>
      <c r="AI174" s="227">
        <f t="shared" si="68"/>
        <v>1.0422008653405439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45087</v>
      </c>
      <c r="B175" s="1139">
        <f>IF(t&gt;Tmaj,'2022'!Wh/'2022'!Env_an*'2023'!Env_an,0.001*'[8]mon-tableau'!$B$211)</f>
        <v>59.929233412568067</v>
      </c>
      <c r="C175" s="866"/>
      <c r="D175" s="395">
        <f t="shared" si="50"/>
        <v>62.455136002724409</v>
      </c>
      <c r="E175" s="387">
        <f t="shared" si="75"/>
        <v>64.985352040233821</v>
      </c>
      <c r="F175" s="387">
        <f t="shared" si="51"/>
        <v>65.004830315858413</v>
      </c>
      <c r="G175" s="110">
        <f t="shared" si="76"/>
        <v>0.99921794087493487</v>
      </c>
      <c r="H175" s="414" t="b">
        <f>Wh_hp&gt;='2022'!Maxi_hp</f>
        <v>0</v>
      </c>
      <c r="I175" s="392">
        <f>IF(H175,Wh_hp,'2022'!Maxi_hp)</f>
        <v>65.004837110945502</v>
      </c>
      <c r="J175" s="85">
        <f>IF(H175,An,'2022'!An_max)</f>
        <v>2022</v>
      </c>
      <c r="K175" s="199">
        <f t="shared" si="52"/>
        <v>45087</v>
      </c>
      <c r="L175" s="147">
        <f>IF(t&lt;Tvie,1-EXP((T0-t)*PertePVj)+'2022'!Pspv,1-EXP((T0-t)*PertePVj)+Pspv)</f>
        <v>4.0443472736111818E-2</v>
      </c>
      <c r="M175" s="870"/>
      <c r="N175" s="870"/>
      <c r="O175" s="48">
        <f>IF(t&lt;Tnet,'2022'!Resal+('2022'!Salim-'2022'!Resal)*(1-EXP(('2022'!Tnet-t)/('2022'!Tau_j))),Resal+(Salim-Resal)*(1-EXP((Tnet-t)/(Tau_j))))*Salcycl</f>
        <v>3.8935174744347052E-2</v>
      </c>
      <c r="P175" s="171">
        <f>(INDEX(Models!$BJ175:$BT175,,T175)*(1-R175)+INDEX(Models!$BJ175:$BT175,,T175+1)*R175-ERP_i)*Q175*Ramure*Pc/MaxiM</f>
        <v>2.9997851226356496E-4</v>
      </c>
      <c r="Q175" s="307">
        <f t="shared" si="53"/>
        <v>1</v>
      </c>
      <c r="R175" s="179">
        <f t="shared" si="54"/>
        <v>4.9404028175959791E-2</v>
      </c>
      <c r="S175" s="837">
        <f t="shared" si="55"/>
        <v>1</v>
      </c>
      <c r="T175" s="178">
        <f t="shared" si="56"/>
        <v>7</v>
      </c>
      <c r="U175" s="253">
        <f t="shared" si="57"/>
        <v>1.0494040281759598</v>
      </c>
      <c r="V175" s="385">
        <f t="shared" si="58"/>
        <v>59.976118200740395</v>
      </c>
      <c r="W175" s="404">
        <f t="shared" si="59"/>
        <v>59.929233412568067</v>
      </c>
      <c r="X175" s="157">
        <f t="shared" si="60"/>
        <v>45087</v>
      </c>
      <c r="Y175" s="387">
        <f t="shared" si="61"/>
        <v>57.633468139946118</v>
      </c>
      <c r="Z175" s="387">
        <f t="shared" si="62"/>
        <v>60.062608613881387</v>
      </c>
      <c r="AA175" s="388">
        <f t="shared" si="63"/>
        <v>64.985352040233821</v>
      </c>
      <c r="AB175" s="199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7.5751585115745146E-2</v>
      </c>
      <c r="AD175" s="233">
        <f>(INDEX(Models!$BJ175:$BT175,,AH175)*(1-AF175)+INDEX(Models!$BJ175:$BT175,,AH175+1)*AF175-ERP_i)*AE175*Ramure*Pc/MaxiM</f>
        <v>2.9997851226356496E-4</v>
      </c>
      <c r="AE175" s="307">
        <f t="shared" si="65"/>
        <v>1</v>
      </c>
      <c r="AF175" s="179">
        <f t="shared" si="66"/>
        <v>4.9404028175959791E-2</v>
      </c>
      <c r="AG175" s="837">
        <f t="shared" si="74"/>
        <v>1</v>
      </c>
      <c r="AH175" s="178">
        <f t="shared" si="67"/>
        <v>7</v>
      </c>
      <c r="AI175" s="227">
        <f t="shared" si="68"/>
        <v>1.0494040281759598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45088</v>
      </c>
      <c r="B176" s="1139">
        <f>IF(t&gt;Tmaj,'2022'!Wh/'2022'!Env_an*'2023'!Env_an,0.001*'[8]mon-tableau'!$B$212)</f>
        <v>56.222930886079041</v>
      </c>
      <c r="C176" s="866"/>
      <c r="D176" s="395">
        <f t="shared" si="50"/>
        <v>58.593983479624399</v>
      </c>
      <c r="E176" s="387">
        <f t="shared" si="75"/>
        <v>60.988428374136348</v>
      </c>
      <c r="F176" s="387">
        <f t="shared" si="51"/>
        <v>61.004433449607774</v>
      </c>
      <c r="G176" s="110">
        <f t="shared" si="76"/>
        <v>0.93797273387824109</v>
      </c>
      <c r="H176" s="414" t="b">
        <f>Wh_hp&gt;='2022'!Maxi_hp</f>
        <v>0</v>
      </c>
      <c r="I176" s="392">
        <f>IF(H176,Wh_hp,'2022'!Maxi_hp)</f>
        <v>61.004914058296308</v>
      </c>
      <c r="J176" s="85">
        <f>IF(H176,An,'2022'!An_max)</f>
        <v>2022</v>
      </c>
      <c r="K176" s="199">
        <f t="shared" si="52"/>
        <v>45088</v>
      </c>
      <c r="L176" s="147">
        <f>IF(t&lt;Tvie,1-EXP((T0-t)*PertePVj)+'2022'!Pspv,1-EXP((T0-t)*PertePVj)+Pspv)</f>
        <v>4.0465803018323032E-2</v>
      </c>
      <c r="M176" s="870"/>
      <c r="N176" s="870"/>
      <c r="O176" s="48">
        <f>IF(t&lt;Tnet,'2022'!Resal+('2022'!Salim-'2022'!Resal)*(1-EXP(('2022'!Tnet-t)/('2022'!Tau_j))),Resal+(Salim-Resal)*(1-EXP((Tnet-t)/(Tau_j))))*Salcycl</f>
        <v>3.9260642688201737E-2</v>
      </c>
      <c r="P176" s="171">
        <f>(INDEX(Models!$BJ176:$BT176,,T176)*(1-R176)+INDEX(Models!$BJ176:$BT176,,T176+1)*R176-ERP_i)*Q176*Ramure*Pc/MaxiM</f>
        <v>2.8785645023756106E-4</v>
      </c>
      <c r="Q176" s="307">
        <f t="shared" si="53"/>
        <v>1</v>
      </c>
      <c r="R176" s="179">
        <f t="shared" si="54"/>
        <v>5.6607191011376123E-2</v>
      </c>
      <c r="S176" s="837">
        <f t="shared" si="55"/>
        <v>1</v>
      </c>
      <c r="T176" s="178">
        <f t="shared" si="56"/>
        <v>7</v>
      </c>
      <c r="U176" s="253">
        <f t="shared" si="57"/>
        <v>1.0566071910113761</v>
      </c>
      <c r="V176" s="385">
        <f t="shared" si="58"/>
        <v>59.939372382725104</v>
      </c>
      <c r="W176" s="404">
        <f t="shared" si="59"/>
        <v>56.222930886079041</v>
      </c>
      <c r="X176" s="157">
        <f t="shared" si="60"/>
        <v>45088</v>
      </c>
      <c r="Y176" s="387">
        <f t="shared" si="61"/>
        <v>54.070139115524512</v>
      </c>
      <c r="Z176" s="387">
        <f t="shared" si="62"/>
        <v>56.350403441178265</v>
      </c>
      <c r="AA176" s="388">
        <f t="shared" si="63"/>
        <v>60.988428374136348</v>
      </c>
      <c r="AB176" s="199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7.6047621763687762E-2</v>
      </c>
      <c r="AD176" s="233">
        <f>(INDEX(Models!$BJ176:$BT176,,AH176)*(1-AF176)+INDEX(Models!$BJ176:$BT176,,AH176+1)*AF176-ERP_i)*AE176*Ramure*Pc/MaxiM</f>
        <v>2.8785645023756106E-4</v>
      </c>
      <c r="AE176" s="307">
        <f t="shared" si="65"/>
        <v>1</v>
      </c>
      <c r="AF176" s="179">
        <f t="shared" si="66"/>
        <v>5.6607191011376123E-2</v>
      </c>
      <c r="AG176" s="837">
        <f t="shared" si="74"/>
        <v>1</v>
      </c>
      <c r="AH176" s="178">
        <f t="shared" si="67"/>
        <v>7</v>
      </c>
      <c r="AI176" s="227">
        <f t="shared" si="68"/>
        <v>1.0566071910113761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45089</v>
      </c>
      <c r="B177" s="1139">
        <f>IF(t&gt;Tmaj,'2022'!Wh/'2022'!Env_an*'2023'!Env_an,0.001*'[8]mon-tableau'!$B$213)</f>
        <v>44.368616524128079</v>
      </c>
      <c r="C177" s="866"/>
      <c r="D177" s="395">
        <f t="shared" si="50"/>
        <v>46.240821025713906</v>
      </c>
      <c r="E177" s="387">
        <f t="shared" si="75"/>
        <v>48.146717527100272</v>
      </c>
      <c r="F177" s="387">
        <f t="shared" si="51"/>
        <v>48.15514515689916</v>
      </c>
      <c r="G177" s="110">
        <f t="shared" si="76"/>
        <v>0.74064557073789339</v>
      </c>
      <c r="H177" s="414" t="b">
        <f>Wh_hp&gt;='2022'!Maxi_hp</f>
        <v>0</v>
      </c>
      <c r="I177" s="392">
        <f>IF(H177,Wh_hp,'2022'!Maxi_hp)</f>
        <v>60.932539305572888</v>
      </c>
      <c r="J177" s="85">
        <f>IF(H177,An,'2022'!An_max)</f>
        <v>2019</v>
      </c>
      <c r="K177" s="199">
        <f t="shared" si="52"/>
        <v>45089</v>
      </c>
      <c r="L177" s="147">
        <f>IF(t&lt;Tvie,1-EXP((T0-t)*PertePVj)+'2022'!Pspv,1-EXP((T0-t)*PertePVj)+Pspv)</f>
        <v>4.0488132780876041E-2</v>
      </c>
      <c r="M177" s="870"/>
      <c r="N177" s="870"/>
      <c r="O177" s="48">
        <f>IF(t&lt;Tnet,'2022'!Resal+('2022'!Salim-'2022'!Resal)*(1-EXP(('2022'!Tnet-t)/('2022'!Tau_j))),Resal+(Salim-Resal)*(1-EXP((Tnet-t)/(Tau_j))))*Salcycl</f>
        <v>3.9585180450019283E-2</v>
      </c>
      <c r="P177" s="171">
        <f>(INDEX(Models!$BJ177:$BT177,,T177)*(1-R177)+INDEX(Models!$BJ177:$BT177,,T177+1)*R177-ERP_i)*Q177*Ramure*Pc/MaxiM</f>
        <v>2.7796890311128239E-4</v>
      </c>
      <c r="Q177" s="307">
        <f t="shared" si="53"/>
        <v>1</v>
      </c>
      <c r="R177" s="179">
        <f t="shared" si="54"/>
        <v>6.3804275513404285E-2</v>
      </c>
      <c r="S177" s="837">
        <f t="shared" si="55"/>
        <v>1</v>
      </c>
      <c r="T177" s="178">
        <f t="shared" si="56"/>
        <v>7</v>
      </c>
      <c r="U177" s="253">
        <f t="shared" si="57"/>
        <v>1.0638042755134043</v>
      </c>
      <c r="V177" s="385">
        <f t="shared" si="58"/>
        <v>59.899160045259492</v>
      </c>
      <c r="W177" s="404">
        <f t="shared" si="59"/>
        <v>44.368616524128079</v>
      </c>
      <c r="X177" s="157">
        <f t="shared" si="60"/>
        <v>45089</v>
      </c>
      <c r="Y177" s="387">
        <f t="shared" si="61"/>
        <v>42.670560008910691</v>
      </c>
      <c r="Z177" s="387">
        <f t="shared" si="62"/>
        <v>44.471112308990342</v>
      </c>
      <c r="AA177" s="388">
        <f t="shared" si="63"/>
        <v>48.146717527100272</v>
      </c>
      <c r="AB177" s="199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7.6341761326533752E-2</v>
      </c>
      <c r="AD177" s="233">
        <f>(INDEX(Models!$BJ177:$BT177,,AH177)*(1-AF177)+INDEX(Models!$BJ177:$BT177,,AH177+1)*AF177-ERP_i)*AE177*Ramure*Pc/MaxiM</f>
        <v>2.7796890311128239E-4</v>
      </c>
      <c r="AE177" s="307">
        <f t="shared" si="65"/>
        <v>1</v>
      </c>
      <c r="AF177" s="179">
        <f t="shared" si="66"/>
        <v>6.3804275513404285E-2</v>
      </c>
      <c r="AG177" s="837">
        <f t="shared" si="74"/>
        <v>1</v>
      </c>
      <c r="AH177" s="178">
        <f t="shared" si="67"/>
        <v>7</v>
      </c>
      <c r="AI177" s="227">
        <f t="shared" si="68"/>
        <v>1.0638042755134043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45090</v>
      </c>
      <c r="B178" s="1139">
        <f>IF(t&gt;Tmaj,'2022'!Wh/'2022'!Env_an*'2023'!Env_an,0.001*'[8]mon-tableau'!$B$214)</f>
        <v>54.506260140523992</v>
      </c>
      <c r="C178" s="866"/>
      <c r="D178" s="395">
        <f t="shared" si="50"/>
        <v>56.807560669697516</v>
      </c>
      <c r="E178" s="387">
        <f t="shared" si="75"/>
        <v>59.168916627846137</v>
      </c>
      <c r="F178" s="387">
        <f t="shared" si="51"/>
        <v>59.182891204687685</v>
      </c>
      <c r="G178" s="110">
        <f t="shared" si="76"/>
        <v>0.91061141174150317</v>
      </c>
      <c r="H178" s="414" t="b">
        <f>Wh_hp&gt;='2022'!Maxi_hp</f>
        <v>0</v>
      </c>
      <c r="I178" s="392">
        <f>IF(H178,Wh_hp,'2022'!Maxi_hp)</f>
        <v>63.578698622220735</v>
      </c>
      <c r="J178" s="85">
        <f>IF(H178,An,'2022'!An_max)</f>
        <v>2019</v>
      </c>
      <c r="K178" s="199">
        <f t="shared" si="52"/>
        <v>45090</v>
      </c>
      <c r="L178" s="147">
        <f>IF(t&lt;Tvie,1-EXP((T0-t)*PertePVj)+'2022'!Pspv,1-EXP((T0-t)*PertePVj)+Pspv)</f>
        <v>4.0510462023782945E-2</v>
      </c>
      <c r="M178" s="870"/>
      <c r="N178" s="870"/>
      <c r="O178" s="48">
        <f>IF(t&lt;Tnet,'2022'!Resal+('2022'!Salim-'2022'!Resal)*(1-EXP(('2022'!Tnet-t)/('2022'!Tau_j))),Resal+(Salim-Resal)*(1-EXP((Tnet-t)/(Tau_j))))*Salcycl</f>
        <v>3.9908723916660727E-2</v>
      </c>
      <c r="P178" s="171">
        <f>(INDEX(Models!$BJ178:$BT178,,T178)*(1-R178)+INDEX(Models!$BJ178:$BT178,,T178+1)*R178-ERP_i)*Q178*Ramure*Pc/MaxiM</f>
        <v>2.7067816753958881E-4</v>
      </c>
      <c r="Q178" s="307">
        <f t="shared" si="53"/>
        <v>1</v>
      </c>
      <c r="R178" s="179">
        <f t="shared" si="54"/>
        <v>7.0989223847977456E-2</v>
      </c>
      <c r="S178" s="837">
        <f t="shared" si="55"/>
        <v>1</v>
      </c>
      <c r="T178" s="178">
        <f t="shared" si="56"/>
        <v>7</v>
      </c>
      <c r="U178" s="253">
        <f t="shared" si="57"/>
        <v>1.0709892238479775</v>
      </c>
      <c r="V178" s="385">
        <f t="shared" si="58"/>
        <v>59.854703822431453</v>
      </c>
      <c r="W178" s="404">
        <f t="shared" si="59"/>
        <v>54.506260140523992</v>
      </c>
      <c r="X178" s="157">
        <f t="shared" si="60"/>
        <v>45090</v>
      </c>
      <c r="Y178" s="387">
        <f t="shared" si="61"/>
        <v>52.421299646355074</v>
      </c>
      <c r="Z178" s="387">
        <f t="shared" si="62"/>
        <v>54.634571375237279</v>
      </c>
      <c r="AA178" s="388">
        <f t="shared" si="63"/>
        <v>59.168916627846137</v>
      </c>
      <c r="AB178" s="199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7.6633906973968532E-2</v>
      </c>
      <c r="AD178" s="233">
        <f>(INDEX(Models!$BJ178:$BT178,,AH178)*(1-AF178)+INDEX(Models!$BJ178:$BT178,,AH178+1)*AF178-ERP_i)*AE178*Ramure*Pc/MaxiM</f>
        <v>2.7067816753958881E-4</v>
      </c>
      <c r="AE178" s="307">
        <f t="shared" si="65"/>
        <v>1</v>
      </c>
      <c r="AF178" s="179">
        <f t="shared" si="66"/>
        <v>7.0989223847977456E-2</v>
      </c>
      <c r="AG178" s="837">
        <f t="shared" si="74"/>
        <v>1</v>
      </c>
      <c r="AH178" s="178">
        <f t="shared" si="67"/>
        <v>7</v>
      </c>
      <c r="AI178" s="227">
        <f t="shared" si="68"/>
        <v>1.0709892238479775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45091</v>
      </c>
      <c r="B179" s="1139">
        <f>IF(t&gt;Tmaj,'2022'!Wh/'2022'!Env_an*'2023'!Env_an,0.001*'[8]mon-tableau'!$B$215)</f>
        <v>46.810986905354667</v>
      </c>
      <c r="C179" s="866"/>
      <c r="D179" s="395">
        <f t="shared" si="50"/>
        <v>48.788521852458523</v>
      </c>
      <c r="E179" s="387">
        <f t="shared" si="75"/>
        <v>50.833619948193942</v>
      </c>
      <c r="F179" s="387">
        <f t="shared" si="51"/>
        <v>50.842884488924035</v>
      </c>
      <c r="G179" s="110">
        <f t="shared" si="76"/>
        <v>0.78264542956089456</v>
      </c>
      <c r="H179" s="414" t="b">
        <f>Wh_hp&gt;='2022'!Maxi_hp</f>
        <v>0</v>
      </c>
      <c r="I179" s="392">
        <f>IF(H179,Wh_hp,'2022'!Maxi_hp)</f>
        <v>54.737043912408573</v>
      </c>
      <c r="J179" s="85">
        <f>IF(H179,An,'2022'!An_max)</f>
        <v>2021</v>
      </c>
      <c r="K179" s="199">
        <f t="shared" si="52"/>
        <v>45091</v>
      </c>
      <c r="L179" s="147">
        <f>IF(t&lt;Tvie,1-EXP((T0-t)*PertePVj)+'2022'!Pspv,1-EXP((T0-t)*PertePVj)+Pspv)</f>
        <v>4.0532790747055625E-2</v>
      </c>
      <c r="M179" s="870"/>
      <c r="N179" s="870"/>
      <c r="O179" s="48">
        <f>IF(t&lt;Tnet,'2022'!Resal+('2022'!Salim-'2022'!Resal)*(1-EXP(('2022'!Tnet-t)/('2022'!Tau_j))),Resal+(Salim-Resal)*(1-EXP((Tnet-t)/(Tau_j))))*Salcycl</f>
        <v>4.0231211112244987E-2</v>
      </c>
      <c r="P179" s="171">
        <f>(INDEX(Models!$BJ179:$BT179,,T179)*(1-R179)+INDEX(Models!$BJ179:$BT179,,T179+1)*R179-ERP_i)*Q179*Ramure*Pc/MaxiM</f>
        <v>2.6424439154729601E-4</v>
      </c>
      <c r="Q179" s="307">
        <f t="shared" si="53"/>
        <v>1</v>
      </c>
      <c r="R179" s="179">
        <f t="shared" si="54"/>
        <v>7.8156019032933788E-2</v>
      </c>
      <c r="S179" s="837">
        <f t="shared" si="55"/>
        <v>1</v>
      </c>
      <c r="T179" s="178">
        <f t="shared" si="56"/>
        <v>7</v>
      </c>
      <c r="U179" s="253">
        <f t="shared" si="57"/>
        <v>1.0781560190329338</v>
      </c>
      <c r="V179" s="385">
        <f t="shared" si="58"/>
        <v>59.806324485104113</v>
      </c>
      <c r="W179" s="404">
        <f t="shared" si="59"/>
        <v>46.810986905354667</v>
      </c>
      <c r="X179" s="157">
        <f t="shared" si="60"/>
        <v>45091</v>
      </c>
      <c r="Y179" s="387">
        <f t="shared" si="61"/>
        <v>45.021364085937321</v>
      </c>
      <c r="Z179" s="387">
        <f t="shared" si="62"/>
        <v>46.923296233324777</v>
      </c>
      <c r="AA179" s="388">
        <f t="shared" si="63"/>
        <v>50.833619948193942</v>
      </c>
      <c r="AB179" s="199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7.692396722590851E-2</v>
      </c>
      <c r="AD179" s="233">
        <f>(INDEX(Models!$BJ179:$BT179,,AH179)*(1-AF179)+INDEX(Models!$BJ179:$BT179,,AH179+1)*AF179-ERP_i)*AE179*Ramure*Pc/MaxiM</f>
        <v>2.6424439154729601E-4</v>
      </c>
      <c r="AE179" s="307">
        <f t="shared" si="65"/>
        <v>1</v>
      </c>
      <c r="AF179" s="179">
        <f t="shared" si="66"/>
        <v>7.8156019032933788E-2</v>
      </c>
      <c r="AG179" s="837">
        <f t="shared" si="74"/>
        <v>1</v>
      </c>
      <c r="AH179" s="178">
        <f t="shared" si="67"/>
        <v>7</v>
      </c>
      <c r="AI179" s="227">
        <f t="shared" si="68"/>
        <v>1.0781560190329338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45092</v>
      </c>
      <c r="B180" s="1139">
        <f>IF(t&gt;Tmaj,'2022'!Wh/'2022'!Env_an*'2023'!Env_an,0.001*'[8]mon-tableau'!$B$216)</f>
        <v>55.287842337905388</v>
      </c>
      <c r="C180" s="866"/>
      <c r="D180" s="395">
        <f t="shared" si="50"/>
        <v>57.624823926769011</v>
      </c>
      <c r="E180" s="387">
        <f t="shared" si="75"/>
        <v>60.060429444180095</v>
      </c>
      <c r="F180" s="387">
        <f t="shared" si="51"/>
        <v>60.074310665697141</v>
      </c>
      <c r="G180" s="110">
        <f t="shared" si="76"/>
        <v>0.92522836627778993</v>
      </c>
      <c r="H180" s="414" t="b">
        <f>Wh_hp&gt;='2022'!Maxi_hp</f>
        <v>0</v>
      </c>
      <c r="I180" s="392">
        <f>IF(H180,Wh_hp,'2022'!Maxi_hp)</f>
        <v>60.074800201950083</v>
      </c>
      <c r="J180" s="85">
        <f>IF(H180,An,'2022'!An_max)</f>
        <v>2022</v>
      </c>
      <c r="K180" s="199">
        <f t="shared" si="52"/>
        <v>45092</v>
      </c>
      <c r="L180" s="147">
        <f>IF(t&lt;Tvie,1-EXP((T0-t)*PertePVj)+'2022'!Pspv,1-EXP((T0-t)*PertePVj)+Pspv)</f>
        <v>4.0555118950706293E-2</v>
      </c>
      <c r="M180" s="870"/>
      <c r="N180" s="870"/>
      <c r="O180" s="48">
        <f>IF(t&lt;Tnet,'2022'!Resal+('2022'!Salim-'2022'!Resal)*(1-EXP(('2022'!Tnet-t)/('2022'!Tau_j))),Resal+(Salim-Resal)*(1-EXP((Tnet-t)/(Tau_j))))*Salcycl</f>
        <v>4.0552582456552834E-2</v>
      </c>
      <c r="P180" s="171">
        <f>(INDEX(Models!$BJ180:$BT180,,T180)*(1-R180)+INDEX(Models!$BJ180:$BT180,,T180+1)*R180-ERP_i)*Q180*Ramure*Pc/MaxiM</f>
        <v>2.5869051070003337E-4</v>
      </c>
      <c r="Q180" s="307">
        <f t="shared" si="53"/>
        <v>1</v>
      </c>
      <c r="R180" s="179">
        <f t="shared" si="54"/>
        <v>8.5298704998929775E-2</v>
      </c>
      <c r="S180" s="837">
        <f t="shared" si="55"/>
        <v>1</v>
      </c>
      <c r="T180" s="178">
        <f t="shared" si="56"/>
        <v>7</v>
      </c>
      <c r="U180" s="253">
        <f t="shared" si="57"/>
        <v>1.0852987049989298</v>
      </c>
      <c r="V180" s="385">
        <f t="shared" si="58"/>
        <v>59.754236666315926</v>
      </c>
      <c r="W180" s="404">
        <f t="shared" si="59"/>
        <v>55.287842337905388</v>
      </c>
      <c r="X180" s="157">
        <f t="shared" si="60"/>
        <v>45092</v>
      </c>
      <c r="Y180" s="387">
        <f t="shared" si="61"/>
        <v>53.175363721686033</v>
      </c>
      <c r="Z180" s="387">
        <f t="shared" si="62"/>
        <v>55.423052196110497</v>
      </c>
      <c r="AA180" s="388">
        <f t="shared" si="63"/>
        <v>60.060429444180095</v>
      </c>
      <c r="AB180" s="199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7.7211856308479335E-2</v>
      </c>
      <c r="AD180" s="233">
        <f>(INDEX(Models!$BJ180:$BT180,,AH180)*(1-AF180)+INDEX(Models!$BJ180:$BT180,,AH180+1)*AF180-ERP_i)*AE180*Ramure*Pc/MaxiM</f>
        <v>2.5869051070003337E-4</v>
      </c>
      <c r="AE180" s="307">
        <f t="shared" si="65"/>
        <v>1</v>
      </c>
      <c r="AF180" s="179">
        <f t="shared" si="66"/>
        <v>8.5298704998929775E-2</v>
      </c>
      <c r="AG180" s="837">
        <f t="shared" si="74"/>
        <v>1</v>
      </c>
      <c r="AH180" s="178">
        <f t="shared" si="67"/>
        <v>7</v>
      </c>
      <c r="AI180" s="227">
        <f t="shared" si="68"/>
        <v>1.0852987049989298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45093</v>
      </c>
      <c r="B181" s="1139">
        <f>IF(t&gt;Tmaj,'2022'!Wh/'2022'!Env_an*'2023'!Env_an,0.001*'[8]mon-tableau'!$B$217)</f>
        <v>51.322690491789373</v>
      </c>
      <c r="C181" s="866"/>
      <c r="D181" s="395">
        <f t="shared" si="50"/>
        <v>53.493312526134439</v>
      </c>
      <c r="E181" s="387">
        <f t="shared" si="75"/>
        <v>55.772906312169141</v>
      </c>
      <c r="F181" s="387">
        <f t="shared" si="51"/>
        <v>55.784237295389886</v>
      </c>
      <c r="G181" s="110">
        <f t="shared" si="76"/>
        <v>0.85965215005519391</v>
      </c>
      <c r="H181" s="414" t="b">
        <f>Wh_hp&gt;='2022'!Maxi_hp</f>
        <v>0</v>
      </c>
      <c r="I181" s="392">
        <f>IF(H181,Wh_hp,'2022'!Maxi_hp)</f>
        <v>65.146942528286331</v>
      </c>
      <c r="J181" s="85">
        <f>IF(H181,An,'2022'!An_max)</f>
        <v>2019</v>
      </c>
      <c r="K181" s="199">
        <f t="shared" si="52"/>
        <v>45093</v>
      </c>
      <c r="L181" s="147">
        <f>IF(t&lt;Tvie,1-EXP((T0-t)*PertePVj)+'2022'!Pspv,1-EXP((T0-t)*PertePVj)+Pspv)</f>
        <v>4.057744663474705E-2</v>
      </c>
      <c r="M181" s="870"/>
      <c r="N181" s="870"/>
      <c r="O181" s="48">
        <f>IF(t&lt;Tnet,'2022'!Resal+('2022'!Salim-'2022'!Resal)*(1-EXP(('2022'!Tnet-t)/('2022'!Tau_j))),Resal+(Salim-Resal)*(1-EXP((Tnet-t)/(Tau_j))))*Salcycl</f>
        <v>4.0872781010827759E-2</v>
      </c>
      <c r="P181" s="171">
        <f>(INDEX(Models!$BJ181:$BT181,,T181)*(1-R181)+INDEX(Models!$BJ181:$BT181,,T181+1)*R181-ERP_i)*Q181*Ramure*Pc/MaxiM</f>
        <v>2.5403993065415824E-4</v>
      </c>
      <c r="Q181" s="307">
        <f t="shared" si="53"/>
        <v>1</v>
      </c>
      <c r="R181" s="179">
        <f t="shared" si="54"/>
        <v>9.2411406217310477E-2</v>
      </c>
      <c r="S181" s="837">
        <f t="shared" si="55"/>
        <v>1</v>
      </c>
      <c r="T181" s="178">
        <f t="shared" si="56"/>
        <v>7</v>
      </c>
      <c r="U181" s="253">
        <f t="shared" si="57"/>
        <v>1.0924114062173105</v>
      </c>
      <c r="V181" s="385">
        <f t="shared" si="58"/>
        <v>59.698654498290779</v>
      </c>
      <c r="W181" s="404">
        <f t="shared" si="59"/>
        <v>51.322690491789373</v>
      </c>
      <c r="X181" s="157">
        <f t="shared" si="60"/>
        <v>45093</v>
      </c>
      <c r="Y181" s="387">
        <f t="shared" si="61"/>
        <v>49.362909978294013</v>
      </c>
      <c r="Z181" s="387">
        <f t="shared" si="62"/>
        <v>51.450645813098284</v>
      </c>
      <c r="AA181" s="388">
        <f t="shared" si="63"/>
        <v>55.772906312169141</v>
      </c>
      <c r="AB181" s="199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7.7497494480178841E-2</v>
      </c>
      <c r="AD181" s="233">
        <f>(INDEX(Models!$BJ181:$BT181,,AH181)*(1-AF181)+INDEX(Models!$BJ181:$BT181,,AH181+1)*AF181-ERP_i)*AE181*Ramure*Pc/MaxiM</f>
        <v>2.5403993065415824E-4</v>
      </c>
      <c r="AE181" s="307">
        <f t="shared" si="65"/>
        <v>1</v>
      </c>
      <c r="AF181" s="179">
        <f t="shared" si="66"/>
        <v>9.2411406217310477E-2</v>
      </c>
      <c r="AG181" s="837">
        <f t="shared" si="74"/>
        <v>1</v>
      </c>
      <c r="AH181" s="178">
        <f t="shared" si="67"/>
        <v>7</v>
      </c>
      <c r="AI181" s="227">
        <f t="shared" si="68"/>
        <v>1.0924114062173105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45094</v>
      </c>
      <c r="B182" s="1139">
        <f>IF(t&gt;Tmaj,'2022'!Wh/'2022'!Env_an*'2023'!Env_an,0.001*'[8]mon-tableau'!$B$218)</f>
        <v>52.943618866404073</v>
      </c>
      <c r="C182" s="866"/>
      <c r="D182" s="395">
        <f t="shared" si="50"/>
        <v>55.18408003306282</v>
      </c>
      <c r="E182" s="387">
        <f t="shared" si="75"/>
        <v>57.554865833691743</v>
      </c>
      <c r="F182" s="387">
        <f t="shared" si="51"/>
        <v>57.566964497998399</v>
      </c>
      <c r="G182" s="110">
        <f t="shared" si="76"/>
        <v>0.88768742011170421</v>
      </c>
      <c r="H182" s="414" t="b">
        <f>Wh_hp&gt;='2022'!Maxi_hp</f>
        <v>0</v>
      </c>
      <c r="I182" s="392">
        <f>IF(H182,Wh_hp,'2022'!Maxi_hp)</f>
        <v>64.280395132327001</v>
      </c>
      <c r="J182" s="85">
        <f>IF(H182,An,'2022'!An_max)</f>
        <v>2019</v>
      </c>
      <c r="K182" s="199">
        <f t="shared" si="52"/>
        <v>45094</v>
      </c>
      <c r="L182" s="147">
        <f>IF(t&lt;Tvie,1-EXP((T0-t)*PertePVj)+'2022'!Pspv,1-EXP((T0-t)*PertePVj)+Pspv)</f>
        <v>4.0599773799189998E-2</v>
      </c>
      <c r="M182" s="870"/>
      <c r="N182" s="870"/>
      <c r="O182" s="48">
        <f>IF(t&lt;Tnet,'2022'!Resal+('2022'!Salim-'2022'!Resal)*(1-EXP(('2022'!Tnet-t)/('2022'!Tau_j))),Resal+(Salim-Resal)*(1-EXP((Tnet-t)/(Tau_j))))*Salcycl</f>
        <v>4.1191752709135901E-2</v>
      </c>
      <c r="P182" s="171">
        <f>(INDEX(Models!$BJ182:$BT182,,T182)*(1-R182)+INDEX(Models!$BJ182:$BT182,,T182+1)*R182-ERP_i)*Q182*Ramure*Pc/MaxiM</f>
        <v>2.5031645464863975E-4</v>
      </c>
      <c r="Q182" s="307">
        <f t="shared" si="53"/>
        <v>1</v>
      </c>
      <c r="R182" s="179">
        <f t="shared" si="54"/>
        <v>9.9488346758834112E-2</v>
      </c>
      <c r="S182" s="837">
        <f t="shared" si="55"/>
        <v>1</v>
      </c>
      <c r="T182" s="178">
        <f t="shared" si="56"/>
        <v>7</v>
      </c>
      <c r="U182" s="253">
        <f t="shared" si="57"/>
        <v>1.0994883467588341</v>
      </c>
      <c r="V182" s="385">
        <f t="shared" si="58"/>
        <v>59.639791611009912</v>
      </c>
      <c r="W182" s="404">
        <f t="shared" si="59"/>
        <v>52.943618866404073</v>
      </c>
      <c r="X182" s="157">
        <f t="shared" si="60"/>
        <v>45094</v>
      </c>
      <c r="Y182" s="387">
        <f t="shared" si="61"/>
        <v>50.923238857448169</v>
      </c>
      <c r="Z182" s="387">
        <f t="shared" si="62"/>
        <v>53.078201846066207</v>
      </c>
      <c r="AA182" s="388">
        <f t="shared" si="63"/>
        <v>57.554865833691743</v>
      </c>
      <c r="AB182" s="199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7.7780808325765574E-2</v>
      </c>
      <c r="AD182" s="233">
        <f>(INDEX(Models!$BJ182:$BT182,,AH182)*(1-AF182)+INDEX(Models!$BJ182:$BT182,,AH182+1)*AF182-ERP_i)*AE182*Ramure*Pc/MaxiM</f>
        <v>2.5031645464863975E-4</v>
      </c>
      <c r="AE182" s="307">
        <f t="shared" si="65"/>
        <v>1</v>
      </c>
      <c r="AF182" s="179">
        <f t="shared" si="66"/>
        <v>9.9488346758834112E-2</v>
      </c>
      <c r="AG182" s="837">
        <f t="shared" si="74"/>
        <v>1</v>
      </c>
      <c r="AH182" s="178">
        <f t="shared" si="67"/>
        <v>7</v>
      </c>
      <c r="AI182" s="227">
        <f t="shared" si="68"/>
        <v>1.0994883467588341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45095</v>
      </c>
      <c r="B183" s="1139">
        <f>IF(t&gt;Tmaj,'2022'!Wh/'2022'!Env_an*'2023'!Env_an,0.001*'[8]mon-tableau'!$B$219)</f>
        <v>55.036737297284276</v>
      </c>
      <c r="C183" s="866"/>
      <c r="D183" s="395">
        <f t="shared" si="50"/>
        <v>57.367109793500539</v>
      </c>
      <c r="E183" s="387">
        <f t="shared" si="75"/>
        <v>59.851512973624743</v>
      </c>
      <c r="F183" s="387">
        <f t="shared" si="51"/>
        <v>59.864718507569663</v>
      </c>
      <c r="G183" s="110">
        <f t="shared" si="76"/>
        <v>0.9237534286247967</v>
      </c>
      <c r="H183" s="414" t="b">
        <f>Wh_hp&gt;='2022'!Maxi_hp</f>
        <v>0</v>
      </c>
      <c r="I183" s="392">
        <f>IF(H183,Wh_hp,'2022'!Maxi_hp)</f>
        <v>62.624362697411456</v>
      </c>
      <c r="J183" s="85">
        <f>IF(H183,An,'2022'!An_max)</f>
        <v>2019</v>
      </c>
      <c r="K183" s="199">
        <f t="shared" si="52"/>
        <v>45095</v>
      </c>
      <c r="L183" s="147">
        <f>IF(t&lt;Tvie,1-EXP((T0-t)*PertePVj)+'2022'!Pspv,1-EXP((T0-t)*PertePVj)+Pspv)</f>
        <v>4.0622100444047238E-2</v>
      </c>
      <c r="M183" s="870"/>
      <c r="N183" s="870"/>
      <c r="O183" s="48">
        <f>IF(t&lt;Tnet,'2022'!Resal+('2022'!Salim-'2022'!Resal)*(1-EXP(('2022'!Tnet-t)/('2022'!Tau_j))),Resal+(Salim-Resal)*(1-EXP((Tnet-t)/(Tau_j))))*Salcycl</f>
        <v>4.1509446573539853E-2</v>
      </c>
      <c r="P183" s="171">
        <f>(INDEX(Models!$BJ183:$BT183,,T183)*(1-R183)+INDEX(Models!$BJ183:$BT183,,T183+1)*R183-ERP_i)*Q183*Ramure*Pc/MaxiM</f>
        <v>2.4754421124628694E-4</v>
      </c>
      <c r="Q183" s="307">
        <f t="shared" si="53"/>
        <v>1</v>
      </c>
      <c r="R183" s="179">
        <f t="shared" si="54"/>
        <v>0.10652386865401486</v>
      </c>
      <c r="S183" s="837">
        <f t="shared" si="55"/>
        <v>1</v>
      </c>
      <c r="T183" s="178">
        <f t="shared" si="56"/>
        <v>7</v>
      </c>
      <c r="U183" s="253">
        <f t="shared" si="57"/>
        <v>1.1065238686540149</v>
      </c>
      <c r="V183" s="385">
        <f t="shared" si="58"/>
        <v>59.577861115716658</v>
      </c>
      <c r="W183" s="404">
        <f t="shared" si="59"/>
        <v>55.036737297284276</v>
      </c>
      <c r="X183" s="157">
        <f t="shared" si="60"/>
        <v>45095</v>
      </c>
      <c r="Y183" s="387">
        <f t="shared" si="61"/>
        <v>52.937897126910258</v>
      </c>
      <c r="Z183" s="387">
        <f t="shared" si="62"/>
        <v>55.179400266998563</v>
      </c>
      <c r="AA183" s="388">
        <f t="shared" si="63"/>
        <v>59.851512973624743</v>
      </c>
      <c r="AB183" s="199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7.8061731015639957E-2</v>
      </c>
      <c r="AD183" s="233">
        <f>(INDEX(Models!$BJ183:$BT183,,AH183)*(1-AF183)+INDEX(Models!$BJ183:$BT183,,AH183+1)*AF183-ERP_i)*AE183*Ramure*Pc/MaxiM</f>
        <v>2.4754421124628694E-4</v>
      </c>
      <c r="AE183" s="307">
        <f t="shared" si="65"/>
        <v>1</v>
      </c>
      <c r="AF183" s="179">
        <f t="shared" si="66"/>
        <v>0.10652386865401486</v>
      </c>
      <c r="AG183" s="837">
        <f t="shared" si="74"/>
        <v>1</v>
      </c>
      <c r="AH183" s="178">
        <f t="shared" si="67"/>
        <v>7</v>
      </c>
      <c r="AI183" s="227">
        <f t="shared" si="68"/>
        <v>1.1065238686540149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45096</v>
      </c>
      <c r="B184" s="1139">
        <f>IF(t&gt;Tmaj,'2022'!Wh/'2022'!Env_an*'2023'!Env_an,0.001*'[8]mon-tableau'!$B$220)</f>
        <v>56.399621488537782</v>
      </c>
      <c r="C184" s="866"/>
      <c r="D184" s="395">
        <f t="shared" si="50"/>
        <v>58.789069507202562</v>
      </c>
      <c r="E184" s="387">
        <f t="shared" si="75"/>
        <v>61.355305143990776</v>
      </c>
      <c r="F184" s="387">
        <f t="shared" si="51"/>
        <v>61.369279970120509</v>
      </c>
      <c r="G184" s="110">
        <f t="shared" si="76"/>
        <v>0.94766744557030347</v>
      </c>
      <c r="H184" s="414" t="b">
        <f>Wh_hp&gt;='2022'!Maxi_hp</f>
        <v>0</v>
      </c>
      <c r="I184" s="392">
        <f>IF(H184,Wh_hp,'2022'!Maxi_hp)</f>
        <v>61.369602347085966</v>
      </c>
      <c r="J184" s="85">
        <f>IF(H184,An,'2022'!An_max)</f>
        <v>2022</v>
      </c>
      <c r="K184" s="199">
        <f t="shared" si="52"/>
        <v>45096</v>
      </c>
      <c r="L184" s="147">
        <f>IF(t&lt;Tvie,1-EXP((T0-t)*PertePVj)+'2022'!Pspv,1-EXP((T0-t)*PertePVj)+Pspv)</f>
        <v>4.064442656933076E-2</v>
      </c>
      <c r="M184" s="870"/>
      <c r="N184" s="870"/>
      <c r="O184" s="48">
        <f>IF(t&lt;Tnet,'2022'!Resal+('2022'!Salim-'2022'!Resal)*(1-EXP(('2022'!Tnet-t)/('2022'!Tau_j))),Resal+(Salim-Resal)*(1-EXP((Tnet-t)/(Tau_j))))*Salcycl</f>
        <v>4.1825814911451986E-2</v>
      </c>
      <c r="P184" s="171">
        <f>(INDEX(Models!$BJ184:$BT184,,T184)*(1-R184)+INDEX(Models!$BJ184:$BT184,,T184+1)*R184-ERP_i)*Q184*Ramure*Pc/MaxiM</f>
        <v>2.461102300237976E-4</v>
      </c>
      <c r="Q184" s="307">
        <f t="shared" si="53"/>
        <v>1</v>
      </c>
      <c r="R184" s="179">
        <f t="shared" si="54"/>
        <v>0.11351244943419236</v>
      </c>
      <c r="S184" s="837">
        <f t="shared" si="55"/>
        <v>1</v>
      </c>
      <c r="T184" s="178">
        <f t="shared" si="56"/>
        <v>7</v>
      </c>
      <c r="U184" s="253">
        <f t="shared" si="57"/>
        <v>1.1135124494341924</v>
      </c>
      <c r="V184" s="385">
        <f t="shared" si="58"/>
        <v>59.513054017683821</v>
      </c>
      <c r="W184" s="404">
        <f t="shared" si="59"/>
        <v>56.399621488537782</v>
      </c>
      <c r="X184" s="157">
        <f t="shared" si="60"/>
        <v>45096</v>
      </c>
      <c r="Y184" s="387">
        <f t="shared" si="61"/>
        <v>54.250327891872885</v>
      </c>
      <c r="Z184" s="387">
        <f t="shared" si="62"/>
        <v>56.548718112798298</v>
      </c>
      <c r="AA184" s="388">
        <f t="shared" si="63"/>
        <v>61.355305143990776</v>
      </c>
      <c r="AB184" s="199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7.8340202528733457E-2</v>
      </c>
      <c r="AD184" s="233">
        <f>(INDEX(Models!$BJ184:$BT184,,AH184)*(1-AF184)+INDEX(Models!$BJ184:$BT184,,AH184+1)*AF184-ERP_i)*AE184*Ramure*Pc/MaxiM</f>
        <v>2.461102300237976E-4</v>
      </c>
      <c r="AE184" s="307">
        <f t="shared" si="65"/>
        <v>1</v>
      </c>
      <c r="AF184" s="179">
        <f t="shared" si="66"/>
        <v>0.11351244943419236</v>
      </c>
      <c r="AG184" s="837">
        <f t="shared" si="74"/>
        <v>1</v>
      </c>
      <c r="AH184" s="178">
        <f t="shared" si="67"/>
        <v>7</v>
      </c>
      <c r="AI184" s="227">
        <f t="shared" si="68"/>
        <v>1.1135124494341924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45097</v>
      </c>
      <c r="B185" s="1139">
        <f>IF(t&gt;Tmaj,'2022'!Wh/'2022'!Env_an*'2023'!Env_an,0.001*'[8]mon-tableau'!$B$221)</f>
        <v>33.490790642581828</v>
      </c>
      <c r="C185" s="866"/>
      <c r="D185" s="395">
        <f t="shared" si="50"/>
        <v>34.910486755790004</v>
      </c>
      <c r="E185" s="387">
        <f t="shared" si="75"/>
        <v>36.446366279704669</v>
      </c>
      <c r="F185" s="387">
        <f t="shared" si="51"/>
        <v>36.449731428883311</v>
      </c>
      <c r="G185" s="110">
        <f t="shared" si="76"/>
        <v>0.56329908321887856</v>
      </c>
      <c r="H185" s="414" t="b">
        <f>Wh_hp&gt;='2022'!Maxi_hp</f>
        <v>0</v>
      </c>
      <c r="I185" s="392">
        <f>IF(H185,Wh_hp,'2022'!Maxi_hp)</f>
        <v>61.978111723562009</v>
      </c>
      <c r="J185" s="85">
        <f>IF(H185,An,'2022'!An_max)</f>
        <v>2020</v>
      </c>
      <c r="K185" s="199">
        <f t="shared" si="52"/>
        <v>45097</v>
      </c>
      <c r="L185" s="147">
        <f>IF(t&lt;Tvie,1-EXP((T0-t)*PertePVj)+'2022'!Pspv,1-EXP((T0-t)*PertePVj)+Pspv)</f>
        <v>4.0666752175052778E-2</v>
      </c>
      <c r="M185" s="870"/>
      <c r="N185" s="870"/>
      <c r="O185" s="48">
        <f>IF(t&lt;Tnet,'2022'!Resal+('2022'!Salim-'2022'!Resal)*(1-EXP(('2022'!Tnet-t)/('2022'!Tau_j))),Resal+(Salim-Resal)*(1-EXP((Tnet-t)/(Tau_j))))*Salcycl</f>
        <v>4.2140813493660223E-2</v>
      </c>
      <c r="P185" s="171">
        <f>(INDEX(Models!$BJ185:$BT185,,T185)*(1-R185)+INDEX(Models!$BJ185:$BT185,,T185+1)*R185-ERP_i)*Q185*Ramure*Pc/MaxiM</f>
        <v>2.4536718087033875E-4</v>
      </c>
      <c r="Q185" s="307">
        <f t="shared" si="53"/>
        <v>1</v>
      </c>
      <c r="R185" s="179">
        <f t="shared" si="54"/>
        <v>0.12044871874210772</v>
      </c>
      <c r="S185" s="837">
        <f t="shared" si="55"/>
        <v>1</v>
      </c>
      <c r="T185" s="178">
        <f t="shared" si="56"/>
        <v>7</v>
      </c>
      <c r="U185" s="253">
        <f t="shared" si="57"/>
        <v>1.1204487187421077</v>
      </c>
      <c r="V185" s="385">
        <f t="shared" si="58"/>
        <v>59.445622399977111</v>
      </c>
      <c r="W185" s="404">
        <f t="shared" si="59"/>
        <v>33.490790642581828</v>
      </c>
      <c r="X185" s="157">
        <f t="shared" si="60"/>
        <v>45097</v>
      </c>
      <c r="Y185" s="387">
        <f t="shared" si="61"/>
        <v>32.215458589474594</v>
      </c>
      <c r="Z185" s="387">
        <f t="shared" si="62"/>
        <v>33.581092558310935</v>
      </c>
      <c r="AA185" s="388">
        <f t="shared" si="63"/>
        <v>36.446366279704669</v>
      </c>
      <c r="AB185" s="199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7.8616169837191122E-2</v>
      </c>
      <c r="AD185" s="233">
        <f>(INDEX(Models!$BJ185:$BT185,,AH185)*(1-AF185)+INDEX(Models!$BJ185:$BT185,,AH185+1)*AF185-ERP_i)*AE185*Ramure*Pc/MaxiM</f>
        <v>2.4536718087033875E-4</v>
      </c>
      <c r="AE185" s="307">
        <f t="shared" si="65"/>
        <v>1</v>
      </c>
      <c r="AF185" s="179">
        <f t="shared" si="66"/>
        <v>0.12044871874210772</v>
      </c>
      <c r="AG185" s="837">
        <f t="shared" si="74"/>
        <v>1</v>
      </c>
      <c r="AH185" s="178">
        <f t="shared" si="67"/>
        <v>7</v>
      </c>
      <c r="AI185" s="227">
        <f t="shared" si="68"/>
        <v>1.1204487187421077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45098</v>
      </c>
      <c r="B186" s="1139">
        <f>IF(t&gt;Tmaj,'2022'!Wh/'2022'!Env_an*'2023'!Env_an,0.001*'[8]mon-tableau'!$B$222)</f>
        <v>19.882859267305996</v>
      </c>
      <c r="C186" s="866"/>
      <c r="D186" s="395">
        <f t="shared" si="50"/>
        <v>20.72618876322354</v>
      </c>
      <c r="E186" s="387">
        <f t="shared" si="75"/>
        <v>21.645119355436087</v>
      </c>
      <c r="F186" s="387">
        <f t="shared" si="51"/>
        <v>21.645383848489729</v>
      </c>
      <c r="G186" s="110">
        <f t="shared" si="76"/>
        <v>0.33478675767909977</v>
      </c>
      <c r="H186" s="414" t="b">
        <f>Wh_hp&gt;='2022'!Maxi_hp</f>
        <v>0</v>
      </c>
      <c r="I186" s="392">
        <f>IF(H186,Wh_hp,'2022'!Maxi_hp)</f>
        <v>55.551816026089647</v>
      </c>
      <c r="J186" s="85">
        <f>IF(H186,An,'2022'!An_max)</f>
        <v>2020</v>
      </c>
      <c r="K186" s="199">
        <f t="shared" si="52"/>
        <v>45098</v>
      </c>
      <c r="L186" s="147">
        <f>IF(t&lt;Tvie,1-EXP((T0-t)*PertePVj)+'2022'!Pspv,1-EXP((T0-t)*PertePVj)+Pspv)</f>
        <v>4.0689077261225393E-2</v>
      </c>
      <c r="M186" s="870"/>
      <c r="N186" s="870"/>
      <c r="O186" s="48">
        <f>IF(t&lt;Tnet,'2022'!Resal+('2022'!Salim-'2022'!Resal)*(1-EXP(('2022'!Tnet-t)/('2022'!Tau_j))),Resal+(Salim-Resal)*(1-EXP((Tnet-t)/(Tau_j))))*Salcycl</f>
        <v>4.2454401711661711E-2</v>
      </c>
      <c r="P186" s="171">
        <f>(INDEX(Models!$BJ186:$BT186,,T186)*(1-R186)+INDEX(Models!$BJ186:$BT186,,T186+1)*R186-ERP_i)*Q186*Ramure*Pc/MaxiM</f>
        <v>2.4533503996512974E-4</v>
      </c>
      <c r="Q186" s="307">
        <f t="shared" si="53"/>
        <v>1</v>
      </c>
      <c r="R186" s="179">
        <f t="shared" si="54"/>
        <v>0.12732747391158505</v>
      </c>
      <c r="S186" s="837">
        <f t="shared" si="55"/>
        <v>1</v>
      </c>
      <c r="T186" s="178">
        <f t="shared" si="56"/>
        <v>7</v>
      </c>
      <c r="U186" s="253">
        <f t="shared" si="57"/>
        <v>1.1273274739115851</v>
      </c>
      <c r="V186" s="385">
        <f t="shared" si="58"/>
        <v>59.375778010176568</v>
      </c>
      <c r="W186" s="404">
        <f t="shared" si="59"/>
        <v>19.882859267305996</v>
      </c>
      <c r="X186" s="157">
        <f t="shared" si="60"/>
        <v>45098</v>
      </c>
      <c r="Y186" s="387">
        <f t="shared" si="61"/>
        <v>19.126304525909251</v>
      </c>
      <c r="Z186" s="387">
        <f t="shared" si="62"/>
        <v>19.937544827807038</v>
      </c>
      <c r="AA186" s="388">
        <f t="shared" si="63"/>
        <v>21.645119355436087</v>
      </c>
      <c r="AB186" s="199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7.8889587051419852E-2</v>
      </c>
      <c r="AD186" s="233">
        <f>(INDEX(Models!$BJ186:$BT186,,AH186)*(1-AF186)+INDEX(Models!$BJ186:$BT186,,AH186+1)*AF186-ERP_i)*AE186*Ramure*Pc/MaxiM</f>
        <v>2.4533503996512974E-4</v>
      </c>
      <c r="AE186" s="307">
        <f t="shared" si="65"/>
        <v>1</v>
      </c>
      <c r="AF186" s="179">
        <f t="shared" si="66"/>
        <v>0.12732747391158505</v>
      </c>
      <c r="AG186" s="837">
        <f t="shared" si="74"/>
        <v>1</v>
      </c>
      <c r="AH186" s="178">
        <f t="shared" si="67"/>
        <v>7</v>
      </c>
      <c r="AI186" s="227">
        <f t="shared" si="68"/>
        <v>1.1273274739115851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45099</v>
      </c>
      <c r="B187" s="1139">
        <f>IF(t&gt;Tmaj,'2022'!Wh/'2022'!Env_an*'2023'!Env_an,0.001*'[8]mon-tableau'!$B$223)</f>
        <v>48.016703073186029</v>
      </c>
      <c r="C187" s="866"/>
      <c r="D187" s="395">
        <f t="shared" si="50"/>
        <v>50.054491593748388</v>
      </c>
      <c r="E187" s="387">
        <f t="shared" si="75"/>
        <v>52.290787803863758</v>
      </c>
      <c r="F187" s="387">
        <f t="shared" si="51"/>
        <v>52.300156784975449</v>
      </c>
      <c r="G187" s="110">
        <f t="shared" si="76"/>
        <v>0.80962004841095447</v>
      </c>
      <c r="H187" s="414" t="b">
        <f>Wh_hp&gt;='2022'!Maxi_hp</f>
        <v>0</v>
      </c>
      <c r="I187" s="392">
        <f>IF(H187,Wh_hp,'2022'!Maxi_hp)</f>
        <v>63.856670121040153</v>
      </c>
      <c r="J187" s="85">
        <f>IF(H187,An,'2022'!An_max)</f>
        <v>2020</v>
      </c>
      <c r="K187" s="199">
        <f t="shared" si="52"/>
        <v>45099</v>
      </c>
      <c r="L187" s="147">
        <f>IF(t&lt;Tvie,1-EXP((T0-t)*PertePVj)+'2022'!Pspv,1-EXP((T0-t)*PertePVj)+Pspv)</f>
        <v>4.0711401827860594E-2</v>
      </c>
      <c r="M187" s="870"/>
      <c r="N187" s="870"/>
      <c r="O187" s="48">
        <f>IF(t&lt;Tnet,'2022'!Resal+('2022'!Salim-'2022'!Resal)*(1-EXP(('2022'!Tnet-t)/('2022'!Tau_j))),Resal+(Salim-Resal)*(1-EXP((Tnet-t)/(Tau_j))))*Salcycl</f>
        <v>4.2766542713095899E-2</v>
      </c>
      <c r="P187" s="171">
        <f>(INDEX(Models!$BJ187:$BT187,,T187)*(1-R187)+INDEX(Models!$BJ187:$BT187,,T187+1)*R187-ERP_i)*Q187*Ramure*Pc/MaxiM</f>
        <v>2.4603378308782445E-4</v>
      </c>
      <c r="Q187" s="307">
        <f t="shared" si="53"/>
        <v>1</v>
      </c>
      <c r="R187" s="179">
        <f t="shared" si="54"/>
        <v>0.13414369442770768</v>
      </c>
      <c r="S187" s="837">
        <f t="shared" si="55"/>
        <v>1</v>
      </c>
      <c r="T187" s="178">
        <f t="shared" si="56"/>
        <v>7</v>
      </c>
      <c r="U187" s="253">
        <f t="shared" si="57"/>
        <v>1.1341436944277077</v>
      </c>
      <c r="V187" s="385">
        <f t="shared" si="58"/>
        <v>59.303732052665275</v>
      </c>
      <c r="W187" s="404">
        <f t="shared" si="59"/>
        <v>48.016703073186029</v>
      </c>
      <c r="X187" s="157">
        <f t="shared" si="60"/>
        <v>45099</v>
      </c>
      <c r="Y187" s="387">
        <f t="shared" si="61"/>
        <v>46.191115207279644</v>
      </c>
      <c r="Z187" s="387">
        <f t="shared" si="62"/>
        <v>48.151427313212878</v>
      </c>
      <c r="AA187" s="388">
        <f t="shared" si="63"/>
        <v>52.290787803863758</v>
      </c>
      <c r="AB187" s="199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7.916041552437704E-2</v>
      </c>
      <c r="AD187" s="233">
        <f>(INDEX(Models!$BJ187:$BT187,,AH187)*(1-AF187)+INDEX(Models!$BJ187:$BT187,,AH187+1)*AF187-ERP_i)*AE187*Ramure*Pc/MaxiM</f>
        <v>2.4603378308782445E-4</v>
      </c>
      <c r="AE187" s="307">
        <f t="shared" si="65"/>
        <v>1</v>
      </c>
      <c r="AF187" s="179">
        <f t="shared" si="66"/>
        <v>0.13414369442770768</v>
      </c>
      <c r="AG187" s="837">
        <f t="shared" si="74"/>
        <v>1</v>
      </c>
      <c r="AH187" s="178">
        <f t="shared" si="67"/>
        <v>7</v>
      </c>
      <c r="AI187" s="227">
        <f t="shared" si="68"/>
        <v>1.1341436944277077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45100</v>
      </c>
      <c r="B188" s="1139">
        <f>IF(t&gt;Tmaj,'2022'!Wh/'2022'!Env_an*'2023'!Env_an,0.001*'[8]mon-tableau'!$B$224)</f>
        <v>42.550788855815746</v>
      </c>
      <c r="C188" s="866"/>
      <c r="D188" s="395">
        <f t="shared" si="50"/>
        <v>44.357640838178504</v>
      </c>
      <c r="E188" s="387">
        <f t="shared" si="75"/>
        <v>46.354461405955789</v>
      </c>
      <c r="F188" s="387">
        <f t="shared" si="51"/>
        <v>46.361319351269252</v>
      </c>
      <c r="G188" s="110">
        <f t="shared" si="76"/>
        <v>0.71833143419092138</v>
      </c>
      <c r="H188" s="414" t="b">
        <f>Wh_hp&gt;='2022'!Maxi_hp</f>
        <v>0</v>
      </c>
      <c r="I188" s="392">
        <f>IF(H188,Wh_hp,'2022'!Maxi_hp)</f>
        <v>56.926407326668489</v>
      </c>
      <c r="J188" s="85">
        <f>IF(H188,An,'2022'!An_max)</f>
        <v>2020</v>
      </c>
      <c r="K188" s="199">
        <f t="shared" si="52"/>
        <v>45100</v>
      </c>
      <c r="L188" s="147">
        <f>IF(t&lt;Tvie,1-EXP((T0-t)*PertePVj)+'2022'!Pspv,1-EXP((T0-t)*PertePVj)+Pspv)</f>
        <v>4.0733725874970483E-2</v>
      </c>
      <c r="M188" s="870"/>
      <c r="N188" s="870"/>
      <c r="O188" s="48">
        <f>IF(t&lt;Tnet,'2022'!Resal+('2022'!Salim-'2022'!Resal)*(1-EXP(('2022'!Tnet-t)/('2022'!Tau_j))),Resal+(Salim-Resal)*(1-EXP((Tnet-t)/(Tau_j))))*Salcycl</f>
        <v>4.307720351423884E-2</v>
      </c>
      <c r="P188" s="171">
        <f>(INDEX(Models!$BJ188:$BT188,,T188)*(1-R188)+INDEX(Models!$BJ188:$BT188,,T188+1)*R188-ERP_i)*Q188*Ramure*Pc/MaxiM</f>
        <v>2.4748080254554853E-4</v>
      </c>
      <c r="Q188" s="307">
        <f t="shared" si="53"/>
        <v>1</v>
      </c>
      <c r="R188" s="179">
        <f t="shared" si="54"/>
        <v>0.14089255519141841</v>
      </c>
      <c r="S188" s="837">
        <f t="shared" si="55"/>
        <v>1</v>
      </c>
      <c r="T188" s="178">
        <f t="shared" si="56"/>
        <v>7</v>
      </c>
      <c r="U188" s="253">
        <f t="shared" si="57"/>
        <v>1.1408925551914184</v>
      </c>
      <c r="V188" s="385">
        <f t="shared" si="58"/>
        <v>59.229695343298552</v>
      </c>
      <c r="W188" s="404">
        <f t="shared" si="59"/>
        <v>42.550788855815746</v>
      </c>
      <c r="X188" s="157">
        <f t="shared" si="60"/>
        <v>45100</v>
      </c>
      <c r="Y188" s="387">
        <f t="shared" si="61"/>
        <v>40.934376727552078</v>
      </c>
      <c r="Z188" s="387">
        <f t="shared" si="62"/>
        <v>42.672590324192662</v>
      </c>
      <c r="AA188" s="388">
        <f t="shared" si="63"/>
        <v>46.354461405955789</v>
      </c>
      <c r="AB188" s="199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7.9428623914289814E-2</v>
      </c>
      <c r="AD188" s="233">
        <f>(INDEX(Models!$BJ188:$BT188,,AH188)*(1-AF188)+INDEX(Models!$BJ188:$BT188,,AH188+1)*AF188-ERP_i)*AE188*Ramure*Pc/MaxiM</f>
        <v>2.4748080254554853E-4</v>
      </c>
      <c r="AE188" s="307">
        <f t="shared" si="65"/>
        <v>1</v>
      </c>
      <c r="AF188" s="179">
        <f t="shared" si="66"/>
        <v>0.14089255519141841</v>
      </c>
      <c r="AG188" s="837">
        <f t="shared" si="74"/>
        <v>1</v>
      </c>
      <c r="AH188" s="178">
        <f t="shared" si="67"/>
        <v>7</v>
      </c>
      <c r="AI188" s="227">
        <f t="shared" si="68"/>
        <v>1.1408925551914184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45101</v>
      </c>
      <c r="B189" s="1139">
        <f>IF(t&gt;Tmaj,'2022'!Wh/'2022'!Env_an*'2023'!Env_an,0.001*'[8]mon-tableau'!$B$225)</f>
        <v>44.994587259715388</v>
      </c>
      <c r="C189" s="866"/>
      <c r="D189" s="395">
        <f t="shared" si="50"/>
        <v>46.906302856215063</v>
      </c>
      <c r="E189" s="387">
        <f t="shared" si="75"/>
        <v>49.033696211352257</v>
      </c>
      <c r="F189" s="387">
        <f t="shared" si="51"/>
        <v>49.041754313494202</v>
      </c>
      <c r="G189" s="110">
        <f t="shared" si="76"/>
        <v>0.7605713486361394</v>
      </c>
      <c r="H189" s="414" t="b">
        <f>Wh_hp&gt;='2022'!Maxi_hp</f>
        <v>0</v>
      </c>
      <c r="I189" s="392">
        <f>IF(H189,Wh_hp,'2022'!Maxi_hp)</f>
        <v>63.0959882762929</v>
      </c>
      <c r="J189" s="85">
        <f>IF(H189,An,'2022'!An_max)</f>
        <v>2020</v>
      </c>
      <c r="K189" s="199">
        <f t="shared" si="52"/>
        <v>45101</v>
      </c>
      <c r="L189" s="147">
        <f>IF(t&lt;Tvie,1-EXP((T0-t)*PertePVj)+'2022'!Pspv,1-EXP((T0-t)*PertePVj)+Pspv)</f>
        <v>4.0756049402567163E-2</v>
      </c>
      <c r="M189" s="870"/>
      <c r="N189" s="870"/>
      <c r="O189" s="48">
        <f>IF(t&lt;Tnet,'2022'!Resal+('2022'!Salim-'2022'!Resal)*(1-EXP(('2022'!Tnet-t)/('2022'!Tau_j))),Resal+(Salim-Resal)*(1-EXP((Tnet-t)/(Tau_j))))*Salcycl</f>
        <v>4.3386355088700403E-2</v>
      </c>
      <c r="P189" s="171">
        <f>(INDEX(Models!$BJ189:$BT189,,T189)*(1-R189)+INDEX(Models!$BJ189:$BT189,,T189+1)*R189-ERP_i)*Q189*Ramure*Pc/MaxiM</f>
        <v>2.4969316127642288E-4</v>
      </c>
      <c r="Q189" s="307">
        <f t="shared" si="53"/>
        <v>1</v>
      </c>
      <c r="R189" s="179">
        <f t="shared" si="54"/>
        <v>0.14756943852557769</v>
      </c>
      <c r="S189" s="837">
        <f t="shared" si="55"/>
        <v>1</v>
      </c>
      <c r="T189" s="178">
        <f t="shared" si="56"/>
        <v>7</v>
      </c>
      <c r="U189" s="253">
        <f t="shared" si="57"/>
        <v>1.1475694385255777</v>
      </c>
      <c r="V189" s="385">
        <f t="shared" si="58"/>
        <v>59.153878168288877</v>
      </c>
      <c r="W189" s="404">
        <f t="shared" si="59"/>
        <v>44.994587259715388</v>
      </c>
      <c r="X189" s="157">
        <f t="shared" si="60"/>
        <v>45101</v>
      </c>
      <c r="Y189" s="387">
        <f t="shared" si="61"/>
        <v>43.286838291187543</v>
      </c>
      <c r="Z189" s="387">
        <f t="shared" si="62"/>
        <v>45.125995597082259</v>
      </c>
      <c r="AA189" s="388">
        <f t="shared" si="63"/>
        <v>49.033696211352257</v>
      </c>
      <c r="AB189" s="199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7.9694188205320149E-2</v>
      </c>
      <c r="AD189" s="233">
        <f>(INDEX(Models!$BJ189:$BT189,,AH189)*(1-AF189)+INDEX(Models!$BJ189:$BT189,,AH189+1)*AF189-ERP_i)*AE189*Ramure*Pc/MaxiM</f>
        <v>2.4969316127642288E-4</v>
      </c>
      <c r="AE189" s="307">
        <f t="shared" si="65"/>
        <v>1</v>
      </c>
      <c r="AF189" s="179">
        <f t="shared" si="66"/>
        <v>0.14756943852557769</v>
      </c>
      <c r="AG189" s="837">
        <f t="shared" si="74"/>
        <v>1</v>
      </c>
      <c r="AH189" s="178">
        <f t="shared" si="67"/>
        <v>7</v>
      </c>
      <c r="AI189" s="227">
        <f t="shared" si="68"/>
        <v>1.1475694385255777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45102</v>
      </c>
      <c r="B190" s="1139">
        <f>IF(t&gt;Tmaj,'2022'!Wh/'2022'!Env_an*'2023'!Env_an,0.001*'[8]mon-tableau'!$B$226)</f>
        <v>31.51375016550379</v>
      </c>
      <c r="C190" s="866"/>
      <c r="D190" s="395">
        <f t="shared" si="50"/>
        <v>32.853460826047474</v>
      </c>
      <c r="E190" s="387">
        <f t="shared" si="75"/>
        <v>34.354547476382564</v>
      </c>
      <c r="F190" s="387">
        <f t="shared" si="51"/>
        <v>34.357442725282944</v>
      </c>
      <c r="G190" s="110">
        <f t="shared" si="76"/>
        <v>0.533349934100673</v>
      </c>
      <c r="H190" s="414" t="b">
        <f>Wh_hp&gt;='2022'!Maxi_hp</f>
        <v>0</v>
      </c>
      <c r="I190" s="392">
        <f>IF(H190,Wh_hp,'2022'!Maxi_hp)</f>
        <v>58.333269226080525</v>
      </c>
      <c r="J190" s="85">
        <f>IF(H190,An,'2022'!An_max)</f>
        <v>2021</v>
      </c>
      <c r="K190" s="199">
        <f t="shared" si="52"/>
        <v>45102</v>
      </c>
      <c r="L190" s="147">
        <f>IF(t&lt;Tvie,1-EXP((T0-t)*PertePVj)+'2022'!Pspv,1-EXP((T0-t)*PertePVj)+Pspv)</f>
        <v>4.0778372410662844E-2</v>
      </c>
      <c r="M190" s="870"/>
      <c r="N190" s="870"/>
      <c r="O190" s="48">
        <f>IF(t&lt;Tnet,'2022'!Resal+('2022'!Salim-'2022'!Resal)*(1-EXP(('2022'!Tnet-t)/('2022'!Tau_j))),Resal+(Salim-Resal)*(1-EXP((Tnet-t)/(Tau_j))))*Salcycl</f>
        <v>4.3693972431656368E-2</v>
      </c>
      <c r="P190" s="171">
        <f>(INDEX(Models!$BJ190:$BT190,,T190)*(1-R190)+INDEX(Models!$BJ190:$BT190,,T190+1)*R190-ERP_i)*Q190*Ramure*Pc/MaxiM</f>
        <v>2.5269010773632916E-4</v>
      </c>
      <c r="Q190" s="307">
        <f t="shared" si="53"/>
        <v>1</v>
      </c>
      <c r="R190" s="179">
        <f t="shared" si="54"/>
        <v>0.15416994487294389</v>
      </c>
      <c r="S190" s="837">
        <f t="shared" si="55"/>
        <v>1</v>
      </c>
      <c r="T190" s="178">
        <f t="shared" si="56"/>
        <v>7</v>
      </c>
      <c r="U190" s="253">
        <f t="shared" si="57"/>
        <v>1.1541699448729439</v>
      </c>
      <c r="V190" s="385">
        <f t="shared" si="58"/>
        <v>59.076490135329131</v>
      </c>
      <c r="W190" s="404">
        <f t="shared" si="59"/>
        <v>31.51375016550379</v>
      </c>
      <c r="X190" s="157">
        <f t="shared" si="60"/>
        <v>45102</v>
      </c>
      <c r="Y190" s="387">
        <f t="shared" si="61"/>
        <v>30.318748934245438</v>
      </c>
      <c r="Z190" s="387">
        <f t="shared" si="62"/>
        <v>31.607657773981643</v>
      </c>
      <c r="AA190" s="388">
        <f t="shared" si="63"/>
        <v>34.354547476382564</v>
      </c>
      <c r="AB190" s="199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7.9957091686022136E-2</v>
      </c>
      <c r="AD190" s="233">
        <f>(INDEX(Models!$BJ190:$BT190,,AH190)*(1-AF190)+INDEX(Models!$BJ190:$BT190,,AH190+1)*AF190-ERP_i)*AE190*Ramure*Pc/MaxiM</f>
        <v>2.5269010773632916E-4</v>
      </c>
      <c r="AE190" s="307">
        <f t="shared" si="65"/>
        <v>1</v>
      </c>
      <c r="AF190" s="179">
        <f t="shared" si="66"/>
        <v>0.15416994487294389</v>
      </c>
      <c r="AG190" s="837">
        <f t="shared" si="74"/>
        <v>1</v>
      </c>
      <c r="AH190" s="178">
        <f t="shared" si="67"/>
        <v>7</v>
      </c>
      <c r="AI190" s="227">
        <f t="shared" si="68"/>
        <v>1.1541699448729439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45103</v>
      </c>
      <c r="B191" s="1139">
        <f>IF(t&gt;Tmaj,'2022'!Wh/'2022'!Env_an*'2023'!Env_an,0.001*'[8]mon-tableau'!$B$227)</f>
        <v>12.041672487753132</v>
      </c>
      <c r="C191" s="866"/>
      <c r="D191" s="395">
        <f t="shared" si="50"/>
        <v>12.553879494823626</v>
      </c>
      <c r="E191" s="387">
        <f t="shared" si="75"/>
        <v>13.131673586996145</v>
      </c>
      <c r="F191" s="387">
        <f t="shared" si="51"/>
        <v>13.131673586996145</v>
      </c>
      <c r="G191" s="110">
        <f t="shared" si="76"/>
        <v>0.20405184918603311</v>
      </c>
      <c r="H191" s="414" t="b">
        <f>Wh_hp&gt;='2022'!Maxi_hp</f>
        <v>0</v>
      </c>
      <c r="I191" s="392">
        <f>IF(H191,Wh_hp,'2022'!Maxi_hp)</f>
        <v>61.173275923851143</v>
      </c>
      <c r="J191" s="85">
        <f>IF(H191,An,'2022'!An_max)</f>
        <v>2019</v>
      </c>
      <c r="K191" s="199">
        <f t="shared" si="52"/>
        <v>45103</v>
      </c>
      <c r="L191" s="147">
        <f>IF(t&lt;Tvie,1-EXP((T0-t)*PertePVj)+'2022'!Pspv,1-EXP((T0-t)*PertePVj)+Pspv)</f>
        <v>4.0800694899269407E-2</v>
      </c>
      <c r="M191" s="870"/>
      <c r="N191" s="870"/>
      <c r="O191" s="48">
        <f>IF(t&lt;Tnet,'2022'!Resal+('2022'!Salim-'2022'!Resal)*(1-EXP(('2022'!Tnet-t)/('2022'!Tau_j))),Resal+(Salim-Resal)*(1-EXP((Tnet-t)/(Tau_j))))*Salcycl</f>
        <v>4.4000034599145831E-2</v>
      </c>
      <c r="P191" s="171">
        <f>(INDEX(Models!$BJ191:$BT191,,T191)*(1-R191)+INDEX(Models!$BJ191:$BT191,,T191+1)*R191-ERP_i)*Q191*Ramure*Pc/MaxiM</f>
        <v>2.5649087640681827E-4</v>
      </c>
      <c r="Q191" s="307">
        <f t="shared" si="53"/>
        <v>1</v>
      </c>
      <c r="R191" s="179">
        <f t="shared" si="54"/>
        <v>0.16068990215010914</v>
      </c>
      <c r="S191" s="837">
        <f t="shared" si="55"/>
        <v>1</v>
      </c>
      <c r="T191" s="178">
        <f t="shared" si="56"/>
        <v>7</v>
      </c>
      <c r="U191" s="253">
        <f t="shared" si="57"/>
        <v>1.1606899021501091</v>
      </c>
      <c r="V191" s="385">
        <f t="shared" si="58"/>
        <v>58.997671212711353</v>
      </c>
      <c r="W191" s="404">
        <f t="shared" si="59"/>
        <v>12.041672487753132</v>
      </c>
      <c r="X191" s="157">
        <f t="shared" si="60"/>
        <v>45103</v>
      </c>
      <c r="Y191" s="387">
        <f t="shared" si="61"/>
        <v>11.585483404270697</v>
      </c>
      <c r="Z191" s="387">
        <f t="shared" si="62"/>
        <v>12.078285860574143</v>
      </c>
      <c r="AA191" s="388">
        <f t="shared" si="63"/>
        <v>13.131673586996145</v>
      </c>
      <c r="AB191" s="199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8.0217324885773697E-2</v>
      </c>
      <c r="AD191" s="233">
        <f>(INDEX(Models!$BJ191:$BT191,,AH191)*(1-AF191)+INDEX(Models!$BJ191:$BT191,,AH191+1)*AF191-ERP_i)*AE191*Ramure*Pc/MaxiM</f>
        <v>2.5649087640681827E-4</v>
      </c>
      <c r="AE191" s="307">
        <f t="shared" si="65"/>
        <v>1</v>
      </c>
      <c r="AF191" s="179">
        <f t="shared" si="66"/>
        <v>0.16068990215010914</v>
      </c>
      <c r="AG191" s="837">
        <f t="shared" si="74"/>
        <v>1</v>
      </c>
      <c r="AH191" s="178">
        <f t="shared" si="67"/>
        <v>7</v>
      </c>
      <c r="AI191" s="227">
        <f t="shared" si="68"/>
        <v>1.1606899021501091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45104</v>
      </c>
      <c r="B192" s="1139">
        <f>IF(t&gt;Tmaj,'2022'!Wh/'2022'!Env_an*'2023'!Env_an,0.001*'[8]mon-tableau'!$B$228)</f>
        <v>17.877781227660673</v>
      </c>
      <c r="C192" s="866"/>
      <c r="D192" s="395">
        <f t="shared" si="50"/>
        <v>18.638667880970001</v>
      </c>
      <c r="E192" s="387">
        <f t="shared" si="75"/>
        <v>19.502726928315223</v>
      </c>
      <c r="F192" s="387">
        <f t="shared" si="51"/>
        <v>19.502752014670492</v>
      </c>
      <c r="G192" s="110">
        <f t="shared" si="76"/>
        <v>0.30335980641984872</v>
      </c>
      <c r="H192" s="414" t="b">
        <f>Wh_hp&gt;='2022'!Maxi_hp</f>
        <v>0</v>
      </c>
      <c r="I192" s="392">
        <f>IF(H192,Wh_hp,'2022'!Maxi_hp)</f>
        <v>60.985394415911713</v>
      </c>
      <c r="J192" s="85">
        <f>IF(H192,An,'2022'!An_max)</f>
        <v>2019</v>
      </c>
      <c r="K192" s="199">
        <f t="shared" si="52"/>
        <v>45104</v>
      </c>
      <c r="L192" s="147">
        <f>IF(t&lt;Tvie,1-EXP((T0-t)*PertePVj)+'2022'!Pspv,1-EXP((T0-t)*PertePVj)+Pspv)</f>
        <v>4.0823016868399176E-2</v>
      </c>
      <c r="M192" s="870"/>
      <c r="N192" s="870"/>
      <c r="O192" s="48">
        <f>IF(t&lt;Tnet,'2022'!Resal+('2022'!Salim-'2022'!Resal)*(1-EXP(('2022'!Tnet-t)/('2022'!Tau_j))),Resal+(Salim-Resal)*(1-EXP((Tnet-t)/(Tau_j))))*Salcycl</f>
        <v>4.4304524722167553E-2</v>
      </c>
      <c r="P192" s="171">
        <f>(INDEX(Models!$BJ192:$BT192,,T192)*(1-R192)+INDEX(Models!$BJ192:$BT192,,T192+1)*R192-ERP_i)*Q192*Ramure*Pc/MaxiM</f>
        <v>2.6183300554911076E-4</v>
      </c>
      <c r="Q192" s="307">
        <f t="shared" si="53"/>
        <v>1</v>
      </c>
      <c r="R192" s="179">
        <f t="shared" si="54"/>
        <v>0.16712537373491321</v>
      </c>
      <c r="S192" s="837">
        <f t="shared" si="55"/>
        <v>1</v>
      </c>
      <c r="T192" s="178">
        <f t="shared" si="56"/>
        <v>7</v>
      </c>
      <c r="U192" s="253">
        <f t="shared" si="57"/>
        <v>1.1671253737349132</v>
      </c>
      <c r="V192" s="385">
        <f t="shared" si="58"/>
        <v>58.917242318844323</v>
      </c>
      <c r="W192" s="404">
        <f t="shared" si="59"/>
        <v>17.877781227660673</v>
      </c>
      <c r="X192" s="157">
        <f t="shared" si="60"/>
        <v>45104</v>
      </c>
      <c r="Y192" s="387">
        <f t="shared" si="61"/>
        <v>17.201157958954752</v>
      </c>
      <c r="Z192" s="387">
        <f t="shared" si="62"/>
        <v>17.93324721241223</v>
      </c>
      <c r="AA192" s="388">
        <f t="shared" si="63"/>
        <v>19.502726928315223</v>
      </c>
      <c r="AB192" s="199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8.0474885469699595E-2</v>
      </c>
      <c r="AD192" s="233">
        <f>(INDEX(Models!$BJ192:$BT192,,AH192)*(1-AF192)+INDEX(Models!$BJ192:$BT192,,AH192+1)*AF192-ERP_i)*AE192*Ramure*Pc/MaxiM</f>
        <v>2.6183300554911076E-4</v>
      </c>
      <c r="AE192" s="307">
        <f t="shared" si="65"/>
        <v>1</v>
      </c>
      <c r="AF192" s="179">
        <f t="shared" si="66"/>
        <v>0.16712537373491321</v>
      </c>
      <c r="AG192" s="837">
        <f t="shared" si="74"/>
        <v>1</v>
      </c>
      <c r="AH192" s="178">
        <f t="shared" si="67"/>
        <v>7</v>
      </c>
      <c r="AI192" s="227">
        <f t="shared" si="68"/>
        <v>1.1671253737349132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45105</v>
      </c>
      <c r="B193" s="1139">
        <f>IF(t&gt;Tmaj,'2022'!Wh/'2022'!Env_an*'2023'!Env_an,0.001*'[8]mon-tableau'!$B$229)</f>
        <v>60.995420820198397</v>
      </c>
      <c r="C193" s="866"/>
      <c r="D193" s="395">
        <f t="shared" si="50"/>
        <v>63.592894094096586</v>
      </c>
      <c r="E193" s="387">
        <f t="shared" si="75"/>
        <v>66.562056363697849</v>
      </c>
      <c r="F193" s="387">
        <f t="shared" si="51"/>
        <v>66.57992359839362</v>
      </c>
      <c r="G193" s="110">
        <f t="shared" si="76"/>
        <v>1.036719640791316</v>
      </c>
      <c r="H193" s="414" t="b">
        <f>Wh_hp&gt;='2022'!Maxi_hp</f>
        <v>1</v>
      </c>
      <c r="I193" s="392">
        <f>IF(H193,Wh_hp,'2022'!Maxi_hp)</f>
        <v>66.57992359839362</v>
      </c>
      <c r="J193" s="85">
        <f>IF(H193,An,'2022'!An_max)</f>
        <v>2023</v>
      </c>
      <c r="K193" s="199">
        <f t="shared" si="52"/>
        <v>45105</v>
      </c>
      <c r="L193" s="147">
        <f>IF(t&lt;Tvie,1-EXP((T0-t)*PertePVj)+'2022'!Pspv,1-EXP((T0-t)*PertePVj)+Pspv)</f>
        <v>4.0845338318064028E-2</v>
      </c>
      <c r="M193" s="870"/>
      <c r="N193" s="870"/>
      <c r="O193" s="48">
        <f>IF(t&lt;Tnet,'2022'!Resal+('2022'!Salim-'2022'!Resal)*(1-EXP(('2022'!Tnet-t)/('2022'!Tau_j))),Resal+(Salim-Resal)*(1-EXP((Tnet-t)/(Tau_j))))*Salcycl</f>
        <v>4.4607429995516361E-2</v>
      </c>
      <c r="P193" s="171">
        <f>(INDEX(Models!$BJ193:$BT193,,T193)*(1-R193)+INDEX(Models!$BJ193:$BT193,,T193+1)*R193-ERP_i)*Q193*Ramure*Pc/MaxiM</f>
        <v>2.6835769298179141E-4</v>
      </c>
      <c r="Q193" s="307">
        <f t="shared" si="53"/>
        <v>1</v>
      </c>
      <c r="R193" s="179">
        <f t="shared" si="54"/>
        <v>0.17347266507807446</v>
      </c>
      <c r="S193" s="837">
        <f t="shared" si="55"/>
        <v>1</v>
      </c>
      <c r="T193" s="178">
        <f t="shared" si="56"/>
        <v>7</v>
      </c>
      <c r="U193" s="253">
        <f t="shared" si="57"/>
        <v>1.1734726650780745</v>
      </c>
      <c r="V193" s="385">
        <f t="shared" si="58"/>
        <v>58.835020019145489</v>
      </c>
      <c r="W193" s="404">
        <f t="shared" si="59"/>
        <v>60.995420820198397</v>
      </c>
      <c r="X193" s="157">
        <f t="shared" si="60"/>
        <v>45105</v>
      </c>
      <c r="Y193" s="387">
        <f t="shared" si="61"/>
        <v>58.689250673610971</v>
      </c>
      <c r="Z193" s="387">
        <f t="shared" si="62"/>
        <v>61.188516324047058</v>
      </c>
      <c r="AA193" s="388">
        <f t="shared" si="63"/>
        <v>66.562056363697849</v>
      </c>
      <c r="AB193" s="199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8.0729778092935439E-2</v>
      </c>
      <c r="AD193" s="233">
        <f>(INDEX(Models!$BJ193:$BT193,,AH193)*(1-AF193)+INDEX(Models!$BJ193:$BT193,,AH193+1)*AF193-ERP_i)*AE193*Ramure*Pc/MaxiM</f>
        <v>2.6835769298179141E-4</v>
      </c>
      <c r="AE193" s="307">
        <f t="shared" si="65"/>
        <v>1</v>
      </c>
      <c r="AF193" s="179">
        <f t="shared" si="66"/>
        <v>0.17347266507807446</v>
      </c>
      <c r="AG193" s="837">
        <f t="shared" si="74"/>
        <v>1</v>
      </c>
      <c r="AH193" s="178">
        <f t="shared" si="67"/>
        <v>7</v>
      </c>
      <c r="AI193" s="227">
        <f t="shared" si="68"/>
        <v>1.1734726650780745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45106</v>
      </c>
      <c r="B194" s="1139">
        <f>IF(t&gt;Tmaj,'2022'!Wh/'2022'!Env_an*'2023'!Env_an,0.001*'[8]mon-tableau'!$B$230)</f>
        <v>56.636300292497111</v>
      </c>
      <c r="C194" s="866"/>
      <c r="D194" s="395">
        <f t="shared" si="50"/>
        <v>59.049515782262304</v>
      </c>
      <c r="E194" s="387">
        <f t="shared" si="75"/>
        <v>61.826045695099808</v>
      </c>
      <c r="F194" s="387">
        <f t="shared" si="51"/>
        <v>61.842241808352483</v>
      </c>
      <c r="G194" s="110">
        <f t="shared" si="76"/>
        <v>0.96399534607744952</v>
      </c>
      <c r="H194" s="414" t="b">
        <f>Wh_hp&gt;='2022'!Maxi_hp</f>
        <v>0</v>
      </c>
      <c r="I194" s="392">
        <f>IF(H194,Wh_hp,'2022'!Maxi_hp)</f>
        <v>61.842506845841385</v>
      </c>
      <c r="J194" s="85">
        <f>IF(H194,An,'2022'!An_max)</f>
        <v>2022</v>
      </c>
      <c r="K194" s="199">
        <f t="shared" si="52"/>
        <v>45106</v>
      </c>
      <c r="L194" s="147">
        <f>IF(t&lt;Tvie,1-EXP((T0-t)*PertePVj)+'2022'!Pspv,1-EXP((T0-t)*PertePVj)+Pspv)</f>
        <v>4.0867659248276067E-2</v>
      </c>
      <c r="M194" s="870"/>
      <c r="N194" s="870"/>
      <c r="O194" s="48">
        <f>IF(t&lt;Tnet,'2022'!Resal+('2022'!Salim-'2022'!Resal)*(1-EXP(('2022'!Tnet-t)/('2022'!Tau_j))),Resal+(Salim-Resal)*(1-EXP((Tnet-t)/(Tau_j))))*Salcycl</f>
        <v>4.4908741641511138E-2</v>
      </c>
      <c r="P194" s="171">
        <f>(INDEX(Models!$BJ194:$BT194,,T194)*(1-R194)+INDEX(Models!$BJ194:$BT194,,T194+1)*R194-ERP_i)*Q194*Ramure*Pc/MaxiM</f>
        <v>2.7608933600173119E-4</v>
      </c>
      <c r="Q194" s="307">
        <f t="shared" si="53"/>
        <v>1</v>
      </c>
      <c r="R194" s="179">
        <f t="shared" si="54"/>
        <v>0.17972832894255575</v>
      </c>
      <c r="S194" s="837">
        <f t="shared" si="55"/>
        <v>1</v>
      </c>
      <c r="T194" s="178">
        <f t="shared" si="56"/>
        <v>7</v>
      </c>
      <c r="U194" s="253">
        <f t="shared" si="57"/>
        <v>1.1797283289425557</v>
      </c>
      <c r="V194" s="385">
        <f t="shared" si="58"/>
        <v>58.750798271075539</v>
      </c>
      <c r="W194" s="404">
        <f t="shared" si="59"/>
        <v>56.636300292497111</v>
      </c>
      <c r="X194" s="157">
        <f t="shared" si="60"/>
        <v>45106</v>
      </c>
      <c r="Y194" s="387">
        <f t="shared" si="61"/>
        <v>54.497178318394049</v>
      </c>
      <c r="Z194" s="387">
        <f t="shared" si="62"/>
        <v>56.819247983736695</v>
      </c>
      <c r="AA194" s="388">
        <f t="shared" si="63"/>
        <v>61.826045695099808</v>
      </c>
      <c r="AB194" s="199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8.098201421540914E-2</v>
      </c>
      <c r="AD194" s="233">
        <f>(INDEX(Models!$BJ194:$BT194,,AH194)*(1-AF194)+INDEX(Models!$BJ194:$BT194,,AH194+1)*AF194-ERP_i)*AE194*Ramure*Pc/MaxiM</f>
        <v>2.7608933600173119E-4</v>
      </c>
      <c r="AE194" s="307">
        <f t="shared" si="65"/>
        <v>1</v>
      </c>
      <c r="AF194" s="179">
        <f t="shared" si="66"/>
        <v>0.17972832894255575</v>
      </c>
      <c r="AG194" s="837">
        <f t="shared" si="74"/>
        <v>1</v>
      </c>
      <c r="AH194" s="178">
        <f t="shared" si="67"/>
        <v>7</v>
      </c>
      <c r="AI194" s="227">
        <f t="shared" si="68"/>
        <v>1.1797283289425557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45107</v>
      </c>
      <c r="B195" s="1139">
        <f>IF(t&gt;Tmaj,'2022'!Wh/'2022'!Env_an*'2023'!Env_an,0.001*'[8]mon-tableau'!$B$231)</f>
        <v>13.717250978997992</v>
      </c>
      <c r="C195" s="866"/>
      <c r="D195" s="395">
        <f t="shared" si="50"/>
        <v>14.302062003399433</v>
      </c>
      <c r="E195" s="387">
        <f t="shared" si="75"/>
        <v>14.979250786240652</v>
      </c>
      <c r="F195" s="387">
        <f t="shared" si="51"/>
        <v>14.979250786240652</v>
      </c>
      <c r="G195" s="110">
        <f t="shared" si="76"/>
        <v>0.23375927488892329</v>
      </c>
      <c r="H195" s="414" t="b">
        <f>Wh_hp&gt;='2022'!Maxi_hp</f>
        <v>0</v>
      </c>
      <c r="I195" s="392">
        <f>IF(H195,Wh_hp,'2022'!Maxi_hp)</f>
        <v>57.491267700625883</v>
      </c>
      <c r="J195" s="85">
        <f>IF(H195,An,'2022'!An_max)</f>
        <v>2019</v>
      </c>
      <c r="K195" s="199">
        <f t="shared" si="52"/>
        <v>45107</v>
      </c>
      <c r="L195" s="147">
        <f>IF(t&lt;Tvie,1-EXP((T0-t)*PertePVj)+'2022'!Pspv,1-EXP((T0-t)*PertePVj)+Pspv)</f>
        <v>4.0889979659047615E-2</v>
      </c>
      <c r="M195" s="870"/>
      <c r="N195" s="870"/>
      <c r="O195" s="48">
        <f>IF(t&lt;Tnet,'2022'!Resal+('2022'!Salim-'2022'!Resal)*(1-EXP(('2022'!Tnet-t)/('2022'!Tau_j))),Resal+(Salim-Resal)*(1-EXP((Tnet-t)/(Tau_j))))*Salcycl</f>
        <v>4.5208454848973977E-2</v>
      </c>
      <c r="P195" s="171">
        <f>(INDEX(Models!$BJ195:$BT195,,T195)*(1-R195)+INDEX(Models!$BJ195:$BT195,,T195+1)*R195-ERP_i)*Q195*Ramure*Pc/MaxiM</f>
        <v>2.8505207440554769E-4</v>
      </c>
      <c r="Q195" s="307">
        <f t="shared" si="53"/>
        <v>1</v>
      </c>
      <c r="R195" s="179">
        <f t="shared" si="54"/>
        <v>0.18588916928633359</v>
      </c>
      <c r="S195" s="837">
        <f t="shared" si="55"/>
        <v>1</v>
      </c>
      <c r="T195" s="178">
        <f t="shared" si="56"/>
        <v>7</v>
      </c>
      <c r="U195" s="253">
        <f t="shared" si="57"/>
        <v>1.1858891692863336</v>
      </c>
      <c r="V195" s="385">
        <f t="shared" si="58"/>
        <v>58.664371091446675</v>
      </c>
      <c r="W195" s="404">
        <f t="shared" si="59"/>
        <v>13.717250978997992</v>
      </c>
      <c r="X195" s="157">
        <f t="shared" si="60"/>
        <v>45107</v>
      </c>
      <c r="Y195" s="387">
        <f t="shared" si="61"/>
        <v>13.199715304806913</v>
      </c>
      <c r="Z195" s="387">
        <f t="shared" si="62"/>
        <v>13.762462100140054</v>
      </c>
      <c r="AA195" s="388">
        <f t="shared" si="63"/>
        <v>14.979250786240652</v>
      </c>
      <c r="AB195" s="199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8.1231611878632315E-2</v>
      </c>
      <c r="AD195" s="233">
        <f>(INDEX(Models!$BJ195:$BT195,,AH195)*(1-AF195)+INDEX(Models!$BJ195:$BT195,,AH195+1)*AF195-ERP_i)*AE195*Ramure*Pc/MaxiM</f>
        <v>2.8505207440554769E-4</v>
      </c>
      <c r="AE195" s="307">
        <f t="shared" si="65"/>
        <v>1</v>
      </c>
      <c r="AF195" s="179">
        <f t="shared" si="66"/>
        <v>0.18588916928633359</v>
      </c>
      <c r="AG195" s="837">
        <f t="shared" si="74"/>
        <v>1</v>
      </c>
      <c r="AH195" s="178">
        <f t="shared" si="67"/>
        <v>7</v>
      </c>
      <c r="AI195" s="227">
        <f t="shared" si="68"/>
        <v>1.1858891692863336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45108</v>
      </c>
      <c r="B196" s="1139">
        <f>IF(t&gt;Tmaj,'2022'!Wh/'2022'!Env_an*'2023'!Env_an,0.001*[9]mois!$B$208)</f>
        <v>55.950888892167271</v>
      </c>
      <c r="C196" s="866"/>
      <c r="D196" s="395">
        <f t="shared" si="50"/>
        <v>58.337614866646838</v>
      </c>
      <c r="E196" s="387">
        <f t="shared" si="75"/>
        <v>61.118927540926599</v>
      </c>
      <c r="F196" s="387">
        <f t="shared" si="51"/>
        <v>61.135823602170831</v>
      </c>
      <c r="G196" s="110">
        <f t="shared" si="76"/>
        <v>0.9551740915010698</v>
      </c>
      <c r="H196" s="414" t="b">
        <f>Wh_hp&gt;='2022'!Maxi_hp</f>
        <v>0</v>
      </c>
      <c r="I196" s="392">
        <f>IF(H196,Wh_hp,'2022'!Maxi_hp)</f>
        <v>61.136183783970139</v>
      </c>
      <c r="J196" s="85">
        <f>IF(H196,An,'2022'!An_max)</f>
        <v>2022</v>
      </c>
      <c r="K196" s="199">
        <f t="shared" si="52"/>
        <v>45108</v>
      </c>
      <c r="L196" s="147">
        <f>IF(t&lt;Tvie,1-EXP((T0-t)*PertePVj)+'2022'!Pspv,1-EXP((T0-t)*PertePVj)+Pspv)</f>
        <v>4.0912299550390441E-2</v>
      </c>
      <c r="M196" s="870"/>
      <c r="N196" s="870"/>
      <c r="O196" s="48">
        <f>IF(t&lt;Tnet,'2022'!Resal+('2022'!Salim-'2022'!Resal)*(1-EXP(('2022'!Tnet-t)/('2022'!Tau_j))),Resal+(Salim-Resal)*(1-EXP((Tnet-t)/(Tau_j))))*Salcycl</f>
        <v>4.5506568688027646E-2</v>
      </c>
      <c r="P196" s="171">
        <f>(INDEX(Models!$BJ196:$BT196,,T196)*(1-R196)+INDEX(Models!$BJ196:$BT196,,T196+1)*R196-ERP_i)*Q196*Ramure*Pc/MaxiM</f>
        <v>2.9526982204196371E-4</v>
      </c>
      <c r="Q196" s="307">
        <f t="shared" si="53"/>
        <v>1</v>
      </c>
      <c r="R196" s="179">
        <f t="shared" si="54"/>
        <v>0.19195224381565357</v>
      </c>
      <c r="S196" s="837">
        <f t="shared" si="55"/>
        <v>1</v>
      </c>
      <c r="T196" s="178">
        <f t="shared" si="56"/>
        <v>7</v>
      </c>
      <c r="U196" s="253">
        <f t="shared" si="57"/>
        <v>1.1919522438156536</v>
      </c>
      <c r="V196" s="385">
        <f t="shared" si="58"/>
        <v>58.5755325583212</v>
      </c>
      <c r="W196" s="404">
        <f t="shared" si="59"/>
        <v>55.950888892167271</v>
      </c>
      <c r="X196" s="157">
        <f t="shared" si="60"/>
        <v>45108</v>
      </c>
      <c r="Y196" s="387">
        <f t="shared" si="61"/>
        <v>53.84226581907636</v>
      </c>
      <c r="Z196" s="387">
        <f t="shared" si="62"/>
        <v>56.13904316970774</v>
      </c>
      <c r="AA196" s="388">
        <f t="shared" si="63"/>
        <v>61.118927540926599</v>
      </c>
      <c r="AB196" s="199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8.1478595446299609E-2</v>
      </c>
      <c r="AD196" s="233">
        <f>(INDEX(Models!$BJ196:$BT196,,AH196)*(1-AF196)+INDEX(Models!$BJ196:$BT196,,AH196+1)*AF196-ERP_i)*AE196*Ramure*Pc/MaxiM</f>
        <v>2.9526982204196371E-4</v>
      </c>
      <c r="AE196" s="307">
        <f t="shared" si="65"/>
        <v>1</v>
      </c>
      <c r="AF196" s="179">
        <f t="shared" si="66"/>
        <v>0.19195224381565357</v>
      </c>
      <c r="AG196" s="837">
        <f t="shared" si="74"/>
        <v>1</v>
      </c>
      <c r="AH196" s="178">
        <f t="shared" si="67"/>
        <v>7</v>
      </c>
      <c r="AI196" s="227">
        <f t="shared" si="68"/>
        <v>1.1919522438156536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45109</v>
      </c>
      <c r="B197" s="1139">
        <f>IF(t&gt;Tmaj,'2022'!Wh/'2022'!Env_an*'2023'!Env_an,0.001*[9]mois!$B$209)</f>
        <v>52.096909693253039</v>
      </c>
      <c r="C197" s="866"/>
      <c r="D197" s="395">
        <f t="shared" si="50"/>
        <v>54.320498603247209</v>
      </c>
      <c r="E197" s="387">
        <f t="shared" si="75"/>
        <v>56.92797556389025</v>
      </c>
      <c r="F197" s="387">
        <f t="shared" si="51"/>
        <v>56.942718345235114</v>
      </c>
      <c r="G197" s="110">
        <f t="shared" si="76"/>
        <v>0.89074528458120517</v>
      </c>
      <c r="H197" s="414" t="b">
        <f>Wh_hp&gt;='2022'!Maxi_hp</f>
        <v>0</v>
      </c>
      <c r="I197" s="392">
        <f>IF(H197,Wh_hp,'2022'!Maxi_hp)</f>
        <v>57.066664805016352</v>
      </c>
      <c r="J197" s="85">
        <f>IF(H197,An,'2022'!An_max)</f>
        <v>2021</v>
      </c>
      <c r="K197" s="199">
        <f t="shared" si="52"/>
        <v>45109</v>
      </c>
      <c r="L197" s="147">
        <f>IF(t&lt;Tvie,1-EXP((T0-t)*PertePVj)+'2022'!Pspv,1-EXP((T0-t)*PertePVj)+Pspv)</f>
        <v>4.0934618922316868E-2</v>
      </c>
      <c r="M197" s="870"/>
      <c r="N197" s="870"/>
      <c r="O197" s="48">
        <f>IF(t&lt;Tnet,'2022'!Resal+('2022'!Salim-'2022'!Resal)*(1-EXP(('2022'!Tnet-t)/('2022'!Tau_j))),Resal+(Salim-Resal)*(1-EXP((Tnet-t)/(Tau_j))))*Salcycl</f>
        <v>4.5803086001480413E-2</v>
      </c>
      <c r="P197" s="171">
        <f>(INDEX(Models!$BJ197:$BT197,,T197)*(1-R197)+INDEX(Models!$BJ197:$BT197,,T197+1)*R197-ERP_i)*Q197*Ramure*Pc/MaxiM</f>
        <v>3.0676630487422378E-4</v>
      </c>
      <c r="Q197" s="307">
        <f t="shared" si="53"/>
        <v>1</v>
      </c>
      <c r="R197" s="179">
        <f t="shared" si="54"/>
        <v>0.19791486524637847</v>
      </c>
      <c r="S197" s="837">
        <f t="shared" si="55"/>
        <v>1</v>
      </c>
      <c r="T197" s="178">
        <f t="shared" si="56"/>
        <v>7</v>
      </c>
      <c r="U197" s="253">
        <f t="shared" si="57"/>
        <v>1.1979148652463785</v>
      </c>
      <c r="V197" s="385">
        <f t="shared" si="58"/>
        <v>58.484076814969811</v>
      </c>
      <c r="W197" s="404">
        <f t="shared" si="59"/>
        <v>52.096909693253039</v>
      </c>
      <c r="X197" s="157">
        <f t="shared" si="60"/>
        <v>45109</v>
      </c>
      <c r="Y197" s="387">
        <f t="shared" si="61"/>
        <v>50.135767035984479</v>
      </c>
      <c r="Z197" s="387">
        <f t="shared" si="62"/>
        <v>52.275650883830146</v>
      </c>
      <c r="AA197" s="388">
        <f t="shared" si="63"/>
        <v>56.92797556389025</v>
      </c>
      <c r="AB197" s="199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8.1722995310781754E-2</v>
      </c>
      <c r="AD197" s="233">
        <f>(INDEX(Models!$BJ197:$BT197,,AH197)*(1-AF197)+INDEX(Models!$BJ197:$BT197,,AH197+1)*AF197-ERP_i)*AE197*Ramure*Pc/MaxiM</f>
        <v>3.0676630487422378E-4</v>
      </c>
      <c r="AE197" s="307">
        <f t="shared" si="65"/>
        <v>1</v>
      </c>
      <c r="AF197" s="179">
        <f t="shared" si="66"/>
        <v>0.19791486524637847</v>
      </c>
      <c r="AG197" s="837">
        <f t="shared" si="74"/>
        <v>1</v>
      </c>
      <c r="AH197" s="178">
        <f t="shared" si="67"/>
        <v>7</v>
      </c>
      <c r="AI197" s="227">
        <f t="shared" si="68"/>
        <v>1.1979148652463785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45110</v>
      </c>
      <c r="B198" s="1139">
        <f>IF(t&gt;Tmaj,'2022'!Wh/'2022'!Env_an*'2023'!Env_an,0.001*[9]mois!$B$210)</f>
        <v>44.078419077095447</v>
      </c>
      <c r="C198" s="866"/>
      <c r="D198" s="395">
        <f t="shared" si="50"/>
        <v>45.960834099383597</v>
      </c>
      <c r="E198" s="387">
        <f t="shared" si="75"/>
        <v>48.181925123271661</v>
      </c>
      <c r="F198" s="387">
        <f t="shared" si="51"/>
        <v>48.19199015924081</v>
      </c>
      <c r="G198" s="110">
        <f t="shared" si="76"/>
        <v>0.75481572959330079</v>
      </c>
      <c r="H198" s="414" t="b">
        <f>Wh_hp&gt;='2022'!Maxi_hp</f>
        <v>0</v>
      </c>
      <c r="I198" s="392">
        <f>IF(H198,Wh_hp,'2022'!Maxi_hp)</f>
        <v>51.612823612045531</v>
      </c>
      <c r="J198" s="85">
        <f>IF(H198,An,'2022'!An_max)</f>
        <v>2019</v>
      </c>
      <c r="K198" s="199">
        <f t="shared" si="52"/>
        <v>45110</v>
      </c>
      <c r="L198" s="147">
        <f>IF(t&lt;Tvie,1-EXP((T0-t)*PertePVj)+'2022'!Pspv,1-EXP((T0-t)*PertePVj)+Pspv)</f>
        <v>4.0956937774838886E-2</v>
      </c>
      <c r="M198" s="870"/>
      <c r="N198" s="870"/>
      <c r="O198" s="48">
        <f>IF(t&lt;Tnet,'2022'!Resal+('2022'!Salim-'2022'!Resal)*(1-EXP(('2022'!Tnet-t)/('2022'!Tau_j))),Resal+(Salim-Resal)*(1-EXP((Tnet-t)/(Tau_j))))*Salcycl</f>
        <v>4.6098013273763665E-2</v>
      </c>
      <c r="P198" s="171">
        <f>(INDEX(Models!$BJ198:$BT198,,T198)*(1-R198)+INDEX(Models!$BJ198:$BT198,,T198+1)*R198-ERP_i)*Q198*Ramure*Pc/MaxiM</f>
        <v>3.2138226604342491E-4</v>
      </c>
      <c r="Q198" s="307">
        <f t="shared" si="53"/>
        <v>1</v>
      </c>
      <c r="R198" s="179">
        <f t="shared" si="54"/>
        <v>0.20377460132059344</v>
      </c>
      <c r="S198" s="837">
        <f t="shared" si="55"/>
        <v>1</v>
      </c>
      <c r="T198" s="178">
        <f t="shared" si="56"/>
        <v>7</v>
      </c>
      <c r="U198" s="253">
        <f t="shared" si="57"/>
        <v>1.2037746013205934</v>
      </c>
      <c r="V198" s="385">
        <f t="shared" si="58"/>
        <v>58.389691941480265</v>
      </c>
      <c r="W198" s="404">
        <f t="shared" si="59"/>
        <v>44.078419077095447</v>
      </c>
      <c r="X198" s="157">
        <f t="shared" si="60"/>
        <v>45110</v>
      </c>
      <c r="Y198" s="387">
        <f t="shared" si="61"/>
        <v>42.421064993569381</v>
      </c>
      <c r="Z198" s="387">
        <f t="shared" si="62"/>
        <v>44.232700975016172</v>
      </c>
      <c r="AA198" s="388">
        <f t="shared" si="63"/>
        <v>48.181925123271661</v>
      </c>
      <c r="AB198" s="199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8.1964847567870022E-2</v>
      </c>
      <c r="AD198" s="233">
        <f>(INDEX(Models!$BJ198:$BT198,,AH198)*(1-AF198)+INDEX(Models!$BJ198:$BT198,,AH198+1)*AF198-ERP_i)*AE198*Ramure*Pc/MaxiM</f>
        <v>3.2138226604342491E-4</v>
      </c>
      <c r="AE198" s="307">
        <f t="shared" si="65"/>
        <v>1</v>
      </c>
      <c r="AF198" s="179">
        <f t="shared" si="66"/>
        <v>0.20377460132059344</v>
      </c>
      <c r="AG198" s="837">
        <f t="shared" si="74"/>
        <v>1</v>
      </c>
      <c r="AH198" s="178">
        <f t="shared" si="67"/>
        <v>7</v>
      </c>
      <c r="AI198" s="227">
        <f t="shared" si="68"/>
        <v>1.2037746013205934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45111</v>
      </c>
      <c r="B199" s="1139">
        <f>IF(t&gt;Tmaj,'2022'!Wh/'2022'!Env_an*'2023'!Env_an,0.001*[9]mois!$B$211)</f>
        <v>46.248789428726987</v>
      </c>
      <c r="C199" s="866"/>
      <c r="D199" s="395">
        <f t="shared" si="50"/>
        <v>48.225014655088394</v>
      </c>
      <c r="E199" s="387">
        <f t="shared" si="75"/>
        <v>50.571075655617371</v>
      </c>
      <c r="F199" s="387">
        <f t="shared" si="51"/>
        <v>50.58315287422073</v>
      </c>
      <c r="G199" s="110">
        <f t="shared" si="76"/>
        <v>0.79331655702596759</v>
      </c>
      <c r="H199" s="414" t="b">
        <f>Wh_hp&gt;='2022'!Maxi_hp</f>
        <v>0</v>
      </c>
      <c r="I199" s="392">
        <f>IF(H199,Wh_hp,'2022'!Maxi_hp)</f>
        <v>59.307857255602293</v>
      </c>
      <c r="J199" s="85">
        <f>IF(H199,An,'2022'!An_max)</f>
        <v>2019</v>
      </c>
      <c r="K199" s="199">
        <f t="shared" si="52"/>
        <v>45111</v>
      </c>
      <c r="L199" s="147">
        <f>IF(t&lt;Tvie,1-EXP((T0-t)*PertePVj)+'2022'!Pspv,1-EXP((T0-t)*PertePVj)+Pspv)</f>
        <v>4.0979256107968598E-2</v>
      </c>
      <c r="M199" s="870"/>
      <c r="N199" s="870"/>
      <c r="O199" s="48">
        <f>IF(t&lt;Tnet,'2022'!Resal+('2022'!Salim-'2022'!Resal)*(1-EXP(('2022'!Tnet-t)/('2022'!Tau_j))),Resal+(Salim-Resal)*(1-EXP((Tnet-t)/(Tau_j))))*Salcycl</f>
        <v>4.6391360478573861E-2</v>
      </c>
      <c r="P199" s="171">
        <f>(INDEX(Models!$BJ199:$BT199,,T199)*(1-R199)+INDEX(Models!$BJ199:$BT199,,T199+1)*R199-ERP_i)*Q199*Ramure*Pc/MaxiM</f>
        <v>3.3873770208329876E-4</v>
      </c>
      <c r="Q199" s="307">
        <f t="shared" si="53"/>
        <v>1</v>
      </c>
      <c r="R199" s="179">
        <f t="shared" si="54"/>
        <v>0.20952927363413343</v>
      </c>
      <c r="S199" s="837">
        <f t="shared" si="55"/>
        <v>1</v>
      </c>
      <c r="T199" s="178">
        <f t="shared" si="56"/>
        <v>7</v>
      </c>
      <c r="U199" s="253">
        <f t="shared" si="57"/>
        <v>1.2095292736341334</v>
      </c>
      <c r="V199" s="385">
        <f t="shared" si="58"/>
        <v>58.292196291036298</v>
      </c>
      <c r="W199" s="404">
        <f t="shared" si="59"/>
        <v>46.248789428726987</v>
      </c>
      <c r="X199" s="157">
        <f t="shared" si="60"/>
        <v>45111</v>
      </c>
      <c r="Y199" s="387">
        <f t="shared" si="61"/>
        <v>44.511913196570475</v>
      </c>
      <c r="Z199" s="387">
        <f t="shared" si="62"/>
        <v>46.413921158708241</v>
      </c>
      <c r="AA199" s="388">
        <f t="shared" si="63"/>
        <v>50.571075655617371</v>
      </c>
      <c r="AB199" s="199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8.2204193662377745E-2</v>
      </c>
      <c r="AD199" s="233">
        <f>(INDEX(Models!$BJ199:$BT199,,AH199)*(1-AF199)+INDEX(Models!$BJ199:$BT199,,AH199+1)*AF199-ERP_i)*AE199*Ramure*Pc/MaxiM</f>
        <v>3.3873770208329876E-4</v>
      </c>
      <c r="AE199" s="307">
        <f t="shared" si="65"/>
        <v>1</v>
      </c>
      <c r="AF199" s="179">
        <f t="shared" si="66"/>
        <v>0.20952927363413343</v>
      </c>
      <c r="AG199" s="837">
        <f t="shared" si="74"/>
        <v>1</v>
      </c>
      <c r="AH199" s="178">
        <f t="shared" si="67"/>
        <v>7</v>
      </c>
      <c r="AI199" s="227">
        <f t="shared" si="68"/>
        <v>1.2095292736341334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45112</v>
      </c>
      <c r="B200" s="1139">
        <f>IF(t&gt;Tmaj,'2022'!Wh/'2022'!Env_an*'2023'!Env_an,0.001*[9]mois!$B$212)</f>
        <v>55.750077284976022</v>
      </c>
      <c r="C200" s="866"/>
      <c r="D200" s="395">
        <f t="shared" si="50"/>
        <v>58.133648365784921</v>
      </c>
      <c r="E200" s="387">
        <f t="shared" si="75"/>
        <v>60.980405214973977</v>
      </c>
      <c r="F200" s="387">
        <f t="shared" si="51"/>
        <v>61.000983860433429</v>
      </c>
      <c r="G200" s="110">
        <f t="shared" si="76"/>
        <v>0.95802631575061559</v>
      </c>
      <c r="H200" s="414" t="b">
        <f>Wh_hp&gt;='2022'!Maxi_hp</f>
        <v>0</v>
      </c>
      <c r="I200" s="392">
        <f>IF(H200,Wh_hp,'2022'!Maxi_hp)</f>
        <v>62.396203571574965</v>
      </c>
      <c r="J200" s="85">
        <f>IF(H200,An,'2022'!An_max)</f>
        <v>2021</v>
      </c>
      <c r="K200" s="199">
        <f t="shared" si="52"/>
        <v>45112</v>
      </c>
      <c r="L200" s="147">
        <f>IF(t&lt;Tvie,1-EXP((T0-t)*PertePVj)+'2022'!Pspv,1-EXP((T0-t)*PertePVj)+Pspv)</f>
        <v>4.1001573921718104E-2</v>
      </c>
      <c r="M200" s="870"/>
      <c r="N200" s="870"/>
      <c r="O200" s="48">
        <f>IF(t&lt;Tnet,'2022'!Resal+('2022'!Salim-'2022'!Resal)*(1-EXP(('2022'!Tnet-t)/('2022'!Tau_j))),Resal+(Salim-Resal)*(1-EXP((Tnet-t)/(Tau_j))))*Salcycl</f>
        <v>4.6683140906548452E-2</v>
      </c>
      <c r="P200" s="171">
        <f>(INDEX(Models!$BJ200:$BT200,,T200)*(1-R200)+INDEX(Models!$BJ200:$BT200,,T200+1)*R200-ERP_i)*Q200*Ramure*Pc/MaxiM</f>
        <v>3.588567499009952E-4</v>
      </c>
      <c r="Q200" s="307">
        <f t="shared" si="53"/>
        <v>1</v>
      </c>
      <c r="R200" s="179">
        <f t="shared" si="54"/>
        <v>0.21517695533809689</v>
      </c>
      <c r="S200" s="837">
        <f t="shared" si="55"/>
        <v>1</v>
      </c>
      <c r="T200" s="178">
        <f t="shared" si="56"/>
        <v>7</v>
      </c>
      <c r="U200" s="253">
        <f t="shared" si="57"/>
        <v>1.2151769553380969</v>
      </c>
      <c r="V200" s="385">
        <f t="shared" si="58"/>
        <v>58.191384649374925</v>
      </c>
      <c r="W200" s="404">
        <f t="shared" si="59"/>
        <v>55.750077284976022</v>
      </c>
      <c r="X200" s="157">
        <f t="shared" si="60"/>
        <v>45112</v>
      </c>
      <c r="Y200" s="387">
        <f t="shared" si="61"/>
        <v>53.658948979198023</v>
      </c>
      <c r="Z200" s="387">
        <f t="shared" si="62"/>
        <v>55.953114749760715</v>
      </c>
      <c r="AA200" s="388">
        <f t="shared" si="63"/>
        <v>60.980405214973977</v>
      </c>
      <c r="AB200" s="199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8.2441080007431486E-2</v>
      </c>
      <c r="AD200" s="233">
        <f>(INDEX(Models!$BJ200:$BT200,,AH200)*(1-AF200)+INDEX(Models!$BJ200:$BT200,,AH200+1)*AF200-ERP_i)*AE200*Ramure*Pc/MaxiM</f>
        <v>3.588567499009952E-4</v>
      </c>
      <c r="AE200" s="307">
        <f t="shared" si="65"/>
        <v>1</v>
      </c>
      <c r="AF200" s="179">
        <f t="shared" si="66"/>
        <v>0.21517695533809689</v>
      </c>
      <c r="AG200" s="837">
        <f t="shared" si="74"/>
        <v>1</v>
      </c>
      <c r="AH200" s="178">
        <f t="shared" si="67"/>
        <v>7</v>
      </c>
      <c r="AI200" s="227">
        <f t="shared" si="68"/>
        <v>1.2151769553380969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45113</v>
      </c>
      <c r="B201" s="1139">
        <f>IF(t&gt;Tmaj,'2022'!Wh/'2022'!Env_an*'2023'!Env_an,0.001*[9]mois!$B$213)</f>
        <v>43.188347230020099</v>
      </c>
      <c r="C201" s="866"/>
      <c r="D201" s="395">
        <f t="shared" si="50"/>
        <v>45.035894882499448</v>
      </c>
      <c r="E201" s="387">
        <f t="shared" si="75"/>
        <v>47.2556521621527</v>
      </c>
      <c r="F201" s="387">
        <f t="shared" si="51"/>
        <v>47.267085163638626</v>
      </c>
      <c r="G201" s="110">
        <f t="shared" si="76"/>
        <v>0.74340671499648792</v>
      </c>
      <c r="H201" s="414" t="b">
        <f>Wh_hp&gt;='2022'!Maxi_hp</f>
        <v>0</v>
      </c>
      <c r="I201" s="392">
        <f>IF(H201,Wh_hp,'2022'!Maxi_hp)</f>
        <v>61.545383485754634</v>
      </c>
      <c r="J201" s="85">
        <f>IF(H201,An,'2022'!An_max)</f>
        <v>2020</v>
      </c>
      <c r="K201" s="199">
        <f t="shared" si="52"/>
        <v>45113</v>
      </c>
      <c r="L201" s="147">
        <f>IF(t&lt;Tvie,1-EXP((T0-t)*PertePVj)+'2022'!Pspv,1-EXP((T0-t)*PertePVj)+Pspv)</f>
        <v>4.1023891216099506E-2</v>
      </c>
      <c r="M201" s="870"/>
      <c r="N201" s="870"/>
      <c r="O201" s="48">
        <f>IF(t&lt;Tnet,'2022'!Resal+('2022'!Salim-'2022'!Resal)*(1-EXP(('2022'!Tnet-t)/('2022'!Tau_j))),Resal+(Salim-Resal)*(1-EXP((Tnet-t)/(Tau_j))))*Salcycl</f>
        <v>4.697337097446859E-2</v>
      </c>
      <c r="P201" s="171">
        <f>(INDEX(Models!$BJ201:$BT201,,T201)*(1-R201)+INDEX(Models!$BJ201:$BT201,,T201+1)*R201-ERP_i)*Q201*Ramure*Pc/MaxiM</f>
        <v>3.8176431659165728E-4</v>
      </c>
      <c r="Q201" s="307">
        <f t="shared" si="53"/>
        <v>1</v>
      </c>
      <c r="R201" s="179">
        <f t="shared" si="54"/>
        <v>0.22071596778367342</v>
      </c>
      <c r="S201" s="837">
        <f t="shared" si="55"/>
        <v>1</v>
      </c>
      <c r="T201" s="178">
        <f t="shared" si="56"/>
        <v>7</v>
      </c>
      <c r="U201" s="253">
        <f t="shared" si="57"/>
        <v>1.2207159677836734</v>
      </c>
      <c r="V201" s="385">
        <f t="shared" si="58"/>
        <v>58.087051892876104</v>
      </c>
      <c r="W201" s="404">
        <f t="shared" si="59"/>
        <v>43.188347230020099</v>
      </c>
      <c r="X201" s="157">
        <f t="shared" si="60"/>
        <v>45113</v>
      </c>
      <c r="Y201" s="387">
        <f t="shared" si="61"/>
        <v>41.570429760507039</v>
      </c>
      <c r="Z201" s="387">
        <f t="shared" si="62"/>
        <v>43.34876477081734</v>
      </c>
      <c r="AA201" s="388">
        <f t="shared" si="63"/>
        <v>47.2556521621527</v>
      </c>
      <c r="AB201" s="199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8.2675557580483644E-2</v>
      </c>
      <c r="AD201" s="233">
        <f>(INDEX(Models!$BJ201:$BT201,,AH201)*(1-AF201)+INDEX(Models!$BJ201:$BT201,,AH201+1)*AF201-ERP_i)*AE201*Ramure*Pc/MaxiM</f>
        <v>3.8176431659165728E-4</v>
      </c>
      <c r="AE201" s="307">
        <f t="shared" si="65"/>
        <v>1</v>
      </c>
      <c r="AF201" s="179">
        <f t="shared" si="66"/>
        <v>0.22071596778367342</v>
      </c>
      <c r="AG201" s="837">
        <f t="shared" si="74"/>
        <v>1</v>
      </c>
      <c r="AH201" s="178">
        <f t="shared" si="67"/>
        <v>7</v>
      </c>
      <c r="AI201" s="227">
        <f t="shared" si="68"/>
        <v>1.2207159677836734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45114</v>
      </c>
      <c r="B202" s="1139">
        <f>IF(t&gt;Tmaj,'2022'!Wh/'2022'!Env_an*'2023'!Env_an,0.001*[9]mois!$B$214)</f>
        <v>53.627461083759115</v>
      </c>
      <c r="C202" s="866"/>
      <c r="D202" s="395">
        <f t="shared" si="50"/>
        <v>55.922883386713579</v>
      </c>
      <c r="E202" s="387">
        <f t="shared" si="75"/>
        <v>58.697026356186477</v>
      </c>
      <c r="F202" s="387">
        <f t="shared" si="51"/>
        <v>58.718387857902961</v>
      </c>
      <c r="G202" s="110">
        <f t="shared" si="76"/>
        <v>0.92490597813366315</v>
      </c>
      <c r="H202" s="414" t="b">
        <f>Wh_hp&gt;='2022'!Maxi_hp</f>
        <v>0</v>
      </c>
      <c r="I202" s="392">
        <f>IF(H202,Wh_hp,'2022'!Maxi_hp)</f>
        <v>58.7192468171447</v>
      </c>
      <c r="J202" s="85">
        <f>IF(H202,An,'2022'!An_max)</f>
        <v>2022</v>
      </c>
      <c r="K202" s="199">
        <f t="shared" si="52"/>
        <v>45114</v>
      </c>
      <c r="L202" s="147">
        <f>IF(t&lt;Tvie,1-EXP((T0-t)*PertePVj)+'2022'!Pspv,1-EXP((T0-t)*PertePVj)+Pspv)</f>
        <v>4.1046207991124795E-2</v>
      </c>
      <c r="M202" s="870"/>
      <c r="N202" s="870"/>
      <c r="O202" s="48">
        <f>IF(t&lt;Tnet,'2022'!Resal+('2022'!Salim-'2022'!Resal)*(1-EXP(('2022'!Tnet-t)/('2022'!Tau_j))),Resal+(Salim-Resal)*(1-EXP((Tnet-t)/(Tau_j))))*Salcycl</f>
        <v>4.7262070017632357E-2</v>
      </c>
      <c r="P202" s="171">
        <f>(INDEX(Models!$BJ202:$BT202,,T202)*(1-R202)+INDEX(Models!$BJ202:$BT202,,T202+1)*R202-ERP_i)*Q202*Ramure*Pc/MaxiM</f>
        <v>4.0748621701293348E-4</v>
      </c>
      <c r="Q202" s="307">
        <f t="shared" si="53"/>
        <v>1</v>
      </c>
      <c r="R202" s="179">
        <f t="shared" si="54"/>
        <v>0.22614487618472889</v>
      </c>
      <c r="S202" s="837">
        <f t="shared" si="55"/>
        <v>1</v>
      </c>
      <c r="T202" s="178">
        <f t="shared" si="56"/>
        <v>7</v>
      </c>
      <c r="U202" s="253">
        <f t="shared" si="57"/>
        <v>1.2261448761847289</v>
      </c>
      <c r="V202" s="385">
        <f t="shared" si="58"/>
        <v>57.978992991347482</v>
      </c>
      <c r="W202" s="404">
        <f t="shared" si="59"/>
        <v>53.627461083759115</v>
      </c>
      <c r="X202" s="157">
        <f t="shared" si="60"/>
        <v>45114</v>
      </c>
      <c r="Y202" s="387">
        <f t="shared" si="61"/>
        <v>51.621050314983876</v>
      </c>
      <c r="Z202" s="387">
        <f t="shared" si="62"/>
        <v>53.830591990094675</v>
      </c>
      <c r="AA202" s="388">
        <f t="shared" si="63"/>
        <v>58.697026356186477</v>
      </c>
      <c r="AB202" s="199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8.2907681499250263E-2</v>
      </c>
      <c r="AD202" s="233">
        <f>(INDEX(Models!$BJ202:$BT202,,AH202)*(1-AF202)+INDEX(Models!$BJ202:$BT202,,AH202+1)*AF202-ERP_i)*AE202*Ramure*Pc/MaxiM</f>
        <v>4.0748621701293348E-4</v>
      </c>
      <c r="AE202" s="307">
        <f t="shared" si="65"/>
        <v>1</v>
      </c>
      <c r="AF202" s="179">
        <f t="shared" si="66"/>
        <v>0.22614487618472889</v>
      </c>
      <c r="AG202" s="837">
        <f t="shared" si="74"/>
        <v>1</v>
      </c>
      <c r="AH202" s="178">
        <f t="shared" si="67"/>
        <v>7</v>
      </c>
      <c r="AI202" s="227">
        <f t="shared" si="68"/>
        <v>1.2261448761847289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45115</v>
      </c>
      <c r="B203" s="1139">
        <f>IF(t&gt;Tmaj,'2022'!Wh/'2022'!Env_an*'2023'!Env_an,0.001*[9]mois!$B$215)</f>
        <v>58.850841949099134</v>
      </c>
      <c r="C203" s="866"/>
      <c r="D203" s="395">
        <f t="shared" si="50"/>
        <v>61.371269415131749</v>
      </c>
      <c r="E203" s="387">
        <f t="shared" si="75"/>
        <v>64.435111278784106</v>
      </c>
      <c r="F203" s="387">
        <f t="shared" si="51"/>
        <v>64.463220422098431</v>
      </c>
      <c r="G203" s="110">
        <f t="shared" si="76"/>
        <v>1.017001725951227</v>
      </c>
      <c r="H203" s="414" t="b">
        <f>Wh_hp&gt;='2022'!Maxi_hp</f>
        <v>1</v>
      </c>
      <c r="I203" s="392">
        <f>IF(H203,Wh_hp,'2022'!Maxi_hp)</f>
        <v>64.463220422098431</v>
      </c>
      <c r="J203" s="85">
        <f>IF(H203,An,'2022'!An_max)</f>
        <v>2023</v>
      </c>
      <c r="K203" s="199">
        <f t="shared" si="52"/>
        <v>45115</v>
      </c>
      <c r="L203" s="147">
        <f>IF(t&lt;Tvie,1-EXP((T0-t)*PertePVj)+'2022'!Pspv,1-EXP((T0-t)*PertePVj)+Pspv)</f>
        <v>4.1068524246806182E-2</v>
      </c>
      <c r="M203" s="870"/>
      <c r="N203" s="870"/>
      <c r="O203" s="48">
        <f>IF(t&lt;Tnet,'2022'!Resal+('2022'!Salim-'2022'!Resal)*(1-EXP(('2022'!Tnet-t)/('2022'!Tau_j))),Resal+(Salim-Resal)*(1-EXP((Tnet-t)/(Tau_j))))*Salcycl</f>
        <v>4.7549260067176392E-2</v>
      </c>
      <c r="P203" s="171">
        <f>(INDEX(Models!$BJ203:$BT203,,T203)*(1-R203)+INDEX(Models!$BJ203:$BT203,,T203+1)*R203-ERP_i)*Q203*Ramure*Pc/MaxiM</f>
        <v>4.3604931820452966E-4</v>
      </c>
      <c r="Q203" s="307">
        <f t="shared" si="53"/>
        <v>1</v>
      </c>
      <c r="R203" s="179">
        <f t="shared" si="54"/>
        <v>0.23146248437657224</v>
      </c>
      <c r="S203" s="837">
        <f t="shared" si="55"/>
        <v>1</v>
      </c>
      <c r="T203" s="178">
        <f t="shared" si="56"/>
        <v>7</v>
      </c>
      <c r="U203" s="253">
        <f t="shared" si="57"/>
        <v>1.2314624843765722</v>
      </c>
      <c r="V203" s="385">
        <f t="shared" si="58"/>
        <v>57.867003022098594</v>
      </c>
      <c r="W203" s="404">
        <f t="shared" si="59"/>
        <v>58.850841949099134</v>
      </c>
      <c r="X203" s="157">
        <f t="shared" si="60"/>
        <v>45115</v>
      </c>
      <c r="Y203" s="387">
        <f t="shared" si="61"/>
        <v>56.651884650397257</v>
      </c>
      <c r="Z203" s="387">
        <f t="shared" si="62"/>
        <v>59.078136533061418</v>
      </c>
      <c r="AA203" s="388">
        <f t="shared" si="63"/>
        <v>64.435111278784106</v>
      </c>
      <c r="AB203" s="199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8.3137510580920226E-2</v>
      </c>
      <c r="AD203" s="233">
        <f>(INDEX(Models!$BJ203:$BT203,,AH203)*(1-AF203)+INDEX(Models!$BJ203:$BT203,,AH203+1)*AF203-ERP_i)*AE203*Ramure*Pc/MaxiM</f>
        <v>4.3604931820452966E-4</v>
      </c>
      <c r="AE203" s="307">
        <f t="shared" si="65"/>
        <v>1</v>
      </c>
      <c r="AF203" s="179">
        <f t="shared" si="66"/>
        <v>0.23146248437657224</v>
      </c>
      <c r="AG203" s="837">
        <f t="shared" si="74"/>
        <v>1</v>
      </c>
      <c r="AH203" s="178">
        <f t="shared" si="67"/>
        <v>7</v>
      </c>
      <c r="AI203" s="227">
        <f t="shared" si="68"/>
        <v>1.2314624843765722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45116</v>
      </c>
      <c r="B204" s="1139">
        <f>IF(t&gt;Tmaj,'2022'!Wh/'2022'!Env_an*'2023'!Env_an,0.001*[9]mois!$B$216)</f>
        <v>57.802651012453687</v>
      </c>
      <c r="C204" s="866"/>
      <c r="D204" s="395">
        <f t="shared" si="50"/>
        <v>60.279589999367943</v>
      </c>
      <c r="E204" s="387">
        <f t="shared" si="75"/>
        <v>63.30792228497895</v>
      </c>
      <c r="F204" s="387">
        <f t="shared" si="51"/>
        <v>63.337531421263037</v>
      </c>
      <c r="G204" s="110">
        <f t="shared" si="76"/>
        <v>1.0008965028877421</v>
      </c>
      <c r="H204" s="414" t="b">
        <f>Wh_hp&gt;='2022'!Maxi_hp</f>
        <v>1</v>
      </c>
      <c r="I204" s="392">
        <f>IF(H204,Wh_hp,'2022'!Maxi_hp)</f>
        <v>63.337531421263037</v>
      </c>
      <c r="J204" s="85">
        <f>IF(H204,An,'2022'!An_max)</f>
        <v>2023</v>
      </c>
      <c r="K204" s="199">
        <f t="shared" si="52"/>
        <v>45116</v>
      </c>
      <c r="L204" s="147">
        <f>IF(t&lt;Tvie,1-EXP((T0-t)*PertePVj)+'2022'!Pspv,1-EXP((T0-t)*PertePVj)+Pspv)</f>
        <v>4.1090839983155658E-2</v>
      </c>
      <c r="M204" s="870"/>
      <c r="N204" s="870"/>
      <c r="O204" s="48">
        <f>IF(t&lt;Tnet,'2022'!Resal+('2022'!Salim-'2022'!Resal)*(1-EXP(('2022'!Tnet-t)/('2022'!Tau_j))),Resal+(Salim-Resal)*(1-EXP((Tnet-t)/(Tau_j))))*Salcycl</f>
        <v>4.7834965614240992E-2</v>
      </c>
      <c r="P204" s="171">
        <f>(INDEX(Models!$BJ204:$BT204,,T204)*(1-R204)+INDEX(Models!$BJ204:$BT204,,T204+1)*R204-ERP_i)*Q204*Ramure*Pc/MaxiM</f>
        <v>4.6748169086598807E-4</v>
      </c>
      <c r="Q204" s="307">
        <f t="shared" si="53"/>
        <v>1</v>
      </c>
      <c r="R204" s="179">
        <f t="shared" si="54"/>
        <v>0.23666782875220527</v>
      </c>
      <c r="S204" s="837">
        <f t="shared" si="55"/>
        <v>1</v>
      </c>
      <c r="T204" s="178">
        <f t="shared" si="56"/>
        <v>7</v>
      </c>
      <c r="U204" s="253">
        <f t="shared" si="57"/>
        <v>1.2366678287522053</v>
      </c>
      <c r="V204" s="385">
        <f t="shared" si="58"/>
        <v>57.750877184288335</v>
      </c>
      <c r="W204" s="404">
        <f t="shared" si="59"/>
        <v>57.802651012453687</v>
      </c>
      <c r="X204" s="157">
        <f t="shared" si="60"/>
        <v>45116</v>
      </c>
      <c r="Y204" s="387">
        <f t="shared" si="61"/>
        <v>55.645738836193779</v>
      </c>
      <c r="Z204" s="387">
        <f t="shared" si="62"/>
        <v>58.030250576828671</v>
      </c>
      <c r="AA204" s="388">
        <f t="shared" si="63"/>
        <v>63.30792228497895</v>
      </c>
      <c r="AB204" s="199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8.3365106888091817E-2</v>
      </c>
      <c r="AD204" s="233">
        <f>(INDEX(Models!$BJ204:$BT204,,AH204)*(1-AF204)+INDEX(Models!$BJ204:$BT204,,AH204+1)*AF204-ERP_i)*AE204*Ramure*Pc/MaxiM</f>
        <v>4.6748169086598807E-4</v>
      </c>
      <c r="AE204" s="307">
        <f t="shared" si="65"/>
        <v>1</v>
      </c>
      <c r="AF204" s="179">
        <f t="shared" si="66"/>
        <v>0.23666782875220527</v>
      </c>
      <c r="AG204" s="837">
        <f t="shared" si="74"/>
        <v>1</v>
      </c>
      <c r="AH204" s="178">
        <f t="shared" si="67"/>
        <v>7</v>
      </c>
      <c r="AI204" s="227">
        <f t="shared" si="68"/>
        <v>1.2366678287522053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45117</v>
      </c>
      <c r="B205" s="1139">
        <f>IF(t&gt;Tmaj,'2022'!Wh/'2022'!Env_an*'2023'!Env_an,0.001*[9]mois!$B$217)</f>
        <v>57.216186849856001</v>
      </c>
      <c r="C205" s="866"/>
      <c r="D205" s="395">
        <f t="shared" si="50"/>
        <v>59.669383473292868</v>
      </c>
      <c r="E205" s="387">
        <f t="shared" si="75"/>
        <v>62.68577358736642</v>
      </c>
      <c r="F205" s="387">
        <f t="shared" si="51"/>
        <v>62.716922493655971</v>
      </c>
      <c r="G205" s="110">
        <f t="shared" si="76"/>
        <v>0.99280610272707248</v>
      </c>
      <c r="H205" s="414" t="b">
        <f>Wh_hp&gt;='2022'!Maxi_hp</f>
        <v>0</v>
      </c>
      <c r="I205" s="392">
        <f>IF(H205,Wh_hp,'2022'!Maxi_hp)</f>
        <v>63.097862001735528</v>
      </c>
      <c r="J205" s="85">
        <f>IF(H205,An,'2022'!An_max)</f>
        <v>2019</v>
      </c>
      <c r="K205" s="199">
        <f t="shared" si="52"/>
        <v>45117</v>
      </c>
      <c r="L205" s="147">
        <f>IF(t&lt;Tvie,1-EXP((T0-t)*PertePVj)+'2022'!Pspv,1-EXP((T0-t)*PertePVj)+Pspv)</f>
        <v>4.1113155200185436E-2</v>
      </c>
      <c r="M205" s="870"/>
      <c r="N205" s="870"/>
      <c r="O205" s="48">
        <f>IF(t&lt;Tnet,'2022'!Resal+('2022'!Salim-'2022'!Resal)*(1-EXP(('2022'!Tnet-t)/('2022'!Tau_j))),Resal+(Salim-Resal)*(1-EXP((Tnet-t)/(Tau_j))))*Salcycl</f>
        <v>4.8119213362973784E-2</v>
      </c>
      <c r="P205" s="171">
        <f>(INDEX(Models!$BJ205:$BT205,,T205)*(1-R205)+INDEX(Models!$BJ205:$BT205,,T205+1)*R205-ERP_i)*Q205*Ramure*Pc/MaxiM</f>
        <v>5.018121695413634E-4</v>
      </c>
      <c r="Q205" s="307">
        <f t="shared" si="53"/>
        <v>1</v>
      </c>
      <c r="R205" s="179">
        <f t="shared" si="54"/>
        <v>0.24176017145916529</v>
      </c>
      <c r="S205" s="837">
        <f t="shared" si="55"/>
        <v>1</v>
      </c>
      <c r="T205" s="178">
        <f t="shared" si="56"/>
        <v>7</v>
      </c>
      <c r="U205" s="253">
        <f t="shared" si="57"/>
        <v>1.2417601714591653</v>
      </c>
      <c r="V205" s="385">
        <f t="shared" si="58"/>
        <v>57.630479592439087</v>
      </c>
      <c r="W205" s="404">
        <f t="shared" si="59"/>
        <v>57.216186849856001</v>
      </c>
      <c r="X205" s="157">
        <f t="shared" si="60"/>
        <v>45117</v>
      </c>
      <c r="Y205" s="387">
        <f t="shared" si="61"/>
        <v>55.084056639594586</v>
      </c>
      <c r="Z205" s="387">
        <f t="shared" si="62"/>
        <v>57.44583621969953</v>
      </c>
      <c r="AA205" s="388">
        <f t="shared" si="63"/>
        <v>62.68577358736642</v>
      </c>
      <c r="AB205" s="199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8.3590535264973356E-2</v>
      </c>
      <c r="AD205" s="233">
        <f>(INDEX(Models!$BJ205:$BT205,,AH205)*(1-AF205)+INDEX(Models!$BJ205:$BT205,,AH205+1)*AF205-ERP_i)*AE205*Ramure*Pc/MaxiM</f>
        <v>5.018121695413634E-4</v>
      </c>
      <c r="AE205" s="307">
        <f t="shared" si="65"/>
        <v>1</v>
      </c>
      <c r="AF205" s="179">
        <f t="shared" si="66"/>
        <v>0.24176017145916529</v>
      </c>
      <c r="AG205" s="837">
        <f t="shared" si="74"/>
        <v>1</v>
      </c>
      <c r="AH205" s="178">
        <f t="shared" si="67"/>
        <v>7</v>
      </c>
      <c r="AI205" s="227">
        <f t="shared" si="68"/>
        <v>1.2417601714591653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45118</v>
      </c>
      <c r="B206" s="1139">
        <f>IF(t&gt;Tmaj,'2022'!Wh/'2022'!Env_an*'2023'!Env_an,0.001*[9]mois!$B$218)</f>
        <v>55.240553270990901</v>
      </c>
      <c r="C206" s="866"/>
      <c r="D206" s="395">
        <f t="shared" si="50"/>
        <v>57.610383465857588</v>
      </c>
      <c r="E206" s="387">
        <f t="shared" si="75"/>
        <v>60.540675160742303</v>
      </c>
      <c r="F206" s="387">
        <f t="shared" si="51"/>
        <v>60.571553033331547</v>
      </c>
      <c r="G206" s="110">
        <f t="shared" si="76"/>
        <v>0.96057772742195957</v>
      </c>
      <c r="H206" s="414" t="b">
        <f>Wh_hp&gt;='2022'!Maxi_hp</f>
        <v>0</v>
      </c>
      <c r="I206" s="392">
        <f>IF(H206,Wh_hp,'2022'!Maxi_hp)</f>
        <v>62.66471285413887</v>
      </c>
      <c r="J206" s="85">
        <f>IF(H206,An,'2022'!An_max)</f>
        <v>2019</v>
      </c>
      <c r="K206" s="199">
        <f t="shared" si="52"/>
        <v>45118</v>
      </c>
      <c r="L206" s="147">
        <f>IF(t&lt;Tvie,1-EXP((T0-t)*PertePVj)+'2022'!Pspv,1-EXP((T0-t)*PertePVj)+Pspv)</f>
        <v>4.1135469897907395E-2</v>
      </c>
      <c r="M206" s="870"/>
      <c r="N206" s="870"/>
      <c r="O206" s="48">
        <f>IF(t&lt;Tnet,'2022'!Resal+('2022'!Salim-'2022'!Resal)*(1-EXP(('2022'!Tnet-t)/('2022'!Tau_j))),Resal+(Salim-Resal)*(1-EXP((Tnet-t)/(Tau_j))))*Salcycl</f>
        <v>4.8402031974444586E-2</v>
      </c>
      <c r="P206" s="171">
        <f>(INDEX(Models!$BJ206:$BT206,,T206)*(1-R206)+INDEX(Models!$BJ206:$BT206,,T206+1)*R206-ERP_i)*Q206*Ramure*Pc/MaxiM</f>
        <v>5.4017386456646965E-4</v>
      </c>
      <c r="Q206" s="307">
        <f t="shared" si="53"/>
        <v>1</v>
      </c>
      <c r="R206" s="179">
        <f t="shared" si="54"/>
        <v>0.24673899294087542</v>
      </c>
      <c r="S206" s="837">
        <f t="shared" si="55"/>
        <v>1</v>
      </c>
      <c r="T206" s="178">
        <f t="shared" si="56"/>
        <v>7</v>
      </c>
      <c r="U206" s="253">
        <f t="shared" si="57"/>
        <v>1.2467389929408754</v>
      </c>
      <c r="V206" s="385">
        <f t="shared" si="58"/>
        <v>57.505885880792505</v>
      </c>
      <c r="W206" s="404">
        <f t="shared" si="59"/>
        <v>55.240553270990901</v>
      </c>
      <c r="X206" s="157">
        <f t="shared" si="60"/>
        <v>45118</v>
      </c>
      <c r="Y206" s="387">
        <f t="shared" si="61"/>
        <v>53.184885650214113</v>
      </c>
      <c r="Z206" s="387">
        <f t="shared" si="62"/>
        <v>55.466527314918395</v>
      </c>
      <c r="AA206" s="388">
        <f t="shared" si="63"/>
        <v>60.540675160742303</v>
      </c>
      <c r="AB206" s="199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8.3813862867427175E-2</v>
      </c>
      <c r="AD206" s="233">
        <f>(INDEX(Models!$BJ206:$BT206,,AH206)*(1-AF206)+INDEX(Models!$BJ206:$BT206,,AH206+1)*AF206-ERP_i)*AE206*Ramure*Pc/MaxiM</f>
        <v>5.4017386456646965E-4</v>
      </c>
      <c r="AE206" s="307">
        <f t="shared" si="65"/>
        <v>1</v>
      </c>
      <c r="AF206" s="179">
        <f t="shared" si="66"/>
        <v>0.24673899294087542</v>
      </c>
      <c r="AG206" s="837">
        <f t="shared" si="74"/>
        <v>1</v>
      </c>
      <c r="AH206" s="178">
        <f t="shared" si="67"/>
        <v>7</v>
      </c>
      <c r="AI206" s="227">
        <f t="shared" si="68"/>
        <v>1.2467389929408754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45119</v>
      </c>
      <c r="B207" s="1139">
        <f>IF(t&gt;Tmaj,'2022'!Wh/'2022'!Env_an*'2023'!Env_an,0.001*[9]mois!$B$219)</f>
        <v>55.3459754094592</v>
      </c>
      <c r="C207" s="866"/>
      <c r="D207" s="395">
        <f t="shared" ref="D207:D270" si="77">Wh/(1-Ppv)</f>
        <v>57.721671501649148</v>
      </c>
      <c r="E207" s="387">
        <f t="shared" si="75"/>
        <v>60.675567571155909</v>
      </c>
      <c r="F207" s="387">
        <f t="shared" ref="F207:F270" si="78">Wh_sa/(1-Pvg*MEDIAN((-Sdif+Wh/Env_an)/Csdif,0,1))</f>
        <v>60.709102021717868</v>
      </c>
      <c r="G207" s="110">
        <f t="shared" si="76"/>
        <v>0.96456783742014141</v>
      </c>
      <c r="H207" s="414" t="b">
        <f>Wh_hp&gt;='2022'!Maxi_hp</f>
        <v>0</v>
      </c>
      <c r="I207" s="392">
        <f>IF(H207,Wh_hp,'2022'!Maxi_hp)</f>
        <v>63.499999412795624</v>
      </c>
      <c r="J207" s="85">
        <f>IF(H207,An,'2022'!An_max)</f>
        <v>2019</v>
      </c>
      <c r="K207" s="199">
        <f t="shared" ref="K207:K270" si="79">t</f>
        <v>45119</v>
      </c>
      <c r="L207" s="147">
        <f>IF(t&lt;Tvie,1-EXP((T0-t)*PertePVj)+'2022'!Pspv,1-EXP((T0-t)*PertePVj)+Pspv)</f>
        <v>4.1157784076333859E-2</v>
      </c>
      <c r="M207" s="870"/>
      <c r="N207" s="870"/>
      <c r="O207" s="48">
        <f>IF(t&lt;Tnet,'2022'!Resal+('2022'!Salim-'2022'!Resal)*(1-EXP(('2022'!Tnet-t)/('2022'!Tau_j))),Resal+(Salim-Resal)*(1-EXP((Tnet-t)/(Tau_j))))*Salcycl</f>
        <v>4.868345180360522E-2</v>
      </c>
      <c r="P207" s="171">
        <f>(INDEX(Models!$BJ207:$BT207,,T207)*(1-R207)+INDEX(Models!$BJ207:$BT207,,T207+1)*R207-ERP_i)*Q207*Ramure*Pc/MaxiM</f>
        <v>5.8180513237341086E-4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0.25160398390628091</v>
      </c>
      <c r="S207" s="837">
        <f t="shared" ref="S207:S270" si="82">INDEX(Echel_vg,T207)</f>
        <v>1</v>
      </c>
      <c r="T207" s="178">
        <f t="shared" ref="T207:T270" si="83">MIN(MATCH(Hp_vg,Echel_vg),10)</f>
        <v>7</v>
      </c>
      <c r="U207" s="253">
        <f t="shared" ref="U207:U270" si="84">IF(OR(t&lt;Ttai,Notai),Hdd+PousH*Croivg,Hdtf+PousH*(Croivg-Croi_tai))</f>
        <v>1.2516039839062809</v>
      </c>
      <c r="V207" s="385">
        <f t="shared" ref="V207:V270" si="85">MaxiM*(1-Ppv)*(1-Pvg)*(1-Psa)</f>
        <v>57.37734948257588</v>
      </c>
      <c r="W207" s="404">
        <f t="shared" ref="W207:W270" si="86">Wh*(A207&gt;Tmaj)</f>
        <v>55.3459754094592</v>
      </c>
      <c r="X207" s="157">
        <f t="shared" ref="X207:X270" si="87">t</f>
        <v>45119</v>
      </c>
      <c r="Y207" s="387">
        <f t="shared" ref="Y207:Y270" si="88">Wh_pvt_s*(1-Ppv)</f>
        <v>53.289273354027486</v>
      </c>
      <c r="Z207" s="387">
        <f t="shared" ref="Z207:Z270" si="89">Wh_sa_s*(1-Psa_s)</f>
        <v>55.576686621680693</v>
      </c>
      <c r="AA207" s="388">
        <f t="shared" ref="AA207:AA270" si="90">Wh_hp*(1-Pvg_s*MEDIAN((-Sdif+Wh/Env_an)/Csdif,0,1))</f>
        <v>60.675567571155909</v>
      </c>
      <c r="AB207" s="199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8.4035158690450126E-2</v>
      </c>
      <c r="AD207" s="233">
        <f>(INDEX(Models!$BJ207:$BT207,,AH207)*(1-AF207)+INDEX(Models!$BJ207:$BT207,,AH207+1)*AF207-ERP_i)*AE207*Ramure*Pc/MaxiM</f>
        <v>5.8180513237341086E-4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0.25160398390628091</v>
      </c>
      <c r="AG207" s="837">
        <f t="shared" si="74"/>
        <v>1</v>
      </c>
      <c r="AH207" s="178">
        <f t="shared" ref="AH207:AH270" si="94">MIN(MATCH(Hp_vg_s,Echel_vg),10)</f>
        <v>7</v>
      </c>
      <c r="AI207" s="227">
        <f t="shared" ref="AI207:AI270" si="95">IF(OR(t&lt;Ttai,Notai),Hdd_s+PousH*Croivg,Hdtai_s+PousH*(Croivg-Croi_tai))</f>
        <v>1.2516039839062809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45120</v>
      </c>
      <c r="B208" s="1139">
        <f>IF(t&gt;Tmaj,'2022'!Wh/'2022'!Env_an*'2023'!Env_an,0.001*[9]mois!$B$220)</f>
        <v>55.000781319080161</v>
      </c>
      <c r="C208" s="866"/>
      <c r="D208" s="395">
        <f t="shared" si="77"/>
        <v>57.362995062138701</v>
      </c>
      <c r="E208" s="387">
        <f t="shared" si="75"/>
        <v>60.316292110230748</v>
      </c>
      <c r="F208" s="387">
        <f t="shared" si="78"/>
        <v>60.35199750885392</v>
      </c>
      <c r="G208" s="110">
        <f t="shared" si="76"/>
        <v>0.96076118439640956</v>
      </c>
      <c r="H208" s="414" t="b">
        <f>Wh_hp&gt;='2022'!Maxi_hp</f>
        <v>0</v>
      </c>
      <c r="I208" s="392">
        <f>IF(H208,Wh_hp,'2022'!Maxi_hp)</f>
        <v>60.352705657987606</v>
      </c>
      <c r="J208" s="85">
        <f>IF(H208,An,'2022'!An_max)</f>
        <v>2022</v>
      </c>
      <c r="K208" s="199">
        <f t="shared" si="79"/>
        <v>45120</v>
      </c>
      <c r="L208" s="147">
        <f>IF(t&lt;Tvie,1-EXP((T0-t)*PertePVj)+'2022'!Pspv,1-EXP((T0-t)*PertePVj)+Pspv)</f>
        <v>4.1180097735476706E-2</v>
      </c>
      <c r="M208" s="870"/>
      <c r="N208" s="870"/>
      <c r="O208" s="48">
        <f>IF(t&lt;Tnet,'2022'!Resal+('2022'!Salim-'2022'!Resal)*(1-EXP(('2022'!Tnet-t)/('2022'!Tau_j))),Resal+(Salim-Resal)*(1-EXP((Tnet-t)/(Tau_j))))*Salcycl</f>
        <v>4.8963504631464469E-2</v>
      </c>
      <c r="P208" s="171">
        <f>(INDEX(Models!$BJ208:$BT208,,T208)*(1-R208)+INDEX(Models!$BJ208:$BT208,,T208+1)*R208-ERP_i)*Q208*Ramure*Pc/MaxiM</f>
        <v>6.2672003094837504E-4</v>
      </c>
      <c r="Q208" s="307">
        <f t="shared" si="80"/>
        <v>1</v>
      </c>
      <c r="R208" s="179">
        <f t="shared" si="81"/>
        <v>0.25635503681056448</v>
      </c>
      <c r="S208" s="837">
        <f t="shared" si="82"/>
        <v>1</v>
      </c>
      <c r="T208" s="178">
        <f t="shared" si="83"/>
        <v>7</v>
      </c>
      <c r="U208" s="253">
        <f t="shared" si="84"/>
        <v>1.2563550368105645</v>
      </c>
      <c r="V208" s="385">
        <f t="shared" si="85"/>
        <v>57.245078688277836</v>
      </c>
      <c r="W208" s="404">
        <f t="shared" si="86"/>
        <v>55.000781319080161</v>
      </c>
      <c r="X208" s="157">
        <f t="shared" si="87"/>
        <v>45120</v>
      </c>
      <c r="Y208" s="387">
        <f t="shared" si="88"/>
        <v>52.959816594213045</v>
      </c>
      <c r="Z208" s="387">
        <f t="shared" si="89"/>
        <v>55.234373493013152</v>
      </c>
      <c r="AA208" s="388">
        <f t="shared" si="90"/>
        <v>60.316292110230748</v>
      </c>
      <c r="AB208" s="199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8.4254493096660596E-2</v>
      </c>
      <c r="AD208" s="233">
        <f>(INDEX(Models!$BJ208:$BT208,,AH208)*(1-AF208)+INDEX(Models!$BJ208:$BT208,,AH208+1)*AF208-ERP_i)*AE208*Ramure*Pc/MaxiM</f>
        <v>6.2672003094837504E-4</v>
      </c>
      <c r="AE208" s="307">
        <f t="shared" si="92"/>
        <v>1</v>
      </c>
      <c r="AF208" s="179">
        <f t="shared" si="93"/>
        <v>0.25635503681056448</v>
      </c>
      <c r="AG208" s="837">
        <f t="shared" ref="AG208:AG271" si="99">INDEX(Echel_vg,AH208)</f>
        <v>1</v>
      </c>
      <c r="AH208" s="178">
        <f t="shared" si="94"/>
        <v>7</v>
      </c>
      <c r="AI208" s="227">
        <f t="shared" si="95"/>
        <v>1.2563550368105645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45121</v>
      </c>
      <c r="B209" s="1139">
        <f>IF(t&gt;Tmaj,'2022'!Wh/'2022'!Env_an*'2023'!Env_an,0.001*[9]mois!$B$221)</f>
        <v>54.300979438220764</v>
      </c>
      <c r="C209" s="866"/>
      <c r="D209" s="395">
        <f t="shared" si="77"/>
        <v>56.634455545299851</v>
      </c>
      <c r="E209" s="387">
        <f t="shared" si="75"/>
        <v>59.567701615349684</v>
      </c>
      <c r="F209" s="387">
        <f t="shared" si="78"/>
        <v>59.60510504241585</v>
      </c>
      <c r="G209" s="110">
        <f t="shared" si="76"/>
        <v>0.95078071179467627</v>
      </c>
      <c r="H209" s="414" t="b">
        <f>Wh_hp&gt;='2022'!Maxi_hp</f>
        <v>0</v>
      </c>
      <c r="I209" s="392">
        <f>IF(H209,Wh_hp,'2022'!Maxi_hp)</f>
        <v>62.42092802890074</v>
      </c>
      <c r="J209" s="85">
        <f>IF(H209,An,'2022'!An_max)</f>
        <v>2019</v>
      </c>
      <c r="K209" s="199">
        <f t="shared" si="79"/>
        <v>45121</v>
      </c>
      <c r="L209" s="147">
        <f>IF(t&lt;Tvie,1-EXP((T0-t)*PertePVj)+'2022'!Pspv,1-EXP((T0-t)*PertePVj)+Pspv)</f>
        <v>4.120241087534815E-2</v>
      </c>
      <c r="M209" s="870"/>
      <c r="N209" s="870"/>
      <c r="O209" s="48">
        <f>IF(t&lt;Tnet,'2022'!Resal+('2022'!Salim-'2022'!Resal)*(1-EXP(('2022'!Tnet-t)/('2022'!Tau_j))),Resal+(Salim-Resal)*(1-EXP((Tnet-t)/(Tau_j))))*Salcycl</f>
        <v>4.9242223394665649E-2</v>
      </c>
      <c r="P209" s="171">
        <f>(INDEX(Models!$BJ209:$BT209,,T209)*(1-R209)+INDEX(Models!$BJ209:$BT209,,T209+1)*R209-ERP_i)*Q209*Ramure*Pc/MaxiM</f>
        <v>6.7493383903866793E-4</v>
      </c>
      <c r="Q209" s="307">
        <f t="shared" si="80"/>
        <v>1</v>
      </c>
      <c r="R209" s="179">
        <f t="shared" si="81"/>
        <v>0.26099223692795048</v>
      </c>
      <c r="S209" s="837">
        <f t="shared" si="82"/>
        <v>1</v>
      </c>
      <c r="T209" s="178">
        <f t="shared" si="83"/>
        <v>7</v>
      </c>
      <c r="U209" s="253">
        <f t="shared" si="84"/>
        <v>1.2609922369279505</v>
      </c>
      <c r="V209" s="385">
        <f t="shared" si="85"/>
        <v>57.109281413534077</v>
      </c>
      <c r="W209" s="404">
        <f t="shared" si="86"/>
        <v>54.300979438220764</v>
      </c>
      <c r="X209" s="157">
        <f t="shared" si="87"/>
        <v>45121</v>
      </c>
      <c r="Y209" s="387">
        <f t="shared" si="88"/>
        <v>52.288891795986906</v>
      </c>
      <c r="Z209" s="387">
        <f t="shared" si="89"/>
        <v>54.535902456455702</v>
      </c>
      <c r="AA209" s="388">
        <f t="shared" si="90"/>
        <v>59.567701615349684</v>
      </c>
      <c r="AB209" s="199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8.4471937349306192E-2</v>
      </c>
      <c r="AD209" s="233">
        <f>(INDEX(Models!$BJ209:$BT209,,AH209)*(1-AF209)+INDEX(Models!$BJ209:$BT209,,AH209+1)*AF209-ERP_i)*AE209*Ramure*Pc/MaxiM</f>
        <v>6.7493383903866793E-4</v>
      </c>
      <c r="AE209" s="307">
        <f t="shared" si="92"/>
        <v>1</v>
      </c>
      <c r="AF209" s="179">
        <f t="shared" si="93"/>
        <v>0.26099223692795048</v>
      </c>
      <c r="AG209" s="837">
        <f t="shared" si="99"/>
        <v>1</v>
      </c>
      <c r="AH209" s="178">
        <f t="shared" si="94"/>
        <v>7</v>
      </c>
      <c r="AI209" s="227">
        <f t="shared" si="95"/>
        <v>1.2609922369279505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45122</v>
      </c>
      <c r="B210" s="1139">
        <f>IF(t&gt;Tmaj,'2022'!Wh/'2022'!Env_an*'2023'!Env_an,0.001*[9]mois!$B$222)</f>
        <v>52.460658672533384</v>
      </c>
      <c r="C210" s="866"/>
      <c r="D210" s="395">
        <f t="shared" si="77"/>
        <v>54.716324000155147</v>
      </c>
      <c r="E210" s="387">
        <f t="shared" si="75"/>
        <v>57.567022332135089</v>
      </c>
      <c r="F210" s="387">
        <f t="shared" si="78"/>
        <v>57.604137541502105</v>
      </c>
      <c r="G210" s="110">
        <f t="shared" si="76"/>
        <v>0.92076872442193425</v>
      </c>
      <c r="H210" s="414" t="b">
        <f>Wh_hp&gt;='2022'!Maxi_hp</f>
        <v>0</v>
      </c>
      <c r="I210" s="392">
        <f>IF(H210,Wh_hp,'2022'!Maxi_hp)</f>
        <v>64.059383068495961</v>
      </c>
      <c r="J210" s="85">
        <f>IF(H210,An,'2022'!An_max)</f>
        <v>2019</v>
      </c>
      <c r="K210" s="199">
        <f t="shared" si="79"/>
        <v>45122</v>
      </c>
      <c r="L210" s="147">
        <f>IF(t&lt;Tvie,1-EXP((T0-t)*PertePVj)+'2022'!Pspv,1-EXP((T0-t)*PertePVj)+Pspv)</f>
        <v>4.122472349596018E-2</v>
      </c>
      <c r="M210" s="870"/>
      <c r="N210" s="870"/>
      <c r="O210" s="48">
        <f>IF(t&lt;Tnet,'2022'!Resal+('2022'!Salim-'2022'!Resal)*(1-EXP(('2022'!Tnet-t)/('2022'!Tau_j))),Resal+(Salim-Resal)*(1-EXP((Tnet-t)/(Tau_j))))*Salcycl</f>
        <v>4.9519641914649158E-2</v>
      </c>
      <c r="P210" s="171">
        <f>(INDEX(Models!$BJ210:$BT210,,T210)*(1-R210)+INDEX(Models!$BJ210:$BT210,,T210+1)*R210-ERP_i)*Q210*Ramure*Pc/MaxiM</f>
        <v>7.264629916379987E-4</v>
      </c>
      <c r="Q210" s="307">
        <f t="shared" si="80"/>
        <v>1</v>
      </c>
      <c r="R210" s="179">
        <f t="shared" si="81"/>
        <v>0.26551585309516401</v>
      </c>
      <c r="S210" s="837">
        <f t="shared" si="82"/>
        <v>1</v>
      </c>
      <c r="T210" s="178">
        <f t="shared" si="83"/>
        <v>7</v>
      </c>
      <c r="U210" s="253">
        <f t="shared" si="84"/>
        <v>1.265515853095164</v>
      </c>
      <c r="V210" s="385">
        <f t="shared" si="85"/>
        <v>56.97016521576402</v>
      </c>
      <c r="W210" s="404">
        <f t="shared" si="86"/>
        <v>52.460658672533384</v>
      </c>
      <c r="X210" s="157">
        <f t="shared" si="87"/>
        <v>45122</v>
      </c>
      <c r="Y210" s="387">
        <f t="shared" si="88"/>
        <v>50.519606133546112</v>
      </c>
      <c r="Z210" s="387">
        <f t="shared" si="89"/>
        <v>52.691811492839683</v>
      </c>
      <c r="AA210" s="388">
        <f t="shared" si="90"/>
        <v>57.567022332135089</v>
      </c>
      <c r="AB210" s="199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8.4687563153218126E-2</v>
      </c>
      <c r="AD210" s="233">
        <f>(INDEX(Models!$BJ210:$BT210,,AH210)*(1-AF210)+INDEX(Models!$BJ210:$BT210,,AH210+1)*AF210-ERP_i)*AE210*Ramure*Pc/MaxiM</f>
        <v>7.264629916379987E-4</v>
      </c>
      <c r="AE210" s="307">
        <f t="shared" si="92"/>
        <v>1</v>
      </c>
      <c r="AF210" s="179">
        <f t="shared" si="93"/>
        <v>0.26551585309516401</v>
      </c>
      <c r="AG210" s="837">
        <f t="shared" si="99"/>
        <v>1</v>
      </c>
      <c r="AH210" s="178">
        <f t="shared" si="94"/>
        <v>7</v>
      </c>
      <c r="AI210" s="227">
        <f t="shared" si="95"/>
        <v>1.265515853095164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45123</v>
      </c>
      <c r="B211" s="1139">
        <f>IF(t&gt;Tmaj,'2022'!Wh/'2022'!Env_an*'2023'!Env_an,0.001*[9]mois!$B$223)</f>
        <v>54.021109439832024</v>
      </c>
      <c r="C211" s="866"/>
      <c r="D211" s="395">
        <f t="shared" si="77"/>
        <v>56.34518113170936</v>
      </c>
      <c r="E211" s="387">
        <f t="shared" si="75"/>
        <v>59.297970702711645</v>
      </c>
      <c r="F211" s="387">
        <f t="shared" si="78"/>
        <v>59.341063890519237</v>
      </c>
      <c r="G211" s="110">
        <f t="shared" si="76"/>
        <v>0.95055586482260357</v>
      </c>
      <c r="H211" s="414" t="b">
        <f>Wh_hp&gt;='2022'!Maxi_hp</f>
        <v>0</v>
      </c>
      <c r="I211" s="392">
        <f>IF(H211,Wh_hp,'2022'!Maxi_hp)</f>
        <v>61.939106503544039</v>
      </c>
      <c r="J211" s="85">
        <f>IF(H211,An,'2022'!An_max)</f>
        <v>2019</v>
      </c>
      <c r="K211" s="199">
        <f t="shared" si="79"/>
        <v>45123</v>
      </c>
      <c r="L211" s="147">
        <f>IF(t&lt;Tvie,1-EXP((T0-t)*PertePVj)+'2022'!Pspv,1-EXP((T0-t)*PertePVj)+Pspv)</f>
        <v>4.1247035597324899E-2</v>
      </c>
      <c r="M211" s="870"/>
      <c r="N211" s="870"/>
      <c r="O211" s="48">
        <f>IF(t&lt;Tnet,'2022'!Resal+('2022'!Salim-'2022'!Resal)*(1-EXP(('2022'!Tnet-t)/('2022'!Tau_j))),Resal+(Salim-Resal)*(1-EXP((Tnet-t)/(Tau_j))))*Salcycl</f>
        <v>4.9795794628554803E-2</v>
      </c>
      <c r="P211" s="171">
        <f>(INDEX(Models!$BJ211:$BT211,,T211)*(1-R211)+INDEX(Models!$BJ211:$BT211,,T211+1)*R211-ERP_i)*Q211*Ramure*Pc/MaxiM</f>
        <v>7.8132501300588525E-4</v>
      </c>
      <c r="Q211" s="307">
        <f t="shared" si="80"/>
        <v>1</v>
      </c>
      <c r="R211" s="179">
        <f t="shared" si="81"/>
        <v>0.26992632820104179</v>
      </c>
      <c r="S211" s="837">
        <f t="shared" si="82"/>
        <v>1</v>
      </c>
      <c r="T211" s="178">
        <f t="shared" si="83"/>
        <v>7</v>
      </c>
      <c r="U211" s="253">
        <f t="shared" si="84"/>
        <v>1.2699263282010418</v>
      </c>
      <c r="V211" s="385">
        <f t="shared" si="85"/>
        <v>56.827937308765833</v>
      </c>
      <c r="W211" s="404">
        <f t="shared" si="86"/>
        <v>54.021109439832024</v>
      </c>
      <c r="X211" s="157">
        <f t="shared" si="87"/>
        <v>45123</v>
      </c>
      <c r="Y211" s="387">
        <f t="shared" si="88"/>
        <v>52.025279470787723</v>
      </c>
      <c r="Z211" s="387">
        <f t="shared" si="89"/>
        <v>54.263487470102014</v>
      </c>
      <c r="AA211" s="388">
        <f t="shared" si="90"/>
        <v>59.297970702711645</v>
      </c>
      <c r="AB211" s="199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8.4901442207016536E-2</v>
      </c>
      <c r="AD211" s="233">
        <f>(INDEX(Models!$BJ211:$BT211,,AH211)*(1-AF211)+INDEX(Models!$BJ211:$BT211,,AH211+1)*AF211-ERP_i)*AE211*Ramure*Pc/MaxiM</f>
        <v>7.8132501300588525E-4</v>
      </c>
      <c r="AE211" s="307">
        <f t="shared" si="92"/>
        <v>1</v>
      </c>
      <c r="AF211" s="179">
        <f t="shared" si="93"/>
        <v>0.26992632820104179</v>
      </c>
      <c r="AG211" s="837">
        <f t="shared" si="99"/>
        <v>1</v>
      </c>
      <c r="AH211" s="178">
        <f t="shared" si="94"/>
        <v>7</v>
      </c>
      <c r="AI211" s="227">
        <f t="shared" si="95"/>
        <v>1.2699263282010418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45124</v>
      </c>
      <c r="B212" s="1139">
        <f>IF(t&gt;Tmaj,'2022'!Wh/'2022'!Env_an*'2023'!Env_an,0.001*[9]mois!$B$224)</f>
        <v>53.09458050707628</v>
      </c>
      <c r="C212" s="866"/>
      <c r="D212" s="395">
        <f t="shared" si="77"/>
        <v>55.380080266417103</v>
      </c>
      <c r="E212" s="387">
        <f t="shared" si="75"/>
        <v>58.29916101976319</v>
      </c>
      <c r="F212" s="387">
        <f t="shared" si="78"/>
        <v>58.343870338781592</v>
      </c>
      <c r="G212" s="110">
        <f t="shared" si="76"/>
        <v>0.93662777835712263</v>
      </c>
      <c r="H212" s="414" t="b">
        <f>Wh_hp&gt;='2022'!Maxi_hp</f>
        <v>0</v>
      </c>
      <c r="I212" s="392">
        <f>IF(H212,Wh_hp,'2022'!Maxi_hp)</f>
        <v>61.436079600146336</v>
      </c>
      <c r="J212" s="85">
        <f>IF(H212,An,'2022'!An_max)</f>
        <v>2021</v>
      </c>
      <c r="K212" s="199">
        <f t="shared" si="79"/>
        <v>45124</v>
      </c>
      <c r="L212" s="147">
        <f>IF(t&lt;Tvie,1-EXP((T0-t)*PertePVj)+'2022'!Pspv,1-EXP((T0-t)*PertePVj)+Pspv)</f>
        <v>4.1269347179454519E-2</v>
      </c>
      <c r="M212" s="870"/>
      <c r="N212" s="870"/>
      <c r="O212" s="48">
        <f>IF(t&lt;Tnet,'2022'!Resal+('2022'!Salim-'2022'!Resal)*(1-EXP(('2022'!Tnet-t)/('2022'!Tau_j))),Resal+(Salim-Resal)*(1-EXP((Tnet-t)/(Tau_j))))*Salcycl</f>
        <v>5.0070716323971344E-2</v>
      </c>
      <c r="P212" s="171">
        <f>(INDEX(Models!$BJ212:$BT212,,T212)*(1-R212)+INDEX(Models!$BJ212:$BT212,,T212+1)*R212-ERP_i)*Q212*Ramure*Pc/MaxiM</f>
        <v>8.4249349752210407E-4</v>
      </c>
      <c r="Q212" s="307">
        <f t="shared" si="80"/>
        <v>1</v>
      </c>
      <c r="R212" s="179">
        <f t="shared" si="81"/>
        <v>0.27422426949424872</v>
      </c>
      <c r="S212" s="837">
        <f t="shared" si="82"/>
        <v>1</v>
      </c>
      <c r="T212" s="178">
        <f t="shared" si="83"/>
        <v>7</v>
      </c>
      <c r="U212" s="253">
        <f t="shared" si="84"/>
        <v>1.2742242694942487</v>
      </c>
      <c r="V212" s="385">
        <f t="shared" si="85"/>
        <v>56.682636949373567</v>
      </c>
      <c r="W212" s="404">
        <f t="shared" si="86"/>
        <v>53.09458050707628</v>
      </c>
      <c r="X212" s="157">
        <f t="shared" si="87"/>
        <v>45124</v>
      </c>
      <c r="Y212" s="387">
        <f t="shared" si="88"/>
        <v>51.135919298674544</v>
      </c>
      <c r="Z212" s="387">
        <f t="shared" si="89"/>
        <v>53.337106880055217</v>
      </c>
      <c r="AA212" s="388">
        <f t="shared" si="90"/>
        <v>58.29916101976319</v>
      </c>
      <c r="AB212" s="199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8.5113645769719665E-2</v>
      </c>
      <c r="AD212" s="233">
        <f>(INDEX(Models!$BJ212:$BT212,,AH212)*(1-AF212)+INDEX(Models!$BJ212:$BT212,,AH212+1)*AF212-ERP_i)*AE212*Ramure*Pc/MaxiM</f>
        <v>8.4249349752210407E-4</v>
      </c>
      <c r="AE212" s="307">
        <f t="shared" si="92"/>
        <v>1</v>
      </c>
      <c r="AF212" s="179">
        <f t="shared" si="93"/>
        <v>0.27422426949424872</v>
      </c>
      <c r="AG212" s="837">
        <f t="shared" si="99"/>
        <v>1</v>
      </c>
      <c r="AH212" s="178">
        <f t="shared" si="94"/>
        <v>7</v>
      </c>
      <c r="AI212" s="227">
        <f t="shared" si="95"/>
        <v>1.2742242694942487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45125</v>
      </c>
      <c r="B213" s="1139">
        <f>IF(t&gt;Tmaj,'2022'!Wh/'2022'!Env_an*'2023'!Env_an,0.001*[9]mois!$B$225)</f>
        <v>53.377545823130482</v>
      </c>
      <c r="C213" s="866"/>
      <c r="D213" s="395">
        <f t="shared" si="77"/>
        <v>55.676521730551812</v>
      </c>
      <c r="E213" s="387">
        <f t="shared" si="75"/>
        <v>58.628121801074407</v>
      </c>
      <c r="F213" s="387">
        <f t="shared" si="78"/>
        <v>58.677159865528203</v>
      </c>
      <c r="G213" s="110">
        <f t="shared" si="76"/>
        <v>0.94408909683300768</v>
      </c>
      <c r="H213" s="414" t="b">
        <f>Wh_hp&gt;='2022'!Maxi_hp</f>
        <v>0</v>
      </c>
      <c r="I213" s="392">
        <f>IF(H213,Wh_hp,'2022'!Maxi_hp)</f>
        <v>58.678514973829415</v>
      </c>
      <c r="J213" s="85">
        <f>IF(H213,An,'2022'!An_max)</f>
        <v>2022</v>
      </c>
      <c r="K213" s="199">
        <f t="shared" si="79"/>
        <v>45125</v>
      </c>
      <c r="L213" s="147">
        <f>IF(t&lt;Tvie,1-EXP((T0-t)*PertePVj)+'2022'!Pspv,1-EXP((T0-t)*PertePVj)+Pspv)</f>
        <v>4.1291658242361029E-2</v>
      </c>
      <c r="M213" s="870"/>
      <c r="N213" s="870"/>
      <c r="O213" s="48">
        <f>IF(t&lt;Tnet,'2022'!Resal+('2022'!Salim-'2022'!Resal)*(1-EXP(('2022'!Tnet-t)/('2022'!Tau_j))),Resal+(Salim-Resal)*(1-EXP((Tnet-t)/(Tau_j))))*Salcycl</f>
        <v>5.034444187957085E-2</v>
      </c>
      <c r="P213" s="171">
        <f>(INDEX(Models!$BJ213:$BT213,,T213)*(1-R213)+INDEX(Models!$BJ213:$BT213,,T213+1)*R213-ERP_i)*Q213*Ramure*Pc/MaxiM</f>
        <v>9.0817630932399102E-4</v>
      </c>
      <c r="Q213" s="307">
        <f t="shared" si="80"/>
        <v>1</v>
      </c>
      <c r="R213" s="179">
        <f t="shared" si="81"/>
        <v>0.27841043877705518</v>
      </c>
      <c r="S213" s="837">
        <f t="shared" si="82"/>
        <v>1</v>
      </c>
      <c r="T213" s="178">
        <f t="shared" si="83"/>
        <v>7</v>
      </c>
      <c r="U213" s="253">
        <f t="shared" si="84"/>
        <v>1.2784104387770552</v>
      </c>
      <c r="V213" s="385">
        <f t="shared" si="85"/>
        <v>56.534574523654882</v>
      </c>
      <c r="W213" s="404">
        <f t="shared" si="86"/>
        <v>53.377545823130482</v>
      </c>
      <c r="X213" s="157">
        <f t="shared" si="87"/>
        <v>45125</v>
      </c>
      <c r="Y213" s="387">
        <f t="shared" si="88"/>
        <v>51.411426646904388</v>
      </c>
      <c r="Z213" s="387">
        <f t="shared" si="89"/>
        <v>53.625721616909821</v>
      </c>
      <c r="AA213" s="388">
        <f t="shared" si="90"/>
        <v>58.628121801074407</v>
      </c>
      <c r="AB213" s="199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8.5324244244728814E-2</v>
      </c>
      <c r="AD213" s="233">
        <f>(INDEX(Models!$BJ213:$BT213,,AH213)*(1-AF213)+INDEX(Models!$BJ213:$BT213,,AH213+1)*AF213-ERP_i)*AE213*Ramure*Pc/MaxiM</f>
        <v>9.0817630932399102E-4</v>
      </c>
      <c r="AE213" s="307">
        <f t="shared" si="92"/>
        <v>1</v>
      </c>
      <c r="AF213" s="179">
        <f t="shared" si="93"/>
        <v>0.27841043877705518</v>
      </c>
      <c r="AG213" s="837">
        <f t="shared" si="99"/>
        <v>1</v>
      </c>
      <c r="AH213" s="178">
        <f t="shared" si="94"/>
        <v>7</v>
      </c>
      <c r="AI213" s="227">
        <f t="shared" si="95"/>
        <v>1.2784104387770552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45126</v>
      </c>
      <c r="B214" s="1139">
        <f>IF(t&gt;Tmaj,'2022'!Wh/'2022'!Env_an*'2023'!Env_an,0.001*[9]mois!$B$226)</f>
        <v>43.164967112692892</v>
      </c>
      <c r="C214" s="866"/>
      <c r="D214" s="395">
        <f t="shared" si="77"/>
        <v>45.025134097380054</v>
      </c>
      <c r="E214" s="387">
        <f t="shared" si="75"/>
        <v>47.425680028584871</v>
      </c>
      <c r="F214" s="387">
        <f t="shared" si="78"/>
        <v>47.456561947395585</v>
      </c>
      <c r="G214" s="110">
        <f t="shared" si="76"/>
        <v>0.76530306082000177</v>
      </c>
      <c r="H214" s="414" t="b">
        <f>Wh_hp&gt;='2022'!Maxi_hp</f>
        <v>0</v>
      </c>
      <c r="I214" s="392">
        <f>IF(H214,Wh_hp,'2022'!Maxi_hp)</f>
        <v>60.900356316381583</v>
      </c>
      <c r="J214" s="85">
        <f>IF(H214,An,'2022'!An_max)</f>
        <v>2020</v>
      </c>
      <c r="K214" s="199">
        <f t="shared" si="79"/>
        <v>45126</v>
      </c>
      <c r="L214" s="147">
        <f>IF(t&lt;Tvie,1-EXP((T0-t)*PertePVj)+'2022'!Pspv,1-EXP((T0-t)*PertePVj)+Pspv)</f>
        <v>4.1313968786056421E-2</v>
      </c>
      <c r="M214" s="870"/>
      <c r="N214" s="870"/>
      <c r="O214" s="48">
        <f>IF(t&lt;Tnet,'2022'!Resal+('2022'!Salim-'2022'!Resal)*(1-EXP(('2022'!Tnet-t)/('2022'!Tau_j))),Resal+(Salim-Resal)*(1-EXP((Tnet-t)/(Tau_j))))*Salcycl</f>
        <v>5.0617006013576132E-2</v>
      </c>
      <c r="P214" s="171">
        <f>(INDEX(Models!$BJ214:$BT214,,T214)*(1-R214)+INDEX(Models!$BJ214:$BT214,,T214+1)*R214-ERP_i)*Q214*Ramure*Pc/MaxiM</f>
        <v>9.7844381092321796E-4</v>
      </c>
      <c r="Q214" s="307">
        <f t="shared" si="80"/>
        <v>1</v>
      </c>
      <c r="R214" s="179">
        <f t="shared" si="81"/>
        <v>0.28248574254884451</v>
      </c>
      <c r="S214" s="837">
        <f t="shared" si="82"/>
        <v>1</v>
      </c>
      <c r="T214" s="178">
        <f t="shared" si="83"/>
        <v>7</v>
      </c>
      <c r="U214" s="253">
        <f t="shared" si="84"/>
        <v>1.2824857425488445</v>
      </c>
      <c r="V214" s="385">
        <f t="shared" si="85"/>
        <v>56.383954042711729</v>
      </c>
      <c r="W214" s="404">
        <f t="shared" si="86"/>
        <v>43.164967112692892</v>
      </c>
      <c r="X214" s="157">
        <f t="shared" si="87"/>
        <v>45126</v>
      </c>
      <c r="Y214" s="387">
        <f t="shared" si="88"/>
        <v>41.577450816322738</v>
      </c>
      <c r="Z214" s="387">
        <f t="shared" si="89"/>
        <v>43.369204789262412</v>
      </c>
      <c r="AA214" s="388">
        <f t="shared" si="90"/>
        <v>47.425680028584871</v>
      </c>
      <c r="AB214" s="199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8.5533306783951268E-2</v>
      </c>
      <c r="AD214" s="233">
        <f>(INDEX(Models!$BJ214:$BT214,,AH214)*(1-AF214)+INDEX(Models!$BJ214:$BT214,,AH214+1)*AF214-ERP_i)*AE214*Ramure*Pc/MaxiM</f>
        <v>9.7844381092321796E-4</v>
      </c>
      <c r="AE214" s="307">
        <f t="shared" si="92"/>
        <v>1</v>
      </c>
      <c r="AF214" s="179">
        <f t="shared" si="93"/>
        <v>0.28248574254884451</v>
      </c>
      <c r="AG214" s="837">
        <f t="shared" si="99"/>
        <v>1</v>
      </c>
      <c r="AH214" s="178">
        <f t="shared" si="94"/>
        <v>7</v>
      </c>
      <c r="AI214" s="227">
        <f t="shared" si="95"/>
        <v>1.2824857425488445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45127</v>
      </c>
      <c r="B215" s="1139">
        <f>IF(t&gt;Tmaj,'2022'!Wh/'2022'!Env_an*'2023'!Env_an,0.001*[9]mois!$B$227)</f>
        <v>41.398656006502542</v>
      </c>
      <c r="C215" s="866"/>
      <c r="D215" s="395">
        <f t="shared" si="77"/>
        <v>43.183709878097609</v>
      </c>
      <c r="E215" s="387">
        <f t="shared" si="75"/>
        <v>45.499087606204398</v>
      </c>
      <c r="F215" s="387">
        <f t="shared" si="78"/>
        <v>45.528974415142613</v>
      </c>
      <c r="G215" s="110">
        <f t="shared" si="76"/>
        <v>0.73593263489339877</v>
      </c>
      <c r="H215" s="414" t="b">
        <f>Wh_hp&gt;='2022'!Maxi_hp</f>
        <v>0</v>
      </c>
      <c r="I215" s="392">
        <f>IF(H215,Wh_hp,'2022'!Maxi_hp)</f>
        <v>59.452822712934505</v>
      </c>
      <c r="J215" s="85">
        <f>IF(H215,An,'2022'!An_max)</f>
        <v>2020</v>
      </c>
      <c r="K215" s="199">
        <f t="shared" si="79"/>
        <v>45127</v>
      </c>
      <c r="L215" s="147">
        <f>IF(t&lt;Tvie,1-EXP((T0-t)*PertePVj)+'2022'!Pspv,1-EXP((T0-t)*PertePVj)+Pspv)</f>
        <v>4.1336278810552907E-2</v>
      </c>
      <c r="M215" s="870"/>
      <c r="N215" s="870"/>
      <c r="O215" s="48">
        <f>IF(t&lt;Tnet,'2022'!Resal+('2022'!Salim-'2022'!Resal)*(1-EXP(('2022'!Tnet-t)/('2022'!Tau_j))),Resal+(Salim-Resal)*(1-EXP((Tnet-t)/(Tau_j))))*Salcycl</f>
        <v>5.0888443041900919E-2</v>
      </c>
      <c r="P215" s="171">
        <f>(INDEX(Models!$BJ215:$BT215,,T215)*(1-R215)+INDEX(Models!$BJ215:$BT215,,T215+1)*R215-ERP_i)*Q215*Ramure*Pc/MaxiM</f>
        <v>1.0533655517948426E-3</v>
      </c>
      <c r="Q215" s="307">
        <f t="shared" si="80"/>
        <v>1</v>
      </c>
      <c r="R215" s="179">
        <f t="shared" si="81"/>
        <v>0.28645122215845387</v>
      </c>
      <c r="S215" s="837">
        <f t="shared" si="82"/>
        <v>1</v>
      </c>
      <c r="T215" s="178">
        <f t="shared" si="83"/>
        <v>7</v>
      </c>
      <c r="U215" s="253">
        <f t="shared" si="84"/>
        <v>1.2864512221584539</v>
      </c>
      <c r="V215" s="385">
        <f t="shared" si="85"/>
        <v>56.230979380560164</v>
      </c>
      <c r="W215" s="404">
        <f t="shared" si="86"/>
        <v>41.398656006502542</v>
      </c>
      <c r="X215" s="157">
        <f t="shared" si="87"/>
        <v>45127</v>
      </c>
      <c r="Y215" s="387">
        <f t="shared" si="88"/>
        <v>39.878450184673824</v>
      </c>
      <c r="Z215" s="387">
        <f t="shared" si="89"/>
        <v>41.597954844056531</v>
      </c>
      <c r="AA215" s="388">
        <f t="shared" si="90"/>
        <v>45.499087606204398</v>
      </c>
      <c r="AB215" s="199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8.5740900914591134E-2</v>
      </c>
      <c r="AD215" s="233">
        <f>(INDEX(Models!$BJ215:$BT215,,AH215)*(1-AF215)+INDEX(Models!$BJ215:$BT215,,AH215+1)*AF215-ERP_i)*AE215*Ramure*Pc/MaxiM</f>
        <v>1.0533655517948426E-3</v>
      </c>
      <c r="AE215" s="307">
        <f t="shared" si="92"/>
        <v>1</v>
      </c>
      <c r="AF215" s="179">
        <f t="shared" si="93"/>
        <v>0.28645122215845387</v>
      </c>
      <c r="AG215" s="837">
        <f t="shared" si="99"/>
        <v>1</v>
      </c>
      <c r="AH215" s="178">
        <f t="shared" si="94"/>
        <v>7</v>
      </c>
      <c r="AI215" s="227">
        <f t="shared" si="95"/>
        <v>1.2864512221584539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45128</v>
      </c>
      <c r="B216" s="1139">
        <f>IF(t&gt;Tmaj,'2022'!Wh/'2022'!Env_an*'2023'!Env_an,0.001*[9]mois!$B$228)</f>
        <v>52.360546253909384</v>
      </c>
      <c r="C216" s="866"/>
      <c r="D216" s="395">
        <f t="shared" si="77"/>
        <v>54.619533034696033</v>
      </c>
      <c r="E216" s="387">
        <f t="shared" si="75"/>
        <v>57.564461014210487</v>
      </c>
      <c r="F216" s="387">
        <f t="shared" si="78"/>
        <v>57.623569584805395</v>
      </c>
      <c r="G216" s="110">
        <f t="shared" si="76"/>
        <v>0.93364472173384361</v>
      </c>
      <c r="H216" s="414" t="b">
        <f>Wh_hp&gt;='2022'!Maxi_hp</f>
        <v>0</v>
      </c>
      <c r="I216" s="392">
        <f>IF(H216,Wh_hp,'2022'!Maxi_hp)</f>
        <v>57.625511170704193</v>
      </c>
      <c r="J216" s="85">
        <f>IF(H216,An,'2022'!An_max)</f>
        <v>2022</v>
      </c>
      <c r="K216" s="199">
        <f t="shared" si="79"/>
        <v>45128</v>
      </c>
      <c r="L216" s="147">
        <f>IF(t&lt;Tvie,1-EXP((T0-t)*PertePVj)+'2022'!Pspv,1-EXP((T0-t)*PertePVj)+Pspv)</f>
        <v>4.1358588315862588E-2</v>
      </c>
      <c r="M216" s="870"/>
      <c r="N216" s="870"/>
      <c r="O216" s="48">
        <f>IF(t&lt;Tnet,'2022'!Resal+('2022'!Salim-'2022'!Resal)*(1-EXP(('2022'!Tnet-t)/('2022'!Tau_j))),Resal+(Salim-Resal)*(1-EXP((Tnet-t)/(Tau_j))))*Salcycl</f>
        <v>5.1158786647675973E-2</v>
      </c>
      <c r="P216" s="171">
        <f>(INDEX(Models!$BJ216:$BT216,,T216)*(1-R216)+INDEX(Models!$BJ216:$BT216,,T216+1)*R216-ERP_i)*Q216*Ramure*Pc/MaxiM</f>
        <v>1.1330102047415059E-3</v>
      </c>
      <c r="Q216" s="307">
        <f t="shared" si="80"/>
        <v>1</v>
      </c>
      <c r="R216" s="179">
        <f t="shared" si="81"/>
        <v>0.29030804401973764</v>
      </c>
      <c r="S216" s="837">
        <f t="shared" si="82"/>
        <v>1</v>
      </c>
      <c r="T216" s="178">
        <f t="shared" si="83"/>
        <v>7</v>
      </c>
      <c r="U216" s="253">
        <f t="shared" si="84"/>
        <v>1.2903080440197376</v>
      </c>
      <c r="V216" s="385">
        <f t="shared" si="85"/>
        <v>56.075854285412241</v>
      </c>
      <c r="W216" s="404">
        <f t="shared" si="86"/>
        <v>52.360546253909384</v>
      </c>
      <c r="X216" s="157">
        <f t="shared" si="87"/>
        <v>45128</v>
      </c>
      <c r="Y216" s="387">
        <f t="shared" si="88"/>
        <v>50.440799666327621</v>
      </c>
      <c r="Z216" s="387">
        <f t="shared" si="89"/>
        <v>52.616962976503828</v>
      </c>
      <c r="AA216" s="388">
        <f t="shared" si="90"/>
        <v>57.564461014210487</v>
      </c>
      <c r="AB216" s="199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8.5947092190879829E-2</v>
      </c>
      <c r="AD216" s="233">
        <f>(INDEX(Models!$BJ216:$BT216,,AH216)*(1-AF216)+INDEX(Models!$BJ216:$BT216,,AH216+1)*AF216-ERP_i)*AE216*Ramure*Pc/MaxiM</f>
        <v>1.1330102047415059E-3</v>
      </c>
      <c r="AE216" s="307">
        <f t="shared" si="92"/>
        <v>1</v>
      </c>
      <c r="AF216" s="179">
        <f t="shared" si="93"/>
        <v>0.29030804401973764</v>
      </c>
      <c r="AG216" s="837">
        <f t="shared" si="99"/>
        <v>1</v>
      </c>
      <c r="AH216" s="178">
        <f t="shared" si="94"/>
        <v>7</v>
      </c>
      <c r="AI216" s="227">
        <f t="shared" si="95"/>
        <v>1.2903080440197376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45129</v>
      </c>
      <c r="B217" s="1139">
        <f>IF(t&gt;Tmaj,'2022'!Wh/'2022'!Env_an*'2023'!Env_an,0.001*[9]mois!$B$229)</f>
        <v>39.43341525755703</v>
      </c>
      <c r="C217" s="866"/>
      <c r="D217" s="395">
        <f t="shared" si="77"/>
        <v>41.135645165606398</v>
      </c>
      <c r="E217" s="387">
        <f t="shared" si="75"/>
        <v>43.365868048639967</v>
      </c>
      <c r="F217" s="387">
        <f t="shared" si="78"/>
        <v>43.396450011224502</v>
      </c>
      <c r="G217" s="110">
        <f t="shared" si="76"/>
        <v>0.70482904754403053</v>
      </c>
      <c r="H217" s="414" t="b">
        <f>Wh_hp&gt;='2022'!Maxi_hp</f>
        <v>0</v>
      </c>
      <c r="I217" s="392">
        <f>IF(H217,Wh_hp,'2022'!Maxi_hp)</f>
        <v>56.185831469090324</v>
      </c>
      <c r="J217" s="85">
        <f>IF(H217,An,'2022'!An_max)</f>
        <v>2021</v>
      </c>
      <c r="K217" s="199">
        <f t="shared" si="79"/>
        <v>45129</v>
      </c>
      <c r="L217" s="147">
        <f>IF(t&lt;Tvie,1-EXP((T0-t)*PertePVj)+'2022'!Pspv,1-EXP((T0-t)*PertePVj)+Pspv)</f>
        <v>4.1380897301997455E-2</v>
      </c>
      <c r="M217" s="870"/>
      <c r="N217" s="870"/>
      <c r="O217" s="48">
        <f>IF(t&lt;Tnet,'2022'!Resal+('2022'!Salim-'2022'!Resal)*(1-EXP(('2022'!Tnet-t)/('2022'!Tau_j))),Resal+(Salim-Resal)*(1-EXP((Tnet-t)/(Tau_j))))*Salcycl</f>
        <v>5.1428069663729745E-2</v>
      </c>
      <c r="P217" s="171">
        <f>(INDEX(Models!$BJ217:$BT217,,T217)*(1-R217)+INDEX(Models!$BJ217:$BT217,,T217+1)*R217-ERP_i)*Q217*Ramure*Pc/MaxiM</f>
        <v>1.2174455002807428E-3</v>
      </c>
      <c r="Q217" s="307">
        <f t="shared" si="80"/>
        <v>1</v>
      </c>
      <c r="R217" s="179">
        <f t="shared" si="81"/>
        <v>0.29405748993992864</v>
      </c>
      <c r="S217" s="837">
        <f t="shared" si="82"/>
        <v>1</v>
      </c>
      <c r="T217" s="178">
        <f t="shared" si="83"/>
        <v>7</v>
      </c>
      <c r="U217" s="253">
        <f t="shared" si="84"/>
        <v>1.2940574899399286</v>
      </c>
      <c r="V217" s="385">
        <f t="shared" si="85"/>
        <v>55.918782391541818</v>
      </c>
      <c r="W217" s="404">
        <f t="shared" si="86"/>
        <v>39.43341525755703</v>
      </c>
      <c r="X217" s="157">
        <f t="shared" si="87"/>
        <v>45129</v>
      </c>
      <c r="Y217" s="387">
        <f t="shared" si="88"/>
        <v>37.989896946246958</v>
      </c>
      <c r="Z217" s="387">
        <f t="shared" si="89"/>
        <v>39.629814218520806</v>
      </c>
      <c r="AA217" s="388">
        <f t="shared" si="90"/>
        <v>43.365868048639967</v>
      </c>
      <c r="AB217" s="199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8.6151943872741901E-2</v>
      </c>
      <c r="AD217" s="233">
        <f>(INDEX(Models!$BJ217:$BT217,,AH217)*(1-AF217)+INDEX(Models!$BJ217:$BT217,,AH217+1)*AF217-ERP_i)*AE217*Ramure*Pc/MaxiM</f>
        <v>1.2174455002807428E-3</v>
      </c>
      <c r="AE217" s="307">
        <f t="shared" si="92"/>
        <v>1</v>
      </c>
      <c r="AF217" s="179">
        <f t="shared" si="93"/>
        <v>0.29405748993992864</v>
      </c>
      <c r="AG217" s="837">
        <f t="shared" si="99"/>
        <v>1</v>
      </c>
      <c r="AH217" s="178">
        <f t="shared" si="94"/>
        <v>7</v>
      </c>
      <c r="AI217" s="227">
        <f t="shared" si="95"/>
        <v>1.2940574899399286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45130</v>
      </c>
      <c r="B218" s="1139">
        <f>IF(t&gt;Tmaj,'2022'!Wh/'2022'!Env_an*'2023'!Env_an,0.001*[9]mois!$B$230)</f>
        <v>49.237062833613052</v>
      </c>
      <c r="C218" s="866"/>
      <c r="D218" s="395">
        <f t="shared" si="77"/>
        <v>51.3636840118062</v>
      </c>
      <c r="E218" s="387">
        <f t="shared" si="75"/>
        <v>54.163750815972058</v>
      </c>
      <c r="F218" s="387">
        <f t="shared" si="78"/>
        <v>54.222764708608828</v>
      </c>
      <c r="G218" s="110">
        <f t="shared" si="76"/>
        <v>0.88282510320909546</v>
      </c>
      <c r="H218" s="414" t="b">
        <f>Wh_hp&gt;='2022'!Maxi_hp</f>
        <v>0</v>
      </c>
      <c r="I218" s="392">
        <f>IF(H218,Wh_hp,'2022'!Maxi_hp)</f>
        <v>56.993648476218958</v>
      </c>
      <c r="J218" s="85">
        <f>IF(H218,An,'2022'!An_max)</f>
        <v>2019</v>
      </c>
      <c r="K218" s="199">
        <f t="shared" si="79"/>
        <v>45130</v>
      </c>
      <c r="L218" s="147">
        <f>IF(t&lt;Tvie,1-EXP((T0-t)*PertePVj)+'2022'!Pspv,1-EXP((T0-t)*PertePVj)+Pspv)</f>
        <v>4.1403205768969609E-2</v>
      </c>
      <c r="M218" s="870"/>
      <c r="N218" s="870"/>
      <c r="O218" s="48">
        <f>IF(t&lt;Tnet,'2022'!Resal+('2022'!Salim-'2022'!Resal)*(1-EXP(('2022'!Tnet-t)/('2022'!Tau_j))),Resal+(Salim-Resal)*(1-EXP((Tnet-t)/(Tau_j))))*Salcycl</f>
        <v>5.1696323869434908E-2</v>
      </c>
      <c r="P218" s="171">
        <f>(INDEX(Models!$BJ218:$BT218,,T218)*(1-R218)+INDEX(Models!$BJ218:$BT218,,T218+1)*R218-ERP_i)*Q218*Ramure*Pc/MaxiM</f>
        <v>1.3067381584720851E-3</v>
      </c>
      <c r="Q218" s="307">
        <f t="shared" si="80"/>
        <v>1</v>
      </c>
      <c r="R218" s="179">
        <f t="shared" si="81"/>
        <v>0.29770094760551347</v>
      </c>
      <c r="S218" s="837">
        <f t="shared" si="82"/>
        <v>1</v>
      </c>
      <c r="T218" s="178">
        <f t="shared" si="83"/>
        <v>7</v>
      </c>
      <c r="U218" s="253">
        <f t="shared" si="84"/>
        <v>1.2977009476055135</v>
      </c>
      <c r="V218" s="385">
        <f t="shared" si="85"/>
        <v>55.759967228475027</v>
      </c>
      <c r="W218" s="404">
        <f t="shared" si="86"/>
        <v>49.237062833613052</v>
      </c>
      <c r="X218" s="157">
        <f t="shared" si="87"/>
        <v>45130</v>
      </c>
      <c r="Y218" s="387">
        <f t="shared" si="88"/>
        <v>47.43751602722503</v>
      </c>
      <c r="Z218" s="387">
        <f t="shared" si="89"/>
        <v>49.486412131472413</v>
      </c>
      <c r="AA218" s="388">
        <f t="shared" si="90"/>
        <v>54.163750815972058</v>
      </c>
      <c r="AB218" s="199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8.6355516633097901E-2</v>
      </c>
      <c r="AD218" s="233">
        <f>(INDEX(Models!$BJ218:$BT218,,AH218)*(1-AF218)+INDEX(Models!$BJ218:$BT218,,AH218+1)*AF218-ERP_i)*AE218*Ramure*Pc/MaxiM</f>
        <v>1.3067381584720851E-3</v>
      </c>
      <c r="AE218" s="307">
        <f t="shared" si="92"/>
        <v>1</v>
      </c>
      <c r="AF218" s="179">
        <f t="shared" si="93"/>
        <v>0.29770094760551347</v>
      </c>
      <c r="AG218" s="837">
        <f t="shared" si="99"/>
        <v>1</v>
      </c>
      <c r="AH218" s="178">
        <f t="shared" si="94"/>
        <v>7</v>
      </c>
      <c r="AI218" s="227">
        <f t="shared" si="95"/>
        <v>1.2977009476055135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45131</v>
      </c>
      <c r="B219" s="1139">
        <f>IF(t&gt;Tmaj,'2022'!Wh/'2022'!Env_an*'2023'!Env_an,0.001*[9]mois!$B$231)</f>
        <v>51.88069601325396</v>
      </c>
      <c r="C219" s="866"/>
      <c r="D219" s="395">
        <f t="shared" si="77"/>
        <v>54.122759113292233</v>
      </c>
      <c r="E219" s="387">
        <f t="shared" si="75"/>
        <v>57.089324798360281</v>
      </c>
      <c r="F219" s="387">
        <f t="shared" si="78"/>
        <v>57.161753861511308</v>
      </c>
      <c r="G219" s="110">
        <f t="shared" si="76"/>
        <v>0.93298863001999022</v>
      </c>
      <c r="H219" s="414" t="b">
        <f>Wh_hp&gt;='2022'!Maxi_hp</f>
        <v>0</v>
      </c>
      <c r="I219" s="392">
        <f>IF(H219,Wh_hp,'2022'!Maxi_hp)</f>
        <v>57.250617661501515</v>
      </c>
      <c r="J219" s="85">
        <f>IF(H219,An,'2022'!An_max)</f>
        <v>2019</v>
      </c>
      <c r="K219" s="199">
        <f t="shared" si="79"/>
        <v>45131</v>
      </c>
      <c r="L219" s="147">
        <f>IF(t&lt;Tvie,1-EXP((T0-t)*PertePVj)+'2022'!Pspv,1-EXP((T0-t)*PertePVj)+Pspv)</f>
        <v>4.1425513716791151E-2</v>
      </c>
      <c r="M219" s="870"/>
      <c r="N219" s="870"/>
      <c r="O219" s="48">
        <f>IF(t&lt;Tnet,'2022'!Resal+('2022'!Salim-'2022'!Resal)*(1-EXP(('2022'!Tnet-t)/('2022'!Tau_j))),Resal+(Salim-Resal)*(1-EXP((Tnet-t)/(Tau_j))))*Salcycl</f>
        <v>5.1963579803158758E-2</v>
      </c>
      <c r="P219" s="171">
        <f>(INDEX(Models!$BJ219:$BT219,,T219)*(1-R219)+INDEX(Models!$BJ219:$BT219,,T219+1)*R219-ERP_i)*Q219*Ramure*Pc/MaxiM</f>
        <v>1.4009532784810567E-3</v>
      </c>
      <c r="Q219" s="307">
        <f t="shared" si="80"/>
        <v>1</v>
      </c>
      <c r="R219" s="179">
        <f t="shared" si="81"/>
        <v>0.30123990126554157</v>
      </c>
      <c r="S219" s="837">
        <f t="shared" si="82"/>
        <v>1</v>
      </c>
      <c r="T219" s="178">
        <f t="shared" si="83"/>
        <v>7</v>
      </c>
      <c r="U219" s="253">
        <f t="shared" si="84"/>
        <v>1.3012399012655416</v>
      </c>
      <c r="V219" s="385">
        <f t="shared" si="85"/>
        <v>55.599543865484499</v>
      </c>
      <c r="W219" s="404">
        <f t="shared" si="86"/>
        <v>51.88069601325396</v>
      </c>
      <c r="X219" s="157">
        <f t="shared" si="87"/>
        <v>45131</v>
      </c>
      <c r="Y219" s="387">
        <f t="shared" si="88"/>
        <v>49.987545363326831</v>
      </c>
      <c r="Z219" s="387">
        <f t="shared" si="89"/>
        <v>52.147794541402092</v>
      </c>
      <c r="AA219" s="388">
        <f t="shared" si="90"/>
        <v>57.089324798360281</v>
      </c>
      <c r="AB219" s="199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8.6557868295196988E-2</v>
      </c>
      <c r="AD219" s="233">
        <f>(INDEX(Models!$BJ219:$BT219,,AH219)*(1-AF219)+INDEX(Models!$BJ219:$BT219,,AH219+1)*AF219-ERP_i)*AE219*Ramure*Pc/MaxiM</f>
        <v>1.4009532784810567E-3</v>
      </c>
      <c r="AE219" s="307">
        <f t="shared" si="92"/>
        <v>1</v>
      </c>
      <c r="AF219" s="179">
        <f t="shared" si="93"/>
        <v>0.30123990126554157</v>
      </c>
      <c r="AG219" s="837">
        <f t="shared" si="99"/>
        <v>1</v>
      </c>
      <c r="AH219" s="178">
        <f t="shared" si="94"/>
        <v>7</v>
      </c>
      <c r="AI219" s="227">
        <f t="shared" si="95"/>
        <v>1.3012399012655416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45132</v>
      </c>
      <c r="B220" s="1139">
        <f>IF(t&gt;Tmaj,'2022'!Wh/'2022'!Env_an*'2023'!Env_an,0.001*[9]mois!$B$232)</f>
        <v>31.340216180388282</v>
      </c>
      <c r="C220" s="866"/>
      <c r="D220" s="395">
        <f t="shared" si="77"/>
        <v>32.695367943182795</v>
      </c>
      <c r="E220" s="387">
        <f t="shared" si="75"/>
        <v>34.497149457110297</v>
      </c>
      <c r="F220" s="387">
        <f t="shared" si="78"/>
        <v>34.516863912004155</v>
      </c>
      <c r="G220" s="110">
        <f t="shared" si="76"/>
        <v>0.56480100418403412</v>
      </c>
      <c r="H220" s="414" t="b">
        <f>Wh_hp&gt;='2022'!Maxi_hp</f>
        <v>0</v>
      </c>
      <c r="I220" s="392">
        <f>IF(H220,Wh_hp,'2022'!Maxi_hp)</f>
        <v>58.935772550617891</v>
      </c>
      <c r="J220" s="85">
        <f>IF(H220,An,'2022'!An_max)</f>
        <v>2020</v>
      </c>
      <c r="K220" s="199">
        <f t="shared" si="79"/>
        <v>45132</v>
      </c>
      <c r="L220" s="147">
        <f>IF(t&lt;Tvie,1-EXP((T0-t)*PertePVj)+'2022'!Pspv,1-EXP((T0-t)*PertePVj)+Pspv)</f>
        <v>4.1447821145474184E-2</v>
      </c>
      <c r="M220" s="870"/>
      <c r="N220" s="870"/>
      <c r="O220" s="48">
        <f>IF(t&lt;Tnet,'2022'!Resal+('2022'!Salim-'2022'!Resal)*(1-EXP(('2022'!Tnet-t)/('2022'!Tau_j))),Resal+(Salim-Resal)*(1-EXP((Tnet-t)/(Tau_j))))*Salcycl</f>
        <v>5.2229866591372284E-2</v>
      </c>
      <c r="P220" s="171">
        <f>(INDEX(Models!$BJ220:$BT220,,T220)*(1-R220)+INDEX(Models!$BJ220:$BT220,,T220+1)*R220-ERP_i)*Q220*Ramure*Pc/MaxiM</f>
        <v>1.5068314601929158E-3</v>
      </c>
      <c r="Q220" s="307">
        <f t="shared" si="80"/>
        <v>1</v>
      </c>
      <c r="R220" s="179">
        <f t="shared" si="81"/>
        <v>0.30467592264753063</v>
      </c>
      <c r="S220" s="837">
        <f t="shared" si="82"/>
        <v>1</v>
      </c>
      <c r="T220" s="178">
        <f t="shared" si="83"/>
        <v>7</v>
      </c>
      <c r="U220" s="253">
        <f t="shared" si="84"/>
        <v>1.3046759226475306</v>
      </c>
      <c r="V220" s="385">
        <f t="shared" si="85"/>
        <v>55.43700323717097</v>
      </c>
      <c r="W220" s="404">
        <f t="shared" si="86"/>
        <v>31.340216180388282</v>
      </c>
      <c r="X220" s="157">
        <f t="shared" si="87"/>
        <v>45132</v>
      </c>
      <c r="Y220" s="387">
        <f t="shared" si="88"/>
        <v>30.198428580978963</v>
      </c>
      <c r="Z220" s="387">
        <f t="shared" si="89"/>
        <v>31.504209418277284</v>
      </c>
      <c r="AA220" s="388">
        <f t="shared" si="90"/>
        <v>34.497149457110297</v>
      </c>
      <c r="AB220" s="199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8.6759053601054306E-2</v>
      </c>
      <c r="AD220" s="233">
        <f>(INDEX(Models!$BJ220:$BT220,,AH220)*(1-AF220)+INDEX(Models!$BJ220:$BT220,,AH220+1)*AF220-ERP_i)*AE220*Ramure*Pc/MaxiM</f>
        <v>1.5068314601929158E-3</v>
      </c>
      <c r="AE220" s="307">
        <f t="shared" si="92"/>
        <v>1</v>
      </c>
      <c r="AF220" s="179">
        <f t="shared" si="93"/>
        <v>0.30467592264753063</v>
      </c>
      <c r="AG220" s="837">
        <f t="shared" si="99"/>
        <v>1</v>
      </c>
      <c r="AH220" s="178">
        <f t="shared" si="94"/>
        <v>7</v>
      </c>
      <c r="AI220" s="227">
        <f t="shared" si="95"/>
        <v>1.3046759226475306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45133</v>
      </c>
      <c r="B221" s="1139">
        <f>IF(t&gt;Tmaj,'2022'!Wh/'2022'!Env_an*'2023'!Env_an,0.001*[9]mois!$B$233)</f>
        <v>53.030215282695636</v>
      </c>
      <c r="C221" s="866"/>
      <c r="D221" s="395">
        <f t="shared" si="77"/>
        <v>55.324530653479918</v>
      </c>
      <c r="E221" s="387">
        <f t="shared" si="75"/>
        <v>58.389710893499299</v>
      </c>
      <c r="F221" s="387">
        <f t="shared" si="78"/>
        <v>58.479146253505114</v>
      </c>
      <c r="G221" s="110">
        <f t="shared" si="76"/>
        <v>0.95934702766712532</v>
      </c>
      <c r="H221" s="414" t="b">
        <f>Wh_hp&gt;='2022'!Maxi_hp</f>
        <v>0</v>
      </c>
      <c r="I221" s="392">
        <f>IF(H221,Wh_hp,'2022'!Maxi_hp)</f>
        <v>58.480876245023246</v>
      </c>
      <c r="J221" s="85">
        <f>IF(H221,An,'2022'!An_max)</f>
        <v>2022</v>
      </c>
      <c r="K221" s="199">
        <f t="shared" si="79"/>
        <v>45133</v>
      </c>
      <c r="L221" s="147">
        <f>IF(t&lt;Tvie,1-EXP((T0-t)*PertePVj)+'2022'!Pspv,1-EXP((T0-t)*PertePVj)+Pspv)</f>
        <v>4.1470128055030697E-2</v>
      </c>
      <c r="M221" s="870"/>
      <c r="N221" s="870"/>
      <c r="O221" s="48">
        <f>IF(t&lt;Tnet,'2022'!Resal+('2022'!Salim-'2022'!Resal)*(1-EXP(('2022'!Tnet-t)/('2022'!Tau_j))),Resal+(Salim-Resal)*(1-EXP((Tnet-t)/(Tau_j))))*Salcycl</f>
        <v>5.2495211795279384E-2</v>
      </c>
      <c r="P221" s="171">
        <f>(INDEX(Models!$BJ221:$BT221,,T221)*(1-R221)+INDEX(Models!$BJ221:$BT221,,T221+1)*R221-ERP_i)*Q221*Ramure*Pc/MaxiM</f>
        <v>1.6234267089735948E-3</v>
      </c>
      <c r="Q221" s="307">
        <f t="shared" si="80"/>
        <v>1</v>
      </c>
      <c r="R221" s="179">
        <f t="shared" si="81"/>
        <v>0.30801066213653305</v>
      </c>
      <c r="S221" s="837">
        <f t="shared" si="82"/>
        <v>1</v>
      </c>
      <c r="T221" s="178">
        <f t="shared" si="83"/>
        <v>7</v>
      </c>
      <c r="U221" s="253">
        <f t="shared" si="84"/>
        <v>1.3080106621365331</v>
      </c>
      <c r="V221" s="385">
        <f t="shared" si="85"/>
        <v>55.272198126476546</v>
      </c>
      <c r="W221" s="404">
        <f t="shared" si="86"/>
        <v>53.030215282695636</v>
      </c>
      <c r="X221" s="157">
        <f t="shared" si="87"/>
        <v>45133</v>
      </c>
      <c r="Y221" s="387">
        <f t="shared" si="88"/>
        <v>51.101329321300398</v>
      </c>
      <c r="Z221" s="387">
        <f t="shared" si="89"/>
        <v>53.312192782901818</v>
      </c>
      <c r="AA221" s="388">
        <f t="shared" si="90"/>
        <v>58.389710893499299</v>
      </c>
      <c r="AB221" s="199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8.6959124011740579E-2</v>
      </c>
      <c r="AD221" s="233">
        <f>(INDEX(Models!$BJ221:$BT221,,AH221)*(1-AF221)+INDEX(Models!$BJ221:$BT221,,AH221+1)*AF221-ERP_i)*AE221*Ramure*Pc/MaxiM</f>
        <v>1.6234267089735948E-3</v>
      </c>
      <c r="AE221" s="307">
        <f t="shared" si="92"/>
        <v>1</v>
      </c>
      <c r="AF221" s="179">
        <f t="shared" si="93"/>
        <v>0.30801066213653305</v>
      </c>
      <c r="AG221" s="837">
        <f t="shared" si="99"/>
        <v>1</v>
      </c>
      <c r="AH221" s="178">
        <f t="shared" si="94"/>
        <v>7</v>
      </c>
      <c r="AI221" s="227">
        <f t="shared" si="95"/>
        <v>1.3080106621365331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45134</v>
      </c>
      <c r="B222" s="1139">
        <f>IF(t&gt;Tmaj,'2022'!Wh/'2022'!Env_an*'2023'!Env_an,0.001*[9]mois!$B$234)</f>
        <v>55.80370632191066</v>
      </c>
      <c r="C222" s="866"/>
      <c r="D222" s="395">
        <f t="shared" si="77"/>
        <v>58.219369702759145</v>
      </c>
      <c r="E222" s="387">
        <f t="shared" si="75"/>
        <v>61.462087385256524</v>
      </c>
      <c r="F222" s="387">
        <f t="shared" si="78"/>
        <v>61.56989037067234</v>
      </c>
      <c r="G222" s="110">
        <f t="shared" si="76"/>
        <v>1.0126810163838371</v>
      </c>
      <c r="H222" s="414" t="b">
        <f>Wh_hp&gt;='2022'!Maxi_hp</f>
        <v>1</v>
      </c>
      <c r="I222" s="392">
        <f>IF(H222,Wh_hp,'2022'!Maxi_hp)</f>
        <v>61.56989037067234</v>
      </c>
      <c r="J222" s="85">
        <f>IF(H222,An,'2022'!An_max)</f>
        <v>2023</v>
      </c>
      <c r="K222" s="199">
        <f t="shared" si="79"/>
        <v>45134</v>
      </c>
      <c r="L222" s="147">
        <f>IF(t&lt;Tvie,1-EXP((T0-t)*PertePVj)+'2022'!Pspv,1-EXP((T0-t)*PertePVj)+Pspv)</f>
        <v>4.1492434445472903E-2</v>
      </c>
      <c r="M222" s="870"/>
      <c r="N222" s="870"/>
      <c r="O222" s="48">
        <f>IF(t&lt;Tnet,'2022'!Resal+('2022'!Salim-'2022'!Resal)*(1-EXP(('2022'!Tnet-t)/('2022'!Tau_j))),Resal+(Salim-Resal)*(1-EXP((Tnet-t)/(Tau_j))))*Salcycl</f>
        <v>5.27596412756271E-2</v>
      </c>
      <c r="P222" s="171">
        <f>(INDEX(Models!$BJ222:$BT222,,T222)*(1-R222)+INDEX(Models!$BJ222:$BT222,,T222+1)*R222-ERP_i)*Q222*Ramure*Pc/MaxiM</f>
        <v>1.7509042937514164E-3</v>
      </c>
      <c r="Q222" s="307">
        <f t="shared" si="80"/>
        <v>1</v>
      </c>
      <c r="R222" s="179">
        <f t="shared" si="81"/>
        <v>0.31124584024348545</v>
      </c>
      <c r="S222" s="837">
        <f t="shared" si="82"/>
        <v>1</v>
      </c>
      <c r="T222" s="178">
        <f t="shared" si="83"/>
        <v>7</v>
      </c>
      <c r="U222" s="253">
        <f t="shared" si="84"/>
        <v>1.3112458402434854</v>
      </c>
      <c r="V222" s="385">
        <f t="shared" si="85"/>
        <v>55.104919929455207</v>
      </c>
      <c r="W222" s="404">
        <f t="shared" si="86"/>
        <v>55.80370632191066</v>
      </c>
      <c r="X222" s="157">
        <f t="shared" si="87"/>
        <v>45134</v>
      </c>
      <c r="Y222" s="387">
        <f t="shared" si="88"/>
        <v>53.777226972997454</v>
      </c>
      <c r="Z222" s="387">
        <f t="shared" si="89"/>
        <v>56.105166934061309</v>
      </c>
      <c r="AA222" s="388">
        <f t="shared" si="90"/>
        <v>61.462087385256524</v>
      </c>
      <c r="AB222" s="199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8.7158127539941482E-2</v>
      </c>
      <c r="AD222" s="233">
        <f>(INDEX(Models!$BJ222:$BT222,,AH222)*(1-AF222)+INDEX(Models!$BJ222:$BT222,,AH222+1)*AF222-ERP_i)*AE222*Ramure*Pc/MaxiM</f>
        <v>1.7509042937514164E-3</v>
      </c>
      <c r="AE222" s="307">
        <f t="shared" si="92"/>
        <v>1</v>
      </c>
      <c r="AF222" s="179">
        <f t="shared" si="93"/>
        <v>0.31124584024348545</v>
      </c>
      <c r="AG222" s="837">
        <f t="shared" si="99"/>
        <v>1</v>
      </c>
      <c r="AH222" s="178">
        <f t="shared" si="94"/>
        <v>7</v>
      </c>
      <c r="AI222" s="227">
        <f t="shared" si="95"/>
        <v>1.3112458402434854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45135</v>
      </c>
      <c r="B223" s="1139">
        <f>IF(t&gt;Tmaj,'2022'!Wh/'2022'!Env_an*'2023'!Env_an,0.001*[9]mois!$B$235)</f>
        <v>47.571745551057113</v>
      </c>
      <c r="C223" s="866"/>
      <c r="D223" s="395">
        <f t="shared" si="77"/>
        <v>49.632214027768391</v>
      </c>
      <c r="E223" s="387">
        <f t="shared" si="75"/>
        <v>52.411223729159893</v>
      </c>
      <c r="F223" s="387">
        <f t="shared" si="78"/>
        <v>52.491411998898123</v>
      </c>
      <c r="G223" s="110">
        <f t="shared" si="76"/>
        <v>0.86565108796185131</v>
      </c>
      <c r="H223" s="414" t="b">
        <f>Wh_hp&gt;='2022'!Maxi_hp</f>
        <v>0</v>
      </c>
      <c r="I223" s="392">
        <f>IF(H223,Wh_hp,'2022'!Maxi_hp)</f>
        <v>61.483978261170357</v>
      </c>
      <c r="J223" s="85">
        <f>IF(H223,An,'2022'!An_max)</f>
        <v>2019</v>
      </c>
      <c r="K223" s="199">
        <f t="shared" si="79"/>
        <v>45135</v>
      </c>
      <c r="L223" s="147">
        <f>IF(t&lt;Tvie,1-EXP((T0-t)*PertePVj)+'2022'!Pspv,1-EXP((T0-t)*PertePVj)+Pspv)</f>
        <v>4.1514740316812793E-2</v>
      </c>
      <c r="M223" s="870"/>
      <c r="N223" s="870"/>
      <c r="O223" s="48">
        <f>IF(t&lt;Tnet,'2022'!Resal+('2022'!Salim-'2022'!Resal)*(1-EXP(('2022'!Tnet-t)/('2022'!Tau_j))),Resal+(Salim-Resal)*(1-EXP((Tnet-t)/(Tau_j))))*Salcycl</f>
        <v>5.3023179076151873E-2</v>
      </c>
      <c r="P223" s="171">
        <f>(INDEX(Models!$BJ223:$BT223,,T223)*(1-R223)+INDEX(Models!$BJ223:$BT223,,T223+1)*R223-ERP_i)*Q223*Ramure*Pc/MaxiM</f>
        <v>1.889431532974383E-3</v>
      </c>
      <c r="Q223" s="307">
        <f t="shared" si="80"/>
        <v>1</v>
      </c>
      <c r="R223" s="179">
        <f t="shared" si="81"/>
        <v>0.31438323938469948</v>
      </c>
      <c r="S223" s="837">
        <f t="shared" si="82"/>
        <v>1</v>
      </c>
      <c r="T223" s="178">
        <f t="shared" si="83"/>
        <v>7</v>
      </c>
      <c r="U223" s="253">
        <f t="shared" si="84"/>
        <v>1.3143832393846995</v>
      </c>
      <c r="V223" s="385">
        <f t="shared" si="85"/>
        <v>54.934960617993028</v>
      </c>
      <c r="W223" s="404">
        <f t="shared" si="86"/>
        <v>47.571745551057113</v>
      </c>
      <c r="X223" s="157">
        <f t="shared" si="87"/>
        <v>45135</v>
      </c>
      <c r="Y223" s="387">
        <f t="shared" si="88"/>
        <v>45.847017604236768</v>
      </c>
      <c r="Z223" s="387">
        <f t="shared" si="89"/>
        <v>47.832783176436962</v>
      </c>
      <c r="AA223" s="388">
        <f t="shared" si="90"/>
        <v>52.411223729159893</v>
      </c>
      <c r="AB223" s="199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8.7356108614873626E-2</v>
      </c>
      <c r="AD223" s="233">
        <f>(INDEX(Models!$BJ223:$BT223,,AH223)*(1-AF223)+INDEX(Models!$BJ223:$BT223,,AH223+1)*AF223-ERP_i)*AE223*Ramure*Pc/MaxiM</f>
        <v>1.889431532974383E-3</v>
      </c>
      <c r="AE223" s="307">
        <f t="shared" si="92"/>
        <v>1</v>
      </c>
      <c r="AF223" s="179">
        <f t="shared" si="93"/>
        <v>0.31438323938469948</v>
      </c>
      <c r="AG223" s="837">
        <f t="shared" si="99"/>
        <v>1</v>
      </c>
      <c r="AH223" s="178">
        <f t="shared" si="94"/>
        <v>7</v>
      </c>
      <c r="AI223" s="227">
        <f t="shared" si="95"/>
        <v>1.3143832393846995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45136</v>
      </c>
      <c r="B224" s="1139">
        <f>IF(t&gt;Tmaj,'2022'!Wh/'2022'!Env_an*'2023'!Env_an,0.001*[9]mois!$B$236)</f>
        <v>27.561454173576411</v>
      </c>
      <c r="C224" s="866"/>
      <c r="D224" s="395">
        <f t="shared" si="77"/>
        <v>28.75588884164636</v>
      </c>
      <c r="E224" s="387">
        <f t="shared" si="75"/>
        <v>30.374415297819702</v>
      </c>
      <c r="F224" s="387">
        <f t="shared" si="78"/>
        <v>30.392414257250223</v>
      </c>
      <c r="G224" s="110">
        <f t="shared" si="76"/>
        <v>0.50256553035588925</v>
      </c>
      <c r="H224" s="414" t="b">
        <f>Wh_hp&gt;='2022'!Maxi_hp</f>
        <v>0</v>
      </c>
      <c r="I224" s="392">
        <f>IF(H224,Wh_hp,'2022'!Maxi_hp)</f>
        <v>60.214404913663586</v>
      </c>
      <c r="J224" s="85">
        <f>IF(H224,An,'2022'!An_max)</f>
        <v>2019</v>
      </c>
      <c r="K224" s="199">
        <f t="shared" si="79"/>
        <v>45136</v>
      </c>
      <c r="L224" s="147">
        <f>IF(t&lt;Tvie,1-EXP((T0-t)*PertePVj)+'2022'!Pspv,1-EXP((T0-t)*PertePVj)+Pspv)</f>
        <v>4.1537045669062467E-2</v>
      </c>
      <c r="M224" s="870"/>
      <c r="N224" s="870"/>
      <c r="O224" s="48">
        <f>IF(t&lt;Tnet,'2022'!Resal+('2022'!Salim-'2022'!Resal)*(1-EXP(('2022'!Tnet-t)/('2022'!Tau_j))),Resal+(Salim-Resal)*(1-EXP((Tnet-t)/(Tau_j))))*Salcycl</f>
        <v>5.3285847325907965E-2</v>
      </c>
      <c r="P224" s="171">
        <f>(INDEX(Models!$BJ224:$BT224,,T224)*(1-R224)+INDEX(Models!$BJ224:$BT224,,T224+1)*R224-ERP_i)*Q224*Ramure*Pc/MaxiM</f>
        <v>2.0391784452416552E-3</v>
      </c>
      <c r="Q224" s="307">
        <f t="shared" si="80"/>
        <v>1</v>
      </c>
      <c r="R224" s="179">
        <f t="shared" si="81"/>
        <v>0.31742469599034617</v>
      </c>
      <c r="S224" s="837">
        <f t="shared" si="82"/>
        <v>1</v>
      </c>
      <c r="T224" s="178">
        <f t="shared" si="83"/>
        <v>7</v>
      </c>
      <c r="U224" s="253">
        <f t="shared" si="84"/>
        <v>1.3174246959903462</v>
      </c>
      <c r="V224" s="385">
        <f t="shared" si="85"/>
        <v>54.762112734964326</v>
      </c>
      <c r="W224" s="404">
        <f t="shared" si="86"/>
        <v>27.561454173576411</v>
      </c>
      <c r="X224" s="157">
        <f t="shared" si="87"/>
        <v>45136</v>
      </c>
      <c r="Y224" s="387">
        <f t="shared" si="88"/>
        <v>26.563839918539472</v>
      </c>
      <c r="Z224" s="387">
        <f t="shared" si="89"/>
        <v>27.715040835441119</v>
      </c>
      <c r="AA224" s="388">
        <f t="shared" si="90"/>
        <v>30.374415297819702</v>
      </c>
      <c r="AB224" s="199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8.7553107979315592E-2</v>
      </c>
      <c r="AD224" s="233">
        <f>(INDEX(Models!$BJ224:$BT224,,AH224)*(1-AF224)+INDEX(Models!$BJ224:$BT224,,AH224+1)*AF224-ERP_i)*AE224*Ramure*Pc/MaxiM</f>
        <v>2.0391784452416552E-3</v>
      </c>
      <c r="AE224" s="307">
        <f t="shared" si="92"/>
        <v>1</v>
      </c>
      <c r="AF224" s="179">
        <f t="shared" si="93"/>
        <v>0.31742469599034617</v>
      </c>
      <c r="AG224" s="837">
        <f t="shared" si="99"/>
        <v>1</v>
      </c>
      <c r="AH224" s="178">
        <f t="shared" si="94"/>
        <v>7</v>
      </c>
      <c r="AI224" s="227">
        <f t="shared" si="95"/>
        <v>1.3174246959903462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45137</v>
      </c>
      <c r="B225" s="1139">
        <f>IF(t&gt;Tmaj,'2022'!Wh/'2022'!Env_an*'2023'!Env_an,0.001*[9]mois!$B$237)</f>
        <v>46.76220335670866</v>
      </c>
      <c r="C225" s="866"/>
      <c r="D225" s="395">
        <f t="shared" si="77"/>
        <v>48.789879040723697</v>
      </c>
      <c r="E225" s="387">
        <f t="shared" si="75"/>
        <v>51.550276011045611</v>
      </c>
      <c r="F225" s="387">
        <f t="shared" si="78"/>
        <v>51.640635762966177</v>
      </c>
      <c r="G225" s="110">
        <f t="shared" si="76"/>
        <v>0.85628097348583687</v>
      </c>
      <c r="H225" s="414" t="b">
        <f>Wh_hp&gt;='2022'!Maxi_hp</f>
        <v>0</v>
      </c>
      <c r="I225" s="392">
        <f>IF(H225,Wh_hp,'2022'!Maxi_hp)</f>
        <v>52.174946254120343</v>
      </c>
      <c r="J225" s="85">
        <f>IF(H225,An,'2022'!An_max)</f>
        <v>2020</v>
      </c>
      <c r="K225" s="199">
        <f t="shared" si="79"/>
        <v>45137</v>
      </c>
      <c r="L225" s="147">
        <f>IF(t&lt;Tvie,1-EXP((T0-t)*PertePVj)+'2022'!Pspv,1-EXP((T0-t)*PertePVj)+Pspv)</f>
        <v>4.1559350502234027E-2</v>
      </c>
      <c r="M225" s="870"/>
      <c r="N225" s="870"/>
      <c r="O225" s="48">
        <f>IF(t&lt;Tnet,'2022'!Resal+('2022'!Salim-'2022'!Resal)*(1-EXP(('2022'!Tnet-t)/('2022'!Tau_j))),Resal+(Salim-Resal)*(1-EXP((Tnet-t)/(Tau_j))))*Salcycl</f>
        <v>5.3547666160515713E-2</v>
      </c>
      <c r="P225" s="171">
        <f>(INDEX(Models!$BJ225:$BT225,,T225)*(1-R225)+INDEX(Models!$BJ225:$BT225,,T225+1)*R225-ERP_i)*Q225*Ramure*Pc/MaxiM</f>
        <v>2.2003184270223829E-3</v>
      </c>
      <c r="Q225" s="307">
        <f t="shared" si="80"/>
        <v>1</v>
      </c>
      <c r="R225" s="179">
        <f t="shared" si="81"/>
        <v>0.32037209295598146</v>
      </c>
      <c r="S225" s="837">
        <f t="shared" si="82"/>
        <v>1</v>
      </c>
      <c r="T225" s="178">
        <f t="shared" si="83"/>
        <v>7</v>
      </c>
      <c r="U225" s="253">
        <f t="shared" si="84"/>
        <v>1.3203720929559815</v>
      </c>
      <c r="V225" s="385">
        <f t="shared" si="85"/>
        <v>54.586169382995266</v>
      </c>
      <c r="W225" s="404">
        <f t="shared" si="86"/>
        <v>46.76220335670866</v>
      </c>
      <c r="X225" s="157">
        <f t="shared" si="87"/>
        <v>45137</v>
      </c>
      <c r="Y225" s="387">
        <f t="shared" si="88"/>
        <v>45.072379923161222</v>
      </c>
      <c r="Z225" s="387">
        <f t="shared" si="89"/>
        <v>47.026782458339667</v>
      </c>
      <c r="AA225" s="388">
        <f t="shared" si="90"/>
        <v>51.550276011045611</v>
      </c>
      <c r="AB225" s="199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8.7749162618192433E-2</v>
      </c>
      <c r="AD225" s="233">
        <f>(INDEX(Models!$BJ225:$BT225,,AH225)*(1-AF225)+INDEX(Models!$BJ225:$BT225,,AH225+1)*AF225-ERP_i)*AE225*Ramure*Pc/MaxiM</f>
        <v>2.2003184270223829E-3</v>
      </c>
      <c r="AE225" s="307">
        <f t="shared" si="92"/>
        <v>1</v>
      </c>
      <c r="AF225" s="179">
        <f t="shared" si="93"/>
        <v>0.32037209295598146</v>
      </c>
      <c r="AG225" s="837">
        <f t="shared" si="99"/>
        <v>1</v>
      </c>
      <c r="AH225" s="178">
        <f t="shared" si="94"/>
        <v>7</v>
      </c>
      <c r="AI225" s="227">
        <f t="shared" si="95"/>
        <v>1.3203720929559815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45138</v>
      </c>
      <c r="B226" s="1139">
        <f>IF(t&gt;Tmaj,'2022'!Wh/'2022'!Env_an*'2023'!Env_an,0.001*[9]mois!$B$238)</f>
        <v>51.61265058817807</v>
      </c>
      <c r="C226" s="866"/>
      <c r="D226" s="395">
        <f t="shared" si="77"/>
        <v>53.851901779162631</v>
      </c>
      <c r="E226" s="387">
        <f t="shared" si="75"/>
        <v>56.914388392572157</v>
      </c>
      <c r="F226" s="387">
        <f t="shared" si="78"/>
        <v>57.040048022143843</v>
      </c>
      <c r="G226" s="110">
        <f t="shared" si="76"/>
        <v>0.94847956709869075</v>
      </c>
      <c r="H226" s="414" t="b">
        <f>Wh_hp&gt;='2022'!Maxi_hp</f>
        <v>0</v>
      </c>
      <c r="I226" s="392">
        <f>IF(H226,Wh_hp,'2022'!Maxi_hp)</f>
        <v>57.043276941412763</v>
      </c>
      <c r="J226" s="85">
        <f>IF(H226,An,'2022'!An_max)</f>
        <v>2022</v>
      </c>
      <c r="K226" s="199">
        <f t="shared" si="79"/>
        <v>45138</v>
      </c>
      <c r="L226" s="147">
        <f>IF(t&lt;Tvie,1-EXP((T0-t)*PertePVj)+'2022'!Pspv,1-EXP((T0-t)*PertePVj)+Pspv)</f>
        <v>4.1581654816339464E-2</v>
      </c>
      <c r="M226" s="870"/>
      <c r="N226" s="870"/>
      <c r="O226" s="48">
        <f>IF(t&lt;Tnet,'2022'!Resal+('2022'!Salim-'2022'!Resal)*(1-EXP(('2022'!Tnet-t)/('2022'!Tau_j))),Resal+(Salim-Resal)*(1-EXP((Tnet-t)/(Tau_j))))*Salcycl</f>
        <v>5.3808653662159103E-2</v>
      </c>
      <c r="P226" s="171">
        <f>(INDEX(Models!$BJ226:$BT226,,T226)*(1-R226)+INDEX(Models!$BJ226:$BT226,,T226+1)*R226-ERP_i)*Q226*Ramure*Pc/MaxiM</f>
        <v>2.3774237422834622E-3</v>
      </c>
      <c r="Q226" s="307">
        <f t="shared" si="80"/>
        <v>1</v>
      </c>
      <c r="R226" s="179">
        <f t="shared" si="81"/>
        <v>0.32322735244764389</v>
      </c>
      <c r="S226" s="837">
        <f t="shared" si="82"/>
        <v>1</v>
      </c>
      <c r="T226" s="178">
        <f t="shared" si="83"/>
        <v>7</v>
      </c>
      <c r="U226" s="253">
        <f t="shared" si="84"/>
        <v>1.3232273524476439</v>
      </c>
      <c r="V226" s="385">
        <f t="shared" si="85"/>
        <v>54.406684546967369</v>
      </c>
      <c r="W226" s="404">
        <f t="shared" si="86"/>
        <v>51.61265058817807</v>
      </c>
      <c r="X226" s="157">
        <f t="shared" si="87"/>
        <v>45138</v>
      </c>
      <c r="Y226" s="387">
        <f t="shared" si="88"/>
        <v>49.75062607382538</v>
      </c>
      <c r="Z226" s="387">
        <f t="shared" si="89"/>
        <v>51.909092020031949</v>
      </c>
      <c r="AA226" s="388">
        <f t="shared" si="90"/>
        <v>56.914388392572157</v>
      </c>
      <c r="AB226" s="199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8.794430571783933E-2</v>
      </c>
      <c r="AD226" s="233">
        <f>(INDEX(Models!$BJ226:$BT226,,AH226)*(1-AF226)+INDEX(Models!$BJ226:$BT226,,AH226+1)*AF226-ERP_i)*AE226*Ramure*Pc/MaxiM</f>
        <v>2.3774237422834622E-3</v>
      </c>
      <c r="AE226" s="307">
        <f t="shared" si="92"/>
        <v>1</v>
      </c>
      <c r="AF226" s="179">
        <f t="shared" si="93"/>
        <v>0.32322735244764389</v>
      </c>
      <c r="AG226" s="837">
        <f t="shared" si="99"/>
        <v>1</v>
      </c>
      <c r="AH226" s="178">
        <f t="shared" si="94"/>
        <v>7</v>
      </c>
      <c r="AI226" s="227">
        <f t="shared" si="95"/>
        <v>1.3232273524476439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45139</v>
      </c>
      <c r="B227" s="1139">
        <f>IF(t&gt;Tmaj,'2022'!Wh/'2022'!Env_an*'2023'!Env_an,0.001*'[10]mon-tableau (1)'!$B$208)</f>
        <v>53.573302463828249</v>
      </c>
      <c r="C227" s="866"/>
      <c r="D227" s="395">
        <f t="shared" si="77"/>
        <v>55.898918766616049</v>
      </c>
      <c r="E227" s="387">
        <f t="shared" si="75"/>
        <v>59.094065501068421</v>
      </c>
      <c r="F227" s="387">
        <f t="shared" si="78"/>
        <v>59.243562952231535</v>
      </c>
      <c r="G227" s="110">
        <f t="shared" si="76"/>
        <v>0.98796296925541149</v>
      </c>
      <c r="H227" s="414" t="b">
        <f>Wh_hp&gt;='2022'!Maxi_hp</f>
        <v>0</v>
      </c>
      <c r="I227" s="392">
        <f>IF(H227,Wh_hp,'2022'!Maxi_hp)</f>
        <v>59.244412021710168</v>
      </c>
      <c r="J227" s="85">
        <f>IF(H227,An,'2022'!An_max)</f>
        <v>2022</v>
      </c>
      <c r="K227" s="199">
        <f t="shared" si="79"/>
        <v>45139</v>
      </c>
      <c r="L227" s="147">
        <f>IF(t&lt;Tvie,1-EXP((T0-t)*PertePVj)+'2022'!Pspv,1-EXP((T0-t)*PertePVj)+Pspv)</f>
        <v>4.160395861139099E-2</v>
      </c>
      <c r="M227" s="870"/>
      <c r="N227" s="870"/>
      <c r="O227" s="48">
        <f>IF(t&lt;Tnet,'2022'!Resal+('2022'!Salim-'2022'!Resal)*(1-EXP(('2022'!Tnet-t)/('2022'!Tau_j))),Resal+(Salim-Resal)*(1-EXP((Tnet-t)/(Tau_j))))*Salcycl</f>
        <v>5.4068825817959722E-2</v>
      </c>
      <c r="P227" s="171">
        <f>(INDEX(Models!$BJ227:$BT227,,T227)*(1-R227)+INDEX(Models!$BJ227:$BT227,,T227+1)*R227-ERP_i)*Q227*Ramure*Pc/MaxiM</f>
        <v>2.5674269279420381E-3</v>
      </c>
      <c r="Q227" s="307">
        <f t="shared" si="80"/>
        <v>1</v>
      </c>
      <c r="R227" s="179">
        <f t="shared" si="81"/>
        <v>0.3259924290677807</v>
      </c>
      <c r="S227" s="837">
        <f t="shared" si="82"/>
        <v>1</v>
      </c>
      <c r="T227" s="178">
        <f t="shared" si="83"/>
        <v>7</v>
      </c>
      <c r="U227" s="253">
        <f t="shared" si="84"/>
        <v>1.3259924290677807</v>
      </c>
      <c r="V227" s="385">
        <f t="shared" si="85"/>
        <v>54.223631381645077</v>
      </c>
      <c r="W227" s="404">
        <f t="shared" si="86"/>
        <v>53.573302463828249</v>
      </c>
      <c r="X227" s="157">
        <f t="shared" si="87"/>
        <v>45139</v>
      </c>
      <c r="Y227" s="387">
        <f t="shared" si="88"/>
        <v>51.643745028221794</v>
      </c>
      <c r="Z227" s="387">
        <f t="shared" si="89"/>
        <v>53.88559927000091</v>
      </c>
      <c r="AA227" s="388">
        <f t="shared" si="90"/>
        <v>59.094065501068421</v>
      </c>
      <c r="AB227" s="199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8.8138566654774111E-2</v>
      </c>
      <c r="AD227" s="233">
        <f>(INDEX(Models!$BJ227:$BT227,,AH227)*(1-AF227)+INDEX(Models!$BJ227:$BT227,,AH227+1)*AF227-ERP_i)*AE227*Ramure*Pc/MaxiM</f>
        <v>2.5674269279420381E-3</v>
      </c>
      <c r="AE227" s="307">
        <f t="shared" si="92"/>
        <v>1</v>
      </c>
      <c r="AF227" s="179">
        <f t="shared" si="93"/>
        <v>0.3259924290677807</v>
      </c>
      <c r="AG227" s="837">
        <f t="shared" si="99"/>
        <v>1</v>
      </c>
      <c r="AH227" s="178">
        <f t="shared" si="94"/>
        <v>7</v>
      </c>
      <c r="AI227" s="227">
        <f t="shared" si="95"/>
        <v>1.3259924290677807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45140</v>
      </c>
      <c r="B228" s="1139">
        <f>IF(t&gt;Tmaj,'2022'!Wh/'2022'!Env_an*'2023'!Env_an,0.001*'[10]mon-tableau (1)'!$B$209)</f>
        <v>51.661858783839087</v>
      </c>
      <c r="C228" s="866"/>
      <c r="D228" s="395">
        <f t="shared" si="77"/>
        <v>53.905753809135923</v>
      </c>
      <c r="E228" s="387">
        <f t="shared" si="75"/>
        <v>57.002602392719936</v>
      </c>
      <c r="F228" s="387">
        <f t="shared" si="78"/>
        <v>57.150996547280599</v>
      </c>
      <c r="G228" s="110">
        <f t="shared" si="76"/>
        <v>0.95588269102412682</v>
      </c>
      <c r="H228" s="414" t="b">
        <f>Wh_hp&gt;='2022'!Maxi_hp</f>
        <v>0</v>
      </c>
      <c r="I228" s="392">
        <f>IF(H228,Wh_hp,'2022'!Maxi_hp)</f>
        <v>57.154241429769726</v>
      </c>
      <c r="J228" s="85">
        <f>IF(H228,An,'2022'!An_max)</f>
        <v>2022</v>
      </c>
      <c r="K228" s="199">
        <f t="shared" si="79"/>
        <v>45140</v>
      </c>
      <c r="L228" s="147">
        <f>IF(t&lt;Tvie,1-EXP((T0-t)*PertePVj)+'2022'!Pspv,1-EXP((T0-t)*PertePVj)+Pspv)</f>
        <v>4.1626261887400595E-2</v>
      </c>
      <c r="M228" s="870"/>
      <c r="N228" s="870"/>
      <c r="O228" s="48">
        <f>IF(t&lt;Tnet,'2022'!Resal+('2022'!Salim-'2022'!Resal)*(1-EXP(('2022'!Tnet-t)/('2022'!Tau_j))),Resal+(Salim-Resal)*(1-EXP((Tnet-t)/(Tau_j))))*Salcycl</f>
        <v>5.4328196496157333E-2</v>
      </c>
      <c r="P228" s="171">
        <f>(INDEX(Models!$BJ228:$BT228,,T228)*(1-R228)+INDEX(Models!$BJ228:$BT228,,T228+1)*R228-ERP_i)*Q228*Ramure*Pc/MaxiM</f>
        <v>2.7704764664761546E-3</v>
      </c>
      <c r="Q228" s="307">
        <f t="shared" si="80"/>
        <v>1</v>
      </c>
      <c r="R228" s="179">
        <f t="shared" si="81"/>
        <v>0.3286693033862722</v>
      </c>
      <c r="S228" s="837">
        <f t="shared" si="82"/>
        <v>1</v>
      </c>
      <c r="T228" s="178">
        <f t="shared" si="83"/>
        <v>7</v>
      </c>
      <c r="U228" s="253">
        <f t="shared" si="84"/>
        <v>1.3286693033862722</v>
      </c>
      <c r="V228" s="385">
        <f t="shared" si="85"/>
        <v>54.036807409400033</v>
      </c>
      <c r="W228" s="404">
        <f t="shared" si="86"/>
        <v>51.661858783839087</v>
      </c>
      <c r="X228" s="157">
        <f t="shared" si="87"/>
        <v>45140</v>
      </c>
      <c r="Y228" s="387">
        <f t="shared" si="88"/>
        <v>49.804239480108848</v>
      </c>
      <c r="Z228" s="387">
        <f t="shared" si="89"/>
        <v>51.96745017052767</v>
      </c>
      <c r="AA228" s="388">
        <f t="shared" si="90"/>
        <v>57.002602392719936</v>
      </c>
      <c r="AB228" s="199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8.8331971012525753E-2</v>
      </c>
      <c r="AD228" s="233">
        <f>(INDEX(Models!$BJ228:$BT228,,AH228)*(1-AF228)+INDEX(Models!$BJ228:$BT228,,AH228+1)*AF228-ERP_i)*AE228*Ramure*Pc/MaxiM</f>
        <v>2.7704764664761546E-3</v>
      </c>
      <c r="AE228" s="307">
        <f t="shared" si="92"/>
        <v>1</v>
      </c>
      <c r="AF228" s="179">
        <f t="shared" si="93"/>
        <v>0.3286693033862722</v>
      </c>
      <c r="AG228" s="837">
        <f t="shared" si="99"/>
        <v>1</v>
      </c>
      <c r="AH228" s="178">
        <f t="shared" si="94"/>
        <v>7</v>
      </c>
      <c r="AI228" s="227">
        <f t="shared" si="95"/>
        <v>1.3286693033862722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45141</v>
      </c>
      <c r="B229" s="1139">
        <f>IF(t&gt;Tmaj,'2022'!Wh/'2022'!Env_an*'2023'!Env_an,0.001*'[10]mon-tableau (1)'!$B$210)</f>
        <v>49.746712634369594</v>
      </c>
      <c r="C229" s="866"/>
      <c r="D229" s="395">
        <f t="shared" si="77"/>
        <v>51.908632678063313</v>
      </c>
      <c r="E229" s="387">
        <f t="shared" si="75"/>
        <v>54.905761247413373</v>
      </c>
      <c r="F229" s="387">
        <f t="shared" si="78"/>
        <v>55.052305100667624</v>
      </c>
      <c r="G229" s="110">
        <f t="shared" si="76"/>
        <v>0.92356907985674563</v>
      </c>
      <c r="H229" s="414" t="b">
        <f>Wh_hp&gt;='2022'!Maxi_hp</f>
        <v>0</v>
      </c>
      <c r="I229" s="392">
        <f>IF(H229,Wh_hp,'2022'!Maxi_hp)</f>
        <v>57.449799256977776</v>
      </c>
      <c r="J229" s="85">
        <f>IF(H229,An,'2022'!An_max)</f>
        <v>2019</v>
      </c>
      <c r="K229" s="199">
        <f t="shared" si="79"/>
        <v>45141</v>
      </c>
      <c r="L229" s="147">
        <f>IF(t&lt;Tvie,1-EXP((T0-t)*PertePVj)+'2022'!Pspv,1-EXP((T0-t)*PertePVj)+Pspv)</f>
        <v>4.1648564644380381E-2</v>
      </c>
      <c r="M229" s="870"/>
      <c r="N229" s="870"/>
      <c r="O229" s="48">
        <f>IF(t&lt;Tnet,'2022'!Resal+('2022'!Salim-'2022'!Resal)*(1-EXP(('2022'!Tnet-t)/('2022'!Tau_j))),Resal+(Salim-Resal)*(1-EXP((Tnet-t)/(Tau_j))))*Salcycl</f>
        <v>5.4586777439339394E-2</v>
      </c>
      <c r="P229" s="171">
        <f>(INDEX(Models!$BJ229:$BT229,,T229)*(1-R229)+INDEX(Models!$BJ229:$BT229,,T229+1)*R229-ERP_i)*Q229*Ramure*Pc/MaxiM</f>
        <v>2.9867305927114346E-3</v>
      </c>
      <c r="Q229" s="307">
        <f t="shared" si="80"/>
        <v>1</v>
      </c>
      <c r="R229" s="179">
        <f t="shared" si="81"/>
        <v>0.33125997583808453</v>
      </c>
      <c r="S229" s="837">
        <f t="shared" si="82"/>
        <v>1</v>
      </c>
      <c r="T229" s="178">
        <f t="shared" si="83"/>
        <v>7</v>
      </c>
      <c r="U229" s="253">
        <f t="shared" si="84"/>
        <v>1.3312599758380845</v>
      </c>
      <c r="V229" s="385">
        <f t="shared" si="85"/>
        <v>53.846010489640129</v>
      </c>
      <c r="W229" s="404">
        <f t="shared" si="86"/>
        <v>49.746712634369594</v>
      </c>
      <c r="X229" s="157">
        <f t="shared" si="87"/>
        <v>45141</v>
      </c>
      <c r="Y229" s="387">
        <f t="shared" si="88"/>
        <v>47.960940960827813</v>
      </c>
      <c r="Z229" s="387">
        <f t="shared" si="89"/>
        <v>50.045253955330843</v>
      </c>
      <c r="AA229" s="388">
        <f t="shared" si="90"/>
        <v>54.905761247413373</v>
      </c>
      <c r="AB229" s="199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8.8524540624805748E-2</v>
      </c>
      <c r="AD229" s="233">
        <f>(INDEX(Models!$BJ229:$BT229,,AH229)*(1-AF229)+INDEX(Models!$BJ229:$BT229,,AH229+1)*AF229-ERP_i)*AE229*Ramure*Pc/MaxiM</f>
        <v>2.9867305927114346E-3</v>
      </c>
      <c r="AE229" s="307">
        <f t="shared" si="92"/>
        <v>1</v>
      </c>
      <c r="AF229" s="179">
        <f t="shared" si="93"/>
        <v>0.33125997583808453</v>
      </c>
      <c r="AG229" s="837">
        <f t="shared" si="99"/>
        <v>1</v>
      </c>
      <c r="AH229" s="178">
        <f t="shared" si="94"/>
        <v>7</v>
      </c>
      <c r="AI229" s="227">
        <f t="shared" si="95"/>
        <v>1.3312599758380845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45142</v>
      </c>
      <c r="B230" s="1139">
        <f>IF(t&gt;Tmaj,'2022'!Wh/'2022'!Env_an*'2023'!Env_an,0.001*'[10]mon-tableau (1)'!$B$211)</f>
        <v>46.197067289503075</v>
      </c>
      <c r="C230" s="866"/>
      <c r="D230" s="395">
        <f t="shared" si="77"/>
        <v>48.205846710736793</v>
      </c>
      <c r="E230" s="387">
        <f t="shared" si="75"/>
        <v>51.003089653439758</v>
      </c>
      <c r="F230" s="387">
        <f t="shared" si="78"/>
        <v>51.134914590994399</v>
      </c>
      <c r="G230" s="110">
        <f t="shared" si="76"/>
        <v>0.8605145589563632</v>
      </c>
      <c r="H230" s="414" t="b">
        <f>Wh_hp&gt;='2022'!Maxi_hp</f>
        <v>0</v>
      </c>
      <c r="I230" s="392">
        <f>IF(H230,Wh_hp,'2022'!Maxi_hp)</f>
        <v>53.047340954372693</v>
      </c>
      <c r="J230" s="85">
        <f>IF(H230,An,'2022'!An_max)</f>
        <v>2019</v>
      </c>
      <c r="K230" s="199">
        <f t="shared" si="79"/>
        <v>45142</v>
      </c>
      <c r="L230" s="147">
        <f>IF(t&lt;Tvie,1-EXP((T0-t)*PertePVj)+'2022'!Pspv,1-EXP((T0-t)*PertePVj)+Pspv)</f>
        <v>4.167086688234245E-2</v>
      </c>
      <c r="M230" s="870"/>
      <c r="N230" s="870"/>
      <c r="O230" s="48">
        <f>IF(t&lt;Tnet,'2022'!Resal+('2022'!Salim-'2022'!Resal)*(1-EXP(('2022'!Tnet-t)/('2022'!Tau_j))),Resal+(Salim-Resal)*(1-EXP((Tnet-t)/(Tau_j))))*Salcycl</f>
        <v>5.4844578273785263E-2</v>
      </c>
      <c r="P230" s="171">
        <f>(INDEX(Models!$BJ230:$BT230,,T230)*(1-R230)+INDEX(Models!$BJ230:$BT230,,T230+1)*R230-ERP_i)*Q230*Ramure*Pc/MaxiM</f>
        <v>3.2163580481712702E-3</v>
      </c>
      <c r="Q230" s="307">
        <f t="shared" si="80"/>
        <v>1</v>
      </c>
      <c r="R230" s="179">
        <f t="shared" si="81"/>
        <v>0.33376646098663199</v>
      </c>
      <c r="S230" s="837">
        <f t="shared" si="82"/>
        <v>1</v>
      </c>
      <c r="T230" s="178">
        <f t="shared" si="83"/>
        <v>7</v>
      </c>
      <c r="U230" s="253">
        <f t="shared" si="84"/>
        <v>1.333766460986632</v>
      </c>
      <c r="V230" s="385">
        <f t="shared" si="85"/>
        <v>53.651038820087244</v>
      </c>
      <c r="W230" s="404">
        <f t="shared" si="86"/>
        <v>46.197067289503075</v>
      </c>
      <c r="X230" s="157">
        <f t="shared" si="87"/>
        <v>45142</v>
      </c>
      <c r="Y230" s="387">
        <f t="shared" si="88"/>
        <v>44.541494165595239</v>
      </c>
      <c r="Z230" s="387">
        <f t="shared" si="89"/>
        <v>46.478284575041421</v>
      </c>
      <c r="AA230" s="388">
        <f t="shared" si="90"/>
        <v>51.003089653439758</v>
      </c>
      <c r="AB230" s="199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8.8716293643069044E-2</v>
      </c>
      <c r="AD230" s="233">
        <f>(INDEX(Models!$BJ230:$BT230,,AH230)*(1-AF230)+INDEX(Models!$BJ230:$BT230,,AH230+1)*AF230-ERP_i)*AE230*Ramure*Pc/MaxiM</f>
        <v>3.2163580481712702E-3</v>
      </c>
      <c r="AE230" s="307">
        <f t="shared" si="92"/>
        <v>1</v>
      </c>
      <c r="AF230" s="179">
        <f t="shared" si="93"/>
        <v>0.33376646098663199</v>
      </c>
      <c r="AG230" s="837">
        <f t="shared" si="99"/>
        <v>1</v>
      </c>
      <c r="AH230" s="178">
        <f t="shared" si="94"/>
        <v>7</v>
      </c>
      <c r="AI230" s="227">
        <f t="shared" si="95"/>
        <v>1.333766460986632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45143</v>
      </c>
      <c r="B231" s="1139">
        <f>IF(t&gt;Tmaj,'2022'!Wh/'2022'!Env_an*'2023'!Env_an,0.001*'[10]mon-tableau (1)'!$B$212)</f>
        <v>45.203673315717843</v>
      </c>
      <c r="C231" s="866"/>
      <c r="D231" s="395">
        <f t="shared" si="77"/>
        <v>47.170354874482754</v>
      </c>
      <c r="E231" s="387">
        <f t="shared" si="75"/>
        <v>49.921086966237311</v>
      </c>
      <c r="F231" s="387">
        <f t="shared" si="78"/>
        <v>50.056084154009568</v>
      </c>
      <c r="G231" s="110">
        <f t="shared" si="76"/>
        <v>0.84504542461575616</v>
      </c>
      <c r="H231" s="414" t="b">
        <f>Wh_hp&gt;='2022'!Maxi_hp</f>
        <v>0</v>
      </c>
      <c r="I231" s="392">
        <f>IF(H231,Wh_hp,'2022'!Maxi_hp)</f>
        <v>58.00298989323845</v>
      </c>
      <c r="J231" s="85">
        <f>IF(H231,An,'2022'!An_max)</f>
        <v>2020</v>
      </c>
      <c r="K231" s="199">
        <f t="shared" si="79"/>
        <v>45143</v>
      </c>
      <c r="L231" s="147">
        <f>IF(t&lt;Tvie,1-EXP((T0-t)*PertePVj)+'2022'!Pspv,1-EXP((T0-t)*PertePVj)+Pspv)</f>
        <v>4.1693168601298902E-2</v>
      </c>
      <c r="M231" s="870"/>
      <c r="N231" s="870"/>
      <c r="O231" s="48">
        <f>IF(t&lt;Tnet,'2022'!Resal+('2022'!Salim-'2022'!Resal)*(1-EXP(('2022'!Tnet-t)/('2022'!Tau_j))),Resal+(Salim-Resal)*(1-EXP((Tnet-t)/(Tau_j))))*Salcycl</f>
        <v>5.51016065338268E-2</v>
      </c>
      <c r="P231" s="171">
        <f>(INDEX(Models!$BJ231:$BT231,,T231)*(1-R231)+INDEX(Models!$BJ231:$BT231,,T231+1)*R231-ERP_i)*Q231*Ramure*Pc/MaxiM</f>
        <v>3.4595388693386192E-3</v>
      </c>
      <c r="Q231" s="307">
        <f t="shared" si="80"/>
        <v>1</v>
      </c>
      <c r="R231" s="179">
        <f t="shared" si="81"/>
        <v>0.33619078214973142</v>
      </c>
      <c r="S231" s="837">
        <f t="shared" si="82"/>
        <v>1</v>
      </c>
      <c r="T231" s="178">
        <f t="shared" si="83"/>
        <v>7</v>
      </c>
      <c r="U231" s="253">
        <f t="shared" si="84"/>
        <v>1.3361907821497314</v>
      </c>
      <c r="V231" s="385">
        <f t="shared" si="85"/>
        <v>53.451690929940291</v>
      </c>
      <c r="W231" s="404">
        <f t="shared" si="86"/>
        <v>45.203673315717843</v>
      </c>
      <c r="X231" s="157">
        <f t="shared" si="87"/>
        <v>45143</v>
      </c>
      <c r="Y231" s="387">
        <f t="shared" si="88"/>
        <v>43.586421099894082</v>
      </c>
      <c r="Z231" s="387">
        <f t="shared" si="89"/>
        <v>45.482740675319327</v>
      </c>
      <c r="AA231" s="388">
        <f t="shared" si="90"/>
        <v>49.921086966237311</v>
      </c>
      <c r="AB231" s="199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8.8907244626298523E-2</v>
      </c>
      <c r="AD231" s="233">
        <f>(INDEX(Models!$BJ231:$BT231,,AH231)*(1-AF231)+INDEX(Models!$BJ231:$BT231,,AH231+1)*AF231-ERP_i)*AE231*Ramure*Pc/MaxiM</f>
        <v>3.4595388693386192E-3</v>
      </c>
      <c r="AE231" s="307">
        <f t="shared" si="92"/>
        <v>1</v>
      </c>
      <c r="AF231" s="179">
        <f t="shared" si="93"/>
        <v>0.33619078214973142</v>
      </c>
      <c r="AG231" s="837">
        <f t="shared" si="99"/>
        <v>1</v>
      </c>
      <c r="AH231" s="178">
        <f t="shared" si="94"/>
        <v>7</v>
      </c>
      <c r="AI231" s="227">
        <f t="shared" si="95"/>
        <v>1.3361907821497314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45144</v>
      </c>
      <c r="B232" s="1139">
        <f>IF(t&gt;Tmaj,'2022'!Wh/'2022'!Env_an*'2023'!Env_an,0.001*'[10]mon-tableau (1)'!$B$213)</f>
        <v>47.906954385316382</v>
      </c>
      <c r="C232" s="866"/>
      <c r="D232" s="395">
        <f t="shared" si="77"/>
        <v>49.992411309594004</v>
      </c>
      <c r="E232" s="387">
        <f t="shared" si="75"/>
        <v>52.922063922632894</v>
      </c>
      <c r="F232" s="387">
        <f t="shared" si="78"/>
        <v>53.091102958682839</v>
      </c>
      <c r="G232" s="110">
        <f t="shared" si="76"/>
        <v>0.89921822582586963</v>
      </c>
      <c r="H232" s="414" t="b">
        <f>Wh_hp&gt;='2022'!Maxi_hp</f>
        <v>0</v>
      </c>
      <c r="I232" s="392">
        <f>IF(H232,Wh_hp,'2022'!Maxi_hp)</f>
        <v>57.070736386069342</v>
      </c>
      <c r="J232" s="85">
        <f>IF(H232,An,'2022'!An_max)</f>
        <v>2020</v>
      </c>
      <c r="K232" s="199">
        <f t="shared" si="79"/>
        <v>45144</v>
      </c>
      <c r="L232" s="147">
        <f>IF(t&lt;Tvie,1-EXP((T0-t)*PertePVj)+'2022'!Pspv,1-EXP((T0-t)*PertePVj)+Pspv)</f>
        <v>4.1715469801261729E-2</v>
      </c>
      <c r="M232" s="870"/>
      <c r="N232" s="870"/>
      <c r="O232" s="48">
        <f>IF(t&lt;Tnet,'2022'!Resal+('2022'!Salim-'2022'!Resal)*(1-EXP(('2022'!Tnet-t)/('2022'!Tau_j))),Resal+(Salim-Resal)*(1-EXP((Tnet-t)/(Tau_j))))*Salcycl</f>
        <v>5.5357867699977949E-2</v>
      </c>
      <c r="P232" s="171">
        <f>(INDEX(Models!$BJ232:$BT232,,T232)*(1-R232)+INDEX(Models!$BJ232:$BT232,,T232+1)*R232-ERP_i)*Q232*Ramure*Pc/MaxiM</f>
        <v>3.7164652132343542E-3</v>
      </c>
      <c r="Q232" s="307">
        <f t="shared" si="80"/>
        <v>1</v>
      </c>
      <c r="R232" s="179">
        <f t="shared" si="81"/>
        <v>0.33853496638307545</v>
      </c>
      <c r="S232" s="837">
        <f t="shared" si="82"/>
        <v>1</v>
      </c>
      <c r="T232" s="178">
        <f t="shared" si="83"/>
        <v>7</v>
      </c>
      <c r="U232" s="253">
        <f t="shared" si="84"/>
        <v>1.3385349663830755</v>
      </c>
      <c r="V232" s="385">
        <f t="shared" si="85"/>
        <v>53.247765667372484</v>
      </c>
      <c r="W232" s="404">
        <f t="shared" si="86"/>
        <v>47.906954385316382</v>
      </c>
      <c r="X232" s="157">
        <f t="shared" si="87"/>
        <v>45144</v>
      </c>
      <c r="Y232" s="387">
        <f t="shared" si="88"/>
        <v>46.195874175774513</v>
      </c>
      <c r="Z232" s="387">
        <f t="shared" si="89"/>
        <v>48.206845378369998</v>
      </c>
      <c r="AA232" s="388">
        <f t="shared" si="90"/>
        <v>52.922063922632894</v>
      </c>
      <c r="AB232" s="199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8.9097404650659587E-2</v>
      </c>
      <c r="AD232" s="233">
        <f>(INDEX(Models!$BJ232:$BT232,,AH232)*(1-AF232)+INDEX(Models!$BJ232:$BT232,,AH232+1)*AF232-ERP_i)*AE232*Ramure*Pc/MaxiM</f>
        <v>3.7164652132343542E-3</v>
      </c>
      <c r="AE232" s="307">
        <f t="shared" si="92"/>
        <v>1</v>
      </c>
      <c r="AF232" s="179">
        <f t="shared" si="93"/>
        <v>0.33853496638307545</v>
      </c>
      <c r="AG232" s="837">
        <f t="shared" si="99"/>
        <v>1</v>
      </c>
      <c r="AH232" s="178">
        <f t="shared" si="94"/>
        <v>7</v>
      </c>
      <c r="AI232" s="227">
        <f t="shared" si="95"/>
        <v>1.3385349663830755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45145</v>
      </c>
      <c r="B233" s="1139">
        <f>IF(t&gt;Tmaj,'2022'!Wh/'2022'!Env_an*'2023'!Env_an,0.001*'[10]mon-tableau (1)'!$B$214)</f>
        <v>50.996705584495992</v>
      </c>
      <c r="C233" s="866"/>
      <c r="D233" s="395">
        <f t="shared" si="77"/>
        <v>53.217902170849364</v>
      </c>
      <c r="E233" s="387">
        <f t="shared" ref="E233:E296" si="100">Wh_pvt/(1-Psa)</f>
        <v>56.351816313989403</v>
      </c>
      <c r="F233" s="387">
        <f t="shared" si="78"/>
        <v>56.564939272506223</v>
      </c>
      <c r="G233" s="110">
        <f t="shared" ref="G233:G296" si="101">+Wh_hp/MaxiM</f>
        <v>0.96125618325617246</v>
      </c>
      <c r="H233" s="414" t="b">
        <f>Wh_hp&gt;='2022'!Maxi_hp</f>
        <v>0</v>
      </c>
      <c r="I233" s="392">
        <f>IF(H233,Wh_hp,'2022'!Maxi_hp)</f>
        <v>56.568958989801914</v>
      </c>
      <c r="J233" s="85">
        <f>IF(H233,An,'2022'!An_max)</f>
        <v>2022</v>
      </c>
      <c r="K233" s="199">
        <f t="shared" si="79"/>
        <v>45145</v>
      </c>
      <c r="L233" s="147">
        <f>IF(t&lt;Tvie,1-EXP((T0-t)*PertePVj)+'2022'!Pspv,1-EXP((T0-t)*PertePVj)+Pspv)</f>
        <v>4.1737770482243031E-2</v>
      </c>
      <c r="M233" s="870"/>
      <c r="N233" s="870"/>
      <c r="O233" s="48">
        <f>IF(t&lt;Tnet,'2022'!Resal+('2022'!Salim-'2022'!Resal)*(1-EXP(('2022'!Tnet-t)/('2022'!Tau_j))),Resal+(Salim-Resal)*(1-EXP((Tnet-t)/(Tau_j))))*Salcycl</f>
        <v>5.5613365249454143E-2</v>
      </c>
      <c r="P233" s="171">
        <f>(INDEX(Models!$BJ233:$BT233,,T233)*(1-R233)+INDEX(Models!$BJ233:$BT233,,T233+1)*R233-ERP_i)*Q233*Ramure*Pc/MaxiM</f>
        <v>3.987237534743949E-3</v>
      </c>
      <c r="Q233" s="307">
        <f t="shared" si="80"/>
        <v>1</v>
      </c>
      <c r="R233" s="179">
        <f t="shared" si="81"/>
        <v>0.34080103981446452</v>
      </c>
      <c r="S233" s="837">
        <f t="shared" si="82"/>
        <v>1</v>
      </c>
      <c r="T233" s="178">
        <f t="shared" si="83"/>
        <v>7</v>
      </c>
      <c r="U233" s="253">
        <f t="shared" si="84"/>
        <v>1.3408010398144645</v>
      </c>
      <c r="V233" s="385">
        <f t="shared" si="85"/>
        <v>53.040460356579636</v>
      </c>
      <c r="W233" s="404">
        <f t="shared" si="86"/>
        <v>50.996705584495992</v>
      </c>
      <c r="X233" s="157">
        <f t="shared" si="87"/>
        <v>45145</v>
      </c>
      <c r="Y233" s="387">
        <f t="shared" si="88"/>
        <v>49.17834726796886</v>
      </c>
      <c r="Z233" s="387">
        <f t="shared" si="89"/>
        <v>51.320344007211617</v>
      </c>
      <c r="AA233" s="388">
        <f t="shared" si="90"/>
        <v>56.351816313989403</v>
      </c>
      <c r="AB233" s="199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8.9286781436514542E-2</v>
      </c>
      <c r="AD233" s="233">
        <f>(INDEX(Models!$BJ233:$BT233,,AH233)*(1-AF233)+INDEX(Models!$BJ233:$BT233,,AH233+1)*AF233-ERP_i)*AE233*Ramure*Pc/MaxiM</f>
        <v>3.987237534743949E-3</v>
      </c>
      <c r="AE233" s="307">
        <f t="shared" si="92"/>
        <v>1</v>
      </c>
      <c r="AF233" s="179">
        <f t="shared" si="93"/>
        <v>0.34080103981446452</v>
      </c>
      <c r="AG233" s="837">
        <f t="shared" si="99"/>
        <v>1</v>
      </c>
      <c r="AH233" s="178">
        <f t="shared" si="94"/>
        <v>7</v>
      </c>
      <c r="AI233" s="227">
        <f t="shared" si="95"/>
        <v>1.3408010398144645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45146</v>
      </c>
      <c r="B234" s="1139">
        <f>IF(t&gt;Tmaj,'2022'!Wh/'2022'!Env_an*'2023'!Env_an,0.001*'[10]mon-tableau (1)'!$B$215)</f>
        <v>51.6951861278894</v>
      </c>
      <c r="C234" s="866"/>
      <c r="D234" s="395">
        <f t="shared" si="77"/>
        <v>53.948060964904379</v>
      </c>
      <c r="E234" s="387">
        <f t="shared" si="100"/>
        <v>57.140385793454925</v>
      </c>
      <c r="F234" s="387">
        <f t="shared" si="78"/>
        <v>57.377996213386488</v>
      </c>
      <c r="G234" s="110">
        <f t="shared" si="101"/>
        <v>0.97837553077366823</v>
      </c>
      <c r="H234" s="414" t="b">
        <f>Wh_hp&gt;='2022'!Maxi_hp</f>
        <v>0</v>
      </c>
      <c r="I234" s="392">
        <f>IF(H234,Wh_hp,'2022'!Maxi_hp)</f>
        <v>57.38042233361849</v>
      </c>
      <c r="J234" s="85">
        <f>IF(H234,An,'2022'!An_max)</f>
        <v>2022</v>
      </c>
      <c r="K234" s="199">
        <f t="shared" si="79"/>
        <v>45146</v>
      </c>
      <c r="L234" s="147">
        <f>IF(t&lt;Tvie,1-EXP((T0-t)*PertePVj)+'2022'!Pspv,1-EXP((T0-t)*PertePVj)+Pspv)</f>
        <v>4.176007064425491E-2</v>
      </c>
      <c r="M234" s="870"/>
      <c r="N234" s="870"/>
      <c r="O234" s="48">
        <f>IF(t&lt;Tnet,'2022'!Resal+('2022'!Salim-'2022'!Resal)*(1-EXP(('2022'!Tnet-t)/('2022'!Tau_j))),Resal+(Salim-Resal)*(1-EXP((Tnet-t)/(Tau_j))))*Salcycl</f>
        <v>5.5868100717587514E-2</v>
      </c>
      <c r="P234" s="171">
        <f>(INDEX(Models!$BJ234:$BT234,,T234)*(1-R234)+INDEX(Models!$BJ234:$BT234,,T234+1)*R234-ERP_i)*Q234*Ramure*Pc/MaxiM</f>
        <v>4.2723364946275601E-3</v>
      </c>
      <c r="Q234" s="307">
        <f t="shared" si="80"/>
        <v>1</v>
      </c>
      <c r="R234" s="179">
        <f t="shared" si="81"/>
        <v>0.34299102332055442</v>
      </c>
      <c r="S234" s="837">
        <f t="shared" si="82"/>
        <v>1</v>
      </c>
      <c r="T234" s="178">
        <f t="shared" si="83"/>
        <v>7</v>
      </c>
      <c r="U234" s="253">
        <f t="shared" si="84"/>
        <v>1.3429910233205544</v>
      </c>
      <c r="V234" s="385">
        <f t="shared" si="85"/>
        <v>52.830814106282233</v>
      </c>
      <c r="W234" s="404">
        <f t="shared" si="86"/>
        <v>51.6951861278894</v>
      </c>
      <c r="X234" s="157">
        <f t="shared" si="87"/>
        <v>45146</v>
      </c>
      <c r="Y234" s="387">
        <f t="shared" si="88"/>
        <v>49.855046489857351</v>
      </c>
      <c r="Z234" s="387">
        <f t="shared" si="89"/>
        <v>52.02772809037134</v>
      </c>
      <c r="AA234" s="388">
        <f t="shared" si="90"/>
        <v>57.140385793454925</v>
      </c>
      <c r="AB234" s="199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8.9475379490161017E-2</v>
      </c>
      <c r="AD234" s="233">
        <f>(INDEX(Models!$BJ234:$BT234,,AH234)*(1-AF234)+INDEX(Models!$BJ234:$BT234,,AH234+1)*AF234-ERP_i)*AE234*Ramure*Pc/MaxiM</f>
        <v>4.2723364946275601E-3</v>
      </c>
      <c r="AE234" s="307">
        <f t="shared" si="92"/>
        <v>1</v>
      </c>
      <c r="AF234" s="179">
        <f t="shared" si="93"/>
        <v>0.34299102332055442</v>
      </c>
      <c r="AG234" s="837">
        <f t="shared" si="99"/>
        <v>1</v>
      </c>
      <c r="AH234" s="178">
        <f t="shared" si="94"/>
        <v>7</v>
      </c>
      <c r="AI234" s="227">
        <f t="shared" si="95"/>
        <v>1.3429910233205544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45147</v>
      </c>
      <c r="B235" s="1139">
        <f>IF(t&gt;Tmaj,'2022'!Wh/'2022'!Env_an*'2023'!Env_an,0.001*'[10]mon-tableau (1)'!$B$216)</f>
        <v>49.70306552301895</v>
      </c>
      <c r="C235" s="866"/>
      <c r="D235" s="395">
        <f t="shared" si="77"/>
        <v>51.870330895416508</v>
      </c>
      <c r="E235" s="387">
        <f t="shared" si="100"/>
        <v>54.954490886883285</v>
      </c>
      <c r="F235" s="387">
        <f t="shared" si="78"/>
        <v>55.186464361378171</v>
      </c>
      <c r="G235" s="110">
        <f t="shared" si="101"/>
        <v>0.9442448426060317</v>
      </c>
      <c r="H235" s="414" t="b">
        <f>Wh_hp&gt;='2022'!Maxi_hp</f>
        <v>0</v>
      </c>
      <c r="I235" s="392">
        <f>IF(H235,Wh_hp,'2022'!Maxi_hp)</f>
        <v>56.476341657102651</v>
      </c>
      <c r="J235" s="85">
        <f>IF(H235,An,'2022'!An_max)</f>
        <v>2021</v>
      </c>
      <c r="K235" s="199">
        <f t="shared" si="79"/>
        <v>45147</v>
      </c>
      <c r="L235" s="147">
        <f>IF(t&lt;Tvie,1-EXP((T0-t)*PertePVj)+'2022'!Pspv,1-EXP((T0-t)*PertePVj)+Pspv)</f>
        <v>4.1782370287309467E-2</v>
      </c>
      <c r="M235" s="870"/>
      <c r="N235" s="870"/>
      <c r="O235" s="48">
        <f>IF(t&lt;Tnet,'2022'!Resal+('2022'!Salim-'2022'!Resal)*(1-EXP(('2022'!Tnet-t)/('2022'!Tau_j))),Resal+(Salim-Resal)*(1-EXP((Tnet-t)/(Tau_j))))*Salcycl</f>
        <v>5.612207376855001E-2</v>
      </c>
      <c r="P235" s="171">
        <f>(INDEX(Models!$BJ235:$BT235,,T235)*(1-R235)+INDEX(Models!$BJ235:$BT235,,T235+1)*R235-ERP_i)*Q235*Ramure*Pc/MaxiM</f>
        <v>4.564800916887833E-3</v>
      </c>
      <c r="Q235" s="307">
        <f t="shared" si="80"/>
        <v>1</v>
      </c>
      <c r="R235" s="179">
        <f t="shared" si="81"/>
        <v>0.34510692853663416</v>
      </c>
      <c r="S235" s="837">
        <f t="shared" si="82"/>
        <v>1</v>
      </c>
      <c r="T235" s="178">
        <f t="shared" si="83"/>
        <v>7</v>
      </c>
      <c r="U235" s="253">
        <f t="shared" si="84"/>
        <v>1.3451069285366342</v>
      </c>
      <c r="V235" s="385">
        <f t="shared" si="85"/>
        <v>52.618798807957852</v>
      </c>
      <c r="W235" s="404">
        <f t="shared" si="86"/>
        <v>49.70306552301895</v>
      </c>
      <c r="X235" s="157">
        <f t="shared" si="87"/>
        <v>45147</v>
      </c>
      <c r="Y235" s="387">
        <f t="shared" si="88"/>
        <v>47.936844742482826</v>
      </c>
      <c r="Z235" s="387">
        <f t="shared" si="89"/>
        <v>50.027095365440189</v>
      </c>
      <c r="AA235" s="388">
        <f t="shared" si="90"/>
        <v>54.954490886883285</v>
      </c>
      <c r="AB235" s="199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8.9663200257563982E-2</v>
      </c>
      <c r="AD235" s="233">
        <f>(INDEX(Models!$BJ235:$BT235,,AH235)*(1-AF235)+INDEX(Models!$BJ235:$BT235,,AH235+1)*AF235-ERP_i)*AE235*Ramure*Pc/MaxiM</f>
        <v>4.564800916887833E-3</v>
      </c>
      <c r="AE235" s="307">
        <f t="shared" si="92"/>
        <v>1</v>
      </c>
      <c r="AF235" s="179">
        <f t="shared" si="93"/>
        <v>0.34510692853663416</v>
      </c>
      <c r="AG235" s="837">
        <f t="shared" si="99"/>
        <v>1</v>
      </c>
      <c r="AH235" s="178">
        <f t="shared" si="94"/>
        <v>7</v>
      </c>
      <c r="AI235" s="227">
        <f t="shared" si="95"/>
        <v>1.3451069285366342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45148</v>
      </c>
      <c r="B236" s="1139">
        <f>IF(t&gt;Tmaj,'2022'!Wh/'2022'!Env_an*'2023'!Env_an,0.001*'[10]mon-tableau (1)'!$B$217)</f>
        <v>47.84773060001077</v>
      </c>
      <c r="C236" s="866"/>
      <c r="D236" s="395">
        <f t="shared" si="77"/>
        <v>49.93525753315852</v>
      </c>
      <c r="E236" s="387">
        <f t="shared" si="100"/>
        <v>52.918556069070164</v>
      </c>
      <c r="F236" s="387">
        <f t="shared" si="78"/>
        <v>53.144980213852534</v>
      </c>
      <c r="G236" s="110">
        <f t="shared" si="101"/>
        <v>0.91250069672246636</v>
      </c>
      <c r="H236" s="414" t="b">
        <f>Wh_hp&gt;='2022'!Maxi_hp</f>
        <v>0</v>
      </c>
      <c r="I236" s="392">
        <f>IF(H236,Wh_hp,'2022'!Maxi_hp)</f>
        <v>53.155188356658869</v>
      </c>
      <c r="J236" s="85">
        <f>IF(H236,An,'2022'!An_max)</f>
        <v>2022</v>
      </c>
      <c r="K236" s="199">
        <f t="shared" si="79"/>
        <v>45148</v>
      </c>
      <c r="L236" s="147">
        <f>IF(t&lt;Tvie,1-EXP((T0-t)*PertePVj)+'2022'!Pspv,1-EXP((T0-t)*PertePVj)+Pspv)</f>
        <v>4.1804669411418693E-2</v>
      </c>
      <c r="M236" s="870"/>
      <c r="N236" s="870"/>
      <c r="O236" s="48">
        <f>IF(t&lt;Tnet,'2022'!Resal+('2022'!Salim-'2022'!Resal)*(1-EXP(('2022'!Tnet-t)/('2022'!Tau_j))),Resal+(Salim-Resal)*(1-EXP((Tnet-t)/(Tau_j))))*Salcycl</f>
        <v>5.6375282273722578E-2</v>
      </c>
      <c r="P236" s="171">
        <f>(INDEX(Models!$BJ236:$BT236,,T236)*(1-R236)+INDEX(Models!$BJ236:$BT236,,T236+1)*R236-ERP_i)*Q236*Ramure*Pc/MaxiM</f>
        <v>4.8647357958900512E-3</v>
      </c>
      <c r="Q236" s="307">
        <f t="shared" si="80"/>
        <v>1</v>
      </c>
      <c r="R236" s="179">
        <f t="shared" si="81"/>
        <v>0.34715075418889008</v>
      </c>
      <c r="S236" s="837">
        <f t="shared" si="82"/>
        <v>1</v>
      </c>
      <c r="T236" s="178">
        <f t="shared" si="83"/>
        <v>7</v>
      </c>
      <c r="U236" s="253">
        <f t="shared" si="84"/>
        <v>1.3471507541888901</v>
      </c>
      <c r="V236" s="385">
        <f t="shared" si="85"/>
        <v>52.404009900780473</v>
      </c>
      <c r="W236" s="404">
        <f t="shared" si="86"/>
        <v>47.84773060001077</v>
      </c>
      <c r="X236" s="157">
        <f t="shared" si="87"/>
        <v>45148</v>
      </c>
      <c r="Y236" s="387">
        <f t="shared" si="88"/>
        <v>46.150338788958138</v>
      </c>
      <c r="Z236" s="387">
        <f t="shared" si="89"/>
        <v>48.163810984770528</v>
      </c>
      <c r="AA236" s="388">
        <f t="shared" si="90"/>
        <v>52.918556069070164</v>
      </c>
      <c r="AB236" s="199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8.9850242287292617E-2</v>
      </c>
      <c r="AD236" s="233">
        <f>(INDEX(Models!$BJ236:$BT236,,AH236)*(1-AF236)+INDEX(Models!$BJ236:$BT236,,AH236+1)*AF236-ERP_i)*AE236*Ramure*Pc/MaxiM</f>
        <v>4.8647357958900512E-3</v>
      </c>
      <c r="AE236" s="307">
        <f t="shared" si="92"/>
        <v>1</v>
      </c>
      <c r="AF236" s="179">
        <f t="shared" si="93"/>
        <v>0.34715075418889008</v>
      </c>
      <c r="AG236" s="837">
        <f t="shared" si="99"/>
        <v>1</v>
      </c>
      <c r="AH236" s="178">
        <f t="shared" si="94"/>
        <v>7</v>
      </c>
      <c r="AI236" s="227">
        <f t="shared" si="95"/>
        <v>1.3471507541888901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45149</v>
      </c>
      <c r="B237" s="1139">
        <f>IF(t&gt;Tmaj,'2022'!Wh/'2022'!Env_an*'2023'!Env_an,0.001*'[10]mon-tableau (1)'!$B$218)</f>
        <v>43.332847225545486</v>
      </c>
      <c r="C237" s="866"/>
      <c r="D237" s="395">
        <f t="shared" si="77"/>
        <v>45.224448799030668</v>
      </c>
      <c r="E237" s="387">
        <f t="shared" si="100"/>
        <v>47.939132697319309</v>
      </c>
      <c r="F237" s="387">
        <f t="shared" si="78"/>
        <v>48.127733296421113</v>
      </c>
      <c r="G237" s="110">
        <f t="shared" si="101"/>
        <v>0.82930823355800953</v>
      </c>
      <c r="H237" s="414" t="b">
        <f>Wh_hp&gt;='2022'!Maxi_hp</f>
        <v>0</v>
      </c>
      <c r="I237" s="392">
        <f>IF(H237,Wh_hp,'2022'!Maxi_hp)</f>
        <v>51.445554600155653</v>
      </c>
      <c r="J237" s="85">
        <f>IF(H237,An,'2022'!An_max)</f>
        <v>2021</v>
      </c>
      <c r="K237" s="199">
        <f t="shared" si="79"/>
        <v>45149</v>
      </c>
      <c r="L237" s="147">
        <f>IF(t&lt;Tvie,1-EXP((T0-t)*PertePVj)+'2022'!Pspv,1-EXP((T0-t)*PertePVj)+Pspv)</f>
        <v>4.1826968016594801E-2</v>
      </c>
      <c r="M237" s="870"/>
      <c r="N237" s="870"/>
      <c r="O237" s="48">
        <f>IF(t&lt;Tnet,'2022'!Resal+('2022'!Salim-'2022'!Resal)*(1-EXP(('2022'!Tnet-t)/('2022'!Tau_j))),Resal+(Salim-Resal)*(1-EXP((Tnet-t)/(Tau_j))))*Salcycl</f>
        <v>5.6627722395996526E-2</v>
      </c>
      <c r="P237" s="171">
        <f>(INDEX(Models!$BJ237:$BT237,,T237)*(1-R237)+INDEX(Models!$BJ237:$BT237,,T237+1)*R237-ERP_i)*Q237*Ramure*Pc/MaxiM</f>
        <v>5.1722620303263659E-3</v>
      </c>
      <c r="Q237" s="307">
        <f t="shared" si="80"/>
        <v>1</v>
      </c>
      <c r="R237" s="179">
        <f t="shared" si="81"/>
        <v>0.34912448273776975</v>
      </c>
      <c r="S237" s="837">
        <f t="shared" si="82"/>
        <v>1</v>
      </c>
      <c r="T237" s="178">
        <f t="shared" si="83"/>
        <v>7</v>
      </c>
      <c r="U237" s="253">
        <f t="shared" si="84"/>
        <v>1.3491244827377697</v>
      </c>
      <c r="V237" s="385">
        <f t="shared" si="85"/>
        <v>52.186043224793607</v>
      </c>
      <c r="W237" s="404">
        <f t="shared" si="86"/>
        <v>43.332847225545486</v>
      </c>
      <c r="X237" s="157">
        <f t="shared" si="87"/>
        <v>45149</v>
      </c>
      <c r="Y237" s="387">
        <f t="shared" si="88"/>
        <v>41.798248901072036</v>
      </c>
      <c r="Z237" s="387">
        <f t="shared" si="89"/>
        <v>43.622860909109733</v>
      </c>
      <c r="AA237" s="388">
        <f t="shared" si="90"/>
        <v>47.939132697319309</v>
      </c>
      <c r="AB237" s="199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9.0036501399845606E-2</v>
      </c>
      <c r="AD237" s="233">
        <f>(INDEX(Models!$BJ237:$BT237,,AH237)*(1-AF237)+INDEX(Models!$BJ237:$BT237,,AH237+1)*AF237-ERP_i)*AE237*Ramure*Pc/MaxiM</f>
        <v>5.1722620303263659E-3</v>
      </c>
      <c r="AE237" s="307">
        <f t="shared" si="92"/>
        <v>1</v>
      </c>
      <c r="AF237" s="179">
        <f t="shared" si="93"/>
        <v>0.34912448273776975</v>
      </c>
      <c r="AG237" s="837">
        <f t="shared" si="99"/>
        <v>1</v>
      </c>
      <c r="AH237" s="178">
        <f t="shared" si="94"/>
        <v>7</v>
      </c>
      <c r="AI237" s="227">
        <f t="shared" si="95"/>
        <v>1.3491244827377697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45150</v>
      </c>
      <c r="B238" s="1139">
        <f>IF(t&gt;Tmaj,'2022'!Wh/'2022'!Env_an*'2023'!Env_an,0.001*'[10]mon-tableau (1)'!$B$219)</f>
        <v>46.059714251365982</v>
      </c>
      <c r="C238" s="866"/>
      <c r="D238" s="395">
        <f t="shared" si="77"/>
        <v>48.071469990973384</v>
      </c>
      <c r="E238" s="387">
        <f t="shared" si="100"/>
        <v>50.970649367532765</v>
      </c>
      <c r="F238" s="387">
        <f t="shared" si="78"/>
        <v>51.206029560769132</v>
      </c>
      <c r="G238" s="110">
        <f t="shared" si="101"/>
        <v>0.88557572374701432</v>
      </c>
      <c r="H238" s="414" t="b">
        <f>Wh_hp&gt;='2022'!Maxi_hp</f>
        <v>0</v>
      </c>
      <c r="I238" s="392">
        <f>IF(H238,Wh_hp,'2022'!Maxi_hp)</f>
        <v>51.220274033581461</v>
      </c>
      <c r="J238" s="85">
        <f>IF(H238,An,'2022'!An_max)</f>
        <v>2022</v>
      </c>
      <c r="K238" s="199">
        <f t="shared" si="79"/>
        <v>45150</v>
      </c>
      <c r="L238" s="147">
        <f>IF(t&lt;Tvie,1-EXP((T0-t)*PertePVj)+'2022'!Pspv,1-EXP((T0-t)*PertePVj)+Pspv)</f>
        <v>4.184926610284978E-2</v>
      </c>
      <c r="M238" s="870"/>
      <c r="N238" s="870"/>
      <c r="O238" s="48">
        <f>IF(t&lt;Tnet,'2022'!Resal+('2022'!Salim-'2022'!Resal)*(1-EXP(('2022'!Tnet-t)/('2022'!Tau_j))),Resal+(Salim-Resal)*(1-EXP((Tnet-t)/(Tau_j))))*Salcycl</f>
        <v>5.6879388678263462E-2</v>
      </c>
      <c r="P238" s="171">
        <f>(INDEX(Models!$BJ238:$BT238,,T238)*(1-R238)+INDEX(Models!$BJ238:$BT238,,T238+1)*R238-ERP_i)*Q238*Ramure*Pc/MaxiM</f>
        <v>5.487517225044882E-3</v>
      </c>
      <c r="Q238" s="307">
        <f t="shared" si="80"/>
        <v>1</v>
      </c>
      <c r="R238" s="179">
        <f t="shared" si="81"/>
        <v>0.35103007732036229</v>
      </c>
      <c r="S238" s="837">
        <f t="shared" si="82"/>
        <v>1</v>
      </c>
      <c r="T238" s="178">
        <f t="shared" si="83"/>
        <v>7</v>
      </c>
      <c r="U238" s="253">
        <f t="shared" si="84"/>
        <v>1.3510300773203623</v>
      </c>
      <c r="V238" s="385">
        <f t="shared" si="85"/>
        <v>51.964495018173764</v>
      </c>
      <c r="W238" s="404">
        <f t="shared" si="86"/>
        <v>46.059714251365982</v>
      </c>
      <c r="X238" s="157">
        <f t="shared" si="87"/>
        <v>45150</v>
      </c>
      <c r="Y238" s="387">
        <f t="shared" si="88"/>
        <v>44.431343723478854</v>
      </c>
      <c r="Z238" s="387">
        <f t="shared" si="89"/>
        <v>46.371976925551465</v>
      </c>
      <c r="AA238" s="388">
        <f t="shared" si="90"/>
        <v>50.970649367532765</v>
      </c>
      <c r="AB238" s="199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9.0221970860558776E-2</v>
      </c>
      <c r="AD238" s="233">
        <f>(INDEX(Models!$BJ238:$BT238,,AH238)*(1-AF238)+INDEX(Models!$BJ238:$BT238,,AH238+1)*AF238-ERP_i)*AE238*Ramure*Pc/MaxiM</f>
        <v>5.487517225044882E-3</v>
      </c>
      <c r="AE238" s="307">
        <f t="shared" si="92"/>
        <v>1</v>
      </c>
      <c r="AF238" s="179">
        <f t="shared" si="93"/>
        <v>0.35103007732036229</v>
      </c>
      <c r="AG238" s="837">
        <f t="shared" si="99"/>
        <v>1</v>
      </c>
      <c r="AH238" s="178">
        <f t="shared" si="94"/>
        <v>7</v>
      </c>
      <c r="AI238" s="227">
        <f t="shared" si="95"/>
        <v>1.3510300773203623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45151</v>
      </c>
      <c r="B239" s="1139">
        <f>IF(t&gt;Tmaj,'2022'!Wh/'2022'!Env_an*'2023'!Env_an,0.001*'[10]mon-tableau (1)'!$B$220)</f>
        <v>31.058588408991785</v>
      </c>
      <c r="C239" s="866"/>
      <c r="D239" s="395">
        <f t="shared" si="77"/>
        <v>32.415892516419248</v>
      </c>
      <c r="E239" s="387">
        <f t="shared" si="100"/>
        <v>34.38003324017847</v>
      </c>
      <c r="F239" s="387">
        <f t="shared" si="78"/>
        <v>34.465947260144603</v>
      </c>
      <c r="G239" s="110">
        <f t="shared" si="101"/>
        <v>0.59829728664130022</v>
      </c>
      <c r="H239" s="414" t="b">
        <f>Wh_hp&gt;='2022'!Maxi_hp</f>
        <v>0</v>
      </c>
      <c r="I239" s="392">
        <f>IF(H239,Wh_hp,'2022'!Maxi_hp)</f>
        <v>52.158181392668176</v>
      </c>
      <c r="J239" s="85">
        <f>IF(H239,An,'2022'!An_max)</f>
        <v>2019</v>
      </c>
      <c r="K239" s="199">
        <f t="shared" si="79"/>
        <v>45151</v>
      </c>
      <c r="L239" s="147">
        <f>IF(t&lt;Tvie,1-EXP((T0-t)*PertePVj)+'2022'!Pspv,1-EXP((T0-t)*PertePVj)+Pspv)</f>
        <v>4.1871563670195622E-2</v>
      </c>
      <c r="M239" s="870"/>
      <c r="N239" s="870"/>
      <c r="O239" s="48">
        <f>IF(t&lt;Tnet,'2022'!Resal+('2022'!Salim-'2022'!Resal)*(1-EXP(('2022'!Tnet-t)/('2022'!Tau_j))),Resal+(Salim-Resal)*(1-EXP((Tnet-t)/(Tau_j))))*Salcycl</f>
        <v>5.713027413434317E-2</v>
      </c>
      <c r="P239" s="171">
        <f>(INDEX(Models!$BJ239:$BT239,,T239)*(1-R239)+INDEX(Models!$BJ239:$BT239,,T239+1)*R239-ERP_i)*Q239*Ramure*Pc/MaxiM</f>
        <v>5.8106565465452144E-3</v>
      </c>
      <c r="Q239" s="307">
        <f t="shared" si="80"/>
        <v>1</v>
      </c>
      <c r="R239" s="179">
        <f t="shared" si="81"/>
        <v>0.35286947897920329</v>
      </c>
      <c r="S239" s="837">
        <f t="shared" si="82"/>
        <v>1</v>
      </c>
      <c r="T239" s="178">
        <f t="shared" si="83"/>
        <v>7</v>
      </c>
      <c r="U239" s="253">
        <f t="shared" si="84"/>
        <v>1.3528694789792033</v>
      </c>
      <c r="V239" s="385">
        <f t="shared" si="85"/>
        <v>51.738961908000398</v>
      </c>
      <c r="W239" s="404">
        <f t="shared" si="86"/>
        <v>31.058588408991785</v>
      </c>
      <c r="X239" s="157">
        <f t="shared" si="87"/>
        <v>45151</v>
      </c>
      <c r="Y239" s="387">
        <f t="shared" si="88"/>
        <v>29.962448644334643</v>
      </c>
      <c r="Z239" s="387">
        <f t="shared" si="89"/>
        <v>31.27184989844206</v>
      </c>
      <c r="AA239" s="388">
        <f t="shared" si="90"/>
        <v>34.38003324017847</v>
      </c>
      <c r="AB239" s="199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9.0406641553330613E-2</v>
      </c>
      <c r="AD239" s="233">
        <f>(INDEX(Models!$BJ239:$BT239,,AH239)*(1-AF239)+INDEX(Models!$BJ239:$BT239,,AH239+1)*AF239-ERP_i)*AE239*Ramure*Pc/MaxiM</f>
        <v>5.8106565465452144E-3</v>
      </c>
      <c r="AE239" s="307">
        <f t="shared" si="92"/>
        <v>1</v>
      </c>
      <c r="AF239" s="179">
        <f t="shared" si="93"/>
        <v>0.35286947897920329</v>
      </c>
      <c r="AG239" s="837">
        <f t="shared" si="99"/>
        <v>1</v>
      </c>
      <c r="AH239" s="178">
        <f t="shared" si="94"/>
        <v>7</v>
      </c>
      <c r="AI239" s="227">
        <f t="shared" si="95"/>
        <v>1.3528694789792033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45152</v>
      </c>
      <c r="B240" s="1139">
        <f>IF(t&gt;Tmaj,'2022'!Wh/'2022'!Env_an*'2023'!Env_an,0.001*'[10]mon-tableau (1)'!$B$221)</f>
        <v>33.409756109992315</v>
      </c>
      <c r="C240" s="866"/>
      <c r="D240" s="395">
        <f t="shared" si="77"/>
        <v>34.870621051496343</v>
      </c>
      <c r="E240" s="387">
        <f t="shared" si="100"/>
        <v>36.99331093295482</v>
      </c>
      <c r="F240" s="387">
        <f t="shared" si="78"/>
        <v>37.106726944028672</v>
      </c>
      <c r="G240" s="110">
        <f t="shared" si="101"/>
        <v>0.64661189462033353</v>
      </c>
      <c r="H240" s="414" t="b">
        <f>Wh_hp&gt;='2022'!Maxi_hp</f>
        <v>0</v>
      </c>
      <c r="I240" s="392">
        <f>IF(H240,Wh_hp,'2022'!Maxi_hp)</f>
        <v>56.516623137013951</v>
      </c>
      <c r="J240" s="85">
        <f>IF(H240,An,'2022'!An_max)</f>
        <v>2019</v>
      </c>
      <c r="K240" s="199">
        <f t="shared" si="79"/>
        <v>45152</v>
      </c>
      <c r="L240" s="147">
        <f>IF(t&lt;Tvie,1-EXP((T0-t)*PertePVj)+'2022'!Pspv,1-EXP((T0-t)*PertePVj)+Pspv)</f>
        <v>4.1893860718644649E-2</v>
      </c>
      <c r="M240" s="870"/>
      <c r="N240" s="870"/>
      <c r="O240" s="48">
        <f>IF(t&lt;Tnet,'2022'!Resal+('2022'!Salim-'2022'!Resal)*(1-EXP(('2022'!Tnet-t)/('2022'!Tau_j))),Resal+(Salim-Resal)*(1-EXP((Tnet-t)/(Tau_j))))*Salcycl</f>
        <v>5.7380370340615168E-2</v>
      </c>
      <c r="P240" s="171">
        <f>(INDEX(Models!$BJ240:$BT240,,T240)*(1-R240)+INDEX(Models!$BJ240:$BT240,,T240+1)*R240-ERP_i)*Q240*Ramure*Pc/MaxiM</f>
        <v>6.1372263785104001E-3</v>
      </c>
      <c r="Q240" s="307">
        <f t="shared" si="80"/>
        <v>1</v>
      </c>
      <c r="R240" s="179">
        <f t="shared" si="81"/>
        <v>0.3546446041645317</v>
      </c>
      <c r="S240" s="837">
        <f t="shared" si="82"/>
        <v>1</v>
      </c>
      <c r="T240" s="178">
        <f t="shared" si="83"/>
        <v>7</v>
      </c>
      <c r="U240" s="253">
        <f t="shared" si="84"/>
        <v>1.3546446041645317</v>
      </c>
      <c r="V240" s="385">
        <f t="shared" si="85"/>
        <v>51.509280731254059</v>
      </c>
      <c r="W240" s="404">
        <f t="shared" si="86"/>
        <v>33.409756109992315</v>
      </c>
      <c r="X240" s="157">
        <f t="shared" si="87"/>
        <v>45152</v>
      </c>
      <c r="Y240" s="387">
        <f t="shared" si="88"/>
        <v>32.23267219480163</v>
      </c>
      <c r="Z240" s="387">
        <f t="shared" si="89"/>
        <v>33.642068319255657</v>
      </c>
      <c r="AA240" s="388">
        <f t="shared" si="90"/>
        <v>36.99331093295482</v>
      </c>
      <c r="AB240" s="199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9.0590502152478797E-2</v>
      </c>
      <c r="AD240" s="233">
        <f>(INDEX(Models!$BJ240:$BT240,,AH240)*(1-AF240)+INDEX(Models!$BJ240:$BT240,,AH240+1)*AF240-ERP_i)*AE240*Ramure*Pc/MaxiM</f>
        <v>6.1372263785104001E-3</v>
      </c>
      <c r="AE240" s="307">
        <f t="shared" si="92"/>
        <v>1</v>
      </c>
      <c r="AF240" s="179">
        <f t="shared" si="93"/>
        <v>0.3546446041645317</v>
      </c>
      <c r="AG240" s="837">
        <f t="shared" si="99"/>
        <v>1</v>
      </c>
      <c r="AH240" s="178">
        <f t="shared" si="94"/>
        <v>7</v>
      </c>
      <c r="AI240" s="227">
        <f t="shared" si="95"/>
        <v>1.3546446041645317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45153</v>
      </c>
      <c r="B241" s="1139">
        <f>IF(t&gt;Tmaj,'2022'!Wh/'2022'!Env_an*'2023'!Env_an,0.001*'[10]mon-tableau (1)'!$B$222)</f>
        <v>39.173495791419256</v>
      </c>
      <c r="C241" s="866"/>
      <c r="D241" s="395">
        <f t="shared" si="77"/>
        <v>40.887335787759291</v>
      </c>
      <c r="E241" s="387">
        <f t="shared" si="100"/>
        <v>43.38775784722182</v>
      </c>
      <c r="F241" s="387">
        <f t="shared" si="78"/>
        <v>43.574420886235501</v>
      </c>
      <c r="G241" s="110">
        <f t="shared" si="101"/>
        <v>0.76231207870934181</v>
      </c>
      <c r="H241" s="414" t="b">
        <f>Wh_hp&gt;='2022'!Maxi_hp</f>
        <v>0</v>
      </c>
      <c r="I241" s="392">
        <f>IF(H241,Wh_hp,'2022'!Maxi_hp)</f>
        <v>51.583884574540299</v>
      </c>
      <c r="J241" s="85">
        <f>IF(H241,An,'2022'!An_max)</f>
        <v>2020</v>
      </c>
      <c r="K241" s="199">
        <f t="shared" si="79"/>
        <v>45153</v>
      </c>
      <c r="L241" s="147">
        <f>IF(t&lt;Tvie,1-EXP((T0-t)*PertePVj)+'2022'!Pspv,1-EXP((T0-t)*PertePVj)+Pspv)</f>
        <v>4.1916157248208741E-2</v>
      </c>
      <c r="M241" s="870"/>
      <c r="N241" s="870"/>
      <c r="O241" s="48">
        <f>IF(t&lt;Tnet,'2022'!Resal+('2022'!Salim-'2022'!Resal)*(1-EXP(('2022'!Tnet-t)/('2022'!Tau_j))),Resal+(Salim-Resal)*(1-EXP((Tnet-t)/(Tau_j))))*Salcycl</f>
        <v>5.7629667526657748E-2</v>
      </c>
      <c r="P241" s="171">
        <f>(INDEX(Models!$BJ241:$BT241,,T241)*(1-R241)+INDEX(Models!$BJ241:$BT241,,T241+1)*R241-ERP_i)*Q241*Ramure*Pc/MaxiM</f>
        <v>6.4628153940461076E-3</v>
      </c>
      <c r="Q241" s="307">
        <f t="shared" si="80"/>
        <v>1</v>
      </c>
      <c r="R241" s="179">
        <f t="shared" si="81"/>
        <v>0.35635734249678808</v>
      </c>
      <c r="S241" s="837">
        <f t="shared" si="82"/>
        <v>1</v>
      </c>
      <c r="T241" s="178">
        <f t="shared" si="83"/>
        <v>7</v>
      </c>
      <c r="U241" s="253">
        <f t="shared" si="84"/>
        <v>1.3563573424967881</v>
      </c>
      <c r="V241" s="385">
        <f t="shared" si="85"/>
        <v>51.275283491214616</v>
      </c>
      <c r="W241" s="404">
        <f t="shared" si="86"/>
        <v>39.173495791419256</v>
      </c>
      <c r="X241" s="157">
        <f t="shared" si="87"/>
        <v>45153</v>
      </c>
      <c r="Y241" s="387">
        <f t="shared" si="88"/>
        <v>37.795734547990868</v>
      </c>
      <c r="Z241" s="387">
        <f t="shared" si="89"/>
        <v>39.449297505565518</v>
      </c>
      <c r="AA241" s="388">
        <f t="shared" si="90"/>
        <v>43.38775784722182</v>
      </c>
      <c r="AB241" s="199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9.0773539290149988E-2</v>
      </c>
      <c r="AD241" s="233">
        <f>(INDEX(Models!$BJ241:$BT241,,AH241)*(1-AF241)+INDEX(Models!$BJ241:$BT241,,AH241+1)*AF241-ERP_i)*AE241*Ramure*Pc/MaxiM</f>
        <v>6.4628153940461076E-3</v>
      </c>
      <c r="AE241" s="307">
        <f t="shared" si="92"/>
        <v>1</v>
      </c>
      <c r="AF241" s="179">
        <f t="shared" si="93"/>
        <v>0.35635734249678808</v>
      </c>
      <c r="AG241" s="837">
        <f t="shared" si="99"/>
        <v>1</v>
      </c>
      <c r="AH241" s="178">
        <f t="shared" si="94"/>
        <v>7</v>
      </c>
      <c r="AI241" s="227">
        <f t="shared" si="95"/>
        <v>1.3563573424967881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45154</v>
      </c>
      <c r="B242" s="1139">
        <f>IF(t&gt;Tmaj,'2022'!Wh/'2022'!Env_an*'2023'!Env_an,0.001*'[10]mon-tableau (1)'!$B$223)</f>
        <v>31.245949365148551</v>
      </c>
      <c r="C242" s="866"/>
      <c r="D242" s="395">
        <f t="shared" si="77"/>
        <v>32.61371826416935</v>
      </c>
      <c r="E242" s="387">
        <f t="shared" si="100"/>
        <v>34.617303935365534</v>
      </c>
      <c r="F242" s="387">
        <f t="shared" si="78"/>
        <v>34.722425927946631</v>
      </c>
      <c r="G242" s="110">
        <f t="shared" si="101"/>
        <v>0.60991772068596495</v>
      </c>
      <c r="H242" s="414" t="b">
        <f>Wh_hp&gt;='2022'!Maxi_hp</f>
        <v>0</v>
      </c>
      <c r="I242" s="392">
        <f>IF(H242,Wh_hp,'2022'!Maxi_hp)</f>
        <v>55.530808319610884</v>
      </c>
      <c r="J242" s="85">
        <f>IF(H242,An,'2022'!An_max)</f>
        <v>2019</v>
      </c>
      <c r="K242" s="199">
        <f t="shared" si="79"/>
        <v>45154</v>
      </c>
      <c r="L242" s="147">
        <f>IF(t&lt;Tvie,1-EXP((T0-t)*PertePVj)+'2022'!Pspv,1-EXP((T0-t)*PertePVj)+Pspv)</f>
        <v>4.1938453258899888E-2</v>
      </c>
      <c r="M242" s="870"/>
      <c r="N242" s="870"/>
      <c r="O242" s="48">
        <f>IF(t&lt;Tnet,'2022'!Resal+('2022'!Salim-'2022'!Resal)*(1-EXP(('2022'!Tnet-t)/('2022'!Tau_j))),Resal+(Salim-Resal)*(1-EXP((Tnet-t)/(Tau_j))))*Salcycl</f>
        <v>5.7878154663260649E-2</v>
      </c>
      <c r="P242" s="171">
        <f>(INDEX(Models!$BJ242:$BT242,,T242)*(1-R242)+INDEX(Models!$BJ242:$BT242,,T242+1)*R242-ERP_i)*Q242*Ramure*Pc/MaxiM</f>
        <v>6.7875262493789354E-3</v>
      </c>
      <c r="Q242" s="307">
        <f t="shared" si="80"/>
        <v>1</v>
      </c>
      <c r="R242" s="179">
        <f t="shared" si="81"/>
        <v>0.35800955477601448</v>
      </c>
      <c r="S242" s="837">
        <f t="shared" si="82"/>
        <v>1</v>
      </c>
      <c r="T242" s="178">
        <f t="shared" si="83"/>
        <v>7</v>
      </c>
      <c r="U242" s="253">
        <f t="shared" si="84"/>
        <v>1.3580095547760145</v>
      </c>
      <c r="V242" s="385">
        <f t="shared" si="85"/>
        <v>51.036567417648463</v>
      </c>
      <c r="W242" s="404">
        <f t="shared" si="86"/>
        <v>31.245949365148551</v>
      </c>
      <c r="X242" s="157">
        <f t="shared" si="87"/>
        <v>45154</v>
      </c>
      <c r="Y242" s="387">
        <f t="shared" si="88"/>
        <v>30.148914527956723</v>
      </c>
      <c r="Z242" s="387">
        <f t="shared" si="89"/>
        <v>31.468661518156054</v>
      </c>
      <c r="AA242" s="388">
        <f t="shared" si="90"/>
        <v>34.617303935365534</v>
      </c>
      <c r="AB242" s="199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9.0955737716846924E-2</v>
      </c>
      <c r="AD242" s="233">
        <f>(INDEX(Models!$BJ242:$BT242,,AH242)*(1-AF242)+INDEX(Models!$BJ242:$BT242,,AH242+1)*AF242-ERP_i)*AE242*Ramure*Pc/MaxiM</f>
        <v>6.7875262493789354E-3</v>
      </c>
      <c r="AE242" s="307">
        <f t="shared" si="92"/>
        <v>1</v>
      </c>
      <c r="AF242" s="179">
        <f t="shared" si="93"/>
        <v>0.35800955477601448</v>
      </c>
      <c r="AG242" s="837">
        <f t="shared" si="99"/>
        <v>1</v>
      </c>
      <c r="AH242" s="178">
        <f t="shared" si="94"/>
        <v>7</v>
      </c>
      <c r="AI242" s="227">
        <f t="shared" si="95"/>
        <v>1.3580095547760145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45155</v>
      </c>
      <c r="B243" s="1139">
        <f>IF(t&gt;Tmaj,'2022'!Wh/'2022'!Env_an*'2023'!Env_an,0.001*'[10]mon-tableau (1)'!$B$224)</f>
        <v>22.6367900933882</v>
      </c>
      <c r="C243" s="866"/>
      <c r="D243" s="395">
        <f t="shared" si="77"/>
        <v>23.62824911805038</v>
      </c>
      <c r="E243" s="387">
        <f t="shared" si="100"/>
        <v>25.086417706734085</v>
      </c>
      <c r="F243" s="387">
        <f t="shared" si="78"/>
        <v>25.123598036399908</v>
      </c>
      <c r="G243" s="110">
        <f t="shared" si="101"/>
        <v>0.443156338223612</v>
      </c>
      <c r="H243" s="414" t="b">
        <f>Wh_hp&gt;='2022'!Maxi_hp</f>
        <v>0</v>
      </c>
      <c r="I243" s="392">
        <f>IF(H243,Wh_hp,'2022'!Maxi_hp)</f>
        <v>54.275394990879882</v>
      </c>
      <c r="J243" s="85">
        <f>IF(H243,An,'2022'!An_max)</f>
        <v>2019</v>
      </c>
      <c r="K243" s="199">
        <f t="shared" si="79"/>
        <v>45155</v>
      </c>
      <c r="L243" s="147">
        <f>IF(t&lt;Tvie,1-EXP((T0-t)*PertePVj)+'2022'!Pspv,1-EXP((T0-t)*PertePVj)+Pspv)</f>
        <v>4.1960748750730414E-2</v>
      </c>
      <c r="M243" s="870"/>
      <c r="N243" s="870"/>
      <c r="O243" s="48">
        <f>IF(t&lt;Tnet,'2022'!Resal+('2022'!Salim-'2022'!Resal)*(1-EXP(('2022'!Tnet-t)/('2022'!Tau_j))),Resal+(Salim-Resal)*(1-EXP((Tnet-t)/(Tau_j))))*Salcycl</f>
        <v>5.812581954625913E-2</v>
      </c>
      <c r="P243" s="171">
        <f>(INDEX(Models!$BJ243:$BT243,,T243)*(1-R243)+INDEX(Models!$BJ243:$BT243,,T243+1)*R243-ERP_i)*Q243*Ramure*Pc/MaxiM</f>
        <v>7.1114747001376488E-3</v>
      </c>
      <c r="Q243" s="307">
        <f t="shared" si="80"/>
        <v>1</v>
      </c>
      <c r="R243" s="179">
        <f t="shared" si="81"/>
        <v>0.35960307122480817</v>
      </c>
      <c r="S243" s="837">
        <f t="shared" si="82"/>
        <v>1</v>
      </c>
      <c r="T243" s="178">
        <f t="shared" si="83"/>
        <v>7</v>
      </c>
      <c r="U243" s="253">
        <f t="shared" si="84"/>
        <v>1.3596030712248082</v>
      </c>
      <c r="V243" s="385">
        <f t="shared" si="85"/>
        <v>50.792730159951013</v>
      </c>
      <c r="W243" s="404">
        <f t="shared" si="86"/>
        <v>22.6367900933882</v>
      </c>
      <c r="X243" s="157">
        <f t="shared" si="87"/>
        <v>45155</v>
      </c>
      <c r="Y243" s="387">
        <f t="shared" si="88"/>
        <v>21.843404947720842</v>
      </c>
      <c r="Z243" s="387">
        <f t="shared" si="89"/>
        <v>22.800114837922717</v>
      </c>
      <c r="AA243" s="388">
        <f t="shared" si="90"/>
        <v>25.086417706734085</v>
      </c>
      <c r="AB243" s="199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9.1137080452807856E-2</v>
      </c>
      <c r="AD243" s="233">
        <f>(INDEX(Models!$BJ243:$BT243,,AH243)*(1-AF243)+INDEX(Models!$BJ243:$BT243,,AH243+1)*AF243-ERP_i)*AE243*Ramure*Pc/MaxiM</f>
        <v>7.1114747001376488E-3</v>
      </c>
      <c r="AE243" s="307">
        <f t="shared" si="92"/>
        <v>1</v>
      </c>
      <c r="AF243" s="179">
        <f t="shared" si="93"/>
        <v>0.35960307122480817</v>
      </c>
      <c r="AG243" s="837">
        <f t="shared" si="99"/>
        <v>1</v>
      </c>
      <c r="AH243" s="178">
        <f t="shared" si="94"/>
        <v>7</v>
      </c>
      <c r="AI243" s="227">
        <f t="shared" si="95"/>
        <v>1.3596030712248082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45156</v>
      </c>
      <c r="B244" s="1139">
        <f>IF(t&gt;Tmaj,'2022'!Wh/'2022'!Env_an*'2023'!Env_an,0.001*'[10]mon-tableau (1)'!$B$225)</f>
        <v>38.155101894900369</v>
      </c>
      <c r="C244" s="866"/>
      <c r="D244" s="395">
        <f t="shared" si="77"/>
        <v>39.827167614240651</v>
      </c>
      <c r="E244" s="387">
        <f t="shared" si="100"/>
        <v>42.296103194800644</v>
      </c>
      <c r="F244" s="387">
        <f t="shared" si="78"/>
        <v>42.50145034626528</v>
      </c>
      <c r="G244" s="110">
        <f t="shared" si="101"/>
        <v>0.75292352480928837</v>
      </c>
      <c r="H244" s="414" t="b">
        <f>Wh_hp&gt;='2022'!Maxi_hp</f>
        <v>0</v>
      </c>
      <c r="I244" s="392">
        <f>IF(H244,Wh_hp,'2022'!Maxi_hp)</f>
        <v>53.81892121253842</v>
      </c>
      <c r="J244" s="85">
        <f>IF(H244,An,'2022'!An_max)</f>
        <v>2021</v>
      </c>
      <c r="K244" s="199">
        <f t="shared" si="79"/>
        <v>45156</v>
      </c>
      <c r="L244" s="147">
        <f>IF(t&lt;Tvie,1-EXP((T0-t)*PertePVj)+'2022'!Pspv,1-EXP((T0-t)*PertePVj)+Pspv)</f>
        <v>4.198304372371231E-2</v>
      </c>
      <c r="M244" s="870"/>
      <c r="N244" s="870"/>
      <c r="O244" s="48">
        <f>IF(t&lt;Tnet,'2022'!Resal+('2022'!Salim-'2022'!Resal)*(1-EXP(('2022'!Tnet-t)/('2022'!Tau_j))),Resal+(Salim-Resal)*(1-EXP((Tnet-t)/(Tau_j))))*Salcycl</f>
        <v>5.8372648874742881E-2</v>
      </c>
      <c r="P244" s="171">
        <f>(INDEX(Models!$BJ244:$BT244,,T244)*(1-R244)+INDEX(Models!$BJ244:$BT244,,T244+1)*R244-ERP_i)*Q244*Ramure*Pc/MaxiM</f>
        <v>7.4347898385630105E-3</v>
      </c>
      <c r="Q244" s="307">
        <f t="shared" si="80"/>
        <v>1</v>
      </c>
      <c r="R244" s="179">
        <f t="shared" si="81"/>
        <v>0.3611396899515471</v>
      </c>
      <c r="S244" s="837">
        <f t="shared" si="82"/>
        <v>1</v>
      </c>
      <c r="T244" s="178">
        <f t="shared" si="83"/>
        <v>7</v>
      </c>
      <c r="U244" s="253">
        <f t="shared" si="84"/>
        <v>1.3611396899515471</v>
      </c>
      <c r="V244" s="385">
        <f t="shared" si="85"/>
        <v>50.543369770323984</v>
      </c>
      <c r="W244" s="404">
        <f t="shared" si="86"/>
        <v>38.155101894900369</v>
      </c>
      <c r="X244" s="157">
        <f t="shared" si="87"/>
        <v>45156</v>
      </c>
      <c r="Y244" s="387">
        <f t="shared" si="88"/>
        <v>36.820161892410212</v>
      </c>
      <c r="Z244" s="387">
        <f t="shared" si="89"/>
        <v>38.433726721838362</v>
      </c>
      <c r="AA244" s="388">
        <f t="shared" si="90"/>
        <v>42.296103194800644</v>
      </c>
      <c r="AB244" s="199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9.1317548928173412E-2</v>
      </c>
      <c r="AD244" s="233">
        <f>(INDEX(Models!$BJ244:$BT244,,AH244)*(1-AF244)+INDEX(Models!$BJ244:$BT244,,AH244+1)*AF244-ERP_i)*AE244*Ramure*Pc/MaxiM</f>
        <v>7.4347898385630105E-3</v>
      </c>
      <c r="AE244" s="307">
        <f t="shared" si="92"/>
        <v>1</v>
      </c>
      <c r="AF244" s="179">
        <f t="shared" si="93"/>
        <v>0.3611396899515471</v>
      </c>
      <c r="AG244" s="837">
        <f t="shared" si="99"/>
        <v>1</v>
      </c>
      <c r="AH244" s="178">
        <f t="shared" si="94"/>
        <v>7</v>
      </c>
      <c r="AI244" s="227">
        <f t="shared" si="95"/>
        <v>1.3611396899515471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45157</v>
      </c>
      <c r="B245" s="1139">
        <f>IF(t&gt;Tmaj,'2022'!Wh/'2022'!Env_an*'2023'!Env_an,0.001*'[10]mon-tableau (1)'!$B$226)</f>
        <v>39.493404844014343</v>
      </c>
      <c r="C245" s="866"/>
      <c r="D245" s="395">
        <f t="shared" si="77"/>
        <v>41.225078195004116</v>
      </c>
      <c r="E245" s="387">
        <f t="shared" si="100"/>
        <v>43.792111715079685</v>
      </c>
      <c r="F245" s="387">
        <f t="shared" si="78"/>
        <v>44.028931089482469</v>
      </c>
      <c r="G245" s="110">
        <f t="shared" si="101"/>
        <v>0.78346483949616852</v>
      </c>
      <c r="H245" s="414" t="b">
        <f>Wh_hp&gt;='2022'!Maxi_hp</f>
        <v>0</v>
      </c>
      <c r="I245" s="392">
        <f>IF(H245,Wh_hp,'2022'!Maxi_hp)</f>
        <v>48.769575691470848</v>
      </c>
      <c r="J245" s="85">
        <f>IF(H245,An,'2022'!An_max)</f>
        <v>2021</v>
      </c>
      <c r="K245" s="199">
        <f t="shared" si="79"/>
        <v>45157</v>
      </c>
      <c r="L245" s="147">
        <f>IF(t&lt;Tvie,1-EXP((T0-t)*PertePVj)+'2022'!Pspv,1-EXP((T0-t)*PertePVj)+Pspv)</f>
        <v>4.2005338177857565E-2</v>
      </c>
      <c r="M245" s="870"/>
      <c r="N245" s="870"/>
      <c r="O245" s="48">
        <f>IF(t&lt;Tnet,'2022'!Resal+('2022'!Salim-'2022'!Resal)*(1-EXP(('2022'!Tnet-t)/('2022'!Tau_j))),Resal+(Salim-Resal)*(1-EXP((Tnet-t)/(Tau_j))))*Salcycl</f>
        <v>5.8618628322315389E-2</v>
      </c>
      <c r="P245" s="171">
        <f>(INDEX(Models!$BJ245:$BT245,,T245)*(1-R245)+INDEX(Models!$BJ245:$BT245,,T245+1)*R245-ERP_i)*Q245*Ramure*Pc/MaxiM</f>
        <v>7.7576143782672451E-3</v>
      </c>
      <c r="Q245" s="307">
        <f t="shared" si="80"/>
        <v>1</v>
      </c>
      <c r="R245" s="179">
        <f t="shared" si="81"/>
        <v>0.36262117562076224</v>
      </c>
      <c r="S245" s="837">
        <f t="shared" si="82"/>
        <v>1</v>
      </c>
      <c r="T245" s="178">
        <f t="shared" si="83"/>
        <v>7</v>
      </c>
      <c r="U245" s="253">
        <f t="shared" si="84"/>
        <v>1.3626211756207622</v>
      </c>
      <c r="V245" s="385">
        <f t="shared" si="85"/>
        <v>50.288084705357285</v>
      </c>
      <c r="W245" s="404">
        <f t="shared" si="86"/>
        <v>39.493404844014343</v>
      </c>
      <c r="X245" s="157">
        <f t="shared" si="87"/>
        <v>45157</v>
      </c>
      <c r="Y245" s="387">
        <f t="shared" si="88"/>
        <v>38.114066199356728</v>
      </c>
      <c r="Z245" s="387">
        <f t="shared" si="89"/>
        <v>39.785259478233748</v>
      </c>
      <c r="AA245" s="388">
        <f t="shared" si="90"/>
        <v>43.792111715079685</v>
      </c>
      <c r="AB245" s="199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9.1497123110100803E-2</v>
      </c>
      <c r="AD245" s="233">
        <f>(INDEX(Models!$BJ245:$BT245,,AH245)*(1-AF245)+INDEX(Models!$BJ245:$BT245,,AH245+1)*AF245-ERP_i)*AE245*Ramure*Pc/MaxiM</f>
        <v>7.7576143782672451E-3</v>
      </c>
      <c r="AE245" s="307">
        <f t="shared" si="92"/>
        <v>1</v>
      </c>
      <c r="AF245" s="179">
        <f t="shared" si="93"/>
        <v>0.36262117562076224</v>
      </c>
      <c r="AG245" s="837">
        <f t="shared" si="99"/>
        <v>1</v>
      </c>
      <c r="AH245" s="178">
        <f t="shared" si="94"/>
        <v>7</v>
      </c>
      <c r="AI245" s="227">
        <f t="shared" si="95"/>
        <v>1.3626211756207622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45158</v>
      </c>
      <c r="B246" s="1139">
        <f>IF(t&gt;Tmaj,'2022'!Wh/'2022'!Env_an*'2023'!Env_an,0.001*'[10]mon-tableau (1)'!$B$227)</f>
        <v>46.536014965624318</v>
      </c>
      <c r="C246" s="866"/>
      <c r="D246" s="395">
        <f t="shared" si="77"/>
        <v>48.577617189812564</v>
      </c>
      <c r="E246" s="387">
        <f t="shared" si="100"/>
        <v>51.615923632594331</v>
      </c>
      <c r="F246" s="387">
        <f t="shared" si="78"/>
        <v>51.994166824854339</v>
      </c>
      <c r="G246" s="110">
        <f t="shared" si="101"/>
        <v>0.9294730874022693</v>
      </c>
      <c r="H246" s="414" t="b">
        <f>Wh_hp&gt;='2022'!Maxi_hp</f>
        <v>0</v>
      </c>
      <c r="I246" s="392">
        <f>IF(H246,Wh_hp,'2022'!Maxi_hp)</f>
        <v>52.529091636366658</v>
      </c>
      <c r="J246" s="85">
        <f>IF(H246,An,'2022'!An_max)</f>
        <v>2021</v>
      </c>
      <c r="K246" s="199">
        <f t="shared" si="79"/>
        <v>45158</v>
      </c>
      <c r="L246" s="147">
        <f>IF(t&lt;Tvie,1-EXP((T0-t)*PertePVj)+'2022'!Pspv,1-EXP((T0-t)*PertePVj)+Pspv)</f>
        <v>4.2027632113178282E-2</v>
      </c>
      <c r="M246" s="870"/>
      <c r="N246" s="870"/>
      <c r="O246" s="48">
        <f>IF(t&lt;Tnet,'2022'!Resal+('2022'!Salim-'2022'!Resal)*(1-EXP(('2022'!Tnet-t)/('2022'!Tau_j))),Resal+(Salim-Resal)*(1-EXP((Tnet-t)/(Tau_j))))*Salcycl</f>
        <v>5.8863742600222452E-2</v>
      </c>
      <c r="P246" s="171">
        <f>(INDEX(Models!$BJ246:$BT246,,T246)*(1-R246)+INDEX(Models!$BJ246:$BT246,,T246+1)*R246-ERP_i)*Q246*Ramure*Pc/MaxiM</f>
        <v>8.0801049954973749E-3</v>
      </c>
      <c r="Q246" s="307">
        <f t="shared" si="80"/>
        <v>1</v>
      </c>
      <c r="R246" s="179">
        <f t="shared" si="81"/>
        <v>0.36404925831776147</v>
      </c>
      <c r="S246" s="837">
        <f t="shared" si="82"/>
        <v>1</v>
      </c>
      <c r="T246" s="178">
        <f t="shared" si="83"/>
        <v>7</v>
      </c>
      <c r="U246" s="253">
        <f t="shared" si="84"/>
        <v>1.3640492583177615</v>
      </c>
      <c r="V246" s="385">
        <f t="shared" si="85"/>
        <v>50.026473822507043</v>
      </c>
      <c r="W246" s="404">
        <f t="shared" si="86"/>
        <v>46.536014965624318</v>
      </c>
      <c r="X246" s="157">
        <f t="shared" si="87"/>
        <v>45158</v>
      </c>
      <c r="Y246" s="387">
        <f t="shared" si="88"/>
        <v>44.913570259398725</v>
      </c>
      <c r="Z246" s="387">
        <f t="shared" si="89"/>
        <v>46.883993489784011</v>
      </c>
      <c r="AA246" s="388">
        <f t="shared" si="90"/>
        <v>51.615923632594331</v>
      </c>
      <c r="AB246" s="199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9.1675781615234195E-2</v>
      </c>
      <c r="AD246" s="233">
        <f>(INDEX(Models!$BJ246:$BT246,,AH246)*(1-AF246)+INDEX(Models!$BJ246:$BT246,,AH246+1)*AF246-ERP_i)*AE246*Ramure*Pc/MaxiM</f>
        <v>8.0801049954973749E-3</v>
      </c>
      <c r="AE246" s="307">
        <f t="shared" si="92"/>
        <v>1</v>
      </c>
      <c r="AF246" s="179">
        <f t="shared" si="93"/>
        <v>0.36404925831776147</v>
      </c>
      <c r="AG246" s="837">
        <f t="shared" si="99"/>
        <v>1</v>
      </c>
      <c r="AH246" s="178">
        <f t="shared" si="94"/>
        <v>7</v>
      </c>
      <c r="AI246" s="227">
        <f t="shared" si="95"/>
        <v>1.3640492583177615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45159</v>
      </c>
      <c r="B247" s="1139">
        <f>IF(t&gt;Tmaj,'2022'!Wh/'2022'!Env_an*'2023'!Env_an,0.001*'[10]mon-tableau (1)'!$B$228)</f>
        <v>30.548191505046447</v>
      </c>
      <c r="C247" s="866"/>
      <c r="D247" s="395">
        <f t="shared" si="77"/>
        <v>31.889126917117981</v>
      </c>
      <c r="E247" s="387">
        <f t="shared" si="100"/>
        <v>33.892440457711508</v>
      </c>
      <c r="F247" s="387">
        <f t="shared" si="78"/>
        <v>34.020629106303353</v>
      </c>
      <c r="G247" s="110">
        <f t="shared" si="101"/>
        <v>0.61105979487014483</v>
      </c>
      <c r="H247" s="414" t="b">
        <f>Wh_hp&gt;='2022'!Maxi_hp</f>
        <v>0</v>
      </c>
      <c r="I247" s="392">
        <f>IF(H247,Wh_hp,'2022'!Maxi_hp)</f>
        <v>51.419921349849517</v>
      </c>
      <c r="J247" s="85">
        <f>IF(H247,An,'2022'!An_max)</f>
        <v>2020</v>
      </c>
      <c r="K247" s="199">
        <f t="shared" si="79"/>
        <v>45159</v>
      </c>
      <c r="L247" s="147">
        <f>IF(t&lt;Tvie,1-EXP((T0-t)*PertePVj)+'2022'!Pspv,1-EXP((T0-t)*PertePVj)+Pspv)</f>
        <v>4.204992552968656E-2</v>
      </c>
      <c r="M247" s="870"/>
      <c r="N247" s="870"/>
      <c r="O247" s="48">
        <f>IF(t&lt;Tnet,'2022'!Resal+('2022'!Salim-'2022'!Resal)*(1-EXP(('2022'!Tnet-t)/('2022'!Tau_j))),Resal+(Salim-Resal)*(1-EXP((Tnet-t)/(Tau_j))))*Salcycl</f>
        <v>5.9107975511327321E-2</v>
      </c>
      <c r="P247" s="171">
        <f>(INDEX(Models!$BJ247:$BT247,,T247)*(1-R247)+INDEX(Models!$BJ247:$BT247,,T247+1)*R247-ERP_i)*Q247*Ramure*Pc/MaxiM</f>
        <v>8.4021881930306502E-3</v>
      </c>
      <c r="Q247" s="307">
        <f t="shared" si="80"/>
        <v>1</v>
      </c>
      <c r="R247" s="179">
        <f t="shared" si="81"/>
        <v>0.36542563259489147</v>
      </c>
      <c r="S247" s="837">
        <f t="shared" si="82"/>
        <v>1</v>
      </c>
      <c r="T247" s="178">
        <f t="shared" si="83"/>
        <v>7</v>
      </c>
      <c r="U247" s="253">
        <f t="shared" si="84"/>
        <v>1.3654256325948915</v>
      </c>
      <c r="V247" s="385">
        <f t="shared" si="85"/>
        <v>49.759596823165367</v>
      </c>
      <c r="W247" s="404">
        <f t="shared" si="86"/>
        <v>30.548191505046447</v>
      </c>
      <c r="X247" s="157">
        <f t="shared" si="87"/>
        <v>45159</v>
      </c>
      <c r="Y247" s="387">
        <f t="shared" si="88"/>
        <v>29.485033797090303</v>
      </c>
      <c r="Z247" s="387">
        <f t="shared" si="89"/>
        <v>30.779301116912261</v>
      </c>
      <c r="AA247" s="388">
        <f t="shared" si="90"/>
        <v>33.892440457711508</v>
      </c>
      <c r="AB247" s="199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9.1853501806209284E-2</v>
      </c>
      <c r="AD247" s="233">
        <f>(INDEX(Models!$BJ247:$BT247,,AH247)*(1-AF247)+INDEX(Models!$BJ247:$BT247,,AH247+1)*AF247-ERP_i)*AE247*Ramure*Pc/MaxiM</f>
        <v>8.4021881930306502E-3</v>
      </c>
      <c r="AE247" s="307">
        <f t="shared" si="92"/>
        <v>1</v>
      </c>
      <c r="AF247" s="179">
        <f t="shared" si="93"/>
        <v>0.36542563259489147</v>
      </c>
      <c r="AG247" s="837">
        <f t="shared" si="99"/>
        <v>1</v>
      </c>
      <c r="AH247" s="178">
        <f t="shared" si="94"/>
        <v>7</v>
      </c>
      <c r="AI247" s="227">
        <f t="shared" si="95"/>
        <v>1.3654256325948915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45160</v>
      </c>
      <c r="B248" s="1139">
        <f>IF(t&gt;Tmaj,'2022'!Wh/'2022'!Env_an*'2023'!Env_an,0.001*'[10]mon-tableau (1)'!$B$229)</f>
        <v>24.494931440233199</v>
      </c>
      <c r="C248" s="866"/>
      <c r="D248" s="395">
        <f t="shared" si="77"/>
        <v>25.570749602877676</v>
      </c>
      <c r="E248" s="387">
        <f t="shared" si="100"/>
        <v>27.18416543238563</v>
      </c>
      <c r="F248" s="387">
        <f t="shared" si="78"/>
        <v>27.250333135554712</v>
      </c>
      <c r="G248" s="110">
        <f t="shared" si="101"/>
        <v>0.49183695427195023</v>
      </c>
      <c r="H248" s="414" t="b">
        <f>Wh_hp&gt;='2022'!Maxi_hp</f>
        <v>0</v>
      </c>
      <c r="I248" s="392">
        <f>IF(H248,Wh_hp,'2022'!Maxi_hp)</f>
        <v>55.310874432474641</v>
      </c>
      <c r="J248" s="85">
        <f>IF(H248,An,'2022'!An_max)</f>
        <v>2019</v>
      </c>
      <c r="K248" s="199">
        <f t="shared" si="79"/>
        <v>45160</v>
      </c>
      <c r="L248" s="147">
        <f>IF(t&lt;Tvie,1-EXP((T0-t)*PertePVj)+'2022'!Pspv,1-EXP((T0-t)*PertePVj)+Pspv)</f>
        <v>4.2072218427394392E-2</v>
      </c>
      <c r="M248" s="870"/>
      <c r="N248" s="870"/>
      <c r="O248" s="48">
        <f>IF(t&lt;Tnet,'2022'!Resal+('2022'!Salim-'2022'!Resal)*(1-EXP(('2022'!Tnet-t)/('2022'!Tau_j))),Resal+(Salim-Resal)*(1-EXP((Tnet-t)/(Tau_j))))*Salcycl</f>
        <v>5.9351309994082953E-2</v>
      </c>
      <c r="P248" s="171">
        <f>(INDEX(Models!$BJ248:$BT248,,T248)*(1-R248)+INDEX(Models!$BJ248:$BT248,,T248+1)*R248-ERP_i)*Q248*Ramure*Pc/MaxiM</f>
        <v>8.7182930653784546E-3</v>
      </c>
      <c r="Q248" s="307">
        <f t="shared" si="80"/>
        <v>1</v>
      </c>
      <c r="R248" s="179">
        <f t="shared" si="81"/>
        <v>0.36675195668715732</v>
      </c>
      <c r="S248" s="837">
        <f t="shared" si="82"/>
        <v>1</v>
      </c>
      <c r="T248" s="178">
        <f t="shared" si="83"/>
        <v>7</v>
      </c>
      <c r="U248" s="253">
        <f t="shared" si="84"/>
        <v>1.3667519566871573</v>
      </c>
      <c r="V248" s="385">
        <f t="shared" si="85"/>
        <v>49.488919856219091</v>
      </c>
      <c r="W248" s="404">
        <f t="shared" si="86"/>
        <v>24.494931440233199</v>
      </c>
      <c r="X248" s="157">
        <f t="shared" si="87"/>
        <v>45160</v>
      </c>
      <c r="Y248" s="387">
        <f t="shared" si="88"/>
        <v>23.643956315000558</v>
      </c>
      <c r="Z248" s="387">
        <f t="shared" si="89"/>
        <v>24.682399623262704</v>
      </c>
      <c r="AA248" s="388">
        <f t="shared" si="90"/>
        <v>27.18416543238563</v>
      </c>
      <c r="AB248" s="199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9.203025987115529E-2</v>
      </c>
      <c r="AD248" s="233">
        <f>(INDEX(Models!$BJ248:$BT248,,AH248)*(1-AF248)+INDEX(Models!$BJ248:$BT248,,AH248+1)*AF248-ERP_i)*AE248*Ramure*Pc/MaxiM</f>
        <v>8.7182930653784546E-3</v>
      </c>
      <c r="AE248" s="307">
        <f t="shared" si="92"/>
        <v>1</v>
      </c>
      <c r="AF248" s="179">
        <f t="shared" si="93"/>
        <v>0.36675195668715732</v>
      </c>
      <c r="AG248" s="837">
        <f t="shared" si="99"/>
        <v>1</v>
      </c>
      <c r="AH248" s="178">
        <f t="shared" si="94"/>
        <v>7</v>
      </c>
      <c r="AI248" s="227">
        <f t="shared" si="95"/>
        <v>1.3667519566871573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45161</v>
      </c>
      <c r="B249" s="1139">
        <f>IF(t&gt;Tmaj,'2022'!Wh/'2022'!Env_an*'2023'!Env_an,0.001*'[10]mon-tableau (1)'!$B$230)</f>
        <v>43.409799750108043</v>
      </c>
      <c r="C249" s="866"/>
      <c r="D249" s="395">
        <f t="shared" si="77"/>
        <v>45.31741412886997</v>
      </c>
      <c r="E249" s="387">
        <f t="shared" si="100"/>
        <v>48.189187466818339</v>
      </c>
      <c r="F249" s="387">
        <f t="shared" si="78"/>
        <v>48.553677007635279</v>
      </c>
      <c r="G249" s="110">
        <f t="shared" si="101"/>
        <v>0.8807054433021736</v>
      </c>
      <c r="H249" s="414" t="b">
        <f>Wh_hp&gt;='2022'!Maxi_hp</f>
        <v>0</v>
      </c>
      <c r="I249" s="392">
        <f>IF(H249,Wh_hp,'2022'!Maxi_hp)</f>
        <v>52.494512682759208</v>
      </c>
      <c r="J249" s="85">
        <f>IF(H249,An,'2022'!An_max)</f>
        <v>2019</v>
      </c>
      <c r="K249" s="199">
        <f t="shared" si="79"/>
        <v>45161</v>
      </c>
      <c r="L249" s="147">
        <f>IF(t&lt;Tvie,1-EXP((T0-t)*PertePVj)+'2022'!Pspv,1-EXP((T0-t)*PertePVj)+Pspv)</f>
        <v>4.20945108063141E-2</v>
      </c>
      <c r="M249" s="870"/>
      <c r="N249" s="870"/>
      <c r="O249" s="48">
        <f>IF(t&lt;Tnet,'2022'!Resal+('2022'!Salim-'2022'!Resal)*(1-EXP(('2022'!Tnet-t)/('2022'!Tau_j))),Resal+(Salim-Resal)*(1-EXP((Tnet-t)/(Tau_j))))*Salcycl</f>
        <v>5.9593728155839736E-2</v>
      </c>
      <c r="P249" s="171">
        <f>(INDEX(Models!$BJ249:$BT249,,T249)*(1-R249)+INDEX(Models!$BJ249:$BT249,,T249+1)*R249-ERP_i)*Q249*Ramure*Pc/MaxiM</f>
        <v>9.0280764766477728E-3</v>
      </c>
      <c r="Q249" s="307">
        <f t="shared" si="80"/>
        <v>1</v>
      </c>
      <c r="R249" s="179">
        <f t="shared" si="81"/>
        <v>0.36802985188529802</v>
      </c>
      <c r="S249" s="837">
        <f t="shared" si="82"/>
        <v>1</v>
      </c>
      <c r="T249" s="178">
        <f t="shared" si="83"/>
        <v>7</v>
      </c>
      <c r="U249" s="253">
        <f t="shared" si="84"/>
        <v>1.368029851885298</v>
      </c>
      <c r="V249" s="385">
        <f t="shared" si="85"/>
        <v>49.214261591359346</v>
      </c>
      <c r="W249" s="404">
        <f t="shared" si="86"/>
        <v>43.409799750108043</v>
      </c>
      <c r="X249" s="157">
        <f t="shared" si="87"/>
        <v>45161</v>
      </c>
      <c r="Y249" s="387">
        <f t="shared" si="88"/>
        <v>41.904393445121926</v>
      </c>
      <c r="Z249" s="387">
        <f t="shared" si="89"/>
        <v>43.7458537589077</v>
      </c>
      <c r="AA249" s="388">
        <f t="shared" si="90"/>
        <v>48.189187466818339</v>
      </c>
      <c r="AB249" s="199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9.2206030885459284E-2</v>
      </c>
      <c r="AD249" s="233">
        <f>(INDEX(Models!$BJ249:$BT249,,AH249)*(1-AF249)+INDEX(Models!$BJ249:$BT249,,AH249+1)*AF249-ERP_i)*AE249*Ramure*Pc/MaxiM</f>
        <v>9.0280764766477728E-3</v>
      </c>
      <c r="AE249" s="307">
        <f t="shared" si="92"/>
        <v>1</v>
      </c>
      <c r="AF249" s="179">
        <f t="shared" si="93"/>
        <v>0.36802985188529802</v>
      </c>
      <c r="AG249" s="837">
        <f t="shared" si="99"/>
        <v>1</v>
      </c>
      <c r="AH249" s="178">
        <f t="shared" si="94"/>
        <v>7</v>
      </c>
      <c r="AI249" s="227">
        <f t="shared" si="95"/>
        <v>1.368029851885298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45162</v>
      </c>
      <c r="B250" s="1139">
        <f>IF(t&gt;Tmaj,'2022'!Wh/'2022'!Env_an*'2023'!Env_an,0.001*'[10]mon-tableau (1)'!$B$231)</f>
        <v>43.821224802461742</v>
      </c>
      <c r="C250" s="866"/>
      <c r="D250" s="395">
        <f t="shared" si="77"/>
        <v>45.747983600137047</v>
      </c>
      <c r="E250" s="387">
        <f t="shared" si="100"/>
        <v>48.659537295746084</v>
      </c>
      <c r="F250" s="387">
        <f t="shared" si="78"/>
        <v>49.048905568710659</v>
      </c>
      <c r="G250" s="110">
        <f t="shared" si="101"/>
        <v>0.89423330904576592</v>
      </c>
      <c r="H250" s="414" t="b">
        <f>Wh_hp&gt;='2022'!Maxi_hp</f>
        <v>0</v>
      </c>
      <c r="I250" s="392">
        <f>IF(H250,Wh_hp,'2022'!Maxi_hp)</f>
        <v>52.36810981673333</v>
      </c>
      <c r="J250" s="85">
        <f>IF(H250,An,'2022'!An_max)</f>
        <v>2019</v>
      </c>
      <c r="K250" s="199">
        <f t="shared" si="79"/>
        <v>45162</v>
      </c>
      <c r="L250" s="147">
        <f>IF(t&lt;Tvie,1-EXP((T0-t)*PertePVj)+'2022'!Pspv,1-EXP((T0-t)*PertePVj)+Pspv)</f>
        <v>4.2116802666457454E-2</v>
      </c>
      <c r="M250" s="870"/>
      <c r="N250" s="870"/>
      <c r="O250" s="48">
        <f>IF(t&lt;Tnet,'2022'!Resal+('2022'!Salim-'2022'!Resal)*(1-EXP(('2022'!Tnet-t)/('2022'!Tau_j))),Resal+(Salim-Resal)*(1-EXP((Tnet-t)/(Tau_j))))*Salcycl</f>
        <v>5.9835211295023366E-2</v>
      </c>
      <c r="P250" s="171">
        <f>(INDEX(Models!$BJ250:$BT250,,T250)*(1-R250)+INDEX(Models!$BJ250:$BT250,,T250+1)*R250-ERP_i)*Q250*Ramure*Pc/MaxiM</f>
        <v>9.3315580952422605E-3</v>
      </c>
      <c r="Q250" s="307">
        <f t="shared" si="80"/>
        <v>1</v>
      </c>
      <c r="R250" s="179">
        <f t="shared" si="81"/>
        <v>0.36926090205482787</v>
      </c>
      <c r="S250" s="837">
        <f t="shared" si="82"/>
        <v>1</v>
      </c>
      <c r="T250" s="178">
        <f t="shared" si="83"/>
        <v>7</v>
      </c>
      <c r="U250" s="253">
        <f t="shared" si="84"/>
        <v>1.3692609020548279</v>
      </c>
      <c r="V250" s="385">
        <f t="shared" si="85"/>
        <v>48.935422721555852</v>
      </c>
      <c r="W250" s="404">
        <f t="shared" si="86"/>
        <v>43.821224802461742</v>
      </c>
      <c r="X250" s="157">
        <f t="shared" si="87"/>
        <v>45162</v>
      </c>
      <c r="Y250" s="387">
        <f t="shared" si="88"/>
        <v>42.304270447510568</v>
      </c>
      <c r="Z250" s="387">
        <f t="shared" si="89"/>
        <v>44.16433085502792</v>
      </c>
      <c r="AA250" s="388">
        <f t="shared" si="90"/>
        <v>48.659537295746084</v>
      </c>
      <c r="AB250" s="199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9.2380788855366741E-2</v>
      </c>
      <c r="AD250" s="233">
        <f>(INDEX(Models!$BJ250:$BT250,,AH250)*(1-AF250)+INDEX(Models!$BJ250:$BT250,,AH250+1)*AF250-ERP_i)*AE250*Ramure*Pc/MaxiM</f>
        <v>9.3315580952422605E-3</v>
      </c>
      <c r="AE250" s="307">
        <f t="shared" si="92"/>
        <v>1</v>
      </c>
      <c r="AF250" s="179">
        <f t="shared" si="93"/>
        <v>0.36926090205482787</v>
      </c>
      <c r="AG250" s="837">
        <f t="shared" si="99"/>
        <v>1</v>
      </c>
      <c r="AH250" s="178">
        <f t="shared" si="94"/>
        <v>7</v>
      </c>
      <c r="AI250" s="227">
        <f t="shared" si="95"/>
        <v>1.3692609020548279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45163</v>
      </c>
      <c r="B251" s="1139">
        <f>IF(t&gt;Tmaj,'2022'!Wh/'2022'!Env_an*'2023'!Env_an,0.001*'[10]mon-tableau (1)'!$B$232)</f>
        <v>33.38036799202569</v>
      </c>
      <c r="C251" s="866"/>
      <c r="D251" s="395">
        <f t="shared" si="77"/>
        <v>34.848867704283137</v>
      </c>
      <c r="E251" s="387">
        <f t="shared" si="100"/>
        <v>37.076250910916599</v>
      </c>
      <c r="F251" s="387">
        <f t="shared" si="78"/>
        <v>37.274213394794778</v>
      </c>
      <c r="G251" s="110">
        <f t="shared" si="101"/>
        <v>0.68312360853548859</v>
      </c>
      <c r="H251" s="414" t="b">
        <f>Wh_hp&gt;='2022'!Maxi_hp</f>
        <v>0</v>
      </c>
      <c r="I251" s="392">
        <f>IF(H251,Wh_hp,'2022'!Maxi_hp)</f>
        <v>49.230030482850516</v>
      </c>
      <c r="J251" s="85">
        <f>IF(H251,An,'2022'!An_max)</f>
        <v>2021</v>
      </c>
      <c r="K251" s="199">
        <f t="shared" si="79"/>
        <v>45163</v>
      </c>
      <c r="L251" s="147">
        <f>IF(t&lt;Tvie,1-EXP((T0-t)*PertePVj)+'2022'!Pspv,1-EXP((T0-t)*PertePVj)+Pspv)</f>
        <v>4.2139094007836664E-2</v>
      </c>
      <c r="M251" s="870"/>
      <c r="N251" s="870"/>
      <c r="O251" s="48">
        <f>IF(t&lt;Tnet,'2022'!Resal+('2022'!Salim-'2022'!Resal)*(1-EXP(('2022'!Tnet-t)/('2022'!Tau_j))),Resal+(Salim-Resal)*(1-EXP((Tnet-t)/(Tau_j))))*Salcycl</f>
        <v>6.0075739911924005E-2</v>
      </c>
      <c r="P251" s="171">
        <f>(INDEX(Models!$BJ251:$BT251,,T251)*(1-R251)+INDEX(Models!$BJ251:$BT251,,T251+1)*R251-ERP_i)*Q251*Ramure*Pc/MaxiM</f>
        <v>9.6287640484267658E-3</v>
      </c>
      <c r="Q251" s="307">
        <f t="shared" si="80"/>
        <v>1</v>
      </c>
      <c r="R251" s="179">
        <f t="shared" si="81"/>
        <v>0.37044665328997839</v>
      </c>
      <c r="S251" s="837">
        <f t="shared" si="82"/>
        <v>1</v>
      </c>
      <c r="T251" s="178">
        <f t="shared" si="83"/>
        <v>7</v>
      </c>
      <c r="U251" s="253">
        <f t="shared" si="84"/>
        <v>1.3704466532899784</v>
      </c>
      <c r="V251" s="385">
        <f t="shared" si="85"/>
        <v>48.652203929211581</v>
      </c>
      <c r="W251" s="404">
        <f t="shared" si="86"/>
        <v>33.38036799202569</v>
      </c>
      <c r="X251" s="157">
        <f t="shared" si="87"/>
        <v>45163</v>
      </c>
      <c r="Y251" s="387">
        <f t="shared" si="88"/>
        <v>32.226920597597022</v>
      </c>
      <c r="Z251" s="387">
        <f t="shared" si="89"/>
        <v>33.644676795965495</v>
      </c>
      <c r="AA251" s="388">
        <f t="shared" si="90"/>
        <v>37.076250910916599</v>
      </c>
      <c r="AB251" s="199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9.2554506743310574E-2</v>
      </c>
      <c r="AD251" s="233">
        <f>(INDEX(Models!$BJ251:$BT251,,AH251)*(1-AF251)+INDEX(Models!$BJ251:$BT251,,AH251+1)*AF251-ERP_i)*AE251*Ramure*Pc/MaxiM</f>
        <v>9.6287640484267658E-3</v>
      </c>
      <c r="AE251" s="307">
        <f t="shared" si="92"/>
        <v>1</v>
      </c>
      <c r="AF251" s="179">
        <f t="shared" si="93"/>
        <v>0.37044665328997839</v>
      </c>
      <c r="AG251" s="837">
        <f t="shared" si="99"/>
        <v>1</v>
      </c>
      <c r="AH251" s="178">
        <f t="shared" si="94"/>
        <v>7</v>
      </c>
      <c r="AI251" s="227">
        <f t="shared" si="95"/>
        <v>1.3704466532899784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45164</v>
      </c>
      <c r="B252" s="1139">
        <f>IF(t&gt;Tmaj,'2022'!Wh/'2022'!Env_an*'2023'!Env_an,0.001*'[10]mon-tableau (1)'!$B$233)</f>
        <v>40.422752097540815</v>
      </c>
      <c r="C252" s="866"/>
      <c r="D252" s="395">
        <f t="shared" si="77"/>
        <v>42.202048922809446</v>
      </c>
      <c r="E252" s="387">
        <f t="shared" si="100"/>
        <v>44.910860675109973</v>
      </c>
      <c r="F252" s="387">
        <f t="shared" si="78"/>
        <v>45.254467488160593</v>
      </c>
      <c r="G252" s="110">
        <f t="shared" si="101"/>
        <v>0.83383574658047555</v>
      </c>
      <c r="H252" s="414" t="b">
        <f>Wh_hp&gt;='2022'!Maxi_hp</f>
        <v>0</v>
      </c>
      <c r="I252" s="392">
        <f>IF(H252,Wh_hp,'2022'!Maxi_hp)</f>
        <v>51.409197401417927</v>
      </c>
      <c r="J252" s="85">
        <f>IF(H252,An,'2022'!An_max)</f>
        <v>2021</v>
      </c>
      <c r="K252" s="199">
        <f t="shared" si="79"/>
        <v>45164</v>
      </c>
      <c r="L252" s="147">
        <f>IF(t&lt;Tvie,1-EXP((T0-t)*PertePVj)+'2022'!Pspv,1-EXP((T0-t)*PertePVj)+Pspv)</f>
        <v>4.2161384830463833E-2</v>
      </c>
      <c r="M252" s="870"/>
      <c r="N252" s="870"/>
      <c r="O252" s="48">
        <f>IF(t&lt;Tnet,'2022'!Resal+('2022'!Salim-'2022'!Resal)*(1-EXP(('2022'!Tnet-t)/('2022'!Tau_j))),Resal+(Salim-Resal)*(1-EXP((Tnet-t)/(Tau_j))))*Salcycl</f>
        <v>6.0315293708049014E-2</v>
      </c>
      <c r="P252" s="171">
        <f>(INDEX(Models!$BJ252:$BT252,,T252)*(1-R252)+INDEX(Models!$BJ252:$BT252,,T252+1)*R252-ERP_i)*Q252*Ramure*Pc/MaxiM</f>
        <v>9.9197174935151018E-3</v>
      </c>
      <c r="Q252" s="307">
        <f t="shared" si="80"/>
        <v>1</v>
      </c>
      <c r="R252" s="179">
        <f t="shared" si="81"/>
        <v>0.37158861369194351</v>
      </c>
      <c r="S252" s="837">
        <f t="shared" si="82"/>
        <v>1</v>
      </c>
      <c r="T252" s="178">
        <f t="shared" si="83"/>
        <v>7</v>
      </c>
      <c r="U252" s="253">
        <f t="shared" si="84"/>
        <v>1.3715886136919435</v>
      </c>
      <c r="V252" s="385">
        <f t="shared" si="85"/>
        <v>48.364406339833323</v>
      </c>
      <c r="W252" s="404">
        <f t="shared" si="86"/>
        <v>40.422752097540815</v>
      </c>
      <c r="X252" s="157">
        <f t="shared" si="87"/>
        <v>45164</v>
      </c>
      <c r="Y252" s="387">
        <f t="shared" si="88"/>
        <v>39.028479438975026</v>
      </c>
      <c r="Z252" s="387">
        <f t="shared" si="89"/>
        <v>40.746404269853997</v>
      </c>
      <c r="AA252" s="388">
        <f t="shared" si="90"/>
        <v>44.910860675109973</v>
      </c>
      <c r="AB252" s="199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9.2727156475181025E-2</v>
      </c>
      <c r="AD252" s="233">
        <f>(INDEX(Models!$BJ252:$BT252,,AH252)*(1-AF252)+INDEX(Models!$BJ252:$BT252,,AH252+1)*AF252-ERP_i)*AE252*Ramure*Pc/MaxiM</f>
        <v>9.9197174935151018E-3</v>
      </c>
      <c r="AE252" s="307">
        <f t="shared" si="92"/>
        <v>1</v>
      </c>
      <c r="AF252" s="179">
        <f t="shared" si="93"/>
        <v>0.37158861369194351</v>
      </c>
      <c r="AG252" s="837">
        <f t="shared" si="99"/>
        <v>1</v>
      </c>
      <c r="AH252" s="178">
        <f t="shared" si="94"/>
        <v>7</v>
      </c>
      <c r="AI252" s="227">
        <f t="shared" si="95"/>
        <v>1.3715886136919435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45165</v>
      </c>
      <c r="B253" s="1139">
        <f>IF(t&gt;Tmaj,'2022'!Wh/'2022'!Env_an*'2023'!Env_an,0.001*'[10]mon-tableau (1)'!$B$234)</f>
        <v>47.020306836305338</v>
      </c>
      <c r="C253" s="866"/>
      <c r="D253" s="395">
        <f t="shared" si="77"/>
        <v>49.091152046192967</v>
      </c>
      <c r="E253" s="387">
        <f t="shared" si="100"/>
        <v>52.255418927901083</v>
      </c>
      <c r="F253" s="387">
        <f t="shared" si="78"/>
        <v>52.777151113924617</v>
      </c>
      <c r="G253" s="110">
        <f t="shared" si="101"/>
        <v>0.97781096204074258</v>
      </c>
      <c r="H253" s="414" t="b">
        <f>Wh_hp&gt;='2022'!Maxi_hp</f>
        <v>0</v>
      </c>
      <c r="I253" s="392">
        <f>IF(H253,Wh_hp,'2022'!Maxi_hp)</f>
        <v>52.781666805057725</v>
      </c>
      <c r="J253" s="85">
        <f>IF(H253,An,'2022'!An_max)</f>
        <v>2022</v>
      </c>
      <c r="K253" s="199">
        <f t="shared" si="79"/>
        <v>45165</v>
      </c>
      <c r="L253" s="147">
        <f>IF(t&lt;Tvie,1-EXP((T0-t)*PertePVj)+'2022'!Pspv,1-EXP((T0-t)*PertePVj)+Pspv)</f>
        <v>4.2183675134350951E-2</v>
      </c>
      <c r="M253" s="870"/>
      <c r="N253" s="870"/>
      <c r="O253" s="48">
        <f>IF(t&lt;Tnet,'2022'!Resal+('2022'!Salim-'2022'!Resal)*(1-EXP(('2022'!Tnet-t)/('2022'!Tau_j))),Resal+(Salim-Resal)*(1-EXP((Tnet-t)/(Tau_j))))*Salcycl</f>
        <v>6.0553851574206757E-2</v>
      </c>
      <c r="P253" s="171">
        <f>(INDEX(Models!$BJ253:$BT253,,T253)*(1-R253)+INDEX(Models!$BJ253:$BT253,,T253+1)*R253-ERP_i)*Q253*Ramure*Pc/MaxiM</f>
        <v>1.0204443973826227E-2</v>
      </c>
      <c r="Q253" s="307">
        <f t="shared" si="80"/>
        <v>1</v>
      </c>
      <c r="R253" s="179">
        <f t="shared" si="81"/>
        <v>0.37268825326128963</v>
      </c>
      <c r="S253" s="837">
        <f t="shared" si="82"/>
        <v>1</v>
      </c>
      <c r="T253" s="178">
        <f t="shared" si="83"/>
        <v>7</v>
      </c>
      <c r="U253" s="253">
        <f t="shared" si="84"/>
        <v>1.3726882532612896</v>
      </c>
      <c r="V253" s="385">
        <f t="shared" si="85"/>
        <v>48.071831240581339</v>
      </c>
      <c r="W253" s="404">
        <f t="shared" si="86"/>
        <v>47.020306836305338</v>
      </c>
      <c r="X253" s="157">
        <f t="shared" si="87"/>
        <v>45165</v>
      </c>
      <c r="Y253" s="387">
        <f t="shared" si="88"/>
        <v>45.401411362629091</v>
      </c>
      <c r="Z253" s="387">
        <f t="shared" si="89"/>
        <v>47.400957974899264</v>
      </c>
      <c r="AA253" s="388">
        <f t="shared" si="90"/>
        <v>52.255418927901083</v>
      </c>
      <c r="AB253" s="199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9.2898708930067492E-2</v>
      </c>
      <c r="AD253" s="233">
        <f>(INDEX(Models!$BJ253:$BT253,,AH253)*(1-AF253)+INDEX(Models!$BJ253:$BT253,,AH253+1)*AF253-ERP_i)*AE253*Ramure*Pc/MaxiM</f>
        <v>1.0204443973826227E-2</v>
      </c>
      <c r="AE253" s="307">
        <f t="shared" si="92"/>
        <v>1</v>
      </c>
      <c r="AF253" s="179">
        <f t="shared" si="93"/>
        <v>0.37268825326128963</v>
      </c>
      <c r="AG253" s="837">
        <f t="shared" si="99"/>
        <v>1</v>
      </c>
      <c r="AH253" s="178">
        <f t="shared" si="94"/>
        <v>7</v>
      </c>
      <c r="AI253" s="227">
        <f t="shared" si="95"/>
        <v>1.3726882532612896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45166</v>
      </c>
      <c r="B254" s="1139">
        <f>IF(t&gt;Tmaj,'2022'!Wh/'2022'!Env_an*'2023'!Env_an,0.001*'[10]mon-tableau (1)'!$B$235)</f>
        <v>45.338212753271073</v>
      </c>
      <c r="C254" s="866"/>
      <c r="D254" s="395">
        <f t="shared" si="77"/>
        <v>47.336077583173719</v>
      </c>
      <c r="E254" s="387">
        <f t="shared" si="100"/>
        <v>50.399961369802583</v>
      </c>
      <c r="F254" s="387">
        <f t="shared" si="78"/>
        <v>50.894431217070498</v>
      </c>
      <c r="G254" s="110">
        <f t="shared" si="101"/>
        <v>0.94827342288069394</v>
      </c>
      <c r="H254" s="414" t="b">
        <f>Wh_hp&gt;='2022'!Maxi_hp</f>
        <v>0</v>
      </c>
      <c r="I254" s="392">
        <f>IF(H254,Wh_hp,'2022'!Maxi_hp)</f>
        <v>52.903282092675809</v>
      </c>
      <c r="J254" s="85">
        <f>IF(H254,An,'2022'!An_max)</f>
        <v>2021</v>
      </c>
      <c r="K254" s="199">
        <f t="shared" si="79"/>
        <v>45166</v>
      </c>
      <c r="L254" s="147">
        <f>IF(t&lt;Tvie,1-EXP((T0-t)*PertePVj)+'2022'!Pspv,1-EXP((T0-t)*PertePVj)+Pspv)</f>
        <v>4.220596491951023E-2</v>
      </c>
      <c r="M254" s="870"/>
      <c r="N254" s="870"/>
      <c r="O254" s="48">
        <f>IF(t&lt;Tnet,'2022'!Resal+('2022'!Salim-'2022'!Resal)*(1-EXP(('2022'!Tnet-t)/('2022'!Tau_j))),Resal+(Salim-Resal)*(1-EXP((Tnet-t)/(Tau_j))))*Salcycl</f>
        <v>6.0791391567704842E-2</v>
      </c>
      <c r="P254" s="171">
        <f>(INDEX(Models!$BJ254:$BT254,,T254)*(1-R254)+INDEX(Models!$BJ254:$BT254,,T254+1)*R254-ERP_i)*Q254*Ramure*Pc/MaxiM</f>
        <v>1.0478992955574456E-2</v>
      </c>
      <c r="Q254" s="307">
        <f t="shared" si="80"/>
        <v>1</v>
      </c>
      <c r="R254" s="179">
        <f t="shared" si="81"/>
        <v>0.37374700389487336</v>
      </c>
      <c r="S254" s="837">
        <f t="shared" si="82"/>
        <v>1</v>
      </c>
      <c r="T254" s="178">
        <f t="shared" si="83"/>
        <v>7</v>
      </c>
      <c r="U254" s="253">
        <f t="shared" si="84"/>
        <v>1.3737470038948734</v>
      </c>
      <c r="V254" s="385">
        <f t="shared" si="85"/>
        <v>47.774472155142817</v>
      </c>
      <c r="W254" s="404">
        <f t="shared" si="86"/>
        <v>45.338212753271073</v>
      </c>
      <c r="X254" s="157">
        <f t="shared" si="87"/>
        <v>45166</v>
      </c>
      <c r="Y254" s="387">
        <f t="shared" si="88"/>
        <v>43.780076321681662</v>
      </c>
      <c r="Z254" s="387">
        <f t="shared" si="89"/>
        <v>45.70928061585029</v>
      </c>
      <c r="AA254" s="388">
        <f t="shared" si="90"/>
        <v>50.399961369802583</v>
      </c>
      <c r="AB254" s="199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9.3069133913319668E-2</v>
      </c>
      <c r="AD254" s="233">
        <f>(INDEX(Models!$BJ254:$BT254,,AH254)*(1-AF254)+INDEX(Models!$BJ254:$BT254,,AH254+1)*AF254-ERP_i)*AE254*Ramure*Pc/MaxiM</f>
        <v>1.0478992955574456E-2</v>
      </c>
      <c r="AE254" s="307">
        <f t="shared" si="92"/>
        <v>1</v>
      </c>
      <c r="AF254" s="179">
        <f t="shared" si="93"/>
        <v>0.37374700389487336</v>
      </c>
      <c r="AG254" s="837">
        <f t="shared" si="99"/>
        <v>1</v>
      </c>
      <c r="AH254" s="178">
        <f t="shared" si="94"/>
        <v>7</v>
      </c>
      <c r="AI254" s="227">
        <f t="shared" si="95"/>
        <v>1.3737470038948734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45167</v>
      </c>
      <c r="B255" s="1139">
        <f>IF(t&gt;Tmaj,'2022'!Wh/'2022'!Env_an*'2023'!Env_an,0.001*'[10]mon-tableau (1)'!$B$236)</f>
        <v>31.851649358864435</v>
      </c>
      <c r="C255" s="866"/>
      <c r="D255" s="395">
        <f t="shared" si="77"/>
        <v>33.255991835291105</v>
      </c>
      <c r="E255" s="387">
        <f t="shared" si="100"/>
        <v>35.417443726238268</v>
      </c>
      <c r="F255" s="387">
        <f t="shared" si="78"/>
        <v>35.620336347731126</v>
      </c>
      <c r="G255" s="110">
        <f t="shared" si="101"/>
        <v>0.66754876372278815</v>
      </c>
      <c r="H255" s="414" t="b">
        <f>Wh_hp&gt;='2022'!Maxi_hp</f>
        <v>0</v>
      </c>
      <c r="I255" s="392">
        <f>IF(H255,Wh_hp,'2022'!Maxi_hp)</f>
        <v>52.164540919966655</v>
      </c>
      <c r="J255" s="85">
        <f>IF(H255,An,'2022'!An_max)</f>
        <v>2021</v>
      </c>
      <c r="K255" s="199">
        <f t="shared" si="79"/>
        <v>45167</v>
      </c>
      <c r="L255" s="147">
        <f>IF(t&lt;Tvie,1-EXP((T0-t)*PertePVj)+'2022'!Pspv,1-EXP((T0-t)*PertePVj)+Pspv)</f>
        <v>4.2228254185953551E-2</v>
      </c>
      <c r="M255" s="870"/>
      <c r="N255" s="870"/>
      <c r="O255" s="48">
        <f>IF(t&lt;Tnet,'2022'!Resal+('2022'!Salim-'2022'!Resal)*(1-EXP(('2022'!Tnet-t)/('2022'!Tau_j))),Resal+(Salim-Resal)*(1-EXP((Tnet-t)/(Tau_j))))*Salcycl</f>
        <v>6.1027890879258959E-2</v>
      </c>
      <c r="P255" s="171">
        <f>(INDEX(Models!$BJ255:$BT255,,T255)*(1-R255)+INDEX(Models!$BJ255:$BT255,,T255+1)*R255-ERP_i)*Q255*Ramure*Pc/MaxiM</f>
        <v>1.0748340359655847E-2</v>
      </c>
      <c r="Q255" s="307">
        <f t="shared" si="80"/>
        <v>1</v>
      </c>
      <c r="R255" s="179">
        <f t="shared" si="81"/>
        <v>0.37476625947808584</v>
      </c>
      <c r="S255" s="837">
        <f t="shared" si="82"/>
        <v>1</v>
      </c>
      <c r="T255" s="178">
        <f t="shared" si="83"/>
        <v>7</v>
      </c>
      <c r="U255" s="253">
        <f t="shared" si="84"/>
        <v>1.3747662594780858</v>
      </c>
      <c r="V255" s="385">
        <f t="shared" si="85"/>
        <v>47.471889840611063</v>
      </c>
      <c r="W255" s="404">
        <f t="shared" si="86"/>
        <v>31.851649358864435</v>
      </c>
      <c r="X255" s="157">
        <f t="shared" si="87"/>
        <v>45167</v>
      </c>
      <c r="Y255" s="387">
        <f t="shared" si="88"/>
        <v>30.759010039919481</v>
      </c>
      <c r="Z255" s="387">
        <f t="shared" si="89"/>
        <v>32.115177937073341</v>
      </c>
      <c r="AA255" s="388">
        <f t="shared" si="90"/>
        <v>35.417443726238268</v>
      </c>
      <c r="AB255" s="199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9.3238400114080244E-2</v>
      </c>
      <c r="AD255" s="233">
        <f>(INDEX(Models!$BJ255:$BT255,,AH255)*(1-AF255)+INDEX(Models!$BJ255:$BT255,,AH255+1)*AF255-ERP_i)*AE255*Ramure*Pc/MaxiM</f>
        <v>1.0748340359655847E-2</v>
      </c>
      <c r="AE255" s="307">
        <f t="shared" si="92"/>
        <v>1</v>
      </c>
      <c r="AF255" s="179">
        <f t="shared" si="93"/>
        <v>0.37476625947808584</v>
      </c>
      <c r="AG255" s="837">
        <f t="shared" si="99"/>
        <v>1</v>
      </c>
      <c r="AH255" s="178">
        <f t="shared" si="94"/>
        <v>7</v>
      </c>
      <c r="AI255" s="227">
        <f t="shared" si="95"/>
        <v>1.3747662594780858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45168</v>
      </c>
      <c r="B256" s="1139">
        <f>IF(t&gt;Tmaj,'2022'!Wh/'2022'!Env_an*'2023'!Env_an,0.001*'[10]mon-tableau (1)'!$B$237)</f>
        <v>44.340520957075881</v>
      </c>
      <c r="C256" s="866"/>
      <c r="D256" s="395">
        <f t="shared" si="77"/>
        <v>46.296576447974012</v>
      </c>
      <c r="E256" s="387">
        <f t="shared" si="100"/>
        <v>49.31795861385288</v>
      </c>
      <c r="F256" s="387">
        <f t="shared" si="78"/>
        <v>49.819680819121793</v>
      </c>
      <c r="G256" s="110">
        <f t="shared" si="101"/>
        <v>0.93924273852486662</v>
      </c>
      <c r="H256" s="414" t="b">
        <f>Wh_hp&gt;='2022'!Maxi_hp</f>
        <v>0</v>
      </c>
      <c r="I256" s="392">
        <f>IF(H256,Wh_hp,'2022'!Maxi_hp)</f>
        <v>50.422665541987861</v>
      </c>
      <c r="J256" s="85">
        <f>IF(H256,An,'2022'!An_max)</f>
        <v>2021</v>
      </c>
      <c r="K256" s="199">
        <f t="shared" si="79"/>
        <v>45168</v>
      </c>
      <c r="L256" s="147">
        <f>IF(t&lt;Tvie,1-EXP((T0-t)*PertePVj)+'2022'!Pspv,1-EXP((T0-t)*PertePVj)+Pspv)</f>
        <v>4.2250542933693125E-2</v>
      </c>
      <c r="M256" s="870"/>
      <c r="N256" s="870"/>
      <c r="O256" s="48">
        <f>IF(t&lt;Tnet,'2022'!Resal+('2022'!Salim-'2022'!Resal)*(1-EXP(('2022'!Tnet-t)/('2022'!Tau_j))),Resal+(Salim-Resal)*(1-EXP((Tnet-t)/(Tau_j))))*Salcycl</f>
        <v>6.1263325790418953E-2</v>
      </c>
      <c r="P256" s="171">
        <f>(INDEX(Models!$BJ256:$BT256,,T256)*(1-R256)+INDEX(Models!$BJ256:$BT256,,T256+1)*R256-ERP_i)*Q256*Ramure*Pc/MaxiM</f>
        <v>1.1012537356923017E-2</v>
      </c>
      <c r="Q256" s="307">
        <f t="shared" si="80"/>
        <v>1</v>
      </c>
      <c r="R256" s="179">
        <f t="shared" si="81"/>
        <v>0.37574737606373043</v>
      </c>
      <c r="S256" s="837">
        <f t="shared" si="82"/>
        <v>1</v>
      </c>
      <c r="T256" s="178">
        <f t="shared" si="83"/>
        <v>7</v>
      </c>
      <c r="U256" s="253">
        <f t="shared" si="84"/>
        <v>1.3757473760637304</v>
      </c>
      <c r="V256" s="385">
        <f t="shared" si="85"/>
        <v>47.163885926259809</v>
      </c>
      <c r="W256" s="404">
        <f t="shared" si="86"/>
        <v>44.340520957075881</v>
      </c>
      <c r="X256" s="157">
        <f t="shared" si="87"/>
        <v>45168</v>
      </c>
      <c r="Y256" s="387">
        <f t="shared" si="88"/>
        <v>42.822263470742008</v>
      </c>
      <c r="Z256" s="387">
        <f t="shared" si="89"/>
        <v>44.711341943133398</v>
      </c>
      <c r="AA256" s="388">
        <f t="shared" si="90"/>
        <v>49.31795861385288</v>
      </c>
      <c r="AB256" s="199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9.3406475048736781E-2</v>
      </c>
      <c r="AD256" s="233">
        <f>(INDEX(Models!$BJ256:$BT256,,AH256)*(1-AF256)+INDEX(Models!$BJ256:$BT256,,AH256+1)*AF256-ERP_i)*AE256*Ramure*Pc/MaxiM</f>
        <v>1.1012537356923017E-2</v>
      </c>
      <c r="AE256" s="307">
        <f t="shared" si="92"/>
        <v>1</v>
      </c>
      <c r="AF256" s="179">
        <f t="shared" si="93"/>
        <v>0.37574737606373043</v>
      </c>
      <c r="AG256" s="837">
        <f t="shared" si="99"/>
        <v>1</v>
      </c>
      <c r="AH256" s="178">
        <f t="shared" si="94"/>
        <v>7</v>
      </c>
      <c r="AI256" s="227">
        <f t="shared" si="95"/>
        <v>1.3757473760637304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45169</v>
      </c>
      <c r="B257" s="1139">
        <f>IF(t&gt;Tmaj,'2022'!Wh/'2022'!Env_an*'2023'!Env_an,0.001*'[10]mon-tableau (1)'!$B$238)</f>
        <v>20.817890200773107</v>
      </c>
      <c r="C257" s="866"/>
      <c r="D257" s="395">
        <f t="shared" si="77"/>
        <v>21.736764788710477</v>
      </c>
      <c r="E257" s="387">
        <f t="shared" si="100"/>
        <v>23.161119723900775</v>
      </c>
      <c r="F257" s="387">
        <f t="shared" si="78"/>
        <v>23.215080031051837</v>
      </c>
      <c r="G257" s="110">
        <f t="shared" si="101"/>
        <v>0.44036451292512396</v>
      </c>
      <c r="H257" s="414" t="b">
        <f>Wh_hp&gt;='2022'!Maxi_hp</f>
        <v>0</v>
      </c>
      <c r="I257" s="392">
        <f>IF(H257,Wh_hp,'2022'!Maxi_hp)</f>
        <v>50.324433414295505</v>
      </c>
      <c r="J257" s="85">
        <f>IF(H257,An,'2022'!An_max)</f>
        <v>2021</v>
      </c>
      <c r="K257" s="199">
        <f t="shared" si="79"/>
        <v>45169</v>
      </c>
      <c r="L257" s="147">
        <f>IF(t&lt;Tvie,1-EXP((T0-t)*PertePVj)+'2022'!Pspv,1-EXP((T0-t)*PertePVj)+Pspv)</f>
        <v>4.2272831162740943E-2</v>
      </c>
      <c r="M257" s="870"/>
      <c r="N257" s="870"/>
      <c r="O257" s="48">
        <f>IF(t&lt;Tnet,'2022'!Resal+('2022'!Salim-'2022'!Resal)*(1-EXP(('2022'!Tnet-t)/('2022'!Tau_j))),Resal+(Salim-Resal)*(1-EXP((Tnet-t)/(Tau_j))))*Salcycl</f>
        <v>6.1497671622519019E-2</v>
      </c>
      <c r="P257" s="171">
        <f>(INDEX(Models!$BJ257:$BT257,,T257)*(1-R257)+INDEX(Models!$BJ257:$BT257,,T257+1)*R257-ERP_i)*Q257*Ramure*Pc/MaxiM</f>
        <v>1.1271637393544452E-2</v>
      </c>
      <c r="Q257" s="307">
        <f t="shared" si="80"/>
        <v>1</v>
      </c>
      <c r="R257" s="179">
        <f t="shared" si="81"/>
        <v>0.37669167212931076</v>
      </c>
      <c r="S257" s="837">
        <f t="shared" si="82"/>
        <v>1</v>
      </c>
      <c r="T257" s="178">
        <f t="shared" si="83"/>
        <v>7</v>
      </c>
      <c r="U257" s="253">
        <f t="shared" si="84"/>
        <v>1.3766916721293108</v>
      </c>
      <c r="V257" s="385">
        <f t="shared" si="85"/>
        <v>46.850262219834491</v>
      </c>
      <c r="W257" s="404">
        <f t="shared" si="86"/>
        <v>20.817890200773107</v>
      </c>
      <c r="X257" s="157">
        <f t="shared" si="87"/>
        <v>45169</v>
      </c>
      <c r="Y257" s="387">
        <f t="shared" si="88"/>
        <v>20.106386979338684</v>
      </c>
      <c r="Z257" s="387">
        <f t="shared" si="89"/>
        <v>20.993856740797174</v>
      </c>
      <c r="AA257" s="388">
        <f t="shared" si="90"/>
        <v>23.161119723900775</v>
      </c>
      <c r="AB257" s="199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9.3573324992017912E-2</v>
      </c>
      <c r="AD257" s="233">
        <f>(INDEX(Models!$BJ257:$BT257,,AH257)*(1-AF257)+INDEX(Models!$BJ257:$BT257,,AH257+1)*AF257-ERP_i)*AE257*Ramure*Pc/MaxiM</f>
        <v>1.1271637393544452E-2</v>
      </c>
      <c r="AE257" s="307">
        <f t="shared" si="92"/>
        <v>1</v>
      </c>
      <c r="AF257" s="179">
        <f t="shared" si="93"/>
        <v>0.37669167212931076</v>
      </c>
      <c r="AG257" s="837">
        <f t="shared" si="99"/>
        <v>1</v>
      </c>
      <c r="AH257" s="178">
        <f t="shared" si="94"/>
        <v>7</v>
      </c>
      <c r="AI257" s="227">
        <f t="shared" si="95"/>
        <v>1.3766916721293108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45170</v>
      </c>
      <c r="B258" s="1139">
        <f>IF(t&gt;Tmaj,'2022'!Wh/'2022'!Env_an*'2023'!Env_an,0.001*'[11]mon-tableau (3)'!$B$202)</f>
        <v>41.938253390861853</v>
      </c>
      <c r="C258" s="866"/>
      <c r="D258" s="395">
        <f t="shared" si="77"/>
        <v>43.790372396885857</v>
      </c>
      <c r="E258" s="387">
        <f t="shared" si="100"/>
        <v>46.671442683008955</v>
      </c>
      <c r="F258" s="387">
        <f t="shared" si="78"/>
        <v>47.138137663108559</v>
      </c>
      <c r="G258" s="110">
        <f t="shared" si="101"/>
        <v>0.89982116745406349</v>
      </c>
      <c r="H258" s="414" t="b">
        <f>Wh_hp&gt;='2022'!Maxi_hp</f>
        <v>0</v>
      </c>
      <c r="I258" s="392">
        <f>IF(H258,Wh_hp,'2022'!Maxi_hp)</f>
        <v>47.157889501262005</v>
      </c>
      <c r="J258" s="85">
        <f>IF(H258,An,'2022'!An_max)</f>
        <v>2022</v>
      </c>
      <c r="K258" s="199">
        <f t="shared" si="79"/>
        <v>45170</v>
      </c>
      <c r="L258" s="147">
        <f>IF(t&lt;Tvie,1-EXP((T0-t)*PertePVj)+'2022'!Pspv,1-EXP((T0-t)*PertePVj)+Pspv)</f>
        <v>4.2295118873109105E-2</v>
      </c>
      <c r="M258" s="870"/>
      <c r="N258" s="870"/>
      <c r="O258" s="48">
        <f>IF(t&lt;Tnet,'2022'!Resal+('2022'!Salim-'2022'!Resal)*(1-EXP(('2022'!Tnet-t)/('2022'!Tau_j))),Resal+(Salim-Resal)*(1-EXP((Tnet-t)/(Tau_j))))*Salcycl</f>
        <v>6.1730902678351719E-2</v>
      </c>
      <c r="P258" s="171">
        <f>(INDEX(Models!$BJ258:$BT258,,T258)*(1-R258)+INDEX(Models!$BJ258:$BT258,,T258+1)*R258-ERP_i)*Q258*Ramure*Pc/MaxiM</f>
        <v>1.1525696043461372E-2</v>
      </c>
      <c r="Q258" s="307">
        <f t="shared" si="80"/>
        <v>1</v>
      </c>
      <c r="R258" s="179">
        <f t="shared" si="81"/>
        <v>0.3776004289049808</v>
      </c>
      <c r="S258" s="837">
        <f t="shared" si="82"/>
        <v>1</v>
      </c>
      <c r="T258" s="178">
        <f t="shared" si="83"/>
        <v>7</v>
      </c>
      <c r="U258" s="253">
        <f t="shared" si="84"/>
        <v>1.3776004289049808</v>
      </c>
      <c r="V258" s="385">
        <f t="shared" si="85"/>
        <v>46.530820711091344</v>
      </c>
      <c r="W258" s="404">
        <f t="shared" si="86"/>
        <v>41.938253390861853</v>
      </c>
      <c r="X258" s="157">
        <f t="shared" si="87"/>
        <v>45170</v>
      </c>
      <c r="Y258" s="387">
        <f t="shared" si="88"/>
        <v>40.507576274003313</v>
      </c>
      <c r="Z258" s="387">
        <f t="shared" si="89"/>
        <v>42.296512289192634</v>
      </c>
      <c r="AA258" s="388">
        <f t="shared" si="90"/>
        <v>46.671442683008955</v>
      </c>
      <c r="AB258" s="199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9.373891489771842E-2</v>
      </c>
      <c r="AD258" s="233">
        <f>(INDEX(Models!$BJ258:$BT258,,AH258)*(1-AF258)+INDEX(Models!$BJ258:$BT258,,AH258+1)*AF258-ERP_i)*AE258*Ramure*Pc/MaxiM</f>
        <v>1.1525696043461372E-2</v>
      </c>
      <c r="AE258" s="307">
        <f t="shared" si="92"/>
        <v>1</v>
      </c>
      <c r="AF258" s="179">
        <f t="shared" si="93"/>
        <v>0.3776004289049808</v>
      </c>
      <c r="AG258" s="837">
        <f t="shared" si="99"/>
        <v>1</v>
      </c>
      <c r="AH258" s="178">
        <f t="shared" si="94"/>
        <v>7</v>
      </c>
      <c r="AI258" s="227">
        <f t="shared" si="95"/>
        <v>1.3776004289049808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45171</v>
      </c>
      <c r="B259" s="1139">
        <f>IF(t&gt;Tmaj,'2022'!Wh/'2022'!Env_an*'2023'!Env_an,0.001*'[11]mon-tableau (3)'!$B$203)</f>
        <v>36.446651544409292</v>
      </c>
      <c r="C259" s="866"/>
      <c r="D259" s="395">
        <f t="shared" si="77"/>
        <v>38.057130593391328</v>
      </c>
      <c r="E259" s="387">
        <f t="shared" si="100"/>
        <v>40.57103320662452</v>
      </c>
      <c r="F259" s="387">
        <f t="shared" si="78"/>
        <v>40.90737790551789</v>
      </c>
      <c r="G259" s="110">
        <f t="shared" si="101"/>
        <v>0.78597142111086038</v>
      </c>
      <c r="H259" s="414" t="b">
        <f>Wh_hp&gt;='2022'!Maxi_hp</f>
        <v>0</v>
      </c>
      <c r="I259" s="392">
        <f>IF(H259,Wh_hp,'2022'!Maxi_hp)</f>
        <v>49.191044286339199</v>
      </c>
      <c r="J259" s="85">
        <f>IF(H259,An,'2022'!An_max)</f>
        <v>2019</v>
      </c>
      <c r="K259" s="199">
        <f t="shared" si="79"/>
        <v>45171</v>
      </c>
      <c r="L259" s="147">
        <f>IF(t&lt;Tvie,1-EXP((T0-t)*PertePVj)+'2022'!Pspv,1-EXP((T0-t)*PertePVj)+Pspv)</f>
        <v>4.2317406064809715E-2</v>
      </c>
      <c r="M259" s="870"/>
      <c r="N259" s="870"/>
      <c r="O259" s="48">
        <f>IF(t&lt;Tnet,'2022'!Resal+('2022'!Salim-'2022'!Resal)*(1-EXP(('2022'!Tnet-t)/('2022'!Tau_j))),Resal+(Salim-Resal)*(1-EXP((Tnet-t)/(Tau_j))))*Salcycl</f>
        <v>6.1962992177944348E-2</v>
      </c>
      <c r="P259" s="171">
        <f>(INDEX(Models!$BJ259:$BT259,,T259)*(1-R259)+INDEX(Models!$BJ259:$BT259,,T259+1)*R259-ERP_i)*Q259*Ramure*Pc/MaxiM</f>
        <v>1.1774770866802573E-2</v>
      </c>
      <c r="Q259" s="307">
        <f t="shared" si="80"/>
        <v>1</v>
      </c>
      <c r="R259" s="179">
        <f t="shared" si="81"/>
        <v>0.37847489076487006</v>
      </c>
      <c r="S259" s="837">
        <f t="shared" si="82"/>
        <v>1</v>
      </c>
      <c r="T259" s="178">
        <f t="shared" si="83"/>
        <v>7</v>
      </c>
      <c r="U259" s="253">
        <f t="shared" si="84"/>
        <v>1.3784748907648701</v>
      </c>
      <c r="V259" s="385">
        <f t="shared" si="85"/>
        <v>46.205363573815433</v>
      </c>
      <c r="W259" s="404">
        <f t="shared" si="86"/>
        <v>36.446651544409292</v>
      </c>
      <c r="X259" s="157">
        <f t="shared" si="87"/>
        <v>45171</v>
      </c>
      <c r="Y259" s="387">
        <f t="shared" si="88"/>
        <v>35.205640882828433</v>
      </c>
      <c r="Z259" s="387">
        <f t="shared" si="89"/>
        <v>36.761283024019249</v>
      </c>
      <c r="AA259" s="388">
        <f t="shared" si="90"/>
        <v>40.57103320662452</v>
      </c>
      <c r="AB259" s="199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9.3903208311273814E-2</v>
      </c>
      <c r="AD259" s="233">
        <f>(INDEX(Models!$BJ259:$BT259,,AH259)*(1-AF259)+INDEX(Models!$BJ259:$BT259,,AH259+1)*AF259-ERP_i)*AE259*Ramure*Pc/MaxiM</f>
        <v>1.1774770866802573E-2</v>
      </c>
      <c r="AE259" s="307">
        <f t="shared" si="92"/>
        <v>1</v>
      </c>
      <c r="AF259" s="179">
        <f t="shared" si="93"/>
        <v>0.37847489076487006</v>
      </c>
      <c r="AG259" s="837">
        <f t="shared" si="99"/>
        <v>1</v>
      </c>
      <c r="AH259" s="178">
        <f t="shared" si="94"/>
        <v>7</v>
      </c>
      <c r="AI259" s="227">
        <f t="shared" si="95"/>
        <v>1.3784748907648701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45172</v>
      </c>
      <c r="B260" s="1139">
        <f>IF(t&gt;Tmaj,'2022'!Wh/'2022'!Env_an*'2023'!Env_an,0.001*'[11]mon-tableau (3)'!$B$204)</f>
        <v>29.98929042120589</v>
      </c>
      <c r="C260" s="866"/>
      <c r="D260" s="395">
        <f t="shared" si="77"/>
        <v>31.315164880271865</v>
      </c>
      <c r="E260" s="387">
        <f t="shared" si="100"/>
        <v>33.391940282025232</v>
      </c>
      <c r="F260" s="387">
        <f t="shared" si="78"/>
        <v>33.595989200822856</v>
      </c>
      <c r="G260" s="110">
        <f t="shared" si="101"/>
        <v>0.64982570987115473</v>
      </c>
      <c r="H260" s="414" t="b">
        <f>Wh_hp&gt;='2022'!Maxi_hp</f>
        <v>0</v>
      </c>
      <c r="I260" s="392">
        <f>IF(H260,Wh_hp,'2022'!Maxi_hp)</f>
        <v>51.164853972749853</v>
      </c>
      <c r="J260" s="85">
        <f>IF(H260,An,'2022'!An_max)</f>
        <v>2019</v>
      </c>
      <c r="K260" s="199">
        <f t="shared" si="79"/>
        <v>45172</v>
      </c>
      <c r="L260" s="147">
        <f>IF(t&lt;Tvie,1-EXP((T0-t)*PertePVj)+'2022'!Pspv,1-EXP((T0-t)*PertePVj)+Pspv)</f>
        <v>4.2339692737854873E-2</v>
      </c>
      <c r="M260" s="870"/>
      <c r="N260" s="870"/>
      <c r="O260" s="48">
        <f>IF(t&lt;Tnet,'2022'!Resal+('2022'!Salim-'2022'!Resal)*(1-EXP(('2022'!Tnet-t)/('2022'!Tau_j))),Resal+(Salim-Resal)*(1-EXP((Tnet-t)/(Tau_j))))*Salcycl</f>
        <v>6.2193912189981014E-2</v>
      </c>
      <c r="P260" s="171">
        <f>(INDEX(Models!$BJ260:$BT260,,T260)*(1-R260)+INDEX(Models!$BJ260:$BT260,,T260+1)*R260-ERP_i)*Q260*Ramure*Pc/MaxiM</f>
        <v>1.2018921275323993E-2</v>
      </c>
      <c r="Q260" s="307">
        <f t="shared" si="80"/>
        <v>1</v>
      </c>
      <c r="R260" s="179">
        <f t="shared" si="81"/>
        <v>0.37931626567494581</v>
      </c>
      <c r="S260" s="837">
        <f t="shared" si="82"/>
        <v>1</v>
      </c>
      <c r="T260" s="178">
        <f t="shared" si="83"/>
        <v>7</v>
      </c>
      <c r="U260" s="253">
        <f t="shared" si="84"/>
        <v>1.3793162656749458</v>
      </c>
      <c r="V260" s="385">
        <f t="shared" si="85"/>
        <v>45.873693162540647</v>
      </c>
      <c r="W260" s="404">
        <f t="shared" si="86"/>
        <v>29.98929042120589</v>
      </c>
      <c r="X260" s="157">
        <f t="shared" si="87"/>
        <v>45172</v>
      </c>
      <c r="Y260" s="387">
        <f t="shared" si="88"/>
        <v>28.97007512009402</v>
      </c>
      <c r="Z260" s="387">
        <f t="shared" si="89"/>
        <v>30.250888441765497</v>
      </c>
      <c r="AA260" s="388">
        <f t="shared" si="90"/>
        <v>33.391940282025232</v>
      </c>
      <c r="AB260" s="199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9.4066167276615334E-2</v>
      </c>
      <c r="AD260" s="233">
        <f>(INDEX(Models!$BJ260:$BT260,,AH260)*(1-AF260)+INDEX(Models!$BJ260:$BT260,,AH260+1)*AF260-ERP_i)*AE260*Ramure*Pc/MaxiM</f>
        <v>1.2018921275323993E-2</v>
      </c>
      <c r="AE260" s="307">
        <f t="shared" si="92"/>
        <v>1</v>
      </c>
      <c r="AF260" s="179">
        <f t="shared" si="93"/>
        <v>0.37931626567494581</v>
      </c>
      <c r="AG260" s="837">
        <f t="shared" si="99"/>
        <v>1</v>
      </c>
      <c r="AH260" s="178">
        <f t="shared" si="94"/>
        <v>7</v>
      </c>
      <c r="AI260" s="227">
        <f t="shared" si="95"/>
        <v>1.3793162656749458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45173</v>
      </c>
      <c r="B261" s="1139">
        <f>IF(t&gt;Tmaj,'2022'!Wh/'2022'!Env_an*'2023'!Env_an,0.001*'[11]mon-tableau (3)'!$B$205)</f>
        <v>43.637567086543065</v>
      </c>
      <c r="C261" s="866"/>
      <c r="D261" s="395">
        <f t="shared" si="77"/>
        <v>45.567914101891553</v>
      </c>
      <c r="E261" s="387">
        <f t="shared" si="100"/>
        <v>48.601816057865527</v>
      </c>
      <c r="F261" s="387">
        <f t="shared" si="78"/>
        <v>49.168663860171698</v>
      </c>
      <c r="G261" s="110">
        <f t="shared" si="101"/>
        <v>0.95762233724341794</v>
      </c>
      <c r="H261" s="414" t="b">
        <f>Wh_hp&gt;='2022'!Maxi_hp</f>
        <v>0</v>
      </c>
      <c r="I261" s="392">
        <f>IF(H261,Wh_hp,'2022'!Maxi_hp)</f>
        <v>50.630743838713244</v>
      </c>
      <c r="J261" s="85">
        <f>IF(H261,An,'2022'!An_max)</f>
        <v>2019</v>
      </c>
      <c r="K261" s="199">
        <f t="shared" si="79"/>
        <v>45173</v>
      </c>
      <c r="L261" s="147">
        <f>IF(t&lt;Tvie,1-EXP((T0-t)*PertePVj)+'2022'!Pspv,1-EXP((T0-t)*PertePVj)+Pspv)</f>
        <v>4.2361978892256458E-2</v>
      </c>
      <c r="M261" s="870"/>
      <c r="N261" s="870"/>
      <c r="O261" s="48">
        <f>IF(t&lt;Tnet,'2022'!Resal+('2022'!Salim-'2022'!Resal)*(1-EXP(('2022'!Tnet-t)/('2022'!Tau_j))),Resal+(Salim-Resal)*(1-EXP((Tnet-t)/(Tau_j))))*Salcycl</f>
        <v>6.2423633560560819E-2</v>
      </c>
      <c r="P261" s="171">
        <f>(INDEX(Models!$BJ261:$BT261,,T261)*(1-R261)+INDEX(Models!$BJ261:$BT261,,T261+1)*R261-ERP_i)*Q261*Ramure*Pc/MaxiM</f>
        <v>1.2258365839915145E-2</v>
      </c>
      <c r="Q261" s="307">
        <f t="shared" si="80"/>
        <v>1</v>
      </c>
      <c r="R261" s="179">
        <f t="shared" si="81"/>
        <v>0.38012572569101577</v>
      </c>
      <c r="S261" s="837">
        <f t="shared" si="82"/>
        <v>1</v>
      </c>
      <c r="T261" s="178">
        <f t="shared" si="83"/>
        <v>7</v>
      </c>
      <c r="U261" s="253">
        <f t="shared" si="84"/>
        <v>1.3801257256910158</v>
      </c>
      <c r="V261" s="385">
        <f t="shared" si="85"/>
        <v>45.535019930743324</v>
      </c>
      <c r="W261" s="404">
        <f t="shared" si="86"/>
        <v>43.637567086543065</v>
      </c>
      <c r="X261" s="157">
        <f t="shared" si="87"/>
        <v>45173</v>
      </c>
      <c r="Y261" s="387">
        <f t="shared" si="88"/>
        <v>42.157309677997866</v>
      </c>
      <c r="Z261" s="387">
        <f t="shared" si="89"/>
        <v>44.022176175954861</v>
      </c>
      <c r="AA261" s="388">
        <f t="shared" si="90"/>
        <v>48.601816057865527</v>
      </c>
      <c r="AB261" s="199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9.4227752239918874E-2</v>
      </c>
      <c r="AD261" s="233">
        <f>(INDEX(Models!$BJ261:$BT261,,AH261)*(1-AF261)+INDEX(Models!$BJ261:$BT261,,AH261+1)*AF261-ERP_i)*AE261*Ramure*Pc/MaxiM</f>
        <v>1.2258365839915145E-2</v>
      </c>
      <c r="AE261" s="307">
        <f t="shared" si="92"/>
        <v>1</v>
      </c>
      <c r="AF261" s="179">
        <f t="shared" si="93"/>
        <v>0.38012572569101577</v>
      </c>
      <c r="AG261" s="837">
        <f t="shared" si="99"/>
        <v>1</v>
      </c>
      <c r="AH261" s="178">
        <f t="shared" si="94"/>
        <v>7</v>
      </c>
      <c r="AI261" s="227">
        <f t="shared" si="95"/>
        <v>1.3801257256910158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45174</v>
      </c>
      <c r="B262" s="1139">
        <f>IF(t&gt;Tmaj,'2022'!Wh/'2022'!Env_an*'2023'!Env_an,0.001*'[11]mon-tableau (3)'!$B$206)</f>
        <v>37.670252998396954</v>
      </c>
      <c r="C262" s="866"/>
      <c r="D262" s="395">
        <f t="shared" si="77"/>
        <v>39.337545951905945</v>
      </c>
      <c r="E262" s="387">
        <f t="shared" si="100"/>
        <v>41.96685887531855</v>
      </c>
      <c r="F262" s="387">
        <f t="shared" si="78"/>
        <v>42.370258456097993</v>
      </c>
      <c r="G262" s="110">
        <f t="shared" si="101"/>
        <v>0.83111336983973128</v>
      </c>
      <c r="H262" s="414" t="b">
        <f>Wh_hp&gt;='2022'!Maxi_hp</f>
        <v>0</v>
      </c>
      <c r="I262" s="392">
        <f>IF(H262,Wh_hp,'2022'!Maxi_hp)</f>
        <v>48.60501068816032</v>
      </c>
      <c r="J262" s="85">
        <f>IF(H262,An,'2022'!An_max)</f>
        <v>2020</v>
      </c>
      <c r="K262" s="199">
        <f t="shared" si="79"/>
        <v>45174</v>
      </c>
      <c r="L262" s="147">
        <f>IF(t&lt;Tvie,1-EXP((T0-t)*PertePVj)+'2022'!Pspv,1-EXP((T0-t)*PertePVj)+Pspv)</f>
        <v>4.2384264528026794E-2</v>
      </c>
      <c r="M262" s="870"/>
      <c r="N262" s="870"/>
      <c r="O262" s="48">
        <f>IF(t&lt;Tnet,'2022'!Resal+('2022'!Salim-'2022'!Resal)*(1-EXP(('2022'!Tnet-t)/('2022'!Tau_j))),Resal+(Salim-Resal)*(1-EXP((Tnet-t)/(Tau_j))))*Salcycl</f>
        <v>6.2652125841111059E-2</v>
      </c>
      <c r="P262" s="171">
        <f>(INDEX(Models!$BJ262:$BT262,,T262)*(1-R262)+INDEX(Models!$BJ262:$BT262,,T262+1)*R262-ERP_i)*Q262*Ramure*Pc/MaxiM</f>
        <v>1.2489551409974341E-2</v>
      </c>
      <c r="Q262" s="307">
        <f t="shared" si="80"/>
        <v>1</v>
      </c>
      <c r="R262" s="179">
        <f t="shared" si="81"/>
        <v>0.38090440750089627</v>
      </c>
      <c r="S262" s="837">
        <f t="shared" si="82"/>
        <v>1</v>
      </c>
      <c r="T262" s="178">
        <f t="shared" si="83"/>
        <v>7</v>
      </c>
      <c r="U262" s="253">
        <f t="shared" si="84"/>
        <v>1.3809044075008963</v>
      </c>
      <c r="V262" s="385">
        <f t="shared" si="85"/>
        <v>45.189196205869727</v>
      </c>
      <c r="W262" s="404">
        <f t="shared" si="86"/>
        <v>37.670252998396954</v>
      </c>
      <c r="X262" s="157">
        <f t="shared" si="87"/>
        <v>45174</v>
      </c>
      <c r="Y262" s="387">
        <f t="shared" si="88"/>
        <v>36.394850875451311</v>
      </c>
      <c r="Z262" s="387">
        <f t="shared" si="89"/>
        <v>38.005694275181938</v>
      </c>
      <c r="AA262" s="388">
        <f t="shared" si="90"/>
        <v>41.96685887531855</v>
      </c>
      <c r="AB262" s="199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9.4387921953011364E-2</v>
      </c>
      <c r="AD262" s="233">
        <f>(INDEX(Models!$BJ262:$BT262,,AH262)*(1-AF262)+INDEX(Models!$BJ262:$BT262,,AH262+1)*AF262-ERP_i)*AE262*Ramure*Pc/MaxiM</f>
        <v>1.2489551409974341E-2</v>
      </c>
      <c r="AE262" s="307">
        <f t="shared" si="92"/>
        <v>1</v>
      </c>
      <c r="AF262" s="179">
        <f t="shared" si="93"/>
        <v>0.38090440750089627</v>
      </c>
      <c r="AG262" s="837">
        <f t="shared" si="99"/>
        <v>1</v>
      </c>
      <c r="AH262" s="178">
        <f t="shared" si="94"/>
        <v>7</v>
      </c>
      <c r="AI262" s="227">
        <f t="shared" si="95"/>
        <v>1.3809044075008963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45175</v>
      </c>
      <c r="B263" s="1139">
        <f>IF(t&gt;Tmaj,'2022'!Wh/'2022'!Env_an*'2023'!Env_an,0.001*'[11]mon-tableau (3)'!$B$207)</f>
        <v>42.249343447788874</v>
      </c>
      <c r="C263" s="866"/>
      <c r="D263" s="395">
        <f t="shared" si="77"/>
        <v>44.120334607691809</v>
      </c>
      <c r="E263" s="387">
        <f t="shared" si="100"/>
        <v>47.0807413618422</v>
      </c>
      <c r="F263" s="387">
        <f t="shared" si="78"/>
        <v>47.636656997166632</v>
      </c>
      <c r="G263" s="110">
        <f t="shared" si="101"/>
        <v>0.94129922286933276</v>
      </c>
      <c r="H263" s="414" t="b">
        <f>Wh_hp&gt;='2022'!Maxi_hp</f>
        <v>0</v>
      </c>
      <c r="I263" s="392">
        <f>IF(H263,Wh_hp,'2022'!Maxi_hp)</f>
        <v>51.979212378770349</v>
      </c>
      <c r="J263" s="85">
        <f>IF(H263,An,'2022'!An_max)</f>
        <v>2019</v>
      </c>
      <c r="K263" s="199">
        <f t="shared" si="79"/>
        <v>45175</v>
      </c>
      <c r="L263" s="147">
        <f>IF(t&lt;Tvie,1-EXP((T0-t)*PertePVj)+'2022'!Pspv,1-EXP((T0-t)*PertePVj)+Pspv)</f>
        <v>4.240654964517776E-2</v>
      </c>
      <c r="M263" s="870"/>
      <c r="N263" s="870"/>
      <c r="O263" s="48">
        <f>IF(t&lt;Tnet,'2022'!Resal+('2022'!Salim-'2022'!Resal)*(1-EXP(('2022'!Tnet-t)/('2022'!Tau_j))),Resal+(Salim-Resal)*(1-EXP((Tnet-t)/(Tau_j))))*Salcycl</f>
        <v>6.2879357217380805E-2</v>
      </c>
      <c r="P263" s="171">
        <f>(INDEX(Models!$BJ263:$BT263,,T263)*(1-R263)+INDEX(Models!$BJ263:$BT263,,T263+1)*R263-ERP_i)*Q263*Ramure*Pc/MaxiM</f>
        <v>1.2718285326260303E-2</v>
      </c>
      <c r="Q263" s="307">
        <f t="shared" si="80"/>
        <v>1</v>
      </c>
      <c r="R263" s="179">
        <f t="shared" si="81"/>
        <v>0.38165341300518052</v>
      </c>
      <c r="S263" s="837">
        <f t="shared" si="82"/>
        <v>1</v>
      </c>
      <c r="T263" s="178">
        <f t="shared" si="83"/>
        <v>7</v>
      </c>
      <c r="U263" s="253">
        <f t="shared" si="84"/>
        <v>1.3816534130051805</v>
      </c>
      <c r="V263" s="385">
        <f t="shared" si="85"/>
        <v>44.836462597603969</v>
      </c>
      <c r="W263" s="404">
        <f t="shared" si="86"/>
        <v>42.249343447788874</v>
      </c>
      <c r="X263" s="157">
        <f t="shared" si="87"/>
        <v>45175</v>
      </c>
      <c r="Y263" s="387">
        <f t="shared" si="88"/>
        <v>40.821649332921403</v>
      </c>
      <c r="Z263" s="387">
        <f t="shared" si="89"/>
        <v>42.629415769077724</v>
      </c>
      <c r="AA263" s="388">
        <f t="shared" si="90"/>
        <v>47.0807413618422</v>
      </c>
      <c r="AB263" s="199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9.4546633379315584E-2</v>
      </c>
      <c r="AD263" s="233">
        <f>(INDEX(Models!$BJ263:$BT263,,AH263)*(1-AF263)+INDEX(Models!$BJ263:$BT263,,AH263+1)*AF263-ERP_i)*AE263*Ramure*Pc/MaxiM</f>
        <v>1.2718285326260303E-2</v>
      </c>
      <c r="AE263" s="307">
        <f t="shared" si="92"/>
        <v>1</v>
      </c>
      <c r="AF263" s="179">
        <f t="shared" si="93"/>
        <v>0.38165341300518052</v>
      </c>
      <c r="AG263" s="837">
        <f t="shared" si="99"/>
        <v>1</v>
      </c>
      <c r="AH263" s="178">
        <f t="shared" si="94"/>
        <v>7</v>
      </c>
      <c r="AI263" s="227">
        <f t="shared" si="95"/>
        <v>1.3816534130051805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45176</v>
      </c>
      <c r="B264" s="1139">
        <f>IF(t&gt;Tmaj,'2022'!Wh/'2022'!Env_an*'2023'!Env_an,0.001*'[11]mon-tableau (3)'!$B$208)</f>
        <v>34.061875876497915</v>
      </c>
      <c r="C264" s="866"/>
      <c r="D264" s="395">
        <f t="shared" si="77"/>
        <v>35.571116899281577</v>
      </c>
      <c r="E264" s="387">
        <f t="shared" si="100"/>
        <v>37.967038012108233</v>
      </c>
      <c r="F264" s="387">
        <f t="shared" si="78"/>
        <v>38.296931681991815</v>
      </c>
      <c r="G264" s="110">
        <f t="shared" si="101"/>
        <v>0.76248038717388167</v>
      </c>
      <c r="H264" s="414" t="b">
        <f>Wh_hp&gt;='2022'!Maxi_hp</f>
        <v>0</v>
      </c>
      <c r="I264" s="392">
        <f>IF(H264,Wh_hp,'2022'!Maxi_hp)</f>
        <v>50.735283993858943</v>
      </c>
      <c r="J264" s="85">
        <f>IF(H264,An,'2022'!An_max)</f>
        <v>2019</v>
      </c>
      <c r="K264" s="199">
        <f t="shared" si="79"/>
        <v>45176</v>
      </c>
      <c r="L264" s="147">
        <f>IF(t&lt;Tvie,1-EXP((T0-t)*PertePVj)+'2022'!Pspv,1-EXP((T0-t)*PertePVj)+Pspv)</f>
        <v>4.2428834243721569E-2</v>
      </c>
      <c r="M264" s="870"/>
      <c r="N264" s="870"/>
      <c r="O264" s="48">
        <f>IF(t&lt;Tnet,'2022'!Resal+('2022'!Salim-'2022'!Resal)*(1-EXP(('2022'!Tnet-t)/('2022'!Tau_j))),Resal+(Salim-Resal)*(1-EXP((Tnet-t)/(Tau_j))))*Salcycl</f>
        <v>6.3105294441524878E-2</v>
      </c>
      <c r="P264" s="171">
        <f>(INDEX(Models!$BJ264:$BT264,,T264)*(1-R264)+INDEX(Models!$BJ264:$BT264,,T264+1)*R264-ERP_i)*Q264*Ramure*Pc/MaxiM</f>
        <v>1.2944484643126638E-2</v>
      </c>
      <c r="Q264" s="307">
        <f t="shared" si="80"/>
        <v>1</v>
      </c>
      <c r="R264" s="179">
        <f t="shared" si="81"/>
        <v>0.38237380993143333</v>
      </c>
      <c r="S264" s="837">
        <f t="shared" si="82"/>
        <v>1</v>
      </c>
      <c r="T264" s="178">
        <f t="shared" si="83"/>
        <v>7</v>
      </c>
      <c r="U264" s="253">
        <f t="shared" si="84"/>
        <v>1.3823738099314333</v>
      </c>
      <c r="V264" s="385">
        <f t="shared" si="85"/>
        <v>44.477331951408082</v>
      </c>
      <c r="W264" s="404">
        <f t="shared" si="86"/>
        <v>34.061875876497915</v>
      </c>
      <c r="X264" s="157">
        <f t="shared" si="87"/>
        <v>45176</v>
      </c>
      <c r="Y264" s="387">
        <f t="shared" si="88"/>
        <v>32.913074645170099</v>
      </c>
      <c r="Z264" s="387">
        <f t="shared" si="89"/>
        <v>34.371413657987226</v>
      </c>
      <c r="AA264" s="388">
        <f t="shared" si="90"/>
        <v>37.967038012108233</v>
      </c>
      <c r="AB264" s="199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9.4703841605297406E-2</v>
      </c>
      <c r="AD264" s="233">
        <f>(INDEX(Models!$BJ264:$BT264,,AH264)*(1-AF264)+INDEX(Models!$BJ264:$BT264,,AH264+1)*AF264-ERP_i)*AE264*Ramure*Pc/MaxiM</f>
        <v>1.2944484643126638E-2</v>
      </c>
      <c r="AE264" s="307">
        <f t="shared" si="92"/>
        <v>1</v>
      </c>
      <c r="AF264" s="179">
        <f t="shared" si="93"/>
        <v>0.38237380993143333</v>
      </c>
      <c r="AG264" s="837">
        <f t="shared" si="99"/>
        <v>1</v>
      </c>
      <c r="AH264" s="178">
        <f t="shared" si="94"/>
        <v>7</v>
      </c>
      <c r="AI264" s="227">
        <f t="shared" si="95"/>
        <v>1.3823738099314333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45177</v>
      </c>
      <c r="B265" s="1139">
        <f>IF(t&gt;Tmaj,'2022'!Wh/'2022'!Env_an*'2023'!Env_an,0.001*'[11]mon-tableau (3)'!$B$209)</f>
        <v>36.654316473519167</v>
      </c>
      <c r="C265" s="866"/>
      <c r="D265" s="395">
        <f t="shared" si="77"/>
        <v>38.279316257307308</v>
      </c>
      <c r="E265" s="387">
        <f t="shared" si="100"/>
        <v>40.867447749729045</v>
      </c>
      <c r="F265" s="387">
        <f t="shared" si="78"/>
        <v>41.279734046759025</v>
      </c>
      <c r="G265" s="110">
        <f t="shared" si="101"/>
        <v>0.8282621892627845</v>
      </c>
      <c r="H265" s="414" t="b">
        <f>Wh_hp&gt;='2022'!Maxi_hp</f>
        <v>0</v>
      </c>
      <c r="I265" s="392">
        <f>IF(H265,Wh_hp,'2022'!Maxi_hp)</f>
        <v>44.572005255446598</v>
      </c>
      <c r="J265" s="85">
        <f>IF(H265,An,'2022'!An_max)</f>
        <v>2019</v>
      </c>
      <c r="K265" s="199">
        <f t="shared" si="79"/>
        <v>45177</v>
      </c>
      <c r="L265" s="147">
        <f>IF(t&lt;Tvie,1-EXP((T0-t)*PertePVj)+'2022'!Pspv,1-EXP((T0-t)*PertePVj)+Pspv)</f>
        <v>4.2451118323670101E-2</v>
      </c>
      <c r="M265" s="870"/>
      <c r="N265" s="870"/>
      <c r="O265" s="48">
        <f>IF(t&lt;Tnet,'2022'!Resal+('2022'!Salim-'2022'!Resal)*(1-EXP(('2022'!Tnet-t)/('2022'!Tau_j))),Resal+(Salim-Resal)*(1-EXP((Tnet-t)/(Tau_j))))*Salcycl</f>
        <v>6.3329902769347676E-2</v>
      </c>
      <c r="P265" s="171">
        <f>(INDEX(Models!$BJ265:$BT265,,T265)*(1-R265)+INDEX(Models!$BJ265:$BT265,,T265+1)*R265-ERP_i)*Q265*Ramure*Pc/MaxiM</f>
        <v>1.3168050992140979E-2</v>
      </c>
      <c r="Q265" s="307">
        <f t="shared" si="80"/>
        <v>1</v>
      </c>
      <c r="R265" s="179">
        <f t="shared" si="81"/>
        <v>0.38306663247701733</v>
      </c>
      <c r="S265" s="837">
        <f t="shared" si="82"/>
        <v>1</v>
      </c>
      <c r="T265" s="178">
        <f t="shared" si="83"/>
        <v>7</v>
      </c>
      <c r="U265" s="253">
        <f t="shared" si="84"/>
        <v>1.3830666324770173</v>
      </c>
      <c r="V265" s="385">
        <f t="shared" si="85"/>
        <v>44.112316552190734</v>
      </c>
      <c r="W265" s="404">
        <f t="shared" si="86"/>
        <v>36.654316473519167</v>
      </c>
      <c r="X265" s="157">
        <f t="shared" si="87"/>
        <v>45177</v>
      </c>
      <c r="Y265" s="387">
        <f t="shared" si="88"/>
        <v>35.420482031904832</v>
      </c>
      <c r="Z265" s="387">
        <f t="shared" si="89"/>
        <v>36.990782099704482</v>
      </c>
      <c r="AA265" s="388">
        <f t="shared" si="90"/>
        <v>40.867447749729045</v>
      </c>
      <c r="AB265" s="199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9.4859499760423946E-2</v>
      </c>
      <c r="AD265" s="233">
        <f>(INDEX(Models!$BJ265:$BT265,,AH265)*(1-AF265)+INDEX(Models!$BJ265:$BT265,,AH265+1)*AF265-ERP_i)*AE265*Ramure*Pc/MaxiM</f>
        <v>1.3168050992140979E-2</v>
      </c>
      <c r="AE265" s="307">
        <f t="shared" si="92"/>
        <v>1</v>
      </c>
      <c r="AF265" s="179">
        <f t="shared" si="93"/>
        <v>0.38306663247701733</v>
      </c>
      <c r="AG265" s="837">
        <f t="shared" si="99"/>
        <v>1</v>
      </c>
      <c r="AH265" s="178">
        <f t="shared" si="94"/>
        <v>7</v>
      </c>
      <c r="AI265" s="227">
        <f t="shared" si="95"/>
        <v>1.3830666324770173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45178</v>
      </c>
      <c r="B266" s="1139">
        <f>IF(t&gt;Tmaj,'2022'!Wh/'2022'!Env_an*'2023'!Env_an,0.001*'[11]mon-tableau (3)'!$B$210)</f>
        <v>20.840912891097375</v>
      </c>
      <c r="C266" s="866"/>
      <c r="D266" s="395">
        <f t="shared" si="77"/>
        <v>21.765361852219936</v>
      </c>
      <c r="E266" s="387">
        <f t="shared" si="100"/>
        <v>23.242495563990111</v>
      </c>
      <c r="F266" s="387">
        <f t="shared" si="78"/>
        <v>23.321204226292345</v>
      </c>
      <c r="G266" s="110">
        <f t="shared" si="101"/>
        <v>0.47166433857116385</v>
      </c>
      <c r="H266" s="414" t="b">
        <f>Wh_hp&gt;='2022'!Maxi_hp</f>
        <v>0</v>
      </c>
      <c r="I266" s="392">
        <f>IF(H266,Wh_hp,'2022'!Maxi_hp)</f>
        <v>45.910285028445344</v>
      </c>
      <c r="J266" s="85">
        <f>IF(H266,An,'2022'!An_max)</f>
        <v>2020</v>
      </c>
      <c r="K266" s="199">
        <f t="shared" si="79"/>
        <v>45178</v>
      </c>
      <c r="L266" s="147">
        <f>IF(t&lt;Tvie,1-EXP((T0-t)*PertePVj)+'2022'!Pspv,1-EXP((T0-t)*PertePVj)+Pspv)</f>
        <v>4.2473401885035567E-2</v>
      </c>
      <c r="M266" s="870"/>
      <c r="N266" s="870"/>
      <c r="O266" s="48">
        <f>IF(t&lt;Tnet,'2022'!Resal+('2022'!Salim-'2022'!Resal)*(1-EXP(('2022'!Tnet-t)/('2022'!Tau_j))),Resal+(Salim-Resal)*(1-EXP((Tnet-t)/(Tau_j))))*Salcycl</f>
        <v>6.3553145904810496E-2</v>
      </c>
      <c r="P266" s="171">
        <f>(INDEX(Models!$BJ266:$BT266,,T266)*(1-R266)+INDEX(Models!$BJ266:$BT266,,T266+1)*R266-ERP_i)*Q266*Ramure*Pc/MaxiM</f>
        <v>1.3388870109178786E-2</v>
      </c>
      <c r="Q266" s="307">
        <f t="shared" si="80"/>
        <v>1</v>
      </c>
      <c r="R266" s="179">
        <f t="shared" si="81"/>
        <v>0.38373288197611455</v>
      </c>
      <c r="S266" s="837">
        <f t="shared" si="82"/>
        <v>1</v>
      </c>
      <c r="T266" s="178">
        <f t="shared" si="83"/>
        <v>7</v>
      </c>
      <c r="U266" s="253">
        <f t="shared" si="84"/>
        <v>1.3837328819761145</v>
      </c>
      <c r="V266" s="385">
        <f t="shared" si="85"/>
        <v>43.741928127283884</v>
      </c>
      <c r="W266" s="404">
        <f t="shared" si="86"/>
        <v>20.840912891097375</v>
      </c>
      <c r="X266" s="157">
        <f t="shared" si="87"/>
        <v>45178</v>
      </c>
      <c r="Y266" s="387">
        <f t="shared" si="88"/>
        <v>20.140751718151691</v>
      </c>
      <c r="Z266" s="387">
        <f t="shared" si="89"/>
        <v>21.034143341607219</v>
      </c>
      <c r="AA266" s="388">
        <f t="shared" si="90"/>
        <v>23.242495563990111</v>
      </c>
      <c r="AB266" s="199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9.5013558948649157E-2</v>
      </c>
      <c r="AD266" s="233">
        <f>(INDEX(Models!$BJ266:$BT266,,AH266)*(1-AF266)+INDEX(Models!$BJ266:$BT266,,AH266+1)*AF266-ERP_i)*AE266*Ramure*Pc/MaxiM</f>
        <v>1.3388870109178786E-2</v>
      </c>
      <c r="AE266" s="307">
        <f t="shared" si="92"/>
        <v>1</v>
      </c>
      <c r="AF266" s="179">
        <f t="shared" si="93"/>
        <v>0.38373288197611455</v>
      </c>
      <c r="AG266" s="837">
        <f t="shared" si="99"/>
        <v>1</v>
      </c>
      <c r="AH266" s="178">
        <f t="shared" si="94"/>
        <v>7</v>
      </c>
      <c r="AI266" s="227">
        <f t="shared" si="95"/>
        <v>1.3837328819761145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45179</v>
      </c>
      <c r="B267" s="1139">
        <f>IF(t&gt;Tmaj,'2022'!Wh/'2022'!Env_an*'2023'!Env_an,0.001*'[11]mon-tableau (3)'!$B$211)</f>
        <v>40.980934236217195</v>
      </c>
      <c r="C267" s="866"/>
      <c r="D267" s="395">
        <f t="shared" si="77"/>
        <v>42.799738435777535</v>
      </c>
      <c r="E267" s="387">
        <f t="shared" si="100"/>
        <v>45.715226354410056</v>
      </c>
      <c r="F267" s="387">
        <f t="shared" si="78"/>
        <v>46.295655655430167</v>
      </c>
      <c r="G267" s="110">
        <f t="shared" si="101"/>
        <v>0.94396334417535466</v>
      </c>
      <c r="H267" s="414" t="b">
        <f>Wh_hp&gt;='2022'!Maxi_hp</f>
        <v>0</v>
      </c>
      <c r="I267" s="392">
        <f>IF(H267,Wh_hp,'2022'!Maxi_hp)</f>
        <v>46.307820639917978</v>
      </c>
      <c r="J267" s="85">
        <f>IF(H267,An,'2022'!An_max)</f>
        <v>2022</v>
      </c>
      <c r="K267" s="199">
        <f t="shared" si="79"/>
        <v>45179</v>
      </c>
      <c r="L267" s="147">
        <f>IF(t&lt;Tvie,1-EXP((T0-t)*PertePVj)+'2022'!Pspv,1-EXP((T0-t)*PertePVj)+Pspv)</f>
        <v>4.2495684927830069E-2</v>
      </c>
      <c r="M267" s="870"/>
      <c r="N267" s="870"/>
      <c r="O267" s="48">
        <f>IF(t&lt;Tnet,'2022'!Resal+('2022'!Salim-'2022'!Resal)*(1-EXP(('2022'!Tnet-t)/('2022'!Tau_j))),Resal+(Salim-Resal)*(1-EXP((Tnet-t)/(Tau_j))))*Salcycl</f>
        <v>6.3774985953914412E-2</v>
      </c>
      <c r="P267" s="171">
        <f>(INDEX(Models!$BJ267:$BT267,,T267)*(1-R267)+INDEX(Models!$BJ267:$BT267,,T267+1)*R267-ERP_i)*Q267*Ramure*Pc/MaxiM</f>
        <v>1.3606811328282294E-2</v>
      </c>
      <c r="Q267" s="307">
        <f t="shared" si="80"/>
        <v>1</v>
      </c>
      <c r="R267" s="179">
        <f t="shared" si="81"/>
        <v>0.3843735275868454</v>
      </c>
      <c r="S267" s="837">
        <f t="shared" si="82"/>
        <v>1</v>
      </c>
      <c r="T267" s="178">
        <f t="shared" si="83"/>
        <v>7</v>
      </c>
      <c r="U267" s="253">
        <f t="shared" si="84"/>
        <v>1.3843735275868454</v>
      </c>
      <c r="V267" s="385">
        <f t="shared" si="85"/>
        <v>43.366677851468424</v>
      </c>
      <c r="W267" s="404">
        <f t="shared" si="86"/>
        <v>40.980934236217195</v>
      </c>
      <c r="X267" s="157">
        <f t="shared" si="87"/>
        <v>45179</v>
      </c>
      <c r="Y267" s="387">
        <f t="shared" si="88"/>
        <v>39.606871634270078</v>
      </c>
      <c r="Z267" s="387">
        <f t="shared" si="89"/>
        <v>41.364692577165869</v>
      </c>
      <c r="AA267" s="388">
        <f t="shared" si="90"/>
        <v>45.715226354410056</v>
      </c>
      <c r="AB267" s="199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9.5165968194413197E-2</v>
      </c>
      <c r="AD267" s="233">
        <f>(INDEX(Models!$BJ267:$BT267,,AH267)*(1-AF267)+INDEX(Models!$BJ267:$BT267,,AH267+1)*AF267-ERP_i)*AE267*Ramure*Pc/MaxiM</f>
        <v>1.3606811328282294E-2</v>
      </c>
      <c r="AE267" s="307">
        <f t="shared" si="92"/>
        <v>1</v>
      </c>
      <c r="AF267" s="179">
        <f t="shared" si="93"/>
        <v>0.3843735275868454</v>
      </c>
      <c r="AG267" s="837">
        <f t="shared" si="99"/>
        <v>1</v>
      </c>
      <c r="AH267" s="178">
        <f t="shared" si="94"/>
        <v>7</v>
      </c>
      <c r="AI267" s="227">
        <f t="shared" si="95"/>
        <v>1.3843735275868454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45180</v>
      </c>
      <c r="B268" s="1139">
        <f>IF(t&gt;Tmaj,'2022'!Wh/'2022'!Env_an*'2023'!Env_an,0.001*'[11]mon-tableau (3)'!$B$212)</f>
        <v>40.821320399811327</v>
      </c>
      <c r="C268" s="866"/>
      <c r="D268" s="395">
        <f t="shared" si="77"/>
        <v>42.634032819584725</v>
      </c>
      <c r="E268" s="387">
        <f t="shared" si="100"/>
        <v>45.548955702801962</v>
      </c>
      <c r="F268" s="387">
        <f t="shared" si="78"/>
        <v>46.141040762919602</v>
      </c>
      <c r="G268" s="110">
        <f t="shared" si="101"/>
        <v>0.94866642721390981</v>
      </c>
      <c r="H268" s="414" t="b">
        <f>Wh_hp&gt;='2022'!Maxi_hp</f>
        <v>0</v>
      </c>
      <c r="I268" s="392">
        <f>IF(H268,Wh_hp,'2022'!Maxi_hp)</f>
        <v>46.152308154930608</v>
      </c>
      <c r="J268" s="85">
        <f>IF(H268,An,'2022'!An_max)</f>
        <v>2022</v>
      </c>
      <c r="K268" s="199">
        <f t="shared" si="79"/>
        <v>45180</v>
      </c>
      <c r="L268" s="147">
        <f>IF(t&lt;Tvie,1-EXP((T0-t)*PertePVj)+'2022'!Pspv,1-EXP((T0-t)*PertePVj)+Pspv)</f>
        <v>4.2517967452065597E-2</v>
      </c>
      <c r="M268" s="870"/>
      <c r="N268" s="870"/>
      <c r="O268" s="48">
        <f>IF(t&lt;Tnet,'2022'!Resal+('2022'!Salim-'2022'!Resal)*(1-EXP(('2022'!Tnet-t)/('2022'!Tau_j))),Resal+(Salim-Resal)*(1-EXP((Tnet-t)/(Tau_j))))*Salcycl</f>
        <v>6.3995383390050453E-2</v>
      </c>
      <c r="P268" s="171">
        <f>(INDEX(Models!$BJ268:$BT268,,T268)*(1-R268)+INDEX(Models!$BJ268:$BT268,,T268+1)*R268-ERP_i)*Q268*Ramure*Pc/MaxiM</f>
        <v>1.3827157703503179E-2</v>
      </c>
      <c r="Q268" s="307">
        <f t="shared" si="80"/>
        <v>1</v>
      </c>
      <c r="R268" s="179">
        <f t="shared" si="81"/>
        <v>0.3849895069947169</v>
      </c>
      <c r="S268" s="837">
        <f t="shared" si="82"/>
        <v>1</v>
      </c>
      <c r="T268" s="178">
        <f t="shared" si="83"/>
        <v>7</v>
      </c>
      <c r="U268" s="253">
        <f t="shared" si="84"/>
        <v>1.3849895069947169</v>
      </c>
      <c r="V268" s="385">
        <f t="shared" si="85"/>
        <v>42.986839638424648</v>
      </c>
      <c r="W268" s="404">
        <f t="shared" si="86"/>
        <v>40.821320399811327</v>
      </c>
      <c r="X268" s="157">
        <f t="shared" si="87"/>
        <v>45180</v>
      </c>
      <c r="Y268" s="387">
        <f t="shared" si="88"/>
        <v>39.455326650195538</v>
      </c>
      <c r="Z268" s="387">
        <f t="shared" si="89"/>
        <v>41.20738072254143</v>
      </c>
      <c r="AA268" s="388">
        <f t="shared" si="90"/>
        <v>45.548955702801962</v>
      </c>
      <c r="AB268" s="199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9.5316674406071111E-2</v>
      </c>
      <c r="AD268" s="233">
        <f>(INDEX(Models!$BJ268:$BT268,,AH268)*(1-AF268)+INDEX(Models!$BJ268:$BT268,,AH268+1)*AF268-ERP_i)*AE268*Ramure*Pc/MaxiM</f>
        <v>1.3827157703503179E-2</v>
      </c>
      <c r="AE268" s="307">
        <f t="shared" si="92"/>
        <v>1</v>
      </c>
      <c r="AF268" s="179">
        <f t="shared" si="93"/>
        <v>0.3849895069947169</v>
      </c>
      <c r="AG268" s="837">
        <f t="shared" si="99"/>
        <v>1</v>
      </c>
      <c r="AH268" s="178">
        <f t="shared" si="94"/>
        <v>7</v>
      </c>
      <c r="AI268" s="227">
        <f t="shared" si="95"/>
        <v>1.3849895069947169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45181</v>
      </c>
      <c r="B269" s="1139">
        <f>IF(t&gt;Tmaj,'2022'!Wh/'2022'!Env_an*'2023'!Env_an,0.001*'[11]mon-tableau (3)'!$B$213)</f>
        <v>28.371195456922894</v>
      </c>
      <c r="C269" s="866"/>
      <c r="D269" s="395">
        <f t="shared" si="77"/>
        <v>29.631736938137827</v>
      </c>
      <c r="E269" s="387">
        <f t="shared" si="100"/>
        <v>31.665088325439445</v>
      </c>
      <c r="F269" s="387">
        <f t="shared" si="78"/>
        <v>31.899465949904211</v>
      </c>
      <c r="G269" s="110">
        <f t="shared" si="101"/>
        <v>0.66144826585116989</v>
      </c>
      <c r="H269" s="414" t="b">
        <f>Wh_hp&gt;='2022'!Maxi_hp</f>
        <v>0</v>
      </c>
      <c r="I269" s="392">
        <f>IF(H269,Wh_hp,'2022'!Maxi_hp)</f>
        <v>47.332460641090549</v>
      </c>
      <c r="J269" s="85">
        <f>IF(H269,An,'2022'!An_max)</f>
        <v>2019</v>
      </c>
      <c r="K269" s="199">
        <f t="shared" si="79"/>
        <v>45181</v>
      </c>
      <c r="L269" s="147">
        <f>IF(t&lt;Tvie,1-EXP((T0-t)*PertePVj)+'2022'!Pspv,1-EXP((T0-t)*PertePVj)+Pspv)</f>
        <v>4.2540249457754142E-2</v>
      </c>
      <c r="M269" s="870"/>
      <c r="N269" s="870"/>
      <c r="O269" s="48">
        <f>IF(t&lt;Tnet,'2022'!Resal+('2022'!Salim-'2022'!Resal)*(1-EXP(('2022'!Tnet-t)/('2022'!Tau_j))),Resal+(Salim-Resal)*(1-EXP((Tnet-t)/(Tau_j))))*Salcycl</f>
        <v>6.4214297032863174E-2</v>
      </c>
      <c r="P269" s="171">
        <f>(INDEX(Models!$BJ269:$BT269,,T269)*(1-R269)+INDEX(Models!$BJ269:$BT269,,T269+1)*R269-ERP_i)*Q269*Ramure*Pc/MaxiM</f>
        <v>1.405437689222796E-2</v>
      </c>
      <c r="Q269" s="307">
        <f t="shared" si="80"/>
        <v>1</v>
      </c>
      <c r="R269" s="179">
        <f t="shared" si="81"/>
        <v>0.38558172712893857</v>
      </c>
      <c r="S269" s="837">
        <f t="shared" si="82"/>
        <v>1</v>
      </c>
      <c r="T269" s="178">
        <f t="shared" si="83"/>
        <v>7</v>
      </c>
      <c r="U269" s="253">
        <f t="shared" si="84"/>
        <v>1.3855817271289386</v>
      </c>
      <c r="V269" s="385">
        <f t="shared" si="85"/>
        <v>42.602729579919227</v>
      </c>
      <c r="W269" s="404">
        <f t="shared" si="86"/>
        <v>28.371195456922894</v>
      </c>
      <c r="X269" s="157">
        <f t="shared" si="87"/>
        <v>45181</v>
      </c>
      <c r="Y269" s="387">
        <f t="shared" si="88"/>
        <v>27.423716289074658</v>
      </c>
      <c r="Z269" s="387">
        <f t="shared" si="89"/>
        <v>28.642160961380952</v>
      </c>
      <c r="AA269" s="388">
        <f t="shared" si="90"/>
        <v>31.665088325439445</v>
      </c>
      <c r="AB269" s="199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9.5465622359559341E-2</v>
      </c>
      <c r="AD269" s="233">
        <f>(INDEX(Models!$BJ269:$BT269,,AH269)*(1-AF269)+INDEX(Models!$BJ269:$BT269,,AH269+1)*AF269-ERP_i)*AE269*Ramure*Pc/MaxiM</f>
        <v>1.405437689222796E-2</v>
      </c>
      <c r="AE269" s="307">
        <f t="shared" si="92"/>
        <v>1</v>
      </c>
      <c r="AF269" s="179">
        <f t="shared" si="93"/>
        <v>0.38558172712893857</v>
      </c>
      <c r="AG269" s="837">
        <f t="shared" si="99"/>
        <v>1</v>
      </c>
      <c r="AH269" s="178">
        <f t="shared" si="94"/>
        <v>7</v>
      </c>
      <c r="AI269" s="227">
        <f t="shared" si="95"/>
        <v>1.3855817271289386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45182</v>
      </c>
      <c r="B270" s="1139">
        <f>IF(t&gt;Tmaj,'2022'!Wh/'2022'!Env_an*'2023'!Env_an,0.001*'[11]mon-tableau (3)'!$B$214)</f>
        <v>11.777367710930349</v>
      </c>
      <c r="C270" s="866"/>
      <c r="D270" s="395">
        <f t="shared" si="77"/>
        <v>12.300926265768137</v>
      </c>
      <c r="E270" s="387">
        <f t="shared" si="100"/>
        <v>13.148079147144003</v>
      </c>
      <c r="F270" s="387">
        <f t="shared" si="78"/>
        <v>13.148079147144003</v>
      </c>
      <c r="G270" s="110">
        <f t="shared" si="101"/>
        <v>0.2750000089885683</v>
      </c>
      <c r="H270" s="414" t="b">
        <f>Wh_hp&gt;='2022'!Maxi_hp</f>
        <v>0</v>
      </c>
      <c r="I270" s="392">
        <f>IF(H270,Wh_hp,'2022'!Maxi_hp)</f>
        <v>44.332714285498227</v>
      </c>
      <c r="J270" s="85">
        <f>IF(H270,An,'2022'!An_max)</f>
        <v>2020</v>
      </c>
      <c r="K270" s="199">
        <f t="shared" si="79"/>
        <v>45182</v>
      </c>
      <c r="L270" s="147">
        <f>IF(t&lt;Tvie,1-EXP((T0-t)*PertePVj)+'2022'!Pspv,1-EXP((T0-t)*PertePVj)+Pspv)</f>
        <v>4.2562530944908028E-2</v>
      </c>
      <c r="M270" s="870"/>
      <c r="N270" s="870"/>
      <c r="O270" s="48">
        <f>IF(t&lt;Tnet,'2022'!Resal+('2022'!Salim-'2022'!Resal)*(1-EXP(('2022'!Tnet-t)/('2022'!Tau_j))),Resal+(Salim-Resal)*(1-EXP((Tnet-t)/(Tau_j))))*Salcycl</f>
        <v>6.4431684042598927E-2</v>
      </c>
      <c r="P270" s="171">
        <f>(INDEX(Models!$BJ270:$BT270,,T270)*(1-R270)+INDEX(Models!$BJ270:$BT270,,T270+1)*R270-ERP_i)*Q270*Ramure*Pc/MaxiM</f>
        <v>1.4288599622203951E-2</v>
      </c>
      <c r="Q270" s="307">
        <f t="shared" si="80"/>
        <v>1</v>
      </c>
      <c r="R270" s="179">
        <f t="shared" si="81"/>
        <v>0.38615106488843276</v>
      </c>
      <c r="S270" s="837">
        <f t="shared" si="82"/>
        <v>1</v>
      </c>
      <c r="T270" s="178">
        <f t="shared" si="83"/>
        <v>7</v>
      </c>
      <c r="U270" s="253">
        <f t="shared" si="84"/>
        <v>1.3861510648884328</v>
      </c>
      <c r="V270" s="385">
        <f t="shared" si="85"/>
        <v>42.214855416924664</v>
      </c>
      <c r="W270" s="404">
        <f t="shared" si="86"/>
        <v>11.777367710930349</v>
      </c>
      <c r="X270" s="157">
        <f t="shared" si="87"/>
        <v>45182</v>
      </c>
      <c r="Y270" s="387">
        <f t="shared" si="88"/>
        <v>11.384845937215347</v>
      </c>
      <c r="Z270" s="387">
        <f t="shared" si="89"/>
        <v>11.890955080806693</v>
      </c>
      <c r="AA270" s="388">
        <f t="shared" si="90"/>
        <v>13.148079147144003</v>
      </c>
      <c r="AB270" s="199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9.5612754704962374E-2</v>
      </c>
      <c r="AD270" s="233">
        <f>(INDEX(Models!$BJ270:$BT270,,AH270)*(1-AF270)+INDEX(Models!$BJ270:$BT270,,AH270+1)*AF270-ERP_i)*AE270*Ramure*Pc/MaxiM</f>
        <v>1.4288599622203951E-2</v>
      </c>
      <c r="AE270" s="307">
        <f t="shared" si="92"/>
        <v>1</v>
      </c>
      <c r="AF270" s="179">
        <f t="shared" si="93"/>
        <v>0.38615106488843276</v>
      </c>
      <c r="AG270" s="837">
        <f t="shared" si="99"/>
        <v>1</v>
      </c>
      <c r="AH270" s="178">
        <f t="shared" si="94"/>
        <v>7</v>
      </c>
      <c r="AI270" s="227">
        <f t="shared" si="95"/>
        <v>1.3861510648884328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45183</v>
      </c>
      <c r="B271" s="1139">
        <f>IF(t&gt;Tmaj,'2022'!Wh/'2022'!Env_an*'2023'!Env_an,0.001*'[11]mon-tableau (3)'!$B$215)</f>
        <v>34.428597914818191</v>
      </c>
      <c r="C271" s="866"/>
      <c r="D271" s="395">
        <f t="shared" ref="D271:D334" si="102">Wh/(1-Ppv)</f>
        <v>35.95994542725915</v>
      </c>
      <c r="E271" s="387">
        <f t="shared" si="100"/>
        <v>38.445340579768072</v>
      </c>
      <c r="F271" s="387">
        <f t="shared" ref="F271:F334" si="103">Wh_sa/(1-Pvg*MEDIAN((-Sdif+Wh/Env_an)/Csdif,0,1))</f>
        <v>38.867431440109833</v>
      </c>
      <c r="G271" s="110">
        <f t="shared" si="101"/>
        <v>0.82012903961060191</v>
      </c>
      <c r="H271" s="414" t="b">
        <f>Wh_hp&gt;='2022'!Maxi_hp</f>
        <v>0</v>
      </c>
      <c r="I271" s="392">
        <f>IF(H271,Wh_hp,'2022'!Maxi_hp)</f>
        <v>43.753374021516187</v>
      </c>
      <c r="J271" s="85">
        <f>IF(H271,An,'2022'!An_max)</f>
        <v>2020</v>
      </c>
      <c r="K271" s="199">
        <f t="shared" ref="K271:K334" si="104">t</f>
        <v>45183</v>
      </c>
      <c r="L271" s="147">
        <f>IF(t&lt;Tvie,1-EXP((T0-t)*PertePVj)+'2022'!Pspv,1-EXP((T0-t)*PertePVj)+Pspv)</f>
        <v>4.2584811913539022E-2</v>
      </c>
      <c r="M271" s="870"/>
      <c r="N271" s="870"/>
      <c r="O271" s="48">
        <f>IF(t&lt;Tnet,'2022'!Resal+('2022'!Salim-'2022'!Resal)*(1-EXP(('2022'!Tnet-t)/('2022'!Tau_j))),Resal+(Salim-Resal)*(1-EXP((Tnet-t)/(Tau_j))))*Salcycl</f>
        <v>6.4647499931808836E-2</v>
      </c>
      <c r="P271" s="171">
        <f>(INDEX(Models!$BJ271:$BT271,,T271)*(1-R271)+INDEX(Models!$BJ271:$BT271,,T271+1)*R271-ERP_i)*Q271*Ramure*Pc/MaxiM</f>
        <v>1.4529950928277531E-2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0.38669836787464273</v>
      </c>
      <c r="S271" s="837">
        <f t="shared" ref="S271:S334" si="107">INDEX(Echel_vg,T271)</f>
        <v>1</v>
      </c>
      <c r="T271" s="178">
        <f t="shared" ref="T271:T334" si="108">MIN(MATCH(Hp_vg,Echel_vg),10)</f>
        <v>7</v>
      </c>
      <c r="U271" s="253">
        <f t="shared" ref="U271:U334" si="109">IF(OR(t&lt;Ttai,Notai),Hdd+PousH*Croivg,Hdtf+PousH*(Croivg-Croi_tai))</f>
        <v>1.3866983678746427</v>
      </c>
      <c r="V271" s="385">
        <f t="shared" ref="V271:V334" si="110">MaxiM*(1-Ppv)*(1-Pvg)*(1-Psa)</f>
        <v>41.823724470437604</v>
      </c>
      <c r="W271" s="404">
        <f t="shared" ref="W271:W334" si="111">Wh*(A271&gt;Tmaj)</f>
        <v>34.428597914818191</v>
      </c>
      <c r="X271" s="157">
        <f t="shared" ref="X271:X334" si="112">t</f>
        <v>45183</v>
      </c>
      <c r="Y271" s="387">
        <f t="shared" ref="Y271:Y334" si="113">Wh_pvt_s*(1-Ppv)</f>
        <v>33.283477427313571</v>
      </c>
      <c r="Z271" s="387">
        <f t="shared" ref="Z271:Z334" si="114">Wh_sa_s*(1-Psa_s)</f>
        <v>34.763891195245847</v>
      </c>
      <c r="AA271" s="388">
        <f t="shared" ref="AA271:AA334" si="115">Wh_hp*(1-Pvg_s*MEDIAN((-Sdif+Wh/Env_an)/Csdif,0,1))</f>
        <v>38.445340579768072</v>
      </c>
      <c r="AB271" s="199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9.5758011998457737E-2</v>
      </c>
      <c r="AD271" s="233">
        <f>(INDEX(Models!$BJ271:$BT271,,AH271)*(1-AF271)+INDEX(Models!$BJ271:$BT271,,AH271+1)*AF271-ERP_i)*AE271*Ramure*Pc/MaxiM</f>
        <v>1.4529950928277531E-2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0.38669836787464273</v>
      </c>
      <c r="AG271" s="837">
        <f t="shared" si="99"/>
        <v>1</v>
      </c>
      <c r="AH271" s="178">
        <f t="shared" ref="AH271:AH334" si="119">MIN(MATCH(Hp_vg_s,Echel_vg),10)</f>
        <v>7</v>
      </c>
      <c r="AI271" s="227">
        <f t="shared" ref="AI271:AI334" si="120">IF(OR(t&lt;Ttai,Notai),Hdd_s+PousH*Croivg,Hdtai_s+PousH*(Croivg-Croi_tai))</f>
        <v>1.3866983678746427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45184</v>
      </c>
      <c r="B272" s="1139">
        <f>IF(t&gt;Tmaj,'2022'!Wh/'2022'!Env_an*'2023'!Env_an,0.001*'[11]mon-tableau (3)'!$B$216)</f>
        <v>37.563908309082478</v>
      </c>
      <c r="C272" s="866"/>
      <c r="D272" s="395">
        <f t="shared" si="102"/>
        <v>39.235624172130258</v>
      </c>
      <c r="E272" s="387">
        <f t="shared" si="100"/>
        <v>41.957028295417722</v>
      </c>
      <c r="F272" s="387">
        <f t="shared" si="103"/>
        <v>42.501407975184939</v>
      </c>
      <c r="G272" s="110">
        <f t="shared" si="101"/>
        <v>0.90487779953523195</v>
      </c>
      <c r="H272" s="414" t="b">
        <f>Wh_hp&gt;='2022'!Maxi_hp</f>
        <v>0</v>
      </c>
      <c r="I272" s="392">
        <f>IF(H272,Wh_hp,'2022'!Maxi_hp)</f>
        <v>44.298163479728281</v>
      </c>
      <c r="J272" s="85">
        <f>IF(H272,An,'2022'!An_max)</f>
        <v>2020</v>
      </c>
      <c r="K272" s="199">
        <f t="shared" si="104"/>
        <v>45184</v>
      </c>
      <c r="L272" s="147">
        <f>IF(t&lt;Tvie,1-EXP((T0-t)*PertePVj)+'2022'!Pspv,1-EXP((T0-t)*PertePVj)+Pspv)</f>
        <v>4.2607092363659338E-2</v>
      </c>
      <c r="M272" s="870"/>
      <c r="N272" s="870"/>
      <c r="O272" s="48">
        <f>IF(t&lt;Tnet,'2022'!Resal+('2022'!Salim-'2022'!Resal)*(1-EXP(('2022'!Tnet-t)/('2022'!Tau_j))),Resal+(Salim-Resal)*(1-EXP((Tnet-t)/(Tau_j))))*Salcycl</f>
        <v>6.4861698596148626E-2</v>
      </c>
      <c r="P272" s="171">
        <f>(INDEX(Models!$BJ272:$BT272,,T272)*(1-R272)+INDEX(Models!$BJ272:$BT272,,T272+1)*R272-ERP_i)*Q272*Ramure*Pc/MaxiM</f>
        <v>1.4778549369492374E-2</v>
      </c>
      <c r="Q272" s="307">
        <f t="shared" si="105"/>
        <v>1</v>
      </c>
      <c r="R272" s="179">
        <f t="shared" si="106"/>
        <v>0.38722445512850001</v>
      </c>
      <c r="S272" s="837">
        <f t="shared" si="107"/>
        <v>1</v>
      </c>
      <c r="T272" s="178">
        <f t="shared" si="108"/>
        <v>7</v>
      </c>
      <c r="U272" s="253">
        <f t="shared" si="109"/>
        <v>1.3872244551285</v>
      </c>
      <c r="V272" s="385">
        <f t="shared" si="110"/>
        <v>41.429843638024423</v>
      </c>
      <c r="W272" s="404">
        <f t="shared" si="111"/>
        <v>37.563908309082478</v>
      </c>
      <c r="X272" s="157">
        <f t="shared" si="112"/>
        <v>45184</v>
      </c>
      <c r="Y272" s="387">
        <f t="shared" si="113"/>
        <v>36.317066029176516</v>
      </c>
      <c r="Z272" s="387">
        <f t="shared" si="114"/>
        <v>37.933293363158391</v>
      </c>
      <c r="AA272" s="388">
        <f t="shared" si="115"/>
        <v>41.957028295417722</v>
      </c>
      <c r="AB272" s="199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9.5901332761900437E-2</v>
      </c>
      <c r="AD272" s="233">
        <f>(INDEX(Models!$BJ272:$BT272,,AH272)*(1-AF272)+INDEX(Models!$BJ272:$BT272,,AH272+1)*AF272-ERP_i)*AE272*Ramure*Pc/MaxiM</f>
        <v>1.4778549369492374E-2</v>
      </c>
      <c r="AE272" s="307">
        <f t="shared" si="117"/>
        <v>1</v>
      </c>
      <c r="AF272" s="179">
        <f t="shared" si="118"/>
        <v>0.38722445512850001</v>
      </c>
      <c r="AG272" s="837">
        <f t="shared" ref="AG272:AG335" si="124">INDEX(Echel_vg,AH272)</f>
        <v>1</v>
      </c>
      <c r="AH272" s="178">
        <f t="shared" si="119"/>
        <v>7</v>
      </c>
      <c r="AI272" s="227">
        <f t="shared" si="120"/>
        <v>1.3872244551285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45185</v>
      </c>
      <c r="B273" s="1139">
        <f>IF(t&gt;Tmaj,'2022'!Wh/'2022'!Env_an*'2023'!Env_an,0.001*'[11]mon-tableau (3)'!$B$217)</f>
        <v>25.922232067424286</v>
      </c>
      <c r="C273" s="866"/>
      <c r="D273" s="395">
        <f t="shared" si="102"/>
        <v>27.076485654852846</v>
      </c>
      <c r="E273" s="387">
        <f t="shared" si="100"/>
        <v>28.961107493454673</v>
      </c>
      <c r="F273" s="387">
        <f t="shared" si="103"/>
        <v>29.168931837402443</v>
      </c>
      <c r="G273" s="110">
        <f t="shared" si="101"/>
        <v>0.62669739054211382</v>
      </c>
      <c r="H273" s="414" t="b">
        <f>Wh_hp&gt;='2022'!Maxi_hp</f>
        <v>0</v>
      </c>
      <c r="I273" s="392">
        <f>IF(H273,Wh_hp,'2022'!Maxi_hp)</f>
        <v>41.309842416196986</v>
      </c>
      <c r="J273" s="85">
        <f>IF(H273,An,'2022'!An_max)</f>
        <v>2019</v>
      </c>
      <c r="K273" s="199">
        <f t="shared" si="104"/>
        <v>45185</v>
      </c>
      <c r="L273" s="147">
        <f>IF(t&lt;Tvie,1-EXP((T0-t)*PertePVj)+'2022'!Pspv,1-EXP((T0-t)*PertePVj)+Pspv)</f>
        <v>4.2629372295281076E-2</v>
      </c>
      <c r="M273" s="870"/>
      <c r="N273" s="870"/>
      <c r="O273" s="48">
        <f>IF(t&lt;Tnet,'2022'!Resal+('2022'!Salim-'2022'!Resal)*(1-EXP(('2022'!Tnet-t)/('2022'!Tau_j))),Resal+(Salim-Resal)*(1-EXP((Tnet-t)/(Tau_j))))*Salcycl</f>
        <v>6.5074232365863696E-2</v>
      </c>
      <c r="P273" s="171">
        <f>(INDEX(Models!$BJ273:$BT273,,T273)*(1-R273)+INDEX(Models!$BJ273:$BT273,,T273+1)*R273-ERP_i)*Q273*Ramure*Pc/MaxiM</f>
        <v>1.5034506158041163E-2</v>
      </c>
      <c r="Q273" s="307">
        <f t="shared" si="105"/>
        <v>1</v>
      </c>
      <c r="R273" s="179">
        <f t="shared" si="106"/>
        <v>0.3877301178691539</v>
      </c>
      <c r="S273" s="837">
        <f t="shared" si="107"/>
        <v>1</v>
      </c>
      <c r="T273" s="178">
        <f t="shared" si="108"/>
        <v>7</v>
      </c>
      <c r="U273" s="253">
        <f t="shared" si="109"/>
        <v>1.3877301178691539</v>
      </c>
      <c r="V273" s="385">
        <f t="shared" si="110"/>
        <v>41.033719384565977</v>
      </c>
      <c r="W273" s="404">
        <f t="shared" si="111"/>
        <v>25.922232067424286</v>
      </c>
      <c r="X273" s="157">
        <f t="shared" si="112"/>
        <v>45185</v>
      </c>
      <c r="Y273" s="387">
        <f t="shared" si="113"/>
        <v>25.063585713821197</v>
      </c>
      <c r="Z273" s="387">
        <f t="shared" si="114"/>
        <v>26.179605879397776</v>
      </c>
      <c r="AA273" s="388">
        <f t="shared" si="115"/>
        <v>28.961107493454673</v>
      </c>
      <c r="AB273" s="199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9.6042653572054423E-2</v>
      </c>
      <c r="AD273" s="233">
        <f>(INDEX(Models!$BJ273:$BT273,,AH273)*(1-AF273)+INDEX(Models!$BJ273:$BT273,,AH273+1)*AF273-ERP_i)*AE273*Ramure*Pc/MaxiM</f>
        <v>1.5034506158041163E-2</v>
      </c>
      <c r="AE273" s="307">
        <f t="shared" si="117"/>
        <v>1</v>
      </c>
      <c r="AF273" s="179">
        <f t="shared" si="118"/>
        <v>0.3877301178691539</v>
      </c>
      <c r="AG273" s="837">
        <f t="shared" si="124"/>
        <v>1</v>
      </c>
      <c r="AH273" s="178">
        <f t="shared" si="119"/>
        <v>7</v>
      </c>
      <c r="AI273" s="227">
        <f t="shared" si="120"/>
        <v>1.3877301178691539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45186</v>
      </c>
      <c r="B274" s="1139">
        <f>IF(t&gt;Tmaj,'2022'!Wh/'2022'!Env_an*'2023'!Env_an,0.001*'[11]mon-tableau (3)'!$B$218)</f>
        <v>40.685539255173374</v>
      </c>
      <c r="C274" s="866"/>
      <c r="D274" s="395">
        <f t="shared" si="102"/>
        <v>42.498155794364628</v>
      </c>
      <c r="E274" s="387">
        <f t="shared" si="100"/>
        <v>45.466434327284645</v>
      </c>
      <c r="F274" s="387">
        <f t="shared" si="103"/>
        <v>46.172782046829937</v>
      </c>
      <c r="G274" s="110">
        <f t="shared" si="101"/>
        <v>1.0012226029271674</v>
      </c>
      <c r="H274" s="414" t="b">
        <f>Wh_hp&gt;='2022'!Maxi_hp</f>
        <v>1</v>
      </c>
      <c r="I274" s="392">
        <f>IF(H274,Wh_hp,'2022'!Maxi_hp)</f>
        <v>46.172782046829937</v>
      </c>
      <c r="J274" s="85">
        <f>IF(H274,An,'2022'!An_max)</f>
        <v>2023</v>
      </c>
      <c r="K274" s="199">
        <f t="shared" si="104"/>
        <v>45186</v>
      </c>
      <c r="L274" s="147">
        <f>IF(t&lt;Tvie,1-EXP((T0-t)*PertePVj)+'2022'!Pspv,1-EXP((T0-t)*PertePVj)+Pspv)</f>
        <v>4.2651651708416227E-2</v>
      </c>
      <c r="M274" s="870"/>
      <c r="N274" s="870"/>
      <c r="O274" s="48">
        <f>IF(t&lt;Tnet,'2022'!Resal+('2022'!Salim-'2022'!Resal)*(1-EXP(('2022'!Tnet-t)/('2022'!Tau_j))),Resal+(Salim-Resal)*(1-EXP((Tnet-t)/(Tau_j))))*Salcycl</f>
        <v>6.528505207936959E-2</v>
      </c>
      <c r="P274" s="171">
        <f>(INDEX(Models!$BJ274:$BT274,,T274)*(1-R274)+INDEX(Models!$BJ274:$BT274,,T274+1)*R274-ERP_i)*Q274*Ramure*Pc/MaxiM</f>
        <v>1.5297924193281031E-2</v>
      </c>
      <c r="Q274" s="307">
        <f t="shared" si="105"/>
        <v>1</v>
      </c>
      <c r="R274" s="179">
        <f t="shared" si="106"/>
        <v>0.38821612023229157</v>
      </c>
      <c r="S274" s="837">
        <f t="shared" si="107"/>
        <v>1</v>
      </c>
      <c r="T274" s="178">
        <f t="shared" si="108"/>
        <v>7</v>
      </c>
      <c r="U274" s="253">
        <f t="shared" si="109"/>
        <v>1.3882161202322916</v>
      </c>
      <c r="V274" s="385">
        <f t="shared" si="110"/>
        <v>40.635857736556702</v>
      </c>
      <c r="W274" s="404">
        <f t="shared" si="111"/>
        <v>40.685539255173374</v>
      </c>
      <c r="X274" s="157">
        <f t="shared" si="112"/>
        <v>45186</v>
      </c>
      <c r="Y274" s="387">
        <f t="shared" si="113"/>
        <v>39.340685088377086</v>
      </c>
      <c r="Z274" s="387">
        <f t="shared" si="114"/>
        <v>41.093385870024946</v>
      </c>
      <c r="AA274" s="388">
        <f t="shared" si="115"/>
        <v>45.466434327284645</v>
      </c>
      <c r="AB274" s="199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9.6181909181195929E-2</v>
      </c>
      <c r="AD274" s="233">
        <f>(INDEX(Models!$BJ274:$BT274,,AH274)*(1-AF274)+INDEX(Models!$BJ274:$BT274,,AH274+1)*AF274-ERP_i)*AE274*Ramure*Pc/MaxiM</f>
        <v>1.5297924193281031E-2</v>
      </c>
      <c r="AE274" s="307">
        <f t="shared" si="117"/>
        <v>1</v>
      </c>
      <c r="AF274" s="179">
        <f t="shared" si="118"/>
        <v>0.38821612023229157</v>
      </c>
      <c r="AG274" s="837">
        <f t="shared" si="124"/>
        <v>1</v>
      </c>
      <c r="AH274" s="178">
        <f t="shared" si="119"/>
        <v>7</v>
      </c>
      <c r="AI274" s="227">
        <f t="shared" si="120"/>
        <v>1.3882161202322916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45187</v>
      </c>
      <c r="B275" s="1139">
        <f>IF(t&gt;Tmaj,'2022'!Wh/'2022'!Env_an*'2023'!Env_an,0.001*'[11]mon-tableau (3)'!$B$219)</f>
        <v>40.99690632911588</v>
      </c>
      <c r="C275" s="866"/>
      <c r="D275" s="395">
        <f t="shared" si="102"/>
        <v>42.824391437436027</v>
      </c>
      <c r="E275" s="387">
        <f t="shared" si="100"/>
        <v>45.825705077379247</v>
      </c>
      <c r="F275" s="387">
        <f t="shared" si="103"/>
        <v>46.550502444170561</v>
      </c>
      <c r="G275" s="110">
        <f t="shared" si="101"/>
        <v>1.0189736869084016</v>
      </c>
      <c r="H275" s="414" t="b">
        <f>Wh_hp&gt;='2022'!Maxi_hp</f>
        <v>1</v>
      </c>
      <c r="I275" s="392">
        <f>IF(H275,Wh_hp,'2022'!Maxi_hp)</f>
        <v>46.550502444170561</v>
      </c>
      <c r="J275" s="85">
        <f>IF(H275,An,'2022'!An_max)</f>
        <v>2023</v>
      </c>
      <c r="K275" s="199">
        <f t="shared" si="104"/>
        <v>45187</v>
      </c>
      <c r="L275" s="147">
        <f>IF(t&lt;Tvie,1-EXP((T0-t)*PertePVj)+'2022'!Pspv,1-EXP((T0-t)*PertePVj)+Pspv)</f>
        <v>4.2673930603076893E-2</v>
      </c>
      <c r="M275" s="870"/>
      <c r="N275" s="870"/>
      <c r="O275" s="48">
        <f>IF(t&lt;Tnet,'2022'!Resal+('2022'!Salim-'2022'!Resal)*(1-EXP(('2022'!Tnet-t)/('2022'!Tau_j))),Resal+(Salim-Resal)*(1-EXP((Tnet-t)/(Tau_j))))*Salcycl</f>
        <v>6.5494107180136957E-2</v>
      </c>
      <c r="P275" s="171">
        <f>(INDEX(Models!$BJ275:$BT275,,T275)*(1-R275)+INDEX(Models!$BJ275:$BT275,,T275+1)*R275-ERP_i)*Q275*Ramure*Pc/MaxiM</f>
        <v>1.557012983180122E-2</v>
      </c>
      <c r="Q275" s="307">
        <f t="shared" si="105"/>
        <v>1</v>
      </c>
      <c r="R275" s="179">
        <f t="shared" si="106"/>
        <v>0.38868320000609247</v>
      </c>
      <c r="S275" s="837">
        <f t="shared" si="107"/>
        <v>1</v>
      </c>
      <c r="T275" s="178">
        <f t="shared" si="108"/>
        <v>7</v>
      </c>
      <c r="U275" s="253">
        <f t="shared" si="109"/>
        <v>1.3886832000060925</v>
      </c>
      <c r="V275" s="385">
        <f t="shared" si="110"/>
        <v>40.233527966263573</v>
      </c>
      <c r="W275" s="404">
        <f t="shared" si="111"/>
        <v>40.99690632911588</v>
      </c>
      <c r="X275" s="157">
        <f t="shared" si="112"/>
        <v>45187</v>
      </c>
      <c r="Y275" s="387">
        <f t="shared" si="113"/>
        <v>39.644612467043892</v>
      </c>
      <c r="Z275" s="387">
        <f t="shared" si="114"/>
        <v>41.411817492882442</v>
      </c>
      <c r="AA275" s="388">
        <f t="shared" si="115"/>
        <v>45.825705077379247</v>
      </c>
      <c r="AB275" s="199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9.6319032670500362E-2</v>
      </c>
      <c r="AD275" s="233">
        <f>(INDEX(Models!$BJ275:$BT275,,AH275)*(1-AF275)+INDEX(Models!$BJ275:$BT275,,AH275+1)*AF275-ERP_i)*AE275*Ramure*Pc/MaxiM</f>
        <v>1.557012983180122E-2</v>
      </c>
      <c r="AE275" s="307">
        <f t="shared" si="117"/>
        <v>1</v>
      </c>
      <c r="AF275" s="179">
        <f t="shared" si="118"/>
        <v>0.38868320000609247</v>
      </c>
      <c r="AG275" s="837">
        <f t="shared" si="124"/>
        <v>1</v>
      </c>
      <c r="AH275" s="178">
        <f t="shared" si="119"/>
        <v>7</v>
      </c>
      <c r="AI275" s="227">
        <f t="shared" si="120"/>
        <v>1.3886832000060925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45188</v>
      </c>
      <c r="B276" s="1139">
        <f>IF(t&gt;Tmaj,'2022'!Wh/'2022'!Env_an*'2023'!Env_an,0.001*'[11]mon-tableau (3)'!$B$220)</f>
        <v>39.300269435253512</v>
      </c>
      <c r="C276" s="866"/>
      <c r="D276" s="395">
        <f t="shared" si="102"/>
        <v>41.053080332367237</v>
      </c>
      <c r="E276" s="387">
        <f t="shared" si="100"/>
        <v>43.939997290462891</v>
      </c>
      <c r="F276" s="387">
        <f t="shared" si="103"/>
        <v>44.635369831420881</v>
      </c>
      <c r="G276" s="110">
        <f t="shared" si="101"/>
        <v>0.98656795297797584</v>
      </c>
      <c r="H276" s="414" t="b">
        <f>Wh_hp&gt;='2022'!Maxi_hp</f>
        <v>0</v>
      </c>
      <c r="I276" s="392">
        <f>IF(H276,Wh_hp,'2022'!Maxi_hp)</f>
        <v>44.638887158912787</v>
      </c>
      <c r="J276" s="85">
        <f>IF(H276,An,'2022'!An_max)</f>
        <v>2022</v>
      </c>
      <c r="K276" s="199">
        <f t="shared" si="104"/>
        <v>45188</v>
      </c>
      <c r="L276" s="147">
        <f>IF(t&lt;Tvie,1-EXP((T0-t)*PertePVj)+'2022'!Pspv,1-EXP((T0-t)*PertePVj)+Pspv)</f>
        <v>4.2696208979275174E-2</v>
      </c>
      <c r="M276" s="870"/>
      <c r="N276" s="870"/>
      <c r="O276" s="48">
        <f>IF(t&lt;Tnet,'2022'!Resal+('2022'!Salim-'2022'!Resal)*(1-EXP(('2022'!Tnet-t)/('2022'!Tau_j))),Resal+(Salim-Resal)*(1-EXP((Tnet-t)/(Tau_j))))*Salcycl</f>
        <v>6.5701345837867339E-2</v>
      </c>
      <c r="P276" s="171">
        <f>(INDEX(Models!$BJ276:$BT276,,T276)*(1-R276)+INDEX(Models!$BJ276:$BT276,,T276+1)*R276-ERP_i)*Q276*Ramure*Pc/MaxiM</f>
        <v>1.5876839589910114E-2</v>
      </c>
      <c r="Q276" s="307">
        <f t="shared" si="105"/>
        <v>1</v>
      </c>
      <c r="R276" s="179">
        <f t="shared" si="106"/>
        <v>0.38913206936305866</v>
      </c>
      <c r="S276" s="837">
        <f t="shared" si="107"/>
        <v>1</v>
      </c>
      <c r="T276" s="178">
        <f t="shared" si="108"/>
        <v>7</v>
      </c>
      <c r="U276" s="253">
        <f t="shared" si="109"/>
        <v>1.3891320693630587</v>
      </c>
      <c r="V276" s="385">
        <f t="shared" si="110"/>
        <v>39.82328557672853</v>
      </c>
      <c r="W276" s="404">
        <f t="shared" si="111"/>
        <v>39.300269435253512</v>
      </c>
      <c r="X276" s="157">
        <f t="shared" si="112"/>
        <v>45188</v>
      </c>
      <c r="Y276" s="387">
        <f t="shared" si="113"/>
        <v>38.006693932848187</v>
      </c>
      <c r="Z276" s="387">
        <f t="shared" si="114"/>
        <v>39.701810741106087</v>
      </c>
      <c r="AA276" s="388">
        <f t="shared" si="115"/>
        <v>43.939997290462891</v>
      </c>
      <c r="AB276" s="199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9.645395563728662E-2</v>
      </c>
      <c r="AD276" s="233">
        <f>(INDEX(Models!$BJ276:$BT276,,AH276)*(1-AF276)+INDEX(Models!$BJ276:$BT276,,AH276+1)*AF276-ERP_i)*AE276*Ramure*Pc/MaxiM</f>
        <v>1.5876839589910114E-2</v>
      </c>
      <c r="AE276" s="307">
        <f t="shared" si="117"/>
        <v>1</v>
      </c>
      <c r="AF276" s="179">
        <f t="shared" si="118"/>
        <v>0.38913206936305866</v>
      </c>
      <c r="AG276" s="837">
        <f t="shared" si="124"/>
        <v>1</v>
      </c>
      <c r="AH276" s="178">
        <f t="shared" si="119"/>
        <v>7</v>
      </c>
      <c r="AI276" s="227">
        <f t="shared" si="120"/>
        <v>1.3891320693630587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45189</v>
      </c>
      <c r="B277" s="1139">
        <f>IF(t&gt;Tmaj,'2022'!Wh/'2022'!Env_an*'2023'!Env_an,0.001*'[11]mon-tableau (3)'!$B$221)</f>
        <v>40.278236396886193</v>
      </c>
      <c r="C277" s="866"/>
      <c r="D277" s="395">
        <f t="shared" si="102"/>
        <v>42.075644252025612</v>
      </c>
      <c r="E277" s="387">
        <f t="shared" si="100"/>
        <v>45.044370762489237</v>
      </c>
      <c r="F277" s="387">
        <f t="shared" si="103"/>
        <v>45.787183013416694</v>
      </c>
      <c r="G277" s="110">
        <f t="shared" si="101"/>
        <v>1.0221378580498535</v>
      </c>
      <c r="H277" s="414" t="b">
        <f>Wh_hp&gt;='2022'!Maxi_hp</f>
        <v>1</v>
      </c>
      <c r="I277" s="392">
        <f>IF(H277,Wh_hp,'2022'!Maxi_hp)</f>
        <v>45.787183013416694</v>
      </c>
      <c r="J277" s="85">
        <f>IF(H277,An,'2022'!An_max)</f>
        <v>2023</v>
      </c>
      <c r="K277" s="199">
        <f t="shared" si="104"/>
        <v>45189</v>
      </c>
      <c r="L277" s="147">
        <f>IF(t&lt;Tvie,1-EXP((T0-t)*PertePVj)+'2022'!Pspv,1-EXP((T0-t)*PertePVj)+Pspv)</f>
        <v>4.2718486837023062E-2</v>
      </c>
      <c r="M277" s="870"/>
      <c r="N277" s="870"/>
      <c r="O277" s="48">
        <f>IF(t&lt;Tnet,'2022'!Resal+('2022'!Salim-'2022'!Resal)*(1-EXP(('2022'!Tnet-t)/('2022'!Tau_j))),Resal+(Salim-Resal)*(1-EXP((Tnet-t)/(Tau_j))))*Salcycl</f>
        <v>6.5906715094704693E-2</v>
      </c>
      <c r="P277" s="171">
        <f>(INDEX(Models!$BJ277:$BT277,,T277)*(1-R277)+INDEX(Models!$BJ277:$BT277,,T277+1)*R277-ERP_i)*Q277*Ramure*Pc/MaxiM</f>
        <v>1.6223148096046851E-2</v>
      </c>
      <c r="Q277" s="307">
        <f t="shared" si="105"/>
        <v>1</v>
      </c>
      <c r="R277" s="179">
        <f t="shared" si="106"/>
        <v>0.38956341558614094</v>
      </c>
      <c r="S277" s="837">
        <f t="shared" si="107"/>
        <v>1</v>
      </c>
      <c r="T277" s="178">
        <f t="shared" si="108"/>
        <v>7</v>
      </c>
      <c r="U277" s="253">
        <f t="shared" si="109"/>
        <v>1.3895634155861409</v>
      </c>
      <c r="V277" s="385">
        <f t="shared" si="110"/>
        <v>39.405874735657882</v>
      </c>
      <c r="W277" s="404">
        <f t="shared" si="111"/>
        <v>40.278236396886193</v>
      </c>
      <c r="X277" s="157">
        <f t="shared" si="112"/>
        <v>45189</v>
      </c>
      <c r="Y277" s="387">
        <f t="shared" si="113"/>
        <v>38.95531499724764</v>
      </c>
      <c r="Z277" s="387">
        <f t="shared" si="114"/>
        <v>40.693687762270102</v>
      </c>
      <c r="AA277" s="388">
        <f t="shared" si="115"/>
        <v>45.044370762489237</v>
      </c>
      <c r="AB277" s="199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9.6586608416831796E-2</v>
      </c>
      <c r="AD277" s="233">
        <f>(INDEX(Models!$BJ277:$BT277,,AH277)*(1-AF277)+INDEX(Models!$BJ277:$BT277,,AH277+1)*AF277-ERP_i)*AE277*Ramure*Pc/MaxiM</f>
        <v>1.6223148096046851E-2</v>
      </c>
      <c r="AE277" s="307">
        <f t="shared" si="117"/>
        <v>1</v>
      </c>
      <c r="AF277" s="179">
        <f t="shared" si="118"/>
        <v>0.38956341558614094</v>
      </c>
      <c r="AG277" s="837">
        <f t="shared" si="124"/>
        <v>1</v>
      </c>
      <c r="AH277" s="178">
        <f t="shared" si="119"/>
        <v>7</v>
      </c>
      <c r="AI277" s="227">
        <f t="shared" si="120"/>
        <v>1.3895634155861409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45190</v>
      </c>
      <c r="B278" s="1139">
        <f>IF(t&gt;Tmaj,'2022'!Wh/'2022'!Env_an*'2023'!Env_an,0.001*'[11]mon-tableau (3)'!$B$222)</f>
        <v>39.106092768341746</v>
      </c>
      <c r="C278" s="866"/>
      <c r="D278" s="395">
        <f t="shared" si="102"/>
        <v>40.852144648876816</v>
      </c>
      <c r="E278" s="387">
        <f t="shared" si="100"/>
        <v>43.74407231396593</v>
      </c>
      <c r="F278" s="387">
        <f t="shared" si="103"/>
        <v>44.482939873798387</v>
      </c>
      <c r="G278" s="110">
        <f t="shared" si="101"/>
        <v>1.0031780250081224</v>
      </c>
      <c r="H278" s="414" t="b">
        <f>Wh_hp&gt;='2022'!Maxi_hp</f>
        <v>1</v>
      </c>
      <c r="I278" s="392">
        <f>IF(H278,Wh_hp,'2022'!Maxi_hp)</f>
        <v>44.482939873798387</v>
      </c>
      <c r="J278" s="85">
        <f>IF(H278,An,'2022'!An_max)</f>
        <v>2023</v>
      </c>
      <c r="K278" s="199">
        <f t="shared" si="104"/>
        <v>45190</v>
      </c>
      <c r="L278" s="147">
        <f>IF(t&lt;Tvie,1-EXP((T0-t)*PertePVj)+'2022'!Pspv,1-EXP((T0-t)*PertePVj)+Pspv)</f>
        <v>4.2740764176332546E-2</v>
      </c>
      <c r="M278" s="870"/>
      <c r="N278" s="870"/>
      <c r="O278" s="48">
        <f>IF(t&lt;Tnet,'2022'!Resal+('2022'!Salim-'2022'!Resal)*(1-EXP(('2022'!Tnet-t)/('2022'!Tau_j))),Resal+(Salim-Resal)*(1-EXP((Tnet-t)/(Tau_j))))*Salcycl</f>
        <v>6.6110161036969234E-2</v>
      </c>
      <c r="P278" s="171">
        <f>(INDEX(Models!$BJ278:$BT278,,T278)*(1-R278)+INDEX(Models!$BJ278:$BT278,,T278+1)*R278-ERP_i)*Q278*Ramure*Pc/MaxiM</f>
        <v>1.6610133276458047E-2</v>
      </c>
      <c r="Q278" s="307">
        <f t="shared" si="105"/>
        <v>1</v>
      </c>
      <c r="R278" s="179">
        <f t="shared" si="106"/>
        <v>0.38997790178776359</v>
      </c>
      <c r="S278" s="837">
        <f t="shared" si="107"/>
        <v>1</v>
      </c>
      <c r="T278" s="178">
        <f t="shared" si="108"/>
        <v>7</v>
      </c>
      <c r="U278" s="253">
        <f t="shared" si="109"/>
        <v>1.3899779017877636</v>
      </c>
      <c r="V278" s="385">
        <f t="shared" si="110"/>
        <v>38.982206341715987</v>
      </c>
      <c r="W278" s="404">
        <f t="shared" si="111"/>
        <v>39.106092768341746</v>
      </c>
      <c r="X278" s="157">
        <f t="shared" si="112"/>
        <v>45190</v>
      </c>
      <c r="Y278" s="387">
        <f t="shared" si="113"/>
        <v>37.824452559111037</v>
      </c>
      <c r="Z278" s="387">
        <f t="shared" si="114"/>
        <v>39.51328035666873</v>
      </c>
      <c r="AA278" s="388">
        <f t="shared" si="115"/>
        <v>43.74407231396593</v>
      </c>
      <c r="AB278" s="199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9.6716920339089241E-2</v>
      </c>
      <c r="AD278" s="233">
        <f>(INDEX(Models!$BJ278:$BT278,,AH278)*(1-AF278)+INDEX(Models!$BJ278:$BT278,,AH278+1)*AF278-ERP_i)*AE278*Ramure*Pc/MaxiM</f>
        <v>1.6610133276458047E-2</v>
      </c>
      <c r="AE278" s="307">
        <f t="shared" si="117"/>
        <v>1</v>
      </c>
      <c r="AF278" s="179">
        <f t="shared" si="118"/>
        <v>0.38997790178776359</v>
      </c>
      <c r="AG278" s="837">
        <f t="shared" si="124"/>
        <v>1</v>
      </c>
      <c r="AH278" s="178">
        <f t="shared" si="119"/>
        <v>7</v>
      </c>
      <c r="AI278" s="227">
        <f t="shared" si="120"/>
        <v>1.3899779017877636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45191</v>
      </c>
      <c r="B279" s="1139">
        <f>IF(t&gt;Tmaj,'2022'!Wh/'2022'!Env_an*'2023'!Env_an,0.001*'[11]mon-tableau (3)'!$B$223)</f>
        <v>37.77867878823762</v>
      </c>
      <c r="C279" s="866"/>
      <c r="D279" s="395">
        <f t="shared" si="102"/>
        <v>39.466381268431306</v>
      </c>
      <c r="E279" s="387">
        <f t="shared" si="100"/>
        <v>42.269329354343675</v>
      </c>
      <c r="F279" s="387">
        <f t="shared" si="103"/>
        <v>42.980655393050078</v>
      </c>
      <c r="G279" s="110">
        <f t="shared" si="101"/>
        <v>0.97942332877220617</v>
      </c>
      <c r="H279" s="414" t="b">
        <f>Wh_hp&gt;='2022'!Maxi_hp</f>
        <v>0</v>
      </c>
      <c r="I279" s="392">
        <f>IF(H279,Wh_hp,'2022'!Maxi_hp)</f>
        <v>42.986661928230411</v>
      </c>
      <c r="J279" s="85">
        <f>IF(H279,An,'2022'!An_max)</f>
        <v>2022</v>
      </c>
      <c r="K279" s="199">
        <f t="shared" si="104"/>
        <v>45191</v>
      </c>
      <c r="L279" s="147">
        <f>IF(t&lt;Tvie,1-EXP((T0-t)*PertePVj)+'2022'!Pspv,1-EXP((T0-t)*PertePVj)+Pspv)</f>
        <v>4.2763040997215951E-2</v>
      </c>
      <c r="M279" s="870"/>
      <c r="N279" s="870"/>
      <c r="O279" s="48">
        <f>IF(t&lt;Tnet,'2022'!Resal+('2022'!Salim-'2022'!Resal)*(1-EXP(('2022'!Tnet-t)/('2022'!Tau_j))),Resal+(Salim-Resal)*(1-EXP((Tnet-t)/(Tau_j))))*Salcycl</f>
        <v>6.6311628992626409E-2</v>
      </c>
      <c r="P279" s="171">
        <f>(INDEX(Models!$BJ279:$BT279,,T279)*(1-R279)+INDEX(Models!$BJ279:$BT279,,T279+1)*R279-ERP_i)*Q279*Ramure*Pc/MaxiM</f>
        <v>1.7038914325223226E-2</v>
      </c>
      <c r="Q279" s="307">
        <f t="shared" si="105"/>
        <v>1</v>
      </c>
      <c r="R279" s="179">
        <f t="shared" si="106"/>
        <v>0.39037616762049776</v>
      </c>
      <c r="S279" s="837">
        <f t="shared" si="107"/>
        <v>1</v>
      </c>
      <c r="T279" s="178">
        <f t="shared" si="108"/>
        <v>7</v>
      </c>
      <c r="U279" s="253">
        <f t="shared" si="109"/>
        <v>1.3903761676204978</v>
      </c>
      <c r="V279" s="385">
        <f t="shared" si="110"/>
        <v>38.55319033994904</v>
      </c>
      <c r="W279" s="404">
        <f t="shared" si="111"/>
        <v>37.77867878823762</v>
      </c>
      <c r="X279" s="157">
        <f t="shared" si="112"/>
        <v>45191</v>
      </c>
      <c r="Y279" s="387">
        <f t="shared" si="113"/>
        <v>36.54325200984912</v>
      </c>
      <c r="Z279" s="387">
        <f t="shared" si="114"/>
        <v>38.175763760645637</v>
      </c>
      <c r="AA279" s="388">
        <f t="shared" si="115"/>
        <v>42.269329354343675</v>
      </c>
      <c r="AB279" s="199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9.6844820020248912E-2</v>
      </c>
      <c r="AD279" s="233">
        <f>(INDEX(Models!$BJ279:$BT279,,AH279)*(1-AF279)+INDEX(Models!$BJ279:$BT279,,AH279+1)*AF279-ERP_i)*AE279*Ramure*Pc/MaxiM</f>
        <v>1.7038914325223226E-2</v>
      </c>
      <c r="AE279" s="307">
        <f t="shared" si="117"/>
        <v>1</v>
      </c>
      <c r="AF279" s="179">
        <f t="shared" si="118"/>
        <v>0.39037616762049776</v>
      </c>
      <c r="AG279" s="837">
        <f t="shared" si="124"/>
        <v>1</v>
      </c>
      <c r="AH279" s="178">
        <f t="shared" si="119"/>
        <v>7</v>
      </c>
      <c r="AI279" s="227">
        <f t="shared" si="120"/>
        <v>1.3903761676204978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45192</v>
      </c>
      <c r="B280" s="1139">
        <f>IF(t&gt;Tmaj,'2022'!Wh/'2022'!Env_an*'2023'!Env_an,0.001*'[11]mon-tableau (3)'!$B$224)</f>
        <v>24.319518198950387</v>
      </c>
      <c r="C280" s="866"/>
      <c r="D280" s="395">
        <f t="shared" si="102"/>
        <v>25.406545301148867</v>
      </c>
      <c r="E280" s="387">
        <f t="shared" si="100"/>
        <v>27.216761029147303</v>
      </c>
      <c r="F280" s="387">
        <f t="shared" si="103"/>
        <v>27.448830291689429</v>
      </c>
      <c r="G280" s="110">
        <f t="shared" si="101"/>
        <v>0.63215028913316829</v>
      </c>
      <c r="H280" s="414" t="b">
        <f>Wh_hp&gt;='2022'!Maxi_hp</f>
        <v>0</v>
      </c>
      <c r="I280" s="392">
        <f>IF(H280,Wh_hp,'2022'!Maxi_hp)</f>
        <v>39.136561933282216</v>
      </c>
      <c r="J280" s="85">
        <f>IF(H280,An,'2022'!An_max)</f>
        <v>2019</v>
      </c>
      <c r="K280" s="199">
        <f t="shared" si="104"/>
        <v>45192</v>
      </c>
      <c r="L280" s="147">
        <f>IF(t&lt;Tvie,1-EXP((T0-t)*PertePVj)+'2022'!Pspv,1-EXP((T0-t)*PertePVj)+Pspv)</f>
        <v>4.2785317299685155E-2</v>
      </c>
      <c r="M280" s="870"/>
      <c r="N280" s="870"/>
      <c r="O280" s="48">
        <f>IF(t&lt;Tnet,'2022'!Resal+('2022'!Salim-'2022'!Resal)*(1-EXP(('2022'!Tnet-t)/('2022'!Tau_j))),Resal+(Salim-Resal)*(1-EXP((Tnet-t)/(Tau_j))))*Salcycl</f>
        <v>6.6511063754420174E-2</v>
      </c>
      <c r="P280" s="171">
        <f>(INDEX(Models!$BJ280:$BT280,,T280)*(1-R280)+INDEX(Models!$BJ280:$BT280,,T280+1)*R280-ERP_i)*Q280*Ramure*Pc/MaxiM</f>
        <v>1.7510739029242064E-2</v>
      </c>
      <c r="Q280" s="307">
        <f t="shared" si="105"/>
        <v>1</v>
      </c>
      <c r="R280" s="179">
        <f t="shared" si="106"/>
        <v>0.39075882997828915</v>
      </c>
      <c r="S280" s="837">
        <f t="shared" si="107"/>
        <v>1</v>
      </c>
      <c r="T280" s="178">
        <f t="shared" si="108"/>
        <v>7</v>
      </c>
      <c r="U280" s="253">
        <f t="shared" si="109"/>
        <v>1.3907588299782891</v>
      </c>
      <c r="V280" s="385">
        <f t="shared" si="110"/>
        <v>38.119732106889892</v>
      </c>
      <c r="W280" s="404">
        <f t="shared" si="111"/>
        <v>24.319518198950387</v>
      </c>
      <c r="X280" s="157">
        <f t="shared" si="112"/>
        <v>45192</v>
      </c>
      <c r="Y280" s="387">
        <f t="shared" si="113"/>
        <v>23.525987223469052</v>
      </c>
      <c r="Z280" s="387">
        <f t="shared" si="114"/>
        <v>24.577545297468632</v>
      </c>
      <c r="AA280" s="388">
        <f t="shared" si="115"/>
        <v>27.216761029147303</v>
      </c>
      <c r="AB280" s="199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9.697023568867176E-2</v>
      </c>
      <c r="AD280" s="233">
        <f>(INDEX(Models!$BJ280:$BT280,,AH280)*(1-AF280)+INDEX(Models!$BJ280:$BT280,,AH280+1)*AF280-ERP_i)*AE280*Ramure*Pc/MaxiM</f>
        <v>1.7510739029242064E-2</v>
      </c>
      <c r="AE280" s="307">
        <f t="shared" si="117"/>
        <v>1</v>
      </c>
      <c r="AF280" s="179">
        <f t="shared" si="118"/>
        <v>0.39075882997828915</v>
      </c>
      <c r="AG280" s="837">
        <f t="shared" si="124"/>
        <v>1</v>
      </c>
      <c r="AH280" s="178">
        <f t="shared" si="119"/>
        <v>7</v>
      </c>
      <c r="AI280" s="227">
        <f t="shared" si="120"/>
        <v>1.3907588299782891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45193</v>
      </c>
      <c r="B281" s="1139">
        <f>IF(t&gt;Tmaj,'2022'!Wh/'2022'!Env_an*'2023'!Env_an,0.001*'[11]mon-tableau (3)'!$B$225)</f>
        <v>16.311917573006518</v>
      </c>
      <c r="C281" s="866"/>
      <c r="D281" s="395">
        <f t="shared" si="102"/>
        <v>17.041419734573569</v>
      </c>
      <c r="E281" s="387">
        <f t="shared" si="100"/>
        <v>18.259480653242061</v>
      </c>
      <c r="F281" s="387">
        <f t="shared" si="103"/>
        <v>18.322177009602392</v>
      </c>
      <c r="G281" s="110">
        <f t="shared" si="101"/>
        <v>0.42653123448191832</v>
      </c>
      <c r="H281" s="414" t="b">
        <f>Wh_hp&gt;='2022'!Maxi_hp</f>
        <v>0</v>
      </c>
      <c r="I281" s="392">
        <f>IF(H281,Wh_hp,'2022'!Maxi_hp)</f>
        <v>35.871023448312265</v>
      </c>
      <c r="J281" s="85">
        <f>IF(H281,An,'2022'!An_max)</f>
        <v>2021</v>
      </c>
      <c r="K281" s="199">
        <f t="shared" si="104"/>
        <v>45193</v>
      </c>
      <c r="L281" s="147">
        <f>IF(t&lt;Tvie,1-EXP((T0-t)*PertePVj)+'2022'!Pspv,1-EXP((T0-t)*PertePVj)+Pspv)</f>
        <v>4.280759308375226E-2</v>
      </c>
      <c r="M281" s="870"/>
      <c r="N281" s="870"/>
      <c r="O281" s="48">
        <f>IF(t&lt;Tnet,'2022'!Resal+('2022'!Salim-'2022'!Resal)*(1-EXP(('2022'!Tnet-t)/('2022'!Tau_j))),Resal+(Salim-Resal)*(1-EXP((Tnet-t)/(Tau_j))))*Salcycl</f>
        <v>6.6708409828305837E-2</v>
      </c>
      <c r="P281" s="171">
        <f>(INDEX(Models!$BJ281:$BT281,,T281)*(1-R281)+INDEX(Models!$BJ281:$BT281,,T281+1)*R281-ERP_i)*Q281*Ramure*Pc/MaxiM</f>
        <v>1.8026846958520561E-2</v>
      </c>
      <c r="Q281" s="307">
        <f t="shared" si="105"/>
        <v>1</v>
      </c>
      <c r="R281" s="179">
        <f t="shared" si="106"/>
        <v>0.39112648368727965</v>
      </c>
      <c r="S281" s="837">
        <f t="shared" si="107"/>
        <v>1</v>
      </c>
      <c r="T281" s="178">
        <f t="shared" si="108"/>
        <v>7</v>
      </c>
      <c r="U281" s="253">
        <f t="shared" si="109"/>
        <v>1.3911264836872796</v>
      </c>
      <c r="V281" s="385">
        <f t="shared" si="110"/>
        <v>37.682737635956684</v>
      </c>
      <c r="W281" s="404">
        <f t="shared" si="111"/>
        <v>16.311917573006518</v>
      </c>
      <c r="X281" s="157">
        <f t="shared" si="112"/>
        <v>45193</v>
      </c>
      <c r="Y281" s="387">
        <f t="shared" si="113"/>
        <v>15.780859011994378</v>
      </c>
      <c r="Z281" s="387">
        <f t="shared" si="114"/>
        <v>16.486611153587191</v>
      </c>
      <c r="AA281" s="388">
        <f t="shared" si="115"/>
        <v>18.259480653242061</v>
      </c>
      <c r="AB281" s="199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9.7093095544318817E-2</v>
      </c>
      <c r="AD281" s="233">
        <f>(INDEX(Models!$BJ281:$BT281,,AH281)*(1-AF281)+INDEX(Models!$BJ281:$BT281,,AH281+1)*AF281-ERP_i)*AE281*Ramure*Pc/MaxiM</f>
        <v>1.8026846958520561E-2</v>
      </c>
      <c r="AE281" s="307">
        <f t="shared" si="117"/>
        <v>1</v>
      </c>
      <c r="AF281" s="179">
        <f t="shared" si="118"/>
        <v>0.39112648368727965</v>
      </c>
      <c r="AG281" s="837">
        <f t="shared" si="124"/>
        <v>1</v>
      </c>
      <c r="AH281" s="178">
        <f t="shared" si="119"/>
        <v>7</v>
      </c>
      <c r="AI281" s="227">
        <f t="shared" si="120"/>
        <v>1.3911264836872796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45194</v>
      </c>
      <c r="B282" s="1139">
        <f>IF(t&gt;Tmaj,'2022'!Wh/'2022'!Env_an*'2023'!Env_an,0.001*'[11]mon-tableau (3)'!$B$226)</f>
        <v>27.230228846275736</v>
      </c>
      <c r="C282" s="866"/>
      <c r="D282" s="395">
        <f t="shared" si="102"/>
        <v>28.448682157809472</v>
      </c>
      <c r="E282" s="387">
        <f t="shared" si="100"/>
        <v>30.488470981908534</v>
      </c>
      <c r="F282" s="387">
        <f t="shared" si="103"/>
        <v>30.842128915552706</v>
      </c>
      <c r="G282" s="110">
        <f t="shared" si="101"/>
        <v>0.72588057428072905</v>
      </c>
      <c r="H282" s="414" t="b">
        <f>Wh_hp&gt;='2022'!Maxi_hp</f>
        <v>0</v>
      </c>
      <c r="I282" s="392">
        <f>IF(H282,Wh_hp,'2022'!Maxi_hp)</f>
        <v>30.911204106697131</v>
      </c>
      <c r="J282" s="85">
        <f>IF(H282,An,'2022'!An_max)</f>
        <v>2022</v>
      </c>
      <c r="K282" s="199">
        <f t="shared" si="104"/>
        <v>45194</v>
      </c>
      <c r="L282" s="147">
        <f>IF(t&lt;Tvie,1-EXP((T0-t)*PertePVj)+'2022'!Pspv,1-EXP((T0-t)*PertePVj)+Pspv)</f>
        <v>4.2829868349429256E-2</v>
      </c>
      <c r="M282" s="870"/>
      <c r="N282" s="870"/>
      <c r="O282" s="48">
        <f>IF(t&lt;Tnet,'2022'!Resal+('2022'!Salim-'2022'!Resal)*(1-EXP(('2022'!Tnet-t)/('2022'!Tau_j))),Resal+(Salim-Resal)*(1-EXP((Tnet-t)/(Tau_j))))*Salcycl</f>
        <v>6.6903611706518359E-2</v>
      </c>
      <c r="P282" s="171">
        <f>(INDEX(Models!$BJ282:$BT282,,T282)*(1-R282)+INDEX(Models!$BJ282:$BT282,,T282+1)*R282-ERP_i)*Q282*Ramure*Pc/MaxiM</f>
        <v>1.8616151997412445E-2</v>
      </c>
      <c r="Q282" s="307">
        <f t="shared" si="105"/>
        <v>1</v>
      </c>
      <c r="R282" s="179">
        <f t="shared" si="106"/>
        <v>0.3914797021853853</v>
      </c>
      <c r="S282" s="837">
        <f t="shared" si="107"/>
        <v>1</v>
      </c>
      <c r="T282" s="178">
        <f t="shared" si="108"/>
        <v>7</v>
      </c>
      <c r="U282" s="253">
        <f t="shared" si="109"/>
        <v>1.3914797021853853</v>
      </c>
      <c r="V282" s="385">
        <f t="shared" si="110"/>
        <v>37.242062651102934</v>
      </c>
      <c r="W282" s="404">
        <f t="shared" si="111"/>
        <v>27.230228846275736</v>
      </c>
      <c r="X282" s="157">
        <f t="shared" si="112"/>
        <v>45194</v>
      </c>
      <c r="Y282" s="387">
        <f t="shared" si="113"/>
        <v>26.345710885016128</v>
      </c>
      <c r="Z282" s="387">
        <f t="shared" si="114"/>
        <v>27.524585247540951</v>
      </c>
      <c r="AA282" s="388">
        <f t="shared" si="115"/>
        <v>30.488470981908534</v>
      </c>
      <c r="AB282" s="199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9.7213328150379086E-2</v>
      </c>
      <c r="AD282" s="233">
        <f>(INDEX(Models!$BJ282:$BT282,,AH282)*(1-AF282)+INDEX(Models!$BJ282:$BT282,,AH282+1)*AF282-ERP_i)*AE282*Ramure*Pc/MaxiM</f>
        <v>1.8616151997412445E-2</v>
      </c>
      <c r="AE282" s="307">
        <f t="shared" si="117"/>
        <v>1</v>
      </c>
      <c r="AF282" s="179">
        <f t="shared" si="118"/>
        <v>0.3914797021853853</v>
      </c>
      <c r="AG282" s="837">
        <f t="shared" si="124"/>
        <v>1</v>
      </c>
      <c r="AH282" s="178">
        <f t="shared" si="119"/>
        <v>7</v>
      </c>
      <c r="AI282" s="227">
        <f t="shared" si="120"/>
        <v>1.3914797021853853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45195</v>
      </c>
      <c r="B283" s="1139">
        <f>IF(t&gt;Tmaj,'2022'!Wh/'2022'!Env_an*'2023'!Env_an,0.001*'[11]mon-tableau (3)'!$B$227)</f>
        <v>29.220104414394367</v>
      </c>
      <c r="C283" s="866"/>
      <c r="D283" s="395">
        <f t="shared" si="102"/>
        <v>30.528307830027686</v>
      </c>
      <c r="E283" s="387">
        <f t="shared" si="100"/>
        <v>32.723975808792467</v>
      </c>
      <c r="F283" s="387">
        <f t="shared" si="103"/>
        <v>33.175275185401382</v>
      </c>
      <c r="G283" s="110">
        <f t="shared" si="101"/>
        <v>0.78948421380413669</v>
      </c>
      <c r="H283" s="414" t="b">
        <f>Wh_hp&gt;='2022'!Maxi_hp</f>
        <v>0</v>
      </c>
      <c r="I283" s="392">
        <f>IF(H283,Wh_hp,'2022'!Maxi_hp)</f>
        <v>33.236088483579834</v>
      </c>
      <c r="J283" s="85">
        <f>IF(H283,An,'2022'!An_max)</f>
        <v>2022</v>
      </c>
      <c r="K283" s="199">
        <f t="shared" si="104"/>
        <v>45195</v>
      </c>
      <c r="L283" s="147">
        <f>IF(t&lt;Tvie,1-EXP((T0-t)*PertePVj)+'2022'!Pspv,1-EXP((T0-t)*PertePVj)+Pspv)</f>
        <v>4.2852143096728357E-2</v>
      </c>
      <c r="M283" s="870"/>
      <c r="N283" s="870"/>
      <c r="O283" s="48">
        <f>IF(t&lt;Tnet,'2022'!Resal+('2022'!Salim-'2022'!Resal)*(1-EXP(('2022'!Tnet-t)/('2022'!Tau_j))),Resal+(Salim-Resal)*(1-EXP((Tnet-t)/(Tau_j))))*Salcycl</f>
        <v>6.7096614164310689E-2</v>
      </c>
      <c r="P283" s="171">
        <f>(INDEX(Models!$BJ283:$BT283,,T283)*(1-R283)+INDEX(Models!$BJ283:$BT283,,T283+1)*R283-ERP_i)*Q283*Ramure*Pc/MaxiM</f>
        <v>1.9274274516372713E-2</v>
      </c>
      <c r="Q283" s="307">
        <f t="shared" si="105"/>
        <v>1</v>
      </c>
      <c r="R283" s="179">
        <f t="shared" si="106"/>
        <v>0.39181903818991426</v>
      </c>
      <c r="S283" s="837">
        <f t="shared" si="107"/>
        <v>1</v>
      </c>
      <c r="T283" s="178">
        <f t="shared" si="108"/>
        <v>7</v>
      </c>
      <c r="U283" s="253">
        <f t="shared" si="109"/>
        <v>1.3918190381899143</v>
      </c>
      <c r="V283" s="385">
        <f t="shared" si="110"/>
        <v>36.798858878074782</v>
      </c>
      <c r="W283" s="404">
        <f t="shared" si="111"/>
        <v>29.220104414394367</v>
      </c>
      <c r="X283" s="157">
        <f t="shared" si="112"/>
        <v>45195</v>
      </c>
      <c r="Y283" s="387">
        <f t="shared" si="113"/>
        <v>28.273116851633336</v>
      </c>
      <c r="Z283" s="387">
        <f t="shared" si="114"/>
        <v>29.538923007263847</v>
      </c>
      <c r="AA283" s="388">
        <f t="shared" si="115"/>
        <v>32.723975808792467</v>
      </c>
      <c r="AB283" s="199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9.7330862855388153E-2</v>
      </c>
      <c r="AD283" s="233">
        <f>(INDEX(Models!$BJ283:$BT283,,AH283)*(1-AF283)+INDEX(Models!$BJ283:$BT283,,AH283+1)*AF283-ERP_i)*AE283*Ramure*Pc/MaxiM</f>
        <v>1.9274274516372713E-2</v>
      </c>
      <c r="AE283" s="307">
        <f t="shared" si="117"/>
        <v>1</v>
      </c>
      <c r="AF283" s="179">
        <f t="shared" si="118"/>
        <v>0.39181903818991426</v>
      </c>
      <c r="AG283" s="837">
        <f t="shared" si="124"/>
        <v>1</v>
      </c>
      <c r="AH283" s="178">
        <f t="shared" si="119"/>
        <v>7</v>
      </c>
      <c r="AI283" s="227">
        <f t="shared" si="120"/>
        <v>1.3918190381899143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45196</v>
      </c>
      <c r="B284" s="1139">
        <f>IF(t&gt;Tmaj,'2022'!Wh/'2022'!Env_an*'2023'!Env_an,0.001*'[11]mon-tableau (3)'!$B$228)</f>
        <v>14.26607467131536</v>
      </c>
      <c r="C284" s="866"/>
      <c r="D284" s="395">
        <f t="shared" si="102"/>
        <v>14.905123141159821</v>
      </c>
      <c r="E284" s="387">
        <f t="shared" si="100"/>
        <v>15.980402262346102</v>
      </c>
      <c r="F284" s="387">
        <f t="shared" si="103"/>
        <v>16.022718344275585</v>
      </c>
      <c r="G284" s="110">
        <f t="shared" si="101"/>
        <v>0.38558937942890154</v>
      </c>
      <c r="H284" s="414" t="b">
        <f>Wh_hp&gt;='2022'!Maxi_hp</f>
        <v>0</v>
      </c>
      <c r="I284" s="392">
        <f>IF(H284,Wh_hp,'2022'!Maxi_hp)</f>
        <v>32.510091909422549</v>
      </c>
      <c r="J284" s="85">
        <f>IF(H284,An,'2022'!An_max)</f>
        <v>2019</v>
      </c>
      <c r="K284" s="199">
        <f t="shared" si="104"/>
        <v>45196</v>
      </c>
      <c r="L284" s="147">
        <f>IF(t&lt;Tvie,1-EXP((T0-t)*PertePVj)+'2022'!Pspv,1-EXP((T0-t)*PertePVj)+Pspv)</f>
        <v>4.2874417325661551E-2</v>
      </c>
      <c r="M284" s="870"/>
      <c r="N284" s="870"/>
      <c r="O284" s="48">
        <f>IF(t&lt;Tnet,'2022'!Resal+('2022'!Salim-'2022'!Resal)*(1-EXP(('2022'!Tnet-t)/('2022'!Tau_j))),Resal+(Salim-Resal)*(1-EXP((Tnet-t)/(Tau_j))))*Salcycl</f>
        <v>6.7287362579095455E-2</v>
      </c>
      <c r="P284" s="171">
        <f>(INDEX(Models!$BJ284:$BT284,,T284)*(1-R284)+INDEX(Models!$BJ284:$BT284,,T284+1)*R284-ERP_i)*Q284*Ramure*Pc/MaxiM</f>
        <v>2.0003137821651942E-2</v>
      </c>
      <c r="Q284" s="307">
        <f t="shared" si="105"/>
        <v>1</v>
      </c>
      <c r="R284" s="179">
        <f t="shared" si="106"/>
        <v>0.39214502435261123</v>
      </c>
      <c r="S284" s="837">
        <f t="shared" si="107"/>
        <v>1</v>
      </c>
      <c r="T284" s="178">
        <f t="shared" si="108"/>
        <v>7</v>
      </c>
      <c r="U284" s="253">
        <f t="shared" si="109"/>
        <v>1.3921450243526112</v>
      </c>
      <c r="V284" s="385">
        <f t="shared" si="110"/>
        <v>36.354033738639998</v>
      </c>
      <c r="W284" s="404">
        <f t="shared" si="111"/>
        <v>14.26607467131536</v>
      </c>
      <c r="X284" s="157">
        <f t="shared" si="112"/>
        <v>45196</v>
      </c>
      <c r="Y284" s="387">
        <f t="shared" si="113"/>
        <v>13.804796372727314</v>
      </c>
      <c r="Z284" s="387">
        <f t="shared" si="114"/>
        <v>14.423181892343576</v>
      </c>
      <c r="AA284" s="388">
        <f t="shared" si="115"/>
        <v>15.980402262346102</v>
      </c>
      <c r="AB284" s="199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9.7445630243722534E-2</v>
      </c>
      <c r="AD284" s="233">
        <f>(INDEX(Models!$BJ284:$BT284,,AH284)*(1-AF284)+INDEX(Models!$BJ284:$BT284,,AH284+1)*AF284-ERP_i)*AE284*Ramure*Pc/MaxiM</f>
        <v>2.0003137821651942E-2</v>
      </c>
      <c r="AE284" s="307">
        <f t="shared" si="117"/>
        <v>1</v>
      </c>
      <c r="AF284" s="179">
        <f t="shared" si="118"/>
        <v>0.39214502435261123</v>
      </c>
      <c r="AG284" s="837">
        <f t="shared" si="124"/>
        <v>1</v>
      </c>
      <c r="AH284" s="178">
        <f t="shared" si="119"/>
        <v>7</v>
      </c>
      <c r="AI284" s="227">
        <f t="shared" si="120"/>
        <v>1.3921450243526112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45197</v>
      </c>
      <c r="B285" s="1139">
        <f>IF(t&gt;Tmaj,'2022'!Wh/'2022'!Env_an*'2023'!Env_an,0.001*'[11]mon-tableau (3)'!$B$229)</f>
        <v>16.773024858191388</v>
      </c>
      <c r="C285" s="866"/>
      <c r="D285" s="395">
        <f t="shared" si="102"/>
        <v>17.524779928251718</v>
      </c>
      <c r="E285" s="387">
        <f t="shared" si="100"/>
        <v>18.792842040680892</v>
      </c>
      <c r="F285" s="387">
        <f t="shared" si="103"/>
        <v>18.886642826861532</v>
      </c>
      <c r="G285" s="110">
        <f t="shared" si="101"/>
        <v>0.4596696558273099</v>
      </c>
      <c r="H285" s="414" t="b">
        <f>Wh_hp&gt;='2022'!Maxi_hp</f>
        <v>0</v>
      </c>
      <c r="I285" s="392">
        <f>IF(H285,Wh_hp,'2022'!Maxi_hp)</f>
        <v>28.599911688914776</v>
      </c>
      <c r="J285" s="85">
        <f>IF(H285,An,'2022'!An_max)</f>
        <v>2019</v>
      </c>
      <c r="K285" s="199">
        <f t="shared" si="104"/>
        <v>45197</v>
      </c>
      <c r="L285" s="147">
        <f>IF(t&lt;Tvie,1-EXP((T0-t)*PertePVj)+'2022'!Pspv,1-EXP((T0-t)*PertePVj)+Pspv)</f>
        <v>4.289669103624083E-2</v>
      </c>
      <c r="M285" s="870"/>
      <c r="N285" s="870"/>
      <c r="O285" s="48">
        <f>IF(t&lt;Tnet,'2022'!Resal+('2022'!Salim-'2022'!Resal)*(1-EXP(('2022'!Tnet-t)/('2022'!Tau_j))),Resal+(Salim-Resal)*(1-EXP((Tnet-t)/(Tau_j))))*Salcycl</f>
        <v>6.7475803270425946E-2</v>
      </c>
      <c r="P285" s="171">
        <f>(INDEX(Models!$BJ285:$BT285,,T285)*(1-R285)+INDEX(Models!$BJ285:$BT285,,T285+1)*R285-ERP_i)*Q285*Ramure*Pc/MaxiM</f>
        <v>2.0804686439944854E-2</v>
      </c>
      <c r="Q285" s="307">
        <f t="shared" si="105"/>
        <v>1</v>
      </c>
      <c r="R285" s="179">
        <f t="shared" si="106"/>
        <v>0.39245817390161264</v>
      </c>
      <c r="S285" s="837">
        <f t="shared" si="107"/>
        <v>1</v>
      </c>
      <c r="T285" s="178">
        <f t="shared" si="108"/>
        <v>7</v>
      </c>
      <c r="U285" s="253">
        <f t="shared" si="109"/>
        <v>1.3924581739016126</v>
      </c>
      <c r="V285" s="385">
        <f t="shared" si="110"/>
        <v>35.908493497061187</v>
      </c>
      <c r="W285" s="404">
        <f t="shared" si="111"/>
        <v>16.773024858191388</v>
      </c>
      <c r="X285" s="157">
        <f t="shared" si="112"/>
        <v>45197</v>
      </c>
      <c r="Y285" s="387">
        <f t="shared" si="113"/>
        <v>16.231953539095116</v>
      </c>
      <c r="Z285" s="387">
        <f t="shared" si="114"/>
        <v>16.959458176640513</v>
      </c>
      <c r="AA285" s="388">
        <f t="shared" si="115"/>
        <v>18.792842040680892</v>
      </c>
      <c r="AB285" s="199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9.755756261195879E-2</v>
      </c>
      <c r="AD285" s="233">
        <f>(INDEX(Models!$BJ285:$BT285,,AH285)*(1-AF285)+INDEX(Models!$BJ285:$BT285,,AH285+1)*AF285-ERP_i)*AE285*Ramure*Pc/MaxiM</f>
        <v>2.0804686439944854E-2</v>
      </c>
      <c r="AE285" s="307">
        <f t="shared" si="117"/>
        <v>1</v>
      </c>
      <c r="AF285" s="179">
        <f t="shared" si="118"/>
        <v>0.39245817390161264</v>
      </c>
      <c r="AG285" s="837">
        <f t="shared" si="124"/>
        <v>1</v>
      </c>
      <c r="AH285" s="178">
        <f t="shared" si="119"/>
        <v>7</v>
      </c>
      <c r="AI285" s="227">
        <f t="shared" si="120"/>
        <v>1.3924581739016126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45198</v>
      </c>
      <c r="B286" s="1139">
        <f>IF(t&gt;Tmaj,'2022'!Wh/'2022'!Env_an*'2023'!Env_an,0.001*'[11]mon-tableau (3)'!$B$230)</f>
        <v>22.407699505809084</v>
      </c>
      <c r="C286" s="866"/>
      <c r="D286" s="395">
        <f t="shared" si="102"/>
        <v>23.412541538602113</v>
      </c>
      <c r="E286" s="387">
        <f t="shared" si="100"/>
        <v>25.111642582528958</v>
      </c>
      <c r="F286" s="387">
        <f t="shared" si="103"/>
        <v>25.372434497800523</v>
      </c>
      <c r="G286" s="110">
        <f t="shared" si="101"/>
        <v>0.62457933372613861</v>
      </c>
      <c r="H286" s="414" t="b">
        <f>Wh_hp&gt;='2022'!Maxi_hp</f>
        <v>0</v>
      </c>
      <c r="I286" s="392">
        <f>IF(H286,Wh_hp,'2022'!Maxi_hp)</f>
        <v>39.642846116741424</v>
      </c>
      <c r="J286" s="85">
        <f>IF(H286,An,'2022'!An_max)</f>
        <v>2019</v>
      </c>
      <c r="K286" s="199">
        <f t="shared" si="104"/>
        <v>45198</v>
      </c>
      <c r="L286" s="147">
        <f>IF(t&lt;Tvie,1-EXP((T0-t)*PertePVj)+'2022'!Pspv,1-EXP((T0-t)*PertePVj)+Pspv)</f>
        <v>4.2918964228478407E-2</v>
      </c>
      <c r="M286" s="870"/>
      <c r="N286" s="870"/>
      <c r="O286" s="48">
        <f>IF(t&lt;Tnet,'2022'!Resal+('2022'!Salim-'2022'!Resal)*(1-EXP(('2022'!Tnet-t)/('2022'!Tau_j))),Resal+(Salim-Resal)*(1-EXP((Tnet-t)/(Tau_j))))*Salcycl</f>
        <v>6.7661883858962268E-2</v>
      </c>
      <c r="P286" s="171">
        <f>(INDEX(Models!$BJ286:$BT286,,T286)*(1-R286)+INDEX(Models!$BJ286:$BT286,,T286+1)*R286-ERP_i)*Q286*Ramure*Pc/MaxiM</f>
        <v>2.1680868378170234E-2</v>
      </c>
      <c r="Q286" s="307">
        <f t="shared" si="105"/>
        <v>1</v>
      </c>
      <c r="R286" s="179">
        <f t="shared" si="106"/>
        <v>0.39275898126988684</v>
      </c>
      <c r="S286" s="837">
        <f t="shared" si="107"/>
        <v>1</v>
      </c>
      <c r="T286" s="178">
        <f t="shared" si="108"/>
        <v>7</v>
      </c>
      <c r="U286" s="253">
        <f t="shared" si="109"/>
        <v>1.3927589812698868</v>
      </c>
      <c r="V286" s="385">
        <f t="shared" si="110"/>
        <v>35.46314329512203</v>
      </c>
      <c r="W286" s="404">
        <f t="shared" si="111"/>
        <v>22.407699505809084</v>
      </c>
      <c r="X286" s="157">
        <f t="shared" si="112"/>
        <v>45198</v>
      </c>
      <c r="Y286" s="387">
        <f t="shared" si="113"/>
        <v>21.686569984822086</v>
      </c>
      <c r="Z286" s="387">
        <f t="shared" si="114"/>
        <v>22.659073969990555</v>
      </c>
      <c r="AA286" s="388">
        <f t="shared" si="115"/>
        <v>25.111642582528958</v>
      </c>
      <c r="AB286" s="199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9.7666594468206608E-2</v>
      </c>
      <c r="AD286" s="233">
        <f>(INDEX(Models!$BJ286:$BT286,,AH286)*(1-AF286)+INDEX(Models!$BJ286:$BT286,,AH286+1)*AF286-ERP_i)*AE286*Ramure*Pc/MaxiM</f>
        <v>2.1680868378170234E-2</v>
      </c>
      <c r="AE286" s="307">
        <f t="shared" si="117"/>
        <v>1</v>
      </c>
      <c r="AF286" s="179">
        <f t="shared" si="118"/>
        <v>0.39275898126988684</v>
      </c>
      <c r="AG286" s="837">
        <f t="shared" si="124"/>
        <v>1</v>
      </c>
      <c r="AH286" s="178">
        <f t="shared" si="119"/>
        <v>7</v>
      </c>
      <c r="AI286" s="227">
        <f t="shared" si="120"/>
        <v>1.3927589812698868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45199</v>
      </c>
      <c r="B287" s="1139">
        <f>IF(t&gt;Tmaj,'2022'!Wh/'2022'!Env_an*'2023'!Env_an,0.001*'[11]mon-tableau (3)'!$B$231)</f>
        <v>25.863813145070345</v>
      </c>
      <c r="C287" s="866"/>
      <c r="D287" s="395">
        <f t="shared" si="102"/>
        <v>27.024268668059207</v>
      </c>
      <c r="E287" s="387">
        <f t="shared" si="100"/>
        <v>28.991192150242401</v>
      </c>
      <c r="F287" s="387">
        <f t="shared" si="103"/>
        <v>29.408216148433961</v>
      </c>
      <c r="G287" s="110">
        <f t="shared" si="101"/>
        <v>0.73223455214404565</v>
      </c>
      <c r="H287" s="414" t="b">
        <f>Wh_hp&gt;='2022'!Maxi_hp</f>
        <v>0</v>
      </c>
      <c r="I287" s="392">
        <f>IF(H287,Wh_hp,'2022'!Maxi_hp)</f>
        <v>32.062263093878606</v>
      </c>
      <c r="J287" s="85">
        <f>IF(H287,An,'2022'!An_max)</f>
        <v>2020</v>
      </c>
      <c r="K287" s="199">
        <f t="shared" si="104"/>
        <v>45199</v>
      </c>
      <c r="L287" s="147">
        <f>IF(t&lt;Tvie,1-EXP((T0-t)*PertePVj)+'2022'!Pspv,1-EXP((T0-t)*PertePVj)+Pspv)</f>
        <v>4.294123690238616E-2</v>
      </c>
      <c r="M287" s="870"/>
      <c r="N287" s="870"/>
      <c r="O287" s="48">
        <f>IF(t&lt;Tnet,'2022'!Resal+('2022'!Salim-'2022'!Resal)*(1-EXP(('2022'!Tnet-t)/('2022'!Tau_j))),Resal+(Salim-Resal)*(1-EXP((Tnet-t)/(Tau_j))))*Salcycl</f>
        <v>6.7845553642289461E-2</v>
      </c>
      <c r="P287" s="171">
        <f>(INDEX(Models!$BJ287:$BT287,,T287)*(1-R287)+INDEX(Models!$BJ287:$BT287,,T287+1)*R287-ERP_i)*Q287*Ramure*Pc/MaxiM</f>
        <v>2.2633615164515824E-2</v>
      </c>
      <c r="Q287" s="307">
        <f t="shared" si="105"/>
        <v>1</v>
      </c>
      <c r="R287" s="179">
        <f t="shared" si="106"/>
        <v>0.39304792270981936</v>
      </c>
      <c r="S287" s="837">
        <f t="shared" si="107"/>
        <v>1</v>
      </c>
      <c r="T287" s="178">
        <f t="shared" si="108"/>
        <v>7</v>
      </c>
      <c r="U287" s="253">
        <f t="shared" si="109"/>
        <v>1.3930479227098194</v>
      </c>
      <c r="V287" s="385">
        <f t="shared" si="110"/>
        <v>35.018887187386667</v>
      </c>
      <c r="W287" s="404">
        <f t="shared" si="111"/>
        <v>25.863813145070345</v>
      </c>
      <c r="X287" s="157">
        <f t="shared" si="112"/>
        <v>45199</v>
      </c>
      <c r="Y287" s="387">
        <f t="shared" si="113"/>
        <v>25.033447352419088</v>
      </c>
      <c r="Z287" s="387">
        <f t="shared" si="114"/>
        <v>26.156646088685193</v>
      </c>
      <c r="AA287" s="388">
        <f t="shared" si="115"/>
        <v>28.991192150242401</v>
      </c>
      <c r="AB287" s="199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9.7772663051164277E-2</v>
      </c>
      <c r="AD287" s="233">
        <f>(INDEX(Models!$BJ287:$BT287,,AH287)*(1-AF287)+INDEX(Models!$BJ287:$BT287,,AH287+1)*AF287-ERP_i)*AE287*Ramure*Pc/MaxiM</f>
        <v>2.2633615164515824E-2</v>
      </c>
      <c r="AE287" s="307">
        <f t="shared" si="117"/>
        <v>1</v>
      </c>
      <c r="AF287" s="179">
        <f t="shared" si="118"/>
        <v>0.39304792270981936</v>
      </c>
      <c r="AG287" s="837">
        <f t="shared" si="124"/>
        <v>1</v>
      </c>
      <c r="AH287" s="178">
        <f t="shared" si="119"/>
        <v>7</v>
      </c>
      <c r="AI287" s="227">
        <f t="shared" si="120"/>
        <v>1.3930479227098194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45200</v>
      </c>
      <c r="B288" s="1139">
        <f>IF(t&gt;Tmaj,'2022'!Wh/'2022'!Env_an*'2023'!Env_an,0.001*'[12]mon-tableau (1)'!$B$208)</f>
        <v>31.096734041024138</v>
      </c>
      <c r="C288" s="866"/>
      <c r="D288" s="395">
        <f t="shared" si="102"/>
        <v>32.492735998410268</v>
      </c>
      <c r="E288" s="387">
        <f t="shared" si="100"/>
        <v>34.864451834852751</v>
      </c>
      <c r="F288" s="387">
        <f t="shared" si="103"/>
        <v>35.585499263032645</v>
      </c>
      <c r="G288" s="110">
        <f t="shared" si="101"/>
        <v>0.89623376206281224</v>
      </c>
      <c r="H288" s="414" t="b">
        <f>Wh_hp&gt;='2022'!Maxi_hp</f>
        <v>0</v>
      </c>
      <c r="I288" s="392">
        <f>IF(H288,Wh_hp,'2022'!Maxi_hp)</f>
        <v>38.101768879016269</v>
      </c>
      <c r="J288" s="85">
        <f>IF(H288,An,'2022'!An_max)</f>
        <v>2020</v>
      </c>
      <c r="K288" s="199">
        <f t="shared" si="104"/>
        <v>45200</v>
      </c>
      <c r="L288" s="147">
        <f>IF(t&lt;Tvie,1-EXP((T0-t)*PertePVj)+'2022'!Pspv,1-EXP((T0-t)*PertePVj)+Pspv)</f>
        <v>4.2963509057976301E-2</v>
      </c>
      <c r="M288" s="870"/>
      <c r="N288" s="870"/>
      <c r="O288" s="48">
        <f>IF(t&lt;Tnet,'2022'!Resal+('2022'!Salim-'2022'!Resal)*(1-EXP(('2022'!Tnet-t)/('2022'!Tau_j))),Resal+(Salim-Resal)*(1-EXP((Tnet-t)/(Tau_j))))*Salcycl</f>
        <v>6.8026763985188074E-2</v>
      </c>
      <c r="P288" s="171">
        <f>(INDEX(Models!$BJ288:$BT288,,T288)*(1-R288)+INDEX(Models!$BJ288:$BT288,,T288+1)*R288-ERP_i)*Q288*Ramure*Pc/MaxiM</f>
        <v>2.3664819511007611E-2</v>
      </c>
      <c r="Q288" s="307">
        <f t="shared" si="105"/>
        <v>1</v>
      </c>
      <c r="R288" s="179">
        <f t="shared" si="106"/>
        <v>0.39332545689366705</v>
      </c>
      <c r="S288" s="837">
        <f t="shared" si="107"/>
        <v>1</v>
      </c>
      <c r="T288" s="178">
        <f t="shared" si="108"/>
        <v>7</v>
      </c>
      <c r="U288" s="253">
        <f t="shared" si="109"/>
        <v>1.393325456893667</v>
      </c>
      <c r="V288" s="385">
        <f t="shared" si="110"/>
        <v>34.576628178777192</v>
      </c>
      <c r="W288" s="404">
        <f t="shared" si="111"/>
        <v>31.096734041024138</v>
      </c>
      <c r="X288" s="157">
        <f t="shared" si="112"/>
        <v>45200</v>
      </c>
      <c r="Y288" s="387">
        <f t="shared" si="113"/>
        <v>30.1007776503542</v>
      </c>
      <c r="Z288" s="387">
        <f t="shared" si="114"/>
        <v>31.452068897316135</v>
      </c>
      <c r="AA288" s="388">
        <f t="shared" si="115"/>
        <v>34.864451834852751</v>
      </c>
      <c r="AB288" s="199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9.7875708865308331E-2</v>
      </c>
      <c r="AD288" s="233">
        <f>(INDEX(Models!$BJ288:$BT288,,AH288)*(1-AF288)+INDEX(Models!$BJ288:$BT288,,AH288+1)*AF288-ERP_i)*AE288*Ramure*Pc/MaxiM</f>
        <v>2.3664819511007611E-2</v>
      </c>
      <c r="AE288" s="307">
        <f t="shared" si="117"/>
        <v>1</v>
      </c>
      <c r="AF288" s="179">
        <f t="shared" si="118"/>
        <v>0.39332545689366705</v>
      </c>
      <c r="AG288" s="837">
        <f t="shared" si="124"/>
        <v>1</v>
      </c>
      <c r="AH288" s="178">
        <f t="shared" si="119"/>
        <v>7</v>
      </c>
      <c r="AI288" s="227">
        <f t="shared" si="120"/>
        <v>1.393325456893667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45201</v>
      </c>
      <c r="B289" s="1139">
        <f>IF(t&gt;Tmaj,'2022'!Wh/'2022'!Env_an*'2023'!Env_an,0.001*'[12]mon-tableau (1)'!$B$209)</f>
        <v>32.820362081605005</v>
      </c>
      <c r="C289" s="866"/>
      <c r="D289" s="395">
        <f t="shared" si="102"/>
        <v>34.294539641687514</v>
      </c>
      <c r="E289" s="387">
        <f t="shared" si="100"/>
        <v>36.804830346707675</v>
      </c>
      <c r="F289" s="387">
        <f t="shared" si="103"/>
        <v>37.687405812417566</v>
      </c>
      <c r="G289" s="110">
        <f t="shared" si="101"/>
        <v>0.96020842542437668</v>
      </c>
      <c r="H289" s="414" t="b">
        <f>Wh_hp&gt;='2022'!Maxi_hp</f>
        <v>0</v>
      </c>
      <c r="I289" s="392">
        <f>IF(H289,Wh_hp,'2022'!Maxi_hp)</f>
        <v>37.706519945613685</v>
      </c>
      <c r="J289" s="85">
        <f>IF(H289,An,'2022'!An_max)</f>
        <v>2022</v>
      </c>
      <c r="K289" s="199">
        <f t="shared" si="104"/>
        <v>45201</v>
      </c>
      <c r="L289" s="147">
        <f>IF(t&lt;Tvie,1-EXP((T0-t)*PertePVj)+'2022'!Pspv,1-EXP((T0-t)*PertePVj)+Pspv)</f>
        <v>4.2985780695260822E-2</v>
      </c>
      <c r="M289" s="870"/>
      <c r="N289" s="870"/>
      <c r="O289" s="48">
        <f>IF(t&lt;Tnet,'2022'!Resal+('2022'!Salim-'2022'!Resal)*(1-EXP(('2022'!Tnet-t)/('2022'!Tau_j))),Resal+(Salim-Resal)*(1-EXP((Tnet-t)/(Tau_j))))*Salcycl</f>
        <v>6.820546872170867E-2</v>
      </c>
      <c r="P289" s="171">
        <f>(INDEX(Models!$BJ289:$BT289,,T289)*(1-R289)+INDEX(Models!$BJ289:$BT289,,T289+1)*R289-ERP_i)*Q289*Ramure*Pc/MaxiM</f>
        <v>2.4779462257927737E-2</v>
      </c>
      <c r="Q289" s="307">
        <f t="shared" si="105"/>
        <v>1</v>
      </c>
      <c r="R289" s="179">
        <f t="shared" si="106"/>
        <v>0.39359202549968586</v>
      </c>
      <c r="S289" s="837">
        <f t="shared" si="107"/>
        <v>1</v>
      </c>
      <c r="T289" s="178">
        <f t="shared" si="108"/>
        <v>7</v>
      </c>
      <c r="U289" s="253">
        <f t="shared" si="109"/>
        <v>1.3935920254996859</v>
      </c>
      <c r="V289" s="385">
        <f t="shared" si="110"/>
        <v>34.1328158964346</v>
      </c>
      <c r="W289" s="404">
        <f t="shared" si="111"/>
        <v>32.820362081605005</v>
      </c>
      <c r="X289" s="157">
        <f t="shared" si="112"/>
        <v>45201</v>
      </c>
      <c r="Y289" s="387">
        <f t="shared" si="113"/>
        <v>31.771773624800996</v>
      </c>
      <c r="Z289" s="387">
        <f t="shared" si="114"/>
        <v>33.19885220502038</v>
      </c>
      <c r="AA289" s="388">
        <f t="shared" si="115"/>
        <v>36.804830346707675</v>
      </c>
      <c r="AB289" s="199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9.7975676228320457E-2</v>
      </c>
      <c r="AD289" s="233">
        <f>(INDEX(Models!$BJ289:$BT289,,AH289)*(1-AF289)+INDEX(Models!$BJ289:$BT289,,AH289+1)*AF289-ERP_i)*AE289*Ramure*Pc/MaxiM</f>
        <v>2.4779462257927737E-2</v>
      </c>
      <c r="AE289" s="307">
        <f t="shared" si="117"/>
        <v>1</v>
      </c>
      <c r="AF289" s="179">
        <f t="shared" si="118"/>
        <v>0.39359202549968586</v>
      </c>
      <c r="AG289" s="837">
        <f t="shared" si="124"/>
        <v>1</v>
      </c>
      <c r="AH289" s="178">
        <f t="shared" si="119"/>
        <v>7</v>
      </c>
      <c r="AI289" s="227">
        <f t="shared" si="120"/>
        <v>1.3935920254996859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45202</v>
      </c>
      <c r="B290" s="1139">
        <f>IF(t&gt;Tmaj,'2022'!Wh/'2022'!Env_an*'2023'!Env_an,0.001*'[12]mon-tableau (1)'!$B$210)</f>
        <v>30.935597377962313</v>
      </c>
      <c r="C290" s="866"/>
      <c r="D290" s="395">
        <f t="shared" si="102"/>
        <v>32.32587007300279</v>
      </c>
      <c r="E290" s="387">
        <f t="shared" si="100"/>
        <v>34.698617937789798</v>
      </c>
      <c r="F290" s="387">
        <f t="shared" si="103"/>
        <v>35.513978078176656</v>
      </c>
      <c r="G290" s="110">
        <f t="shared" si="101"/>
        <v>0.91556430414517886</v>
      </c>
      <c r="H290" s="414" t="b">
        <f>Wh_hp&gt;='2022'!Maxi_hp</f>
        <v>0</v>
      </c>
      <c r="I290" s="392">
        <f>IF(H290,Wh_hp,'2022'!Maxi_hp)</f>
        <v>36.052378620144729</v>
      </c>
      <c r="J290" s="85">
        <f>IF(H290,An,'2022'!An_max)</f>
        <v>2018</v>
      </c>
      <c r="K290" s="199">
        <f t="shared" si="104"/>
        <v>45202</v>
      </c>
      <c r="L290" s="147">
        <f>IF(t&lt;Tvie,1-EXP((T0-t)*PertePVj)+'2022'!Pspv,1-EXP((T0-t)*PertePVj)+Pspv)</f>
        <v>4.3008051814251824E-2</v>
      </c>
      <c r="M290" s="870"/>
      <c r="N290" s="870"/>
      <c r="O290" s="48">
        <f>IF(t&lt;Tnet,'2022'!Resal+('2022'!Salim-'2022'!Resal)*(1-EXP(('2022'!Tnet-t)/('2022'!Tau_j))),Resal+(Salim-Resal)*(1-EXP((Tnet-t)/(Tau_j))))*Salcycl</f>
        <v>6.8381624566172791E-2</v>
      </c>
      <c r="P290" s="171">
        <f>(INDEX(Models!$BJ290:$BT290,,T290)*(1-R290)+INDEX(Models!$BJ290:$BT290,,T290+1)*R290-ERP_i)*Q290*Ramure*Pc/MaxiM</f>
        <v>2.5987864809826719E-2</v>
      </c>
      <c r="Q290" s="307">
        <f t="shared" si="105"/>
        <v>1</v>
      </c>
      <c r="R290" s="179">
        <f t="shared" si="106"/>
        <v>0.39384805378378918</v>
      </c>
      <c r="S290" s="837">
        <f t="shared" si="107"/>
        <v>1</v>
      </c>
      <c r="T290" s="178">
        <f t="shared" si="108"/>
        <v>7</v>
      </c>
      <c r="U290" s="253">
        <f t="shared" si="109"/>
        <v>1.3938480537837892</v>
      </c>
      <c r="V290" s="385">
        <f t="shared" si="110"/>
        <v>33.683806803766416</v>
      </c>
      <c r="W290" s="404">
        <f t="shared" si="111"/>
        <v>30.935597377962313</v>
      </c>
      <c r="X290" s="157">
        <f t="shared" si="112"/>
        <v>45202</v>
      </c>
      <c r="Y290" s="387">
        <f t="shared" si="113"/>
        <v>29.949672861900869</v>
      </c>
      <c r="Z290" s="387">
        <f t="shared" si="114"/>
        <v>31.29563725032278</v>
      </c>
      <c r="AA290" s="388">
        <f t="shared" si="115"/>
        <v>34.698617937789798</v>
      </c>
      <c r="AB290" s="199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9.8072513826577487E-2</v>
      </c>
      <c r="AD290" s="233">
        <f>(INDEX(Models!$BJ290:$BT290,,AH290)*(1-AF290)+INDEX(Models!$BJ290:$BT290,,AH290+1)*AF290-ERP_i)*AE290*Ramure*Pc/MaxiM</f>
        <v>2.5987864809826719E-2</v>
      </c>
      <c r="AE290" s="307">
        <f t="shared" si="117"/>
        <v>1</v>
      </c>
      <c r="AF290" s="179">
        <f t="shared" si="118"/>
        <v>0.39384805378378918</v>
      </c>
      <c r="AG290" s="837">
        <f t="shared" si="124"/>
        <v>1</v>
      </c>
      <c r="AH290" s="178">
        <f t="shared" si="119"/>
        <v>7</v>
      </c>
      <c r="AI290" s="227">
        <f t="shared" si="120"/>
        <v>1.3938480537837892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45203</v>
      </c>
      <c r="B291" s="1139">
        <f>IF(t&gt;Tmaj,'2022'!Wh/'2022'!Env_an*'2023'!Env_an,0.001*'[12]mon-tableau (1)'!$B$211)</f>
        <v>33.044838565904854</v>
      </c>
      <c r="C291" s="866"/>
      <c r="D291" s="395">
        <f t="shared" si="102"/>
        <v>34.530705977325404</v>
      </c>
      <c r="E291" s="387">
        <f t="shared" si="100"/>
        <v>37.072197583071471</v>
      </c>
      <c r="F291" s="387">
        <f t="shared" si="103"/>
        <v>38.102684577478101</v>
      </c>
      <c r="G291" s="110">
        <f t="shared" si="101"/>
        <v>0.99415622344254073</v>
      </c>
      <c r="H291" s="414" t="b">
        <f>Wh_hp&gt;='2022'!Maxi_hp</f>
        <v>0</v>
      </c>
      <c r="I291" s="392">
        <f>IF(H291,Wh_hp,'2022'!Maxi_hp)</f>
        <v>38.105877849887769</v>
      </c>
      <c r="J291" s="85">
        <f>IF(H291,An,'2022'!An_max)</f>
        <v>2022</v>
      </c>
      <c r="K291" s="199">
        <f t="shared" si="104"/>
        <v>45203</v>
      </c>
      <c r="L291" s="147">
        <f>IF(t&lt;Tvie,1-EXP((T0-t)*PertePVj)+'2022'!Pspv,1-EXP((T0-t)*PertePVj)+Pspv)</f>
        <v>4.3030322414961408E-2</v>
      </c>
      <c r="M291" s="870"/>
      <c r="N291" s="870"/>
      <c r="O291" s="48">
        <f>IF(t&lt;Tnet,'2022'!Resal+('2022'!Salim-'2022'!Resal)*(1-EXP(('2022'!Tnet-t)/('2022'!Tau_j))),Resal+(Salim-Resal)*(1-EXP((Tnet-t)/(Tau_j))))*Salcycl</f>
        <v>6.8555191530016088E-2</v>
      </c>
      <c r="P291" s="171">
        <f>(INDEX(Models!$BJ291:$BT291,,T291)*(1-R291)+INDEX(Models!$BJ291:$BT291,,T291+1)*R291-ERP_i)*Q291*Ramure*Pc/MaxiM</f>
        <v>2.7263889686517089E-2</v>
      </c>
      <c r="Q291" s="307">
        <f t="shared" si="105"/>
        <v>1</v>
      </c>
      <c r="R291" s="179">
        <f t="shared" si="106"/>
        <v>0.39409395113665191</v>
      </c>
      <c r="S291" s="837">
        <f t="shared" si="107"/>
        <v>1</v>
      </c>
      <c r="T291" s="178">
        <f t="shared" si="108"/>
        <v>7</v>
      </c>
      <c r="U291" s="253">
        <f t="shared" si="109"/>
        <v>1.3940939511366519</v>
      </c>
      <c r="V291" s="385">
        <f t="shared" si="110"/>
        <v>33.231602293140718</v>
      </c>
      <c r="W291" s="404">
        <f t="shared" si="111"/>
        <v>33.044838565904854</v>
      </c>
      <c r="X291" s="157">
        <f t="shared" si="112"/>
        <v>45203</v>
      </c>
      <c r="Y291" s="387">
        <f t="shared" si="113"/>
        <v>31.994330614484294</v>
      </c>
      <c r="Z291" s="387">
        <f t="shared" si="114"/>
        <v>33.432961737328611</v>
      </c>
      <c r="AA291" s="388">
        <f t="shared" si="115"/>
        <v>37.072197583071471</v>
      </c>
      <c r="AB291" s="199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9.8166175274288683E-2</v>
      </c>
      <c r="AD291" s="233">
        <f>(INDEX(Models!$BJ291:$BT291,,AH291)*(1-AF291)+INDEX(Models!$BJ291:$BT291,,AH291+1)*AF291-ERP_i)*AE291*Ramure*Pc/MaxiM</f>
        <v>2.7263889686517089E-2</v>
      </c>
      <c r="AE291" s="307">
        <f t="shared" si="117"/>
        <v>1</v>
      </c>
      <c r="AF291" s="179">
        <f t="shared" si="118"/>
        <v>0.39409395113665191</v>
      </c>
      <c r="AG291" s="837">
        <f t="shared" si="124"/>
        <v>1</v>
      </c>
      <c r="AH291" s="178">
        <f t="shared" si="119"/>
        <v>7</v>
      </c>
      <c r="AI291" s="227">
        <f t="shared" si="120"/>
        <v>1.3940939511366519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45204</v>
      </c>
      <c r="B292" s="1139">
        <f>IF(t&gt;Tmaj,'2022'!Wh/'2022'!Env_an*'2023'!Env_an,0.001*'[12]mon-tableau (1)'!$B$212)</f>
        <v>33.339241064107235</v>
      </c>
      <c r="C292" s="866"/>
      <c r="D292" s="395">
        <f t="shared" si="102"/>
        <v>34.839157097582408</v>
      </c>
      <c r="E292" s="387">
        <f t="shared" si="100"/>
        <v>37.410216634315887</v>
      </c>
      <c r="F292" s="387">
        <f t="shared" si="103"/>
        <v>38.512022634162193</v>
      </c>
      <c r="G292" s="110">
        <f t="shared" si="101"/>
        <v>1.0171470124477864</v>
      </c>
      <c r="H292" s="414" t="b">
        <f>Wh_hp&gt;='2022'!Maxi_hp</f>
        <v>1</v>
      </c>
      <c r="I292" s="392">
        <f>IF(H292,Wh_hp,'2022'!Maxi_hp)</f>
        <v>38.512022634162193</v>
      </c>
      <c r="J292" s="85">
        <f>IF(H292,An,'2022'!An_max)</f>
        <v>2023</v>
      </c>
      <c r="K292" s="199">
        <f t="shared" si="104"/>
        <v>45204</v>
      </c>
      <c r="L292" s="147">
        <f>IF(t&lt;Tvie,1-EXP((T0-t)*PertePVj)+'2022'!Pspv,1-EXP((T0-t)*PertePVj)+Pspv)</f>
        <v>4.3052592497401565E-2</v>
      </c>
      <c r="M292" s="870"/>
      <c r="N292" s="870"/>
      <c r="O292" s="48">
        <f>IF(t&lt;Tnet,'2022'!Resal+('2022'!Salim-'2022'!Resal)*(1-EXP(('2022'!Tnet-t)/('2022'!Tau_j))),Resal+(Salim-Resal)*(1-EXP((Tnet-t)/(Tau_j))))*Salcycl</f>
        <v>6.8726133341208126E-2</v>
      </c>
      <c r="P292" s="171">
        <f>(INDEX(Models!$BJ292:$BT292,,T292)*(1-R292)+INDEX(Models!$BJ292:$BT292,,T292+1)*R292-ERP_i)*Q292*Ramure*Pc/MaxiM</f>
        <v>2.8609403622154816E-2</v>
      </c>
      <c r="Q292" s="307">
        <f t="shared" si="105"/>
        <v>1</v>
      </c>
      <c r="R292" s="179">
        <f t="shared" si="106"/>
        <v>0.39433011162622633</v>
      </c>
      <c r="S292" s="837">
        <f t="shared" si="107"/>
        <v>1</v>
      </c>
      <c r="T292" s="178">
        <f t="shared" si="108"/>
        <v>7</v>
      </c>
      <c r="U292" s="253">
        <f t="shared" si="109"/>
        <v>1.3943301116262263</v>
      </c>
      <c r="V292" s="385">
        <f t="shared" si="110"/>
        <v>32.777209838994303</v>
      </c>
      <c r="W292" s="404">
        <f t="shared" si="111"/>
        <v>33.339241064107235</v>
      </c>
      <c r="X292" s="157">
        <f t="shared" si="112"/>
        <v>45204</v>
      </c>
      <c r="Y292" s="387">
        <f t="shared" si="113"/>
        <v>32.282061175613727</v>
      </c>
      <c r="Z292" s="387">
        <f t="shared" si="114"/>
        <v>33.734415206643497</v>
      </c>
      <c r="AA292" s="388">
        <f t="shared" si="115"/>
        <v>37.410216634315887</v>
      </c>
      <c r="AB292" s="199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9.8256619671660231E-2</v>
      </c>
      <c r="AD292" s="233">
        <f>(INDEX(Models!$BJ292:$BT292,,AH292)*(1-AF292)+INDEX(Models!$BJ292:$BT292,,AH292+1)*AF292-ERP_i)*AE292*Ramure*Pc/MaxiM</f>
        <v>2.8609403622154816E-2</v>
      </c>
      <c r="AE292" s="307">
        <f t="shared" si="117"/>
        <v>1</v>
      </c>
      <c r="AF292" s="179">
        <f t="shared" si="118"/>
        <v>0.39433011162622633</v>
      </c>
      <c r="AG292" s="837">
        <f t="shared" si="124"/>
        <v>1</v>
      </c>
      <c r="AH292" s="178">
        <f t="shared" si="119"/>
        <v>7</v>
      </c>
      <c r="AI292" s="227">
        <f t="shared" si="120"/>
        <v>1.3943301116262263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45205</v>
      </c>
      <c r="B293" s="1139">
        <f>IF(t&gt;Tmaj,'2022'!Wh/'2022'!Env_an*'2023'!Env_an,0.001*'[12]mon-tableau (1)'!$B$213)</f>
        <v>14.310891297416159</v>
      </c>
      <c r="C293" s="866"/>
      <c r="D293" s="395">
        <f t="shared" si="102"/>
        <v>14.95507927427564</v>
      </c>
      <c r="E293" s="387">
        <f t="shared" si="100"/>
        <v>16.06163636131274</v>
      </c>
      <c r="F293" s="387">
        <f t="shared" si="103"/>
        <v>16.160601482179676</v>
      </c>
      <c r="G293" s="110">
        <f t="shared" si="101"/>
        <v>0.43211672463832074</v>
      </c>
      <c r="H293" s="414" t="b">
        <f>Wh_hp&gt;='2022'!Maxi_hp</f>
        <v>0</v>
      </c>
      <c r="I293" s="392">
        <f>IF(H293,Wh_hp,'2022'!Maxi_hp)</f>
        <v>33.993896318509428</v>
      </c>
      <c r="J293" s="85">
        <f>IF(H293,An,'2022'!An_max)</f>
        <v>2018</v>
      </c>
      <c r="K293" s="199">
        <f t="shared" si="104"/>
        <v>45205</v>
      </c>
      <c r="L293" s="147">
        <f>IF(t&lt;Tvie,1-EXP((T0-t)*PertePVj)+'2022'!Pspv,1-EXP((T0-t)*PertePVj)+Pspv)</f>
        <v>4.3074862061584285E-2</v>
      </c>
      <c r="M293" s="870"/>
      <c r="N293" s="870"/>
      <c r="O293" s="48">
        <f>IF(t&lt;Tnet,'2022'!Resal+('2022'!Salim-'2022'!Resal)*(1-EXP(('2022'!Tnet-t)/('2022'!Tau_j))),Resal+(Salim-Resal)*(1-EXP((Tnet-t)/(Tau_j))))*Salcycl</f>
        <v>6.8894417862829821E-2</v>
      </c>
      <c r="P293" s="171">
        <f>(INDEX(Models!$BJ293:$BT293,,T293)*(1-R293)+INDEX(Models!$BJ293:$BT293,,T293+1)*R293-ERP_i)*Q293*Ramure*Pc/MaxiM</f>
        <v>3.0026223891567144E-2</v>
      </c>
      <c r="Q293" s="307">
        <f t="shared" si="105"/>
        <v>1</v>
      </c>
      <c r="R293" s="179">
        <f t="shared" si="106"/>
        <v>0.39455691452568109</v>
      </c>
      <c r="S293" s="837">
        <f t="shared" si="107"/>
        <v>1</v>
      </c>
      <c r="T293" s="178">
        <f t="shared" si="108"/>
        <v>7</v>
      </c>
      <c r="U293" s="253">
        <f t="shared" si="109"/>
        <v>1.3945569145256811</v>
      </c>
      <c r="V293" s="385">
        <f t="shared" si="110"/>
        <v>32.32163577095492</v>
      </c>
      <c r="W293" s="404">
        <f t="shared" si="111"/>
        <v>14.310891297416159</v>
      </c>
      <c r="X293" s="157">
        <f t="shared" si="112"/>
        <v>45205</v>
      </c>
      <c r="Y293" s="387">
        <f t="shared" si="113"/>
        <v>13.858260480236831</v>
      </c>
      <c r="Z293" s="387">
        <f t="shared" si="114"/>
        <v>14.482073812056862</v>
      </c>
      <c r="AA293" s="388">
        <f t="shared" si="115"/>
        <v>16.06163636131274</v>
      </c>
      <c r="AB293" s="199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9.8343812157304755E-2</v>
      </c>
      <c r="AD293" s="233">
        <f>(INDEX(Models!$BJ293:$BT293,,AH293)*(1-AF293)+INDEX(Models!$BJ293:$BT293,,AH293+1)*AF293-ERP_i)*AE293*Ramure*Pc/MaxiM</f>
        <v>3.0026223891567144E-2</v>
      </c>
      <c r="AE293" s="307">
        <f t="shared" si="117"/>
        <v>1</v>
      </c>
      <c r="AF293" s="179">
        <f t="shared" si="118"/>
        <v>0.39455691452568109</v>
      </c>
      <c r="AG293" s="837">
        <f t="shared" si="124"/>
        <v>1</v>
      </c>
      <c r="AH293" s="178">
        <f t="shared" si="119"/>
        <v>7</v>
      </c>
      <c r="AI293" s="227">
        <f t="shared" si="120"/>
        <v>1.3945569145256811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45206</v>
      </c>
      <c r="B294" s="1139">
        <f>IF(t&gt;Tmaj,'2022'!Wh/'2022'!Env_an*'2023'!Env_an,0.001*'[12]mon-tableau (1)'!$B$214)</f>
        <v>24.547598325381315</v>
      </c>
      <c r="C294" s="866"/>
      <c r="D294" s="395">
        <f t="shared" si="102"/>
        <v>25.653176642466093</v>
      </c>
      <c r="E294" s="387">
        <f t="shared" si="100"/>
        <v>27.556208912389586</v>
      </c>
      <c r="F294" s="387">
        <f t="shared" si="103"/>
        <v>28.152367929485909</v>
      </c>
      <c r="G294" s="110">
        <f t="shared" si="101"/>
        <v>0.76220341274792591</v>
      </c>
      <c r="H294" s="414" t="b">
        <f>Wh_hp&gt;='2022'!Maxi_hp</f>
        <v>0</v>
      </c>
      <c r="I294" s="392">
        <f>IF(H294,Wh_hp,'2022'!Maxi_hp)</f>
        <v>37.024189714848987</v>
      </c>
      <c r="J294" s="85">
        <f>IF(H294,An,'2022'!An_max)</f>
        <v>2021</v>
      </c>
      <c r="K294" s="199">
        <f t="shared" si="104"/>
        <v>45206</v>
      </c>
      <c r="L294" s="147">
        <f>IF(t&lt;Tvie,1-EXP((T0-t)*PertePVj)+'2022'!Pspv,1-EXP((T0-t)*PertePVj)+Pspv)</f>
        <v>4.309713110752178E-2</v>
      </c>
      <c r="M294" s="870"/>
      <c r="N294" s="870"/>
      <c r="O294" s="48">
        <f>IF(t&lt;Tnet,'2022'!Resal+('2022'!Salim-'2022'!Resal)*(1-EXP(('2022'!Tnet-t)/('2022'!Tau_j))),Resal+(Salim-Resal)*(1-EXP((Tnet-t)/(Tau_j))))*Salcycl</f>
        <v>6.9060017507265536E-2</v>
      </c>
      <c r="P294" s="171">
        <f>(INDEX(Models!$BJ294:$BT294,,T294)*(1-R294)+INDEX(Models!$BJ294:$BT294,,T294+1)*R294-ERP_i)*Q294*Ramure*Pc/MaxiM</f>
        <v>3.1516093388765591E-2</v>
      </c>
      <c r="Q294" s="307">
        <f t="shared" si="105"/>
        <v>1</v>
      </c>
      <c r="R294" s="179">
        <f t="shared" si="106"/>
        <v>0.39477472482681319</v>
      </c>
      <c r="S294" s="837">
        <f t="shared" si="107"/>
        <v>1</v>
      </c>
      <c r="T294" s="178">
        <f t="shared" si="108"/>
        <v>7</v>
      </c>
      <c r="U294" s="253">
        <f t="shared" si="109"/>
        <v>1.3947747248268132</v>
      </c>
      <c r="V294" s="385">
        <f t="shared" si="110"/>
        <v>31.865885318000821</v>
      </c>
      <c r="W294" s="404">
        <f t="shared" si="111"/>
        <v>24.547598325381315</v>
      </c>
      <c r="X294" s="157">
        <f t="shared" si="112"/>
        <v>45206</v>
      </c>
      <c r="Y294" s="387">
        <f t="shared" si="113"/>
        <v>23.773212556883887</v>
      </c>
      <c r="Z294" s="387">
        <f t="shared" si="114"/>
        <v>24.843913974674425</v>
      </c>
      <c r="AA294" s="388">
        <f t="shared" si="115"/>
        <v>27.556208912389586</v>
      </c>
      <c r="AB294" s="199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9.8427724449994355E-2</v>
      </c>
      <c r="AD294" s="233">
        <f>(INDEX(Models!$BJ294:$BT294,,AH294)*(1-AF294)+INDEX(Models!$BJ294:$BT294,,AH294+1)*AF294-ERP_i)*AE294*Ramure*Pc/MaxiM</f>
        <v>3.1516093388765591E-2</v>
      </c>
      <c r="AE294" s="307">
        <f t="shared" si="117"/>
        <v>1</v>
      </c>
      <c r="AF294" s="179">
        <f t="shared" si="118"/>
        <v>0.39477472482681319</v>
      </c>
      <c r="AG294" s="837">
        <f t="shared" si="124"/>
        <v>1</v>
      </c>
      <c r="AH294" s="178">
        <f t="shared" si="119"/>
        <v>7</v>
      </c>
      <c r="AI294" s="227">
        <f t="shared" si="120"/>
        <v>1.3947747248268132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45207</v>
      </c>
      <c r="B295" s="1139">
        <f>IF(t&gt;Tmaj,'2022'!Wh/'2022'!Env_an*'2023'!Env_an,0.001*'[12]mon-tableau (1)'!$B$215)</f>
        <v>15.017221571318942</v>
      </c>
      <c r="C295" s="866"/>
      <c r="D295" s="395">
        <f t="shared" si="102"/>
        <v>15.693934609599362</v>
      </c>
      <c r="E295" s="387">
        <f t="shared" si="100"/>
        <v>16.861109681555885</v>
      </c>
      <c r="F295" s="387">
        <f t="shared" si="103"/>
        <v>17.004219266714269</v>
      </c>
      <c r="G295" s="110">
        <f t="shared" si="101"/>
        <v>0.46619663589330279</v>
      </c>
      <c r="H295" s="414" t="b">
        <f>Wh_hp&gt;='2022'!Maxi_hp</f>
        <v>0</v>
      </c>
      <c r="I295" s="392">
        <f>IF(H295,Wh_hp,'2022'!Maxi_hp)</f>
        <v>36.120260428293889</v>
      </c>
      <c r="J295" s="85">
        <f>IF(H295,An,'2022'!An_max)</f>
        <v>2021</v>
      </c>
      <c r="K295" s="199">
        <f t="shared" si="104"/>
        <v>45207</v>
      </c>
      <c r="L295" s="147">
        <f>IF(t&lt;Tvie,1-EXP((T0-t)*PertePVj)+'2022'!Pspv,1-EXP((T0-t)*PertePVj)+Pspv)</f>
        <v>4.3119399635226041E-2</v>
      </c>
      <c r="M295" s="870"/>
      <c r="N295" s="870"/>
      <c r="O295" s="48">
        <f>IF(t&lt;Tnet,'2022'!Resal+('2022'!Salim-'2022'!Resal)*(1-EXP(('2022'!Tnet-t)/('2022'!Tau_j))),Resal+(Salim-Resal)*(1-EXP((Tnet-t)/(Tau_j))))*Salcycl</f>
        <v>6.9222909642375319E-2</v>
      </c>
      <c r="P295" s="171">
        <f>(INDEX(Models!$BJ295:$BT295,,T295)*(1-R295)+INDEX(Models!$BJ295:$BT295,,T295+1)*R295-ERP_i)*Q295*Ramure*Pc/MaxiM</f>
        <v>3.3080652711534875E-2</v>
      </c>
      <c r="Q295" s="307">
        <f t="shared" si="105"/>
        <v>1</v>
      </c>
      <c r="R295" s="179">
        <f t="shared" si="106"/>
        <v>0.39498389373901865</v>
      </c>
      <c r="S295" s="837">
        <f t="shared" si="107"/>
        <v>1</v>
      </c>
      <c r="T295" s="178">
        <f t="shared" si="108"/>
        <v>7</v>
      </c>
      <c r="U295" s="253">
        <f t="shared" si="109"/>
        <v>1.3949838937390187</v>
      </c>
      <c r="V295" s="385">
        <f t="shared" si="110"/>
        <v>31.410962658264154</v>
      </c>
      <c r="W295" s="404">
        <f t="shared" si="111"/>
        <v>15.017221571318942</v>
      </c>
      <c r="X295" s="157">
        <f t="shared" si="112"/>
        <v>45207</v>
      </c>
      <c r="Y295" s="387">
        <f t="shared" si="113"/>
        <v>14.54472849903568</v>
      </c>
      <c r="Z295" s="387">
        <f t="shared" si="114"/>
        <v>15.200149834254201</v>
      </c>
      <c r="AA295" s="388">
        <f t="shared" si="115"/>
        <v>16.861109681555885</v>
      </c>
      <c r="AB295" s="199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9.8508335374781514E-2</v>
      </c>
      <c r="AD295" s="233">
        <f>(INDEX(Models!$BJ295:$BT295,,AH295)*(1-AF295)+INDEX(Models!$BJ295:$BT295,,AH295+1)*AF295-ERP_i)*AE295*Ramure*Pc/MaxiM</f>
        <v>3.3080652711534875E-2</v>
      </c>
      <c r="AE295" s="307">
        <f t="shared" si="117"/>
        <v>1</v>
      </c>
      <c r="AF295" s="179">
        <f t="shared" si="118"/>
        <v>0.39498389373901865</v>
      </c>
      <c r="AG295" s="837">
        <f t="shared" si="124"/>
        <v>1</v>
      </c>
      <c r="AH295" s="178">
        <f t="shared" si="119"/>
        <v>7</v>
      </c>
      <c r="AI295" s="227">
        <f t="shared" si="120"/>
        <v>1.3949838937390187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45208</v>
      </c>
      <c r="B296" s="1139">
        <f>IF(t&gt;Tmaj,'2022'!Wh/'2022'!Env_an*'2023'!Env_an,0.001*'[12]mon-tableau (1)'!$B$216)</f>
        <v>30.300470608384742</v>
      </c>
      <c r="C296" s="866"/>
      <c r="D296" s="395">
        <f t="shared" si="102"/>
        <v>31.666621467151398</v>
      </c>
      <c r="E296" s="387">
        <f t="shared" si="100"/>
        <v>34.027558154208897</v>
      </c>
      <c r="F296" s="387">
        <f t="shared" si="103"/>
        <v>35.212719774044395</v>
      </c>
      <c r="G296" s="110">
        <f t="shared" si="101"/>
        <v>0.97768679099094435</v>
      </c>
      <c r="H296" s="414" t="b">
        <f>Wh_hp&gt;='2022'!Maxi_hp</f>
        <v>0</v>
      </c>
      <c r="I296" s="392">
        <f>IF(H296,Wh_hp,'2022'!Maxi_hp)</f>
        <v>35.227074069795499</v>
      </c>
      <c r="J296" s="85">
        <f>IF(H296,An,'2022'!An_max)</f>
        <v>2022</v>
      </c>
      <c r="K296" s="199">
        <f t="shared" si="104"/>
        <v>45208</v>
      </c>
      <c r="L296" s="147">
        <f>IF(t&lt;Tvie,1-EXP((T0-t)*PertePVj)+'2022'!Pspv,1-EXP((T0-t)*PertePVj)+Pspv)</f>
        <v>4.3141667644709059E-2</v>
      </c>
      <c r="M296" s="870"/>
      <c r="N296" s="870"/>
      <c r="O296" s="48">
        <f>IF(t&lt;Tnet,'2022'!Resal+('2022'!Salim-'2022'!Resal)*(1-EXP(('2022'!Tnet-t)/('2022'!Tau_j))),Resal+(Salim-Resal)*(1-EXP((Tnet-t)/(Tau_j))))*Salcycl</f>
        <v>6.9383076985953904E-2</v>
      </c>
      <c r="P296" s="171">
        <f>(INDEX(Models!$BJ296:$BT296,,T296)*(1-R296)+INDEX(Models!$BJ296:$BT296,,T296+1)*R296-ERP_i)*Q296*Ramure*Pc/MaxiM</f>
        <v>3.4710729621588408E-2</v>
      </c>
      <c r="Q296" s="307">
        <f t="shared" si="105"/>
        <v>1</v>
      </c>
      <c r="R296" s="179">
        <f t="shared" si="106"/>
        <v>0.39518475917394635</v>
      </c>
      <c r="S296" s="837">
        <f t="shared" si="107"/>
        <v>1</v>
      </c>
      <c r="T296" s="178">
        <f t="shared" si="108"/>
        <v>7</v>
      </c>
      <c r="U296" s="253">
        <f t="shared" si="109"/>
        <v>1.3951847591739464</v>
      </c>
      <c r="V296" s="385">
        <f t="shared" si="110"/>
        <v>30.958213471615483</v>
      </c>
      <c r="W296" s="404">
        <f t="shared" si="111"/>
        <v>30.300470608384742</v>
      </c>
      <c r="X296" s="157">
        <f t="shared" si="112"/>
        <v>45208</v>
      </c>
      <c r="Y296" s="387">
        <f t="shared" si="113"/>
        <v>29.349648504385311</v>
      </c>
      <c r="Z296" s="387">
        <f t="shared" si="114"/>
        <v>30.672929849648312</v>
      </c>
      <c r="AA296" s="388">
        <f t="shared" si="115"/>
        <v>34.027558154208897</v>
      </c>
      <c r="AB296" s="199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9.8585631368486804E-2</v>
      </c>
      <c r="AD296" s="233">
        <f>(INDEX(Models!$BJ296:$BT296,,AH296)*(1-AF296)+INDEX(Models!$BJ296:$BT296,,AH296+1)*AF296-ERP_i)*AE296*Ramure*Pc/MaxiM</f>
        <v>3.4710729621588408E-2</v>
      </c>
      <c r="AE296" s="307">
        <f t="shared" si="117"/>
        <v>1</v>
      </c>
      <c r="AF296" s="179">
        <f t="shared" si="118"/>
        <v>0.39518475917394635</v>
      </c>
      <c r="AG296" s="837">
        <f t="shared" si="124"/>
        <v>1</v>
      </c>
      <c r="AH296" s="178">
        <f t="shared" si="119"/>
        <v>7</v>
      </c>
      <c r="AI296" s="227">
        <f t="shared" si="120"/>
        <v>1.3951847591739464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45209</v>
      </c>
      <c r="B297" s="1139">
        <f>IF(t&gt;Tmaj,'2022'!Wh/'2022'!Env_an*'2023'!Env_an,0.001*'[12]mon-tableau (1)'!$B$217)</f>
        <v>25.852256952682705</v>
      </c>
      <c r="C297" s="866"/>
      <c r="D297" s="395">
        <f t="shared" si="102"/>
        <v>27.01848091016172</v>
      </c>
      <c r="E297" s="387">
        <f t="shared" ref="E297:E360" si="125">Wh_pvt/(1-Psa)</f>
        <v>29.037783097514108</v>
      </c>
      <c r="F297" s="387">
        <f t="shared" si="103"/>
        <v>29.887842907135024</v>
      </c>
      <c r="G297" s="110">
        <f t="shared" ref="G297:G360" si="126">+Wh_hp/MaxiM</f>
        <v>0.84042750085456952</v>
      </c>
      <c r="H297" s="414" t="b">
        <f>Wh_hp&gt;='2022'!Maxi_hp</f>
        <v>0</v>
      </c>
      <c r="I297" s="392">
        <f>IF(H297,Wh_hp,'2022'!Maxi_hp)</f>
        <v>29.978792140738321</v>
      </c>
      <c r="J297" s="85">
        <f>IF(H297,An,'2022'!An_max)</f>
        <v>2022</v>
      </c>
      <c r="K297" s="199">
        <f t="shared" si="104"/>
        <v>45209</v>
      </c>
      <c r="L297" s="147">
        <f>IF(t&lt;Tvie,1-EXP((T0-t)*PertePVj)+'2022'!Pspv,1-EXP((T0-t)*PertePVj)+Pspv)</f>
        <v>4.3163935135983045E-2</v>
      </c>
      <c r="M297" s="870"/>
      <c r="N297" s="870"/>
      <c r="O297" s="48">
        <f>IF(t&lt;Tnet,'2022'!Resal+('2022'!Salim-'2022'!Resal)*(1-EXP(('2022'!Tnet-t)/('2022'!Tau_j))),Resal+(Salim-Resal)*(1-EXP((Tnet-t)/(Tau_j))))*Salcycl</f>
        <v>6.9540507984759276E-2</v>
      </c>
      <c r="P297" s="171">
        <f>(INDEX(Models!$BJ297:$BT297,,T297)*(1-R297)+INDEX(Models!$BJ297:$BT297,,T297+1)*R297-ERP_i)*Q297*Ramure*Pc/MaxiM</f>
        <v>3.6374014018360157E-2</v>
      </c>
      <c r="Q297" s="307">
        <f t="shared" si="105"/>
        <v>1</v>
      </c>
      <c r="R297" s="179">
        <f t="shared" si="106"/>
        <v>0.39537764621597393</v>
      </c>
      <c r="S297" s="837">
        <f t="shared" si="107"/>
        <v>1</v>
      </c>
      <c r="T297" s="178">
        <f t="shared" si="108"/>
        <v>7</v>
      </c>
      <c r="U297" s="253">
        <f t="shared" si="109"/>
        <v>1.3953776462159739</v>
      </c>
      <c r="V297" s="385">
        <f t="shared" si="110"/>
        <v>30.509692233944183</v>
      </c>
      <c r="W297" s="404">
        <f t="shared" si="111"/>
        <v>25.852256952682705</v>
      </c>
      <c r="X297" s="157">
        <f t="shared" si="112"/>
        <v>45209</v>
      </c>
      <c r="Y297" s="387">
        <f t="shared" si="113"/>
        <v>25.043200314121226</v>
      </c>
      <c r="Z297" s="387">
        <f t="shared" si="114"/>
        <v>26.172926830136049</v>
      </c>
      <c r="AA297" s="388">
        <f t="shared" si="115"/>
        <v>29.037783097514108</v>
      </c>
      <c r="AB297" s="199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9.8659606959572474E-2</v>
      </c>
      <c r="AD297" s="233">
        <f>(INDEX(Models!$BJ297:$BT297,,AH297)*(1-AF297)+INDEX(Models!$BJ297:$BT297,,AH297+1)*AF297-ERP_i)*AE297*Ramure*Pc/MaxiM</f>
        <v>3.6374014018360157E-2</v>
      </c>
      <c r="AE297" s="307">
        <f t="shared" si="117"/>
        <v>1</v>
      </c>
      <c r="AF297" s="179">
        <f t="shared" si="118"/>
        <v>0.39537764621597393</v>
      </c>
      <c r="AG297" s="837">
        <f t="shared" si="124"/>
        <v>1</v>
      </c>
      <c r="AH297" s="178">
        <f t="shared" si="119"/>
        <v>7</v>
      </c>
      <c r="AI297" s="227">
        <f t="shared" si="120"/>
        <v>1.3953776462159739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45210</v>
      </c>
      <c r="B298" s="1139">
        <f>IF(t&gt;Tmaj,'2022'!Wh/'2022'!Env_an*'2023'!Env_an,0.001*'[12]mon-tableau (1)'!$B$218)</f>
        <v>22.323826970672119</v>
      </c>
      <c r="C298" s="866"/>
      <c r="D298" s="395">
        <f t="shared" si="102"/>
        <v>23.331422498169957</v>
      </c>
      <c r="E298" s="387">
        <f t="shared" si="125"/>
        <v>25.079331448473589</v>
      </c>
      <c r="F298" s="387">
        <f t="shared" si="103"/>
        <v>25.697741277210241</v>
      </c>
      <c r="G298" s="110">
        <f t="shared" si="126"/>
        <v>0.73182916780899032</v>
      </c>
      <c r="H298" s="414" t="b">
        <f>Wh_hp&gt;='2022'!Maxi_hp</f>
        <v>0</v>
      </c>
      <c r="I298" s="392">
        <f>IF(H298,Wh_hp,'2022'!Maxi_hp)</f>
        <v>35.228282069749262</v>
      </c>
      <c r="J298" s="85">
        <f>IF(H298,An,'2022'!An_max)</f>
        <v>2019</v>
      </c>
      <c r="K298" s="199">
        <f t="shared" si="104"/>
        <v>45210</v>
      </c>
      <c r="L298" s="147">
        <f>IF(t&lt;Tvie,1-EXP((T0-t)*PertePVj)+'2022'!Pspv,1-EXP((T0-t)*PertePVj)+Pspv)</f>
        <v>4.318620210905999E-2</v>
      </c>
      <c r="M298" s="870"/>
      <c r="N298" s="870"/>
      <c r="O298" s="48">
        <f>IF(t&lt;Tnet,'2022'!Resal+('2022'!Salim-'2022'!Resal)*(1-EXP(('2022'!Tnet-t)/('2022'!Tau_j))),Resal+(Salim-Resal)*(1-EXP((Tnet-t)/(Tau_j))))*Salcycl</f>
        <v>6.9695197174405463E-2</v>
      </c>
      <c r="P298" s="171">
        <f>(INDEX(Models!$BJ298:$BT298,,T298)*(1-R298)+INDEX(Models!$BJ298:$BT298,,T298+1)*R298-ERP_i)*Q298*Ramure*Pc/MaxiM</f>
        <v>3.8069899161596657E-2</v>
      </c>
      <c r="Q298" s="307">
        <f t="shared" si="105"/>
        <v>1</v>
      </c>
      <c r="R298" s="179">
        <f t="shared" si="106"/>
        <v>0.39556286757868664</v>
      </c>
      <c r="S298" s="837">
        <f t="shared" si="107"/>
        <v>1</v>
      </c>
      <c r="T298" s="178">
        <f t="shared" si="108"/>
        <v>7</v>
      </c>
      <c r="U298" s="253">
        <f t="shared" si="109"/>
        <v>1.3955628675786866</v>
      </c>
      <c r="V298" s="385">
        <f t="shared" si="110"/>
        <v>30.066400980054553</v>
      </c>
      <c r="W298" s="404">
        <f t="shared" si="111"/>
        <v>22.323826970672119</v>
      </c>
      <c r="X298" s="157">
        <f t="shared" si="112"/>
        <v>45210</v>
      </c>
      <c r="Y298" s="387">
        <f t="shared" si="113"/>
        <v>21.627094208348534</v>
      </c>
      <c r="Z298" s="387">
        <f t="shared" si="114"/>
        <v>22.603242403088384</v>
      </c>
      <c r="AA298" s="388">
        <f t="shared" si="115"/>
        <v>25.079331448473589</v>
      </c>
      <c r="AB298" s="199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9.8730265217492758E-2</v>
      </c>
      <c r="AD298" s="233">
        <f>(INDEX(Models!$BJ298:$BT298,,AH298)*(1-AF298)+INDEX(Models!$BJ298:$BT298,,AH298+1)*AF298-ERP_i)*AE298*Ramure*Pc/MaxiM</f>
        <v>3.8069899161596657E-2</v>
      </c>
      <c r="AE298" s="307">
        <f t="shared" si="117"/>
        <v>1</v>
      </c>
      <c r="AF298" s="179">
        <f t="shared" si="118"/>
        <v>0.39556286757868664</v>
      </c>
      <c r="AG298" s="837">
        <f t="shared" si="124"/>
        <v>1</v>
      </c>
      <c r="AH298" s="178">
        <f t="shared" si="119"/>
        <v>7</v>
      </c>
      <c r="AI298" s="227">
        <f t="shared" si="120"/>
        <v>1.3955628675786866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45211</v>
      </c>
      <c r="B299" s="1139">
        <f>IF(t&gt;Tmaj,'2022'!Wh/'2022'!Env_an*'2023'!Env_an,0.001*'[12]mon-tableau (1)'!$B$219)</f>
        <v>24.055536932337862</v>
      </c>
      <c r="C299" s="866"/>
      <c r="D299" s="395">
        <f t="shared" si="102"/>
        <v>25.141879021685021</v>
      </c>
      <c r="E299" s="387">
        <f t="shared" si="125"/>
        <v>27.029835903309564</v>
      </c>
      <c r="F299" s="387">
        <f t="shared" si="103"/>
        <v>27.840046132781445</v>
      </c>
      <c r="G299" s="110">
        <f t="shared" si="126"/>
        <v>0.80293879182436589</v>
      </c>
      <c r="H299" s="414" t="b">
        <f>Wh_hp&gt;='2022'!Maxi_hp</f>
        <v>0</v>
      </c>
      <c r="I299" s="392">
        <f>IF(H299,Wh_hp,'2022'!Maxi_hp)</f>
        <v>34.24330519553645</v>
      </c>
      <c r="J299" s="85">
        <f>IF(H299,An,'2022'!An_max)</f>
        <v>2021</v>
      </c>
      <c r="K299" s="199">
        <f t="shared" si="104"/>
        <v>45211</v>
      </c>
      <c r="L299" s="147">
        <f>IF(t&lt;Tvie,1-EXP((T0-t)*PertePVj)+'2022'!Pspv,1-EXP((T0-t)*PertePVj)+Pspv)</f>
        <v>4.3208468563951885E-2</v>
      </c>
      <c r="M299" s="870"/>
      <c r="N299" s="870"/>
      <c r="O299" s="48">
        <f>IF(t&lt;Tnet,'2022'!Resal+('2022'!Salim-'2022'!Resal)*(1-EXP(('2022'!Tnet-t)/('2022'!Tau_j))),Resal+(Salim-Resal)*(1-EXP((Tnet-t)/(Tau_j))))*Salcycl</f>
        <v>6.9847145516461637E-2</v>
      </c>
      <c r="P299" s="171">
        <f>(INDEX(Models!$BJ299:$BT299,,T299)*(1-R299)+INDEX(Models!$BJ299:$BT299,,T299+1)*R299-ERP_i)*Q299*Ramure*Pc/MaxiM</f>
        <v>3.9797493003684153E-2</v>
      </c>
      <c r="Q299" s="307">
        <f t="shared" si="105"/>
        <v>1</v>
      </c>
      <c r="R299" s="179">
        <f t="shared" si="106"/>
        <v>0.39574072404754879</v>
      </c>
      <c r="S299" s="837">
        <f t="shared" si="107"/>
        <v>1</v>
      </c>
      <c r="T299" s="178">
        <f t="shared" si="108"/>
        <v>7</v>
      </c>
      <c r="U299" s="253">
        <f t="shared" si="109"/>
        <v>1.3957407240475488</v>
      </c>
      <c r="V299" s="385">
        <f t="shared" si="110"/>
        <v>29.629340972684151</v>
      </c>
      <c r="W299" s="404">
        <f t="shared" si="111"/>
        <v>24.055536932337862</v>
      </c>
      <c r="X299" s="157">
        <f t="shared" si="112"/>
        <v>45211</v>
      </c>
      <c r="Y299" s="387">
        <f t="shared" si="113"/>
        <v>23.306822180036381</v>
      </c>
      <c r="Z299" s="387">
        <f t="shared" si="114"/>
        <v>24.359352496625025</v>
      </c>
      <c r="AA299" s="388">
        <f t="shared" si="115"/>
        <v>27.029835903309564</v>
      </c>
      <c r="AB299" s="199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9.8797618166729675E-2</v>
      </c>
      <c r="AD299" s="233">
        <f>(INDEX(Models!$BJ299:$BT299,,AH299)*(1-AF299)+INDEX(Models!$BJ299:$BT299,,AH299+1)*AF299-ERP_i)*AE299*Ramure*Pc/MaxiM</f>
        <v>3.9797493003684153E-2</v>
      </c>
      <c r="AE299" s="307">
        <f t="shared" si="117"/>
        <v>1</v>
      </c>
      <c r="AF299" s="179">
        <f t="shared" si="118"/>
        <v>0.39574072404754879</v>
      </c>
      <c r="AG299" s="837">
        <f t="shared" si="124"/>
        <v>1</v>
      </c>
      <c r="AH299" s="178">
        <f t="shared" si="119"/>
        <v>7</v>
      </c>
      <c r="AI299" s="227">
        <f t="shared" si="120"/>
        <v>1.3957407240475488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45212</v>
      </c>
      <c r="B300" s="1139">
        <f>IF(t&gt;Tmaj,'2022'!Wh/'2022'!Env_an*'2023'!Env_an,0.001*'[12]mon-tableau (1)'!$B$220)</f>
        <v>19.819556563342839</v>
      </c>
      <c r="C300" s="866"/>
      <c r="D300" s="395">
        <f t="shared" si="102"/>
        <v>20.71508489875999</v>
      </c>
      <c r="E300" s="387">
        <f t="shared" si="125"/>
        <v>22.274197673631157</v>
      </c>
      <c r="F300" s="387">
        <f t="shared" si="103"/>
        <v>22.78656101988738</v>
      </c>
      <c r="G300" s="110">
        <f t="shared" si="126"/>
        <v>0.6655213219137911</v>
      </c>
      <c r="H300" s="414" t="b">
        <f>Wh_hp&gt;='2022'!Maxi_hp</f>
        <v>0</v>
      </c>
      <c r="I300" s="392">
        <f>IF(H300,Wh_hp,'2022'!Maxi_hp)</f>
        <v>32.914868339815627</v>
      </c>
      <c r="J300" s="85">
        <f>IF(H300,An,'2022'!An_max)</f>
        <v>2021</v>
      </c>
      <c r="K300" s="199">
        <f t="shared" si="104"/>
        <v>45212</v>
      </c>
      <c r="L300" s="147">
        <f>IF(t&lt;Tvie,1-EXP((T0-t)*PertePVj)+'2022'!Pspv,1-EXP((T0-t)*PertePVj)+Pspv)</f>
        <v>4.3230734500670942E-2</v>
      </c>
      <c r="M300" s="870"/>
      <c r="N300" s="870"/>
      <c r="O300" s="48">
        <f>IF(t&lt;Tnet,'2022'!Resal+('2022'!Salim-'2022'!Resal)*(1-EXP(('2022'!Tnet-t)/('2022'!Tau_j))),Resal+(Salim-Resal)*(1-EXP((Tnet-t)/(Tau_j))))*Salcycl</f>
        <v>6.9996360709184566E-2</v>
      </c>
      <c r="P300" s="171">
        <f>(INDEX(Models!$BJ300:$BT300,,T300)*(1-R300)+INDEX(Models!$BJ300:$BT300,,T300+1)*R300-ERP_i)*Q300*Ramure*Pc/MaxiM</f>
        <v>4.1555590476910195E-2</v>
      </c>
      <c r="Q300" s="307">
        <f t="shared" si="105"/>
        <v>1</v>
      </c>
      <c r="R300" s="179">
        <f t="shared" si="106"/>
        <v>0.39591150490898053</v>
      </c>
      <c r="S300" s="837">
        <f t="shared" si="107"/>
        <v>1</v>
      </c>
      <c r="T300" s="178">
        <f t="shared" si="108"/>
        <v>7</v>
      </c>
      <c r="U300" s="253">
        <f t="shared" si="109"/>
        <v>1.3959115049089805</v>
      </c>
      <c r="V300" s="385">
        <f t="shared" si="110"/>
        <v>29.199512744267494</v>
      </c>
      <c r="W300" s="404">
        <f t="shared" si="111"/>
        <v>19.819556563342839</v>
      </c>
      <c r="X300" s="157">
        <f t="shared" si="112"/>
        <v>45212</v>
      </c>
      <c r="Y300" s="387">
        <f t="shared" si="113"/>
        <v>19.204399862703216</v>
      </c>
      <c r="Z300" s="387">
        <f t="shared" si="114"/>
        <v>20.072132911460756</v>
      </c>
      <c r="AA300" s="388">
        <f t="shared" si="115"/>
        <v>22.274197673631157</v>
      </c>
      <c r="AB300" s="199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9.8861687160892345E-2</v>
      </c>
      <c r="AD300" s="233">
        <f>(INDEX(Models!$BJ300:$BT300,,AH300)*(1-AF300)+INDEX(Models!$BJ300:$BT300,,AH300+1)*AF300-ERP_i)*AE300*Ramure*Pc/MaxiM</f>
        <v>4.1555590476910195E-2</v>
      </c>
      <c r="AE300" s="307">
        <f t="shared" si="117"/>
        <v>1</v>
      </c>
      <c r="AF300" s="179">
        <f t="shared" si="118"/>
        <v>0.39591150490898053</v>
      </c>
      <c r="AG300" s="837">
        <f t="shared" si="124"/>
        <v>1</v>
      </c>
      <c r="AH300" s="178">
        <f t="shared" si="119"/>
        <v>7</v>
      </c>
      <c r="AI300" s="227">
        <f t="shared" si="120"/>
        <v>1.3959115049089805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45213</v>
      </c>
      <c r="B301" s="1139">
        <f>IF(t&gt;Tmaj,'2022'!Wh/'2022'!Env_an*'2023'!Env_an,0.001*'[12]mon-tableau (1)'!$B$221)</f>
        <v>16.614788443991216</v>
      </c>
      <c r="C301" s="866"/>
      <c r="D301" s="395">
        <f t="shared" si="102"/>
        <v>17.365916425751589</v>
      </c>
      <c r="E301" s="387">
        <f t="shared" si="125"/>
        <v>18.675897222741408</v>
      </c>
      <c r="F301" s="387">
        <f t="shared" si="103"/>
        <v>19.002216025353896</v>
      </c>
      <c r="G301" s="110">
        <f t="shared" si="126"/>
        <v>0.56197198214093347</v>
      </c>
      <c r="H301" s="414" t="b">
        <f>Wh_hp&gt;='2022'!Maxi_hp</f>
        <v>0</v>
      </c>
      <c r="I301" s="392">
        <f>IF(H301,Wh_hp,'2022'!Maxi_hp)</f>
        <v>34.821662172601158</v>
      </c>
      <c r="J301" s="85">
        <f>IF(H301,An,'2022'!An_max)</f>
        <v>2021</v>
      </c>
      <c r="K301" s="199">
        <f t="shared" si="104"/>
        <v>45213</v>
      </c>
      <c r="L301" s="147">
        <f>IF(t&lt;Tvie,1-EXP((T0-t)*PertePVj)+'2022'!Pspv,1-EXP((T0-t)*PertePVj)+Pspv)</f>
        <v>4.325299991922904E-2</v>
      </c>
      <c r="M301" s="870"/>
      <c r="N301" s="870"/>
      <c r="O301" s="48">
        <f>IF(t&lt;Tnet,'2022'!Resal+('2022'!Salim-'2022'!Resal)*(1-EXP(('2022'!Tnet-t)/('2022'!Tau_j))),Resal+(Salim-Resal)*(1-EXP((Tnet-t)/(Tau_j))))*Salcycl</f>
        <v>7.0142857468431158E-2</v>
      </c>
      <c r="P301" s="171">
        <f>(INDEX(Models!$BJ301:$BT301,,T301)*(1-R301)+INDEX(Models!$BJ301:$BT301,,T301+1)*R301-ERP_i)*Q301*Ramure*Pc/MaxiM</f>
        <v>4.3342645235825539E-2</v>
      </c>
      <c r="Q301" s="307">
        <f t="shared" si="105"/>
        <v>1</v>
      </c>
      <c r="R301" s="179">
        <f t="shared" si="106"/>
        <v>0.39607548836607354</v>
      </c>
      <c r="S301" s="837">
        <f t="shared" si="107"/>
        <v>1</v>
      </c>
      <c r="T301" s="178">
        <f t="shared" si="108"/>
        <v>7</v>
      </c>
      <c r="U301" s="253">
        <f t="shared" si="109"/>
        <v>1.3960754883660735</v>
      </c>
      <c r="V301" s="385">
        <f t="shared" si="110"/>
        <v>28.777916125004229</v>
      </c>
      <c r="W301" s="404">
        <f t="shared" si="111"/>
        <v>16.614788443991216</v>
      </c>
      <c r="X301" s="157">
        <f t="shared" si="112"/>
        <v>45213</v>
      </c>
      <c r="Y301" s="387">
        <f t="shared" si="113"/>
        <v>16.100550607167779</v>
      </c>
      <c r="Z301" s="387">
        <f t="shared" si="114"/>
        <v>16.828430719728967</v>
      </c>
      <c r="AA301" s="388">
        <f t="shared" si="115"/>
        <v>18.675897222741408</v>
      </c>
      <c r="AB301" s="199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9.892250321247234E-2</v>
      </c>
      <c r="AD301" s="233">
        <f>(INDEX(Models!$BJ301:$BT301,,AH301)*(1-AF301)+INDEX(Models!$BJ301:$BT301,,AH301+1)*AF301-ERP_i)*AE301*Ramure*Pc/MaxiM</f>
        <v>4.3342645235825539E-2</v>
      </c>
      <c r="AE301" s="307">
        <f t="shared" si="117"/>
        <v>1</v>
      </c>
      <c r="AF301" s="179">
        <f t="shared" si="118"/>
        <v>0.39607548836607354</v>
      </c>
      <c r="AG301" s="837">
        <f t="shared" si="124"/>
        <v>1</v>
      </c>
      <c r="AH301" s="178">
        <f t="shared" si="119"/>
        <v>7</v>
      </c>
      <c r="AI301" s="227">
        <f t="shared" si="120"/>
        <v>1.3960754883660735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45214</v>
      </c>
      <c r="B302" s="1139">
        <f>IF(t&gt;Tmaj,'2022'!Wh/'2022'!Env_an*'2023'!Env_an,0.001*'[12]mon-tableau (1)'!$B$222)</f>
        <v>28.11804240526493</v>
      </c>
      <c r="C302" s="866"/>
      <c r="D302" s="395">
        <f t="shared" si="102"/>
        <v>29.389898025333398</v>
      </c>
      <c r="E302" s="387">
        <f t="shared" si="125"/>
        <v>31.611784719590602</v>
      </c>
      <c r="F302" s="387">
        <f t="shared" si="103"/>
        <v>33.087273732940126</v>
      </c>
      <c r="G302" s="110">
        <f t="shared" si="126"/>
        <v>0.99069032858433215</v>
      </c>
      <c r="H302" s="414" t="b">
        <f>Wh_hp&gt;='2022'!Maxi_hp</f>
        <v>0</v>
      </c>
      <c r="I302" s="392">
        <f>IF(H302,Wh_hp,'2022'!Maxi_hp)</f>
        <v>33.09419835540163</v>
      </c>
      <c r="J302" s="85">
        <f>IF(H302,An,'2022'!An_max)</f>
        <v>2022</v>
      </c>
      <c r="K302" s="199">
        <f t="shared" si="104"/>
        <v>45214</v>
      </c>
      <c r="L302" s="147">
        <f>IF(t&lt;Tvie,1-EXP((T0-t)*PertePVj)+'2022'!Pspv,1-EXP((T0-t)*PertePVj)+Pspv)</f>
        <v>4.3275264819638282E-2</v>
      </c>
      <c r="M302" s="870"/>
      <c r="N302" s="870"/>
      <c r="O302" s="48">
        <f>IF(t&lt;Tnet,'2022'!Resal+('2022'!Salim-'2022'!Resal)*(1-EXP(('2022'!Tnet-t)/('2022'!Tau_j))),Resal+(Salim-Resal)*(1-EXP((Tnet-t)/(Tau_j))))*Salcycl</f>
        <v>7.0286657775454411E-2</v>
      </c>
      <c r="P302" s="171">
        <f>(INDEX(Models!$BJ302:$BT302,,T302)*(1-R302)+INDEX(Models!$BJ302:$BT302,,T302+1)*R302-ERP_i)*Q302*Ramure*Pc/MaxiM</f>
        <v>4.5156741272904373E-2</v>
      </c>
      <c r="Q302" s="307">
        <f t="shared" si="105"/>
        <v>1</v>
      </c>
      <c r="R302" s="179">
        <f t="shared" si="106"/>
        <v>0.39623294194118608</v>
      </c>
      <c r="S302" s="837">
        <f t="shared" si="107"/>
        <v>1</v>
      </c>
      <c r="T302" s="178">
        <f t="shared" si="108"/>
        <v>7</v>
      </c>
      <c r="U302" s="253">
        <f t="shared" si="109"/>
        <v>1.3962329419411861</v>
      </c>
      <c r="V302" s="385">
        <f t="shared" si="110"/>
        <v>28.365550290369001</v>
      </c>
      <c r="W302" s="404">
        <f t="shared" si="111"/>
        <v>28.11804240526493</v>
      </c>
      <c r="X302" s="157">
        <f t="shared" si="112"/>
        <v>45214</v>
      </c>
      <c r="Y302" s="387">
        <f t="shared" si="113"/>
        <v>27.25024413550355</v>
      </c>
      <c r="Z302" s="387">
        <f t="shared" si="114"/>
        <v>28.482846876919446</v>
      </c>
      <c r="AA302" s="388">
        <f t="shared" si="115"/>
        <v>31.611784719590606</v>
      </c>
      <c r="AB302" s="199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9.8980107274110357E-2</v>
      </c>
      <c r="AD302" s="233">
        <f>(INDEX(Models!$BJ302:$BT302,,AH302)*(1-AF302)+INDEX(Models!$BJ302:$BT302,,AH302+1)*AF302-ERP_i)*AE302*Ramure*Pc/MaxiM</f>
        <v>4.5156741272904373E-2</v>
      </c>
      <c r="AE302" s="307">
        <f t="shared" si="117"/>
        <v>1</v>
      </c>
      <c r="AF302" s="179">
        <f t="shared" si="118"/>
        <v>0.39623294194118608</v>
      </c>
      <c r="AG302" s="837">
        <f t="shared" si="124"/>
        <v>1</v>
      </c>
      <c r="AH302" s="178">
        <f t="shared" si="119"/>
        <v>7</v>
      </c>
      <c r="AI302" s="227">
        <f t="shared" si="120"/>
        <v>1.3962329419411861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45215</v>
      </c>
      <c r="B303" s="1139">
        <f>IF(t&gt;Tmaj,'2022'!Wh/'2022'!Env_an*'2023'!Env_an,0.001*'[12]mon-tableau (1)'!$B$223)</f>
        <v>26.126164966351546</v>
      </c>
      <c r="C303" s="866"/>
      <c r="D303" s="395">
        <f t="shared" si="102"/>
        <v>27.308558056254292</v>
      </c>
      <c r="E303" s="387">
        <f t="shared" si="125"/>
        <v>29.377554314184053</v>
      </c>
      <c r="F303" s="387">
        <f t="shared" si="103"/>
        <v>30.684449236017134</v>
      </c>
      <c r="G303" s="110">
        <f t="shared" si="126"/>
        <v>0.930059259563361</v>
      </c>
      <c r="H303" s="414" t="b">
        <f>Wh_hp&gt;='2022'!Maxi_hp</f>
        <v>0</v>
      </c>
      <c r="I303" s="392">
        <f>IF(H303,Wh_hp,'2022'!Maxi_hp)</f>
        <v>31.863522294539795</v>
      </c>
      <c r="J303" s="85">
        <f>IF(H303,An,'2022'!An_max)</f>
        <v>2021</v>
      </c>
      <c r="K303" s="199">
        <f t="shared" si="104"/>
        <v>45215</v>
      </c>
      <c r="L303" s="147">
        <f>IF(t&lt;Tvie,1-EXP((T0-t)*PertePVj)+'2022'!Pspv,1-EXP((T0-t)*PertePVj)+Pspv)</f>
        <v>4.3297529201910767E-2</v>
      </c>
      <c r="M303" s="870"/>
      <c r="N303" s="870"/>
      <c r="O303" s="48">
        <f>IF(t&lt;Tnet,'2022'!Resal+('2022'!Salim-'2022'!Resal)*(1-EXP(('2022'!Tnet-t)/('2022'!Tau_j))),Resal+(Salim-Resal)*(1-EXP((Tnet-t)/(Tau_j))))*Salcycl</f>
        <v>7.0427791088477784E-2</v>
      </c>
      <c r="P303" s="171">
        <f>(INDEX(Models!$BJ303:$BT303,,T303)*(1-R303)+INDEX(Models!$BJ303:$BT303,,T303+1)*R303-ERP_i)*Q303*Ramure*Pc/MaxiM</f>
        <v>4.6998544081660751E-2</v>
      </c>
      <c r="Q303" s="307">
        <f t="shared" si="105"/>
        <v>1</v>
      </c>
      <c r="R303" s="179">
        <f t="shared" si="106"/>
        <v>0.39638412286567215</v>
      </c>
      <c r="S303" s="837">
        <f t="shared" si="107"/>
        <v>1</v>
      </c>
      <c r="T303" s="178">
        <f t="shared" si="108"/>
        <v>7</v>
      </c>
      <c r="U303" s="253">
        <f t="shared" si="109"/>
        <v>1.3963841228656722</v>
      </c>
      <c r="V303" s="385">
        <f t="shared" si="110"/>
        <v>27.96155388913807</v>
      </c>
      <c r="W303" s="404">
        <f t="shared" si="111"/>
        <v>26.126164966351546</v>
      </c>
      <c r="X303" s="157">
        <f t="shared" si="112"/>
        <v>45215</v>
      </c>
      <c r="Y303" s="387">
        <f t="shared" si="113"/>
        <v>25.322155436456999</v>
      </c>
      <c r="Z303" s="387">
        <f t="shared" si="114"/>
        <v>26.468161428843228</v>
      </c>
      <c r="AA303" s="388">
        <f t="shared" si="115"/>
        <v>29.377554314184053</v>
      </c>
      <c r="AB303" s="199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9.9034550467535537E-2</v>
      </c>
      <c r="AD303" s="233">
        <f>(INDEX(Models!$BJ303:$BT303,,AH303)*(1-AF303)+INDEX(Models!$BJ303:$BT303,,AH303+1)*AF303-ERP_i)*AE303*Ramure*Pc/MaxiM</f>
        <v>4.6998544081660751E-2</v>
      </c>
      <c r="AE303" s="307">
        <f t="shared" si="117"/>
        <v>1</v>
      </c>
      <c r="AF303" s="179">
        <f t="shared" si="118"/>
        <v>0.39638412286567215</v>
      </c>
      <c r="AG303" s="837">
        <f t="shared" si="124"/>
        <v>1</v>
      </c>
      <c r="AH303" s="178">
        <f t="shared" si="119"/>
        <v>7</v>
      </c>
      <c r="AI303" s="227">
        <f t="shared" si="120"/>
        <v>1.3963841228656722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45216</v>
      </c>
      <c r="B304" s="1139">
        <f>IF(t&gt;Tmaj,'2022'!Wh/'2022'!Env_an*'2023'!Env_an,0.001*'[12]mon-tableau (1)'!$B$224)</f>
        <v>16.632153457224423</v>
      </c>
      <c r="C304" s="866"/>
      <c r="D304" s="395">
        <f t="shared" si="102"/>
        <v>17.385280197788045</v>
      </c>
      <c r="E304" s="387">
        <f t="shared" si="125"/>
        <v>18.705239647747785</v>
      </c>
      <c r="F304" s="387">
        <f t="shared" si="103"/>
        <v>19.110107175556813</v>
      </c>
      <c r="G304" s="110">
        <f t="shared" si="126"/>
        <v>0.58633081240399165</v>
      </c>
      <c r="H304" s="414" t="b">
        <f>Wh_hp&gt;='2022'!Maxi_hp</f>
        <v>0</v>
      </c>
      <c r="I304" s="392">
        <f>IF(H304,Wh_hp,'2022'!Maxi_hp)</f>
        <v>29.854260667658959</v>
      </c>
      <c r="J304" s="85">
        <f>IF(H304,An,'2022'!An_max)</f>
        <v>2021</v>
      </c>
      <c r="K304" s="199">
        <f t="shared" si="104"/>
        <v>45216</v>
      </c>
      <c r="L304" s="147">
        <f>IF(t&lt;Tvie,1-EXP((T0-t)*PertePVj)+'2022'!Pspv,1-EXP((T0-t)*PertePVj)+Pspv)</f>
        <v>4.3319793066058598E-2</v>
      </c>
      <c r="M304" s="870"/>
      <c r="N304" s="870"/>
      <c r="O304" s="48">
        <f>IF(t&lt;Tnet,'2022'!Resal+('2022'!Salim-'2022'!Resal)*(1-EXP(('2022'!Tnet-t)/('2022'!Tau_j))),Resal+(Salim-Resal)*(1-EXP((Tnet-t)/(Tau_j))))*Salcycl</f>
        <v>7.0566294515166494E-2</v>
      </c>
      <c r="P304" s="171">
        <f>(INDEX(Models!$BJ304:$BT304,,T304)*(1-R304)+INDEX(Models!$BJ304:$BT304,,T304+1)*R304-ERP_i)*Q304*Ramure*Pc/MaxiM</f>
        <v>4.8879653994821672E-2</v>
      </c>
      <c r="Q304" s="307">
        <f t="shared" si="105"/>
        <v>1</v>
      </c>
      <c r="R304" s="179">
        <f t="shared" si="106"/>
        <v>0.39652927845701491</v>
      </c>
      <c r="S304" s="837">
        <f t="shared" si="107"/>
        <v>1</v>
      </c>
      <c r="T304" s="178">
        <f t="shared" si="108"/>
        <v>7</v>
      </c>
      <c r="U304" s="253">
        <f t="shared" si="109"/>
        <v>1.3965292784570149</v>
      </c>
      <c r="V304" s="385">
        <f t="shared" si="110"/>
        <v>27.563926550515426</v>
      </c>
      <c r="W304" s="404">
        <f t="shared" si="111"/>
        <v>16.632153457224423</v>
      </c>
      <c r="X304" s="157">
        <f t="shared" si="112"/>
        <v>45216</v>
      </c>
      <c r="Y304" s="387">
        <f t="shared" si="113"/>
        <v>16.121797143868889</v>
      </c>
      <c r="Z304" s="387">
        <f t="shared" si="114"/>
        <v>16.851814249965031</v>
      </c>
      <c r="AA304" s="388">
        <f t="shared" si="115"/>
        <v>18.705239647747785</v>
      </c>
      <c r="AB304" s="199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9.9085894256688567E-2</v>
      </c>
      <c r="AD304" s="233">
        <f>(INDEX(Models!$BJ304:$BT304,,AH304)*(1-AF304)+INDEX(Models!$BJ304:$BT304,,AH304+1)*AF304-ERP_i)*AE304*Ramure*Pc/MaxiM</f>
        <v>4.8879653994821672E-2</v>
      </c>
      <c r="AE304" s="307">
        <f t="shared" si="117"/>
        <v>1</v>
      </c>
      <c r="AF304" s="179">
        <f t="shared" si="118"/>
        <v>0.39652927845701491</v>
      </c>
      <c r="AG304" s="837">
        <f t="shared" si="124"/>
        <v>1</v>
      </c>
      <c r="AH304" s="178">
        <f t="shared" si="119"/>
        <v>7</v>
      </c>
      <c r="AI304" s="227">
        <f t="shared" si="120"/>
        <v>1.3965292784570149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45217</v>
      </c>
      <c r="B305" s="1139">
        <f>IF(t&gt;Tmaj,'2022'!Wh/'2022'!Env_an*'2023'!Env_an,0.001*'[12]mon-tableau (1)'!$B$225)</f>
        <v>25.971498458502175</v>
      </c>
      <c r="C305" s="866"/>
      <c r="D305" s="395">
        <f t="shared" si="102"/>
        <v>27.148155338675327</v>
      </c>
      <c r="E305" s="387">
        <f t="shared" si="125"/>
        <v>29.213623142977543</v>
      </c>
      <c r="F305" s="387">
        <f t="shared" si="103"/>
        <v>30.67329704564504</v>
      </c>
      <c r="G305" s="110">
        <f t="shared" si="126"/>
        <v>0.95258129846704054</v>
      </c>
      <c r="H305" s="414" t="b">
        <f>Wh_hp&gt;='2022'!Maxi_hp</f>
        <v>0</v>
      </c>
      <c r="I305" s="392">
        <f>IF(H305,Wh_hp,'2022'!Maxi_hp)</f>
        <v>32.364301744109355</v>
      </c>
      <c r="J305" s="85">
        <f>IF(H305,An,'2022'!An_max)</f>
        <v>2020</v>
      </c>
      <c r="K305" s="199">
        <f t="shared" si="104"/>
        <v>45217</v>
      </c>
      <c r="L305" s="147">
        <f>IF(t&lt;Tvie,1-EXP((T0-t)*PertePVj)+'2022'!Pspv,1-EXP((T0-t)*PertePVj)+Pspv)</f>
        <v>4.3342056412093766E-2</v>
      </c>
      <c r="M305" s="870"/>
      <c r="N305" s="870"/>
      <c r="O305" s="48">
        <f>IF(t&lt;Tnet,'2022'!Resal+('2022'!Salim-'2022'!Resal)*(1-EXP(('2022'!Tnet-t)/('2022'!Tau_j))),Resal+(Salim-Resal)*(1-EXP((Tnet-t)/(Tau_j))))*Salcycl</f>
        <v>7.0702212943371923E-2</v>
      </c>
      <c r="P305" s="171">
        <f>(INDEX(Models!$BJ305:$BT305,,T305)*(1-R305)+INDEX(Models!$BJ305:$BT305,,T305+1)*R305-ERP_i)*Q305*Ramure*Pc/MaxiM</f>
        <v>5.0795118279855854E-2</v>
      </c>
      <c r="Q305" s="307">
        <f t="shared" si="105"/>
        <v>1</v>
      </c>
      <c r="R305" s="179">
        <f t="shared" si="106"/>
        <v>0.39666864648363176</v>
      </c>
      <c r="S305" s="837">
        <f t="shared" si="107"/>
        <v>1</v>
      </c>
      <c r="T305" s="178">
        <f t="shared" si="108"/>
        <v>7</v>
      </c>
      <c r="U305" s="253">
        <f t="shared" si="109"/>
        <v>1.3966686464836318</v>
      </c>
      <c r="V305" s="385">
        <f t="shared" si="110"/>
        <v>27.172522530266534</v>
      </c>
      <c r="W305" s="404">
        <f t="shared" si="111"/>
        <v>25.971498458502175</v>
      </c>
      <c r="X305" s="157">
        <f t="shared" si="112"/>
        <v>45217</v>
      </c>
      <c r="Y305" s="387">
        <f t="shared" si="113"/>
        <v>25.176896779032738</v>
      </c>
      <c r="Z305" s="387">
        <f t="shared" si="114"/>
        <v>26.317553675044838</v>
      </c>
      <c r="AA305" s="388">
        <f t="shared" si="115"/>
        <v>29.213623142977543</v>
      </c>
      <c r="AB305" s="199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9.9134210561926506E-2</v>
      </c>
      <c r="AD305" s="233">
        <f>(INDEX(Models!$BJ305:$BT305,,AH305)*(1-AF305)+INDEX(Models!$BJ305:$BT305,,AH305+1)*AF305-ERP_i)*AE305*Ramure*Pc/MaxiM</f>
        <v>5.0795118279855854E-2</v>
      </c>
      <c r="AE305" s="307">
        <f t="shared" si="117"/>
        <v>1</v>
      </c>
      <c r="AF305" s="179">
        <f t="shared" si="118"/>
        <v>0.39666864648363176</v>
      </c>
      <c r="AG305" s="837">
        <f t="shared" si="124"/>
        <v>1</v>
      </c>
      <c r="AH305" s="178">
        <f t="shared" si="119"/>
        <v>7</v>
      </c>
      <c r="AI305" s="227">
        <f t="shared" si="120"/>
        <v>1.3966686464836318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45218</v>
      </c>
      <c r="B306" s="1139">
        <f>IF(t&gt;Tmaj,'2022'!Wh/'2022'!Env_an*'2023'!Env_an,0.001*'[12]mon-tableau (1)'!$B$226)</f>
        <v>14.027315206110046</v>
      </c>
      <c r="C306" s="866"/>
      <c r="D306" s="395">
        <f t="shared" si="102"/>
        <v>14.663173753843731</v>
      </c>
      <c r="E306" s="387">
        <f t="shared" si="125"/>
        <v>15.781032656954673</v>
      </c>
      <c r="F306" s="387">
        <f t="shared" si="103"/>
        <v>16.05154907418255</v>
      </c>
      <c r="G306" s="110">
        <f t="shared" si="126"/>
        <v>0.50454293924357096</v>
      </c>
      <c r="H306" s="414" t="b">
        <f>Wh_hp&gt;='2022'!Maxi_hp</f>
        <v>0</v>
      </c>
      <c r="I306" s="392">
        <f>IF(H306,Wh_hp,'2022'!Maxi_hp)</f>
        <v>30.618334526163864</v>
      </c>
      <c r="J306" s="85">
        <f>IF(H306,An,'2022'!An_max)</f>
        <v>2020</v>
      </c>
      <c r="K306" s="199">
        <f t="shared" si="104"/>
        <v>45218</v>
      </c>
      <c r="L306" s="147">
        <f>IF(t&lt;Tvie,1-EXP((T0-t)*PertePVj)+'2022'!Pspv,1-EXP((T0-t)*PertePVj)+Pspv)</f>
        <v>4.3364319240028371E-2</v>
      </c>
      <c r="M306" s="870"/>
      <c r="N306" s="870"/>
      <c r="O306" s="48">
        <f>IF(t&lt;Tnet,'2022'!Resal+('2022'!Salim-'2022'!Resal)*(1-EXP(('2022'!Tnet-t)/('2022'!Tau_j))),Resal+(Salim-Resal)*(1-EXP((Tnet-t)/(Tau_j))))*Salcycl</f>
        <v>7.0835599127811441E-2</v>
      </c>
      <c r="P306" s="171">
        <f>(INDEX(Models!$BJ306:$BT306,,T306)*(1-R306)+INDEX(Models!$BJ306:$BT306,,T306+1)*R306-ERP_i)*Q306*Ramure*Pc/MaxiM</f>
        <v>5.274547417072048E-2</v>
      </c>
      <c r="Q306" s="307">
        <f t="shared" si="105"/>
        <v>1</v>
      </c>
      <c r="R306" s="179">
        <f t="shared" si="106"/>
        <v>0.39680245551763393</v>
      </c>
      <c r="S306" s="837">
        <f t="shared" si="107"/>
        <v>1</v>
      </c>
      <c r="T306" s="178">
        <f t="shared" si="108"/>
        <v>7</v>
      </c>
      <c r="U306" s="253">
        <f t="shared" si="109"/>
        <v>1.3968024555176339</v>
      </c>
      <c r="V306" s="385">
        <f t="shared" si="110"/>
        <v>26.787034958780616</v>
      </c>
      <c r="W306" s="404">
        <f t="shared" si="111"/>
        <v>14.027315206110046</v>
      </c>
      <c r="X306" s="157">
        <f t="shared" si="112"/>
        <v>45218</v>
      </c>
      <c r="Y306" s="387">
        <f t="shared" si="113"/>
        <v>13.599414633355298</v>
      </c>
      <c r="Z306" s="387">
        <f t="shared" si="114"/>
        <v>14.215876437466388</v>
      </c>
      <c r="AA306" s="388">
        <f t="shared" si="115"/>
        <v>15.781032656954673</v>
      </c>
      <c r="AB306" s="199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9.9179581812634032E-2</v>
      </c>
      <c r="AD306" s="233">
        <f>(INDEX(Models!$BJ306:$BT306,,AH306)*(1-AF306)+INDEX(Models!$BJ306:$BT306,,AH306+1)*AF306-ERP_i)*AE306*Ramure*Pc/MaxiM</f>
        <v>5.274547417072048E-2</v>
      </c>
      <c r="AE306" s="307">
        <f t="shared" si="117"/>
        <v>1</v>
      </c>
      <c r="AF306" s="179">
        <f t="shared" si="118"/>
        <v>0.39680245551763393</v>
      </c>
      <c r="AG306" s="837">
        <f t="shared" si="124"/>
        <v>1</v>
      </c>
      <c r="AH306" s="178">
        <f t="shared" si="119"/>
        <v>7</v>
      </c>
      <c r="AI306" s="227">
        <f t="shared" si="120"/>
        <v>1.3968024555176339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45219</v>
      </c>
      <c r="B307" s="1139">
        <f>IF(t&gt;Tmaj,'2022'!Wh/'2022'!Env_an*'2023'!Env_an,0.001*'[12]mon-tableau (1)'!$B$227)</f>
        <v>7.7540516483287503</v>
      </c>
      <c r="C307" s="866"/>
      <c r="D307" s="395">
        <f t="shared" si="102"/>
        <v>8.1057316349289952</v>
      </c>
      <c r="E307" s="387">
        <f t="shared" si="125"/>
        <v>8.7249079335973896</v>
      </c>
      <c r="F307" s="387">
        <f t="shared" si="103"/>
        <v>8.7249079335973896</v>
      </c>
      <c r="G307" s="110">
        <f t="shared" si="126"/>
        <v>0.27756346808512916</v>
      </c>
      <c r="H307" s="414" t="b">
        <f>Wh_hp&gt;='2022'!Maxi_hp</f>
        <v>0</v>
      </c>
      <c r="I307" s="392">
        <f>IF(H307,Wh_hp,'2022'!Maxi_hp)</f>
        <v>26.917739526991838</v>
      </c>
      <c r="J307" s="85">
        <f>IF(H307,An,'2022'!An_max)</f>
        <v>2020</v>
      </c>
      <c r="K307" s="199">
        <f t="shared" si="104"/>
        <v>45219</v>
      </c>
      <c r="L307" s="147">
        <f>IF(t&lt;Tvie,1-EXP((T0-t)*PertePVj)+'2022'!Pspv,1-EXP((T0-t)*PertePVj)+Pspv)</f>
        <v>4.3386581549874514E-2</v>
      </c>
      <c r="M307" s="870"/>
      <c r="N307" s="870"/>
      <c r="O307" s="48">
        <f>IF(t&lt;Tnet,'2022'!Resal+('2022'!Salim-'2022'!Resal)*(1-EXP(('2022'!Tnet-t)/('2022'!Tau_j))),Resal+(Salim-Resal)*(1-EXP((Tnet-t)/(Tau_j))))*Salcycl</f>
        <v>7.0966513730661276E-2</v>
      </c>
      <c r="P307" s="171">
        <f>(INDEX(Models!$BJ307:$BT307,,T307)*(1-R307)+INDEX(Models!$BJ307:$BT307,,T307+1)*R307-ERP_i)*Q307*Ramure*Pc/MaxiM</f>
        <v>5.4731320944305176E-2</v>
      </c>
      <c r="Q307" s="307">
        <f t="shared" si="105"/>
        <v>1</v>
      </c>
      <c r="R307" s="179">
        <f t="shared" si="106"/>
        <v>0.39693092527582463</v>
      </c>
      <c r="S307" s="837">
        <f t="shared" si="107"/>
        <v>1</v>
      </c>
      <c r="T307" s="178">
        <f t="shared" si="108"/>
        <v>7</v>
      </c>
      <c r="U307" s="253">
        <f t="shared" si="109"/>
        <v>1.3969309252758246</v>
      </c>
      <c r="V307" s="385">
        <f t="shared" si="110"/>
        <v>26.407157287346372</v>
      </c>
      <c r="W307" s="404">
        <f t="shared" si="111"/>
        <v>7.7540516483287503</v>
      </c>
      <c r="X307" s="157">
        <f t="shared" si="112"/>
        <v>45219</v>
      </c>
      <c r="Y307" s="387">
        <f t="shared" si="113"/>
        <v>7.5182202323654401</v>
      </c>
      <c r="Z307" s="387">
        <f t="shared" si="114"/>
        <v>7.8592042379524854</v>
      </c>
      <c r="AA307" s="388">
        <f t="shared" si="115"/>
        <v>8.7249079335973896</v>
      </c>
      <c r="AB307" s="199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9.9222100936022517E-2</v>
      </c>
      <c r="AD307" s="233">
        <f>(INDEX(Models!$BJ307:$BT307,,AH307)*(1-AF307)+INDEX(Models!$BJ307:$BT307,,AH307+1)*AF307-ERP_i)*AE307*Ramure*Pc/MaxiM</f>
        <v>5.4731320944305176E-2</v>
      </c>
      <c r="AE307" s="307">
        <f t="shared" si="117"/>
        <v>1</v>
      </c>
      <c r="AF307" s="179">
        <f t="shared" si="118"/>
        <v>0.39693092527582463</v>
      </c>
      <c r="AG307" s="837">
        <f t="shared" si="124"/>
        <v>1</v>
      </c>
      <c r="AH307" s="178">
        <f t="shared" si="119"/>
        <v>7</v>
      </c>
      <c r="AI307" s="227">
        <f t="shared" si="120"/>
        <v>1.3969309252758246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45220</v>
      </c>
      <c r="B308" s="1139">
        <f>IF(t&gt;Tmaj,'2022'!Wh/'2022'!Env_an*'2023'!Env_an,0.001*'[12]mon-tableau (1)'!$B$228)</f>
        <v>13.549205754446797</v>
      </c>
      <c r="C308" s="866"/>
      <c r="D308" s="395">
        <f t="shared" si="102"/>
        <v>14.164050817465231</v>
      </c>
      <c r="E308" s="387">
        <f t="shared" si="125"/>
        <v>15.248116011284047</v>
      </c>
      <c r="F308" s="387">
        <f t="shared" si="103"/>
        <v>15.525635979079157</v>
      </c>
      <c r="G308" s="110">
        <f t="shared" si="126"/>
        <v>0.49986768933262038</v>
      </c>
      <c r="H308" s="414" t="b">
        <f>Wh_hp&gt;='2022'!Maxi_hp</f>
        <v>0</v>
      </c>
      <c r="I308" s="392">
        <f>IF(H308,Wh_hp,'2022'!Maxi_hp)</f>
        <v>22.474187536944374</v>
      </c>
      <c r="J308" s="85">
        <f>IF(H308,An,'2022'!An_max)</f>
        <v>2019</v>
      </c>
      <c r="K308" s="199">
        <f t="shared" si="104"/>
        <v>45220</v>
      </c>
      <c r="L308" s="147">
        <f>IF(t&lt;Tvie,1-EXP((T0-t)*PertePVj)+'2022'!Pspv,1-EXP((T0-t)*PertePVj)+Pspv)</f>
        <v>4.3408843341644077E-2</v>
      </c>
      <c r="M308" s="870"/>
      <c r="N308" s="870"/>
      <c r="O308" s="48">
        <f>IF(t&lt;Tnet,'2022'!Resal+('2022'!Salim-'2022'!Resal)*(1-EXP(('2022'!Tnet-t)/('2022'!Tau_j))),Resal+(Salim-Resal)*(1-EXP((Tnet-t)/(Tau_j))))*Salcycl</f>
        <v>7.1095025314378266E-2</v>
      </c>
      <c r="P308" s="171">
        <f>(INDEX(Models!$BJ308:$BT308,,T308)*(1-R308)+INDEX(Models!$BJ308:$BT308,,T308+1)*R308-ERP_i)*Q308*Ramure*Pc/MaxiM</f>
        <v>5.6753326470830687E-2</v>
      </c>
      <c r="Q308" s="307">
        <f t="shared" si="105"/>
        <v>1</v>
      </c>
      <c r="R308" s="179">
        <f t="shared" si="106"/>
        <v>0.39705426694922408</v>
      </c>
      <c r="S308" s="837">
        <f t="shared" si="107"/>
        <v>1</v>
      </c>
      <c r="T308" s="178">
        <f t="shared" si="108"/>
        <v>7</v>
      </c>
      <c r="U308" s="253">
        <f t="shared" si="109"/>
        <v>1.3970542669492241</v>
      </c>
      <c r="V308" s="385">
        <f t="shared" si="110"/>
        <v>26.032583280177967</v>
      </c>
      <c r="W308" s="404">
        <f t="shared" si="111"/>
        <v>13.549205754446797</v>
      </c>
      <c r="X308" s="157">
        <f t="shared" si="112"/>
        <v>45220</v>
      </c>
      <c r="Y308" s="387">
        <f t="shared" si="113"/>
        <v>13.138358141561111</v>
      </c>
      <c r="Z308" s="387">
        <f t="shared" si="114"/>
        <v>13.734559482503602</v>
      </c>
      <c r="AA308" s="388">
        <f t="shared" si="115"/>
        <v>15.248116011284047</v>
      </c>
      <c r="AB308" s="199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9.926187128038437E-2</v>
      </c>
      <c r="AD308" s="233">
        <f>(INDEX(Models!$BJ308:$BT308,,AH308)*(1-AF308)+INDEX(Models!$BJ308:$BT308,,AH308+1)*AF308-ERP_i)*AE308*Ramure*Pc/MaxiM</f>
        <v>5.6753326470830687E-2</v>
      </c>
      <c r="AE308" s="307">
        <f t="shared" si="117"/>
        <v>1</v>
      </c>
      <c r="AF308" s="179">
        <f t="shared" si="118"/>
        <v>0.39705426694922408</v>
      </c>
      <c r="AG308" s="837">
        <f t="shared" si="124"/>
        <v>1</v>
      </c>
      <c r="AH308" s="178">
        <f t="shared" si="119"/>
        <v>7</v>
      </c>
      <c r="AI308" s="227">
        <f t="shared" si="120"/>
        <v>1.3970542669492241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45221</v>
      </c>
      <c r="B309" s="1139">
        <f>IF(t&gt;Tmaj,'2022'!Wh/'2022'!Env_an*'2023'!Env_an,0.001*'[12]mon-tableau (1)'!$B$229)</f>
        <v>23.995041379792305</v>
      </c>
      <c r="C309" s="866"/>
      <c r="D309" s="395">
        <f t="shared" si="102"/>
        <v>25.084488420610349</v>
      </c>
      <c r="E309" s="387">
        <f t="shared" si="125"/>
        <v>27.008033235038944</v>
      </c>
      <c r="F309" s="387">
        <f t="shared" si="103"/>
        <v>28.530160766735811</v>
      </c>
      <c r="G309" s="110">
        <f t="shared" si="126"/>
        <v>0.92961151194270775</v>
      </c>
      <c r="H309" s="414" t="b">
        <f>Wh_hp&gt;='2022'!Maxi_hp</f>
        <v>0</v>
      </c>
      <c r="I309" s="392">
        <f>IF(H309,Wh_hp,'2022'!Maxi_hp)</f>
        <v>28.583639581005087</v>
      </c>
      <c r="J309" s="85">
        <f>IF(H309,An,'2022'!An_max)</f>
        <v>2022</v>
      </c>
      <c r="K309" s="199">
        <f t="shared" si="104"/>
        <v>45221</v>
      </c>
      <c r="L309" s="147">
        <f>IF(t&lt;Tvie,1-EXP((T0-t)*PertePVj)+'2022'!Pspv,1-EXP((T0-t)*PertePVj)+Pspv)</f>
        <v>4.343110461534927E-2</v>
      </c>
      <c r="M309" s="870"/>
      <c r="N309" s="870"/>
      <c r="O309" s="48">
        <f>IF(t&lt;Tnet,'2022'!Resal+('2022'!Salim-'2022'!Resal)*(1-EXP(('2022'!Tnet-t)/('2022'!Tau_j))),Resal+(Salim-Resal)*(1-EXP((Tnet-t)/(Tau_j))))*Salcycl</f>
        <v>7.12212102854302E-2</v>
      </c>
      <c r="P309" s="171">
        <f>(INDEX(Models!$BJ309:$BT309,,T309)*(1-R309)+INDEX(Models!$BJ309:$BT309,,T309+1)*R309-ERP_i)*Q309*Ramure*Pc/MaxiM</f>
        <v>5.8812234160986632E-2</v>
      </c>
      <c r="Q309" s="307">
        <f t="shared" si="105"/>
        <v>1</v>
      </c>
      <c r="R309" s="179">
        <f t="shared" si="106"/>
        <v>0.39717268352140822</v>
      </c>
      <c r="S309" s="837">
        <f t="shared" si="107"/>
        <v>1</v>
      </c>
      <c r="T309" s="178">
        <f t="shared" si="108"/>
        <v>7</v>
      </c>
      <c r="U309" s="253">
        <f t="shared" si="109"/>
        <v>1.3971726835214082</v>
      </c>
      <c r="V309" s="385">
        <f t="shared" si="110"/>
        <v>25.663007025148357</v>
      </c>
      <c r="W309" s="404">
        <f t="shared" si="111"/>
        <v>23.995041379792305</v>
      </c>
      <c r="X309" s="157">
        <f t="shared" si="112"/>
        <v>45221</v>
      </c>
      <c r="Y309" s="387">
        <f t="shared" si="113"/>
        <v>23.269650265351405</v>
      </c>
      <c r="Z309" s="387">
        <f t="shared" si="114"/>
        <v>24.326162368048074</v>
      </c>
      <c r="AA309" s="388">
        <f t="shared" si="115"/>
        <v>27.008033235038944</v>
      </c>
      <c r="AB309" s="199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9.9299006471583254E-2</v>
      </c>
      <c r="AD309" s="233">
        <f>(INDEX(Models!$BJ309:$BT309,,AH309)*(1-AF309)+INDEX(Models!$BJ309:$BT309,,AH309+1)*AF309-ERP_i)*AE309*Ramure*Pc/MaxiM</f>
        <v>5.8812234160986632E-2</v>
      </c>
      <c r="AE309" s="307">
        <f t="shared" si="117"/>
        <v>1</v>
      </c>
      <c r="AF309" s="179">
        <f t="shared" si="118"/>
        <v>0.39717268352140822</v>
      </c>
      <c r="AG309" s="837">
        <f t="shared" si="124"/>
        <v>1</v>
      </c>
      <c r="AH309" s="178">
        <f t="shared" si="119"/>
        <v>7</v>
      </c>
      <c r="AI309" s="227">
        <f t="shared" si="120"/>
        <v>1.3971726835214082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45222</v>
      </c>
      <c r="B310" s="1139">
        <f>IF(t&gt;Tmaj,'2022'!Wh/'2022'!Env_an*'2023'!Env_an,0.001*'[12]mon-tableau (1)'!$B$230)</f>
        <v>16.200999600835647</v>
      </c>
      <c r="C310" s="866"/>
      <c r="D310" s="395">
        <f t="shared" si="102"/>
        <v>16.936967853239373</v>
      </c>
      <c r="E310" s="387">
        <f t="shared" si="125"/>
        <v>18.238173099604541</v>
      </c>
      <c r="F310" s="387">
        <f t="shared" si="103"/>
        <v>18.794842208322937</v>
      </c>
      <c r="G310" s="110">
        <f t="shared" si="126"/>
        <v>0.61975294845317386</v>
      </c>
      <c r="H310" s="414" t="b">
        <f>Wh_hp&gt;='2022'!Maxi_hp</f>
        <v>0</v>
      </c>
      <c r="I310" s="392">
        <f>IF(H310,Wh_hp,'2022'!Maxi_hp)</f>
        <v>30.859930652265835</v>
      </c>
      <c r="J310" s="85">
        <f>IF(H310,An,'2022'!An_max)</f>
        <v>2021</v>
      </c>
      <c r="K310" s="199">
        <f t="shared" si="104"/>
        <v>45222</v>
      </c>
      <c r="L310" s="147">
        <f>IF(t&lt;Tvie,1-EXP((T0-t)*PertePVj)+'2022'!Pspv,1-EXP((T0-t)*PertePVj)+Pspv)</f>
        <v>4.3453365371002084E-2</v>
      </c>
      <c r="M310" s="870"/>
      <c r="N310" s="870"/>
      <c r="O310" s="48">
        <f>IF(t&lt;Tnet,'2022'!Resal+('2022'!Salim-'2022'!Resal)*(1-EXP(('2022'!Tnet-t)/('2022'!Tau_j))),Resal+(Salim-Resal)*(1-EXP((Tnet-t)/(Tau_j))))*Salcycl</f>
        <v>7.1345152787993901E-2</v>
      </c>
      <c r="P310" s="171">
        <f>(INDEX(Models!$BJ310:$BT310,,T310)*(1-R310)+INDEX(Models!$BJ310:$BT310,,T310+1)*R310-ERP_i)*Q310*Ramure*Pc/MaxiM</f>
        <v>6.090665328116749E-2</v>
      </c>
      <c r="Q310" s="307">
        <f t="shared" si="105"/>
        <v>1</v>
      </c>
      <c r="R310" s="179">
        <f t="shared" si="106"/>
        <v>0.39728637007595879</v>
      </c>
      <c r="S310" s="837">
        <f t="shared" si="107"/>
        <v>1</v>
      </c>
      <c r="T310" s="178">
        <f t="shared" si="108"/>
        <v>7</v>
      </c>
      <c r="U310" s="253">
        <f t="shared" si="109"/>
        <v>1.3972863700759588</v>
      </c>
      <c r="V310" s="385">
        <f t="shared" si="110"/>
        <v>25.298182664184765</v>
      </c>
      <c r="W310" s="404">
        <f t="shared" si="111"/>
        <v>16.200999600835647</v>
      </c>
      <c r="X310" s="157">
        <f t="shared" si="112"/>
        <v>45222</v>
      </c>
      <c r="Y310" s="387">
        <f t="shared" si="113"/>
        <v>15.712722053181553</v>
      </c>
      <c r="Z310" s="387">
        <f t="shared" si="114"/>
        <v>16.42650915736672</v>
      </c>
      <c r="AA310" s="388">
        <f t="shared" si="115"/>
        <v>18.238173099604541</v>
      </c>
      <c r="AB310" s="199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9.9333630202089893E-2</v>
      </c>
      <c r="AD310" s="233">
        <f>(INDEX(Models!$BJ310:$BT310,,AH310)*(1-AF310)+INDEX(Models!$BJ310:$BT310,,AH310+1)*AF310-ERP_i)*AE310*Ramure*Pc/MaxiM</f>
        <v>6.090665328116749E-2</v>
      </c>
      <c r="AE310" s="307">
        <f t="shared" si="117"/>
        <v>1</v>
      </c>
      <c r="AF310" s="179">
        <f t="shared" si="118"/>
        <v>0.39728637007595879</v>
      </c>
      <c r="AG310" s="837">
        <f t="shared" si="124"/>
        <v>1</v>
      </c>
      <c r="AH310" s="178">
        <f t="shared" si="119"/>
        <v>7</v>
      </c>
      <c r="AI310" s="227">
        <f t="shared" si="120"/>
        <v>1.3972863700759588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45223</v>
      </c>
      <c r="B311" s="1139">
        <f>IF(t&gt;Tmaj,'2022'!Wh/'2022'!Env_an*'2023'!Env_an,0.001*'[12]mon-tableau (1)'!$B$231)</f>
        <v>19.135132304641978</v>
      </c>
      <c r="C311" s="866"/>
      <c r="D311" s="395">
        <f t="shared" si="102"/>
        <v>20.004855931472971</v>
      </c>
      <c r="E311" s="387">
        <f t="shared" si="125"/>
        <v>21.544581330725986</v>
      </c>
      <c r="F311" s="387">
        <f t="shared" si="103"/>
        <v>22.491317276862002</v>
      </c>
      <c r="G311" s="110">
        <f t="shared" si="126"/>
        <v>0.75053737686146627</v>
      </c>
      <c r="H311" s="414" t="b">
        <f>Wh_hp&gt;='2022'!Maxi_hp</f>
        <v>0</v>
      </c>
      <c r="I311" s="392">
        <f>IF(H311,Wh_hp,'2022'!Maxi_hp)</f>
        <v>31.094214113391882</v>
      </c>
      <c r="J311" s="85">
        <f>IF(H311,An,'2022'!An_max)</f>
        <v>2021</v>
      </c>
      <c r="K311" s="199">
        <f t="shared" si="104"/>
        <v>45223</v>
      </c>
      <c r="L311" s="147">
        <f>IF(t&lt;Tvie,1-EXP((T0-t)*PertePVj)+'2022'!Pspv,1-EXP((T0-t)*PertePVj)+Pspv)</f>
        <v>4.3475625608614621E-2</v>
      </c>
      <c r="M311" s="870"/>
      <c r="N311" s="870"/>
      <c r="O311" s="48">
        <f>IF(t&lt;Tnet,'2022'!Resal+('2022'!Salim-'2022'!Resal)*(1-EXP(('2022'!Tnet-t)/('2022'!Tau_j))),Resal+(Salim-Resal)*(1-EXP((Tnet-t)/(Tau_j))))*Salcycl</f>
        <v>7.1466944547078498E-2</v>
      </c>
      <c r="P311" s="171">
        <f>(INDEX(Models!$BJ311:$BT311,,T311)*(1-R311)+INDEX(Models!$BJ311:$BT311,,T311+1)*R311-ERP_i)*Q311*Ramure*Pc/MaxiM</f>
        <v>6.3051092324149405E-2</v>
      </c>
      <c r="Q311" s="307">
        <f t="shared" si="105"/>
        <v>1</v>
      </c>
      <c r="R311" s="179">
        <f t="shared" si="106"/>
        <v>0.39739551409330853</v>
      </c>
      <c r="S311" s="837">
        <f t="shared" si="107"/>
        <v>1</v>
      </c>
      <c r="T311" s="178">
        <f t="shared" si="108"/>
        <v>7</v>
      </c>
      <c r="U311" s="253">
        <f t="shared" si="109"/>
        <v>1.3973955140933085</v>
      </c>
      <c r="V311" s="385">
        <f t="shared" si="110"/>
        <v>24.937441062453466</v>
      </c>
      <c r="W311" s="404">
        <f t="shared" si="111"/>
        <v>19.135132304641978</v>
      </c>
      <c r="X311" s="157">
        <f t="shared" si="112"/>
        <v>45223</v>
      </c>
      <c r="Y311" s="387">
        <f t="shared" si="113"/>
        <v>18.560193436860921</v>
      </c>
      <c r="Z311" s="387">
        <f t="shared" si="114"/>
        <v>19.403785134770192</v>
      </c>
      <c r="AA311" s="388">
        <f t="shared" si="115"/>
        <v>21.544581330725986</v>
      </c>
      <c r="AB311" s="199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9.9365875952422369E-2</v>
      </c>
      <c r="AD311" s="233">
        <f>(INDEX(Models!$BJ311:$BT311,,AH311)*(1-AF311)+INDEX(Models!$BJ311:$BT311,,AH311+1)*AF311-ERP_i)*AE311*Ramure*Pc/MaxiM</f>
        <v>6.3051092324149405E-2</v>
      </c>
      <c r="AE311" s="307">
        <f t="shared" si="117"/>
        <v>1</v>
      </c>
      <c r="AF311" s="179">
        <f t="shared" si="118"/>
        <v>0.39739551409330853</v>
      </c>
      <c r="AG311" s="837">
        <f t="shared" si="124"/>
        <v>1</v>
      </c>
      <c r="AH311" s="178">
        <f t="shared" si="119"/>
        <v>7</v>
      </c>
      <c r="AI311" s="227">
        <f t="shared" si="120"/>
        <v>1.3973955140933085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45224</v>
      </c>
      <c r="B312" s="1139">
        <f>IF(t&gt;Tmaj,'2022'!Wh/'2022'!Env_an*'2023'!Env_an,0.001*'[12]mon-tableau (1)'!$B$232)</f>
        <v>17.669496527670344</v>
      </c>
      <c r="C312" s="866"/>
      <c r="D312" s="395">
        <f t="shared" si="102"/>
        <v>18.473034462378759</v>
      </c>
      <c r="E312" s="387">
        <f t="shared" si="125"/>
        <v>19.8974251630938</v>
      </c>
      <c r="F312" s="387">
        <f t="shared" si="103"/>
        <v>20.705794312078549</v>
      </c>
      <c r="G312" s="110">
        <f t="shared" si="126"/>
        <v>0.69923917856990758</v>
      </c>
      <c r="H312" s="414" t="b">
        <f>Wh_hp&gt;='2022'!Maxi_hp</f>
        <v>0</v>
      </c>
      <c r="I312" s="392">
        <f>IF(H312,Wh_hp,'2022'!Maxi_hp)</f>
        <v>29.799774376559132</v>
      </c>
      <c r="J312" s="85">
        <f>IF(H312,An,'2022'!An_max)</f>
        <v>2021</v>
      </c>
      <c r="K312" s="199">
        <f t="shared" si="104"/>
        <v>45224</v>
      </c>
      <c r="L312" s="147">
        <f>IF(t&lt;Tvie,1-EXP((T0-t)*PertePVj)+'2022'!Pspv,1-EXP((T0-t)*PertePVj)+Pspv)</f>
        <v>4.3497885328198871E-2</v>
      </c>
      <c r="M312" s="870"/>
      <c r="N312" s="870"/>
      <c r="O312" s="48">
        <f>IF(t&lt;Tnet,'2022'!Resal+('2022'!Salim-'2022'!Resal)*(1-EXP(('2022'!Tnet-t)/('2022'!Tau_j))),Resal+(Salim-Resal)*(1-EXP((Tnet-t)/(Tau_j))))*Salcycl</f>
        <v>7.158668466093962E-2</v>
      </c>
      <c r="P312" s="171">
        <f>(INDEX(Models!$BJ312:$BT312,,T312)*(1-R312)+INDEX(Models!$BJ312:$BT312,,T312+1)*R312-ERP_i)*Q312*Ramure*Pc/MaxiM</f>
        <v>6.5247586254202905E-2</v>
      </c>
      <c r="Q312" s="307">
        <f t="shared" si="105"/>
        <v>1</v>
      </c>
      <c r="R312" s="179">
        <f t="shared" si="106"/>
        <v>0.39750029573727996</v>
      </c>
      <c r="S312" s="837">
        <f t="shared" si="107"/>
        <v>1</v>
      </c>
      <c r="T312" s="178">
        <f t="shared" si="108"/>
        <v>7</v>
      </c>
      <c r="U312" s="253">
        <f t="shared" si="109"/>
        <v>1.39750029573728</v>
      </c>
      <c r="V312" s="385">
        <f t="shared" si="110"/>
        <v>24.580461459789301</v>
      </c>
      <c r="W312" s="404">
        <f t="shared" si="111"/>
        <v>17.669496527670344</v>
      </c>
      <c r="X312" s="157">
        <f t="shared" si="112"/>
        <v>45224</v>
      </c>
      <c r="Y312" s="387">
        <f t="shared" si="113"/>
        <v>17.140233763141442</v>
      </c>
      <c r="Z312" s="387">
        <f t="shared" si="114"/>
        <v>17.919702947047501</v>
      </c>
      <c r="AA312" s="388">
        <f t="shared" si="115"/>
        <v>19.8974251630938</v>
      </c>
      <c r="AB312" s="199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9.9395886645404996E-2</v>
      </c>
      <c r="AD312" s="233">
        <f>(INDEX(Models!$BJ312:$BT312,,AH312)*(1-AF312)+INDEX(Models!$BJ312:$BT312,,AH312+1)*AF312-ERP_i)*AE312*Ramure*Pc/MaxiM</f>
        <v>6.5247586254202905E-2</v>
      </c>
      <c r="AE312" s="307">
        <f t="shared" si="117"/>
        <v>1</v>
      </c>
      <c r="AF312" s="179">
        <f t="shared" si="118"/>
        <v>0.39750029573727996</v>
      </c>
      <c r="AG312" s="837">
        <f t="shared" si="124"/>
        <v>1</v>
      </c>
      <c r="AH312" s="178">
        <f t="shared" si="119"/>
        <v>7</v>
      </c>
      <c r="AI312" s="227">
        <f t="shared" si="120"/>
        <v>1.39750029573728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45225</v>
      </c>
      <c r="B313" s="1139">
        <f>IF(t&gt;Tmaj,'2022'!Wh/'2022'!Env_an*'2023'!Env_an,0.001*'[12]mon-tableau (1)'!$B$233)</f>
        <v>13.983687611791742</v>
      </c>
      <c r="C313" s="866"/>
      <c r="D313" s="395">
        <f t="shared" si="102"/>
        <v>14.619949946480533</v>
      </c>
      <c r="E313" s="387">
        <f t="shared" si="125"/>
        <v>15.74924107802908</v>
      </c>
      <c r="F313" s="387">
        <f t="shared" si="103"/>
        <v>16.181759000260822</v>
      </c>
      <c r="G313" s="110">
        <f t="shared" si="126"/>
        <v>0.55301787361601218</v>
      </c>
      <c r="H313" s="414" t="b">
        <f>Wh_hp&gt;='2022'!Maxi_hp</f>
        <v>0</v>
      </c>
      <c r="I313" s="392">
        <f>IF(H313,Wh_hp,'2022'!Maxi_hp)</f>
        <v>29.263227957076836</v>
      </c>
      <c r="J313" s="85">
        <f>IF(H313,An,'2022'!An_max)</f>
        <v>2019</v>
      </c>
      <c r="K313" s="199">
        <f t="shared" si="104"/>
        <v>45225</v>
      </c>
      <c r="L313" s="147">
        <f>IF(t&lt;Tvie,1-EXP((T0-t)*PertePVj)+'2022'!Pspv,1-EXP((T0-t)*PertePVj)+Pspv)</f>
        <v>4.3520144529766935E-2</v>
      </c>
      <c r="M313" s="870"/>
      <c r="N313" s="870"/>
      <c r="O313" s="48">
        <f>IF(t&lt;Tnet,'2022'!Resal+('2022'!Salim-'2022'!Resal)*(1-EXP(('2022'!Tnet-t)/('2022'!Tau_j))),Resal+(Salim-Resal)*(1-EXP((Tnet-t)/(Tau_j))))*Salcycl</f>
        <v>7.1704479343068825E-2</v>
      </c>
      <c r="P313" s="171">
        <f>(INDEX(Models!$BJ313:$BT313,,T313)*(1-R313)+INDEX(Models!$BJ313:$BT313,,T313+1)*R313-ERP_i)*Q313*Ramure*Pc/MaxiM</f>
        <v>6.7497809012721371E-2</v>
      </c>
      <c r="Q313" s="307">
        <f t="shared" si="105"/>
        <v>1</v>
      </c>
      <c r="R313" s="179">
        <f t="shared" si="106"/>
        <v>0.39760088813160133</v>
      </c>
      <c r="S313" s="837">
        <f t="shared" si="107"/>
        <v>1</v>
      </c>
      <c r="T313" s="178">
        <f t="shared" si="108"/>
        <v>7</v>
      </c>
      <c r="U313" s="253">
        <f t="shared" si="109"/>
        <v>1.3976008881316013</v>
      </c>
      <c r="V313" s="385">
        <f t="shared" si="110"/>
        <v>24.226936682954413</v>
      </c>
      <c r="W313" s="404">
        <f t="shared" si="111"/>
        <v>13.983687611791742</v>
      </c>
      <c r="X313" s="157">
        <f t="shared" si="112"/>
        <v>45225</v>
      </c>
      <c r="Y313" s="387">
        <f t="shared" si="113"/>
        <v>13.566128212549742</v>
      </c>
      <c r="Z313" s="387">
        <f t="shared" si="114"/>
        <v>14.183391458757114</v>
      </c>
      <c r="AA313" s="388">
        <f t="shared" si="115"/>
        <v>15.749241078029081</v>
      </c>
      <c r="AB313" s="199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9.9423814234223667E-2</v>
      </c>
      <c r="AD313" s="233">
        <f>(INDEX(Models!$BJ313:$BT313,,AH313)*(1-AF313)+INDEX(Models!$BJ313:$BT313,,AH313+1)*AF313-ERP_i)*AE313*Ramure*Pc/MaxiM</f>
        <v>6.7497809012721371E-2</v>
      </c>
      <c r="AE313" s="307">
        <f t="shared" si="117"/>
        <v>1</v>
      </c>
      <c r="AF313" s="179">
        <f t="shared" si="118"/>
        <v>0.39760088813160133</v>
      </c>
      <c r="AG313" s="837">
        <f t="shared" si="124"/>
        <v>1</v>
      </c>
      <c r="AH313" s="178">
        <f t="shared" si="119"/>
        <v>7</v>
      </c>
      <c r="AI313" s="227">
        <f t="shared" si="120"/>
        <v>1.3976008881316013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45226</v>
      </c>
      <c r="B314" s="1139">
        <f>IF(t&gt;Tmaj,'2022'!Wh/'2022'!Env_an*'2023'!Env_an,0.001*'[12]mon-tableau (1)'!$B$234)</f>
        <v>11.165148022586557</v>
      </c>
      <c r="C314" s="866"/>
      <c r="D314" s="395">
        <f t="shared" si="102"/>
        <v>11.673437547150206</v>
      </c>
      <c r="E314" s="387">
        <f t="shared" si="125"/>
        <v>12.576701826373816</v>
      </c>
      <c r="F314" s="387">
        <f t="shared" si="103"/>
        <v>12.790493994953589</v>
      </c>
      <c r="G314" s="110">
        <f t="shared" si="126"/>
        <v>0.44237232779799213</v>
      </c>
      <c r="H314" s="414" t="b">
        <f>Wh_hp&gt;='2022'!Maxi_hp</f>
        <v>0</v>
      </c>
      <c r="I314" s="392">
        <f>IF(H314,Wh_hp,'2022'!Maxi_hp)</f>
        <v>29.643885541046256</v>
      </c>
      <c r="J314" s="85">
        <f>IF(H314,An,'2022'!An_max)</f>
        <v>2021</v>
      </c>
      <c r="K314" s="199">
        <f t="shared" si="104"/>
        <v>45226</v>
      </c>
      <c r="L314" s="147">
        <f>IF(t&lt;Tvie,1-EXP((T0-t)*PertePVj)+'2022'!Pspv,1-EXP((T0-t)*PertePVj)+Pspv)</f>
        <v>4.3542403213330805E-2</v>
      </c>
      <c r="M314" s="870"/>
      <c r="N314" s="870"/>
      <c r="O314" s="48">
        <f>IF(t&lt;Tnet,'2022'!Resal+('2022'!Salim-'2022'!Resal)*(1-EXP(('2022'!Tnet-t)/('2022'!Tau_j))),Resal+(Salim-Resal)*(1-EXP((Tnet-t)/(Tau_j))))*Salcycl</f>
        <v>7.1820441614464603E-2</v>
      </c>
      <c r="P314" s="171">
        <f>(INDEX(Models!$BJ314:$BT314,,T314)*(1-R314)+INDEX(Models!$BJ314:$BT314,,T314+1)*R314-ERP_i)*Q314*Ramure*Pc/MaxiM</f>
        <v>6.9803571633046679E-2</v>
      </c>
      <c r="Q314" s="307">
        <f t="shared" si="105"/>
        <v>1</v>
      </c>
      <c r="R314" s="179">
        <f t="shared" si="106"/>
        <v>0.39769745762668962</v>
      </c>
      <c r="S314" s="837">
        <f t="shared" si="107"/>
        <v>1</v>
      </c>
      <c r="T314" s="178">
        <f t="shared" si="108"/>
        <v>7</v>
      </c>
      <c r="U314" s="253">
        <f t="shared" si="109"/>
        <v>1.3976974576266896</v>
      </c>
      <c r="V314" s="385">
        <f t="shared" si="110"/>
        <v>23.87655987842064</v>
      </c>
      <c r="W314" s="404">
        <f t="shared" si="111"/>
        <v>11.165148022586557</v>
      </c>
      <c r="X314" s="157">
        <f t="shared" si="112"/>
        <v>45226</v>
      </c>
      <c r="Y314" s="387">
        <f t="shared" si="113"/>
        <v>10.832791973570272</v>
      </c>
      <c r="Z314" s="387">
        <f t="shared" si="114"/>
        <v>11.325951103283929</v>
      </c>
      <c r="AA314" s="388">
        <f t="shared" si="115"/>
        <v>12.576701826373816</v>
      </c>
      <c r="AB314" s="199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9.9449819225817651E-2</v>
      </c>
      <c r="AD314" s="233">
        <f>(INDEX(Models!$BJ314:$BT314,,AH314)*(1-AF314)+INDEX(Models!$BJ314:$BT314,,AH314+1)*AF314-ERP_i)*AE314*Ramure*Pc/MaxiM</f>
        <v>6.9803571633046679E-2</v>
      </c>
      <c r="AE314" s="307">
        <f t="shared" si="117"/>
        <v>1</v>
      </c>
      <c r="AF314" s="179">
        <f t="shared" si="118"/>
        <v>0.39769745762668962</v>
      </c>
      <c r="AG314" s="837">
        <f t="shared" si="124"/>
        <v>1</v>
      </c>
      <c r="AH314" s="178">
        <f t="shared" si="119"/>
        <v>7</v>
      </c>
      <c r="AI314" s="227">
        <f t="shared" si="120"/>
        <v>1.3976974576266896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45227</v>
      </c>
      <c r="B315" s="1139">
        <f>IF(t&gt;Tmaj,'2022'!Wh/'2022'!Env_an*'2023'!Env_an,0.001*'[12]mon-tableau (1)'!$B$235)</f>
        <v>15.177969191931508</v>
      </c>
      <c r="C315" s="866"/>
      <c r="D315" s="395">
        <f t="shared" si="102"/>
        <v>15.869310322445575</v>
      </c>
      <c r="E315" s="387">
        <f t="shared" si="125"/>
        <v>17.09934653051954</v>
      </c>
      <c r="F315" s="387">
        <f t="shared" si="103"/>
        <v>17.730105688889484</v>
      </c>
      <c r="G315" s="110">
        <f t="shared" si="126"/>
        <v>0.62059953717952632</v>
      </c>
      <c r="H315" s="414" t="b">
        <f>Wh_hp&gt;='2022'!Maxi_hp</f>
        <v>0</v>
      </c>
      <c r="I315" s="392">
        <f>IF(H315,Wh_hp,'2022'!Maxi_hp)</f>
        <v>28.741781736753882</v>
      </c>
      <c r="J315" s="85">
        <f>IF(H315,An,'2022'!An_max)</f>
        <v>2021</v>
      </c>
      <c r="K315" s="199">
        <f t="shared" si="104"/>
        <v>45227</v>
      </c>
      <c r="L315" s="147">
        <f>IF(t&lt;Tvie,1-EXP((T0-t)*PertePVj)+'2022'!Pspv,1-EXP((T0-t)*PertePVj)+Pspv)</f>
        <v>4.3564661378902692E-2</v>
      </c>
      <c r="M315" s="870"/>
      <c r="N315" s="870"/>
      <c r="O315" s="48">
        <f>IF(t&lt;Tnet,'2022'!Resal+('2022'!Salim-'2022'!Resal)*(1-EXP(('2022'!Tnet-t)/('2022'!Tau_j))),Resal+(Salim-Resal)*(1-EXP((Tnet-t)/(Tau_j))))*Salcycl</f>
        <v>7.1934690947314833E-2</v>
      </c>
      <c r="P315" s="171">
        <f>(INDEX(Models!$BJ315:$BT315,,T315)*(1-R315)+INDEX(Models!$BJ315:$BT315,,T315+1)*R315-ERP_i)*Q315*Ramure*Pc/MaxiM</f>
        <v>7.2166834584768247E-2</v>
      </c>
      <c r="Q315" s="307">
        <f t="shared" si="105"/>
        <v>1</v>
      </c>
      <c r="R315" s="179">
        <f t="shared" si="106"/>
        <v>0.39779016405698453</v>
      </c>
      <c r="S315" s="837">
        <f t="shared" si="107"/>
        <v>1</v>
      </c>
      <c r="T315" s="178">
        <f t="shared" si="108"/>
        <v>7</v>
      </c>
      <c r="U315" s="253">
        <f t="shared" si="109"/>
        <v>1.3977901640569845</v>
      </c>
      <c r="V315" s="385">
        <f t="shared" si="110"/>
        <v>23.52902453892224</v>
      </c>
      <c r="W315" s="404">
        <f t="shared" si="111"/>
        <v>15.177969191931508</v>
      </c>
      <c r="X315" s="157">
        <f t="shared" si="112"/>
        <v>45227</v>
      </c>
      <c r="Y315" s="387">
        <f t="shared" si="113"/>
        <v>14.727578637624474</v>
      </c>
      <c r="Z315" s="387">
        <f t="shared" si="114"/>
        <v>15.398404934365322</v>
      </c>
      <c r="AA315" s="388">
        <f t="shared" si="115"/>
        <v>17.09934653051954</v>
      </c>
      <c r="AB315" s="199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9.9474070141704798E-2</v>
      </c>
      <c r="AD315" s="233">
        <f>(INDEX(Models!$BJ315:$BT315,,AH315)*(1-AF315)+INDEX(Models!$BJ315:$BT315,,AH315+1)*AF315-ERP_i)*AE315*Ramure*Pc/MaxiM</f>
        <v>7.2166834584768247E-2</v>
      </c>
      <c r="AE315" s="307">
        <f t="shared" si="117"/>
        <v>1</v>
      </c>
      <c r="AF315" s="179">
        <f t="shared" si="118"/>
        <v>0.39779016405698453</v>
      </c>
      <c r="AG315" s="837">
        <f t="shared" si="124"/>
        <v>1</v>
      </c>
      <c r="AH315" s="178">
        <f t="shared" si="119"/>
        <v>7</v>
      </c>
      <c r="AI315" s="227">
        <f t="shared" si="120"/>
        <v>1.3977901640569845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45228</v>
      </c>
      <c r="B316" s="1139">
        <f>IF(t&gt;Tmaj,'2022'!Wh/'2022'!Env_an*'2023'!Env_an,0.001*'[12]mon-tableau (1)'!$B$236)</f>
        <v>19.248093507436575</v>
      </c>
      <c r="C316" s="866"/>
      <c r="D316" s="395">
        <f t="shared" si="102"/>
        <v>20.125293024897246</v>
      </c>
      <c r="E316" s="387">
        <f t="shared" si="125"/>
        <v>21.68784483449673</v>
      </c>
      <c r="F316" s="387">
        <f t="shared" si="103"/>
        <v>22.986579167822391</v>
      </c>
      <c r="G316" s="110">
        <f t="shared" si="126"/>
        <v>0.81431260824289109</v>
      </c>
      <c r="H316" s="414" t="b">
        <f>Wh_hp&gt;='2022'!Maxi_hp</f>
        <v>0</v>
      </c>
      <c r="I316" s="392">
        <f>IF(H316,Wh_hp,'2022'!Maxi_hp)</f>
        <v>25.210255189313802</v>
      </c>
      <c r="J316" s="85">
        <f>IF(H316,An,'2022'!An_max)</f>
        <v>2019</v>
      </c>
      <c r="K316" s="199">
        <f t="shared" si="104"/>
        <v>45228</v>
      </c>
      <c r="L316" s="147">
        <f>IF(t&lt;Tvie,1-EXP((T0-t)*PertePVj)+'2022'!Pspv,1-EXP((T0-t)*PertePVj)+Pspv)</f>
        <v>4.3586919026494475E-2</v>
      </c>
      <c r="M316" s="870"/>
      <c r="N316" s="870"/>
      <c r="O316" s="48">
        <f>IF(t&lt;Tnet,'2022'!Resal+('2022'!Salim-'2022'!Resal)*(1-EXP(('2022'!Tnet-t)/('2022'!Tau_j))),Resal+(Salim-Resal)*(1-EXP((Tnet-t)/(Tau_j))))*Salcycl</f>
        <v>7.2047352861640074E-2</v>
      </c>
      <c r="P316" s="171">
        <f>(INDEX(Models!$BJ316:$BT316,,T316)*(1-R316)+INDEX(Models!$BJ316:$BT316,,T316+1)*R316-ERP_i)*Q316*Ramure*Pc/MaxiM</f>
        <v>7.4589721270777412E-2</v>
      </c>
      <c r="Q316" s="307">
        <f t="shared" si="105"/>
        <v>1</v>
      </c>
      <c r="R316" s="179">
        <f t="shared" si="106"/>
        <v>0.39787916098911502</v>
      </c>
      <c r="S316" s="837">
        <f t="shared" si="107"/>
        <v>1</v>
      </c>
      <c r="T316" s="178">
        <f t="shared" si="108"/>
        <v>7</v>
      </c>
      <c r="U316" s="253">
        <f t="shared" si="109"/>
        <v>1.397879160989115</v>
      </c>
      <c r="V316" s="385">
        <f t="shared" si="110"/>
        <v>23.184024505052694</v>
      </c>
      <c r="W316" s="404">
        <f t="shared" si="111"/>
        <v>19.248093507436575</v>
      </c>
      <c r="X316" s="157">
        <f t="shared" si="112"/>
        <v>45228</v>
      </c>
      <c r="Y316" s="387">
        <f t="shared" si="113"/>
        <v>18.678723477432058</v>
      </c>
      <c r="Z316" s="387">
        <f t="shared" si="114"/>
        <v>19.529974912534154</v>
      </c>
      <c r="AA316" s="388">
        <f t="shared" si="115"/>
        <v>21.68784483449673</v>
      </c>
      <c r="AB316" s="199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9.9496742918884357E-2</v>
      </c>
      <c r="AD316" s="233">
        <f>(INDEX(Models!$BJ316:$BT316,,AH316)*(1-AF316)+INDEX(Models!$BJ316:$BT316,,AH316+1)*AF316-ERP_i)*AE316*Ramure*Pc/MaxiM</f>
        <v>7.4589721270777412E-2</v>
      </c>
      <c r="AE316" s="307">
        <f t="shared" si="117"/>
        <v>1</v>
      </c>
      <c r="AF316" s="179">
        <f t="shared" si="118"/>
        <v>0.39787916098911502</v>
      </c>
      <c r="AG316" s="837">
        <f t="shared" si="124"/>
        <v>1</v>
      </c>
      <c r="AH316" s="178">
        <f t="shared" si="119"/>
        <v>7</v>
      </c>
      <c r="AI316" s="227">
        <f t="shared" si="120"/>
        <v>1.397879160989115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45229</v>
      </c>
      <c r="B317" s="1139">
        <f>IF(t&gt;Tmaj,'2022'!Wh/'2022'!Env_an*'2023'!Env_an,0.001*'[12]mon-tableau (1)'!$B$237)</f>
        <v>16.569523411550175</v>
      </c>
      <c r="C317" s="866"/>
      <c r="D317" s="395">
        <f t="shared" si="102"/>
        <v>17.325054777245473</v>
      </c>
      <c r="E317" s="387">
        <f t="shared" si="125"/>
        <v>18.672430441137411</v>
      </c>
      <c r="F317" s="387">
        <f t="shared" si="103"/>
        <v>19.590073120489951</v>
      </c>
      <c r="G317" s="110">
        <f t="shared" si="126"/>
        <v>0.70241530262622398</v>
      </c>
      <c r="H317" s="414" t="b">
        <f>Wh_hp&gt;='2022'!Maxi_hp</f>
        <v>0</v>
      </c>
      <c r="I317" s="392">
        <f>IF(H317,Wh_hp,'2022'!Maxi_hp)</f>
        <v>25.555453874343382</v>
      </c>
      <c r="J317" s="85">
        <f>IF(H317,An,'2022'!An_max)</f>
        <v>2020</v>
      </c>
      <c r="K317" s="199">
        <f t="shared" si="104"/>
        <v>45229</v>
      </c>
      <c r="L317" s="147">
        <f>IF(t&lt;Tvie,1-EXP((T0-t)*PertePVj)+'2022'!Pspv,1-EXP((T0-t)*PertePVj)+Pspv)</f>
        <v>4.3609176156118368E-2</v>
      </c>
      <c r="M317" s="870"/>
      <c r="N317" s="870"/>
      <c r="O317" s="48">
        <f>IF(t&lt;Tnet,'2022'!Resal+('2022'!Salim-'2022'!Resal)*(1-EXP(('2022'!Tnet-t)/('2022'!Tau_j))),Resal+(Salim-Resal)*(1-EXP((Tnet-t)/(Tau_j))))*Salcycl</f>
        <v>7.2158558476861284E-2</v>
      </c>
      <c r="P317" s="171">
        <f>(INDEX(Models!$BJ317:$BT317,,T317)*(1-R317)+INDEX(Models!$BJ317:$BT317,,T317+1)*R317-ERP_i)*Q317*Ramure*Pc/MaxiM</f>
        <v>7.7074897137685533E-2</v>
      </c>
      <c r="Q317" s="307">
        <f t="shared" si="105"/>
        <v>1</v>
      </c>
      <c r="R317" s="179">
        <f t="shared" si="106"/>
        <v>0.39796459596117506</v>
      </c>
      <c r="S317" s="837">
        <f t="shared" si="107"/>
        <v>1</v>
      </c>
      <c r="T317" s="178">
        <f t="shared" si="108"/>
        <v>7</v>
      </c>
      <c r="U317" s="253">
        <f t="shared" si="109"/>
        <v>1.3979645959611751</v>
      </c>
      <c r="V317" s="385">
        <f t="shared" si="110"/>
        <v>22.841136961516508</v>
      </c>
      <c r="W317" s="404">
        <f t="shared" si="111"/>
        <v>16.569523411550175</v>
      </c>
      <c r="X317" s="157">
        <f t="shared" si="112"/>
        <v>45229</v>
      </c>
      <c r="Y317" s="387">
        <f t="shared" si="113"/>
        <v>16.080934281817623</v>
      </c>
      <c r="Z317" s="387">
        <f t="shared" si="114"/>
        <v>16.814187130305033</v>
      </c>
      <c r="AA317" s="388">
        <f t="shared" si="115"/>
        <v>18.672430441137411</v>
      </c>
      <c r="AB317" s="199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9.9518020253992437E-2</v>
      </c>
      <c r="AD317" s="233">
        <f>(INDEX(Models!$BJ317:$BT317,,AH317)*(1-AF317)+INDEX(Models!$BJ317:$BT317,,AH317+1)*AF317-ERP_i)*AE317*Ramure*Pc/MaxiM</f>
        <v>7.7074897137685533E-2</v>
      </c>
      <c r="AE317" s="307">
        <f t="shared" si="117"/>
        <v>1</v>
      </c>
      <c r="AF317" s="179">
        <f t="shared" si="118"/>
        <v>0.39796459596117506</v>
      </c>
      <c r="AG317" s="837">
        <f t="shared" si="124"/>
        <v>1</v>
      </c>
      <c r="AH317" s="178">
        <f t="shared" si="119"/>
        <v>7</v>
      </c>
      <c r="AI317" s="227">
        <f t="shared" si="120"/>
        <v>1.3979645959611751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45230</v>
      </c>
      <c r="B318" s="1139">
        <f>IF(t&gt;Tmaj,'2022'!Wh/'2022'!Env_an*'2023'!Env_an,0.001*'[12]mon-tableau (1)'!$B$238)</f>
        <v>16.118340546475164</v>
      </c>
      <c r="C318" s="866"/>
      <c r="D318" s="395">
        <f t="shared" si="102"/>
        <v>16.853691242825533</v>
      </c>
      <c r="E318" s="387">
        <f t="shared" si="125"/>
        <v>18.166560288050352</v>
      </c>
      <c r="F318" s="387">
        <f t="shared" si="103"/>
        <v>19.069115731170271</v>
      </c>
      <c r="G318" s="110">
        <f t="shared" si="126"/>
        <v>0.6920750432038868</v>
      </c>
      <c r="H318" s="414" t="b">
        <f>Wh_hp&gt;='2022'!Maxi_hp</f>
        <v>0</v>
      </c>
      <c r="I318" s="392">
        <f>IF(H318,Wh_hp,'2022'!Maxi_hp)</f>
        <v>27.871025086088434</v>
      </c>
      <c r="J318" s="85">
        <f>IF(H318,An,'2022'!An_max)</f>
        <v>2020</v>
      </c>
      <c r="K318" s="199">
        <f t="shared" si="104"/>
        <v>45230</v>
      </c>
      <c r="L318" s="147">
        <f>IF(t&lt;Tvie,1-EXP((T0-t)*PertePVj)+'2022'!Pspv,1-EXP((T0-t)*PertePVj)+Pspv)</f>
        <v>4.3631432767786249E-2</v>
      </c>
      <c r="M318" s="870"/>
      <c r="N318" s="870"/>
      <c r="O318" s="48">
        <f>IF(t&lt;Tnet,'2022'!Resal+('2022'!Salim-'2022'!Resal)*(1-EXP(('2022'!Tnet-t)/('2022'!Tau_j))),Resal+(Salim-Resal)*(1-EXP((Tnet-t)/(Tau_j))))*Salcycl</f>
        <v>7.2268444020654882E-2</v>
      </c>
      <c r="P318" s="171">
        <f>(INDEX(Models!$BJ318:$BT318,,T318)*(1-R318)+INDEX(Models!$BJ318:$BT318,,T318+1)*R318-ERP_i)*Q318*Ramure*Pc/MaxiM</f>
        <v>7.9581013751534646E-2</v>
      </c>
      <c r="Q318" s="307">
        <f t="shared" si="105"/>
        <v>1</v>
      </c>
      <c r="R318" s="179">
        <f t="shared" si="106"/>
        <v>0.39804661071338021</v>
      </c>
      <c r="S318" s="837">
        <f t="shared" si="107"/>
        <v>1</v>
      </c>
      <c r="T318" s="178">
        <f t="shared" si="108"/>
        <v>7</v>
      </c>
      <c r="U318" s="253">
        <f t="shared" si="109"/>
        <v>1.3980466107133802</v>
      </c>
      <c r="V318" s="385">
        <f t="shared" si="110"/>
        <v>22.501452713531258</v>
      </c>
      <c r="W318" s="404">
        <f t="shared" si="111"/>
        <v>16.118340546475164</v>
      </c>
      <c r="X318" s="157">
        <f t="shared" si="112"/>
        <v>45230</v>
      </c>
      <c r="Y318" s="387">
        <f t="shared" si="113"/>
        <v>15.644559685987929</v>
      </c>
      <c r="Z318" s="387">
        <f t="shared" si="114"/>
        <v>16.358295558859901</v>
      </c>
      <c r="AA318" s="388">
        <f t="shared" si="115"/>
        <v>18.166560288050352</v>
      </c>
      <c r="AB318" s="199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9.9538090894394429E-2</v>
      </c>
      <c r="AD318" s="233">
        <f>(INDEX(Models!$BJ318:$BT318,,AH318)*(1-AF318)+INDEX(Models!$BJ318:$BT318,,AH318+1)*AF318-ERP_i)*AE318*Ramure*Pc/MaxiM</f>
        <v>7.9581013751534646E-2</v>
      </c>
      <c r="AE318" s="307">
        <f t="shared" si="117"/>
        <v>1</v>
      </c>
      <c r="AF318" s="179">
        <f t="shared" si="118"/>
        <v>0.39804661071338021</v>
      </c>
      <c r="AG318" s="837">
        <f t="shared" si="124"/>
        <v>1</v>
      </c>
      <c r="AH318" s="178">
        <f t="shared" si="119"/>
        <v>7</v>
      </c>
      <c r="AI318" s="227">
        <f t="shared" si="120"/>
        <v>1.3980466107133802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45231</v>
      </c>
      <c r="B319" s="1139">
        <f>IF(t&gt;Tmaj,'2022'!Wh/'2022'!Env_an*'2023'!Env_an,0.001*'[13]mon-tableau (3)'!$B$202)</f>
        <v>15.192795061669734</v>
      </c>
      <c r="C319" s="866"/>
      <c r="D319" s="395">
        <f t="shared" si="102"/>
        <v>15.886290232649465</v>
      </c>
      <c r="E319" s="387">
        <f t="shared" si="125"/>
        <v>17.125807366377771</v>
      </c>
      <c r="F319" s="387">
        <f t="shared" si="103"/>
        <v>17.936574791862341</v>
      </c>
      <c r="G319" s="110">
        <f t="shared" si="126"/>
        <v>0.6589362190545317</v>
      </c>
      <c r="H319" s="414" t="b">
        <f>Wh_hp&gt;='2022'!Maxi_hp</f>
        <v>0</v>
      </c>
      <c r="I319" s="392">
        <f>IF(H319,Wh_hp,'2022'!Maxi_hp)</f>
        <v>26.847448093899022</v>
      </c>
      <c r="J319" s="85">
        <f>IF(H319,An,'2022'!An_max)</f>
        <v>2020</v>
      </c>
      <c r="K319" s="199">
        <f t="shared" si="104"/>
        <v>45231</v>
      </c>
      <c r="L319" s="147">
        <f>IF(t&lt;Tvie,1-EXP((T0-t)*PertePVj)+'2022'!Pspv,1-EXP((T0-t)*PertePVj)+Pspv)</f>
        <v>4.3653688861510331E-2</v>
      </c>
      <c r="M319" s="870"/>
      <c r="N319" s="870"/>
      <c r="O319" s="48">
        <f>IF(t&lt;Tnet,'2022'!Resal+('2022'!Salim-'2022'!Resal)*(1-EXP(('2022'!Tnet-t)/('2022'!Tau_j))),Resal+(Salim-Resal)*(1-EXP((Tnet-t)/(Tau_j))))*Salcycl</f>
        <v>7.2377150297847456E-2</v>
      </c>
      <c r="P319" s="171">
        <f>(INDEX(Models!$BJ319:$BT319,,T319)*(1-R319)+INDEX(Models!$BJ319:$BT319,,T319+1)*R319-ERP_i)*Q319*Ramure*Pc/MaxiM</f>
        <v>8.2095510383190864E-2</v>
      </c>
      <c r="Q319" s="307">
        <f t="shared" si="105"/>
        <v>1</v>
      </c>
      <c r="R319" s="179">
        <f t="shared" si="106"/>
        <v>0.39812534141037847</v>
      </c>
      <c r="S319" s="837">
        <f t="shared" si="107"/>
        <v>1</v>
      </c>
      <c r="T319" s="178">
        <f t="shared" si="108"/>
        <v>7</v>
      </c>
      <c r="U319" s="253">
        <f t="shared" si="109"/>
        <v>1.3981253414103785</v>
      </c>
      <c r="V319" s="385">
        <f t="shared" si="110"/>
        <v>22.165638811516587</v>
      </c>
      <c r="W319" s="404">
        <f t="shared" si="111"/>
        <v>15.192795061669734</v>
      </c>
      <c r="X319" s="157">
        <f t="shared" si="112"/>
        <v>45231</v>
      </c>
      <c r="Y319" s="387">
        <f t="shared" si="113"/>
        <v>14.747635535496396</v>
      </c>
      <c r="Z319" s="387">
        <f t="shared" si="114"/>
        <v>15.420810812706501</v>
      </c>
      <c r="AA319" s="388">
        <f t="shared" si="115"/>
        <v>17.125807366377771</v>
      </c>
      <c r="AB319" s="199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9.9557148880385193E-2</v>
      </c>
      <c r="AD319" s="233">
        <f>(INDEX(Models!$BJ319:$BT319,,AH319)*(1-AF319)+INDEX(Models!$BJ319:$BT319,,AH319+1)*AF319-ERP_i)*AE319*Ramure*Pc/MaxiM</f>
        <v>8.2095510383190864E-2</v>
      </c>
      <c r="AE319" s="307">
        <f t="shared" si="117"/>
        <v>1</v>
      </c>
      <c r="AF319" s="179">
        <f t="shared" si="118"/>
        <v>0.39812534141037847</v>
      </c>
      <c r="AG319" s="837">
        <f t="shared" si="124"/>
        <v>1</v>
      </c>
      <c r="AH319" s="178">
        <f t="shared" si="119"/>
        <v>7</v>
      </c>
      <c r="AI319" s="227">
        <f t="shared" si="120"/>
        <v>1.3981253414103785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45232</v>
      </c>
      <c r="B320" s="1139">
        <f>IF(t&gt;Tmaj,'2022'!Wh/'2022'!Env_an*'2023'!Env_an,0.001*'[13]mon-tableau (3)'!$B$203)</f>
        <v>20.544537810633031</v>
      </c>
      <c r="C320" s="866"/>
      <c r="D320" s="395">
        <f t="shared" si="102"/>
        <v>21.482820275335122</v>
      </c>
      <c r="E320" s="387">
        <f t="shared" si="125"/>
        <v>23.161691353121629</v>
      </c>
      <c r="F320" s="387">
        <f t="shared" si="103"/>
        <v>25.106896138145931</v>
      </c>
      <c r="G320" s="110">
        <f t="shared" si="126"/>
        <v>0.9336565468205632</v>
      </c>
      <c r="H320" s="414" t="b">
        <f>Wh_hp&gt;='2022'!Maxi_hp</f>
        <v>0</v>
      </c>
      <c r="I320" s="392">
        <f>IF(H320,Wh_hp,'2022'!Maxi_hp)</f>
        <v>26.326466731477012</v>
      </c>
      <c r="J320" s="85">
        <f>IF(H320,An,'2022'!An_max)</f>
        <v>2021</v>
      </c>
      <c r="K320" s="199">
        <f t="shared" si="104"/>
        <v>45232</v>
      </c>
      <c r="L320" s="147">
        <f>IF(t&lt;Tvie,1-EXP((T0-t)*PertePVj)+'2022'!Pspv,1-EXP((T0-t)*PertePVj)+Pspv)</f>
        <v>4.3675944437302494E-2</v>
      </c>
      <c r="M320" s="870"/>
      <c r="N320" s="870"/>
      <c r="O320" s="48">
        <f>IF(t&lt;Tnet,'2022'!Resal+('2022'!Salim-'2022'!Resal)*(1-EXP(('2022'!Tnet-t)/('2022'!Tau_j))),Resal+(Salim-Resal)*(1-EXP((Tnet-t)/(Tau_j))))*Salcycl</f>
        <v>7.2484822122467082E-2</v>
      </c>
      <c r="P320" s="171">
        <f>(INDEX(Models!$BJ320:$BT320,,T320)*(1-R320)+INDEX(Models!$BJ320:$BT320,,T320+1)*R320-ERP_i)*Q320*Ramure*Pc/MaxiM</f>
        <v>8.4616297562780662E-2</v>
      </c>
      <c r="Q320" s="307">
        <f t="shared" si="105"/>
        <v>1</v>
      </c>
      <c r="R320" s="179">
        <f t="shared" si="106"/>
        <v>0.39820091885547426</v>
      </c>
      <c r="S320" s="837">
        <f t="shared" si="107"/>
        <v>1</v>
      </c>
      <c r="T320" s="178">
        <f t="shared" si="108"/>
        <v>7</v>
      </c>
      <c r="U320" s="253">
        <f t="shared" si="109"/>
        <v>1.3982009188554743</v>
      </c>
      <c r="V320" s="385">
        <f t="shared" si="110"/>
        <v>21.834093235990466</v>
      </c>
      <c r="W320" s="404">
        <f t="shared" si="111"/>
        <v>20.544537810633031</v>
      </c>
      <c r="X320" s="157">
        <f t="shared" si="112"/>
        <v>45232</v>
      </c>
      <c r="Y320" s="387">
        <f t="shared" si="113"/>
        <v>19.944479433473962</v>
      </c>
      <c r="Z320" s="387">
        <f t="shared" si="114"/>
        <v>20.855356840039651</v>
      </c>
      <c r="AA320" s="388">
        <f t="shared" si="115"/>
        <v>23.161691353121629</v>
      </c>
      <c r="AB320" s="199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9.957539274311844E-2</v>
      </c>
      <c r="AD320" s="233">
        <f>(INDEX(Models!$BJ320:$BT320,,AH320)*(1-AF320)+INDEX(Models!$BJ320:$BT320,,AH320+1)*AF320-ERP_i)*AE320*Ramure*Pc/MaxiM</f>
        <v>8.4616297562780662E-2</v>
      </c>
      <c r="AE320" s="307">
        <f t="shared" si="117"/>
        <v>1</v>
      </c>
      <c r="AF320" s="179">
        <f t="shared" si="118"/>
        <v>0.39820091885547426</v>
      </c>
      <c r="AG320" s="837">
        <f t="shared" si="124"/>
        <v>1</v>
      </c>
      <c r="AH320" s="178">
        <f t="shared" si="119"/>
        <v>7</v>
      </c>
      <c r="AI320" s="227">
        <f t="shared" si="120"/>
        <v>1.3982009188554743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45233</v>
      </c>
      <c r="B321" s="1139">
        <f>IF(t&gt;Tmaj,'2022'!Wh/'2022'!Env_an*'2023'!Env_an,0.001*'[13]mon-tableau (3)'!$B$204)</f>
        <v>5.3998498751575061</v>
      </c>
      <c r="C321" s="866"/>
      <c r="D321" s="395">
        <f t="shared" si="102"/>
        <v>5.6465959515154776</v>
      </c>
      <c r="E321" s="387">
        <f t="shared" si="125"/>
        <v>6.0885754307352178</v>
      </c>
      <c r="F321" s="387">
        <f t="shared" si="103"/>
        <v>6.0885754307352178</v>
      </c>
      <c r="G321" s="110">
        <f t="shared" si="126"/>
        <v>0.22919293737332289</v>
      </c>
      <c r="H321" s="414" t="b">
        <f>Wh_hp&gt;='2022'!Maxi_hp</f>
        <v>0</v>
      </c>
      <c r="I321" s="392">
        <f>IF(H321,Wh_hp,'2022'!Maxi_hp)</f>
        <v>25.417463869453393</v>
      </c>
      <c r="J321" s="85">
        <f>IF(H321,An,'2022'!An_max)</f>
        <v>2020</v>
      </c>
      <c r="K321" s="199">
        <f t="shared" si="104"/>
        <v>45233</v>
      </c>
      <c r="L321" s="147">
        <f>IF(t&lt;Tvie,1-EXP((T0-t)*PertePVj)+'2022'!Pspv,1-EXP((T0-t)*PertePVj)+Pspv)</f>
        <v>4.3698199495175061E-2</v>
      </c>
      <c r="M321" s="870"/>
      <c r="N321" s="870"/>
      <c r="O321" s="48">
        <f>IF(t&lt;Tnet,'2022'!Resal+('2022'!Salim-'2022'!Resal)*(1-EXP(('2022'!Tnet-t)/('2022'!Tau_j))),Resal+(Salim-Resal)*(1-EXP((Tnet-t)/(Tau_j))))*Salcycl</f>
        <v>7.2591607716416109E-2</v>
      </c>
      <c r="P321" s="171">
        <f>(INDEX(Models!$BJ321:$BT321,,T321)*(1-R321)+INDEX(Models!$BJ321:$BT321,,T321+1)*R321-ERP_i)*Q321*Ramure*Pc/MaxiM</f>
        <v>8.7140999246382453E-2</v>
      </c>
      <c r="Q321" s="307">
        <f t="shared" si="105"/>
        <v>1</v>
      </c>
      <c r="R321" s="179">
        <f t="shared" si="106"/>
        <v>0.39827346869702485</v>
      </c>
      <c r="S321" s="837">
        <f t="shared" si="107"/>
        <v>1</v>
      </c>
      <c r="T321" s="178">
        <f t="shared" si="108"/>
        <v>7</v>
      </c>
      <c r="U321" s="253">
        <f t="shared" si="109"/>
        <v>1.3982734686970248</v>
      </c>
      <c r="V321" s="385">
        <f t="shared" si="110"/>
        <v>21.507214043104188</v>
      </c>
      <c r="W321" s="404">
        <f t="shared" si="111"/>
        <v>5.3998498751575061</v>
      </c>
      <c r="X321" s="157">
        <f t="shared" si="112"/>
        <v>45233</v>
      </c>
      <c r="Y321" s="387">
        <f t="shared" si="113"/>
        <v>5.2426337024951728</v>
      </c>
      <c r="Z321" s="387">
        <f t="shared" si="114"/>
        <v>5.4821957876975906</v>
      </c>
      <c r="AA321" s="388">
        <f t="shared" si="115"/>
        <v>6.0885754307352178</v>
      </c>
      <c r="AB321" s="199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9.9593024663308591E-2</v>
      </c>
      <c r="AD321" s="233">
        <f>(INDEX(Models!$BJ321:$BT321,,AH321)*(1-AF321)+INDEX(Models!$BJ321:$BT321,,AH321+1)*AF321-ERP_i)*AE321*Ramure*Pc/MaxiM</f>
        <v>8.7140999246382453E-2</v>
      </c>
      <c r="AE321" s="307">
        <f t="shared" si="117"/>
        <v>1</v>
      </c>
      <c r="AF321" s="179">
        <f t="shared" si="118"/>
        <v>0.39827346869702485</v>
      </c>
      <c r="AG321" s="837">
        <f t="shared" si="124"/>
        <v>1</v>
      </c>
      <c r="AH321" s="178">
        <f t="shared" si="119"/>
        <v>7</v>
      </c>
      <c r="AI321" s="227">
        <f t="shared" si="120"/>
        <v>1.3982734686970248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45234</v>
      </c>
      <c r="B322" s="1139">
        <f>IF(t&gt;Tmaj,'2022'!Wh/'2022'!Env_an*'2023'!Env_an,0.001*'[13]mon-tableau (3)'!$B$205)</f>
        <v>11.149215964754386</v>
      </c>
      <c r="C322" s="866"/>
      <c r="D322" s="395">
        <f t="shared" si="102"/>
        <v>11.658950577579414</v>
      </c>
      <c r="E322" s="387">
        <f t="shared" si="125"/>
        <v>12.5729765261037</v>
      </c>
      <c r="F322" s="387">
        <f t="shared" si="103"/>
        <v>12.948269840812364</v>
      </c>
      <c r="G322" s="110">
        <f t="shared" si="126"/>
        <v>0.49338009648312575</v>
      </c>
      <c r="H322" s="414" t="b">
        <f>Wh_hp&gt;='2022'!Maxi_hp</f>
        <v>0</v>
      </c>
      <c r="I322" s="392">
        <f>IF(H322,Wh_hp,'2022'!Maxi_hp)</f>
        <v>18.882274393596006</v>
      </c>
      <c r="J322" s="85">
        <f>IF(H322,An,'2022'!An_max)</f>
        <v>2018</v>
      </c>
      <c r="K322" s="199">
        <f t="shared" si="104"/>
        <v>45234</v>
      </c>
      <c r="L322" s="147">
        <f>IF(t&lt;Tvie,1-EXP((T0-t)*PertePVj)+'2022'!Pspv,1-EXP((T0-t)*PertePVj)+Pspv)</f>
        <v>4.37204540351398E-2</v>
      </c>
      <c r="M322" s="870"/>
      <c r="N322" s="870"/>
      <c r="O322" s="48">
        <f>IF(t&lt;Tnet,'2022'!Resal+('2022'!Salim-'2022'!Resal)*(1-EXP(('2022'!Tnet-t)/('2022'!Tau_j))),Resal+(Salim-Resal)*(1-EXP((Tnet-t)/(Tau_j))))*Salcycl</f>
        <v>7.2697658078547139E-2</v>
      </c>
      <c r="P322" s="171">
        <f>(INDEX(Models!$BJ322:$BT322,,T322)*(1-R322)+INDEX(Models!$BJ322:$BT322,,T322+1)*R322-ERP_i)*Q322*Ramure*Pc/MaxiM</f>
        <v>8.9666937814254638E-2</v>
      </c>
      <c r="Q322" s="307">
        <f t="shared" si="105"/>
        <v>1</v>
      </c>
      <c r="R322" s="179">
        <f t="shared" si="106"/>
        <v>0.39834311162726621</v>
      </c>
      <c r="S322" s="837">
        <f t="shared" si="107"/>
        <v>1</v>
      </c>
      <c r="T322" s="178">
        <f t="shared" si="108"/>
        <v>7</v>
      </c>
      <c r="U322" s="253">
        <f t="shared" si="109"/>
        <v>1.3983431116272662</v>
      </c>
      <c r="V322" s="385">
        <f t="shared" si="110"/>
        <v>21.185399363676961</v>
      </c>
      <c r="W322" s="404">
        <f t="shared" si="111"/>
        <v>11.149215964754386</v>
      </c>
      <c r="X322" s="157">
        <f t="shared" si="112"/>
        <v>45234</v>
      </c>
      <c r="Y322" s="387">
        <f t="shared" si="113"/>
        <v>10.825638333774876</v>
      </c>
      <c r="Z322" s="387">
        <f t="shared" si="114"/>
        <v>11.320579196172286</v>
      </c>
      <c r="AA322" s="388">
        <f t="shared" si="115"/>
        <v>12.5729765261037</v>
      </c>
      <c r="AB322" s="199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9.9610249596125286E-2</v>
      </c>
      <c r="AD322" s="233">
        <f>(INDEX(Models!$BJ322:$BT322,,AH322)*(1-AF322)+INDEX(Models!$BJ322:$BT322,,AH322+1)*AF322-ERP_i)*AE322*Ramure*Pc/MaxiM</f>
        <v>8.9666937814254638E-2</v>
      </c>
      <c r="AE322" s="307">
        <f t="shared" si="117"/>
        <v>1</v>
      </c>
      <c r="AF322" s="179">
        <f t="shared" si="118"/>
        <v>0.39834311162726621</v>
      </c>
      <c r="AG322" s="837">
        <f t="shared" si="124"/>
        <v>1</v>
      </c>
      <c r="AH322" s="178">
        <f t="shared" si="119"/>
        <v>7</v>
      </c>
      <c r="AI322" s="227">
        <f t="shared" si="120"/>
        <v>1.3983431116272662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45235</v>
      </c>
      <c r="B323" s="1139">
        <f>IF(t&gt;Tmaj,'2022'!Wh/'2022'!Env_an*'2023'!Env_an,0.001*'[13]mon-tableau (3)'!$B$206)</f>
        <v>19.491782549233594</v>
      </c>
      <c r="C323" s="866"/>
      <c r="D323" s="395">
        <f t="shared" si="102"/>
        <v>20.383408015255906</v>
      </c>
      <c r="E323" s="387">
        <f t="shared" si="125"/>
        <v>21.983905030369367</v>
      </c>
      <c r="F323" s="387">
        <f t="shared" si="103"/>
        <v>23.986787283972962</v>
      </c>
      <c r="G323" s="110">
        <f t="shared" si="126"/>
        <v>0.92514669855104237</v>
      </c>
      <c r="H323" s="414" t="b">
        <f>Wh_hp&gt;='2022'!Maxi_hp</f>
        <v>0</v>
      </c>
      <c r="I323" s="392">
        <f>IF(H323,Wh_hp,'2022'!Maxi_hp)</f>
        <v>24.048869114323441</v>
      </c>
      <c r="J323" s="85">
        <f>IF(H323,An,'2022'!An_max)</f>
        <v>2022</v>
      </c>
      <c r="K323" s="199">
        <f t="shared" si="104"/>
        <v>45235</v>
      </c>
      <c r="L323" s="147">
        <f>IF(t&lt;Tvie,1-EXP((T0-t)*PertePVj)+'2022'!Pspv,1-EXP((T0-t)*PertePVj)+Pspv)</f>
        <v>4.3742708057208923E-2</v>
      </c>
      <c r="M323" s="870"/>
      <c r="N323" s="870"/>
      <c r="O323" s="48">
        <f>IF(t&lt;Tnet,'2022'!Resal+('2022'!Salim-'2022'!Resal)*(1-EXP(('2022'!Tnet-t)/('2022'!Tau_j))),Resal+(Salim-Resal)*(1-EXP((Tnet-t)/(Tau_j))))*Salcycl</f>
        <v>7.2803126328214993E-2</v>
      </c>
      <c r="P323" s="171">
        <f>(INDEX(Models!$BJ323:$BT323,,T323)*(1-R323)+INDEX(Models!$BJ323:$BT323,,T323+1)*R323-ERP_i)*Q323*Ramure*Pc/MaxiM</f>
        <v>9.2191119434975349E-2</v>
      </c>
      <c r="Q323" s="307">
        <f t="shared" si="105"/>
        <v>1</v>
      </c>
      <c r="R323" s="179">
        <f t="shared" si="106"/>
        <v>0.39840996357381142</v>
      </c>
      <c r="S323" s="837">
        <f t="shared" si="107"/>
        <v>1</v>
      </c>
      <c r="T323" s="178">
        <f t="shared" si="108"/>
        <v>7</v>
      </c>
      <c r="U323" s="253">
        <f t="shared" si="109"/>
        <v>1.3984099635738114</v>
      </c>
      <c r="V323" s="385">
        <f t="shared" si="110"/>
        <v>20.869047416472032</v>
      </c>
      <c r="W323" s="404">
        <f t="shared" si="111"/>
        <v>19.491782549233594</v>
      </c>
      <c r="X323" s="157">
        <f t="shared" si="112"/>
        <v>45235</v>
      </c>
      <c r="Y323" s="387">
        <f t="shared" si="113"/>
        <v>18.927878080282831</v>
      </c>
      <c r="Z323" s="387">
        <f t="shared" si="114"/>
        <v>19.79370849222785</v>
      </c>
      <c r="AA323" s="388">
        <f t="shared" si="115"/>
        <v>21.983905030369367</v>
      </c>
      <c r="AB323" s="199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9.9627274368038712E-2</v>
      </c>
      <c r="AD323" s="233">
        <f>(INDEX(Models!$BJ323:$BT323,,AH323)*(1-AF323)+INDEX(Models!$BJ323:$BT323,,AH323+1)*AF323-ERP_i)*AE323*Ramure*Pc/MaxiM</f>
        <v>9.2191119434975349E-2</v>
      </c>
      <c r="AE323" s="307">
        <f t="shared" si="117"/>
        <v>1</v>
      </c>
      <c r="AF323" s="179">
        <f t="shared" si="118"/>
        <v>0.39840996357381142</v>
      </c>
      <c r="AG323" s="837">
        <f t="shared" si="124"/>
        <v>1</v>
      </c>
      <c r="AH323" s="178">
        <f t="shared" si="119"/>
        <v>7</v>
      </c>
      <c r="AI323" s="227">
        <f t="shared" si="120"/>
        <v>1.3984099635738114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45236</v>
      </c>
      <c r="B324" s="1139">
        <f>IF(t&gt;Tmaj,'2022'!Wh/'2022'!Env_an*'2023'!Env_an,0.001*'[13]mon-tableau (3)'!$B$207)</f>
        <v>19.506434935116268</v>
      </c>
      <c r="C324" s="866"/>
      <c r="D324" s="395">
        <f t="shared" si="102"/>
        <v>20.399205374201173</v>
      </c>
      <c r="E324" s="387">
        <f t="shared" si="125"/>
        <v>22.003435526768619</v>
      </c>
      <c r="F324" s="387">
        <f t="shared" si="103"/>
        <v>24.120055646197144</v>
      </c>
      <c r="G324" s="110">
        <f t="shared" si="126"/>
        <v>0.94158756294152868</v>
      </c>
      <c r="H324" s="414" t="b">
        <f>Wh_hp&gt;='2022'!Maxi_hp</f>
        <v>0</v>
      </c>
      <c r="I324" s="392">
        <f>IF(H324,Wh_hp,'2022'!Maxi_hp)</f>
        <v>24.169643486522705</v>
      </c>
      <c r="J324" s="85">
        <f>IF(H324,An,'2022'!An_max)</f>
        <v>2022</v>
      </c>
      <c r="K324" s="199">
        <f t="shared" si="104"/>
        <v>45236</v>
      </c>
      <c r="L324" s="147">
        <f>IF(t&lt;Tvie,1-EXP((T0-t)*PertePVj)+'2022'!Pspv,1-EXP((T0-t)*PertePVj)+Pspv)</f>
        <v>4.3764961561394422E-2</v>
      </c>
      <c r="M324" s="870"/>
      <c r="N324" s="870"/>
      <c r="O324" s="48">
        <f>IF(t&lt;Tnet,'2022'!Resal+('2022'!Salim-'2022'!Resal)*(1-EXP(('2022'!Tnet-t)/('2022'!Tau_j))),Resal+(Salim-Resal)*(1-EXP((Tnet-t)/(Tau_j))))*Salcycl</f>
        <v>7.2908167027635112E-2</v>
      </c>
      <c r="P324" s="171">
        <f>(INDEX(Models!$BJ324:$BT324,,T324)*(1-R324)+INDEX(Models!$BJ324:$BT324,,T324+1)*R324-ERP_i)*Q324*Ramure*Pc/MaxiM</f>
        <v>9.4679858068346154E-2</v>
      </c>
      <c r="Q324" s="307">
        <f t="shared" si="105"/>
        <v>1</v>
      </c>
      <c r="R324" s="179">
        <f t="shared" si="106"/>
        <v>0.39847413588406821</v>
      </c>
      <c r="S324" s="837">
        <f t="shared" si="107"/>
        <v>1</v>
      </c>
      <c r="T324" s="178">
        <f t="shared" si="108"/>
        <v>7</v>
      </c>
      <c r="U324" s="253">
        <f t="shared" si="109"/>
        <v>1.3984741358840682</v>
      </c>
      <c r="V324" s="385">
        <f t="shared" si="110"/>
        <v>20.559246003899272</v>
      </c>
      <c r="W324" s="404">
        <f t="shared" si="111"/>
        <v>19.506434935116268</v>
      </c>
      <c r="X324" s="157">
        <f t="shared" si="112"/>
        <v>45236</v>
      </c>
      <c r="Y324" s="387">
        <f t="shared" si="113"/>
        <v>18.943894363195952</v>
      </c>
      <c r="Z324" s="387">
        <f t="shared" si="114"/>
        <v>19.810918447548847</v>
      </c>
      <c r="AA324" s="388">
        <f t="shared" si="115"/>
        <v>22.003435526768619</v>
      </c>
      <c r="AB324" s="199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9.9644306751663053E-2</v>
      </c>
      <c r="AD324" s="233">
        <f>(INDEX(Models!$BJ324:$BT324,,AH324)*(1-AF324)+INDEX(Models!$BJ324:$BT324,,AH324+1)*AF324-ERP_i)*AE324*Ramure*Pc/MaxiM</f>
        <v>9.4679858068346154E-2</v>
      </c>
      <c r="AE324" s="307">
        <f t="shared" si="117"/>
        <v>1</v>
      </c>
      <c r="AF324" s="179">
        <f t="shared" si="118"/>
        <v>0.39847413588406821</v>
      </c>
      <c r="AG324" s="837">
        <f t="shared" si="124"/>
        <v>1</v>
      </c>
      <c r="AH324" s="178">
        <f t="shared" si="119"/>
        <v>7</v>
      </c>
      <c r="AI324" s="227">
        <f t="shared" si="120"/>
        <v>1.3984741358840682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45237</v>
      </c>
      <c r="B325" s="1139">
        <f>IF(t&gt;Tmaj,'2022'!Wh/'2022'!Env_an*'2023'!Env_an,0.001*'[13]mon-tableau (3)'!$B$208)</f>
        <v>19.341525657483377</v>
      </c>
      <c r="C325" s="866"/>
      <c r="D325" s="395">
        <f t="shared" si="102"/>
        <v>20.227219246325777</v>
      </c>
      <c r="E325" s="387">
        <f t="shared" si="125"/>
        <v>21.820389971639372</v>
      </c>
      <c r="F325" s="387">
        <f t="shared" si="103"/>
        <v>24.001251781299111</v>
      </c>
      <c r="G325" s="110">
        <f t="shared" si="126"/>
        <v>0.94825685782298597</v>
      </c>
      <c r="H325" s="414" t="b">
        <f>Wh_hp&gt;='2022'!Maxi_hp</f>
        <v>0</v>
      </c>
      <c r="I325" s="392">
        <f>IF(H325,Wh_hp,'2022'!Maxi_hp)</f>
        <v>24.045788242607607</v>
      </c>
      <c r="J325" s="85">
        <f>IF(H325,An,'2022'!An_max)</f>
        <v>2022</v>
      </c>
      <c r="K325" s="199">
        <f t="shared" si="104"/>
        <v>45237</v>
      </c>
      <c r="L325" s="147">
        <f>IF(t&lt;Tvie,1-EXP((T0-t)*PertePVj)+'2022'!Pspv,1-EXP((T0-t)*PertePVj)+Pspv)</f>
        <v>4.3787214547708286E-2</v>
      </c>
      <c r="M325" s="870"/>
      <c r="N325" s="870"/>
      <c r="O325" s="48">
        <f>IF(t&lt;Tnet,'2022'!Resal+('2022'!Salim-'2022'!Resal)*(1-EXP(('2022'!Tnet-t)/('2022'!Tau_j))),Resal+(Salim-Resal)*(1-EXP((Tnet-t)/(Tau_j))))*Salcycl</f>
        <v>7.3012935487600669E-2</v>
      </c>
      <c r="P325" s="171">
        <f>(INDEX(Models!$BJ325:$BT325,,T325)*(1-R325)+INDEX(Models!$BJ325:$BT325,,T325+1)*R325-ERP_i)*Q325*Ramure*Pc/MaxiM</f>
        <v>9.7131060242533138E-2</v>
      </c>
      <c r="Q325" s="307">
        <f t="shared" si="105"/>
        <v>1</v>
      </c>
      <c r="R325" s="179">
        <f t="shared" si="106"/>
        <v>0.39853573550280763</v>
      </c>
      <c r="S325" s="837">
        <f t="shared" si="107"/>
        <v>1</v>
      </c>
      <c r="T325" s="178">
        <f t="shared" si="108"/>
        <v>7</v>
      </c>
      <c r="U325" s="253">
        <f t="shared" si="109"/>
        <v>1.3985357355028076</v>
      </c>
      <c r="V325" s="385">
        <f t="shared" si="110"/>
        <v>20.256333268938384</v>
      </c>
      <c r="W325" s="404">
        <f t="shared" si="111"/>
        <v>19.341525657483377</v>
      </c>
      <c r="X325" s="157">
        <f t="shared" si="112"/>
        <v>45237</v>
      </c>
      <c r="Y325" s="387">
        <f t="shared" si="113"/>
        <v>18.78550393012814</v>
      </c>
      <c r="Z325" s="387">
        <f t="shared" si="114"/>
        <v>19.645735986726571</v>
      </c>
      <c r="AA325" s="388">
        <f t="shared" si="115"/>
        <v>21.820389971639372</v>
      </c>
      <c r="AB325" s="199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9.9661554524885426E-2</v>
      </c>
      <c r="AD325" s="233">
        <f>(INDEX(Models!$BJ325:$BT325,,AH325)*(1-AF325)+INDEX(Models!$BJ325:$BT325,,AH325+1)*AF325-ERP_i)*AE325*Ramure*Pc/MaxiM</f>
        <v>9.7131060242533138E-2</v>
      </c>
      <c r="AE325" s="307">
        <f t="shared" si="117"/>
        <v>1</v>
      </c>
      <c r="AF325" s="179">
        <f t="shared" si="118"/>
        <v>0.39853573550280763</v>
      </c>
      <c r="AG325" s="837">
        <f t="shared" si="124"/>
        <v>1</v>
      </c>
      <c r="AH325" s="178">
        <f t="shared" si="119"/>
        <v>7</v>
      </c>
      <c r="AI325" s="227">
        <f t="shared" si="120"/>
        <v>1.3985357355028076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45238</v>
      </c>
      <c r="B326" s="1139">
        <f>IF(t&gt;Tmaj,'2022'!Wh/'2022'!Env_an*'2023'!Env_an,0.001*'[13]mon-tableau (3)'!$B$209)</f>
        <v>12.769092388757491</v>
      </c>
      <c r="C326" s="866"/>
      <c r="D326" s="395">
        <f t="shared" si="102"/>
        <v>13.354129693075857</v>
      </c>
      <c r="E326" s="387">
        <f t="shared" si="125"/>
        <v>14.407576955458962</v>
      </c>
      <c r="F326" s="387">
        <f t="shared" si="103"/>
        <v>15.138888185287607</v>
      </c>
      <c r="G326" s="110">
        <f t="shared" si="126"/>
        <v>0.60527356523601084</v>
      </c>
      <c r="H326" s="414" t="b">
        <f>Wh_hp&gt;='2022'!Maxi_hp</f>
        <v>0</v>
      </c>
      <c r="I326" s="392">
        <f>IF(H326,Wh_hp,'2022'!Maxi_hp)</f>
        <v>20.498806693630254</v>
      </c>
      <c r="J326" s="85">
        <f>IF(H326,An,'2022'!An_max)</f>
        <v>2021</v>
      </c>
      <c r="K326" s="199">
        <f t="shared" si="104"/>
        <v>45238</v>
      </c>
      <c r="L326" s="147">
        <f>IF(t&lt;Tvie,1-EXP((T0-t)*PertePVj)+'2022'!Pspv,1-EXP((T0-t)*PertePVj)+Pspv)</f>
        <v>4.3809467016162729E-2</v>
      </c>
      <c r="M326" s="870"/>
      <c r="N326" s="870"/>
      <c r="O326" s="48">
        <f>IF(t&lt;Tnet,'2022'!Resal+('2022'!Salim-'2022'!Resal)*(1-EXP(('2022'!Tnet-t)/('2022'!Tau_j))),Resal+(Salim-Resal)*(1-EXP((Tnet-t)/(Tau_j))))*Salcycl</f>
        <v>7.3117587061296868E-2</v>
      </c>
      <c r="P326" s="171">
        <f>(INDEX(Models!$BJ326:$BT326,,T326)*(1-R326)+INDEX(Models!$BJ326:$BT326,,T326+1)*R326-ERP_i)*Q326*Ramure*Pc/MaxiM</f>
        <v>9.9539667275671595E-2</v>
      </c>
      <c r="Q326" s="307">
        <f t="shared" si="105"/>
        <v>1</v>
      </c>
      <c r="R326" s="179">
        <f t="shared" si="106"/>
        <v>0.39859486514312015</v>
      </c>
      <c r="S326" s="837">
        <f t="shared" si="107"/>
        <v>1</v>
      </c>
      <c r="T326" s="178">
        <f t="shared" si="108"/>
        <v>7</v>
      </c>
      <c r="U326" s="253">
        <f t="shared" si="109"/>
        <v>1.3985948651431201</v>
      </c>
      <c r="V326" s="385">
        <f t="shared" si="110"/>
        <v>19.960708005526559</v>
      </c>
      <c r="W326" s="404">
        <f t="shared" si="111"/>
        <v>12.769092388757491</v>
      </c>
      <c r="X326" s="157">
        <f t="shared" si="112"/>
        <v>45238</v>
      </c>
      <c r="Y326" s="387">
        <f t="shared" si="113"/>
        <v>12.403168946925016</v>
      </c>
      <c r="Z326" s="387">
        <f t="shared" si="114"/>
        <v>12.971440857315693</v>
      </c>
      <c r="AA326" s="388">
        <f t="shared" si="115"/>
        <v>14.407576955458962</v>
      </c>
      <c r="AB326" s="199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9.9679224520756227E-2</v>
      </c>
      <c r="AD326" s="233">
        <f>(INDEX(Models!$BJ326:$BT326,,AH326)*(1-AF326)+INDEX(Models!$BJ326:$BT326,,AH326+1)*AF326-ERP_i)*AE326*Ramure*Pc/MaxiM</f>
        <v>9.9539667275671595E-2</v>
      </c>
      <c r="AE326" s="307">
        <f t="shared" si="117"/>
        <v>1</v>
      </c>
      <c r="AF326" s="179">
        <f t="shared" si="118"/>
        <v>0.39859486514312015</v>
      </c>
      <c r="AG326" s="837">
        <f t="shared" si="124"/>
        <v>1</v>
      </c>
      <c r="AH326" s="178">
        <f t="shared" si="119"/>
        <v>7</v>
      </c>
      <c r="AI326" s="227">
        <f t="shared" si="120"/>
        <v>1.3985948651431201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45239</v>
      </c>
      <c r="B327" s="1139">
        <f>IF(t&gt;Tmaj,'2022'!Wh/'2022'!Env_an*'2023'!Env_an,0.001*'[13]mon-tableau (3)'!$B$210)</f>
        <v>7.5404396355584886</v>
      </c>
      <c r="C327" s="866"/>
      <c r="D327" s="395">
        <f t="shared" si="102"/>
        <v>7.8861009982576817</v>
      </c>
      <c r="E327" s="387">
        <f t="shared" si="125"/>
        <v>8.5091611480359166</v>
      </c>
      <c r="F327" s="387">
        <f t="shared" si="103"/>
        <v>8.6136023527769954</v>
      </c>
      <c r="G327" s="110">
        <f t="shared" si="126"/>
        <v>0.34846070917308192</v>
      </c>
      <c r="H327" s="414" t="b">
        <f>Wh_hp&gt;='2022'!Maxi_hp</f>
        <v>0</v>
      </c>
      <c r="I327" s="392">
        <f>IF(H327,Wh_hp,'2022'!Maxi_hp)</f>
        <v>19.612077061652013</v>
      </c>
      <c r="J327" s="85">
        <f>IF(H327,An,'2022'!An_max)</f>
        <v>2020</v>
      </c>
      <c r="K327" s="199">
        <f t="shared" si="104"/>
        <v>45239</v>
      </c>
      <c r="L327" s="147">
        <f>IF(t&lt;Tvie,1-EXP((T0-t)*PertePVj)+'2022'!Pspv,1-EXP((T0-t)*PertePVj)+Pspv)</f>
        <v>4.3831718966769739E-2</v>
      </c>
      <c r="M327" s="870"/>
      <c r="N327" s="870"/>
      <c r="O327" s="48">
        <f>IF(t&lt;Tnet,'2022'!Resal+('2022'!Salim-'2022'!Resal)*(1-EXP(('2022'!Tnet-t)/('2022'!Tau_j))),Resal+(Salim-Resal)*(1-EXP((Tnet-t)/(Tau_j))))*Salcycl</f>
        <v>7.32222764310968E-2</v>
      </c>
      <c r="P327" s="171">
        <f>(INDEX(Models!$BJ327:$BT327,,T327)*(1-R327)+INDEX(Models!$BJ327:$BT327,,T327+1)*R327-ERP_i)*Q327*Ramure*Pc/MaxiM</f>
        <v>0.10190025614127937</v>
      </c>
      <c r="Q327" s="307">
        <f t="shared" si="105"/>
        <v>1</v>
      </c>
      <c r="R327" s="179">
        <f t="shared" si="106"/>
        <v>0.39865162345097738</v>
      </c>
      <c r="S327" s="837">
        <f t="shared" si="107"/>
        <v>1</v>
      </c>
      <c r="T327" s="178">
        <f t="shared" si="108"/>
        <v>7</v>
      </c>
      <c r="U327" s="253">
        <f t="shared" si="109"/>
        <v>1.3986516234509774</v>
      </c>
      <c r="V327" s="385">
        <f t="shared" si="110"/>
        <v>19.672769077408002</v>
      </c>
      <c r="W327" s="404">
        <f t="shared" si="111"/>
        <v>7.5404396355584886</v>
      </c>
      <c r="X327" s="157">
        <f t="shared" si="112"/>
        <v>45239</v>
      </c>
      <c r="Y327" s="387">
        <f t="shared" si="113"/>
        <v>7.3250320102784929</v>
      </c>
      <c r="Z327" s="387">
        <f t="shared" si="114"/>
        <v>7.6608188700456612</v>
      </c>
      <c r="AA327" s="388">
        <f t="shared" si="115"/>
        <v>8.5091611480359166</v>
      </c>
      <c r="AB327" s="199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9.9697521674750433E-2</v>
      </c>
      <c r="AD327" s="233">
        <f>(INDEX(Models!$BJ327:$BT327,,AH327)*(1-AF327)+INDEX(Models!$BJ327:$BT327,,AH327+1)*AF327-ERP_i)*AE327*Ramure*Pc/MaxiM</f>
        <v>0.10190025614127937</v>
      </c>
      <c r="AE327" s="307">
        <f t="shared" si="117"/>
        <v>1</v>
      </c>
      <c r="AF327" s="179">
        <f t="shared" si="118"/>
        <v>0.39865162345097738</v>
      </c>
      <c r="AG327" s="837">
        <f t="shared" si="124"/>
        <v>1</v>
      </c>
      <c r="AH327" s="178">
        <f t="shared" si="119"/>
        <v>7</v>
      </c>
      <c r="AI327" s="227">
        <f t="shared" si="120"/>
        <v>1.3986516234509774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45240</v>
      </c>
      <c r="B328" s="1139">
        <f>IF(t&gt;Tmaj,'2022'!Wh/'2022'!Env_an*'2023'!Env_an,0.001*'[13]mon-tableau (3)'!$B$211)</f>
        <v>16.938355343887423</v>
      </c>
      <c r="C328" s="866"/>
      <c r="D328" s="395">
        <f t="shared" si="102"/>
        <v>17.715238906514514</v>
      </c>
      <c r="E328" s="387">
        <f t="shared" si="125"/>
        <v>19.117036868291237</v>
      </c>
      <c r="F328" s="387">
        <f t="shared" si="103"/>
        <v>20.90127250415398</v>
      </c>
      <c r="G328" s="110">
        <f t="shared" si="126"/>
        <v>0.85543680403740618</v>
      </c>
      <c r="H328" s="414" t="b">
        <f>Wh_hp&gt;='2022'!Maxi_hp</f>
        <v>0</v>
      </c>
      <c r="I328" s="392">
        <f>IF(H328,Wh_hp,'2022'!Maxi_hp)</f>
        <v>21.016789567634788</v>
      </c>
      <c r="J328" s="85">
        <f>IF(H328,An,'2022'!An_max)</f>
        <v>2022</v>
      </c>
      <c r="K328" s="199">
        <f t="shared" si="104"/>
        <v>45240</v>
      </c>
      <c r="L328" s="147">
        <f>IF(t&lt;Tvie,1-EXP((T0-t)*PertePVj)+'2022'!Pspv,1-EXP((T0-t)*PertePVj)+Pspv)</f>
        <v>4.385397039954142E-2</v>
      </c>
      <c r="M328" s="870"/>
      <c r="N328" s="870"/>
      <c r="O328" s="48">
        <f>IF(t&lt;Tnet,'2022'!Resal+('2022'!Salim-'2022'!Resal)*(1-EXP(('2022'!Tnet-t)/('2022'!Tau_j))),Resal+(Salim-Resal)*(1-EXP((Tnet-t)/(Tau_j))))*Salcycl</f>
        <v>7.3327156893327666E-2</v>
      </c>
      <c r="P328" s="171">
        <f>(INDEX(Models!$BJ328:$BT328,,T328)*(1-R328)+INDEX(Models!$BJ328:$BT328,,T328+1)*R328-ERP_i)*Q328*Ramure*Pc/MaxiM</f>
        <v>0.10420704065630804</v>
      </c>
      <c r="Q328" s="307">
        <f t="shared" si="105"/>
        <v>1</v>
      </c>
      <c r="R328" s="179">
        <f t="shared" si="106"/>
        <v>0.3987061051636267</v>
      </c>
      <c r="S328" s="837">
        <f t="shared" si="107"/>
        <v>1</v>
      </c>
      <c r="T328" s="178">
        <f t="shared" si="108"/>
        <v>7</v>
      </c>
      <c r="U328" s="253">
        <f t="shared" si="109"/>
        <v>1.3987061051636267</v>
      </c>
      <c r="V328" s="385">
        <f t="shared" si="110"/>
        <v>19.3929153934384</v>
      </c>
      <c r="W328" s="404">
        <f t="shared" si="111"/>
        <v>16.938355343887423</v>
      </c>
      <c r="X328" s="157">
        <f t="shared" si="112"/>
        <v>45240</v>
      </c>
      <c r="Y328" s="387">
        <f t="shared" si="113"/>
        <v>16.455990308240743</v>
      </c>
      <c r="Z328" s="387">
        <f t="shared" si="114"/>
        <v>17.210750030638259</v>
      </c>
      <c r="AA328" s="388">
        <f t="shared" si="115"/>
        <v>19.117036868291237</v>
      </c>
      <c r="AB328" s="199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9.9716648076086878E-2</v>
      </c>
      <c r="AD328" s="233">
        <f>(INDEX(Models!$BJ328:$BT328,,AH328)*(1-AF328)+INDEX(Models!$BJ328:$BT328,,AH328+1)*AF328-ERP_i)*AE328*Ramure*Pc/MaxiM</f>
        <v>0.10420704065630804</v>
      </c>
      <c r="AE328" s="307">
        <f t="shared" si="117"/>
        <v>1</v>
      </c>
      <c r="AF328" s="179">
        <f t="shared" si="118"/>
        <v>0.3987061051636267</v>
      </c>
      <c r="AG328" s="837">
        <f t="shared" si="124"/>
        <v>1</v>
      </c>
      <c r="AH328" s="178">
        <f t="shared" si="119"/>
        <v>7</v>
      </c>
      <c r="AI328" s="227">
        <f t="shared" si="120"/>
        <v>1.3987061051636267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45241</v>
      </c>
      <c r="B329" s="1139">
        <f>IF(t&gt;Tmaj,'2022'!Wh/'2022'!Env_an*'2023'!Env_an,0.001*'[13]mon-tableau (3)'!$B$212)</f>
        <v>17.430524458270543</v>
      </c>
      <c r="C329" s="866"/>
      <c r="D329" s="395">
        <f t="shared" si="102"/>
        <v>18.230405776785744</v>
      </c>
      <c r="E329" s="387">
        <f t="shared" si="125"/>
        <v>19.675202733527307</v>
      </c>
      <c r="F329" s="387">
        <f t="shared" si="103"/>
        <v>21.692732975724265</v>
      </c>
      <c r="G329" s="110">
        <f t="shared" si="126"/>
        <v>0.89804786318706709</v>
      </c>
      <c r="H329" s="414" t="b">
        <f>Wh_hp&gt;='2022'!Maxi_hp</f>
        <v>0</v>
      </c>
      <c r="I329" s="392">
        <f>IF(H329,Wh_hp,'2022'!Maxi_hp)</f>
        <v>21.778957702491802</v>
      </c>
      <c r="J329" s="85">
        <f>IF(H329,An,'2022'!An_max)</f>
        <v>2022</v>
      </c>
      <c r="K329" s="199">
        <f t="shared" si="104"/>
        <v>45241</v>
      </c>
      <c r="L329" s="147">
        <f>IF(t&lt;Tvie,1-EXP((T0-t)*PertePVj)+'2022'!Pspv,1-EXP((T0-t)*PertePVj)+Pspv)</f>
        <v>4.387622131448965E-2</v>
      </c>
      <c r="M329" s="870"/>
      <c r="N329" s="870"/>
      <c r="O329" s="48">
        <f>IF(t&lt;Tnet,'2022'!Resal+('2022'!Salim-'2022'!Resal)*(1-EXP(('2022'!Tnet-t)/('2022'!Tau_j))),Resal+(Salim-Resal)*(1-EXP((Tnet-t)/(Tau_j))))*Salcycl</f>
        <v>7.3432379646059309E-2</v>
      </c>
      <c r="P329" s="171">
        <f>(INDEX(Models!$BJ329:$BT329,,T329)*(1-R329)+INDEX(Models!$BJ329:$BT329,,T329+1)*R329-ERP_i)*Q329*Ramure*Pc/MaxiM</f>
        <v>0.10645387626847955</v>
      </c>
      <c r="Q329" s="307">
        <f t="shared" si="105"/>
        <v>1</v>
      </c>
      <c r="R329" s="179">
        <f t="shared" si="106"/>
        <v>0.39875840126202267</v>
      </c>
      <c r="S329" s="837">
        <f t="shared" si="107"/>
        <v>1</v>
      </c>
      <c r="T329" s="178">
        <f t="shared" si="108"/>
        <v>7</v>
      </c>
      <c r="U329" s="253">
        <f t="shared" si="109"/>
        <v>1.3987584012620227</v>
      </c>
      <c r="V329" s="385">
        <f t="shared" si="110"/>
        <v>19.121545896739914</v>
      </c>
      <c r="W329" s="404">
        <f t="shared" si="111"/>
        <v>17.430524458270543</v>
      </c>
      <c r="X329" s="157">
        <f t="shared" si="112"/>
        <v>45241</v>
      </c>
      <c r="Y329" s="387">
        <f t="shared" si="113"/>
        <v>16.935687527161754</v>
      </c>
      <c r="Z329" s="387">
        <f t="shared" si="114"/>
        <v>17.712860933597035</v>
      </c>
      <c r="AA329" s="388">
        <f t="shared" si="115"/>
        <v>19.675202733527307</v>
      </c>
      <c r="AB329" s="199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9.9736802029814123E-2</v>
      </c>
      <c r="AD329" s="233">
        <f>(INDEX(Models!$BJ329:$BT329,,AH329)*(1-AF329)+INDEX(Models!$BJ329:$BT329,,AH329+1)*AF329-ERP_i)*AE329*Ramure*Pc/MaxiM</f>
        <v>0.10645387626847955</v>
      </c>
      <c r="AE329" s="307">
        <f t="shared" si="117"/>
        <v>1</v>
      </c>
      <c r="AF329" s="179">
        <f t="shared" si="118"/>
        <v>0.39875840126202267</v>
      </c>
      <c r="AG329" s="837">
        <f t="shared" si="124"/>
        <v>1</v>
      </c>
      <c r="AH329" s="178">
        <f t="shared" si="119"/>
        <v>7</v>
      </c>
      <c r="AI329" s="227">
        <f t="shared" si="120"/>
        <v>1.3987584012620227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45242</v>
      </c>
      <c r="B330" s="1139">
        <f>IF(t&gt;Tmaj,'2022'!Wh/'2022'!Env_an*'2023'!Env_an,0.001*'[13]mon-tableau (3)'!$B$213)</f>
        <v>17.274708396272615</v>
      </c>
      <c r="C330" s="866"/>
      <c r="D330" s="395">
        <f t="shared" si="102"/>
        <v>18.067859829905348</v>
      </c>
      <c r="E330" s="387">
        <f t="shared" si="125"/>
        <v>19.501999699122816</v>
      </c>
      <c r="F330" s="387">
        <f t="shared" si="103"/>
        <v>21.563385905738006</v>
      </c>
      <c r="G330" s="110">
        <f t="shared" si="126"/>
        <v>0.90278521211887963</v>
      </c>
      <c r="H330" s="414" t="b">
        <f>Wh_hp&gt;='2022'!Maxi_hp</f>
        <v>0</v>
      </c>
      <c r="I330" s="392">
        <f>IF(H330,Wh_hp,'2022'!Maxi_hp)</f>
        <v>21.646886416658624</v>
      </c>
      <c r="J330" s="85">
        <f>IF(H330,An,'2022'!An_max)</f>
        <v>2022</v>
      </c>
      <c r="K330" s="199">
        <f t="shared" si="104"/>
        <v>45242</v>
      </c>
      <c r="L330" s="147">
        <f>IF(t&lt;Tvie,1-EXP((T0-t)*PertePVj)+'2022'!Pspv,1-EXP((T0-t)*PertePVj)+Pspv)</f>
        <v>4.389847171162653E-2</v>
      </c>
      <c r="M330" s="870"/>
      <c r="N330" s="870"/>
      <c r="O330" s="48">
        <f>IF(t&lt;Tnet,'2022'!Resal+('2022'!Salim-'2022'!Resal)*(1-EXP(('2022'!Tnet-t)/('2022'!Tau_j))),Resal+(Salim-Resal)*(1-EXP((Tnet-t)/(Tau_j))))*Salcycl</f>
        <v>7.3538093084986267E-2</v>
      </c>
      <c r="P330" s="171">
        <f>(INDEX(Models!$BJ330:$BT330,,T330)*(1-R330)+INDEX(Models!$BJ330:$BT330,,T330+1)*R330-ERP_i)*Q330*Ramure*Pc/MaxiM</f>
        <v>0.1086342690850238</v>
      </c>
      <c r="Q330" s="307">
        <f t="shared" si="105"/>
        <v>1</v>
      </c>
      <c r="R330" s="179">
        <f t="shared" si="106"/>
        <v>0.39880859911751099</v>
      </c>
      <c r="S330" s="837">
        <f t="shared" si="107"/>
        <v>1</v>
      </c>
      <c r="T330" s="178">
        <f t="shared" si="108"/>
        <v>7</v>
      </c>
      <c r="U330" s="253">
        <f t="shared" si="109"/>
        <v>1.398808599117511</v>
      </c>
      <c r="V330" s="385">
        <f t="shared" si="110"/>
        <v>18.859059541623196</v>
      </c>
      <c r="W330" s="404">
        <f t="shared" si="111"/>
        <v>17.274708396272615</v>
      </c>
      <c r="X330" s="157">
        <f t="shared" si="112"/>
        <v>45242</v>
      </c>
      <c r="Y330" s="387">
        <f t="shared" si="113"/>
        <v>16.78581154824025</v>
      </c>
      <c r="Z330" s="387">
        <f t="shared" si="114"/>
        <v>17.556515758624975</v>
      </c>
      <c r="AA330" s="388">
        <f t="shared" si="115"/>
        <v>19.501999699122816</v>
      </c>
      <c r="AB330" s="199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9.9758177136334822E-2</v>
      </c>
      <c r="AD330" s="233">
        <f>(INDEX(Models!$BJ330:$BT330,,AH330)*(1-AF330)+INDEX(Models!$BJ330:$BT330,,AH330+1)*AF330-ERP_i)*AE330*Ramure*Pc/MaxiM</f>
        <v>0.1086342690850238</v>
      </c>
      <c r="AE330" s="307">
        <f t="shared" si="117"/>
        <v>1</v>
      </c>
      <c r="AF330" s="179">
        <f t="shared" si="118"/>
        <v>0.39880859911751099</v>
      </c>
      <c r="AG330" s="837">
        <f t="shared" si="124"/>
        <v>1</v>
      </c>
      <c r="AH330" s="178">
        <f t="shared" si="119"/>
        <v>7</v>
      </c>
      <c r="AI330" s="227">
        <f t="shared" si="120"/>
        <v>1.398808599117511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45243</v>
      </c>
      <c r="B331" s="1139">
        <f>IF(t&gt;Tmaj,'2022'!Wh/'2022'!Env_an*'2023'!Env_an,0.001*'[13]mon-tableau (3)'!$B$214)</f>
        <v>15.304106457560897</v>
      </c>
      <c r="C331" s="866"/>
      <c r="D331" s="395">
        <f t="shared" si="102"/>
        <v>16.007152129714289</v>
      </c>
      <c r="E331" s="387">
        <f t="shared" si="125"/>
        <v>17.279706472768197</v>
      </c>
      <c r="F331" s="387">
        <f t="shared" si="103"/>
        <v>18.836980242683353</v>
      </c>
      <c r="G331" s="110">
        <f t="shared" si="126"/>
        <v>0.79738601406973064</v>
      </c>
      <c r="H331" s="414" t="b">
        <f>Wh_hp&gt;='2022'!Maxi_hp</f>
        <v>0</v>
      </c>
      <c r="I331" s="392">
        <f>IF(H331,Wh_hp,'2022'!Maxi_hp)</f>
        <v>23.471862617221571</v>
      </c>
      <c r="J331" s="85">
        <f>IF(H331,An,'2022'!An_max)</f>
        <v>2020</v>
      </c>
      <c r="K331" s="199">
        <f t="shared" si="104"/>
        <v>45243</v>
      </c>
      <c r="L331" s="147">
        <f>IF(t&lt;Tvie,1-EXP((T0-t)*PertePVj)+'2022'!Pspv,1-EXP((T0-t)*PertePVj)+Pspv)</f>
        <v>4.3920721590964273E-2</v>
      </c>
      <c r="M331" s="870"/>
      <c r="N331" s="870"/>
      <c r="O331" s="48">
        <f>IF(t&lt;Tnet,'2022'!Resal+('2022'!Salim-'2022'!Resal)*(1-EXP(('2022'!Tnet-t)/('2022'!Tau_j))),Resal+(Salim-Resal)*(1-EXP((Tnet-t)/(Tau_j))))*Salcycl</f>
        <v>7.3644442112450095E-2</v>
      </c>
      <c r="P331" s="171">
        <f>(INDEX(Models!$BJ331:$BT331,,T331)*(1-R331)+INDEX(Models!$BJ331:$BT331,,T331+1)*R331-ERP_i)*Q331*Ramure*Pc/MaxiM</f>
        <v>0.1107432444400407</v>
      </c>
      <c r="Q331" s="307">
        <f t="shared" si="105"/>
        <v>1</v>
      </c>
      <c r="R331" s="179">
        <f t="shared" si="106"/>
        <v>0.39885678263296209</v>
      </c>
      <c r="S331" s="837">
        <f t="shared" si="107"/>
        <v>1</v>
      </c>
      <c r="T331" s="178">
        <f t="shared" si="108"/>
        <v>7</v>
      </c>
      <c r="U331" s="253">
        <f t="shared" si="109"/>
        <v>1.3988567826329621</v>
      </c>
      <c r="V331" s="385">
        <f t="shared" si="110"/>
        <v>18.605504836568365</v>
      </c>
      <c r="W331" s="404">
        <f t="shared" si="111"/>
        <v>15.304106457560897</v>
      </c>
      <c r="X331" s="157">
        <f t="shared" si="112"/>
        <v>45243</v>
      </c>
      <c r="Y331" s="387">
        <f t="shared" si="113"/>
        <v>14.872311052304669</v>
      </c>
      <c r="Z331" s="387">
        <f t="shared" si="114"/>
        <v>15.55552074829291</v>
      </c>
      <c r="AA331" s="388">
        <f t="shared" si="115"/>
        <v>17.279706472768197</v>
      </c>
      <c r="AB331" s="199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9.9780961394946341E-2</v>
      </c>
      <c r="AD331" s="233">
        <f>(INDEX(Models!$BJ331:$BT331,,AH331)*(1-AF331)+INDEX(Models!$BJ331:$BT331,,AH331+1)*AF331-ERP_i)*AE331*Ramure*Pc/MaxiM</f>
        <v>0.1107432444400407</v>
      </c>
      <c r="AE331" s="307">
        <f t="shared" si="117"/>
        <v>1</v>
      </c>
      <c r="AF331" s="179">
        <f t="shared" si="118"/>
        <v>0.39885678263296209</v>
      </c>
      <c r="AG331" s="837">
        <f t="shared" si="124"/>
        <v>1</v>
      </c>
      <c r="AH331" s="178">
        <f t="shared" si="119"/>
        <v>7</v>
      </c>
      <c r="AI331" s="227">
        <f t="shared" si="120"/>
        <v>1.3988567826329621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45244</v>
      </c>
      <c r="B332" s="1139">
        <f>IF(t&gt;Tmaj,'2022'!Wh/'2022'!Env_an*'2023'!Env_an,0.001*'[13]mon-tableau (3)'!$B$215)</f>
        <v>8.821162047843119</v>
      </c>
      <c r="C332" s="866"/>
      <c r="D332" s="395">
        <f t="shared" si="102"/>
        <v>9.2266065515271585</v>
      </c>
      <c r="E332" s="387">
        <f t="shared" si="125"/>
        <v>9.9612654957711158</v>
      </c>
      <c r="F332" s="387">
        <f t="shared" si="103"/>
        <v>10.259587153082691</v>
      </c>
      <c r="G332" s="110">
        <f t="shared" si="126"/>
        <v>0.43902545566494555</v>
      </c>
      <c r="H332" s="414" t="b">
        <f>Wh_hp&gt;='2022'!Maxi_hp</f>
        <v>0</v>
      </c>
      <c r="I332" s="392">
        <f>IF(H332,Wh_hp,'2022'!Maxi_hp)</f>
        <v>17.097007227824616</v>
      </c>
      <c r="J332" s="85">
        <f>IF(H332,An,'2022'!An_max)</f>
        <v>2020</v>
      </c>
      <c r="K332" s="199">
        <f t="shared" si="104"/>
        <v>45244</v>
      </c>
      <c r="L332" s="147">
        <f>IF(t&lt;Tvie,1-EXP((T0-t)*PertePVj)+'2022'!Pspv,1-EXP((T0-t)*PertePVj)+Pspv)</f>
        <v>4.3942970952514759E-2</v>
      </c>
      <c r="M332" s="870"/>
      <c r="N332" s="870"/>
      <c r="O332" s="48">
        <f>IF(t&lt;Tnet,'2022'!Resal+('2022'!Salim-'2022'!Resal)*(1-EXP(('2022'!Tnet-t)/('2022'!Tau_j))),Resal+(Salim-Resal)*(1-EXP((Tnet-t)/(Tau_j))))*Salcycl</f>
        <v>7.3751567464580073E-2</v>
      </c>
      <c r="P332" s="171">
        <f>(INDEX(Models!$BJ332:$BT332,,T332)*(1-R332)+INDEX(Models!$BJ332:$BT332,,T332+1)*R332-ERP_i)*Q332*Ramure*Pc/MaxiM</f>
        <v>0.11279509067329001</v>
      </c>
      <c r="Q332" s="307">
        <f t="shared" si="105"/>
        <v>1</v>
      </c>
      <c r="R332" s="179">
        <f t="shared" si="106"/>
        <v>0.39890303237854852</v>
      </c>
      <c r="S332" s="837">
        <f t="shared" si="107"/>
        <v>1</v>
      </c>
      <c r="T332" s="178">
        <f t="shared" si="108"/>
        <v>7</v>
      </c>
      <c r="U332" s="253">
        <f t="shared" si="109"/>
        <v>1.3989030323785485</v>
      </c>
      <c r="V332" s="385">
        <f t="shared" si="110"/>
        <v>18.360115287870038</v>
      </c>
      <c r="W332" s="404">
        <f t="shared" si="111"/>
        <v>8.821162047843119</v>
      </c>
      <c r="X332" s="157">
        <f t="shared" si="112"/>
        <v>45244</v>
      </c>
      <c r="Y332" s="387">
        <f t="shared" si="113"/>
        <v>8.5730379926597369</v>
      </c>
      <c r="Z332" s="387">
        <f t="shared" si="114"/>
        <v>8.9670780426153147</v>
      </c>
      <c r="AA332" s="388">
        <f t="shared" si="115"/>
        <v>9.9612654957711158</v>
      </c>
      <c r="AB332" s="199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9.980533633782443E-2</v>
      </c>
      <c r="AD332" s="233">
        <f>(INDEX(Models!$BJ332:$BT332,,AH332)*(1-AF332)+INDEX(Models!$BJ332:$BT332,,AH332+1)*AF332-ERP_i)*AE332*Ramure*Pc/MaxiM</f>
        <v>0.11279509067329001</v>
      </c>
      <c r="AE332" s="307">
        <f t="shared" si="117"/>
        <v>1</v>
      </c>
      <c r="AF332" s="179">
        <f t="shared" si="118"/>
        <v>0.39890303237854852</v>
      </c>
      <c r="AG332" s="837">
        <f t="shared" si="124"/>
        <v>1</v>
      </c>
      <c r="AH332" s="178">
        <f t="shared" si="119"/>
        <v>7</v>
      </c>
      <c r="AI332" s="227">
        <f t="shared" si="120"/>
        <v>1.3989030323785485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45245</v>
      </c>
      <c r="B333" s="1139">
        <f>IF(t&gt;Tmaj,'2022'!Wh/'2022'!Env_an*'2023'!Env_an,0.001*'[13]mon-tableau (3)'!$B$216)</f>
        <v>10.732923717523136</v>
      </c>
      <c r="C333" s="866"/>
      <c r="D333" s="395">
        <f t="shared" si="102"/>
        <v>11.226499223423847</v>
      </c>
      <c r="E333" s="387">
        <f t="shared" si="125"/>
        <v>12.121811428134894</v>
      </c>
      <c r="F333" s="387">
        <f t="shared" si="103"/>
        <v>12.732314701441288</v>
      </c>
      <c r="G333" s="110">
        <f t="shared" si="126"/>
        <v>0.5506621522795645</v>
      </c>
      <c r="H333" s="414" t="b">
        <f>Wh_hp&gt;='2022'!Maxi_hp</f>
        <v>0</v>
      </c>
      <c r="I333" s="392">
        <f>IF(H333,Wh_hp,'2022'!Maxi_hp)</f>
        <v>21.895850327793376</v>
      </c>
      <c r="J333" s="85">
        <f>IF(H333,An,'2022'!An_max)</f>
        <v>2020</v>
      </c>
      <c r="K333" s="199">
        <f t="shared" si="104"/>
        <v>45245</v>
      </c>
      <c r="L333" s="147">
        <f>IF(t&lt;Tvie,1-EXP((T0-t)*PertePVj)+'2022'!Pspv,1-EXP((T0-t)*PertePVj)+Pspv)</f>
        <v>4.39652197962902E-2</v>
      </c>
      <c r="M333" s="870"/>
      <c r="N333" s="870"/>
      <c r="O333" s="48">
        <f>IF(t&lt;Tnet,'2022'!Resal+('2022'!Salim-'2022'!Resal)*(1-EXP(('2022'!Tnet-t)/('2022'!Tau_j))),Resal+(Salim-Resal)*(1-EXP((Tnet-t)/(Tau_j))))*Salcycl</f>
        <v>7.385960506141967E-2</v>
      </c>
      <c r="P333" s="171">
        <f>(INDEX(Models!$BJ333:$BT333,,T333)*(1-R333)+INDEX(Models!$BJ333:$BT333,,T333+1)*R333-ERP_i)*Q333*Ramure*Pc/MaxiM</f>
        <v>0.11483861867142091</v>
      </c>
      <c r="Q333" s="307">
        <f t="shared" si="105"/>
        <v>1</v>
      </c>
      <c r="R333" s="179">
        <f t="shared" si="106"/>
        <v>0.39894742572236153</v>
      </c>
      <c r="S333" s="837">
        <f t="shared" si="107"/>
        <v>1</v>
      </c>
      <c r="T333" s="178">
        <f t="shared" si="108"/>
        <v>7</v>
      </c>
      <c r="U333" s="253">
        <f t="shared" si="109"/>
        <v>1.3989474257223615</v>
      </c>
      <c r="V333" s="385">
        <f t="shared" si="110"/>
        <v>18.121540476367684</v>
      </c>
      <c r="W333" s="404">
        <f t="shared" si="111"/>
        <v>10.732923717523136</v>
      </c>
      <c r="X333" s="157">
        <f t="shared" si="112"/>
        <v>45245</v>
      </c>
      <c r="Y333" s="387">
        <f t="shared" si="113"/>
        <v>10.431938992893556</v>
      </c>
      <c r="Z333" s="387">
        <f t="shared" si="114"/>
        <v>10.91167309903803</v>
      </c>
      <c r="AA333" s="388">
        <f t="shared" si="115"/>
        <v>12.121811428134894</v>
      </c>
      <c r="AB333" s="199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9.9831476200670441E-2</v>
      </c>
      <c r="AD333" s="233">
        <f>(INDEX(Models!$BJ333:$BT333,,AH333)*(1-AF333)+INDEX(Models!$BJ333:$BT333,,AH333+1)*AF333-ERP_i)*AE333*Ramure*Pc/MaxiM</f>
        <v>0.11483861867142091</v>
      </c>
      <c r="AE333" s="307">
        <f t="shared" si="117"/>
        <v>1</v>
      </c>
      <c r="AF333" s="179">
        <f t="shared" si="118"/>
        <v>0.39894742572236153</v>
      </c>
      <c r="AG333" s="837">
        <f t="shared" si="124"/>
        <v>1</v>
      </c>
      <c r="AH333" s="178">
        <f t="shared" si="119"/>
        <v>7</v>
      </c>
      <c r="AI333" s="227">
        <f t="shared" si="120"/>
        <v>1.3989474257223615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45246</v>
      </c>
      <c r="B334" s="1139">
        <f>IF(t&gt;Tmaj,'2022'!Wh/'2022'!Env_an*'2023'!Env_an,0.001*'[13]mon-tableau (3)'!$B$217)</f>
        <v>16.794883914899117</v>
      </c>
      <c r="C334" s="866"/>
      <c r="D334" s="395">
        <f t="shared" si="102"/>
        <v>17.567639915673908</v>
      </c>
      <c r="E334" s="387">
        <f t="shared" si="125"/>
        <v>18.97089184610671</v>
      </c>
      <c r="F334" s="387">
        <f t="shared" si="103"/>
        <v>21.235852464334698</v>
      </c>
      <c r="G334" s="110">
        <f t="shared" si="126"/>
        <v>0.92807770397023281</v>
      </c>
      <c r="H334" s="414" t="b">
        <f>Wh_hp&gt;='2022'!Maxi_hp</f>
        <v>0</v>
      </c>
      <c r="I334" s="392">
        <f>IF(H334,Wh_hp,'2022'!Maxi_hp)</f>
        <v>21.302314417663752</v>
      </c>
      <c r="J334" s="85">
        <f>IF(H334,An,'2022'!An_max)</f>
        <v>2022</v>
      </c>
      <c r="K334" s="199">
        <f t="shared" si="104"/>
        <v>45246</v>
      </c>
      <c r="L334" s="147">
        <f>IF(t&lt;Tvie,1-EXP((T0-t)*PertePVj)+'2022'!Pspv,1-EXP((T0-t)*PertePVj)+Pspv)</f>
        <v>4.3987468122302364E-2</v>
      </c>
      <c r="M334" s="870"/>
      <c r="N334" s="870"/>
      <c r="O334" s="48">
        <f>IF(t&lt;Tnet,'2022'!Resal+('2022'!Salim-'2022'!Resal)*(1-EXP(('2022'!Tnet-t)/('2022'!Tau_j))),Resal+(Salim-Resal)*(1-EXP((Tnet-t)/(Tau_j))))*Salcycl</f>
        <v>7.3968685384750904E-2</v>
      </c>
      <c r="P334" s="171">
        <f>(INDEX(Models!$BJ334:$BT334,,T334)*(1-R334)+INDEX(Models!$BJ334:$BT334,,T334+1)*R334-ERP_i)*Q334*Ramure*Pc/MaxiM</f>
        <v>0.11687319517111334</v>
      </c>
      <c r="Q334" s="307">
        <f t="shared" si="105"/>
        <v>1</v>
      </c>
      <c r="R334" s="179">
        <f t="shared" si="106"/>
        <v>0.39899003695604707</v>
      </c>
      <c r="S334" s="837">
        <f t="shared" si="107"/>
        <v>1</v>
      </c>
      <c r="T334" s="178">
        <f t="shared" si="108"/>
        <v>7</v>
      </c>
      <c r="U334" s="253">
        <f t="shared" si="109"/>
        <v>1.3989900369560471</v>
      </c>
      <c r="V334" s="385">
        <f t="shared" si="110"/>
        <v>17.889478687126712</v>
      </c>
      <c r="W334" s="404">
        <f t="shared" si="111"/>
        <v>16.794883914899117</v>
      </c>
      <c r="X334" s="157">
        <f t="shared" si="112"/>
        <v>45246</v>
      </c>
      <c r="Y334" s="387">
        <f t="shared" si="113"/>
        <v>16.325316621973087</v>
      </c>
      <c r="Z334" s="387">
        <f t="shared" si="114"/>
        <v>17.076467177588817</v>
      </c>
      <c r="AA334" s="388">
        <f t="shared" si="115"/>
        <v>18.97089184610671</v>
      </c>
      <c r="AB334" s="199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9.9859547135981053E-2</v>
      </c>
      <c r="AD334" s="233">
        <f>(INDEX(Models!$BJ334:$BT334,,AH334)*(1-AF334)+INDEX(Models!$BJ334:$BT334,,AH334+1)*AF334-ERP_i)*AE334*Ramure*Pc/MaxiM</f>
        <v>0.11687319517111334</v>
      </c>
      <c r="AE334" s="307">
        <f t="shared" si="117"/>
        <v>1</v>
      </c>
      <c r="AF334" s="179">
        <f t="shared" si="118"/>
        <v>0.39899003695604707</v>
      </c>
      <c r="AG334" s="837">
        <f t="shared" si="124"/>
        <v>1</v>
      </c>
      <c r="AH334" s="178">
        <f t="shared" si="119"/>
        <v>7</v>
      </c>
      <c r="AI334" s="227">
        <f t="shared" si="120"/>
        <v>1.3989900369560471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45247</v>
      </c>
      <c r="B335" s="1139">
        <f>IF(t&gt;Tmaj,'2022'!Wh/'2022'!Env_an*'2023'!Env_an,0.001*'[13]mon-tableau (3)'!$B$218)</f>
        <v>11.010307538463639</v>
      </c>
      <c r="C335" s="866"/>
      <c r="D335" s="395">
        <f t="shared" ref="D335:D379" si="127">Wh/(1-Ppv)</f>
        <v>11.517175144913844</v>
      </c>
      <c r="E335" s="387">
        <f t="shared" si="125"/>
        <v>12.438614428374777</v>
      </c>
      <c r="F335" s="387">
        <f t="shared" ref="F335:F379" si="128">Wh_sa/(1-Pvg*MEDIAN((-Sdif+Wh/Env_an)/Csdif,0,1))</f>
        <v>13.161433622852686</v>
      </c>
      <c r="G335" s="110">
        <f t="shared" si="126"/>
        <v>0.58113463281579625</v>
      </c>
      <c r="H335" s="414" t="b">
        <f>Wh_hp&gt;='2022'!Maxi_hp</f>
        <v>0</v>
      </c>
      <c r="I335" s="392">
        <f>IF(H335,Wh_hp,'2022'!Maxi_hp)</f>
        <v>21.938135822618069</v>
      </c>
      <c r="J335" s="85">
        <f>IF(H335,An,'2022'!An_max)</f>
        <v>2018</v>
      </c>
      <c r="K335" s="199">
        <f t="shared" ref="K335:K379" si="129">t</f>
        <v>45247</v>
      </c>
      <c r="L335" s="147">
        <f>IF(t&lt;Tvie,1-EXP((T0-t)*PertePVj)+'2022'!Pspv,1-EXP((T0-t)*PertePVj)+Pspv)</f>
        <v>4.4009715930563575E-2</v>
      </c>
      <c r="M335" s="870"/>
      <c r="N335" s="870"/>
      <c r="O335" s="48">
        <f>IF(t&lt;Tnet,'2022'!Resal+('2022'!Salim-'2022'!Resal)*(1-EXP(('2022'!Tnet-t)/('2022'!Tau_j))),Resal+(Salim-Resal)*(1-EXP((Tnet-t)/(Tau_j))))*Salcycl</f>
        <v>7.4078932888132623E-2</v>
      </c>
      <c r="P335" s="171">
        <f>(INDEX(Models!$BJ335:$BT335,,T335)*(1-R335)+INDEX(Models!$BJ335:$BT335,,T335+1)*R335-ERP_i)*Q335*Ramure*Pc/MaxiM</f>
        <v>0.11889829666263324</v>
      </c>
      <c r="Q335" s="307">
        <f t="shared" ref="Q335:Q379" si="130">IF(OR(t&lt;Ttai,Notai),Dd+PousD*Croivg,Dens+PousD*(Croivg-Croi_tai))</f>
        <v>1</v>
      </c>
      <c r="R335" s="179">
        <f t="shared" ref="R335:R379" si="131">(Hp_vg-S335)/(INDEX(Echel_vg,T335+1)-S335)</f>
        <v>0.39903093741563911</v>
      </c>
      <c r="S335" s="837">
        <f t="shared" ref="S335:S379" si="132">INDEX(Echel_vg,T335)</f>
        <v>1</v>
      </c>
      <c r="T335" s="178">
        <f t="shared" ref="T335:T379" si="133">MIN(MATCH(Hp_vg,Echel_vg),10)</f>
        <v>7</v>
      </c>
      <c r="U335" s="253">
        <f t="shared" ref="U335:U379" si="134">IF(OR(t&lt;Ttai,Notai),Hdd+PousH*Croivg,Hdtf+PousH*(Croivg-Croi_tai))</f>
        <v>1.3990309374156391</v>
      </c>
      <c r="V335" s="385">
        <f t="shared" ref="V335:V379" si="135">MaxiM*(1-Ppv)*(1-Pvg)*(1-Psa)</f>
        <v>17.663628601659713</v>
      </c>
      <c r="W335" s="404">
        <f t="shared" ref="W335:W379" si="136">Wh*(A335&gt;Tmaj)</f>
        <v>11.010307538463639</v>
      </c>
      <c r="X335" s="157">
        <f t="shared" ref="X335:X379" si="137">t</f>
        <v>45247</v>
      </c>
      <c r="Y335" s="387">
        <f t="shared" ref="Y335:Y379" si="138">Wh_pvt_s*(1-Ppv)</f>
        <v>10.70338660849826</v>
      </c>
      <c r="Z335" s="387">
        <f t="shared" ref="Z335:Z379" si="139">Wh_sa_s*(1-Psa_s)</f>
        <v>11.196124884173866</v>
      </c>
      <c r="AA335" s="388">
        <f t="shared" ref="AA335:AA379" si="140">Wh_hp*(1-Pvg_s*MEDIAN((-Sdif+Wh/Env_an)/Csdif,0,1))</f>
        <v>12.438614428374777</v>
      </c>
      <c r="AB335" s="199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9.9889706474586379E-2</v>
      </c>
      <c r="AD335" s="233">
        <f>(INDEX(Models!$BJ335:$BT335,,AH335)*(1-AF335)+INDEX(Models!$BJ335:$BT335,,AH335+1)*AF335-ERP_i)*AE335*Ramure*Pc/MaxiM</f>
        <v>0.11889829666263324</v>
      </c>
      <c r="AE335" s="307">
        <f t="shared" ref="AE335:AE379" si="142">IF(OR(t&lt;Ttai,Notai),Dd_s+PousD*Croivg,Dens_s+PousD*(Croivg-Croi_tai))</f>
        <v>1</v>
      </c>
      <c r="AF335" s="179">
        <f t="shared" ref="AF335:AF379" si="143">(Hp_vg_s-AG335)/(INDEX(Echel_vg,AH335+1)-AG335)</f>
        <v>0.39903093741563911</v>
      </c>
      <c r="AG335" s="837">
        <f t="shared" si="124"/>
        <v>1</v>
      </c>
      <c r="AH335" s="178">
        <f t="shared" ref="AH335:AH379" si="144">MIN(MATCH(Hp_vg_s,Echel_vg),10)</f>
        <v>7</v>
      </c>
      <c r="AI335" s="227">
        <f t="shared" ref="AI335:AI379" si="145">IF(OR(t&lt;Ttai,Notai),Hdd_s+PousH*Croivg,Hdtai_s+PousH*(Croivg-Croi_tai))</f>
        <v>1.3990309374156391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45248</v>
      </c>
      <c r="B336" s="1139">
        <f>IF(t&gt;Tmaj,'2022'!Wh/'2022'!Env_an*'2023'!Env_an,0.001*'[13]mon-tableau (3)'!$B$219)</f>
        <v>10.400019455208971</v>
      </c>
      <c r="C336" s="866"/>
      <c r="D336" s="395">
        <f t="shared" si="127"/>
        <v>10.879045172107752</v>
      </c>
      <c r="E336" s="387">
        <f t="shared" si="125"/>
        <v>11.750845898685276</v>
      </c>
      <c r="F336" s="387">
        <f t="shared" si="128"/>
        <v>12.384493563247112</v>
      </c>
      <c r="G336" s="110">
        <f t="shared" si="126"/>
        <v>0.5523782031594604</v>
      </c>
      <c r="H336" s="414" t="b">
        <f>Wh_hp&gt;='2022'!Maxi_hp</f>
        <v>0</v>
      </c>
      <c r="I336" s="392">
        <f>IF(H336,Wh_hp,'2022'!Maxi_hp)</f>
        <v>20.856889266520181</v>
      </c>
      <c r="J336" s="85">
        <f>IF(H336,An,'2022'!An_max)</f>
        <v>2020</v>
      </c>
      <c r="K336" s="199">
        <f t="shared" si="129"/>
        <v>45248</v>
      </c>
      <c r="L336" s="147">
        <f>IF(t&lt;Tvie,1-EXP((T0-t)*PertePVj)+'2022'!Pspv,1-EXP((T0-t)*PertePVj)+Pspv)</f>
        <v>4.4031963221085824E-2</v>
      </c>
      <c r="M336" s="870"/>
      <c r="N336" s="870"/>
      <c r="O336" s="48">
        <f>IF(t&lt;Tnet,'2022'!Resal+('2022'!Salim-'2022'!Resal)*(1-EXP(('2022'!Tnet-t)/('2022'!Tau_j))),Resal+(Salim-Resal)*(1-EXP((Tnet-t)/(Tau_j))))*Salcycl</f>
        <v>7.4190465443433634E-2</v>
      </c>
      <c r="P336" s="171">
        <f>(INDEX(Models!$BJ336:$BT336,,T336)*(1-R336)+INDEX(Models!$BJ336:$BT336,,T336+1)*R336-ERP_i)*Q336*Ramure*Pc/MaxiM</f>
        <v>0.12091351556965584</v>
      </c>
      <c r="Q336" s="307">
        <f t="shared" si="130"/>
        <v>1</v>
      </c>
      <c r="R336" s="179">
        <f t="shared" si="131"/>
        <v>0.3990701955977678</v>
      </c>
      <c r="S336" s="837">
        <f t="shared" si="132"/>
        <v>1</v>
      </c>
      <c r="T336" s="178">
        <f t="shared" si="133"/>
        <v>7</v>
      </c>
      <c r="U336" s="253">
        <f t="shared" si="134"/>
        <v>1.3990701955977678</v>
      </c>
      <c r="V336" s="385">
        <f t="shared" si="135"/>
        <v>17.443689299693286</v>
      </c>
      <c r="W336" s="404">
        <f t="shared" si="136"/>
        <v>10.400019455208971</v>
      </c>
      <c r="X336" s="157">
        <f t="shared" si="137"/>
        <v>45248</v>
      </c>
      <c r="Y336" s="387">
        <f t="shared" si="138"/>
        <v>10.110964837344692</v>
      </c>
      <c r="Z336" s="387">
        <f t="shared" si="139"/>
        <v>10.576676675731832</v>
      </c>
      <c r="AA336" s="388">
        <f t="shared" si="140"/>
        <v>11.750845898685276</v>
      </c>
      <c r="AB336" s="199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9.9922102040740118E-2</v>
      </c>
      <c r="AD336" s="233">
        <f>(INDEX(Models!$BJ336:$BT336,,AH336)*(1-AF336)+INDEX(Models!$BJ336:$BT336,,AH336+1)*AF336-ERP_i)*AE336*Ramure*Pc/MaxiM</f>
        <v>0.12091351556965584</v>
      </c>
      <c r="AE336" s="307">
        <f t="shared" si="142"/>
        <v>1</v>
      </c>
      <c r="AF336" s="179">
        <f t="shared" si="143"/>
        <v>0.3990701955977678</v>
      </c>
      <c r="AG336" s="837">
        <f t="shared" ref="AG336:AG379" si="149">INDEX(Echel_vg,AH336)</f>
        <v>1</v>
      </c>
      <c r="AH336" s="178">
        <f t="shared" si="144"/>
        <v>7</v>
      </c>
      <c r="AI336" s="227">
        <f t="shared" si="145"/>
        <v>1.3990701955977678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45249</v>
      </c>
      <c r="B337" s="1139">
        <f>IF(t&gt;Tmaj,'2022'!Wh/'2022'!Env_an*'2023'!Env_an,0.001*'[13]mon-tableau (3)'!$B$220)</f>
        <v>7.6383601601925522</v>
      </c>
      <c r="C337" s="866"/>
      <c r="D337" s="395">
        <f t="shared" si="127"/>
        <v>7.9903695795800926</v>
      </c>
      <c r="E337" s="387">
        <f t="shared" si="125"/>
        <v>8.6317369279565899</v>
      </c>
      <c r="F337" s="387">
        <f t="shared" si="128"/>
        <v>8.8545996413958843</v>
      </c>
      <c r="G337" s="110">
        <f t="shared" si="126"/>
        <v>0.39887942211845512</v>
      </c>
      <c r="H337" s="414" t="b">
        <f>Wh_hp&gt;='2022'!Maxi_hp</f>
        <v>0</v>
      </c>
      <c r="I337" s="392">
        <f>IF(H337,Wh_hp,'2022'!Maxi_hp)</f>
        <v>22.157788716528341</v>
      </c>
      <c r="J337" s="85">
        <f>IF(H337,An,'2022'!An_max)</f>
        <v>2021</v>
      </c>
      <c r="K337" s="199">
        <f t="shared" si="129"/>
        <v>45249</v>
      </c>
      <c r="L337" s="147">
        <f>IF(t&lt;Tvie,1-EXP((T0-t)*PertePVj)+'2022'!Pspv,1-EXP((T0-t)*PertePVj)+Pspv)</f>
        <v>4.4054209993881099E-2</v>
      </c>
      <c r="M337" s="870"/>
      <c r="N337" s="870"/>
      <c r="O337" s="48">
        <f>IF(t&lt;Tnet,'2022'!Resal+('2022'!Salim-'2022'!Resal)*(1-EXP(('2022'!Tnet-t)/('2022'!Tau_j))),Resal+(Salim-Resal)*(1-EXP((Tnet-t)/(Tau_j))))*Salcycl</f>
        <v>7.4303393827866576E-2</v>
      </c>
      <c r="P337" s="171">
        <f>(INDEX(Models!$BJ337:$BT337,,T337)*(1-R337)+INDEX(Models!$BJ337:$BT337,,T337+1)*R337-ERP_i)*Q337*Ramure*Pc/MaxiM</f>
        <v>0.12291856624325316</v>
      </c>
      <c r="Q337" s="307">
        <f t="shared" si="130"/>
        <v>1</v>
      </c>
      <c r="R337" s="179">
        <f t="shared" si="131"/>
        <v>0.39910787727140651</v>
      </c>
      <c r="S337" s="837">
        <f t="shared" si="132"/>
        <v>1</v>
      </c>
      <c r="T337" s="178">
        <f t="shared" si="133"/>
        <v>7</v>
      </c>
      <c r="U337" s="253">
        <f t="shared" si="134"/>
        <v>1.3991078772714065</v>
      </c>
      <c r="V337" s="385">
        <f t="shared" si="135"/>
        <v>17.229360248492977</v>
      </c>
      <c r="W337" s="404">
        <f t="shared" si="136"/>
        <v>7.6383601601925522</v>
      </c>
      <c r="X337" s="157">
        <f t="shared" si="137"/>
        <v>45249</v>
      </c>
      <c r="Y337" s="387">
        <f t="shared" si="138"/>
        <v>7.4266811924718956</v>
      </c>
      <c r="Z337" s="387">
        <f t="shared" si="139"/>
        <v>7.7689355088057432</v>
      </c>
      <c r="AA337" s="388">
        <f t="shared" si="140"/>
        <v>8.6317369279565899</v>
      </c>
      <c r="AB337" s="199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9.9956871525636273E-2</v>
      </c>
      <c r="AD337" s="233">
        <f>(INDEX(Models!$BJ337:$BT337,,AH337)*(1-AF337)+INDEX(Models!$BJ337:$BT337,,AH337+1)*AF337-ERP_i)*AE337*Ramure*Pc/MaxiM</f>
        <v>0.12291856624325316</v>
      </c>
      <c r="AE337" s="307">
        <f t="shared" si="142"/>
        <v>1</v>
      </c>
      <c r="AF337" s="179">
        <f t="shared" si="143"/>
        <v>0.39910787727140651</v>
      </c>
      <c r="AG337" s="837">
        <f t="shared" si="149"/>
        <v>1</v>
      </c>
      <c r="AH337" s="178">
        <f t="shared" si="144"/>
        <v>7</v>
      </c>
      <c r="AI337" s="227">
        <f t="shared" si="145"/>
        <v>1.3991078772714065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45250</v>
      </c>
      <c r="B338" s="1139">
        <f>IF(t&gt;Tmaj,'2022'!Wh/'2022'!Env_an*'2023'!Env_an,0.001*'[13]mon-tableau (3)'!$B$221)</f>
        <v>12.471092421588278</v>
      </c>
      <c r="C338" s="866"/>
      <c r="D338" s="395">
        <f t="shared" si="127"/>
        <v>13.046119120208905</v>
      </c>
      <c r="E338" s="387">
        <f t="shared" si="125"/>
        <v>14.095041391031613</v>
      </c>
      <c r="F338" s="387">
        <f t="shared" si="128"/>
        <v>15.274994464602539</v>
      </c>
      <c r="G338" s="110">
        <f t="shared" si="126"/>
        <v>0.69486754410637919</v>
      </c>
      <c r="H338" s="414" t="b">
        <f>Wh_hp&gt;='2022'!Maxi_hp</f>
        <v>0</v>
      </c>
      <c r="I338" s="392">
        <f>IF(H338,Wh_hp,'2022'!Maxi_hp)</f>
        <v>22.532430665642437</v>
      </c>
      <c r="J338" s="85">
        <f>IF(H338,An,'2022'!An_max)</f>
        <v>2019</v>
      </c>
      <c r="K338" s="199">
        <f t="shared" si="129"/>
        <v>45250</v>
      </c>
      <c r="L338" s="147">
        <f>IF(t&lt;Tvie,1-EXP((T0-t)*PertePVj)+'2022'!Pspv,1-EXP((T0-t)*PertePVj)+Pspv)</f>
        <v>4.4076456248961504E-2</v>
      </c>
      <c r="M338" s="870"/>
      <c r="N338" s="870"/>
      <c r="O338" s="48">
        <f>IF(t&lt;Tnet,'2022'!Resal+('2022'!Salim-'2022'!Resal)*(1-EXP(('2022'!Tnet-t)/('2022'!Tau_j))),Resal+(Salim-Resal)*(1-EXP((Tnet-t)/(Tau_j))))*Salcycl</f>
        <v>7.4417821255219216E-2</v>
      </c>
      <c r="P338" s="171">
        <f>(INDEX(Models!$BJ338:$BT338,,T338)*(1-R338)+INDEX(Models!$BJ338:$BT338,,T338+1)*R338-ERP_i)*Q338*Ramure*Pc/MaxiM</f>
        <v>0.12495248043516874</v>
      </c>
      <c r="Q338" s="307">
        <f t="shared" si="130"/>
        <v>1</v>
      </c>
      <c r="R338" s="179">
        <f t="shared" si="131"/>
        <v>0.39914404558532102</v>
      </c>
      <c r="S338" s="837">
        <f t="shared" si="132"/>
        <v>1</v>
      </c>
      <c r="T338" s="178">
        <f t="shared" si="133"/>
        <v>7</v>
      </c>
      <c r="U338" s="253">
        <f t="shared" si="134"/>
        <v>1.399144045585321</v>
      </c>
      <c r="V338" s="385">
        <f t="shared" si="135"/>
        <v>17.019579063147162</v>
      </c>
      <c r="W338" s="404">
        <f t="shared" si="136"/>
        <v>12.471092421588278</v>
      </c>
      <c r="X338" s="157">
        <f t="shared" si="137"/>
        <v>45250</v>
      </c>
      <c r="Y338" s="387">
        <f t="shared" si="138"/>
        <v>12.126482654690756</v>
      </c>
      <c r="Z338" s="387">
        <f t="shared" si="139"/>
        <v>12.685619821755314</v>
      </c>
      <c r="AA338" s="388">
        <f t="shared" si="140"/>
        <v>14.095041391031613</v>
      </c>
      <c r="AB338" s="199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9.9994141923775093E-2</v>
      </c>
      <c r="AD338" s="233">
        <f>(INDEX(Models!$BJ338:$BT338,,AH338)*(1-AF338)+INDEX(Models!$BJ338:$BT338,,AH338+1)*AF338-ERP_i)*AE338*Ramure*Pc/MaxiM</f>
        <v>0.12495248043516874</v>
      </c>
      <c r="AE338" s="307">
        <f t="shared" si="142"/>
        <v>1</v>
      </c>
      <c r="AF338" s="179">
        <f t="shared" si="143"/>
        <v>0.39914404558532102</v>
      </c>
      <c r="AG338" s="837">
        <f t="shared" si="149"/>
        <v>1</v>
      </c>
      <c r="AH338" s="178">
        <f t="shared" si="144"/>
        <v>7</v>
      </c>
      <c r="AI338" s="227">
        <f t="shared" si="145"/>
        <v>1.399144045585321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45251</v>
      </c>
      <c r="B339" s="1139">
        <f>IF(t&gt;Tmaj,'2022'!Wh/'2022'!Env_an*'2023'!Env_an,0.001*'[13]mon-tableau (3)'!$B$222)</f>
        <v>2.9724426683936294</v>
      </c>
      <c r="C339" s="866"/>
      <c r="D339" s="395">
        <f t="shared" si="127"/>
        <v>3.1095706999983062</v>
      </c>
      <c r="E339" s="387">
        <f t="shared" si="125"/>
        <v>3.3600047676793516</v>
      </c>
      <c r="F339" s="387">
        <f t="shared" si="128"/>
        <v>3.3600047676793516</v>
      </c>
      <c r="G339" s="110">
        <f t="shared" si="126"/>
        <v>0.15432893049620855</v>
      </c>
      <c r="H339" s="414" t="b">
        <f>Wh_hp&gt;='2022'!Maxi_hp</f>
        <v>0</v>
      </c>
      <c r="I339" s="392">
        <f>IF(H339,Wh_hp,'2022'!Maxi_hp)</f>
        <v>21.71388989490131</v>
      </c>
      <c r="J339" s="85">
        <f>IF(H339,An,'2022'!An_max)</f>
        <v>2019</v>
      </c>
      <c r="K339" s="199">
        <f t="shared" si="129"/>
        <v>45251</v>
      </c>
      <c r="L339" s="147">
        <f>IF(t&lt;Tvie,1-EXP((T0-t)*PertePVj)+'2022'!Pspv,1-EXP((T0-t)*PertePVj)+Pspv)</f>
        <v>4.4098701986338917E-2</v>
      </c>
      <c r="M339" s="870"/>
      <c r="N339" s="870"/>
      <c r="O339" s="48">
        <f>IF(t&lt;Tnet,'2022'!Resal+('2022'!Salim-'2022'!Resal)*(1-EXP(('2022'!Tnet-t)/('2022'!Tau_j))),Resal+(Salim-Resal)*(1-EXP((Tnet-t)/(Tau_j))))*Salcycl</f>
        <v>7.4533842954637303E-2</v>
      </c>
      <c r="P339" s="171">
        <f>(INDEX(Models!$BJ339:$BT339,,T339)*(1-R339)+INDEX(Models!$BJ339:$BT339,,T339+1)*R339-ERP_i)*Q339*Ramure*Pc/MaxiM</f>
        <v>0.1270522930387592</v>
      </c>
      <c r="Q339" s="307">
        <f t="shared" si="130"/>
        <v>1</v>
      </c>
      <c r="R339" s="179">
        <f t="shared" si="131"/>
        <v>0.39917876117138018</v>
      </c>
      <c r="S339" s="837">
        <f t="shared" si="132"/>
        <v>1</v>
      </c>
      <c r="T339" s="178">
        <f t="shared" si="133"/>
        <v>7</v>
      </c>
      <c r="U339" s="253">
        <f t="shared" si="134"/>
        <v>1.3991787611713802</v>
      </c>
      <c r="V339" s="385">
        <f t="shared" si="135"/>
        <v>16.813354457294825</v>
      </c>
      <c r="W339" s="404">
        <f t="shared" si="136"/>
        <v>2.9724426683936294</v>
      </c>
      <c r="X339" s="157">
        <f t="shared" si="137"/>
        <v>45251</v>
      </c>
      <c r="Y339" s="387">
        <f t="shared" si="138"/>
        <v>2.8905403313027302</v>
      </c>
      <c r="Z339" s="387">
        <f t="shared" si="139"/>
        <v>3.0238899531878456</v>
      </c>
      <c r="AA339" s="388">
        <f t="shared" si="140"/>
        <v>3.3600047676793516</v>
      </c>
      <c r="AB339" s="199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0.10003402903611062</v>
      </c>
      <c r="AD339" s="233">
        <f>(INDEX(Models!$BJ339:$BT339,,AH339)*(1-AF339)+INDEX(Models!$BJ339:$BT339,,AH339+1)*AF339-ERP_i)*AE339*Ramure*Pc/MaxiM</f>
        <v>0.1270522930387592</v>
      </c>
      <c r="AE339" s="307">
        <f t="shared" si="142"/>
        <v>1</v>
      </c>
      <c r="AF339" s="179">
        <f t="shared" si="143"/>
        <v>0.39917876117138018</v>
      </c>
      <c r="AG339" s="837">
        <f t="shared" si="149"/>
        <v>1</v>
      </c>
      <c r="AH339" s="178">
        <f t="shared" si="144"/>
        <v>7</v>
      </c>
      <c r="AI339" s="227">
        <f t="shared" si="145"/>
        <v>1.3991787611713802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45252</v>
      </c>
      <c r="B340" s="1139">
        <f>IF(t&gt;Tmaj,'2022'!Wh/'2022'!Env_an*'2023'!Env_an,0.001*'[13]mon-tableau (3)'!$B$223)</f>
        <v>7.8623302382140849</v>
      </c>
      <c r="C340" s="866"/>
      <c r="D340" s="395">
        <f t="shared" si="127"/>
        <v>8.225235415749502</v>
      </c>
      <c r="E340" s="387">
        <f t="shared" si="125"/>
        <v>8.8887979208437766</v>
      </c>
      <c r="F340" s="387">
        <f t="shared" si="128"/>
        <v>9.1826264068473193</v>
      </c>
      <c r="G340" s="110">
        <f t="shared" si="126"/>
        <v>0.42579808358669363</v>
      </c>
      <c r="H340" s="414" t="b">
        <f>Wh_hp&gt;='2022'!Maxi_hp</f>
        <v>0</v>
      </c>
      <c r="I340" s="392">
        <f>IF(H340,Wh_hp,'2022'!Maxi_hp)</f>
        <v>22.055020906483698</v>
      </c>
      <c r="J340" s="85">
        <f>IF(H340,An,'2022'!An_max)</f>
        <v>2020</v>
      </c>
      <c r="K340" s="199">
        <f t="shared" si="129"/>
        <v>45252</v>
      </c>
      <c r="L340" s="147">
        <f>IF(t&lt;Tvie,1-EXP((T0-t)*PertePVj)+'2022'!Pspv,1-EXP((T0-t)*PertePVj)+Pspv)</f>
        <v>4.4120947206025662E-2</v>
      </c>
      <c r="M340" s="870"/>
      <c r="N340" s="870"/>
      <c r="O340" s="48">
        <f>IF(t&lt;Tnet,'2022'!Resal+('2022'!Salim-'2022'!Resal)*(1-EXP(('2022'!Tnet-t)/('2022'!Tau_j))),Resal+(Salim-Resal)*(1-EXP((Tnet-t)/(Tau_j))))*Salcycl</f>
        <v>7.4651545799939351E-2</v>
      </c>
      <c r="P340" s="171">
        <f>(INDEX(Models!$BJ340:$BT340,,T340)*(1-R340)+INDEX(Models!$BJ340:$BT340,,T340+1)*R340-ERP_i)*Q340*Ramure*Pc/MaxiM</f>
        <v>0.12922031675481258</v>
      </c>
      <c r="Q340" s="307">
        <f t="shared" si="130"/>
        <v>1</v>
      </c>
      <c r="R340" s="179">
        <f t="shared" si="131"/>
        <v>0.39921208224387628</v>
      </c>
      <c r="S340" s="837">
        <f t="shared" si="132"/>
        <v>1</v>
      </c>
      <c r="T340" s="178">
        <f t="shared" si="133"/>
        <v>7</v>
      </c>
      <c r="U340" s="253">
        <f t="shared" si="134"/>
        <v>1.3992120822438763</v>
      </c>
      <c r="V340" s="385">
        <f t="shared" si="135"/>
        <v>16.610386924124366</v>
      </c>
      <c r="W340" s="404">
        <f t="shared" si="136"/>
        <v>7.8623302382140849</v>
      </c>
      <c r="X340" s="157">
        <f t="shared" si="137"/>
        <v>45252</v>
      </c>
      <c r="Y340" s="387">
        <f t="shared" si="138"/>
        <v>7.6463030078389949</v>
      </c>
      <c r="Z340" s="387">
        <f t="shared" si="139"/>
        <v>7.9992369175674813</v>
      </c>
      <c r="AA340" s="388">
        <f t="shared" si="140"/>
        <v>8.8887979208437766</v>
      </c>
      <c r="AB340" s="199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0.100076637043387</v>
      </c>
      <c r="AD340" s="233">
        <f>(INDEX(Models!$BJ340:$BT340,,AH340)*(1-AF340)+INDEX(Models!$BJ340:$BT340,,AH340+1)*AF340-ERP_i)*AE340*Ramure*Pc/MaxiM</f>
        <v>0.12922031675481258</v>
      </c>
      <c r="AE340" s="307">
        <f t="shared" si="142"/>
        <v>1</v>
      </c>
      <c r="AF340" s="179">
        <f t="shared" si="143"/>
        <v>0.39921208224387628</v>
      </c>
      <c r="AG340" s="837">
        <f t="shared" si="149"/>
        <v>1</v>
      </c>
      <c r="AH340" s="178">
        <f t="shared" si="144"/>
        <v>7</v>
      </c>
      <c r="AI340" s="227">
        <f t="shared" si="145"/>
        <v>1.3992120822438763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45253</v>
      </c>
      <c r="B341" s="1139">
        <f>IF(t&gt;Tmaj,'2022'!Wh/'2022'!Env_an*'2023'!Env_an,0.001*'[13]mon-tableau (3)'!$B$224)</f>
        <v>11.668997524821732</v>
      </c>
      <c r="C341" s="866"/>
      <c r="D341" s="395">
        <f t="shared" si="127"/>
        <v>12.207892883155587</v>
      </c>
      <c r="E341" s="387">
        <f t="shared" si="125"/>
        <v>13.194455630558796</v>
      </c>
      <c r="F341" s="387">
        <f t="shared" si="128"/>
        <v>14.298260638301169</v>
      </c>
      <c r="G341" s="110">
        <f t="shared" si="126"/>
        <v>0.6692633438764235</v>
      </c>
      <c r="H341" s="414" t="b">
        <f>Wh_hp&gt;='2022'!Maxi_hp</f>
        <v>0</v>
      </c>
      <c r="I341" s="392">
        <f>IF(H341,Wh_hp,'2022'!Maxi_hp)</f>
        <v>21.439200666327118</v>
      </c>
      <c r="J341" s="85">
        <f>IF(H341,An,'2022'!An_max)</f>
        <v>2020</v>
      </c>
      <c r="K341" s="199">
        <f t="shared" si="129"/>
        <v>45253</v>
      </c>
      <c r="L341" s="147">
        <f>IF(t&lt;Tvie,1-EXP((T0-t)*PertePVj)+'2022'!Pspv,1-EXP((T0-t)*PertePVj)+Pspv)</f>
        <v>4.4143191908033619E-2</v>
      </c>
      <c r="M341" s="870"/>
      <c r="N341" s="870"/>
      <c r="O341" s="48">
        <f>IF(t&lt;Tnet,'2022'!Resal+('2022'!Salim-'2022'!Resal)*(1-EXP(('2022'!Tnet-t)/('2022'!Tau_j))),Resal+(Salim-Resal)*(1-EXP((Tnet-t)/(Tau_j))))*Salcycl</f>
        <v>7.4771007992046001E-2</v>
      </c>
      <c r="P341" s="171">
        <f>(INDEX(Models!$BJ341:$BT341,,T341)*(1-R341)+INDEX(Models!$BJ341:$BT341,,T341+1)*R341-ERP_i)*Q341*Ramure*Pc/MaxiM</f>
        <v>0.13145817017850717</v>
      </c>
      <c r="Q341" s="307">
        <f t="shared" si="130"/>
        <v>1</v>
      </c>
      <c r="R341" s="179">
        <f t="shared" si="131"/>
        <v>0.39924406469500573</v>
      </c>
      <c r="S341" s="837">
        <f t="shared" si="132"/>
        <v>1</v>
      </c>
      <c r="T341" s="178">
        <f t="shared" si="133"/>
        <v>7</v>
      </c>
      <c r="U341" s="253">
        <f t="shared" si="134"/>
        <v>1.3992440646950057</v>
      </c>
      <c r="V341" s="385">
        <f t="shared" si="135"/>
        <v>16.410392950075096</v>
      </c>
      <c r="W341" s="404">
        <f t="shared" si="136"/>
        <v>11.668997524821732</v>
      </c>
      <c r="X341" s="157">
        <f t="shared" si="137"/>
        <v>45253</v>
      </c>
      <c r="Y341" s="387">
        <f t="shared" si="138"/>
        <v>11.349269820513461</v>
      </c>
      <c r="Z341" s="387">
        <f t="shared" si="139"/>
        <v>11.873399576625193</v>
      </c>
      <c r="AA341" s="388">
        <f t="shared" si="140"/>
        <v>13.194455630558796</v>
      </c>
      <c r="AB341" s="199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0.10012205815251618</v>
      </c>
      <c r="AD341" s="233">
        <f>(INDEX(Models!$BJ341:$BT341,,AH341)*(1-AF341)+INDEX(Models!$BJ341:$BT341,,AH341+1)*AF341-ERP_i)*AE341*Ramure*Pc/MaxiM</f>
        <v>0.13145817017850717</v>
      </c>
      <c r="AE341" s="307">
        <f t="shared" si="142"/>
        <v>1</v>
      </c>
      <c r="AF341" s="179">
        <f t="shared" si="143"/>
        <v>0.39924406469500573</v>
      </c>
      <c r="AG341" s="837">
        <f t="shared" si="149"/>
        <v>1</v>
      </c>
      <c r="AH341" s="178">
        <f t="shared" si="144"/>
        <v>7</v>
      </c>
      <c r="AI341" s="227">
        <f t="shared" si="145"/>
        <v>1.3992440646950057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45254</v>
      </c>
      <c r="B342" s="1139">
        <f>IF(t&gt;Tmaj,'2022'!Wh/'2022'!Env_an*'2023'!Env_an,0.001*'[13]mon-tableau (3)'!$B$225)</f>
        <v>10.529437782252002</v>
      </c>
      <c r="C342" s="866"/>
      <c r="D342" s="395">
        <f t="shared" si="127"/>
        <v>11.015962573278108</v>
      </c>
      <c r="E342" s="387">
        <f t="shared" si="125"/>
        <v>11.907762262652531</v>
      </c>
      <c r="F342" s="387">
        <f t="shared" si="128"/>
        <v>12.759828083384267</v>
      </c>
      <c r="G342" s="110">
        <f t="shared" si="126"/>
        <v>0.60282118193311629</v>
      </c>
      <c r="H342" s="414" t="b">
        <f>Wh_hp&gt;='2022'!Maxi_hp</f>
        <v>0</v>
      </c>
      <c r="I342" s="392">
        <f>IF(H342,Wh_hp,'2022'!Maxi_hp)</f>
        <v>20.206281401845153</v>
      </c>
      <c r="J342" s="85">
        <f>IF(H342,An,'2022'!An_max)</f>
        <v>2020</v>
      </c>
      <c r="K342" s="199">
        <f t="shared" si="129"/>
        <v>45254</v>
      </c>
      <c r="L342" s="147">
        <f>IF(t&lt;Tvie,1-EXP((T0-t)*PertePVj)+'2022'!Pspv,1-EXP((T0-t)*PertePVj)+Pspv)</f>
        <v>4.4165436092374777E-2</v>
      </c>
      <c r="M342" s="870"/>
      <c r="N342" s="870"/>
      <c r="O342" s="48">
        <f>IF(t&lt;Tnet,'2022'!Resal+('2022'!Salim-'2022'!Resal)*(1-EXP(('2022'!Tnet-t)/('2022'!Tau_j))),Resal+(Salim-Resal)*(1-EXP((Tnet-t)/(Tau_j))))*Salcycl</f>
        <v>7.4892298796681703E-2</v>
      </c>
      <c r="P342" s="171">
        <f>(INDEX(Models!$BJ342:$BT342,,T342)*(1-R342)+INDEX(Models!$BJ342:$BT342,,T342+1)*R342-ERP_i)*Q342*Ramure*Pc/MaxiM</f>
        <v>0.13376810395499228</v>
      </c>
      <c r="Q342" s="307">
        <f t="shared" si="130"/>
        <v>1</v>
      </c>
      <c r="R342" s="179">
        <f t="shared" si="131"/>
        <v>0.39927476218665303</v>
      </c>
      <c r="S342" s="837">
        <f t="shared" si="132"/>
        <v>1</v>
      </c>
      <c r="T342" s="178">
        <f t="shared" si="133"/>
        <v>7</v>
      </c>
      <c r="U342" s="253">
        <f t="shared" si="134"/>
        <v>1.399274762186653</v>
      </c>
      <c r="V342" s="385">
        <f t="shared" si="135"/>
        <v>16.213079689176279</v>
      </c>
      <c r="W342" s="404">
        <f t="shared" si="136"/>
        <v>10.529437782252002</v>
      </c>
      <c r="X342" s="157">
        <f t="shared" si="137"/>
        <v>45254</v>
      </c>
      <c r="Y342" s="387">
        <f t="shared" si="138"/>
        <v>10.241726522195965</v>
      </c>
      <c r="Z342" s="387">
        <f t="shared" si="139"/>
        <v>10.714957283325189</v>
      </c>
      <c r="AA342" s="388">
        <f t="shared" si="140"/>
        <v>11.907762262652531</v>
      </c>
      <c r="AB342" s="199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0.10017037231826936</v>
      </c>
      <c r="AD342" s="233">
        <f>(INDEX(Models!$BJ342:$BT342,,AH342)*(1-AF342)+INDEX(Models!$BJ342:$BT342,,AH342+1)*AF342-ERP_i)*AE342*Ramure*Pc/MaxiM</f>
        <v>0.13376810395499228</v>
      </c>
      <c r="AE342" s="307">
        <f t="shared" si="142"/>
        <v>1</v>
      </c>
      <c r="AF342" s="179">
        <f t="shared" si="143"/>
        <v>0.39927476218665303</v>
      </c>
      <c r="AG342" s="837">
        <f t="shared" si="149"/>
        <v>1</v>
      </c>
      <c r="AH342" s="178">
        <f t="shared" si="144"/>
        <v>7</v>
      </c>
      <c r="AI342" s="227">
        <f t="shared" si="145"/>
        <v>1.399274762186653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45255</v>
      </c>
      <c r="B343" s="1139">
        <f>IF(t&gt;Tmaj,'2022'!Wh/'2022'!Env_an*'2023'!Env_an,0.001*'[13]mon-tableau (3)'!$B$226)</f>
        <v>4.311684437525459</v>
      </c>
      <c r="C343" s="866"/>
      <c r="D343" s="395">
        <f t="shared" si="127"/>
        <v>4.5110157571923546</v>
      </c>
      <c r="E343" s="387">
        <f t="shared" si="125"/>
        <v>4.8768553976365183</v>
      </c>
      <c r="F343" s="387">
        <f t="shared" si="128"/>
        <v>4.8768553976365183</v>
      </c>
      <c r="G343" s="110">
        <f t="shared" si="126"/>
        <v>0.23252602039269354</v>
      </c>
      <c r="H343" s="414" t="b">
        <f>Wh_hp&gt;='2022'!Maxi_hp</f>
        <v>0</v>
      </c>
      <c r="I343" s="392">
        <f>IF(H343,Wh_hp,'2022'!Maxi_hp)</f>
        <v>18.507554622634164</v>
      </c>
      <c r="J343" s="85">
        <f>IF(H343,An,'2022'!An_max)</f>
        <v>2020</v>
      </c>
      <c r="K343" s="199">
        <f t="shared" si="129"/>
        <v>45255</v>
      </c>
      <c r="L343" s="147">
        <f>IF(t&lt;Tvie,1-EXP((T0-t)*PertePVj)+'2022'!Pspv,1-EXP((T0-t)*PertePVj)+Pspv)</f>
        <v>4.4187679759061349E-2</v>
      </c>
      <c r="M343" s="870"/>
      <c r="N343" s="870"/>
      <c r="O343" s="48">
        <f>IF(t&lt;Tnet,'2022'!Resal+('2022'!Salim-'2022'!Resal)*(1-EXP(('2022'!Tnet-t)/('2022'!Tau_j))),Resal+(Salim-Resal)*(1-EXP((Tnet-t)/(Tau_j))))*Salcycl</f>
        <v>7.5015478339066979E-2</v>
      </c>
      <c r="P343" s="171">
        <f>(INDEX(Models!$BJ343:$BT343,,T343)*(1-R343)+INDEX(Models!$BJ343:$BT343,,T343+1)*R343-ERP_i)*Q343*Ramure*Pc/MaxiM</f>
        <v>0.13615319094340578</v>
      </c>
      <c r="Q343" s="307">
        <f t="shared" si="130"/>
        <v>1</v>
      </c>
      <c r="R343" s="179">
        <f t="shared" si="131"/>
        <v>0.39930422623860928</v>
      </c>
      <c r="S343" s="837">
        <f t="shared" si="132"/>
        <v>1</v>
      </c>
      <c r="T343" s="178">
        <f t="shared" si="133"/>
        <v>7</v>
      </c>
      <c r="U343" s="253">
        <f t="shared" si="134"/>
        <v>1.3993042262386093</v>
      </c>
      <c r="V343" s="385">
        <f t="shared" si="135"/>
        <v>16.018142127599841</v>
      </c>
      <c r="W343" s="404">
        <f t="shared" si="136"/>
        <v>4.311684437525459</v>
      </c>
      <c r="X343" s="157">
        <f t="shared" si="137"/>
        <v>45255</v>
      </c>
      <c r="Y343" s="387">
        <f t="shared" si="138"/>
        <v>4.1941894494679941</v>
      </c>
      <c r="Z343" s="387">
        <f t="shared" si="139"/>
        <v>4.38808891729993</v>
      </c>
      <c r="AA343" s="388">
        <f t="shared" si="140"/>
        <v>4.8768553976365183</v>
      </c>
      <c r="AB343" s="199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0.10022164704195653</v>
      </c>
      <c r="AD343" s="233">
        <f>(INDEX(Models!$BJ343:$BT343,,AH343)*(1-AF343)+INDEX(Models!$BJ343:$BT343,,AH343+1)*AF343-ERP_i)*AE343*Ramure*Pc/MaxiM</f>
        <v>0.13615319094340578</v>
      </c>
      <c r="AE343" s="307">
        <f t="shared" si="142"/>
        <v>1</v>
      </c>
      <c r="AF343" s="179">
        <f t="shared" si="143"/>
        <v>0.39930422623860928</v>
      </c>
      <c r="AG343" s="837">
        <f t="shared" si="149"/>
        <v>1</v>
      </c>
      <c r="AH343" s="178">
        <f t="shared" si="144"/>
        <v>7</v>
      </c>
      <c r="AI343" s="227">
        <f t="shared" si="145"/>
        <v>1.3993042262386093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45256</v>
      </c>
      <c r="B344" s="1139">
        <f>IF(t&gt;Tmaj,'2022'!Wh/'2022'!Env_an*'2023'!Env_an,0.001*'[13]mon-tableau (3)'!$B$227)</f>
        <v>9.2363924387457157</v>
      </c>
      <c r="C344" s="866"/>
      <c r="D344" s="395">
        <f t="shared" si="127"/>
        <v>9.663620349406159</v>
      </c>
      <c r="E344" s="387">
        <f t="shared" si="125"/>
        <v>10.448745315053875</v>
      </c>
      <c r="F344" s="387">
        <f t="shared" si="128"/>
        <v>11.070569125849797</v>
      </c>
      <c r="G344" s="110">
        <f t="shared" si="126"/>
        <v>0.53266400713598938</v>
      </c>
      <c r="H344" s="414" t="b">
        <f>Wh_hp&gt;='2022'!Maxi_hp</f>
        <v>0</v>
      </c>
      <c r="I344" s="392">
        <f>IF(H344,Wh_hp,'2022'!Maxi_hp)</f>
        <v>20.367586395989942</v>
      </c>
      <c r="J344" s="85">
        <f>IF(H344,An,'2022'!An_max)</f>
        <v>2020</v>
      </c>
      <c r="K344" s="199">
        <f t="shared" si="129"/>
        <v>45256</v>
      </c>
      <c r="L344" s="147">
        <f>IF(t&lt;Tvie,1-EXP((T0-t)*PertePVj)+'2022'!Pspv,1-EXP((T0-t)*PertePVj)+Pspv)</f>
        <v>4.4209922908105326E-2</v>
      </c>
      <c r="M344" s="870"/>
      <c r="N344" s="870"/>
      <c r="O344" s="48">
        <f>IF(t&lt;Tnet,'2022'!Resal+('2022'!Salim-'2022'!Resal)*(1-EXP(('2022'!Tnet-t)/('2022'!Tau_j))),Resal+(Salim-Resal)*(1-EXP((Tnet-t)/(Tau_j))))*Salcycl</f>
        <v>7.5140597456860123E-2</v>
      </c>
      <c r="P344" s="171">
        <f>(INDEX(Models!$BJ344:$BT344,,T344)*(1-R344)+INDEX(Models!$BJ344:$BT344,,T344+1)*R344-ERP_i)*Q344*Ramure*Pc/MaxiM</f>
        <v>0.13861668968801596</v>
      </c>
      <c r="Q344" s="307">
        <f t="shared" si="130"/>
        <v>1</v>
      </c>
      <c r="R344" s="179">
        <f t="shared" si="131"/>
        <v>0.39933250631336703</v>
      </c>
      <c r="S344" s="837">
        <f t="shared" si="132"/>
        <v>1</v>
      </c>
      <c r="T344" s="178">
        <f t="shared" si="133"/>
        <v>7</v>
      </c>
      <c r="U344" s="253">
        <f t="shared" si="134"/>
        <v>1.399332506313367</v>
      </c>
      <c r="V344" s="385">
        <f t="shared" si="135"/>
        <v>15.825275619218342</v>
      </c>
      <c r="W344" s="404">
        <f t="shared" si="136"/>
        <v>9.2363924387457157</v>
      </c>
      <c r="X344" s="157">
        <f t="shared" si="137"/>
        <v>45256</v>
      </c>
      <c r="Y344" s="387">
        <f t="shared" si="138"/>
        <v>8.9853706491037197</v>
      </c>
      <c r="Z344" s="387">
        <f t="shared" si="139"/>
        <v>9.4009875855195961</v>
      </c>
      <c r="AA344" s="388">
        <f t="shared" si="140"/>
        <v>10.448745315053875</v>
      </c>
      <c r="AB344" s="199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0.10027593724815327</v>
      </c>
      <c r="AD344" s="233">
        <f>(INDEX(Models!$BJ344:$BT344,,AH344)*(1-AF344)+INDEX(Models!$BJ344:$BT344,,AH344+1)*AF344-ERP_i)*AE344*Ramure*Pc/MaxiM</f>
        <v>0.13861668968801596</v>
      </c>
      <c r="AE344" s="307">
        <f t="shared" si="142"/>
        <v>1</v>
      </c>
      <c r="AF344" s="179">
        <f t="shared" si="143"/>
        <v>0.39933250631336703</v>
      </c>
      <c r="AG344" s="837">
        <f t="shared" si="149"/>
        <v>1</v>
      </c>
      <c r="AH344" s="178">
        <f t="shared" si="144"/>
        <v>7</v>
      </c>
      <c r="AI344" s="227">
        <f t="shared" si="145"/>
        <v>1.399332506313367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45257</v>
      </c>
      <c r="B345" s="1139">
        <f>IF(t&gt;Tmaj,'2022'!Wh/'2022'!Env_an*'2023'!Env_an,0.001*'[13]mon-tableau (3)'!$B$228)</f>
        <v>10.936477203902616</v>
      </c>
      <c r="C345" s="866"/>
      <c r="D345" s="395">
        <f t="shared" si="127"/>
        <v>11.442608559929322</v>
      </c>
      <c r="E345" s="387">
        <f t="shared" si="125"/>
        <v>12.373968693839304</v>
      </c>
      <c r="F345" s="387">
        <f t="shared" si="128"/>
        <v>13.458510946245694</v>
      </c>
      <c r="G345" s="110">
        <f t="shared" si="126"/>
        <v>0.65347696659341836</v>
      </c>
      <c r="H345" s="414" t="b">
        <f>Wh_hp&gt;='2022'!Maxi_hp</f>
        <v>0</v>
      </c>
      <c r="I345" s="392">
        <f>IF(H345,Wh_hp,'2022'!Maxi_hp)</f>
        <v>18.723509974078482</v>
      </c>
      <c r="J345" s="85">
        <f>IF(H345,An,'2022'!An_max)</f>
        <v>2018</v>
      </c>
      <c r="K345" s="199">
        <f t="shared" si="129"/>
        <v>45257</v>
      </c>
      <c r="L345" s="147">
        <f>IF(t&lt;Tvie,1-EXP((T0-t)*PertePVj)+'2022'!Pspv,1-EXP((T0-t)*PertePVj)+Pspv)</f>
        <v>4.4232165539518697E-2</v>
      </c>
      <c r="M345" s="870"/>
      <c r="N345" s="870"/>
      <c r="O345" s="48">
        <f>IF(t&lt;Tnet,'2022'!Resal+('2022'!Salim-'2022'!Resal)*(1-EXP(('2022'!Tnet-t)/('2022'!Tau_j))),Resal+(Salim-Resal)*(1-EXP((Tnet-t)/(Tau_j))))*Salcycl</f>
        <v>7.5267697612139847E-2</v>
      </c>
      <c r="P345" s="171">
        <f>(INDEX(Models!$BJ345:$BT345,,T345)*(1-R345)+INDEX(Models!$BJ345:$BT345,,T345+1)*R345-ERP_i)*Q345*Ramure*Pc/MaxiM</f>
        <v>0.14117135921955337</v>
      </c>
      <c r="Q345" s="307">
        <f t="shared" si="130"/>
        <v>1</v>
      </c>
      <c r="R345" s="179">
        <f t="shared" si="131"/>
        <v>0.39935964989761175</v>
      </c>
      <c r="S345" s="837">
        <f t="shared" si="132"/>
        <v>1</v>
      </c>
      <c r="T345" s="178">
        <f t="shared" si="133"/>
        <v>7</v>
      </c>
      <c r="U345" s="253">
        <f t="shared" si="134"/>
        <v>1.3993596498976117</v>
      </c>
      <c r="V345" s="385">
        <f t="shared" si="135"/>
        <v>15.632976892054932</v>
      </c>
      <c r="W345" s="404">
        <f t="shared" si="136"/>
        <v>10.936477203902616</v>
      </c>
      <c r="X345" s="157">
        <f t="shared" si="137"/>
        <v>45257</v>
      </c>
      <c r="Y345" s="387">
        <f t="shared" si="138"/>
        <v>10.640035491002887</v>
      </c>
      <c r="Z345" s="387">
        <f t="shared" si="139"/>
        <v>11.132447763330569</v>
      </c>
      <c r="AA345" s="388">
        <f t="shared" si="140"/>
        <v>12.373968693839304</v>
      </c>
      <c r="AB345" s="199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0.10033328523991317</v>
      </c>
      <c r="AD345" s="233">
        <f>(INDEX(Models!$BJ345:$BT345,,AH345)*(1-AF345)+INDEX(Models!$BJ345:$BT345,,AH345+1)*AF345-ERP_i)*AE345*Ramure*Pc/MaxiM</f>
        <v>0.14117135921955337</v>
      </c>
      <c r="AE345" s="307">
        <f t="shared" si="142"/>
        <v>1</v>
      </c>
      <c r="AF345" s="179">
        <f t="shared" si="143"/>
        <v>0.39935964989761175</v>
      </c>
      <c r="AG345" s="837">
        <f t="shared" si="149"/>
        <v>1</v>
      </c>
      <c r="AH345" s="178">
        <f t="shared" si="144"/>
        <v>7</v>
      </c>
      <c r="AI345" s="227">
        <f t="shared" si="145"/>
        <v>1.3993596498976117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45258</v>
      </c>
      <c r="B346" s="1139">
        <f>IF(t&gt;Tmaj,'2022'!Wh/'2022'!Env_an*'2023'!Env_an,0.001*'[13]mon-tableau (3)'!$B$229)</f>
        <v>8.6027942056234092</v>
      </c>
      <c r="C346" s="866"/>
      <c r="D346" s="395">
        <f t="shared" si="127"/>
        <v>9.0011340617334898</v>
      </c>
      <c r="E346" s="387">
        <f t="shared" si="125"/>
        <v>9.7351319652405959</v>
      </c>
      <c r="F346" s="387">
        <f t="shared" si="128"/>
        <v>10.278004559710345</v>
      </c>
      <c r="G346" s="110">
        <f t="shared" si="126"/>
        <v>0.50362415160726204</v>
      </c>
      <c r="H346" s="414" t="b">
        <f>Wh_hp&gt;='2022'!Maxi_hp</f>
        <v>0</v>
      </c>
      <c r="I346" s="392">
        <f>IF(H346,Wh_hp,'2022'!Maxi_hp)</f>
        <v>15.043607934783193</v>
      </c>
      <c r="J346" s="85">
        <f>IF(H346,An,'2022'!An_max)</f>
        <v>2018</v>
      </c>
      <c r="K346" s="199">
        <f t="shared" si="129"/>
        <v>45258</v>
      </c>
      <c r="L346" s="147">
        <f>IF(t&lt;Tvie,1-EXP((T0-t)*PertePVj)+'2022'!Pspv,1-EXP((T0-t)*PertePVj)+Pspv)</f>
        <v>4.4254407653313566E-2</v>
      </c>
      <c r="M346" s="870"/>
      <c r="N346" s="870"/>
      <c r="O346" s="48">
        <f>IF(t&lt;Tnet,'2022'!Resal+('2022'!Salim-'2022'!Resal)*(1-EXP(('2022'!Tnet-t)/('2022'!Tau_j))),Resal+(Salim-Resal)*(1-EXP((Tnet-t)/(Tau_j))))*Salcycl</f>
        <v>7.5396810862744884E-2</v>
      </c>
      <c r="P346" s="171">
        <f>(INDEX(Models!$BJ346:$BT346,,T346)*(1-R346)+INDEX(Models!$BJ346:$BT346,,T346+1)*R346-ERP_i)*Q346*Ramure*Pc/MaxiM</f>
        <v>0.14378994422768362</v>
      </c>
      <c r="Q346" s="307">
        <f t="shared" si="130"/>
        <v>1</v>
      </c>
      <c r="R346" s="179">
        <f t="shared" si="131"/>
        <v>0.39938570258054051</v>
      </c>
      <c r="S346" s="837">
        <f t="shared" si="132"/>
        <v>1</v>
      </c>
      <c r="T346" s="178">
        <f t="shared" si="133"/>
        <v>7</v>
      </c>
      <c r="U346" s="253">
        <f t="shared" si="134"/>
        <v>1.3993857025805405</v>
      </c>
      <c r="V346" s="385">
        <f t="shared" si="135"/>
        <v>15.441172413037583</v>
      </c>
      <c r="W346" s="404">
        <f t="shared" si="136"/>
        <v>8.6027942056234092</v>
      </c>
      <c r="X346" s="157">
        <f t="shared" si="137"/>
        <v>45258</v>
      </c>
      <c r="Y346" s="387">
        <f t="shared" si="138"/>
        <v>8.3702152204862568</v>
      </c>
      <c r="Z346" s="387">
        <f t="shared" si="139"/>
        <v>8.7577858454303517</v>
      </c>
      <c r="AA346" s="388">
        <f t="shared" si="140"/>
        <v>9.7351319652405959</v>
      </c>
      <c r="AB346" s="199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0.10039372073227883</v>
      </c>
      <c r="AD346" s="233">
        <f>(INDEX(Models!$BJ346:$BT346,,AH346)*(1-AF346)+INDEX(Models!$BJ346:$BT346,,AH346+1)*AF346-ERP_i)*AE346*Ramure*Pc/MaxiM</f>
        <v>0.14378994422768362</v>
      </c>
      <c r="AE346" s="307">
        <f t="shared" si="142"/>
        <v>1</v>
      </c>
      <c r="AF346" s="179">
        <f t="shared" si="143"/>
        <v>0.39938570258054051</v>
      </c>
      <c r="AG346" s="837">
        <f t="shared" si="149"/>
        <v>1</v>
      </c>
      <c r="AH346" s="178">
        <f t="shared" si="144"/>
        <v>7</v>
      </c>
      <c r="AI346" s="227">
        <f t="shared" si="145"/>
        <v>1.3993857025805405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45259</v>
      </c>
      <c r="B347" s="1139">
        <f>IF(t&gt;Tmaj,'2022'!Wh/'2022'!Env_an*'2023'!Env_an,0.001*'[13]mon-tableau (3)'!$B$230)</f>
        <v>9.71472634106083</v>
      </c>
      <c r="C347" s="866"/>
      <c r="D347" s="395">
        <f t="shared" si="127"/>
        <v>10.16478914471659</v>
      </c>
      <c r="E347" s="387">
        <f t="shared" si="125"/>
        <v>10.99523696091229</v>
      </c>
      <c r="F347" s="387">
        <f t="shared" si="128"/>
        <v>11.829204623602321</v>
      </c>
      <c r="G347" s="110">
        <f t="shared" si="126"/>
        <v>0.58493900227258089</v>
      </c>
      <c r="H347" s="414" t="b">
        <f>Wh_hp&gt;='2022'!Maxi_hp</f>
        <v>0</v>
      </c>
      <c r="I347" s="392">
        <f>IF(H347,Wh_hp,'2022'!Maxi_hp)</f>
        <v>19.948122922418964</v>
      </c>
      <c r="J347" s="85">
        <f>IF(H347,An,'2022'!An_max)</f>
        <v>2018</v>
      </c>
      <c r="K347" s="199">
        <f t="shared" si="129"/>
        <v>45259</v>
      </c>
      <c r="L347" s="147">
        <f>IF(t&lt;Tvie,1-EXP((T0-t)*PertePVj)+'2022'!Pspv,1-EXP((T0-t)*PertePVj)+Pspv)</f>
        <v>4.4276649249501809E-2</v>
      </c>
      <c r="M347" s="870"/>
      <c r="N347" s="870"/>
      <c r="O347" s="48">
        <f>IF(t&lt;Tnet,'2022'!Resal+('2022'!Salim-'2022'!Resal)*(1-EXP(('2022'!Tnet-t)/('2022'!Tau_j))),Resal+(Salim-Resal)*(1-EXP((Tnet-t)/(Tau_j))))*Salcycl</f>
        <v>7.5527959892807806E-2</v>
      </c>
      <c r="P347" s="171">
        <f>(INDEX(Models!$BJ347:$BT347,,T347)*(1-R347)+INDEX(Models!$BJ347:$BT347,,T347+1)*R347-ERP_i)*Q347*Ramure*Pc/MaxiM</f>
        <v>0.14644720088968888</v>
      </c>
      <c r="Q347" s="307">
        <f t="shared" si="130"/>
        <v>1</v>
      </c>
      <c r="R347" s="179">
        <f t="shared" si="131"/>
        <v>0.39941070812912116</v>
      </c>
      <c r="S347" s="837">
        <f t="shared" si="132"/>
        <v>1</v>
      </c>
      <c r="T347" s="178">
        <f t="shared" si="133"/>
        <v>7</v>
      </c>
      <c r="U347" s="253">
        <f t="shared" si="134"/>
        <v>1.3994107081291212</v>
      </c>
      <c r="V347" s="385">
        <f t="shared" si="135"/>
        <v>15.251105773511703</v>
      </c>
      <c r="W347" s="404">
        <f t="shared" si="136"/>
        <v>9.71472634106083</v>
      </c>
      <c r="X347" s="157">
        <f t="shared" si="137"/>
        <v>45259</v>
      </c>
      <c r="Y347" s="387">
        <f t="shared" si="138"/>
        <v>9.4527591562604307</v>
      </c>
      <c r="Z347" s="387">
        <f t="shared" si="139"/>
        <v>9.8906855721768121</v>
      </c>
      <c r="AA347" s="388">
        <f t="shared" si="140"/>
        <v>10.99523696091229</v>
      </c>
      <c r="AB347" s="199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0.10045726096328098</v>
      </c>
      <c r="AD347" s="233">
        <f>(INDEX(Models!$BJ347:$BT347,,AH347)*(1-AF347)+INDEX(Models!$BJ347:$BT347,,AH347+1)*AF347-ERP_i)*AE347*Ramure*Pc/MaxiM</f>
        <v>0.14644720088968888</v>
      </c>
      <c r="AE347" s="307">
        <f t="shared" si="142"/>
        <v>1</v>
      </c>
      <c r="AF347" s="179">
        <f t="shared" si="143"/>
        <v>0.39941070812912116</v>
      </c>
      <c r="AG347" s="837">
        <f t="shared" si="149"/>
        <v>1</v>
      </c>
      <c r="AH347" s="178">
        <f t="shared" si="144"/>
        <v>7</v>
      </c>
      <c r="AI347" s="227">
        <f t="shared" si="145"/>
        <v>1.3994107081291212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45260</v>
      </c>
      <c r="B348" s="1139">
        <f>IF(t&gt;Tmaj,'2022'!Wh/'2022'!Env_an*'2023'!Env_an,0.001*'[13]mon-tableau (3)'!$B$231)</f>
        <v>3.9362344178083943</v>
      </c>
      <c r="C348" s="866"/>
      <c r="D348" s="395">
        <f t="shared" si="127"/>
        <v>4.118687713106997</v>
      </c>
      <c r="E348" s="387">
        <f t="shared" si="125"/>
        <v>4.4558202321663325</v>
      </c>
      <c r="F348" s="387">
        <f t="shared" si="128"/>
        <v>4.4558202321663325</v>
      </c>
      <c r="G348" s="110">
        <f t="shared" si="126"/>
        <v>0.22233622707605827</v>
      </c>
      <c r="H348" s="414" t="b">
        <f>Wh_hp&gt;='2022'!Maxi_hp</f>
        <v>0</v>
      </c>
      <c r="I348" s="392">
        <f>IF(H348,Wh_hp,'2022'!Maxi_hp)</f>
        <v>19.841900082377851</v>
      </c>
      <c r="J348" s="85">
        <f>IF(H348,An,'2022'!An_max)</f>
        <v>2021</v>
      </c>
      <c r="K348" s="199">
        <f t="shared" si="129"/>
        <v>45260</v>
      </c>
      <c r="L348" s="147">
        <f>IF(t&lt;Tvie,1-EXP((T0-t)*PertePVj)+'2022'!Pspv,1-EXP((T0-t)*PertePVj)+Pspv)</f>
        <v>4.4298890328095752E-2</v>
      </c>
      <c r="M348" s="870"/>
      <c r="N348" s="870"/>
      <c r="O348" s="48">
        <f>IF(t&lt;Tnet,'2022'!Resal+('2022'!Salim-'2022'!Resal)*(1-EXP(('2022'!Tnet-t)/('2022'!Tau_j))),Resal+(Salim-Resal)*(1-EXP((Tnet-t)/(Tau_j))))*Salcycl</f>
        <v>7.5661158101844789E-2</v>
      </c>
      <c r="P348" s="171">
        <f>(INDEX(Models!$BJ348:$BT348,,T348)*(1-R348)+INDEX(Models!$BJ348:$BT348,,T348+1)*R348-ERP_i)*Q348*Ramure*Pc/MaxiM</f>
        <v>0.14913605447551889</v>
      </c>
      <c r="Q348" s="307">
        <f t="shared" si="130"/>
        <v>1</v>
      </c>
      <c r="R348" s="179">
        <f t="shared" si="131"/>
        <v>0.39943470856041396</v>
      </c>
      <c r="S348" s="837">
        <f t="shared" si="132"/>
        <v>1</v>
      </c>
      <c r="T348" s="178">
        <f t="shared" si="133"/>
        <v>7</v>
      </c>
      <c r="U348" s="253">
        <f t="shared" si="134"/>
        <v>1.399434708560414</v>
      </c>
      <c r="V348" s="385">
        <f t="shared" si="135"/>
        <v>15.063671769963031</v>
      </c>
      <c r="W348" s="404">
        <f t="shared" si="136"/>
        <v>3.9362344178083943</v>
      </c>
      <c r="X348" s="157">
        <f t="shared" si="137"/>
        <v>45260</v>
      </c>
      <c r="Y348" s="387">
        <f t="shared" si="138"/>
        <v>3.8303580673027628</v>
      </c>
      <c r="Z348" s="387">
        <f t="shared" si="139"/>
        <v>4.0079037562462796</v>
      </c>
      <c r="AA348" s="388">
        <f t="shared" si="140"/>
        <v>4.4558202321663325</v>
      </c>
      <c r="AB348" s="199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0.10052391088100165</v>
      </c>
      <c r="AD348" s="233">
        <f>(INDEX(Models!$BJ348:$BT348,,AH348)*(1-AF348)+INDEX(Models!$BJ348:$BT348,,AH348+1)*AF348-ERP_i)*AE348*Ramure*Pc/MaxiM</f>
        <v>0.14913605447551889</v>
      </c>
      <c r="AE348" s="307">
        <f t="shared" si="142"/>
        <v>1</v>
      </c>
      <c r="AF348" s="179">
        <f t="shared" si="143"/>
        <v>0.39943470856041396</v>
      </c>
      <c r="AG348" s="837">
        <f t="shared" si="149"/>
        <v>1</v>
      </c>
      <c r="AH348" s="178">
        <f t="shared" si="144"/>
        <v>7</v>
      </c>
      <c r="AI348" s="227">
        <f t="shared" si="145"/>
        <v>1.399434708560414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45261</v>
      </c>
      <c r="B349" s="1139">
        <f>IF(t&gt;Tmaj,'2022'!Wh/'2022'!Env_an*'2023'!Env_an,0.001*'[14]mon-tableau (2)'!$B$208)</f>
        <v>3.3988887944491144</v>
      </c>
      <c r="C349" s="866"/>
      <c r="D349" s="395">
        <f t="shared" si="127"/>
        <v>3.5565176800563143</v>
      </c>
      <c r="E349" s="387">
        <f t="shared" si="125"/>
        <v>3.8481972128016073</v>
      </c>
      <c r="F349" s="387">
        <f t="shared" si="128"/>
        <v>3.8481972128016073</v>
      </c>
      <c r="G349" s="110">
        <f t="shared" si="126"/>
        <v>0.19373776179356153</v>
      </c>
      <c r="H349" s="414" t="b">
        <f>Wh_hp&gt;='2022'!Maxi_hp</f>
        <v>0</v>
      </c>
      <c r="I349" s="392">
        <f>IF(H349,Wh_hp,'2022'!Maxi_hp)</f>
        <v>18.774902602934571</v>
      </c>
      <c r="J349" s="85">
        <f>IF(H349,An,'2022'!An_max)</f>
        <v>2020</v>
      </c>
      <c r="K349" s="199">
        <f t="shared" si="129"/>
        <v>45261</v>
      </c>
      <c r="L349" s="147">
        <f>IF(t&lt;Tvie,1-EXP((T0-t)*PertePVj)+'2022'!Pspv,1-EXP((T0-t)*PertePVj)+Pspv)</f>
        <v>4.4321130889107274E-2</v>
      </c>
      <c r="M349" s="870"/>
      <c r="N349" s="870"/>
      <c r="O349" s="48">
        <f>IF(t&lt;Tnet,'2022'!Resal+('2022'!Salim-'2022'!Resal)*(1-EXP(('2022'!Tnet-t)/('2022'!Tau_j))),Resal+(Salim-Resal)*(1-EXP((Tnet-t)/(Tau_j))))*Salcycl</f>
        <v>7.5796409751292704E-2</v>
      </c>
      <c r="P349" s="171">
        <f>(INDEX(Models!$BJ349:$BT349,,T349)*(1-R349)+INDEX(Models!$BJ349:$BT349,,T349+1)*R349-ERP_i)*Q349*Ramure*Pc/MaxiM</f>
        <v>0.15184860340808012</v>
      </c>
      <c r="Q349" s="307">
        <f t="shared" si="130"/>
        <v>1</v>
      </c>
      <c r="R349" s="179">
        <f t="shared" si="131"/>
        <v>0.39945774421105984</v>
      </c>
      <c r="S349" s="837">
        <f t="shared" si="132"/>
        <v>1</v>
      </c>
      <c r="T349" s="178">
        <f t="shared" si="133"/>
        <v>7</v>
      </c>
      <c r="U349" s="253">
        <f t="shared" si="134"/>
        <v>1.3994577442110598</v>
      </c>
      <c r="V349" s="385">
        <f t="shared" si="135"/>
        <v>14.879764539369454</v>
      </c>
      <c r="W349" s="404">
        <f t="shared" si="136"/>
        <v>3.3988887944491144</v>
      </c>
      <c r="X349" s="157">
        <f t="shared" si="137"/>
        <v>45261</v>
      </c>
      <c r="Y349" s="387">
        <f t="shared" si="138"/>
        <v>3.3076934036663119</v>
      </c>
      <c r="Z349" s="387">
        <f t="shared" si="139"/>
        <v>3.4610929576622267</v>
      </c>
      <c r="AA349" s="388">
        <f t="shared" si="140"/>
        <v>3.8481972128016073</v>
      </c>
      <c r="AB349" s="199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0.10059366340467689</v>
      </c>
      <c r="AD349" s="233">
        <f>(INDEX(Models!$BJ349:$BT349,,AH349)*(1-AF349)+INDEX(Models!$BJ349:$BT349,,AH349+1)*AF349-ERP_i)*AE349*Ramure*Pc/MaxiM</f>
        <v>0.15184860340808012</v>
      </c>
      <c r="AE349" s="307">
        <f t="shared" si="142"/>
        <v>1</v>
      </c>
      <c r="AF349" s="179">
        <f t="shared" si="143"/>
        <v>0.39945774421105984</v>
      </c>
      <c r="AG349" s="837">
        <f t="shared" si="149"/>
        <v>1</v>
      </c>
      <c r="AH349" s="178">
        <f t="shared" si="144"/>
        <v>7</v>
      </c>
      <c r="AI349" s="227">
        <f t="shared" si="145"/>
        <v>1.3994577442110598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45262</v>
      </c>
      <c r="B350" s="1139">
        <f>IF(t&gt;Tmaj,'2022'!Wh/'2022'!Env_an*'2023'!Env_an,0.001*'[14]mon-tableau (2)'!$B$209)</f>
        <v>4.6810500835584667</v>
      </c>
      <c r="C350" s="866"/>
      <c r="D350" s="395">
        <f t="shared" si="127"/>
        <v>4.8982552322441659</v>
      </c>
      <c r="E350" s="387">
        <f t="shared" si="125"/>
        <v>5.3007617376984868</v>
      </c>
      <c r="F350" s="387">
        <f t="shared" si="128"/>
        <v>5.3224260286276008</v>
      </c>
      <c r="G350" s="110">
        <f t="shared" si="126"/>
        <v>0.27031094776230929</v>
      </c>
      <c r="H350" s="414" t="b">
        <f>Wh_hp&gt;='2022'!Maxi_hp</f>
        <v>0</v>
      </c>
      <c r="I350" s="392">
        <f>IF(H350,Wh_hp,'2022'!Maxi_hp)</f>
        <v>8.2901078959824659</v>
      </c>
      <c r="J350" s="85">
        <f>IF(H350,An,'2022'!An_max)</f>
        <v>2021</v>
      </c>
      <c r="K350" s="199">
        <f t="shared" si="129"/>
        <v>45262</v>
      </c>
      <c r="L350" s="147">
        <f>IF(t&lt;Tvie,1-EXP((T0-t)*PertePVj)+'2022'!Pspv,1-EXP((T0-t)*PertePVj)+Pspv)</f>
        <v>4.4343370932548476E-2</v>
      </c>
      <c r="M350" s="870"/>
      <c r="N350" s="870"/>
      <c r="O350" s="48">
        <f>IF(t&lt;Tnet,'2022'!Resal+('2022'!Salim-'2022'!Resal)*(1-EXP(('2022'!Tnet-t)/('2022'!Tau_j))),Resal+(Salim-Resal)*(1-EXP((Tnet-t)/(Tau_j))))*Salcycl</f>
        <v>7.5933710166924767E-2</v>
      </c>
      <c r="P350" s="171">
        <f>(INDEX(Models!$BJ350:$BT350,,T350)*(1-R350)+INDEX(Models!$BJ350:$BT350,,T350+1)*R350-ERP_i)*Q350*Ramure*Pc/MaxiM</f>
        <v>0.1545760814040161</v>
      </c>
      <c r="Q350" s="307">
        <f t="shared" si="130"/>
        <v>1</v>
      </c>
      <c r="R350" s="179">
        <f t="shared" si="131"/>
        <v>0.39947985380405049</v>
      </c>
      <c r="S350" s="837">
        <f t="shared" si="132"/>
        <v>1</v>
      </c>
      <c r="T350" s="178">
        <f t="shared" si="133"/>
        <v>7</v>
      </c>
      <c r="U350" s="253">
        <f t="shared" si="134"/>
        <v>1.3994798538040505</v>
      </c>
      <c r="V350" s="385">
        <f t="shared" si="135"/>
        <v>14.700277523175489</v>
      </c>
      <c r="W350" s="404">
        <f t="shared" si="136"/>
        <v>4.6810500835584667</v>
      </c>
      <c r="X350" s="157">
        <f t="shared" si="137"/>
        <v>45262</v>
      </c>
      <c r="Y350" s="387">
        <f t="shared" si="138"/>
        <v>4.5557609911501107</v>
      </c>
      <c r="Z350" s="387">
        <f t="shared" si="139"/>
        <v>4.7671526075173167</v>
      </c>
      <c r="AA350" s="388">
        <f t="shared" si="140"/>
        <v>5.3007617376984868</v>
      </c>
      <c r="AB350" s="199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0.10066649975723203</v>
      </c>
      <c r="AD350" s="233">
        <f>(INDEX(Models!$BJ350:$BT350,,AH350)*(1-AF350)+INDEX(Models!$BJ350:$BT350,,AH350+1)*AF350-ERP_i)*AE350*Ramure*Pc/MaxiM</f>
        <v>0.1545760814040161</v>
      </c>
      <c r="AE350" s="307">
        <f t="shared" si="142"/>
        <v>1</v>
      </c>
      <c r="AF350" s="179">
        <f t="shared" si="143"/>
        <v>0.39947985380405049</v>
      </c>
      <c r="AG350" s="837">
        <f t="shared" si="149"/>
        <v>1</v>
      </c>
      <c r="AH350" s="178">
        <f t="shared" si="144"/>
        <v>7</v>
      </c>
      <c r="AI350" s="227">
        <f t="shared" si="145"/>
        <v>1.3994798538040505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45263</v>
      </c>
      <c r="B351" s="1139">
        <f>IF(t&gt;Tmaj,'2022'!Wh/'2022'!Env_an*'2023'!Env_an,0.001*'[14]mon-tableau (2)'!$B$210)</f>
        <v>7.3356743291809048</v>
      </c>
      <c r="C351" s="866"/>
      <c r="D351" s="395">
        <f t="shared" si="127"/>
        <v>7.6762351893802521</v>
      </c>
      <c r="E351" s="387">
        <f t="shared" si="125"/>
        <v>8.3082706442394816</v>
      </c>
      <c r="F351" s="387">
        <f t="shared" si="128"/>
        <v>8.7095080282006734</v>
      </c>
      <c r="G351" s="110">
        <f t="shared" si="126"/>
        <v>0.44611039442933154</v>
      </c>
      <c r="H351" s="414" t="b">
        <f>Wh_hp&gt;='2022'!Maxi_hp</f>
        <v>0</v>
      </c>
      <c r="I351" s="392">
        <f>IF(H351,Wh_hp,'2022'!Maxi_hp)</f>
        <v>13.468073041251417</v>
      </c>
      <c r="J351" s="85">
        <f>IF(H351,An,'2022'!An_max)</f>
        <v>2021</v>
      </c>
      <c r="K351" s="199">
        <f t="shared" si="129"/>
        <v>45263</v>
      </c>
      <c r="L351" s="147">
        <f>IF(t&lt;Tvie,1-EXP((T0-t)*PertePVj)+'2022'!Pspv,1-EXP((T0-t)*PertePVj)+Pspv)</f>
        <v>4.4365610458431348E-2</v>
      </c>
      <c r="M351" s="870"/>
      <c r="N351" s="870"/>
      <c r="O351" s="48">
        <f>IF(t&lt;Tnet,'2022'!Resal+('2022'!Salim-'2022'!Resal)*(1-EXP(('2022'!Tnet-t)/('2022'!Tau_j))),Resal+(Salim-Resal)*(1-EXP((Tnet-t)/(Tau_j))))*Salcycl</f>
        <v>7.6073045995131386E-2</v>
      </c>
      <c r="P351" s="171">
        <f>(INDEX(Models!$BJ351:$BT351,,T351)*(1-R351)+INDEX(Models!$BJ351:$BT351,,T351+1)*R351-ERP_i)*Q351*Ramure*Pc/MaxiM</f>
        <v>0.15730882892586459</v>
      </c>
      <c r="Q351" s="307">
        <f t="shared" si="130"/>
        <v>1</v>
      </c>
      <c r="R351" s="179">
        <f t="shared" si="131"/>
        <v>0.39950107451287797</v>
      </c>
      <c r="S351" s="837">
        <f t="shared" si="132"/>
        <v>1</v>
      </c>
      <c r="T351" s="178">
        <f t="shared" si="133"/>
        <v>7</v>
      </c>
      <c r="U351" s="253">
        <f t="shared" si="134"/>
        <v>1.399501074512878</v>
      </c>
      <c r="V351" s="385">
        <f t="shared" si="135"/>
        <v>14.52610343124463</v>
      </c>
      <c r="W351" s="404">
        <f t="shared" si="136"/>
        <v>7.3356743291809048</v>
      </c>
      <c r="X351" s="157">
        <f t="shared" si="137"/>
        <v>45263</v>
      </c>
      <c r="Y351" s="387">
        <f t="shared" si="138"/>
        <v>7.1398079008150184</v>
      </c>
      <c r="Z351" s="387">
        <f t="shared" si="139"/>
        <v>7.4712756038845418</v>
      </c>
      <c r="AA351" s="388">
        <f t="shared" si="140"/>
        <v>8.3082706442394816</v>
      </c>
      <c r="AB351" s="199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0.10074238986608693</v>
      </c>
      <c r="AD351" s="233">
        <f>(INDEX(Models!$BJ351:$BT351,,AH351)*(1-AF351)+INDEX(Models!$BJ351:$BT351,,AH351+1)*AF351-ERP_i)*AE351*Ramure*Pc/MaxiM</f>
        <v>0.15730882892586459</v>
      </c>
      <c r="AE351" s="307">
        <f t="shared" si="142"/>
        <v>1</v>
      </c>
      <c r="AF351" s="179">
        <f t="shared" si="143"/>
        <v>0.39950107451287797</v>
      </c>
      <c r="AG351" s="837">
        <f t="shared" si="149"/>
        <v>1</v>
      </c>
      <c r="AH351" s="178">
        <f t="shared" si="144"/>
        <v>7</v>
      </c>
      <c r="AI351" s="227">
        <f t="shared" si="145"/>
        <v>1.399501074512878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45264</v>
      </c>
      <c r="B352" s="1139">
        <f>IF(t&gt;Tmaj,'2022'!Wh/'2022'!Env_an*'2023'!Env_an,0.001*'[14]mon-tableau (2)'!$B$211)</f>
        <v>12.427475911135097</v>
      </c>
      <c r="C352" s="866"/>
      <c r="D352" s="395">
        <f t="shared" si="127"/>
        <v>13.00472781159235</v>
      </c>
      <c r="E352" s="387">
        <f t="shared" si="125"/>
        <v>14.077647181762229</v>
      </c>
      <c r="F352" s="387">
        <f t="shared" si="128"/>
        <v>16.166868178110114</v>
      </c>
      <c r="G352" s="110">
        <f t="shared" si="126"/>
        <v>0.83491309424616578</v>
      </c>
      <c r="H352" s="414" t="b">
        <f>Wh_hp&gt;='2022'!Maxi_hp</f>
        <v>0</v>
      </c>
      <c r="I352" s="392">
        <f>IF(H352,Wh_hp,'2022'!Maxi_hp)</f>
        <v>16.33460099180688</v>
      </c>
      <c r="J352" s="85">
        <f>IF(H352,An,'2022'!An_max)</f>
        <v>2022</v>
      </c>
      <c r="K352" s="199">
        <f t="shared" si="129"/>
        <v>45264</v>
      </c>
      <c r="L352" s="147">
        <f>IF(t&lt;Tvie,1-EXP((T0-t)*PertePVj)+'2022'!Pspv,1-EXP((T0-t)*PertePVj)+Pspv)</f>
        <v>4.4387849466767992E-2</v>
      </c>
      <c r="M352" s="870"/>
      <c r="N352" s="870"/>
      <c r="O352" s="48">
        <f>IF(t&lt;Tnet,'2022'!Resal+('2022'!Salim-'2022'!Resal)*(1-EXP(('2022'!Tnet-t)/('2022'!Tau_j))),Resal+(Salim-Resal)*(1-EXP((Tnet-t)/(Tau_j))))*Salcycl</f>
        <v>7.6214395510626254E-2</v>
      </c>
      <c r="P352" s="171">
        <f>(INDEX(Models!$BJ352:$BT352,,T352)*(1-R352)+INDEX(Models!$BJ352:$BT352,,T352+1)*R352-ERP_i)*Q352*Ramure*Pc/MaxiM</f>
        <v>0.15997299385258221</v>
      </c>
      <c r="Q352" s="307">
        <f t="shared" si="130"/>
        <v>1</v>
      </c>
      <c r="R352" s="179">
        <f t="shared" si="131"/>
        <v>0.39952144202316697</v>
      </c>
      <c r="S352" s="837">
        <f t="shared" si="132"/>
        <v>1</v>
      </c>
      <c r="T352" s="178">
        <f t="shared" si="133"/>
        <v>7</v>
      </c>
      <c r="U352" s="253">
        <f t="shared" si="134"/>
        <v>1.399521442023167</v>
      </c>
      <c r="V352" s="385">
        <f t="shared" si="135"/>
        <v>14.359215943096864</v>
      </c>
      <c r="W352" s="404">
        <f t="shared" si="136"/>
        <v>12.427475911135097</v>
      </c>
      <c r="X352" s="157">
        <f t="shared" si="137"/>
        <v>45264</v>
      </c>
      <c r="Y352" s="387">
        <f t="shared" si="138"/>
        <v>12.096444963932599</v>
      </c>
      <c r="Z352" s="387">
        <f t="shared" si="139"/>
        <v>12.658320592912906</v>
      </c>
      <c r="AA352" s="388">
        <f t="shared" si="140"/>
        <v>14.077647181762229</v>
      </c>
      <c r="AB352" s="199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0.10082129282854012</v>
      </c>
      <c r="AD352" s="233">
        <f>(INDEX(Models!$BJ352:$BT352,,AH352)*(1-AF352)+INDEX(Models!$BJ352:$BT352,,AH352+1)*AF352-ERP_i)*AE352*Ramure*Pc/MaxiM</f>
        <v>0.15997299385258221</v>
      </c>
      <c r="AE352" s="307">
        <f t="shared" si="142"/>
        <v>1</v>
      </c>
      <c r="AF352" s="179">
        <f t="shared" si="143"/>
        <v>0.39952144202316697</v>
      </c>
      <c r="AG352" s="837">
        <f t="shared" si="149"/>
        <v>1</v>
      </c>
      <c r="AH352" s="178">
        <f t="shared" si="144"/>
        <v>7</v>
      </c>
      <c r="AI352" s="227">
        <f t="shared" si="145"/>
        <v>1.399521442023167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45265</v>
      </c>
      <c r="B353" s="1139">
        <f>IF(t&gt;Tmaj,'2022'!Wh/'2022'!Env_an*'2023'!Env_an,0.001*'[14]mon-tableau (2)'!$B$212)</f>
        <v>14.547780863129189</v>
      </c>
      <c r="C353" s="866"/>
      <c r="D353" s="395">
        <f t="shared" si="127"/>
        <v>15.223874467275923</v>
      </c>
      <c r="E353" s="387">
        <f t="shared" si="125"/>
        <v>16.482435835622891</v>
      </c>
      <c r="F353" s="387">
        <f t="shared" si="128"/>
        <v>19.680771499615478</v>
      </c>
      <c r="G353" s="110">
        <f t="shared" si="126"/>
        <v>1.0244001947458021</v>
      </c>
      <c r="H353" s="414" t="b">
        <f>Wh_hp&gt;='2022'!Maxi_hp</f>
        <v>1</v>
      </c>
      <c r="I353" s="392">
        <f>IF(H353,Wh_hp,'2022'!Maxi_hp)</f>
        <v>19.680771499615478</v>
      </c>
      <c r="J353" s="85">
        <f>IF(H353,An,'2022'!An_max)</f>
        <v>2023</v>
      </c>
      <c r="K353" s="199">
        <f t="shared" si="129"/>
        <v>45265</v>
      </c>
      <c r="L353" s="147">
        <f>IF(t&lt;Tvie,1-EXP((T0-t)*PertePVj)+'2022'!Pspv,1-EXP((T0-t)*PertePVj)+Pspv)</f>
        <v>4.4410087957570399E-2</v>
      </c>
      <c r="M353" s="870"/>
      <c r="N353" s="870"/>
      <c r="O353" s="48">
        <f>IF(t&lt;Tnet,'2022'!Resal+('2022'!Salim-'2022'!Resal)*(1-EXP(('2022'!Tnet-t)/('2022'!Tau_j))),Resal+(Salim-Resal)*(1-EXP((Tnet-t)/(Tau_j))))*Salcycl</f>
        <v>7.6357728972733768E-2</v>
      </c>
      <c r="P353" s="171">
        <f>(INDEX(Models!$BJ353:$BT353,,T353)*(1-R353)+INDEX(Models!$BJ353:$BT353,,T353+1)*R353-ERP_i)*Q353*Ramure*Pc/MaxiM</f>
        <v>0.16251068531815827</v>
      </c>
      <c r="Q353" s="307">
        <f t="shared" si="130"/>
        <v>1</v>
      </c>
      <c r="R353" s="179">
        <f t="shared" si="131"/>
        <v>0.39954099059188364</v>
      </c>
      <c r="S353" s="837">
        <f t="shared" si="132"/>
        <v>1</v>
      </c>
      <c r="T353" s="178">
        <f t="shared" si="133"/>
        <v>7</v>
      </c>
      <c r="U353" s="253">
        <f t="shared" si="134"/>
        <v>1.3995409905918836</v>
      </c>
      <c r="V353" s="385">
        <f t="shared" si="135"/>
        <v>14.20126717834051</v>
      </c>
      <c r="W353" s="404">
        <f t="shared" si="136"/>
        <v>14.547780863129189</v>
      </c>
      <c r="X353" s="157">
        <f t="shared" si="137"/>
        <v>45265</v>
      </c>
      <c r="Y353" s="387">
        <f t="shared" si="138"/>
        <v>14.161179333837355</v>
      </c>
      <c r="Z353" s="387">
        <f t="shared" si="139"/>
        <v>14.819306017546758</v>
      </c>
      <c r="AA353" s="388">
        <f t="shared" si="140"/>
        <v>16.482435835622891</v>
      </c>
      <c r="AB353" s="199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0.10090315743754766</v>
      </c>
      <c r="AD353" s="233">
        <f>(INDEX(Models!$BJ353:$BT353,,AH353)*(1-AF353)+INDEX(Models!$BJ353:$BT353,,AH353+1)*AF353-ERP_i)*AE353*Ramure*Pc/MaxiM</f>
        <v>0.16251068531815827</v>
      </c>
      <c r="AE353" s="307">
        <f t="shared" si="142"/>
        <v>1</v>
      </c>
      <c r="AF353" s="179">
        <f t="shared" si="143"/>
        <v>0.39954099059188364</v>
      </c>
      <c r="AG353" s="837">
        <f t="shared" si="149"/>
        <v>1</v>
      </c>
      <c r="AH353" s="178">
        <f t="shared" si="144"/>
        <v>7</v>
      </c>
      <c r="AI353" s="227">
        <f t="shared" si="145"/>
        <v>1.3995409905918836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45266</v>
      </c>
      <c r="B354" s="1139">
        <f>IF(t&gt;Tmaj,'2022'!Wh/'2022'!Env_an*'2023'!Env_an,0.001*'[14]mon-tableau (2)'!$B$213)</f>
        <v>10.41995201934448</v>
      </c>
      <c r="C354" s="866"/>
      <c r="D354" s="395">
        <f t="shared" si="127"/>
        <v>10.904462658277874</v>
      </c>
      <c r="E354" s="387">
        <f t="shared" si="125"/>
        <v>11.807794464808511</v>
      </c>
      <c r="F354" s="387">
        <f t="shared" si="128"/>
        <v>13.178366321614668</v>
      </c>
      <c r="G354" s="110">
        <f t="shared" si="126"/>
        <v>0.69106627603988913</v>
      </c>
      <c r="H354" s="414" t="b">
        <f>Wh_hp&gt;='2022'!Maxi_hp</f>
        <v>0</v>
      </c>
      <c r="I354" s="392">
        <f>IF(H354,Wh_hp,'2022'!Maxi_hp)</f>
        <v>16.269133792401302</v>
      </c>
      <c r="J354" s="85">
        <f>IF(H354,An,'2022'!An_max)</f>
        <v>2020</v>
      </c>
      <c r="K354" s="199">
        <f t="shared" si="129"/>
        <v>45266</v>
      </c>
      <c r="L354" s="147">
        <f>IF(t&lt;Tvie,1-EXP((T0-t)*PertePVj)+'2022'!Pspv,1-EXP((T0-t)*PertePVj)+Pspv)</f>
        <v>4.4432325930850669E-2</v>
      </c>
      <c r="M354" s="870"/>
      <c r="N354" s="870"/>
      <c r="O354" s="48">
        <f>IF(t&lt;Tnet,'2022'!Resal+('2022'!Salim-'2022'!Resal)*(1-EXP(('2022'!Tnet-t)/('2022'!Tau_j))),Resal+(Salim-Resal)*(1-EXP((Tnet-t)/(Tau_j))))*Salcycl</f>
        <v>7.6503009027036592E-2</v>
      </c>
      <c r="P354" s="171">
        <f>(INDEX(Models!$BJ354:$BT354,,T354)*(1-R354)+INDEX(Models!$BJ354:$BT354,,T354+1)*R354-ERP_i)*Q354*Ramure*Pc/MaxiM</f>
        <v>0.16490715295833894</v>
      </c>
      <c r="Q354" s="307">
        <f t="shared" si="130"/>
        <v>1</v>
      </c>
      <c r="R354" s="179">
        <f t="shared" si="131"/>
        <v>0.39955975310421565</v>
      </c>
      <c r="S354" s="837">
        <f t="shared" si="132"/>
        <v>1</v>
      </c>
      <c r="T354" s="178">
        <f t="shared" si="133"/>
        <v>7</v>
      </c>
      <c r="U354" s="253">
        <f t="shared" si="134"/>
        <v>1.3995597531042157</v>
      </c>
      <c r="V354" s="385">
        <f t="shared" si="135"/>
        <v>14.053146498567147</v>
      </c>
      <c r="W354" s="404">
        <f t="shared" si="136"/>
        <v>10.41995201934448</v>
      </c>
      <c r="X354" s="157">
        <f t="shared" si="137"/>
        <v>45266</v>
      </c>
      <c r="Y354" s="387">
        <f t="shared" si="138"/>
        <v>10.143685145902458</v>
      </c>
      <c r="Z354" s="387">
        <f t="shared" si="139"/>
        <v>10.615349829392004</v>
      </c>
      <c r="AA354" s="388">
        <f t="shared" si="140"/>
        <v>11.807794464808511</v>
      </c>
      <c r="AB354" s="199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0.10098792276325795</v>
      </c>
      <c r="AD354" s="233">
        <f>(INDEX(Models!$BJ354:$BT354,,AH354)*(1-AF354)+INDEX(Models!$BJ354:$BT354,,AH354+1)*AF354-ERP_i)*AE354*Ramure*Pc/MaxiM</f>
        <v>0.16490715295833894</v>
      </c>
      <c r="AE354" s="307">
        <f t="shared" si="142"/>
        <v>1</v>
      </c>
      <c r="AF354" s="179">
        <f t="shared" si="143"/>
        <v>0.39955975310421565</v>
      </c>
      <c r="AG354" s="837">
        <f t="shared" si="149"/>
        <v>1</v>
      </c>
      <c r="AH354" s="178">
        <f t="shared" si="144"/>
        <v>7</v>
      </c>
      <c r="AI354" s="227">
        <f t="shared" si="145"/>
        <v>1.3995597531042157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45267</v>
      </c>
      <c r="B355" s="1139">
        <f>IF(t&gt;Tmaj,'2022'!Wh/'2022'!Env_an*'2023'!Env_an,0.001*'[14]mon-tableau (2)'!$B$214)</f>
        <v>12.798136339953624</v>
      </c>
      <c r="C355" s="866"/>
      <c r="D355" s="395">
        <f t="shared" si="127"/>
        <v>13.39354032740972</v>
      </c>
      <c r="E355" s="387">
        <f t="shared" si="125"/>
        <v>14.505380516701145</v>
      </c>
      <c r="F355" s="387">
        <f t="shared" si="128"/>
        <v>17.024494532895119</v>
      </c>
      <c r="G355" s="110">
        <f t="shared" si="126"/>
        <v>0.89898773012836763</v>
      </c>
      <c r="H355" s="414" t="b">
        <f>Wh_hp&gt;='2022'!Maxi_hp</f>
        <v>0</v>
      </c>
      <c r="I355" s="392">
        <f>IF(H355,Wh_hp,'2022'!Maxi_hp)</f>
        <v>17.136477996690616</v>
      </c>
      <c r="J355" s="85">
        <f>IF(H355,An,'2022'!An_max)</f>
        <v>2022</v>
      </c>
      <c r="K355" s="199">
        <f t="shared" si="129"/>
        <v>45267</v>
      </c>
      <c r="L355" s="147">
        <f>IF(t&lt;Tvie,1-EXP((T0-t)*PertePVj)+'2022'!Pspv,1-EXP((T0-t)*PertePVj)+Pspv)</f>
        <v>4.4454563386620793E-2</v>
      </c>
      <c r="M355" s="870"/>
      <c r="N355" s="870"/>
      <c r="O355" s="48">
        <f>IF(t&lt;Tnet,'2022'!Resal+('2022'!Salim-'2022'!Resal)*(1-EXP(('2022'!Tnet-t)/('2022'!Tau_j))),Resal+(Salim-Resal)*(1-EXP((Tnet-t)/(Tau_j))))*Salcycl</f>
        <v>7.6650191148813954E-2</v>
      </c>
      <c r="P355" s="171">
        <f>(INDEX(Models!$BJ355:$BT355,,T355)*(1-R355)+INDEX(Models!$BJ355:$BT355,,T355+1)*R355-ERP_i)*Q355*Ramure*Pc/MaxiM</f>
        <v>0.1671470823402913</v>
      </c>
      <c r="Q355" s="307">
        <f t="shared" si="130"/>
        <v>1</v>
      </c>
      <c r="R355" s="179">
        <f t="shared" si="131"/>
        <v>0.39957776112821475</v>
      </c>
      <c r="S355" s="837">
        <f t="shared" si="132"/>
        <v>1</v>
      </c>
      <c r="T355" s="178">
        <f t="shared" si="133"/>
        <v>7</v>
      </c>
      <c r="U355" s="253">
        <f t="shared" si="134"/>
        <v>1.3995777611282147</v>
      </c>
      <c r="V355" s="385">
        <f t="shared" si="135"/>
        <v>13.915742374008753</v>
      </c>
      <c r="W355" s="404">
        <f t="shared" si="136"/>
        <v>12.798136339953624</v>
      </c>
      <c r="X355" s="157">
        <f t="shared" si="137"/>
        <v>45267</v>
      </c>
      <c r="Y355" s="387">
        <f t="shared" si="138"/>
        <v>12.459587861096962</v>
      </c>
      <c r="Z355" s="387">
        <f t="shared" si="139"/>
        <v>13.039241655798104</v>
      </c>
      <c r="AA355" s="388">
        <f t="shared" si="140"/>
        <v>14.505380516701146</v>
      </c>
      <c r="AB355" s="199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0.10107551878525116</v>
      </c>
      <c r="AD355" s="233">
        <f>(INDEX(Models!$BJ355:$BT355,,AH355)*(1-AF355)+INDEX(Models!$BJ355:$BT355,,AH355+1)*AF355-ERP_i)*AE355*Ramure*Pc/MaxiM</f>
        <v>0.1671470823402913</v>
      </c>
      <c r="AE355" s="307">
        <f t="shared" si="142"/>
        <v>1</v>
      </c>
      <c r="AF355" s="179">
        <f t="shared" si="143"/>
        <v>0.39957776112821475</v>
      </c>
      <c r="AG355" s="837">
        <f t="shared" si="149"/>
        <v>1</v>
      </c>
      <c r="AH355" s="178">
        <f t="shared" si="144"/>
        <v>7</v>
      </c>
      <c r="AI355" s="227">
        <f t="shared" si="145"/>
        <v>1.3995777611282147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45268</v>
      </c>
      <c r="B356" s="1139">
        <f>IF(t&gt;Tmaj,'2022'!Wh/'2022'!Env_an*'2023'!Env_an,0.001*'[14]mon-tableau (2)'!$B$215)</f>
        <v>3.814531382676619</v>
      </c>
      <c r="C356" s="866"/>
      <c r="D356" s="395">
        <f t="shared" si="127"/>
        <v>3.9920866222542992</v>
      </c>
      <c r="E356" s="387">
        <f t="shared" si="125"/>
        <v>4.3241803154552043</v>
      </c>
      <c r="F356" s="387">
        <f t="shared" si="128"/>
        <v>4.3241803154552043</v>
      </c>
      <c r="G356" s="110">
        <f t="shared" si="126"/>
        <v>0.22980926188486922</v>
      </c>
      <c r="H356" s="414" t="b">
        <f>Wh_hp&gt;='2022'!Maxi_hp</f>
        <v>0</v>
      </c>
      <c r="I356" s="392">
        <f>IF(H356,Wh_hp,'2022'!Maxi_hp)</f>
        <v>15.197501570723485</v>
      </c>
      <c r="J356" s="85">
        <f>IF(H356,An,'2022'!An_max)</f>
        <v>2019</v>
      </c>
      <c r="K356" s="199">
        <f t="shared" si="129"/>
        <v>45268</v>
      </c>
      <c r="L356" s="147">
        <f>IF(t&lt;Tvie,1-EXP((T0-t)*PertePVj)+'2022'!Pspv,1-EXP((T0-t)*PertePVj)+Pspv)</f>
        <v>4.4476800324892762E-2</v>
      </c>
      <c r="M356" s="870"/>
      <c r="N356" s="870"/>
      <c r="O356" s="48">
        <f>IF(t&lt;Tnet,'2022'!Resal+('2022'!Salim-'2022'!Resal)*(1-EXP(('2022'!Tnet-t)/('2022'!Tau_j))),Resal+(Salim-Resal)*(1-EXP((Tnet-t)/(Tau_j))))*Salcycl</f>
        <v>7.6799224124386556E-2</v>
      </c>
      <c r="P356" s="171">
        <f>(INDEX(Models!$BJ356:$BT356,,T356)*(1-R356)+INDEX(Models!$BJ356:$BT356,,T356+1)*R356-ERP_i)*Q356*Ramure*Pc/MaxiM</f>
        <v>0.16921473086553446</v>
      </c>
      <c r="Q356" s="307">
        <f t="shared" si="130"/>
        <v>1</v>
      </c>
      <c r="R356" s="179">
        <f t="shared" si="131"/>
        <v>0.39959504496728249</v>
      </c>
      <c r="S356" s="837">
        <f t="shared" si="132"/>
        <v>1</v>
      </c>
      <c r="T356" s="178">
        <f t="shared" si="133"/>
        <v>7</v>
      </c>
      <c r="U356" s="253">
        <f t="shared" si="134"/>
        <v>1.3995950449672825</v>
      </c>
      <c r="V356" s="385">
        <f t="shared" si="135"/>
        <v>13.789942386945688</v>
      </c>
      <c r="W356" s="404">
        <f t="shared" si="136"/>
        <v>3.814531382676619</v>
      </c>
      <c r="X356" s="157">
        <f t="shared" si="137"/>
        <v>45268</v>
      </c>
      <c r="Y356" s="387">
        <f t="shared" si="138"/>
        <v>3.7138519566670252</v>
      </c>
      <c r="Z356" s="387">
        <f t="shared" si="139"/>
        <v>3.8867208644748685</v>
      </c>
      <c r="AA356" s="388">
        <f t="shared" si="140"/>
        <v>4.3241803154552043</v>
      </c>
      <c r="AB356" s="199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0.10116586707006572</v>
      </c>
      <c r="AD356" s="233">
        <f>(INDEX(Models!$BJ356:$BT356,,AH356)*(1-AF356)+INDEX(Models!$BJ356:$BT356,,AH356+1)*AF356-ERP_i)*AE356*Ramure*Pc/MaxiM</f>
        <v>0.16921473086553446</v>
      </c>
      <c r="AE356" s="307">
        <f t="shared" si="142"/>
        <v>1</v>
      </c>
      <c r="AF356" s="179">
        <f t="shared" si="143"/>
        <v>0.39959504496728249</v>
      </c>
      <c r="AG356" s="837">
        <f t="shared" si="149"/>
        <v>1</v>
      </c>
      <c r="AH356" s="178">
        <f t="shared" si="144"/>
        <v>7</v>
      </c>
      <c r="AI356" s="227">
        <f t="shared" si="145"/>
        <v>1.3995950449672825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45269</v>
      </c>
      <c r="B357" s="1139">
        <f>IF(t&gt;Tmaj,'2022'!Wh/'2022'!Env_an*'2023'!Env_an,0.001*'[14]mon-tableau (2)'!$B$216)</f>
        <v>7.2608233678275802</v>
      </c>
      <c r="C357" s="866"/>
      <c r="D357" s="395">
        <f t="shared" si="127"/>
        <v>7.5989702230106504</v>
      </c>
      <c r="E357" s="387">
        <f t="shared" si="125"/>
        <v>8.2324583059366425</v>
      </c>
      <c r="F357" s="387">
        <f t="shared" si="128"/>
        <v>8.7248430672952946</v>
      </c>
      <c r="G357" s="110">
        <f t="shared" si="126"/>
        <v>0.46638007851209001</v>
      </c>
      <c r="H357" s="414" t="b">
        <f>Wh_hp&gt;='2022'!Maxi_hp</f>
        <v>0</v>
      </c>
      <c r="I357" s="392">
        <f>IF(H357,Wh_hp,'2022'!Maxi_hp)</f>
        <v>9.1861126811797025</v>
      </c>
      <c r="J357" s="85">
        <f>IF(H357,An,'2022'!An_max)</f>
        <v>2020</v>
      </c>
      <c r="K357" s="199">
        <f t="shared" si="129"/>
        <v>45269</v>
      </c>
      <c r="L357" s="147">
        <f>IF(t&lt;Tvie,1-EXP((T0-t)*PertePVj)+'2022'!Pspv,1-EXP((T0-t)*PertePVj)+Pspv)</f>
        <v>4.4499036745678788E-2</v>
      </c>
      <c r="M357" s="870"/>
      <c r="N357" s="870"/>
      <c r="O357" s="48">
        <f>IF(t&lt;Tnet,'2022'!Resal+('2022'!Salim-'2022'!Resal)*(1-EXP(('2022'!Tnet-t)/('2022'!Tau_j))),Resal+(Salim-Resal)*(1-EXP((Tnet-t)/(Tau_j))))*Salcycl</f>
        <v>7.6950050566204187E-2</v>
      </c>
      <c r="P357" s="171">
        <f>(INDEX(Models!$BJ357:$BT357,,T357)*(1-R357)+INDEX(Models!$BJ357:$BT357,,T357+1)*R357-ERP_i)*Q357*Ramure*Pc/MaxiM</f>
        <v>0.17109408984227989</v>
      </c>
      <c r="Q357" s="307">
        <f t="shared" si="130"/>
        <v>1</v>
      </c>
      <c r="R357" s="179">
        <f t="shared" si="131"/>
        <v>0.39961163371058639</v>
      </c>
      <c r="S357" s="837">
        <f t="shared" si="132"/>
        <v>1</v>
      </c>
      <c r="T357" s="178">
        <f t="shared" si="133"/>
        <v>7</v>
      </c>
      <c r="U357" s="253">
        <f t="shared" si="134"/>
        <v>1.3996116337105864</v>
      </c>
      <c r="V357" s="385">
        <f t="shared" si="135"/>
        <v>13.67663325091895</v>
      </c>
      <c r="W357" s="404">
        <f t="shared" si="136"/>
        <v>7.2608233678275802</v>
      </c>
      <c r="X357" s="157">
        <f t="shared" si="137"/>
        <v>45269</v>
      </c>
      <c r="Y357" s="387">
        <f t="shared" si="138"/>
        <v>7.0696071419756317</v>
      </c>
      <c r="Z357" s="387">
        <f t="shared" si="139"/>
        <v>7.3988487859786147</v>
      </c>
      <c r="AA357" s="388">
        <f t="shared" si="140"/>
        <v>8.2324583059366425</v>
      </c>
      <c r="AB357" s="199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0.10125888148827786</v>
      </c>
      <c r="AD357" s="233">
        <f>(INDEX(Models!$BJ357:$BT357,,AH357)*(1-AF357)+INDEX(Models!$BJ357:$BT357,,AH357+1)*AF357-ERP_i)*AE357*Ramure*Pc/MaxiM</f>
        <v>0.17109408984227989</v>
      </c>
      <c r="AE357" s="307">
        <f t="shared" si="142"/>
        <v>1</v>
      </c>
      <c r="AF357" s="179">
        <f t="shared" si="143"/>
        <v>0.39961163371058639</v>
      </c>
      <c r="AG357" s="837">
        <f t="shared" si="149"/>
        <v>1</v>
      </c>
      <c r="AH357" s="178">
        <f t="shared" si="144"/>
        <v>7</v>
      </c>
      <c r="AI357" s="227">
        <f t="shared" si="145"/>
        <v>1.3996116337105864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45270</v>
      </c>
      <c r="B358" s="1139">
        <f>IF(t&gt;Tmaj,'2022'!Wh/'2022'!Env_an*'2023'!Env_an,0.001*'[14]mon-tableau (2)'!$B$217)</f>
        <v>10.622313516028418</v>
      </c>
      <c r="C358" s="866"/>
      <c r="D358" s="395">
        <f t="shared" si="127"/>
        <v>11.117268456073282</v>
      </c>
      <c r="E358" s="387">
        <f t="shared" si="125"/>
        <v>12.046050347421012</v>
      </c>
      <c r="F358" s="387">
        <f t="shared" si="128"/>
        <v>13.674099667326088</v>
      </c>
      <c r="G358" s="110">
        <f t="shared" si="126"/>
        <v>0.73469265356063485</v>
      </c>
      <c r="H358" s="414" t="b">
        <f>Wh_hp&gt;='2022'!Maxi_hp</f>
        <v>0</v>
      </c>
      <c r="I358" s="392">
        <f>IF(H358,Wh_hp,'2022'!Maxi_hp)</f>
        <v>16.709769802628212</v>
      </c>
      <c r="J358" s="85">
        <f>IF(H358,An,'2022'!An_max)</f>
        <v>2019</v>
      </c>
      <c r="K358" s="199">
        <f t="shared" si="129"/>
        <v>45270</v>
      </c>
      <c r="L358" s="147">
        <f>IF(t&lt;Tvie,1-EXP((T0-t)*PertePVj)+'2022'!Pspv,1-EXP((T0-t)*PertePVj)+Pspv)</f>
        <v>4.4521272648990751E-2</v>
      </c>
      <c r="M358" s="870"/>
      <c r="N358" s="870"/>
      <c r="O358" s="48">
        <f>IF(t&lt;Tnet,'2022'!Resal+('2022'!Salim-'2022'!Resal)*(1-EXP(('2022'!Tnet-t)/('2022'!Tau_j))),Resal+(Salim-Resal)*(1-EXP((Tnet-t)/(Tau_j))))*Salcycl</f>
        <v>7.7102607457271322E-2</v>
      </c>
      <c r="P358" s="171">
        <f>(INDEX(Models!$BJ358:$BT358,,T358)*(1-R358)+INDEX(Models!$BJ358:$BT358,,T358+1)*R358-ERP_i)*Q358*Ramure*Pc/MaxiM</f>
        <v>0.17276907296161698</v>
      </c>
      <c r="Q358" s="307">
        <f t="shared" si="130"/>
        <v>1</v>
      </c>
      <c r="R358" s="179">
        <f t="shared" si="131"/>
        <v>0.39962755528148897</v>
      </c>
      <c r="S358" s="837">
        <f t="shared" si="132"/>
        <v>1</v>
      </c>
      <c r="T358" s="178">
        <f t="shared" si="133"/>
        <v>7</v>
      </c>
      <c r="U358" s="253">
        <f t="shared" si="134"/>
        <v>1.399627555281489</v>
      </c>
      <c r="V358" s="385">
        <f t="shared" si="135"/>
        <v>13.576700821635516</v>
      </c>
      <c r="W358" s="404">
        <f t="shared" si="136"/>
        <v>10.622313516028418</v>
      </c>
      <c r="X358" s="157">
        <f t="shared" si="137"/>
        <v>45270</v>
      </c>
      <c r="Y358" s="387">
        <f t="shared" si="138"/>
        <v>10.343180777800534</v>
      </c>
      <c r="Z358" s="387">
        <f t="shared" si="139"/>
        <v>10.825129311330876</v>
      </c>
      <c r="AA358" s="388">
        <f t="shared" si="140"/>
        <v>12.046050347421012</v>
      </c>
      <c r="AB358" s="199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0.10135446896513498</v>
      </c>
      <c r="AD358" s="233">
        <f>(INDEX(Models!$BJ358:$BT358,,AH358)*(1-AF358)+INDEX(Models!$BJ358:$BT358,,AH358+1)*AF358-ERP_i)*AE358*Ramure*Pc/MaxiM</f>
        <v>0.17276907296161698</v>
      </c>
      <c r="AE358" s="307">
        <f t="shared" si="142"/>
        <v>1</v>
      </c>
      <c r="AF358" s="179">
        <f t="shared" si="143"/>
        <v>0.39962755528148897</v>
      </c>
      <c r="AG358" s="837">
        <f t="shared" si="149"/>
        <v>1</v>
      </c>
      <c r="AH358" s="178">
        <f t="shared" si="144"/>
        <v>7</v>
      </c>
      <c r="AI358" s="227">
        <f t="shared" si="145"/>
        <v>1.399627555281489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45271</v>
      </c>
      <c r="B359" s="1139">
        <f>IF(t&gt;Tmaj,'2022'!Wh/'2022'!Env_an*'2023'!Env_an,0.001*'[14]mon-tableau (2)'!$B$218)</f>
        <v>11.114024827166769</v>
      </c>
      <c r="C359" s="866"/>
      <c r="D359" s="395">
        <f t="shared" si="127"/>
        <v>11.632162134675248</v>
      </c>
      <c r="E359" s="387">
        <f t="shared" si="125"/>
        <v>12.606066857510505</v>
      </c>
      <c r="F359" s="387">
        <f t="shared" si="128"/>
        <v>14.496877481911888</v>
      </c>
      <c r="G359" s="110">
        <f t="shared" si="126"/>
        <v>0.78243729402909246</v>
      </c>
      <c r="H359" s="414" t="b">
        <f>Wh_hp&gt;='2022'!Maxi_hp</f>
        <v>0</v>
      </c>
      <c r="I359" s="392">
        <f>IF(H359,Wh_hp,'2022'!Maxi_hp)</f>
        <v>15.16428753732999</v>
      </c>
      <c r="J359" s="85">
        <f>IF(H359,An,'2022'!An_max)</f>
        <v>2018</v>
      </c>
      <c r="K359" s="199">
        <f t="shared" si="129"/>
        <v>45271</v>
      </c>
      <c r="L359" s="147">
        <f>IF(t&lt;Tvie,1-EXP((T0-t)*PertePVj)+'2022'!Pspv,1-EXP((T0-t)*PertePVj)+Pspv)</f>
        <v>4.4543508034840862E-2</v>
      </c>
      <c r="M359" s="870"/>
      <c r="N359" s="870"/>
      <c r="O359" s="48">
        <f>IF(t&lt;Tnet,'2022'!Resal+('2022'!Salim-'2022'!Resal)*(1-EXP(('2022'!Tnet-t)/('2022'!Tau_j))),Resal+(Salim-Resal)*(1-EXP((Tnet-t)/(Tau_j))))*Salcycl</f>
        <v>7.7256826720304067E-2</v>
      </c>
      <c r="P359" s="171">
        <f>(INDEX(Models!$BJ359:$BT359,,T359)*(1-R359)+INDEX(Models!$BJ359:$BT359,,T359+1)*R359-ERP_i)*Q359*Ramure*Pc/MaxiM</f>
        <v>0.17425022122120729</v>
      </c>
      <c r="Q359" s="307">
        <f t="shared" si="130"/>
        <v>1</v>
      </c>
      <c r="R359" s="179">
        <f t="shared" si="131"/>
        <v>0.39964283648405674</v>
      </c>
      <c r="S359" s="837">
        <f t="shared" si="132"/>
        <v>1</v>
      </c>
      <c r="T359" s="178">
        <f t="shared" si="133"/>
        <v>7</v>
      </c>
      <c r="U359" s="253">
        <f t="shared" si="134"/>
        <v>1.3996428364840567</v>
      </c>
      <c r="V359" s="385">
        <f t="shared" si="135"/>
        <v>13.488546349363187</v>
      </c>
      <c r="W359" s="404">
        <f t="shared" si="136"/>
        <v>11.114024827166769</v>
      </c>
      <c r="X359" s="157">
        <f t="shared" si="137"/>
        <v>45271</v>
      </c>
      <c r="Y359" s="387">
        <f t="shared" si="138"/>
        <v>10.822598504413435</v>
      </c>
      <c r="Z359" s="387">
        <f t="shared" si="139"/>
        <v>11.327149478207829</v>
      </c>
      <c r="AA359" s="388">
        <f t="shared" si="140"/>
        <v>12.606066857510505</v>
      </c>
      <c r="AB359" s="199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0.10145253025853312</v>
      </c>
      <c r="AD359" s="233">
        <f>(INDEX(Models!$BJ359:$BT359,,AH359)*(1-AF359)+INDEX(Models!$BJ359:$BT359,,AH359+1)*AF359-ERP_i)*AE359*Ramure*Pc/MaxiM</f>
        <v>0.17425022122120729</v>
      </c>
      <c r="AE359" s="307">
        <f t="shared" si="142"/>
        <v>1</v>
      </c>
      <c r="AF359" s="179">
        <f t="shared" si="143"/>
        <v>0.39964283648405674</v>
      </c>
      <c r="AG359" s="837">
        <f t="shared" si="149"/>
        <v>1</v>
      </c>
      <c r="AH359" s="178">
        <f t="shared" si="144"/>
        <v>7</v>
      </c>
      <c r="AI359" s="227">
        <f t="shared" si="145"/>
        <v>1.3996428364840567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45272</v>
      </c>
      <c r="B360" s="1139">
        <f>IF(t&gt;Tmaj,'2022'!Wh/'2022'!Env_an*'2023'!Env_an,0.001*'[14]mon-tableau (2)'!$B$219)</f>
        <v>3.8560660817261474</v>
      </c>
      <c r="C360" s="866"/>
      <c r="D360" s="395">
        <f t="shared" si="127"/>
        <v>4.0359303144974366</v>
      </c>
      <c r="E360" s="387">
        <f t="shared" si="125"/>
        <v>4.3745779219804088</v>
      </c>
      <c r="F360" s="387">
        <f t="shared" si="128"/>
        <v>4.3745779219804088</v>
      </c>
      <c r="G360" s="110">
        <f t="shared" si="126"/>
        <v>0.23706948922596421</v>
      </c>
      <c r="H360" s="414" t="b">
        <f>Wh_hp&gt;='2022'!Maxi_hp</f>
        <v>0</v>
      </c>
      <c r="I360" s="392">
        <f>IF(H360,Wh_hp,'2022'!Maxi_hp)</f>
        <v>18.180866502884243</v>
      </c>
      <c r="J360" s="85">
        <f>IF(H360,An,'2022'!An_max)</f>
        <v>2021</v>
      </c>
      <c r="K360" s="199">
        <f t="shared" si="129"/>
        <v>45272</v>
      </c>
      <c r="L360" s="147">
        <f>IF(t&lt;Tvie,1-EXP((T0-t)*PertePVj)+'2022'!Pspv,1-EXP((T0-t)*PertePVj)+Pspv)</f>
        <v>4.456574290324089E-2</v>
      </c>
      <c r="M360" s="870"/>
      <c r="N360" s="870"/>
      <c r="O360" s="48">
        <f>IF(t&lt;Tnet,'2022'!Resal+('2022'!Salim-'2022'!Resal)*(1-EXP(('2022'!Tnet-t)/('2022'!Tau_j))),Resal+(Salim-Resal)*(1-EXP((Tnet-t)/(Tau_j))))*Salcycl</f>
        <v>7.7412635806853661E-2</v>
      </c>
      <c r="P360" s="171">
        <f>(INDEX(Models!$BJ360:$BT360,,T360)*(1-R360)+INDEX(Models!$BJ360:$BT360,,T360+1)*R360-ERP_i)*Q360*Ramure*Pc/MaxiM</f>
        <v>0.17555527273612009</v>
      </c>
      <c r="Q360" s="307">
        <f t="shared" si="130"/>
        <v>1</v>
      </c>
      <c r="R360" s="179">
        <f t="shared" si="131"/>
        <v>0.39965750304773717</v>
      </c>
      <c r="S360" s="837">
        <f t="shared" si="132"/>
        <v>1</v>
      </c>
      <c r="T360" s="178">
        <f t="shared" si="133"/>
        <v>7</v>
      </c>
      <c r="U360" s="253">
        <f t="shared" si="134"/>
        <v>1.3996575030477372</v>
      </c>
      <c r="V360" s="385">
        <f t="shared" si="135"/>
        <v>13.410048502825353</v>
      </c>
      <c r="W360" s="404">
        <f t="shared" si="136"/>
        <v>3.8560660817261474</v>
      </c>
      <c r="X360" s="157">
        <f t="shared" si="137"/>
        <v>45272</v>
      </c>
      <c r="Y360" s="387">
        <f t="shared" si="138"/>
        <v>3.7551686579604628</v>
      </c>
      <c r="Z360" s="387">
        <f t="shared" si="139"/>
        <v>3.9303265819368334</v>
      </c>
      <c r="AA360" s="388">
        <f t="shared" si="140"/>
        <v>4.3745779219804088</v>
      </c>
      <c r="AB360" s="199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0.1015529607579739</v>
      </c>
      <c r="AD360" s="233">
        <f>(INDEX(Models!$BJ360:$BT360,,AH360)*(1-AF360)+INDEX(Models!$BJ360:$BT360,,AH360+1)*AF360-ERP_i)*AE360*Ramure*Pc/MaxiM</f>
        <v>0.17555527273612009</v>
      </c>
      <c r="AE360" s="307">
        <f t="shared" si="142"/>
        <v>1</v>
      </c>
      <c r="AF360" s="179">
        <f t="shared" si="143"/>
        <v>0.39965750304773717</v>
      </c>
      <c r="AG360" s="837">
        <f t="shared" si="149"/>
        <v>1</v>
      </c>
      <c r="AH360" s="178">
        <f t="shared" si="144"/>
        <v>7</v>
      </c>
      <c r="AI360" s="227">
        <f t="shared" si="145"/>
        <v>1.3996575030477372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45273</v>
      </c>
      <c r="B361" s="1139">
        <f>IF(t&gt;Tmaj,'2022'!Wh/'2022'!Env_an*'2023'!Env_an,0.001*'[14]mon-tableau (2)'!$B$220)</f>
        <v>4.6377199890867438</v>
      </c>
      <c r="C361" s="866"/>
      <c r="D361" s="395">
        <f t="shared" si="127"/>
        <v>4.8541570324373922</v>
      </c>
      <c r="E361" s="387">
        <f t="shared" ref="E361:E379" si="150">Wh_pvt/(1-Psa)</f>
        <v>5.2623579165953398</v>
      </c>
      <c r="F361" s="387">
        <f t="shared" si="128"/>
        <v>5.3264029987176738</v>
      </c>
      <c r="G361" s="110">
        <f t="shared" ref="G361:G379" si="151">+Wh_hp/MaxiM</f>
        <v>0.28968684154939683</v>
      </c>
      <c r="H361" s="414" t="b">
        <f>Wh_hp&gt;='2022'!Maxi_hp</f>
        <v>0</v>
      </c>
      <c r="I361" s="392">
        <f>IF(H361,Wh_hp,'2022'!Maxi_hp)</f>
        <v>18.504532146725122</v>
      </c>
      <c r="J361" s="85">
        <f>IF(H361,An,'2022'!An_max)</f>
        <v>2021</v>
      </c>
      <c r="K361" s="199">
        <f t="shared" si="129"/>
        <v>45273</v>
      </c>
      <c r="L361" s="147">
        <f>IF(t&lt;Tvie,1-EXP((T0-t)*PertePVj)+'2022'!Pspv,1-EXP((T0-t)*PertePVj)+Pspv)</f>
        <v>4.4587977254203159E-2</v>
      </c>
      <c r="M361" s="870"/>
      <c r="N361" s="870"/>
      <c r="O361" s="48">
        <f>IF(t&lt;Tnet,'2022'!Resal+('2022'!Salim-'2022'!Resal)*(1-EXP(('2022'!Tnet-t)/('2022'!Tau_j))),Resal+(Salim-Resal)*(1-EXP((Tnet-t)/(Tau_j))))*Salcycl</f>
        <v>7.7569958301514919E-2</v>
      </c>
      <c r="P361" s="171">
        <f>(INDEX(Models!$BJ361:$BT361,,T361)*(1-R361)+INDEX(Models!$BJ361:$BT361,,T361+1)*R361-ERP_i)*Q361*Ramure*Pc/MaxiM</f>
        <v>0.17670545112889519</v>
      </c>
      <c r="Q361" s="307">
        <f t="shared" si="130"/>
        <v>1</v>
      </c>
      <c r="R361" s="179">
        <f t="shared" si="131"/>
        <v>0.39967157967026345</v>
      </c>
      <c r="S361" s="837">
        <f t="shared" si="132"/>
        <v>1</v>
      </c>
      <c r="T361" s="178">
        <f t="shared" si="133"/>
        <v>7</v>
      </c>
      <c r="U361" s="253">
        <f t="shared" si="134"/>
        <v>1.3996715796702635</v>
      </c>
      <c r="V361" s="385">
        <f t="shared" si="135"/>
        <v>13.340884806838217</v>
      </c>
      <c r="W361" s="404">
        <f t="shared" si="136"/>
        <v>4.6377199890867438</v>
      </c>
      <c r="X361" s="157">
        <f t="shared" si="137"/>
        <v>45273</v>
      </c>
      <c r="Y361" s="387">
        <f t="shared" si="138"/>
        <v>4.5166238681762572</v>
      </c>
      <c r="Z361" s="387">
        <f t="shared" si="139"/>
        <v>4.7274094952204511</v>
      </c>
      <c r="AA361" s="388">
        <f t="shared" si="140"/>
        <v>5.2623579165953398</v>
      </c>
      <c r="AB361" s="199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0.10165565129803868</v>
      </c>
      <c r="AD361" s="233">
        <f>(INDEX(Models!$BJ361:$BT361,,AH361)*(1-AF361)+INDEX(Models!$BJ361:$BT361,,AH361+1)*AF361-ERP_i)*AE361*Ramure*Pc/MaxiM</f>
        <v>0.17670545112889519</v>
      </c>
      <c r="AE361" s="307">
        <f t="shared" si="142"/>
        <v>1</v>
      </c>
      <c r="AF361" s="179">
        <f t="shared" si="143"/>
        <v>0.39967157967026345</v>
      </c>
      <c r="AG361" s="837">
        <f t="shared" si="149"/>
        <v>1</v>
      </c>
      <c r="AH361" s="178">
        <f t="shared" si="144"/>
        <v>7</v>
      </c>
      <c r="AI361" s="227">
        <f t="shared" si="145"/>
        <v>1.3996715796702635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45274</v>
      </c>
      <c r="B362" s="1139">
        <f>IF(t&gt;Tmaj,'2022'!Wh/'2022'!Env_an*'2023'!Env_an,0.001*'[14]mon-tableau (2)'!$B$221)</f>
        <v>10.911298634194168</v>
      </c>
      <c r="C362" s="866"/>
      <c r="D362" s="395">
        <f t="shared" si="127"/>
        <v>11.420782136071399</v>
      </c>
      <c r="E362" s="387">
        <f t="shared" si="150"/>
        <v>12.38332182306732</v>
      </c>
      <c r="F362" s="387">
        <f t="shared" si="128"/>
        <v>14.273072925545051</v>
      </c>
      <c r="G362" s="110">
        <f t="shared" si="151"/>
        <v>0.77866921437895398</v>
      </c>
      <c r="H362" s="414" t="b">
        <f>Wh_hp&gt;='2022'!Maxi_hp</f>
        <v>0</v>
      </c>
      <c r="I362" s="392">
        <f>IF(H362,Wh_hp,'2022'!Maxi_hp)</f>
        <v>18.47305077116031</v>
      </c>
      <c r="J362" s="85">
        <f>IF(H362,An,'2022'!An_max)</f>
        <v>2021</v>
      </c>
      <c r="K362" s="199">
        <f t="shared" si="129"/>
        <v>45274</v>
      </c>
      <c r="L362" s="147">
        <f>IF(t&lt;Tvie,1-EXP((T0-t)*PertePVj)+'2022'!Pspv,1-EXP((T0-t)*PertePVj)+Pspv)</f>
        <v>4.461021108773966E-2</v>
      </c>
      <c r="M362" s="870"/>
      <c r="N362" s="870"/>
      <c r="O362" s="48">
        <f>IF(t&lt;Tnet,'2022'!Resal+('2022'!Salim-'2022'!Resal)*(1-EXP(('2022'!Tnet-t)/('2022'!Tau_j))),Resal+(Salim-Resal)*(1-EXP((Tnet-t)/(Tau_j))))*Salcycl</f>
        <v>7.7728714536266702E-2</v>
      </c>
      <c r="P362" s="171">
        <f>(INDEX(Models!$BJ362:$BT362,,T362)*(1-R362)+INDEX(Models!$BJ362:$BT362,,T362+1)*R362-ERP_i)*Q362*Ramure*Pc/MaxiM</f>
        <v>0.17769651095411318</v>
      </c>
      <c r="Q362" s="307">
        <f t="shared" si="130"/>
        <v>1</v>
      </c>
      <c r="R362" s="179">
        <f t="shared" si="131"/>
        <v>0.39968509005886066</v>
      </c>
      <c r="S362" s="837">
        <f t="shared" si="132"/>
        <v>1</v>
      </c>
      <c r="T362" s="178">
        <f t="shared" si="133"/>
        <v>7</v>
      </c>
      <c r="U362" s="253">
        <f t="shared" si="134"/>
        <v>1.3996850900588607</v>
      </c>
      <c r="V362" s="385">
        <f t="shared" si="135"/>
        <v>13.281156540062726</v>
      </c>
      <c r="W362" s="404">
        <f t="shared" si="136"/>
        <v>10.911298634194168</v>
      </c>
      <c r="X362" s="157">
        <f t="shared" si="137"/>
        <v>45274</v>
      </c>
      <c r="Y362" s="387">
        <f t="shared" si="138"/>
        <v>10.626981132612213</v>
      </c>
      <c r="Z362" s="387">
        <f t="shared" si="139"/>
        <v>11.12318893915681</v>
      </c>
      <c r="AA362" s="388">
        <f t="shared" si="140"/>
        <v>12.38332182306732</v>
      </c>
      <c r="AB362" s="199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0.10176048897987681</v>
      </c>
      <c r="AD362" s="233">
        <f>(INDEX(Models!$BJ362:$BT362,,AH362)*(1-AF362)+INDEX(Models!$BJ362:$BT362,,AH362+1)*AF362-ERP_i)*AE362*Ramure*Pc/MaxiM</f>
        <v>0.17769651095411318</v>
      </c>
      <c r="AE362" s="307">
        <f t="shared" si="142"/>
        <v>1</v>
      </c>
      <c r="AF362" s="179">
        <f t="shared" si="143"/>
        <v>0.39968509005886066</v>
      </c>
      <c r="AG362" s="837">
        <f t="shared" si="149"/>
        <v>1</v>
      </c>
      <c r="AH362" s="178">
        <f t="shared" si="144"/>
        <v>7</v>
      </c>
      <c r="AI362" s="227">
        <f t="shared" si="145"/>
        <v>1.3996850900588607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45275</v>
      </c>
      <c r="B363" s="1139">
        <f>IF(t&gt;Tmaj,'2022'!Wh/'2022'!Env_an*'2023'!Env_an,0.001*'[14]mon-tableau (2)'!$B$222)</f>
        <v>5.3461436646737512</v>
      </c>
      <c r="C363" s="866"/>
      <c r="D363" s="395">
        <f t="shared" si="127"/>
        <v>5.5959024705814118</v>
      </c>
      <c r="E363" s="387">
        <f t="shared" si="150"/>
        <v>6.0685767674921243</v>
      </c>
      <c r="F363" s="387">
        <f t="shared" si="128"/>
        <v>6.2340261281974962</v>
      </c>
      <c r="G363" s="110">
        <f t="shared" si="151"/>
        <v>0.34097727686153134</v>
      </c>
      <c r="H363" s="414" t="b">
        <f>Wh_hp&gt;='2022'!Maxi_hp</f>
        <v>0</v>
      </c>
      <c r="I363" s="392">
        <f>IF(H363,Wh_hp,'2022'!Maxi_hp)</f>
        <v>17.873939107740306</v>
      </c>
      <c r="J363" s="85">
        <f>IF(H363,An,'2022'!An_max)</f>
        <v>2021</v>
      </c>
      <c r="K363" s="199">
        <f t="shared" si="129"/>
        <v>45275</v>
      </c>
      <c r="L363" s="147">
        <f>IF(t&lt;Tvie,1-EXP((T0-t)*PertePVj)+'2022'!Pspv,1-EXP((T0-t)*PertePVj)+Pspv)</f>
        <v>4.463244440386227E-2</v>
      </c>
      <c r="M363" s="870"/>
      <c r="N363" s="870"/>
      <c r="O363" s="48">
        <f>IF(t&lt;Tnet,'2022'!Resal+('2022'!Salim-'2022'!Resal)*(1-EXP(('2022'!Tnet-t)/('2022'!Tau_j))),Resal+(Salim-Resal)*(1-EXP((Tnet-t)/(Tau_j))))*Salcycl</f>
        <v>7.7888822209964029E-2</v>
      </c>
      <c r="P363" s="171">
        <f>(INDEX(Models!$BJ363:$BT363,,T363)*(1-R363)+INDEX(Models!$BJ363:$BT363,,T363+1)*R363-ERP_i)*Q363*Ramure*Pc/MaxiM</f>
        <v>0.17852460298460859</v>
      </c>
      <c r="Q363" s="307">
        <f t="shared" si="130"/>
        <v>1</v>
      </c>
      <c r="R363" s="179">
        <f t="shared" si="131"/>
        <v>0.39969805696981986</v>
      </c>
      <c r="S363" s="837">
        <f t="shared" si="132"/>
        <v>1</v>
      </c>
      <c r="T363" s="178">
        <f t="shared" si="133"/>
        <v>7</v>
      </c>
      <c r="U363" s="253">
        <f t="shared" si="134"/>
        <v>1.3996980569698199</v>
      </c>
      <c r="V363" s="385">
        <f t="shared" si="135"/>
        <v>13.230964863956512</v>
      </c>
      <c r="W363" s="404">
        <f t="shared" si="136"/>
        <v>5.3461436646737512</v>
      </c>
      <c r="X363" s="157">
        <f t="shared" si="137"/>
        <v>45275</v>
      </c>
      <c r="Y363" s="387">
        <f t="shared" si="138"/>
        <v>5.2071227957603092</v>
      </c>
      <c r="Z363" s="387">
        <f t="shared" si="139"/>
        <v>5.4503868854025797</v>
      </c>
      <c r="AA363" s="388">
        <f t="shared" si="140"/>
        <v>6.0685767674921243</v>
      </c>
      <c r="AB363" s="199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0.10186735799422293</v>
      </c>
      <c r="AD363" s="233">
        <f>(INDEX(Models!$BJ363:$BT363,,AH363)*(1-AF363)+INDEX(Models!$BJ363:$BT363,,AH363+1)*AF363-ERP_i)*AE363*Ramure*Pc/MaxiM</f>
        <v>0.17852460298460859</v>
      </c>
      <c r="AE363" s="307">
        <f t="shared" si="142"/>
        <v>1</v>
      </c>
      <c r="AF363" s="179">
        <f t="shared" si="143"/>
        <v>0.39969805696981986</v>
      </c>
      <c r="AG363" s="837">
        <f t="shared" si="149"/>
        <v>1</v>
      </c>
      <c r="AH363" s="178">
        <f t="shared" si="144"/>
        <v>7</v>
      </c>
      <c r="AI363" s="227">
        <f t="shared" si="145"/>
        <v>1.3996980569698199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45276</v>
      </c>
      <c r="B364" s="1139">
        <f>IF(t&gt;Tmaj,'2022'!Wh/'2022'!Env_an*'2023'!Env_an,0.001*'[14]mon-tableau (2)'!$B$223)</f>
        <v>4.7179533288200242</v>
      </c>
      <c r="C364" s="866"/>
      <c r="D364" s="395">
        <f t="shared" si="127"/>
        <v>4.9384795384825235</v>
      </c>
      <c r="E364" s="387">
        <f t="shared" si="150"/>
        <v>5.3565601103832332</v>
      </c>
      <c r="F364" s="387">
        <f t="shared" si="128"/>
        <v>5.4368354820360691</v>
      </c>
      <c r="G364" s="110">
        <f t="shared" si="151"/>
        <v>0.29798892099071272</v>
      </c>
      <c r="H364" s="414" t="b">
        <f>Wh_hp&gt;='2022'!Maxi_hp</f>
        <v>0</v>
      </c>
      <c r="I364" s="392">
        <f>IF(H364,Wh_hp,'2022'!Maxi_hp)</f>
        <v>18.022426039936903</v>
      </c>
      <c r="J364" s="85">
        <f>IF(H364,An,'2022'!An_max)</f>
        <v>2021</v>
      </c>
      <c r="K364" s="199">
        <f t="shared" si="129"/>
        <v>45276</v>
      </c>
      <c r="L364" s="147">
        <f>IF(t&lt;Tvie,1-EXP((T0-t)*PertePVj)+'2022'!Pspv,1-EXP((T0-t)*PertePVj)+Pspv)</f>
        <v>4.4654677202583204E-2</v>
      </c>
      <c r="M364" s="870"/>
      <c r="N364" s="870"/>
      <c r="O364" s="48">
        <f>IF(t&lt;Tnet,'2022'!Resal+('2022'!Salim-'2022'!Resal)*(1-EXP(('2022'!Tnet-t)/('2022'!Tau_j))),Resal+(Salim-Resal)*(1-EXP((Tnet-t)/(Tau_j))))*Salcycl</f>
        <v>7.8050197008019434E-2</v>
      </c>
      <c r="P364" s="171">
        <f>(INDEX(Models!$BJ364:$BT364,,T364)*(1-R364)+INDEX(Models!$BJ364:$BT364,,T364+1)*R364-ERP_i)*Q364*Ramure*Pc/MaxiM</f>
        <v>0.1791863095558891</v>
      </c>
      <c r="Q364" s="307">
        <f t="shared" si="130"/>
        <v>1</v>
      </c>
      <c r="R364" s="179">
        <f t="shared" si="131"/>
        <v>0.39971050224650306</v>
      </c>
      <c r="S364" s="837">
        <f t="shared" si="132"/>
        <v>1</v>
      </c>
      <c r="T364" s="178">
        <f t="shared" si="133"/>
        <v>7</v>
      </c>
      <c r="U364" s="253">
        <f t="shared" si="134"/>
        <v>1.3997105022465031</v>
      </c>
      <c r="V364" s="385">
        <f t="shared" si="135"/>
        <v>13.190410847578519</v>
      </c>
      <c r="W364" s="404">
        <f t="shared" si="136"/>
        <v>4.7179533288200242</v>
      </c>
      <c r="X364" s="157">
        <f t="shared" si="137"/>
        <v>45276</v>
      </c>
      <c r="Y364" s="387">
        <f t="shared" si="138"/>
        <v>4.5955155517398278</v>
      </c>
      <c r="Z364" s="387">
        <f t="shared" si="139"/>
        <v>4.8103187842939992</v>
      </c>
      <c r="AA364" s="388">
        <f t="shared" si="140"/>
        <v>5.3565601103832332</v>
      </c>
      <c r="AB364" s="199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0.10197614043953178</v>
      </c>
      <c r="AD364" s="233">
        <f>(INDEX(Models!$BJ364:$BT364,,AH364)*(1-AF364)+INDEX(Models!$BJ364:$BT364,,AH364+1)*AF364-ERP_i)*AE364*Ramure*Pc/MaxiM</f>
        <v>0.1791863095558891</v>
      </c>
      <c r="AE364" s="307">
        <f t="shared" si="142"/>
        <v>1</v>
      </c>
      <c r="AF364" s="179">
        <f t="shared" si="143"/>
        <v>0.39971050224650306</v>
      </c>
      <c r="AG364" s="837">
        <f t="shared" si="149"/>
        <v>1</v>
      </c>
      <c r="AH364" s="178">
        <f t="shared" si="144"/>
        <v>7</v>
      </c>
      <c r="AI364" s="227">
        <f t="shared" si="145"/>
        <v>1.3997105022465031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45277</v>
      </c>
      <c r="B365" s="1139">
        <f>IF(t&gt;Tmaj,'2022'!Wh/'2022'!Env_an*'2023'!Env_an,0.001*'[14]mon-tableau (2)'!$B$224)</f>
        <v>2.9226798753527397</v>
      </c>
      <c r="C365" s="866"/>
      <c r="D365" s="395">
        <f t="shared" si="127"/>
        <v>3.0593627479200221</v>
      </c>
      <c r="E365" s="387">
        <f t="shared" si="150"/>
        <v>3.3189467077119019</v>
      </c>
      <c r="F365" s="387">
        <f t="shared" si="128"/>
        <v>3.3189467077119019</v>
      </c>
      <c r="G365" s="110">
        <f t="shared" si="151"/>
        <v>0.18218923386211155</v>
      </c>
      <c r="H365" s="414" t="b">
        <f>Wh_hp&gt;='2022'!Maxi_hp</f>
        <v>0</v>
      </c>
      <c r="I365" s="392">
        <f>IF(H365,Wh_hp,'2022'!Maxi_hp)</f>
        <v>18.022391356123773</v>
      </c>
      <c r="J365" s="85">
        <f>IF(H365,An,'2022'!An_max)</f>
        <v>2021</v>
      </c>
      <c r="K365" s="199">
        <f t="shared" si="129"/>
        <v>45277</v>
      </c>
      <c r="L365" s="147">
        <f>IF(t&lt;Tvie,1-EXP((T0-t)*PertePVj)+'2022'!Pspv,1-EXP((T0-t)*PertePVj)+Pspv)</f>
        <v>4.467690948391434E-2</v>
      </c>
      <c r="M365" s="870"/>
      <c r="N365" s="870"/>
      <c r="O365" s="48">
        <f>IF(t&lt;Tnet,'2022'!Resal+('2022'!Salim-'2022'!Resal)*(1-EXP(('2022'!Tnet-t)/('2022'!Tau_j))),Resal+(Salim-Resal)*(1-EXP((Tnet-t)/(Tau_j))))*Salcycl</f>
        <v>7.8212753217371908E-2</v>
      </c>
      <c r="P365" s="171">
        <f>(INDEX(Models!$BJ365:$BT365,,T365)*(1-R365)+INDEX(Models!$BJ365:$BT365,,T365+1)*R365-ERP_i)*Q365*Ramure*Pc/MaxiM</f>
        <v>0.1796786777324256</v>
      </c>
      <c r="Q365" s="307">
        <f t="shared" si="130"/>
        <v>1</v>
      </c>
      <c r="R365" s="179">
        <f t="shared" si="131"/>
        <v>0.39972244685584046</v>
      </c>
      <c r="S365" s="837">
        <f t="shared" si="132"/>
        <v>1</v>
      </c>
      <c r="T365" s="178">
        <f t="shared" si="133"/>
        <v>7</v>
      </c>
      <c r="U365" s="253">
        <f t="shared" si="134"/>
        <v>1.3997224468558405</v>
      </c>
      <c r="V365" s="385">
        <f t="shared" si="135"/>
        <v>13.159595488110703</v>
      </c>
      <c r="W365" s="404">
        <f t="shared" si="136"/>
        <v>2.9226798753527397</v>
      </c>
      <c r="X365" s="157">
        <f t="shared" si="137"/>
        <v>45277</v>
      </c>
      <c r="Y365" s="387">
        <f t="shared" si="138"/>
        <v>2.8469834995211034</v>
      </c>
      <c r="Z365" s="387">
        <f t="shared" si="139"/>
        <v>2.9801263339956567</v>
      </c>
      <c r="AA365" s="388">
        <f t="shared" si="140"/>
        <v>3.3189467077119019</v>
      </c>
      <c r="AB365" s="199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0.10208671712895014</v>
      </c>
      <c r="AD365" s="233">
        <f>(INDEX(Models!$BJ365:$BT365,,AH365)*(1-AF365)+INDEX(Models!$BJ365:$BT365,,AH365+1)*AF365-ERP_i)*AE365*Ramure*Pc/MaxiM</f>
        <v>0.1796786777324256</v>
      </c>
      <c r="AE365" s="307">
        <f t="shared" si="142"/>
        <v>1</v>
      </c>
      <c r="AF365" s="179">
        <f t="shared" si="143"/>
        <v>0.39972244685584046</v>
      </c>
      <c r="AG365" s="837">
        <f t="shared" si="149"/>
        <v>1</v>
      </c>
      <c r="AH365" s="178">
        <f t="shared" si="144"/>
        <v>7</v>
      </c>
      <c r="AI365" s="227">
        <f t="shared" si="145"/>
        <v>1.3997224468558405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45278</v>
      </c>
      <c r="B366" s="1139">
        <f>IF(t&gt;Tmaj,'2022'!Wh/'2022'!Env_an*'2023'!Env_an,0.001*'[14]mon-tableau (2)'!$B$225)</f>
        <v>11.375156659950296</v>
      </c>
      <c r="C366" s="866"/>
      <c r="D366" s="395">
        <f t="shared" si="127"/>
        <v>11.907407552013684</v>
      </c>
      <c r="E366" s="387">
        <f t="shared" si="150"/>
        <v>12.920033306419883</v>
      </c>
      <c r="F366" s="387">
        <f t="shared" si="128"/>
        <v>15.11949595333888</v>
      </c>
      <c r="G366" s="110">
        <f t="shared" si="151"/>
        <v>0.83079824965295135</v>
      </c>
      <c r="H366" s="414" t="b">
        <f>Wh_hp&gt;='2022'!Maxi_hp</f>
        <v>0</v>
      </c>
      <c r="I366" s="392">
        <f>IF(H366,Wh_hp,'2022'!Maxi_hp)</f>
        <v>18.412762938360004</v>
      </c>
      <c r="J366" s="85">
        <f>IF(H366,An,'2022'!An_max)</f>
        <v>2021</v>
      </c>
      <c r="K366" s="199">
        <f t="shared" si="129"/>
        <v>45278</v>
      </c>
      <c r="L366" s="147">
        <f>IF(t&lt;Tvie,1-EXP((T0-t)*PertePVj)+'2022'!Pspv,1-EXP((T0-t)*PertePVj)+Pspv)</f>
        <v>4.4699141247867891E-2</v>
      </c>
      <c r="M366" s="870"/>
      <c r="N366" s="870"/>
      <c r="O366" s="48">
        <f>IF(t&lt;Tnet,'2022'!Resal+('2022'!Salim-'2022'!Resal)*(1-EXP(('2022'!Tnet-t)/('2022'!Tau_j))),Resal+(Salim-Resal)*(1-EXP((Tnet-t)/(Tau_j))))*Salcycl</f>
        <v>7.8376404331947896E-2</v>
      </c>
      <c r="P366" s="171">
        <f>(INDEX(Models!$BJ366:$BT366,,T366)*(1-R366)+INDEX(Models!$BJ366:$BT366,,T366+1)*R366-ERP_i)*Q366*Ramure*Pc/MaxiM</f>
        <v>0.17998649493664018</v>
      </c>
      <c r="Q366" s="307">
        <f t="shared" si="130"/>
        <v>1</v>
      </c>
      <c r="R366" s="179">
        <f t="shared" si="131"/>
        <v>0.39973391092337751</v>
      </c>
      <c r="S366" s="837">
        <f t="shared" si="132"/>
        <v>1</v>
      </c>
      <c r="T366" s="178">
        <f t="shared" si="133"/>
        <v>7</v>
      </c>
      <c r="U366" s="253">
        <f t="shared" si="134"/>
        <v>1.3997339109233775</v>
      </c>
      <c r="V366" s="385">
        <f t="shared" si="135"/>
        <v>13.138824102136061</v>
      </c>
      <c r="W366" s="404">
        <f t="shared" si="136"/>
        <v>11.375156659950296</v>
      </c>
      <c r="X366" s="157">
        <f t="shared" si="137"/>
        <v>45278</v>
      </c>
      <c r="Y366" s="387">
        <f t="shared" si="138"/>
        <v>11.081126212637148</v>
      </c>
      <c r="Z366" s="387">
        <f t="shared" si="139"/>
        <v>11.599619231068148</v>
      </c>
      <c r="AA366" s="388">
        <f t="shared" si="140"/>
        <v>12.920033306419883</v>
      </c>
      <c r="AB366" s="199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0.10219896838002965</v>
      </c>
      <c r="AD366" s="233">
        <f>(INDEX(Models!$BJ366:$BT366,,AH366)*(1-AF366)+INDEX(Models!$BJ366:$BT366,,AH366+1)*AF366-ERP_i)*AE366*Ramure*Pc/MaxiM</f>
        <v>0.17998649493664018</v>
      </c>
      <c r="AE366" s="307">
        <f t="shared" si="142"/>
        <v>1</v>
      </c>
      <c r="AF366" s="179">
        <f t="shared" si="143"/>
        <v>0.39973391092337751</v>
      </c>
      <c r="AG366" s="837">
        <f t="shared" si="149"/>
        <v>1</v>
      </c>
      <c r="AH366" s="178">
        <f t="shared" si="144"/>
        <v>7</v>
      </c>
      <c r="AI366" s="227">
        <f t="shared" si="145"/>
        <v>1.3997339109233775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45279</v>
      </c>
      <c r="B367" s="1139">
        <f>IF(t&gt;Tmaj,'2022'!Wh/'2022'!Env_an*'2023'!Env_an,0.001*'[14]mon-tableau (2)'!$B$226)</f>
        <v>11.15357325287791</v>
      </c>
      <c r="C367" s="866"/>
      <c r="D367" s="395">
        <f t="shared" si="127"/>
        <v>11.675727826134347</v>
      </c>
      <c r="E367" s="387">
        <f t="shared" si="150"/>
        <v>12.670914964812999</v>
      </c>
      <c r="F367" s="387">
        <f t="shared" si="128"/>
        <v>14.758994907077827</v>
      </c>
      <c r="G367" s="110">
        <f t="shared" si="151"/>
        <v>0.81136165559951079</v>
      </c>
      <c r="H367" s="414" t="b">
        <f>Wh_hp&gt;='2022'!Maxi_hp</f>
        <v>0</v>
      </c>
      <c r="I367" s="392">
        <f>IF(H367,Wh_hp,'2022'!Maxi_hp)</f>
        <v>17.957139739546754</v>
      </c>
      <c r="J367" s="85">
        <f>IF(H367,An,'2022'!An_max)</f>
        <v>2021</v>
      </c>
      <c r="K367" s="199">
        <f t="shared" si="129"/>
        <v>45279</v>
      </c>
      <c r="L367" s="147">
        <f>IF(t&lt;Tvie,1-EXP((T0-t)*PertePVj)+'2022'!Pspv,1-EXP((T0-t)*PertePVj)+Pspv)</f>
        <v>4.4721372494455736E-2</v>
      </c>
      <c r="M367" s="870"/>
      <c r="N367" s="870"/>
      <c r="O367" s="48">
        <f>IF(t&lt;Tnet,'2022'!Resal+('2022'!Salim-'2022'!Resal)*(1-EXP(('2022'!Tnet-t)/('2022'!Tau_j))),Resal+(Salim-Resal)*(1-EXP((Tnet-t)/(Tau_j))))*Salcycl</f>
        <v>7.8541063643965542E-2</v>
      </c>
      <c r="P367" s="171">
        <f>(INDEX(Models!$BJ367:$BT367,,T367)*(1-R367)+INDEX(Models!$BJ367:$BT367,,T367+1)*R367-ERP_i)*Q367*Ramure*Pc/MaxiM</f>
        <v>0.18017522656705268</v>
      </c>
      <c r="Q367" s="307">
        <f t="shared" si="130"/>
        <v>1</v>
      </c>
      <c r="R367" s="179">
        <f t="shared" si="131"/>
        <v>0.39974491376693022</v>
      </c>
      <c r="S367" s="837">
        <f t="shared" si="132"/>
        <v>1</v>
      </c>
      <c r="T367" s="178">
        <f t="shared" si="133"/>
        <v>7</v>
      </c>
      <c r="U367" s="253">
        <f t="shared" si="134"/>
        <v>1.3997449137669302</v>
      </c>
      <c r="V367" s="385">
        <f t="shared" si="135"/>
        <v>13.12711798752378</v>
      </c>
      <c r="W367" s="404">
        <f t="shared" si="136"/>
        <v>11.15357325287791</v>
      </c>
      <c r="X367" s="157">
        <f t="shared" si="137"/>
        <v>45279</v>
      </c>
      <c r="Y367" s="387">
        <f t="shared" si="138"/>
        <v>10.865834417151524</v>
      </c>
      <c r="Z367" s="387">
        <f t="shared" si="139"/>
        <v>11.374518495744804</v>
      </c>
      <c r="AA367" s="388">
        <f t="shared" si="140"/>
        <v>12.670914964812999</v>
      </c>
      <c r="AB367" s="199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0.10231277478132206</v>
      </c>
      <c r="AD367" s="233">
        <f>(INDEX(Models!$BJ367:$BT367,,AH367)*(1-AF367)+INDEX(Models!$BJ367:$BT367,,AH367+1)*AF367-ERP_i)*AE367*Ramure*Pc/MaxiM</f>
        <v>0.18017522656705268</v>
      </c>
      <c r="AE367" s="307">
        <f t="shared" si="142"/>
        <v>1</v>
      </c>
      <c r="AF367" s="179">
        <f t="shared" si="143"/>
        <v>0.39974491376693022</v>
      </c>
      <c r="AG367" s="837">
        <f t="shared" si="149"/>
        <v>1</v>
      </c>
      <c r="AH367" s="178">
        <f t="shared" si="144"/>
        <v>7</v>
      </c>
      <c r="AI367" s="227">
        <f t="shared" si="145"/>
        <v>1.3997449137669302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45280</v>
      </c>
      <c r="B368" s="1139">
        <f>IF(t&gt;Tmaj,'2022'!Wh/'2022'!Env_an*'2023'!Env_an,0.001*'[14]mon-tableau (2)'!$B$227)</f>
        <v>3.5445053848643941</v>
      </c>
      <c r="C368" s="866"/>
      <c r="D368" s="395">
        <f t="shared" si="127"/>
        <v>3.7105277670225352</v>
      </c>
      <c r="E368" s="387">
        <f t="shared" si="150"/>
        <v>4.027520383324565</v>
      </c>
      <c r="F368" s="387">
        <f t="shared" si="128"/>
        <v>4.027520383324565</v>
      </c>
      <c r="G368" s="110">
        <f t="shared" si="151"/>
        <v>0.22138854542089889</v>
      </c>
      <c r="H368" s="414" t="b">
        <f>Wh_hp&gt;='2022'!Maxi_hp</f>
        <v>0</v>
      </c>
      <c r="I368" s="392">
        <f>IF(H368,Wh_hp,'2022'!Maxi_hp)</f>
        <v>18.802231330650311</v>
      </c>
      <c r="J368" s="85">
        <f>IF(H368,An,'2022'!An_max)</f>
        <v>2021</v>
      </c>
      <c r="K368" s="199">
        <f t="shared" si="129"/>
        <v>45280</v>
      </c>
      <c r="L368" s="147">
        <f>IF(t&lt;Tvie,1-EXP((T0-t)*PertePVj)+'2022'!Pspv,1-EXP((T0-t)*PertePVj)+Pspv)</f>
        <v>4.4743603223690087E-2</v>
      </c>
      <c r="M368" s="870"/>
      <c r="N368" s="870"/>
      <c r="O368" s="48">
        <f>IF(t&lt;Tnet,'2022'!Resal+('2022'!Salim-'2022'!Resal)*(1-EXP(('2022'!Tnet-t)/('2022'!Tau_j))),Resal+(Salim-Resal)*(1-EXP((Tnet-t)/(Tau_j))))*Salcycl</f>
        <v>7.8706644816621582E-2</v>
      </c>
      <c r="P368" s="171">
        <f>(INDEX(Models!$BJ368:$BT368,,T368)*(1-R368)+INDEX(Models!$BJ368:$BT368,,T368+1)*R368-ERP_i)*Q368*Ramure*Pc/MaxiM</f>
        <v>0.18024351769405589</v>
      </c>
      <c r="Q368" s="307">
        <f t="shared" si="130"/>
        <v>1</v>
      </c>
      <c r="R368" s="179">
        <f t="shared" si="131"/>
        <v>0.39975547392890398</v>
      </c>
      <c r="S368" s="837">
        <f t="shared" si="132"/>
        <v>1</v>
      </c>
      <c r="T368" s="178">
        <f t="shared" si="133"/>
        <v>7</v>
      </c>
      <c r="U368" s="253">
        <f t="shared" si="134"/>
        <v>1.399755473928904</v>
      </c>
      <c r="V368" s="385">
        <f t="shared" si="135"/>
        <v>13.124578149636386</v>
      </c>
      <c r="W368" s="404">
        <f t="shared" si="136"/>
        <v>3.5445053848643941</v>
      </c>
      <c r="X368" s="157">
        <f t="shared" si="137"/>
        <v>45280</v>
      </c>
      <c r="Y368" s="387">
        <f t="shared" si="138"/>
        <v>3.4532417995311189</v>
      </c>
      <c r="Z368" s="387">
        <f t="shared" si="139"/>
        <v>3.6149894532868081</v>
      </c>
      <c r="AA368" s="388">
        <f t="shared" si="140"/>
        <v>4.027520383324565</v>
      </c>
      <c r="AB368" s="199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0.10242801793028496</v>
      </c>
      <c r="AD368" s="233">
        <f>(INDEX(Models!$BJ368:$BT368,,AH368)*(1-AF368)+INDEX(Models!$BJ368:$BT368,,AH368+1)*AF368-ERP_i)*AE368*Ramure*Pc/MaxiM</f>
        <v>0.18024351769405589</v>
      </c>
      <c r="AE368" s="307">
        <f t="shared" si="142"/>
        <v>1</v>
      </c>
      <c r="AF368" s="179">
        <f t="shared" si="143"/>
        <v>0.39975547392890398</v>
      </c>
      <c r="AG368" s="837">
        <f t="shared" si="149"/>
        <v>1</v>
      </c>
      <c r="AH368" s="178">
        <f t="shared" si="144"/>
        <v>7</v>
      </c>
      <c r="AI368" s="227">
        <f t="shared" si="145"/>
        <v>1.399755473928904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45281</v>
      </c>
      <c r="B369" s="1139">
        <f>IF(t&gt;Tmaj,'2022'!Wh/'2022'!Env_an*'2023'!Env_an,0.001*'[14]mon-tableau (2)'!$B$228)</f>
        <v>12.922143913165204</v>
      </c>
      <c r="C369" s="866"/>
      <c r="D369" s="395">
        <f t="shared" si="127"/>
        <v>13.527723740913517</v>
      </c>
      <c r="E369" s="387">
        <f t="shared" si="150"/>
        <v>14.686058119913747</v>
      </c>
      <c r="F369" s="387">
        <f t="shared" si="128"/>
        <v>17.824836845645965</v>
      </c>
      <c r="G369" s="110">
        <f t="shared" si="151"/>
        <v>0.97917425584250939</v>
      </c>
      <c r="H369" s="414" t="b">
        <f>Wh_hp&gt;='2022'!Maxi_hp</f>
        <v>0</v>
      </c>
      <c r="I369" s="392">
        <f>IF(H369,Wh_hp,'2022'!Maxi_hp)</f>
        <v>17.850386035050892</v>
      </c>
      <c r="J369" s="85">
        <f>IF(H369,An,'2022'!An_max)</f>
        <v>2022</v>
      </c>
      <c r="K369" s="199">
        <f t="shared" si="129"/>
        <v>45281</v>
      </c>
      <c r="L369" s="147">
        <f>IF(t&lt;Tvie,1-EXP((T0-t)*PertePVj)+'2022'!Pspv,1-EXP((T0-t)*PertePVj)+Pspv)</f>
        <v>4.4765833435582825E-2</v>
      </c>
      <c r="M369" s="870"/>
      <c r="N369" s="870"/>
      <c r="O369" s="48">
        <f>IF(t&lt;Tnet,'2022'!Resal+('2022'!Salim-'2022'!Resal)*(1-EXP(('2022'!Tnet-t)/('2022'!Tau_j))),Resal+(Salim-Resal)*(1-EXP((Tnet-t)/(Tau_j))))*Salcycl</f>
        <v>7.8873062433926583E-2</v>
      </c>
      <c r="P369" s="171">
        <f>(INDEX(Models!$BJ369:$BT369,,T369)*(1-R369)+INDEX(Models!$BJ369:$BT369,,T369+1)*R369-ERP_i)*Q369*Ramure*Pc/MaxiM</f>
        <v>0.18019040420059007</v>
      </c>
      <c r="Q369" s="307">
        <f t="shared" si="130"/>
        <v>1</v>
      </c>
      <c r="R369" s="179">
        <f t="shared" si="131"/>
        <v>0.3997656092073254</v>
      </c>
      <c r="S369" s="837">
        <f t="shared" si="132"/>
        <v>1</v>
      </c>
      <c r="T369" s="178">
        <f t="shared" si="133"/>
        <v>7</v>
      </c>
      <c r="U369" s="253">
        <f t="shared" si="134"/>
        <v>1.3997656092073254</v>
      </c>
      <c r="V369" s="385">
        <f t="shared" si="135"/>
        <v>13.131305490028797</v>
      </c>
      <c r="W369" s="404">
        <f t="shared" si="136"/>
        <v>12.922143913165204</v>
      </c>
      <c r="X369" s="157">
        <f t="shared" si="137"/>
        <v>45281</v>
      </c>
      <c r="Y369" s="387">
        <f t="shared" si="138"/>
        <v>12.590065066208549</v>
      </c>
      <c r="Z369" s="387">
        <f t="shared" si="139"/>
        <v>13.180082441449738</v>
      </c>
      <c r="AA369" s="388">
        <f t="shared" si="140"/>
        <v>14.686058119913747</v>
      </c>
      <c r="AB369" s="199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0.10254458113725994</v>
      </c>
      <c r="AD369" s="233">
        <f>(INDEX(Models!$BJ369:$BT369,,AH369)*(1-AF369)+INDEX(Models!$BJ369:$BT369,,AH369+1)*AF369-ERP_i)*AE369*Ramure*Pc/MaxiM</f>
        <v>0.18019040420059007</v>
      </c>
      <c r="AE369" s="307">
        <f t="shared" si="142"/>
        <v>1</v>
      </c>
      <c r="AF369" s="179">
        <f t="shared" si="143"/>
        <v>0.3997656092073254</v>
      </c>
      <c r="AG369" s="837">
        <f t="shared" si="149"/>
        <v>1</v>
      </c>
      <c r="AH369" s="178">
        <f t="shared" si="144"/>
        <v>7</v>
      </c>
      <c r="AI369" s="227">
        <f t="shared" si="145"/>
        <v>1.3997656092073254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45282</v>
      </c>
      <c r="B370" s="1139">
        <f>IF(t&gt;Tmaj,'2022'!Wh/'2022'!Env_an*'2023'!Env_an,0.001*'[14]mon-tableau (2)'!$B$229)</f>
        <v>11.463075434104068</v>
      </c>
      <c r="C370" s="866"/>
      <c r="D370" s="395">
        <f t="shared" si="127"/>
        <v>12.000557145116471</v>
      </c>
      <c r="E370" s="387">
        <f t="shared" si="150"/>
        <v>13.030490113592847</v>
      </c>
      <c r="F370" s="387">
        <f t="shared" si="128"/>
        <v>15.27732145799043</v>
      </c>
      <c r="G370" s="110">
        <f t="shared" si="151"/>
        <v>0.83821117782186938</v>
      </c>
      <c r="H370" s="414" t="b">
        <f>Wh_hp&gt;='2022'!Maxi_hp</f>
        <v>0</v>
      </c>
      <c r="I370" s="392">
        <f>IF(H370,Wh_hp,'2022'!Maxi_hp)</f>
        <v>17.758391649876643</v>
      </c>
      <c r="J370" s="85">
        <f>IF(H370,An,'2022'!An_max)</f>
        <v>2021</v>
      </c>
      <c r="K370" s="199">
        <f t="shared" si="129"/>
        <v>45282</v>
      </c>
      <c r="L370" s="147">
        <f>IF(t&lt;Tvie,1-EXP((T0-t)*PertePVj)+'2022'!Pspv,1-EXP((T0-t)*PertePVj)+Pspv)</f>
        <v>4.478806313014605E-2</v>
      </c>
      <c r="M370" s="870"/>
      <c r="N370" s="870"/>
      <c r="O370" s="48">
        <f>IF(t&lt;Tnet,'2022'!Resal+('2022'!Salim-'2022'!Resal)*(1-EXP(('2022'!Tnet-t)/('2022'!Tau_j))),Resal+(Salim-Resal)*(1-EXP((Tnet-t)/(Tau_j))))*Salcycl</f>
        <v>7.9040232523717127E-2</v>
      </c>
      <c r="P370" s="171">
        <f>(INDEX(Models!$BJ370:$BT370,,T370)*(1-R370)+INDEX(Models!$BJ370:$BT370,,T370+1)*R370-ERP_i)*Q370*Ramure*Pc/MaxiM</f>
        <v>0.18001532560257447</v>
      </c>
      <c r="Q370" s="307">
        <f t="shared" si="130"/>
        <v>1</v>
      </c>
      <c r="R370" s="179">
        <f t="shared" si="131"/>
        <v>0.39977533668564158</v>
      </c>
      <c r="S370" s="837">
        <f t="shared" si="132"/>
        <v>1</v>
      </c>
      <c r="T370" s="178">
        <f t="shared" si="133"/>
        <v>7</v>
      </c>
      <c r="U370" s="253">
        <f t="shared" si="134"/>
        <v>1.3997753366856416</v>
      </c>
      <c r="V370" s="385">
        <f t="shared" si="135"/>
        <v>13.147400830785399</v>
      </c>
      <c r="W370" s="404">
        <f t="shared" si="136"/>
        <v>11.463075434104068</v>
      </c>
      <c r="X370" s="157">
        <f t="shared" si="137"/>
        <v>45282</v>
      </c>
      <c r="Y370" s="387">
        <f t="shared" si="138"/>
        <v>11.169053778494517</v>
      </c>
      <c r="Z370" s="387">
        <f t="shared" si="139"/>
        <v>11.692749375698266</v>
      </c>
      <c r="AA370" s="388">
        <f t="shared" si="140"/>
        <v>13.030490113592847</v>
      </c>
      <c r="AB370" s="199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0.1026623500906622</v>
      </c>
      <c r="AD370" s="233">
        <f>(INDEX(Models!$BJ370:$BT370,,AH370)*(1-AF370)+INDEX(Models!$BJ370:$BT370,,AH370+1)*AF370-ERP_i)*AE370*Ramure*Pc/MaxiM</f>
        <v>0.18001532560257447</v>
      </c>
      <c r="AE370" s="307">
        <f t="shared" si="142"/>
        <v>1</v>
      </c>
      <c r="AF370" s="179">
        <f t="shared" si="143"/>
        <v>0.39977533668564158</v>
      </c>
      <c r="AG370" s="837">
        <f t="shared" si="149"/>
        <v>1</v>
      </c>
      <c r="AH370" s="178">
        <f t="shared" si="144"/>
        <v>7</v>
      </c>
      <c r="AI370" s="227">
        <f t="shared" si="145"/>
        <v>1.3997753366856416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45283</v>
      </c>
      <c r="B371" s="1139">
        <f>IF(t&gt;Tmaj,'2022'!Wh/'2022'!Env_an*'2023'!Env_an,0.001*'[14]mon-tableau (2)'!$B$230)</f>
        <v>12.012654733629832</v>
      </c>
      <c r="C371" s="866"/>
      <c r="D371" s="395">
        <f t="shared" si="127"/>
        <v>12.576197834719187</v>
      </c>
      <c r="E371" s="387">
        <f t="shared" si="150"/>
        <v>13.658023562802583</v>
      </c>
      <c r="F371" s="387">
        <f t="shared" si="128"/>
        <v>16.20367274179479</v>
      </c>
      <c r="G371" s="110">
        <f t="shared" si="151"/>
        <v>0.88745057701367114</v>
      </c>
      <c r="H371" s="414" t="b">
        <f>Wh_hp&gt;='2022'!Maxi_hp</f>
        <v>0</v>
      </c>
      <c r="I371" s="392">
        <f>IF(H371,Wh_hp,'2022'!Maxi_hp)</f>
        <v>16.329649322578813</v>
      </c>
      <c r="J371" s="85">
        <f>IF(H371,An,'2022'!An_max)</f>
        <v>2022</v>
      </c>
      <c r="K371" s="199">
        <f t="shared" si="129"/>
        <v>45283</v>
      </c>
      <c r="L371" s="147">
        <f>IF(t&lt;Tvie,1-EXP((T0-t)*PertePVj)+'2022'!Pspv,1-EXP((T0-t)*PertePVj)+Pspv)</f>
        <v>4.4810292307391864E-2</v>
      </c>
      <c r="M371" s="870"/>
      <c r="N371" s="870"/>
      <c r="O371" s="48">
        <f>IF(t&lt;Tnet,'2022'!Resal+('2022'!Salim-'2022'!Resal)*(1-EXP(('2022'!Tnet-t)/('2022'!Tau_j))),Resal+(Salim-Resal)*(1-EXP((Tnet-t)/(Tau_j))))*Salcycl</f>
        <v>7.9208073050168998E-2</v>
      </c>
      <c r="P371" s="171">
        <f>(INDEX(Models!$BJ371:$BT371,,T371)*(1-R371)+INDEX(Models!$BJ371:$BT371,,T371+1)*R371-ERP_i)*Q371*Ramure*Pc/MaxiM</f>
        <v>0.17971766277042733</v>
      </c>
      <c r="Q371" s="307">
        <f t="shared" si="130"/>
        <v>1</v>
      </c>
      <c r="R371" s="179">
        <f t="shared" si="131"/>
        <v>0.39977533668564158</v>
      </c>
      <c r="S371" s="837">
        <f t="shared" si="132"/>
        <v>1</v>
      </c>
      <c r="T371" s="178">
        <f t="shared" si="133"/>
        <v>7</v>
      </c>
      <c r="U371" s="253">
        <f t="shared" si="134"/>
        <v>1.3997753366856416</v>
      </c>
      <c r="V371" s="385">
        <f t="shared" si="135"/>
        <v>13.172972482173757</v>
      </c>
      <c r="W371" s="404">
        <f t="shared" si="136"/>
        <v>12.012654733629832</v>
      </c>
      <c r="X371" s="157">
        <f t="shared" si="137"/>
        <v>45283</v>
      </c>
      <c r="Y371" s="387">
        <f t="shared" si="138"/>
        <v>11.70511946027422</v>
      </c>
      <c r="Z371" s="387">
        <f t="shared" si="139"/>
        <v>12.254235327293824</v>
      </c>
      <c r="AA371" s="388">
        <f t="shared" si="140"/>
        <v>13.658023562802581</v>
      </c>
      <c r="AB371" s="199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0.10278121347893648</v>
      </c>
      <c r="AD371" s="233">
        <f>(INDEX(Models!$BJ371:$BT371,,AH371)*(1-AF371)+INDEX(Models!$BJ371:$BT371,,AH371+1)*AF371-ERP_i)*AE371*Ramure*Pc/MaxiM</f>
        <v>0.17971766277042733</v>
      </c>
      <c r="AE371" s="307">
        <f t="shared" si="142"/>
        <v>1</v>
      </c>
      <c r="AF371" s="179">
        <f t="shared" si="143"/>
        <v>0.39977533668564158</v>
      </c>
      <c r="AG371" s="837">
        <f t="shared" si="149"/>
        <v>1</v>
      </c>
      <c r="AH371" s="178">
        <f t="shared" si="144"/>
        <v>7</v>
      </c>
      <c r="AI371" s="227">
        <f t="shared" si="145"/>
        <v>1.3997753366856416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45284</v>
      </c>
      <c r="B372" s="1139">
        <f>IF(t&gt;Tmaj,'2022'!Wh/'2022'!Env_an*'2023'!Env_an,0.001*'[14]mon-tableau (2)'!$B$231)</f>
        <v>13.681095642752604</v>
      </c>
      <c r="C372" s="866"/>
      <c r="D372" s="395">
        <f t="shared" si="127"/>
        <v>14.323242722425954</v>
      </c>
      <c r="E372" s="387">
        <f t="shared" si="150"/>
        <v>15.55819810210537</v>
      </c>
      <c r="F372" s="387">
        <f t="shared" si="128"/>
        <v>18.957181052151114</v>
      </c>
      <c r="G372" s="110">
        <f t="shared" si="151"/>
        <v>1.0358096498659235</v>
      </c>
      <c r="H372" s="414" t="b">
        <f>Wh_hp&gt;='2022'!Maxi_hp</f>
        <v>1</v>
      </c>
      <c r="I372" s="392">
        <f>IF(H372,Wh_hp,'2022'!Maxi_hp)</f>
        <v>18.957181052151114</v>
      </c>
      <c r="J372" s="85">
        <f>IF(H372,An,'2022'!An_max)</f>
        <v>2023</v>
      </c>
      <c r="K372" s="199">
        <f t="shared" si="129"/>
        <v>45284</v>
      </c>
      <c r="L372" s="147">
        <f>IF(t&lt;Tvie,1-EXP((T0-t)*PertePVj)+'2022'!Pspv,1-EXP((T0-t)*PertePVj)+Pspv)</f>
        <v>4.4832520967332257E-2</v>
      </c>
      <c r="M372" s="870"/>
      <c r="N372" s="870"/>
      <c r="O372" s="48">
        <f>IF(t&lt;Tnet,'2022'!Resal+('2022'!Salim-'2022'!Resal)*(1-EXP(('2022'!Tnet-t)/('2022'!Tau_j))),Resal+(Salim-Resal)*(1-EXP((Tnet-t)/(Tau_j))))*Salcycl</f>
        <v>7.9376504372463255E-2</v>
      </c>
      <c r="P372" s="171">
        <f>(INDEX(Models!$BJ372:$BT372,,T372)*(1-R372)+INDEX(Models!$BJ372:$BT372,,T372+1)*R372-ERP_i)*Q372*Ramure*Pc/MaxiM</f>
        <v>0.17929791041691051</v>
      </c>
      <c r="Q372" s="307">
        <f t="shared" si="130"/>
        <v>1</v>
      </c>
      <c r="R372" s="179">
        <f t="shared" si="131"/>
        <v>0.39977533668564158</v>
      </c>
      <c r="S372" s="837">
        <f t="shared" si="132"/>
        <v>1</v>
      </c>
      <c r="T372" s="178">
        <f t="shared" si="133"/>
        <v>7</v>
      </c>
      <c r="U372" s="253">
        <f t="shared" si="134"/>
        <v>1.3997753366856416</v>
      </c>
      <c r="V372" s="385">
        <f t="shared" si="135"/>
        <v>13.208117576934622</v>
      </c>
      <c r="W372" s="404">
        <f t="shared" si="136"/>
        <v>13.681095642752604</v>
      </c>
      <c r="X372" s="157">
        <f t="shared" si="137"/>
        <v>45284</v>
      </c>
      <c r="Y372" s="387">
        <f t="shared" si="138"/>
        <v>13.331504582129895</v>
      </c>
      <c r="Z372" s="387">
        <f t="shared" si="139"/>
        <v>13.957242970239299</v>
      </c>
      <c r="AA372" s="388">
        <f t="shared" si="140"/>
        <v>15.558198102105369</v>
      </c>
      <c r="AB372" s="199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0.10290106356528686</v>
      </c>
      <c r="AD372" s="233">
        <f>(INDEX(Models!$BJ372:$BT372,,AH372)*(1-AF372)+INDEX(Models!$BJ372:$BT372,,AH372+1)*AF372-ERP_i)*AE372*Ramure*Pc/MaxiM</f>
        <v>0.17929791041691051</v>
      </c>
      <c r="AE372" s="307">
        <f t="shared" si="142"/>
        <v>1</v>
      </c>
      <c r="AF372" s="179">
        <f t="shared" si="143"/>
        <v>0.39977533668564158</v>
      </c>
      <c r="AG372" s="837">
        <f t="shared" si="149"/>
        <v>1</v>
      </c>
      <c r="AH372" s="178">
        <f t="shared" si="144"/>
        <v>7</v>
      </c>
      <c r="AI372" s="227">
        <f t="shared" si="145"/>
        <v>1.3997753366856416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45285</v>
      </c>
      <c r="B373" s="1139">
        <f>IF(t&gt;Tmaj,'2022'!Wh/'2022'!Env_an*'2023'!Env_an,0.001*'[14]mon-tableau (2)'!$B$232)</f>
        <v>7.7360577238107311</v>
      </c>
      <c r="C373" s="866"/>
      <c r="D373" s="395">
        <f t="shared" si="127"/>
        <v>8.0993521316282937</v>
      </c>
      <c r="E373" s="387">
        <f t="shared" si="150"/>
        <v>8.7992960963631361</v>
      </c>
      <c r="F373" s="387">
        <f t="shared" si="128"/>
        <v>9.4865904013488755</v>
      </c>
      <c r="G373" s="110">
        <f t="shared" si="151"/>
        <v>0.5168142121142616</v>
      </c>
      <c r="H373" s="414" t="b">
        <f>Wh_hp&gt;='2022'!Maxi_hp</f>
        <v>0</v>
      </c>
      <c r="I373" s="392">
        <f>IF(H373,Wh_hp,'2022'!Maxi_hp)</f>
        <v>13.907050225818837</v>
      </c>
      <c r="J373" s="85">
        <f>IF(H373,An,'2022'!An_max)</f>
        <v>2018</v>
      </c>
      <c r="K373" s="199">
        <f t="shared" si="129"/>
        <v>45285</v>
      </c>
      <c r="L373" s="147">
        <f>IF(t&lt;Tvie,1-EXP((T0-t)*PertePVj)+'2022'!Pspv,1-EXP((T0-t)*PertePVj)+Pspv)</f>
        <v>4.4854749109979219E-2</v>
      </c>
      <c r="M373" s="870"/>
      <c r="N373" s="870"/>
      <c r="O373" s="48">
        <f>IF(t&lt;Tnet,'2022'!Resal+('2022'!Salim-'2022'!Resal)*(1-EXP(('2022'!Tnet-t)/('2022'!Tau_j))),Resal+(Salim-Resal)*(1-EXP((Tnet-t)/(Tau_j))))*Salcycl</f>
        <v>7.9545449666608925E-2</v>
      </c>
      <c r="P373" s="171">
        <f>(INDEX(Models!$BJ373:$BT373,,T373)*(1-R373)+INDEX(Models!$BJ373:$BT373,,T373+1)*R373-ERP_i)*Q373*Ramure*Pc/MaxiM</f>
        <v>0.17875299338503001</v>
      </c>
      <c r="Q373" s="307">
        <f t="shared" si="130"/>
        <v>1</v>
      </c>
      <c r="R373" s="179">
        <f t="shared" si="131"/>
        <v>0.39977533668564158</v>
      </c>
      <c r="S373" s="837">
        <f t="shared" si="132"/>
        <v>1</v>
      </c>
      <c r="T373" s="178">
        <f t="shared" si="133"/>
        <v>7</v>
      </c>
      <c r="U373" s="253">
        <f t="shared" si="134"/>
        <v>1.3997753366856416</v>
      </c>
      <c r="V373" s="385">
        <f t="shared" si="135"/>
        <v>13.253215840377772</v>
      </c>
      <c r="W373" s="404">
        <f t="shared" si="136"/>
        <v>7.7360577238107311</v>
      </c>
      <c r="X373" s="157">
        <f t="shared" si="137"/>
        <v>45285</v>
      </c>
      <c r="Y373" s="387">
        <f t="shared" si="138"/>
        <v>7.5387482794508651</v>
      </c>
      <c r="Z373" s="387">
        <f t="shared" si="139"/>
        <v>7.8927768027178375</v>
      </c>
      <c r="AA373" s="388">
        <f t="shared" si="140"/>
        <v>8.7992960963631361</v>
      </c>
      <c r="AB373" s="199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0.10302179671166822</v>
      </c>
      <c r="AD373" s="233">
        <f>(INDEX(Models!$BJ373:$BT373,,AH373)*(1-AF373)+INDEX(Models!$BJ373:$BT373,,AH373+1)*AF373-ERP_i)*AE373*Ramure*Pc/MaxiM</f>
        <v>0.17875299338503001</v>
      </c>
      <c r="AE373" s="307">
        <f t="shared" si="142"/>
        <v>1</v>
      </c>
      <c r="AF373" s="179">
        <f t="shared" si="143"/>
        <v>0.39977533668564158</v>
      </c>
      <c r="AG373" s="837">
        <f t="shared" si="149"/>
        <v>1</v>
      </c>
      <c r="AH373" s="178">
        <f t="shared" si="144"/>
        <v>7</v>
      </c>
      <c r="AI373" s="227">
        <f t="shared" si="145"/>
        <v>1.3997753366856416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45286</v>
      </c>
      <c r="B374" s="1139">
        <f>IF(t&gt;Tmaj,'2022'!Wh/'2022'!Env_an*'2023'!Env_an,0.001*'[14]mon-tableau (2)'!$B$233)</f>
        <v>12.035325550341776</v>
      </c>
      <c r="C374" s="866"/>
      <c r="D374" s="395">
        <f t="shared" si="127"/>
        <v>12.600811892487389</v>
      </c>
      <c r="E374" s="387">
        <f t="shared" si="150"/>
        <v>13.692290581150402</v>
      </c>
      <c r="F374" s="387">
        <f t="shared" si="128"/>
        <v>16.179890789268512</v>
      </c>
      <c r="G374" s="110">
        <f t="shared" si="151"/>
        <v>0.87833245989560416</v>
      </c>
      <c r="H374" s="414" t="b">
        <f>Wh_hp&gt;='2022'!Maxi_hp</f>
        <v>0</v>
      </c>
      <c r="I374" s="392">
        <f>IF(H374,Wh_hp,'2022'!Maxi_hp)</f>
        <v>17.58318067946076</v>
      </c>
      <c r="J374" s="85">
        <f>IF(H374,An,'2022'!An_max)</f>
        <v>2018</v>
      </c>
      <c r="K374" s="199">
        <f t="shared" si="129"/>
        <v>45286</v>
      </c>
      <c r="L374" s="147">
        <f>IF(t&lt;Tvie,1-EXP((T0-t)*PertePVj)+'2022'!Pspv,1-EXP((T0-t)*PertePVj)+Pspv)</f>
        <v>4.4876976735344853E-2</v>
      </c>
      <c r="M374" s="870"/>
      <c r="N374" s="870"/>
      <c r="O374" s="48">
        <f>IF(t&lt;Tnet,'2022'!Resal+('2022'!Salim-'2022'!Resal)*(1-EXP(('2022'!Tnet-t)/('2022'!Tau_j))),Resal+(Salim-Resal)*(1-EXP((Tnet-t)/(Tau_j))))*Salcycl</f>
        <v>7.9714835307804974E-2</v>
      </c>
      <c r="P374" s="171">
        <f>(INDEX(Models!$BJ374:$BT374,,T374)*(1-R374)+INDEX(Models!$BJ374:$BT374,,T374+1)*R374-ERP_i)*Q374*Ramure*Pc/MaxiM</f>
        <v>0.17808287876437751</v>
      </c>
      <c r="Q374" s="307">
        <f t="shared" si="130"/>
        <v>1</v>
      </c>
      <c r="R374" s="179">
        <f t="shared" si="131"/>
        <v>0.39977533668564158</v>
      </c>
      <c r="S374" s="837">
        <f t="shared" si="132"/>
        <v>1</v>
      </c>
      <c r="T374" s="178">
        <f t="shared" si="133"/>
        <v>7</v>
      </c>
      <c r="U374" s="253">
        <f t="shared" si="134"/>
        <v>1.3997753366856416</v>
      </c>
      <c r="V374" s="385">
        <f t="shared" si="135"/>
        <v>13.308417453078059</v>
      </c>
      <c r="W374" s="404">
        <f t="shared" si="136"/>
        <v>12.035325550341776</v>
      </c>
      <c r="X374" s="157">
        <f t="shared" si="137"/>
        <v>45286</v>
      </c>
      <c r="Y374" s="387">
        <f t="shared" si="138"/>
        <v>11.728932078827707</v>
      </c>
      <c r="Z374" s="387">
        <f t="shared" si="139"/>
        <v>12.280022356426578</v>
      </c>
      <c r="AA374" s="388">
        <f t="shared" si="140"/>
        <v>13.692290581150402</v>
      </c>
      <c r="AB374" s="199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0.10314331384903808</v>
      </c>
      <c r="AD374" s="233">
        <f>(INDEX(Models!$BJ374:$BT374,,AH374)*(1-AF374)+INDEX(Models!$BJ374:$BT374,,AH374+1)*AF374-ERP_i)*AE374*Ramure*Pc/MaxiM</f>
        <v>0.17808287876437751</v>
      </c>
      <c r="AE374" s="307">
        <f t="shared" si="142"/>
        <v>1</v>
      </c>
      <c r="AF374" s="179">
        <f t="shared" si="143"/>
        <v>0.39977533668564158</v>
      </c>
      <c r="AG374" s="837">
        <f t="shared" si="149"/>
        <v>1</v>
      </c>
      <c r="AH374" s="178">
        <f t="shared" si="144"/>
        <v>7</v>
      </c>
      <c r="AI374" s="227">
        <f t="shared" si="145"/>
        <v>1.3997753366856416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45287</v>
      </c>
      <c r="B375" s="1139">
        <f>IF(t&gt;Tmaj,'2022'!Wh/'2022'!Env_an*'2023'!Env_an,0.001*'[14]mon-tableau (2)'!$B$234)</f>
        <v>5.736766772439915</v>
      </c>
      <c r="C375" s="866"/>
      <c r="D375" s="395">
        <f t="shared" si="127"/>
        <v>6.0064516703633357</v>
      </c>
      <c r="E375" s="387">
        <f t="shared" si="150"/>
        <v>6.5279329234029957</v>
      </c>
      <c r="F375" s="387">
        <f t="shared" si="128"/>
        <v>6.7482125065046876</v>
      </c>
      <c r="G375" s="110">
        <f t="shared" si="151"/>
        <v>0.3648220431471666</v>
      </c>
      <c r="H375" s="414" t="b">
        <f>Wh_hp&gt;='2022'!Maxi_hp</f>
        <v>0</v>
      </c>
      <c r="I375" s="392">
        <f>IF(H375,Wh_hp,'2022'!Maxi_hp)</f>
        <v>17.819544852558497</v>
      </c>
      <c r="J375" s="85">
        <f>IF(H375,An,'2022'!An_max)</f>
        <v>2018</v>
      </c>
      <c r="K375" s="199">
        <f t="shared" si="129"/>
        <v>45287</v>
      </c>
      <c r="L375" s="147">
        <f>IF(t&lt;Tvie,1-EXP((T0-t)*PertePVj)+'2022'!Pspv,1-EXP((T0-t)*PertePVj)+Pspv)</f>
        <v>4.4899203843441149E-2</v>
      </c>
      <c r="M375" s="870"/>
      <c r="N375" s="870"/>
      <c r="O375" s="48">
        <f>IF(t&lt;Tnet,'2022'!Resal+('2022'!Salim-'2022'!Resal)*(1-EXP(('2022'!Tnet-t)/('2022'!Tau_j))),Resal+(Salim-Resal)*(1-EXP((Tnet-t)/(Tau_j))))*Salcycl</f>
        <v>7.9884591211119987E-2</v>
      </c>
      <c r="P375" s="171">
        <f>(INDEX(Models!$BJ375:$BT375,,T375)*(1-R375)+INDEX(Models!$BJ375:$BT375,,T375+1)*R375-ERP_i)*Q375*Ramure*Pc/MaxiM</f>
        <v>0.17722569487741471</v>
      </c>
      <c r="Q375" s="307">
        <f t="shared" si="130"/>
        <v>1</v>
      </c>
      <c r="R375" s="179">
        <f t="shared" si="131"/>
        <v>0.39977533668564158</v>
      </c>
      <c r="S375" s="837">
        <f t="shared" si="132"/>
        <v>1</v>
      </c>
      <c r="T375" s="178">
        <f t="shared" si="133"/>
        <v>7</v>
      </c>
      <c r="U375" s="253">
        <f t="shared" si="134"/>
        <v>1.3997753366856416</v>
      </c>
      <c r="V375" s="385">
        <f t="shared" si="135"/>
        <v>13.374572533730385</v>
      </c>
      <c r="W375" s="404">
        <f t="shared" si="136"/>
        <v>5.736766772439915</v>
      </c>
      <c r="X375" s="157">
        <f t="shared" si="137"/>
        <v>45287</v>
      </c>
      <c r="Y375" s="387">
        <f t="shared" si="138"/>
        <v>5.5909905586983175</v>
      </c>
      <c r="Z375" s="387">
        <f t="shared" si="139"/>
        <v>5.8538225297237103</v>
      </c>
      <c r="AA375" s="388">
        <f t="shared" si="140"/>
        <v>6.5279329234029957</v>
      </c>
      <c r="AB375" s="199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0.10326552089139319</v>
      </c>
      <c r="AD375" s="233">
        <f>(INDEX(Models!$BJ375:$BT375,,AH375)*(1-AF375)+INDEX(Models!$BJ375:$BT375,,AH375+1)*AF375-ERP_i)*AE375*Ramure*Pc/MaxiM</f>
        <v>0.17722569487741471</v>
      </c>
      <c r="AE375" s="307">
        <f t="shared" si="142"/>
        <v>1</v>
      </c>
      <c r="AF375" s="179">
        <f t="shared" si="143"/>
        <v>0.39977533668564158</v>
      </c>
      <c r="AG375" s="837">
        <f t="shared" si="149"/>
        <v>1</v>
      </c>
      <c r="AH375" s="178">
        <f t="shared" si="144"/>
        <v>7</v>
      </c>
      <c r="AI375" s="227">
        <f t="shared" si="145"/>
        <v>1.3997753366856416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45288</v>
      </c>
      <c r="B376" s="1139">
        <f>IF(t&gt;Tmaj,'2022'!Wh/'2022'!Env_an*'2023'!Env_an,0.001*'[14]mon-tableau (2)'!$B$235)</f>
        <v>12.772232429747474</v>
      </c>
      <c r="C376" s="866"/>
      <c r="D376" s="395">
        <f t="shared" si="127"/>
        <v>13.372965153594732</v>
      </c>
      <c r="E376" s="387">
        <f t="shared" si="150"/>
        <v>14.536695217821395</v>
      </c>
      <c r="F376" s="387">
        <f t="shared" si="128"/>
        <v>17.377858179345573</v>
      </c>
      <c r="G376" s="110">
        <f t="shared" si="151"/>
        <v>0.93509721234191512</v>
      </c>
      <c r="H376" s="414" t="b">
        <f>Wh_hp&gt;='2022'!Maxi_hp</f>
        <v>0</v>
      </c>
      <c r="I376" s="392">
        <f>IF(H376,Wh_hp,'2022'!Maxi_hp)</f>
        <v>17.454162146130681</v>
      </c>
      <c r="J376" s="85">
        <f>IF(H376,An,'2022'!An_max)</f>
        <v>2022</v>
      </c>
      <c r="K376" s="199">
        <f t="shared" si="129"/>
        <v>45288</v>
      </c>
      <c r="L376" s="147">
        <f>IF(t&lt;Tvie,1-EXP((T0-t)*PertePVj)+'2022'!Pspv,1-EXP((T0-t)*PertePVj)+Pspv)</f>
        <v>4.4921430434280096E-2</v>
      </c>
      <c r="M376" s="870"/>
      <c r="N376" s="870"/>
      <c r="O376" s="48">
        <f>IF(t&lt;Tnet,'2022'!Resal+('2022'!Salim-'2022'!Resal)*(1-EXP(('2022'!Tnet-t)/('2022'!Tau_j))),Resal+(Salim-Resal)*(1-EXP((Tnet-t)/(Tau_j))))*Salcycl</f>
        <v>8.0054651128681389E-2</v>
      </c>
      <c r="P376" s="171">
        <f>(INDEX(Models!$BJ376:$BT376,,T376)*(1-R376)+INDEX(Models!$BJ376:$BT376,,T376+1)*R376-ERP_i)*Q376*Ramure*Pc/MaxiM</f>
        <v>0.17619971357674699</v>
      </c>
      <c r="Q376" s="307">
        <f t="shared" si="130"/>
        <v>1</v>
      </c>
      <c r="R376" s="179">
        <f t="shared" si="131"/>
        <v>0.39977533668564158</v>
      </c>
      <c r="S376" s="837">
        <f t="shared" si="132"/>
        <v>1</v>
      </c>
      <c r="T376" s="178">
        <f t="shared" si="133"/>
        <v>7</v>
      </c>
      <c r="U376" s="253">
        <f t="shared" si="134"/>
        <v>1.3997753366856416</v>
      </c>
      <c r="V376" s="385">
        <f t="shared" si="135"/>
        <v>13.451247176735322</v>
      </c>
      <c r="W376" s="404">
        <f t="shared" si="136"/>
        <v>12.772232429747474</v>
      </c>
      <c r="X376" s="157">
        <f t="shared" si="137"/>
        <v>45288</v>
      </c>
      <c r="Y376" s="387">
        <f t="shared" si="138"/>
        <v>12.448274969937803</v>
      </c>
      <c r="Z376" s="387">
        <f t="shared" si="139"/>
        <v>13.033770588736076</v>
      </c>
      <c r="AA376" s="388">
        <f t="shared" si="140"/>
        <v>14.536695217821393</v>
      </c>
      <c r="AB376" s="199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0.10338832909166273</v>
      </c>
      <c r="AD376" s="233">
        <f>(INDEX(Models!$BJ376:$BT376,,AH376)*(1-AF376)+INDEX(Models!$BJ376:$BT376,,AH376+1)*AF376-ERP_i)*AE376*Ramure*Pc/MaxiM</f>
        <v>0.17619971357674699</v>
      </c>
      <c r="AE376" s="307">
        <f t="shared" si="142"/>
        <v>1</v>
      </c>
      <c r="AF376" s="179">
        <f t="shared" si="143"/>
        <v>0.39977533668564158</v>
      </c>
      <c r="AG376" s="837">
        <f t="shared" si="149"/>
        <v>1</v>
      </c>
      <c r="AH376" s="178">
        <f t="shared" si="144"/>
        <v>7</v>
      </c>
      <c r="AI376" s="227">
        <f t="shared" si="145"/>
        <v>1.3997753366856416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45289</v>
      </c>
      <c r="B377" s="1139">
        <f>IF(t&gt;Tmaj,'2022'!Wh/'2022'!Env_an*'2023'!Env_an,0.001*'[14]mon-tableau (2)'!$B$236)</f>
        <v>8.5878579629534837</v>
      </c>
      <c r="C377" s="866"/>
      <c r="D377" s="395">
        <f t="shared" si="127"/>
        <v>8.9919909139101861</v>
      </c>
      <c r="E377" s="387">
        <f t="shared" si="150"/>
        <v>9.7762936081826748</v>
      </c>
      <c r="F377" s="387">
        <f t="shared" si="128"/>
        <v>10.668043457984496</v>
      </c>
      <c r="G377" s="110">
        <f t="shared" si="151"/>
        <v>0.57106068032840007</v>
      </c>
      <c r="H377" s="414" t="b">
        <f>Wh_hp&gt;='2022'!Maxi_hp</f>
        <v>0</v>
      </c>
      <c r="I377" s="392">
        <f>IF(H377,Wh_hp,'2022'!Maxi_hp)</f>
        <v>19.042847861253957</v>
      </c>
      <c r="J377" s="85">
        <f>IF(H377,An,'2022'!An_max)</f>
        <v>2019</v>
      </c>
      <c r="K377" s="199">
        <f t="shared" si="129"/>
        <v>45289</v>
      </c>
      <c r="L377" s="147">
        <f>IF(t&lt;Tvie,1-EXP((T0-t)*PertePVj)+'2022'!Pspv,1-EXP((T0-t)*PertePVj)+Pspv)</f>
        <v>4.4943656507873908E-2</v>
      </c>
      <c r="M377" s="870"/>
      <c r="N377" s="870"/>
      <c r="O377" s="48">
        <f>IF(t&lt;Tnet,'2022'!Resal+('2022'!Salim-'2022'!Resal)*(1-EXP(('2022'!Tnet-t)/('2022'!Tau_j))),Resal+(Salim-Resal)*(1-EXP((Tnet-t)/(Tau_j))))*Salcycl</f>
        <v>8.0224952901990679E-2</v>
      </c>
      <c r="P377" s="171">
        <f>(INDEX(Models!$BJ377:$BT377,,T377)*(1-R377)+INDEX(Models!$BJ377:$BT377,,T377+1)*R377-ERP_i)*Q377*Ramure*Pc/MaxiM</f>
        <v>0.17501095671785746</v>
      </c>
      <c r="Q377" s="307">
        <f t="shared" si="130"/>
        <v>1</v>
      </c>
      <c r="R377" s="179">
        <f t="shared" si="131"/>
        <v>0.39977533668564158</v>
      </c>
      <c r="S377" s="837">
        <f t="shared" si="132"/>
        <v>1</v>
      </c>
      <c r="T377" s="178">
        <f t="shared" si="133"/>
        <v>7</v>
      </c>
      <c r="U377" s="253">
        <f t="shared" si="134"/>
        <v>1.3997753366856416</v>
      </c>
      <c r="V377" s="385">
        <f t="shared" si="135"/>
        <v>13.538212146306325</v>
      </c>
      <c r="W377" s="404">
        <f t="shared" si="136"/>
        <v>8.5878579629534837</v>
      </c>
      <c r="X377" s="157">
        <f t="shared" si="137"/>
        <v>45289</v>
      </c>
      <c r="Y377" s="387">
        <f t="shared" si="138"/>
        <v>8.370432089553578</v>
      </c>
      <c r="Z377" s="387">
        <f t="shared" si="139"/>
        <v>8.764333273728564</v>
      </c>
      <c r="AA377" s="388">
        <f t="shared" si="140"/>
        <v>9.7762936081826748</v>
      </c>
      <c r="AB377" s="199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0.10351165533808321</v>
      </c>
      <c r="AD377" s="233">
        <f>(INDEX(Models!$BJ377:$BT377,,AH377)*(1-AF377)+INDEX(Models!$BJ377:$BT377,,AH377+1)*AF377-ERP_i)*AE377*Ramure*Pc/MaxiM</f>
        <v>0.17501095671785746</v>
      </c>
      <c r="AE377" s="307">
        <f t="shared" si="142"/>
        <v>1</v>
      </c>
      <c r="AF377" s="179">
        <f t="shared" si="143"/>
        <v>0.39977533668564158</v>
      </c>
      <c r="AG377" s="837">
        <f t="shared" si="149"/>
        <v>1</v>
      </c>
      <c r="AH377" s="178">
        <f t="shared" si="144"/>
        <v>7</v>
      </c>
      <c r="AI377" s="227">
        <f t="shared" si="145"/>
        <v>1.3997753366856416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45290</v>
      </c>
      <c r="B378" s="1139">
        <f>IF(t&gt;Tmaj,'2022'!Wh/'2022'!Env_an*'2023'!Env_an,0.001*'[14]mon-tableau (2)'!$B$237)</f>
        <v>10.922855010013864</v>
      </c>
      <c r="C378" s="866"/>
      <c r="D378" s="395">
        <f t="shared" si="127"/>
        <v>11.437135914707209</v>
      </c>
      <c r="E378" s="387">
        <f t="shared" si="150"/>
        <v>12.437015208087097</v>
      </c>
      <c r="F378" s="387">
        <f t="shared" si="128"/>
        <v>14.202593847164964</v>
      </c>
      <c r="G378" s="110">
        <f t="shared" si="151"/>
        <v>0.75592840172620035</v>
      </c>
      <c r="H378" s="414" t="b">
        <f>Wh_hp&gt;='2022'!Maxi_hp</f>
        <v>0</v>
      </c>
      <c r="I378" s="392">
        <f>IF(H378,Wh_hp,'2022'!Maxi_hp)</f>
        <v>18.153924992563482</v>
      </c>
      <c r="J378" s="85">
        <f>IF(H378,An,'2022'!An_max)</f>
        <v>2019</v>
      </c>
      <c r="K378" s="199">
        <f t="shared" si="129"/>
        <v>45290</v>
      </c>
      <c r="L378" s="147">
        <f>IF(t&lt;Tvie,1-EXP((T0-t)*PertePVj)+'2022'!Pspv,1-EXP((T0-t)*PertePVj)+Pspv)</f>
        <v>4.4965882064234464E-2</v>
      </c>
      <c r="M378" s="870"/>
      <c r="N378" s="870"/>
      <c r="O378" s="48">
        <f>IF(t&lt;Tnet,'2022'!Resal+('2022'!Salim-'2022'!Resal)*(1-EXP(('2022'!Tnet-t)/('2022'!Tau_j))),Resal+(Salim-Resal)*(1-EXP((Tnet-t)/(Tau_j))))*Salcycl</f>
        <v>8.0395438668413102E-2</v>
      </c>
      <c r="P378" s="171">
        <f>(INDEX(Models!$BJ378:$BT378,,T378)*(1-R378)+INDEX(Models!$BJ378:$BT378,,T378+1)*R378-ERP_i)*Q378*Ramure*Pc/MaxiM</f>
        <v>0.1736657983954126</v>
      </c>
      <c r="Q378" s="307">
        <f t="shared" si="130"/>
        <v>1</v>
      </c>
      <c r="R378" s="179">
        <f t="shared" si="131"/>
        <v>0.39977533668564158</v>
      </c>
      <c r="S378" s="837">
        <f t="shared" si="132"/>
        <v>1</v>
      </c>
      <c r="T378" s="178">
        <f t="shared" si="133"/>
        <v>7</v>
      </c>
      <c r="U378" s="253">
        <f t="shared" si="134"/>
        <v>1.3997753366856416</v>
      </c>
      <c r="V378" s="385">
        <f t="shared" si="135"/>
        <v>13.635238430849917</v>
      </c>
      <c r="W378" s="404">
        <f t="shared" si="136"/>
        <v>10.922855010013864</v>
      </c>
      <c r="X378" s="157">
        <f t="shared" si="137"/>
        <v>45290</v>
      </c>
      <c r="Y378" s="387">
        <f t="shared" si="138"/>
        <v>10.646815739111339</v>
      </c>
      <c r="Z378" s="387">
        <f t="shared" si="139"/>
        <v>11.148099883723139</v>
      </c>
      <c r="AA378" s="388">
        <f t="shared" si="140"/>
        <v>12.437015208087097</v>
      </c>
      <c r="AB378" s="199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0.10363542239024089</v>
      </c>
      <c r="AD378" s="233">
        <f>(INDEX(Models!$BJ378:$BT378,,AH378)*(1-AF378)+INDEX(Models!$BJ378:$BT378,,AH378+1)*AF378-ERP_i)*AE378*Ramure*Pc/MaxiM</f>
        <v>0.1736657983954126</v>
      </c>
      <c r="AE378" s="307">
        <f t="shared" si="142"/>
        <v>1</v>
      </c>
      <c r="AF378" s="179">
        <f t="shared" si="143"/>
        <v>0.39977533668564158</v>
      </c>
      <c r="AG378" s="837">
        <f t="shared" si="149"/>
        <v>1</v>
      </c>
      <c r="AH378" s="178">
        <f t="shared" si="144"/>
        <v>7</v>
      </c>
      <c r="AI378" s="227">
        <f t="shared" si="145"/>
        <v>1.3997753366856416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45291</v>
      </c>
      <c r="B379" s="1139">
        <f>IF(t&gt;Tmaj,'2022'!Wh/'2022'!Env_an*'2023'!Env_an,0.001*'[14]mon-tableau (2)'!$B$238)</f>
        <v>8.5336564181030994</v>
      </c>
      <c r="C379" s="866"/>
      <c r="D379" s="395">
        <f t="shared" si="127"/>
        <v>8.9356546044885885</v>
      </c>
      <c r="E379" s="387">
        <f t="shared" si="150"/>
        <v>9.7186477106801306</v>
      </c>
      <c r="F379" s="387">
        <f t="shared" si="128"/>
        <v>10.551697105608525</v>
      </c>
      <c r="G379" s="110">
        <f t="shared" si="151"/>
        <v>0.55813505631247617</v>
      </c>
      <c r="H379" s="414" t="b">
        <f>Wh_hp&gt;='2022'!Maxi_hp</f>
        <v>0</v>
      </c>
      <c r="I379" s="392">
        <f>IF(H379,Wh_hp,'2022'!Maxi_hp)</f>
        <v>18.304438481335758</v>
      </c>
      <c r="J379" s="85">
        <f>IF(H379,An,'2022'!An_max)</f>
        <v>2021</v>
      </c>
      <c r="K379" s="199">
        <f t="shared" si="129"/>
        <v>45291</v>
      </c>
      <c r="L379" s="147">
        <f>IF(t&lt;Tvie,1-EXP((T0-t)*PertePVj)+'2022'!Pspv,1-EXP((T0-t)*PertePVj)+Pspv)</f>
        <v>4.4988107103373975E-2</v>
      </c>
      <c r="M379" s="870"/>
      <c r="N379" s="870"/>
      <c r="O379" s="48">
        <f>IF(t&lt;Tnet,'2022'!Resal+('2022'!Salim-'2022'!Resal)*(1-EXP(('2022'!Tnet-t)/('2022'!Tau_j))),Resal+(Salim-Resal)*(1-EXP((Tnet-t)/(Tau_j))))*Salcycl</f>
        <v>8.0566055021326258E-2</v>
      </c>
      <c r="P379" s="171">
        <f>(INDEX(Models!$BJ379:$BT379,,T379)*(1-R379)+INDEX(Models!$BJ379:$BT379,,T379+1)*R379-ERP_i)*Q379*Ramure*Pc/MaxiM</f>
        <v>0.17217090111475211</v>
      </c>
      <c r="Q379" s="308">
        <f t="shared" si="130"/>
        <v>1</v>
      </c>
      <c r="R379" s="179">
        <f t="shared" si="131"/>
        <v>0.39977533668564158</v>
      </c>
      <c r="S379" s="837">
        <f t="shared" si="132"/>
        <v>1</v>
      </c>
      <c r="T379" s="178">
        <f t="shared" si="133"/>
        <v>7</v>
      </c>
      <c r="U379" s="309">
        <f t="shared" si="134"/>
        <v>1.3997753366856416</v>
      </c>
      <c r="V379" s="385">
        <f t="shared" si="135"/>
        <v>13.742097210666886</v>
      </c>
      <c r="W379" s="404">
        <f t="shared" si="136"/>
        <v>8.5336564181030994</v>
      </c>
      <c r="X379" s="157">
        <f t="shared" si="137"/>
        <v>45291</v>
      </c>
      <c r="Y379" s="387">
        <f t="shared" si="138"/>
        <v>8.3183876697257251</v>
      </c>
      <c r="Z379" s="387">
        <f t="shared" si="139"/>
        <v>8.7102451096136644</v>
      </c>
      <c r="AA379" s="388">
        <f t="shared" si="140"/>
        <v>9.7186477106801306</v>
      </c>
      <c r="AB379" s="199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0.10375955905452768</v>
      </c>
      <c r="AD379" s="233">
        <f>(INDEX(Models!$BJ379:$BT379,,AH379)*(1-AF379)+INDEX(Models!$BJ379:$BT379,,AH379+1)*AF379-ERP_i)*AE379*Ramure*Pc/MaxiM</f>
        <v>0.17217090111475211</v>
      </c>
      <c r="AE379" s="308">
        <f t="shared" si="142"/>
        <v>1</v>
      </c>
      <c r="AF379" s="179">
        <f t="shared" si="143"/>
        <v>0.39977533668564158</v>
      </c>
      <c r="AG379" s="837">
        <f t="shared" si="149"/>
        <v>1</v>
      </c>
      <c r="AH379" s="178">
        <f t="shared" si="144"/>
        <v>7</v>
      </c>
      <c r="AI379" s="224">
        <f t="shared" si="145"/>
        <v>1.3997753366856416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412"/>
      <c r="C380" s="874"/>
      <c r="D380" s="403"/>
      <c r="E380" s="389"/>
      <c r="F380" s="389"/>
      <c r="G380" s="122"/>
      <c r="H380" s="414" t="b">
        <f>Wh_hp&gt;='2022'!Maxi_hp</f>
        <v>0</v>
      </c>
      <c r="I380" s="392">
        <f>IF(H380,Wh_hp,'2022'!Maxi_hp)</f>
        <v>13.062281165272948</v>
      </c>
      <c r="J380" s="85">
        <f>IF(H380,An,'2022'!An_max)</f>
        <v>2020</v>
      </c>
      <c r="K380" s="236"/>
      <c r="L380" s="216"/>
      <c r="M380" s="875"/>
      <c r="N380" s="875"/>
      <c r="O380" s="153"/>
      <c r="P380" s="324"/>
      <c r="Q380" s="231"/>
      <c r="R380" s="231"/>
      <c r="S380" s="231"/>
      <c r="T380" s="231"/>
      <c r="U380" s="325"/>
      <c r="V380" s="385">
        <f>(V379+V15)/2</f>
        <v>14.546431082060559</v>
      </c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0.85609716845391948</v>
      </c>
      <c r="C381" s="377"/>
      <c r="D381" s="375">
        <f>MIN(D15:D380)</f>
        <v>0.89141214245055289</v>
      </c>
      <c r="E381" s="375">
        <f>MIN(E15:E380)</f>
        <v>0.91597937954847153</v>
      </c>
      <c r="F381" s="376">
        <f>MIN(F15:F380)</f>
        <v>0.91597937954847153</v>
      </c>
      <c r="G381" s="125">
        <f>+MIN(G15:G380)</f>
        <v>1.467137410638498E-2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3.6863925964485622E-2</v>
      </c>
      <c r="M381" s="872"/>
      <c r="N381" s="872"/>
      <c r="O381" s="47">
        <f t="shared" si="152"/>
        <v>2.5553188945380768E-2</v>
      </c>
      <c r="P381" s="170">
        <f t="shared" si="152"/>
        <v>2.4533503996512974E-4</v>
      </c>
      <c r="Q381" s="312">
        <f t="shared" si="152"/>
        <v>1</v>
      </c>
      <c r="R381" s="313">
        <f t="shared" si="152"/>
        <v>6.3966501346093274E-3</v>
      </c>
      <c r="S381" s="837">
        <f t="shared" si="152"/>
        <v>0</v>
      </c>
      <c r="T381" s="178">
        <f t="shared" si="152"/>
        <v>6</v>
      </c>
      <c r="U381" s="254">
        <f>+MIN(U15:U380)</f>
        <v>0.69977711893628092</v>
      </c>
      <c r="V381" s="57">
        <f>MIN(V15:V380)</f>
        <v>13.124578149636386</v>
      </c>
      <c r="W381" s="58"/>
      <c r="X381" s="112" t="s">
        <v>7</v>
      </c>
      <c r="Y381" s="375">
        <f>MIN(Y15:Y380)</f>
        <v>0.82294148490708985</v>
      </c>
      <c r="Z381" s="375">
        <f>MIN(Z15:Z380)</f>
        <v>0.8568887495531462</v>
      </c>
      <c r="AA381" s="375">
        <f>MIN(AA15:AA380)</f>
        <v>0.91597937954847153</v>
      </c>
      <c r="AB381" s="202" t="s">
        <v>7</v>
      </c>
      <c r="AC381" s="47">
        <f t="shared" ref="AC381:AH381" si="153">MIN(AC15:AC380)</f>
        <v>6.337294754528415E-2</v>
      </c>
      <c r="AD381" s="170">
        <f t="shared" si="153"/>
        <v>2.4533503996512974E-4</v>
      </c>
      <c r="AE381" s="312">
        <f t="shared" si="153"/>
        <v>1</v>
      </c>
      <c r="AF381" s="313">
        <f t="shared" si="153"/>
        <v>6.3966501346093274E-3</v>
      </c>
      <c r="AG381" s="837">
        <f t="shared" si="153"/>
        <v>0</v>
      </c>
      <c r="AH381" s="178">
        <f t="shared" si="153"/>
        <v>6</v>
      </c>
      <c r="AI381" s="228">
        <f>MIN(AI15:AI380)</f>
        <v>0.69977711893628092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28.404144465113376</v>
      </c>
      <c r="C382" s="377"/>
      <c r="D382" s="377">
        <f>AVERAGE(D15:D380)</f>
        <v>29.612141197850839</v>
      </c>
      <c r="E382" s="377">
        <f>AVERAGE(E15:E380)</f>
        <v>31.249975077495009</v>
      </c>
      <c r="F382" s="378">
        <f>AVERAGE(F15:F380)</f>
        <v>31.721801092569432</v>
      </c>
      <c r="G382" s="126">
        <f>AVERAGE(G15:G380)</f>
        <v>0.69754612095737856</v>
      </c>
      <c r="H382" s="94"/>
      <c r="I382" s="378">
        <f>AVERAGE(I15:I380)</f>
        <v>40.928682660810949</v>
      </c>
      <c r="J382" s="59">
        <f>AVERAGE(J15:J380)</f>
        <v>2020.483606557377</v>
      </c>
      <c r="K382" s="202" t="s">
        <v>8</v>
      </c>
      <c r="L382" s="147">
        <f t="shared" ref="L382:V382" si="154">AVERAGE(L15:L380)</f>
        <v>4.0931735705941018E-2</v>
      </c>
      <c r="M382" s="870"/>
      <c r="N382" s="870"/>
      <c r="O382" s="48">
        <f t="shared" si="154"/>
        <v>5.5914016137184511E-2</v>
      </c>
      <c r="P382" s="171">
        <f t="shared" si="154"/>
        <v>4.4564990267479732E-2</v>
      </c>
      <c r="Q382" s="314">
        <f t="shared" si="154"/>
        <v>1</v>
      </c>
      <c r="R382" s="179">
        <f t="shared" si="154"/>
        <v>0.51353196295426062</v>
      </c>
      <c r="S382" s="837">
        <f t="shared" si="154"/>
        <v>0.57808219178082187</v>
      </c>
      <c r="T382" s="178">
        <f t="shared" si="154"/>
        <v>6.5780821917808217</v>
      </c>
      <c r="U382" s="253">
        <f t="shared" si="154"/>
        <v>1.0916141547350833</v>
      </c>
      <c r="V382" s="59">
        <f t="shared" si="154"/>
        <v>38.759549597283616</v>
      </c>
      <c r="X382" s="112" t="s">
        <v>8</v>
      </c>
      <c r="Y382" s="377">
        <f>AVERAGE(Y15:Y380)</f>
        <v>26.909766066835008</v>
      </c>
      <c r="Z382" s="377">
        <f>AVERAGE(Z15:Z380)</f>
        <v>28.055549595259102</v>
      </c>
      <c r="AA382" s="377">
        <f>AVERAGE(AA15:AA380)</f>
        <v>31.249975077495009</v>
      </c>
      <c r="AB382" s="202" t="s">
        <v>8</v>
      </c>
      <c r="AC382" s="48">
        <f t="shared" ref="AC382:AH382" si="155">AVERAGE(AC15:AC380)</f>
        <v>0.10951285500411749</v>
      </c>
      <c r="AD382" s="171">
        <f t="shared" si="155"/>
        <v>4.4564990267479732E-2</v>
      </c>
      <c r="AE382" s="314">
        <f t="shared" si="155"/>
        <v>1</v>
      </c>
      <c r="AF382" s="179">
        <f t="shared" si="155"/>
        <v>0.51353196295426062</v>
      </c>
      <c r="AG382" s="837">
        <f t="shared" si="155"/>
        <v>0.57808219178082187</v>
      </c>
      <c r="AH382" s="178">
        <f t="shared" si="155"/>
        <v>6.5780821917808217</v>
      </c>
      <c r="AI382" s="227">
        <f>AVERAGE(AI15:AI380)</f>
        <v>1.0916141547350833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61.02441000533409</v>
      </c>
      <c r="C383" s="379"/>
      <c r="D383" s="379">
        <f>MAX(D15:D380)</f>
        <v>63.592894094096586</v>
      </c>
      <c r="E383" s="379">
        <f>MAX(E15:E380)</f>
        <v>66.562056363697849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2023</v>
      </c>
      <c r="K383" s="202" t="s">
        <v>9</v>
      </c>
      <c r="L383" s="148">
        <f t="shared" ref="L383:T383" si="156">MAX(L15:L380)</f>
        <v>4.4988107103373975E-2</v>
      </c>
      <c r="M383" s="873"/>
      <c r="N383" s="873"/>
      <c r="O383" s="49">
        <f t="shared" si="156"/>
        <v>8.0566055021326258E-2</v>
      </c>
      <c r="P383" s="172">
        <f t="shared" si="156"/>
        <v>0.18024351769405589</v>
      </c>
      <c r="Q383" s="315">
        <f t="shared" si="156"/>
        <v>1</v>
      </c>
      <c r="R383" s="316">
        <f t="shared" si="156"/>
        <v>0.99931970959308569</v>
      </c>
      <c r="S383" s="838">
        <f t="shared" si="156"/>
        <v>1</v>
      </c>
      <c r="T383" s="235">
        <f t="shared" si="156"/>
        <v>7</v>
      </c>
      <c r="U383" s="255">
        <f>+MAX(U15:U380)</f>
        <v>1.3997753366856416</v>
      </c>
      <c r="V383" s="60">
        <f>MAX(V15:V380)</f>
        <v>60.158610393363205</v>
      </c>
      <c r="X383" s="112" t="s">
        <v>9</v>
      </c>
      <c r="Y383" s="379">
        <f>MAX(Y15:Y380)</f>
        <v>58.689250673610971</v>
      </c>
      <c r="Z383" s="379">
        <f>MAX(Z15:Z380)</f>
        <v>61.188516324047058</v>
      </c>
      <c r="AA383" s="379">
        <f>MAX(AA15:AA380)</f>
        <v>66.562056363697849</v>
      </c>
      <c r="AB383" s="202" t="s">
        <v>9</v>
      </c>
      <c r="AC383" s="49">
        <f t="shared" ref="AC383:AH383" si="157">MAX(AC15:AC380)</f>
        <v>0.15783126713311463</v>
      </c>
      <c r="AD383" s="172">
        <f t="shared" si="157"/>
        <v>0.18024351769405589</v>
      </c>
      <c r="AE383" s="315">
        <f t="shared" si="157"/>
        <v>1</v>
      </c>
      <c r="AF383" s="316">
        <f t="shared" si="157"/>
        <v>0.99931970959308569</v>
      </c>
      <c r="AG383" s="838">
        <f t="shared" si="157"/>
        <v>1</v>
      </c>
      <c r="AH383" s="235">
        <f t="shared" si="157"/>
        <v>7</v>
      </c>
      <c r="AI383" s="229">
        <f>MAX(AI15:AI380)</f>
        <v>1.3997753366856416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  <row r="385" spans="1:30" s="1279" customFormat="1" ht="11.25" x14ac:dyDescent="0.2">
      <c r="A385" s="6"/>
      <c r="B385" s="600" t="s">
        <v>364</v>
      </c>
      <c r="C385" s="8"/>
      <c r="D385" s="8"/>
      <c r="E385" s="25"/>
      <c r="F385" s="26"/>
      <c r="G385" s="6"/>
      <c r="H385" s="75"/>
      <c r="I385" s="6"/>
      <c r="J385" s="8"/>
      <c r="K385" s="8"/>
      <c r="L385" s="10"/>
      <c r="M385" s="10"/>
      <c r="N385" s="10"/>
      <c r="O385" s="1278"/>
      <c r="P385" s="1278"/>
      <c r="Q385" s="1278"/>
      <c r="AC385" s="1280"/>
      <c r="AD385" s="1280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6" priority="4" stopIfTrue="1" operator="lessThan">
      <formula>0.01</formula>
    </cfRule>
    <cfRule type="cellIs" dxfId="1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4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1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'2023'!An+1</f>
        <v>2024</v>
      </c>
      <c r="K1" s="1263"/>
      <c r="L1" s="113" t="str">
        <f>"Calcul pertes et enveloppes en "&amp;TEXT(An,0)</f>
        <v>Calcul pertes et enveloppes en 2024</v>
      </c>
      <c r="M1" s="245"/>
      <c r="N1" s="245"/>
      <c r="V1" s="458"/>
      <c r="W1" s="456"/>
      <c r="X1" s="487" t="str">
        <f>"Prévision sans nettoyage ni taille végétation en "&amp;TEXT(An,0)</f>
        <v>Prévision sans nettoyage ni taille végétation en 2024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54" t="s">
        <v>269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2">
        <f>Tmaj</f>
        <v>44947</v>
      </c>
      <c r="F3" s="1272"/>
      <c r="G3" s="8"/>
      <c r="H3" s="26"/>
      <c r="I3" s="6"/>
      <c r="J3" s="34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58">
        <f>AL11-AJ11</f>
        <v>55.788201929121328</v>
      </c>
      <c r="AK3" s="859">
        <f>AM11-AK11</f>
        <v>0</v>
      </c>
      <c r="AL3" s="858"/>
      <c r="AM3" s="859"/>
      <c r="AN3" s="857" t="s">
        <v>270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2" t="str">
        <f>Station</f>
        <v>Crèche Ayguesvives</v>
      </c>
      <c r="F4" s="1213"/>
      <c r="G4" s="1213"/>
      <c r="H4" s="1213"/>
      <c r="I4" s="1214"/>
      <c r="J4" s="158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58">
        <f>AL12-AJ12</f>
        <v>543.65608946197858</v>
      </c>
      <c r="AK4" s="859">
        <f>AM12-AK12</f>
        <v>-12.12632639154802</v>
      </c>
      <c r="AL4" s="858"/>
      <c r="AM4" s="859"/>
      <c r="AN4" s="857" t="s">
        <v>271</v>
      </c>
    </row>
    <row r="5" spans="1:40" s="35" customFormat="1" ht="16.5" customHeight="1" x14ac:dyDescent="0.25">
      <c r="D5" s="161" t="s">
        <v>20</v>
      </c>
      <c r="E5" s="1273">
        <f>T0</f>
        <v>43313</v>
      </c>
      <c r="F5" s="1273"/>
      <c r="G5" s="34"/>
      <c r="H5" s="158"/>
      <c r="I5" s="158"/>
      <c r="K5" s="194"/>
      <c r="L5" s="506"/>
      <c r="M5" s="505"/>
      <c r="N5" s="505"/>
      <c r="O5" s="19"/>
      <c r="R5" s="39"/>
      <c r="S5" s="180"/>
      <c r="T5" s="180"/>
      <c r="U5" s="41"/>
      <c r="V5" s="507"/>
      <c r="W5" s="508"/>
      <c r="X5" s="509"/>
      <c r="Y5" s="510"/>
      <c r="Z5" s="238">
        <f>Wh_Psa_s-Wh_Psa</f>
        <v>599.78020227336037</v>
      </c>
      <c r="AA5" s="239">
        <f>Wh_Pvg_s-Wh_Pvg</f>
        <v>-12.12632639154802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2502.0792242574566</v>
      </c>
      <c r="AK5" s="516">
        <f>SUMIF(AK15:AK380,"VRAI",Wh)</f>
        <v>0</v>
      </c>
      <c r="AL5" s="516">
        <f>SUMIF(AJ15:AJ380,"VRAI",Wh_s)</f>
        <v>2446.2886922601429</v>
      </c>
      <c r="AM5" s="516">
        <f>SUMIF(AK15:AK380,"VRAI",Wh_s)</f>
        <v>0</v>
      </c>
      <c r="AN5" s="857" t="s">
        <v>267</v>
      </c>
    </row>
    <row r="6" spans="1:40" s="6" customFormat="1" ht="16.5" customHeight="1" x14ac:dyDescent="0.2">
      <c r="B6" s="8"/>
      <c r="C6" s="8"/>
      <c r="D6" s="161" t="s">
        <v>11</v>
      </c>
      <c r="E6" s="1274">
        <f>Tservice</f>
        <v>43354</v>
      </c>
      <c r="F6" s="1274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7600.9160316658763</v>
      </c>
      <c r="AK6" s="516">
        <f>SUMIF(AK15:AK380,"FAUX",Wh)</f>
        <v>10102.995255923337</v>
      </c>
      <c r="AL6" s="516">
        <f>SUMIF(AJ15:AJ380,"FAUX",Wh_s)</f>
        <v>7057.1813752984935</v>
      </c>
      <c r="AM6" s="516">
        <f>SUMIF(AK15:AK380,"FAUX",Wh_s)</f>
        <v>9503.4700675586337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AND(YEAR(Tnet)=An,Resal_2024="I")</f>
        <v>0</v>
      </c>
      <c r="F7" s="322" t="b">
        <f>YEAR(Tnet)=An</f>
        <v>1</v>
      </c>
      <c r="J7" s="180"/>
      <c r="K7" s="193"/>
      <c r="L7" s="191" t="s">
        <v>81</v>
      </c>
      <c r="M7" s="868"/>
      <c r="N7" s="868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50"/>
      <c r="Z7" s="518"/>
      <c r="AA7" s="518"/>
      <c r="AB7" s="518"/>
      <c r="AC7" s="518"/>
      <c r="AD7" s="250"/>
      <c r="AE7" s="250"/>
      <c r="AF7" s="493"/>
      <c r="AG7" s="493"/>
      <c r="AH7" s="493"/>
      <c r="AI7" s="518"/>
      <c r="AJ7" s="516">
        <f>SUMIF(AJ15:AJ380,"VRAI",Wh_pvt)</f>
        <v>2624.4820836718204</v>
      </c>
      <c r="AK7" s="516">
        <f>SUMIF(AK15:AK380,"VRAI",Wh_sa)</f>
        <v>0</v>
      </c>
      <c r="AL7" s="516">
        <f>SUMIF(AJ15:AJ380,"VRAI",Wh_pvt_s)</f>
        <v>2565.9644203523299</v>
      </c>
      <c r="AM7" s="516">
        <f>SUMIF(AK15:AK380,"VRAI",Wh_sa_s)</f>
        <v>0</v>
      </c>
      <c r="AN7" s="857" t="s">
        <v>259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AND(YEAR(Tnet)=An,Resal_2024&lt;&gt;"I")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6"/>
      <c r="X8" s="1260" t="s">
        <v>102</v>
      </c>
      <c r="Y8" s="1261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7998.2982730946196</v>
      </c>
      <c r="AK8" s="516">
        <f>SUMIF(AK15:AK380,"FAUX",Wh_sa)</f>
        <v>11328.579161991862</v>
      </c>
      <c r="AL8" s="516">
        <f>SUMIF(AJ15:AJ380,"FAUX",Wh_pvt_s)</f>
        <v>7426.2095052925406</v>
      </c>
      <c r="AM8" s="516">
        <f>SUMIF(AK15:AK380,"FAUX",Wh_sa_s)</f>
        <v>11328.579161991862</v>
      </c>
      <c r="AN8" s="857" t="s">
        <v>260</v>
      </c>
    </row>
    <row r="9" spans="1:40" s="19" customFormat="1" ht="15" customHeight="1" x14ac:dyDescent="0.25">
      <c r="A9" s="34"/>
      <c r="B9" s="212"/>
      <c r="C9" s="212"/>
      <c r="D9" s="186">
        <f>SUM(D$15:D$380)</f>
        <v>10622.780356766443</v>
      </c>
      <c r="E9" s="186">
        <f>SUM(E$15:E$380)</f>
        <v>11328.579161991862</v>
      </c>
      <c r="F9" s="186">
        <f>SUM(F$15:F$380)</f>
        <v>11557.717238484547</v>
      </c>
      <c r="H9" s="1264">
        <f>+SUM(Wh)</f>
        <v>10102.995255923337</v>
      </c>
      <c r="I9" s="1265"/>
      <c r="J9" s="1266"/>
      <c r="K9" s="193"/>
      <c r="L9" s="234"/>
      <c r="M9" s="234"/>
      <c r="N9" s="234"/>
      <c r="O9" s="225">
        <f>Tnet_2024</f>
        <v>45412</v>
      </c>
      <c r="P9" s="246" t="s">
        <v>91</v>
      </c>
      <c r="Q9" s="247"/>
      <c r="R9" s="247"/>
      <c r="S9" s="247"/>
      <c r="T9" s="247"/>
      <c r="U9" s="248"/>
      <c r="V9" s="462"/>
      <c r="W9" s="521"/>
      <c r="X9" s="1258">
        <f>+SUM(Wh_s)</f>
        <v>9503.4700675586337</v>
      </c>
      <c r="Y9" s="1259"/>
      <c r="Z9" s="516">
        <f>SUM(Z$15:Z$380)</f>
        <v>9992.1739256448855</v>
      </c>
      <c r="AA9" s="516">
        <f>SUM(AA$15:AA$380)</f>
        <v>11328.579161991862</v>
      </c>
      <c r="AB9" s="516">
        <f>F9</f>
        <v>11557.717238484547</v>
      </c>
      <c r="AC9" s="327">
        <f>IF(An_Tnet,Tnet,'2023'!Tnet_s)</f>
        <v>45412</v>
      </c>
      <c r="AD9" s="318" t="s">
        <v>91</v>
      </c>
      <c r="AE9" s="318"/>
      <c r="AF9" s="318"/>
      <c r="AG9" s="318"/>
      <c r="AH9" s="318"/>
      <c r="AI9" s="319"/>
      <c r="AJ9" s="516">
        <f>SUMIF(AJ15:AJ380,"VRAI",Wh_sa)</f>
        <v>2894.0206400798984</v>
      </c>
      <c r="AK9" s="516">
        <f>SUMIF(AK15:AK380,"VRAI",Wh_hp)</f>
        <v>0</v>
      </c>
      <c r="AL9" s="516">
        <f>SUMIF(AJ15:AJ380,"VRAI",Wh_sa_s)</f>
        <v>2894.0206400798984</v>
      </c>
      <c r="AM9" s="516">
        <f>SUMIF(AK15:AK380,"VRAI",Wh_hp)</f>
        <v>0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IF(Inflex,'2023'!Resal+('2023'!Salim-'2023'!Resal)*(1-EXP(-(Tnet-'2023'!Tnet)/('2023'!Tau_j))),IF(An_Tnet,Resal_2024,'2023'!Resal))</f>
        <v>2.5000000000000001E-2</v>
      </c>
      <c r="P10" s="421" t="b">
        <f>NOT(Acti_tai)</f>
        <v>1</v>
      </c>
      <c r="Q10" s="259">
        <f>IF(Acti_tai,'2023'!PousD,Dens-Dd)</f>
        <v>0</v>
      </c>
      <c r="R10" s="276"/>
      <c r="S10" s="277"/>
      <c r="T10" s="278"/>
      <c r="U10" s="268">
        <f>IF(Acti_tai,'2023'!PousH,Hdtf-Hdd)</f>
        <v>0.69999999999999973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IF(OR(Inflex,GainD),'2023'!Resal_s+('2023'!Salim-'2023'!Resal_s)*(1-EXP(('2023'!Tnet_s-Tnet)/('2023'!Tau_j))),IF(Acti_net,'2023'!Resal+('2023'!Salim-'2023'!Resal)*(1-EXP(('2023'!Tnet-Tnet)/'2023'!Tau_j)),'2023'!Resal_s))</f>
        <v>9.9642667662671575E-2</v>
      </c>
      <c r="AD10" s="428"/>
      <c r="AE10" s="428"/>
      <c r="AF10" s="262"/>
      <c r="AG10" s="263"/>
      <c r="AH10" s="264"/>
      <c r="AI10" s="473"/>
      <c r="AJ10" s="516">
        <f>SUMIF(AJ15:AJ380,"FAUX",Wh_sa)</f>
        <v>8434.5585219119766</v>
      </c>
      <c r="AK10" s="516">
        <f>SUMIF(AK15:AK380,"FAUX",Wh_hp)</f>
        <v>11557.717238484547</v>
      </c>
      <c r="AL10" s="516">
        <f>SUMIF(AJ15:AJ380,"FAUX",Wh_sa_s)</f>
        <v>8434.5585219119766</v>
      </c>
      <c r="AM10" s="516">
        <f>SUMIF(AK15:AK380,"FAUX",Wh_hp)</f>
        <v>11557.717238484547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50">
        <f>D$9-Prod_an</f>
        <v>519.78510084310619</v>
      </c>
      <c r="E11" s="51">
        <f>(E$9-D$9)*Prod_an/D$9</f>
        <v>671.26324195215989</v>
      </c>
      <c r="F11" s="188">
        <f>(F$9-E$9)*Prod_an/E$9</f>
        <v>204.34874194320091</v>
      </c>
      <c r="G11" s="187" t="s">
        <v>6</v>
      </c>
      <c r="K11" s="196"/>
      <c r="L11" s="213">
        <f>Tvie_2024</f>
        <v>43313</v>
      </c>
      <c r="M11" s="869"/>
      <c r="N11" s="869"/>
      <c r="O11" s="204">
        <f>IF(An_Tnet,Salim_2024,'2023'!Salim)</f>
        <v>0.17333333333333334</v>
      </c>
      <c r="P11" s="258">
        <f>Ttai_2024</f>
        <v>43101</v>
      </c>
      <c r="Q11" s="274">
        <f>Dens_2024</f>
        <v>1</v>
      </c>
      <c r="R11" s="279"/>
      <c r="S11" s="232"/>
      <c r="T11" s="232"/>
      <c r="U11" s="268">
        <f>Htf_2024</f>
        <v>2.0997753366856413</v>
      </c>
      <c r="V11" s="428"/>
      <c r="W11" s="519"/>
      <c r="X11" s="526" t="s">
        <v>43</v>
      </c>
      <c r="Y11" s="50">
        <f>Z$9-Prod_an_s</f>
        <v>488.70385808625178</v>
      </c>
      <c r="Z11" s="51">
        <f>(AA$9-Z$9)*Prod_an_s/Z$9</f>
        <v>1271.0434442255203</v>
      </c>
      <c r="AA11" s="188">
        <f>(AB$9-AA$9)*Prod_an_s/AA$9</f>
        <v>192.22241555165289</v>
      </c>
      <c r="AB11" s="527" t="s">
        <v>6</v>
      </c>
      <c r="AC11" s="327"/>
      <c r="AD11" s="428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58">
        <f>IF($AJ7=0,0,($AJ9-$AJ7)*$AJ5/$AJ7)</f>
        <v>256.96758469825772</v>
      </c>
      <c r="AK11" s="859">
        <f>IF($AK7=0,0,($AK9-$AK7)*$AK5/$AK7)</f>
        <v>0</v>
      </c>
      <c r="AL11" s="858">
        <f>IF($AL7=0,0,($AL9-$AL7)*$AL5/$AL7)</f>
        <v>312.75578662737905</v>
      </c>
      <c r="AM11" s="859">
        <f>IF($AM7=0,0,($AM9-$AM7)*$AM5/$AM7)</f>
        <v>0</v>
      </c>
      <c r="AN11" s="857" t="s">
        <v>272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Pspv_2024</f>
        <v>0</v>
      </c>
      <c r="M12" s="214"/>
      <c r="N12" s="214"/>
      <c r="O12" s="207">
        <f>IF(An_Tnet,Tau_2024*365,'2023'!Tau_j)</f>
        <v>523.16666666666663</v>
      </c>
      <c r="P12" s="283">
        <f>INDEX(Croivg,MIN(MAX(Ttai-$A$15,0)+1,366))</f>
        <v>2.3909964587625958E-6</v>
      </c>
      <c r="Q12" s="282">
        <f>'2023'!Df</f>
        <v>1</v>
      </c>
      <c r="R12" s="280"/>
      <c r="S12" s="281"/>
      <c r="T12" s="281"/>
      <c r="U12" s="269">
        <f>'2023'!Hdf</f>
        <v>1.3997753366856416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'2023'!Df_s</f>
        <v>1</v>
      </c>
      <c r="AF12" s="205"/>
      <c r="AG12" s="205"/>
      <c r="AH12" s="205"/>
      <c r="AI12" s="299">
        <f>'2023'!Hdf_s</f>
        <v>1.3997753366856416</v>
      </c>
      <c r="AJ12" s="858">
        <f>IF($AJ8=0,0,($AJ10-$AJ8)*$AJ6/$AJ8)</f>
        <v>414.58537878850683</v>
      </c>
      <c r="AK12" s="859">
        <f>IF($AK8=0,0,($AK10-$AK8)*$AK6/$AK8)</f>
        <v>204.34874194320091</v>
      </c>
      <c r="AL12" s="858">
        <f>IF($AL8=0,0,($AL10-$AL8)*$AL6/$AL8)</f>
        <v>958.24146825048535</v>
      </c>
      <c r="AM12" s="859">
        <f>IF($AM8=0,0,($AM10-$AM8)*$AM6/$AM8)</f>
        <v>192.22241555165289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204</v>
      </c>
      <c r="V13" s="124" t="s">
        <v>41</v>
      </c>
      <c r="W13" s="862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671.55296348676461</v>
      </c>
      <c r="AK13" s="73">
        <f>+AK11+AK12</f>
        <v>204.34874194320091</v>
      </c>
      <c r="AL13" s="73">
        <f>+AL11+AL12</f>
        <v>1270.9972548778644</v>
      </c>
      <c r="AM13" s="73">
        <f>+AM11+AM12</f>
        <v>192.22241555165289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1281" t="s">
        <v>366</v>
      </c>
      <c r="C14" s="416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203</v>
      </c>
      <c r="V14" s="45" t="str">
        <f>"Enveloppe "&amp; TEXT(An,0)</f>
        <v>Enveloppe 2024</v>
      </c>
      <c r="W14" s="863" t="s">
        <v>116</v>
      </c>
      <c r="X14" s="260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129">
        <f>DATE(An,1,1)</f>
        <v>45292</v>
      </c>
      <c r="B15" s="1138">
        <f>IF(t&gt;Tmaj,'2023'!Wh/'2023'!Env_an*'2024'!Env_an,0.001*'[3]mon-tableau (2)'!$B$208)</f>
        <v>5.2849482912521646</v>
      </c>
      <c r="C15" s="866"/>
      <c r="D15" s="395">
        <f t="shared" ref="D15:D78" si="0">Wh/(1-Ppv)</f>
        <v>5.5340371380631357</v>
      </c>
      <c r="E15" s="402">
        <f t="shared" ref="E15:E79" si="1">Wh_pvt/(1-Psa)</f>
        <v>6.0200787498781647</v>
      </c>
      <c r="F15" s="402">
        <f t="shared" ref="F15:F78" si="2">Wh_sa/(1-Pvg*MEDIAN((-Sdif+Wh/Env_an)/Csdif,0,1))</f>
        <v>6.1417979781025842</v>
      </c>
      <c r="G15" s="123">
        <f>+Wh_hp/MaxiM</f>
        <v>0.32271193563365491</v>
      </c>
      <c r="H15" s="414" t="b">
        <f>Wh_hp&gt;='2023'!Maxi_hp</f>
        <v>0</v>
      </c>
      <c r="I15" s="398">
        <f>IF(H15,Wh_hp,'2023'!Maxi_hp)</f>
        <v>19.462082173692245</v>
      </c>
      <c r="J15" s="84">
        <f>IF(H15,An,'2023'!An_max)</f>
        <v>2022</v>
      </c>
      <c r="K15" s="199">
        <f t="shared" ref="K15:K78" si="3">t</f>
        <v>45292</v>
      </c>
      <c r="L15" s="146">
        <f>IF(t&lt;Tvie,1-EXP((T0-t)*PertePVj)+'2023'!Pspv,1-EXP((T0-t)*PertePVj)+Pspv)</f>
        <v>4.5010331625304212E-2</v>
      </c>
      <c r="M15" s="870"/>
      <c r="N15" s="870"/>
      <c r="O15" s="48">
        <f>IF(t&lt;Tnet,'2023'!Resal+('2023'!Salim-'2023'!Resal)*(1-EXP(('2023'!Tnet-t)/('2023'!Tau_j))),Resal+(Salim-Resal)*(1-EXP((Tnet-t)/(Tau_j))))*Salcycl</f>
        <v>8.0736753123846663E-2</v>
      </c>
      <c r="P15" s="304">
        <f>(INDEX(Models!$BJ15:$BT15,,T15)*(1-R15)+INDEX(Models!$BJ15:$BT15,,T15+1)*R15-ERP_i)*Q15*Ramure*Pc/MaxiM</f>
        <v>0.1705332580084129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0.39977701038316282</v>
      </c>
      <c r="S15" s="836">
        <f t="shared" ref="S15:S78" si="6">INDEX(Echel_vg,T15)</f>
        <v>1</v>
      </c>
      <c r="T15" s="251">
        <f t="shared" ref="T15:T78" si="7">MIN(MATCH(Hp_vg,Echel_vg),10)</f>
        <v>7</v>
      </c>
      <c r="U15" s="253">
        <f t="shared" ref="U15:U78" si="8">IF(OR(t&lt;Ttai,Notai),Hdd+PousH*Croivg,Hdtf+PousH*(Croivg-Croi_tai))</f>
        <v>1.3997770103831628</v>
      </c>
      <c r="V15" s="384">
        <f t="shared" ref="V15:V78" si="9">MaxiM*(1-Ppv)*(1-Pvg)*(1-Psa)</f>
        <v>13.858558081682876</v>
      </c>
      <c r="W15" s="404">
        <f t="shared" ref="W15:W78" si="10">Wh*(A15&gt;Tmaj)</f>
        <v>5.2849482912521646</v>
      </c>
      <c r="X15" s="156">
        <f t="shared" ref="X15:X78" si="11">t</f>
        <v>45292</v>
      </c>
      <c r="Y15" s="387">
        <f t="shared" ref="Y15:Y78" si="12">Wh_pvt_s*(1-Ppv)</f>
        <v>5.1518721513946604</v>
      </c>
      <c r="Z15" s="387">
        <f>Wh_sa_s*(1-Psa_s)</f>
        <v>5.3946888872239542</v>
      </c>
      <c r="AA15" s="388">
        <f t="shared" ref="AA15:AA78" si="13">Wh_hp*(1-Pvg_s*MEDIAN((-Sdif+Wh/Env_an)/Csdif,0,1))</f>
        <v>6.0200787498781647</v>
      </c>
      <c r="AB15" s="199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0.10388400029930953</v>
      </c>
      <c r="AD15" s="233">
        <f>(INDEX(Models!$BJ15:$BT15,,AH15)*(1-AF15)+INDEX(Models!$BJ15:$BT15,,AH15+1)*AF15-ERP_i)*AE15*Ramure*Pc/MaxiM</f>
        <v>0.1705332580084129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0.39977701038316282</v>
      </c>
      <c r="AG15" s="836">
        <f>INDEX(Echel_vg,AH15)</f>
        <v>1</v>
      </c>
      <c r="AH15" s="251">
        <f t="shared" ref="AH15:AH78" si="16">MIN(MATCH(Hp_vg_s,Echel_vg),10)</f>
        <v>7</v>
      </c>
      <c r="AI15" s="226">
        <f t="shared" ref="AI15:AI78" si="17">IF(OR(t&lt;Ttai,Notai),Hdd_s+PousH*Croivg,Hdtai_s+PousH*(Croivg-Croi_tai))</f>
        <v>1.3997770103831628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45293</v>
      </c>
      <c r="B16" s="1139">
        <f>IF(t&gt;Tmaj,'2023'!Wh/'2023'!Env_an*'2024'!Env_an,0.001*'[3]mon-tableau (2)'!$B$209)</f>
        <v>1.2898682472425294</v>
      </c>
      <c r="C16" s="866"/>
      <c r="D16" s="395">
        <f t="shared" si="0"/>
        <v>1.3506934239978376</v>
      </c>
      <c r="E16" s="387">
        <f t="shared" si="1"/>
        <v>1.4695946354733811</v>
      </c>
      <c r="F16" s="387">
        <f t="shared" si="2"/>
        <v>1.4695946354733811</v>
      </c>
      <c r="G16" s="110">
        <f t="shared" ref="G16:G79" si="21">+Wh_hp/MaxiM</f>
        <v>7.6670486868711585E-2</v>
      </c>
      <c r="H16" s="414" t="b">
        <f>Wh_hp&gt;='2023'!Maxi_hp</f>
        <v>0</v>
      </c>
      <c r="I16" s="392">
        <f>IF(H16,Wh_hp,'2023'!Maxi_hp)</f>
        <v>17.82763006390077</v>
      </c>
      <c r="J16" s="85">
        <f>IF(H16,An,'2023'!An_max)</f>
        <v>2020</v>
      </c>
      <c r="K16" s="199">
        <f t="shared" si="3"/>
        <v>45293</v>
      </c>
      <c r="L16" s="147">
        <f>IF(t&lt;Tvie,1-EXP((T0-t)*PertePVj)+'2023'!Pspv,1-EXP((T0-t)*PertePVj)+Pspv)</f>
        <v>4.5032555630037385E-2</v>
      </c>
      <c r="M16" s="870"/>
      <c r="N16" s="870"/>
      <c r="O16" s="48">
        <f>IF(t&lt;Tnet,'2023'!Resal+('2023'!Salim-'2023'!Resal)*(1-EXP(('2023'!Tnet-t)/('2023'!Tau_j))),Resal+(Salim-Resal)*(1-EXP((Tnet-t)/(Tau_j))))*Salcycl</f>
        <v>8.0907488776483932E-2</v>
      </c>
      <c r="P16" s="171">
        <f>(INDEX(Models!$BJ16:$BT16,,T16)*(1-R16)+INDEX(Models!$BJ16:$BT16,,T16+1)*R16-ERP_i)*Q16*Ramure*Pc/MaxiM</f>
        <v>0.16873703399608475</v>
      </c>
      <c r="Q16" s="307">
        <f t="shared" si="4"/>
        <v>1</v>
      </c>
      <c r="R16" s="179">
        <f t="shared" si="5"/>
        <v>0.39981791084275464</v>
      </c>
      <c r="S16" s="837">
        <f t="shared" si="6"/>
        <v>1</v>
      </c>
      <c r="T16" s="178">
        <f t="shared" si="7"/>
        <v>7</v>
      </c>
      <c r="U16" s="253">
        <f t="shared" si="8"/>
        <v>1.3998179108427546</v>
      </c>
      <c r="V16" s="385">
        <f t="shared" si="9"/>
        <v>13.984777568885606</v>
      </c>
      <c r="W16" s="404">
        <f t="shared" si="10"/>
        <v>1.2898682472425294</v>
      </c>
      <c r="X16" s="157">
        <f t="shared" si="11"/>
        <v>45293</v>
      </c>
      <c r="Y16" s="387">
        <f t="shared" si="12"/>
        <v>1.257447677932481</v>
      </c>
      <c r="Z16" s="387">
        <f t="shared" ref="Z16:Z78" si="22">Wh_sa_s*(1-Psa_s)</f>
        <v>1.3167440265590196</v>
      </c>
      <c r="AA16" s="388">
        <f t="shared" si="13"/>
        <v>1.4695946354733811</v>
      </c>
      <c r="AB16" s="199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0.10400868731065123</v>
      </c>
      <c r="AD16" s="233">
        <f>(INDEX(Models!$BJ16:$BT16,,AH16)*(1-AF16)+INDEX(Models!$BJ16:$BT16,,AH16+1)*AF16-ERP_i)*AE16*Ramure*Pc/MaxiM</f>
        <v>0.16873703399608475</v>
      </c>
      <c r="AE16" s="307">
        <f t="shared" si="15"/>
        <v>1</v>
      </c>
      <c r="AF16" s="179">
        <f t="shared" ref="AF16:AF78" si="23">(Hp_vg_s-AG16)/(INDEX(Echel_vg,AH16+1)-AG16)</f>
        <v>0.39981791084275464</v>
      </c>
      <c r="AG16" s="837">
        <f t="shared" ref="AG16:AG79" si="24">INDEX(Echel_vg,AH16)</f>
        <v>1</v>
      </c>
      <c r="AH16" s="178">
        <f t="shared" si="16"/>
        <v>7</v>
      </c>
      <c r="AI16" s="227">
        <f t="shared" si="17"/>
        <v>1.3998179108427546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45294</v>
      </c>
      <c r="B17" s="1139">
        <f>IF(t&gt;Tmaj,'2023'!Wh/'2023'!Env_an*'2024'!Env_an,0.001*'[3]mon-tableau (2)'!$B$210)</f>
        <v>9.7238850698797581</v>
      </c>
      <c r="C17" s="866"/>
      <c r="D17" s="395">
        <f t="shared" si="0"/>
        <v>10.182662688121972</v>
      </c>
      <c r="E17" s="387">
        <f t="shared" si="1"/>
        <v>11.081098453400706</v>
      </c>
      <c r="F17" s="387">
        <f t="shared" si="2"/>
        <v>12.211905523895988</v>
      </c>
      <c r="G17" s="110">
        <f t="shared" si="21"/>
        <v>0.63233039274331071</v>
      </c>
      <c r="H17" s="414" t="b">
        <f>Wh_hp&gt;='2023'!Maxi_hp</f>
        <v>0</v>
      </c>
      <c r="I17" s="392">
        <f>IF(H17,Wh_hp,'2023'!Maxi_hp)</f>
        <v>19.427917678346777</v>
      </c>
      <c r="J17" s="85">
        <f>IF(H17,An,'2023'!An_max)</f>
        <v>2019</v>
      </c>
      <c r="K17" s="199">
        <f t="shared" si="3"/>
        <v>45294</v>
      </c>
      <c r="L17" s="147">
        <f>IF(t&lt;Tvie,1-EXP((T0-t)*PertePVj)+'2023'!Pspv,1-EXP((T0-t)*PertePVj)+Pspv)</f>
        <v>4.5054779117585486E-2</v>
      </c>
      <c r="M17" s="870"/>
      <c r="N17" s="870"/>
      <c r="O17" s="48">
        <f>IF(t&lt;Tnet,'2023'!Resal+('2023'!Salim-'2023'!Resal)*(1-EXP(('2023'!Tnet-t)/('2023'!Tau_j))),Resal+(Salim-Resal)*(1-EXP((Tnet-t)/(Tau_j))))*Salcycl</f>
        <v>8.1078222439492031E-2</v>
      </c>
      <c r="P17" s="171">
        <f>(INDEX(Models!$BJ17:$BT17,,T17)*(1-R17)+INDEX(Models!$BJ17:$BT17,,T17+1)*R17-ERP_i)*Q17*Ramure*Pc/MaxiM</f>
        <v>0.16678757148892442</v>
      </c>
      <c r="Q17" s="307">
        <f t="shared" si="4"/>
        <v>1</v>
      </c>
      <c r="R17" s="179">
        <f t="shared" si="5"/>
        <v>0.39986052207643996</v>
      </c>
      <c r="S17" s="837">
        <f t="shared" si="6"/>
        <v>1</v>
      </c>
      <c r="T17" s="178">
        <f t="shared" si="7"/>
        <v>7</v>
      </c>
      <c r="U17" s="253">
        <f t="shared" si="8"/>
        <v>1.39986052207644</v>
      </c>
      <c r="V17" s="385">
        <f t="shared" si="9"/>
        <v>14.120566559504285</v>
      </c>
      <c r="W17" s="404">
        <f t="shared" si="10"/>
        <v>9.7238850698797581</v>
      </c>
      <c r="X17" s="157">
        <f t="shared" si="11"/>
        <v>45294</v>
      </c>
      <c r="Y17" s="387">
        <f t="shared" si="12"/>
        <v>9.4799170510649216</v>
      </c>
      <c r="Z17" s="387">
        <f t="shared" si="22"/>
        <v>9.9271841397405289</v>
      </c>
      <c r="AA17" s="388">
        <f t="shared" si="13"/>
        <v>11.081098453400706</v>
      </c>
      <c r="AB17" s="199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0.10413356748996745</v>
      </c>
      <c r="AD17" s="233">
        <f>(INDEX(Models!$BJ17:$BT17,,AH17)*(1-AF17)+INDEX(Models!$BJ17:$BT17,,AH17+1)*AF17-ERP_i)*AE17*Ramure*Pc/MaxiM</f>
        <v>0.16678757148892442</v>
      </c>
      <c r="AE17" s="307">
        <f t="shared" si="15"/>
        <v>1</v>
      </c>
      <c r="AF17" s="179">
        <f>(Hp_vg_s-AG17)/(INDEX(Echel_vg,AH17+1)-AG17)</f>
        <v>0.39986052207643996</v>
      </c>
      <c r="AG17" s="837">
        <f>INDEX(Echel_vg,AH17)</f>
        <v>1</v>
      </c>
      <c r="AH17" s="178">
        <f t="shared" si="16"/>
        <v>7</v>
      </c>
      <c r="AI17" s="227">
        <f t="shared" si="17"/>
        <v>1.39986052207644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45295</v>
      </c>
      <c r="B18" s="1139">
        <f>IF(t&gt;Tmaj,'2023'!Wh/'2023'!Env_an*'2024'!Env_an,0.001*'[3]mon-tableau (2)'!$B$211)</f>
        <v>9.7950698593550189</v>
      </c>
      <c r="C18" s="866"/>
      <c r="D18" s="395">
        <f t="shared" si="0"/>
        <v>10.257444716246399</v>
      </c>
      <c r="E18" s="387">
        <f t="shared" si="1"/>
        <v>11.16455254391499</v>
      </c>
      <c r="F18" s="387">
        <f t="shared" si="2"/>
        <v>12.281714596056785</v>
      </c>
      <c r="G18" s="110">
        <f t="shared" si="21"/>
        <v>0.6309261295690447</v>
      </c>
      <c r="H18" s="414" t="b">
        <f>Wh_hp&gt;='2023'!Maxi_hp</f>
        <v>0</v>
      </c>
      <c r="I18" s="392">
        <f>IF(H18,Wh_hp,'2023'!Maxi_hp)</f>
        <v>19.204055167696065</v>
      </c>
      <c r="J18" s="85">
        <f>IF(H18,An,'2023'!An_max)</f>
        <v>2019</v>
      </c>
      <c r="K18" s="199">
        <f t="shared" si="3"/>
        <v>45295</v>
      </c>
      <c r="L18" s="147">
        <f>IF(t&lt;Tvie,1-EXP((T0-t)*PertePVj)+'2023'!Pspv,1-EXP((T0-t)*PertePVj)+Pspv)</f>
        <v>4.5077002087960616E-2</v>
      </c>
      <c r="M18" s="870"/>
      <c r="N18" s="870"/>
      <c r="O18" s="48">
        <f>IF(t&lt;Tnet,'2023'!Resal+('2023'!Salim-'2023'!Resal)*(1-EXP(('2023'!Tnet-t)/('2023'!Tau_j))),Resal+(Salim-Resal)*(1-EXP((Tnet-t)/(Tau_j))))*Salcycl</f>
        <v>8.1248919211096546E-2</v>
      </c>
      <c r="P18" s="171">
        <f>(INDEX(Models!$BJ18:$BT18,,T18)*(1-R18)+INDEX(Models!$BJ18:$BT18,,T18+1)*R18-ERP_i)*Q18*Ramure*Pc/MaxiM</f>
        <v>0.16469267394705853</v>
      </c>
      <c r="Q18" s="307">
        <f t="shared" si="4"/>
        <v>1</v>
      </c>
      <c r="R18" s="179">
        <f t="shared" si="5"/>
        <v>0.39990491542025319</v>
      </c>
      <c r="S18" s="837">
        <f t="shared" si="6"/>
        <v>1</v>
      </c>
      <c r="T18" s="178">
        <f t="shared" si="7"/>
        <v>7</v>
      </c>
      <c r="U18" s="253">
        <f t="shared" si="8"/>
        <v>1.3999049154202532</v>
      </c>
      <c r="V18" s="385">
        <f t="shared" si="9"/>
        <v>14.265696926812128</v>
      </c>
      <c r="W18" s="404">
        <f t="shared" si="10"/>
        <v>9.7950698593550189</v>
      </c>
      <c r="X18" s="157">
        <f t="shared" si="11"/>
        <v>45295</v>
      </c>
      <c r="Y18" s="387">
        <f t="shared" si="12"/>
        <v>9.5497570857596319</v>
      </c>
      <c r="Z18" s="387">
        <f>Wh_sa_s*(1-Psa_s)</f>
        <v>10.000551988631953</v>
      </c>
      <c r="AA18" s="388">
        <f t="shared" si="13"/>
        <v>11.16455254391499</v>
      </c>
      <c r="AB18" s="199">
        <f>t</f>
        <v>45295</v>
      </c>
      <c r="AC18" s="119">
        <f>IF(OR(t&lt;Tnet,NoTnet),'2023'!Resal_s+('2023'!Salim-'2023'!Resal_s)*(1-EXP(('2023'!Tnet_s-t)/'2023'!Tau_j)),Resal_s+(Salim-Resal_s)*(1-EXP((Tnet_s-t)/Tau_j)))*Salcycl</f>
        <v>0.10425859439547817</v>
      </c>
      <c r="AD18" s="233">
        <f>(INDEX(Models!$BJ18:$BT18,,AH18)*(1-AF18)+INDEX(Models!$BJ18:$BT18,,AH18+1)*AF18-ERP_i)*AE18*Ramure*Pc/MaxiM</f>
        <v>0.16469267394705853</v>
      </c>
      <c r="AE18" s="307">
        <f t="shared" si="15"/>
        <v>1</v>
      </c>
      <c r="AF18" s="179">
        <f t="shared" si="23"/>
        <v>0.39990491542025319</v>
      </c>
      <c r="AG18" s="837">
        <f t="shared" si="24"/>
        <v>1</v>
      </c>
      <c r="AH18" s="178">
        <f t="shared" si="16"/>
        <v>7</v>
      </c>
      <c r="AI18" s="227">
        <f t="shared" si="17"/>
        <v>1.3999049154202532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45296</v>
      </c>
      <c r="B19" s="1139">
        <f>IF(t&gt;Tmaj,'2023'!Wh/'2023'!Env_an*'2024'!Env_an,0.001*'[3]mon-tableau (2)'!$B$212)</f>
        <v>10.557254340773525</v>
      </c>
      <c r="C19" s="866"/>
      <c r="D19" s="395">
        <f t="shared" si="0"/>
        <v>11.055865292077929</v>
      </c>
      <c r="E19" s="387">
        <f t="shared" si="1"/>
        <v>12.035815999776206</v>
      </c>
      <c r="F19" s="387">
        <f t="shared" si="2"/>
        <v>13.377455012092273</v>
      </c>
      <c r="G19" s="110">
        <f t="shared" si="21"/>
        <v>0.68153934123752724</v>
      </c>
      <c r="H19" s="414" t="b">
        <f>Wh_hp&gt;='2023'!Maxi_hp</f>
        <v>0</v>
      </c>
      <c r="I19" s="392">
        <f>IF(H19,Wh_hp,'2023'!Maxi_hp)</f>
        <v>19.428700857508826</v>
      </c>
      <c r="J19" s="85">
        <f>IF(H19,An,'2023'!An_max)</f>
        <v>2019</v>
      </c>
      <c r="K19" s="199">
        <f t="shared" si="3"/>
        <v>45296</v>
      </c>
      <c r="L19" s="147">
        <f>IF(t&lt;Tvie,1-EXP((T0-t)*PertePVj)+'2023'!Pspv,1-EXP((T0-t)*PertePVj)+Pspv)</f>
        <v>4.5099224541174765E-2</v>
      </c>
      <c r="M19" s="870"/>
      <c r="N19" s="870"/>
      <c r="O19" s="48">
        <f>IF(t&lt;Tnet,'2023'!Resal+('2023'!Salim-'2023'!Resal)*(1-EXP(('2023'!Tnet-t)/('2023'!Tau_j))),Resal+(Salim-Resal)*(1-EXP((Tnet-t)/(Tau_j))))*Salcycl</f>
        <v>8.1419548763166386E-2</v>
      </c>
      <c r="P19" s="171">
        <f>(INDEX(Models!$BJ19:$BT19,,T19)*(1-R19)+INDEX(Models!$BJ19:$BT19,,T19+1)*R19-ERP_i)*Q19*Ramure*Pc/MaxiM</f>
        <v>0.16246019451131449</v>
      </c>
      <c r="Q19" s="307">
        <f t="shared" si="4"/>
        <v>1</v>
      </c>
      <c r="R19" s="179">
        <f t="shared" si="5"/>
        <v>0.39995116516583962</v>
      </c>
      <c r="S19" s="837">
        <f t="shared" si="6"/>
        <v>1</v>
      </c>
      <c r="T19" s="178">
        <f t="shared" si="7"/>
        <v>7</v>
      </c>
      <c r="U19" s="253">
        <f t="shared" si="8"/>
        <v>1.3999511651658396</v>
      </c>
      <c r="V19" s="385">
        <f t="shared" si="9"/>
        <v>14.419940571095362</v>
      </c>
      <c r="W19" s="404">
        <f t="shared" si="10"/>
        <v>10.557254340773525</v>
      </c>
      <c r="X19" s="157">
        <f t="shared" si="11"/>
        <v>45296</v>
      </c>
      <c r="Y19" s="387">
        <f t="shared" si="12"/>
        <v>10.293326802694617</v>
      </c>
      <c r="Z19" s="387">
        <f t="shared" si="22"/>
        <v>10.779472660652855</v>
      </c>
      <c r="AA19" s="388">
        <f t="shared" si="13"/>
        <v>12.035815999776206</v>
      </c>
      <c r="AB19" s="199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0.10438372762982667</v>
      </c>
      <c r="AD19" s="233">
        <f>(INDEX(Models!$BJ19:$BT19,,AH19)*(1-AF19)+INDEX(Models!$BJ19:$BT19,,AH19+1)*AF19-ERP_i)*AE19*Ramure*Pc/MaxiM</f>
        <v>0.16246019451131449</v>
      </c>
      <c r="AE19" s="307">
        <f t="shared" si="15"/>
        <v>1</v>
      </c>
      <c r="AF19" s="179">
        <f t="shared" si="23"/>
        <v>0.39995116516583962</v>
      </c>
      <c r="AG19" s="837">
        <f t="shared" si="24"/>
        <v>1</v>
      </c>
      <c r="AH19" s="178">
        <f t="shared" si="16"/>
        <v>7</v>
      </c>
      <c r="AI19" s="227">
        <f t="shared" si="17"/>
        <v>1.3999511651658396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45297</v>
      </c>
      <c r="B20" s="1139">
        <f>IF(t&gt;Tmaj,'2023'!Wh/'2023'!Env_an*'2024'!Env_an,0.001*'[3]mon-tableau (2)'!$B$213)</f>
        <v>4.6846713744193398</v>
      </c>
      <c r="C20" s="866"/>
      <c r="D20" s="395">
        <f t="shared" si="0"/>
        <v>4.9060389482374926</v>
      </c>
      <c r="E20" s="387">
        <f t="shared" si="1"/>
        <v>5.3418836941668051</v>
      </c>
      <c r="F20" s="387">
        <f t="shared" si="2"/>
        <v>5.3679608560654577</v>
      </c>
      <c r="G20" s="110">
        <f t="shared" si="21"/>
        <v>0.27112759713489554</v>
      </c>
      <c r="H20" s="414" t="b">
        <f>Wh_hp&gt;='2023'!Maxi_hp</f>
        <v>0</v>
      </c>
      <c r="I20" s="392">
        <f>IF(H20,Wh_hp,'2023'!Maxi_hp)</f>
        <v>20.454909959477973</v>
      </c>
      <c r="J20" s="85">
        <f>IF(H20,An,'2023'!An_max)</f>
        <v>2022</v>
      </c>
      <c r="K20" s="199">
        <f t="shared" si="3"/>
        <v>45297</v>
      </c>
      <c r="L20" s="147">
        <f>IF(t&lt;Tvie,1-EXP((T0-t)*PertePVj)+'2023'!Pspv,1-EXP((T0-t)*PertePVj)+Pspv)</f>
        <v>4.5121446477239924E-2</v>
      </c>
      <c r="M20" s="870"/>
      <c r="N20" s="870"/>
      <c r="O20" s="48">
        <f>IF(t&lt;Tnet,'2023'!Resal+('2023'!Salim-'2023'!Resal)*(1-EXP(('2023'!Tnet-t)/('2023'!Tau_j))),Resal+(Salim-Resal)*(1-EXP((Tnet-t)/(Tau_j))))*Salcycl</f>
        <v>8.1590085236270302E-2</v>
      </c>
      <c r="P20" s="171">
        <f>(INDEX(Models!$BJ20:$BT20,,T20)*(1-R20)+INDEX(Models!$BJ20:$BT20,,T20+1)*R20-ERP_i)*Q20*Ramure*Pc/MaxiM</f>
        <v>0.16009798347215864</v>
      </c>
      <c r="Q20" s="307">
        <f t="shared" si="4"/>
        <v>1</v>
      </c>
      <c r="R20" s="179">
        <f t="shared" si="5"/>
        <v>0.3999993486812905</v>
      </c>
      <c r="S20" s="837">
        <f t="shared" si="6"/>
        <v>1</v>
      </c>
      <c r="T20" s="178">
        <f t="shared" si="7"/>
        <v>7</v>
      </c>
      <c r="U20" s="253">
        <f t="shared" si="8"/>
        <v>1.3999993486812905</v>
      </c>
      <c r="V20" s="385">
        <f t="shared" si="9"/>
        <v>14.583069374437127</v>
      </c>
      <c r="W20" s="404">
        <f t="shared" si="10"/>
        <v>4.6846713744193398</v>
      </c>
      <c r="X20" s="157">
        <f t="shared" si="11"/>
        <v>45297</v>
      </c>
      <c r="Y20" s="387">
        <f t="shared" si="12"/>
        <v>4.5677657674427978</v>
      </c>
      <c r="Z20" s="387">
        <f t="shared" si="22"/>
        <v>4.7836091308065205</v>
      </c>
      <c r="AA20" s="388">
        <f t="shared" si="13"/>
        <v>5.3418836941668051</v>
      </c>
      <c r="AB20" s="199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0.10450893267667095</v>
      </c>
      <c r="AD20" s="233">
        <f>(INDEX(Models!$BJ20:$BT20,,AH20)*(1-AF20)+INDEX(Models!$BJ20:$BT20,,AH20+1)*AF20-ERP_i)*AE20*Ramure*Pc/MaxiM</f>
        <v>0.16009798347215864</v>
      </c>
      <c r="AE20" s="307">
        <f t="shared" si="15"/>
        <v>1</v>
      </c>
      <c r="AF20" s="179">
        <f t="shared" si="23"/>
        <v>0.3999993486812905</v>
      </c>
      <c r="AG20" s="837">
        <f t="shared" si="24"/>
        <v>1</v>
      </c>
      <c r="AH20" s="178">
        <f t="shared" si="16"/>
        <v>7</v>
      </c>
      <c r="AI20" s="227">
        <f t="shared" si="17"/>
        <v>1.3999993486812905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45298</v>
      </c>
      <c r="B21" s="1139">
        <f>IF(t&gt;Tmaj,'2023'!Wh/'2023'!Env_an*'2024'!Env_an,0.001*'[3]mon-tableau (2)'!$B$214)</f>
        <v>11.957407889400438</v>
      </c>
      <c r="C21" s="866"/>
      <c r="D21" s="395">
        <f t="shared" si="0"/>
        <v>12.522729846755816</v>
      </c>
      <c r="E21" s="387">
        <f t="shared" si="1"/>
        <v>13.637760021797014</v>
      </c>
      <c r="F21" s="387">
        <f t="shared" si="2"/>
        <v>15.408577263981712</v>
      </c>
      <c r="G21" s="110">
        <f t="shared" si="21"/>
        <v>0.77131683867516876</v>
      </c>
      <c r="H21" s="414" t="b">
        <f>Wh_hp&gt;='2023'!Maxi_hp</f>
        <v>0</v>
      </c>
      <c r="I21" s="392">
        <f>IF(H21,Wh_hp,'2023'!Maxi_hp)</f>
        <v>15.62674165622532</v>
      </c>
      <c r="J21" s="85">
        <f>IF(H21,An,'2023'!An_max)</f>
        <v>2023</v>
      </c>
      <c r="K21" s="199">
        <f t="shared" si="3"/>
        <v>45298</v>
      </c>
      <c r="L21" s="147">
        <f>IF(t&lt;Tvie,1-EXP((T0-t)*PertePVj)+'2023'!Pspv,1-EXP((T0-t)*PertePVj)+Pspv)</f>
        <v>4.5143667896168194E-2</v>
      </c>
      <c r="M21" s="870"/>
      <c r="N21" s="870"/>
      <c r="O21" s="48">
        <f>IF(t&lt;Tnet,'2023'!Resal+('2023'!Salim-'2023'!Resal)*(1-EXP(('2023'!Tnet-t)/('2023'!Tau_j))),Resal+(Salim-Resal)*(1-EXP((Tnet-t)/(Tau_j))))*Salcycl</f>
        <v>8.1760507096404658E-2</v>
      </c>
      <c r="P21" s="171">
        <f>(INDEX(Models!$BJ21:$BT21,,T21)*(1-R21)+INDEX(Models!$BJ21:$BT21,,T21+1)*R21-ERP_i)*Q21*Ramure*Pc/MaxiM</f>
        <v>0.15761384026442424</v>
      </c>
      <c r="Q21" s="307">
        <f t="shared" si="4"/>
        <v>1</v>
      </c>
      <c r="R21" s="179">
        <f t="shared" si="5"/>
        <v>0.40004954653677904</v>
      </c>
      <c r="S21" s="837">
        <f t="shared" si="6"/>
        <v>1</v>
      </c>
      <c r="T21" s="178">
        <f t="shared" si="7"/>
        <v>7</v>
      </c>
      <c r="U21" s="253">
        <f t="shared" si="8"/>
        <v>1.400049546536779</v>
      </c>
      <c r="V21" s="385">
        <f t="shared" si="9"/>
        <v>14.754855162134783</v>
      </c>
      <c r="W21" s="404">
        <f t="shared" si="10"/>
        <v>11.957407889400438</v>
      </c>
      <c r="X21" s="157">
        <f t="shared" si="11"/>
        <v>45298</v>
      </c>
      <c r="Y21" s="387">
        <f t="shared" si="12"/>
        <v>11.659544589907071</v>
      </c>
      <c r="Z21" s="387">
        <f t="shared" si="22"/>
        <v>12.210784175476572</v>
      </c>
      <c r="AA21" s="388">
        <f t="shared" si="13"/>
        <v>13.637760021797014</v>
      </c>
      <c r="AB21" s="199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0.10463418068947755</v>
      </c>
      <c r="AD21" s="233">
        <f>(INDEX(Models!$BJ21:$BT21,,AH21)*(1-AF21)+INDEX(Models!$BJ21:$BT21,,AH21+1)*AF21-ERP_i)*AE21*Ramure*Pc/MaxiM</f>
        <v>0.15761384026442424</v>
      </c>
      <c r="AE21" s="307">
        <f t="shared" si="15"/>
        <v>1</v>
      </c>
      <c r="AF21" s="179">
        <f t="shared" si="23"/>
        <v>0.40004954653677904</v>
      </c>
      <c r="AG21" s="837">
        <f t="shared" si="24"/>
        <v>1</v>
      </c>
      <c r="AH21" s="178">
        <f t="shared" si="16"/>
        <v>7</v>
      </c>
      <c r="AI21" s="227">
        <f t="shared" si="17"/>
        <v>1.400049546536779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45299</v>
      </c>
      <c r="B22" s="1139">
        <f>IF(t&gt;Tmaj,'2023'!Wh/'2023'!Env_an*'2024'!Env_an,0.001*'[3]mon-tableau (2)'!$B$215)</f>
        <v>6.2427680565593713</v>
      </c>
      <c r="C22" s="866"/>
      <c r="D22" s="395">
        <f t="shared" si="0"/>
        <v>6.5380656004218682</v>
      </c>
      <c r="E22" s="387">
        <f t="shared" si="1"/>
        <v>7.1215389632327248</v>
      </c>
      <c r="F22" s="387">
        <f t="shared" si="2"/>
        <v>7.3126163788178582</v>
      </c>
      <c r="G22" s="110">
        <f t="shared" si="21"/>
        <v>0.3626750175296517</v>
      </c>
      <c r="H22" s="414" t="b">
        <f>Wh_hp&gt;='2023'!Maxi_hp</f>
        <v>0</v>
      </c>
      <c r="I22" s="392">
        <f>IF(H22,Wh_hp,'2023'!Maxi_hp)</f>
        <v>14.685729582313519</v>
      </c>
      <c r="J22" s="85">
        <f>IF(H22,An,'2023'!An_max)</f>
        <v>2021</v>
      </c>
      <c r="K22" s="199">
        <f t="shared" si="3"/>
        <v>45299</v>
      </c>
      <c r="L22" s="147">
        <f>IF(t&lt;Tvie,1-EXP((T0-t)*PertePVj)+'2023'!Pspv,1-EXP((T0-t)*PertePVj)+Pspv)</f>
        <v>4.5165888797971565E-2</v>
      </c>
      <c r="M22" s="870"/>
      <c r="N22" s="870"/>
      <c r="O22" s="48">
        <f>IF(t&lt;Tnet,'2023'!Resal+('2023'!Salim-'2023'!Resal)*(1-EXP(('2023'!Tnet-t)/('2023'!Tau_j))),Resal+(Salim-Resal)*(1-EXP((Tnet-t)/(Tau_j))))*Salcycl</f>
        <v>8.1930796955999058E-2</v>
      </c>
      <c r="P22" s="171">
        <f>(INDEX(Models!$BJ22:$BT22,,T22)*(1-R22)+INDEX(Models!$BJ22:$BT22,,T22+1)*R22-ERP_i)*Q22*Ramure*Pc/MaxiM</f>
        <v>0.15501547018813203</v>
      </c>
      <c r="Q22" s="307">
        <f t="shared" si="4"/>
        <v>1</v>
      </c>
      <c r="R22" s="179">
        <f t="shared" si="5"/>
        <v>0.40010184263517501</v>
      </c>
      <c r="S22" s="837">
        <f t="shared" si="6"/>
        <v>1</v>
      </c>
      <c r="T22" s="178">
        <f t="shared" si="7"/>
        <v>7</v>
      </c>
      <c r="U22" s="253">
        <f t="shared" si="8"/>
        <v>1.400101842635175</v>
      </c>
      <c r="V22" s="385">
        <f t="shared" si="9"/>
        <v>14.935069665510042</v>
      </c>
      <c r="W22" s="404">
        <f t="shared" si="10"/>
        <v>6.2427680565593713</v>
      </c>
      <c r="X22" s="157">
        <f t="shared" si="11"/>
        <v>45299</v>
      </c>
      <c r="Y22" s="387">
        <f t="shared" si="12"/>
        <v>6.0875357772133398</v>
      </c>
      <c r="Z22" s="387">
        <f t="shared" si="22"/>
        <v>6.3754904708523856</v>
      </c>
      <c r="AA22" s="388">
        <f t="shared" si="13"/>
        <v>7.1215389632327248</v>
      </c>
      <c r="AB22" s="199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0.10475944823612679</v>
      </c>
      <c r="AD22" s="233">
        <f>(INDEX(Models!$BJ22:$BT22,,AH22)*(1-AF22)+INDEX(Models!$BJ22:$BT22,,AH22+1)*AF22-ERP_i)*AE22*Ramure*Pc/MaxiM</f>
        <v>0.15501547018813203</v>
      </c>
      <c r="AE22" s="307">
        <f t="shared" si="15"/>
        <v>1</v>
      </c>
      <c r="AF22" s="179">
        <f t="shared" si="23"/>
        <v>0.40010184263517501</v>
      </c>
      <c r="AG22" s="837">
        <f t="shared" si="24"/>
        <v>1</v>
      </c>
      <c r="AH22" s="178">
        <f t="shared" si="16"/>
        <v>7</v>
      </c>
      <c r="AI22" s="227">
        <f t="shared" si="17"/>
        <v>1.400101842635175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45300</v>
      </c>
      <c r="B23" s="1139">
        <f>IF(t&gt;Tmaj,'2023'!Wh/'2023'!Env_an*'2024'!Env_an,0.001*'[3]mon-tableau (2)'!$B$216)</f>
        <v>6.3667867263581526</v>
      </c>
      <c r="C23" s="866"/>
      <c r="D23" s="395">
        <f t="shared" si="0"/>
        <v>6.6681058202030323</v>
      </c>
      <c r="E23" s="387">
        <f t="shared" si="1"/>
        <v>7.2645306228966238</v>
      </c>
      <c r="F23" s="387">
        <f t="shared" si="2"/>
        <v>7.4608228224653761</v>
      </c>
      <c r="G23" s="110">
        <f t="shared" si="21"/>
        <v>0.36646697754365248</v>
      </c>
      <c r="H23" s="414" t="b">
        <f>Wh_hp&gt;='2023'!Maxi_hp</f>
        <v>0</v>
      </c>
      <c r="I23" s="392">
        <f>IF(H23,Wh_hp,'2023'!Maxi_hp)</f>
        <v>18.908516116999923</v>
      </c>
      <c r="J23" s="85">
        <f>IF(H23,An,'2023'!An_max)</f>
        <v>2020</v>
      </c>
      <c r="K23" s="199">
        <f t="shared" si="3"/>
        <v>45300</v>
      </c>
      <c r="L23" s="147">
        <f>IF(t&lt;Tvie,1-EXP((T0-t)*PertePVj)+'2023'!Pspv,1-EXP((T0-t)*PertePVj)+Pspv)</f>
        <v>4.5188109182662139E-2</v>
      </c>
      <c r="M23" s="870"/>
      <c r="N23" s="870"/>
      <c r="O23" s="48">
        <f>IF(t&lt;Tnet,'2023'!Resal+('2023'!Salim-'2023'!Resal)*(1-EXP(('2023'!Tnet-t)/('2023'!Tau_j))),Resal+(Salim-Resal)*(1-EXP((Tnet-t)/(Tau_j))))*Salcycl</f>
        <v>8.2100941362096683E-2</v>
      </c>
      <c r="P23" s="171">
        <f>(INDEX(Models!$BJ23:$BT23,,T23)*(1-R23)+INDEX(Models!$BJ23:$BT23,,T23+1)*R23-ERP_i)*Q23*Ramure*Pc/MaxiM</f>
        <v>0.15229305533278936</v>
      </c>
      <c r="Q23" s="307">
        <f t="shared" si="4"/>
        <v>1</v>
      </c>
      <c r="R23" s="179">
        <f t="shared" si="5"/>
        <v>0.40015632434782411</v>
      </c>
      <c r="S23" s="837">
        <f t="shared" si="6"/>
        <v>1</v>
      </c>
      <c r="T23" s="178">
        <f t="shared" si="7"/>
        <v>7</v>
      </c>
      <c r="U23" s="253">
        <f t="shared" si="8"/>
        <v>1.4001563243478241</v>
      </c>
      <c r="V23" s="385">
        <f t="shared" si="9"/>
        <v>15.125521758344201</v>
      </c>
      <c r="W23" s="404">
        <f t="shared" si="10"/>
        <v>6.3667867263581526</v>
      </c>
      <c r="X23" s="157">
        <f t="shared" si="11"/>
        <v>45300</v>
      </c>
      <c r="Y23" s="387">
        <f t="shared" si="12"/>
        <v>6.2087525297179864</v>
      </c>
      <c r="Z23" s="387">
        <f t="shared" si="22"/>
        <v>6.502592384352452</v>
      </c>
      <c r="AA23" s="388">
        <f t="shared" si="13"/>
        <v>7.2645306228966238</v>
      </c>
      <c r="AB23" s="199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0.10488471700327973</v>
      </c>
      <c r="AD23" s="233">
        <f>(INDEX(Models!$BJ23:$BT23,,AH23)*(1-AF23)+INDEX(Models!$BJ23:$BT23,,AH23+1)*AF23-ERP_i)*AE23*Ramure*Pc/MaxiM</f>
        <v>0.15229305533278936</v>
      </c>
      <c r="AE23" s="307">
        <f t="shared" si="15"/>
        <v>1</v>
      </c>
      <c r="AF23" s="179">
        <f t="shared" si="23"/>
        <v>0.40015632434782411</v>
      </c>
      <c r="AG23" s="837">
        <f t="shared" si="24"/>
        <v>1</v>
      </c>
      <c r="AH23" s="178">
        <f t="shared" si="16"/>
        <v>7</v>
      </c>
      <c r="AI23" s="227">
        <f t="shared" si="17"/>
        <v>1.4001563243478241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45301</v>
      </c>
      <c r="B24" s="1139">
        <f>IF(t&gt;Tmaj,'2023'!Wh/'2023'!Env_an*'2024'!Env_an,0.001*'[3]mon-tableau (2)'!$B$217)</f>
        <v>14.033716952649343</v>
      </c>
      <c r="C24" s="866"/>
      <c r="D24" s="395">
        <f t="shared" si="0"/>
        <v>14.698228709040942</v>
      </c>
      <c r="E24" s="387">
        <f t="shared" si="1"/>
        <v>16.015869169239199</v>
      </c>
      <c r="F24" s="387">
        <f t="shared" si="2"/>
        <v>18.440086896537103</v>
      </c>
      <c r="G24" s="110">
        <f t="shared" si="21"/>
        <v>0.89662659123740163</v>
      </c>
      <c r="H24" s="414" t="b">
        <f>Wh_hp&gt;='2023'!Maxi_hp</f>
        <v>0</v>
      </c>
      <c r="I24" s="392">
        <f>IF(H24,Wh_hp,'2023'!Maxi_hp)</f>
        <v>18.551618953476808</v>
      </c>
      <c r="J24" s="85">
        <f>IF(H24,An,'2023'!An_max)</f>
        <v>2023</v>
      </c>
      <c r="K24" s="199">
        <f t="shared" si="3"/>
        <v>45301</v>
      </c>
      <c r="L24" s="147">
        <f>IF(t&lt;Tvie,1-EXP((T0-t)*PertePVj)+'2023'!Pspv,1-EXP((T0-t)*PertePVj)+Pspv)</f>
        <v>4.5210329050251796E-2</v>
      </c>
      <c r="M24" s="870"/>
      <c r="N24" s="870"/>
      <c r="O24" s="48">
        <f>IF(t&lt;Tnet,'2023'!Resal+('2023'!Salim-'2023'!Resal)*(1-EXP(('2023'!Tnet-t)/('2023'!Tau_j))),Resal+(Salim-Resal)*(1-EXP((Tnet-t)/(Tau_j))))*Salcycl</f>
        <v>8.2270930554863508E-2</v>
      </c>
      <c r="P24" s="171">
        <f>(INDEX(Models!$BJ24:$BT24,,T24)*(1-R24)+INDEX(Models!$BJ24:$BT24,,T24+1)*R24-ERP_i)*Q24*Ramure*Pc/MaxiM</f>
        <v>0.14948323003554287</v>
      </c>
      <c r="Q24" s="307">
        <f t="shared" si="4"/>
        <v>1</v>
      </c>
      <c r="R24" s="179">
        <f t="shared" si="5"/>
        <v>0.40021308265568156</v>
      </c>
      <c r="S24" s="837">
        <f t="shared" si="6"/>
        <v>1</v>
      </c>
      <c r="T24" s="178">
        <f t="shared" si="7"/>
        <v>7</v>
      </c>
      <c r="U24" s="253">
        <f t="shared" si="8"/>
        <v>1.4002130826556816</v>
      </c>
      <c r="V24" s="385">
        <f t="shared" si="9"/>
        <v>15.326974341388301</v>
      </c>
      <c r="W24" s="404">
        <f t="shared" si="10"/>
        <v>14.033716952649343</v>
      </c>
      <c r="X24" s="157">
        <f t="shared" si="11"/>
        <v>45301</v>
      </c>
      <c r="Y24" s="387">
        <f t="shared" si="12"/>
        <v>13.685996364301321</v>
      </c>
      <c r="Z24" s="387">
        <f t="shared" si="22"/>
        <v>14.334043172762426</v>
      </c>
      <c r="AA24" s="388">
        <f t="shared" si="13"/>
        <v>16.015869169239199</v>
      </c>
      <c r="AB24" s="199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0.1050099734647536</v>
      </c>
      <c r="AD24" s="233">
        <f>(INDEX(Models!$BJ24:$BT24,,AH24)*(1-AF24)+INDEX(Models!$BJ24:$BT24,,AH24+1)*AF24-ERP_i)*AE24*Ramure*Pc/MaxiM</f>
        <v>0.14948323003554287</v>
      </c>
      <c r="AE24" s="307">
        <f t="shared" si="15"/>
        <v>1</v>
      </c>
      <c r="AF24" s="179">
        <f t="shared" si="23"/>
        <v>0.40021308265568156</v>
      </c>
      <c r="AG24" s="837">
        <f t="shared" si="24"/>
        <v>1</v>
      </c>
      <c r="AH24" s="178">
        <f t="shared" si="16"/>
        <v>7</v>
      </c>
      <c r="AI24" s="227">
        <f t="shared" si="17"/>
        <v>1.4002130826556816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45302</v>
      </c>
      <c r="B25" s="1139">
        <f>IF(t&gt;Tmaj,'2023'!Wh/'2023'!Env_an*'2024'!Env_an,0.001*'[3]mon-tableau (2)'!$B$218)</f>
        <v>4.1682898461924749</v>
      </c>
      <c r="C25" s="866"/>
      <c r="D25" s="395">
        <f t="shared" si="0"/>
        <v>4.3657645002566206</v>
      </c>
      <c r="E25" s="387">
        <f t="shared" si="1"/>
        <v>4.7580192115892785</v>
      </c>
      <c r="F25" s="387">
        <f t="shared" si="2"/>
        <v>4.7580192115892785</v>
      </c>
      <c r="G25" s="110">
        <f t="shared" si="21"/>
        <v>0.22892580706684984</v>
      </c>
      <c r="H25" s="414" t="b">
        <f>Wh_hp&gt;='2023'!Maxi_hp</f>
        <v>0</v>
      </c>
      <c r="I25" s="392">
        <f>IF(H25,Wh_hp,'2023'!Maxi_hp)</f>
        <v>21.391910226810385</v>
      </c>
      <c r="J25" s="85">
        <f>IF(H25,An,'2023'!An_max)</f>
        <v>2022</v>
      </c>
      <c r="K25" s="199">
        <f t="shared" si="3"/>
        <v>45302</v>
      </c>
      <c r="L25" s="147">
        <f>IF(t&lt;Tvie,1-EXP((T0-t)*PertePVj)+'2023'!Pspv,1-EXP((T0-t)*PertePVj)+Pspv)</f>
        <v>4.5232548400752748E-2</v>
      </c>
      <c r="M25" s="870"/>
      <c r="N25" s="870"/>
      <c r="O25" s="48">
        <f>IF(t&lt;Tnet,'2023'!Resal+('2023'!Salim-'2023'!Resal)*(1-EXP(('2023'!Tnet-t)/('2023'!Tau_j))),Resal+(Salim-Resal)*(1-EXP((Tnet-t)/(Tau_j))))*Salcycl</f>
        <v>8.2440758199804939E-2</v>
      </c>
      <c r="P25" s="171">
        <f>(INDEX(Models!$BJ25:$BT25,,T25)*(1-R25)+INDEX(Models!$BJ25:$BT25,,T25+1)*R25-ERP_i)*Q25*Ramure*Pc/MaxiM</f>
        <v>0.14665769064789239</v>
      </c>
      <c r="Q25" s="307">
        <f t="shared" si="4"/>
        <v>1</v>
      </c>
      <c r="R25" s="179">
        <f t="shared" si="5"/>
        <v>0.40027221229599408</v>
      </c>
      <c r="S25" s="837">
        <f t="shared" si="6"/>
        <v>1</v>
      </c>
      <c r="T25" s="178">
        <f t="shared" si="7"/>
        <v>7</v>
      </c>
      <c r="U25" s="253">
        <f t="shared" si="8"/>
        <v>1.4002722122959941</v>
      </c>
      <c r="V25" s="385">
        <f t="shared" si="9"/>
        <v>15.537689389296927</v>
      </c>
      <c r="W25" s="404">
        <f t="shared" si="10"/>
        <v>4.1682898461924749</v>
      </c>
      <c r="X25" s="157">
        <f t="shared" si="11"/>
        <v>45302</v>
      </c>
      <c r="Y25" s="387">
        <f t="shared" si="12"/>
        <v>4.065193454680637</v>
      </c>
      <c r="Z25" s="387">
        <f t="shared" si="22"/>
        <v>4.2577838696442658</v>
      </c>
      <c r="AA25" s="388">
        <f t="shared" si="13"/>
        <v>4.7580192115892785</v>
      </c>
      <c r="AB25" s="199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0.10513520851840434</v>
      </c>
      <c r="AD25" s="233">
        <f>(INDEX(Models!$BJ25:$BT25,,AH25)*(1-AF25)+INDEX(Models!$BJ25:$BT25,,AH25+1)*AF25-ERP_i)*AE25*Ramure*Pc/MaxiM</f>
        <v>0.14665769064789239</v>
      </c>
      <c r="AE25" s="307">
        <f t="shared" si="15"/>
        <v>1</v>
      </c>
      <c r="AF25" s="179">
        <f t="shared" si="23"/>
        <v>0.40027221229599408</v>
      </c>
      <c r="AG25" s="837">
        <f t="shared" si="24"/>
        <v>1</v>
      </c>
      <c r="AH25" s="178">
        <f t="shared" si="16"/>
        <v>7</v>
      </c>
      <c r="AI25" s="227">
        <f t="shared" si="17"/>
        <v>1.4002722122959941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45303</v>
      </c>
      <c r="B26" s="1139">
        <f>IF(t&gt;Tmaj,'2023'!Wh/'2023'!Env_an*'2024'!Env_an,0.001*'[3]mon-tableau (2)'!$B$219)</f>
        <v>15.076427005693304</v>
      </c>
      <c r="C26" s="866"/>
      <c r="D26" s="395">
        <f t="shared" si="0"/>
        <v>15.791047169743978</v>
      </c>
      <c r="E26" s="387">
        <f t="shared" si="1"/>
        <v>17.213022180425288</v>
      </c>
      <c r="F26" s="387">
        <f t="shared" si="2"/>
        <v>19.898331424147692</v>
      </c>
      <c r="G26" s="110">
        <f t="shared" si="21"/>
        <v>0.94699148926559207</v>
      </c>
      <c r="H26" s="414" t="b">
        <f>Wh_hp&gt;='2023'!Maxi_hp</f>
        <v>0</v>
      </c>
      <c r="I26" s="392">
        <f>IF(H26,Wh_hp,'2023'!Maxi_hp)</f>
        <v>20.743234517449725</v>
      </c>
      <c r="J26" s="85">
        <f>IF(H26,An,'2023'!An_max)</f>
        <v>2020</v>
      </c>
      <c r="K26" s="199">
        <f t="shared" si="3"/>
        <v>45303</v>
      </c>
      <c r="L26" s="147">
        <f>IF(t&lt;Tvie,1-EXP((T0-t)*PertePVj)+'2023'!Pspv,1-EXP((T0-t)*PertePVj)+Pspv)</f>
        <v>4.5254767234176985E-2</v>
      </c>
      <c r="M26" s="870"/>
      <c r="N26" s="870"/>
      <c r="O26" s="48">
        <f>IF(t&lt;Tnet,'2023'!Resal+('2023'!Salim-'2023'!Resal)*(1-EXP(('2023'!Tnet-t)/('2023'!Tau_j))),Resal+(Salim-Resal)*(1-EXP((Tnet-t)/(Tau_j))))*Salcycl</f>
        <v>8.2610421097254166E-2</v>
      </c>
      <c r="P26" s="171">
        <f>(INDEX(Models!$BJ26:$BT26,,T26)*(1-R26)+INDEX(Models!$BJ26:$BT26,,T26+1)*R26-ERP_i)*Q26*Ramure*Pc/MaxiM</f>
        <v>0.14382607218232862</v>
      </c>
      <c r="Q26" s="307">
        <f t="shared" si="4"/>
        <v>1</v>
      </c>
      <c r="R26" s="179">
        <f t="shared" si="5"/>
        <v>0.4003338119147335</v>
      </c>
      <c r="S26" s="837">
        <f t="shared" si="6"/>
        <v>1</v>
      </c>
      <c r="T26" s="178">
        <f t="shared" si="7"/>
        <v>7</v>
      </c>
      <c r="U26" s="253">
        <f t="shared" si="8"/>
        <v>1.4003338119147335</v>
      </c>
      <c r="V26" s="385">
        <f t="shared" si="9"/>
        <v>15.757012652551936</v>
      </c>
      <c r="W26" s="404">
        <f t="shared" si="10"/>
        <v>15.076427005693304</v>
      </c>
      <c r="X26" s="157">
        <f t="shared" si="11"/>
        <v>45303</v>
      </c>
      <c r="Y26" s="387">
        <f t="shared" si="12"/>
        <v>14.704195819280592</v>
      </c>
      <c r="Z26" s="387">
        <f t="shared" si="22"/>
        <v>15.401172286227265</v>
      </c>
      <c r="AA26" s="388">
        <f t="shared" si="13"/>
        <v>17.213022180425288</v>
      </c>
      <c r="AB26" s="199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0.10526041709621825</v>
      </c>
      <c r="AD26" s="233">
        <f>(INDEX(Models!$BJ26:$BT26,,AH26)*(1-AF26)+INDEX(Models!$BJ26:$BT26,,AH26+1)*AF26-ERP_i)*AE26*Ramure*Pc/MaxiM</f>
        <v>0.14382607218232862</v>
      </c>
      <c r="AE26" s="307">
        <f t="shared" si="15"/>
        <v>1</v>
      </c>
      <c r="AF26" s="179">
        <f t="shared" si="23"/>
        <v>0.4003338119147335</v>
      </c>
      <c r="AG26" s="837">
        <f t="shared" si="24"/>
        <v>1</v>
      </c>
      <c r="AH26" s="178">
        <f t="shared" si="16"/>
        <v>7</v>
      </c>
      <c r="AI26" s="227">
        <f t="shared" si="17"/>
        <v>1.4003338119147335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45304</v>
      </c>
      <c r="B27" s="1139">
        <f>IF(t&gt;Tmaj,'2023'!Wh/'2023'!Env_an*'2024'!Env_an,0.001*'[3]mon-tableau (2)'!$B$220)</f>
        <v>9.8485855791732106</v>
      </c>
      <c r="C27" s="866"/>
      <c r="D27" s="395">
        <f t="shared" si="0"/>
        <v>10.315646978356702</v>
      </c>
      <c r="E27" s="387">
        <f t="shared" si="1"/>
        <v>11.246643189146079</v>
      </c>
      <c r="F27" s="387">
        <f t="shared" si="2"/>
        <v>12.011521199493739</v>
      </c>
      <c r="G27" s="110">
        <f t="shared" si="21"/>
        <v>0.56526248615362462</v>
      </c>
      <c r="H27" s="414" t="b">
        <f>Wh_hp&gt;='2023'!Maxi_hp</f>
        <v>0</v>
      </c>
      <c r="I27" s="392">
        <f>IF(H27,Wh_hp,'2023'!Maxi_hp)</f>
        <v>14.753138664755877</v>
      </c>
      <c r="J27" s="85">
        <f>IF(H27,An,'2023'!An_max)</f>
        <v>2020</v>
      </c>
      <c r="K27" s="199">
        <f t="shared" si="3"/>
        <v>45304</v>
      </c>
      <c r="L27" s="147">
        <f>IF(t&lt;Tvie,1-EXP((T0-t)*PertePVj)+'2023'!Pspv,1-EXP((T0-t)*PertePVj)+Pspv)</f>
        <v>4.5276985550536386E-2</v>
      </c>
      <c r="M27" s="870"/>
      <c r="N27" s="870"/>
      <c r="O27" s="48">
        <f>IF(t&lt;Tnet,'2023'!Resal+('2023'!Salim-'2023'!Resal)*(1-EXP(('2023'!Tnet-t)/('2023'!Tau_j))),Resal+(Salim-Resal)*(1-EXP((Tnet-t)/(Tau_j))))*Salcycl</f>
        <v>8.2779918872847649E-2</v>
      </c>
      <c r="P27" s="171">
        <f>(INDEX(Models!$BJ27:$BT27,,T27)*(1-R27)+INDEX(Models!$BJ27:$BT27,,T27+1)*R27-ERP_i)*Q27*Ramure*Pc/MaxiM</f>
        <v>0.14099723706556083</v>
      </c>
      <c r="Q27" s="307">
        <f t="shared" si="4"/>
        <v>1</v>
      </c>
      <c r="R27" s="179">
        <f t="shared" si="5"/>
        <v>0.40039798422499029</v>
      </c>
      <c r="S27" s="837">
        <f t="shared" si="6"/>
        <v>1</v>
      </c>
      <c r="T27" s="178">
        <f t="shared" si="7"/>
        <v>7</v>
      </c>
      <c r="U27" s="253">
        <f t="shared" si="8"/>
        <v>1.4003979842249903</v>
      </c>
      <c r="V27" s="385">
        <f t="shared" si="9"/>
        <v>15.984290161095888</v>
      </c>
      <c r="W27" s="404">
        <f t="shared" si="10"/>
        <v>9.8485855791732106</v>
      </c>
      <c r="X27" s="157">
        <f t="shared" si="11"/>
        <v>45304</v>
      </c>
      <c r="Y27" s="387">
        <f t="shared" si="12"/>
        <v>9.6058587052176332</v>
      </c>
      <c r="Z27" s="387">
        <f t="shared" si="22"/>
        <v>10.061408973949167</v>
      </c>
      <c r="AA27" s="388">
        <f t="shared" si="13"/>
        <v>11.246643189146079</v>
      </c>
      <c r="AB27" s="199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0.10538559775247064</v>
      </c>
      <c r="AD27" s="233">
        <f>(INDEX(Models!$BJ27:$BT27,,AH27)*(1-AF27)+INDEX(Models!$BJ27:$BT27,,AH27+1)*AF27-ERP_i)*AE27*Ramure*Pc/MaxiM</f>
        <v>0.14099723706556083</v>
      </c>
      <c r="AE27" s="307">
        <f t="shared" si="15"/>
        <v>1</v>
      </c>
      <c r="AF27" s="179">
        <f t="shared" si="23"/>
        <v>0.40039798422499029</v>
      </c>
      <c r="AG27" s="837">
        <f t="shared" si="24"/>
        <v>1</v>
      </c>
      <c r="AH27" s="178">
        <f t="shared" si="16"/>
        <v>7</v>
      </c>
      <c r="AI27" s="227">
        <f t="shared" si="17"/>
        <v>1.4003979842249903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45305</v>
      </c>
      <c r="B28" s="1139">
        <f>IF(t&gt;Tmaj,'2023'!Wh/'2023'!Env_an*'2024'!Env_an,0.001*'[3]mon-tableau (2)'!$B$221)</f>
        <v>11.912172815230463</v>
      </c>
      <c r="C28" s="866"/>
      <c r="D28" s="395">
        <f t="shared" si="0"/>
        <v>12.477388577686076</v>
      </c>
      <c r="E28" s="387">
        <f t="shared" si="1"/>
        <v>13.605995772192793</v>
      </c>
      <c r="F28" s="387">
        <f t="shared" si="2"/>
        <v>14.882346254492639</v>
      </c>
      <c r="G28" s="110">
        <f t="shared" si="21"/>
        <v>0.69235438343265188</v>
      </c>
      <c r="H28" s="414" t="b">
        <f>Wh_hp&gt;='2023'!Maxi_hp</f>
        <v>0</v>
      </c>
      <c r="I28" s="392">
        <f>IF(H28,Wh_hp,'2023'!Maxi_hp)</f>
        <v>22.064358181548073</v>
      </c>
      <c r="J28" s="85">
        <f>IF(H28,An,'2023'!An_max)</f>
        <v>2022</v>
      </c>
      <c r="K28" s="199">
        <f t="shared" si="3"/>
        <v>45305</v>
      </c>
      <c r="L28" s="147">
        <f>IF(t&lt;Tvie,1-EXP((T0-t)*PertePVj)+'2023'!Pspv,1-EXP((T0-t)*PertePVj)+Pspv)</f>
        <v>4.5299203349843276E-2</v>
      </c>
      <c r="M28" s="870"/>
      <c r="N28" s="870"/>
      <c r="O28" s="48">
        <f>IF(t&lt;Tnet,'2023'!Resal+('2023'!Salim-'2023'!Resal)*(1-EXP(('2023'!Tnet-t)/('2023'!Tau_j))),Resal+(Salim-Resal)*(1-EXP((Tnet-t)/(Tau_j))))*Salcycl</f>
        <v>8.2949253652812652E-2</v>
      </c>
      <c r="P28" s="171">
        <f>(INDEX(Models!$BJ28:$BT28,,T28)*(1-R28)+INDEX(Models!$BJ28:$BT28,,T28+1)*R28-ERP_i)*Q28*Ramure*Pc/MaxiM</f>
        <v>0.13817927537855135</v>
      </c>
      <c r="Q28" s="307">
        <f t="shared" si="4"/>
        <v>1</v>
      </c>
      <c r="R28" s="179">
        <f t="shared" si="5"/>
        <v>0.4004648361715355</v>
      </c>
      <c r="S28" s="837">
        <f t="shared" si="6"/>
        <v>1</v>
      </c>
      <c r="T28" s="178">
        <f t="shared" si="7"/>
        <v>7</v>
      </c>
      <c r="U28" s="253">
        <f t="shared" si="8"/>
        <v>1.4004648361715355</v>
      </c>
      <c r="V28" s="385">
        <f t="shared" si="9"/>
        <v>16.218868241336288</v>
      </c>
      <c r="W28" s="404">
        <f t="shared" si="10"/>
        <v>11.912172815230463</v>
      </c>
      <c r="X28" s="157">
        <f t="shared" si="11"/>
        <v>45305</v>
      </c>
      <c r="Y28" s="387">
        <f t="shared" si="12"/>
        <v>11.619106732299842</v>
      </c>
      <c r="Z28" s="387">
        <f t="shared" si="22"/>
        <v>12.170416923363668</v>
      </c>
      <c r="AA28" s="388">
        <f t="shared" si="13"/>
        <v>13.605995772192793</v>
      </c>
      <c r="AB28" s="199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0.10551075223491437</v>
      </c>
      <c r="AD28" s="233">
        <f>(INDEX(Models!$BJ28:$BT28,,AH28)*(1-AF28)+INDEX(Models!$BJ28:$BT28,,AH28+1)*AF28-ERP_i)*AE28*Ramure*Pc/MaxiM</f>
        <v>0.13817927537855135</v>
      </c>
      <c r="AE28" s="307">
        <f t="shared" si="15"/>
        <v>1</v>
      </c>
      <c r="AF28" s="179">
        <f t="shared" si="23"/>
        <v>0.4004648361715355</v>
      </c>
      <c r="AG28" s="837">
        <f t="shared" si="24"/>
        <v>1</v>
      </c>
      <c r="AH28" s="178">
        <f t="shared" si="16"/>
        <v>7</v>
      </c>
      <c r="AI28" s="227">
        <f t="shared" si="17"/>
        <v>1.4004648361715355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45306</v>
      </c>
      <c r="B29" s="1139">
        <f>IF(t&gt;Tmaj,'2023'!Wh/'2023'!Env_an*'2024'!Env_an,0.001*'[3]mon-tableau (2)'!$B$222)</f>
        <v>4.9413351725896719</v>
      </c>
      <c r="C29" s="866"/>
      <c r="D29" s="395">
        <f t="shared" si="0"/>
        <v>5.1759149931502773</v>
      </c>
      <c r="E29" s="387">
        <f t="shared" si="1"/>
        <v>5.6451292740180179</v>
      </c>
      <c r="F29" s="387">
        <f t="shared" si="2"/>
        <v>5.6453486367861618</v>
      </c>
      <c r="G29" s="110">
        <f t="shared" si="21"/>
        <v>0.25956994856737431</v>
      </c>
      <c r="H29" s="414" t="b">
        <f>Wh_hp&gt;='2023'!Maxi_hp</f>
        <v>0</v>
      </c>
      <c r="I29" s="392">
        <f>IF(H29,Wh_hp,'2023'!Maxi_hp)</f>
        <v>22.222811190623492</v>
      </c>
      <c r="J29" s="85">
        <f>IF(H29,An,'2023'!An_max)</f>
        <v>2022</v>
      </c>
      <c r="K29" s="199">
        <f t="shared" si="3"/>
        <v>45306</v>
      </c>
      <c r="L29" s="147">
        <f>IF(t&lt;Tvie,1-EXP((T0-t)*PertePVj)+'2023'!Pspv,1-EXP((T0-t)*PertePVj)+Pspv)</f>
        <v>4.5321420632109422E-2</v>
      </c>
      <c r="M29" s="870"/>
      <c r="N29" s="870"/>
      <c r="O29" s="48">
        <f>IF(t&lt;Tnet,'2023'!Resal+('2023'!Salim-'2023'!Resal)*(1-EXP(('2023'!Tnet-t)/('2023'!Tau_j))),Resal+(Salim-Resal)*(1-EXP((Tnet-t)/(Tau_j))))*Salcycl</f>
        <v>8.3118429727964294E-2</v>
      </c>
      <c r="P29" s="171">
        <f>(INDEX(Models!$BJ29:$BT29,,T29)*(1-R29)+INDEX(Models!$BJ29:$BT29,,T29+1)*R29-ERP_i)*Q29*Ramure*Pc/MaxiM</f>
        <v>0.13537951594091313</v>
      </c>
      <c r="Q29" s="307">
        <f t="shared" si="4"/>
        <v>1</v>
      </c>
      <c r="R29" s="179">
        <f t="shared" si="5"/>
        <v>0.40053447910177686</v>
      </c>
      <c r="S29" s="837">
        <f t="shared" si="6"/>
        <v>1</v>
      </c>
      <c r="T29" s="178">
        <f t="shared" si="7"/>
        <v>7</v>
      </c>
      <c r="U29" s="253">
        <f t="shared" si="8"/>
        <v>1.4005344791017769</v>
      </c>
      <c r="V29" s="385">
        <f t="shared" si="9"/>
        <v>16.460093519343687</v>
      </c>
      <c r="W29" s="404">
        <f t="shared" si="10"/>
        <v>4.9413351725896719</v>
      </c>
      <c r="X29" s="157">
        <f t="shared" si="11"/>
        <v>45306</v>
      </c>
      <c r="Y29" s="387">
        <f t="shared" si="12"/>
        <v>4.8199822110317108</v>
      </c>
      <c r="Z29" s="387">
        <f t="shared" si="22"/>
        <v>5.0488010469692384</v>
      </c>
      <c r="AA29" s="388">
        <f t="shared" si="13"/>
        <v>5.6451292740180179</v>
      </c>
      <c r="AB29" s="199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0.10563588504401653</v>
      </c>
      <c r="AD29" s="233">
        <f>(INDEX(Models!$BJ29:$BT29,,AH29)*(1-AF29)+INDEX(Models!$BJ29:$BT29,,AH29+1)*AF29-ERP_i)*AE29*Ramure*Pc/MaxiM</f>
        <v>0.13537951594091313</v>
      </c>
      <c r="AE29" s="307">
        <f t="shared" si="15"/>
        <v>1</v>
      </c>
      <c r="AF29" s="179">
        <f t="shared" si="23"/>
        <v>0.40053447910177686</v>
      </c>
      <c r="AG29" s="837">
        <f t="shared" si="24"/>
        <v>1</v>
      </c>
      <c r="AH29" s="178">
        <f t="shared" si="16"/>
        <v>7</v>
      </c>
      <c r="AI29" s="227">
        <f t="shared" si="17"/>
        <v>1.4005344791017769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45307</v>
      </c>
      <c r="B30" s="1139">
        <f>IF(t&gt;Tmaj,'2023'!Wh/'2023'!Env_an*'2024'!Env_an,0.001*'[3]mon-tableau (2)'!$B$223)</f>
        <v>3.17008175045985</v>
      </c>
      <c r="C30" s="866"/>
      <c r="D30" s="395">
        <f t="shared" si="0"/>
        <v>3.3206521997269722</v>
      </c>
      <c r="E30" s="387">
        <f t="shared" si="1"/>
        <v>3.6223483701144317</v>
      </c>
      <c r="F30" s="387">
        <f t="shared" si="2"/>
        <v>3.6223483701144317</v>
      </c>
      <c r="G30" s="110">
        <f t="shared" si="21"/>
        <v>0.16458149263070082</v>
      </c>
      <c r="H30" s="414" t="b">
        <f>Wh_hp&gt;='2023'!Maxi_hp</f>
        <v>0</v>
      </c>
      <c r="I30" s="392">
        <f>IF(H30,Wh_hp,'2023'!Maxi_hp)</f>
        <v>22.179762474374062</v>
      </c>
      <c r="J30" s="85">
        <f>IF(H30,An,'2023'!An_max)</f>
        <v>2022</v>
      </c>
      <c r="K30" s="199">
        <f t="shared" si="3"/>
        <v>45307</v>
      </c>
      <c r="L30" s="147">
        <f>IF(t&lt;Tvie,1-EXP((T0-t)*PertePVj)+'2023'!Pspv,1-EXP((T0-t)*PertePVj)+Pspv)</f>
        <v>4.5343637397346925E-2</v>
      </c>
      <c r="M30" s="870"/>
      <c r="N30" s="870"/>
      <c r="O30" s="48">
        <f>IF(t&lt;Tnet,'2023'!Resal+('2023'!Salim-'2023'!Resal)*(1-EXP(('2023'!Tnet-t)/('2023'!Tau_j))),Resal+(Salim-Resal)*(1-EXP((Tnet-t)/(Tau_j))))*Salcycl</f>
        <v>8.3287453210340659E-2</v>
      </c>
      <c r="P30" s="171">
        <f>(INDEX(Models!$BJ30:$BT30,,T30)*(1-R30)+INDEX(Models!$BJ30:$BT30,,T30+1)*R30-ERP_i)*Q30*Ramure*Pc/MaxiM</f>
        <v>0.13262260598794529</v>
      </c>
      <c r="Q30" s="307">
        <f t="shared" si="4"/>
        <v>1</v>
      </c>
      <c r="R30" s="179">
        <f t="shared" si="5"/>
        <v>0.40060702894332745</v>
      </c>
      <c r="S30" s="837">
        <f t="shared" si="6"/>
        <v>1</v>
      </c>
      <c r="T30" s="178">
        <f t="shared" si="7"/>
        <v>7</v>
      </c>
      <c r="U30" s="253">
        <f t="shared" si="8"/>
        <v>1.4006070289433274</v>
      </c>
      <c r="V30" s="385">
        <f t="shared" si="9"/>
        <v>16.706965063738402</v>
      </c>
      <c r="W30" s="404">
        <f t="shared" si="10"/>
        <v>3.17008175045985</v>
      </c>
      <c r="X30" s="157">
        <f t="shared" si="11"/>
        <v>45307</v>
      </c>
      <c r="Y30" s="387">
        <f t="shared" si="12"/>
        <v>3.0923660147485426</v>
      </c>
      <c r="Z30" s="387">
        <f t="shared" si="22"/>
        <v>3.2392451733290826</v>
      </c>
      <c r="AA30" s="388">
        <f t="shared" si="13"/>
        <v>3.6223483701144317</v>
      </c>
      <c r="AB30" s="199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0.10576100298526696</v>
      </c>
      <c r="AD30" s="233">
        <f>(INDEX(Models!$BJ30:$BT30,,AH30)*(1-AF30)+INDEX(Models!$BJ30:$BT30,,AH30+1)*AF30-ERP_i)*AE30*Ramure*Pc/MaxiM</f>
        <v>0.13262260598794529</v>
      </c>
      <c r="AE30" s="307">
        <f t="shared" si="15"/>
        <v>1</v>
      </c>
      <c r="AF30" s="179">
        <f t="shared" si="23"/>
        <v>0.40060702894332745</v>
      </c>
      <c r="AG30" s="837">
        <f t="shared" si="24"/>
        <v>1</v>
      </c>
      <c r="AH30" s="178">
        <f t="shared" si="16"/>
        <v>7</v>
      </c>
      <c r="AI30" s="227">
        <f t="shared" si="17"/>
        <v>1.4006070289433274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45308</v>
      </c>
      <c r="B31" s="1139">
        <f>IF(t&gt;Tmaj,'2023'!Wh/'2023'!Env_an*'2024'!Env_an,0.001*'[3]mon-tableau (2)'!$B$224)</f>
        <v>5.4564303065211011</v>
      </c>
      <c r="C31" s="866"/>
      <c r="D31" s="395">
        <f t="shared" si="0"/>
        <v>5.7157292428289725</v>
      </c>
      <c r="E31" s="387">
        <f t="shared" si="1"/>
        <v>6.2361777626434893</v>
      </c>
      <c r="F31" s="387">
        <f t="shared" si="2"/>
        <v>6.261468040619091</v>
      </c>
      <c r="G31" s="110">
        <f t="shared" si="21"/>
        <v>0.28108177977586934</v>
      </c>
      <c r="H31" s="414" t="b">
        <f>Wh_hp&gt;='2023'!Maxi_hp</f>
        <v>0</v>
      </c>
      <c r="I31" s="392">
        <f>IF(H31,Wh_hp,'2023'!Maxi_hp)</f>
        <v>17.368757233641855</v>
      </c>
      <c r="J31" s="85">
        <f>IF(H31,An,'2023'!An_max)</f>
        <v>2022</v>
      </c>
      <c r="K31" s="199">
        <f t="shared" si="3"/>
        <v>45308</v>
      </c>
      <c r="L31" s="147">
        <f>IF(t&lt;Tvie,1-EXP((T0-t)*PertePVj)+'2023'!Pspv,1-EXP((T0-t)*PertePVj)+Pspv)</f>
        <v>4.5365853645567888E-2</v>
      </c>
      <c r="M31" s="870"/>
      <c r="N31" s="870"/>
      <c r="O31" s="48">
        <f>IF(t&lt;Tnet,'2023'!Resal+('2023'!Salim-'2023'!Resal)*(1-EXP(('2023'!Tnet-t)/('2023'!Tau_j))),Resal+(Salim-Resal)*(1-EXP((Tnet-t)/(Tau_j))))*Salcycl</f>
        <v>8.3456331686398419E-2</v>
      </c>
      <c r="P31" s="171">
        <f>(INDEX(Models!$BJ31:$BT31,,T31)*(1-R31)+INDEX(Models!$BJ31:$BT31,,T31+1)*R31-ERP_i)*Q31*Ramure*Pc/MaxiM</f>
        <v>0.1299461588999605</v>
      </c>
      <c r="Q31" s="307">
        <f t="shared" si="4"/>
        <v>1</v>
      </c>
      <c r="R31" s="179">
        <f t="shared" si="5"/>
        <v>0.40068260638842323</v>
      </c>
      <c r="S31" s="837">
        <f t="shared" si="6"/>
        <v>1</v>
      </c>
      <c r="T31" s="178">
        <f t="shared" si="7"/>
        <v>7</v>
      </c>
      <c r="U31" s="253">
        <f t="shared" si="8"/>
        <v>1.4006826063884232</v>
      </c>
      <c r="V31" s="385">
        <f t="shared" si="9"/>
        <v>16.958199039134513</v>
      </c>
      <c r="W31" s="404">
        <f t="shared" si="10"/>
        <v>5.4564303065211011</v>
      </c>
      <c r="X31" s="157">
        <f t="shared" si="11"/>
        <v>45308</v>
      </c>
      <c r="Y31" s="387">
        <f t="shared" si="12"/>
        <v>5.3228997916729544</v>
      </c>
      <c r="Z31" s="387">
        <f t="shared" si="22"/>
        <v>5.5758531286567798</v>
      </c>
      <c r="AA31" s="388">
        <f t="shared" si="13"/>
        <v>6.2361777626434893</v>
      </c>
      <c r="AB31" s="199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0.1058861147195395</v>
      </c>
      <c r="AD31" s="233">
        <f>(INDEX(Models!$BJ31:$BT31,,AH31)*(1-AF31)+INDEX(Models!$BJ31:$BT31,,AH31+1)*AF31-ERP_i)*AE31*Ramure*Pc/MaxiM</f>
        <v>0.1299461588999605</v>
      </c>
      <c r="AE31" s="307">
        <f t="shared" si="15"/>
        <v>1</v>
      </c>
      <c r="AF31" s="179">
        <f t="shared" si="23"/>
        <v>0.40068260638842323</v>
      </c>
      <c r="AG31" s="837">
        <f t="shared" si="24"/>
        <v>1</v>
      </c>
      <c r="AH31" s="178">
        <f t="shared" si="16"/>
        <v>7</v>
      </c>
      <c r="AI31" s="227">
        <f t="shared" si="17"/>
        <v>1.4006826063884232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45309</v>
      </c>
      <c r="B32" s="1139">
        <f>IF(t&gt;Tmaj,'2023'!Wh/'2023'!Env_an*'2024'!Env_an,0.001*'[3]mon-tableau (2)'!$B$225)</f>
        <v>12.71799559074708</v>
      </c>
      <c r="C32" s="866"/>
      <c r="D32" s="395">
        <f t="shared" si="0"/>
        <v>13.322686615119268</v>
      </c>
      <c r="E32" s="387">
        <f t="shared" si="1"/>
        <v>14.538466991226503</v>
      </c>
      <c r="F32" s="387">
        <f t="shared" si="2"/>
        <v>15.799972837938183</v>
      </c>
      <c r="G32" s="110">
        <f t="shared" si="21"/>
        <v>0.70070389292073798</v>
      </c>
      <c r="H32" s="414" t="b">
        <f>Wh_hp&gt;='2023'!Maxi_hp</f>
        <v>0</v>
      </c>
      <c r="I32" s="392">
        <f>IF(H32,Wh_hp,'2023'!Maxi_hp)</f>
        <v>21.743395935695009</v>
      </c>
      <c r="J32" s="85">
        <f>IF(H32,An,'2023'!An_max)</f>
        <v>2021</v>
      </c>
      <c r="K32" s="199">
        <f t="shared" si="3"/>
        <v>45309</v>
      </c>
      <c r="L32" s="147">
        <f>IF(t&lt;Tvie,1-EXP((T0-t)*PertePVj)+'2023'!Pspv,1-EXP((T0-t)*PertePVj)+Pspv)</f>
        <v>4.5388069376784301E-2</v>
      </c>
      <c r="M32" s="870"/>
      <c r="N32" s="870"/>
      <c r="O32" s="48">
        <f>IF(t&lt;Tnet,'2023'!Resal+('2023'!Salim-'2023'!Resal)*(1-EXP(('2023'!Tnet-t)/('2023'!Tau_j))),Resal+(Salim-Resal)*(1-EXP((Tnet-t)/(Tau_j))))*Salcycl</f>
        <v>8.3625073870643898E-2</v>
      </c>
      <c r="P32" s="171">
        <f>(INDEX(Models!$BJ32:$BT32,,T32)*(1-R32)+INDEX(Models!$BJ32:$BT32,,T32+1)*R32-ERP_i)*Q32*Ramure*Pc/MaxiM</f>
        <v>0.12735357446129508</v>
      </c>
      <c r="Q32" s="307">
        <f t="shared" si="4"/>
        <v>1</v>
      </c>
      <c r="R32" s="179">
        <f t="shared" si="5"/>
        <v>0.4007613370854215</v>
      </c>
      <c r="S32" s="837">
        <f t="shared" si="6"/>
        <v>1</v>
      </c>
      <c r="T32" s="178">
        <f t="shared" si="7"/>
        <v>7</v>
      </c>
      <c r="U32" s="253">
        <f t="shared" si="8"/>
        <v>1.4007613370854215</v>
      </c>
      <c r="V32" s="385">
        <f t="shared" si="9"/>
        <v>17.213143108819434</v>
      </c>
      <c r="W32" s="404">
        <f t="shared" si="10"/>
        <v>12.71799559074708</v>
      </c>
      <c r="X32" s="157">
        <f t="shared" si="11"/>
        <v>45309</v>
      </c>
      <c r="Y32" s="387">
        <f t="shared" si="12"/>
        <v>12.407307213257997</v>
      </c>
      <c r="Z32" s="387">
        <f t="shared" si="22"/>
        <v>12.997226218572317</v>
      </c>
      <c r="AA32" s="388">
        <f t="shared" si="13"/>
        <v>14.538466991226503</v>
      </c>
      <c r="AB32" s="199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0.10601123031639267</v>
      </c>
      <c r="AD32" s="233">
        <f>(INDEX(Models!$BJ32:$BT32,,AH32)*(1-AF32)+INDEX(Models!$BJ32:$BT32,,AH32+1)*AF32-ERP_i)*AE32*Ramure*Pc/MaxiM</f>
        <v>0.12735357446129508</v>
      </c>
      <c r="AE32" s="307">
        <f t="shared" si="15"/>
        <v>1</v>
      </c>
      <c r="AF32" s="179">
        <f t="shared" si="23"/>
        <v>0.4007613370854215</v>
      </c>
      <c r="AG32" s="837">
        <f t="shared" si="24"/>
        <v>1</v>
      </c>
      <c r="AH32" s="178">
        <f t="shared" si="16"/>
        <v>7</v>
      </c>
      <c r="AI32" s="227">
        <f t="shared" si="17"/>
        <v>1.4007613370854215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45310</v>
      </c>
      <c r="B33" s="1139">
        <f>IF(t&gt;Tmaj,'2023'!Wh/'2023'!Env_an*'2024'!Env_an,0.001*'[3]mon-tableau (2)'!$B$226)</f>
        <v>8.2553598416047702</v>
      </c>
      <c r="C33" s="866"/>
      <c r="D33" s="395">
        <f t="shared" si="0"/>
        <v>8.6480712167193001</v>
      </c>
      <c r="E33" s="387">
        <f t="shared" si="1"/>
        <v>9.4389998359293159</v>
      </c>
      <c r="F33" s="387">
        <f t="shared" si="2"/>
        <v>9.7386433654063111</v>
      </c>
      <c r="G33" s="110">
        <f t="shared" si="21"/>
        <v>0.42664905497603905</v>
      </c>
      <c r="H33" s="414" t="b">
        <f>Wh_hp&gt;='2023'!Maxi_hp</f>
        <v>0</v>
      </c>
      <c r="I33" s="392">
        <f>IF(H33,Wh_hp,'2023'!Maxi_hp)</f>
        <v>22.082454622527671</v>
      </c>
      <c r="J33" s="85">
        <f>IF(H33,An,'2023'!An_max)</f>
        <v>2021</v>
      </c>
      <c r="K33" s="199">
        <f t="shared" si="3"/>
        <v>45310</v>
      </c>
      <c r="L33" s="147">
        <f>IF(t&lt;Tvie,1-EXP((T0-t)*PertePVj)+'2023'!Pspv,1-EXP((T0-t)*PertePVj)+Pspv)</f>
        <v>4.5410284591008154E-2</v>
      </c>
      <c r="M33" s="870"/>
      <c r="N33" s="870"/>
      <c r="O33" s="48">
        <f>IF(t&lt;Tnet,'2023'!Resal+('2023'!Salim-'2023'!Resal)*(1-EXP(('2023'!Tnet-t)/('2023'!Tau_j))),Resal+(Salim-Resal)*(1-EXP((Tnet-t)/(Tau_j))))*Salcycl</f>
        <v>8.3793689263492316E-2</v>
      </c>
      <c r="P33" s="171">
        <f>(INDEX(Models!$BJ33:$BT33,,T33)*(1-R33)+INDEX(Models!$BJ33:$BT33,,T33+1)*R33-ERP_i)*Q33*Ramure*Pc/MaxiM</f>
        <v>0.12484762370280687</v>
      </c>
      <c r="Q33" s="307">
        <f t="shared" si="4"/>
        <v>1</v>
      </c>
      <c r="R33" s="179">
        <f t="shared" si="5"/>
        <v>0.40084335183762687</v>
      </c>
      <c r="S33" s="837">
        <f t="shared" si="6"/>
        <v>1</v>
      </c>
      <c r="T33" s="178">
        <f t="shared" si="7"/>
        <v>7</v>
      </c>
      <c r="U33" s="253">
        <f t="shared" si="8"/>
        <v>1.4008433518376269</v>
      </c>
      <c r="V33" s="385">
        <f t="shared" si="9"/>
        <v>17.471145487640335</v>
      </c>
      <c r="W33" s="404">
        <f t="shared" si="10"/>
        <v>8.2553598416047702</v>
      </c>
      <c r="X33" s="157">
        <f t="shared" si="11"/>
        <v>45310</v>
      </c>
      <c r="Y33" s="387">
        <f t="shared" si="12"/>
        <v>8.0540440557172932</v>
      </c>
      <c r="Z33" s="387">
        <f t="shared" si="22"/>
        <v>8.4371787436098202</v>
      </c>
      <c r="AA33" s="388">
        <f t="shared" si="13"/>
        <v>9.4389998359293159</v>
      </c>
      <c r="AB33" s="199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0.10613636081506107</v>
      </c>
      <c r="AD33" s="233">
        <f>(INDEX(Models!$BJ33:$BT33,,AH33)*(1-AF33)+INDEX(Models!$BJ33:$BT33,,AH33+1)*AF33-ERP_i)*AE33*Ramure*Pc/MaxiM</f>
        <v>0.12484762370280687</v>
      </c>
      <c r="AE33" s="307">
        <f t="shared" si="15"/>
        <v>1</v>
      </c>
      <c r="AF33" s="179">
        <f t="shared" si="23"/>
        <v>0.40084335183762687</v>
      </c>
      <c r="AG33" s="837">
        <f t="shared" si="24"/>
        <v>1</v>
      </c>
      <c r="AH33" s="178">
        <f t="shared" si="16"/>
        <v>7</v>
      </c>
      <c r="AI33" s="227">
        <f t="shared" si="17"/>
        <v>1.4008433518376269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45311</v>
      </c>
      <c r="B34" s="1139">
        <f>IF(t&gt;Tmaj,'2023'!Wh/'2023'!Env_an*'2024'!Env_an,0.001*'[3]mon-tableau (2)'!$B$227)</f>
        <v>14.46080154556811</v>
      </c>
      <c r="C34" s="866"/>
      <c r="D34" s="395">
        <f t="shared" si="0"/>
        <v>15.14906126050362</v>
      </c>
      <c r="E34" s="387">
        <f t="shared" si="1"/>
        <v>16.537593818755667</v>
      </c>
      <c r="F34" s="387">
        <f t="shared" si="2"/>
        <v>18.176556129172411</v>
      </c>
      <c r="G34" s="110">
        <f t="shared" si="21"/>
        <v>0.78662245946065534</v>
      </c>
      <c r="H34" s="414" t="b">
        <f>Wh_hp&gt;='2023'!Maxi_hp</f>
        <v>0</v>
      </c>
      <c r="I34" s="392">
        <f>IF(H34,Wh_hp,'2023'!Maxi_hp)</f>
        <v>18.36031638130591</v>
      </c>
      <c r="J34" s="85">
        <f>IF(H34,An,'2023'!An_max)</f>
        <v>2023</v>
      </c>
      <c r="K34" s="199">
        <f t="shared" si="3"/>
        <v>45311</v>
      </c>
      <c r="L34" s="147">
        <f>IF(t&lt;Tvie,1-EXP((T0-t)*PertePVj)+'2023'!Pspv,1-EXP((T0-t)*PertePVj)+Pspv)</f>
        <v>4.5432499288251549E-2</v>
      </c>
      <c r="M34" s="870"/>
      <c r="N34" s="870"/>
      <c r="O34" s="48">
        <f>IF(t&lt;Tnet,'2023'!Resal+('2023'!Salim-'2023'!Resal)*(1-EXP(('2023'!Tnet-t)/('2023'!Tau_j))),Resal+(Salim-Resal)*(1-EXP((Tnet-t)/(Tau_j))))*Salcycl</f>
        <v>8.396218781702583E-2</v>
      </c>
      <c r="P34" s="171">
        <f>(INDEX(Models!$BJ34:$BT34,,T34)*(1-R34)+INDEX(Models!$BJ34:$BT34,,T34+1)*R34-ERP_i)*Q34*Ramure*Pc/MaxiM</f>
        <v>0.12243118862159909</v>
      </c>
      <c r="Q34" s="307">
        <f t="shared" si="4"/>
        <v>1</v>
      </c>
      <c r="R34" s="179">
        <f t="shared" si="5"/>
        <v>0.40092878680968647</v>
      </c>
      <c r="S34" s="837">
        <f t="shared" si="6"/>
        <v>1</v>
      </c>
      <c r="T34" s="178">
        <f t="shared" si="7"/>
        <v>7</v>
      </c>
      <c r="U34" s="253">
        <f t="shared" si="8"/>
        <v>1.4009287868096865</v>
      </c>
      <c r="V34" s="385">
        <f t="shared" si="9"/>
        <v>17.731541178029968</v>
      </c>
      <c r="W34" s="404">
        <f t="shared" si="10"/>
        <v>14.46080154556811</v>
      </c>
      <c r="X34" s="157">
        <f t="shared" si="11"/>
        <v>45311</v>
      </c>
      <c r="Y34" s="387">
        <f t="shared" si="12"/>
        <v>14.108778756594745</v>
      </c>
      <c r="Z34" s="387">
        <f t="shared" si="22"/>
        <v>14.780283998852779</v>
      </c>
      <c r="AA34" s="388">
        <f t="shared" si="13"/>
        <v>16.537593818755667</v>
      </c>
      <c r="AB34" s="199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0.10626151779770297</v>
      </c>
      <c r="AD34" s="233">
        <f>(INDEX(Models!$BJ34:$BT34,,AH34)*(1-AF34)+INDEX(Models!$BJ34:$BT34,,AH34+1)*AF34-ERP_i)*AE34*Ramure*Pc/MaxiM</f>
        <v>0.12243118862159909</v>
      </c>
      <c r="AE34" s="307">
        <f t="shared" si="15"/>
        <v>1</v>
      </c>
      <c r="AF34" s="179">
        <f t="shared" si="23"/>
        <v>0.40092878680968647</v>
      </c>
      <c r="AG34" s="837">
        <f t="shared" si="24"/>
        <v>1</v>
      </c>
      <c r="AH34" s="178">
        <f t="shared" si="16"/>
        <v>7</v>
      </c>
      <c r="AI34" s="227">
        <f t="shared" si="17"/>
        <v>1.4009287868096865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45312</v>
      </c>
      <c r="B35" s="1139">
        <f>IF(t&gt;Tmaj,'2023'!Wh/'2023'!Env_an*'2024'!Env_an,0.001*'[3]mon-tableau (2)'!$B$228)</f>
        <v>6.7146941170952008</v>
      </c>
      <c r="C35" s="866"/>
      <c r="D35" s="395">
        <f t="shared" si="0"/>
        <v>7.0344426941694422</v>
      </c>
      <c r="E35" s="387">
        <f t="shared" si="1"/>
        <v>7.6806174958769233</v>
      </c>
      <c r="F35" s="387">
        <f t="shared" si="2"/>
        <v>7.7782705820913334</v>
      </c>
      <c r="G35" s="110">
        <f t="shared" si="21"/>
        <v>0.3325244254138997</v>
      </c>
      <c r="H35" s="414" t="b">
        <f>Wh_hp&gt;='2023'!Maxi_hp</f>
        <v>0</v>
      </c>
      <c r="I35" s="392">
        <f>IF(H35,Wh_hp,'2023'!Maxi_hp)</f>
        <v>16.890929824623914</v>
      </c>
      <c r="J35" s="85">
        <f>IF(H35,An,'2023'!An_max)</f>
        <v>2022</v>
      </c>
      <c r="K35" s="199">
        <f t="shared" si="3"/>
        <v>45312</v>
      </c>
      <c r="L35" s="147">
        <f>IF(t&lt;Tvie,1-EXP((T0-t)*PertePVj)+'2023'!Pspv,1-EXP((T0-t)*PertePVj)+Pspv)</f>
        <v>4.5454713468526475E-2</v>
      </c>
      <c r="M35" s="870"/>
      <c r="N35" s="870"/>
      <c r="O35" s="48">
        <f>IF(t&lt;Tnet,'2023'!Resal+('2023'!Salim-'2023'!Resal)*(1-EXP(('2023'!Tnet-t)/('2023'!Tau_j))),Resal+(Salim-Resal)*(1-EXP((Tnet-t)/(Tau_j))))*Salcycl</f>
        <v>8.4130579612167605E-2</v>
      </c>
      <c r="P35" s="171">
        <f>(INDEX(Models!$BJ35:$BT35,,T35)*(1-R35)+INDEX(Models!$BJ35:$BT35,,T35+1)*R35-ERP_i)*Q35*Ramure*Pc/MaxiM</f>
        <v>0.12010688616295326</v>
      </c>
      <c r="Q35" s="307">
        <f t="shared" si="4"/>
        <v>1</v>
      </c>
      <c r="R35" s="179">
        <f t="shared" si="5"/>
        <v>0.40101778374181718</v>
      </c>
      <c r="S35" s="837">
        <f t="shared" si="6"/>
        <v>1</v>
      </c>
      <c r="T35" s="178">
        <f t="shared" si="7"/>
        <v>7</v>
      </c>
      <c r="U35" s="253">
        <f t="shared" si="8"/>
        <v>1.4010177837418172</v>
      </c>
      <c r="V35" s="385">
        <f t="shared" si="9"/>
        <v>17.99366001092918</v>
      </c>
      <c r="W35" s="404">
        <f t="shared" si="10"/>
        <v>6.7146941170952008</v>
      </c>
      <c r="X35" s="157">
        <f t="shared" si="11"/>
        <v>45312</v>
      </c>
      <c r="Y35" s="387">
        <f t="shared" si="12"/>
        <v>6.5515233370008836</v>
      </c>
      <c r="Z35" s="387">
        <f t="shared" si="22"/>
        <v>6.863501846839684</v>
      </c>
      <c r="AA35" s="388">
        <f t="shared" si="13"/>
        <v>7.6806174958769233</v>
      </c>
      <c r="AB35" s="199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0.10638671297924678</v>
      </c>
      <c r="AD35" s="233">
        <f>(INDEX(Models!$BJ35:$BT35,,AH35)*(1-AF35)+INDEX(Models!$BJ35:$BT35,,AH35+1)*AF35-ERP_i)*AE35*Ramure*Pc/MaxiM</f>
        <v>0.12010688616295326</v>
      </c>
      <c r="AE35" s="307">
        <f t="shared" si="15"/>
        <v>1</v>
      </c>
      <c r="AF35" s="179">
        <f t="shared" si="23"/>
        <v>0.40101778374181718</v>
      </c>
      <c r="AG35" s="837">
        <f t="shared" si="24"/>
        <v>1</v>
      </c>
      <c r="AH35" s="178">
        <f t="shared" si="16"/>
        <v>7</v>
      </c>
      <c r="AI35" s="227">
        <f t="shared" si="17"/>
        <v>1.4010177837418172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45313</v>
      </c>
      <c r="B36" s="1139">
        <f>IF(t&gt;Tmaj,'2023'!Wh/'2023'!Env_an*'2024'!Env_an,0.001*'[3]mon-tableau (2)'!$B$229)</f>
        <v>18.245509858069859</v>
      </c>
      <c r="C36" s="866"/>
      <c r="D36" s="395">
        <f t="shared" si="0"/>
        <v>19.114791854371493</v>
      </c>
      <c r="E36" s="387">
        <f t="shared" si="1"/>
        <v>20.874487671936073</v>
      </c>
      <c r="F36" s="387">
        <f t="shared" si="2"/>
        <v>23.661096573319686</v>
      </c>
      <c r="G36" s="110">
        <f t="shared" si="21"/>
        <v>0.99926079135671242</v>
      </c>
      <c r="H36" s="414" t="b">
        <f>Wh_hp&gt;='2023'!Maxi_hp</f>
        <v>0</v>
      </c>
      <c r="I36" s="392">
        <f>IF(H36,Wh_hp,'2023'!Maxi_hp)</f>
        <v>23.662480027421342</v>
      </c>
      <c r="J36" s="85">
        <f>IF(H36,An,'2023'!An_max)</f>
        <v>2022</v>
      </c>
      <c r="K36" s="199">
        <f t="shared" si="3"/>
        <v>45313</v>
      </c>
      <c r="L36" s="147">
        <f>IF(t&lt;Tvie,1-EXP((T0-t)*PertePVj)+'2023'!Pspv,1-EXP((T0-t)*PertePVj)+Pspv)</f>
        <v>4.5476927131844924E-2</v>
      </c>
      <c r="M36" s="870"/>
      <c r="N36" s="870"/>
      <c r="O36" s="48">
        <f>IF(t&lt;Tnet,'2023'!Resal+('2023'!Salim-'2023'!Resal)*(1-EXP(('2023'!Tnet-t)/('2023'!Tau_j))),Resal+(Salim-Resal)*(1-EXP((Tnet-t)/(Tau_j))))*Salcycl</f>
        <v>8.4298874550599853E-2</v>
      </c>
      <c r="P36" s="171">
        <f>(INDEX(Models!$BJ36:$BT36,,T36)*(1-R36)+INDEX(Models!$BJ36:$BT36,,T36+1)*R36-ERP_i)*Q36*Ramure*Pc/MaxiM</f>
        <v>0.11787629403896645</v>
      </c>
      <c r="Q36" s="307">
        <f t="shared" si="4"/>
        <v>1</v>
      </c>
      <c r="R36" s="179">
        <f t="shared" si="5"/>
        <v>0.40111049017211209</v>
      </c>
      <c r="S36" s="837">
        <f t="shared" si="6"/>
        <v>1</v>
      </c>
      <c r="T36" s="178">
        <f t="shared" si="7"/>
        <v>7</v>
      </c>
      <c r="U36" s="253">
        <f t="shared" si="8"/>
        <v>1.4011104901721121</v>
      </c>
      <c r="V36" s="385">
        <f t="shared" si="9"/>
        <v>18.256843513844053</v>
      </c>
      <c r="W36" s="404">
        <f t="shared" si="10"/>
        <v>18.245509858069859</v>
      </c>
      <c r="X36" s="157">
        <f t="shared" si="11"/>
        <v>45313</v>
      </c>
      <c r="Y36" s="387">
        <f t="shared" si="12"/>
        <v>17.80291017301105</v>
      </c>
      <c r="Z36" s="387">
        <f t="shared" si="22"/>
        <v>18.651105121552263</v>
      </c>
      <c r="AA36" s="388">
        <f t="shared" si="13"/>
        <v>20.874487671936073</v>
      </c>
      <c r="AB36" s="199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0.10651195781791349</v>
      </c>
      <c r="AD36" s="233">
        <f>(INDEX(Models!$BJ36:$BT36,,AH36)*(1-AF36)+INDEX(Models!$BJ36:$BT36,,AH36+1)*AF36-ERP_i)*AE36*Ramure*Pc/MaxiM</f>
        <v>0.11787629403896645</v>
      </c>
      <c r="AE36" s="307">
        <f t="shared" si="15"/>
        <v>1</v>
      </c>
      <c r="AF36" s="179">
        <f t="shared" si="23"/>
        <v>0.40111049017211209</v>
      </c>
      <c r="AG36" s="837">
        <f t="shared" si="24"/>
        <v>1</v>
      </c>
      <c r="AH36" s="178">
        <f t="shared" si="16"/>
        <v>7</v>
      </c>
      <c r="AI36" s="227">
        <f t="shared" si="17"/>
        <v>1.4011104901721121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45314</v>
      </c>
      <c r="B37" s="1139">
        <f>IF(t&gt;Tmaj,'2023'!Wh/'2023'!Env_an*'2024'!Env_an,0.001*'[3]mon-tableau (2)'!$B$230)</f>
        <v>18.307671498823435</v>
      </c>
      <c r="C37" s="866"/>
      <c r="D37" s="395">
        <f t="shared" si="0"/>
        <v>19.180361455263409</v>
      </c>
      <c r="E37" s="387">
        <f t="shared" si="1"/>
        <v>20.949941918544386</v>
      </c>
      <c r="F37" s="387">
        <f t="shared" si="2"/>
        <v>23.640427559577429</v>
      </c>
      <c r="G37" s="110">
        <f t="shared" si="21"/>
        <v>0.98624999401843505</v>
      </c>
      <c r="H37" s="414" t="b">
        <f>Wh_hp&gt;='2023'!Maxi_hp</f>
        <v>0</v>
      </c>
      <c r="I37" s="392">
        <f>IF(H37,Wh_hp,'2023'!Maxi_hp)</f>
        <v>23.66568550843968</v>
      </c>
      <c r="J37" s="85">
        <f>IF(H37,An,'2023'!An_max)</f>
        <v>2022</v>
      </c>
      <c r="K37" s="199">
        <f t="shared" si="3"/>
        <v>45314</v>
      </c>
      <c r="L37" s="147">
        <f>IF(t&lt;Tvie,1-EXP((T0-t)*PertePVj)+'2023'!Pspv,1-EXP((T0-t)*PertePVj)+Pspv)</f>
        <v>4.5499140278218997E-2</v>
      </c>
      <c r="M37" s="870"/>
      <c r="N37" s="870"/>
      <c r="O37" s="48">
        <f>IF(t&lt;Tnet,'2023'!Resal+('2023'!Salim-'2023'!Resal)*(1-EXP(('2023'!Tnet-t)/('2023'!Tau_j))),Resal+(Salim-Resal)*(1-EXP((Tnet-t)/(Tau_j))))*Salcycl</f>
        <v>8.4467082064537194E-2</v>
      </c>
      <c r="P37" s="171">
        <f>(INDEX(Models!$BJ37:$BT37,,T37)*(1-R37)+INDEX(Models!$BJ37:$BT37,,T37+1)*R37-ERP_i)*Q37*Ramure*Pc/MaxiM</f>
        <v>0.11572799315794166</v>
      </c>
      <c r="Q37" s="307">
        <f t="shared" si="4"/>
        <v>1</v>
      </c>
      <c r="R37" s="179">
        <f t="shared" si="5"/>
        <v>0.40120705966720038</v>
      </c>
      <c r="S37" s="837">
        <f t="shared" si="6"/>
        <v>1</v>
      </c>
      <c r="T37" s="178">
        <f t="shared" si="7"/>
        <v>7</v>
      </c>
      <c r="U37" s="253">
        <f t="shared" si="8"/>
        <v>1.4012070596672004</v>
      </c>
      <c r="V37" s="385">
        <f t="shared" si="9"/>
        <v>18.522707901651486</v>
      </c>
      <c r="W37" s="404">
        <f t="shared" si="10"/>
        <v>18.307671498823435</v>
      </c>
      <c r="X37" s="157">
        <f t="shared" si="11"/>
        <v>45314</v>
      </c>
      <c r="Y37" s="387">
        <f t="shared" si="12"/>
        <v>17.864340205721597</v>
      </c>
      <c r="Z37" s="387">
        <f t="shared" si="22"/>
        <v>18.715897449195293</v>
      </c>
      <c r="AA37" s="388">
        <f t="shared" si="13"/>
        <v>20.949941918544386</v>
      </c>
      <c r="AB37" s="199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0.10663726315019367</v>
      </c>
      <c r="AD37" s="233">
        <f>(INDEX(Models!$BJ37:$BT37,,AH37)*(1-AF37)+INDEX(Models!$BJ37:$BT37,,AH37+1)*AF37-ERP_i)*AE37*Ramure*Pc/MaxiM</f>
        <v>0.11572799315794166</v>
      </c>
      <c r="AE37" s="307">
        <f t="shared" si="15"/>
        <v>1</v>
      </c>
      <c r="AF37" s="179">
        <f t="shared" si="23"/>
        <v>0.40120705966720038</v>
      </c>
      <c r="AG37" s="837">
        <f t="shared" si="24"/>
        <v>1</v>
      </c>
      <c r="AH37" s="178">
        <f t="shared" si="16"/>
        <v>7</v>
      </c>
      <c r="AI37" s="227">
        <f t="shared" si="17"/>
        <v>1.4012070596672004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45315</v>
      </c>
      <c r="B38" s="1139">
        <f>IF(t&gt;Tmaj,'2023'!Wh/'2023'!Env_an*'2024'!Env_an,0.001*'[3]mon-tableau (2)'!$B$231)</f>
        <v>18.730308242208686</v>
      </c>
      <c r="C38" s="866"/>
      <c r="D38" s="395">
        <f t="shared" si="0"/>
        <v>19.623601113830532</v>
      </c>
      <c r="E38" s="387">
        <f t="shared" si="1"/>
        <v>21.438011759217019</v>
      </c>
      <c r="F38" s="387">
        <f t="shared" si="2"/>
        <v>24.171016603023531</v>
      </c>
      <c r="G38" s="110">
        <f t="shared" si="21"/>
        <v>0.99600570905297092</v>
      </c>
      <c r="H38" s="414" t="b">
        <f>Wh_hp&gt;='2023'!Maxi_hp</f>
        <v>0</v>
      </c>
      <c r="I38" s="392">
        <f>IF(H38,Wh_hp,'2023'!Maxi_hp)</f>
        <v>24.178380916845647</v>
      </c>
      <c r="J38" s="85">
        <f>IF(H38,An,'2023'!An_max)</f>
        <v>2022</v>
      </c>
      <c r="K38" s="199">
        <f t="shared" si="3"/>
        <v>45315</v>
      </c>
      <c r="L38" s="147">
        <f>IF(t&lt;Tvie,1-EXP((T0-t)*PertePVj)+'2023'!Pspv,1-EXP((T0-t)*PertePVj)+Pspv)</f>
        <v>4.5521352907660795E-2</v>
      </c>
      <c r="M38" s="870"/>
      <c r="N38" s="870"/>
      <c r="O38" s="48">
        <f>IF(t&lt;Tnet,'2023'!Resal+('2023'!Salim-'2023'!Resal)*(1-EXP(('2023'!Tnet-t)/('2023'!Tau_j))),Resal+(Salim-Resal)*(1-EXP((Tnet-t)/(Tau_j))))*Salcycl</f>
        <v>8.4635210847218714E-2</v>
      </c>
      <c r="P38" s="171">
        <f>(INDEX(Models!$BJ38:$BT38,,T38)*(1-R38)+INDEX(Models!$BJ38:$BT38,,T38+1)*R38-ERP_i)*Q38*Ramure*Pc/MaxiM</f>
        <v>0.11361781718663606</v>
      </c>
      <c r="Q38" s="307">
        <f t="shared" si="4"/>
        <v>1</v>
      </c>
      <c r="R38" s="179">
        <f t="shared" si="5"/>
        <v>0.40130765206152152</v>
      </c>
      <c r="S38" s="837">
        <f t="shared" si="6"/>
        <v>1</v>
      </c>
      <c r="T38" s="178">
        <f t="shared" si="7"/>
        <v>7</v>
      </c>
      <c r="U38" s="253">
        <f t="shared" si="8"/>
        <v>1.4013076520615215</v>
      </c>
      <c r="V38" s="385">
        <f t="shared" si="9"/>
        <v>18.79379677582266</v>
      </c>
      <c r="W38" s="404">
        <f t="shared" si="10"/>
        <v>18.730308242208686</v>
      </c>
      <c r="X38" s="157">
        <f t="shared" si="11"/>
        <v>45315</v>
      </c>
      <c r="Y38" s="387">
        <f t="shared" si="12"/>
        <v>18.277534056353542</v>
      </c>
      <c r="Z38" s="387">
        <f t="shared" si="22"/>
        <v>19.149233052025853</v>
      </c>
      <c r="AA38" s="388">
        <f t="shared" si="13"/>
        <v>21.438011759217019</v>
      </c>
      <c r="AB38" s="199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0.10676263885372363</v>
      </c>
      <c r="AD38" s="233">
        <f>(INDEX(Models!$BJ38:$BT38,,AH38)*(1-AF38)+INDEX(Models!$BJ38:$BT38,,AH38+1)*AF38-ERP_i)*AE38*Ramure*Pc/MaxiM</f>
        <v>0.11361781718663606</v>
      </c>
      <c r="AE38" s="307">
        <f t="shared" si="15"/>
        <v>1</v>
      </c>
      <c r="AF38" s="179">
        <f t="shared" si="23"/>
        <v>0.40130765206152152</v>
      </c>
      <c r="AG38" s="837">
        <f t="shared" si="24"/>
        <v>1</v>
      </c>
      <c r="AH38" s="178">
        <f t="shared" si="16"/>
        <v>7</v>
      </c>
      <c r="AI38" s="227">
        <f t="shared" si="17"/>
        <v>1.4013076520615215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45316</v>
      </c>
      <c r="B39" s="1139">
        <f>IF(t&gt;Tmaj,'2023'!Wh/'2023'!Env_an*'2024'!Env_an,0.001*'[3]mon-tableau (2)'!$B$232)</f>
        <v>18.968884344466012</v>
      </c>
      <c r="C39" s="866"/>
      <c r="D39" s="395">
        <f t="shared" si="0"/>
        <v>19.874017974290375</v>
      </c>
      <c r="E39" s="387">
        <f t="shared" si="1"/>
        <v>21.715569224153988</v>
      </c>
      <c r="F39" s="387">
        <f t="shared" si="2"/>
        <v>24.417702444105469</v>
      </c>
      <c r="G39" s="110">
        <f t="shared" si="21"/>
        <v>0.99371799893977086</v>
      </c>
      <c r="H39" s="414" t="b">
        <f>Wh_hp&gt;='2023'!Maxi_hp</f>
        <v>0</v>
      </c>
      <c r="I39" s="392">
        <f>IF(H39,Wh_hp,'2023'!Maxi_hp)</f>
        <v>24.429204367487987</v>
      </c>
      <c r="J39" s="85">
        <f>IF(H39,An,'2023'!An_max)</f>
        <v>2022</v>
      </c>
      <c r="K39" s="199">
        <f t="shared" si="3"/>
        <v>45316</v>
      </c>
      <c r="L39" s="147">
        <f>IF(t&lt;Tvie,1-EXP((T0-t)*PertePVj)+'2023'!Pspv,1-EXP((T0-t)*PertePVj)+Pspv)</f>
        <v>4.5543565020182197E-2</v>
      </c>
      <c r="M39" s="870"/>
      <c r="N39" s="870"/>
      <c r="O39" s="48">
        <f>IF(t&lt;Tnet,'2023'!Resal+('2023'!Salim-'2023'!Resal)*(1-EXP(('2023'!Tnet-t)/('2023'!Tau_j))),Resal+(Salim-Resal)*(1-EXP((Tnet-t)/(Tau_j))))*Salcycl</f>
        <v>8.4803268606713444E-2</v>
      </c>
      <c r="P39" s="171">
        <f>(INDEX(Models!$BJ39:$BT39,,T39)*(1-R39)+INDEX(Models!$BJ39:$BT39,,T39+1)*R39-ERP_i)*Q39*Ramure*Pc/MaxiM</f>
        <v>0.11151228198731158</v>
      </c>
      <c r="Q39" s="307">
        <f t="shared" si="4"/>
        <v>1</v>
      </c>
      <c r="R39" s="179">
        <f t="shared" si="5"/>
        <v>0.40141243370549318</v>
      </c>
      <c r="S39" s="837">
        <f t="shared" si="6"/>
        <v>1</v>
      </c>
      <c r="T39" s="178">
        <f t="shared" si="7"/>
        <v>7</v>
      </c>
      <c r="U39" s="253">
        <f t="shared" si="8"/>
        <v>1.4014124337054932</v>
      </c>
      <c r="V39" s="385">
        <f t="shared" si="9"/>
        <v>19.07056852941777</v>
      </c>
      <c r="W39" s="404">
        <f t="shared" si="10"/>
        <v>18.968884344466012</v>
      </c>
      <c r="X39" s="157">
        <f t="shared" si="11"/>
        <v>45316</v>
      </c>
      <c r="Y39" s="387">
        <f t="shared" si="12"/>
        <v>18.511141789691731</v>
      </c>
      <c r="Z39" s="387">
        <f t="shared" si="22"/>
        <v>19.39443342962338</v>
      </c>
      <c r="AA39" s="388">
        <f t="shared" si="13"/>
        <v>21.715569224153988</v>
      </c>
      <c r="AB39" s="199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0.10688809354114626</v>
      </c>
      <c r="AD39" s="233">
        <f>(INDEX(Models!$BJ39:$BT39,,AH39)*(1-AF39)+INDEX(Models!$BJ39:$BT39,,AH39+1)*AF39-ERP_i)*AE39*Ramure*Pc/MaxiM</f>
        <v>0.11151228198731158</v>
      </c>
      <c r="AE39" s="307">
        <f t="shared" si="15"/>
        <v>1</v>
      </c>
      <c r="AF39" s="179">
        <f t="shared" si="23"/>
        <v>0.40141243370549318</v>
      </c>
      <c r="AG39" s="837">
        <f t="shared" si="24"/>
        <v>1</v>
      </c>
      <c r="AH39" s="178">
        <f t="shared" si="16"/>
        <v>7</v>
      </c>
      <c r="AI39" s="227">
        <f t="shared" si="17"/>
        <v>1.4014124337054932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45317</v>
      </c>
      <c r="B40" s="1139">
        <f>IF(t&gt;Tmaj,'2023'!Wh/'2023'!Env_an*'2024'!Env_an,0.001*'[3]mon-tableau (2)'!$B$233)</f>
        <v>19.075272410806473</v>
      </c>
      <c r="C40" s="866"/>
      <c r="D40" s="395">
        <f t="shared" si="0"/>
        <v>19.985947636255052</v>
      </c>
      <c r="E40" s="387">
        <f t="shared" si="1"/>
        <v>21.84187971687178</v>
      </c>
      <c r="F40" s="387">
        <f t="shared" si="2"/>
        <v>24.463747389127072</v>
      </c>
      <c r="G40" s="110">
        <f t="shared" si="21"/>
        <v>0.98318979466251699</v>
      </c>
      <c r="H40" s="414" t="b">
        <f>Wh_hp&gt;='2023'!Maxi_hp</f>
        <v>0</v>
      </c>
      <c r="I40" s="392">
        <f>IF(H40,Wh_hp,'2023'!Maxi_hp)</f>
        <v>24.494094497904509</v>
      </c>
      <c r="J40" s="85">
        <f>IF(H40,An,'2023'!An_max)</f>
        <v>2022</v>
      </c>
      <c r="K40" s="199">
        <f t="shared" si="3"/>
        <v>45317</v>
      </c>
      <c r="L40" s="147">
        <f>IF(t&lt;Tvie,1-EXP((T0-t)*PertePVj)+'2023'!Pspv,1-EXP((T0-t)*PertePVj)+Pspv)</f>
        <v>4.5565776615795306E-2</v>
      </c>
      <c r="M40" s="870"/>
      <c r="N40" s="870"/>
      <c r="O40" s="48">
        <f>IF(t&lt;Tnet,'2023'!Resal+('2023'!Salim-'2023'!Resal)*(1-EXP(('2023'!Tnet-t)/('2023'!Tau_j))),Resal+(Salim-Resal)*(1-EXP((Tnet-t)/(Tau_j))))*Salcycl</f>
        <v>8.4971261845339818E-2</v>
      </c>
      <c r="P40" s="171">
        <f>(INDEX(Models!$BJ40:$BT40,,T40)*(1-R40)+INDEX(Models!$BJ40:$BT40,,T40+1)*R40-ERP_i)*Q40*Ramure*Pc/MaxiM</f>
        <v>0.10941445229001169</v>
      </c>
      <c r="Q40" s="307">
        <f t="shared" si="4"/>
        <v>1</v>
      </c>
      <c r="R40" s="179">
        <f t="shared" si="5"/>
        <v>0.40152157772284292</v>
      </c>
      <c r="S40" s="837">
        <f t="shared" si="6"/>
        <v>1</v>
      </c>
      <c r="T40" s="178">
        <f t="shared" si="7"/>
        <v>7</v>
      </c>
      <c r="U40" s="253">
        <f t="shared" si="8"/>
        <v>1.4015215777228429</v>
      </c>
      <c r="V40" s="385">
        <f t="shared" si="9"/>
        <v>19.352719520797102</v>
      </c>
      <c r="W40" s="404">
        <f t="shared" si="10"/>
        <v>19.075272410806473</v>
      </c>
      <c r="X40" s="157">
        <f t="shared" si="11"/>
        <v>45317</v>
      </c>
      <c r="Y40" s="387">
        <f t="shared" si="12"/>
        <v>18.6157630627552</v>
      </c>
      <c r="Z40" s="387">
        <f t="shared" si="22"/>
        <v>19.504500788695502</v>
      </c>
      <c r="AA40" s="388">
        <f t="shared" si="13"/>
        <v>21.84187971687178</v>
      </c>
      <c r="AB40" s="199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0.10701363428765549</v>
      </c>
      <c r="AD40" s="233">
        <f>(INDEX(Models!$BJ40:$BT40,,AH40)*(1-AF40)+INDEX(Models!$BJ40:$BT40,,AH40+1)*AF40-ERP_i)*AE40*Ramure*Pc/MaxiM</f>
        <v>0.10941445229001169</v>
      </c>
      <c r="AE40" s="307">
        <f t="shared" si="15"/>
        <v>1</v>
      </c>
      <c r="AF40" s="179">
        <f t="shared" si="23"/>
        <v>0.40152157772284292</v>
      </c>
      <c r="AG40" s="837">
        <f t="shared" si="24"/>
        <v>1</v>
      </c>
      <c r="AH40" s="178">
        <f t="shared" si="16"/>
        <v>7</v>
      </c>
      <c r="AI40" s="227">
        <f t="shared" si="17"/>
        <v>1.4015215777228429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45318</v>
      </c>
      <c r="B41" s="1139">
        <f>IF(t&gt;Tmaj,'2023'!Wh/'2023'!Env_an*'2024'!Env_an,0.001*'[3]mon-tableau (2)'!$B$234)</f>
        <v>18.630564405426341</v>
      </c>
      <c r="C41" s="866"/>
      <c r="D41" s="395">
        <f t="shared" si="0"/>
        <v>19.52046303401206</v>
      </c>
      <c r="E41" s="387">
        <f t="shared" si="1"/>
        <v>21.337085315658779</v>
      </c>
      <c r="F41" s="387">
        <f t="shared" si="2"/>
        <v>23.693317221384422</v>
      </c>
      <c r="G41" s="110">
        <f t="shared" si="21"/>
        <v>0.94030518395119467</v>
      </c>
      <c r="H41" s="414" t="b">
        <f>Wh_hp&gt;='2023'!Maxi_hp</f>
        <v>0</v>
      </c>
      <c r="I41" s="392">
        <f>IF(H41,Wh_hp,'2023'!Maxi_hp)</f>
        <v>23.796328277938077</v>
      </c>
      <c r="J41" s="85">
        <f>IF(H41,An,'2023'!An_max)</f>
        <v>2022</v>
      </c>
      <c r="K41" s="199">
        <f t="shared" si="3"/>
        <v>45318</v>
      </c>
      <c r="L41" s="147">
        <f>IF(t&lt;Tvie,1-EXP((T0-t)*PertePVj)+'2023'!Pspv,1-EXP((T0-t)*PertePVj)+Pspv)</f>
        <v>4.5587987694512111E-2</v>
      </c>
      <c r="M41" s="870"/>
      <c r="N41" s="870"/>
      <c r="O41" s="48">
        <f>IF(t&lt;Tnet,'2023'!Resal+('2023'!Salim-'2023'!Resal)*(1-EXP(('2023'!Tnet-t)/('2023'!Tau_j))),Resal+(Salim-Resal)*(1-EXP((Tnet-t)/(Tau_j))))*Salcycl</f>
        <v>8.5139195666689441E-2</v>
      </c>
      <c r="P41" s="171">
        <f>(INDEX(Models!$BJ41:$BT41,,T41)*(1-R41)+INDEX(Models!$BJ41:$BT41,,T41+1)*R41-ERP_i)*Q41*Ramure*Pc/MaxiM</f>
        <v>0.10732711782595612</v>
      </c>
      <c r="Q41" s="307">
        <f t="shared" si="4"/>
        <v>1</v>
      </c>
      <c r="R41" s="179">
        <f t="shared" si="5"/>
        <v>0.40163526427739327</v>
      </c>
      <c r="S41" s="837">
        <f t="shared" si="6"/>
        <v>1</v>
      </c>
      <c r="T41" s="178">
        <f t="shared" si="7"/>
        <v>7</v>
      </c>
      <c r="U41" s="253">
        <f t="shared" si="8"/>
        <v>1.4016352642773933</v>
      </c>
      <c r="V41" s="385">
        <f t="shared" si="9"/>
        <v>19.639946422220746</v>
      </c>
      <c r="W41" s="404">
        <f t="shared" si="10"/>
        <v>18.630564405426341</v>
      </c>
      <c r="X41" s="157">
        <f t="shared" si="11"/>
        <v>45318</v>
      </c>
      <c r="Y41" s="387">
        <f t="shared" si="12"/>
        <v>18.182546813375868</v>
      </c>
      <c r="Z41" s="387">
        <f t="shared" si="22"/>
        <v>19.05104564794183</v>
      </c>
      <c r="AA41" s="388">
        <f t="shared" si="13"/>
        <v>21.337085315658779</v>
      </c>
      <c r="AB41" s="199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0.10713926639451915</v>
      </c>
      <c r="AD41" s="233">
        <f>(INDEX(Models!$BJ41:$BT41,,AH41)*(1-AF41)+INDEX(Models!$BJ41:$BT41,,AH41+1)*AF41-ERP_i)*AE41*Ramure*Pc/MaxiM</f>
        <v>0.10732711782595612</v>
      </c>
      <c r="AE41" s="307">
        <f t="shared" si="15"/>
        <v>1</v>
      </c>
      <c r="AF41" s="179">
        <f t="shared" si="23"/>
        <v>0.40163526427739327</v>
      </c>
      <c r="AG41" s="837">
        <f t="shared" si="24"/>
        <v>1</v>
      </c>
      <c r="AH41" s="178">
        <f t="shared" si="16"/>
        <v>7</v>
      </c>
      <c r="AI41" s="227">
        <f t="shared" si="17"/>
        <v>1.4016352642773933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45319</v>
      </c>
      <c r="B42" s="1139">
        <f>IF(t&gt;Tmaj,'2023'!Wh/'2023'!Env_an*'2024'!Env_an,0.001*'[3]mon-tableau (2)'!$B$235)</f>
        <v>3.900003209588812</v>
      </c>
      <c r="C42" s="866"/>
      <c r="D42" s="395">
        <f t="shared" si="0"/>
        <v>4.0863839936926887</v>
      </c>
      <c r="E42" s="387">
        <f t="shared" si="1"/>
        <v>4.4674927243932148</v>
      </c>
      <c r="F42" s="387">
        <f t="shared" si="2"/>
        <v>4.4674927243932148</v>
      </c>
      <c r="G42" s="110">
        <f t="shared" si="21"/>
        <v>0.17507156065777113</v>
      </c>
      <c r="H42" s="414" t="b">
        <f>Wh_hp&gt;='2023'!Maxi_hp</f>
        <v>0</v>
      </c>
      <c r="I42" s="392">
        <f>IF(H42,Wh_hp,'2023'!Maxi_hp)</f>
        <v>17.198833933173557</v>
      </c>
      <c r="J42" s="85">
        <f>IF(H42,An,'2023'!An_max)</f>
        <v>2020</v>
      </c>
      <c r="K42" s="199">
        <f t="shared" si="3"/>
        <v>45319</v>
      </c>
      <c r="L42" s="147">
        <f>IF(t&lt;Tvie,1-EXP((T0-t)*PertePVj)+'2023'!Pspv,1-EXP((T0-t)*PertePVj)+Pspv)</f>
        <v>4.5610198256344603E-2</v>
      </c>
      <c r="M42" s="870"/>
      <c r="N42" s="870"/>
      <c r="O42" s="48">
        <f>IF(t&lt;Tnet,'2023'!Resal+('2023'!Salim-'2023'!Resal)*(1-EXP(('2023'!Tnet-t)/('2023'!Tau_j))),Resal+(Salim-Resal)*(1-EXP((Tnet-t)/(Tau_j))))*Salcycl</f>
        <v>8.5307073611919318E-2</v>
      </c>
      <c r="P42" s="171">
        <f>(INDEX(Models!$BJ42:$BT42,,T42)*(1-R42)+INDEX(Models!$BJ42:$BT42,,T42+1)*R42-ERP_i)*Q42*Ramure*Pc/MaxiM</f>
        <v>0.10525280482732809</v>
      </c>
      <c r="Q42" s="307">
        <f t="shared" si="4"/>
        <v>1</v>
      </c>
      <c r="R42" s="179">
        <f t="shared" si="5"/>
        <v>0.40175368084957763</v>
      </c>
      <c r="S42" s="837">
        <f t="shared" si="6"/>
        <v>1</v>
      </c>
      <c r="T42" s="178">
        <f t="shared" si="7"/>
        <v>7</v>
      </c>
      <c r="U42" s="253">
        <f t="shared" si="8"/>
        <v>1.4017536808495776</v>
      </c>
      <c r="V42" s="385">
        <f t="shared" si="9"/>
        <v>19.931946227207597</v>
      </c>
      <c r="W42" s="404">
        <f t="shared" si="10"/>
        <v>3.900003209588812</v>
      </c>
      <c r="X42" s="157">
        <f t="shared" si="11"/>
        <v>45319</v>
      </c>
      <c r="Y42" s="387">
        <f t="shared" si="12"/>
        <v>3.8063805802214552</v>
      </c>
      <c r="Z42" s="387">
        <f t="shared" si="22"/>
        <v>3.9882871477327781</v>
      </c>
      <c r="AA42" s="388">
        <f t="shared" si="13"/>
        <v>4.4674927243932148</v>
      </c>
      <c r="AB42" s="199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0.10726499319045296</v>
      </c>
      <c r="AD42" s="233">
        <f>(INDEX(Models!$BJ42:$BT42,,AH42)*(1-AF42)+INDEX(Models!$BJ42:$BT42,,AH42+1)*AF42-ERP_i)*AE42*Ramure*Pc/MaxiM</f>
        <v>0.10525280482732809</v>
      </c>
      <c r="AE42" s="307">
        <f t="shared" si="15"/>
        <v>1</v>
      </c>
      <c r="AF42" s="179">
        <f t="shared" si="23"/>
        <v>0.40175368084957763</v>
      </c>
      <c r="AG42" s="837">
        <f t="shared" si="24"/>
        <v>1</v>
      </c>
      <c r="AH42" s="178">
        <f t="shared" si="16"/>
        <v>7</v>
      </c>
      <c r="AI42" s="227">
        <f t="shared" si="17"/>
        <v>1.4017536808495776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45320</v>
      </c>
      <c r="B43" s="1139">
        <f>IF(t&gt;Tmaj,'2023'!Wh/'2023'!Env_an*'2024'!Env_an,0.001*'[3]mon-tableau (2)'!$B$236)</f>
        <v>6.1030804723891894</v>
      </c>
      <c r="C43" s="866"/>
      <c r="D43" s="395">
        <f t="shared" si="0"/>
        <v>6.3948949288252894</v>
      </c>
      <c r="E43" s="387">
        <f t="shared" si="1"/>
        <v>6.992585453947739</v>
      </c>
      <c r="F43" s="387">
        <f t="shared" si="2"/>
        <v>6.9943468587037527</v>
      </c>
      <c r="G43" s="110">
        <f t="shared" si="21"/>
        <v>0.27064200706146546</v>
      </c>
      <c r="H43" s="414" t="b">
        <f>Wh_hp&gt;='2023'!Maxi_hp</f>
        <v>0</v>
      </c>
      <c r="I43" s="392">
        <f>IF(H43,Wh_hp,'2023'!Maxi_hp)</f>
        <v>20.008035676598013</v>
      </c>
      <c r="J43" s="85">
        <f>IF(H43,An,'2023'!An_max)</f>
        <v>2020</v>
      </c>
      <c r="K43" s="199">
        <f t="shared" si="3"/>
        <v>45320</v>
      </c>
      <c r="L43" s="147">
        <f>IF(t&lt;Tvie,1-EXP((T0-t)*PertePVj)+'2023'!Pspv,1-EXP((T0-t)*PertePVj)+Pspv)</f>
        <v>4.5632408301304994E-2</v>
      </c>
      <c r="M43" s="870"/>
      <c r="N43" s="870"/>
      <c r="O43" s="48">
        <f>IF(t&lt;Tnet,'2023'!Resal+('2023'!Salim-'2023'!Resal)*(1-EXP(('2023'!Tnet-t)/('2023'!Tau_j))),Resal+(Salim-Resal)*(1-EXP((Tnet-t)/(Tau_j))))*Salcycl</f>
        <v>8.5474897526639115E-2</v>
      </c>
      <c r="P43" s="171">
        <f>(INDEX(Models!$BJ43:$BT43,,T43)*(1-R43)+INDEX(Models!$BJ43:$BT43,,T43+1)*R43-ERP_i)*Q43*Ramure*Pc/MaxiM</f>
        <v>0.10319378821925092</v>
      </c>
      <c r="Q43" s="307">
        <f t="shared" si="4"/>
        <v>1</v>
      </c>
      <c r="R43" s="179">
        <f t="shared" si="5"/>
        <v>0.40187702252297708</v>
      </c>
      <c r="S43" s="837">
        <f t="shared" si="6"/>
        <v>1</v>
      </c>
      <c r="T43" s="178">
        <f t="shared" si="7"/>
        <v>7</v>
      </c>
      <c r="U43" s="253">
        <f t="shared" si="8"/>
        <v>1.4018770225229771</v>
      </c>
      <c r="V43" s="385">
        <f t="shared" si="9"/>
        <v>20.228416260618157</v>
      </c>
      <c r="W43" s="404">
        <f t="shared" si="10"/>
        <v>6.1030804723891894</v>
      </c>
      <c r="X43" s="157">
        <f t="shared" si="11"/>
        <v>45320</v>
      </c>
      <c r="Y43" s="387">
        <f t="shared" si="12"/>
        <v>5.9568246583846785</v>
      </c>
      <c r="Z43" s="387">
        <f t="shared" si="22"/>
        <v>6.2416459969916049</v>
      </c>
      <c r="AA43" s="388">
        <f t="shared" si="13"/>
        <v>6.992585453947739</v>
      </c>
      <c r="AB43" s="199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0.10739081587228708</v>
      </c>
      <c r="AD43" s="233">
        <f>(INDEX(Models!$BJ43:$BT43,,AH43)*(1-AF43)+INDEX(Models!$BJ43:$BT43,,AH43+1)*AF43-ERP_i)*AE43*Ramure*Pc/MaxiM</f>
        <v>0.10319378821925092</v>
      </c>
      <c r="AE43" s="307">
        <f t="shared" si="15"/>
        <v>1</v>
      </c>
      <c r="AF43" s="179">
        <f t="shared" si="23"/>
        <v>0.40187702252297708</v>
      </c>
      <c r="AG43" s="837">
        <f t="shared" si="24"/>
        <v>1</v>
      </c>
      <c r="AH43" s="178">
        <f t="shared" si="16"/>
        <v>7</v>
      </c>
      <c r="AI43" s="227">
        <f t="shared" si="17"/>
        <v>1.4018770225229771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45321</v>
      </c>
      <c r="B44" s="1139">
        <f>IF(t&gt;Tmaj,'2023'!Wh/'2023'!Env_an*'2024'!Env_an,0.001*'[3]mon-tableau (2)'!$B$237)</f>
        <v>4.4451994717042247</v>
      </c>
      <c r="C44" s="866"/>
      <c r="D44" s="395">
        <f t="shared" si="0"/>
        <v>4.6578519210664755</v>
      </c>
      <c r="E44" s="387">
        <f t="shared" si="1"/>
        <v>5.0941265031737766</v>
      </c>
      <c r="F44" s="387">
        <f t="shared" si="2"/>
        <v>5.0941265031737766</v>
      </c>
      <c r="G44" s="110">
        <f t="shared" si="21"/>
        <v>0.19462943368952079</v>
      </c>
      <c r="H44" s="414" t="b">
        <f>Wh_hp&gt;='2023'!Maxi_hp</f>
        <v>0</v>
      </c>
      <c r="I44" s="392">
        <f>IF(H44,Wh_hp,'2023'!Maxi_hp)</f>
        <v>10.958880369584882</v>
      </c>
      <c r="J44" s="85">
        <f>IF(H44,An,'2023'!An_max)</f>
        <v>2020</v>
      </c>
      <c r="K44" s="199">
        <f t="shared" si="3"/>
        <v>45321</v>
      </c>
      <c r="L44" s="147">
        <f>IF(t&lt;Tvie,1-EXP((T0-t)*PertePVj)+'2023'!Pspv,1-EXP((T0-t)*PertePVj)+Pspv)</f>
        <v>4.5654617829405164E-2</v>
      </c>
      <c r="M44" s="870"/>
      <c r="N44" s="870"/>
      <c r="O44" s="48">
        <f>IF(t&lt;Tnet,'2023'!Resal+('2023'!Salim-'2023'!Resal)*(1-EXP(('2023'!Tnet-t)/('2023'!Tau_j))),Resal+(Salim-Resal)*(1-EXP((Tnet-t)/(Tau_j))))*Salcycl</f>
        <v>8.5642667459375058E-2</v>
      </c>
      <c r="P44" s="171">
        <f>(INDEX(Models!$BJ44:$BT44,,T44)*(1-R44)+INDEX(Models!$BJ44:$BT44,,T44+1)*R44-ERP_i)*Q44*Ramure*Pc/MaxiM</f>
        <v>0.10110619060030004</v>
      </c>
      <c r="Q44" s="307">
        <f t="shared" si="4"/>
        <v>1</v>
      </c>
      <c r="R44" s="179">
        <f t="shared" si="5"/>
        <v>0.40200549228116778</v>
      </c>
      <c r="S44" s="837">
        <f t="shared" si="6"/>
        <v>1</v>
      </c>
      <c r="T44" s="178">
        <f t="shared" si="7"/>
        <v>7</v>
      </c>
      <c r="U44" s="253">
        <f t="shared" si="8"/>
        <v>1.4020054922811678</v>
      </c>
      <c r="V44" s="385">
        <f t="shared" si="9"/>
        <v>20.530102826255533</v>
      </c>
      <c r="W44" s="404">
        <f t="shared" si="10"/>
        <v>4.4451994717042247</v>
      </c>
      <c r="X44" s="157">
        <f t="shared" si="11"/>
        <v>45321</v>
      </c>
      <c r="Y44" s="387">
        <f t="shared" si="12"/>
        <v>4.3388574729688303</v>
      </c>
      <c r="Z44" s="387">
        <f t="shared" si="22"/>
        <v>4.5464226620978545</v>
      </c>
      <c r="AA44" s="388">
        <f t="shared" si="13"/>
        <v>5.0941265031737766</v>
      </c>
      <c r="AB44" s="199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0.10751673338592752</v>
      </c>
      <c r="AD44" s="233">
        <f>(INDEX(Models!$BJ44:$BT44,,AH44)*(1-AF44)+INDEX(Models!$BJ44:$BT44,,AH44+1)*AF44-ERP_i)*AE44*Ramure*Pc/MaxiM</f>
        <v>0.10110619060030004</v>
      </c>
      <c r="AE44" s="307">
        <f t="shared" si="15"/>
        <v>1</v>
      </c>
      <c r="AF44" s="179">
        <f t="shared" si="23"/>
        <v>0.40200549228116778</v>
      </c>
      <c r="AG44" s="837">
        <f t="shared" si="24"/>
        <v>1</v>
      </c>
      <c r="AH44" s="178">
        <f t="shared" si="16"/>
        <v>7</v>
      </c>
      <c r="AI44" s="227">
        <f t="shared" si="17"/>
        <v>1.4020054922811678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45322</v>
      </c>
      <c r="B45" s="1139">
        <f>IF(t&gt;Tmaj,'2023'!Wh/'2023'!Env_an*'2024'!Env_an,0.001*'[3]mon-tableau (2)'!$B$238)</f>
        <v>9.9739524744989545</v>
      </c>
      <c r="C45" s="866"/>
      <c r="D45" s="395">
        <f t="shared" si="0"/>
        <v>10.451336355460802</v>
      </c>
      <c r="E45" s="387">
        <f t="shared" si="1"/>
        <v>11.432350734483155</v>
      </c>
      <c r="F45" s="387">
        <f t="shared" si="2"/>
        <v>11.728649109765932</v>
      </c>
      <c r="G45" s="110">
        <f t="shared" si="21"/>
        <v>0.44246470844883473</v>
      </c>
      <c r="H45" s="414" t="b">
        <f>Wh_hp&gt;='2023'!Maxi_hp</f>
        <v>0</v>
      </c>
      <c r="I45" s="392">
        <f>IF(H45,Wh_hp,'2023'!Maxi_hp)</f>
        <v>19.380623642476806</v>
      </c>
      <c r="J45" s="85">
        <f>IF(H45,An,'2023'!An_max)</f>
        <v>2020</v>
      </c>
      <c r="K45" s="199">
        <f t="shared" si="3"/>
        <v>45322</v>
      </c>
      <c r="L45" s="147">
        <f>IF(t&lt;Tvie,1-EXP((T0-t)*PertePVj)+'2023'!Pspv,1-EXP((T0-t)*PertePVj)+Pspv)</f>
        <v>4.5676826840657103E-2</v>
      </c>
      <c r="M45" s="870"/>
      <c r="N45" s="870"/>
      <c r="O45" s="48">
        <f>IF(t&lt;Tnet,'2023'!Resal+('2023'!Salim-'2023'!Resal)*(1-EXP(('2023'!Tnet-t)/('2023'!Tau_j))),Resal+(Salim-Resal)*(1-EXP((Tnet-t)/(Tau_j))))*Salcycl</f>
        <v>8.5810381592242468E-2</v>
      </c>
      <c r="P45" s="171">
        <f>(INDEX(Models!$BJ45:$BT45,,T45)*(1-R45)+INDEX(Models!$BJ45:$BT45,,T45+1)*R45-ERP_i)*Q45*Ramure*Pc/MaxiM</f>
        <v>9.8978621752571896E-2</v>
      </c>
      <c r="Q45" s="307">
        <f t="shared" si="4"/>
        <v>1</v>
      </c>
      <c r="R45" s="179">
        <f t="shared" si="5"/>
        <v>0.40213930131516995</v>
      </c>
      <c r="S45" s="837">
        <f t="shared" si="6"/>
        <v>1</v>
      </c>
      <c r="T45" s="178">
        <f t="shared" si="7"/>
        <v>7</v>
      </c>
      <c r="U45" s="253">
        <f t="shared" si="8"/>
        <v>1.40213930131517</v>
      </c>
      <c r="V45" s="385">
        <f t="shared" si="9"/>
        <v>20.837048721398236</v>
      </c>
      <c r="W45" s="404">
        <f t="shared" si="10"/>
        <v>9.9739524744989545</v>
      </c>
      <c r="X45" s="157">
        <f t="shared" si="11"/>
        <v>45322</v>
      </c>
      <c r="Y45" s="387">
        <f t="shared" si="12"/>
        <v>9.7357579859583314</v>
      </c>
      <c r="Z45" s="387">
        <f t="shared" si="22"/>
        <v>10.20174114993722</v>
      </c>
      <c r="AA45" s="388">
        <f t="shared" si="13"/>
        <v>11.432350734483155</v>
      </c>
      <c r="AB45" s="199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0.10764274234817446</v>
      </c>
      <c r="AD45" s="233">
        <f>(INDEX(Models!$BJ45:$BT45,,AH45)*(1-AF45)+INDEX(Models!$BJ45:$BT45,,AH45+1)*AF45-ERP_i)*AE45*Ramure*Pc/MaxiM</f>
        <v>9.8978621752571896E-2</v>
      </c>
      <c r="AE45" s="307">
        <f t="shared" si="15"/>
        <v>1</v>
      </c>
      <c r="AF45" s="179">
        <f t="shared" si="23"/>
        <v>0.40213930131516995</v>
      </c>
      <c r="AG45" s="837">
        <f t="shared" si="24"/>
        <v>1</v>
      </c>
      <c r="AH45" s="178">
        <f t="shared" si="16"/>
        <v>7</v>
      </c>
      <c r="AI45" s="227">
        <f t="shared" si="17"/>
        <v>1.40213930131517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45323</v>
      </c>
      <c r="B46" s="1139">
        <f>IF(t&gt;Tmaj,'2023'!Wh/'2023'!Env_an*'2024'!Env_an,0.001*'[4]mon-tableau'!$B$190)</f>
        <v>9.8138015000215209</v>
      </c>
      <c r="C46" s="866"/>
      <c r="D46" s="395">
        <f t="shared" si="0"/>
        <v>10.283759383463822</v>
      </c>
      <c r="E46" s="387">
        <f t="shared" si="1"/>
        <v>11.251107512510801</v>
      </c>
      <c r="F46" s="387">
        <f t="shared" si="2"/>
        <v>11.512285209702197</v>
      </c>
      <c r="G46" s="110">
        <f t="shared" si="21"/>
        <v>0.4288362050225854</v>
      </c>
      <c r="H46" s="414" t="b">
        <f>Wh_hp&gt;='2023'!Maxi_hp</f>
        <v>0</v>
      </c>
      <c r="I46" s="392">
        <f>IF(H46,Wh_hp,'2023'!Maxi_hp)</f>
        <v>21.672609398761253</v>
      </c>
      <c r="J46" s="85">
        <f>IF(H46,An,'2023'!An_max)</f>
        <v>2019</v>
      </c>
      <c r="K46" s="199">
        <f t="shared" si="3"/>
        <v>45323</v>
      </c>
      <c r="L46" s="147">
        <f>IF(t&lt;Tvie,1-EXP((T0-t)*PertePVj)+'2023'!Pspv,1-EXP((T0-t)*PertePVj)+Pspv)</f>
        <v>4.5699035335072913E-2</v>
      </c>
      <c r="M46" s="870"/>
      <c r="N46" s="870"/>
      <c r="O46" s="48">
        <f>IF(t&lt;Tnet,'2023'!Resal+('2023'!Salim-'2023'!Resal)*(1-EXP(('2023'!Tnet-t)/('2023'!Tau_j))),Resal+(Salim-Resal)*(1-EXP((Tnet-t)/(Tau_j))))*Salcycl</f>
        <v>8.5978036204109265E-2</v>
      </c>
      <c r="P46" s="171">
        <f>(INDEX(Models!$BJ46:$BT46,,T46)*(1-R46)+INDEX(Models!$BJ46:$BT46,,T46+1)*R46-ERP_i)*Q46*Ramure*Pc/MaxiM</f>
        <v>9.68149752352047E-2</v>
      </c>
      <c r="Q46" s="307">
        <f t="shared" si="4"/>
        <v>1</v>
      </c>
      <c r="R46" s="179">
        <f t="shared" si="5"/>
        <v>0.40227866934178658</v>
      </c>
      <c r="S46" s="837">
        <f t="shared" si="6"/>
        <v>1</v>
      </c>
      <c r="T46" s="178">
        <f t="shared" si="7"/>
        <v>7</v>
      </c>
      <c r="U46" s="253">
        <f t="shared" si="8"/>
        <v>1.4022786693417866</v>
      </c>
      <c r="V46" s="385">
        <f t="shared" si="9"/>
        <v>21.148950428236819</v>
      </c>
      <c r="W46" s="404">
        <f t="shared" si="10"/>
        <v>9.8138015000215209</v>
      </c>
      <c r="X46" s="157">
        <f t="shared" si="11"/>
        <v>45323</v>
      </c>
      <c r="Y46" s="387">
        <f t="shared" si="12"/>
        <v>9.5798349192375056</v>
      </c>
      <c r="Z46" s="387">
        <f t="shared" si="22"/>
        <v>10.038588740818433</v>
      </c>
      <c r="AA46" s="388">
        <f t="shared" si="13"/>
        <v>11.251107512510801</v>
      </c>
      <c r="AB46" s="199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0.10776883700952053</v>
      </c>
      <c r="AD46" s="233">
        <f>(INDEX(Models!$BJ46:$BT46,,AH46)*(1-AF46)+INDEX(Models!$BJ46:$BT46,,AH46+1)*AF46-ERP_i)*AE46*Ramure*Pc/MaxiM</f>
        <v>9.68149752352047E-2</v>
      </c>
      <c r="AE46" s="307">
        <f t="shared" si="15"/>
        <v>1</v>
      </c>
      <c r="AF46" s="179">
        <f t="shared" si="23"/>
        <v>0.40227866934178658</v>
      </c>
      <c r="AG46" s="837">
        <f t="shared" si="24"/>
        <v>1</v>
      </c>
      <c r="AH46" s="178">
        <f t="shared" si="16"/>
        <v>7</v>
      </c>
      <c r="AI46" s="227">
        <f t="shared" si="17"/>
        <v>1.4022786693417866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45324</v>
      </c>
      <c r="B47" s="1139">
        <f>IF(t&gt;Tmaj,'2023'!Wh/'2023'!Env_an*'2024'!Env_an,0.001*'[4]mon-tableau'!$B$191)</f>
        <v>5.131206616812559</v>
      </c>
      <c r="C47" s="866"/>
      <c r="D47" s="395">
        <f t="shared" si="0"/>
        <v>5.3770521253401151</v>
      </c>
      <c r="E47" s="387">
        <f t="shared" si="1"/>
        <v>5.8839266696730608</v>
      </c>
      <c r="F47" s="387">
        <f t="shared" si="2"/>
        <v>5.8839266696730608</v>
      </c>
      <c r="G47" s="110">
        <f t="shared" si="21"/>
        <v>0.21642619988396938</v>
      </c>
      <c r="H47" s="414" t="b">
        <f>Wh_hp&gt;='2023'!Maxi_hp</f>
        <v>0</v>
      </c>
      <c r="I47" s="392">
        <f>IF(H47,Wh_hp,'2023'!Maxi_hp)</f>
        <v>24.150188849551444</v>
      </c>
      <c r="J47" s="85">
        <f>IF(H47,An,'2023'!An_max)</f>
        <v>2021</v>
      </c>
      <c r="K47" s="199">
        <f t="shared" si="3"/>
        <v>45324</v>
      </c>
      <c r="L47" s="147">
        <f>IF(t&lt;Tvie,1-EXP((T0-t)*PertePVj)+'2023'!Pspv,1-EXP((T0-t)*PertePVj)+Pspv)</f>
        <v>4.5721243312664694E-2</v>
      </c>
      <c r="M47" s="870"/>
      <c r="N47" s="870"/>
      <c r="O47" s="48">
        <f>IF(t&lt;Tnet,'2023'!Resal+('2023'!Salim-'2023'!Resal)*(1-EXP(('2023'!Tnet-t)/('2023'!Tau_j))),Resal+(Salim-Resal)*(1-EXP((Tnet-t)/(Tau_j))))*Salcycl</f>
        <v>8.6145625666186387E-2</v>
      </c>
      <c r="P47" s="171">
        <f>(INDEX(Models!$BJ47:$BT47,,T47)*(1-R47)+INDEX(Models!$BJ47:$BT47,,T47+1)*R47-ERP_i)*Q47*Ramure*Pc/MaxiM</f>
        <v>9.4618879202202688E-2</v>
      </c>
      <c r="Q47" s="307">
        <f t="shared" si="4"/>
        <v>1</v>
      </c>
      <c r="R47" s="179">
        <f t="shared" si="5"/>
        <v>0.40242382493312934</v>
      </c>
      <c r="S47" s="837">
        <f t="shared" si="6"/>
        <v>1</v>
      </c>
      <c r="T47" s="178">
        <f t="shared" si="7"/>
        <v>7</v>
      </c>
      <c r="U47" s="253">
        <f t="shared" si="8"/>
        <v>1.4024238249331293</v>
      </c>
      <c r="V47" s="385">
        <f t="shared" si="9"/>
        <v>21.465504639759345</v>
      </c>
      <c r="W47" s="404">
        <f t="shared" si="10"/>
        <v>5.131206616812559</v>
      </c>
      <c r="X47" s="157">
        <f t="shared" si="11"/>
        <v>45324</v>
      </c>
      <c r="Y47" s="387">
        <f t="shared" si="12"/>
        <v>5.0090858674564824</v>
      </c>
      <c r="Z47" s="387">
        <f t="shared" si="22"/>
        <v>5.2490803471775118</v>
      </c>
      <c r="AA47" s="388">
        <f t="shared" si="13"/>
        <v>5.8839266696730608</v>
      </c>
      <c r="AB47" s="199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0.10789500925762287</v>
      </c>
      <c r="AD47" s="233">
        <f>(INDEX(Models!$BJ47:$BT47,,AH47)*(1-AF47)+INDEX(Models!$BJ47:$BT47,,AH47+1)*AF47-ERP_i)*AE47*Ramure*Pc/MaxiM</f>
        <v>9.4618879202202688E-2</v>
      </c>
      <c r="AE47" s="307">
        <f t="shared" si="15"/>
        <v>1</v>
      </c>
      <c r="AF47" s="179">
        <f t="shared" si="23"/>
        <v>0.40242382493312934</v>
      </c>
      <c r="AG47" s="837">
        <f t="shared" si="24"/>
        <v>1</v>
      </c>
      <c r="AH47" s="178">
        <f t="shared" si="16"/>
        <v>7</v>
      </c>
      <c r="AI47" s="227">
        <f t="shared" si="17"/>
        <v>1.4024238249331293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45325</v>
      </c>
      <c r="B48" s="1139">
        <f>IF(t&gt;Tmaj,'2023'!Wh/'2023'!Env_an*'2024'!Env_an,0.001*'[4]mon-tableau'!$B$192)</f>
        <v>12.279906650212546</v>
      </c>
      <c r="C48" s="866"/>
      <c r="D48" s="395">
        <f t="shared" si="0"/>
        <v>12.868558942734698</v>
      </c>
      <c r="E48" s="387">
        <f t="shared" si="1"/>
        <v>14.084211496176751</v>
      </c>
      <c r="F48" s="387">
        <f t="shared" si="2"/>
        <v>14.592004706555835</v>
      </c>
      <c r="G48" s="110">
        <f t="shared" si="21"/>
        <v>0.53001645206028036</v>
      </c>
      <c r="H48" s="414" t="b">
        <f>Wh_hp&gt;='2023'!Maxi_hp</f>
        <v>0</v>
      </c>
      <c r="I48" s="392">
        <f>IF(H48,Wh_hp,'2023'!Maxi_hp)</f>
        <v>22.38607837569748</v>
      </c>
      <c r="J48" s="85">
        <f>IF(H48,An,'2023'!An_max)</f>
        <v>2020</v>
      </c>
      <c r="K48" s="199">
        <f t="shared" si="3"/>
        <v>45325</v>
      </c>
      <c r="L48" s="147">
        <f>IF(t&lt;Tvie,1-EXP((T0-t)*PertePVj)+'2023'!Pspv,1-EXP((T0-t)*PertePVj)+Pspv)</f>
        <v>4.5743450773444327E-2</v>
      </c>
      <c r="M48" s="870"/>
      <c r="N48" s="870"/>
      <c r="O48" s="48">
        <f>IF(t&lt;Tnet,'2023'!Resal+('2023'!Salim-'2023'!Resal)*(1-EXP(('2023'!Tnet-t)/('2023'!Tau_j))),Resal+(Salim-Resal)*(1-EXP((Tnet-t)/(Tau_j))))*Salcycl</f>
        <v>8.6313142469640572E-2</v>
      </c>
      <c r="P48" s="171">
        <f>(INDEX(Models!$BJ48:$BT48,,T48)*(1-R48)+INDEX(Models!$BJ48:$BT48,,T48+1)*R48-ERP_i)*Q48*Ramure*Pc/MaxiM</f>
        <v>9.2393702913470238E-2</v>
      </c>
      <c r="Q48" s="307">
        <f t="shared" si="4"/>
        <v>1</v>
      </c>
      <c r="R48" s="179">
        <f t="shared" si="5"/>
        <v>0.40257500585761563</v>
      </c>
      <c r="S48" s="837">
        <f t="shared" si="6"/>
        <v>1</v>
      </c>
      <c r="T48" s="178">
        <f t="shared" si="7"/>
        <v>7</v>
      </c>
      <c r="U48" s="253">
        <f t="shared" si="8"/>
        <v>1.4025750058576156</v>
      </c>
      <c r="V48" s="385">
        <f t="shared" si="9"/>
        <v>21.786408285442896</v>
      </c>
      <c r="W48" s="404">
        <f t="shared" si="10"/>
        <v>12.279906650212546</v>
      </c>
      <c r="X48" s="157">
        <f t="shared" si="11"/>
        <v>45325</v>
      </c>
      <c r="Y48" s="387">
        <f t="shared" si="12"/>
        <v>11.988150765379201</v>
      </c>
      <c r="Z48" s="387">
        <f t="shared" si="22"/>
        <v>12.562817383958057</v>
      </c>
      <c r="AA48" s="388">
        <f t="shared" si="13"/>
        <v>14.084211496176751</v>
      </c>
      <c r="AB48" s="199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0.10802124866072096</v>
      </c>
      <c r="AD48" s="233">
        <f>(INDEX(Models!$BJ48:$BT48,,AH48)*(1-AF48)+INDEX(Models!$BJ48:$BT48,,AH48+1)*AF48-ERP_i)*AE48*Ramure*Pc/MaxiM</f>
        <v>9.2393702913470238E-2</v>
      </c>
      <c r="AE48" s="307">
        <f t="shared" si="15"/>
        <v>1</v>
      </c>
      <c r="AF48" s="179">
        <f t="shared" si="23"/>
        <v>0.40257500585761563</v>
      </c>
      <c r="AG48" s="837">
        <f t="shared" si="24"/>
        <v>1</v>
      </c>
      <c r="AH48" s="178">
        <f t="shared" si="16"/>
        <v>7</v>
      </c>
      <c r="AI48" s="227">
        <f t="shared" si="17"/>
        <v>1.4025750058576156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45326</v>
      </c>
      <c r="B49" s="1139">
        <f>IF(t&gt;Tmaj,'2023'!Wh/'2023'!Env_an*'2024'!Env_an,0.001*'[4]mon-tableau'!$B$193)</f>
        <v>10.247059549557685</v>
      </c>
      <c r="C49" s="866"/>
      <c r="D49" s="395">
        <f t="shared" si="0"/>
        <v>10.738514739520072</v>
      </c>
      <c r="E49" s="387">
        <f t="shared" si="1"/>
        <v>11.755102817189201</v>
      </c>
      <c r="F49" s="387">
        <f t="shared" si="2"/>
        <v>12.007815342076553</v>
      </c>
      <c r="G49" s="110">
        <f t="shared" si="21"/>
        <v>0.43071971462621861</v>
      </c>
      <c r="H49" s="414" t="b">
        <f>Wh_hp&gt;='2023'!Maxi_hp</f>
        <v>0</v>
      </c>
      <c r="I49" s="392">
        <f>IF(H49,Wh_hp,'2023'!Maxi_hp)</f>
        <v>23.379370808970474</v>
      </c>
      <c r="J49" s="85">
        <f>IF(H49,An,'2023'!An_max)</f>
        <v>2019</v>
      </c>
      <c r="K49" s="199">
        <f t="shared" si="3"/>
        <v>45326</v>
      </c>
      <c r="L49" s="147">
        <f>IF(t&lt;Tvie,1-EXP((T0-t)*PertePVj)+'2023'!Pspv,1-EXP((T0-t)*PertePVj)+Pspv)</f>
        <v>4.5765657717423913E-2</v>
      </c>
      <c r="M49" s="870"/>
      <c r="N49" s="870"/>
      <c r="O49" s="48">
        <f>IF(t&lt;Tnet,'2023'!Resal+('2023'!Salim-'2023'!Resal)*(1-EXP(('2023'!Tnet-t)/('2023'!Tau_j))),Resal+(Salim-Resal)*(1-EXP((Tnet-t)/(Tau_j))))*Salcycl</f>
        <v>8.6480577284496082E-2</v>
      </c>
      <c r="P49" s="171">
        <f>(INDEX(Models!$BJ49:$BT49,,T49)*(1-R49)+INDEX(Models!$BJ49:$BT49,,T49+1)*R49-ERP_i)*Q49*Ramure*Pc/MaxiM</f>
        <v>9.0142564165156605E-2</v>
      </c>
      <c r="Q49" s="307">
        <f t="shared" si="4"/>
        <v>1</v>
      </c>
      <c r="R49" s="179">
        <f t="shared" si="5"/>
        <v>0.40273245943272795</v>
      </c>
      <c r="S49" s="837">
        <f t="shared" si="6"/>
        <v>1</v>
      </c>
      <c r="T49" s="178">
        <f t="shared" si="7"/>
        <v>7</v>
      </c>
      <c r="U49" s="253">
        <f t="shared" si="8"/>
        <v>1.402732459432728</v>
      </c>
      <c r="V49" s="385">
        <f t="shared" si="9"/>
        <v>22.111358543667624</v>
      </c>
      <c r="W49" s="404">
        <f t="shared" si="10"/>
        <v>10.247059549557685</v>
      </c>
      <c r="X49" s="157">
        <f t="shared" si="11"/>
        <v>45326</v>
      </c>
      <c r="Y49" s="387">
        <f t="shared" si="12"/>
        <v>10.004018539359446</v>
      </c>
      <c r="Z49" s="387">
        <f t="shared" si="22"/>
        <v>10.48381733508913</v>
      </c>
      <c r="AA49" s="388">
        <f t="shared" si="13"/>
        <v>11.755102817189201</v>
      </c>
      <c r="AB49" s="199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0.1081475425498704</v>
      </c>
      <c r="AD49" s="233">
        <f>(INDEX(Models!$BJ49:$BT49,,AH49)*(1-AF49)+INDEX(Models!$BJ49:$BT49,,AH49+1)*AF49-ERP_i)*AE49*Ramure*Pc/MaxiM</f>
        <v>9.0142564165156605E-2</v>
      </c>
      <c r="AE49" s="307">
        <f t="shared" si="15"/>
        <v>1</v>
      </c>
      <c r="AF49" s="179">
        <f t="shared" si="23"/>
        <v>0.40273245943272795</v>
      </c>
      <c r="AG49" s="837">
        <f t="shared" si="24"/>
        <v>1</v>
      </c>
      <c r="AH49" s="178">
        <f t="shared" si="16"/>
        <v>7</v>
      </c>
      <c r="AI49" s="227">
        <f t="shared" si="17"/>
        <v>1.402732459432728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45327</v>
      </c>
      <c r="B50" s="1139">
        <f>IF(t&gt;Tmaj,'2023'!Wh/'2023'!Env_an*'2024'!Env_an,0.001*'[4]mon-tableau'!$B$194)</f>
        <v>8.8838078007243624</v>
      </c>
      <c r="C50" s="866"/>
      <c r="D50" s="395">
        <f t="shared" si="0"/>
        <v>9.3100972696817053</v>
      </c>
      <c r="E50" s="387">
        <f t="shared" si="1"/>
        <v>10.193327922333701</v>
      </c>
      <c r="F50" s="387">
        <f t="shared" si="2"/>
        <v>10.317517741373242</v>
      </c>
      <c r="G50" s="110">
        <f t="shared" si="21"/>
        <v>0.36550391953627398</v>
      </c>
      <c r="H50" s="414" t="b">
        <f>Wh_hp&gt;='2023'!Maxi_hp</f>
        <v>0</v>
      </c>
      <c r="I50" s="392">
        <f>IF(H50,Wh_hp,'2023'!Maxi_hp)</f>
        <v>27.78824906234189</v>
      </c>
      <c r="J50" s="85">
        <f>IF(H50,An,'2023'!An_max)</f>
        <v>2020</v>
      </c>
      <c r="K50" s="199">
        <f t="shared" si="3"/>
        <v>45327</v>
      </c>
      <c r="L50" s="147">
        <f>IF(t&lt;Tvie,1-EXP((T0-t)*PertePVj)+'2023'!Pspv,1-EXP((T0-t)*PertePVj)+Pspv)</f>
        <v>4.5787864144615553E-2</v>
      </c>
      <c r="M50" s="870"/>
      <c r="N50" s="870"/>
      <c r="O50" s="48">
        <f>IF(t&lt;Tnet,'2023'!Resal+('2023'!Salim-'2023'!Resal)*(1-EXP(('2023'!Tnet-t)/('2023'!Tau_j))),Resal+(Salim-Resal)*(1-EXP((Tnet-t)/(Tau_j))))*Salcycl</f>
        <v>8.664791904877564E-2</v>
      </c>
      <c r="P50" s="171">
        <f>(INDEX(Models!$BJ50:$BT50,,T50)*(1-R50)+INDEX(Models!$BJ50:$BT50,,T50+1)*R50-ERP_i)*Q50*Ramure*Pc/MaxiM</f>
        <v>8.7868337351952819E-2</v>
      </c>
      <c r="Q50" s="307">
        <f t="shared" si="4"/>
        <v>1</v>
      </c>
      <c r="R50" s="179">
        <f t="shared" si="5"/>
        <v>0.40289644288982118</v>
      </c>
      <c r="S50" s="837">
        <f t="shared" si="6"/>
        <v>1</v>
      </c>
      <c r="T50" s="178">
        <f t="shared" si="7"/>
        <v>7</v>
      </c>
      <c r="U50" s="253">
        <f t="shared" si="8"/>
        <v>1.4028964428898212</v>
      </c>
      <c r="V50" s="385">
        <f t="shared" si="9"/>
        <v>22.440052862217126</v>
      </c>
      <c r="W50" s="404">
        <f t="shared" si="10"/>
        <v>8.8838078007243624</v>
      </c>
      <c r="X50" s="157">
        <f t="shared" si="11"/>
        <v>45327</v>
      </c>
      <c r="Y50" s="387">
        <f t="shared" si="12"/>
        <v>8.6734608268700679</v>
      </c>
      <c r="Z50" s="387">
        <f t="shared" si="22"/>
        <v>9.0896567974320686</v>
      </c>
      <c r="AA50" s="388">
        <f t="shared" si="13"/>
        <v>10.193327922333701</v>
      </c>
      <c r="AB50" s="199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0.10827387613847643</v>
      </c>
      <c r="AD50" s="233">
        <f>(INDEX(Models!$BJ50:$BT50,,AH50)*(1-AF50)+INDEX(Models!$BJ50:$BT50,,AH50+1)*AF50-ERP_i)*AE50*Ramure*Pc/MaxiM</f>
        <v>8.7868337351952819E-2</v>
      </c>
      <c r="AE50" s="307">
        <f t="shared" si="15"/>
        <v>1</v>
      </c>
      <c r="AF50" s="179">
        <f t="shared" si="23"/>
        <v>0.40289644288982118</v>
      </c>
      <c r="AG50" s="837">
        <f t="shared" si="24"/>
        <v>1</v>
      </c>
      <c r="AH50" s="178">
        <f t="shared" si="16"/>
        <v>7</v>
      </c>
      <c r="AI50" s="227">
        <f t="shared" si="17"/>
        <v>1.4028964428898212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45328</v>
      </c>
      <c r="B51" s="1139">
        <f>IF(t&gt;Tmaj,'2023'!Wh/'2023'!Env_an*'2024'!Env_an,0.001*'[4]mon-tableau'!$B$195)</f>
        <v>16.504389354730662</v>
      </c>
      <c r="C51" s="866"/>
      <c r="D51" s="395">
        <f t="shared" si="0"/>
        <v>17.296754908828813</v>
      </c>
      <c r="E51" s="387">
        <f t="shared" si="1"/>
        <v>18.941132241926109</v>
      </c>
      <c r="F51" s="387">
        <f t="shared" si="2"/>
        <v>19.978475708301083</v>
      </c>
      <c r="G51" s="110">
        <f t="shared" si="21"/>
        <v>0.69902170301084798</v>
      </c>
      <c r="H51" s="414" t="b">
        <f>Wh_hp&gt;='2023'!Maxi_hp</f>
        <v>0</v>
      </c>
      <c r="I51" s="392">
        <f>IF(H51,Wh_hp,'2023'!Maxi_hp)</f>
        <v>28.842415345268009</v>
      </c>
      <c r="J51" s="85">
        <f>IF(H51,An,'2023'!An_max)</f>
        <v>2020</v>
      </c>
      <c r="K51" s="199">
        <f t="shared" si="3"/>
        <v>45328</v>
      </c>
      <c r="L51" s="147">
        <f>IF(t&lt;Tvie,1-EXP((T0-t)*PertePVj)+'2023'!Pspv,1-EXP((T0-t)*PertePVj)+Pspv)</f>
        <v>4.5810070055031127E-2</v>
      </c>
      <c r="M51" s="870"/>
      <c r="N51" s="870"/>
      <c r="O51" s="48">
        <f>IF(t&lt;Tnet,'2023'!Resal+('2023'!Salim-'2023'!Resal)*(1-EXP(('2023'!Tnet-t)/('2023'!Tau_j))),Resal+(Salim-Resal)*(1-EXP((Tnet-t)/(Tau_j))))*Salcycl</f>
        <v>8.6815155086530385E-2</v>
      </c>
      <c r="P51" s="171">
        <f>(INDEX(Models!$BJ51:$BT51,,T51)*(1-R51)+INDEX(Models!$BJ51:$BT51,,T51+1)*R51-ERP_i)*Q51*Ramure*Pc/MaxiM</f>
        <v>8.5571856824752351E-2</v>
      </c>
      <c r="Q51" s="307">
        <f t="shared" si="4"/>
        <v>1</v>
      </c>
      <c r="R51" s="179">
        <f t="shared" si="5"/>
        <v>0.40306722375125292</v>
      </c>
      <c r="S51" s="837">
        <f t="shared" si="6"/>
        <v>1</v>
      </c>
      <c r="T51" s="178">
        <f t="shared" si="7"/>
        <v>7</v>
      </c>
      <c r="U51" s="253">
        <f t="shared" si="8"/>
        <v>1.4030672237512529</v>
      </c>
      <c r="V51" s="385">
        <f t="shared" si="9"/>
        <v>22.772714329924753</v>
      </c>
      <c r="W51" s="404">
        <f t="shared" si="10"/>
        <v>16.504389354730662</v>
      </c>
      <c r="X51" s="157">
        <f t="shared" si="11"/>
        <v>45328</v>
      </c>
      <c r="Y51" s="387">
        <f t="shared" si="12"/>
        <v>16.114272800789081</v>
      </c>
      <c r="Z51" s="387">
        <f t="shared" si="22"/>
        <v>16.887909099730745</v>
      </c>
      <c r="AA51" s="388">
        <f t="shared" si="13"/>
        <v>18.941132241926109</v>
      </c>
      <c r="AB51" s="199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0.10840023267725069</v>
      </c>
      <c r="AD51" s="233">
        <f>(INDEX(Models!$BJ51:$BT51,,AH51)*(1-AF51)+INDEX(Models!$BJ51:$BT51,,AH51+1)*AF51-ERP_i)*AE51*Ramure*Pc/MaxiM</f>
        <v>8.5571856824752351E-2</v>
      </c>
      <c r="AE51" s="307">
        <f t="shared" si="15"/>
        <v>1</v>
      </c>
      <c r="AF51" s="179">
        <f t="shared" si="23"/>
        <v>0.40306722375125292</v>
      </c>
      <c r="AG51" s="837">
        <f t="shared" si="24"/>
        <v>1</v>
      </c>
      <c r="AH51" s="178">
        <f t="shared" si="16"/>
        <v>7</v>
      </c>
      <c r="AI51" s="227">
        <f t="shared" si="17"/>
        <v>1.4030672237512529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45329</v>
      </c>
      <c r="B52" s="1139">
        <f>IF(t&gt;Tmaj,'2023'!Wh/'2023'!Env_an*'2024'!Env_an,0.001*'[4]mon-tableau'!$B$196)</f>
        <v>11.448998937154661</v>
      </c>
      <c r="C52" s="866"/>
      <c r="D52" s="395">
        <f t="shared" si="0"/>
        <v>11.99893754794355</v>
      </c>
      <c r="E52" s="387">
        <f t="shared" si="1"/>
        <v>13.142064135394458</v>
      </c>
      <c r="F52" s="387">
        <f t="shared" si="2"/>
        <v>13.454761821390116</v>
      </c>
      <c r="G52" s="110">
        <f t="shared" si="21"/>
        <v>0.46497826500596418</v>
      </c>
      <c r="H52" s="414" t="b">
        <f>Wh_hp&gt;='2023'!Maxi_hp</f>
        <v>0</v>
      </c>
      <c r="I52" s="392">
        <f>IF(H52,Wh_hp,'2023'!Maxi_hp)</f>
        <v>20.460774580395299</v>
      </c>
      <c r="J52" s="85">
        <f>IF(H52,An,'2023'!An_max)</f>
        <v>2021</v>
      </c>
      <c r="K52" s="199">
        <f t="shared" si="3"/>
        <v>45329</v>
      </c>
      <c r="L52" s="147">
        <f>IF(t&lt;Tvie,1-EXP((T0-t)*PertePVj)+'2023'!Pspv,1-EXP((T0-t)*PertePVj)+Pspv)</f>
        <v>4.5832275448682624E-2</v>
      </c>
      <c r="M52" s="870"/>
      <c r="N52" s="870"/>
      <c r="O52" s="48">
        <f>IF(t&lt;Tnet,'2023'!Resal+('2023'!Salim-'2023'!Resal)*(1-EXP(('2023'!Tnet-t)/('2023'!Tau_j))),Resal+(Salim-Resal)*(1-EXP((Tnet-t)/(Tau_j))))*Salcycl</f>
        <v>8.698227125312967E-2</v>
      </c>
      <c r="P52" s="171">
        <f>(INDEX(Models!$BJ52:$BT52,,T52)*(1-R52)+INDEX(Models!$BJ52:$BT52,,T52+1)*R52-ERP_i)*Q52*Ramure*Pc/MaxiM</f>
        <v>8.3250650257325504E-2</v>
      </c>
      <c r="Q52" s="307">
        <f t="shared" si="4"/>
        <v>1</v>
      </c>
      <c r="R52" s="179">
        <f t="shared" si="5"/>
        <v>0.40324508022011507</v>
      </c>
      <c r="S52" s="837">
        <f t="shared" si="6"/>
        <v>1</v>
      </c>
      <c r="T52" s="178">
        <f t="shared" si="7"/>
        <v>7</v>
      </c>
      <c r="U52" s="253">
        <f t="shared" si="8"/>
        <v>1.4032450802201151</v>
      </c>
      <c r="V52" s="385">
        <f t="shared" si="9"/>
        <v>23.109891415634465</v>
      </c>
      <c r="W52" s="404">
        <f t="shared" si="10"/>
        <v>11.448998937154661</v>
      </c>
      <c r="X52" s="157">
        <f t="shared" si="11"/>
        <v>45329</v>
      </c>
      <c r="Y52" s="387">
        <f t="shared" si="12"/>
        <v>11.178838877420903</v>
      </c>
      <c r="Z52" s="387">
        <f t="shared" si="22"/>
        <v>11.715800681350419</v>
      </c>
      <c r="AA52" s="388">
        <f t="shared" si="13"/>
        <v>13.142064135394458</v>
      </c>
      <c r="AB52" s="199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0.10852659364237909</v>
      </c>
      <c r="AD52" s="233">
        <f>(INDEX(Models!$BJ52:$BT52,,AH52)*(1-AF52)+INDEX(Models!$BJ52:$BT52,,AH52+1)*AF52-ERP_i)*AE52*Ramure*Pc/MaxiM</f>
        <v>8.3250650257325504E-2</v>
      </c>
      <c r="AE52" s="307">
        <f t="shared" si="15"/>
        <v>1</v>
      </c>
      <c r="AF52" s="179">
        <f t="shared" si="23"/>
        <v>0.40324508022011507</v>
      </c>
      <c r="AG52" s="837">
        <f t="shared" si="24"/>
        <v>1</v>
      </c>
      <c r="AH52" s="178">
        <f t="shared" si="16"/>
        <v>7</v>
      </c>
      <c r="AI52" s="227">
        <f t="shared" si="17"/>
        <v>1.4032450802201151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45330</v>
      </c>
      <c r="B53" s="1139">
        <f>IF(t&gt;Tmaj,'2023'!Wh/'2023'!Env_an*'2024'!Env_an,0.001*'[4]mon-tableau'!$B$197)</f>
        <v>23.825608435324206</v>
      </c>
      <c r="C53" s="866"/>
      <c r="D53" s="395">
        <f t="shared" si="0"/>
        <v>24.9706233944841</v>
      </c>
      <c r="E53" s="387">
        <f t="shared" si="1"/>
        <v>27.354552156626561</v>
      </c>
      <c r="F53" s="387">
        <f t="shared" si="2"/>
        <v>29.763398061400455</v>
      </c>
      <c r="G53" s="110">
        <f t="shared" si="21"/>
        <v>1.0159745529718152</v>
      </c>
      <c r="H53" s="414" t="b">
        <f>Wh_hp&gt;='2023'!Maxi_hp</f>
        <v>1</v>
      </c>
      <c r="I53" s="392">
        <f>IF(H53,Wh_hp,'2023'!Maxi_hp)</f>
        <v>29.763398061400455</v>
      </c>
      <c r="J53" s="85">
        <f>IF(H53,An,'2023'!An_max)</f>
        <v>2024</v>
      </c>
      <c r="K53" s="199">
        <f t="shared" si="3"/>
        <v>45330</v>
      </c>
      <c r="L53" s="147">
        <f>IF(t&lt;Tvie,1-EXP((T0-t)*PertePVj)+'2023'!Pspv,1-EXP((T0-t)*PertePVj)+Pspv)</f>
        <v>4.5854480325582259E-2</v>
      </c>
      <c r="M53" s="870"/>
      <c r="N53" s="870"/>
      <c r="O53" s="48">
        <f>IF(t&lt;Tnet,'2023'!Resal+('2023'!Salim-'2023'!Resal)*(1-EXP(('2023'!Tnet-t)/('2023'!Tau_j))),Resal+(Salim-Resal)*(1-EXP((Tnet-t)/(Tau_j))))*Salcycl</f>
        <v>8.7149252105922767E-2</v>
      </c>
      <c r="P53" s="171">
        <f>(INDEX(Models!$BJ53:$BT53,,T53)*(1-R53)+INDEX(Models!$BJ53:$BT53,,T53+1)*R53-ERP_i)*Q53*Ramure*Pc/MaxiM</f>
        <v>8.0933161590103497E-2</v>
      </c>
      <c r="Q53" s="307">
        <f t="shared" si="4"/>
        <v>1</v>
      </c>
      <c r="R53" s="179">
        <f t="shared" si="5"/>
        <v>0.40343030158282778</v>
      </c>
      <c r="S53" s="837">
        <f t="shared" si="6"/>
        <v>1</v>
      </c>
      <c r="T53" s="178">
        <f t="shared" si="7"/>
        <v>7</v>
      </c>
      <c r="U53" s="253">
        <f t="shared" si="8"/>
        <v>1.4034303015828278</v>
      </c>
      <c r="V53" s="385">
        <f t="shared" si="9"/>
        <v>23.450989363495577</v>
      </c>
      <c r="W53" s="404">
        <f t="shared" si="10"/>
        <v>23.825608435324206</v>
      </c>
      <c r="X53" s="157">
        <f t="shared" si="11"/>
        <v>45330</v>
      </c>
      <c r="Y53" s="387">
        <f t="shared" si="12"/>
        <v>23.264357405022462</v>
      </c>
      <c r="Z53" s="387">
        <f t="shared" si="22"/>
        <v>24.382399671028104</v>
      </c>
      <c r="AA53" s="388">
        <f t="shared" si="13"/>
        <v>27.354552156626561</v>
      </c>
      <c r="AB53" s="199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0.10865293895438384</v>
      </c>
      <c r="AD53" s="233">
        <f>(INDEX(Models!$BJ53:$BT53,,AH53)*(1-AF53)+INDEX(Models!$BJ53:$BT53,,AH53+1)*AF53-ERP_i)*AE53*Ramure*Pc/MaxiM</f>
        <v>8.0933161590103497E-2</v>
      </c>
      <c r="AE53" s="307">
        <f t="shared" si="15"/>
        <v>1</v>
      </c>
      <c r="AF53" s="179">
        <f t="shared" si="23"/>
        <v>0.40343030158282778</v>
      </c>
      <c r="AG53" s="837">
        <f t="shared" si="24"/>
        <v>1</v>
      </c>
      <c r="AH53" s="178">
        <f t="shared" si="16"/>
        <v>7</v>
      </c>
      <c r="AI53" s="227">
        <f t="shared" si="17"/>
        <v>1.4034303015828278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45331</v>
      </c>
      <c r="B54" s="1139">
        <f>IF(t&gt;Tmaj,'2023'!Wh/'2023'!Env_an*'2024'!Env_an,0.001*'[4]mon-tableau'!$B$198)</f>
        <v>23.882091897621276</v>
      </c>
      <c r="C54" s="866"/>
      <c r="D54" s="395">
        <f t="shared" si="0"/>
        <v>25.030403842248916</v>
      </c>
      <c r="E54" s="387">
        <f t="shared" si="1"/>
        <v>27.425051897885698</v>
      </c>
      <c r="F54" s="387">
        <f t="shared" si="2"/>
        <v>29.765187841712834</v>
      </c>
      <c r="G54" s="110">
        <f t="shared" si="21"/>
        <v>1.0036136555808277</v>
      </c>
      <c r="H54" s="414" t="b">
        <f>Wh_hp&gt;='2023'!Maxi_hp</f>
        <v>1</v>
      </c>
      <c r="I54" s="392">
        <f>IF(H54,Wh_hp,'2023'!Maxi_hp)</f>
        <v>29.765187841712834</v>
      </c>
      <c r="J54" s="85">
        <f>IF(H54,An,'2023'!An_max)</f>
        <v>2024</v>
      </c>
      <c r="K54" s="199">
        <f t="shared" si="3"/>
        <v>45331</v>
      </c>
      <c r="L54" s="147">
        <f>IF(t&lt;Tvie,1-EXP((T0-t)*PertePVj)+'2023'!Pspv,1-EXP((T0-t)*PertePVj)+Pspv)</f>
        <v>4.587668468574202E-2</v>
      </c>
      <c r="M54" s="870"/>
      <c r="N54" s="870"/>
      <c r="O54" s="48">
        <f>IF(t&lt;Tnet,'2023'!Resal+('2023'!Salim-'2023'!Resal)*(1-EXP(('2023'!Tnet-t)/('2023'!Tau_j))),Resal+(Salim-Resal)*(1-EXP((Tnet-t)/(Tau_j))))*Salcycl</f>
        <v>8.7316081098150852E-2</v>
      </c>
      <c r="P54" s="171">
        <f>(INDEX(Models!$BJ54:$BT54,,T54)*(1-R54)+INDEX(Models!$BJ54:$BT54,,T54+1)*R54-ERP_i)*Q54*Ramure*Pc/MaxiM</f>
        <v>7.8619895035490925E-2</v>
      </c>
      <c r="Q54" s="307">
        <f t="shared" si="4"/>
        <v>1</v>
      </c>
      <c r="R54" s="179">
        <f t="shared" si="5"/>
        <v>0.40362318862485536</v>
      </c>
      <c r="S54" s="837">
        <f t="shared" si="6"/>
        <v>1</v>
      </c>
      <c r="T54" s="178">
        <f t="shared" si="7"/>
        <v>7</v>
      </c>
      <c r="U54" s="253">
        <f t="shared" si="8"/>
        <v>1.4036231886248554</v>
      </c>
      <c r="V54" s="385">
        <f t="shared" si="9"/>
        <v>23.796100984496711</v>
      </c>
      <c r="W54" s="404">
        <f t="shared" si="10"/>
        <v>23.882091897621276</v>
      </c>
      <c r="X54" s="157">
        <f t="shared" si="11"/>
        <v>45331</v>
      </c>
      <c r="Y54" s="387">
        <f t="shared" si="12"/>
        <v>23.320467774267147</v>
      </c>
      <c r="Z54" s="387">
        <f t="shared" si="22"/>
        <v>24.44177539733019</v>
      </c>
      <c r="AA54" s="388">
        <f t="shared" si="13"/>
        <v>27.425051897885698</v>
      </c>
      <c r="AB54" s="199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0.10877924722488866</v>
      </c>
      <c r="AD54" s="233">
        <f>(INDEX(Models!$BJ54:$BT54,,AH54)*(1-AF54)+INDEX(Models!$BJ54:$BT54,,AH54+1)*AF54-ERP_i)*AE54*Ramure*Pc/MaxiM</f>
        <v>7.8619895035490925E-2</v>
      </c>
      <c r="AE54" s="307">
        <f t="shared" si="15"/>
        <v>1</v>
      </c>
      <c r="AF54" s="179">
        <f t="shared" si="23"/>
        <v>0.40362318862485536</v>
      </c>
      <c r="AG54" s="837">
        <f t="shared" si="24"/>
        <v>1</v>
      </c>
      <c r="AH54" s="178">
        <f t="shared" si="16"/>
        <v>7</v>
      </c>
      <c r="AI54" s="227">
        <f t="shared" si="17"/>
        <v>1.4036231886248554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45332</v>
      </c>
      <c r="B55" s="1139">
        <f>IF(t&gt;Tmaj,'2023'!Wh/'2023'!Env_an*'2024'!Env_an,0.001*'[4]mon-tableau'!$B$199)</f>
        <v>23.194700807456055</v>
      </c>
      <c r="C55" s="866"/>
      <c r="D55" s="395">
        <f t="shared" si="0"/>
        <v>24.31052697517509</v>
      </c>
      <c r="E55" s="387">
        <f t="shared" si="1"/>
        <v>26.641169501081368</v>
      </c>
      <c r="F55" s="387">
        <f t="shared" si="2"/>
        <v>28.708754221830876</v>
      </c>
      <c r="G55" s="110">
        <f t="shared" si="21"/>
        <v>0.95618623868710317</v>
      </c>
      <c r="H55" s="414" t="b">
        <f>Wh_hp&gt;='2023'!Maxi_hp</f>
        <v>0</v>
      </c>
      <c r="I55" s="392">
        <f>IF(H55,Wh_hp,'2023'!Maxi_hp)</f>
        <v>28.780840754960145</v>
      </c>
      <c r="J55" s="85">
        <f>IF(H55,An,'2023'!An_max)</f>
        <v>2022</v>
      </c>
      <c r="K55" s="199">
        <f t="shared" si="3"/>
        <v>45332</v>
      </c>
      <c r="L55" s="147">
        <f>IF(t&lt;Tvie,1-EXP((T0-t)*PertePVj)+'2023'!Pspv,1-EXP((T0-t)*PertePVj)+Pspv)</f>
        <v>4.5898888529173787E-2</v>
      </c>
      <c r="M55" s="870"/>
      <c r="N55" s="870"/>
      <c r="O55" s="48">
        <f>IF(t&lt;Tnet,'2023'!Resal+('2023'!Salim-'2023'!Resal)*(1-EXP(('2023'!Tnet-t)/('2023'!Tau_j))),Resal+(Salim-Resal)*(1-EXP((Tnet-t)/(Tau_j))))*Salcycl</f>
        <v>8.7482740793780669E-2</v>
      </c>
      <c r="P55" s="171">
        <f>(INDEX(Models!$BJ55:$BT55,,T55)*(1-R55)+INDEX(Models!$BJ55:$BT55,,T55+1)*R55-ERP_i)*Q55*Ramure*Pc/MaxiM</f>
        <v>7.631135803111963E-2</v>
      </c>
      <c r="Q55" s="307">
        <f t="shared" si="4"/>
        <v>1</v>
      </c>
      <c r="R55" s="179">
        <f t="shared" si="5"/>
        <v>0.40382405405978283</v>
      </c>
      <c r="S55" s="837">
        <f t="shared" si="6"/>
        <v>1</v>
      </c>
      <c r="T55" s="178">
        <f t="shared" si="7"/>
        <v>7</v>
      </c>
      <c r="U55" s="253">
        <f t="shared" si="8"/>
        <v>1.4038240540597828</v>
      </c>
      <c r="V55" s="385">
        <f t="shared" si="9"/>
        <v>24.145319178724129</v>
      </c>
      <c r="W55" s="404">
        <f t="shared" si="10"/>
        <v>23.194700807456055</v>
      </c>
      <c r="X55" s="157">
        <f t="shared" si="11"/>
        <v>45332</v>
      </c>
      <c r="Y55" s="387">
        <f t="shared" si="12"/>
        <v>22.650169300657709</v>
      </c>
      <c r="Z55" s="387">
        <f t="shared" si="22"/>
        <v>23.739799721793204</v>
      </c>
      <c r="AA55" s="388">
        <f t="shared" si="13"/>
        <v>26.641169501081368</v>
      </c>
      <c r="AB55" s="199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0.10890549602825798</v>
      </c>
      <c r="AD55" s="233">
        <f>(INDEX(Models!$BJ55:$BT55,,AH55)*(1-AF55)+INDEX(Models!$BJ55:$BT55,,AH55+1)*AF55-ERP_i)*AE55*Ramure*Pc/MaxiM</f>
        <v>7.631135803111963E-2</v>
      </c>
      <c r="AE55" s="307">
        <f t="shared" si="15"/>
        <v>1</v>
      </c>
      <c r="AF55" s="179">
        <f t="shared" si="23"/>
        <v>0.40382405405978283</v>
      </c>
      <c r="AG55" s="837">
        <f t="shared" si="24"/>
        <v>1</v>
      </c>
      <c r="AH55" s="178">
        <f t="shared" si="16"/>
        <v>7</v>
      </c>
      <c r="AI55" s="227">
        <f t="shared" si="17"/>
        <v>1.4038240540597828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45333</v>
      </c>
      <c r="B56" s="1139">
        <f>IF(t&gt;Tmaj,'2023'!Wh/'2023'!Env_an*'2024'!Env_an,0.001*'[4]mon-tableau'!$B$200)</f>
        <v>12.242231890922412</v>
      </c>
      <c r="C56" s="866"/>
      <c r="D56" s="395">
        <f t="shared" si="0"/>
        <v>12.83146685921</v>
      </c>
      <c r="E56" s="387">
        <f t="shared" si="1"/>
        <v>14.064181281434029</v>
      </c>
      <c r="F56" s="387">
        <f t="shared" si="2"/>
        <v>14.367542774857323</v>
      </c>
      <c r="G56" s="110">
        <f t="shared" si="21"/>
        <v>0.47270713421171706</v>
      </c>
      <c r="H56" s="414" t="b">
        <f>Wh_hp&gt;='2023'!Maxi_hp</f>
        <v>0</v>
      </c>
      <c r="I56" s="392">
        <f>IF(H56,Wh_hp,'2023'!Maxi_hp)</f>
        <v>26.884629340458861</v>
      </c>
      <c r="J56" s="85">
        <f>IF(H56,An,'2023'!An_max)</f>
        <v>2021</v>
      </c>
      <c r="K56" s="199">
        <f t="shared" si="3"/>
        <v>45333</v>
      </c>
      <c r="L56" s="147">
        <f>IF(t&lt;Tvie,1-EXP((T0-t)*PertePVj)+'2023'!Pspv,1-EXP((T0-t)*PertePVj)+Pspv)</f>
        <v>4.5921091855889773E-2</v>
      </c>
      <c r="M56" s="870"/>
      <c r="N56" s="870"/>
      <c r="O56" s="48">
        <f>IF(t&lt;Tnet,'2023'!Resal+('2023'!Salim-'2023'!Resal)*(1-EXP(('2023'!Tnet-t)/('2023'!Tau_j))),Resal+(Salim-Resal)*(1-EXP((Tnet-t)/(Tau_j))))*Salcycl</f>
        <v>8.7649213100752799E-2</v>
      </c>
      <c r="P56" s="171">
        <f>(INDEX(Models!$BJ56:$BT56,,T56)*(1-R56)+INDEX(Models!$BJ56:$BT56,,T56+1)*R56-ERP_i)*Q56*Ramure*Pc/MaxiM</f>
        <v>7.4008059841573937E-2</v>
      </c>
      <c r="Q56" s="307">
        <f t="shared" si="4"/>
        <v>1</v>
      </c>
      <c r="R56" s="179">
        <f t="shared" si="5"/>
        <v>0.40403322297198851</v>
      </c>
      <c r="S56" s="837">
        <f t="shared" si="6"/>
        <v>1</v>
      </c>
      <c r="T56" s="178">
        <f t="shared" si="7"/>
        <v>7</v>
      </c>
      <c r="U56" s="253">
        <f t="shared" si="8"/>
        <v>1.4040332229719885</v>
      </c>
      <c r="V56" s="385">
        <f t="shared" si="9"/>
        <v>24.49873694584565</v>
      </c>
      <c r="W56" s="404">
        <f t="shared" si="10"/>
        <v>12.242231890922412</v>
      </c>
      <c r="X56" s="157">
        <f t="shared" si="11"/>
        <v>45333</v>
      </c>
      <c r="Y56" s="387">
        <f t="shared" si="12"/>
        <v>11.955314946294351</v>
      </c>
      <c r="Z56" s="387">
        <f t="shared" si="22"/>
        <v>12.530740218909171</v>
      </c>
      <c r="AA56" s="388">
        <f t="shared" si="13"/>
        <v>14.064181281434029</v>
      </c>
      <c r="AB56" s="199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0.1090316621948791</v>
      </c>
      <c r="AD56" s="233">
        <f>(INDEX(Models!$BJ56:$BT56,,AH56)*(1-AF56)+INDEX(Models!$BJ56:$BT56,,AH56+1)*AF56-ERP_i)*AE56*Ramure*Pc/MaxiM</f>
        <v>7.4008059841573937E-2</v>
      </c>
      <c r="AE56" s="307">
        <f t="shared" si="15"/>
        <v>1</v>
      </c>
      <c r="AF56" s="179">
        <f t="shared" si="23"/>
        <v>0.40403322297198851</v>
      </c>
      <c r="AG56" s="837">
        <f t="shared" si="24"/>
        <v>1</v>
      </c>
      <c r="AH56" s="178">
        <f t="shared" si="16"/>
        <v>7</v>
      </c>
      <c r="AI56" s="227">
        <f t="shared" si="17"/>
        <v>1.4040332229719885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45334</v>
      </c>
      <c r="B57" s="1139">
        <f>IF(t&gt;Tmaj,'2023'!Wh/'2023'!Env_an*'2024'!Env_an,0.001*'[4]mon-tableau'!$B$201)</f>
        <v>20.94771878263067</v>
      </c>
      <c r="C57" s="866"/>
      <c r="D57" s="395">
        <f t="shared" si="0"/>
        <v>21.956471418850363</v>
      </c>
      <c r="E57" s="387">
        <f t="shared" si="1"/>
        <v>24.070208303136244</v>
      </c>
      <c r="F57" s="387">
        <f t="shared" si="2"/>
        <v>25.487330404535303</v>
      </c>
      <c r="G57" s="110">
        <f t="shared" si="21"/>
        <v>0.82837238262940682</v>
      </c>
      <c r="H57" s="414" t="b">
        <f>Wh_hp&gt;='2023'!Maxi_hp</f>
        <v>0</v>
      </c>
      <c r="I57" s="392">
        <f>IF(H57,Wh_hp,'2023'!Maxi_hp)</f>
        <v>30.634138699782948</v>
      </c>
      <c r="J57" s="85">
        <f>IF(H57,An,'2023'!An_max)</f>
        <v>2019</v>
      </c>
      <c r="K57" s="199">
        <f t="shared" si="3"/>
        <v>45334</v>
      </c>
      <c r="L57" s="147">
        <f>IF(t&lt;Tvie,1-EXP((T0-t)*PertePVj)+'2023'!Pspv,1-EXP((T0-t)*PertePVj)+Pspv)</f>
        <v>4.5943294665901857E-2</v>
      </c>
      <c r="M57" s="870"/>
      <c r="N57" s="870"/>
      <c r="O57" s="48">
        <f>IF(t&lt;Tnet,'2023'!Resal+('2023'!Salim-'2023'!Resal)*(1-EXP(('2023'!Tnet-t)/('2023'!Tau_j))),Resal+(Salim-Resal)*(1-EXP((Tnet-t)/(Tau_j))))*Salcycl</f>
        <v>8.7815479519987014E-2</v>
      </c>
      <c r="P57" s="171">
        <f>(INDEX(Models!$BJ57:$BT57,,T57)*(1-R57)+INDEX(Models!$BJ57:$BT57,,T57+1)*R57-ERP_i)*Q57*Ramure*Pc/MaxiM</f>
        <v>7.1710510227510876E-2</v>
      </c>
      <c r="Q57" s="307">
        <f t="shared" si="4"/>
        <v>1</v>
      </c>
      <c r="R57" s="179">
        <f t="shared" si="5"/>
        <v>0.40425103327312062</v>
      </c>
      <c r="S57" s="837">
        <f t="shared" si="6"/>
        <v>1</v>
      </c>
      <c r="T57" s="178">
        <f t="shared" si="7"/>
        <v>7</v>
      </c>
      <c r="U57" s="253">
        <f t="shared" si="8"/>
        <v>1.4042510332731206</v>
      </c>
      <c r="V57" s="385">
        <f t="shared" si="9"/>
        <v>24.856447393595694</v>
      </c>
      <c r="W57" s="404">
        <f t="shared" si="10"/>
        <v>20.94771878263067</v>
      </c>
      <c r="X57" s="157">
        <f t="shared" si="11"/>
        <v>45334</v>
      </c>
      <c r="Y57" s="387">
        <f t="shared" si="12"/>
        <v>20.457608189658924</v>
      </c>
      <c r="Z57" s="387">
        <f t="shared" si="22"/>
        <v>21.442759193747229</v>
      </c>
      <c r="AA57" s="388">
        <f t="shared" si="13"/>
        <v>24.070208303136244</v>
      </c>
      <c r="AB57" s="199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0.10915772212269019</v>
      </c>
      <c r="AD57" s="233">
        <f>(INDEX(Models!$BJ57:$BT57,,AH57)*(1-AF57)+INDEX(Models!$BJ57:$BT57,,AH57+1)*AF57-ERP_i)*AE57*Ramure*Pc/MaxiM</f>
        <v>7.1710510227510876E-2</v>
      </c>
      <c r="AE57" s="307">
        <f t="shared" si="15"/>
        <v>1</v>
      </c>
      <c r="AF57" s="179">
        <f t="shared" si="23"/>
        <v>0.40425103327312062</v>
      </c>
      <c r="AG57" s="837">
        <f t="shared" si="24"/>
        <v>1</v>
      </c>
      <c r="AH57" s="178">
        <f t="shared" si="16"/>
        <v>7</v>
      </c>
      <c r="AI57" s="227">
        <f t="shared" si="17"/>
        <v>1.4042510332731206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45335</v>
      </c>
      <c r="B58" s="1139">
        <f>IF(t&gt;Tmaj,'2023'!Wh/'2023'!Env_an*'2024'!Env_an,0.001*'[4]mon-tableau'!$B$202)</f>
        <v>24.437070607769524</v>
      </c>
      <c r="C58" s="866"/>
      <c r="D58" s="395">
        <f t="shared" si="0"/>
        <v>25.614451605137621</v>
      </c>
      <c r="E58" s="387">
        <f t="shared" si="1"/>
        <v>28.085452440244676</v>
      </c>
      <c r="F58" s="387">
        <f t="shared" si="2"/>
        <v>30.081562670819604</v>
      </c>
      <c r="G58" s="110">
        <f t="shared" si="21"/>
        <v>0.96583332749664719</v>
      </c>
      <c r="H58" s="414" t="b">
        <f>Wh_hp&gt;='2023'!Maxi_hp</f>
        <v>0</v>
      </c>
      <c r="I58" s="392">
        <f>IF(H58,Wh_hp,'2023'!Maxi_hp)</f>
        <v>31.578425450237262</v>
      </c>
      <c r="J58" s="85">
        <f>IF(H58,An,'2023'!An_max)</f>
        <v>2019</v>
      </c>
      <c r="K58" s="199">
        <f t="shared" si="3"/>
        <v>45335</v>
      </c>
      <c r="L58" s="147">
        <f>IF(t&lt;Tvie,1-EXP((T0-t)*PertePVj)+'2023'!Pspv,1-EXP((T0-t)*PertePVj)+Pspv)</f>
        <v>4.5965496959222141E-2</v>
      </c>
      <c r="M58" s="870"/>
      <c r="N58" s="870"/>
      <c r="O58" s="48">
        <f>IF(t&lt;Tnet,'2023'!Resal+('2023'!Salim-'2023'!Resal)*(1-EXP(('2023'!Tnet-t)/('2023'!Tau_j))),Resal+(Salim-Resal)*(1-EXP((Tnet-t)/(Tau_j))))*Salcycl</f>
        <v>8.7981521407369964E-2</v>
      </c>
      <c r="P58" s="171">
        <f>(INDEX(Models!$BJ58:$BT58,,T58)*(1-R58)+INDEX(Models!$BJ58:$BT58,,T58+1)*R58-ERP_i)*Q58*Ramure*Pc/MaxiM</f>
        <v>6.9429109719793311E-2</v>
      </c>
      <c r="Q58" s="307">
        <f t="shared" si="4"/>
        <v>1</v>
      </c>
      <c r="R58" s="179">
        <f t="shared" si="5"/>
        <v>0.40447783617257538</v>
      </c>
      <c r="S58" s="837">
        <f t="shared" si="6"/>
        <v>1</v>
      </c>
      <c r="T58" s="178">
        <f t="shared" si="7"/>
        <v>7</v>
      </c>
      <c r="U58" s="253">
        <f t="shared" si="8"/>
        <v>1.4044778361725754</v>
      </c>
      <c r="V58" s="385">
        <f t="shared" si="9"/>
        <v>25.218275680215086</v>
      </c>
      <c r="W58" s="404">
        <f t="shared" si="10"/>
        <v>24.437070607769524</v>
      </c>
      <c r="X58" s="157">
        <f t="shared" si="11"/>
        <v>45335</v>
      </c>
      <c r="Y58" s="387">
        <f t="shared" si="12"/>
        <v>23.866290865763709</v>
      </c>
      <c r="Z58" s="387">
        <f t="shared" si="22"/>
        <v>25.016171626597455</v>
      </c>
      <c r="AA58" s="388">
        <f t="shared" si="13"/>
        <v>28.085452440244676</v>
      </c>
      <c r="AB58" s="199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0.10928365210343322</v>
      </c>
      <c r="AD58" s="233">
        <f>(INDEX(Models!$BJ58:$BT58,,AH58)*(1-AF58)+INDEX(Models!$BJ58:$BT58,,AH58+1)*AF58-ERP_i)*AE58*Ramure*Pc/MaxiM</f>
        <v>6.9429109719793311E-2</v>
      </c>
      <c r="AE58" s="307">
        <f t="shared" si="15"/>
        <v>1</v>
      </c>
      <c r="AF58" s="179">
        <f t="shared" si="23"/>
        <v>0.40447783617257538</v>
      </c>
      <c r="AG58" s="837">
        <f t="shared" si="24"/>
        <v>1</v>
      </c>
      <c r="AH58" s="178">
        <f t="shared" si="16"/>
        <v>7</v>
      </c>
      <c r="AI58" s="227">
        <f t="shared" si="17"/>
        <v>1.4044778361725754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45336</v>
      </c>
      <c r="B59" s="1139">
        <f>IF(t&gt;Tmaj,'2023'!Wh/'2023'!Env_an*'2024'!Env_an,0.001*'[4]mon-tableau'!$B$203)</f>
        <v>14.371026636314095</v>
      </c>
      <c r="C59" s="866"/>
      <c r="D59" s="395">
        <f t="shared" si="0"/>
        <v>15.063774982011672</v>
      </c>
      <c r="E59" s="387">
        <f t="shared" si="1"/>
        <v>16.519965687958852</v>
      </c>
      <c r="F59" s="387">
        <f t="shared" si="2"/>
        <v>16.94576739349068</v>
      </c>
      <c r="G59" s="110">
        <f t="shared" si="21"/>
        <v>0.53749124012306504</v>
      </c>
      <c r="H59" s="414" t="b">
        <f>Wh_hp&gt;='2023'!Maxi_hp</f>
        <v>0</v>
      </c>
      <c r="I59" s="392">
        <f>IF(H59,Wh_hp,'2023'!Maxi_hp)</f>
        <v>31.770566290205203</v>
      </c>
      <c r="J59" s="85">
        <f>IF(H59,An,'2023'!An_max)</f>
        <v>2019</v>
      </c>
      <c r="K59" s="199">
        <f t="shared" si="3"/>
        <v>45336</v>
      </c>
      <c r="L59" s="147">
        <f>IF(t&lt;Tvie,1-EXP((T0-t)*PertePVj)+'2023'!Pspv,1-EXP((T0-t)*PertePVj)+Pspv)</f>
        <v>4.5987698735862614E-2</v>
      </c>
      <c r="M59" s="870"/>
      <c r="N59" s="870"/>
      <c r="O59" s="48">
        <f>IF(t&lt;Tnet,'2023'!Resal+('2023'!Salim-'2023'!Resal)*(1-EXP(('2023'!Tnet-t)/('2023'!Tau_j))),Resal+(Salim-Resal)*(1-EXP((Tnet-t)/(Tau_j))))*Salcycl</f>
        <v>8.8147320245863067E-2</v>
      </c>
      <c r="P59" s="171">
        <f>(INDEX(Models!$BJ59:$BT59,,T59)*(1-R59)+INDEX(Models!$BJ59:$BT59,,T59+1)*R59-ERP_i)*Q59*Ramure*Pc/MaxiM</f>
        <v>6.7201968645597243E-2</v>
      </c>
      <c r="Q59" s="307">
        <f t="shared" si="4"/>
        <v>1</v>
      </c>
      <c r="R59" s="179">
        <f t="shared" si="5"/>
        <v>0.4047139966621498</v>
      </c>
      <c r="S59" s="837">
        <f t="shared" si="6"/>
        <v>1</v>
      </c>
      <c r="T59" s="178">
        <f t="shared" si="7"/>
        <v>7</v>
      </c>
      <c r="U59" s="253">
        <f t="shared" si="8"/>
        <v>1.4047139966621498</v>
      </c>
      <c r="V59" s="385">
        <f t="shared" si="9"/>
        <v>25.583274126496335</v>
      </c>
      <c r="W59" s="404">
        <f t="shared" si="10"/>
        <v>14.371026636314095</v>
      </c>
      <c r="X59" s="157">
        <f t="shared" si="11"/>
        <v>45336</v>
      </c>
      <c r="Y59" s="387">
        <f t="shared" si="12"/>
        <v>14.035930481915026</v>
      </c>
      <c r="Z59" s="387">
        <f t="shared" si="22"/>
        <v>14.71252568055608</v>
      </c>
      <c r="AA59" s="388">
        <f t="shared" si="13"/>
        <v>16.519965687958852</v>
      </c>
      <c r="AB59" s="199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0.10940942866002359</v>
      </c>
      <c r="AD59" s="233">
        <f>(INDEX(Models!$BJ59:$BT59,,AH59)*(1-AF59)+INDEX(Models!$BJ59:$BT59,,AH59+1)*AF59-ERP_i)*AE59*Ramure*Pc/MaxiM</f>
        <v>6.7201968645597243E-2</v>
      </c>
      <c r="AE59" s="307">
        <f t="shared" si="15"/>
        <v>1</v>
      </c>
      <c r="AF59" s="179">
        <f t="shared" si="23"/>
        <v>0.4047139966621498</v>
      </c>
      <c r="AG59" s="837">
        <f t="shared" si="24"/>
        <v>1</v>
      </c>
      <c r="AH59" s="178">
        <f t="shared" si="16"/>
        <v>7</v>
      </c>
      <c r="AI59" s="227">
        <f t="shared" si="17"/>
        <v>1.4047139966621498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45337</v>
      </c>
      <c r="B60" s="1139">
        <f>IF(t&gt;Tmaj,'2023'!Wh/'2023'!Env_an*'2024'!Env_an,0.001*'[4]mon-tableau'!$B$204)</f>
        <v>17.51202222967963</v>
      </c>
      <c r="C60" s="866"/>
      <c r="D60" s="395">
        <f t="shared" si="0"/>
        <v>18.356607924550978</v>
      </c>
      <c r="E60" s="387">
        <f t="shared" si="1"/>
        <v>20.134766716976582</v>
      </c>
      <c r="F60" s="387">
        <f t="shared" si="2"/>
        <v>20.861097553093266</v>
      </c>
      <c r="G60" s="110">
        <f t="shared" si="21"/>
        <v>0.6536758431935128</v>
      </c>
      <c r="H60" s="414" t="b">
        <f>Wh_hp&gt;='2023'!Maxi_hp</f>
        <v>0</v>
      </c>
      <c r="I60" s="392">
        <f>IF(H60,Wh_hp,'2023'!Maxi_hp)</f>
        <v>31.929826724148288</v>
      </c>
      <c r="J60" s="85">
        <f>IF(H60,An,'2023'!An_max)</f>
        <v>2019</v>
      </c>
      <c r="K60" s="199">
        <f t="shared" si="3"/>
        <v>45337</v>
      </c>
      <c r="L60" s="147">
        <f>IF(t&lt;Tvie,1-EXP((T0-t)*PertePVj)+'2023'!Pspv,1-EXP((T0-t)*PertePVj)+Pspv)</f>
        <v>4.6009899995835268E-2</v>
      </c>
      <c r="M60" s="870"/>
      <c r="N60" s="870"/>
      <c r="O60" s="48">
        <f>IF(t&lt;Tnet,'2023'!Resal+('2023'!Salim-'2023'!Resal)*(1-EXP(('2023'!Tnet-t)/('2023'!Tau_j))),Resal+(Salim-Resal)*(1-EXP((Tnet-t)/(Tau_j))))*Salcycl</f>
        <v>8.8312857924812901E-2</v>
      </c>
      <c r="P60" s="171">
        <f>(INDEX(Models!$BJ60:$BT60,,T60)*(1-R60)+INDEX(Models!$BJ60:$BT60,,T60+1)*R60-ERP_i)*Q60*Ramure*Pc/MaxiM</f>
        <v>6.5027816483504558E-2</v>
      </c>
      <c r="Q60" s="307">
        <f t="shared" si="4"/>
        <v>1</v>
      </c>
      <c r="R60" s="179">
        <f t="shared" si="5"/>
        <v>0.40495989401501231</v>
      </c>
      <c r="S60" s="837">
        <f t="shared" si="6"/>
        <v>1</v>
      </c>
      <c r="T60" s="178">
        <f t="shared" si="7"/>
        <v>7</v>
      </c>
      <c r="U60" s="253">
        <f t="shared" si="8"/>
        <v>1.4049598940150123</v>
      </c>
      <c r="V60" s="385">
        <f t="shared" si="9"/>
        <v>25.951538302659145</v>
      </c>
      <c r="W60" s="404">
        <f t="shared" si="10"/>
        <v>17.51202222967963</v>
      </c>
      <c r="X60" s="157">
        <f t="shared" si="11"/>
        <v>45337</v>
      </c>
      <c r="Y60" s="387">
        <f t="shared" si="12"/>
        <v>17.104378957577875</v>
      </c>
      <c r="Z60" s="387">
        <f t="shared" si="22"/>
        <v>17.929304462911308</v>
      </c>
      <c r="AA60" s="388">
        <f t="shared" si="13"/>
        <v>20.134766716976582</v>
      </c>
      <c r="AB60" s="199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0.10953502889138249</v>
      </c>
      <c r="AD60" s="233">
        <f>(INDEX(Models!$BJ60:$BT60,,AH60)*(1-AF60)+INDEX(Models!$BJ60:$BT60,,AH60+1)*AF60-ERP_i)*AE60*Ramure*Pc/MaxiM</f>
        <v>6.5027816483504558E-2</v>
      </c>
      <c r="AE60" s="307">
        <f t="shared" si="15"/>
        <v>1</v>
      </c>
      <c r="AF60" s="179">
        <f t="shared" si="23"/>
        <v>0.40495989401501231</v>
      </c>
      <c r="AG60" s="837">
        <f t="shared" si="24"/>
        <v>1</v>
      </c>
      <c r="AH60" s="178">
        <f t="shared" si="16"/>
        <v>7</v>
      </c>
      <c r="AI60" s="227">
        <f t="shared" si="17"/>
        <v>1.4049598940150123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45338</v>
      </c>
      <c r="B61" s="1139">
        <f>IF(t&gt;Tmaj,'2023'!Wh/'2023'!Env_an*'2024'!Env_an,0.001*'[4]mon-tableau'!$B$205)</f>
        <v>8.940047617630432</v>
      </c>
      <c r="C61" s="866"/>
      <c r="D61" s="395">
        <f t="shared" si="0"/>
        <v>9.3714344314492646</v>
      </c>
      <c r="E61" s="387">
        <f t="shared" si="1"/>
        <v>10.281085519140643</v>
      </c>
      <c r="F61" s="387">
        <f t="shared" si="2"/>
        <v>10.317827751810691</v>
      </c>
      <c r="G61" s="110">
        <f t="shared" si="21"/>
        <v>0.3193996743602171</v>
      </c>
      <c r="H61" s="414" t="b">
        <f>Wh_hp&gt;='2023'!Maxi_hp</f>
        <v>0</v>
      </c>
      <c r="I61" s="392">
        <f>IF(H61,Wh_hp,'2023'!Maxi_hp)</f>
        <v>32.591538912686424</v>
      </c>
      <c r="J61" s="85">
        <f>IF(H61,An,'2023'!An_max)</f>
        <v>2019</v>
      </c>
      <c r="K61" s="199">
        <f t="shared" si="3"/>
        <v>45338</v>
      </c>
      <c r="L61" s="147">
        <f>IF(t&lt;Tvie,1-EXP((T0-t)*PertePVj)+'2023'!Pspv,1-EXP((T0-t)*PertePVj)+Pspv)</f>
        <v>4.6032100739152204E-2</v>
      </c>
      <c r="M61" s="870"/>
      <c r="N61" s="870"/>
      <c r="O61" s="48">
        <f>IF(t&lt;Tnet,'2023'!Resal+('2023'!Salim-'2023'!Resal)*(1-EXP(('2023'!Tnet-t)/('2023'!Tau_j))),Resal+(Salim-Resal)*(1-EXP((Tnet-t)/(Tau_j))))*Salcycl</f>
        <v>8.8478117023523359E-2</v>
      </c>
      <c r="P61" s="171">
        <f>(INDEX(Models!$BJ61:$BT61,,T61)*(1-R61)+INDEX(Models!$BJ61:$BT61,,T61+1)*R61-ERP_i)*Q61*Ramure*Pc/MaxiM</f>
        <v>6.2905425152941369E-2</v>
      </c>
      <c r="Q61" s="307">
        <f t="shared" si="4"/>
        <v>1</v>
      </c>
      <c r="R61" s="179">
        <f t="shared" si="5"/>
        <v>0.40521592229911563</v>
      </c>
      <c r="S61" s="837">
        <f t="shared" si="6"/>
        <v>1</v>
      </c>
      <c r="T61" s="178">
        <f t="shared" si="7"/>
        <v>7</v>
      </c>
      <c r="U61" s="253">
        <f t="shared" si="8"/>
        <v>1.4052159222991156</v>
      </c>
      <c r="V61" s="385">
        <f t="shared" si="9"/>
        <v>26.323163924482515</v>
      </c>
      <c r="W61" s="404">
        <f t="shared" si="10"/>
        <v>8.940047617630432</v>
      </c>
      <c r="X61" s="157">
        <f t="shared" si="11"/>
        <v>45338</v>
      </c>
      <c r="Y61" s="387">
        <f t="shared" si="12"/>
        <v>8.7322951790567291</v>
      </c>
      <c r="Z61" s="387">
        <f t="shared" si="22"/>
        <v>9.1536572518034145</v>
      </c>
      <c r="AA61" s="388">
        <f t="shared" si="13"/>
        <v>10.281085519140643</v>
      </c>
      <c r="AB61" s="199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0.10966043082107002</v>
      </c>
      <c r="AD61" s="233">
        <f>(INDEX(Models!$BJ61:$BT61,,AH61)*(1-AF61)+INDEX(Models!$BJ61:$BT61,,AH61+1)*AF61-ERP_i)*AE61*Ramure*Pc/MaxiM</f>
        <v>6.2905425152941369E-2</v>
      </c>
      <c r="AE61" s="307">
        <f t="shared" si="15"/>
        <v>1</v>
      </c>
      <c r="AF61" s="179">
        <f t="shared" si="23"/>
        <v>0.40521592229911563</v>
      </c>
      <c r="AG61" s="837">
        <f t="shared" si="24"/>
        <v>1</v>
      </c>
      <c r="AH61" s="178">
        <f t="shared" si="16"/>
        <v>7</v>
      </c>
      <c r="AI61" s="227">
        <f t="shared" si="17"/>
        <v>1.4052159222991156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45339</v>
      </c>
      <c r="B62" s="1139">
        <f>IF(t&gt;Tmaj,'2023'!Wh/'2023'!Env_an*'2024'!Env_an,0.001*'[4]mon-tableau'!$B$206)</f>
        <v>10.395145689391004</v>
      </c>
      <c r="C62" s="866"/>
      <c r="D62" s="395">
        <f t="shared" si="0"/>
        <v>10.896999378387683</v>
      </c>
      <c r="E62" s="387">
        <f t="shared" si="1"/>
        <v>11.956895429613159</v>
      </c>
      <c r="F62" s="387">
        <f t="shared" si="2"/>
        <v>12.05047425383369</v>
      </c>
      <c r="G62" s="110">
        <f t="shared" si="21"/>
        <v>0.36853275011579573</v>
      </c>
      <c r="H62" s="414" t="b">
        <f>Wh_hp&gt;='2023'!Maxi_hp</f>
        <v>0</v>
      </c>
      <c r="I62" s="392">
        <f>IF(H62,Wh_hp,'2023'!Maxi_hp)</f>
        <v>33.211013673025583</v>
      </c>
      <c r="J62" s="85">
        <f>IF(H62,An,'2023'!An_max)</f>
        <v>2019</v>
      </c>
      <c r="K62" s="199">
        <f t="shared" si="3"/>
        <v>45339</v>
      </c>
      <c r="L62" s="147">
        <f>IF(t&lt;Tvie,1-EXP((T0-t)*PertePVj)+'2023'!Pspv,1-EXP((T0-t)*PertePVj)+Pspv)</f>
        <v>4.6054300965825412E-2</v>
      </c>
      <c r="M62" s="870"/>
      <c r="N62" s="870"/>
      <c r="O62" s="48">
        <f>IF(t&lt;Tnet,'2023'!Resal+('2023'!Salim-'2023'!Resal)*(1-EXP(('2023'!Tnet-t)/('2023'!Tau_j))),Resal+(Salim-Resal)*(1-EXP((Tnet-t)/(Tau_j))))*Salcycl</f>
        <v>8.8643081096157539E-2</v>
      </c>
      <c r="P62" s="171">
        <f>(INDEX(Models!$BJ62:$BT62,,T62)*(1-R62)+INDEX(Models!$BJ62:$BT62,,T62+1)*R62-ERP_i)*Q62*Ramure*Pc/MaxiM</f>
        <v>6.0833606272479961E-2</v>
      </c>
      <c r="Q62" s="307">
        <f t="shared" si="4"/>
        <v>1</v>
      </c>
      <c r="R62" s="179">
        <f t="shared" si="5"/>
        <v>0.40548249090513466</v>
      </c>
      <c r="S62" s="837">
        <f t="shared" si="6"/>
        <v>1</v>
      </c>
      <c r="T62" s="178">
        <f t="shared" si="7"/>
        <v>7</v>
      </c>
      <c r="U62" s="253">
        <f t="shared" si="8"/>
        <v>1.4054824909051347</v>
      </c>
      <c r="V62" s="385">
        <f t="shared" si="9"/>
        <v>26.698246853422283</v>
      </c>
      <c r="W62" s="404">
        <f t="shared" si="10"/>
        <v>10.395145689391004</v>
      </c>
      <c r="X62" s="157">
        <f t="shared" si="11"/>
        <v>45339</v>
      </c>
      <c r="Y62" s="387">
        <f t="shared" si="12"/>
        <v>10.153989121003832</v>
      </c>
      <c r="Z62" s="387">
        <f t="shared" si="22"/>
        <v>10.644200326375255</v>
      </c>
      <c r="AA62" s="388">
        <f t="shared" si="13"/>
        <v>11.956895429613159</v>
      </c>
      <c r="AB62" s="199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0.10978561374609036</v>
      </c>
      <c r="AD62" s="233">
        <f>(INDEX(Models!$BJ62:$BT62,,AH62)*(1-AF62)+INDEX(Models!$BJ62:$BT62,,AH62+1)*AF62-ERP_i)*AE62*Ramure*Pc/MaxiM</f>
        <v>6.0833606272479961E-2</v>
      </c>
      <c r="AE62" s="307">
        <f t="shared" si="15"/>
        <v>1</v>
      </c>
      <c r="AF62" s="179">
        <f t="shared" si="23"/>
        <v>0.40548249090513466</v>
      </c>
      <c r="AG62" s="837">
        <f t="shared" si="24"/>
        <v>1</v>
      </c>
      <c r="AH62" s="178">
        <f t="shared" si="16"/>
        <v>7</v>
      </c>
      <c r="AI62" s="227">
        <f t="shared" si="17"/>
        <v>1.4054824909051347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45340</v>
      </c>
      <c r="B63" s="1139">
        <f>IF(t&gt;Tmaj,'2023'!Wh/'2023'!Env_an*'2024'!Env_an,0.001*'[4]mon-tableau'!$B$207)</f>
        <v>24.557453552876549</v>
      </c>
      <c r="C63" s="866"/>
      <c r="D63" s="395">
        <f t="shared" si="0"/>
        <v>25.743629934974678</v>
      </c>
      <c r="E63" s="387">
        <f t="shared" si="1"/>
        <v>28.252687081036008</v>
      </c>
      <c r="F63" s="387">
        <f t="shared" si="2"/>
        <v>29.770812438396579</v>
      </c>
      <c r="G63" s="110">
        <f t="shared" si="21"/>
        <v>0.89948170695860297</v>
      </c>
      <c r="H63" s="414" t="b">
        <f>Wh_hp&gt;='2023'!Maxi_hp</f>
        <v>0</v>
      </c>
      <c r="I63" s="392">
        <f>IF(H63,Wh_hp,'2023'!Maxi_hp)</f>
        <v>33.126742104724151</v>
      </c>
      <c r="J63" s="85">
        <f>IF(H63,An,'2023'!An_max)</f>
        <v>2019</v>
      </c>
      <c r="K63" s="199">
        <f t="shared" si="3"/>
        <v>45340</v>
      </c>
      <c r="L63" s="147">
        <f>IF(t&lt;Tvie,1-EXP((T0-t)*PertePVj)+'2023'!Pspv,1-EXP((T0-t)*PertePVj)+Pspv)</f>
        <v>4.6076500675866883E-2</v>
      </c>
      <c r="M63" s="870"/>
      <c r="N63" s="870"/>
      <c r="O63" s="48">
        <f>IF(t&lt;Tnet,'2023'!Resal+('2023'!Salim-'2023'!Resal)*(1-EXP(('2023'!Tnet-t)/('2023'!Tau_j))),Resal+(Salim-Resal)*(1-EXP((Tnet-t)/(Tau_j))))*Salcycl</f>
        <v>8.8807734955075407E-2</v>
      </c>
      <c r="P63" s="171">
        <f>(INDEX(Models!$BJ63:$BT63,,T63)*(1-R63)+INDEX(Models!$BJ63:$BT63,,T63+1)*R63-ERP_i)*Q63*Ramure*Pc/MaxiM</f>
        <v>5.8811208645858294E-2</v>
      </c>
      <c r="Q63" s="307">
        <f t="shared" si="4"/>
        <v>1</v>
      </c>
      <c r="R63" s="179">
        <f t="shared" si="5"/>
        <v>0.40576002508898212</v>
      </c>
      <c r="S63" s="837">
        <f t="shared" si="6"/>
        <v>1</v>
      </c>
      <c r="T63" s="178">
        <f t="shared" si="7"/>
        <v>7</v>
      </c>
      <c r="U63" s="253">
        <f t="shared" si="8"/>
        <v>1.4057600250889821</v>
      </c>
      <c r="V63" s="385">
        <f t="shared" si="9"/>
        <v>27.076883080463386</v>
      </c>
      <c r="W63" s="404">
        <f t="shared" si="10"/>
        <v>24.557453552876549</v>
      </c>
      <c r="X63" s="157">
        <f t="shared" si="11"/>
        <v>45340</v>
      </c>
      <c r="Y63" s="387">
        <f t="shared" si="12"/>
        <v>23.988713418724132</v>
      </c>
      <c r="Z63" s="387">
        <f t="shared" si="22"/>
        <v>25.147418462508199</v>
      </c>
      <c r="AA63" s="388">
        <f t="shared" si="13"/>
        <v>28.252687081036008</v>
      </c>
      <c r="AB63" s="199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0.10991055858230751</v>
      </c>
      <c r="AD63" s="233">
        <f>(INDEX(Models!$BJ63:$BT63,,AH63)*(1-AF63)+INDEX(Models!$BJ63:$BT63,,AH63+1)*AF63-ERP_i)*AE63*Ramure*Pc/MaxiM</f>
        <v>5.8811208645858294E-2</v>
      </c>
      <c r="AE63" s="307">
        <f t="shared" si="15"/>
        <v>1</v>
      </c>
      <c r="AF63" s="179">
        <f t="shared" si="23"/>
        <v>0.40576002508898212</v>
      </c>
      <c r="AG63" s="837">
        <f t="shared" si="24"/>
        <v>1</v>
      </c>
      <c r="AH63" s="178">
        <f t="shared" si="16"/>
        <v>7</v>
      </c>
      <c r="AI63" s="227">
        <f t="shared" si="17"/>
        <v>1.4057600250889821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45341</v>
      </c>
      <c r="B64" s="1139">
        <f>IF(t&gt;Tmaj,'2023'!Wh/'2023'!Env_an*'2024'!Env_an,0.001*'[4]mon-tableau'!$B$208)</f>
        <v>14.833085202306798</v>
      </c>
      <c r="C64" s="866"/>
      <c r="D64" s="395">
        <f t="shared" si="0"/>
        <v>15.549916118443541</v>
      </c>
      <c r="E64" s="387">
        <f t="shared" si="1"/>
        <v>17.068539306191987</v>
      </c>
      <c r="F64" s="387">
        <f t="shared" si="2"/>
        <v>17.408034139376745</v>
      </c>
      <c r="G64" s="110">
        <f t="shared" si="21"/>
        <v>0.51961799255081764</v>
      </c>
      <c r="H64" s="414" t="b">
        <f>Wh_hp&gt;='2023'!Maxi_hp</f>
        <v>0</v>
      </c>
      <c r="I64" s="392">
        <f>IF(H64,Wh_hp,'2023'!Maxi_hp)</f>
        <v>32.228087820026474</v>
      </c>
      <c r="J64" s="85">
        <f>IF(H64,An,'2023'!An_max)</f>
        <v>2021</v>
      </c>
      <c r="K64" s="199">
        <f t="shared" si="3"/>
        <v>45341</v>
      </c>
      <c r="L64" s="147">
        <f>IF(t&lt;Tvie,1-EXP((T0-t)*PertePVj)+'2023'!Pspv,1-EXP((T0-t)*PertePVj)+Pspv)</f>
        <v>4.6098699869288717E-2</v>
      </c>
      <c r="M64" s="870"/>
      <c r="N64" s="870"/>
      <c r="O64" s="48">
        <f>IF(t&lt;Tnet,'2023'!Resal+('2023'!Salim-'2023'!Resal)*(1-EXP(('2023'!Tnet-t)/('2023'!Tau_j))),Resal+(Salim-Resal)*(1-EXP((Tnet-t)/(Tau_j))))*Salcycl</f>
        <v>8.8972064949783519E-2</v>
      </c>
      <c r="P64" s="171">
        <f>(INDEX(Models!$BJ64:$BT64,,T64)*(1-R64)+INDEX(Models!$BJ64:$BT64,,T64+1)*R64-ERP_i)*Q64*Ramure*Pc/MaxiM</f>
        <v>5.6837115905252096E-2</v>
      </c>
      <c r="Q64" s="307">
        <f t="shared" si="4"/>
        <v>1</v>
      </c>
      <c r="R64" s="179">
        <f t="shared" si="5"/>
        <v>0.40604896652891465</v>
      </c>
      <c r="S64" s="837">
        <f t="shared" si="6"/>
        <v>1</v>
      </c>
      <c r="T64" s="178">
        <f t="shared" si="7"/>
        <v>7</v>
      </c>
      <c r="U64" s="253">
        <f t="shared" si="8"/>
        <v>1.4060489665289146</v>
      </c>
      <c r="V64" s="385">
        <f t="shared" si="9"/>
        <v>27.459168718042864</v>
      </c>
      <c r="W64" s="404">
        <f t="shared" si="10"/>
        <v>14.833085202306798</v>
      </c>
      <c r="X64" s="157">
        <f t="shared" si="11"/>
        <v>45341</v>
      </c>
      <c r="Y64" s="387">
        <f t="shared" si="12"/>
        <v>14.490140732870966</v>
      </c>
      <c r="Z64" s="387">
        <f t="shared" si="22"/>
        <v>15.190398347172197</v>
      </c>
      <c r="AA64" s="388">
        <f t="shared" si="13"/>
        <v>17.068539306191987</v>
      </c>
      <c r="AB64" s="199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0.11003524820301711</v>
      </c>
      <c r="AD64" s="233">
        <f>(INDEX(Models!$BJ64:$BT64,,AH64)*(1-AF64)+INDEX(Models!$BJ64:$BT64,,AH64+1)*AF64-ERP_i)*AE64*Ramure*Pc/MaxiM</f>
        <v>5.6837115905252096E-2</v>
      </c>
      <c r="AE64" s="307">
        <f t="shared" si="15"/>
        <v>1</v>
      </c>
      <c r="AF64" s="179">
        <f t="shared" si="23"/>
        <v>0.40604896652891465</v>
      </c>
      <c r="AG64" s="837">
        <f t="shared" si="24"/>
        <v>1</v>
      </c>
      <c r="AH64" s="178">
        <f t="shared" si="16"/>
        <v>7</v>
      </c>
      <c r="AI64" s="227">
        <f t="shared" si="17"/>
        <v>1.4060489665289146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45342</v>
      </c>
      <c r="B65" s="1139">
        <f>IF(t&gt;Tmaj,'2023'!Wh/'2023'!Env_an*'2024'!Env_an,0.001*'[4]mon-tableau'!$B$209)</f>
        <v>17.761599164030287</v>
      </c>
      <c r="C65" s="866"/>
      <c r="D65" s="395">
        <f t="shared" si="0"/>
        <v>18.620388199047614</v>
      </c>
      <c r="E65" s="387">
        <f t="shared" si="1"/>
        <v>20.442557187504978</v>
      </c>
      <c r="F65" s="387">
        <f t="shared" si="2"/>
        <v>20.999072951601654</v>
      </c>
      <c r="G65" s="110">
        <f t="shared" si="21"/>
        <v>0.6192424953070047</v>
      </c>
      <c r="H65" s="414" t="b">
        <f>Wh_hp&gt;='2023'!Maxi_hp</f>
        <v>0</v>
      </c>
      <c r="I65" s="392">
        <f>IF(H65,Wh_hp,'2023'!Maxi_hp)</f>
        <v>33.595449120875671</v>
      </c>
      <c r="J65" s="85">
        <f>IF(H65,An,'2023'!An_max)</f>
        <v>2020</v>
      </c>
      <c r="K65" s="199">
        <f t="shared" si="3"/>
        <v>45342</v>
      </c>
      <c r="L65" s="147">
        <f>IF(t&lt;Tvie,1-EXP((T0-t)*PertePVj)+'2023'!Pspv,1-EXP((T0-t)*PertePVj)+Pspv)</f>
        <v>4.6120898546102906E-2</v>
      </c>
      <c r="M65" s="870"/>
      <c r="N65" s="870"/>
      <c r="O65" s="48">
        <f>IF(t&lt;Tnet,'2023'!Resal+('2023'!Salim-'2023'!Resal)*(1-EXP(('2023'!Tnet-t)/('2023'!Tau_j))),Resal+(Salim-Resal)*(1-EXP((Tnet-t)/(Tau_j))))*Salcycl</f>
        <v>8.9136059238768911E-2</v>
      </c>
      <c r="P65" s="171">
        <f>(INDEX(Models!$BJ65:$BT65,,T65)*(1-R65)+INDEX(Models!$BJ65:$BT65,,T65+1)*R65-ERP_i)*Q65*Ramure*Pc/MaxiM</f>
        <v>5.4909115514260483E-2</v>
      </c>
      <c r="Q65" s="307">
        <f t="shared" si="4"/>
        <v>1</v>
      </c>
      <c r="R65" s="179">
        <f t="shared" si="5"/>
        <v>0.40634977389718907</v>
      </c>
      <c r="S65" s="837">
        <f t="shared" si="6"/>
        <v>1</v>
      </c>
      <c r="T65" s="178">
        <f t="shared" si="7"/>
        <v>7</v>
      </c>
      <c r="U65" s="253">
        <f t="shared" si="8"/>
        <v>1.4063497738971891</v>
      </c>
      <c r="V65" s="385">
        <f t="shared" si="9"/>
        <v>27.84580568391139</v>
      </c>
      <c r="W65" s="404">
        <f t="shared" si="10"/>
        <v>17.761599164030287</v>
      </c>
      <c r="X65" s="157">
        <f t="shared" si="11"/>
        <v>45342</v>
      </c>
      <c r="Y65" s="387">
        <f t="shared" si="12"/>
        <v>17.351644514432213</v>
      </c>
      <c r="Z65" s="387">
        <f t="shared" si="22"/>
        <v>18.19061187941421</v>
      </c>
      <c r="AA65" s="388">
        <f t="shared" si="13"/>
        <v>20.442557187504978</v>
      </c>
      <c r="AB65" s="199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0.11015966776735821</v>
      </c>
      <c r="AD65" s="233">
        <f>(INDEX(Models!$BJ65:$BT65,,AH65)*(1-AF65)+INDEX(Models!$BJ65:$BT65,,AH65+1)*AF65-ERP_i)*AE65*Ramure*Pc/MaxiM</f>
        <v>5.4909115514260483E-2</v>
      </c>
      <c r="AE65" s="307">
        <f t="shared" si="15"/>
        <v>1</v>
      </c>
      <c r="AF65" s="179">
        <f t="shared" si="23"/>
        <v>0.40634977389718907</v>
      </c>
      <c r="AG65" s="837">
        <f t="shared" si="24"/>
        <v>1</v>
      </c>
      <c r="AH65" s="178">
        <f t="shared" si="16"/>
        <v>7</v>
      </c>
      <c r="AI65" s="227">
        <f t="shared" si="17"/>
        <v>1.4063497738971891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45343</v>
      </c>
      <c r="B66" s="1139">
        <f>IF(t&gt;Tmaj,'2023'!Wh/'2023'!Env_an*'2024'!Env_an,0.001*'[4]mon-tableau'!$B$210)</f>
        <v>18.246616662636615</v>
      </c>
      <c r="C66" s="866"/>
      <c r="D66" s="395">
        <f t="shared" si="0"/>
        <v>19.129301889655402</v>
      </c>
      <c r="E66" s="387">
        <f t="shared" si="1"/>
        <v>21.005046400863119</v>
      </c>
      <c r="F66" s="387">
        <f t="shared" si="2"/>
        <v>21.570586590762051</v>
      </c>
      <c r="G66" s="110">
        <f t="shared" si="21"/>
        <v>0.62840214399430949</v>
      </c>
      <c r="H66" s="414" t="b">
        <f>Wh_hp&gt;='2023'!Maxi_hp</f>
        <v>0</v>
      </c>
      <c r="I66" s="392">
        <f>IF(H66,Wh_hp,'2023'!Maxi_hp)</f>
        <v>33.354248852750764</v>
      </c>
      <c r="J66" s="85">
        <f>IF(H66,An,'2023'!An_max)</f>
        <v>2019</v>
      </c>
      <c r="K66" s="199">
        <f t="shared" si="3"/>
        <v>45343</v>
      </c>
      <c r="L66" s="147">
        <f>IF(t&lt;Tvie,1-EXP((T0-t)*PertePVj)+'2023'!Pspv,1-EXP((T0-t)*PertePVj)+Pspv)</f>
        <v>4.614309670632144E-2</v>
      </c>
      <c r="M66" s="870"/>
      <c r="N66" s="870"/>
      <c r="O66" s="48">
        <f>IF(t&lt;Tnet,'2023'!Resal+('2023'!Salim-'2023'!Resal)*(1-EXP(('2023'!Tnet-t)/('2023'!Tau_j))),Resal+(Salim-Resal)*(1-EXP((Tnet-t)/(Tau_j))))*Salcycl</f>
        <v>8.9299708051615703E-2</v>
      </c>
      <c r="P66" s="171">
        <f>(INDEX(Models!$BJ66:$BT66,,T66)*(1-R66)+INDEX(Models!$BJ66:$BT66,,T66+1)*R66-ERP_i)*Q66*Ramure*Pc/MaxiM</f>
        <v>5.3014304998911278E-2</v>
      </c>
      <c r="Q66" s="307">
        <f t="shared" si="4"/>
        <v>1</v>
      </c>
      <c r="R66" s="179">
        <f t="shared" si="5"/>
        <v>0.40666292344619048</v>
      </c>
      <c r="S66" s="837">
        <f t="shared" si="6"/>
        <v>1</v>
      </c>
      <c r="T66" s="178">
        <f t="shared" si="7"/>
        <v>7</v>
      </c>
      <c r="U66" s="253">
        <f t="shared" si="8"/>
        <v>1.4066629234461905</v>
      </c>
      <c r="V66" s="385">
        <f t="shared" si="9"/>
        <v>28.237511382344866</v>
      </c>
      <c r="W66" s="404">
        <f t="shared" si="10"/>
        <v>18.246616662636615</v>
      </c>
      <c r="X66" s="157">
        <f t="shared" si="11"/>
        <v>45343</v>
      </c>
      <c r="Y66" s="387">
        <f t="shared" si="12"/>
        <v>17.826183313641057</v>
      </c>
      <c r="Z66" s="387">
        <f t="shared" si="22"/>
        <v>18.688529958830351</v>
      </c>
      <c r="AA66" s="388">
        <f t="shared" si="13"/>
        <v>21.005046400863119</v>
      </c>
      <c r="AB66" s="199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0.1102838050354215</v>
      </c>
      <c r="AD66" s="233">
        <f>(INDEX(Models!$BJ66:$BT66,,AH66)*(1-AF66)+INDEX(Models!$BJ66:$BT66,,AH66+1)*AF66-ERP_i)*AE66*Ramure*Pc/MaxiM</f>
        <v>5.3014304998911278E-2</v>
      </c>
      <c r="AE66" s="307">
        <f t="shared" si="15"/>
        <v>1</v>
      </c>
      <c r="AF66" s="179">
        <f t="shared" si="23"/>
        <v>0.40666292344619048</v>
      </c>
      <c r="AG66" s="837">
        <f t="shared" si="24"/>
        <v>1</v>
      </c>
      <c r="AH66" s="178">
        <f t="shared" si="16"/>
        <v>7</v>
      </c>
      <c r="AI66" s="227">
        <f t="shared" si="17"/>
        <v>1.4066629234461905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45344</v>
      </c>
      <c r="B67" s="1139">
        <f>IF(t&gt;Tmaj,'2023'!Wh/'2023'!Env_an*'2024'!Env_an,0.001*'[4]mon-tableau'!$B$211)</f>
        <v>26.990064490644954</v>
      </c>
      <c r="C67" s="866"/>
      <c r="D67" s="395">
        <f t="shared" si="0"/>
        <v>28.296374970180054</v>
      </c>
      <c r="E67" s="387">
        <f t="shared" si="1"/>
        <v>31.076579087493588</v>
      </c>
      <c r="F67" s="387">
        <f t="shared" si="2"/>
        <v>32.607836175974739</v>
      </c>
      <c r="G67" s="110">
        <f t="shared" si="21"/>
        <v>0.93844423048857861</v>
      </c>
      <c r="H67" s="414" t="b">
        <f>Wh_hp&gt;='2023'!Maxi_hp</f>
        <v>0</v>
      </c>
      <c r="I67" s="392">
        <f>IF(H67,Wh_hp,'2023'!Maxi_hp)</f>
        <v>33.45014285747294</v>
      </c>
      <c r="J67" s="85">
        <f>IF(H67,An,'2023'!An_max)</f>
        <v>2020</v>
      </c>
      <c r="K67" s="199">
        <f t="shared" si="3"/>
        <v>45344</v>
      </c>
      <c r="L67" s="147">
        <f>IF(t&lt;Tvie,1-EXP((T0-t)*PertePVj)+'2023'!Pspv,1-EXP((T0-t)*PertePVj)+Pspv)</f>
        <v>4.616529434995631E-2</v>
      </c>
      <c r="M67" s="870"/>
      <c r="N67" s="870"/>
      <c r="O67" s="48">
        <f>IF(t&lt;Tnet,'2023'!Resal+('2023'!Salim-'2023'!Resal)*(1-EXP(('2023'!Tnet-t)/('2023'!Tau_j))),Resal+(Salim-Resal)*(1-EXP((Tnet-t)/(Tau_j))))*Salcycl</f>
        <v>8.946300393895007E-2</v>
      </c>
      <c r="P67" s="171">
        <f>(INDEX(Models!$BJ67:$BT67,,T67)*(1-R67)+INDEX(Models!$BJ67:$BT67,,T67+1)*R67-ERP_i)*Q67*Ramure*Pc/MaxiM</f>
        <v>5.115497643429931E-2</v>
      </c>
      <c r="Q67" s="307">
        <f t="shared" si="4"/>
        <v>1</v>
      </c>
      <c r="R67" s="179">
        <f t="shared" si="5"/>
        <v>0.40698890960888745</v>
      </c>
      <c r="S67" s="837">
        <f t="shared" si="6"/>
        <v>1</v>
      </c>
      <c r="T67" s="178">
        <f t="shared" si="7"/>
        <v>7</v>
      </c>
      <c r="U67" s="253">
        <f t="shared" si="8"/>
        <v>1.4069889096088875</v>
      </c>
      <c r="V67" s="385">
        <f t="shared" si="9"/>
        <v>28.633834643314884</v>
      </c>
      <c r="W67" s="404">
        <f t="shared" si="10"/>
        <v>26.990064490644954</v>
      </c>
      <c r="X67" s="157">
        <f t="shared" si="11"/>
        <v>45344</v>
      </c>
      <c r="Y67" s="387">
        <f t="shared" si="12"/>
        <v>26.369224954885002</v>
      </c>
      <c r="Z67" s="387">
        <f t="shared" si="22"/>
        <v>27.645486999672787</v>
      </c>
      <c r="AA67" s="388">
        <f t="shared" si="13"/>
        <v>31.076579087493588</v>
      </c>
      <c r="AB67" s="199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0.11040765066710978</v>
      </c>
      <c r="AD67" s="233">
        <f>(INDEX(Models!$BJ67:$BT67,,AH67)*(1-AF67)+INDEX(Models!$BJ67:$BT67,,AH67+1)*AF67-ERP_i)*AE67*Ramure*Pc/MaxiM</f>
        <v>5.115497643429931E-2</v>
      </c>
      <c r="AE67" s="307">
        <f t="shared" si="15"/>
        <v>1</v>
      </c>
      <c r="AF67" s="179">
        <f t="shared" si="23"/>
        <v>0.40698890960888745</v>
      </c>
      <c r="AG67" s="837">
        <f t="shared" si="24"/>
        <v>1</v>
      </c>
      <c r="AH67" s="178">
        <f t="shared" si="16"/>
        <v>7</v>
      </c>
      <c r="AI67" s="227">
        <f t="shared" si="17"/>
        <v>1.4069889096088875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45345</v>
      </c>
      <c r="B68" s="1139">
        <f>IF(t&gt;Tmaj,'2023'!Wh/'2023'!Env_an*'2024'!Env_an,0.001*'[4]mon-tableau'!$B$212)</f>
        <v>28.596219707453869</v>
      </c>
      <c r="C68" s="866"/>
      <c r="D68" s="395">
        <f t="shared" si="0"/>
        <v>29.980965286077389</v>
      </c>
      <c r="E68" s="387">
        <f t="shared" si="1"/>
        <v>32.932578672335858</v>
      </c>
      <c r="F68" s="387">
        <f t="shared" si="2"/>
        <v>34.602768680783122</v>
      </c>
      <c r="G68" s="110">
        <f t="shared" si="21"/>
        <v>0.98380798579270368</v>
      </c>
      <c r="H68" s="414" t="b">
        <f>Wh_hp&gt;='2023'!Maxi_hp</f>
        <v>0</v>
      </c>
      <c r="I68" s="392">
        <f>IF(H68,Wh_hp,'2023'!Maxi_hp)</f>
        <v>34.62690070447799</v>
      </c>
      <c r="J68" s="85">
        <f>IF(H68,An,'2023'!An_max)</f>
        <v>2022</v>
      </c>
      <c r="K68" s="199">
        <f t="shared" si="3"/>
        <v>45345</v>
      </c>
      <c r="L68" s="147">
        <f>IF(t&lt;Tvie,1-EXP((T0-t)*PertePVj)+'2023'!Pspv,1-EXP((T0-t)*PertePVj)+Pspv)</f>
        <v>4.6187491477019615E-2</v>
      </c>
      <c r="M68" s="870"/>
      <c r="N68" s="870"/>
      <c r="O68" s="48">
        <f>IF(t&lt;Tnet,'2023'!Resal+('2023'!Salim-'2023'!Resal)*(1-EXP(('2023'!Tnet-t)/('2023'!Tau_j))),Resal+(Salim-Resal)*(1-EXP((Tnet-t)/(Tau_j))))*Salcycl</f>
        <v>8.962594200793321E-2</v>
      </c>
      <c r="P68" s="171">
        <f>(INDEX(Models!$BJ68:$BT68,,T68)*(1-R68)+INDEX(Models!$BJ68:$BT68,,T68+1)*R68-ERP_i)*Q68*Ramure*Pc/MaxiM</f>
        <v>4.933106091985049E-2</v>
      </c>
      <c r="Q68" s="307">
        <f t="shared" si="4"/>
        <v>1</v>
      </c>
      <c r="R68" s="179">
        <f t="shared" si="5"/>
        <v>0.40732824561341641</v>
      </c>
      <c r="S68" s="837">
        <f t="shared" si="6"/>
        <v>1</v>
      </c>
      <c r="T68" s="178">
        <f t="shared" si="7"/>
        <v>7</v>
      </c>
      <c r="U68" s="253">
        <f t="shared" si="8"/>
        <v>1.4073282456134164</v>
      </c>
      <c r="V68" s="385">
        <f t="shared" si="9"/>
        <v>29.034389438284474</v>
      </c>
      <c r="W68" s="404">
        <f t="shared" si="10"/>
        <v>28.596219707453869</v>
      </c>
      <c r="X68" s="157">
        <f t="shared" si="11"/>
        <v>45345</v>
      </c>
      <c r="Y68" s="387">
        <f t="shared" si="12"/>
        <v>27.939554128620731</v>
      </c>
      <c r="Z68" s="387">
        <f t="shared" si="22"/>
        <v>29.292501281919996</v>
      </c>
      <c r="AA68" s="388">
        <f t="shared" si="13"/>
        <v>32.932578672335858</v>
      </c>
      <c r="AB68" s="199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0.11053119850203567</v>
      </c>
      <c r="AD68" s="233">
        <f>(INDEX(Models!$BJ68:$BT68,,AH68)*(1-AF68)+INDEX(Models!$BJ68:$BT68,,AH68+1)*AF68-ERP_i)*AE68*Ramure*Pc/MaxiM</f>
        <v>4.933106091985049E-2</v>
      </c>
      <c r="AE68" s="307">
        <f t="shared" si="15"/>
        <v>1</v>
      </c>
      <c r="AF68" s="179">
        <f t="shared" si="23"/>
        <v>0.40732824561341641</v>
      </c>
      <c r="AG68" s="837">
        <f t="shared" si="24"/>
        <v>1</v>
      </c>
      <c r="AH68" s="178">
        <f t="shared" si="16"/>
        <v>7</v>
      </c>
      <c r="AI68" s="227">
        <f t="shared" si="17"/>
        <v>1.4073282456134164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45346</v>
      </c>
      <c r="B69" s="1139">
        <f>IF(t&gt;Tmaj,'2023'!Wh/'2023'!Env_an*'2024'!Env_an,0.001*'[4]mon-tableau'!$B$213)</f>
        <v>17.224808356155258</v>
      </c>
      <c r="C69" s="866"/>
      <c r="D69" s="395">
        <f t="shared" si="0"/>
        <v>18.059324089397826</v>
      </c>
      <c r="E69" s="387">
        <f t="shared" si="1"/>
        <v>19.840800175580753</v>
      </c>
      <c r="F69" s="387">
        <f t="shared" si="2"/>
        <v>20.232580684363228</v>
      </c>
      <c r="G69" s="110">
        <f t="shared" si="21"/>
        <v>0.56829286918230326</v>
      </c>
      <c r="H69" s="414" t="b">
        <f>Wh_hp&gt;='2023'!Maxi_hp</f>
        <v>0</v>
      </c>
      <c r="I69" s="392">
        <f>IF(H69,Wh_hp,'2023'!Maxi_hp)</f>
        <v>35.350844224345899</v>
      </c>
      <c r="J69" s="85">
        <f>IF(H69,An,'2023'!An_max)</f>
        <v>2020</v>
      </c>
      <c r="K69" s="199">
        <f t="shared" si="3"/>
        <v>45346</v>
      </c>
      <c r="L69" s="147">
        <f>IF(t&lt;Tvie,1-EXP((T0-t)*PertePVj)+'2023'!Pspv,1-EXP((T0-t)*PertePVj)+Pspv)</f>
        <v>4.6209688087523348E-2</v>
      </c>
      <c r="M69" s="870"/>
      <c r="N69" s="870"/>
      <c r="O69" s="48">
        <f>IF(t&lt;Tnet,'2023'!Resal+('2023'!Salim-'2023'!Resal)*(1-EXP(('2023'!Tnet-t)/('2023'!Tau_j))),Resal+(Salim-Resal)*(1-EXP((Tnet-t)/(Tau_j))))*Salcycl</f>
        <v>8.9788520141213649E-2</v>
      </c>
      <c r="P69" s="171">
        <f>(INDEX(Models!$BJ69:$BT69,,T69)*(1-R69)+INDEX(Models!$BJ69:$BT69,,T69+1)*R69-ERP_i)*Q69*Ramure*Pc/MaxiM</f>
        <v>4.7542630349840381E-2</v>
      </c>
      <c r="Q69" s="307">
        <f t="shared" si="4"/>
        <v>1</v>
      </c>
      <c r="R69" s="179">
        <f t="shared" si="5"/>
        <v>0.40768146411152206</v>
      </c>
      <c r="S69" s="837">
        <f t="shared" si="6"/>
        <v>1</v>
      </c>
      <c r="T69" s="178">
        <f t="shared" si="7"/>
        <v>7</v>
      </c>
      <c r="U69" s="253">
        <f t="shared" si="8"/>
        <v>1.4076814641115221</v>
      </c>
      <c r="V69" s="385">
        <f t="shared" si="9"/>
        <v>29.438781914612967</v>
      </c>
      <c r="W69" s="404">
        <f t="shared" si="10"/>
        <v>17.224808356155258</v>
      </c>
      <c r="X69" s="157">
        <f t="shared" si="11"/>
        <v>45346</v>
      </c>
      <c r="Y69" s="387">
        <f t="shared" si="12"/>
        <v>16.829942350936292</v>
      </c>
      <c r="Z69" s="387">
        <f t="shared" si="22"/>
        <v>17.645327427566354</v>
      </c>
      <c r="AA69" s="388">
        <f t="shared" si="13"/>
        <v>19.840800175580753</v>
      </c>
      <c r="AB69" s="199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0.11065444581799158</v>
      </c>
      <c r="AD69" s="233">
        <f>(INDEX(Models!$BJ69:$BT69,,AH69)*(1-AF69)+INDEX(Models!$BJ69:$BT69,,AH69+1)*AF69-ERP_i)*AE69*Ramure*Pc/MaxiM</f>
        <v>4.7542630349840381E-2</v>
      </c>
      <c r="AE69" s="307">
        <f t="shared" si="15"/>
        <v>1</v>
      </c>
      <c r="AF69" s="179">
        <f t="shared" si="23"/>
        <v>0.40768146411152206</v>
      </c>
      <c r="AG69" s="837">
        <f t="shared" si="24"/>
        <v>1</v>
      </c>
      <c r="AH69" s="178">
        <f t="shared" si="16"/>
        <v>7</v>
      </c>
      <c r="AI69" s="227">
        <f t="shared" si="17"/>
        <v>1.4076814641115221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45347</v>
      </c>
      <c r="B70" s="1139">
        <f>IF(t&gt;Tmaj,'2023'!Wh/'2023'!Env_an*'2024'!Env_an,0.001*'[4]mon-tableau'!$B$214)</f>
        <v>25.51177177666494</v>
      </c>
      <c r="C70" s="866"/>
      <c r="D70" s="395">
        <f t="shared" si="0"/>
        <v>26.748400741799621</v>
      </c>
      <c r="E70" s="387">
        <f t="shared" si="1"/>
        <v>29.39225588536954</v>
      </c>
      <c r="F70" s="387">
        <f t="shared" si="2"/>
        <v>30.499038823111999</v>
      </c>
      <c r="G70" s="110">
        <f t="shared" si="21"/>
        <v>0.84633606817665741</v>
      </c>
      <c r="H70" s="414" t="b">
        <f>Wh_hp&gt;='2023'!Maxi_hp</f>
        <v>0</v>
      </c>
      <c r="I70" s="392">
        <f>IF(H70,Wh_hp,'2023'!Maxi_hp)</f>
        <v>35.147494250668068</v>
      </c>
      <c r="J70" s="85">
        <f>IF(H70,An,'2023'!An_max)</f>
        <v>2019</v>
      </c>
      <c r="K70" s="199">
        <f t="shared" si="3"/>
        <v>45347</v>
      </c>
      <c r="L70" s="147">
        <f>IF(t&lt;Tvie,1-EXP((T0-t)*PertePVj)+'2023'!Pspv,1-EXP((T0-t)*PertePVj)+Pspv)</f>
        <v>4.6231884181479499E-2</v>
      </c>
      <c r="M70" s="870"/>
      <c r="N70" s="870"/>
      <c r="O70" s="48">
        <f>IF(t&lt;Tnet,'2023'!Resal+('2023'!Salim-'2023'!Resal)*(1-EXP(('2023'!Tnet-t)/('2023'!Tau_j))),Resal+(Salim-Resal)*(1-EXP((Tnet-t)/(Tau_j))))*Salcycl</f>
        <v>8.9950739197461244E-2</v>
      </c>
      <c r="P70" s="171">
        <f>(INDEX(Models!$BJ70:$BT70,,T70)*(1-R70)+INDEX(Models!$BJ70:$BT70,,T70+1)*R70-ERP_i)*Q70*Ramure*Pc/MaxiM</f>
        <v>4.578963733767176E-2</v>
      </c>
      <c r="Q70" s="307">
        <f t="shared" si="4"/>
        <v>1</v>
      </c>
      <c r="R70" s="179">
        <f t="shared" si="5"/>
        <v>0.40804911782051256</v>
      </c>
      <c r="S70" s="837">
        <f t="shared" si="6"/>
        <v>1</v>
      </c>
      <c r="T70" s="178">
        <f t="shared" si="7"/>
        <v>7</v>
      </c>
      <c r="U70" s="253">
        <f t="shared" si="8"/>
        <v>1.4080491178205126</v>
      </c>
      <c r="V70" s="385">
        <f t="shared" si="9"/>
        <v>29.846618409809711</v>
      </c>
      <c r="W70" s="404">
        <f t="shared" si="10"/>
        <v>25.51177177666494</v>
      </c>
      <c r="X70" s="157">
        <f t="shared" si="11"/>
        <v>45347</v>
      </c>
      <c r="Y70" s="387">
        <f t="shared" si="12"/>
        <v>24.927929916667221</v>
      </c>
      <c r="Z70" s="387">
        <f t="shared" si="22"/>
        <v>26.136258387369299</v>
      </c>
      <c r="AA70" s="388">
        <f t="shared" si="13"/>
        <v>29.39225588536954</v>
      </c>
      <c r="AB70" s="199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0.11077739356579847</v>
      </c>
      <c r="AD70" s="233">
        <f>(INDEX(Models!$BJ70:$BT70,,AH70)*(1-AF70)+INDEX(Models!$BJ70:$BT70,,AH70+1)*AF70-ERP_i)*AE70*Ramure*Pc/MaxiM</f>
        <v>4.578963733767176E-2</v>
      </c>
      <c r="AE70" s="307">
        <f t="shared" si="15"/>
        <v>1</v>
      </c>
      <c r="AF70" s="179">
        <f t="shared" si="23"/>
        <v>0.40804911782051256</v>
      </c>
      <c r="AG70" s="837">
        <f t="shared" si="24"/>
        <v>1</v>
      </c>
      <c r="AH70" s="178">
        <f t="shared" si="16"/>
        <v>7</v>
      </c>
      <c r="AI70" s="227">
        <f t="shared" si="17"/>
        <v>1.4080491178205126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45348</v>
      </c>
      <c r="B71" s="1139">
        <f>IF(t&gt;Tmaj,'2023'!Wh/'2023'!Env_an*'2024'!Env_an,0.001*'[4]mon-tableau'!$B$215)</f>
        <v>31.156247657652766</v>
      </c>
      <c r="C71" s="866"/>
      <c r="D71" s="395">
        <f t="shared" si="0"/>
        <v>32.667240820046395</v>
      </c>
      <c r="E71" s="387">
        <f t="shared" si="1"/>
        <v>35.902509403516426</v>
      </c>
      <c r="F71" s="387">
        <f t="shared" si="2"/>
        <v>37.557751891620669</v>
      </c>
      <c r="G71" s="110">
        <f t="shared" si="21"/>
        <v>1.0297031171721025</v>
      </c>
      <c r="H71" s="414" t="b">
        <f>Wh_hp&gt;='2023'!Maxi_hp</f>
        <v>1</v>
      </c>
      <c r="I71" s="392">
        <f>IF(H71,Wh_hp,'2023'!Maxi_hp)</f>
        <v>37.557751891620669</v>
      </c>
      <c r="J71" s="85">
        <f>IF(H71,An,'2023'!An_max)</f>
        <v>2024</v>
      </c>
      <c r="K71" s="199">
        <f t="shared" si="3"/>
        <v>45348</v>
      </c>
      <c r="L71" s="147">
        <f>IF(t&lt;Tvie,1-EXP((T0-t)*PertePVj)+'2023'!Pspv,1-EXP((T0-t)*PertePVj)+Pspv)</f>
        <v>4.6254079758900168E-2</v>
      </c>
      <c r="M71" s="870"/>
      <c r="N71" s="870"/>
      <c r="O71" s="48">
        <f>IF(t&lt;Tnet,'2023'!Resal+('2023'!Salim-'2023'!Resal)*(1-EXP(('2023'!Tnet-t)/('2023'!Tau_j))),Resal+(Salim-Resal)*(1-EXP((Tnet-t)/(Tau_j))))*Salcycl</f>
        <v>9.0112603191830259E-2</v>
      </c>
      <c r="P71" s="171">
        <f>(INDEX(Models!$BJ71:$BT71,,T71)*(1-R71)+INDEX(Models!$BJ71:$BT71,,T71+1)*R71-ERP_i)*Q71*Ramure*Pc/MaxiM</f>
        <v>4.407192669254343E-2</v>
      </c>
      <c r="Q71" s="307">
        <f t="shared" si="4"/>
        <v>1</v>
      </c>
      <c r="R71" s="179">
        <f t="shared" si="5"/>
        <v>0.40843178017830395</v>
      </c>
      <c r="S71" s="837">
        <f t="shared" si="6"/>
        <v>1</v>
      </c>
      <c r="T71" s="178">
        <f t="shared" si="7"/>
        <v>7</v>
      </c>
      <c r="U71" s="253">
        <f t="shared" si="8"/>
        <v>1.4084317801783039</v>
      </c>
      <c r="V71" s="385">
        <f t="shared" si="9"/>
        <v>30.257505428572362</v>
      </c>
      <c r="W71" s="404">
        <f t="shared" si="10"/>
        <v>31.156247657652766</v>
      </c>
      <c r="X71" s="157">
        <f t="shared" si="11"/>
        <v>45348</v>
      </c>
      <c r="Y71" s="387">
        <f t="shared" si="12"/>
        <v>30.444446684696732</v>
      </c>
      <c r="Z71" s="387">
        <f t="shared" si="22"/>
        <v>31.920919438376842</v>
      </c>
      <c r="AA71" s="388">
        <f t="shared" si="13"/>
        <v>35.902509403516426</v>
      </c>
      <c r="AB71" s="199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0.11090004657862755</v>
      </c>
      <c r="AD71" s="233">
        <f>(INDEX(Models!$BJ71:$BT71,,AH71)*(1-AF71)+INDEX(Models!$BJ71:$BT71,,AH71+1)*AF71-ERP_i)*AE71*Ramure*Pc/MaxiM</f>
        <v>4.407192669254343E-2</v>
      </c>
      <c r="AE71" s="307">
        <f t="shared" si="15"/>
        <v>1</v>
      </c>
      <c r="AF71" s="179">
        <f t="shared" si="23"/>
        <v>0.40843178017830395</v>
      </c>
      <c r="AG71" s="837">
        <f t="shared" si="24"/>
        <v>1</v>
      </c>
      <c r="AH71" s="178">
        <f t="shared" si="16"/>
        <v>7</v>
      </c>
      <c r="AI71" s="227">
        <f t="shared" si="17"/>
        <v>1.4084317801783039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45349</v>
      </c>
      <c r="B72" s="1139">
        <f>IF(t&gt;Tmaj,'2023'!Wh/'2023'!Env_an*'2024'!Env_an,0.001*'[4]mon-tableau'!$B$216)</f>
        <v>23.806180198630912</v>
      </c>
      <c r="C72" s="866"/>
      <c r="D72" s="395">
        <f t="shared" si="0"/>
        <v>24.961295991806033</v>
      </c>
      <c r="E72" s="387">
        <f t="shared" si="1"/>
        <v>27.438260827371952</v>
      </c>
      <c r="F72" s="387">
        <f t="shared" si="2"/>
        <v>28.253046150180822</v>
      </c>
      <c r="G72" s="110">
        <f t="shared" si="21"/>
        <v>0.76534771684838165</v>
      </c>
      <c r="H72" s="414" t="b">
        <f>Wh_hp&gt;='2023'!Maxi_hp</f>
        <v>0</v>
      </c>
      <c r="I72" s="392">
        <f>IF(H72,Wh_hp,'2023'!Maxi_hp)</f>
        <v>35.744529564271296</v>
      </c>
      <c r="J72" s="85">
        <f>IF(H72,An,'2023'!An_max)</f>
        <v>2019</v>
      </c>
      <c r="K72" s="199">
        <f t="shared" si="3"/>
        <v>45349</v>
      </c>
      <c r="L72" s="147">
        <f>IF(t&lt;Tvie,1-EXP((T0-t)*PertePVj)+'2023'!Pspv,1-EXP((T0-t)*PertePVj)+Pspv)</f>
        <v>4.6276274819797236E-2</v>
      </c>
      <c r="M72" s="870"/>
      <c r="N72" s="870"/>
      <c r="O72" s="48">
        <f>IF(t&lt;Tnet,'2023'!Resal+('2023'!Salim-'2023'!Resal)*(1-EXP(('2023'!Tnet-t)/('2023'!Tau_j))),Resal+(Salim-Resal)*(1-EXP((Tnet-t)/(Tau_j))))*Salcycl</f>
        <v>9.0274119454937865E-2</v>
      </c>
      <c r="P72" s="171">
        <f>(INDEX(Models!$BJ72:$BT72,,T72)*(1-R72)+INDEX(Models!$BJ72:$BT72,,T72+1)*R72-ERP_i)*Q72*Ramure*Pc/MaxiM</f>
        <v>4.2393920918063509E-2</v>
      </c>
      <c r="Q72" s="307">
        <f t="shared" si="4"/>
        <v>1</v>
      </c>
      <c r="R72" s="179">
        <f t="shared" si="5"/>
        <v>0.40883004601103812</v>
      </c>
      <c r="S72" s="837">
        <f t="shared" si="6"/>
        <v>1</v>
      </c>
      <c r="T72" s="178">
        <f t="shared" si="7"/>
        <v>7</v>
      </c>
      <c r="U72" s="253">
        <f t="shared" si="8"/>
        <v>1.4088300460110381</v>
      </c>
      <c r="V72" s="385">
        <f t="shared" si="9"/>
        <v>30.670899911509654</v>
      </c>
      <c r="W72" s="404">
        <f t="shared" si="10"/>
        <v>23.806180198630912</v>
      </c>
      <c r="X72" s="157">
        <f t="shared" si="11"/>
        <v>45349</v>
      </c>
      <c r="Y72" s="387">
        <f t="shared" si="12"/>
        <v>23.263228037474075</v>
      </c>
      <c r="Z72" s="387">
        <f t="shared" si="22"/>
        <v>24.391998881100047</v>
      </c>
      <c r="AA72" s="388">
        <f t="shared" si="13"/>
        <v>27.438260827371952</v>
      </c>
      <c r="AB72" s="199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0.11102241375419122</v>
      </c>
      <c r="AD72" s="233">
        <f>(INDEX(Models!$BJ72:$BT72,,AH72)*(1-AF72)+INDEX(Models!$BJ72:$BT72,,AH72+1)*AF72-ERP_i)*AE72*Ramure*Pc/MaxiM</f>
        <v>4.2393920918063509E-2</v>
      </c>
      <c r="AE72" s="307">
        <f t="shared" si="15"/>
        <v>1</v>
      </c>
      <c r="AF72" s="179">
        <f t="shared" si="23"/>
        <v>0.40883004601103812</v>
      </c>
      <c r="AG72" s="837">
        <f t="shared" si="24"/>
        <v>1</v>
      </c>
      <c r="AH72" s="178">
        <f t="shared" si="16"/>
        <v>7</v>
      </c>
      <c r="AI72" s="227">
        <f t="shared" si="17"/>
        <v>1.4088300460110381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45350</v>
      </c>
      <c r="B73" s="1139">
        <f>IF(t&gt;Tmaj,'2023'!Wh/'2023'!Env_an*'2024'!Env_an,0.001*'[4]mon-tableau'!$B$217)</f>
        <v>28.37137999436893</v>
      </c>
      <c r="C73" s="866"/>
      <c r="D73" s="395">
        <f t="shared" si="0"/>
        <v>29.748699234501803</v>
      </c>
      <c r="E73" s="387">
        <f t="shared" si="1"/>
        <v>32.706523454841985</v>
      </c>
      <c r="F73" s="387">
        <f t="shared" si="2"/>
        <v>33.916054339956752</v>
      </c>
      <c r="G73" s="110">
        <f t="shared" si="21"/>
        <v>0.90784214212997116</v>
      </c>
      <c r="H73" s="414" t="b">
        <f>Wh_hp&gt;='2023'!Maxi_hp</f>
        <v>0</v>
      </c>
      <c r="I73" s="392">
        <f>IF(H73,Wh_hp,'2023'!Maxi_hp)</f>
        <v>34.03299855797831</v>
      </c>
      <c r="J73" s="85">
        <f>IF(H73,An,'2023'!An_max)</f>
        <v>2022</v>
      </c>
      <c r="K73" s="199">
        <f t="shared" si="3"/>
        <v>45350</v>
      </c>
      <c r="L73" s="147">
        <f>IF(t&lt;Tvie,1-EXP((T0-t)*PertePVj)+'2023'!Pspv,1-EXP((T0-t)*PertePVj)+Pspv)</f>
        <v>4.6298469364182915E-2</v>
      </c>
      <c r="M73" s="870"/>
      <c r="N73" s="870"/>
      <c r="O73" s="48">
        <f>IF(t&lt;Tnet,'2023'!Resal+('2023'!Salim-'2023'!Resal)*(1-EXP(('2023'!Tnet-t)/('2023'!Tau_j))),Resal+(Salim-Resal)*(1-EXP((Tnet-t)/(Tau_j))))*Salcycl</f>
        <v>9.0435298769190861E-2</v>
      </c>
      <c r="P73" s="171">
        <f>(INDEX(Models!$BJ73:$BT73,,T73)*(1-R73)+INDEX(Models!$BJ73:$BT73,,T73+1)*R73-ERP_i)*Q73*Ramure*Pc/MaxiM</f>
        <v>4.0746881777350009E-2</v>
      </c>
      <c r="Q73" s="307">
        <f t="shared" si="4"/>
        <v>1</v>
      </c>
      <c r="R73" s="179">
        <f t="shared" si="5"/>
        <v>0.40924453221266077</v>
      </c>
      <c r="S73" s="837">
        <f t="shared" si="6"/>
        <v>1</v>
      </c>
      <c r="T73" s="178">
        <f t="shared" si="7"/>
        <v>7</v>
      </c>
      <c r="U73" s="253">
        <f t="shared" si="8"/>
        <v>1.4092445322126608</v>
      </c>
      <c r="V73" s="385">
        <f t="shared" si="9"/>
        <v>31.086675552991743</v>
      </c>
      <c r="W73" s="404">
        <f t="shared" si="10"/>
        <v>28.37137999436893</v>
      </c>
      <c r="X73" s="157">
        <f t="shared" si="11"/>
        <v>45350</v>
      </c>
      <c r="Y73" s="387">
        <f t="shared" si="12"/>
        <v>27.725412918480004</v>
      </c>
      <c r="Z73" s="387">
        <f t="shared" si="22"/>
        <v>29.071372990243528</v>
      </c>
      <c r="AA73" s="388">
        <f t="shared" si="13"/>
        <v>32.706523454841985</v>
      </c>
      <c r="AB73" s="199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0.11114450820850838</v>
      </c>
      <c r="AD73" s="233">
        <f>(INDEX(Models!$BJ73:$BT73,,AH73)*(1-AF73)+INDEX(Models!$BJ73:$BT73,,AH73+1)*AF73-ERP_i)*AE73*Ramure*Pc/MaxiM</f>
        <v>4.0746881777350009E-2</v>
      </c>
      <c r="AE73" s="307">
        <f t="shared" si="15"/>
        <v>1</v>
      </c>
      <c r="AF73" s="179">
        <f t="shared" si="23"/>
        <v>0.40924453221266077</v>
      </c>
      <c r="AG73" s="837">
        <f t="shared" si="24"/>
        <v>1</v>
      </c>
      <c r="AH73" s="178">
        <f t="shared" si="16"/>
        <v>7</v>
      </c>
      <c r="AI73" s="227">
        <f t="shared" si="17"/>
        <v>1.4092445322126608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45351</v>
      </c>
      <c r="B74" s="1139">
        <f>IF(t&gt;Tmaj,'2023'!Wh/'2023'!Env_an*'2024'!Env_an,0.001*'[5]mon-tableau'!$B$208)</f>
        <v>31.218086484065047</v>
      </c>
      <c r="C74" s="866"/>
      <c r="D74" s="395">
        <f t="shared" si="0"/>
        <v>32.734363937361032</v>
      </c>
      <c r="E74" s="387">
        <f t="shared" si="1"/>
        <v>35.995409668291558</v>
      </c>
      <c r="F74" s="387">
        <f t="shared" si="2"/>
        <v>37.441489747492689</v>
      </c>
      <c r="G74" s="110">
        <f t="shared" si="21"/>
        <v>0.99038698149672122</v>
      </c>
      <c r="H74" s="414" t="b">
        <f>Wh_hp&gt;='2023'!Maxi_hp</f>
        <v>0</v>
      </c>
      <c r="I74" s="392">
        <f>IF(H74,Wh_hp,'2023'!Maxi_hp)</f>
        <v>37.454455213013745</v>
      </c>
      <c r="J74" s="85">
        <f>IF(H74,An,'2023'!An_max)</f>
        <v>2022</v>
      </c>
      <c r="K74" s="199">
        <f t="shared" si="3"/>
        <v>45351</v>
      </c>
      <c r="L74" s="147">
        <f>IF(t&lt;Tvie,1-EXP((T0-t)*PertePVj)+'2023'!Pspv,1-EXP((T0-t)*PertePVj)+Pspv)</f>
        <v>4.6320663392069084E-2</v>
      </c>
      <c r="M74" s="870"/>
      <c r="N74" s="870"/>
      <c r="O74" s="48">
        <f>IF(t&lt;Tnet,'2023'!Resal+('2023'!Salim-'2023'!Resal)*(1-EXP(('2023'!Tnet-t)/('2023'!Tau_j))),Resal+(Salim-Resal)*(1-EXP((Tnet-t)/(Tau_j))))*Salcycl</f>
        <v>9.0596155481547105E-2</v>
      </c>
      <c r="P74" s="171">
        <f>(INDEX(Models!$BJ74:$BT74,,T74)*(1-R74)+INDEX(Models!$BJ74:$BT74,,T74+1)*R74-ERP_i)*Q74*Ramure*Pc/MaxiM</f>
        <v>3.9130495868115546E-2</v>
      </c>
      <c r="Q74" s="307">
        <f t="shared" si="4"/>
        <v>1</v>
      </c>
      <c r="R74" s="179">
        <f t="shared" si="5"/>
        <v>0.40967587843574305</v>
      </c>
      <c r="S74" s="837">
        <f t="shared" si="6"/>
        <v>1</v>
      </c>
      <c r="T74" s="178">
        <f t="shared" si="7"/>
        <v>7</v>
      </c>
      <c r="U74" s="253">
        <f t="shared" si="8"/>
        <v>1.409675878435743</v>
      </c>
      <c r="V74" s="385">
        <f t="shared" si="9"/>
        <v>31.504440138667807</v>
      </c>
      <c r="W74" s="404">
        <f t="shared" si="10"/>
        <v>31.218086484065047</v>
      </c>
      <c r="X74" s="157">
        <f t="shared" si="11"/>
        <v>45351</v>
      </c>
      <c r="Y74" s="387">
        <f t="shared" si="12"/>
        <v>30.508518515059471</v>
      </c>
      <c r="Z74" s="387">
        <f t="shared" si="22"/>
        <v>31.9903319113245</v>
      </c>
      <c r="AA74" s="388">
        <f t="shared" si="13"/>
        <v>35.995409668291558</v>
      </c>
      <c r="AB74" s="199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0.111266347400267</v>
      </c>
      <c r="AD74" s="233">
        <f>(INDEX(Models!$BJ74:$BT74,,AH74)*(1-AF74)+INDEX(Models!$BJ74:$BT74,,AH74+1)*AF74-ERP_i)*AE74*Ramure*Pc/MaxiM</f>
        <v>3.9130495868115546E-2</v>
      </c>
      <c r="AE74" s="307">
        <f t="shared" si="15"/>
        <v>1</v>
      </c>
      <c r="AF74" s="179">
        <f t="shared" si="23"/>
        <v>0.40967587843574305</v>
      </c>
      <c r="AG74" s="837">
        <f t="shared" si="24"/>
        <v>1</v>
      </c>
      <c r="AH74" s="178">
        <f t="shared" si="16"/>
        <v>7</v>
      </c>
      <c r="AI74" s="227">
        <f t="shared" si="17"/>
        <v>1.409675878435743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45352</v>
      </c>
      <c r="B75" s="1139">
        <f>IF(t&gt;Tmaj,'2023'!Wh/'2023'!Env_an*'2024'!Env_an,0.001*'[5]mon-tableau'!$B$209)</f>
        <v>14.504633261071913</v>
      </c>
      <c r="C75" s="866"/>
      <c r="D75" s="395">
        <f t="shared" si="0"/>
        <v>15.209484211459115</v>
      </c>
      <c r="E75" s="387">
        <f t="shared" si="1"/>
        <v>16.727628719899503</v>
      </c>
      <c r="F75" s="387">
        <f t="shared" si="2"/>
        <v>16.867266502204966</v>
      </c>
      <c r="G75" s="110">
        <f t="shared" si="21"/>
        <v>0.44094374867884223</v>
      </c>
      <c r="H75" s="414" t="b">
        <f>Wh_hp&gt;='2023'!Maxi_hp</f>
        <v>0</v>
      </c>
      <c r="I75" s="392">
        <f>IF(H75,Wh_hp,'2023'!Maxi_hp)</f>
        <v>26.22963515117911</v>
      </c>
      <c r="J75" s="85">
        <f>IF(H75,An,'2023'!An_max)</f>
        <v>2020</v>
      </c>
      <c r="K75" s="199">
        <f t="shared" si="3"/>
        <v>45352</v>
      </c>
      <c r="L75" s="147">
        <f>IF(t&lt;Tvie,1-EXP((T0-t)*PertePVj)+'2023'!Pspv,1-EXP((T0-t)*PertePVj)+Pspv)</f>
        <v>4.6342856903467733E-2</v>
      </c>
      <c r="M75" s="870"/>
      <c r="N75" s="870"/>
      <c r="O75" s="48">
        <f>IF(t&lt;Tnet,'2023'!Resal+('2023'!Salim-'2023'!Resal)*(1-EXP(('2023'!Tnet-t)/('2023'!Tau_j))),Resal+(Salim-Resal)*(1-EXP((Tnet-t)/(Tau_j))))*Salcycl</f>
        <v>9.0756707592055466E-2</v>
      </c>
      <c r="P75" s="171">
        <f>(INDEX(Models!$BJ75:$BT75,,T75)*(1-R75)+INDEX(Models!$BJ75:$BT75,,T75+1)*R75-ERP_i)*Q75*Ramure*Pc/MaxiM</f>
        <v>3.7544375452573941E-2</v>
      </c>
      <c r="Q75" s="307">
        <f t="shared" si="4"/>
        <v>1</v>
      </c>
      <c r="R75" s="179">
        <f t="shared" si="5"/>
        <v>0.41012474779270924</v>
      </c>
      <c r="S75" s="837">
        <f t="shared" si="6"/>
        <v>1</v>
      </c>
      <c r="T75" s="178">
        <f t="shared" si="7"/>
        <v>7</v>
      </c>
      <c r="U75" s="253">
        <f t="shared" si="8"/>
        <v>1.4101247477927092</v>
      </c>
      <c r="V75" s="385">
        <f t="shared" si="9"/>
        <v>31.923801646243664</v>
      </c>
      <c r="W75" s="404">
        <f t="shared" si="10"/>
        <v>14.504633261071913</v>
      </c>
      <c r="X75" s="157">
        <f t="shared" si="11"/>
        <v>45352</v>
      </c>
      <c r="Y75" s="387">
        <f t="shared" si="12"/>
        <v>14.175514911642844</v>
      </c>
      <c r="Z75" s="387">
        <f t="shared" si="22"/>
        <v>14.864372394480091</v>
      </c>
      <c r="AA75" s="388">
        <f t="shared" si="13"/>
        <v>16.727628719899503</v>
      </c>
      <c r="AB75" s="199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0.11138795322512425</v>
      </c>
      <c r="AD75" s="233">
        <f>(INDEX(Models!$BJ75:$BT75,,AH75)*(1-AF75)+INDEX(Models!$BJ75:$BT75,,AH75+1)*AF75-ERP_i)*AE75*Ramure*Pc/MaxiM</f>
        <v>3.7544375452573941E-2</v>
      </c>
      <c r="AE75" s="307">
        <f t="shared" si="15"/>
        <v>1</v>
      </c>
      <c r="AF75" s="179">
        <f t="shared" si="23"/>
        <v>0.41012474779270924</v>
      </c>
      <c r="AG75" s="837">
        <f t="shared" si="24"/>
        <v>1</v>
      </c>
      <c r="AH75" s="178">
        <f t="shared" si="16"/>
        <v>7</v>
      </c>
      <c r="AI75" s="227">
        <f t="shared" si="17"/>
        <v>1.4101247477927092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45353</v>
      </c>
      <c r="B76" s="1139">
        <f>IF(t&gt;Tmaj,'2023'!Wh/'2023'!Env_an*'2024'!Env_an,0.001*'[5]mon-tableau'!$B$210)</f>
        <v>30.006365079835142</v>
      </c>
      <c r="C76" s="866"/>
      <c r="D76" s="395">
        <f t="shared" si="0"/>
        <v>31.465253110362607</v>
      </c>
      <c r="E76" s="387">
        <f t="shared" si="1"/>
        <v>34.612078663859727</v>
      </c>
      <c r="F76" s="387">
        <f t="shared" si="2"/>
        <v>35.766322243660206</v>
      </c>
      <c r="G76" s="110">
        <f t="shared" si="21"/>
        <v>0.92415268432930819</v>
      </c>
      <c r="H76" s="414" t="b">
        <f>Wh_hp&gt;='2023'!Maxi_hp</f>
        <v>0</v>
      </c>
      <c r="I76" s="392">
        <f>IF(H76,Wh_hp,'2023'!Maxi_hp)</f>
        <v>35.856959587503439</v>
      </c>
      <c r="J76" s="85">
        <f>IF(H76,An,'2023'!An_max)</f>
        <v>2022</v>
      </c>
      <c r="K76" s="199">
        <f t="shared" si="3"/>
        <v>45353</v>
      </c>
      <c r="L76" s="147">
        <f>IF(t&lt;Tvie,1-EXP((T0-t)*PertePVj)+'2023'!Pspv,1-EXP((T0-t)*PertePVj)+Pspv)</f>
        <v>4.6365049898390964E-2</v>
      </c>
      <c r="M76" s="870"/>
      <c r="N76" s="870"/>
      <c r="O76" s="48">
        <f>IF(t&lt;Tnet,'2023'!Resal+('2023'!Salim-'2023'!Resal)*(1-EXP(('2023'!Tnet-t)/('2023'!Tau_j))),Resal+(Salim-Resal)*(1-EXP((Tnet-t)/(Tau_j))))*Salcycl</f>
        <v>9.0916976817774386E-2</v>
      </c>
      <c r="P76" s="171">
        <f>(INDEX(Models!$BJ76:$BT76,,T76)*(1-R76)+INDEX(Models!$BJ76:$BT76,,T76+1)*R76-ERP_i)*Q76*Ramure*Pc/MaxiM</f>
        <v>3.5988066349676433E-2</v>
      </c>
      <c r="Q76" s="307">
        <f t="shared" si="4"/>
        <v>1</v>
      </c>
      <c r="R76" s="179">
        <f t="shared" si="5"/>
        <v>0.41059182756651036</v>
      </c>
      <c r="S76" s="837">
        <f t="shared" si="6"/>
        <v>1</v>
      </c>
      <c r="T76" s="178">
        <f t="shared" si="7"/>
        <v>7</v>
      </c>
      <c r="U76" s="253">
        <f t="shared" si="8"/>
        <v>1.4105918275665104</v>
      </c>
      <c r="V76" s="385">
        <f t="shared" si="9"/>
        <v>32.344368236619687</v>
      </c>
      <c r="W76" s="404">
        <f t="shared" si="10"/>
        <v>30.006365079835142</v>
      </c>
      <c r="X76" s="157">
        <f t="shared" si="11"/>
        <v>45353</v>
      </c>
      <c r="Y76" s="387">
        <f t="shared" si="12"/>
        <v>29.326666620827105</v>
      </c>
      <c r="Z76" s="387">
        <f t="shared" si="22"/>
        <v>30.752508197924556</v>
      </c>
      <c r="AA76" s="388">
        <f t="shared" si="13"/>
        <v>34.612078663859727</v>
      </c>
      <c r="AB76" s="199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0.11150935207960079</v>
      </c>
      <c r="AD76" s="233">
        <f>(INDEX(Models!$BJ76:$BT76,,AH76)*(1-AF76)+INDEX(Models!$BJ76:$BT76,,AH76+1)*AF76-ERP_i)*AE76*Ramure*Pc/MaxiM</f>
        <v>3.5988066349676433E-2</v>
      </c>
      <c r="AE76" s="307">
        <f t="shared" si="15"/>
        <v>1</v>
      </c>
      <c r="AF76" s="179">
        <f t="shared" si="23"/>
        <v>0.41059182756651036</v>
      </c>
      <c r="AG76" s="837">
        <f t="shared" si="24"/>
        <v>1</v>
      </c>
      <c r="AH76" s="178">
        <f t="shared" si="16"/>
        <v>7</v>
      </c>
      <c r="AI76" s="227">
        <f t="shared" si="17"/>
        <v>1.4105918275665104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45354</v>
      </c>
      <c r="B77" s="1139">
        <f>IF(t&gt;Tmaj,'2023'!Wh/'2023'!Env_an*'2024'!Env_an,0.001*'[5]mon-tableau'!$B$211)</f>
        <v>5.7086207780110669</v>
      </c>
      <c r="C77" s="866"/>
      <c r="D77" s="395">
        <f t="shared" si="0"/>
        <v>5.9863091515675935</v>
      </c>
      <c r="E77" s="387">
        <f t="shared" si="1"/>
        <v>6.5861564474610761</v>
      </c>
      <c r="F77" s="387">
        <f t="shared" si="2"/>
        <v>6.5861564474610761</v>
      </c>
      <c r="G77" s="110">
        <f t="shared" si="21"/>
        <v>0.16822126691490921</v>
      </c>
      <c r="H77" s="414" t="b">
        <f>Wh_hp&gt;='2023'!Maxi_hp</f>
        <v>0</v>
      </c>
      <c r="I77" s="392">
        <f>IF(H77,Wh_hp,'2023'!Maxi_hp)</f>
        <v>29.720518011114656</v>
      </c>
      <c r="J77" s="85">
        <f>IF(H77,An,'2023'!An_max)</f>
        <v>2021</v>
      </c>
      <c r="K77" s="199">
        <f t="shared" si="3"/>
        <v>45354</v>
      </c>
      <c r="L77" s="147">
        <f>IF(t&lt;Tvie,1-EXP((T0-t)*PertePVj)+'2023'!Pspv,1-EXP((T0-t)*PertePVj)+Pspv)</f>
        <v>4.6387242376850879E-2</v>
      </c>
      <c r="M77" s="870"/>
      <c r="N77" s="870"/>
      <c r="O77" s="48">
        <f>IF(t&lt;Tnet,'2023'!Resal+('2023'!Salim-'2023'!Resal)*(1-EXP(('2023'!Tnet-t)/('2023'!Tau_j))),Resal+(Salim-Resal)*(1-EXP((Tnet-t)/(Tau_j))))*Salcycl</f>
        <v>9.1076988631923581E-2</v>
      </c>
      <c r="P77" s="171">
        <f>(INDEX(Models!$BJ77:$BT77,,T77)*(1-R77)+INDEX(Models!$BJ77:$BT77,,T77+1)*R77-ERP_i)*Q77*Ramure*Pc/MaxiM</f>
        <v>3.4461055222204877E-2</v>
      </c>
      <c r="Q77" s="307">
        <f t="shared" si="4"/>
        <v>1</v>
      </c>
      <c r="R77" s="179">
        <f t="shared" si="5"/>
        <v>0.41107782992964781</v>
      </c>
      <c r="S77" s="837">
        <f t="shared" si="6"/>
        <v>1</v>
      </c>
      <c r="T77" s="178">
        <f t="shared" si="7"/>
        <v>7</v>
      </c>
      <c r="U77" s="253">
        <f t="shared" si="8"/>
        <v>1.4110778299296478</v>
      </c>
      <c r="V77" s="385">
        <f t="shared" si="9"/>
        <v>32.76574825063863</v>
      </c>
      <c r="W77" s="404">
        <f t="shared" si="10"/>
        <v>5.7086207780110669</v>
      </c>
      <c r="X77" s="157">
        <f t="shared" si="11"/>
        <v>45354</v>
      </c>
      <c r="Y77" s="387">
        <f t="shared" si="12"/>
        <v>5.5795310441899435</v>
      </c>
      <c r="Z77" s="387">
        <f t="shared" si="22"/>
        <v>5.8509400168856329</v>
      </c>
      <c r="AA77" s="388">
        <f t="shared" si="13"/>
        <v>6.5861564474610761</v>
      </c>
      <c r="AB77" s="199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0.11163057489453716</v>
      </c>
      <c r="AD77" s="233">
        <f>(INDEX(Models!$BJ77:$BT77,,AH77)*(1-AF77)+INDEX(Models!$BJ77:$BT77,,AH77+1)*AF77-ERP_i)*AE77*Ramure*Pc/MaxiM</f>
        <v>3.4461055222204877E-2</v>
      </c>
      <c r="AE77" s="307">
        <f t="shared" si="15"/>
        <v>1</v>
      </c>
      <c r="AF77" s="179">
        <f t="shared" si="23"/>
        <v>0.41107782992964781</v>
      </c>
      <c r="AG77" s="837">
        <f t="shared" si="24"/>
        <v>1</v>
      </c>
      <c r="AH77" s="178">
        <f t="shared" si="16"/>
        <v>7</v>
      </c>
      <c r="AI77" s="227">
        <f t="shared" si="17"/>
        <v>1.4110778299296478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45355</v>
      </c>
      <c r="B78" s="1139">
        <f>IF(t&gt;Tmaj,'2023'!Wh/'2023'!Env_an*'2024'!Env_an,0.001*'[5]mon-tableau'!$B$212)</f>
        <v>12.805996640573909</v>
      </c>
      <c r="C78" s="866"/>
      <c r="D78" s="395">
        <f t="shared" si="0"/>
        <v>13.429240076106764</v>
      </c>
      <c r="E78" s="387">
        <f t="shared" si="1"/>
        <v>14.777490622915483</v>
      </c>
      <c r="F78" s="387">
        <f t="shared" si="2"/>
        <v>14.837485589120993</v>
      </c>
      <c r="G78" s="110">
        <f t="shared" si="21"/>
        <v>0.37466316490309776</v>
      </c>
      <c r="H78" s="414" t="b">
        <f>Wh_hp&gt;='2023'!Maxi_hp</f>
        <v>0</v>
      </c>
      <c r="I78" s="392">
        <f>IF(H78,Wh_hp,'2023'!Maxi_hp)</f>
        <v>38.596496043622651</v>
      </c>
      <c r="J78" s="85">
        <f>IF(H78,An,'2023'!An_max)</f>
        <v>2019</v>
      </c>
      <c r="K78" s="199">
        <f t="shared" si="3"/>
        <v>45355</v>
      </c>
      <c r="L78" s="147">
        <f>IF(t&lt;Tvie,1-EXP((T0-t)*PertePVj)+'2023'!Pspv,1-EXP((T0-t)*PertePVj)+Pspv)</f>
        <v>4.6409434338859357E-2</v>
      </c>
      <c r="M78" s="870"/>
      <c r="N78" s="870"/>
      <c r="O78" s="48">
        <f>IF(t&lt;Tnet,'2023'!Resal+('2023'!Salim-'2023'!Resal)*(1-EXP(('2023'!Tnet-t)/('2023'!Tau_j))),Resal+(Salim-Resal)*(1-EXP((Tnet-t)/(Tau_j))))*Salcycl</f>
        <v>9.1236772278372097E-2</v>
      </c>
      <c r="P78" s="171">
        <f>(INDEX(Models!$BJ78:$BT78,,T78)*(1-R78)+INDEX(Models!$BJ78:$BT78,,T78+1)*R78-ERP_i)*Q78*Ramure*Pc/MaxiM</f>
        <v>3.2962776287672371E-2</v>
      </c>
      <c r="Q78" s="307">
        <f t="shared" si="4"/>
        <v>1</v>
      </c>
      <c r="R78" s="179">
        <f t="shared" si="5"/>
        <v>0.4115834926703017</v>
      </c>
      <c r="S78" s="837">
        <f t="shared" si="6"/>
        <v>1</v>
      </c>
      <c r="T78" s="178">
        <f t="shared" si="7"/>
        <v>7</v>
      </c>
      <c r="U78" s="253">
        <f t="shared" si="8"/>
        <v>1.4115834926703017</v>
      </c>
      <c r="V78" s="385">
        <f t="shared" si="9"/>
        <v>33.187550199953371</v>
      </c>
      <c r="W78" s="404">
        <f t="shared" si="10"/>
        <v>12.805996640573909</v>
      </c>
      <c r="X78" s="157">
        <f t="shared" si="11"/>
        <v>45355</v>
      </c>
      <c r="Y78" s="387">
        <f t="shared" si="12"/>
        <v>12.516907537290425</v>
      </c>
      <c r="Z78" s="387">
        <f t="shared" si="22"/>
        <v>13.126081557457775</v>
      </c>
      <c r="AA78" s="388">
        <f t="shared" si="13"/>
        <v>14.777490622915483</v>
      </c>
      <c r="AB78" s="199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0.11175165713838209</v>
      </c>
      <c r="AD78" s="233">
        <f>(INDEX(Models!$BJ78:$BT78,,AH78)*(1-AF78)+INDEX(Models!$BJ78:$BT78,,AH78+1)*AF78-ERP_i)*AE78*Ramure*Pc/MaxiM</f>
        <v>3.2962776287672371E-2</v>
      </c>
      <c r="AE78" s="307">
        <f t="shared" si="15"/>
        <v>1</v>
      </c>
      <c r="AF78" s="179">
        <f t="shared" si="23"/>
        <v>0.4115834926703017</v>
      </c>
      <c r="AG78" s="837">
        <f t="shared" si="24"/>
        <v>1</v>
      </c>
      <c r="AH78" s="178">
        <f t="shared" si="16"/>
        <v>7</v>
      </c>
      <c r="AI78" s="227">
        <f t="shared" si="17"/>
        <v>1.4115834926703017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45356</v>
      </c>
      <c r="B79" s="1139">
        <f>IF(t&gt;Tmaj,'2023'!Wh/'2023'!Env_an*'2024'!Env_an,0.001*'[5]mon-tableau'!$B$213)</f>
        <v>18.801905414500958</v>
      </c>
      <c r="C79" s="866"/>
      <c r="D79" s="395">
        <f t="shared" ref="D79:D142" si="25">Wh/(1-Ppv)</f>
        <v>19.717417148998738</v>
      </c>
      <c r="E79" s="387">
        <f t="shared" si="1"/>
        <v>21.700790418944951</v>
      </c>
      <c r="F79" s="387">
        <f t="shared" ref="F79:F142" si="26">Wh_sa/(1-Pvg*MEDIAN((-Sdif+Wh/Env_an)/Csdif,0,1))</f>
        <v>21.957004800368459</v>
      </c>
      <c r="G79" s="110">
        <f t="shared" si="21"/>
        <v>0.54816791812480103</v>
      </c>
      <c r="H79" s="414" t="b">
        <f>Wh_hp&gt;='2023'!Maxi_hp</f>
        <v>0</v>
      </c>
      <c r="I79" s="392">
        <f>IF(H79,Wh_hp,'2023'!Maxi_hp)</f>
        <v>24.169421383322462</v>
      </c>
      <c r="J79" s="85">
        <f>IF(H79,An,'2023'!An_max)</f>
        <v>2019</v>
      </c>
      <c r="K79" s="199">
        <f t="shared" ref="K79:K142" si="27">t</f>
        <v>45356</v>
      </c>
      <c r="L79" s="147">
        <f>IF(t&lt;Tvie,1-EXP((T0-t)*PertePVj)+'2023'!Pspv,1-EXP((T0-t)*PertePVj)+Pspv)</f>
        <v>4.6431625784428388E-2</v>
      </c>
      <c r="M79" s="870"/>
      <c r="N79" s="870"/>
      <c r="O79" s="48">
        <f>IF(t&lt;Tnet,'2023'!Resal+('2023'!Salim-'2023'!Resal)*(1-EXP(('2023'!Tnet-t)/('2023'!Tau_j))),Resal+(Salim-Resal)*(1-EXP((Tnet-t)/(Tau_j))))*Salcycl</f>
        <v>9.1396360761805032E-2</v>
      </c>
      <c r="P79" s="171">
        <f>(INDEX(Models!$BJ79:$BT79,,T79)*(1-R79)+INDEX(Models!$BJ79:$BT79,,T79+1)*R79-ERP_i)*Q79*Ramure*Pc/MaxiM</f>
        <v>3.1490573202502904E-2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0.4121095799241592</v>
      </c>
      <c r="S79" s="837">
        <f t="shared" ref="S79:S142" si="30">INDEX(Echel_vg,T79)</f>
        <v>1</v>
      </c>
      <c r="T79" s="178">
        <f t="shared" ref="T79:T142" si="31">MIN(MATCH(Hp_vg,Echel_vg),10)</f>
        <v>7</v>
      </c>
      <c r="U79" s="253">
        <f t="shared" ref="U79:U142" si="32">IF(OR(t&lt;Ttai,Notai),Hdd+PousH*Croivg,Hdtf+PousH*(Croivg-Croi_tai))</f>
        <v>1.4121095799241592</v>
      </c>
      <c r="V79" s="385">
        <f t="shared" ref="V79:V142" si="33">MaxiM*(1-Ppv)*(1-Pvg)*(1-Psa)</f>
        <v>33.611635510613404</v>
      </c>
      <c r="W79" s="404">
        <f t="shared" ref="W79:W142" si="34">Wh*(A79&gt;Tmaj)</f>
        <v>18.801905414500958</v>
      </c>
      <c r="X79" s="157">
        <f t="shared" ref="X79:X142" si="35">t</f>
        <v>45356</v>
      </c>
      <c r="Y79" s="387">
        <f t="shared" ref="Y79:Y142" si="36">Wh_pvt_s*(1-Ppv)</f>
        <v>18.37818595519267</v>
      </c>
      <c r="Z79" s="387">
        <f t="shared" ref="Z79:Z142" si="37">Wh_sa_s*(1-Psa_s)</f>
        <v>19.273065730929897</v>
      </c>
      <c r="AA79" s="388">
        <f t="shared" ref="AA79:AA142" si="38">Wh_hp*(1-Pvg_s*MEDIAN((-Sdif+Wh/Env_an)/Csdif,0,1))</f>
        <v>21.700790418944951</v>
      </c>
      <c r="AB79" s="199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0.11187263879087254</v>
      </c>
      <c r="AD79" s="233">
        <f>(INDEX(Models!$BJ79:$BT79,,AH79)*(1-AF79)+INDEX(Models!$BJ79:$BT79,,AH79+1)*AF79-ERP_i)*AE79*Ramure*Pc/MaxiM</f>
        <v>3.1490573202502904E-2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0.4121095799241592</v>
      </c>
      <c r="AG79" s="837">
        <f t="shared" si="24"/>
        <v>1</v>
      </c>
      <c r="AH79" s="178">
        <f t="shared" ref="AH79:AH142" si="42">MIN(MATCH(Hp_vg_s,Echel_vg),10)</f>
        <v>7</v>
      </c>
      <c r="AI79" s="227">
        <f t="shared" ref="AI79:AI142" si="43">IF(OR(t&lt;Ttai,Notai),Hdd_s+PousH*Croivg,Hdtai_s+PousH*(Croivg-Croi_tai))</f>
        <v>1.4121095799241592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45357</v>
      </c>
      <c r="B80" s="1139">
        <f>IF(t&gt;Tmaj,'2023'!Wh/'2023'!Env_an*'2024'!Env_an,0.001*'[5]mon-tableau'!$B$214)</f>
        <v>32.088052386322012</v>
      </c>
      <c r="C80" s="866"/>
      <c r="D80" s="395">
        <f t="shared" si="25"/>
        <v>33.65128291503347</v>
      </c>
      <c r="E80" s="387">
        <f t="shared" ref="E80:E143" si="47">Wh_pvt/(1-Psa)</f>
        <v>37.042762312494126</v>
      </c>
      <c r="F80" s="387">
        <f t="shared" si="26"/>
        <v>38.094555124311398</v>
      </c>
      <c r="G80" s="110">
        <f t="shared" ref="G80:G143" si="48">+Wh_hp/MaxiM</f>
        <v>0.94030670627216739</v>
      </c>
      <c r="H80" s="414" t="b">
        <f>Wh_hp&gt;='2023'!Maxi_hp</f>
        <v>0</v>
      </c>
      <c r="I80" s="392">
        <f>IF(H80,Wh_hp,'2023'!Maxi_hp)</f>
        <v>38.157203221065181</v>
      </c>
      <c r="J80" s="85">
        <f>IF(H80,An,'2023'!An_max)</f>
        <v>2022</v>
      </c>
      <c r="K80" s="199">
        <f t="shared" si="27"/>
        <v>45357</v>
      </c>
      <c r="L80" s="147">
        <f>IF(t&lt;Tvie,1-EXP((T0-t)*PertePVj)+'2023'!Pspv,1-EXP((T0-t)*PertePVj)+Pspv)</f>
        <v>4.6453816713570184E-2</v>
      </c>
      <c r="M80" s="870"/>
      <c r="N80" s="870"/>
      <c r="O80" s="48">
        <f>IF(t&lt;Tnet,'2023'!Resal+('2023'!Salim-'2023'!Resal)*(1-EXP(('2023'!Tnet-t)/('2023'!Tau_j))),Resal+(Salim-Resal)*(1-EXP((Tnet-t)/(Tau_j))))*Salcycl</f>
        <v>9.1555790814140947E-2</v>
      </c>
      <c r="P80" s="171">
        <f>(INDEX(Models!$BJ80:$BT80,,T80)*(1-R80)+INDEX(Models!$BJ80:$BT80,,T80+1)*R80-ERP_i)*Q80*Ramure*Pc/MaxiM</f>
        <v>3.0071942840076124E-2</v>
      </c>
      <c r="Q80" s="307">
        <f t="shared" si="28"/>
        <v>1</v>
      </c>
      <c r="R80" s="179">
        <f t="shared" si="29"/>
        <v>0.41265688291036895</v>
      </c>
      <c r="S80" s="837">
        <f t="shared" si="30"/>
        <v>1</v>
      </c>
      <c r="T80" s="178">
        <f t="shared" si="31"/>
        <v>7</v>
      </c>
      <c r="U80" s="253">
        <f t="shared" si="32"/>
        <v>1.4126568829103689</v>
      </c>
      <c r="V80" s="385">
        <f t="shared" si="33"/>
        <v>34.038693952113015</v>
      </c>
      <c r="W80" s="404">
        <f t="shared" si="34"/>
        <v>32.088052386322012</v>
      </c>
      <c r="X80" s="157">
        <f t="shared" si="35"/>
        <v>45357</v>
      </c>
      <c r="Y80" s="387">
        <f t="shared" si="36"/>
        <v>31.366149665983514</v>
      </c>
      <c r="Z80" s="387">
        <f t="shared" si="37"/>
        <v>32.894211330046957</v>
      </c>
      <c r="AA80" s="388">
        <f t="shared" si="38"/>
        <v>37.042762312494126</v>
      </c>
      <c r="AB80" s="199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0.11199356428793936</v>
      </c>
      <c r="AD80" s="233">
        <f>(INDEX(Models!$BJ80:$BT80,,AH80)*(1-AF80)+INDEX(Models!$BJ80:$BT80,,AH80+1)*AF80-ERP_i)*AE80*Ramure*Pc/MaxiM</f>
        <v>3.0071942840076124E-2</v>
      </c>
      <c r="AE80" s="307">
        <f t="shared" si="40"/>
        <v>1</v>
      </c>
      <c r="AF80" s="179">
        <f t="shared" si="41"/>
        <v>0.41265688291036895</v>
      </c>
      <c r="AG80" s="837">
        <f t="shared" ref="AG80:AG143" si="49">INDEX(Echel_vg,AH80)</f>
        <v>1</v>
      </c>
      <c r="AH80" s="178">
        <f t="shared" si="42"/>
        <v>7</v>
      </c>
      <c r="AI80" s="227">
        <f t="shared" si="43"/>
        <v>1.4126568829103689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45358</v>
      </c>
      <c r="B81" s="1139">
        <f>IF(t&gt;Tmaj,'2023'!Wh/'2023'!Env_an*'2024'!Env_an,0.001*'[5]mon-tableau'!$B$215)</f>
        <v>25.911633454991748</v>
      </c>
      <c r="C81" s="866"/>
      <c r="D81" s="395">
        <f t="shared" si="25"/>
        <v>27.174600375707385</v>
      </c>
      <c r="E81" s="387">
        <f t="shared" si="47"/>
        <v>29.918586624764892</v>
      </c>
      <c r="F81" s="387">
        <f t="shared" si="26"/>
        <v>30.483517520362579</v>
      </c>
      <c r="G81" s="110">
        <f t="shared" si="48"/>
        <v>0.74396362178165876</v>
      </c>
      <c r="H81" s="414" t="b">
        <f>Wh_hp&gt;='2023'!Maxi_hp</f>
        <v>0</v>
      </c>
      <c r="I81" s="392">
        <f>IF(H81,Wh_hp,'2023'!Maxi_hp)</f>
        <v>30.688096258779094</v>
      </c>
      <c r="J81" s="85">
        <f>IF(H81,An,'2023'!An_max)</f>
        <v>2022</v>
      </c>
      <c r="K81" s="199">
        <f t="shared" si="27"/>
        <v>45358</v>
      </c>
      <c r="L81" s="147">
        <f>IF(t&lt;Tvie,1-EXP((T0-t)*PertePVj)+'2023'!Pspv,1-EXP((T0-t)*PertePVj)+Pspv)</f>
        <v>4.6476007126296515E-2</v>
      </c>
      <c r="M81" s="870"/>
      <c r="N81" s="870"/>
      <c r="O81" s="48">
        <f>IF(t&lt;Tnet,'2023'!Resal+('2023'!Salim-'2023'!Resal)*(1-EXP(('2023'!Tnet-t)/('2023'!Tau_j))),Resal+(Salim-Resal)*(1-EXP((Tnet-t)/(Tau_j))))*Salcycl</f>
        <v>9.1715102837986145E-2</v>
      </c>
      <c r="P81" s="171">
        <f>(INDEX(Models!$BJ81:$BT81,,T81)*(1-R81)+INDEX(Models!$BJ81:$BT81,,T81+1)*R81-ERP_i)*Q81*Ramure*Pc/MaxiM</f>
        <v>2.871554821946715E-2</v>
      </c>
      <c r="Q81" s="307">
        <f t="shared" si="28"/>
        <v>1</v>
      </c>
      <c r="R81" s="179">
        <f t="shared" si="29"/>
        <v>0.41322622066986314</v>
      </c>
      <c r="S81" s="837">
        <f t="shared" si="30"/>
        <v>1</v>
      </c>
      <c r="T81" s="178">
        <f t="shared" si="31"/>
        <v>7</v>
      </c>
      <c r="U81" s="253">
        <f t="shared" si="32"/>
        <v>1.4132262206698631</v>
      </c>
      <c r="V81" s="385">
        <f t="shared" si="33"/>
        <v>34.467797602601692</v>
      </c>
      <c r="W81" s="404">
        <f t="shared" si="34"/>
        <v>25.911633454991748</v>
      </c>
      <c r="X81" s="157">
        <f t="shared" si="35"/>
        <v>45358</v>
      </c>
      <c r="Y81" s="387">
        <f t="shared" si="36"/>
        <v>25.329678114128473</v>
      </c>
      <c r="Z81" s="387">
        <f t="shared" si="37"/>
        <v>26.564279770025095</v>
      </c>
      <c r="AA81" s="388">
        <f t="shared" si="38"/>
        <v>29.918586624764892</v>
      </c>
      <c r="AB81" s="199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0.11211448243892953</v>
      </c>
      <c r="AD81" s="233">
        <f>(INDEX(Models!$BJ81:$BT81,,AH81)*(1-AF81)+INDEX(Models!$BJ81:$BT81,,AH81+1)*AF81-ERP_i)*AE81*Ramure*Pc/MaxiM</f>
        <v>2.871554821946715E-2</v>
      </c>
      <c r="AE81" s="307">
        <f t="shared" si="40"/>
        <v>1</v>
      </c>
      <c r="AF81" s="179">
        <f t="shared" si="41"/>
        <v>0.41322622066986314</v>
      </c>
      <c r="AG81" s="837">
        <f t="shared" si="49"/>
        <v>1</v>
      </c>
      <c r="AH81" s="178">
        <f t="shared" si="42"/>
        <v>7</v>
      </c>
      <c r="AI81" s="227">
        <f t="shared" si="43"/>
        <v>1.4132262206698631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45359</v>
      </c>
      <c r="B82" s="1139">
        <f>IF(t&gt;Tmaj,'2023'!Wh/'2023'!Env_an*'2024'!Env_an,0.001*'[5]mon-tableau'!$B$216)</f>
        <v>27.006079370051946</v>
      </c>
      <c r="C82" s="866"/>
      <c r="D82" s="395">
        <f t="shared" si="25"/>
        <v>28.323050135535613</v>
      </c>
      <c r="E82" s="387">
        <f t="shared" si="47"/>
        <v>31.18847028434713</v>
      </c>
      <c r="F82" s="387">
        <f t="shared" si="26"/>
        <v>31.778319771841733</v>
      </c>
      <c r="G82" s="110">
        <f t="shared" si="48"/>
        <v>0.76686460716096638</v>
      </c>
      <c r="H82" s="414" t="b">
        <f>Wh_hp&gt;='2023'!Maxi_hp</f>
        <v>0</v>
      </c>
      <c r="I82" s="392">
        <f>IF(H82,Wh_hp,'2023'!Maxi_hp)</f>
        <v>39.162385004311176</v>
      </c>
      <c r="J82" s="85">
        <f>IF(H82,An,'2023'!An_max)</f>
        <v>2021</v>
      </c>
      <c r="K82" s="199">
        <f t="shared" si="27"/>
        <v>45359</v>
      </c>
      <c r="L82" s="147">
        <f>IF(t&lt;Tvie,1-EXP((T0-t)*PertePVj)+'2023'!Pspv,1-EXP((T0-t)*PertePVj)+Pspv)</f>
        <v>4.6498197022619592E-2</v>
      </c>
      <c r="M82" s="870"/>
      <c r="N82" s="870"/>
      <c r="O82" s="48">
        <f>IF(t&lt;Tnet,'2023'!Resal+('2023'!Salim-'2023'!Resal)*(1-EXP(('2023'!Tnet-t)/('2023'!Tau_j))),Resal+(Salim-Resal)*(1-EXP((Tnet-t)/(Tau_j))))*Salcycl</f>
        <v>9.1874340828110829E-2</v>
      </c>
      <c r="P82" s="171">
        <f>(INDEX(Models!$BJ82:$BT82,,T82)*(1-R82)+INDEX(Models!$BJ82:$BT82,,T82+1)*R82-ERP_i)*Q82*Ramure*Pc/MaxiM</f>
        <v>2.7420026767861389E-2</v>
      </c>
      <c r="Q82" s="307">
        <f t="shared" si="28"/>
        <v>1</v>
      </c>
      <c r="R82" s="179">
        <f t="shared" si="29"/>
        <v>0.41381844080408481</v>
      </c>
      <c r="S82" s="837">
        <f t="shared" si="30"/>
        <v>1</v>
      </c>
      <c r="T82" s="178">
        <f t="shared" si="31"/>
        <v>7</v>
      </c>
      <c r="U82" s="253">
        <f t="shared" si="32"/>
        <v>1.4138184408040848</v>
      </c>
      <c r="V82" s="385">
        <f t="shared" si="33"/>
        <v>34.89836049475943</v>
      </c>
      <c r="W82" s="404">
        <f t="shared" si="34"/>
        <v>27.006079370051946</v>
      </c>
      <c r="X82" s="157">
        <f t="shared" si="35"/>
        <v>45359</v>
      </c>
      <c r="Y82" s="387">
        <f t="shared" si="36"/>
        <v>26.40057546720103</v>
      </c>
      <c r="Z82" s="387">
        <f t="shared" si="37"/>
        <v>27.688018402024269</v>
      </c>
      <c r="AA82" s="388">
        <f t="shared" si="38"/>
        <v>31.18847028434713</v>
      </c>
      <c r="AB82" s="199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0.11223544631747026</v>
      </c>
      <c r="AD82" s="233">
        <f>(INDEX(Models!$BJ82:$BT82,,AH82)*(1-AF82)+INDEX(Models!$BJ82:$BT82,,AH82+1)*AF82-ERP_i)*AE82*Ramure*Pc/MaxiM</f>
        <v>2.7420026767861389E-2</v>
      </c>
      <c r="AE82" s="307">
        <f t="shared" si="40"/>
        <v>1</v>
      </c>
      <c r="AF82" s="179">
        <f t="shared" si="41"/>
        <v>0.41381844080408481</v>
      </c>
      <c r="AG82" s="837">
        <f t="shared" si="49"/>
        <v>1</v>
      </c>
      <c r="AH82" s="178">
        <f t="shared" si="42"/>
        <v>7</v>
      </c>
      <c r="AI82" s="227">
        <f t="shared" si="43"/>
        <v>1.4138184408040848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45360</v>
      </c>
      <c r="B83" s="1139">
        <f>IF(t&gt;Tmaj,'2023'!Wh/'2023'!Env_an*'2024'!Env_an,0.001*'[5]mon-tableau'!$B$217)</f>
        <v>18.961499529794693</v>
      </c>
      <c r="C83" s="866"/>
      <c r="D83" s="395">
        <f t="shared" si="25"/>
        <v>19.886633399799237</v>
      </c>
      <c r="E83" s="387">
        <f t="shared" si="47"/>
        <v>21.902387967709569</v>
      </c>
      <c r="F83" s="387">
        <f t="shared" si="26"/>
        <v>22.098042139761336</v>
      </c>
      <c r="G83" s="110">
        <f t="shared" si="48"/>
        <v>0.5273158085044114</v>
      </c>
      <c r="H83" s="414" t="b">
        <f>Wh_hp&gt;='2023'!Maxi_hp</f>
        <v>0</v>
      </c>
      <c r="I83" s="392">
        <f>IF(H83,Wh_hp,'2023'!Maxi_hp)</f>
        <v>39.155466400635383</v>
      </c>
      <c r="J83" s="85">
        <f>IF(H83,An,'2023'!An_max)</f>
        <v>2021</v>
      </c>
      <c r="K83" s="199">
        <f t="shared" si="27"/>
        <v>45360</v>
      </c>
      <c r="L83" s="147">
        <f>IF(t&lt;Tvie,1-EXP((T0-t)*PertePVj)+'2023'!Pspv,1-EXP((T0-t)*PertePVj)+Pspv)</f>
        <v>4.6520386402551406E-2</v>
      </c>
      <c r="M83" s="870"/>
      <c r="N83" s="870"/>
      <c r="O83" s="48">
        <f>IF(t&lt;Tnet,'2023'!Resal+('2023'!Salim-'2023'!Resal)*(1-EXP(('2023'!Tnet-t)/('2023'!Tau_j))),Resal+(Salim-Resal)*(1-EXP((Tnet-t)/(Tau_j))))*Salcycl</f>
        <v>9.2033552272114641E-2</v>
      </c>
      <c r="P83" s="171">
        <f>(INDEX(Models!$BJ83:$BT83,,T83)*(1-R83)+INDEX(Models!$BJ83:$BT83,,T83+1)*R83-ERP_i)*Q83*Ramure*Pc/MaxiM</f>
        <v>2.6183954270942073E-2</v>
      </c>
      <c r="Q83" s="307">
        <f t="shared" si="28"/>
        <v>1</v>
      </c>
      <c r="R83" s="179">
        <f t="shared" si="29"/>
        <v>0.41443442021195631</v>
      </c>
      <c r="S83" s="837">
        <f t="shared" si="30"/>
        <v>1</v>
      </c>
      <c r="T83" s="178">
        <f t="shared" si="31"/>
        <v>7</v>
      </c>
      <c r="U83" s="253">
        <f t="shared" si="32"/>
        <v>1.4144344202119563</v>
      </c>
      <c r="V83" s="385">
        <f t="shared" si="33"/>
        <v>35.329797187287809</v>
      </c>
      <c r="W83" s="404">
        <f t="shared" si="34"/>
        <v>18.961499529794693</v>
      </c>
      <c r="X83" s="157">
        <f t="shared" si="35"/>
        <v>45360</v>
      </c>
      <c r="Y83" s="387">
        <f t="shared" si="36"/>
        <v>18.537085374769479</v>
      </c>
      <c r="Z83" s="387">
        <f t="shared" si="37"/>
        <v>19.441512026491726</v>
      </c>
      <c r="AA83" s="388">
        <f t="shared" si="38"/>
        <v>21.902387967709569</v>
      </c>
      <c r="AB83" s="199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0.11235651312751298</v>
      </c>
      <c r="AD83" s="233">
        <f>(INDEX(Models!$BJ83:$BT83,,AH83)*(1-AF83)+INDEX(Models!$BJ83:$BT83,,AH83+1)*AF83-ERP_i)*AE83*Ramure*Pc/MaxiM</f>
        <v>2.6183954270942073E-2</v>
      </c>
      <c r="AE83" s="307">
        <f t="shared" si="40"/>
        <v>1</v>
      </c>
      <c r="AF83" s="179">
        <f t="shared" si="41"/>
        <v>0.41443442021195631</v>
      </c>
      <c r="AG83" s="837">
        <f t="shared" si="49"/>
        <v>1</v>
      </c>
      <c r="AH83" s="178">
        <f t="shared" si="42"/>
        <v>7</v>
      </c>
      <c r="AI83" s="227">
        <f t="shared" si="43"/>
        <v>1.4144344202119563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45361</v>
      </c>
      <c r="B84" s="1139">
        <f>IF(t&gt;Tmaj,'2023'!Wh/'2023'!Env_an*'2024'!Env_an,0.001*'[5]mon-tableau'!$B$218)</f>
        <v>13.498859171963909</v>
      </c>
      <c r="C84" s="866"/>
      <c r="D84" s="395">
        <f t="shared" si="25"/>
        <v>14.15779962669162</v>
      </c>
      <c r="E84" s="387">
        <f t="shared" si="47"/>
        <v>15.595601621178309</v>
      </c>
      <c r="F84" s="387">
        <f t="shared" si="26"/>
        <v>15.63888052248832</v>
      </c>
      <c r="G84" s="110">
        <f t="shared" si="48"/>
        <v>0.36905117993694714</v>
      </c>
      <c r="H84" s="414" t="b">
        <f>Wh_hp&gt;='2023'!Maxi_hp</f>
        <v>0</v>
      </c>
      <c r="I84" s="392">
        <f>IF(H84,Wh_hp,'2023'!Maxi_hp)</f>
        <v>33.082890956820819</v>
      </c>
      <c r="J84" s="85">
        <f>IF(H84,An,'2023'!An_max)</f>
        <v>2019</v>
      </c>
      <c r="K84" s="199">
        <f t="shared" si="27"/>
        <v>45361</v>
      </c>
      <c r="L84" s="147">
        <f>IF(t&lt;Tvie,1-EXP((T0-t)*PertePVj)+'2023'!Pspv,1-EXP((T0-t)*PertePVj)+Pspv)</f>
        <v>4.6542575266103836E-2</v>
      </c>
      <c r="M84" s="870"/>
      <c r="N84" s="870"/>
      <c r="O84" s="48">
        <f>IF(t&lt;Tnet,'2023'!Resal+('2023'!Salim-'2023'!Resal)*(1-EXP(('2023'!Tnet-t)/('2023'!Tau_j))),Resal+(Salim-Resal)*(1-EXP((Tnet-t)/(Tau_j))))*Salcycl</f>
        <v>9.2192788031607673E-2</v>
      </c>
      <c r="P84" s="171">
        <f>(INDEX(Models!$BJ84:$BT84,,T84)*(1-R84)+INDEX(Models!$BJ84:$BT84,,T84+1)*R84-ERP_i)*Q84*Ramure*Pc/MaxiM</f>
        <v>2.5005858189675153E-2</v>
      </c>
      <c r="Q84" s="307">
        <f t="shared" si="28"/>
        <v>1</v>
      </c>
      <c r="R84" s="179">
        <f t="shared" si="29"/>
        <v>0.41507506582268694</v>
      </c>
      <c r="S84" s="837">
        <f t="shared" si="30"/>
        <v>1</v>
      </c>
      <c r="T84" s="178">
        <f t="shared" si="31"/>
        <v>7</v>
      </c>
      <c r="U84" s="253">
        <f t="shared" si="32"/>
        <v>1.4150750658226869</v>
      </c>
      <c r="V84" s="385">
        <f t="shared" si="33"/>
        <v>35.761522782548262</v>
      </c>
      <c r="W84" s="404">
        <f t="shared" si="34"/>
        <v>13.498859171963909</v>
      </c>
      <c r="X84" s="157">
        <f t="shared" si="35"/>
        <v>45361</v>
      </c>
      <c r="Y84" s="387">
        <f t="shared" si="36"/>
        <v>13.197227106320987</v>
      </c>
      <c r="Z84" s="387">
        <f t="shared" si="37"/>
        <v>13.841443533783639</v>
      </c>
      <c r="AA84" s="388">
        <f t="shared" si="38"/>
        <v>15.595601621178309</v>
      </c>
      <c r="AB84" s="199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0.11247774404628159</v>
      </c>
      <c r="AD84" s="233">
        <f>(INDEX(Models!$BJ84:$BT84,,AH84)*(1-AF84)+INDEX(Models!$BJ84:$BT84,,AH84+1)*AF84-ERP_i)*AE84*Ramure*Pc/MaxiM</f>
        <v>2.5005858189675153E-2</v>
      </c>
      <c r="AE84" s="307">
        <f t="shared" si="40"/>
        <v>1</v>
      </c>
      <c r="AF84" s="179">
        <f t="shared" si="41"/>
        <v>0.41507506582268694</v>
      </c>
      <c r="AG84" s="837">
        <f t="shared" si="49"/>
        <v>1</v>
      </c>
      <c r="AH84" s="178">
        <f t="shared" si="42"/>
        <v>7</v>
      </c>
      <c r="AI84" s="227">
        <f t="shared" si="43"/>
        <v>1.4150750658226869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45362</v>
      </c>
      <c r="B85" s="1139">
        <f>IF(t&gt;Tmaj,'2023'!Wh/'2023'!Env_an*'2024'!Env_an,0.001*'[5]mon-tableau'!$B$219)</f>
        <v>12.806946849603381</v>
      </c>
      <c r="C85" s="866"/>
      <c r="D85" s="395">
        <f t="shared" si="25"/>
        <v>13.432424522234582</v>
      </c>
      <c r="E85" s="387">
        <f t="shared" si="47"/>
        <v>14.799157861624845</v>
      </c>
      <c r="F85" s="387">
        <f t="shared" si="26"/>
        <v>14.8264005732653</v>
      </c>
      <c r="G85" s="110">
        <f t="shared" si="48"/>
        <v>0.34603628832687555</v>
      </c>
      <c r="H85" s="414" t="b">
        <f>Wh_hp&gt;='2023'!Maxi_hp</f>
        <v>0</v>
      </c>
      <c r="I85" s="392">
        <f>IF(H85,Wh_hp,'2023'!Maxi_hp)</f>
        <v>39.998388958381668</v>
      </c>
      <c r="J85" s="85">
        <f>IF(H85,An,'2023'!An_max)</f>
        <v>2020</v>
      </c>
      <c r="K85" s="199">
        <f t="shared" si="27"/>
        <v>45362</v>
      </c>
      <c r="L85" s="147">
        <f>IF(t&lt;Tvie,1-EXP((T0-t)*PertePVj)+'2023'!Pspv,1-EXP((T0-t)*PertePVj)+Pspv)</f>
        <v>4.6564763613289095E-2</v>
      </c>
      <c r="M85" s="870"/>
      <c r="N85" s="870"/>
      <c r="O85" s="48">
        <f>IF(t&lt;Tnet,'2023'!Resal+('2023'!Salim-'2023'!Resal)*(1-EXP(('2023'!Tnet-t)/('2023'!Tau_j))),Resal+(Salim-Resal)*(1-EXP((Tnet-t)/(Tau_j))))*Salcycl</f>
        <v>9.2352102205375486E-2</v>
      </c>
      <c r="P85" s="171">
        <f>(INDEX(Models!$BJ85:$BT85,,T85)*(1-R85)+INDEX(Models!$BJ85:$BT85,,T85+1)*R85-ERP_i)*Q85*Ramure*Pc/MaxiM</f>
        <v>2.3884229666022265E-2</v>
      </c>
      <c r="Q85" s="307">
        <f t="shared" si="28"/>
        <v>1</v>
      </c>
      <c r="R85" s="179">
        <f t="shared" si="29"/>
        <v>0.41574131532178438</v>
      </c>
      <c r="S85" s="837">
        <f t="shared" si="30"/>
        <v>1</v>
      </c>
      <c r="T85" s="178">
        <f t="shared" si="31"/>
        <v>7</v>
      </c>
      <c r="U85" s="253">
        <f t="shared" si="32"/>
        <v>1.4157413153217844</v>
      </c>
      <c r="V85" s="385">
        <f t="shared" si="33"/>
        <v>36.192952950129374</v>
      </c>
      <c r="W85" s="404">
        <f t="shared" si="34"/>
        <v>12.806946849603381</v>
      </c>
      <c r="X85" s="157">
        <f t="shared" si="35"/>
        <v>45362</v>
      </c>
      <c r="Y85" s="387">
        <f t="shared" si="36"/>
        <v>12.521259461617843</v>
      </c>
      <c r="Z85" s="387">
        <f t="shared" si="37"/>
        <v>13.132784465854639</v>
      </c>
      <c r="AA85" s="388">
        <f t="shared" si="38"/>
        <v>14.799157861624845</v>
      </c>
      <c r="AB85" s="199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0.11259920404600976</v>
      </c>
      <c r="AD85" s="233">
        <f>(INDEX(Models!$BJ85:$BT85,,AH85)*(1-AF85)+INDEX(Models!$BJ85:$BT85,,AH85+1)*AF85-ERP_i)*AE85*Ramure*Pc/MaxiM</f>
        <v>2.3884229666022265E-2</v>
      </c>
      <c r="AE85" s="307">
        <f t="shared" si="40"/>
        <v>1</v>
      </c>
      <c r="AF85" s="179">
        <f t="shared" si="41"/>
        <v>0.41574131532178438</v>
      </c>
      <c r="AG85" s="837">
        <f t="shared" si="49"/>
        <v>1</v>
      </c>
      <c r="AH85" s="178">
        <f t="shared" si="42"/>
        <v>7</v>
      </c>
      <c r="AI85" s="227">
        <f t="shared" si="43"/>
        <v>1.4157413153217844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45363</v>
      </c>
      <c r="B86" s="1139">
        <f>IF(t&gt;Tmaj,'2023'!Wh/'2023'!Env_an*'2024'!Env_an,0.001*'[5]mon-tableau'!$B$220)</f>
        <v>8.4636801318850861</v>
      </c>
      <c r="C86" s="866"/>
      <c r="D86" s="395">
        <f t="shared" si="25"/>
        <v>8.8772438605753123</v>
      </c>
      <c r="E86" s="387">
        <f t="shared" si="47"/>
        <v>9.7822114208793014</v>
      </c>
      <c r="F86" s="387">
        <f t="shared" si="26"/>
        <v>9.7822114208793014</v>
      </c>
      <c r="G86" s="110">
        <f t="shared" si="48"/>
        <v>0.22582655749242439</v>
      </c>
      <c r="H86" s="414" t="b">
        <f>Wh_hp&gt;='2023'!Maxi_hp</f>
        <v>0</v>
      </c>
      <c r="I86" s="392">
        <f>IF(H86,Wh_hp,'2023'!Maxi_hp)</f>
        <v>40.074289078669288</v>
      </c>
      <c r="J86" s="85">
        <f>IF(H86,An,'2023'!An_max)</f>
        <v>2021</v>
      </c>
      <c r="K86" s="199">
        <f t="shared" si="27"/>
        <v>45363</v>
      </c>
      <c r="L86" s="147">
        <f>IF(t&lt;Tvie,1-EXP((T0-t)*PertePVj)+'2023'!Pspv,1-EXP((T0-t)*PertePVj)+Pspv)</f>
        <v>4.6586951444119062E-2</v>
      </c>
      <c r="M86" s="870"/>
      <c r="N86" s="870"/>
      <c r="O86" s="48">
        <f>IF(t&lt;Tnet,'2023'!Resal+('2023'!Salim-'2023'!Resal)*(1-EXP(('2023'!Tnet-t)/('2023'!Tau_j))),Resal+(Salim-Resal)*(1-EXP((Tnet-t)/(Tau_j))))*Salcycl</f>
        <v>9.2511551976111717E-2</v>
      </c>
      <c r="P86" s="171">
        <f>(INDEX(Models!$BJ86:$BT86,,T86)*(1-R86)+INDEX(Models!$BJ86:$BT86,,T86+1)*R86-ERP_i)*Q86*Ramure*Pc/MaxiM</f>
        <v>2.2844924634791888E-2</v>
      </c>
      <c r="Q86" s="307">
        <f t="shared" si="28"/>
        <v>1</v>
      </c>
      <c r="R86" s="179">
        <f t="shared" si="29"/>
        <v>0.41643413786736838</v>
      </c>
      <c r="S86" s="837">
        <f t="shared" si="30"/>
        <v>1</v>
      </c>
      <c r="T86" s="178">
        <f t="shared" si="31"/>
        <v>7</v>
      </c>
      <c r="U86" s="253">
        <f t="shared" si="32"/>
        <v>1.4164341378673684</v>
      </c>
      <c r="V86" s="385">
        <f t="shared" si="33"/>
        <v>36.62247739580684</v>
      </c>
      <c r="W86" s="404">
        <f t="shared" si="34"/>
        <v>8.4636801318850861</v>
      </c>
      <c r="X86" s="157">
        <f t="shared" si="35"/>
        <v>45363</v>
      </c>
      <c r="Y86" s="387">
        <f t="shared" si="36"/>
        <v>8.2751973143903967</v>
      </c>
      <c r="Z86" s="387">
        <f t="shared" si="37"/>
        <v>8.6795511419994735</v>
      </c>
      <c r="AA86" s="388">
        <f t="shared" si="38"/>
        <v>9.7822114208793014</v>
      </c>
      <c r="AB86" s="199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0.11272096169648239</v>
      </c>
      <c r="AD86" s="233">
        <f>(INDEX(Models!$BJ86:$BT86,,AH86)*(1-AF86)+INDEX(Models!$BJ86:$BT86,,AH86+1)*AF86-ERP_i)*AE86*Ramure*Pc/MaxiM</f>
        <v>2.2844924634791888E-2</v>
      </c>
      <c r="AE86" s="307">
        <f t="shared" si="40"/>
        <v>1</v>
      </c>
      <c r="AF86" s="179">
        <f t="shared" si="41"/>
        <v>0.41643413786736838</v>
      </c>
      <c r="AG86" s="837">
        <f t="shared" si="49"/>
        <v>1</v>
      </c>
      <c r="AH86" s="178">
        <f t="shared" si="42"/>
        <v>7</v>
      </c>
      <c r="AI86" s="227">
        <f t="shared" si="43"/>
        <v>1.4164341378673684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45364</v>
      </c>
      <c r="B87" s="1139">
        <f>IF(t&gt;Tmaj,'2023'!Wh/'2023'!Env_an*'2024'!Env_an,0.001*'[5]mon-tableau'!$B$221)</f>
        <v>11.667096699617421</v>
      </c>
      <c r="C87" s="866"/>
      <c r="D87" s="395">
        <f t="shared" si="25"/>
        <v>12.237474863589409</v>
      </c>
      <c r="E87" s="387">
        <f t="shared" si="47"/>
        <v>13.487365141604768</v>
      </c>
      <c r="F87" s="387">
        <f t="shared" si="26"/>
        <v>13.493651927028418</v>
      </c>
      <c r="G87" s="110">
        <f t="shared" si="48"/>
        <v>0.30815723418132607</v>
      </c>
      <c r="H87" s="414" t="b">
        <f>Wh_hp&gt;='2023'!Maxi_hp</f>
        <v>0</v>
      </c>
      <c r="I87" s="392">
        <f>IF(H87,Wh_hp,'2023'!Maxi_hp)</f>
        <v>37.860664680473128</v>
      </c>
      <c r="J87" s="85">
        <f>IF(H87,An,'2023'!An_max)</f>
        <v>2020</v>
      </c>
      <c r="K87" s="199">
        <f t="shared" si="27"/>
        <v>45364</v>
      </c>
      <c r="L87" s="147">
        <f>IF(t&lt;Tvie,1-EXP((T0-t)*PertePVj)+'2023'!Pspv,1-EXP((T0-t)*PertePVj)+Pspv)</f>
        <v>4.6609138758605728E-2</v>
      </c>
      <c r="M87" s="870"/>
      <c r="N87" s="870"/>
      <c r="O87" s="48">
        <f>IF(t&lt;Tnet,'2023'!Resal+('2023'!Salim-'2023'!Resal)*(1-EXP(('2023'!Tnet-t)/('2023'!Tau_j))),Resal+(Salim-Resal)*(1-EXP((Tnet-t)/(Tau_j))))*Salcycl</f>
        <v>9.2671197442396991E-2</v>
      </c>
      <c r="P87" s="171">
        <f>(INDEX(Models!$BJ87:$BT87,,T87)*(1-R87)+INDEX(Models!$BJ87:$BT87,,T87+1)*R87-ERP_i)*Q87*Ramure*Pc/MaxiM</f>
        <v>2.1881851945083925E-2</v>
      </c>
      <c r="Q87" s="307">
        <f t="shared" si="28"/>
        <v>1</v>
      </c>
      <c r="R87" s="179">
        <f t="shared" si="29"/>
        <v>0.41715453479362119</v>
      </c>
      <c r="S87" s="837">
        <f t="shared" si="30"/>
        <v>1</v>
      </c>
      <c r="T87" s="178">
        <f t="shared" si="31"/>
        <v>7</v>
      </c>
      <c r="U87" s="253">
        <f t="shared" si="32"/>
        <v>1.4171545347936212</v>
      </c>
      <c r="V87" s="385">
        <f t="shared" si="33"/>
        <v>37.049652140894842</v>
      </c>
      <c r="W87" s="404">
        <f t="shared" si="34"/>
        <v>11.667096699617421</v>
      </c>
      <c r="X87" s="157">
        <f t="shared" si="35"/>
        <v>45364</v>
      </c>
      <c r="Y87" s="387">
        <f t="shared" si="36"/>
        <v>11.407711779645933</v>
      </c>
      <c r="Z87" s="387">
        <f t="shared" si="37"/>
        <v>11.965409197222787</v>
      </c>
      <c r="AA87" s="388">
        <f t="shared" si="38"/>
        <v>13.487365141604768</v>
      </c>
      <c r="AB87" s="199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0.1128430889505001</v>
      </c>
      <c r="AD87" s="233">
        <f>(INDEX(Models!$BJ87:$BT87,,AH87)*(1-AF87)+INDEX(Models!$BJ87:$BT87,,AH87+1)*AF87-ERP_i)*AE87*Ramure*Pc/MaxiM</f>
        <v>2.1881851945083925E-2</v>
      </c>
      <c r="AE87" s="307">
        <f t="shared" si="40"/>
        <v>1</v>
      </c>
      <c r="AF87" s="179">
        <f t="shared" si="41"/>
        <v>0.41715453479362119</v>
      </c>
      <c r="AG87" s="837">
        <f t="shared" si="49"/>
        <v>1</v>
      </c>
      <c r="AH87" s="178">
        <f t="shared" si="42"/>
        <v>7</v>
      </c>
      <c r="AI87" s="227">
        <f t="shared" si="43"/>
        <v>1.4171545347936212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45365</v>
      </c>
      <c r="B88" s="1139">
        <f>IF(t&gt;Tmaj,'2023'!Wh/'2023'!Env_an*'2024'!Env_an,0.001*'[5]mon-tableau'!$B$222)</f>
        <v>13.492652896409245</v>
      </c>
      <c r="C88" s="866"/>
      <c r="D88" s="395">
        <f t="shared" si="25"/>
        <v>14.152607756164075</v>
      </c>
      <c r="E88" s="387">
        <f t="shared" si="47"/>
        <v>15.600852033830705</v>
      </c>
      <c r="F88" s="387">
        <f t="shared" si="26"/>
        <v>15.629000333257457</v>
      </c>
      <c r="G88" s="110">
        <f t="shared" si="48"/>
        <v>0.3531321921244473</v>
      </c>
      <c r="H88" s="414" t="b">
        <f>Wh_hp&gt;='2023'!Maxi_hp</f>
        <v>0</v>
      </c>
      <c r="I88" s="392">
        <f>IF(H88,Wh_hp,'2023'!Maxi_hp)</f>
        <v>32.051148513928005</v>
      </c>
      <c r="J88" s="85">
        <f>IF(H88,An,'2023'!An_max)</f>
        <v>2020</v>
      </c>
      <c r="K88" s="199">
        <f t="shared" si="27"/>
        <v>45365</v>
      </c>
      <c r="L88" s="147">
        <f>IF(t&lt;Tvie,1-EXP((T0-t)*PertePVj)+'2023'!Pspv,1-EXP((T0-t)*PertePVj)+Pspv)</f>
        <v>4.6631325556761194E-2</v>
      </c>
      <c r="M88" s="870"/>
      <c r="N88" s="870"/>
      <c r="O88" s="48">
        <f>IF(t&lt;Tnet,'2023'!Resal+('2023'!Salim-'2023'!Resal)*(1-EXP(('2023'!Tnet-t)/('2023'!Tau_j))),Resal+(Salim-Resal)*(1-EXP((Tnet-t)/(Tau_j))))*Salcycl</f>
        <v>9.2831101437670718E-2</v>
      </c>
      <c r="P88" s="171">
        <f>(INDEX(Models!$BJ88:$BT88,,T88)*(1-R88)+INDEX(Models!$BJ88:$BT88,,T88+1)*R88-ERP_i)*Q88*Ramure*Pc/MaxiM</f>
        <v>2.0992855101154007E-2</v>
      </c>
      <c r="Q88" s="307">
        <f t="shared" si="28"/>
        <v>1</v>
      </c>
      <c r="R88" s="179">
        <f t="shared" si="29"/>
        <v>0.41790354029790544</v>
      </c>
      <c r="S88" s="837">
        <f t="shared" si="30"/>
        <v>1</v>
      </c>
      <c r="T88" s="178">
        <f t="shared" si="31"/>
        <v>7</v>
      </c>
      <c r="U88" s="253">
        <f t="shared" si="32"/>
        <v>1.4179035402979054</v>
      </c>
      <c r="V88" s="385">
        <f t="shared" si="33"/>
        <v>37.473890350641916</v>
      </c>
      <c r="W88" s="404">
        <f t="shared" si="34"/>
        <v>13.492652896409245</v>
      </c>
      <c r="X88" s="157">
        <f t="shared" si="35"/>
        <v>45365</v>
      </c>
      <c r="Y88" s="387">
        <f t="shared" si="36"/>
        <v>13.19318427190843</v>
      </c>
      <c r="Z88" s="387">
        <f t="shared" si="37"/>
        <v>13.838491473000374</v>
      </c>
      <c r="AA88" s="388">
        <f t="shared" si="38"/>
        <v>15.600852033830705</v>
      </c>
      <c r="AB88" s="199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0.11296566091445676</v>
      </c>
      <c r="AD88" s="233">
        <f>(INDEX(Models!$BJ88:$BT88,,AH88)*(1-AF88)+INDEX(Models!$BJ88:$BT88,,AH88+1)*AF88-ERP_i)*AE88*Ramure*Pc/MaxiM</f>
        <v>2.0992855101154007E-2</v>
      </c>
      <c r="AE88" s="307">
        <f t="shared" si="40"/>
        <v>1</v>
      </c>
      <c r="AF88" s="179">
        <f t="shared" si="41"/>
        <v>0.41790354029790544</v>
      </c>
      <c r="AG88" s="837">
        <f t="shared" si="49"/>
        <v>1</v>
      </c>
      <c r="AH88" s="178">
        <f t="shared" si="42"/>
        <v>7</v>
      </c>
      <c r="AI88" s="227">
        <f t="shared" si="43"/>
        <v>1.4179035402979054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45366</v>
      </c>
      <c r="B89" s="1139">
        <f>IF(t&gt;Tmaj,'2023'!Wh/'2023'!Env_an*'2024'!Env_an,0.001*'[5]mon-tableau'!$B$223)</f>
        <v>11.849634654508423</v>
      </c>
      <c r="C89" s="866"/>
      <c r="D89" s="395">
        <f t="shared" si="25"/>
        <v>12.42951518850329</v>
      </c>
      <c r="E89" s="387">
        <f t="shared" si="47"/>
        <v>13.703854869911204</v>
      </c>
      <c r="F89" s="387">
        <f t="shared" si="26"/>
        <v>13.708872873026769</v>
      </c>
      <c r="G89" s="110">
        <f t="shared" si="48"/>
        <v>0.30650299461188102</v>
      </c>
      <c r="H89" s="414" t="b">
        <f>Wh_hp&gt;='2023'!Maxi_hp</f>
        <v>0</v>
      </c>
      <c r="I89" s="392">
        <f>IF(H89,Wh_hp,'2023'!Maxi_hp)</f>
        <v>45.887721120206436</v>
      </c>
      <c r="J89" s="85">
        <f>IF(H89,An,'2023'!An_max)</f>
        <v>2020</v>
      </c>
      <c r="K89" s="199">
        <f t="shared" si="27"/>
        <v>45366</v>
      </c>
      <c r="L89" s="147">
        <f>IF(t&lt;Tvie,1-EXP((T0-t)*PertePVj)+'2023'!Pspv,1-EXP((T0-t)*PertePVj)+Pspv)</f>
        <v>4.6653511838597561E-2</v>
      </c>
      <c r="M89" s="870"/>
      <c r="N89" s="870"/>
      <c r="O89" s="48">
        <f>IF(t&lt;Tnet,'2023'!Resal+('2023'!Salim-'2023'!Resal)*(1-EXP(('2023'!Tnet-t)/('2023'!Tau_j))),Resal+(Salim-Resal)*(1-EXP((Tnet-t)/(Tau_j))))*Salcycl</f>
        <v>9.2991329337988801E-2</v>
      </c>
      <c r="P89" s="171">
        <f>(INDEX(Models!$BJ89:$BT89,,T89)*(1-R89)+INDEX(Models!$BJ89:$BT89,,T89+1)*R89-ERP_i)*Q89*Ramure*Pc/MaxiM</f>
        <v>2.0175818304153288E-2</v>
      </c>
      <c r="Q89" s="307">
        <f t="shared" si="28"/>
        <v>1</v>
      </c>
      <c r="R89" s="179">
        <f t="shared" si="29"/>
        <v>0.41868222210778616</v>
      </c>
      <c r="S89" s="837">
        <f t="shared" si="30"/>
        <v>1</v>
      </c>
      <c r="T89" s="178">
        <f t="shared" si="31"/>
        <v>7</v>
      </c>
      <c r="U89" s="253">
        <f t="shared" si="32"/>
        <v>1.4186822221077862</v>
      </c>
      <c r="V89" s="385">
        <f t="shared" si="33"/>
        <v>37.894605515061258</v>
      </c>
      <c r="W89" s="404">
        <f t="shared" si="34"/>
        <v>11.849634654508423</v>
      </c>
      <c r="X89" s="157">
        <f t="shared" si="35"/>
        <v>45366</v>
      </c>
      <c r="Y89" s="387">
        <f t="shared" si="36"/>
        <v>11.587071388601441</v>
      </c>
      <c r="Z89" s="387">
        <f t="shared" si="37"/>
        <v>12.15410297566412</v>
      </c>
      <c r="AA89" s="388">
        <f t="shared" si="38"/>
        <v>13.703854869911204</v>
      </c>
      <c r="AB89" s="199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0.11308875560626294</v>
      </c>
      <c r="AD89" s="233">
        <f>(INDEX(Models!$BJ89:$BT89,,AH89)*(1-AF89)+INDEX(Models!$BJ89:$BT89,,AH89+1)*AF89-ERP_i)*AE89*Ramure*Pc/MaxiM</f>
        <v>2.0175818304153288E-2</v>
      </c>
      <c r="AE89" s="307">
        <f t="shared" si="40"/>
        <v>1</v>
      </c>
      <c r="AF89" s="179">
        <f t="shared" si="41"/>
        <v>0.41868222210778616</v>
      </c>
      <c r="AG89" s="837">
        <f t="shared" si="49"/>
        <v>1</v>
      </c>
      <c r="AH89" s="178">
        <f t="shared" si="42"/>
        <v>7</v>
      </c>
      <c r="AI89" s="227">
        <f t="shared" si="43"/>
        <v>1.4186822221077862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45367</v>
      </c>
      <c r="B90" s="1139">
        <f>IF(t&gt;Tmaj,'2023'!Wh/'2023'!Env_an*'2024'!Env_an,0.001*'[5]mon-tableau'!$B$224)</f>
        <v>10.398305790061279</v>
      </c>
      <c r="C90" s="866"/>
      <c r="D90" s="395">
        <f t="shared" si="25"/>
        <v>10.907417091884145</v>
      </c>
      <c r="E90" s="387">
        <f t="shared" si="47"/>
        <v>12.027833194521367</v>
      </c>
      <c r="F90" s="387">
        <f t="shared" si="26"/>
        <v>12.027833194521367</v>
      </c>
      <c r="G90" s="110">
        <f t="shared" si="48"/>
        <v>0.2661435152219977</v>
      </c>
      <c r="H90" s="414" t="b">
        <f>Wh_hp&gt;='2023'!Maxi_hp</f>
        <v>0</v>
      </c>
      <c r="I90" s="392">
        <f>IF(H90,Wh_hp,'2023'!Maxi_hp)</f>
        <v>24.980493555127275</v>
      </c>
      <c r="J90" s="85">
        <f>IF(H90,An,'2023'!An_max)</f>
        <v>2021</v>
      </c>
      <c r="K90" s="199">
        <f t="shared" si="27"/>
        <v>45367</v>
      </c>
      <c r="L90" s="147">
        <f>IF(t&lt;Tvie,1-EXP((T0-t)*PertePVj)+'2023'!Pspv,1-EXP((T0-t)*PertePVj)+Pspv)</f>
        <v>4.6675697604126598E-2</v>
      </c>
      <c r="M90" s="870"/>
      <c r="N90" s="870"/>
      <c r="O90" s="48">
        <f>IF(t&lt;Tnet,'2023'!Resal+('2023'!Salim-'2023'!Resal)*(1-EXP(('2023'!Tnet-t)/('2023'!Tau_j))),Resal+(Salim-Resal)*(1-EXP((Tnet-t)/(Tau_j))))*Salcycl</f>
        <v>9.3151948860378933E-2</v>
      </c>
      <c r="P90" s="171">
        <f>(INDEX(Models!$BJ90:$BT90,,T90)*(1-R90)+INDEX(Models!$BJ90:$BT90,,T90+1)*R90-ERP_i)*Q90*Ramure*Pc/MaxiM</f>
        <v>1.942867449352266E-2</v>
      </c>
      <c r="Q90" s="307">
        <f t="shared" si="28"/>
        <v>1</v>
      </c>
      <c r="R90" s="179">
        <f t="shared" si="29"/>
        <v>0.41949168212385612</v>
      </c>
      <c r="S90" s="837">
        <f t="shared" si="30"/>
        <v>1</v>
      </c>
      <c r="T90" s="178">
        <f t="shared" si="31"/>
        <v>7</v>
      </c>
      <c r="U90" s="253">
        <f t="shared" si="32"/>
        <v>1.4194916821238561</v>
      </c>
      <c r="V90" s="385">
        <f t="shared" si="33"/>
        <v>38.311211464525321</v>
      </c>
      <c r="W90" s="404">
        <f t="shared" si="34"/>
        <v>10.398305790061279</v>
      </c>
      <c r="X90" s="157">
        <f t="shared" si="35"/>
        <v>45367</v>
      </c>
      <c r="Y90" s="387">
        <f t="shared" si="36"/>
        <v>10.168283501991082</v>
      </c>
      <c r="Z90" s="387">
        <f t="shared" si="37"/>
        <v>10.666132685840882</v>
      </c>
      <c r="AA90" s="388">
        <f t="shared" si="38"/>
        <v>12.027833194521367</v>
      </c>
      <c r="AB90" s="199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0.11321245370286101</v>
      </c>
      <c r="AD90" s="233">
        <f>(INDEX(Models!$BJ90:$BT90,,AH90)*(1-AF90)+INDEX(Models!$BJ90:$BT90,,AH90+1)*AF90-ERP_i)*AE90*Ramure*Pc/MaxiM</f>
        <v>1.942867449352266E-2</v>
      </c>
      <c r="AE90" s="307">
        <f t="shared" si="40"/>
        <v>1</v>
      </c>
      <c r="AF90" s="179">
        <f t="shared" si="41"/>
        <v>0.41949168212385612</v>
      </c>
      <c r="AG90" s="837">
        <f t="shared" si="49"/>
        <v>1</v>
      </c>
      <c r="AH90" s="178">
        <f t="shared" si="42"/>
        <v>7</v>
      </c>
      <c r="AI90" s="227">
        <f t="shared" si="43"/>
        <v>1.4194916821238561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45368</v>
      </c>
      <c r="B91" s="1139">
        <f>IF(t&gt;Tmaj,'2023'!Wh/'2023'!Env_an*'2024'!Env_an,0.001*'[5]mon-tableau'!$B$225)</f>
        <v>13.056937790019516</v>
      </c>
      <c r="C91" s="866"/>
      <c r="D91" s="395">
        <f t="shared" si="25"/>
        <v>13.696537073787976</v>
      </c>
      <c r="E91" s="387">
        <f t="shared" si="47"/>
        <v>15.106136433808549</v>
      </c>
      <c r="F91" s="387">
        <f t="shared" si="26"/>
        <v>15.121197935140248</v>
      </c>
      <c r="G91" s="110">
        <f t="shared" si="48"/>
        <v>0.33119493884011408</v>
      </c>
      <c r="H91" s="414" t="b">
        <f>Wh_hp&gt;='2023'!Maxi_hp</f>
        <v>0</v>
      </c>
      <c r="I91" s="392">
        <f>IF(H91,Wh_hp,'2023'!Maxi_hp)</f>
        <v>30.158532920094469</v>
      </c>
      <c r="J91" s="85">
        <f>IF(H91,An,'2023'!An_max)</f>
        <v>2019</v>
      </c>
      <c r="K91" s="199">
        <f t="shared" si="27"/>
        <v>45368</v>
      </c>
      <c r="L91" s="147">
        <f>IF(t&lt;Tvie,1-EXP((T0-t)*PertePVj)+'2023'!Pspv,1-EXP((T0-t)*PertePVj)+Pspv)</f>
        <v>4.6697882853360517E-2</v>
      </c>
      <c r="M91" s="870"/>
      <c r="N91" s="870"/>
      <c r="O91" s="48">
        <f>IF(t&lt;Tnet,'2023'!Resal+('2023'!Salim-'2023'!Resal)*(1-EXP(('2023'!Tnet-t)/('2023'!Tau_j))),Resal+(Salim-Resal)*(1-EXP((Tnet-t)/(Tau_j))))*Salcycl</f>
        <v>9.3313029853602791E-2</v>
      </c>
      <c r="P91" s="171">
        <f>(INDEX(Models!$BJ91:$BT91,,T91)*(1-R91)+INDEX(Models!$BJ91:$BT91,,T91+1)*R91-ERP_i)*Q91*Ramure*Pc/MaxiM</f>
        <v>1.8749412294614028E-2</v>
      </c>
      <c r="Q91" s="307">
        <f t="shared" si="28"/>
        <v>1</v>
      </c>
      <c r="R91" s="179">
        <f t="shared" si="29"/>
        <v>0.42033305703393165</v>
      </c>
      <c r="S91" s="837">
        <f t="shared" si="30"/>
        <v>1</v>
      </c>
      <c r="T91" s="178">
        <f t="shared" si="31"/>
        <v>7</v>
      </c>
      <c r="U91" s="253">
        <f t="shared" si="32"/>
        <v>1.4203330570339316</v>
      </c>
      <c r="V91" s="385">
        <f t="shared" si="33"/>
        <v>38.723122388405905</v>
      </c>
      <c r="W91" s="404">
        <f t="shared" si="34"/>
        <v>13.056937790019516</v>
      </c>
      <c r="X91" s="157">
        <f t="shared" si="35"/>
        <v>45368</v>
      </c>
      <c r="Y91" s="387">
        <f t="shared" si="36"/>
        <v>12.76858069485273</v>
      </c>
      <c r="Z91" s="387">
        <f t="shared" si="37"/>
        <v>13.394054691781024</v>
      </c>
      <c r="AA91" s="388">
        <f t="shared" si="38"/>
        <v>15.106136433808549</v>
      </c>
      <c r="AB91" s="199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0.11333683827955977</v>
      </c>
      <c r="AD91" s="233">
        <f>(INDEX(Models!$BJ91:$BT91,,AH91)*(1-AF91)+INDEX(Models!$BJ91:$BT91,,AH91+1)*AF91-ERP_i)*AE91*Ramure*Pc/MaxiM</f>
        <v>1.8749412294614028E-2</v>
      </c>
      <c r="AE91" s="307">
        <f t="shared" si="40"/>
        <v>1</v>
      </c>
      <c r="AF91" s="179">
        <f t="shared" si="41"/>
        <v>0.42033305703393165</v>
      </c>
      <c r="AG91" s="837">
        <f t="shared" si="49"/>
        <v>1</v>
      </c>
      <c r="AH91" s="178">
        <f t="shared" si="42"/>
        <v>7</v>
      </c>
      <c r="AI91" s="227">
        <f t="shared" si="43"/>
        <v>1.4203330570339316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45369</v>
      </c>
      <c r="B92" s="1139">
        <f>IF(t&gt;Tmaj,'2023'!Wh/'2023'!Env_an*'2024'!Env_an,0.001*'[5]mon-tableau'!$B$226)</f>
        <v>26.308022452546616</v>
      </c>
      <c r="C92" s="866"/>
      <c r="D92" s="395">
        <f t="shared" si="25"/>
        <v>27.597373612948243</v>
      </c>
      <c r="E92" s="387">
        <f t="shared" si="47"/>
        <v>30.443024492166781</v>
      </c>
      <c r="F92" s="387">
        <f t="shared" si="26"/>
        <v>30.739554409160696</v>
      </c>
      <c r="G92" s="110">
        <f t="shared" si="48"/>
        <v>0.66656448484936071</v>
      </c>
      <c r="H92" s="414" t="b">
        <f>Wh_hp&gt;='2023'!Maxi_hp</f>
        <v>0</v>
      </c>
      <c r="I92" s="392">
        <f>IF(H92,Wh_hp,'2023'!Maxi_hp)</f>
        <v>42.613877662343725</v>
      </c>
      <c r="J92" s="85">
        <f>IF(H92,An,'2023'!An_max)</f>
        <v>2020</v>
      </c>
      <c r="K92" s="199">
        <f t="shared" si="27"/>
        <v>45369</v>
      </c>
      <c r="L92" s="147">
        <f>IF(t&lt;Tvie,1-EXP((T0-t)*PertePVj)+'2023'!Pspv,1-EXP((T0-t)*PertePVj)+Pspv)</f>
        <v>4.6720067586311309E-2</v>
      </c>
      <c r="M92" s="870"/>
      <c r="N92" s="870"/>
      <c r="O92" s="48">
        <f>IF(t&lt;Tnet,'2023'!Resal+('2023'!Salim-'2023'!Resal)*(1-EXP(('2023'!Tnet-t)/('2023'!Tau_j))),Resal+(Salim-Resal)*(1-EXP((Tnet-t)/(Tau_j))))*Salcycl</f>
        <v>9.3474644083105032E-2</v>
      </c>
      <c r="P92" s="171">
        <f>(INDEX(Models!$BJ92:$BT92,,T92)*(1-R92)+INDEX(Models!$BJ92:$BT92,,T92+1)*R92-ERP_i)*Q92*Ramure*Pc/MaxiM</f>
        <v>1.813608198378815E-2</v>
      </c>
      <c r="Q92" s="307">
        <f t="shared" si="28"/>
        <v>1</v>
      </c>
      <c r="R92" s="179">
        <f t="shared" si="29"/>
        <v>0.42120751889382091</v>
      </c>
      <c r="S92" s="837">
        <f t="shared" si="30"/>
        <v>1</v>
      </c>
      <c r="T92" s="178">
        <f t="shared" si="31"/>
        <v>7</v>
      </c>
      <c r="U92" s="253">
        <f t="shared" si="32"/>
        <v>1.4212075188938209</v>
      </c>
      <c r="V92" s="385">
        <f t="shared" si="33"/>
        <v>39.129752855521353</v>
      </c>
      <c r="W92" s="404">
        <f t="shared" si="34"/>
        <v>26.308022452546616</v>
      </c>
      <c r="X92" s="157">
        <f t="shared" si="35"/>
        <v>45369</v>
      </c>
      <c r="Y92" s="387">
        <f t="shared" si="36"/>
        <v>25.727975064744889</v>
      </c>
      <c r="Z92" s="387">
        <f t="shared" si="37"/>
        <v>26.988898213352808</v>
      </c>
      <c r="AA92" s="388">
        <f t="shared" si="38"/>
        <v>30.443024492166781</v>
      </c>
      <c r="AB92" s="199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0.11346199454337227</v>
      </c>
      <c r="AD92" s="233">
        <f>(INDEX(Models!$BJ92:$BT92,,AH92)*(1-AF92)+INDEX(Models!$BJ92:$BT92,,AH92+1)*AF92-ERP_i)*AE92*Ramure*Pc/MaxiM</f>
        <v>1.813608198378815E-2</v>
      </c>
      <c r="AE92" s="307">
        <f t="shared" si="40"/>
        <v>1</v>
      </c>
      <c r="AF92" s="179">
        <f t="shared" si="41"/>
        <v>0.42120751889382091</v>
      </c>
      <c r="AG92" s="837">
        <f t="shared" si="49"/>
        <v>1</v>
      </c>
      <c r="AH92" s="178">
        <f t="shared" si="42"/>
        <v>7</v>
      </c>
      <c r="AI92" s="227">
        <f t="shared" si="43"/>
        <v>1.4212075188938209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45370</v>
      </c>
      <c r="B93" s="1139">
        <f>IF(t&gt;Tmaj,'2023'!Wh/'2023'!Env_an*'2024'!Env_an,0.001*'[5]mon-tableau'!$B$227)</f>
        <v>29.685140499240934</v>
      </c>
      <c r="C93" s="866"/>
      <c r="D93" s="395">
        <f t="shared" si="25"/>
        <v>31.140728260942421</v>
      </c>
      <c r="E93" s="387">
        <f t="shared" si="47"/>
        <v>34.357893717015095</v>
      </c>
      <c r="F93" s="387">
        <f t="shared" si="26"/>
        <v>34.751527064426689</v>
      </c>
      <c r="G93" s="110">
        <f t="shared" si="48"/>
        <v>0.74612926023171433</v>
      </c>
      <c r="H93" s="414" t="b">
        <f>Wh_hp&gt;='2023'!Maxi_hp</f>
        <v>0</v>
      </c>
      <c r="I93" s="392">
        <f>IF(H93,Wh_hp,'2023'!Maxi_hp)</f>
        <v>46.721665369048949</v>
      </c>
      <c r="J93" s="85">
        <f>IF(H93,An,'2023'!An_max)</f>
        <v>2019</v>
      </c>
      <c r="K93" s="199">
        <f t="shared" si="27"/>
        <v>45370</v>
      </c>
      <c r="L93" s="147">
        <f>IF(t&lt;Tvie,1-EXP((T0-t)*PertePVj)+'2023'!Pspv,1-EXP((T0-t)*PertePVj)+Pspv)</f>
        <v>4.6742251802990964E-2</v>
      </c>
      <c r="M93" s="870"/>
      <c r="N93" s="870"/>
      <c r="O93" s="48">
        <f>IF(t&lt;Tnet,'2023'!Resal+('2023'!Salim-'2023'!Resal)*(1-EXP(('2023'!Tnet-t)/('2023'!Tau_j))),Resal+(Salim-Resal)*(1-EXP((Tnet-t)/(Tau_j))))*Salcycl</f>
        <v>9.3636865011880246E-2</v>
      </c>
      <c r="P93" s="171">
        <f>(INDEX(Models!$BJ93:$BT93,,T93)*(1-R93)+INDEX(Models!$BJ93:$BT93,,T93+1)*R93-ERP_i)*Q93*Ramure*Pc/MaxiM</f>
        <v>1.7585420982549546E-2</v>
      </c>
      <c r="Q93" s="307">
        <f t="shared" si="28"/>
        <v>1</v>
      </c>
      <c r="R93" s="179">
        <f t="shared" si="29"/>
        <v>0.42211627566949095</v>
      </c>
      <c r="S93" s="837">
        <f t="shared" si="30"/>
        <v>1</v>
      </c>
      <c r="T93" s="178">
        <f t="shared" si="31"/>
        <v>7</v>
      </c>
      <c r="U93" s="253">
        <f t="shared" si="32"/>
        <v>1.4221162756694909</v>
      </c>
      <c r="V93" s="385">
        <f t="shared" si="33"/>
        <v>39.533675874171564</v>
      </c>
      <c r="W93" s="404">
        <f t="shared" si="34"/>
        <v>29.685140499240934</v>
      </c>
      <c r="X93" s="157">
        <f t="shared" si="35"/>
        <v>45370</v>
      </c>
      <c r="Y93" s="387">
        <f t="shared" si="36"/>
        <v>29.031702041472457</v>
      </c>
      <c r="Z93" s="387">
        <f t="shared" si="37"/>
        <v>30.455248956940551</v>
      </c>
      <c r="AA93" s="388">
        <f t="shared" si="38"/>
        <v>34.357893717015095</v>
      </c>
      <c r="AB93" s="199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0.1135880095624673</v>
      </c>
      <c r="AD93" s="233">
        <f>(INDEX(Models!$BJ93:$BT93,,AH93)*(1-AF93)+INDEX(Models!$BJ93:$BT93,,AH93+1)*AF93-ERP_i)*AE93*Ramure*Pc/MaxiM</f>
        <v>1.7585420982549546E-2</v>
      </c>
      <c r="AE93" s="307">
        <f t="shared" si="40"/>
        <v>1</v>
      </c>
      <c r="AF93" s="179">
        <f t="shared" si="41"/>
        <v>0.42211627566949095</v>
      </c>
      <c r="AG93" s="837">
        <f t="shared" si="49"/>
        <v>1</v>
      </c>
      <c r="AH93" s="178">
        <f t="shared" si="42"/>
        <v>7</v>
      </c>
      <c r="AI93" s="227">
        <f t="shared" si="43"/>
        <v>1.4221162756694909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45371</v>
      </c>
      <c r="B94" s="1139">
        <f>IF(t&gt;Tmaj,'2023'!Wh/'2023'!Env_an*'2024'!Env_an,0.001*'[5]mon-tableau'!$B$228)</f>
        <v>39.807951164111444</v>
      </c>
      <c r="C94" s="866"/>
      <c r="D94" s="395">
        <f t="shared" si="25"/>
        <v>41.760874905180799</v>
      </c>
      <c r="E94" s="387">
        <f t="shared" si="47"/>
        <v>46.083496131543434</v>
      </c>
      <c r="F94" s="387">
        <f t="shared" si="26"/>
        <v>46.881536772618695</v>
      </c>
      <c r="G94" s="110">
        <f t="shared" si="48"/>
        <v>0.9966873863217548</v>
      </c>
      <c r="H94" s="414" t="b">
        <f>Wh_hp&gt;='2023'!Maxi_hp</f>
        <v>0</v>
      </c>
      <c r="I94" s="392">
        <f>IF(H94,Wh_hp,'2023'!Maxi_hp)</f>
        <v>47.092775229679972</v>
      </c>
      <c r="J94" s="85">
        <f>IF(H94,An,'2023'!An_max)</f>
        <v>2020</v>
      </c>
      <c r="K94" s="199">
        <f t="shared" si="27"/>
        <v>45371</v>
      </c>
      <c r="L94" s="147">
        <f>IF(t&lt;Tvie,1-EXP((T0-t)*PertePVj)+'2023'!Pspv,1-EXP((T0-t)*PertePVj)+Pspv)</f>
        <v>4.6764435503411361E-2</v>
      </c>
      <c r="M94" s="870"/>
      <c r="N94" s="870"/>
      <c r="O94" s="48">
        <f>IF(t&lt;Tnet,'2023'!Resal+('2023'!Salim-'2023'!Resal)*(1-EXP(('2023'!Tnet-t)/('2023'!Tau_j))),Resal+(Salim-Resal)*(1-EXP((Tnet-t)/(Tau_j))))*Salcycl</f>
        <v>9.3799767578915769E-2</v>
      </c>
      <c r="P94" s="171">
        <f>(INDEX(Models!$BJ94:$BT94,,T94)*(1-R94)+INDEX(Models!$BJ94:$BT94,,T94+1)*R94-ERP_i)*Q94*Ramure*Pc/MaxiM</f>
        <v>1.7101466133582689E-2</v>
      </c>
      <c r="Q94" s="307">
        <f t="shared" si="28"/>
        <v>1</v>
      </c>
      <c r="R94" s="179">
        <f t="shared" si="29"/>
        <v>0.42306057173507128</v>
      </c>
      <c r="S94" s="837">
        <f t="shared" si="30"/>
        <v>1</v>
      </c>
      <c r="T94" s="178">
        <f t="shared" si="31"/>
        <v>7</v>
      </c>
      <c r="U94" s="253">
        <f t="shared" si="32"/>
        <v>1.4230605717350713</v>
      </c>
      <c r="V94" s="385">
        <f t="shared" si="33"/>
        <v>39.93704898710827</v>
      </c>
      <c r="W94" s="404">
        <f t="shared" si="34"/>
        <v>39.807951164111444</v>
      </c>
      <c r="X94" s="157">
        <f t="shared" si="35"/>
        <v>45371</v>
      </c>
      <c r="Y94" s="387">
        <f t="shared" si="36"/>
        <v>38.933107551843918</v>
      </c>
      <c r="Z94" s="387">
        <f t="shared" si="37"/>
        <v>40.843112659570991</v>
      </c>
      <c r="AA94" s="388">
        <f t="shared" si="38"/>
        <v>46.083496131543434</v>
      </c>
      <c r="AB94" s="199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0.11371497199374768</v>
      </c>
      <c r="AD94" s="233">
        <f>(INDEX(Models!$BJ94:$BT94,,AH94)*(1-AF94)+INDEX(Models!$BJ94:$BT94,,AH94+1)*AF94-ERP_i)*AE94*Ramure*Pc/MaxiM</f>
        <v>1.7101466133582689E-2</v>
      </c>
      <c r="AE94" s="307">
        <f t="shared" si="40"/>
        <v>1</v>
      </c>
      <c r="AF94" s="179">
        <f t="shared" si="41"/>
        <v>0.42306057173507128</v>
      </c>
      <c r="AG94" s="837">
        <f t="shared" si="49"/>
        <v>1</v>
      </c>
      <c r="AH94" s="178">
        <f t="shared" si="42"/>
        <v>7</v>
      </c>
      <c r="AI94" s="227">
        <f t="shared" si="43"/>
        <v>1.4230605717350713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45372</v>
      </c>
      <c r="B95" s="1139">
        <f>IF(t&gt;Tmaj,'2023'!Wh/'2023'!Env_an*'2024'!Env_an,0.001*'[5]mon-tableau'!$B$229)</f>
        <v>36.831183286605373</v>
      </c>
      <c r="C95" s="866"/>
      <c r="D95" s="395">
        <f t="shared" si="25"/>
        <v>38.638970044561276</v>
      </c>
      <c r="E95" s="387">
        <f t="shared" si="47"/>
        <v>42.646148331825721</v>
      </c>
      <c r="F95" s="387">
        <f t="shared" si="26"/>
        <v>43.277473010293974</v>
      </c>
      <c r="G95" s="110">
        <f t="shared" si="48"/>
        <v>0.91109861350497789</v>
      </c>
      <c r="H95" s="414" t="b">
        <f>Wh_hp&gt;='2023'!Maxi_hp</f>
        <v>0</v>
      </c>
      <c r="I95" s="392">
        <f>IF(H95,Wh_hp,'2023'!Maxi_hp)</f>
        <v>46.552413422501928</v>
      </c>
      <c r="J95" s="85">
        <f>IF(H95,An,'2023'!An_max)</f>
        <v>2020</v>
      </c>
      <c r="K95" s="199">
        <f t="shared" si="27"/>
        <v>45372</v>
      </c>
      <c r="L95" s="147">
        <f>IF(t&lt;Tvie,1-EXP((T0-t)*PertePVj)+'2023'!Pspv,1-EXP((T0-t)*PertePVj)+Pspv)</f>
        <v>4.6786618687584824E-2</v>
      </c>
      <c r="M95" s="870"/>
      <c r="N95" s="870"/>
      <c r="O95" s="48">
        <f>IF(t&lt;Tnet,'2023'!Resal+('2023'!Salim-'2023'!Resal)*(1-EXP(('2023'!Tnet-t)/('2023'!Tau_j))),Resal+(Salim-Resal)*(1-EXP((Tnet-t)/(Tau_j))))*Salcycl</f>
        <v>9.3963427976776689E-2</v>
      </c>
      <c r="P95" s="171">
        <f>(INDEX(Models!$BJ95:$BT95,,T95)*(1-R95)+INDEX(Models!$BJ95:$BT95,,T95+1)*R95-ERP_i)*Q95*Ramure*Pc/MaxiM</f>
        <v>1.6657766422646401E-2</v>
      </c>
      <c r="Q95" s="307">
        <f t="shared" si="28"/>
        <v>1</v>
      </c>
      <c r="R95" s="179">
        <f t="shared" si="29"/>
        <v>0.42404168832071587</v>
      </c>
      <c r="S95" s="837">
        <f t="shared" si="30"/>
        <v>1</v>
      </c>
      <c r="T95" s="178">
        <f t="shared" si="31"/>
        <v>7</v>
      </c>
      <c r="U95" s="253">
        <f t="shared" si="32"/>
        <v>1.4240416883207159</v>
      </c>
      <c r="V95" s="385">
        <f t="shared" si="33"/>
        <v>40.34010824242656</v>
      </c>
      <c r="W95" s="404">
        <f t="shared" si="34"/>
        <v>36.831183286605373</v>
      </c>
      <c r="X95" s="157">
        <f t="shared" si="35"/>
        <v>45372</v>
      </c>
      <c r="Y95" s="387">
        <f t="shared" si="36"/>
        <v>36.023062350651351</v>
      </c>
      <c r="Z95" s="387">
        <f t="shared" si="37"/>
        <v>37.791184069461579</v>
      </c>
      <c r="AA95" s="388">
        <f t="shared" si="38"/>
        <v>42.646148331825721</v>
      </c>
      <c r="AB95" s="199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0.11384297181044606</v>
      </c>
      <c r="AD95" s="233">
        <f>(INDEX(Models!$BJ95:$BT95,,AH95)*(1-AF95)+INDEX(Models!$BJ95:$BT95,,AH95+1)*AF95-ERP_i)*AE95*Ramure*Pc/MaxiM</f>
        <v>1.6657766422646401E-2</v>
      </c>
      <c r="AE95" s="307">
        <f t="shared" si="40"/>
        <v>1</v>
      </c>
      <c r="AF95" s="179">
        <f t="shared" si="41"/>
        <v>0.42404168832071587</v>
      </c>
      <c r="AG95" s="837">
        <f t="shared" si="49"/>
        <v>1</v>
      </c>
      <c r="AH95" s="178">
        <f t="shared" si="42"/>
        <v>7</v>
      </c>
      <c r="AI95" s="227">
        <f t="shared" si="43"/>
        <v>1.4240416883207159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45373</v>
      </c>
      <c r="B96" s="1139">
        <f>IF(t&gt;Tmaj,'2023'!Wh/'2023'!Env_an*'2024'!Env_an,0.001*'[5]mon-tableau'!$B$230)</f>
        <v>41.627515183961158</v>
      </c>
      <c r="C96" s="866"/>
      <c r="D96" s="395">
        <f t="shared" si="25"/>
        <v>43.671736838484456</v>
      </c>
      <c r="E96" s="387">
        <f t="shared" si="47"/>
        <v>48.209607038372603</v>
      </c>
      <c r="F96" s="387">
        <f t="shared" si="26"/>
        <v>49.006133505479987</v>
      </c>
      <c r="G96" s="110">
        <f t="shared" si="48"/>
        <v>1.0217330990973439</v>
      </c>
      <c r="H96" s="414" t="b">
        <f>Wh_hp&gt;='2023'!Maxi_hp</f>
        <v>1</v>
      </c>
      <c r="I96" s="392">
        <f>IF(H96,Wh_hp,'2023'!Maxi_hp)</f>
        <v>49.006133505479987</v>
      </c>
      <c r="J96" s="85">
        <f>IF(H96,An,'2023'!An_max)</f>
        <v>2024</v>
      </c>
      <c r="K96" s="199">
        <f t="shared" si="27"/>
        <v>45373</v>
      </c>
      <c r="L96" s="147">
        <f>IF(t&lt;Tvie,1-EXP((T0-t)*PertePVj)+'2023'!Pspv,1-EXP((T0-t)*PertePVj)+Pspv)</f>
        <v>4.6808801355523011E-2</v>
      </c>
      <c r="M96" s="870"/>
      <c r="N96" s="870"/>
      <c r="O96" s="48">
        <f>IF(t&lt;Tnet,'2023'!Resal+('2023'!Salim-'2023'!Resal)*(1-EXP(('2023'!Tnet-t)/('2023'!Tau_j))),Resal+(Salim-Resal)*(1-EXP((Tnet-t)/(Tau_j))))*Salcycl</f>
        <v>9.4127923429788873E-2</v>
      </c>
      <c r="P96" s="171">
        <f>(INDEX(Models!$BJ96:$BT96,,T96)*(1-R96)+INDEX(Models!$BJ96:$BT96,,T96+1)*R96-ERP_i)*Q96*Ramure*Pc/MaxiM</f>
        <v>1.625360766358596E-2</v>
      </c>
      <c r="Q96" s="307">
        <f t="shared" si="28"/>
        <v>1</v>
      </c>
      <c r="R96" s="179">
        <f t="shared" si="29"/>
        <v>0.42506094390392835</v>
      </c>
      <c r="S96" s="837">
        <f t="shared" si="30"/>
        <v>1</v>
      </c>
      <c r="T96" s="178">
        <f t="shared" si="31"/>
        <v>7</v>
      </c>
      <c r="U96" s="253">
        <f t="shared" si="32"/>
        <v>1.4250609439039283</v>
      </c>
      <c r="V96" s="385">
        <f t="shared" si="33"/>
        <v>40.742063872392144</v>
      </c>
      <c r="W96" s="404">
        <f t="shared" si="34"/>
        <v>41.627515183961158</v>
      </c>
      <c r="X96" s="157">
        <f t="shared" si="35"/>
        <v>45373</v>
      </c>
      <c r="Y96" s="387">
        <f t="shared" si="36"/>
        <v>40.715616270012944</v>
      </c>
      <c r="Z96" s="387">
        <f t="shared" si="37"/>
        <v>42.715056882516528</v>
      </c>
      <c r="AA96" s="388">
        <f t="shared" si="38"/>
        <v>48.209607038372603</v>
      </c>
      <c r="AB96" s="199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0.11397210003148682</v>
      </c>
      <c r="AD96" s="233">
        <f>(INDEX(Models!$BJ96:$BT96,,AH96)*(1-AF96)+INDEX(Models!$BJ96:$BT96,,AH96+1)*AF96-ERP_i)*AE96*Ramure*Pc/MaxiM</f>
        <v>1.625360766358596E-2</v>
      </c>
      <c r="AE96" s="307">
        <f t="shared" si="40"/>
        <v>1</v>
      </c>
      <c r="AF96" s="179">
        <f t="shared" si="41"/>
        <v>0.42506094390392835</v>
      </c>
      <c r="AG96" s="837">
        <f t="shared" si="49"/>
        <v>1</v>
      </c>
      <c r="AH96" s="178">
        <f t="shared" si="42"/>
        <v>7</v>
      </c>
      <c r="AI96" s="227">
        <f t="shared" si="43"/>
        <v>1.4250609439039283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45374</v>
      </c>
      <c r="B97" s="1139">
        <f>IF(t&gt;Tmaj,'2023'!Wh/'2023'!Env_an*'2024'!Env_an,0.001*'[5]mon-tableau'!$B$231)</f>
        <v>41.045189081383</v>
      </c>
      <c r="C97" s="866"/>
      <c r="D97" s="395">
        <f t="shared" si="25"/>
        <v>43.06181628984443</v>
      </c>
      <c r="E97" s="387">
        <f t="shared" si="47"/>
        <v>47.544992004646822</v>
      </c>
      <c r="F97" s="387">
        <f t="shared" si="26"/>
        <v>48.309970765911721</v>
      </c>
      <c r="G97" s="110">
        <f t="shared" si="48"/>
        <v>0.99758963775695875</v>
      </c>
      <c r="H97" s="414" t="b">
        <f>Wh_hp&gt;='2023'!Maxi_hp</f>
        <v>0</v>
      </c>
      <c r="I97" s="392">
        <f>IF(H97,Wh_hp,'2023'!Maxi_hp)</f>
        <v>48.311210366969917</v>
      </c>
      <c r="J97" s="85">
        <f>IF(H97,An,'2023'!An_max)</f>
        <v>2022</v>
      </c>
      <c r="K97" s="199">
        <f t="shared" si="27"/>
        <v>45374</v>
      </c>
      <c r="L97" s="147">
        <f>IF(t&lt;Tvie,1-EXP((T0-t)*PertePVj)+'2023'!Pspv,1-EXP((T0-t)*PertePVj)+Pspv)</f>
        <v>4.6830983507238244E-2</v>
      </c>
      <c r="M97" s="870"/>
      <c r="N97" s="870"/>
      <c r="O97" s="48">
        <f>IF(t&lt;Tnet,'2023'!Resal+('2023'!Salim-'2023'!Resal)*(1-EXP(('2023'!Tnet-t)/('2023'!Tau_j))),Resal+(Salim-Resal)*(1-EXP((Tnet-t)/(Tau_j))))*Salcycl</f>
        <v>9.4293331974148312E-2</v>
      </c>
      <c r="P97" s="171">
        <f>(INDEX(Models!$BJ97:$BT97,,T97)*(1-R97)+INDEX(Models!$BJ97:$BT97,,T97+1)*R97-ERP_i)*Q97*Ramure*Pc/MaxiM</f>
        <v>1.5888279585523572E-2</v>
      </c>
      <c r="Q97" s="307">
        <f t="shared" si="28"/>
        <v>1</v>
      </c>
      <c r="R97" s="179">
        <f t="shared" si="29"/>
        <v>0.42611969453751208</v>
      </c>
      <c r="S97" s="837">
        <f t="shared" si="30"/>
        <v>1</v>
      </c>
      <c r="T97" s="178">
        <f t="shared" si="31"/>
        <v>7</v>
      </c>
      <c r="U97" s="253">
        <f t="shared" si="32"/>
        <v>1.4261196945375121</v>
      </c>
      <c r="V97" s="385">
        <f t="shared" si="33"/>
        <v>41.142126142468442</v>
      </c>
      <c r="W97" s="404">
        <f t="shared" si="34"/>
        <v>41.045189081383</v>
      </c>
      <c r="X97" s="157">
        <f t="shared" si="35"/>
        <v>45374</v>
      </c>
      <c r="Y97" s="387">
        <f t="shared" si="36"/>
        <v>40.147471354261633</v>
      </c>
      <c r="Z97" s="387">
        <f t="shared" si="37"/>
        <v>42.119992005181281</v>
      </c>
      <c r="AA97" s="388">
        <f t="shared" si="38"/>
        <v>47.544992004646822</v>
      </c>
      <c r="AB97" s="199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0.11410244845419949</v>
      </c>
      <c r="AD97" s="233">
        <f>(INDEX(Models!$BJ97:$BT97,,AH97)*(1-AF97)+INDEX(Models!$BJ97:$BT97,,AH97+1)*AF97-ERP_i)*AE97*Ramure*Pc/MaxiM</f>
        <v>1.5888279585523572E-2</v>
      </c>
      <c r="AE97" s="307">
        <f t="shared" si="40"/>
        <v>1</v>
      </c>
      <c r="AF97" s="179">
        <f t="shared" si="41"/>
        <v>0.42611969453751208</v>
      </c>
      <c r="AG97" s="837">
        <f t="shared" si="49"/>
        <v>1</v>
      </c>
      <c r="AH97" s="178">
        <f t="shared" si="42"/>
        <v>7</v>
      </c>
      <c r="AI97" s="227">
        <f t="shared" si="43"/>
        <v>1.4261196945375121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45375</v>
      </c>
      <c r="B98" s="1139">
        <f>IF(t&gt;Tmaj,'2023'!Wh/'2023'!Env_an*'2024'!Env_an,0.001*'[5]mon-tableau'!$B$232)</f>
        <v>37.577879524353072</v>
      </c>
      <c r="C98" s="866"/>
      <c r="D98" s="395">
        <f t="shared" si="25"/>
        <v>39.425068782797453</v>
      </c>
      <c r="E98" s="387">
        <f t="shared" si="47"/>
        <v>43.537620784519646</v>
      </c>
      <c r="F98" s="387">
        <f t="shared" si="26"/>
        <v>44.130782422264446</v>
      </c>
      <c r="G98" s="110">
        <f t="shared" si="48"/>
        <v>0.90268589827772361</v>
      </c>
      <c r="H98" s="414" t="b">
        <f>Wh_hp&gt;='2023'!Maxi_hp</f>
        <v>0</v>
      </c>
      <c r="I98" s="392">
        <f>IF(H98,Wh_hp,'2023'!Maxi_hp)</f>
        <v>46.669924770661282</v>
      </c>
      <c r="J98" s="85">
        <f>IF(H98,An,'2023'!An_max)</f>
        <v>2020</v>
      </c>
      <c r="K98" s="199">
        <f t="shared" si="27"/>
        <v>45375</v>
      </c>
      <c r="L98" s="147">
        <f>IF(t&lt;Tvie,1-EXP((T0-t)*PertePVj)+'2023'!Pspv,1-EXP((T0-t)*PertePVj)+Pspv)</f>
        <v>4.6853165142742292E-2</v>
      </c>
      <c r="M98" s="870"/>
      <c r="N98" s="870"/>
      <c r="O98" s="48">
        <f>IF(t&lt;Tnet,'2023'!Resal+('2023'!Salim-'2023'!Resal)*(1-EXP(('2023'!Tnet-t)/('2023'!Tau_j))),Resal+(Salim-Resal)*(1-EXP((Tnet-t)/(Tau_j))))*Salcycl</f>
        <v>9.4459732241143984E-2</v>
      </c>
      <c r="P98" s="171">
        <f>(INDEX(Models!$BJ98:$BT98,,T98)*(1-R98)+INDEX(Models!$BJ98:$BT98,,T98+1)*R98-ERP_i)*Q98*Ramure*Pc/MaxiM</f>
        <v>1.5561083447065688E-2</v>
      </c>
      <c r="Q98" s="307">
        <f t="shared" si="28"/>
        <v>1</v>
      </c>
      <c r="R98" s="179">
        <f t="shared" si="29"/>
        <v>0.4272193341068582</v>
      </c>
      <c r="S98" s="837">
        <f t="shared" si="30"/>
        <v>1</v>
      </c>
      <c r="T98" s="178">
        <f t="shared" si="31"/>
        <v>7</v>
      </c>
      <c r="U98" s="253">
        <f t="shared" si="32"/>
        <v>1.4272193341068582</v>
      </c>
      <c r="V98" s="385">
        <f t="shared" si="33"/>
        <v>41.539505342781737</v>
      </c>
      <c r="W98" s="404">
        <f t="shared" si="34"/>
        <v>37.577879524353072</v>
      </c>
      <c r="X98" s="157">
        <f t="shared" si="35"/>
        <v>45375</v>
      </c>
      <c r="Y98" s="387">
        <f t="shared" si="36"/>
        <v>36.757287454963155</v>
      </c>
      <c r="Z98" s="387">
        <f t="shared" si="37"/>
        <v>38.564139449162511</v>
      </c>
      <c r="AA98" s="388">
        <f t="shared" si="38"/>
        <v>43.537620784519646</v>
      </c>
      <c r="AB98" s="199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0.1142341093917911</v>
      </c>
      <c r="AD98" s="233">
        <f>(INDEX(Models!$BJ98:$BT98,,AH98)*(1-AF98)+INDEX(Models!$BJ98:$BT98,,AH98+1)*AF98-ERP_i)*AE98*Ramure*Pc/MaxiM</f>
        <v>1.5561083447065688E-2</v>
      </c>
      <c r="AE98" s="307">
        <f t="shared" si="40"/>
        <v>1</v>
      </c>
      <c r="AF98" s="179">
        <f t="shared" si="41"/>
        <v>0.4272193341068582</v>
      </c>
      <c r="AG98" s="837">
        <f t="shared" si="49"/>
        <v>1</v>
      </c>
      <c r="AH98" s="178">
        <f t="shared" si="42"/>
        <v>7</v>
      </c>
      <c r="AI98" s="227">
        <f t="shared" si="43"/>
        <v>1.4272193341068582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45376</v>
      </c>
      <c r="B99" s="1139">
        <f>IF(t&gt;Tmaj,'2023'!Wh/'2023'!Env_an*'2024'!Env_an,0.001*'[5]mon-tableau'!$B$233)</f>
        <v>40.586997262256745</v>
      </c>
      <c r="C99" s="866"/>
      <c r="D99" s="395">
        <f t="shared" si="25"/>
        <v>42.583094564895738</v>
      </c>
      <c r="E99" s="387">
        <f t="shared" si="47"/>
        <v>47.033768539874515</v>
      </c>
      <c r="F99" s="387">
        <f t="shared" si="26"/>
        <v>47.729224187103114</v>
      </c>
      <c r="G99" s="110">
        <f t="shared" si="48"/>
        <v>0.96720358896574177</v>
      </c>
      <c r="H99" s="414" t="b">
        <f>Wh_hp&gt;='2023'!Maxi_hp</f>
        <v>0</v>
      </c>
      <c r="I99" s="392">
        <f>IF(H99,Wh_hp,'2023'!Maxi_hp)</f>
        <v>49.897175948996292</v>
      </c>
      <c r="J99" s="85">
        <f>IF(H99,An,'2023'!An_max)</f>
        <v>2019</v>
      </c>
      <c r="K99" s="199">
        <f t="shared" si="27"/>
        <v>45376</v>
      </c>
      <c r="L99" s="147">
        <f>IF(t&lt;Tvie,1-EXP((T0-t)*PertePVj)+'2023'!Pspv,1-EXP((T0-t)*PertePVj)+Pspv)</f>
        <v>4.6875346262047368E-2</v>
      </c>
      <c r="M99" s="870"/>
      <c r="N99" s="870"/>
      <c r="O99" s="48">
        <f>IF(t&lt;Tnet,'2023'!Resal+('2023'!Salim-'2023'!Resal)*(1-EXP(('2023'!Tnet-t)/('2023'!Tau_j))),Resal+(Salim-Resal)*(1-EXP((Tnet-t)/(Tau_j))))*Salcycl</f>
        <v>9.4627203244527613E-2</v>
      </c>
      <c r="P99" s="171">
        <f>(INDEX(Models!$BJ99:$BT99,,T99)*(1-R99)+INDEX(Models!$BJ99:$BT99,,T99+1)*R99-ERP_i)*Q99*Ramure*Pc/MaxiM</f>
        <v>1.5271338993056131E-2</v>
      </c>
      <c r="Q99" s="307">
        <f t="shared" si="28"/>
        <v>1</v>
      </c>
      <c r="R99" s="179">
        <f t="shared" si="29"/>
        <v>0.42836129450882332</v>
      </c>
      <c r="S99" s="837">
        <f t="shared" si="30"/>
        <v>1</v>
      </c>
      <c r="T99" s="178">
        <f t="shared" si="31"/>
        <v>7</v>
      </c>
      <c r="U99" s="253">
        <f t="shared" si="32"/>
        <v>1.4283612945088233</v>
      </c>
      <c r="V99" s="385">
        <f t="shared" si="33"/>
        <v>41.933411783125344</v>
      </c>
      <c r="W99" s="404">
        <f t="shared" si="34"/>
        <v>40.586997262256745</v>
      </c>
      <c r="X99" s="157">
        <f t="shared" si="35"/>
        <v>45376</v>
      </c>
      <c r="Y99" s="387">
        <f t="shared" si="36"/>
        <v>39.702073174208238</v>
      </c>
      <c r="Z99" s="387">
        <f t="shared" si="37"/>
        <v>41.654649282761845</v>
      </c>
      <c r="AA99" s="388">
        <f t="shared" si="38"/>
        <v>47.033768539874515</v>
      </c>
      <c r="AB99" s="199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0.11436717541679307</v>
      </c>
      <c r="AD99" s="233">
        <f>(INDEX(Models!$BJ99:$BT99,,AH99)*(1-AF99)+INDEX(Models!$BJ99:$BT99,,AH99+1)*AF99-ERP_i)*AE99*Ramure*Pc/MaxiM</f>
        <v>1.5271338993056131E-2</v>
      </c>
      <c r="AE99" s="307">
        <f t="shared" si="40"/>
        <v>1</v>
      </c>
      <c r="AF99" s="179">
        <f t="shared" si="41"/>
        <v>0.42836129450882332</v>
      </c>
      <c r="AG99" s="837">
        <f t="shared" si="49"/>
        <v>1</v>
      </c>
      <c r="AH99" s="178">
        <f t="shared" si="42"/>
        <v>7</v>
      </c>
      <c r="AI99" s="227">
        <f t="shared" si="43"/>
        <v>1.4283612945088233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45377</v>
      </c>
      <c r="B100" s="1139">
        <f>IF(t&gt;Tmaj,'2023'!Wh/'2023'!Env_an*'2024'!Env_an,0.001*'[5]mon-tableau'!$B$234)</f>
        <v>40.072110804405597</v>
      </c>
      <c r="C100" s="866"/>
      <c r="D100" s="395">
        <f t="shared" si="25"/>
        <v>42.043864048117548</v>
      </c>
      <c r="E100" s="387">
        <f t="shared" si="47"/>
        <v>46.446829534012494</v>
      </c>
      <c r="F100" s="387">
        <f t="shared" si="26"/>
        <v>47.100279287628105</v>
      </c>
      <c r="G100" s="110">
        <f t="shared" si="48"/>
        <v>0.94571599077307089</v>
      </c>
      <c r="H100" s="414" t="b">
        <f>Wh_hp&gt;='2023'!Maxi_hp</f>
        <v>0</v>
      </c>
      <c r="I100" s="392">
        <f>IF(H100,Wh_hp,'2023'!Maxi_hp)</f>
        <v>49.221953168491268</v>
      </c>
      <c r="J100" s="85">
        <f>IF(H100,An,'2023'!An_max)</f>
        <v>2019</v>
      </c>
      <c r="K100" s="199">
        <f t="shared" si="27"/>
        <v>45377</v>
      </c>
      <c r="L100" s="147">
        <f>IF(t&lt;Tvie,1-EXP((T0-t)*PertePVj)+'2023'!Pspv,1-EXP((T0-t)*PertePVj)+Pspv)</f>
        <v>4.6897526865165351E-2</v>
      </c>
      <c r="M100" s="870"/>
      <c r="N100" s="870"/>
      <c r="O100" s="48">
        <f>IF(t&lt;Tnet,'2023'!Resal+('2023'!Salim-'2023'!Resal)*(1-EXP(('2023'!Tnet-t)/('2023'!Tau_j))),Resal+(Salim-Resal)*(1-EXP((Tnet-t)/(Tau_j))))*Salcycl</f>
        <v>9.479582417290075E-2</v>
      </c>
      <c r="P100" s="171">
        <f>(INDEX(Models!$BJ100:$BT100,,T100)*(1-R100)+INDEX(Models!$BJ100:$BT100,,T100+1)*R100-ERP_i)*Q100*Ramure*Pc/MaxiM</f>
        <v>1.5014439243092471E-2</v>
      </c>
      <c r="Q100" s="307">
        <f t="shared" si="28"/>
        <v>1</v>
      </c>
      <c r="R100" s="179">
        <f t="shared" si="29"/>
        <v>0.42954704574397362</v>
      </c>
      <c r="S100" s="837">
        <f t="shared" si="30"/>
        <v>1</v>
      </c>
      <c r="T100" s="178">
        <f t="shared" si="31"/>
        <v>7</v>
      </c>
      <c r="U100" s="253">
        <f t="shared" si="32"/>
        <v>1.4295470457439736</v>
      </c>
      <c r="V100" s="385">
        <f t="shared" si="33"/>
        <v>42.323225582679683</v>
      </c>
      <c r="W100" s="404">
        <f t="shared" si="34"/>
        <v>40.072110804405597</v>
      </c>
      <c r="X100" s="157">
        <f t="shared" si="35"/>
        <v>45377</v>
      </c>
      <c r="Y100" s="387">
        <f t="shared" si="36"/>
        <v>39.199757772891992</v>
      </c>
      <c r="Z100" s="387">
        <f t="shared" si="37"/>
        <v>41.128586776152908</v>
      </c>
      <c r="AA100" s="388">
        <f t="shared" si="38"/>
        <v>46.446829534012494</v>
      </c>
      <c r="AB100" s="199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0.11450173911149519</v>
      </c>
      <c r="AD100" s="233">
        <f>(INDEX(Models!$BJ100:$BT100,,AH100)*(1-AF100)+INDEX(Models!$BJ100:$BT100,,AH100+1)*AF100-ERP_i)*AE100*Ramure*Pc/MaxiM</f>
        <v>1.5014439243092471E-2</v>
      </c>
      <c r="AE100" s="307">
        <f t="shared" si="40"/>
        <v>1</v>
      </c>
      <c r="AF100" s="179">
        <f t="shared" si="41"/>
        <v>0.42954704574397362</v>
      </c>
      <c r="AG100" s="837">
        <f t="shared" si="49"/>
        <v>1</v>
      </c>
      <c r="AH100" s="178">
        <f t="shared" si="42"/>
        <v>7</v>
      </c>
      <c r="AI100" s="227">
        <f t="shared" si="43"/>
        <v>1.4295470457439736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45378</v>
      </c>
      <c r="B101" s="1139">
        <f>IF(t&gt;Tmaj,'2023'!Wh/'2023'!Env_an*'2024'!Env_an,0.001*'[5]mon-tableau'!$B$235)</f>
        <v>31.170302375618515</v>
      </c>
      <c r="C101" s="866"/>
      <c r="D101" s="395">
        <f t="shared" si="25"/>
        <v>32.704802106376384</v>
      </c>
      <c r="E101" s="387">
        <f t="shared" si="47"/>
        <v>36.136532254759473</v>
      </c>
      <c r="F101" s="387">
        <f t="shared" si="26"/>
        <v>36.467173244619246</v>
      </c>
      <c r="G101" s="110">
        <f t="shared" si="48"/>
        <v>0.72562908385286828</v>
      </c>
      <c r="H101" s="414" t="b">
        <f>Wh_hp&gt;='2023'!Maxi_hp</f>
        <v>0</v>
      </c>
      <c r="I101" s="392">
        <f>IF(H101,Wh_hp,'2023'!Maxi_hp)</f>
        <v>48.35240667023605</v>
      </c>
      <c r="J101" s="85">
        <f>IF(H101,An,'2023'!An_max)</f>
        <v>2021</v>
      </c>
      <c r="K101" s="199">
        <f t="shared" si="27"/>
        <v>45378</v>
      </c>
      <c r="L101" s="147">
        <f>IF(t&lt;Tvie,1-EXP((T0-t)*PertePVj)+'2023'!Pspv,1-EXP((T0-t)*PertePVj)+Pspv)</f>
        <v>4.6919706952108231E-2</v>
      </c>
      <c r="M101" s="870"/>
      <c r="N101" s="870"/>
      <c r="O101" s="48">
        <f>IF(t&lt;Tnet,'2023'!Resal+('2023'!Salim-'2023'!Resal)*(1-EXP(('2023'!Tnet-t)/('2023'!Tau_j))),Resal+(Salim-Resal)*(1-EXP((Tnet-t)/(Tau_j))))*Salcycl</f>
        <v>9.4965674187818636E-2</v>
      </c>
      <c r="P101" s="171">
        <f>(INDEX(Models!$BJ101:$BT101,,T101)*(1-R101)+INDEX(Models!$BJ101:$BT101,,T101+1)*R101-ERP_i)*Q101*Ramure*Pc/MaxiM</f>
        <v>1.4765884597111081E-2</v>
      </c>
      <c r="Q101" s="307">
        <f t="shared" si="28"/>
        <v>1</v>
      </c>
      <c r="R101" s="179">
        <f t="shared" si="29"/>
        <v>0.43077809591350369</v>
      </c>
      <c r="S101" s="837">
        <f t="shared" si="30"/>
        <v>1</v>
      </c>
      <c r="T101" s="178">
        <f t="shared" si="31"/>
        <v>7</v>
      </c>
      <c r="U101" s="253">
        <f t="shared" si="32"/>
        <v>1.4307780959135037</v>
      </c>
      <c r="V101" s="385">
        <f t="shared" si="33"/>
        <v>42.709196551026011</v>
      </c>
      <c r="W101" s="404">
        <f t="shared" si="34"/>
        <v>31.170302375618515</v>
      </c>
      <c r="X101" s="157">
        <f t="shared" si="35"/>
        <v>45378</v>
      </c>
      <c r="Y101" s="387">
        <f t="shared" si="36"/>
        <v>30.492771163963766</v>
      </c>
      <c r="Z101" s="387">
        <f t="shared" si="37"/>
        <v>31.99391634302895</v>
      </c>
      <c r="AA101" s="388">
        <f t="shared" si="38"/>
        <v>36.136532254759473</v>
      </c>
      <c r="AB101" s="199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0.11463789282616921</v>
      </c>
      <c r="AD101" s="233">
        <f>(INDEX(Models!$BJ101:$BT101,,AH101)*(1-AF101)+INDEX(Models!$BJ101:$BT101,,AH101+1)*AF101-ERP_i)*AE101*Ramure*Pc/MaxiM</f>
        <v>1.4765884597111081E-2</v>
      </c>
      <c r="AE101" s="307">
        <f t="shared" si="40"/>
        <v>1</v>
      </c>
      <c r="AF101" s="179">
        <f t="shared" si="41"/>
        <v>0.43077809591350369</v>
      </c>
      <c r="AG101" s="837">
        <f t="shared" si="49"/>
        <v>1</v>
      </c>
      <c r="AH101" s="178">
        <f t="shared" si="42"/>
        <v>7</v>
      </c>
      <c r="AI101" s="227">
        <f t="shared" si="43"/>
        <v>1.4307780959135037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45379</v>
      </c>
      <c r="B102" s="1139">
        <f>IF(t&gt;Tmaj,'2023'!Wh/'2023'!Env_an*'2024'!Env_an,0.001*'[5]mon-tableau'!$B$236)</f>
        <v>25.739966300643125</v>
      </c>
      <c r="C102" s="866"/>
      <c r="D102" s="395">
        <f t="shared" si="25"/>
        <v>27.007761579967163</v>
      </c>
      <c r="E102" s="387">
        <f t="shared" si="47"/>
        <v>29.847343269006188</v>
      </c>
      <c r="F102" s="387">
        <f t="shared" si="26"/>
        <v>30.032651893686474</v>
      </c>
      <c r="G102" s="110">
        <f t="shared" si="48"/>
        <v>0.59232402269564877</v>
      </c>
      <c r="H102" s="414" t="b">
        <f>Wh_hp&gt;='2023'!Maxi_hp</f>
        <v>0</v>
      </c>
      <c r="I102" s="392">
        <f>IF(H102,Wh_hp,'2023'!Maxi_hp)</f>
        <v>50.374159928114452</v>
      </c>
      <c r="J102" s="85">
        <f>IF(H102,An,'2023'!An_max)</f>
        <v>2021</v>
      </c>
      <c r="K102" s="199">
        <f t="shared" si="27"/>
        <v>45379</v>
      </c>
      <c r="L102" s="147">
        <f>IF(t&lt;Tvie,1-EXP((T0-t)*PertePVj)+'2023'!Pspv,1-EXP((T0-t)*PertePVj)+Pspv)</f>
        <v>4.6941886522888221E-2</v>
      </c>
      <c r="M102" s="870"/>
      <c r="N102" s="870"/>
      <c r="O102" s="48">
        <f>IF(t&lt;Tnet,'2023'!Resal+('2023'!Salim-'2023'!Resal)*(1-EXP(('2023'!Tnet-t)/('2023'!Tau_j))),Resal+(Salim-Resal)*(1-EXP((Tnet-t)/(Tau_j))))*Salcycl</f>
        <v>9.5136832228135959E-2</v>
      </c>
      <c r="P102" s="171">
        <f>(INDEX(Models!$BJ102:$BT102,,T102)*(1-R102)+INDEX(Models!$BJ102:$BT102,,T102+1)*R102-ERP_i)*Q102*Ramure*Pc/MaxiM</f>
        <v>1.4525721279801637E-2</v>
      </c>
      <c r="Q102" s="307">
        <f t="shared" si="28"/>
        <v>1</v>
      </c>
      <c r="R102" s="179">
        <f t="shared" si="29"/>
        <v>0.43205599111164461</v>
      </c>
      <c r="S102" s="837">
        <f t="shared" si="30"/>
        <v>1</v>
      </c>
      <c r="T102" s="178">
        <f t="shared" si="31"/>
        <v>7</v>
      </c>
      <c r="U102" s="253">
        <f t="shared" si="32"/>
        <v>1.4320559911116446</v>
      </c>
      <c r="V102" s="385">
        <f t="shared" si="33"/>
        <v>43.090538634375946</v>
      </c>
      <c r="W102" s="404">
        <f t="shared" si="34"/>
        <v>25.739966300643125</v>
      </c>
      <c r="X102" s="157">
        <f t="shared" si="35"/>
        <v>45379</v>
      </c>
      <c r="Y102" s="387">
        <f t="shared" si="36"/>
        <v>25.181313296713327</v>
      </c>
      <c r="Z102" s="387">
        <f t="shared" si="37"/>
        <v>26.421592703138003</v>
      </c>
      <c r="AA102" s="388">
        <f t="shared" si="38"/>
        <v>29.847343269006188</v>
      </c>
      <c r="AB102" s="199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0.11477572844567116</v>
      </c>
      <c r="AD102" s="233">
        <f>(INDEX(Models!$BJ102:$BT102,,AH102)*(1-AF102)+INDEX(Models!$BJ102:$BT102,,AH102+1)*AF102-ERP_i)*AE102*Ramure*Pc/MaxiM</f>
        <v>1.4525721279801637E-2</v>
      </c>
      <c r="AE102" s="307">
        <f t="shared" si="40"/>
        <v>1</v>
      </c>
      <c r="AF102" s="179">
        <f t="shared" si="41"/>
        <v>0.43205599111164461</v>
      </c>
      <c r="AG102" s="837">
        <f t="shared" si="49"/>
        <v>1</v>
      </c>
      <c r="AH102" s="178">
        <f t="shared" si="42"/>
        <v>7</v>
      </c>
      <c r="AI102" s="227">
        <f t="shared" si="43"/>
        <v>1.4320559911116446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45380</v>
      </c>
      <c r="B103" s="1139">
        <f>IF(t&gt;Tmaj,'2023'!Wh/'2023'!Env_an*'2024'!Env_an,0.001*'[5]mon-tableau'!$B$237)</f>
        <v>7.2553450583942638</v>
      </c>
      <c r="C103" s="866"/>
      <c r="D103" s="395">
        <f t="shared" si="25"/>
        <v>7.6128766989156924</v>
      </c>
      <c r="E103" s="387">
        <f t="shared" si="47"/>
        <v>8.4148951076383014</v>
      </c>
      <c r="F103" s="387">
        <f t="shared" si="26"/>
        <v>8.4148951076383014</v>
      </c>
      <c r="G103" s="110">
        <f t="shared" si="48"/>
        <v>0.164532290943217</v>
      </c>
      <c r="H103" s="414" t="b">
        <f>Wh_hp&gt;='2023'!Maxi_hp</f>
        <v>0</v>
      </c>
      <c r="I103" s="392">
        <f>IF(H103,Wh_hp,'2023'!Maxi_hp)</f>
        <v>50.454310720909646</v>
      </c>
      <c r="J103" s="85">
        <f>IF(H103,An,'2023'!An_max)</f>
        <v>2019</v>
      </c>
      <c r="K103" s="199">
        <f t="shared" si="27"/>
        <v>45380</v>
      </c>
      <c r="L103" s="147">
        <f>IF(t&lt;Tvie,1-EXP((T0-t)*PertePVj)+'2023'!Pspv,1-EXP((T0-t)*PertePVj)+Pspv)</f>
        <v>4.6964065577517089E-2</v>
      </c>
      <c r="M103" s="870"/>
      <c r="N103" s="870"/>
      <c r="O103" s="48">
        <f>IF(t&lt;Tnet,'2023'!Resal+('2023'!Salim-'2023'!Resal)*(1-EXP(('2023'!Tnet-t)/('2023'!Tau_j))),Resal+(Salim-Resal)*(1-EXP((Tnet-t)/(Tau_j))))*Salcycl</f>
        <v>9.530937682094294E-2</v>
      </c>
      <c r="P103" s="171">
        <f>(INDEX(Models!$BJ103:$BT103,,T103)*(1-R103)+INDEX(Models!$BJ103:$BT103,,T103+1)*R103-ERP_i)*Q103*Ramure*Pc/MaxiM</f>
        <v>1.429398760202547E-2</v>
      </c>
      <c r="Q103" s="307">
        <f t="shared" si="28"/>
        <v>1</v>
      </c>
      <c r="R103" s="179">
        <f t="shared" si="29"/>
        <v>0.43338231520391024</v>
      </c>
      <c r="S103" s="837">
        <f t="shared" si="30"/>
        <v>1</v>
      </c>
      <c r="T103" s="178">
        <f t="shared" si="31"/>
        <v>7</v>
      </c>
      <c r="U103" s="253">
        <f t="shared" si="32"/>
        <v>1.4333823152039102</v>
      </c>
      <c r="V103" s="385">
        <f t="shared" si="33"/>
        <v>43.466466096611498</v>
      </c>
      <c r="W103" s="404">
        <f t="shared" si="34"/>
        <v>7.2553450583942638</v>
      </c>
      <c r="X103" s="157">
        <f t="shared" si="35"/>
        <v>45380</v>
      </c>
      <c r="Y103" s="387">
        <f t="shared" si="36"/>
        <v>7.0981111887693249</v>
      </c>
      <c r="Z103" s="387">
        <f t="shared" si="37"/>
        <v>7.4478945991376611</v>
      </c>
      <c r="AA103" s="388">
        <f t="shared" si="38"/>
        <v>8.4148951076383014</v>
      </c>
      <c r="AB103" s="199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0.11491533716479509</v>
      </c>
      <c r="AD103" s="233">
        <f>(INDEX(Models!$BJ103:$BT103,,AH103)*(1-AF103)+INDEX(Models!$BJ103:$BT103,,AH103+1)*AF103-ERP_i)*AE103*Ramure*Pc/MaxiM</f>
        <v>1.429398760202547E-2</v>
      </c>
      <c r="AE103" s="307">
        <f t="shared" si="40"/>
        <v>1</v>
      </c>
      <c r="AF103" s="179">
        <f t="shared" si="41"/>
        <v>0.43338231520391024</v>
      </c>
      <c r="AG103" s="837">
        <f t="shared" si="49"/>
        <v>1</v>
      </c>
      <c r="AH103" s="178">
        <f t="shared" si="42"/>
        <v>7</v>
      </c>
      <c r="AI103" s="227">
        <f t="shared" si="43"/>
        <v>1.4333823152039102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45381</v>
      </c>
      <c r="B104" s="1139">
        <f>IF(t&gt;Tmaj,'2023'!Wh/'2023'!Env_an*'2024'!Env_an,0.001*'[5]mon-tableau'!$B$238)</f>
        <v>25.337954133014843</v>
      </c>
      <c r="C104" s="866"/>
      <c r="D104" s="395">
        <f t="shared" si="25"/>
        <v>26.587186151906021</v>
      </c>
      <c r="E104" s="387">
        <f t="shared" si="47"/>
        <v>29.393806302097403</v>
      </c>
      <c r="F104" s="387">
        <f t="shared" si="26"/>
        <v>29.558993047693058</v>
      </c>
      <c r="G104" s="110">
        <f t="shared" si="48"/>
        <v>0.57308400017051986</v>
      </c>
      <c r="H104" s="414" t="b">
        <f>Wh_hp&gt;='2023'!Maxi_hp</f>
        <v>0</v>
      </c>
      <c r="I104" s="392">
        <f>IF(H104,Wh_hp,'2023'!Maxi_hp)</f>
        <v>45.640923003520236</v>
      </c>
      <c r="J104" s="85">
        <f>IF(H104,An,'2023'!An_max)</f>
        <v>2021</v>
      </c>
      <c r="K104" s="199">
        <f t="shared" si="27"/>
        <v>45381</v>
      </c>
      <c r="L104" s="147">
        <f>IF(t&lt;Tvie,1-EXP((T0-t)*PertePVj)+'2023'!Pspv,1-EXP((T0-t)*PertePVj)+Pspv)</f>
        <v>4.6986244116007048E-2</v>
      </c>
      <c r="M104" s="870"/>
      <c r="N104" s="870"/>
      <c r="O104" s="48">
        <f>IF(t&lt;Tnet,'2023'!Resal+('2023'!Salim-'2023'!Resal)*(1-EXP(('2023'!Tnet-t)/('2023'!Tau_j))),Resal+(Salim-Resal)*(1-EXP((Tnet-t)/(Tau_j))))*Salcycl</f>
        <v>9.5483385899263806E-2</v>
      </c>
      <c r="P104" s="171">
        <f>(INDEX(Models!$BJ104:$BT104,,T104)*(1-R104)+INDEX(Models!$BJ104:$BT104,,T104+1)*R104-ERP_i)*Q104*Ramure*Pc/MaxiM</f>
        <v>1.4070716160095682E-2</v>
      </c>
      <c r="Q104" s="307">
        <f t="shared" si="28"/>
        <v>1</v>
      </c>
      <c r="R104" s="179">
        <f t="shared" si="29"/>
        <v>0.43475868948104024</v>
      </c>
      <c r="S104" s="837">
        <f t="shared" si="30"/>
        <v>1</v>
      </c>
      <c r="T104" s="178">
        <f t="shared" si="31"/>
        <v>7</v>
      </c>
      <c r="U104" s="253">
        <f t="shared" si="32"/>
        <v>1.4347586894810402</v>
      </c>
      <c r="V104" s="385">
        <f t="shared" si="33"/>
        <v>43.836193522584892</v>
      </c>
      <c r="W104" s="404">
        <f t="shared" si="34"/>
        <v>25.337954133014843</v>
      </c>
      <c r="X104" s="157">
        <f t="shared" si="35"/>
        <v>45381</v>
      </c>
      <c r="Y104" s="387">
        <f t="shared" si="36"/>
        <v>24.789649661956332</v>
      </c>
      <c r="Z104" s="387">
        <f t="shared" si="37"/>
        <v>26.01184873660301</v>
      </c>
      <c r="AA104" s="388">
        <f t="shared" si="38"/>
        <v>29.393806302097403</v>
      </c>
      <c r="AB104" s="199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0.11505680927253954</v>
      </c>
      <c r="AD104" s="233">
        <f>(INDEX(Models!$BJ104:$BT104,,AH104)*(1-AF104)+INDEX(Models!$BJ104:$BT104,,AH104+1)*AF104-ERP_i)*AE104*Ramure*Pc/MaxiM</f>
        <v>1.4070716160095682E-2</v>
      </c>
      <c r="AE104" s="307">
        <f t="shared" si="40"/>
        <v>1</v>
      </c>
      <c r="AF104" s="179">
        <f t="shared" si="41"/>
        <v>0.43475868948104024</v>
      </c>
      <c r="AG104" s="837">
        <f t="shared" si="49"/>
        <v>1</v>
      </c>
      <c r="AH104" s="178">
        <f t="shared" si="42"/>
        <v>7</v>
      </c>
      <c r="AI104" s="227">
        <f t="shared" si="43"/>
        <v>1.4347586894810402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45382</v>
      </c>
      <c r="B105" s="1139">
        <f>IF(t&gt;Tmaj,'2023'!Wh/'2023'!Env_an*'2024'!Env_an,0.001*'[6]mon-tableau'!$B$202)</f>
        <v>27.621504353016583</v>
      </c>
      <c r="C105" s="866"/>
      <c r="D105" s="395">
        <f t="shared" si="25"/>
        <v>28.983996285670319</v>
      </c>
      <c r="E105" s="387">
        <f t="shared" si="47"/>
        <v>32.049850946224559</v>
      </c>
      <c r="F105" s="387">
        <f t="shared" si="26"/>
        <v>32.257325076378557</v>
      </c>
      <c r="G105" s="110">
        <f t="shared" si="48"/>
        <v>0.62026634358872934</v>
      </c>
      <c r="H105" s="414" t="b">
        <f>Wh_hp&gt;='2023'!Maxi_hp</f>
        <v>0</v>
      </c>
      <c r="I105" s="392">
        <f>IF(H105,Wh_hp,'2023'!Maxi_hp)</f>
        <v>47.789967168011586</v>
      </c>
      <c r="J105" s="85">
        <f>IF(H105,An,'2023'!An_max)</f>
        <v>2020</v>
      </c>
      <c r="K105" s="199">
        <f t="shared" si="27"/>
        <v>45382</v>
      </c>
      <c r="L105" s="147">
        <f>IF(t&lt;Tvie,1-EXP((T0-t)*PertePVj)+'2023'!Pspv,1-EXP((T0-t)*PertePVj)+Pspv)</f>
        <v>4.7008422138369865E-2</v>
      </c>
      <c r="M105" s="870"/>
      <c r="N105" s="870"/>
      <c r="O105" s="48">
        <f>IF(t&lt;Tnet,'2023'!Resal+('2023'!Salim-'2023'!Resal)*(1-EXP(('2023'!Tnet-t)/('2023'!Tau_j))),Resal+(Salim-Resal)*(1-EXP((Tnet-t)/(Tau_j))))*Salcycl</f>
        <v>9.5658936626517962E-2</v>
      </c>
      <c r="P105" s="171">
        <f>(INDEX(Models!$BJ105:$BT105,,T105)*(1-R105)+INDEX(Models!$BJ105:$BT105,,T105+1)*R105-ERP_i)*Q105*Ramure*Pc/MaxiM</f>
        <v>1.3855935931551806E-2</v>
      </c>
      <c r="Q105" s="307">
        <f t="shared" si="28"/>
        <v>1</v>
      </c>
      <c r="R105" s="179">
        <f t="shared" si="29"/>
        <v>0.43618677217803947</v>
      </c>
      <c r="S105" s="837">
        <f t="shared" si="30"/>
        <v>1</v>
      </c>
      <c r="T105" s="178">
        <f t="shared" si="31"/>
        <v>7</v>
      </c>
      <c r="U105" s="253">
        <f t="shared" si="32"/>
        <v>1.4361867721780395</v>
      </c>
      <c r="V105" s="385">
        <f t="shared" si="33"/>
        <v>44.198935840613622</v>
      </c>
      <c r="W105" s="404">
        <f t="shared" si="34"/>
        <v>27.621504353016583</v>
      </c>
      <c r="X105" s="157">
        <f t="shared" si="35"/>
        <v>45382</v>
      </c>
      <c r="Y105" s="387">
        <f t="shared" si="36"/>
        <v>27.024649857723439</v>
      </c>
      <c r="Z105" s="387">
        <f t="shared" si="37"/>
        <v>28.357700619309451</v>
      </c>
      <c r="AA105" s="388">
        <f t="shared" si="38"/>
        <v>32.049850946224559</v>
      </c>
      <c r="AB105" s="199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0.11520023394523891</v>
      </c>
      <c r="AD105" s="233">
        <f>(INDEX(Models!$BJ105:$BT105,,AH105)*(1-AF105)+INDEX(Models!$BJ105:$BT105,,AH105+1)*AF105-ERP_i)*AE105*Ramure*Pc/MaxiM</f>
        <v>1.3855935931551806E-2</v>
      </c>
      <c r="AE105" s="307">
        <f t="shared" si="40"/>
        <v>1</v>
      </c>
      <c r="AF105" s="179">
        <f t="shared" si="41"/>
        <v>0.43618677217803947</v>
      </c>
      <c r="AG105" s="837">
        <f t="shared" si="49"/>
        <v>1</v>
      </c>
      <c r="AH105" s="178">
        <f t="shared" si="42"/>
        <v>7</v>
      </c>
      <c r="AI105" s="227">
        <f t="shared" si="43"/>
        <v>1.4361867721780395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45383</v>
      </c>
      <c r="B106" s="1139">
        <f>IF(t&gt;Tmaj,'2023'!Wh/'2023'!Env_an*'2024'!Env_an,0.001*'[6]mon-tableau'!$B$203)</f>
        <v>18.715347520306661</v>
      </c>
      <c r="C106" s="866"/>
      <c r="D106" s="395">
        <f t="shared" si="25"/>
        <v>19.638980552079971</v>
      </c>
      <c r="E106" s="387">
        <f t="shared" si="47"/>
        <v>21.720598074780572</v>
      </c>
      <c r="F106" s="387">
        <f t="shared" si="26"/>
        <v>21.771568113086921</v>
      </c>
      <c r="G106" s="110">
        <f t="shared" si="48"/>
        <v>0.41529931277718529</v>
      </c>
      <c r="H106" s="414" t="b">
        <f>Wh_hp&gt;='2023'!Maxi_hp</f>
        <v>0</v>
      </c>
      <c r="I106" s="392">
        <f>IF(H106,Wh_hp,'2023'!Maxi_hp)</f>
        <v>42.365894595773121</v>
      </c>
      <c r="J106" s="85">
        <f>IF(H106,An,'2023'!An_max)</f>
        <v>2020</v>
      </c>
      <c r="K106" s="199">
        <f t="shared" si="27"/>
        <v>45383</v>
      </c>
      <c r="L106" s="147">
        <f>IF(t&lt;Tvie,1-EXP((T0-t)*PertePVj)+'2023'!Pspv,1-EXP((T0-t)*PertePVj)+Pspv)</f>
        <v>4.7030599644617865E-2</v>
      </c>
      <c r="M106" s="870"/>
      <c r="N106" s="870"/>
      <c r="O106" s="48">
        <f>IF(t&lt;Tnet,'2023'!Resal+('2023'!Salim-'2023'!Resal)*(1-EXP(('2023'!Tnet-t)/('2023'!Tau_j))),Resal+(Salim-Resal)*(1-EXP((Tnet-t)/(Tau_j))))*Salcycl</f>
        <v>9.5836105227577989E-2</v>
      </c>
      <c r="P106" s="171">
        <f>(INDEX(Models!$BJ106:$BT106,,T106)*(1-R106)+INDEX(Models!$BJ106:$BT106,,T106+1)*R106-ERP_i)*Q106*Ramure*Pc/MaxiM</f>
        <v>1.3649674288424856E-2</v>
      </c>
      <c r="Q106" s="307">
        <f t="shared" si="28"/>
        <v>1</v>
      </c>
      <c r="R106" s="179">
        <f t="shared" si="29"/>
        <v>0.4376682578472546</v>
      </c>
      <c r="S106" s="837">
        <f t="shared" si="30"/>
        <v>1</v>
      </c>
      <c r="T106" s="178">
        <f t="shared" si="31"/>
        <v>7</v>
      </c>
      <c r="U106" s="253">
        <f t="shared" si="32"/>
        <v>1.4376682578472546</v>
      </c>
      <c r="V106" s="385">
        <f t="shared" si="33"/>
        <v>44.553908324375335</v>
      </c>
      <c r="W106" s="404">
        <f t="shared" si="34"/>
        <v>18.715347520306661</v>
      </c>
      <c r="X106" s="157">
        <f t="shared" si="35"/>
        <v>45383</v>
      </c>
      <c r="Y106" s="387">
        <f t="shared" si="36"/>
        <v>18.311517163392217</v>
      </c>
      <c r="Z106" s="387">
        <f t="shared" si="37"/>
        <v>19.215220506097541</v>
      </c>
      <c r="AA106" s="388">
        <f t="shared" si="38"/>
        <v>21.720598074780572</v>
      </c>
      <c r="AB106" s="199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0.1153456990483141</v>
      </c>
      <c r="AD106" s="233">
        <f>(INDEX(Models!$BJ106:$BT106,,AH106)*(1-AF106)+INDEX(Models!$BJ106:$BT106,,AH106+1)*AF106-ERP_i)*AE106*Ramure*Pc/MaxiM</f>
        <v>1.3649674288424856E-2</v>
      </c>
      <c r="AE106" s="307">
        <f t="shared" si="40"/>
        <v>1</v>
      </c>
      <c r="AF106" s="179">
        <f t="shared" si="41"/>
        <v>0.4376682578472546</v>
      </c>
      <c r="AG106" s="837">
        <f t="shared" si="49"/>
        <v>1</v>
      </c>
      <c r="AH106" s="178">
        <f t="shared" si="42"/>
        <v>7</v>
      </c>
      <c r="AI106" s="227">
        <f t="shared" si="43"/>
        <v>1.4376682578472546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45384</v>
      </c>
      <c r="B107" s="1139">
        <f>IF(t&gt;Tmaj,'2023'!Wh/'2023'!Env_an*'2024'!Env_an,0.001*'[6]mon-tableau'!$B$204)</f>
        <v>23.173213576505784</v>
      </c>
      <c r="C107" s="866"/>
      <c r="D107" s="395">
        <f t="shared" si="25"/>
        <v>24.317415496182374</v>
      </c>
      <c r="E107" s="387">
        <f t="shared" si="47"/>
        <v>26.900241269264942</v>
      </c>
      <c r="F107" s="387">
        <f t="shared" si="26"/>
        <v>27.012398714948183</v>
      </c>
      <c r="G107" s="110">
        <f t="shared" si="48"/>
        <v>0.51125474772610602</v>
      </c>
      <c r="H107" s="414" t="b">
        <f>Wh_hp&gt;='2023'!Maxi_hp</f>
        <v>0</v>
      </c>
      <c r="I107" s="392">
        <f>IF(H107,Wh_hp,'2023'!Maxi_hp)</f>
        <v>48.937909271344878</v>
      </c>
      <c r="J107" s="85">
        <f>IF(H107,An,'2023'!An_max)</f>
        <v>2021</v>
      </c>
      <c r="K107" s="199">
        <f t="shared" si="27"/>
        <v>45384</v>
      </c>
      <c r="L107" s="147">
        <f>IF(t&lt;Tvie,1-EXP((T0-t)*PertePVj)+'2023'!Pspv,1-EXP((T0-t)*PertePVj)+Pspv)</f>
        <v>4.7052776634762816E-2</v>
      </c>
      <c r="M107" s="870"/>
      <c r="N107" s="870"/>
      <c r="O107" s="48">
        <f>IF(t&lt;Tnet,'2023'!Resal+('2023'!Salim-'2023'!Resal)*(1-EXP(('2023'!Tnet-t)/('2023'!Tau_j))),Resal+(Salim-Resal)*(1-EXP((Tnet-t)/(Tau_j))))*Salcycl</f>
        <v>9.6014966826100306E-2</v>
      </c>
      <c r="P107" s="171">
        <f>(INDEX(Models!$BJ107:$BT107,,T107)*(1-R107)+INDEX(Models!$BJ107:$BT107,,T107+1)*R107-ERP_i)*Q107*Ramure*Pc/MaxiM</f>
        <v>1.3451196206549897E-2</v>
      </c>
      <c r="Q107" s="307">
        <f t="shared" si="28"/>
        <v>1</v>
      </c>
      <c r="R107" s="179">
        <f t="shared" si="29"/>
        <v>0.43920487657399354</v>
      </c>
      <c r="S107" s="837">
        <f t="shared" si="30"/>
        <v>1</v>
      </c>
      <c r="T107" s="178">
        <f t="shared" si="31"/>
        <v>7</v>
      </c>
      <c r="U107" s="253">
        <f t="shared" si="32"/>
        <v>1.4392048765739935</v>
      </c>
      <c r="V107" s="385">
        <f t="shared" si="33"/>
        <v>44.902907293406962</v>
      </c>
      <c r="W107" s="404">
        <f t="shared" si="34"/>
        <v>23.173213576505784</v>
      </c>
      <c r="X107" s="157">
        <f t="shared" si="35"/>
        <v>45384</v>
      </c>
      <c r="Y107" s="387">
        <f t="shared" si="36"/>
        <v>22.673896277675208</v>
      </c>
      <c r="Z107" s="387">
        <f t="shared" si="37"/>
        <v>23.793443877830533</v>
      </c>
      <c r="AA107" s="388">
        <f t="shared" si="38"/>
        <v>26.900241269264942</v>
      </c>
      <c r="AB107" s="199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0.11549329094620807</v>
      </c>
      <c r="AD107" s="233">
        <f>(INDEX(Models!$BJ107:$BT107,,AH107)*(1-AF107)+INDEX(Models!$BJ107:$BT107,,AH107+1)*AF107-ERP_i)*AE107*Ramure*Pc/MaxiM</f>
        <v>1.3451196206549897E-2</v>
      </c>
      <c r="AE107" s="307">
        <f t="shared" si="40"/>
        <v>1</v>
      </c>
      <c r="AF107" s="179">
        <f t="shared" si="41"/>
        <v>0.43920487657399354</v>
      </c>
      <c r="AG107" s="837">
        <f t="shared" si="49"/>
        <v>1</v>
      </c>
      <c r="AH107" s="178">
        <f t="shared" si="42"/>
        <v>7</v>
      </c>
      <c r="AI107" s="227">
        <f t="shared" si="43"/>
        <v>1.4392048765739935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45385</v>
      </c>
      <c r="B108" s="1139">
        <f>IF(t&gt;Tmaj,'2023'!Wh/'2023'!Env_an*'2024'!Env_an,0.001*'[6]mon-tableau'!$B$205)</f>
        <v>40.136622029587677</v>
      </c>
      <c r="C108" s="866"/>
      <c r="D108" s="395">
        <f t="shared" si="25"/>
        <v>42.119390355547004</v>
      </c>
      <c r="E108" s="387">
        <f t="shared" si="47"/>
        <v>46.602329149914468</v>
      </c>
      <c r="F108" s="387">
        <f t="shared" si="26"/>
        <v>47.126197332590735</v>
      </c>
      <c r="G108" s="110">
        <f t="shared" si="48"/>
        <v>0.88511266938731381</v>
      </c>
      <c r="H108" s="414" t="b">
        <f>Wh_hp&gt;='2023'!Maxi_hp</f>
        <v>0</v>
      </c>
      <c r="I108" s="392">
        <f>IF(H108,Wh_hp,'2023'!Maxi_hp)</f>
        <v>53.242583375883534</v>
      </c>
      <c r="J108" s="85">
        <f>IF(H108,An,'2023'!An_max)</f>
        <v>2020</v>
      </c>
      <c r="K108" s="199">
        <f t="shared" si="27"/>
        <v>45385</v>
      </c>
      <c r="L108" s="147">
        <f>IF(t&lt;Tvie,1-EXP((T0-t)*PertePVj)+'2023'!Pspv,1-EXP((T0-t)*PertePVj)+Pspv)</f>
        <v>4.7074953108816819E-2</v>
      </c>
      <c r="M108" s="870"/>
      <c r="N108" s="870"/>
      <c r="O108" s="48">
        <f>IF(t&lt;Tnet,'2023'!Resal+('2023'!Salim-'2023'!Resal)*(1-EXP(('2023'!Tnet-t)/('2023'!Tau_j))),Resal+(Salim-Resal)*(1-EXP((Tnet-t)/(Tau_j))))*Salcycl</f>
        <v>9.6195595287659294E-2</v>
      </c>
      <c r="P108" s="171">
        <f>(INDEX(Models!$BJ108:$BT108,,T108)*(1-R108)+INDEX(Models!$BJ108:$BT108,,T108+1)*R108-ERP_i)*Q108*Ramure*Pc/MaxiM</f>
        <v>1.3255503166115718E-2</v>
      </c>
      <c r="Q108" s="307">
        <f t="shared" si="28"/>
        <v>1</v>
      </c>
      <c r="R108" s="179">
        <f t="shared" si="29"/>
        <v>0.44079839302278723</v>
      </c>
      <c r="S108" s="837">
        <f t="shared" si="30"/>
        <v>1</v>
      </c>
      <c r="T108" s="178">
        <f t="shared" si="31"/>
        <v>7</v>
      </c>
      <c r="U108" s="253">
        <f t="shared" si="32"/>
        <v>1.4407983930227872</v>
      </c>
      <c r="V108" s="385">
        <f t="shared" si="33"/>
        <v>45.248246002534032</v>
      </c>
      <c r="W108" s="404">
        <f t="shared" si="34"/>
        <v>40.136622029587677</v>
      </c>
      <c r="X108" s="157">
        <f t="shared" si="35"/>
        <v>45385</v>
      </c>
      <c r="Y108" s="387">
        <f t="shared" si="36"/>
        <v>39.272987249752482</v>
      </c>
      <c r="Z108" s="387">
        <f t="shared" si="37"/>
        <v>41.213091604503873</v>
      </c>
      <c r="AA108" s="388">
        <f t="shared" si="38"/>
        <v>46.602329149914468</v>
      </c>
      <c r="AB108" s="199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0.11564309431990033</v>
      </c>
      <c r="AD108" s="233">
        <f>(INDEX(Models!$BJ108:$BT108,,AH108)*(1-AF108)+INDEX(Models!$BJ108:$BT108,,AH108+1)*AF108-ERP_i)*AE108*Ramure*Pc/MaxiM</f>
        <v>1.3255503166115718E-2</v>
      </c>
      <c r="AE108" s="307">
        <f t="shared" si="40"/>
        <v>1</v>
      </c>
      <c r="AF108" s="179">
        <f t="shared" si="41"/>
        <v>0.44079839302278723</v>
      </c>
      <c r="AG108" s="837">
        <f t="shared" si="49"/>
        <v>1</v>
      </c>
      <c r="AH108" s="178">
        <f t="shared" si="42"/>
        <v>7</v>
      </c>
      <c r="AI108" s="227">
        <f t="shared" si="43"/>
        <v>1.4407983930227872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45386</v>
      </c>
      <c r="B109" s="1139">
        <f>IF(t&gt;Tmaj,'2023'!Wh/'2023'!Env_an*'2024'!Env_an,0.001*'[6]mon-tableau'!$B$206)</f>
        <v>46.449936493703419</v>
      </c>
      <c r="C109" s="866"/>
      <c r="D109" s="395">
        <f t="shared" si="25"/>
        <v>48.745719958019976</v>
      </c>
      <c r="E109" s="387">
        <f t="shared" si="47"/>
        <v>53.944816925900497</v>
      </c>
      <c r="F109" s="387">
        <f t="shared" si="26"/>
        <v>54.658447129725701</v>
      </c>
      <c r="G109" s="110">
        <f t="shared" si="48"/>
        <v>1.0188640814749232</v>
      </c>
      <c r="H109" s="414" t="b">
        <f>Wh_hp&gt;='2023'!Maxi_hp</f>
        <v>0</v>
      </c>
      <c r="I109" s="392">
        <f>IF(H109,Wh_hp,'2023'!Maxi_hp)</f>
        <v>55.141802022819732</v>
      </c>
      <c r="J109" s="85">
        <f>IF(H109,An,'2023'!An_max)</f>
        <v>2020</v>
      </c>
      <c r="K109" s="199">
        <f t="shared" si="27"/>
        <v>45386</v>
      </c>
      <c r="L109" s="147">
        <f>IF(t&lt;Tvie,1-EXP((T0-t)*PertePVj)+'2023'!Pspv,1-EXP((T0-t)*PertePVj)+Pspv)</f>
        <v>4.7097129066791865E-2</v>
      </c>
      <c r="M109" s="870"/>
      <c r="N109" s="870"/>
      <c r="O109" s="48">
        <f>IF(t&lt;Tnet,'2023'!Resal+('2023'!Salim-'2023'!Resal)*(1-EXP(('2023'!Tnet-t)/('2023'!Tau_j))),Resal+(Salim-Resal)*(1-EXP((Tnet-t)/(Tau_j))))*Salcycl</f>
        <v>9.637806306808093E-2</v>
      </c>
      <c r="P109" s="171">
        <f>(INDEX(Models!$BJ109:$BT109,,T109)*(1-R109)+INDEX(Models!$BJ109:$BT109,,T109+1)*R109-ERP_i)*Q109*Ramure*Pc/MaxiM</f>
        <v>1.3056174137759152E-2</v>
      </c>
      <c r="Q109" s="307">
        <f t="shared" si="28"/>
        <v>1</v>
      </c>
      <c r="R109" s="179">
        <f t="shared" si="29"/>
        <v>0.44245060530201363</v>
      </c>
      <c r="S109" s="837">
        <f t="shared" si="30"/>
        <v>1</v>
      </c>
      <c r="T109" s="178">
        <f t="shared" si="31"/>
        <v>7</v>
      </c>
      <c r="U109" s="253">
        <f t="shared" si="32"/>
        <v>1.4424506053020136</v>
      </c>
      <c r="V109" s="385">
        <f t="shared" si="33"/>
        <v>45.589924444545922</v>
      </c>
      <c r="W109" s="404">
        <f t="shared" si="34"/>
        <v>46.449936493703419</v>
      </c>
      <c r="X109" s="157">
        <f t="shared" si="35"/>
        <v>45386</v>
      </c>
      <c r="Y109" s="387">
        <f t="shared" si="36"/>
        <v>45.451815079749181</v>
      </c>
      <c r="Z109" s="387">
        <f t="shared" si="37"/>
        <v>47.698266493033827</v>
      </c>
      <c r="AA109" s="388">
        <f t="shared" si="38"/>
        <v>53.944816925900497</v>
      </c>
      <c r="AB109" s="199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0.11579519199123504</v>
      </c>
      <c r="AD109" s="233">
        <f>(INDEX(Models!$BJ109:$BT109,,AH109)*(1-AF109)+INDEX(Models!$BJ109:$BT109,,AH109+1)*AF109-ERP_i)*AE109*Ramure*Pc/MaxiM</f>
        <v>1.3056174137759152E-2</v>
      </c>
      <c r="AE109" s="307">
        <f t="shared" si="40"/>
        <v>1</v>
      </c>
      <c r="AF109" s="179">
        <f t="shared" si="41"/>
        <v>0.44245060530201363</v>
      </c>
      <c r="AG109" s="837">
        <f t="shared" si="49"/>
        <v>1</v>
      </c>
      <c r="AH109" s="178">
        <f t="shared" si="42"/>
        <v>7</v>
      </c>
      <c r="AI109" s="227">
        <f t="shared" si="43"/>
        <v>1.4424506053020136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45387</v>
      </c>
      <c r="B110" s="1139">
        <f>IF(t&gt;Tmaj,'2023'!Wh/'2023'!Env_an*'2024'!Env_an,0.001*'[6]mon-tableau'!$B$207)</f>
        <v>11.801547185531463</v>
      </c>
      <c r="C110" s="866"/>
      <c r="D110" s="395">
        <f t="shared" si="25"/>
        <v>12.385125694509584</v>
      </c>
      <c r="E110" s="387">
        <f t="shared" si="47"/>
        <v>13.708889532030037</v>
      </c>
      <c r="F110" s="387">
        <f t="shared" si="26"/>
        <v>13.708889532030037</v>
      </c>
      <c r="G110" s="110">
        <f t="shared" si="48"/>
        <v>0.25365675778516428</v>
      </c>
      <c r="H110" s="414" t="b">
        <f>Wh_hp&gt;='2023'!Maxi_hp</f>
        <v>0</v>
      </c>
      <c r="I110" s="392">
        <f>IF(H110,Wh_hp,'2023'!Maxi_hp)</f>
        <v>55.305797154452193</v>
      </c>
      <c r="J110" s="85">
        <f>IF(H110,An,'2023'!An_max)</f>
        <v>2020</v>
      </c>
      <c r="K110" s="199">
        <f t="shared" si="27"/>
        <v>45387</v>
      </c>
      <c r="L110" s="147">
        <f>IF(t&lt;Tvie,1-EXP((T0-t)*PertePVj)+'2023'!Pspv,1-EXP((T0-t)*PertePVj)+Pspv)</f>
        <v>4.7119304508699944E-2</v>
      </c>
      <c r="M110" s="870"/>
      <c r="N110" s="870"/>
      <c r="O110" s="48">
        <f>IF(t&lt;Tnet,'2023'!Resal+('2023'!Salim-'2023'!Resal)*(1-EXP(('2023'!Tnet-t)/('2023'!Tau_j))),Resal+(Salim-Resal)*(1-EXP((Tnet-t)/(Tau_j))))*Salcycl</f>
        <v>9.6562441066255167E-2</v>
      </c>
      <c r="P110" s="171">
        <f>(INDEX(Models!$BJ110:$BT110,,T110)*(1-R110)+INDEX(Models!$BJ110:$BT110,,T110+1)*R110-ERP_i)*Q110*Ramure*Pc/MaxiM</f>
        <v>1.2853322353090346E-2</v>
      </c>
      <c r="Q110" s="307">
        <f t="shared" si="28"/>
        <v>1</v>
      </c>
      <c r="R110" s="179">
        <f t="shared" si="29"/>
        <v>0.44416334363426979</v>
      </c>
      <c r="S110" s="837">
        <f t="shared" si="30"/>
        <v>1</v>
      </c>
      <c r="T110" s="178">
        <f t="shared" si="31"/>
        <v>7</v>
      </c>
      <c r="U110" s="253">
        <f t="shared" si="32"/>
        <v>1.4441633436342698</v>
      </c>
      <c r="V110" s="385">
        <f t="shared" si="33"/>
        <v>45.927647254553023</v>
      </c>
      <c r="W110" s="404">
        <f t="shared" si="34"/>
        <v>11.801547185531463</v>
      </c>
      <c r="X110" s="157">
        <f t="shared" si="35"/>
        <v>45387</v>
      </c>
      <c r="Y110" s="387">
        <f t="shared" si="36"/>
        <v>11.548293119575282</v>
      </c>
      <c r="Z110" s="387">
        <f t="shared" si="37"/>
        <v>12.119348386653007</v>
      </c>
      <c r="AA110" s="388">
        <f t="shared" si="38"/>
        <v>13.708889532030037</v>
      </c>
      <c r="AB110" s="199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0.11594966475316311</v>
      </c>
      <c r="AD110" s="233">
        <f>(INDEX(Models!$BJ110:$BT110,,AH110)*(1-AF110)+INDEX(Models!$BJ110:$BT110,,AH110+1)*AF110-ERP_i)*AE110*Ramure*Pc/MaxiM</f>
        <v>1.2853322353090346E-2</v>
      </c>
      <c r="AE110" s="307">
        <f t="shared" si="40"/>
        <v>1</v>
      </c>
      <c r="AF110" s="179">
        <f t="shared" si="41"/>
        <v>0.44416334363426979</v>
      </c>
      <c r="AG110" s="837">
        <f t="shared" si="49"/>
        <v>1</v>
      </c>
      <c r="AH110" s="178">
        <f t="shared" si="42"/>
        <v>7</v>
      </c>
      <c r="AI110" s="227">
        <f t="shared" si="43"/>
        <v>1.4441633436342698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45388</v>
      </c>
      <c r="B111" s="1139">
        <f>IF(t&gt;Tmaj,'2023'!Wh/'2023'!Env_an*'2024'!Env_an,0.001*'[6]mon-tableau'!$B$208)</f>
        <v>35.705516532790426</v>
      </c>
      <c r="C111" s="866"/>
      <c r="D111" s="395">
        <f t="shared" si="25"/>
        <v>37.472002151591191</v>
      </c>
      <c r="E111" s="387">
        <f t="shared" si="47"/>
        <v>41.48569311456</v>
      </c>
      <c r="F111" s="387">
        <f t="shared" si="26"/>
        <v>41.842381630801533</v>
      </c>
      <c r="G111" s="110">
        <f t="shared" si="48"/>
        <v>0.7686164176665462</v>
      </c>
      <c r="H111" s="414" t="b">
        <f>Wh_hp&gt;='2023'!Maxi_hp</f>
        <v>0</v>
      </c>
      <c r="I111" s="392">
        <f>IF(H111,Wh_hp,'2023'!Maxi_hp)</f>
        <v>54.130419749791777</v>
      </c>
      <c r="J111" s="85">
        <f>IF(H111,An,'2023'!An_max)</f>
        <v>2021</v>
      </c>
      <c r="K111" s="199">
        <f t="shared" si="27"/>
        <v>45388</v>
      </c>
      <c r="L111" s="147">
        <f>IF(t&lt;Tvie,1-EXP((T0-t)*PertePVj)+'2023'!Pspv,1-EXP((T0-t)*PertePVj)+Pspv)</f>
        <v>4.7141479434553157E-2</v>
      </c>
      <c r="M111" s="870"/>
      <c r="N111" s="870"/>
      <c r="O111" s="48">
        <f>IF(t&lt;Tnet,'2023'!Resal+('2023'!Salim-'2023'!Resal)*(1-EXP(('2023'!Tnet-t)/('2023'!Tau_j))),Resal+(Salim-Resal)*(1-EXP((Tnet-t)/(Tau_j))))*Salcycl</f>
        <v>9.6748798480605455E-2</v>
      </c>
      <c r="P111" s="171">
        <f>(INDEX(Models!$BJ111:$BT111,,T111)*(1-R111)+INDEX(Models!$BJ111:$BT111,,T111+1)*R111-ERP_i)*Q111*Ramure*Pc/MaxiM</f>
        <v>1.2647050818231337E-2</v>
      </c>
      <c r="Q111" s="307">
        <f t="shared" si="28"/>
        <v>1</v>
      </c>
      <c r="R111" s="179">
        <f t="shared" si="29"/>
        <v>0.44593846881959842</v>
      </c>
      <c r="S111" s="837">
        <f t="shared" si="30"/>
        <v>1</v>
      </c>
      <c r="T111" s="178">
        <f t="shared" si="31"/>
        <v>7</v>
      </c>
      <c r="U111" s="253">
        <f t="shared" si="32"/>
        <v>1.4459384688195984</v>
      </c>
      <c r="V111" s="385">
        <f t="shared" si="33"/>
        <v>46.261119355722968</v>
      </c>
      <c r="W111" s="404">
        <f t="shared" si="34"/>
        <v>35.705516532790426</v>
      </c>
      <c r="X111" s="157">
        <f t="shared" si="35"/>
        <v>45388</v>
      </c>
      <c r="Y111" s="387">
        <f t="shared" si="36"/>
        <v>34.940303060622043</v>
      </c>
      <c r="Z111" s="387">
        <f t="shared" si="37"/>
        <v>36.66893070325667</v>
      </c>
      <c r="AA111" s="388">
        <f t="shared" si="38"/>
        <v>41.48569311456</v>
      </c>
      <c r="AB111" s="199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0.11610659120488015</v>
      </c>
      <c r="AD111" s="233">
        <f>(INDEX(Models!$BJ111:$BT111,,AH111)*(1-AF111)+INDEX(Models!$BJ111:$BT111,,AH111+1)*AF111-ERP_i)*AE111*Ramure*Pc/MaxiM</f>
        <v>1.2647050818231337E-2</v>
      </c>
      <c r="AE111" s="307">
        <f t="shared" si="40"/>
        <v>1</v>
      </c>
      <c r="AF111" s="179">
        <f t="shared" si="41"/>
        <v>0.44593846881959842</v>
      </c>
      <c r="AG111" s="837">
        <f t="shared" si="49"/>
        <v>1</v>
      </c>
      <c r="AH111" s="178">
        <f t="shared" si="42"/>
        <v>7</v>
      </c>
      <c r="AI111" s="227">
        <f t="shared" si="43"/>
        <v>1.4459384688195984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45389</v>
      </c>
      <c r="B112" s="1139">
        <f>IF(t&gt;Tmaj,'2023'!Wh/'2023'!Env_an*'2024'!Env_an,0.001*'[6]mon-tableau'!$B$209)</f>
        <v>27.893298602961757</v>
      </c>
      <c r="C112" s="866"/>
      <c r="D112" s="395">
        <f t="shared" si="25"/>
        <v>29.273965792238634</v>
      </c>
      <c r="E112" s="387">
        <f t="shared" si="47"/>
        <v>32.416312441100942</v>
      </c>
      <c r="F112" s="387">
        <f t="shared" si="26"/>
        <v>32.589269460058325</v>
      </c>
      <c r="G112" s="110">
        <f t="shared" si="48"/>
        <v>0.59440487661748642</v>
      </c>
      <c r="H112" s="414" t="b">
        <f>Wh_hp&gt;='2023'!Maxi_hp</f>
        <v>0</v>
      </c>
      <c r="I112" s="392">
        <f>IF(H112,Wh_hp,'2023'!Maxi_hp)</f>
        <v>52.014022850554703</v>
      </c>
      <c r="J112" s="85">
        <f>IF(H112,An,'2023'!An_max)</f>
        <v>2021</v>
      </c>
      <c r="K112" s="199">
        <f t="shared" si="27"/>
        <v>45389</v>
      </c>
      <c r="L112" s="147">
        <f>IF(t&lt;Tvie,1-EXP((T0-t)*PertePVj)+'2023'!Pspv,1-EXP((T0-t)*PertePVj)+Pspv)</f>
        <v>4.7163653844363385E-2</v>
      </c>
      <c r="M112" s="870"/>
      <c r="N112" s="870"/>
      <c r="O112" s="48">
        <f>IF(t&lt;Tnet,'2023'!Resal+('2023'!Salim-'2023'!Resal)*(1-EXP(('2023'!Tnet-t)/('2023'!Tau_j))),Resal+(Salim-Resal)*(1-EXP((Tnet-t)/(Tau_j))))*Salcycl</f>
        <v>9.6937202668311462E-2</v>
      </c>
      <c r="P112" s="171">
        <f>(INDEX(Models!$BJ112:$BT112,,T112)*(1-R112)+INDEX(Models!$BJ112:$BT112,,T112+1)*R112-ERP_i)*Q112*Ramure*Pc/MaxiM</f>
        <v>1.2437452550834349E-2</v>
      </c>
      <c r="Q112" s="307">
        <f t="shared" si="28"/>
        <v>1</v>
      </c>
      <c r="R112" s="179">
        <f t="shared" si="29"/>
        <v>0.44777787047843942</v>
      </c>
      <c r="S112" s="837">
        <f t="shared" si="30"/>
        <v>1</v>
      </c>
      <c r="T112" s="178">
        <f t="shared" si="31"/>
        <v>7</v>
      </c>
      <c r="U112" s="253">
        <f t="shared" si="32"/>
        <v>1.4477778704784394</v>
      </c>
      <c r="V112" s="385">
        <f t="shared" si="33"/>
        <v>46.590045986329507</v>
      </c>
      <c r="W112" s="404">
        <f t="shared" si="34"/>
        <v>27.893298602961757</v>
      </c>
      <c r="X112" s="157">
        <f t="shared" si="35"/>
        <v>45389</v>
      </c>
      <c r="Y112" s="387">
        <f t="shared" si="36"/>
        <v>27.296280051577547</v>
      </c>
      <c r="Z112" s="387">
        <f t="shared" si="37"/>
        <v>28.647395916107261</v>
      </c>
      <c r="AA112" s="388">
        <f t="shared" si="38"/>
        <v>32.416312441100942</v>
      </c>
      <c r="AB112" s="199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0.11626604759075052</v>
      </c>
      <c r="AD112" s="233">
        <f>(INDEX(Models!$BJ112:$BT112,,AH112)*(1-AF112)+INDEX(Models!$BJ112:$BT112,,AH112+1)*AF112-ERP_i)*AE112*Ramure*Pc/MaxiM</f>
        <v>1.2437452550834349E-2</v>
      </c>
      <c r="AE112" s="307">
        <f t="shared" si="40"/>
        <v>1</v>
      </c>
      <c r="AF112" s="179">
        <f t="shared" si="41"/>
        <v>0.44777787047843942</v>
      </c>
      <c r="AG112" s="837">
        <f t="shared" si="49"/>
        <v>1</v>
      </c>
      <c r="AH112" s="178">
        <f t="shared" si="42"/>
        <v>7</v>
      </c>
      <c r="AI112" s="227">
        <f t="shared" si="43"/>
        <v>1.4477778704784394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45390</v>
      </c>
      <c r="B113" s="1139">
        <f>IF(t&gt;Tmaj,'2023'!Wh/'2023'!Env_an*'2024'!Env_an,0.001*'[6]mon-tableau'!$B$210)</f>
        <v>33.851476881165738</v>
      </c>
      <c r="C113" s="866"/>
      <c r="D113" s="395">
        <f t="shared" si="25"/>
        <v>35.527889767641391</v>
      </c>
      <c r="E113" s="387">
        <f t="shared" si="47"/>
        <v>39.349851042652737</v>
      </c>
      <c r="F113" s="387">
        <f t="shared" si="26"/>
        <v>39.641695297159067</v>
      </c>
      <c r="G113" s="110">
        <f t="shared" si="48"/>
        <v>0.71802779562297847</v>
      </c>
      <c r="H113" s="414" t="b">
        <f>Wh_hp&gt;='2023'!Maxi_hp</f>
        <v>0</v>
      </c>
      <c r="I113" s="392">
        <f>IF(H113,Wh_hp,'2023'!Maxi_hp)</f>
        <v>51.39394262397834</v>
      </c>
      <c r="J113" s="85">
        <f>IF(H113,An,'2023'!An_max)</f>
        <v>2020</v>
      </c>
      <c r="K113" s="199">
        <f t="shared" si="27"/>
        <v>45390</v>
      </c>
      <c r="L113" s="147">
        <f>IF(t&lt;Tvie,1-EXP((T0-t)*PertePVj)+'2023'!Pspv,1-EXP((T0-t)*PertePVj)+Pspv)</f>
        <v>4.7185827738142727E-2</v>
      </c>
      <c r="M113" s="870"/>
      <c r="N113" s="870"/>
      <c r="O113" s="48">
        <f>IF(t&lt;Tnet,'2023'!Resal+('2023'!Salim-'2023'!Resal)*(1-EXP(('2023'!Tnet-t)/('2023'!Tau_j))),Resal+(Salim-Resal)*(1-EXP((Tnet-t)/(Tau_j))))*Salcycl</f>
        <v>9.7127719006320667E-2</v>
      </c>
      <c r="P113" s="171">
        <f>(INDEX(Models!$BJ113:$BT113,,T113)*(1-R113)+INDEX(Models!$BJ113:$BT113,,T113+1)*R113-ERP_i)*Q113*Ramure*Pc/MaxiM</f>
        <v>1.2224610807747312E-2</v>
      </c>
      <c r="Q113" s="307">
        <f t="shared" si="28"/>
        <v>1</v>
      </c>
      <c r="R113" s="179">
        <f t="shared" si="29"/>
        <v>0.44968346506103196</v>
      </c>
      <c r="S113" s="837">
        <f t="shared" si="30"/>
        <v>1</v>
      </c>
      <c r="T113" s="178">
        <f t="shared" si="31"/>
        <v>7</v>
      </c>
      <c r="U113" s="253">
        <f t="shared" si="32"/>
        <v>1.449683465061032</v>
      </c>
      <c r="V113" s="385">
        <f t="shared" si="33"/>
        <v>46.914132712349542</v>
      </c>
      <c r="W113" s="404">
        <f t="shared" si="34"/>
        <v>33.851476881165738</v>
      </c>
      <c r="X113" s="157">
        <f t="shared" si="35"/>
        <v>45390</v>
      </c>
      <c r="Y113" s="387">
        <f t="shared" si="36"/>
        <v>33.127845562045273</v>
      </c>
      <c r="Z113" s="387">
        <f t="shared" si="37"/>
        <v>34.768422349768436</v>
      </c>
      <c r="AA113" s="388">
        <f t="shared" si="38"/>
        <v>39.349851042652737</v>
      </c>
      <c r="AB113" s="199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0.116428107641839</v>
      </c>
      <c r="AD113" s="233">
        <f>(INDEX(Models!$BJ113:$BT113,,AH113)*(1-AF113)+INDEX(Models!$BJ113:$BT113,,AH113+1)*AF113-ERP_i)*AE113*Ramure*Pc/MaxiM</f>
        <v>1.2224610807747312E-2</v>
      </c>
      <c r="AE113" s="307">
        <f t="shared" si="40"/>
        <v>1</v>
      </c>
      <c r="AF113" s="179">
        <f t="shared" si="41"/>
        <v>0.44968346506103196</v>
      </c>
      <c r="AG113" s="837">
        <f t="shared" si="49"/>
        <v>1</v>
      </c>
      <c r="AH113" s="178">
        <f t="shared" si="42"/>
        <v>7</v>
      </c>
      <c r="AI113" s="227">
        <f t="shared" si="43"/>
        <v>1.449683465061032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45391</v>
      </c>
      <c r="B114" s="1139">
        <f>IF(t&gt;Tmaj,'2023'!Wh/'2023'!Env_an*'2024'!Env_an,0.001*'[6]mon-tableau'!$B$211)</f>
        <v>47.94036504715671</v>
      </c>
      <c r="C114" s="866"/>
      <c r="D114" s="395">
        <f t="shared" si="25"/>
        <v>50.315667116541839</v>
      </c>
      <c r="E114" s="387">
        <f t="shared" si="47"/>
        <v>55.74033989017326</v>
      </c>
      <c r="F114" s="387">
        <f t="shared" si="26"/>
        <v>56.417502682718599</v>
      </c>
      <c r="G114" s="110">
        <f t="shared" si="48"/>
        <v>1.0149681881709371</v>
      </c>
      <c r="H114" s="414" t="b">
        <f>Wh_hp&gt;='2023'!Maxi_hp</f>
        <v>1</v>
      </c>
      <c r="I114" s="392">
        <f>IF(H114,Wh_hp,'2023'!Maxi_hp)</f>
        <v>56.417502682718599</v>
      </c>
      <c r="J114" s="85">
        <f>IF(H114,An,'2023'!An_max)</f>
        <v>2024</v>
      </c>
      <c r="K114" s="199">
        <f t="shared" si="27"/>
        <v>45391</v>
      </c>
      <c r="L114" s="147">
        <f>IF(t&lt;Tvie,1-EXP((T0-t)*PertePVj)+'2023'!Pspv,1-EXP((T0-t)*PertePVj)+Pspv)</f>
        <v>4.7208001115903286E-2</v>
      </c>
      <c r="M114" s="870"/>
      <c r="N114" s="870"/>
      <c r="O114" s="48">
        <f>IF(t&lt;Tnet,'2023'!Resal+('2023'!Salim-'2023'!Resal)*(1-EXP(('2023'!Tnet-t)/('2023'!Tau_j))),Resal+(Salim-Resal)*(1-EXP((Tnet-t)/(Tau_j))))*Salcycl</f>
        <v>9.7320410753142281E-2</v>
      </c>
      <c r="P114" s="171">
        <f>(INDEX(Models!$BJ114:$BT114,,T114)*(1-R114)+INDEX(Models!$BJ114:$BT114,,T114+1)*R114-ERP_i)*Q114*Ramure*Pc/MaxiM</f>
        <v>1.2002707676615531E-2</v>
      </c>
      <c r="Q114" s="307">
        <f t="shared" si="28"/>
        <v>1</v>
      </c>
      <c r="R114" s="179">
        <f t="shared" si="29"/>
        <v>0.45165719360991141</v>
      </c>
      <c r="S114" s="837">
        <f t="shared" si="30"/>
        <v>1</v>
      </c>
      <c r="T114" s="178">
        <f t="shared" si="31"/>
        <v>7</v>
      </c>
      <c r="U114" s="253">
        <f t="shared" si="32"/>
        <v>1.4516571936099114</v>
      </c>
      <c r="V114" s="385">
        <f t="shared" si="33"/>
        <v>47.233367120155272</v>
      </c>
      <c r="W114" s="404">
        <f t="shared" si="34"/>
        <v>47.94036504715671</v>
      </c>
      <c r="X114" s="157">
        <f t="shared" si="35"/>
        <v>45391</v>
      </c>
      <c r="Y114" s="387">
        <f t="shared" si="36"/>
        <v>46.916826440096557</v>
      </c>
      <c r="Z114" s="387">
        <f t="shared" si="37"/>
        <v>49.241415224986369</v>
      </c>
      <c r="AA114" s="388">
        <f t="shared" si="38"/>
        <v>55.74033989017326</v>
      </c>
      <c r="AB114" s="199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0.1165928424188282</v>
      </c>
      <c r="AD114" s="233">
        <f>(INDEX(Models!$BJ114:$BT114,,AH114)*(1-AF114)+INDEX(Models!$BJ114:$BT114,,AH114+1)*AF114-ERP_i)*AE114*Ramure*Pc/MaxiM</f>
        <v>1.2002707676615531E-2</v>
      </c>
      <c r="AE114" s="307">
        <f t="shared" si="40"/>
        <v>1</v>
      </c>
      <c r="AF114" s="179">
        <f t="shared" si="41"/>
        <v>0.45165719360991141</v>
      </c>
      <c r="AG114" s="837">
        <f t="shared" si="49"/>
        <v>1</v>
      </c>
      <c r="AH114" s="178">
        <f t="shared" si="42"/>
        <v>7</v>
      </c>
      <c r="AI114" s="227">
        <f t="shared" si="43"/>
        <v>1.4516571936099114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45392</v>
      </c>
      <c r="B115" s="1139">
        <f>IF(t&gt;Tmaj,'2023'!Wh/'2023'!Env_an*'2024'!Env_an,0.001*'[6]mon-tableau'!$B$212)</f>
        <v>36.686237632918193</v>
      </c>
      <c r="C115" s="866"/>
      <c r="D115" s="395">
        <f t="shared" si="25"/>
        <v>38.504827326529835</v>
      </c>
      <c r="E115" s="387">
        <f t="shared" si="47"/>
        <v>42.665353757970472</v>
      </c>
      <c r="F115" s="387">
        <f t="shared" si="26"/>
        <v>43.00651757510154</v>
      </c>
      <c r="G115" s="110">
        <f t="shared" si="48"/>
        <v>0.76858518766288286</v>
      </c>
      <c r="H115" s="414" t="b">
        <f>Wh_hp&gt;='2023'!Maxi_hp</f>
        <v>0</v>
      </c>
      <c r="I115" s="392">
        <f>IF(H115,Wh_hp,'2023'!Maxi_hp)</f>
        <v>55.108352473035232</v>
      </c>
      <c r="J115" s="85">
        <f>IF(H115,An,'2023'!An_max)</f>
        <v>2020</v>
      </c>
      <c r="K115" s="199">
        <f t="shared" si="27"/>
        <v>45392</v>
      </c>
      <c r="L115" s="147">
        <f>IF(t&lt;Tvie,1-EXP((T0-t)*PertePVj)+'2023'!Pspv,1-EXP((T0-t)*PertePVj)+Pspv)</f>
        <v>4.7230173977656831E-2</v>
      </c>
      <c r="M115" s="870"/>
      <c r="N115" s="870"/>
      <c r="O115" s="48">
        <f>IF(t&lt;Tnet,'2023'!Resal+('2023'!Salim-'2023'!Resal)*(1-EXP(('2023'!Tnet-t)/('2023'!Tau_j))),Resal+(Salim-Resal)*(1-EXP((Tnet-t)/(Tau_j))))*Salcycl</f>
        <v>9.7515338910400887E-2</v>
      </c>
      <c r="P115" s="171">
        <f>(INDEX(Models!$BJ115:$BT115,,T115)*(1-R115)+INDEX(Models!$BJ115:$BT115,,T115+1)*R115-ERP_i)*Q115*Ramure*Pc/MaxiM</f>
        <v>1.1775439103837722E-2</v>
      </c>
      <c r="Q115" s="307">
        <f t="shared" si="28"/>
        <v>1</v>
      </c>
      <c r="R115" s="179">
        <f t="shared" si="29"/>
        <v>0.45370101926216733</v>
      </c>
      <c r="S115" s="837">
        <f t="shared" si="30"/>
        <v>1</v>
      </c>
      <c r="T115" s="178">
        <f t="shared" si="31"/>
        <v>7</v>
      </c>
      <c r="U115" s="253">
        <f t="shared" si="32"/>
        <v>1.4537010192621673</v>
      </c>
      <c r="V115" s="385">
        <f t="shared" si="33"/>
        <v>47.54728619817687</v>
      </c>
      <c r="W115" s="404">
        <f t="shared" si="34"/>
        <v>36.686237632918193</v>
      </c>
      <c r="X115" s="157">
        <f t="shared" si="35"/>
        <v>45392</v>
      </c>
      <c r="Y115" s="387">
        <f t="shared" si="36"/>
        <v>35.903924109349667</v>
      </c>
      <c r="Z115" s="387">
        <f t="shared" si="37"/>
        <v>37.683733393659857</v>
      </c>
      <c r="AA115" s="388">
        <f t="shared" si="38"/>
        <v>42.665353757970472</v>
      </c>
      <c r="AB115" s="199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0.11676032015508554</v>
      </c>
      <c r="AD115" s="233">
        <f>(INDEX(Models!$BJ115:$BT115,,AH115)*(1-AF115)+INDEX(Models!$BJ115:$BT115,,AH115+1)*AF115-ERP_i)*AE115*Ramure*Pc/MaxiM</f>
        <v>1.1775439103837722E-2</v>
      </c>
      <c r="AE115" s="307">
        <f t="shared" si="40"/>
        <v>1</v>
      </c>
      <c r="AF115" s="179">
        <f t="shared" si="41"/>
        <v>0.45370101926216733</v>
      </c>
      <c r="AG115" s="837">
        <f t="shared" si="49"/>
        <v>1</v>
      </c>
      <c r="AH115" s="178">
        <f t="shared" si="42"/>
        <v>7</v>
      </c>
      <c r="AI115" s="227">
        <f t="shared" si="43"/>
        <v>1.4537010192621673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45393</v>
      </c>
      <c r="B116" s="1139">
        <f>IF(t&gt;Tmaj,'2023'!Wh/'2023'!Env_an*'2024'!Env_an,0.001*'[6]mon-tableau'!$B$213)</f>
        <v>33.708809944684248</v>
      </c>
      <c r="C116" s="866"/>
      <c r="D116" s="395">
        <f t="shared" si="25"/>
        <v>35.380627613832878</v>
      </c>
      <c r="E116" s="387">
        <f t="shared" si="47"/>
        <v>39.212146957866182</v>
      </c>
      <c r="F116" s="387">
        <f t="shared" si="26"/>
        <v>39.475379083951943</v>
      </c>
      <c r="G116" s="110">
        <f t="shared" si="48"/>
        <v>0.70092927344053813</v>
      </c>
      <c r="H116" s="414" t="b">
        <f>Wh_hp&gt;='2023'!Maxi_hp</f>
        <v>0</v>
      </c>
      <c r="I116" s="392">
        <f>IF(H116,Wh_hp,'2023'!Maxi_hp)</f>
        <v>55.432889188888424</v>
      </c>
      <c r="J116" s="85">
        <f>IF(H116,An,'2023'!An_max)</f>
        <v>2019</v>
      </c>
      <c r="K116" s="199">
        <f t="shared" si="27"/>
        <v>45393</v>
      </c>
      <c r="L116" s="147">
        <f>IF(t&lt;Tvie,1-EXP((T0-t)*PertePVj)+'2023'!Pspv,1-EXP((T0-t)*PertePVj)+Pspv)</f>
        <v>4.7252346323415462E-2</v>
      </c>
      <c r="M116" s="870"/>
      <c r="N116" s="870"/>
      <c r="O116" s="48">
        <f>IF(t&lt;Tnet,'2023'!Resal+('2023'!Salim-'2023'!Resal)*(1-EXP(('2023'!Tnet-t)/('2023'!Tau_j))),Resal+(Salim-Resal)*(1-EXP((Tnet-t)/(Tau_j))))*Salcycl</f>
        <v>9.7712562083129562E-2</v>
      </c>
      <c r="P116" s="171">
        <f>(INDEX(Models!$BJ116:$BT116,,T116)*(1-R116)+INDEX(Models!$BJ116:$BT116,,T116+1)*R116-ERP_i)*Q116*Ramure*Pc/MaxiM</f>
        <v>1.1542890366412121E-2</v>
      </c>
      <c r="Q116" s="307">
        <f t="shared" si="28"/>
        <v>1</v>
      </c>
      <c r="R116" s="179">
        <f t="shared" si="29"/>
        <v>0.45581692447824707</v>
      </c>
      <c r="S116" s="837">
        <f t="shared" si="30"/>
        <v>1</v>
      </c>
      <c r="T116" s="178">
        <f t="shared" si="31"/>
        <v>7</v>
      </c>
      <c r="U116" s="253">
        <f t="shared" si="32"/>
        <v>1.4558169244782471</v>
      </c>
      <c r="V116" s="385">
        <f t="shared" si="33"/>
        <v>47.85559711404543</v>
      </c>
      <c r="W116" s="404">
        <f t="shared" si="34"/>
        <v>33.708809944684248</v>
      </c>
      <c r="X116" s="157">
        <f t="shared" si="35"/>
        <v>45393</v>
      </c>
      <c r="Y116" s="387">
        <f t="shared" si="36"/>
        <v>32.990837637851008</v>
      </c>
      <c r="Z116" s="387">
        <f t="shared" si="37"/>
        <v>34.62704684765346</v>
      </c>
      <c r="AA116" s="388">
        <f t="shared" si="38"/>
        <v>39.212146957866182</v>
      </c>
      <c r="AB116" s="199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0.11693060609865231</v>
      </c>
      <c r="AD116" s="233">
        <f>(INDEX(Models!$BJ116:$BT116,,AH116)*(1-AF116)+INDEX(Models!$BJ116:$BT116,,AH116+1)*AF116-ERP_i)*AE116*Ramure*Pc/MaxiM</f>
        <v>1.1542890366412121E-2</v>
      </c>
      <c r="AE116" s="307">
        <f t="shared" si="40"/>
        <v>1</v>
      </c>
      <c r="AF116" s="179">
        <f t="shared" si="41"/>
        <v>0.45581692447824707</v>
      </c>
      <c r="AG116" s="837">
        <f t="shared" si="49"/>
        <v>1</v>
      </c>
      <c r="AH116" s="178">
        <f t="shared" si="42"/>
        <v>7</v>
      </c>
      <c r="AI116" s="227">
        <f t="shared" si="43"/>
        <v>1.4558169244782471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45394</v>
      </c>
      <c r="B117" s="1139">
        <f>IF(t&gt;Tmaj,'2023'!Wh/'2023'!Env_an*'2024'!Env_an,0.001*'[6]mon-tableau'!$B$214)</f>
        <v>7.4299602884662965</v>
      </c>
      <c r="C117" s="866"/>
      <c r="D117" s="395">
        <f t="shared" si="25"/>
        <v>7.7986370996015619</v>
      </c>
      <c r="E117" s="387">
        <f t="shared" si="47"/>
        <v>8.6450970174253126</v>
      </c>
      <c r="F117" s="387">
        <f t="shared" si="26"/>
        <v>8.6450970174253126</v>
      </c>
      <c r="G117" s="110">
        <f t="shared" si="48"/>
        <v>0.15253877746987873</v>
      </c>
      <c r="H117" s="414" t="b">
        <f>Wh_hp&gt;='2023'!Maxi_hp</f>
        <v>0</v>
      </c>
      <c r="I117" s="392">
        <f>IF(H117,Wh_hp,'2023'!Maxi_hp)</f>
        <v>56.418752922877168</v>
      </c>
      <c r="J117" s="85">
        <f>IF(H117,An,'2023'!An_max)</f>
        <v>2019</v>
      </c>
      <c r="K117" s="199">
        <f t="shared" si="27"/>
        <v>45394</v>
      </c>
      <c r="L117" s="147">
        <f>IF(t&lt;Tvie,1-EXP((T0-t)*PertePVj)+'2023'!Pspv,1-EXP((T0-t)*PertePVj)+Pspv)</f>
        <v>4.7274518153191281E-2</v>
      </c>
      <c r="M117" s="870"/>
      <c r="N117" s="870"/>
      <c r="O117" s="48">
        <f>IF(t&lt;Tnet,'2023'!Resal+('2023'!Salim-'2023'!Resal)*(1-EXP(('2023'!Tnet-t)/('2023'!Tau_j))),Resal+(Salim-Resal)*(1-EXP((Tnet-t)/(Tau_j))))*Salcycl</f>
        <v>9.7912136337811012E-2</v>
      </c>
      <c r="P117" s="171">
        <f>(INDEX(Models!$BJ117:$BT117,,T117)*(1-R117)+INDEX(Models!$BJ117:$BT117,,T117+1)*R117-ERP_i)*Q117*Ramure*Pc/MaxiM</f>
        <v>1.1305134397571543E-2</v>
      </c>
      <c r="Q117" s="307">
        <f t="shared" si="28"/>
        <v>1</v>
      </c>
      <c r="R117" s="179">
        <f t="shared" si="29"/>
        <v>0.45800690798433719</v>
      </c>
      <c r="S117" s="837">
        <f t="shared" si="30"/>
        <v>1</v>
      </c>
      <c r="T117" s="178">
        <f t="shared" si="31"/>
        <v>7</v>
      </c>
      <c r="U117" s="253">
        <f t="shared" si="32"/>
        <v>1.4580069079843372</v>
      </c>
      <c r="V117" s="385">
        <f t="shared" si="33"/>
        <v>48.1580074960752</v>
      </c>
      <c r="W117" s="404">
        <f t="shared" si="34"/>
        <v>7.4299602884662965</v>
      </c>
      <c r="X117" s="157">
        <f t="shared" si="35"/>
        <v>45394</v>
      </c>
      <c r="Y117" s="387">
        <f t="shared" si="36"/>
        <v>7.2718902989451015</v>
      </c>
      <c r="Z117" s="387">
        <f t="shared" si="37"/>
        <v>7.6327236307870354</v>
      </c>
      <c r="AA117" s="388">
        <f t="shared" si="38"/>
        <v>8.6450970174253126</v>
      </c>
      <c r="AB117" s="199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0.11710376235196748</v>
      </c>
      <c r="AD117" s="233">
        <f>(INDEX(Models!$BJ117:$BT117,,AH117)*(1-AF117)+INDEX(Models!$BJ117:$BT117,,AH117+1)*AF117-ERP_i)*AE117*Ramure*Pc/MaxiM</f>
        <v>1.1305134397571543E-2</v>
      </c>
      <c r="AE117" s="307">
        <f t="shared" si="40"/>
        <v>1</v>
      </c>
      <c r="AF117" s="179">
        <f t="shared" si="41"/>
        <v>0.45800690798433719</v>
      </c>
      <c r="AG117" s="837">
        <f t="shared" si="49"/>
        <v>1</v>
      </c>
      <c r="AH117" s="178">
        <f t="shared" si="42"/>
        <v>7</v>
      </c>
      <c r="AI117" s="227">
        <f t="shared" si="43"/>
        <v>1.4580069079843372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45395</v>
      </c>
      <c r="B118" s="1139">
        <f>IF(t&gt;Tmaj,'2023'!Wh/'2023'!Env_an*'2024'!Env_an,0.001*'[6]mon-tableau'!$B$215)</f>
        <v>36.329940429598309</v>
      </c>
      <c r="C118" s="866"/>
      <c r="D118" s="395">
        <f t="shared" si="25"/>
        <v>38.133530164047599</v>
      </c>
      <c r="E118" s="387">
        <f t="shared" si="47"/>
        <v>42.281990217051856</v>
      </c>
      <c r="F118" s="387">
        <f t="shared" si="26"/>
        <v>42.584679379252321</v>
      </c>
      <c r="G118" s="110">
        <f t="shared" si="48"/>
        <v>0.74679251021317761</v>
      </c>
      <c r="H118" s="414" t="b">
        <f>Wh_hp&gt;='2023'!Maxi_hp</f>
        <v>0</v>
      </c>
      <c r="I118" s="392">
        <f>IF(H118,Wh_hp,'2023'!Maxi_hp)</f>
        <v>56.195003771164046</v>
      </c>
      <c r="J118" s="85">
        <f>IF(H118,An,'2023'!An_max)</f>
        <v>2021</v>
      </c>
      <c r="K118" s="199">
        <f t="shared" si="27"/>
        <v>45395</v>
      </c>
      <c r="L118" s="147">
        <f>IF(t&lt;Tvie,1-EXP((T0-t)*PertePVj)+'2023'!Pspv,1-EXP((T0-t)*PertePVj)+Pspv)</f>
        <v>4.7296689466996167E-2</v>
      </c>
      <c r="M118" s="870"/>
      <c r="N118" s="870"/>
      <c r="O118" s="48">
        <f>IF(t&lt;Tnet,'2023'!Resal+('2023'!Salim-'2023'!Resal)*(1-EXP(('2023'!Tnet-t)/('2023'!Tau_j))),Resal+(Salim-Resal)*(1-EXP((Tnet-t)/(Tau_j))))*Salcycl</f>
        <v>9.8114115057224366E-2</v>
      </c>
      <c r="P118" s="171">
        <f>(INDEX(Models!$BJ118:$BT118,,T118)*(1-R118)+INDEX(Models!$BJ118:$BT118,,T118+1)*R118-ERP_i)*Q118*Ramure*Pc/MaxiM</f>
        <v>1.1062231913155236E-2</v>
      </c>
      <c r="Q118" s="307">
        <f t="shared" si="28"/>
        <v>1</v>
      </c>
      <c r="R118" s="179">
        <f t="shared" si="29"/>
        <v>0.46027298141572626</v>
      </c>
      <c r="S118" s="837">
        <f t="shared" si="30"/>
        <v>1</v>
      </c>
      <c r="T118" s="178">
        <f t="shared" si="31"/>
        <v>7</v>
      </c>
      <c r="U118" s="253">
        <f t="shared" si="32"/>
        <v>1.4602729814157263</v>
      </c>
      <c r="V118" s="385">
        <f t="shared" si="33"/>
        <v>48.454225446697826</v>
      </c>
      <c r="W118" s="404">
        <f t="shared" si="34"/>
        <v>36.329940429598309</v>
      </c>
      <c r="X118" s="157">
        <f t="shared" si="35"/>
        <v>45395</v>
      </c>
      <c r="Y118" s="387">
        <f t="shared" si="36"/>
        <v>35.557902706063217</v>
      </c>
      <c r="Z118" s="387">
        <f t="shared" si="37"/>
        <v>37.323164843596302</v>
      </c>
      <c r="AA118" s="388">
        <f t="shared" si="38"/>
        <v>42.281990217051856</v>
      </c>
      <c r="AB118" s="199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0.1172798477082027</v>
      </c>
      <c r="AD118" s="233">
        <f>(INDEX(Models!$BJ118:$BT118,,AH118)*(1-AF118)+INDEX(Models!$BJ118:$BT118,,AH118+1)*AF118-ERP_i)*AE118*Ramure*Pc/MaxiM</f>
        <v>1.1062231913155236E-2</v>
      </c>
      <c r="AE118" s="307">
        <f t="shared" si="40"/>
        <v>1</v>
      </c>
      <c r="AF118" s="179">
        <f t="shared" si="41"/>
        <v>0.46027298141572626</v>
      </c>
      <c r="AG118" s="837">
        <f t="shared" si="49"/>
        <v>1</v>
      </c>
      <c r="AH118" s="178">
        <f t="shared" si="42"/>
        <v>7</v>
      </c>
      <c r="AI118" s="227">
        <f t="shared" si="43"/>
        <v>1.4602729814157263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45396</v>
      </c>
      <c r="B119" s="1139">
        <f>IF(t&gt;Tmaj,'2023'!Wh/'2023'!Env_an*'2024'!Env_an,0.001*'[6]mon-tableau'!$B$216)</f>
        <v>40.342421246856901</v>
      </c>
      <c r="C119" s="866"/>
      <c r="D119" s="395">
        <f t="shared" si="25"/>
        <v>42.346194927373034</v>
      </c>
      <c r="E119" s="387">
        <f t="shared" si="47"/>
        <v>46.963586608779323</v>
      </c>
      <c r="F119" s="387">
        <f t="shared" si="26"/>
        <v>47.349554103088494</v>
      </c>
      <c r="G119" s="110">
        <f t="shared" si="48"/>
        <v>0.82541746022995932</v>
      </c>
      <c r="H119" s="414" t="b">
        <f>Wh_hp&gt;='2023'!Maxi_hp</f>
        <v>0</v>
      </c>
      <c r="I119" s="392">
        <f>IF(H119,Wh_hp,'2023'!Maxi_hp)</f>
        <v>56.145689401906232</v>
      </c>
      <c r="J119" s="85">
        <f>IF(H119,An,'2023'!An_max)</f>
        <v>2021</v>
      </c>
      <c r="K119" s="199">
        <f t="shared" si="27"/>
        <v>45396</v>
      </c>
      <c r="L119" s="147">
        <f>IF(t&lt;Tvie,1-EXP((T0-t)*PertePVj)+'2023'!Pspv,1-EXP((T0-t)*PertePVj)+Pspv)</f>
        <v>4.7318860264842222E-2</v>
      </c>
      <c r="M119" s="870"/>
      <c r="N119" s="870"/>
      <c r="O119" s="48">
        <f>IF(t&lt;Tnet,'2023'!Resal+('2023'!Salim-'2023'!Resal)*(1-EXP(('2023'!Tnet-t)/('2023'!Tau_j))),Resal+(Salim-Resal)*(1-EXP((Tnet-t)/(Tau_j))))*Salcycl</f>
        <v>9.8318548791227173E-2</v>
      </c>
      <c r="P119" s="171">
        <f>(INDEX(Models!$BJ119:$BT119,,T119)*(1-R119)+INDEX(Models!$BJ119:$BT119,,T119+1)*R119-ERP_i)*Q119*Ramure*Pc/MaxiM</f>
        <v>1.0814231511990116E-2</v>
      </c>
      <c r="Q119" s="307">
        <f t="shared" si="28"/>
        <v>1</v>
      </c>
      <c r="R119" s="179">
        <f t="shared" si="29"/>
        <v>0.46261716564907029</v>
      </c>
      <c r="S119" s="837">
        <f t="shared" si="30"/>
        <v>1</v>
      </c>
      <c r="T119" s="178">
        <f t="shared" si="31"/>
        <v>7</v>
      </c>
      <c r="U119" s="253">
        <f t="shared" si="32"/>
        <v>1.4626171656490703</v>
      </c>
      <c r="V119" s="385">
        <f t="shared" si="33"/>
        <v>48.743959580939709</v>
      </c>
      <c r="W119" s="404">
        <f t="shared" si="34"/>
        <v>40.342421246856901</v>
      </c>
      <c r="X119" s="157">
        <f t="shared" si="35"/>
        <v>45396</v>
      </c>
      <c r="Y119" s="387">
        <f t="shared" si="36"/>
        <v>39.486055824727366</v>
      </c>
      <c r="Z119" s="387">
        <f t="shared" si="37"/>
        <v>41.447294564584702</v>
      </c>
      <c r="AA119" s="388">
        <f t="shared" si="38"/>
        <v>46.963586608779323</v>
      </c>
      <c r="AB119" s="199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0.11745891748317643</v>
      </c>
      <c r="AD119" s="233">
        <f>(INDEX(Models!$BJ119:$BT119,,AH119)*(1-AF119)+INDEX(Models!$BJ119:$BT119,,AH119+1)*AF119-ERP_i)*AE119*Ramure*Pc/MaxiM</f>
        <v>1.0814231511990116E-2</v>
      </c>
      <c r="AE119" s="307">
        <f t="shared" si="40"/>
        <v>1</v>
      </c>
      <c r="AF119" s="179">
        <f t="shared" si="41"/>
        <v>0.46261716564907029</v>
      </c>
      <c r="AG119" s="837">
        <f t="shared" si="49"/>
        <v>1</v>
      </c>
      <c r="AH119" s="178">
        <f t="shared" si="42"/>
        <v>7</v>
      </c>
      <c r="AI119" s="227">
        <f t="shared" si="43"/>
        <v>1.4626171656490703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45397</v>
      </c>
      <c r="B120" s="1139">
        <f>IF(t&gt;Tmaj,'2023'!Wh/'2023'!Env_an*'2024'!Env_an,0.001*'[6]mon-tableau'!$B$217)</f>
        <v>43.264069024414127</v>
      </c>
      <c r="C120" s="866"/>
      <c r="D120" s="395">
        <f t="shared" si="25"/>
        <v>45.41401531047763</v>
      </c>
      <c r="E120" s="387">
        <f t="shared" si="47"/>
        <v>50.377481071277131</v>
      </c>
      <c r="F120" s="387">
        <f t="shared" si="26"/>
        <v>50.82410957021898</v>
      </c>
      <c r="G120" s="110">
        <f t="shared" si="48"/>
        <v>0.88087653422736745</v>
      </c>
      <c r="H120" s="414" t="b">
        <f>Wh_hp&gt;='2023'!Maxi_hp</f>
        <v>0</v>
      </c>
      <c r="I120" s="392">
        <f>IF(H120,Wh_hp,'2023'!Maxi_hp)</f>
        <v>50.868217959412618</v>
      </c>
      <c r="J120" s="85">
        <f>IF(H120,An,'2023'!An_max)</f>
        <v>2022</v>
      </c>
      <c r="K120" s="199">
        <f t="shared" si="27"/>
        <v>45397</v>
      </c>
      <c r="L120" s="147">
        <f>IF(t&lt;Tvie,1-EXP((T0-t)*PertePVj)+'2023'!Pspv,1-EXP((T0-t)*PertePVj)+Pspv)</f>
        <v>4.7341030546741436E-2</v>
      </c>
      <c r="M120" s="870"/>
      <c r="N120" s="870"/>
      <c r="O120" s="48">
        <f>IF(t&lt;Tnet,'2023'!Resal+('2023'!Salim-'2023'!Resal)*(1-EXP(('2023'!Tnet-t)/('2023'!Tau_j))),Resal+(Salim-Resal)*(1-EXP((Tnet-t)/(Tau_j))))*Salcycl</f>
        <v>9.8525485102696736E-2</v>
      </c>
      <c r="P120" s="171">
        <f>(INDEX(Models!$BJ120:$BT120,,T120)*(1-R120)+INDEX(Models!$BJ120:$BT120,,T120+1)*R120-ERP_i)*Q120*Ramure*Pc/MaxiM</f>
        <v>1.0561169759532292E-2</v>
      </c>
      <c r="Q120" s="307">
        <f t="shared" si="28"/>
        <v>1</v>
      </c>
      <c r="R120" s="179">
        <f t="shared" si="29"/>
        <v>0.46504148681216972</v>
      </c>
      <c r="S120" s="837">
        <f t="shared" si="30"/>
        <v>1</v>
      </c>
      <c r="T120" s="178">
        <f t="shared" si="31"/>
        <v>7</v>
      </c>
      <c r="U120" s="253">
        <f t="shared" si="32"/>
        <v>1.4650414868121697</v>
      </c>
      <c r="V120" s="385">
        <f t="shared" si="33"/>
        <v>49.026919044162362</v>
      </c>
      <c r="W120" s="404">
        <f t="shared" si="34"/>
        <v>43.264069024414127</v>
      </c>
      <c r="X120" s="157">
        <f t="shared" si="35"/>
        <v>45397</v>
      </c>
      <c r="Y120" s="387">
        <f t="shared" si="36"/>
        <v>42.346665423808403</v>
      </c>
      <c r="Z120" s="387">
        <f t="shared" si="37"/>
        <v>44.451022644663304</v>
      </c>
      <c r="AA120" s="388">
        <f t="shared" si="38"/>
        <v>50.377481071277131</v>
      </c>
      <c r="AB120" s="199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0.11764102334193145</v>
      </c>
      <c r="AD120" s="233">
        <f>(INDEX(Models!$BJ120:$BT120,,AH120)*(1-AF120)+INDEX(Models!$BJ120:$BT120,,AH120+1)*AF120-ERP_i)*AE120*Ramure*Pc/MaxiM</f>
        <v>1.0561169759532292E-2</v>
      </c>
      <c r="AE120" s="307">
        <f t="shared" si="40"/>
        <v>1</v>
      </c>
      <c r="AF120" s="179">
        <f t="shared" si="41"/>
        <v>0.46504148681216972</v>
      </c>
      <c r="AG120" s="837">
        <f t="shared" si="49"/>
        <v>1</v>
      </c>
      <c r="AH120" s="178">
        <f t="shared" si="42"/>
        <v>7</v>
      </c>
      <c r="AI120" s="227">
        <f t="shared" si="43"/>
        <v>1.4650414868121697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45398</v>
      </c>
      <c r="B121" s="1139">
        <f>IF(t&gt;Tmaj,'2023'!Wh/'2023'!Env_an*'2024'!Env_an,0.001*'[6]mon-tableau'!$B$218)</f>
        <v>49.113369362341281</v>
      </c>
      <c r="C121" s="866"/>
      <c r="D121" s="395">
        <f t="shared" si="25"/>
        <v>51.555188061665149</v>
      </c>
      <c r="E121" s="387">
        <f t="shared" si="47"/>
        <v>57.203138094236223</v>
      </c>
      <c r="F121" s="387">
        <f t="shared" si="26"/>
        <v>57.795299003148351</v>
      </c>
      <c r="G121" s="110">
        <f t="shared" si="48"/>
        <v>0.99607275844138732</v>
      </c>
      <c r="H121" s="414" t="b">
        <f>Wh_hp&gt;='2023'!Maxi_hp</f>
        <v>0</v>
      </c>
      <c r="I121" s="392">
        <f>IF(H121,Wh_hp,'2023'!Maxi_hp)</f>
        <v>57.796922044603946</v>
      </c>
      <c r="J121" s="85">
        <f>IF(H121,An,'2023'!An_max)</f>
        <v>2022</v>
      </c>
      <c r="K121" s="199">
        <f t="shared" si="27"/>
        <v>45398</v>
      </c>
      <c r="L121" s="147">
        <f>IF(t&lt;Tvie,1-EXP((T0-t)*PertePVj)+'2023'!Pspv,1-EXP((T0-t)*PertePVj)+Pspv)</f>
        <v>4.73632003127058E-2</v>
      </c>
      <c r="M121" s="870"/>
      <c r="N121" s="870"/>
      <c r="O121" s="48">
        <f>IF(t&lt;Tnet,'2023'!Resal+('2023'!Salim-'2023'!Resal)*(1-EXP(('2023'!Tnet-t)/('2023'!Tau_j))),Resal+(Salim-Resal)*(1-EXP((Tnet-t)/(Tau_j))))*Salcycl</f>
        <v>9.8734968407968637E-2</v>
      </c>
      <c r="P121" s="171">
        <f>(INDEX(Models!$BJ121:$BT121,,T121)*(1-R121)+INDEX(Models!$BJ121:$BT121,,T121+1)*R121-ERP_i)*Q121*Ramure*Pc/MaxiM</f>
        <v>1.0302790216993065E-2</v>
      </c>
      <c r="Q121" s="307">
        <f t="shared" si="28"/>
        <v>1</v>
      </c>
      <c r="R121" s="179">
        <f t="shared" si="29"/>
        <v>0.46754797196071718</v>
      </c>
      <c r="S121" s="837">
        <f t="shared" si="30"/>
        <v>1</v>
      </c>
      <c r="T121" s="178">
        <f t="shared" si="31"/>
        <v>7</v>
      </c>
      <c r="U121" s="253">
        <f t="shared" si="32"/>
        <v>1.4675479719607172</v>
      </c>
      <c r="V121" s="385">
        <f t="shared" si="33"/>
        <v>49.304172375729792</v>
      </c>
      <c r="W121" s="404">
        <f t="shared" si="34"/>
        <v>49.113369362341281</v>
      </c>
      <c r="X121" s="157">
        <f t="shared" si="35"/>
        <v>45398</v>
      </c>
      <c r="Y121" s="387">
        <f t="shared" si="36"/>
        <v>48.073014616264743</v>
      </c>
      <c r="Z121" s="387">
        <f t="shared" si="37"/>
        <v>50.463108954057674</v>
      </c>
      <c r="AA121" s="388">
        <f t="shared" si="38"/>
        <v>57.203138094236223</v>
      </c>
      <c r="AB121" s="199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0.11782621311920068</v>
      </c>
      <c r="AD121" s="233">
        <f>(INDEX(Models!$BJ121:$BT121,,AH121)*(1-AF121)+INDEX(Models!$BJ121:$BT121,,AH121+1)*AF121-ERP_i)*AE121*Ramure*Pc/MaxiM</f>
        <v>1.0302790216993065E-2</v>
      </c>
      <c r="AE121" s="307">
        <f t="shared" si="40"/>
        <v>1</v>
      </c>
      <c r="AF121" s="179">
        <f t="shared" si="41"/>
        <v>0.46754797196071718</v>
      </c>
      <c r="AG121" s="837">
        <f t="shared" si="49"/>
        <v>1</v>
      </c>
      <c r="AH121" s="178">
        <f t="shared" si="42"/>
        <v>7</v>
      </c>
      <c r="AI121" s="227">
        <f t="shared" si="43"/>
        <v>1.4675479719607172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45399</v>
      </c>
      <c r="B122" s="1139">
        <f>IF(t&gt;Tmaj,'2023'!Wh/'2023'!Env_an*'2024'!Env_an,0.001*'[6]mon-tableau'!$B$219)</f>
        <v>39.467941319045714</v>
      </c>
      <c r="C122" s="866"/>
      <c r="D122" s="395">
        <f t="shared" si="25"/>
        <v>41.431172751283299</v>
      </c>
      <c r="E122" s="387">
        <f t="shared" si="47"/>
        <v>45.980840840480816</v>
      </c>
      <c r="F122" s="387">
        <f t="shared" si="26"/>
        <v>46.310155307507138</v>
      </c>
      <c r="G122" s="110">
        <f t="shared" si="48"/>
        <v>0.79374969232884707</v>
      </c>
      <c r="H122" s="414" t="b">
        <f>Wh_hp&gt;='2023'!Maxi_hp</f>
        <v>0</v>
      </c>
      <c r="I122" s="392">
        <f>IF(H122,Wh_hp,'2023'!Maxi_hp)</f>
        <v>46.37724858489505</v>
      </c>
      <c r="J122" s="85">
        <f>IF(H122,An,'2023'!An_max)</f>
        <v>2022</v>
      </c>
      <c r="K122" s="199">
        <f t="shared" si="27"/>
        <v>45399</v>
      </c>
      <c r="L122" s="147">
        <f>IF(t&lt;Tvie,1-EXP((T0-t)*PertePVj)+'2023'!Pspv,1-EXP((T0-t)*PertePVj)+Pspv)</f>
        <v>4.7385369562747304E-2</v>
      </c>
      <c r="M122" s="870"/>
      <c r="N122" s="870"/>
      <c r="O122" s="48">
        <f>IF(t&lt;Tnet,'2023'!Resal+('2023'!Salim-'2023'!Resal)*(1-EXP(('2023'!Tnet-t)/('2023'!Tau_j))),Resal+(Salim-Resal)*(1-EXP((Tnet-t)/(Tau_j))))*Salcycl</f>
        <v>9.8947039811243739E-2</v>
      </c>
      <c r="P122" s="171">
        <f>(INDEX(Models!$BJ122:$BT122,,T122)*(1-R122)+INDEX(Models!$BJ122:$BT122,,T122+1)*R122-ERP_i)*Q122*Ramure*Pc/MaxiM</f>
        <v>1.0033890078254844E-2</v>
      </c>
      <c r="Q122" s="307">
        <f t="shared" si="28"/>
        <v>1</v>
      </c>
      <c r="R122" s="179">
        <f t="shared" si="29"/>
        <v>0.47013864441252928</v>
      </c>
      <c r="S122" s="837">
        <f t="shared" si="30"/>
        <v>1</v>
      </c>
      <c r="T122" s="178">
        <f t="shared" si="31"/>
        <v>7</v>
      </c>
      <c r="U122" s="253">
        <f t="shared" si="32"/>
        <v>1.4701386444125293</v>
      </c>
      <c r="V122" s="385">
        <f t="shared" si="33"/>
        <v>49.5770361474137</v>
      </c>
      <c r="W122" s="404">
        <f t="shared" si="34"/>
        <v>39.467941319045714</v>
      </c>
      <c r="X122" s="157">
        <f t="shared" si="35"/>
        <v>45399</v>
      </c>
      <c r="Y122" s="387">
        <f t="shared" si="36"/>
        <v>38.632746672215305</v>
      </c>
      <c r="Z122" s="387">
        <f t="shared" si="37"/>
        <v>40.554433490574013</v>
      </c>
      <c r="AA122" s="388">
        <f t="shared" si="38"/>
        <v>45.980840840480816</v>
      </c>
      <c r="AB122" s="199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0.11801453063314744</v>
      </c>
      <c r="AD122" s="233">
        <f>(INDEX(Models!$BJ122:$BT122,,AH122)*(1-AF122)+INDEX(Models!$BJ122:$BT122,,AH122+1)*AF122-ERP_i)*AE122*Ramure*Pc/MaxiM</f>
        <v>1.0033890078254844E-2</v>
      </c>
      <c r="AE122" s="307">
        <f t="shared" si="40"/>
        <v>1</v>
      </c>
      <c r="AF122" s="179">
        <f t="shared" si="41"/>
        <v>0.47013864441252928</v>
      </c>
      <c r="AG122" s="837">
        <f t="shared" si="49"/>
        <v>1</v>
      </c>
      <c r="AH122" s="178">
        <f t="shared" si="42"/>
        <v>7</v>
      </c>
      <c r="AI122" s="227">
        <f t="shared" si="43"/>
        <v>1.4701386444125293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45400</v>
      </c>
      <c r="B123" s="1139">
        <f>IF(t&gt;Tmaj,'2023'!Wh/'2023'!Env_an*'2024'!Env_an,0.001*'[6]mon-tableau'!$B$220)</f>
        <v>10.785116860351339</v>
      </c>
      <c r="C123" s="866"/>
      <c r="D123" s="395">
        <f t="shared" si="25"/>
        <v>11.321858290867464</v>
      </c>
      <c r="E123" s="387">
        <f t="shared" si="47"/>
        <v>12.568136540199552</v>
      </c>
      <c r="F123" s="387">
        <f t="shared" si="26"/>
        <v>12.568136540199552</v>
      </c>
      <c r="G123" s="110">
        <f t="shared" si="48"/>
        <v>0.21426151924894413</v>
      </c>
      <c r="H123" s="414" t="b">
        <f>Wh_hp&gt;='2023'!Maxi_hp</f>
        <v>0</v>
      </c>
      <c r="I123" s="392">
        <f>IF(H123,Wh_hp,'2023'!Maxi_hp)</f>
        <v>56.526054792556174</v>
      </c>
      <c r="J123" s="85">
        <f>IF(H123,An,'2023'!An_max)</f>
        <v>2021</v>
      </c>
      <c r="K123" s="199">
        <f t="shared" si="27"/>
        <v>45400</v>
      </c>
      <c r="L123" s="147">
        <f>IF(t&lt;Tvie,1-EXP((T0-t)*PertePVj)+'2023'!Pspv,1-EXP((T0-t)*PertePVj)+Pspv)</f>
        <v>4.7407538296878049E-2</v>
      </c>
      <c r="M123" s="870"/>
      <c r="N123" s="870"/>
      <c r="O123" s="48">
        <f>IF(t&lt;Tnet,'2023'!Resal+('2023'!Salim-'2023'!Resal)*(1-EXP(('2023'!Tnet-t)/('2023'!Tau_j))),Resal+(Salim-Resal)*(1-EXP((Tnet-t)/(Tau_j))))*Salcycl</f>
        <v>9.9161736932585925E-2</v>
      </c>
      <c r="P123" s="171">
        <f>(INDEX(Models!$BJ123:$BT123,,T123)*(1-R123)+INDEX(Models!$BJ123:$BT123,,T123+1)*R123-ERP_i)*Q123*Ramure*Pc/MaxiM</f>
        <v>9.758448361178805E-3</v>
      </c>
      <c r="Q123" s="307">
        <f t="shared" si="28"/>
        <v>1</v>
      </c>
      <c r="R123" s="179">
        <f t="shared" si="29"/>
        <v>0.47281551873102079</v>
      </c>
      <c r="S123" s="837">
        <f t="shared" si="30"/>
        <v>1</v>
      </c>
      <c r="T123" s="178">
        <f t="shared" si="31"/>
        <v>7</v>
      </c>
      <c r="U123" s="253">
        <f t="shared" si="32"/>
        <v>1.4728155187310208</v>
      </c>
      <c r="V123" s="385">
        <f t="shared" si="33"/>
        <v>49.845025330898054</v>
      </c>
      <c r="W123" s="404">
        <f t="shared" si="34"/>
        <v>10.785116860351339</v>
      </c>
      <c r="X123" s="157">
        <f t="shared" si="35"/>
        <v>45400</v>
      </c>
      <c r="Y123" s="387">
        <f t="shared" si="36"/>
        <v>10.557112813227002</v>
      </c>
      <c r="Z123" s="387">
        <f t="shared" si="37"/>
        <v>11.082507197623778</v>
      </c>
      <c r="AA123" s="388">
        <f t="shared" si="38"/>
        <v>12.568136540199552</v>
      </c>
      <c r="AB123" s="199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0.11820601549195023</v>
      </c>
      <c r="AD123" s="233">
        <f>(INDEX(Models!$BJ123:$BT123,,AH123)*(1-AF123)+INDEX(Models!$BJ123:$BT123,,AH123+1)*AF123-ERP_i)*AE123*Ramure*Pc/MaxiM</f>
        <v>9.758448361178805E-3</v>
      </c>
      <c r="AE123" s="307">
        <f t="shared" si="40"/>
        <v>1</v>
      </c>
      <c r="AF123" s="179">
        <f t="shared" si="41"/>
        <v>0.47281551873102079</v>
      </c>
      <c r="AG123" s="837">
        <f t="shared" si="49"/>
        <v>1</v>
      </c>
      <c r="AH123" s="178">
        <f t="shared" si="42"/>
        <v>7</v>
      </c>
      <c r="AI123" s="227">
        <f t="shared" si="43"/>
        <v>1.4728155187310208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45401</v>
      </c>
      <c r="B124" s="1139">
        <f>IF(t&gt;Tmaj,'2023'!Wh/'2023'!Env_an*'2024'!Env_an,0.001*'[6]mon-tableau'!$B$221)</f>
        <v>10.182518019362901</v>
      </c>
      <c r="C124" s="866"/>
      <c r="D124" s="395">
        <f t="shared" si="25"/>
        <v>10.689518756784974</v>
      </c>
      <c r="E124" s="387">
        <f t="shared" si="47"/>
        <v>11.869054651471775</v>
      </c>
      <c r="F124" s="387">
        <f t="shared" si="26"/>
        <v>11.869054651471775</v>
      </c>
      <c r="G124" s="110">
        <f t="shared" si="48"/>
        <v>0.20128629196411105</v>
      </c>
      <c r="H124" s="414" t="b">
        <f>Wh_hp&gt;='2023'!Maxi_hp</f>
        <v>0</v>
      </c>
      <c r="I124" s="392">
        <f>IF(H124,Wh_hp,'2023'!Maxi_hp)</f>
        <v>48.602789768147602</v>
      </c>
      <c r="J124" s="85">
        <f>IF(H124,An,'2023'!An_max)</f>
        <v>2019</v>
      </c>
      <c r="K124" s="199">
        <f t="shared" si="27"/>
        <v>45401</v>
      </c>
      <c r="L124" s="147">
        <f>IF(t&lt;Tvie,1-EXP((T0-t)*PertePVj)+'2023'!Pspv,1-EXP((T0-t)*PertePVj)+Pspv)</f>
        <v>4.7429706515109915E-2</v>
      </c>
      <c r="M124" s="870"/>
      <c r="N124" s="870"/>
      <c r="O124" s="48">
        <f>IF(t&lt;Tnet,'2023'!Resal+('2023'!Salim-'2023'!Resal)*(1-EXP(('2023'!Tnet-t)/('2023'!Tau_j))),Resal+(Salim-Resal)*(1-EXP((Tnet-t)/(Tau_j))))*Salcycl</f>
        <v>9.9379093729300302E-2</v>
      </c>
      <c r="P124" s="171">
        <f>(INDEX(Models!$BJ124:$BT124,,T124)*(1-R124)+INDEX(Models!$BJ124:$BT124,,T124+1)*R124-ERP_i)*Q124*Ramure*Pc/MaxiM</f>
        <v>9.4765109146709089E-3</v>
      </c>
      <c r="Q124" s="307">
        <f t="shared" si="28"/>
        <v>1</v>
      </c>
      <c r="R124" s="179">
        <f t="shared" si="29"/>
        <v>0.47558059535115782</v>
      </c>
      <c r="S124" s="837">
        <f t="shared" si="30"/>
        <v>1</v>
      </c>
      <c r="T124" s="178">
        <f t="shared" si="31"/>
        <v>7</v>
      </c>
      <c r="U124" s="253">
        <f t="shared" si="32"/>
        <v>1.4755805953511578</v>
      </c>
      <c r="V124" s="385">
        <f t="shared" si="33"/>
        <v>50.10784975865068</v>
      </c>
      <c r="W124" s="404">
        <f t="shared" si="34"/>
        <v>10.182518019362901</v>
      </c>
      <c r="X124" s="157">
        <f t="shared" si="35"/>
        <v>45401</v>
      </c>
      <c r="Y124" s="387">
        <f t="shared" si="36"/>
        <v>9.9674576352233792</v>
      </c>
      <c r="Z124" s="387">
        <f t="shared" si="37"/>
        <v>10.463750238062074</v>
      </c>
      <c r="AA124" s="388">
        <f t="shared" si="38"/>
        <v>11.869054651471775</v>
      </c>
      <c r="AB124" s="199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0.11840070289300088</v>
      </c>
      <c r="AD124" s="233">
        <f>(INDEX(Models!$BJ124:$BT124,,AH124)*(1-AF124)+INDEX(Models!$BJ124:$BT124,,AH124+1)*AF124-ERP_i)*AE124*Ramure*Pc/MaxiM</f>
        <v>9.4765109146709089E-3</v>
      </c>
      <c r="AE124" s="307">
        <f t="shared" si="40"/>
        <v>1</v>
      </c>
      <c r="AF124" s="179">
        <f t="shared" si="41"/>
        <v>0.47558059535115782</v>
      </c>
      <c r="AG124" s="837">
        <f t="shared" si="49"/>
        <v>1</v>
      </c>
      <c r="AH124" s="178">
        <f t="shared" si="42"/>
        <v>7</v>
      </c>
      <c r="AI124" s="227">
        <f t="shared" si="43"/>
        <v>1.4755805953511578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45402</v>
      </c>
      <c r="B125" s="1139">
        <f>IF(t&gt;Tmaj,'2023'!Wh/'2023'!Env_an*'2024'!Env_an,0.001*'[6]mon-tableau'!$B$222)</f>
        <v>9.7174961987166117</v>
      </c>
      <c r="C125" s="866"/>
      <c r="D125" s="395">
        <f t="shared" si="25"/>
        <v>10.201580304127328</v>
      </c>
      <c r="E125" s="387">
        <f t="shared" si="47"/>
        <v>11.330042829642709</v>
      </c>
      <c r="F125" s="387">
        <f t="shared" si="26"/>
        <v>11.330042829642709</v>
      </c>
      <c r="G125" s="110">
        <f t="shared" si="48"/>
        <v>0.19116784932333891</v>
      </c>
      <c r="H125" s="414" t="b">
        <f>Wh_hp&gt;='2023'!Maxi_hp</f>
        <v>0</v>
      </c>
      <c r="I125" s="392">
        <f>IF(H125,Wh_hp,'2023'!Maxi_hp)</f>
        <v>55.33124831385225</v>
      </c>
      <c r="J125" s="85">
        <f>IF(H125,An,'2023'!An_max)</f>
        <v>2021</v>
      </c>
      <c r="K125" s="199">
        <f t="shared" si="27"/>
        <v>45402</v>
      </c>
      <c r="L125" s="147">
        <f>IF(t&lt;Tvie,1-EXP((T0-t)*PertePVj)+'2023'!Pspv,1-EXP((T0-t)*PertePVj)+Pspv)</f>
        <v>4.7451874217454892E-2</v>
      </c>
      <c r="M125" s="870"/>
      <c r="N125" s="870"/>
      <c r="O125" s="48">
        <f>IF(t&lt;Tnet,'2023'!Resal+('2023'!Salim-'2023'!Resal)*(1-EXP(('2023'!Tnet-t)/('2023'!Tau_j))),Resal+(Salim-Resal)*(1-EXP((Tnet-t)/(Tau_j))))*Salcycl</f>
        <v>9.9599140310660902E-2</v>
      </c>
      <c r="P125" s="171">
        <f>(INDEX(Models!$BJ125:$BT125,,T125)*(1-R125)+INDEX(Models!$BJ125:$BT125,,T125+1)*R125-ERP_i)*Q125*Ramure*Pc/MaxiM</f>
        <v>9.1881364796522931E-3</v>
      </c>
      <c r="Q125" s="307">
        <f t="shared" si="28"/>
        <v>1</v>
      </c>
      <c r="R125" s="179">
        <f t="shared" si="29"/>
        <v>0.47843585484282003</v>
      </c>
      <c r="S125" s="837">
        <f t="shared" si="30"/>
        <v>1</v>
      </c>
      <c r="T125" s="178">
        <f t="shared" si="31"/>
        <v>7</v>
      </c>
      <c r="U125" s="253">
        <f t="shared" si="32"/>
        <v>1.47843585484282</v>
      </c>
      <c r="V125" s="385">
        <f t="shared" si="33"/>
        <v>50.365218583995606</v>
      </c>
      <c r="W125" s="404">
        <f t="shared" si="34"/>
        <v>9.7174961987166117</v>
      </c>
      <c r="X125" s="157">
        <f t="shared" si="35"/>
        <v>45402</v>
      </c>
      <c r="Y125" s="387">
        <f t="shared" si="36"/>
        <v>9.5124459670844459</v>
      </c>
      <c r="Z125" s="387">
        <f t="shared" si="37"/>
        <v>9.9863153468174684</v>
      </c>
      <c r="AA125" s="388">
        <f t="shared" si="38"/>
        <v>11.330042829642709</v>
      </c>
      <c r="AB125" s="199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0.11859862341470209</v>
      </c>
      <c r="AD125" s="233">
        <f>(INDEX(Models!$BJ125:$BT125,,AH125)*(1-AF125)+INDEX(Models!$BJ125:$BT125,,AH125+1)*AF125-ERP_i)*AE125*Ramure*Pc/MaxiM</f>
        <v>9.1881364796522931E-3</v>
      </c>
      <c r="AE125" s="307">
        <f t="shared" si="40"/>
        <v>1</v>
      </c>
      <c r="AF125" s="179">
        <f t="shared" si="41"/>
        <v>0.47843585484282003</v>
      </c>
      <c r="AG125" s="837">
        <f t="shared" si="49"/>
        <v>1</v>
      </c>
      <c r="AH125" s="178">
        <f t="shared" si="42"/>
        <v>7</v>
      </c>
      <c r="AI125" s="227">
        <f t="shared" si="43"/>
        <v>1.47843585484282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45403</v>
      </c>
      <c r="B126" s="1139">
        <f>IF(t&gt;Tmaj,'2023'!Wh/'2023'!Env_an*'2024'!Env_an,0.001*'[6]mon-tableau'!$B$223)</f>
        <v>29.392413752741</v>
      </c>
      <c r="C126" s="866"/>
      <c r="D126" s="395">
        <f t="shared" si="25"/>
        <v>30.85733620956891</v>
      </c>
      <c r="E126" s="387">
        <f t="shared" si="47"/>
        <v>34.279145764271071</v>
      </c>
      <c r="F126" s="387">
        <f t="shared" si="26"/>
        <v>34.401824152345405</v>
      </c>
      <c r="G126" s="110">
        <f t="shared" si="48"/>
        <v>0.57757990076118926</v>
      </c>
      <c r="H126" s="414" t="b">
        <f>Wh_hp&gt;='2023'!Maxi_hp</f>
        <v>0</v>
      </c>
      <c r="I126" s="392">
        <f>IF(H126,Wh_hp,'2023'!Maxi_hp)</f>
        <v>59.287065717944621</v>
      </c>
      <c r="J126" s="85">
        <f>IF(H126,An,'2023'!An_max)</f>
        <v>2021</v>
      </c>
      <c r="K126" s="199">
        <f t="shared" si="27"/>
        <v>45403</v>
      </c>
      <c r="L126" s="147">
        <f>IF(t&lt;Tvie,1-EXP((T0-t)*PertePVj)+'2023'!Pspv,1-EXP((T0-t)*PertePVj)+Pspv)</f>
        <v>4.7474041403925082E-2</v>
      </c>
      <c r="M126" s="870"/>
      <c r="N126" s="870"/>
      <c r="O126" s="48">
        <f>IF(t&lt;Tnet,'2023'!Resal+('2023'!Salim-'2023'!Resal)*(1-EXP(('2023'!Tnet-t)/('2023'!Tau_j))),Resal+(Salim-Resal)*(1-EXP((Tnet-t)/(Tau_j))))*Salcycl</f>
        <v>9.9821902746149785E-2</v>
      </c>
      <c r="P126" s="171">
        <f>(INDEX(Models!$BJ126:$BT126,,T126)*(1-R126)+INDEX(Models!$BJ126:$BT126,,T126+1)*R126-ERP_i)*Q126*Ramure*Pc/MaxiM</f>
        <v>8.8933677393176376E-3</v>
      </c>
      <c r="Q126" s="307">
        <f t="shared" si="28"/>
        <v>1</v>
      </c>
      <c r="R126" s="179">
        <f t="shared" si="29"/>
        <v>0.48138325180845554</v>
      </c>
      <c r="S126" s="837">
        <f t="shared" si="30"/>
        <v>1</v>
      </c>
      <c r="T126" s="178">
        <f t="shared" si="31"/>
        <v>7</v>
      </c>
      <c r="U126" s="253">
        <f t="shared" si="32"/>
        <v>1.4813832518084555</v>
      </c>
      <c r="V126" s="385">
        <f t="shared" si="33"/>
        <v>50.616841764693952</v>
      </c>
      <c r="W126" s="404">
        <f t="shared" si="34"/>
        <v>29.392413752741</v>
      </c>
      <c r="X126" s="157">
        <f t="shared" si="35"/>
        <v>45403</v>
      </c>
      <c r="Y126" s="387">
        <f t="shared" si="36"/>
        <v>28.772751607800735</v>
      </c>
      <c r="Z126" s="387">
        <f t="shared" si="37"/>
        <v>30.206790007286315</v>
      </c>
      <c r="AA126" s="388">
        <f t="shared" si="38"/>
        <v>34.279145764271071</v>
      </c>
      <c r="AB126" s="199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0.11879980280107634</v>
      </c>
      <c r="AD126" s="233">
        <f>(INDEX(Models!$BJ126:$BT126,,AH126)*(1-AF126)+INDEX(Models!$BJ126:$BT126,,AH126+1)*AF126-ERP_i)*AE126*Ramure*Pc/MaxiM</f>
        <v>8.8933677393176376E-3</v>
      </c>
      <c r="AE126" s="307">
        <f t="shared" si="40"/>
        <v>1</v>
      </c>
      <c r="AF126" s="179">
        <f t="shared" si="41"/>
        <v>0.48138325180845554</v>
      </c>
      <c r="AG126" s="837">
        <f t="shared" si="49"/>
        <v>1</v>
      </c>
      <c r="AH126" s="178">
        <f t="shared" si="42"/>
        <v>7</v>
      </c>
      <c r="AI126" s="227">
        <f t="shared" si="43"/>
        <v>1.4813832518084555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45404</v>
      </c>
      <c r="B127" s="1139">
        <f>IF(t&gt;Tmaj,'2023'!Wh/'2023'!Env_an*'2024'!Env_an,0.001*'[6]mon-tableau'!$B$224)</f>
        <v>8.5027703870772573</v>
      </c>
      <c r="C127" s="866"/>
      <c r="D127" s="395">
        <f t="shared" si="25"/>
        <v>8.9267575196620221</v>
      </c>
      <c r="E127" s="387">
        <f t="shared" si="47"/>
        <v>9.9191419060357706</v>
      </c>
      <c r="F127" s="387">
        <f t="shared" si="26"/>
        <v>9.9191419060357706</v>
      </c>
      <c r="G127" s="110">
        <f t="shared" si="48"/>
        <v>0.1657355459098262</v>
      </c>
      <c r="H127" s="414" t="b">
        <f>Wh_hp&gt;='2023'!Maxi_hp</f>
        <v>0</v>
      </c>
      <c r="I127" s="392">
        <f>IF(H127,Wh_hp,'2023'!Maxi_hp)</f>
        <v>58.481630214798564</v>
      </c>
      <c r="J127" s="85">
        <f>IF(H127,An,'2023'!An_max)</f>
        <v>2021</v>
      </c>
      <c r="K127" s="199">
        <f t="shared" si="27"/>
        <v>45404</v>
      </c>
      <c r="L127" s="147">
        <f>IF(t&lt;Tvie,1-EXP((T0-t)*PertePVj)+'2023'!Pspv,1-EXP((T0-t)*PertePVj)+Pspv)</f>
        <v>4.7496208074532476E-2</v>
      </c>
      <c r="M127" s="870"/>
      <c r="N127" s="870"/>
      <c r="O127" s="48">
        <f>IF(t&lt;Tnet,'2023'!Resal+('2023'!Salim-'2023'!Resal)*(1-EXP(('2023'!Tnet-t)/('2023'!Tau_j))),Resal+(Salim-Resal)*(1-EXP((Tnet-t)/(Tau_j))))*Salcycl</f>
        <v>0.10004740286756914</v>
      </c>
      <c r="P127" s="171">
        <f>(INDEX(Models!$BJ127:$BT127,,T127)*(1-R127)+INDEX(Models!$BJ127:$BT127,,T127+1)*R127-ERP_i)*Q127*Ramure*Pc/MaxiM</f>
        <v>8.5922061914543938E-3</v>
      </c>
      <c r="Q127" s="307">
        <f t="shared" si="28"/>
        <v>1</v>
      </c>
      <c r="R127" s="179">
        <f t="shared" si="29"/>
        <v>0.48442470841410223</v>
      </c>
      <c r="S127" s="837">
        <f t="shared" si="30"/>
        <v>1</v>
      </c>
      <c r="T127" s="178">
        <f t="shared" si="31"/>
        <v>7</v>
      </c>
      <c r="U127" s="253">
        <f t="shared" si="32"/>
        <v>1.4844247084141022</v>
      </c>
      <c r="V127" s="385">
        <f t="shared" si="33"/>
        <v>50.862431377873257</v>
      </c>
      <c r="W127" s="404">
        <f t="shared" si="34"/>
        <v>8.5027703870772573</v>
      </c>
      <c r="X127" s="157">
        <f t="shared" si="35"/>
        <v>45404</v>
      </c>
      <c r="Y127" s="387">
        <f t="shared" si="36"/>
        <v>8.3236656000440039</v>
      </c>
      <c r="Z127" s="387">
        <f t="shared" si="37"/>
        <v>8.7387217464172817</v>
      </c>
      <c r="AA127" s="388">
        <f t="shared" si="38"/>
        <v>9.9191419060357706</v>
      </c>
      <c r="AB127" s="199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0.11900426173963757</v>
      </c>
      <c r="AD127" s="233">
        <f>(INDEX(Models!$BJ127:$BT127,,AH127)*(1-AF127)+INDEX(Models!$BJ127:$BT127,,AH127+1)*AF127-ERP_i)*AE127*Ramure*Pc/MaxiM</f>
        <v>8.5922061914543938E-3</v>
      </c>
      <c r="AE127" s="307">
        <f t="shared" si="40"/>
        <v>1</v>
      </c>
      <c r="AF127" s="179">
        <f t="shared" si="41"/>
        <v>0.48442470841410223</v>
      </c>
      <c r="AG127" s="837">
        <f t="shared" si="49"/>
        <v>1</v>
      </c>
      <c r="AH127" s="178">
        <f t="shared" si="42"/>
        <v>7</v>
      </c>
      <c r="AI127" s="227">
        <f t="shared" si="43"/>
        <v>1.4844247084141022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45405</v>
      </c>
      <c r="B128" s="1139">
        <f>IF(t&gt;Tmaj,'2023'!Wh/'2023'!Env_an*'2024'!Env_an,0.001*'[6]mon-tableau'!$B$225)</f>
        <v>36.352188719400125</v>
      </c>
      <c r="C128" s="866"/>
      <c r="D128" s="395">
        <f t="shared" si="25"/>
        <v>38.165763764718669</v>
      </c>
      <c r="E128" s="387">
        <f t="shared" si="47"/>
        <v>42.419396681724059</v>
      </c>
      <c r="F128" s="387">
        <f t="shared" si="26"/>
        <v>42.626932911625431</v>
      </c>
      <c r="G128" s="110">
        <f t="shared" si="48"/>
        <v>0.70892754677791925</v>
      </c>
      <c r="H128" s="414" t="b">
        <f>Wh_hp&gt;='2023'!Maxi_hp</f>
        <v>0</v>
      </c>
      <c r="I128" s="392">
        <f>IF(H128,Wh_hp,'2023'!Maxi_hp)</f>
        <v>54.722101062954692</v>
      </c>
      <c r="J128" s="85">
        <f>IF(H128,An,'2023'!An_max)</f>
        <v>2021</v>
      </c>
      <c r="K128" s="199">
        <f t="shared" si="27"/>
        <v>45405</v>
      </c>
      <c r="L128" s="147">
        <f>IF(t&lt;Tvie,1-EXP((T0-t)*PertePVj)+'2023'!Pspv,1-EXP((T0-t)*PertePVj)+Pspv)</f>
        <v>4.7518374229289062E-2</v>
      </c>
      <c r="M128" s="870"/>
      <c r="N128" s="870"/>
      <c r="O128" s="48">
        <f>IF(t&lt;Tnet,'2023'!Resal+('2023'!Salim-'2023'!Resal)*(1-EXP(('2023'!Tnet-t)/('2023'!Tau_j))),Resal+(Salim-Resal)*(1-EXP((Tnet-t)/(Tau_j))))*Salcycl</f>
        <v>0.10027565806559494</v>
      </c>
      <c r="P128" s="171">
        <f>(INDEX(Models!$BJ128:$BT128,,T128)*(1-R128)+INDEX(Models!$BJ128:$BT128,,T128+1)*R128-ERP_i)*Q128*Ramure*Pc/MaxiM</f>
        <v>8.2846812481654035E-3</v>
      </c>
      <c r="Q128" s="307">
        <f t="shared" si="28"/>
        <v>1</v>
      </c>
      <c r="R128" s="179">
        <f t="shared" si="29"/>
        <v>0.48756210755531626</v>
      </c>
      <c r="S128" s="837">
        <f t="shared" si="30"/>
        <v>1</v>
      </c>
      <c r="T128" s="178">
        <f t="shared" si="31"/>
        <v>7</v>
      </c>
      <c r="U128" s="253">
        <f t="shared" si="32"/>
        <v>1.4875621075553163</v>
      </c>
      <c r="V128" s="385">
        <f t="shared" si="33"/>
        <v>51.101698117138646</v>
      </c>
      <c r="W128" s="404">
        <f t="shared" si="34"/>
        <v>36.352188719400125</v>
      </c>
      <c r="X128" s="157">
        <f t="shared" si="35"/>
        <v>45405</v>
      </c>
      <c r="Y128" s="387">
        <f t="shared" si="36"/>
        <v>35.587089886488378</v>
      </c>
      <c r="Z128" s="387">
        <f t="shared" si="37"/>
        <v>37.362494901350665</v>
      </c>
      <c r="AA128" s="388">
        <f t="shared" si="38"/>
        <v>42.419396681724059</v>
      </c>
      <c r="AB128" s="199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0.1192120156332187</v>
      </c>
      <c r="AD128" s="233">
        <f>(INDEX(Models!$BJ128:$BT128,,AH128)*(1-AF128)+INDEX(Models!$BJ128:$BT128,,AH128+1)*AF128-ERP_i)*AE128*Ramure*Pc/MaxiM</f>
        <v>8.2846812481654035E-3</v>
      </c>
      <c r="AE128" s="307">
        <f t="shared" si="40"/>
        <v>1</v>
      </c>
      <c r="AF128" s="179">
        <f t="shared" si="41"/>
        <v>0.48756210755531626</v>
      </c>
      <c r="AG128" s="837">
        <f t="shared" si="49"/>
        <v>1</v>
      </c>
      <c r="AH128" s="178">
        <f t="shared" si="42"/>
        <v>7</v>
      </c>
      <c r="AI128" s="227">
        <f t="shared" si="43"/>
        <v>1.4875621075553163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45406</v>
      </c>
      <c r="B129" s="1139">
        <f>IF(t&gt;Tmaj,'2023'!Wh/'2023'!Env_an*'2024'!Env_an,0.001*'[6]mon-tableau'!$B$226)</f>
        <v>45.362310535657237</v>
      </c>
      <c r="C129" s="866"/>
      <c r="D129" s="395">
        <f t="shared" si="25"/>
        <v>47.626500060569917</v>
      </c>
      <c r="E129" s="387">
        <f t="shared" si="47"/>
        <v>52.948142091634494</v>
      </c>
      <c r="F129" s="387">
        <f t="shared" si="26"/>
        <v>53.302641400396695</v>
      </c>
      <c r="G129" s="110">
        <f t="shared" si="48"/>
        <v>0.88248946191262279</v>
      </c>
      <c r="H129" s="414" t="b">
        <f>Wh_hp&gt;='2023'!Maxi_hp</f>
        <v>0</v>
      </c>
      <c r="I129" s="392">
        <f>IF(H129,Wh_hp,'2023'!Maxi_hp)</f>
        <v>56.337889785916616</v>
      </c>
      <c r="J129" s="85">
        <f>IF(H129,An,'2023'!An_max)</f>
        <v>2020</v>
      </c>
      <c r="K129" s="199">
        <f t="shared" si="27"/>
        <v>45406</v>
      </c>
      <c r="L129" s="147">
        <f>IF(t&lt;Tvie,1-EXP((T0-t)*PertePVj)+'2023'!Pspv,1-EXP((T0-t)*PertePVj)+Pspv)</f>
        <v>4.7540539868206833E-2</v>
      </c>
      <c r="M129" s="870"/>
      <c r="N129" s="870"/>
      <c r="O129" s="48">
        <f>IF(t&lt;Tnet,'2023'!Resal+('2023'!Salim-'2023'!Resal)*(1-EXP(('2023'!Tnet-t)/('2023'!Tau_j))),Resal+(Salim-Resal)*(1-EXP((Tnet-t)/(Tau_j))))*Salcycl</f>
        <v>0.10050668108155143</v>
      </c>
      <c r="P129" s="171">
        <f>(INDEX(Models!$BJ129:$BT129,,T129)*(1-R129)+INDEX(Models!$BJ129:$BT129,,T129+1)*R129-ERP_i)*Q129*Ramure*Pc/MaxiM</f>
        <v>7.9762421791357563E-3</v>
      </c>
      <c r="Q129" s="307">
        <f t="shared" si="28"/>
        <v>1</v>
      </c>
      <c r="R129" s="179">
        <f t="shared" si="29"/>
        <v>0.49079728566226843</v>
      </c>
      <c r="S129" s="837">
        <f t="shared" si="30"/>
        <v>1</v>
      </c>
      <c r="T129" s="178">
        <f t="shared" si="31"/>
        <v>7</v>
      </c>
      <c r="U129" s="253">
        <f t="shared" si="32"/>
        <v>1.4907972856622684</v>
      </c>
      <c r="V129" s="385">
        <f t="shared" si="33"/>
        <v>51.334072265800842</v>
      </c>
      <c r="W129" s="404">
        <f t="shared" si="34"/>
        <v>45.362310535657237</v>
      </c>
      <c r="X129" s="157">
        <f t="shared" si="35"/>
        <v>45406</v>
      </c>
      <c r="Y129" s="387">
        <f t="shared" si="36"/>
        <v>44.408338684652158</v>
      </c>
      <c r="Z129" s="387">
        <f t="shared" si="37"/>
        <v>46.624912181046859</v>
      </c>
      <c r="AA129" s="388">
        <f t="shared" si="38"/>
        <v>52.948142091634494</v>
      </c>
      <c r="AB129" s="199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0.11942307436669568</v>
      </c>
      <c r="AD129" s="233">
        <f>(INDEX(Models!$BJ129:$BT129,,AH129)*(1-AF129)+INDEX(Models!$BJ129:$BT129,,AH129+1)*AF129-ERP_i)*AE129*Ramure*Pc/MaxiM</f>
        <v>7.9762421791357563E-3</v>
      </c>
      <c r="AE129" s="307">
        <f t="shared" si="40"/>
        <v>1</v>
      </c>
      <c r="AF129" s="179">
        <f t="shared" si="41"/>
        <v>0.49079728566226843</v>
      </c>
      <c r="AG129" s="837">
        <f t="shared" si="49"/>
        <v>1</v>
      </c>
      <c r="AH129" s="178">
        <f t="shared" si="42"/>
        <v>7</v>
      </c>
      <c r="AI129" s="227">
        <f t="shared" si="43"/>
        <v>1.4907972856622684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45407</v>
      </c>
      <c r="B130" s="1139">
        <f>IF(t&gt;Tmaj,'2023'!Wh/'2023'!Env_an*'2024'!Env_an,0.001*'[6]mon-tableau'!$B$227)</f>
        <v>50.314591608816031</v>
      </c>
      <c r="C130" s="866"/>
      <c r="D130" s="395">
        <f t="shared" si="25"/>
        <v>52.82719594506883</v>
      </c>
      <c r="E130" s="387">
        <f t="shared" si="47"/>
        <v>58.745217323970358</v>
      </c>
      <c r="F130" s="387">
        <f t="shared" si="26"/>
        <v>59.183314100612307</v>
      </c>
      <c r="G130" s="110">
        <f t="shared" si="48"/>
        <v>0.97559934972386608</v>
      </c>
      <c r="H130" s="414" t="b">
        <f>Wh_hp&gt;='2023'!Maxi_hp</f>
        <v>0</v>
      </c>
      <c r="I130" s="392">
        <f>IF(H130,Wh_hp,'2023'!Maxi_hp)</f>
        <v>59.191543258844384</v>
      </c>
      <c r="J130" s="85">
        <f>IF(H130,An,'2023'!An_max)</f>
        <v>2022</v>
      </c>
      <c r="K130" s="199">
        <f t="shared" si="27"/>
        <v>45407</v>
      </c>
      <c r="L130" s="147">
        <f>IF(t&lt;Tvie,1-EXP((T0-t)*PertePVj)+'2023'!Pspv,1-EXP((T0-t)*PertePVj)+Pspv)</f>
        <v>4.7562704991297888E-2</v>
      </c>
      <c r="M130" s="870"/>
      <c r="N130" s="870"/>
      <c r="O130" s="48">
        <f>IF(t&lt;Tnet,'2023'!Resal+('2023'!Salim-'2023'!Resal)*(1-EXP(('2023'!Tnet-t)/('2023'!Tau_j))),Resal+(Salim-Resal)*(1-EXP((Tnet-t)/(Tau_j))))*Salcycl</f>
        <v>0.10074047979539502</v>
      </c>
      <c r="P130" s="171">
        <f>(INDEX(Models!$BJ130:$BT130,,T130)*(1-R130)+INDEX(Models!$BJ130:$BT130,,T130+1)*R130-ERP_i)*Q130*Ramure*Pc/MaxiM</f>
        <v>7.6667716350854809E-3</v>
      </c>
      <c r="Q130" s="307">
        <f t="shared" si="28"/>
        <v>1</v>
      </c>
      <c r="R130" s="179">
        <f t="shared" si="29"/>
        <v>0.49413202515127108</v>
      </c>
      <c r="S130" s="837">
        <f t="shared" si="30"/>
        <v>1</v>
      </c>
      <c r="T130" s="178">
        <f t="shared" si="31"/>
        <v>7</v>
      </c>
      <c r="U130" s="253">
        <f t="shared" si="32"/>
        <v>1.4941320251512711</v>
      </c>
      <c r="V130" s="385">
        <f t="shared" si="33"/>
        <v>51.55926881491812</v>
      </c>
      <c r="W130" s="404">
        <f t="shared" si="34"/>
        <v>50.314591608816031</v>
      </c>
      <c r="X130" s="157">
        <f t="shared" si="35"/>
        <v>45407</v>
      </c>
      <c r="Y130" s="387">
        <f t="shared" si="36"/>
        <v>49.257285104830103</v>
      </c>
      <c r="Z130" s="387">
        <f t="shared" si="37"/>
        <v>51.717089789496384</v>
      </c>
      <c r="AA130" s="388">
        <f t="shared" si="38"/>
        <v>58.745217323970358</v>
      </c>
      <c r="AB130" s="199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0.11963744206979421</v>
      </c>
      <c r="AD130" s="233">
        <f>(INDEX(Models!$BJ130:$BT130,,AH130)*(1-AF130)+INDEX(Models!$BJ130:$BT130,,AH130+1)*AF130-ERP_i)*AE130*Ramure*Pc/MaxiM</f>
        <v>7.6667716350854809E-3</v>
      </c>
      <c r="AE130" s="307">
        <f t="shared" si="40"/>
        <v>1</v>
      </c>
      <c r="AF130" s="179">
        <f t="shared" si="41"/>
        <v>0.49413202515127108</v>
      </c>
      <c r="AG130" s="837">
        <f t="shared" si="49"/>
        <v>1</v>
      </c>
      <c r="AH130" s="178">
        <f t="shared" si="42"/>
        <v>7</v>
      </c>
      <c r="AI130" s="227">
        <f t="shared" si="43"/>
        <v>1.4941320251512711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45408</v>
      </c>
      <c r="B131" s="1139">
        <f>IF(t&gt;Tmaj,'2023'!Wh/'2023'!Env_an*'2024'!Env_an,0.001*'[6]mon-tableau'!$B$228)</f>
        <v>35.897604224924436</v>
      </c>
      <c r="C131" s="866"/>
      <c r="D131" s="395">
        <f t="shared" si="25"/>
        <v>37.691131817481981</v>
      </c>
      <c r="E131" s="387">
        <f t="shared" si="47"/>
        <v>41.924549436051009</v>
      </c>
      <c r="F131" s="387">
        <f t="shared" si="26"/>
        <v>42.098552235489898</v>
      </c>
      <c r="G131" s="110">
        <f t="shared" si="48"/>
        <v>0.69106797370770523</v>
      </c>
      <c r="H131" s="414" t="b">
        <f>Wh_hp&gt;='2023'!Maxi_hp</f>
        <v>0</v>
      </c>
      <c r="I131" s="392">
        <f>IF(H131,Wh_hp,'2023'!Maxi_hp)</f>
        <v>42.170302647803133</v>
      </c>
      <c r="J131" s="85">
        <f>IF(H131,An,'2023'!An_max)</f>
        <v>2022</v>
      </c>
      <c r="K131" s="199">
        <f t="shared" si="27"/>
        <v>45408</v>
      </c>
      <c r="L131" s="147">
        <f>IF(t&lt;Tvie,1-EXP((T0-t)*PertePVj)+'2023'!Pspv,1-EXP((T0-t)*PertePVj)+Pspv)</f>
        <v>4.7584869598573998E-2</v>
      </c>
      <c r="M131" s="870"/>
      <c r="N131" s="870"/>
      <c r="O131" s="48">
        <f>IF(t&lt;Tnet,'2023'!Resal+('2023'!Salim-'2023'!Resal)*(1-EXP(('2023'!Tnet-t)/('2023'!Tau_j))),Resal+(Salim-Resal)*(1-EXP((Tnet-t)/(Tau_j))))*Salcycl</f>
        <v>0.10097705701110533</v>
      </c>
      <c r="P131" s="171">
        <f>(INDEX(Models!$BJ131:$BT131,,T131)*(1-R131)+INDEX(Models!$BJ131:$BT131,,T131+1)*R131-ERP_i)*Q131*Ramure*Pc/MaxiM</f>
        <v>7.356143801265147E-3</v>
      </c>
      <c r="Q131" s="307">
        <f t="shared" si="28"/>
        <v>1</v>
      </c>
      <c r="R131" s="179">
        <f t="shared" si="29"/>
        <v>0.49756804653325992</v>
      </c>
      <c r="S131" s="837">
        <f t="shared" si="30"/>
        <v>1</v>
      </c>
      <c r="T131" s="178">
        <f t="shared" si="31"/>
        <v>7</v>
      </c>
      <c r="U131" s="253">
        <f t="shared" si="32"/>
        <v>1.4975680465332599</v>
      </c>
      <c r="V131" s="385">
        <f t="shared" si="33"/>
        <v>51.77700364298596</v>
      </c>
      <c r="W131" s="404">
        <f t="shared" si="34"/>
        <v>35.897604224924436</v>
      </c>
      <c r="X131" s="157">
        <f t="shared" si="35"/>
        <v>45408</v>
      </c>
      <c r="Y131" s="387">
        <f t="shared" si="36"/>
        <v>35.143811313520082</v>
      </c>
      <c r="Z131" s="387">
        <f t="shared" si="37"/>
        <v>36.899677663360507</v>
      </c>
      <c r="AA131" s="388">
        <f t="shared" si="38"/>
        <v>41.924549436051009</v>
      </c>
      <c r="AB131" s="199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0.11985511687740655</v>
      </c>
      <c r="AD131" s="233">
        <f>(INDEX(Models!$BJ131:$BT131,,AH131)*(1-AF131)+INDEX(Models!$BJ131:$BT131,,AH131+1)*AF131-ERP_i)*AE131*Ramure*Pc/MaxiM</f>
        <v>7.356143801265147E-3</v>
      </c>
      <c r="AE131" s="307">
        <f t="shared" si="40"/>
        <v>1</v>
      </c>
      <c r="AF131" s="179">
        <f t="shared" si="41"/>
        <v>0.49756804653325992</v>
      </c>
      <c r="AG131" s="837">
        <f t="shared" si="49"/>
        <v>1</v>
      </c>
      <c r="AH131" s="178">
        <f t="shared" si="42"/>
        <v>7</v>
      </c>
      <c r="AI131" s="227">
        <f t="shared" si="43"/>
        <v>1.4975680465332599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45409</v>
      </c>
      <c r="B132" s="1139">
        <f>IF(t&gt;Tmaj,'2023'!Wh/'2023'!Env_an*'2024'!Env_an,0.001*'[6]mon-tableau'!$B$229)</f>
        <v>21.994374475501285</v>
      </c>
      <c r="C132" s="866"/>
      <c r="D132" s="395">
        <f t="shared" si="25"/>
        <v>23.09380187961542</v>
      </c>
      <c r="E132" s="387">
        <f t="shared" si="47"/>
        <v>25.694507713258091</v>
      </c>
      <c r="F132" s="387">
        <f t="shared" si="26"/>
        <v>25.726370367360985</v>
      </c>
      <c r="G132" s="110">
        <f t="shared" si="48"/>
        <v>0.4206152699540186</v>
      </c>
      <c r="H132" s="414" t="b">
        <f>Wh_hp&gt;='2023'!Maxi_hp</f>
        <v>0</v>
      </c>
      <c r="I132" s="392">
        <f>IF(H132,Wh_hp,'2023'!Maxi_hp)</f>
        <v>48.071799484183821</v>
      </c>
      <c r="J132" s="85">
        <f>IF(H132,An,'2023'!An_max)</f>
        <v>2019</v>
      </c>
      <c r="K132" s="199">
        <f t="shared" si="27"/>
        <v>45409</v>
      </c>
      <c r="L132" s="147">
        <f>IF(t&lt;Tvie,1-EXP((T0-t)*PertePVj)+'2023'!Pspv,1-EXP((T0-t)*PertePVj)+Pspv)</f>
        <v>4.7607033690047484E-2</v>
      </c>
      <c r="M132" s="870"/>
      <c r="N132" s="870"/>
      <c r="O132" s="48">
        <f>IF(t&lt;Tnet,'2023'!Resal+('2023'!Salim-'2023'!Resal)*(1-EXP(('2023'!Tnet-t)/('2023'!Tau_j))),Resal+(Salim-Resal)*(1-EXP((Tnet-t)/(Tau_j))))*Salcycl</f>
        <v>0.10121641024088338</v>
      </c>
      <c r="P132" s="171">
        <f>(INDEX(Models!$BJ132:$BT132,,T132)*(1-R132)+INDEX(Models!$BJ132:$BT132,,T132+1)*R132-ERP_i)*Q132*Ramure*Pc/MaxiM</f>
        <v>7.0442242885862478E-3</v>
      </c>
      <c r="Q132" s="307">
        <f t="shared" si="28"/>
        <v>1</v>
      </c>
      <c r="R132" s="179">
        <f t="shared" si="29"/>
        <v>0.50110700019328824</v>
      </c>
      <c r="S132" s="837">
        <f t="shared" si="30"/>
        <v>1</v>
      </c>
      <c r="T132" s="178">
        <f t="shared" si="31"/>
        <v>7</v>
      </c>
      <c r="U132" s="253">
        <f t="shared" si="32"/>
        <v>1.5011070001932882</v>
      </c>
      <c r="V132" s="385">
        <f t="shared" si="33"/>
        <v>51.986993536528388</v>
      </c>
      <c r="W132" s="404">
        <f t="shared" si="34"/>
        <v>21.994374475501285</v>
      </c>
      <c r="X132" s="157">
        <f t="shared" si="35"/>
        <v>45409</v>
      </c>
      <c r="Y132" s="387">
        <f t="shared" si="36"/>
        <v>21.532854172958679</v>
      </c>
      <c r="Z132" s="387">
        <f t="shared" si="37"/>
        <v>22.609211674869613</v>
      </c>
      <c r="AA132" s="388">
        <f t="shared" si="38"/>
        <v>25.694507713258091</v>
      </c>
      <c r="AB132" s="199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0.12007609068908129</v>
      </c>
      <c r="AD132" s="233">
        <f>(INDEX(Models!$BJ132:$BT132,,AH132)*(1-AF132)+INDEX(Models!$BJ132:$BT132,,AH132+1)*AF132-ERP_i)*AE132*Ramure*Pc/MaxiM</f>
        <v>7.0442242885862478E-3</v>
      </c>
      <c r="AE132" s="307">
        <f t="shared" si="40"/>
        <v>1</v>
      </c>
      <c r="AF132" s="179">
        <f t="shared" si="41"/>
        <v>0.50110700019328824</v>
      </c>
      <c r="AG132" s="837">
        <f t="shared" si="49"/>
        <v>1</v>
      </c>
      <c r="AH132" s="178">
        <f t="shared" si="42"/>
        <v>7</v>
      </c>
      <c r="AI132" s="227">
        <f t="shared" si="43"/>
        <v>1.5011070001932882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45410</v>
      </c>
      <c r="B133" s="1139">
        <f>IF(t&gt;Tmaj,'2023'!Wh/'2023'!Env_an*'2024'!Env_an,0.001*'[6]mon-tableau'!$B$230)</f>
        <v>41.331670714538269</v>
      </c>
      <c r="C133" s="866"/>
      <c r="D133" s="395">
        <f t="shared" si="25"/>
        <v>43.398716755988801</v>
      </c>
      <c r="E133" s="387">
        <f t="shared" si="47"/>
        <v>48.299069410722225</v>
      </c>
      <c r="F133" s="387">
        <f t="shared" si="26"/>
        <v>48.528632884234774</v>
      </c>
      <c r="G133" s="110">
        <f t="shared" si="48"/>
        <v>0.79037024392835009</v>
      </c>
      <c r="H133" s="414" t="b">
        <f>Wh_hp&gt;='2023'!Maxi_hp</f>
        <v>0</v>
      </c>
      <c r="I133" s="392">
        <f>IF(H133,Wh_hp,'2023'!Maxi_hp)</f>
        <v>54.803359565450826</v>
      </c>
      <c r="J133" s="85">
        <f>IF(H133,An,'2023'!An_max)</f>
        <v>2019</v>
      </c>
      <c r="K133" s="199">
        <f t="shared" si="27"/>
        <v>45410</v>
      </c>
      <c r="L133" s="147">
        <f>IF(t&lt;Tvie,1-EXP((T0-t)*PertePVj)+'2023'!Pspv,1-EXP((T0-t)*PertePVj)+Pspv)</f>
        <v>4.7629197265730006E-2</v>
      </c>
      <c r="M133" s="870"/>
      <c r="N133" s="870"/>
      <c r="O133" s="48">
        <f>IF(t&lt;Tnet,'2023'!Resal+('2023'!Salim-'2023'!Resal)*(1-EXP(('2023'!Tnet-t)/('2023'!Tau_j))),Resal+(Salim-Resal)*(1-EXP((Tnet-t)/(Tau_j))))*Salcycl</f>
        <v>0.10145853148975088</v>
      </c>
      <c r="P133" s="171">
        <f>(INDEX(Models!$BJ133:$BT133,,T133)*(1-R133)+INDEX(Models!$BJ133:$BT133,,T133+1)*R133-ERP_i)*Q133*Ramure*Pc/MaxiM</f>
        <v>6.7308700000421121E-3</v>
      </c>
      <c r="Q133" s="307">
        <f t="shared" si="28"/>
        <v>1</v>
      </c>
      <c r="R133" s="179">
        <f t="shared" si="29"/>
        <v>0.50475045785887307</v>
      </c>
      <c r="S133" s="837">
        <f t="shared" si="30"/>
        <v>1</v>
      </c>
      <c r="T133" s="178">
        <f t="shared" si="31"/>
        <v>7</v>
      </c>
      <c r="U133" s="253">
        <f t="shared" si="32"/>
        <v>1.5047504578588731</v>
      </c>
      <c r="V133" s="385">
        <f t="shared" si="33"/>
        <v>52.188956228319377</v>
      </c>
      <c r="W133" s="404">
        <f t="shared" si="34"/>
        <v>41.331670714538269</v>
      </c>
      <c r="X133" s="157">
        <f t="shared" si="35"/>
        <v>45410</v>
      </c>
      <c r="Y133" s="387">
        <f t="shared" si="36"/>
        <v>40.464973047955056</v>
      </c>
      <c r="Z133" s="387">
        <f t="shared" si="37"/>
        <v>42.488674507638777</v>
      </c>
      <c r="AA133" s="388">
        <f t="shared" si="38"/>
        <v>48.299069410722225</v>
      </c>
      <c r="AB133" s="199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0.12030034892957087</v>
      </c>
      <c r="AD133" s="233">
        <f>(INDEX(Models!$BJ133:$BT133,,AH133)*(1-AF133)+INDEX(Models!$BJ133:$BT133,,AH133+1)*AF133-ERP_i)*AE133*Ramure*Pc/MaxiM</f>
        <v>6.7308700000421121E-3</v>
      </c>
      <c r="AE133" s="307">
        <f t="shared" si="40"/>
        <v>1</v>
      </c>
      <c r="AF133" s="179">
        <f t="shared" si="41"/>
        <v>0.50475045785887307</v>
      </c>
      <c r="AG133" s="837">
        <f t="shared" si="49"/>
        <v>1</v>
      </c>
      <c r="AH133" s="178">
        <f t="shared" si="42"/>
        <v>7</v>
      </c>
      <c r="AI133" s="227">
        <f t="shared" si="43"/>
        <v>1.5047504578588731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45411</v>
      </c>
      <c r="B134" s="1139">
        <f>IF(t&gt;Tmaj,'2023'!Wh/'2023'!Env_an*'2024'!Env_an,0.001*'[6]mon-tableau'!$B$231)</f>
        <v>43.170789245374436</v>
      </c>
      <c r="C134" s="866"/>
      <c r="D134" s="395">
        <f t="shared" si="25"/>
        <v>45.330866708788186</v>
      </c>
      <c r="E134" s="387">
        <f t="shared" si="47"/>
        <v>50.463139974220304</v>
      </c>
      <c r="F134" s="387">
        <f t="shared" si="26"/>
        <v>50.706740052852851</v>
      </c>
      <c r="G134" s="110">
        <f t="shared" si="48"/>
        <v>0.82280873220237805</v>
      </c>
      <c r="H134" s="414" t="b">
        <f>Wh_hp&gt;='2023'!Maxi_hp</f>
        <v>0</v>
      </c>
      <c r="I134" s="392">
        <f>IF(H134,Wh_hp,'2023'!Maxi_hp)</f>
        <v>60.871126204254288</v>
      </c>
      <c r="J134" s="85">
        <f>IF(H134,An,'2023'!An_max)</f>
        <v>2019</v>
      </c>
      <c r="K134" s="199">
        <f t="shared" si="27"/>
        <v>45411</v>
      </c>
      <c r="L134" s="147">
        <f>IF(t&lt;Tvie,1-EXP((T0-t)*PertePVj)+'2023'!Pspv,1-EXP((T0-t)*PertePVj)+Pspv)</f>
        <v>4.7651360325633885E-2</v>
      </c>
      <c r="M134" s="870"/>
      <c r="N134" s="870"/>
      <c r="O134" s="48">
        <f>IF(t&lt;Tnet,'2023'!Resal+('2023'!Salim-'2023'!Resal)*(1-EXP(('2023'!Tnet-t)/('2023'!Tau_j))),Resal+(Salim-Resal)*(1-EXP((Tnet-t)/(Tau_j))))*Salcycl</f>
        <v>0.10170340704232843</v>
      </c>
      <c r="P134" s="171">
        <f>(INDEX(Models!$BJ134:$BT134,,T134)*(1-R134)+INDEX(Models!$BJ134:$BT134,,T134+1)*R134-ERP_i)*Q134*Ramure*Pc/MaxiM</f>
        <v>6.4159289770801247E-3</v>
      </c>
      <c r="Q134" s="307">
        <f t="shared" si="28"/>
        <v>1</v>
      </c>
      <c r="R134" s="179">
        <f t="shared" si="29"/>
        <v>0.50849990377906384</v>
      </c>
      <c r="S134" s="837">
        <f t="shared" si="30"/>
        <v>1</v>
      </c>
      <c r="T134" s="178">
        <f t="shared" si="31"/>
        <v>7</v>
      </c>
      <c r="U134" s="253">
        <f t="shared" si="32"/>
        <v>1.5084999037790638</v>
      </c>
      <c r="V134" s="385">
        <f t="shared" si="33"/>
        <v>52.38261041883819</v>
      </c>
      <c r="W134" s="404">
        <f t="shared" si="34"/>
        <v>43.170789245374436</v>
      </c>
      <c r="X134" s="157">
        <f t="shared" si="35"/>
        <v>45411</v>
      </c>
      <c r="Y134" s="387">
        <f t="shared" si="36"/>
        <v>42.266113726323965</v>
      </c>
      <c r="Z134" s="387">
        <f t="shared" si="37"/>
        <v>44.380925183844333</v>
      </c>
      <c r="AA134" s="388">
        <f t="shared" si="38"/>
        <v>50.463139974220304</v>
      </c>
      <c r="AB134" s="199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0.12052787031253202</v>
      </c>
      <c r="AD134" s="233">
        <f>(INDEX(Models!$BJ134:$BT134,,AH134)*(1-AF134)+INDEX(Models!$BJ134:$BT134,,AH134+1)*AF134-ERP_i)*AE134*Ramure*Pc/MaxiM</f>
        <v>6.4159289770801247E-3</v>
      </c>
      <c r="AE134" s="307">
        <f t="shared" si="40"/>
        <v>1</v>
      </c>
      <c r="AF134" s="179">
        <f t="shared" si="41"/>
        <v>0.50849990377906384</v>
      </c>
      <c r="AG134" s="837">
        <f t="shared" si="49"/>
        <v>1</v>
      </c>
      <c r="AH134" s="178">
        <f t="shared" si="42"/>
        <v>7</v>
      </c>
      <c r="AI134" s="227">
        <f t="shared" si="43"/>
        <v>1.5084999037790638</v>
      </c>
      <c r="AJ134" s="267" t="b">
        <f t="shared" si="44"/>
        <v>1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45412</v>
      </c>
      <c r="B135" s="1139">
        <f>IF(t&gt;Tmaj,'2023'!Wh/'2023'!Env_an*'2024'!Env_an,0.001*[7]mois!$B$208)</f>
        <v>46.208951398608114</v>
      </c>
      <c r="C135" s="866"/>
      <c r="D135" s="395">
        <f t="shared" si="25"/>
        <v>48.522174389034774</v>
      </c>
      <c r="E135" s="387">
        <f t="shared" si="47"/>
        <v>49.7959118313806</v>
      </c>
      <c r="F135" s="387">
        <f t="shared" si="26"/>
        <v>50.018242336906688</v>
      </c>
      <c r="G135" s="110">
        <f t="shared" si="48"/>
        <v>0.8087969102976672</v>
      </c>
      <c r="H135" s="414" t="b">
        <f>Wh_hp&gt;='2023'!Maxi_hp</f>
        <v>0</v>
      </c>
      <c r="I135" s="392">
        <f>IF(H135,Wh_hp,'2023'!Maxi_hp)</f>
        <v>56.86994403885685</v>
      </c>
      <c r="J135" s="85">
        <f>IF(H135,An,'2023'!An_max)</f>
        <v>2019</v>
      </c>
      <c r="K135" s="199">
        <f t="shared" si="27"/>
        <v>45412</v>
      </c>
      <c r="L135" s="147">
        <f>IF(t&lt;Tvie,1-EXP((T0-t)*PertePVj)+'2023'!Pspv,1-EXP((T0-t)*PertePVj)+Pspv)</f>
        <v>4.767352286977089E-2</v>
      </c>
      <c r="M135" s="870"/>
      <c r="N135" s="870"/>
      <c r="O135" s="48">
        <f>IF(t&lt;Tnet,'2023'!Resal+('2023'!Salim-'2023'!Resal)*(1-EXP(('2023'!Tnet-t)/('2023'!Tau_j))),Resal+(Salim-Resal)*(1-EXP((Tnet-t)/(Tau_j))))*Salcycl</f>
        <v>2.5579156912699436E-2</v>
      </c>
      <c r="P135" s="171">
        <f>(INDEX(Models!$BJ135:$BT135,,T135)*(1-R135)+INDEX(Models!$BJ135:$BT135,,T135+1)*R135-ERP_i)*Q135*Ramure*Pc/MaxiM</f>
        <v>6.0992532283225638E-3</v>
      </c>
      <c r="Q135" s="307">
        <f t="shared" si="28"/>
        <v>1</v>
      </c>
      <c r="R135" s="179">
        <f t="shared" si="29"/>
        <v>0.51235672564034784</v>
      </c>
      <c r="S135" s="837">
        <f t="shared" si="30"/>
        <v>1</v>
      </c>
      <c r="T135" s="178">
        <f t="shared" si="31"/>
        <v>7</v>
      </c>
      <c r="U135" s="253">
        <f t="shared" si="32"/>
        <v>1.5123567256403478</v>
      </c>
      <c r="V135" s="385">
        <f t="shared" si="33"/>
        <v>57.038012468486322</v>
      </c>
      <c r="W135" s="404">
        <f t="shared" si="34"/>
        <v>46.208951398608114</v>
      </c>
      <c r="X135" s="157">
        <f t="shared" si="35"/>
        <v>45412</v>
      </c>
      <c r="Y135" s="387">
        <f t="shared" si="36"/>
        <v>42.587247688392893</v>
      </c>
      <c r="Z135" s="387">
        <f t="shared" si="37"/>
        <v>44.719167965093924</v>
      </c>
      <c r="AA135" s="388">
        <f t="shared" si="38"/>
        <v>49.7959118313806</v>
      </c>
      <c r="AB135" s="199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0.10195101725373752</v>
      </c>
      <c r="AD135" s="233">
        <f>(INDEX(Models!$BJ135:$BT135,,AH135)*(1-AF135)+INDEX(Models!$BJ135:$BT135,,AH135+1)*AF135-ERP_i)*AE135*Ramure*Pc/MaxiM</f>
        <v>6.0992532283225638E-3</v>
      </c>
      <c r="AE135" s="307">
        <f t="shared" si="40"/>
        <v>1</v>
      </c>
      <c r="AF135" s="179">
        <f t="shared" si="41"/>
        <v>0.51235672564034784</v>
      </c>
      <c r="AG135" s="837">
        <f t="shared" si="49"/>
        <v>1</v>
      </c>
      <c r="AH135" s="178">
        <f t="shared" si="42"/>
        <v>7</v>
      </c>
      <c r="AI135" s="227">
        <f t="shared" si="43"/>
        <v>1.5123567256403478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45413</v>
      </c>
      <c r="B136" s="1139">
        <f>IF(t&gt;Tmaj,'2023'!Wh/'2023'!Env_an*'2024'!Env_an,0.001*[7]mois!$B$209)</f>
        <v>28.250210980670477</v>
      </c>
      <c r="C136" s="866"/>
      <c r="D136" s="395">
        <f t="shared" si="25"/>
        <v>29.665108655576319</v>
      </c>
      <c r="E136" s="387">
        <f t="shared" si="47"/>
        <v>30.453736239413509</v>
      </c>
      <c r="F136" s="387">
        <f t="shared" si="26"/>
        <v>30.502550393028514</v>
      </c>
      <c r="G136" s="110">
        <f t="shared" si="48"/>
        <v>0.49158775958904843</v>
      </c>
      <c r="H136" s="414" t="b">
        <f>Wh_hp&gt;='2023'!Maxi_hp</f>
        <v>0</v>
      </c>
      <c r="I136" s="392">
        <f>IF(H136,Wh_hp,'2023'!Maxi_hp)</f>
        <v>39.790318251802034</v>
      </c>
      <c r="J136" s="85">
        <f>IF(H136,An,'2023'!An_max)</f>
        <v>2021</v>
      </c>
      <c r="K136" s="199">
        <f t="shared" si="27"/>
        <v>45413</v>
      </c>
      <c r="L136" s="147">
        <f>IF(t&lt;Tvie,1-EXP((T0-t)*PertePVj)+'2023'!Pspv,1-EXP((T0-t)*PertePVj)+Pspv)</f>
        <v>4.7695684898153123E-2</v>
      </c>
      <c r="M136" s="870"/>
      <c r="N136" s="870"/>
      <c r="O136" s="48">
        <f>IF(t&lt;Tnet,'2023'!Resal+('2023'!Salim-'2023'!Resal)*(1-EXP(('2023'!Tnet-t)/('2023'!Tau_j))),Resal+(Salim-Resal)*(1-EXP((Tnet-t)/(Tau_j))))*Salcycl</f>
        <v>2.5895922182991242E-2</v>
      </c>
      <c r="P136" s="171">
        <f>(INDEX(Models!$BJ136:$BT136,,T136)*(1-R136)+INDEX(Models!$BJ136:$BT136,,T136+1)*R136-ERP_i)*Q136*Ramure*Pc/MaxiM</f>
        <v>5.7846245775328492E-3</v>
      </c>
      <c r="Q136" s="307">
        <f t="shared" si="28"/>
        <v>1</v>
      </c>
      <c r="R136" s="179">
        <f t="shared" si="29"/>
        <v>0.51632220524995698</v>
      </c>
      <c r="S136" s="837">
        <f t="shared" si="30"/>
        <v>1</v>
      </c>
      <c r="T136" s="178">
        <f t="shared" si="31"/>
        <v>7</v>
      </c>
      <c r="U136" s="253">
        <f t="shared" si="32"/>
        <v>1.516322205249957</v>
      </c>
      <c r="V136" s="385">
        <f t="shared" si="33"/>
        <v>57.22643365329251</v>
      </c>
      <c r="W136" s="404">
        <f t="shared" si="34"/>
        <v>28.250210980670477</v>
      </c>
      <c r="X136" s="157">
        <f t="shared" si="35"/>
        <v>45413</v>
      </c>
      <c r="Y136" s="387">
        <f t="shared" si="36"/>
        <v>26.037260539149088</v>
      </c>
      <c r="Z136" s="387">
        <f t="shared" si="37"/>
        <v>27.341323698994749</v>
      </c>
      <c r="AA136" s="388">
        <f t="shared" si="38"/>
        <v>30.453736239413509</v>
      </c>
      <c r="AB136" s="199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0.10220133634672535</v>
      </c>
      <c r="AD136" s="233">
        <f>(INDEX(Models!$BJ136:$BT136,,AH136)*(1-AF136)+INDEX(Models!$BJ136:$BT136,,AH136+1)*AF136-ERP_i)*AE136*Ramure*Pc/MaxiM</f>
        <v>5.7846245775328492E-3</v>
      </c>
      <c r="AE136" s="307">
        <f t="shared" si="40"/>
        <v>1</v>
      </c>
      <c r="AF136" s="179">
        <f t="shared" si="41"/>
        <v>0.51632220524995698</v>
      </c>
      <c r="AG136" s="837">
        <f t="shared" si="49"/>
        <v>1</v>
      </c>
      <c r="AH136" s="178">
        <f t="shared" si="42"/>
        <v>7</v>
      </c>
      <c r="AI136" s="227">
        <f t="shared" si="43"/>
        <v>1.516322205249957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45414</v>
      </c>
      <c r="B137" s="1139">
        <f>IF(t&gt;Tmaj,'2023'!Wh/'2023'!Env_an*'2024'!Env_an,0.001*[7]mois!$B$210)</f>
        <v>33.388587021685915</v>
      </c>
      <c r="C137" s="866"/>
      <c r="D137" s="395">
        <f t="shared" si="25"/>
        <v>35.061653624235603</v>
      </c>
      <c r="E137" s="387">
        <f t="shared" si="47"/>
        <v>36.005480227280209</v>
      </c>
      <c r="F137" s="387">
        <f t="shared" si="26"/>
        <v>36.084986668957427</v>
      </c>
      <c r="G137" s="110">
        <f t="shared" si="48"/>
        <v>0.57971882927113827</v>
      </c>
      <c r="H137" s="414" t="b">
        <f>Wh_hp&gt;='2023'!Maxi_hp</f>
        <v>0</v>
      </c>
      <c r="I137" s="392">
        <f>IF(H137,Wh_hp,'2023'!Maxi_hp)</f>
        <v>59.817954676163886</v>
      </c>
      <c r="J137" s="85">
        <f>IF(H137,An,'2023'!An_max)</f>
        <v>2021</v>
      </c>
      <c r="K137" s="199">
        <f t="shared" si="27"/>
        <v>45414</v>
      </c>
      <c r="L137" s="147">
        <f>IF(t&lt;Tvie,1-EXP((T0-t)*PertePVj)+'2023'!Pspv,1-EXP((T0-t)*PertePVj)+Pspv)</f>
        <v>4.7717846410792686E-2</v>
      </c>
      <c r="M137" s="870"/>
      <c r="N137" s="870"/>
      <c r="O137" s="48">
        <f>IF(t&lt;Tnet,'2023'!Resal+('2023'!Salim-'2023'!Resal)*(1-EXP(('2023'!Tnet-t)/('2023'!Tau_j))),Resal+(Salim-Resal)*(1-EXP((Tnet-t)/(Tau_j))))*Salcycl</f>
        <v>2.6213415210318527E-2</v>
      </c>
      <c r="P137" s="171">
        <f>(INDEX(Models!$BJ137:$BT137,,T137)*(1-R137)+INDEX(Models!$BJ137:$BT137,,T137+1)*R137-ERP_i)*Q137*Ramure*Pc/MaxiM</f>
        <v>5.4764591464308279E-3</v>
      </c>
      <c r="Q137" s="307">
        <f t="shared" si="28"/>
        <v>1</v>
      </c>
      <c r="R137" s="179">
        <f t="shared" si="29"/>
        <v>0.52039750902174631</v>
      </c>
      <c r="S137" s="837">
        <f t="shared" si="30"/>
        <v>1</v>
      </c>
      <c r="T137" s="178">
        <f t="shared" si="31"/>
        <v>7</v>
      </c>
      <c r="U137" s="253">
        <f t="shared" si="32"/>
        <v>1.5203975090217463</v>
      </c>
      <c r="V137" s="385">
        <f t="shared" si="33"/>
        <v>57.405518367598432</v>
      </c>
      <c r="W137" s="404">
        <f t="shared" si="34"/>
        <v>33.388587021685915</v>
      </c>
      <c r="X137" s="157">
        <f t="shared" si="35"/>
        <v>45414</v>
      </c>
      <c r="Y137" s="387">
        <f t="shared" si="36"/>
        <v>30.7744860144836</v>
      </c>
      <c r="Z137" s="387">
        <f t="shared" si="37"/>
        <v>32.316562794433096</v>
      </c>
      <c r="AA137" s="388">
        <f t="shared" si="38"/>
        <v>36.005480227280209</v>
      </c>
      <c r="AB137" s="199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0.10245433221724229</v>
      </c>
      <c r="AD137" s="233">
        <f>(INDEX(Models!$BJ137:$BT137,,AH137)*(1-AF137)+INDEX(Models!$BJ137:$BT137,,AH137+1)*AF137-ERP_i)*AE137*Ramure*Pc/MaxiM</f>
        <v>5.4764591464308279E-3</v>
      </c>
      <c r="AE137" s="307">
        <f t="shared" si="40"/>
        <v>1</v>
      </c>
      <c r="AF137" s="179">
        <f t="shared" si="41"/>
        <v>0.52039750902174631</v>
      </c>
      <c r="AG137" s="837">
        <f t="shared" si="49"/>
        <v>1</v>
      </c>
      <c r="AH137" s="178">
        <f t="shared" si="42"/>
        <v>7</v>
      </c>
      <c r="AI137" s="227">
        <f t="shared" si="43"/>
        <v>1.5203975090217463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45415</v>
      </c>
      <c r="B138" s="1139">
        <f>IF(t&gt;Tmaj,'2023'!Wh/'2023'!Env_an*'2024'!Env_an,0.001*[7]mois!$B$211)</f>
        <v>0.84771411605678004</v>
      </c>
      <c r="C138" s="866"/>
      <c r="D138" s="395">
        <f t="shared" si="25"/>
        <v>0.89021288582027092</v>
      </c>
      <c r="E138" s="387">
        <f t="shared" si="47"/>
        <v>0.9144754231293174</v>
      </c>
      <c r="F138" s="387">
        <f t="shared" si="26"/>
        <v>0.9144754231293174</v>
      </c>
      <c r="G138" s="110">
        <f t="shared" si="48"/>
        <v>1.4647285019056412E-2</v>
      </c>
      <c r="H138" s="414" t="b">
        <f>Wh_hp&gt;='2023'!Maxi_hp</f>
        <v>0</v>
      </c>
      <c r="I138" s="392">
        <f>IF(H138,Wh_hp,'2023'!Maxi_hp)</f>
        <v>56.704587051571465</v>
      </c>
      <c r="J138" s="85">
        <f>IF(H138,An,'2023'!An_max)</f>
        <v>2020</v>
      </c>
      <c r="K138" s="199">
        <f t="shared" si="27"/>
        <v>45415</v>
      </c>
      <c r="L138" s="147">
        <f>IF(t&lt;Tvie,1-EXP((T0-t)*PertePVj)+'2023'!Pspv,1-EXP((T0-t)*PertePVj)+Pspv)</f>
        <v>4.7740007407701346E-2</v>
      </c>
      <c r="M138" s="870"/>
      <c r="N138" s="870"/>
      <c r="O138" s="48">
        <f>IF(t&lt;Tnet,'2023'!Resal+('2023'!Salim-'2023'!Resal)*(1-EXP(('2023'!Tnet-t)/('2023'!Tau_j))),Resal+(Salim-Resal)*(1-EXP((Tnet-t)/(Tau_j))))*Salcycl</f>
        <v>2.6531645023351782E-2</v>
      </c>
      <c r="P138" s="171">
        <f>(INDEX(Models!$BJ138:$BT138,,T138)*(1-R138)+INDEX(Models!$BJ138:$BT138,,T138+1)*R138-ERP_i)*Q138*Ramure*Pc/MaxiM</f>
        <v>5.1744289624593301E-3</v>
      </c>
      <c r="Q138" s="307">
        <f t="shared" si="28"/>
        <v>1</v>
      </c>
      <c r="R138" s="179">
        <f t="shared" si="29"/>
        <v>0.52458367830455277</v>
      </c>
      <c r="S138" s="837">
        <f t="shared" si="30"/>
        <v>1</v>
      </c>
      <c r="T138" s="178">
        <f t="shared" si="31"/>
        <v>7</v>
      </c>
      <c r="U138" s="253">
        <f t="shared" si="32"/>
        <v>1.5245836783045528</v>
      </c>
      <c r="V138" s="385">
        <f t="shared" si="33"/>
        <v>57.575699420444394</v>
      </c>
      <c r="W138" s="404">
        <f t="shared" si="34"/>
        <v>0.84771411605678004</v>
      </c>
      <c r="X138" s="157">
        <f t="shared" si="35"/>
        <v>45415</v>
      </c>
      <c r="Y138" s="387">
        <f t="shared" si="36"/>
        <v>0.7813766353242132</v>
      </c>
      <c r="Z138" s="387">
        <f t="shared" si="37"/>
        <v>0.8205496832825071</v>
      </c>
      <c r="AA138" s="388">
        <f t="shared" si="38"/>
        <v>0.9144754231293174</v>
      </c>
      <c r="AB138" s="199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0.1027099662508132</v>
      </c>
      <c r="AD138" s="233">
        <f>(INDEX(Models!$BJ138:$BT138,,AH138)*(1-AF138)+INDEX(Models!$BJ138:$BT138,,AH138+1)*AF138-ERP_i)*AE138*Ramure*Pc/MaxiM</f>
        <v>5.1744289624593301E-3</v>
      </c>
      <c r="AE138" s="307">
        <f t="shared" si="40"/>
        <v>1</v>
      </c>
      <c r="AF138" s="179">
        <f t="shared" si="41"/>
        <v>0.52458367830455277</v>
      </c>
      <c r="AG138" s="837">
        <f t="shared" si="49"/>
        <v>1</v>
      </c>
      <c r="AH138" s="178">
        <f t="shared" si="42"/>
        <v>7</v>
      </c>
      <c r="AI138" s="227">
        <f t="shared" si="43"/>
        <v>1.5245836783045528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45416</v>
      </c>
      <c r="B139" s="1139">
        <f>IF(t&gt;Tmaj,'2023'!Wh/'2023'!Env_an*'2024'!Env_an,0.001*[7]mois!$B$212)</f>
        <v>38.960725940593647</v>
      </c>
      <c r="C139" s="866"/>
      <c r="D139" s="395">
        <f t="shared" si="25"/>
        <v>40.914910778348123</v>
      </c>
      <c r="E139" s="387">
        <f t="shared" si="47"/>
        <v>42.043813159533919</v>
      </c>
      <c r="F139" s="387">
        <f t="shared" si="26"/>
        <v>42.15391416890197</v>
      </c>
      <c r="G139" s="110">
        <f t="shared" si="48"/>
        <v>0.67325841042004686</v>
      </c>
      <c r="H139" s="414" t="b">
        <f>Wh_hp&gt;='2023'!Maxi_hp</f>
        <v>0</v>
      </c>
      <c r="I139" s="392">
        <f>IF(H139,Wh_hp,'2023'!Maxi_hp)</f>
        <v>59.050028688885625</v>
      </c>
      <c r="J139" s="85">
        <f>IF(H139,An,'2023'!An_max)</f>
        <v>2020</v>
      </c>
      <c r="K139" s="199">
        <f t="shared" si="27"/>
        <v>45416</v>
      </c>
      <c r="L139" s="147">
        <f>IF(t&lt;Tvie,1-EXP((T0-t)*PertePVj)+'2023'!Pspv,1-EXP((T0-t)*PertePVj)+Pspv)</f>
        <v>4.7762167888891316E-2</v>
      </c>
      <c r="M139" s="870"/>
      <c r="N139" s="870"/>
      <c r="O139" s="48">
        <f>IF(t&lt;Tnet,'2023'!Resal+('2023'!Salim-'2023'!Resal)*(1-EXP(('2023'!Tnet-t)/('2023'!Tau_j))),Resal+(Salim-Resal)*(1-EXP((Tnet-t)/(Tau_j))))*Salcycl</f>
        <v>2.6850618351437646E-2</v>
      </c>
      <c r="P139" s="171">
        <f>(INDEX(Models!$BJ139:$BT139,,T139)*(1-R139)+INDEX(Models!$BJ139:$BT139,,T139+1)*R139-ERP_i)*Q139*Ramure*Pc/MaxiM</f>
        <v>4.8782206796281037E-3</v>
      </c>
      <c r="Q139" s="307">
        <f t="shared" si="28"/>
        <v>1</v>
      </c>
      <c r="R139" s="179">
        <f t="shared" si="29"/>
        <v>0.5288816195977597</v>
      </c>
      <c r="S139" s="837">
        <f t="shared" si="30"/>
        <v>1</v>
      </c>
      <c r="T139" s="178">
        <f t="shared" si="31"/>
        <v>7</v>
      </c>
      <c r="U139" s="253">
        <f t="shared" si="32"/>
        <v>1.5288816195977597</v>
      </c>
      <c r="V139" s="385">
        <f t="shared" si="33"/>
        <v>57.73740940049138</v>
      </c>
      <c r="W139" s="404">
        <f t="shared" si="34"/>
        <v>38.960725940593647</v>
      </c>
      <c r="X139" s="157">
        <f t="shared" si="35"/>
        <v>45416</v>
      </c>
      <c r="Y139" s="387">
        <f t="shared" si="36"/>
        <v>35.913304828278314</v>
      </c>
      <c r="Z139" s="387">
        <f t="shared" si="37"/>
        <v>37.71463768527093</v>
      </c>
      <c r="AA139" s="388">
        <f t="shared" si="38"/>
        <v>42.043813159533919</v>
      </c>
      <c r="AB139" s="199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0.10296819315213088</v>
      </c>
      <c r="AD139" s="233">
        <f>(INDEX(Models!$BJ139:$BT139,,AH139)*(1-AF139)+INDEX(Models!$BJ139:$BT139,,AH139+1)*AF139-ERP_i)*AE139*Ramure*Pc/MaxiM</f>
        <v>4.8782206796281037E-3</v>
      </c>
      <c r="AE139" s="307">
        <f t="shared" si="40"/>
        <v>1</v>
      </c>
      <c r="AF139" s="179">
        <f t="shared" si="41"/>
        <v>0.5288816195977597</v>
      </c>
      <c r="AG139" s="837">
        <f t="shared" si="49"/>
        <v>1</v>
      </c>
      <c r="AH139" s="178">
        <f t="shared" si="42"/>
        <v>7</v>
      </c>
      <c r="AI139" s="227">
        <f t="shared" si="43"/>
        <v>1.5288816195977597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45417</v>
      </c>
      <c r="B140" s="1139">
        <f>IF(t&gt;Tmaj,'2023'!Wh/'2023'!Env_an*'2024'!Env_an,0.001*[7]mois!$B$213)</f>
        <v>36.118448982226468</v>
      </c>
      <c r="C140" s="866"/>
      <c r="D140" s="395">
        <f t="shared" si="25"/>
        <v>37.930954130213848</v>
      </c>
      <c r="E140" s="387">
        <f t="shared" si="47"/>
        <v>38.990334763296161</v>
      </c>
      <c r="F140" s="387">
        <f t="shared" si="26"/>
        <v>39.073277203457593</v>
      </c>
      <c r="G140" s="110">
        <f t="shared" si="48"/>
        <v>0.62236245461848638</v>
      </c>
      <c r="H140" s="414" t="b">
        <f>Wh_hp&gt;='2023'!Maxi_hp</f>
        <v>0</v>
      </c>
      <c r="I140" s="392">
        <f>IF(H140,Wh_hp,'2023'!Maxi_hp)</f>
        <v>64.356840251433624</v>
      </c>
      <c r="J140" s="85">
        <f>IF(H140,An,'2023'!An_max)</f>
        <v>2019</v>
      </c>
      <c r="K140" s="199">
        <f t="shared" si="27"/>
        <v>45417</v>
      </c>
      <c r="L140" s="147">
        <f>IF(t&lt;Tvie,1-EXP((T0-t)*PertePVj)+'2023'!Pspv,1-EXP((T0-t)*PertePVj)+Pspv)</f>
        <v>4.7784327854374475E-2</v>
      </c>
      <c r="M140" s="870"/>
      <c r="N140" s="870"/>
      <c r="O140" s="48">
        <f>IF(t&lt;Tnet,'2023'!Resal+('2023'!Salim-'2023'!Resal)*(1-EXP(('2023'!Tnet-t)/('2023'!Tau_j))),Resal+(Salim-Resal)*(1-EXP((Tnet-t)/(Tau_j))))*Salcycl</f>
        <v>2.7170339508845794E-2</v>
      </c>
      <c r="P140" s="171">
        <f>(INDEX(Models!$BJ140:$BT140,,T140)*(1-R140)+INDEX(Models!$BJ140:$BT140,,T140+1)*R140-ERP_i)*Q140*Ramure*Pc/MaxiM</f>
        <v>4.5875344950383054E-3</v>
      </c>
      <c r="Q140" s="307">
        <f t="shared" si="28"/>
        <v>1</v>
      </c>
      <c r="R140" s="179">
        <f t="shared" si="29"/>
        <v>0.5332920947036377</v>
      </c>
      <c r="S140" s="837">
        <f t="shared" si="30"/>
        <v>1</v>
      </c>
      <c r="T140" s="178">
        <f t="shared" si="31"/>
        <v>7</v>
      </c>
      <c r="U140" s="253">
        <f t="shared" si="32"/>
        <v>1.5332920947036377</v>
      </c>
      <c r="V140" s="385">
        <f t="shared" si="33"/>
        <v>57.891080690932533</v>
      </c>
      <c r="W140" s="404">
        <f t="shared" si="34"/>
        <v>36.118448982226468</v>
      </c>
      <c r="X140" s="157">
        <f t="shared" si="35"/>
        <v>45417</v>
      </c>
      <c r="Y140" s="387">
        <f t="shared" si="36"/>
        <v>33.294604743114839</v>
      </c>
      <c r="Z140" s="387">
        <f t="shared" si="37"/>
        <v>34.965403024812829</v>
      </c>
      <c r="AA140" s="388">
        <f t="shared" si="38"/>
        <v>38.990334763296161</v>
      </c>
      <c r="AB140" s="199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0.10322896079036042</v>
      </c>
      <c r="AD140" s="233">
        <f>(INDEX(Models!$BJ140:$BT140,,AH140)*(1-AF140)+INDEX(Models!$BJ140:$BT140,,AH140+1)*AF140-ERP_i)*AE140*Ramure*Pc/MaxiM</f>
        <v>4.5875344950383054E-3</v>
      </c>
      <c r="AE140" s="307">
        <f t="shared" si="40"/>
        <v>1</v>
      </c>
      <c r="AF140" s="179">
        <f t="shared" si="41"/>
        <v>0.5332920947036377</v>
      </c>
      <c r="AG140" s="837">
        <f t="shared" si="49"/>
        <v>1</v>
      </c>
      <c r="AH140" s="178">
        <f t="shared" si="42"/>
        <v>7</v>
      </c>
      <c r="AI140" s="227">
        <f t="shared" si="43"/>
        <v>1.5332920947036377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45418</v>
      </c>
      <c r="B141" s="1139">
        <f>IF(t&gt;Tmaj,'2023'!Wh/'2023'!Env_an*'2024'!Env_an,0.001*[7]mois!$B$214)</f>
        <v>49.620363299324552</v>
      </c>
      <c r="C141" s="866"/>
      <c r="D141" s="395">
        <f t="shared" si="25"/>
        <v>52.111637642688891</v>
      </c>
      <c r="E141" s="387">
        <f t="shared" si="47"/>
        <v>53.584725156001298</v>
      </c>
      <c r="F141" s="387">
        <f t="shared" si="26"/>
        <v>53.768116886576621</v>
      </c>
      <c r="G141" s="110">
        <f t="shared" si="48"/>
        <v>0.85421130256917799</v>
      </c>
      <c r="H141" s="414" t="b">
        <f>Wh_hp&gt;='2023'!Maxi_hp</f>
        <v>0</v>
      </c>
      <c r="I141" s="392">
        <f>IF(H141,Wh_hp,'2023'!Maxi_hp)</f>
        <v>59.662433655928183</v>
      </c>
      <c r="J141" s="85">
        <f>IF(H141,An,'2023'!An_max)</f>
        <v>2020</v>
      </c>
      <c r="K141" s="199">
        <f t="shared" si="27"/>
        <v>45418</v>
      </c>
      <c r="L141" s="147">
        <f>IF(t&lt;Tvie,1-EXP((T0-t)*PertePVj)+'2023'!Pspv,1-EXP((T0-t)*PertePVj)+Pspv)</f>
        <v>4.7806487304162815E-2</v>
      </c>
      <c r="M141" s="870"/>
      <c r="N141" s="870"/>
      <c r="O141" s="48">
        <f>IF(t&lt;Tnet,'2023'!Resal+('2023'!Salim-'2023'!Resal)*(1-EXP(('2023'!Tnet-t)/('2023'!Tau_j))),Resal+(Salim-Resal)*(1-EXP((Tnet-t)/(Tau_j))))*Salcycl</f>
        <v>2.749081028266551E-2</v>
      </c>
      <c r="P141" s="171">
        <f>(INDEX(Models!$BJ141:$BT141,,T141)*(1-R141)+INDEX(Models!$BJ141:$BT141,,T141+1)*R141-ERP_i)*Q141*Ramure*Pc/MaxiM</f>
        <v>4.3020831757008913E-3</v>
      </c>
      <c r="Q141" s="307">
        <f t="shared" si="28"/>
        <v>1</v>
      </c>
      <c r="R141" s="179">
        <f t="shared" si="29"/>
        <v>0.537815710870851</v>
      </c>
      <c r="S141" s="837">
        <f t="shared" si="30"/>
        <v>1</v>
      </c>
      <c r="T141" s="178">
        <f t="shared" si="31"/>
        <v>7</v>
      </c>
      <c r="U141" s="253">
        <f t="shared" si="32"/>
        <v>1.537815710870851</v>
      </c>
      <c r="V141" s="385">
        <f t="shared" si="33"/>
        <v>58.03714546179647</v>
      </c>
      <c r="W141" s="404">
        <f t="shared" si="34"/>
        <v>49.620363299324552</v>
      </c>
      <c r="X141" s="157">
        <f t="shared" si="35"/>
        <v>45418</v>
      </c>
      <c r="Y141" s="387">
        <f t="shared" si="36"/>
        <v>45.742541775152098</v>
      </c>
      <c r="Z141" s="387">
        <f t="shared" si="37"/>
        <v>48.039123524005582</v>
      </c>
      <c r="AA141" s="388">
        <f t="shared" si="38"/>
        <v>53.584725156001298</v>
      </c>
      <c r="AB141" s="199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0.10349221006267732</v>
      </c>
      <c r="AD141" s="233">
        <f>(INDEX(Models!$BJ141:$BT141,,AH141)*(1-AF141)+INDEX(Models!$BJ141:$BT141,,AH141+1)*AF141-ERP_i)*AE141*Ramure*Pc/MaxiM</f>
        <v>4.3020831757008913E-3</v>
      </c>
      <c r="AE141" s="307">
        <f t="shared" si="40"/>
        <v>1</v>
      </c>
      <c r="AF141" s="179">
        <f t="shared" si="41"/>
        <v>0.537815710870851</v>
      </c>
      <c r="AG141" s="837">
        <f t="shared" si="49"/>
        <v>1</v>
      </c>
      <c r="AH141" s="178">
        <f t="shared" si="42"/>
        <v>7</v>
      </c>
      <c r="AI141" s="227">
        <f t="shared" si="43"/>
        <v>1.537815710870851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45419</v>
      </c>
      <c r="B142" s="1139">
        <f>IF(t&gt;Tmaj,'2023'!Wh/'2023'!Env_an*'2024'!Env_an,0.001*[7]mois!$B$215)</f>
        <v>50.479774555353309</v>
      </c>
      <c r="C142" s="866"/>
      <c r="D142" s="395">
        <f t="shared" si="25"/>
        <v>53.015430842278008</v>
      </c>
      <c r="E142" s="387">
        <f t="shared" si="47"/>
        <v>54.532078639848223</v>
      </c>
      <c r="F142" s="387">
        <f t="shared" si="26"/>
        <v>54.710868695682251</v>
      </c>
      <c r="G142" s="110">
        <f t="shared" si="48"/>
        <v>0.86705124261477384</v>
      </c>
      <c r="H142" s="414" t="b">
        <f>Wh_hp&gt;='2023'!Maxi_hp</f>
        <v>0</v>
      </c>
      <c r="I142" s="392">
        <f>IF(H142,Wh_hp,'2023'!Maxi_hp)</f>
        <v>57.592377924413015</v>
      </c>
      <c r="J142" s="85">
        <f>IF(H142,An,'2023'!An_max)</f>
        <v>2021</v>
      </c>
      <c r="K142" s="199">
        <f t="shared" si="27"/>
        <v>45419</v>
      </c>
      <c r="L142" s="147">
        <f>IF(t&lt;Tvie,1-EXP((T0-t)*PertePVj)+'2023'!Pspv,1-EXP((T0-t)*PertePVj)+Pspv)</f>
        <v>4.7828646238268435E-2</v>
      </c>
      <c r="M142" s="870"/>
      <c r="N142" s="870"/>
      <c r="O142" s="48">
        <f>IF(t&lt;Tnet,'2023'!Resal+('2023'!Salim-'2023'!Resal)*(1-EXP(('2023'!Tnet-t)/('2023'!Tau_j))),Resal+(Salim-Resal)*(1-EXP((Tnet-t)/(Tau_j))))*Salcycl</f>
        <v>2.7812029825357791E-2</v>
      </c>
      <c r="P142" s="171">
        <f>(INDEX(Models!$BJ142:$BT142,,T142)*(1-R142)+INDEX(Models!$BJ142:$BT142,,T142+1)*R142-ERP_i)*Q142*Ramure*Pc/MaxiM</f>
        <v>4.0293785662905354E-3</v>
      </c>
      <c r="Q142" s="307">
        <f t="shared" si="28"/>
        <v>1</v>
      </c>
      <c r="R142" s="179">
        <f t="shared" si="29"/>
        <v>0.542452910988237</v>
      </c>
      <c r="S142" s="837">
        <f t="shared" si="30"/>
        <v>1</v>
      </c>
      <c r="T142" s="178">
        <f t="shared" si="31"/>
        <v>7</v>
      </c>
      <c r="U142" s="253">
        <f t="shared" si="32"/>
        <v>1.542452910988237</v>
      </c>
      <c r="V142" s="385">
        <f t="shared" si="33"/>
        <v>58.175580818929248</v>
      </c>
      <c r="W142" s="404">
        <f t="shared" si="34"/>
        <v>50.479774555353309</v>
      </c>
      <c r="X142" s="157">
        <f t="shared" si="35"/>
        <v>45419</v>
      </c>
      <c r="Y142" s="387">
        <f t="shared" si="36"/>
        <v>46.536371376886613</v>
      </c>
      <c r="Z142" s="387">
        <f t="shared" si="37"/>
        <v>48.873946052919933</v>
      </c>
      <c r="AA142" s="388">
        <f t="shared" si="38"/>
        <v>54.532078639848223</v>
      </c>
      <c r="AB142" s="199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0.10375787477856603</v>
      </c>
      <c r="AD142" s="233">
        <f>(INDEX(Models!$BJ142:$BT142,,AH142)*(1-AF142)+INDEX(Models!$BJ142:$BT142,,AH142+1)*AF142-ERP_i)*AE142*Ramure*Pc/MaxiM</f>
        <v>4.0293785662905354E-3</v>
      </c>
      <c r="AE142" s="307">
        <f t="shared" si="40"/>
        <v>1</v>
      </c>
      <c r="AF142" s="179">
        <f t="shared" si="41"/>
        <v>0.542452910988237</v>
      </c>
      <c r="AG142" s="837">
        <f t="shared" si="49"/>
        <v>1</v>
      </c>
      <c r="AH142" s="178">
        <f t="shared" si="42"/>
        <v>7</v>
      </c>
      <c r="AI142" s="227">
        <f t="shared" si="43"/>
        <v>1.542452910988237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45420</v>
      </c>
      <c r="B143" s="1139">
        <f>IF(t&gt;Tmaj,'2023'!Wh/'2023'!Env_an*'2024'!Env_an,0.001*[7]mois!$B$216)</f>
        <v>56.055139037835389</v>
      </c>
      <c r="C143" s="866"/>
      <c r="D143" s="395">
        <f t="shared" ref="D143:D206" si="50">Wh/(1-Ppv)</f>
        <v>58.872222244146045</v>
      </c>
      <c r="E143" s="387">
        <f t="shared" si="47"/>
        <v>60.576480619947901</v>
      </c>
      <c r="F143" s="387">
        <f t="shared" ref="F143:F206" si="51">Wh_sa/(1-Pvg*MEDIAN((-Sdif+Wh/Env_an)/Csdif,0,1))</f>
        <v>60.792983546961189</v>
      </c>
      <c r="G143" s="110">
        <f t="shared" si="48"/>
        <v>0.96118174229533648</v>
      </c>
      <c r="H143" s="414" t="b">
        <f>Wh_hp&gt;='2023'!Maxi_hp</f>
        <v>0</v>
      </c>
      <c r="I143" s="392">
        <f>IF(H143,Wh_hp,'2023'!Maxi_hp)</f>
        <v>60.800047772515065</v>
      </c>
      <c r="J143" s="85">
        <f>IF(H143,An,'2023'!An_max)</f>
        <v>2022</v>
      </c>
      <c r="K143" s="199">
        <f t="shared" ref="K143:K206" si="52">t</f>
        <v>45420</v>
      </c>
      <c r="L143" s="147">
        <f>IF(t&lt;Tvie,1-EXP((T0-t)*PertePVj)+'2023'!Pspv,1-EXP((T0-t)*PertePVj)+Pspv)</f>
        <v>4.7850804656703327E-2</v>
      </c>
      <c r="M143" s="870"/>
      <c r="N143" s="870"/>
      <c r="O143" s="48">
        <f>IF(t&lt;Tnet,'2023'!Resal+('2023'!Salim-'2023'!Resal)*(1-EXP(('2023'!Tnet-t)/('2023'!Tau_j))),Resal+(Salim-Resal)*(1-EXP((Tnet-t)/(Tau_j))))*Salcycl</f>
        <v>2.8133994553005498E-2</v>
      </c>
      <c r="P143" s="171">
        <f>(INDEX(Models!$BJ143:$BT143,,T143)*(1-R143)+INDEX(Models!$BJ143:$BT143,,T143+1)*R143-ERP_i)*Q143*Ramure*Pc/MaxiM</f>
        <v>3.769256920615222E-3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0.54720396389252057</v>
      </c>
      <c r="S143" s="837">
        <f t="shared" ref="S143:S206" si="55">INDEX(Echel_vg,T143)</f>
        <v>1</v>
      </c>
      <c r="T143" s="178">
        <f t="shared" ref="T143:T206" si="56">MIN(MATCH(Hp_vg,Echel_vg),10)</f>
        <v>7</v>
      </c>
      <c r="U143" s="253">
        <f t="shared" ref="U143:U206" si="57">IF(OR(t&lt;Ttai,Notai),Hdd+PousH*Croivg,Hdtf+PousH*(Croivg-Croi_tai))</f>
        <v>1.5472039638925206</v>
      </c>
      <c r="V143" s="385">
        <f t="shared" ref="V143:V206" si="58">MaxiM*(1-Ppv)*(1-Pvg)*(1-Psa)</f>
        <v>58.306809903103655</v>
      </c>
      <c r="W143" s="404">
        <f t="shared" ref="W143:W206" si="59">Wh*(A143&gt;Tmaj)</f>
        <v>56.055139037835389</v>
      </c>
      <c r="X143" s="157">
        <f t="shared" ref="X143:X206" si="60">t</f>
        <v>45420</v>
      </c>
      <c r="Y143" s="387">
        <f t="shared" ref="Y143:Y206" si="61">Wh_pvt_s*(1-Ppv)</f>
        <v>51.677858368904111</v>
      </c>
      <c r="Z143" s="387">
        <f t="shared" ref="Z143:Z206" si="62">Wh_sa_s*(1-Psa_s)</f>
        <v>54.274958821208372</v>
      </c>
      <c r="AA143" s="388">
        <f t="shared" ref="AA143:AA206" si="63">Wh_hp*(1-Pvg_s*MEDIAN((-Sdif+Wh/Env_an)/Csdif,0,1))</f>
        <v>60.576480619947901</v>
      </c>
      <c r="AB143" s="199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0.10402588156738228</v>
      </c>
      <c r="AD143" s="233">
        <f>(INDEX(Models!$BJ143:$BT143,,AH143)*(1-AF143)+INDEX(Models!$BJ143:$BT143,,AH143+1)*AF143-ERP_i)*AE143*Ramure*Pc/MaxiM</f>
        <v>3.769256920615222E-3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0.54720396389252057</v>
      </c>
      <c r="AG143" s="837">
        <f t="shared" si="49"/>
        <v>1</v>
      </c>
      <c r="AH143" s="178">
        <f t="shared" ref="AH143:AH206" si="67">MIN(MATCH(Hp_vg_s,Echel_vg),10)</f>
        <v>7</v>
      </c>
      <c r="AI143" s="227">
        <f t="shared" ref="AI143:AI206" si="68">IF(OR(t&lt;Ttai,Notai),Hdd_s+PousH*Croivg,Hdtai_s+PousH*(Croivg-Croi_tai))</f>
        <v>1.5472039638925206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45421</v>
      </c>
      <c r="B144" s="1139">
        <f>IF(t&gt;Tmaj,'2023'!Wh/'2023'!Env_an*'2024'!Env_an,0.001*[7]mois!$B$217)</f>
        <v>51.46077191818604</v>
      </c>
      <c r="C144" s="866"/>
      <c r="D144" s="395">
        <f t="shared" si="50"/>
        <v>54.048220347277763</v>
      </c>
      <c r="E144" s="387">
        <f t="shared" ref="E144:E169" si="72">Wh_pvt/(1-Psa)</f>
        <v>55.631303554679462</v>
      </c>
      <c r="F144" s="387">
        <f t="shared" si="51"/>
        <v>55.794299500930947</v>
      </c>
      <c r="G144" s="110">
        <f t="shared" ref="G144:G169" si="73">+Wh_hp/MaxiM</f>
        <v>0.88017610254948997</v>
      </c>
      <c r="H144" s="414" t="b">
        <f>Wh_hp&gt;='2023'!Maxi_hp</f>
        <v>0</v>
      </c>
      <c r="I144" s="392">
        <f>IF(H144,Wh_hp,'2023'!Maxi_hp)</f>
        <v>55.813009554196178</v>
      </c>
      <c r="J144" s="85">
        <f>IF(H144,An,'2023'!An_max)</f>
        <v>2022</v>
      </c>
      <c r="K144" s="199">
        <f t="shared" si="52"/>
        <v>45421</v>
      </c>
      <c r="L144" s="147">
        <f>IF(t&lt;Tvie,1-EXP((T0-t)*PertePVj)+'2023'!Pspv,1-EXP((T0-t)*PertePVj)+Pspv)</f>
        <v>4.7872962559479371E-2</v>
      </c>
      <c r="M144" s="870"/>
      <c r="N144" s="870"/>
      <c r="O144" s="48">
        <f>IF(t&lt;Tnet,'2023'!Resal+('2023'!Salim-'2023'!Resal)*(1-EXP(('2023'!Tnet-t)/('2023'!Tau_j))),Resal+(Salim-Resal)*(1-EXP((Tnet-t)/(Tau_j))))*Salcycl</f>
        <v>2.8456698050328813E-2</v>
      </c>
      <c r="P144" s="171">
        <f>(INDEX(Models!$BJ144:$BT144,,T144)*(1-R144)+INDEX(Models!$BJ144:$BT144,,T144+1)*R144-ERP_i)*Q144*Ramure*Pc/MaxiM</f>
        <v>3.5215070036698844E-3</v>
      </c>
      <c r="Q144" s="307">
        <f t="shared" si="53"/>
        <v>1</v>
      </c>
      <c r="R144" s="179">
        <f t="shared" si="54"/>
        <v>0.55206895485792629</v>
      </c>
      <c r="S144" s="837">
        <f t="shared" si="55"/>
        <v>1</v>
      </c>
      <c r="T144" s="178">
        <f t="shared" si="56"/>
        <v>7</v>
      </c>
      <c r="U144" s="253">
        <f t="shared" si="57"/>
        <v>1.5520689548579263</v>
      </c>
      <c r="V144" s="385">
        <f t="shared" si="58"/>
        <v>58.431259280001349</v>
      </c>
      <c r="W144" s="404">
        <f t="shared" si="59"/>
        <v>51.46077191818604</v>
      </c>
      <c r="X144" s="157">
        <f t="shared" si="60"/>
        <v>45421</v>
      </c>
      <c r="Y144" s="387">
        <f t="shared" si="61"/>
        <v>47.443702661822137</v>
      </c>
      <c r="Z144" s="387">
        <f t="shared" si="62"/>
        <v>49.829172784924666</v>
      </c>
      <c r="AA144" s="388">
        <f t="shared" si="63"/>
        <v>55.631303554679462</v>
      </c>
      <c r="AB144" s="199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0.10429614981162431</v>
      </c>
      <c r="AD144" s="233">
        <f>(INDEX(Models!$BJ144:$BT144,,AH144)*(1-AF144)+INDEX(Models!$BJ144:$BT144,,AH144+1)*AF144-ERP_i)*AE144*Ramure*Pc/MaxiM</f>
        <v>3.5215070036698844E-3</v>
      </c>
      <c r="AE144" s="307">
        <f t="shared" si="65"/>
        <v>1</v>
      </c>
      <c r="AF144" s="179">
        <f t="shared" si="66"/>
        <v>0.55206895485792629</v>
      </c>
      <c r="AG144" s="837">
        <f t="shared" ref="AG144:AG207" si="74">INDEX(Echel_vg,AH144)</f>
        <v>1</v>
      </c>
      <c r="AH144" s="178">
        <f t="shared" si="67"/>
        <v>7</v>
      </c>
      <c r="AI144" s="227">
        <f t="shared" si="68"/>
        <v>1.5520689548579263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45422</v>
      </c>
      <c r="B145" s="1139">
        <f>IF(t&gt;Tmaj,'2023'!Wh/'2023'!Env_an*'2024'!Env_an,0.001*[7]mois!$B$218)</f>
        <v>56.398778478102898</v>
      </c>
      <c r="C145" s="866"/>
      <c r="D145" s="395">
        <f t="shared" si="50"/>
        <v>59.235888461090781</v>
      </c>
      <c r="E145" s="387">
        <f t="shared" si="72"/>
        <v>60.991223873002816</v>
      </c>
      <c r="F145" s="387">
        <f t="shared" si="51"/>
        <v>61.181713922405862</v>
      </c>
      <c r="G145" s="110">
        <f t="shared" si="73"/>
        <v>0.96310238805932646</v>
      </c>
      <c r="H145" s="414" t="b">
        <f>Wh_hp&gt;='2023'!Maxi_hp</f>
        <v>0</v>
      </c>
      <c r="I145" s="392">
        <f>IF(H145,Wh_hp,'2023'!Maxi_hp)</f>
        <v>61.187606498630338</v>
      </c>
      <c r="J145" s="85">
        <f>IF(H145,An,'2023'!An_max)</f>
        <v>2022</v>
      </c>
      <c r="K145" s="199">
        <f t="shared" si="52"/>
        <v>45422</v>
      </c>
      <c r="L145" s="147">
        <f>IF(t&lt;Tvie,1-EXP((T0-t)*PertePVj)+'2023'!Pspv,1-EXP((T0-t)*PertePVj)+Pspv)</f>
        <v>4.7895119946608777E-2</v>
      </c>
      <c r="M145" s="870"/>
      <c r="N145" s="870"/>
      <c r="O145" s="48">
        <f>IF(t&lt;Tnet,'2023'!Resal+('2023'!Salim-'2023'!Resal)*(1-EXP(('2023'!Tnet-t)/('2023'!Tau_j))),Resal+(Salim-Resal)*(1-EXP((Tnet-t)/(Tau_j))))*Salcycl</f>
        <v>2.8780130983549871E-2</v>
      </c>
      <c r="P145" s="171">
        <f>(INDEX(Models!$BJ145:$BT145,,T145)*(1-R145)+INDEX(Models!$BJ145:$BT145,,T145+1)*R145-ERP_i)*Q145*Ramure*Pc/MaxiM</f>
        <v>3.2859352283818679E-3</v>
      </c>
      <c r="Q145" s="307">
        <f t="shared" si="53"/>
        <v>1</v>
      </c>
      <c r="R145" s="179">
        <f t="shared" si="54"/>
        <v>0.5570477763396362</v>
      </c>
      <c r="S145" s="837">
        <f t="shared" si="55"/>
        <v>1</v>
      </c>
      <c r="T145" s="178">
        <f t="shared" si="56"/>
        <v>7</v>
      </c>
      <c r="U145" s="253">
        <f t="shared" si="57"/>
        <v>1.5570477763396362</v>
      </c>
      <c r="V145" s="385">
        <f t="shared" si="58"/>
        <v>58.54935507502509</v>
      </c>
      <c r="W145" s="404">
        <f t="shared" si="59"/>
        <v>56.398778478102898</v>
      </c>
      <c r="X145" s="157">
        <f t="shared" si="60"/>
        <v>45422</v>
      </c>
      <c r="Y145" s="387">
        <f t="shared" si="61"/>
        <v>51.997739394852985</v>
      </c>
      <c r="Z145" s="387">
        <f t="shared" si="62"/>
        <v>54.613457492137954</v>
      </c>
      <c r="AA145" s="388">
        <f t="shared" si="63"/>
        <v>60.991223873002816</v>
      </c>
      <c r="AB145" s="199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0.10456859160827432</v>
      </c>
      <c r="AD145" s="233">
        <f>(INDEX(Models!$BJ145:$BT145,,AH145)*(1-AF145)+INDEX(Models!$BJ145:$BT145,,AH145+1)*AF145-ERP_i)*AE145*Ramure*Pc/MaxiM</f>
        <v>3.2859352283818679E-3</v>
      </c>
      <c r="AE145" s="307">
        <f t="shared" si="65"/>
        <v>1</v>
      </c>
      <c r="AF145" s="179">
        <f t="shared" si="66"/>
        <v>0.5570477763396362</v>
      </c>
      <c r="AG145" s="837">
        <f t="shared" si="74"/>
        <v>1</v>
      </c>
      <c r="AH145" s="178">
        <f t="shared" si="67"/>
        <v>7</v>
      </c>
      <c r="AI145" s="227">
        <f t="shared" si="68"/>
        <v>1.5570477763396362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45423</v>
      </c>
      <c r="B146" s="1139">
        <f>IF(t&gt;Tmaj,'2023'!Wh/'2023'!Env_an*'2024'!Env_an,0.001*[7]mois!$B$219)</f>
        <v>43.992553291004995</v>
      </c>
      <c r="C146" s="866"/>
      <c r="D146" s="395">
        <f t="shared" si="50"/>
        <v>46.206650136429538</v>
      </c>
      <c r="E146" s="387">
        <f t="shared" si="72"/>
        <v>47.591774516296717</v>
      </c>
      <c r="F146" s="387">
        <f t="shared" si="51"/>
        <v>47.685638699554396</v>
      </c>
      <c r="G146" s="110">
        <f t="shared" si="73"/>
        <v>0.74911679144839749</v>
      </c>
      <c r="H146" s="414" t="b">
        <f>Wh_hp&gt;='2023'!Maxi_hp</f>
        <v>0</v>
      </c>
      <c r="I146" s="392">
        <f>IF(H146,Wh_hp,'2023'!Maxi_hp)</f>
        <v>58.723826865317584</v>
      </c>
      <c r="J146" s="85">
        <f>IF(H146,An,'2023'!An_max)</f>
        <v>2019</v>
      </c>
      <c r="K146" s="199">
        <f t="shared" si="52"/>
        <v>45423</v>
      </c>
      <c r="L146" s="147">
        <f>IF(t&lt;Tvie,1-EXP((T0-t)*PertePVj)+'2023'!Pspv,1-EXP((T0-t)*PertePVj)+Pspv)</f>
        <v>4.7917276818103316E-2</v>
      </c>
      <c r="M146" s="870"/>
      <c r="N146" s="870"/>
      <c r="O146" s="48">
        <f>IF(t&lt;Tnet,'2023'!Resal+('2023'!Salim-'2023'!Resal)*(1-EXP(('2023'!Tnet-t)/('2023'!Tau_j))),Resal+(Salim-Resal)*(1-EXP((Tnet-t)/(Tau_j))))*Salcycl</f>
        <v>2.9104281022193708E-2</v>
      </c>
      <c r="P146" s="171">
        <f>(INDEX(Models!$BJ146:$BT146,,T146)*(1-R146)+INDEX(Models!$BJ146:$BT146,,T146+1)*R146-ERP_i)*Q146*Ramure*Pc/MaxiM</f>
        <v>3.0623644679616765E-3</v>
      </c>
      <c r="Q146" s="307">
        <f t="shared" si="53"/>
        <v>1</v>
      </c>
      <c r="R146" s="179">
        <f t="shared" si="54"/>
        <v>0.56214011904659644</v>
      </c>
      <c r="S146" s="837">
        <f t="shared" si="55"/>
        <v>1</v>
      </c>
      <c r="T146" s="178">
        <f t="shared" si="56"/>
        <v>7</v>
      </c>
      <c r="U146" s="253">
        <f t="shared" si="57"/>
        <v>1.5621401190465964</v>
      </c>
      <c r="V146" s="385">
        <f t="shared" si="58"/>
        <v>58.661522973966996</v>
      </c>
      <c r="W146" s="404">
        <f t="shared" si="59"/>
        <v>43.992553291004995</v>
      </c>
      <c r="X146" s="157">
        <f t="shared" si="60"/>
        <v>45423</v>
      </c>
      <c r="Y146" s="387">
        <f t="shared" si="61"/>
        <v>40.560727933942715</v>
      </c>
      <c r="Z146" s="387">
        <f t="shared" si="62"/>
        <v>42.602104781806375</v>
      </c>
      <c r="AA146" s="388">
        <f t="shared" si="63"/>
        <v>47.591774516296717</v>
      </c>
      <c r="AB146" s="199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0.10484311176045236</v>
      </c>
      <c r="AD146" s="233">
        <f>(INDEX(Models!$BJ146:$BT146,,AH146)*(1-AF146)+INDEX(Models!$BJ146:$BT146,,AH146+1)*AF146-ERP_i)*AE146*Ramure*Pc/MaxiM</f>
        <v>3.0623644679616765E-3</v>
      </c>
      <c r="AE146" s="307">
        <f t="shared" si="65"/>
        <v>1</v>
      </c>
      <c r="AF146" s="179">
        <f t="shared" si="66"/>
        <v>0.56214011904659644</v>
      </c>
      <c r="AG146" s="837">
        <f t="shared" si="74"/>
        <v>1</v>
      </c>
      <c r="AH146" s="178">
        <f t="shared" si="67"/>
        <v>7</v>
      </c>
      <c r="AI146" s="227">
        <f t="shared" si="68"/>
        <v>1.5621401190465964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45424</v>
      </c>
      <c r="B147" s="1139">
        <f>IF(t&gt;Tmaj,'2023'!Wh/'2023'!Env_an*'2024'!Env_an,0.001*[7]mois!$B$220)</f>
        <v>46.948701802111728</v>
      </c>
      <c r="C147" s="866"/>
      <c r="D147" s="395">
        <f t="shared" si="50"/>
        <v>49.312725931533002</v>
      </c>
      <c r="E147" s="387">
        <f t="shared" si="72"/>
        <v>50.807960136200101</v>
      </c>
      <c r="F147" s="387">
        <f t="shared" si="51"/>
        <v>50.911391893064611</v>
      </c>
      <c r="G147" s="110">
        <f t="shared" si="73"/>
        <v>0.79822387877265322</v>
      </c>
      <c r="H147" s="414" t="b">
        <f>Wh_hp&gt;='2023'!Maxi_hp</f>
        <v>0</v>
      </c>
      <c r="I147" s="392">
        <f>IF(H147,Wh_hp,'2023'!Maxi_hp)</f>
        <v>65.24369285904416</v>
      </c>
      <c r="J147" s="85">
        <f>IF(H147,An,'2023'!An_max)</f>
        <v>2019</v>
      </c>
      <c r="K147" s="199">
        <f t="shared" si="52"/>
        <v>45424</v>
      </c>
      <c r="L147" s="147">
        <f>IF(t&lt;Tvie,1-EXP((T0-t)*PertePVj)+'2023'!Pspv,1-EXP((T0-t)*PertePVj)+Pspv)</f>
        <v>4.7939433173975088E-2</v>
      </c>
      <c r="M147" s="870"/>
      <c r="N147" s="870"/>
      <c r="O147" s="48">
        <f>IF(t&lt;Tnet,'2023'!Resal+('2023'!Salim-'2023'!Resal)*(1-EXP(('2023'!Tnet-t)/('2023'!Tau_j))),Resal+(Salim-Resal)*(1-EXP((Tnet-t)/(Tau_j))))*Salcycl</f>
        <v>2.942913277090544E-2</v>
      </c>
      <c r="P147" s="171">
        <f>(INDEX(Models!$BJ147:$BT147,,T147)*(1-R147)+INDEX(Models!$BJ147:$BT147,,T147+1)*R147-ERP_i)*Q147*Ramure*Pc/MaxiM</f>
        <v>2.8506329331541053E-3</v>
      </c>
      <c r="Q147" s="307">
        <f t="shared" si="53"/>
        <v>1</v>
      </c>
      <c r="R147" s="179">
        <f t="shared" si="54"/>
        <v>0.56734546342222925</v>
      </c>
      <c r="S147" s="837">
        <f t="shared" si="55"/>
        <v>1</v>
      </c>
      <c r="T147" s="178">
        <f t="shared" si="56"/>
        <v>7</v>
      </c>
      <c r="U147" s="253">
        <f t="shared" si="57"/>
        <v>1.5673454634222292</v>
      </c>
      <c r="V147" s="385">
        <f t="shared" si="58"/>
        <v>58.768188220469405</v>
      </c>
      <c r="W147" s="404">
        <f t="shared" si="59"/>
        <v>46.948701802111728</v>
      </c>
      <c r="X147" s="157">
        <f t="shared" si="60"/>
        <v>45424</v>
      </c>
      <c r="Y147" s="387">
        <f t="shared" si="61"/>
        <v>43.287382818145417</v>
      </c>
      <c r="Z147" s="387">
        <f t="shared" si="62"/>
        <v>45.467047293489628</v>
      </c>
      <c r="AA147" s="388">
        <f t="shared" si="63"/>
        <v>50.807960136200101</v>
      </c>
      <c r="AB147" s="199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0.1051196078014778</v>
      </c>
      <c r="AD147" s="233">
        <f>(INDEX(Models!$BJ147:$BT147,,AH147)*(1-AF147)+INDEX(Models!$BJ147:$BT147,,AH147+1)*AF147-ERP_i)*AE147*Ramure*Pc/MaxiM</f>
        <v>2.8506329331541053E-3</v>
      </c>
      <c r="AE147" s="307">
        <f t="shared" si="65"/>
        <v>1</v>
      </c>
      <c r="AF147" s="179">
        <f t="shared" si="66"/>
        <v>0.56734546342222925</v>
      </c>
      <c r="AG147" s="837">
        <f t="shared" si="74"/>
        <v>1</v>
      </c>
      <c r="AH147" s="178">
        <f t="shared" si="67"/>
        <v>7</v>
      </c>
      <c r="AI147" s="227">
        <f t="shared" si="68"/>
        <v>1.5673454634222292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45425</v>
      </c>
      <c r="B148" s="1139">
        <f>IF(t&gt;Tmaj,'2023'!Wh/'2023'!Env_an*'2024'!Env_an,0.001*[7]mois!$B$221)</f>
        <v>48.394795585119823</v>
      </c>
      <c r="C148" s="866"/>
      <c r="D148" s="395">
        <f t="shared" si="50"/>
        <v>50.83281832611214</v>
      </c>
      <c r="E148" s="387">
        <f t="shared" si="72"/>
        <v>52.391716439653365</v>
      </c>
      <c r="F148" s="387">
        <f t="shared" si="51"/>
        <v>52.495491213868284</v>
      </c>
      <c r="G148" s="110">
        <f t="shared" si="73"/>
        <v>0.82151025668248445</v>
      </c>
      <c r="H148" s="414" t="b">
        <f>Wh_hp&gt;='2023'!Maxi_hp</f>
        <v>0</v>
      </c>
      <c r="I148" s="392">
        <f>IF(H148,Wh_hp,'2023'!Maxi_hp)</f>
        <v>63.602775441610461</v>
      </c>
      <c r="J148" s="85">
        <f>IF(H148,An,'2023'!An_max)</f>
        <v>2019</v>
      </c>
      <c r="K148" s="199">
        <f t="shared" si="52"/>
        <v>45425</v>
      </c>
      <c r="L148" s="147">
        <f>IF(t&lt;Tvie,1-EXP((T0-t)*PertePVj)+'2023'!Pspv,1-EXP((T0-t)*PertePVj)+Pspv)</f>
        <v>4.7961589014236083E-2</v>
      </c>
      <c r="M148" s="870"/>
      <c r="N148" s="870"/>
      <c r="O148" s="48">
        <f>IF(t&lt;Tnet,'2023'!Resal+('2023'!Salim-'2023'!Resal)*(1-EXP(('2023'!Tnet-t)/('2023'!Tau_j))),Resal+(Salim-Resal)*(1-EXP((Tnet-t)/(Tau_j))))*Salcycl</f>
        <v>2.9754667712343811E-2</v>
      </c>
      <c r="P148" s="171">
        <f>(INDEX(Models!$BJ148:$BT148,,T148)*(1-R148)+INDEX(Models!$BJ148:$BT148,,T148+1)*R148-ERP_i)*Q148*Ramure*Pc/MaxiM</f>
        <v>2.6505931064231096E-3</v>
      </c>
      <c r="Q148" s="307">
        <f t="shared" si="53"/>
        <v>1</v>
      </c>
      <c r="R148" s="179">
        <f t="shared" si="54"/>
        <v>0.57266307161407259</v>
      </c>
      <c r="S148" s="837">
        <f t="shared" si="55"/>
        <v>1</v>
      </c>
      <c r="T148" s="178">
        <f t="shared" si="56"/>
        <v>7</v>
      </c>
      <c r="U148" s="253">
        <f t="shared" si="57"/>
        <v>1.5726630716140726</v>
      </c>
      <c r="V148" s="385">
        <f t="shared" si="58"/>
        <v>58.869775614072644</v>
      </c>
      <c r="W148" s="404">
        <f t="shared" si="59"/>
        <v>48.394795585119823</v>
      </c>
      <c r="X148" s="157">
        <f t="shared" si="60"/>
        <v>45425</v>
      </c>
      <c r="Y148" s="387">
        <f t="shared" si="61"/>
        <v>44.621788869858925</v>
      </c>
      <c r="Z148" s="387">
        <f t="shared" si="62"/>
        <v>46.869735879308095</v>
      </c>
      <c r="AA148" s="388">
        <f t="shared" si="63"/>
        <v>52.391716439653365</v>
      </c>
      <c r="AB148" s="199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0.10539797005325616</v>
      </c>
      <c r="AD148" s="233">
        <f>(INDEX(Models!$BJ148:$BT148,,AH148)*(1-AF148)+INDEX(Models!$BJ148:$BT148,,AH148+1)*AF148-ERP_i)*AE148*Ramure*Pc/MaxiM</f>
        <v>2.6505931064231096E-3</v>
      </c>
      <c r="AE148" s="307">
        <f t="shared" si="65"/>
        <v>1</v>
      </c>
      <c r="AF148" s="179">
        <f t="shared" si="66"/>
        <v>0.57266307161407259</v>
      </c>
      <c r="AG148" s="837">
        <f t="shared" si="74"/>
        <v>1</v>
      </c>
      <c r="AH148" s="178">
        <f t="shared" si="67"/>
        <v>7</v>
      </c>
      <c r="AI148" s="227">
        <f t="shared" si="68"/>
        <v>1.5726630716140726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45426</v>
      </c>
      <c r="B149" s="1139">
        <f>IF(t&gt;Tmaj,'2023'!Wh/'2023'!Env_an*'2024'!Env_an,0.001*[7]mois!$B$222)</f>
        <v>52.358264633652318</v>
      </c>
      <c r="C149" s="866"/>
      <c r="D149" s="395">
        <f t="shared" si="50"/>
        <v>54.997238043265924</v>
      </c>
      <c r="E149" s="387">
        <f t="shared" si="72"/>
        <v>56.702910594457961</v>
      </c>
      <c r="F149" s="387">
        <f t="shared" si="51"/>
        <v>56.820419514974226</v>
      </c>
      <c r="G149" s="110">
        <f t="shared" si="73"/>
        <v>0.88760448597054598</v>
      </c>
      <c r="H149" s="414" t="b">
        <f>Wh_hp&gt;='2023'!Maxi_hp</f>
        <v>0</v>
      </c>
      <c r="I149" s="392">
        <f>IF(H149,Wh_hp,'2023'!Maxi_hp)</f>
        <v>64.554726690936292</v>
      </c>
      <c r="J149" s="85">
        <f>IF(H149,An,'2023'!An_max)</f>
        <v>2019</v>
      </c>
      <c r="K149" s="199">
        <f t="shared" si="52"/>
        <v>45426</v>
      </c>
      <c r="L149" s="147">
        <f>IF(t&lt;Tvie,1-EXP((T0-t)*PertePVj)+'2023'!Pspv,1-EXP((T0-t)*PertePVj)+Pspv)</f>
        <v>4.7983744338898293E-2</v>
      </c>
      <c r="M149" s="870"/>
      <c r="N149" s="870"/>
      <c r="O149" s="48">
        <f>IF(t&lt;Tnet,'2023'!Resal+('2023'!Salim-'2023'!Resal)*(1-EXP(('2023'!Tnet-t)/('2023'!Tau_j))),Resal+(Salim-Resal)*(1-EXP((Tnet-t)/(Tau_j))))*Salcycl</f>
        <v>3.0080864162178467E-2</v>
      </c>
      <c r="P149" s="171">
        <f>(INDEX(Models!$BJ149:$BT149,,T149)*(1-R149)+INDEX(Models!$BJ149:$BT149,,T149+1)*R149-ERP_i)*Q149*Ramure*Pc/MaxiM</f>
        <v>2.4621824665072441E-3</v>
      </c>
      <c r="Q149" s="307">
        <f t="shared" si="53"/>
        <v>1</v>
      </c>
      <c r="R149" s="179">
        <f t="shared" si="54"/>
        <v>0.57809198001512807</v>
      </c>
      <c r="S149" s="837">
        <f t="shared" si="55"/>
        <v>1</v>
      </c>
      <c r="T149" s="178">
        <f t="shared" si="56"/>
        <v>7</v>
      </c>
      <c r="U149" s="253">
        <f t="shared" si="57"/>
        <v>1.5780919800151281</v>
      </c>
      <c r="V149" s="385">
        <f t="shared" si="58"/>
        <v>58.964987158319211</v>
      </c>
      <c r="W149" s="404">
        <f t="shared" si="59"/>
        <v>52.358264633652318</v>
      </c>
      <c r="X149" s="157">
        <f t="shared" si="60"/>
        <v>45426</v>
      </c>
      <c r="Y149" s="387">
        <f t="shared" si="61"/>
        <v>48.277368632896639</v>
      </c>
      <c r="Z149" s="387">
        <f t="shared" si="62"/>
        <v>50.710655774855162</v>
      </c>
      <c r="AA149" s="388">
        <f t="shared" si="63"/>
        <v>56.702910594457961</v>
      </c>
      <c r="AB149" s="199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0.10567808172070223</v>
      </c>
      <c r="AD149" s="233">
        <f>(INDEX(Models!$BJ149:$BT149,,AH149)*(1-AF149)+INDEX(Models!$BJ149:$BT149,,AH149+1)*AF149-ERP_i)*AE149*Ramure*Pc/MaxiM</f>
        <v>2.4621824665072441E-3</v>
      </c>
      <c r="AE149" s="307">
        <f t="shared" si="65"/>
        <v>1</v>
      </c>
      <c r="AF149" s="179">
        <f t="shared" si="66"/>
        <v>0.57809198001512807</v>
      </c>
      <c r="AG149" s="837">
        <f t="shared" si="74"/>
        <v>1</v>
      </c>
      <c r="AH149" s="178">
        <f t="shared" si="67"/>
        <v>7</v>
      </c>
      <c r="AI149" s="227">
        <f t="shared" si="68"/>
        <v>1.5780919800151281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45427</v>
      </c>
      <c r="B150" s="1139">
        <f>IF(t&gt;Tmaj,'2023'!Wh/'2023'!Env_an*'2024'!Env_an,0.001*[7]mois!$B$223)</f>
        <v>51.041117501383901</v>
      </c>
      <c r="C150" s="866"/>
      <c r="D150" s="395">
        <f t="shared" si="50"/>
        <v>53.614951453693422</v>
      </c>
      <c r="E150" s="387">
        <f t="shared" si="72"/>
        <v>55.296387255673444</v>
      </c>
      <c r="F150" s="387">
        <f t="shared" si="51"/>
        <v>55.398641653104818</v>
      </c>
      <c r="G150" s="110">
        <f t="shared" si="73"/>
        <v>0.86395458759605681</v>
      </c>
      <c r="H150" s="414" t="b">
        <f>Wh_hp&gt;='2023'!Maxi_hp</f>
        <v>0</v>
      </c>
      <c r="I150" s="392">
        <f>IF(H150,Wh_hp,'2023'!Maxi_hp)</f>
        <v>55.412116441841142</v>
      </c>
      <c r="J150" s="85">
        <f>IF(H150,An,'2023'!An_max)</f>
        <v>2022</v>
      </c>
      <c r="K150" s="199">
        <f t="shared" si="52"/>
        <v>45427</v>
      </c>
      <c r="L150" s="147">
        <f>IF(t&lt;Tvie,1-EXP((T0-t)*PertePVj)+'2023'!Pspv,1-EXP((T0-t)*PertePVj)+Pspv)</f>
        <v>4.8005899147973818E-2</v>
      </c>
      <c r="M150" s="870"/>
      <c r="N150" s="870"/>
      <c r="O150" s="48">
        <f>IF(t&lt;Tnet,'2023'!Resal+('2023'!Salim-'2023'!Resal)*(1-EXP(('2023'!Tnet-t)/('2023'!Tau_j))),Resal+(Salim-Resal)*(1-EXP((Tnet-t)/(Tau_j))))*Salcycl</f>
        <v>3.0407697237173622E-2</v>
      </c>
      <c r="P150" s="171">
        <f>(INDEX(Models!$BJ150:$BT150,,T150)*(1-R150)+INDEX(Models!$BJ150:$BT150,,T150+1)*R150-ERP_i)*Q150*Ramure*Pc/MaxiM</f>
        <v>2.2895018462630997E-3</v>
      </c>
      <c r="Q150" s="307">
        <f t="shared" si="53"/>
        <v>1</v>
      </c>
      <c r="R150" s="179">
        <f t="shared" si="54"/>
        <v>0.5836309924607046</v>
      </c>
      <c r="S150" s="837">
        <f t="shared" si="55"/>
        <v>1</v>
      </c>
      <c r="T150" s="178">
        <f t="shared" si="56"/>
        <v>7</v>
      </c>
      <c r="U150" s="253">
        <f t="shared" si="57"/>
        <v>1.5836309924607046</v>
      </c>
      <c r="V150" s="385">
        <f t="shared" si="58"/>
        <v>59.052210536745612</v>
      </c>
      <c r="W150" s="404">
        <f t="shared" si="59"/>
        <v>51.041117501383901</v>
      </c>
      <c r="X150" s="157">
        <f t="shared" si="60"/>
        <v>45427</v>
      </c>
      <c r="Y150" s="387">
        <f t="shared" si="61"/>
        <v>47.063915212756484</v>
      </c>
      <c r="Z150" s="387">
        <f t="shared" si="62"/>
        <v>49.437192069399067</v>
      </c>
      <c r="AA150" s="388">
        <f t="shared" si="63"/>
        <v>55.296387255673444</v>
      </c>
      <c r="AB150" s="199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0.10595981902367799</v>
      </c>
      <c r="AD150" s="233">
        <f>(INDEX(Models!$BJ150:$BT150,,AH150)*(1-AF150)+INDEX(Models!$BJ150:$BT150,,AH150+1)*AF150-ERP_i)*AE150*Ramure*Pc/MaxiM</f>
        <v>2.2895018462630997E-3</v>
      </c>
      <c r="AE150" s="307">
        <f t="shared" si="65"/>
        <v>1</v>
      </c>
      <c r="AF150" s="179">
        <f t="shared" si="66"/>
        <v>0.5836309924607046</v>
      </c>
      <c r="AG150" s="837">
        <f t="shared" si="74"/>
        <v>1</v>
      </c>
      <c r="AH150" s="178">
        <f t="shared" si="67"/>
        <v>7</v>
      </c>
      <c r="AI150" s="227">
        <f t="shared" si="68"/>
        <v>1.5836309924607046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45428</v>
      </c>
      <c r="B151" s="1139">
        <f>IF(t&gt;Tmaj,'2023'!Wh/'2023'!Env_an*'2024'!Env_an,0.001*[7]mois!$B$224)</f>
        <v>55.035642232497516</v>
      </c>
      <c r="C151" s="866"/>
      <c r="D151" s="395">
        <f t="shared" si="50"/>
        <v>57.812252169254471</v>
      </c>
      <c r="E151" s="387">
        <f t="shared" si="72"/>
        <v>59.645463779532534</v>
      </c>
      <c r="F151" s="387">
        <f t="shared" si="51"/>
        <v>59.760090061299557</v>
      </c>
      <c r="G151" s="110">
        <f t="shared" si="73"/>
        <v>0.93052900385025572</v>
      </c>
      <c r="H151" s="414" t="b">
        <f>Wh_hp&gt;='2023'!Maxi_hp</f>
        <v>0</v>
      </c>
      <c r="I151" s="392">
        <f>IF(H151,Wh_hp,'2023'!Maxi_hp)</f>
        <v>59.766951406904127</v>
      </c>
      <c r="J151" s="85">
        <f>IF(H151,An,'2023'!An_max)</f>
        <v>2022</v>
      </c>
      <c r="K151" s="199">
        <f t="shared" si="52"/>
        <v>45428</v>
      </c>
      <c r="L151" s="147">
        <f>IF(t&lt;Tvie,1-EXP((T0-t)*PertePVj)+'2023'!Pspv,1-EXP((T0-t)*PertePVj)+Pspv)</f>
        <v>4.8028053441474539E-2</v>
      </c>
      <c r="M151" s="870"/>
      <c r="N151" s="870"/>
      <c r="O151" s="48">
        <f>IF(t&lt;Tnet,'2023'!Resal+('2023'!Salim-'2023'!Resal)*(1-EXP(('2023'!Tnet-t)/('2023'!Tau_j))),Resal+(Salim-Resal)*(1-EXP((Tnet-t)/(Tau_j))))*Salcycl</f>
        <v>3.073513883728296E-2</v>
      </c>
      <c r="P151" s="171">
        <f>(INDEX(Models!$BJ151:$BT151,,T151)*(1-R151)+INDEX(Models!$BJ151:$BT151,,T151+1)*R151-ERP_i)*Q151*Ramure*Pc/MaxiM</f>
        <v>2.1287793111426142E-3</v>
      </c>
      <c r="Q151" s="307">
        <f t="shared" si="53"/>
        <v>1</v>
      </c>
      <c r="R151" s="179">
        <f t="shared" si="54"/>
        <v>0.58927867416466806</v>
      </c>
      <c r="S151" s="837">
        <f t="shared" si="55"/>
        <v>1</v>
      </c>
      <c r="T151" s="178">
        <f t="shared" si="56"/>
        <v>7</v>
      </c>
      <c r="U151" s="253">
        <f t="shared" si="57"/>
        <v>1.5892786741646681</v>
      </c>
      <c r="V151" s="385">
        <f t="shared" si="58"/>
        <v>59.13198327906688</v>
      </c>
      <c r="W151" s="404">
        <f t="shared" si="59"/>
        <v>55.035642232497516</v>
      </c>
      <c r="X151" s="157">
        <f t="shared" si="60"/>
        <v>45428</v>
      </c>
      <c r="Y151" s="387">
        <f t="shared" si="61"/>
        <v>50.74824192917923</v>
      </c>
      <c r="Z151" s="387">
        <f t="shared" si="62"/>
        <v>53.308547707355494</v>
      </c>
      <c r="AA151" s="388">
        <f t="shared" si="63"/>
        <v>59.645463779532534</v>
      </c>
      <c r="AB151" s="199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0.10624305136766443</v>
      </c>
      <c r="AD151" s="233">
        <f>(INDEX(Models!$BJ151:$BT151,,AH151)*(1-AF151)+INDEX(Models!$BJ151:$BT151,,AH151+1)*AF151-ERP_i)*AE151*Ramure*Pc/MaxiM</f>
        <v>2.1287793111426142E-3</v>
      </c>
      <c r="AE151" s="307">
        <f t="shared" si="65"/>
        <v>1</v>
      </c>
      <c r="AF151" s="179">
        <f t="shared" si="66"/>
        <v>0.58927867416466806</v>
      </c>
      <c r="AG151" s="837">
        <f t="shared" si="74"/>
        <v>1</v>
      </c>
      <c r="AH151" s="178">
        <f t="shared" si="67"/>
        <v>7</v>
      </c>
      <c r="AI151" s="227">
        <f t="shared" si="68"/>
        <v>1.5892786741646681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45429</v>
      </c>
      <c r="B152" s="1139">
        <f>IF(t&gt;Tmaj,'2023'!Wh/'2023'!Env_an*'2024'!Env_an,0.001*[7]mois!$B$225)</f>
        <v>53.559081390732622</v>
      </c>
      <c r="C152" s="866"/>
      <c r="D152" s="395">
        <f t="shared" si="50"/>
        <v>56.262506486071914</v>
      </c>
      <c r="E152" s="387">
        <f t="shared" si="72"/>
        <v>58.066226844246295</v>
      </c>
      <c r="F152" s="387">
        <f t="shared" si="51"/>
        <v>58.165706187735125</v>
      </c>
      <c r="G152" s="110">
        <f t="shared" si="73"/>
        <v>0.90439916572694756</v>
      </c>
      <c r="H152" s="414" t="b">
        <f>Wh_hp&gt;='2023'!Maxi_hp</f>
        <v>0</v>
      </c>
      <c r="I152" s="392">
        <f>IF(H152,Wh_hp,'2023'!Maxi_hp)</f>
        <v>64.833198802654493</v>
      </c>
      <c r="J152" s="85">
        <f>IF(H152,An,'2023'!An_max)</f>
        <v>2020</v>
      </c>
      <c r="K152" s="199">
        <f t="shared" si="52"/>
        <v>45429</v>
      </c>
      <c r="L152" s="147">
        <f>IF(t&lt;Tvie,1-EXP((T0-t)*PertePVj)+'2023'!Pspv,1-EXP((T0-t)*PertePVj)+Pspv)</f>
        <v>4.8050207219412444E-2</v>
      </c>
      <c r="M152" s="870"/>
      <c r="N152" s="870"/>
      <c r="O152" s="48">
        <f>IF(t&lt;Tnet,'2023'!Resal+('2023'!Salim-'2023'!Resal)*(1-EXP(('2023'!Tnet-t)/('2023'!Tau_j))),Resal+(Salim-Resal)*(1-EXP((Tnet-t)/(Tau_j))))*Salcycl</f>
        <v>3.1063157642610185E-2</v>
      </c>
      <c r="P152" s="171">
        <f>(INDEX(Models!$BJ152:$BT152,,T152)*(1-R152)+INDEX(Models!$BJ152:$BT152,,T152+1)*R152-ERP_i)*Q152*Ramure*Pc/MaxiM</f>
        <v>1.9799968301922937E-3</v>
      </c>
      <c r="Q152" s="307">
        <f t="shared" si="53"/>
        <v>1</v>
      </c>
      <c r="R152" s="179">
        <f t="shared" si="54"/>
        <v>0.59503334647820783</v>
      </c>
      <c r="S152" s="837">
        <f t="shared" si="55"/>
        <v>1</v>
      </c>
      <c r="T152" s="178">
        <f t="shared" si="56"/>
        <v>7</v>
      </c>
      <c r="U152" s="253">
        <f t="shared" si="57"/>
        <v>1.5950333464782078</v>
      </c>
      <c r="V152" s="385">
        <f t="shared" si="58"/>
        <v>59.204621817930366</v>
      </c>
      <c r="W152" s="404">
        <f t="shared" si="59"/>
        <v>53.559081390732622</v>
      </c>
      <c r="X152" s="157">
        <f t="shared" si="60"/>
        <v>45429</v>
      </c>
      <c r="Y152" s="387">
        <f t="shared" si="61"/>
        <v>49.387696570549942</v>
      </c>
      <c r="Z152" s="387">
        <f t="shared" si="62"/>
        <v>51.880568644583114</v>
      </c>
      <c r="AA152" s="388">
        <f t="shared" si="63"/>
        <v>58.066226844246295</v>
      </c>
      <c r="AB152" s="199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0.10652764155410431</v>
      </c>
      <c r="AD152" s="233">
        <f>(INDEX(Models!$BJ152:$BT152,,AH152)*(1-AF152)+INDEX(Models!$BJ152:$BT152,,AH152+1)*AF152-ERP_i)*AE152*Ramure*Pc/MaxiM</f>
        <v>1.9799968301922937E-3</v>
      </c>
      <c r="AE152" s="307">
        <f t="shared" si="65"/>
        <v>1</v>
      </c>
      <c r="AF152" s="179">
        <f t="shared" si="66"/>
        <v>0.59503334647820783</v>
      </c>
      <c r="AG152" s="837">
        <f t="shared" si="74"/>
        <v>1</v>
      </c>
      <c r="AH152" s="178">
        <f t="shared" si="67"/>
        <v>7</v>
      </c>
      <c r="AI152" s="227">
        <f t="shared" si="68"/>
        <v>1.5950333464782078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45430</v>
      </c>
      <c r="B153" s="1139">
        <f>IF(t&gt;Tmaj,'2023'!Wh/'2023'!Env_an*'2024'!Env_an,0.001*[7]mois!$B$226)</f>
        <v>55.51386580500921</v>
      </c>
      <c r="C153" s="866"/>
      <c r="D153" s="395">
        <f t="shared" si="50"/>
        <v>58.317316884617895</v>
      </c>
      <c r="E153" s="387">
        <f t="shared" si="72"/>
        <v>60.207328427955538</v>
      </c>
      <c r="F153" s="387">
        <f t="shared" si="51"/>
        <v>60.308421470602582</v>
      </c>
      <c r="G153" s="110">
        <f t="shared" si="73"/>
        <v>0.93646316558660381</v>
      </c>
      <c r="H153" s="414" t="b">
        <f>Wh_hp&gt;='2023'!Maxi_hp</f>
        <v>0</v>
      </c>
      <c r="I153" s="392">
        <f>IF(H153,Wh_hp,'2023'!Maxi_hp)</f>
        <v>63.754093188120109</v>
      </c>
      <c r="J153" s="85">
        <f>IF(H153,An,'2023'!An_max)</f>
        <v>2020</v>
      </c>
      <c r="K153" s="199">
        <f t="shared" si="52"/>
        <v>45430</v>
      </c>
      <c r="L153" s="147">
        <f>IF(t&lt;Tvie,1-EXP((T0-t)*PertePVj)+'2023'!Pspv,1-EXP((T0-t)*PertePVj)+Pspv)</f>
        <v>4.8072360481799525E-2</v>
      </c>
      <c r="M153" s="870"/>
      <c r="N153" s="870"/>
      <c r="O153" s="48">
        <f>IF(t&lt;Tnet,'2023'!Resal+('2023'!Salim-'2023'!Resal)*(1-EXP(('2023'!Tnet-t)/('2023'!Tau_j))),Resal+(Salim-Resal)*(1-EXP((Tnet-t)/(Tau_j))))*Salcycl</f>
        <v>3.1391719126007141E-2</v>
      </c>
      <c r="P153" s="171">
        <f>(INDEX(Models!$BJ153:$BT153,,T153)*(1-R153)+INDEX(Models!$BJ153:$BT153,,T153+1)*R153-ERP_i)*Q153*Ramure*Pc/MaxiM</f>
        <v>1.8431524107461667E-3</v>
      </c>
      <c r="Q153" s="307">
        <f t="shared" si="53"/>
        <v>1</v>
      </c>
      <c r="R153" s="179">
        <f t="shared" si="54"/>
        <v>0.60089308255242302</v>
      </c>
      <c r="S153" s="837">
        <f t="shared" si="55"/>
        <v>1</v>
      </c>
      <c r="T153" s="178">
        <f t="shared" si="56"/>
        <v>7</v>
      </c>
      <c r="U153" s="253">
        <f t="shared" si="57"/>
        <v>1.600893082552423</v>
      </c>
      <c r="V153" s="385">
        <f t="shared" si="58"/>
        <v>59.270442083067941</v>
      </c>
      <c r="W153" s="404">
        <f t="shared" si="59"/>
        <v>55.51386580500921</v>
      </c>
      <c r="X153" s="157">
        <f t="shared" si="60"/>
        <v>45430</v>
      </c>
      <c r="Y153" s="387">
        <f t="shared" si="61"/>
        <v>51.191218860043314</v>
      </c>
      <c r="Z153" s="387">
        <f t="shared" si="62"/>
        <v>53.776376202242375</v>
      </c>
      <c r="AA153" s="388">
        <f t="shared" si="63"/>
        <v>60.207328427955538</v>
      </c>
      <c r="AB153" s="199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0.10681344603105057</v>
      </c>
      <c r="AD153" s="233">
        <f>(INDEX(Models!$BJ153:$BT153,,AH153)*(1-AF153)+INDEX(Models!$BJ153:$BT153,,AH153+1)*AF153-ERP_i)*AE153*Ramure*Pc/MaxiM</f>
        <v>1.8431524107461667E-3</v>
      </c>
      <c r="AE153" s="307">
        <f t="shared" si="65"/>
        <v>1</v>
      </c>
      <c r="AF153" s="179">
        <f t="shared" si="66"/>
        <v>0.60089308255242302</v>
      </c>
      <c r="AG153" s="837">
        <f t="shared" si="74"/>
        <v>1</v>
      </c>
      <c r="AH153" s="178">
        <f t="shared" si="67"/>
        <v>7</v>
      </c>
      <c r="AI153" s="227">
        <f t="shared" si="68"/>
        <v>1.600893082552423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45431</v>
      </c>
      <c r="B154" s="1139">
        <f>IF(t&gt;Tmaj,'2023'!Wh/'2023'!Env_an*'2024'!Env_an,0.001*[7]mois!$B$227)</f>
        <v>48.351603503561797</v>
      </c>
      <c r="C154" s="866"/>
      <c r="D154" s="395">
        <f t="shared" si="50"/>
        <v>50.794542289654707</v>
      </c>
      <c r="E154" s="387">
        <f t="shared" si="72"/>
        <v>52.458569318959249</v>
      </c>
      <c r="F154" s="387">
        <f t="shared" si="51"/>
        <v>52.524963967116612</v>
      </c>
      <c r="G154" s="110">
        <f t="shared" si="73"/>
        <v>0.81459312835081832</v>
      </c>
      <c r="H154" s="414" t="b">
        <f>Wh_hp&gt;='2023'!Maxi_hp</f>
        <v>0</v>
      </c>
      <c r="I154" s="392">
        <f>IF(H154,Wh_hp,'2023'!Maxi_hp)</f>
        <v>63.57811157089013</v>
      </c>
      <c r="J154" s="85">
        <f>IF(H154,An,'2023'!An_max)</f>
        <v>2021</v>
      </c>
      <c r="K154" s="199">
        <f t="shared" si="52"/>
        <v>45431</v>
      </c>
      <c r="L154" s="147">
        <f>IF(t&lt;Tvie,1-EXP((T0-t)*PertePVj)+'2023'!Pspv,1-EXP((T0-t)*PertePVj)+Pspv)</f>
        <v>4.8094513228647884E-2</v>
      </c>
      <c r="M154" s="870"/>
      <c r="N154" s="870"/>
      <c r="O154" s="48">
        <f>IF(t&lt;Tnet,'2023'!Resal+('2023'!Salim-'2023'!Resal)*(1-EXP(('2023'!Tnet-t)/('2023'!Tau_j))),Resal+(Salim-Resal)*(1-EXP((Tnet-t)/(Tau_j))))*Salcycl</f>
        <v>3.1720785581987612E-2</v>
      </c>
      <c r="P154" s="171">
        <f>(INDEX(Models!$BJ154:$BT154,,T154)*(1-R154)+INDEX(Models!$BJ154:$BT154,,T154+1)*R154-ERP_i)*Q154*Ramure*Pc/MaxiM</f>
        <v>1.7182592434484059E-3</v>
      </c>
      <c r="Q154" s="307">
        <f t="shared" si="53"/>
        <v>1</v>
      </c>
      <c r="R154" s="179">
        <f t="shared" si="54"/>
        <v>0.60685570398314792</v>
      </c>
      <c r="S154" s="837">
        <f t="shared" si="55"/>
        <v>1</v>
      </c>
      <c r="T154" s="178">
        <f t="shared" si="56"/>
        <v>7</v>
      </c>
      <c r="U154" s="253">
        <f t="shared" si="57"/>
        <v>1.6068557039831479</v>
      </c>
      <c r="V154" s="385">
        <f t="shared" si="58"/>
        <v>59.329759497165057</v>
      </c>
      <c r="W154" s="404">
        <f t="shared" si="59"/>
        <v>48.351603503561797</v>
      </c>
      <c r="X154" s="157">
        <f t="shared" si="60"/>
        <v>45431</v>
      </c>
      <c r="Y154" s="387">
        <f t="shared" si="61"/>
        <v>44.58748146794305</v>
      </c>
      <c r="Z154" s="387">
        <f t="shared" si="62"/>
        <v>46.840240010774274</v>
      </c>
      <c r="AA154" s="388">
        <f t="shared" si="63"/>
        <v>52.458569318959249</v>
      </c>
      <c r="AB154" s="199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0.10710031518443319</v>
      </c>
      <c r="AD154" s="233">
        <f>(INDEX(Models!$BJ154:$BT154,,AH154)*(1-AF154)+INDEX(Models!$BJ154:$BT154,,AH154+1)*AF154-ERP_i)*AE154*Ramure*Pc/MaxiM</f>
        <v>1.7182592434484059E-3</v>
      </c>
      <c r="AE154" s="307">
        <f t="shared" si="65"/>
        <v>1</v>
      </c>
      <c r="AF154" s="179">
        <f t="shared" si="66"/>
        <v>0.60685570398314792</v>
      </c>
      <c r="AG154" s="837">
        <f t="shared" si="74"/>
        <v>1</v>
      </c>
      <c r="AH154" s="178">
        <f t="shared" si="67"/>
        <v>7</v>
      </c>
      <c r="AI154" s="227">
        <f t="shared" si="68"/>
        <v>1.6068557039831479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45432</v>
      </c>
      <c r="B155" s="1139">
        <f>IF(t&gt;Tmaj,'2023'!Wh/'2023'!Env_an*'2024'!Env_an,0.001*[7]mois!$B$228)</f>
        <v>49.05772029841328</v>
      </c>
      <c r="C155" s="866"/>
      <c r="D155" s="395">
        <f t="shared" si="50"/>
        <v>51.53753460986789</v>
      </c>
      <c r="E155" s="387">
        <f t="shared" si="72"/>
        <v>53.244022360829661</v>
      </c>
      <c r="F155" s="387">
        <f t="shared" si="51"/>
        <v>53.308343667529364</v>
      </c>
      <c r="G155" s="110">
        <f t="shared" si="73"/>
        <v>0.82579570474970332</v>
      </c>
      <c r="H155" s="414" t="b">
        <f>Wh_hp&gt;='2023'!Maxi_hp</f>
        <v>0</v>
      </c>
      <c r="I155" s="392">
        <f>IF(H155,Wh_hp,'2023'!Maxi_hp)</f>
        <v>62.178708912121074</v>
      </c>
      <c r="J155" s="85">
        <f>IF(H155,An,'2023'!An_max)</f>
        <v>2020</v>
      </c>
      <c r="K155" s="199">
        <f t="shared" si="52"/>
        <v>45432</v>
      </c>
      <c r="L155" s="147">
        <f>IF(t&lt;Tvie,1-EXP((T0-t)*PertePVj)+'2023'!Pspv,1-EXP((T0-t)*PertePVj)+Pspv)</f>
        <v>4.811666545996951E-2</v>
      </c>
      <c r="M155" s="870"/>
      <c r="N155" s="870"/>
      <c r="O155" s="48">
        <f>IF(t&lt;Tnet,'2023'!Resal+('2023'!Salim-'2023'!Resal)*(1-EXP(('2023'!Tnet-t)/('2023'!Tau_j))),Resal+(Salim-Resal)*(1-EXP((Tnet-t)/(Tau_j))))*Salcycl</f>
        <v>3.2050316172528501E-2</v>
      </c>
      <c r="P155" s="171">
        <f>(INDEX(Models!$BJ155:$BT155,,T155)*(1-R155)+INDEX(Models!$BJ155:$BT155,,T155+1)*R155-ERP_i)*Q155*Ramure*Pc/MaxiM</f>
        <v>1.6053448462973545E-3</v>
      </c>
      <c r="Q155" s="307">
        <f t="shared" si="53"/>
        <v>1</v>
      </c>
      <c r="R155" s="179">
        <f t="shared" si="54"/>
        <v>0.6129187785124679</v>
      </c>
      <c r="S155" s="837">
        <f t="shared" si="55"/>
        <v>1</v>
      </c>
      <c r="T155" s="178">
        <f t="shared" si="56"/>
        <v>7</v>
      </c>
      <c r="U155" s="253">
        <f t="shared" si="57"/>
        <v>1.6129187785124679</v>
      </c>
      <c r="V155" s="385">
        <f t="shared" si="58"/>
        <v>59.382888980572226</v>
      </c>
      <c r="W155" s="404">
        <f t="shared" si="59"/>
        <v>49.05772029841328</v>
      </c>
      <c r="X155" s="157">
        <f t="shared" si="60"/>
        <v>45432</v>
      </c>
      <c r="Y155" s="387">
        <f t="shared" si="61"/>
        <v>45.239443710154227</v>
      </c>
      <c r="Z155" s="387">
        <f t="shared" si="62"/>
        <v>47.526248300181507</v>
      </c>
      <c r="AA155" s="388">
        <f t="shared" si="63"/>
        <v>53.244022360829661</v>
      </c>
      <c r="AB155" s="199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0.10738809366992123</v>
      </c>
      <c r="AD155" s="233">
        <f>(INDEX(Models!$BJ155:$BT155,,AH155)*(1-AF155)+INDEX(Models!$BJ155:$BT155,,AH155+1)*AF155-ERP_i)*AE155*Ramure*Pc/MaxiM</f>
        <v>1.6053448462973545E-3</v>
      </c>
      <c r="AE155" s="307">
        <f t="shared" si="65"/>
        <v>1</v>
      </c>
      <c r="AF155" s="179">
        <f t="shared" si="66"/>
        <v>0.6129187785124679</v>
      </c>
      <c r="AG155" s="837">
        <f t="shared" si="74"/>
        <v>1</v>
      </c>
      <c r="AH155" s="178">
        <f t="shared" si="67"/>
        <v>7</v>
      </c>
      <c r="AI155" s="227">
        <f t="shared" si="68"/>
        <v>1.6129187785124679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45433</v>
      </c>
      <c r="B156" s="1139">
        <f>IF(t&gt;Tmaj,'2023'!Wh/'2023'!Env_an*'2024'!Env_an,0.001*[7]mois!$B$229)</f>
        <v>34.861413482650377</v>
      </c>
      <c r="C156" s="866"/>
      <c r="D156" s="395">
        <f t="shared" si="50"/>
        <v>36.624472256778738</v>
      </c>
      <c r="E156" s="387">
        <f t="shared" si="72"/>
        <v>37.850067549633565</v>
      </c>
      <c r="F156" s="387">
        <f t="shared" si="51"/>
        <v>37.873410773183998</v>
      </c>
      <c r="G156" s="110">
        <f t="shared" si="73"/>
        <v>0.58607351427773979</v>
      </c>
      <c r="H156" s="414" t="b">
        <f>Wh_hp&gt;='2023'!Maxi_hp</f>
        <v>0</v>
      </c>
      <c r="I156" s="392">
        <f>IF(H156,Wh_hp,'2023'!Maxi_hp)</f>
        <v>63.08837322256813</v>
      </c>
      <c r="J156" s="85">
        <f>IF(H156,An,'2023'!An_max)</f>
        <v>2019</v>
      </c>
      <c r="K156" s="199">
        <f t="shared" si="52"/>
        <v>45433</v>
      </c>
      <c r="L156" s="147">
        <f>IF(t&lt;Tvie,1-EXP((T0-t)*PertePVj)+'2023'!Pspv,1-EXP((T0-t)*PertePVj)+Pspv)</f>
        <v>4.8138817175776283E-2</v>
      </c>
      <c r="M156" s="870"/>
      <c r="N156" s="870"/>
      <c r="O156" s="48">
        <f>IF(t&lt;Tnet,'2023'!Resal+('2023'!Salim-'2023'!Resal)*(1-EXP(('2023'!Tnet-t)/('2023'!Tau_j))),Resal+(Salim-Resal)*(1-EXP((Tnet-t)/(Tau_j))))*Salcycl</f>
        <v>3.2380266990215581E-2</v>
      </c>
      <c r="P156" s="171">
        <f>(INDEX(Models!$BJ156:$BT156,,T156)*(1-R156)+INDEX(Models!$BJ156:$BT156,,T156+1)*R156-ERP_i)*Q156*Ramure*Pc/MaxiM</f>
        <v>1.505411751162169E-3</v>
      </c>
      <c r="Q156" s="307">
        <f t="shared" si="53"/>
        <v>1</v>
      </c>
      <c r="R156" s="179">
        <f t="shared" si="54"/>
        <v>0.61907961885624574</v>
      </c>
      <c r="S156" s="837">
        <f t="shared" si="55"/>
        <v>1</v>
      </c>
      <c r="T156" s="178">
        <f t="shared" si="56"/>
        <v>7</v>
      </c>
      <c r="U156" s="253">
        <f t="shared" si="57"/>
        <v>1.6190796188562457</v>
      </c>
      <c r="V156" s="385">
        <f t="shared" si="58"/>
        <v>59.430087729551119</v>
      </c>
      <c r="W156" s="404">
        <f t="shared" si="59"/>
        <v>34.861413482650377</v>
      </c>
      <c r="X156" s="157">
        <f t="shared" si="60"/>
        <v>45433</v>
      </c>
      <c r="Y156" s="387">
        <f t="shared" si="61"/>
        <v>32.14863569006512</v>
      </c>
      <c r="Z156" s="387">
        <f t="shared" si="62"/>
        <v>33.774500179404704</v>
      </c>
      <c r="AA156" s="388">
        <f t="shared" si="63"/>
        <v>37.850067549633565</v>
      </c>
      <c r="AB156" s="199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0.10767662078500882</v>
      </c>
      <c r="AD156" s="233">
        <f>(INDEX(Models!$BJ156:$BT156,,AH156)*(1-AF156)+INDEX(Models!$BJ156:$BT156,,AH156+1)*AF156-ERP_i)*AE156*Ramure*Pc/MaxiM</f>
        <v>1.505411751162169E-3</v>
      </c>
      <c r="AE156" s="307">
        <f t="shared" si="65"/>
        <v>1</v>
      </c>
      <c r="AF156" s="179">
        <f t="shared" si="66"/>
        <v>0.61907961885624574</v>
      </c>
      <c r="AG156" s="837">
        <f t="shared" si="74"/>
        <v>1</v>
      </c>
      <c r="AH156" s="178">
        <f t="shared" si="67"/>
        <v>7</v>
      </c>
      <c r="AI156" s="227">
        <f t="shared" si="68"/>
        <v>1.6190796188562457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45434</v>
      </c>
      <c r="B157" s="1139">
        <f>IF(t&gt;Tmaj,'2023'!Wh/'2023'!Env_an*'2024'!Env_an,0.001*[7]mois!$B$230)</f>
        <v>17.991133435588072</v>
      </c>
      <c r="C157" s="866"/>
      <c r="D157" s="395">
        <f t="shared" si="50"/>
        <v>18.901445347217631</v>
      </c>
      <c r="E157" s="387">
        <f t="shared" si="72"/>
        <v>19.540630936376807</v>
      </c>
      <c r="F157" s="387">
        <f t="shared" si="51"/>
        <v>19.540729914436046</v>
      </c>
      <c r="G157" s="110">
        <f t="shared" si="73"/>
        <v>0.3020884380715308</v>
      </c>
      <c r="H157" s="414" t="b">
        <f>Wh_hp&gt;='2023'!Maxi_hp</f>
        <v>0</v>
      </c>
      <c r="I157" s="392">
        <f>IF(H157,Wh_hp,'2023'!Maxi_hp)</f>
        <v>57.176818430303342</v>
      </c>
      <c r="J157" s="85">
        <f>IF(H157,An,'2023'!An_max)</f>
        <v>2020</v>
      </c>
      <c r="K157" s="199">
        <f t="shared" si="52"/>
        <v>45434</v>
      </c>
      <c r="L157" s="147">
        <f>IF(t&lt;Tvie,1-EXP((T0-t)*PertePVj)+'2023'!Pspv,1-EXP((T0-t)*PertePVj)+Pspv)</f>
        <v>4.8160968376080304E-2</v>
      </c>
      <c r="M157" s="870"/>
      <c r="N157" s="870"/>
      <c r="O157" s="48">
        <f>IF(t&lt;Tnet,'2023'!Resal+('2023'!Salim-'2023'!Resal)*(1-EXP(('2023'!Tnet-t)/('2023'!Tau_j))),Resal+(Salim-Resal)*(1-EXP((Tnet-t)/(Tau_j))))*Salcycl</f>
        <v>3.2710591139064479E-2</v>
      </c>
      <c r="P157" s="171">
        <f>(INDEX(Models!$BJ157:$BT157,,T157)*(1-R157)+INDEX(Models!$BJ157:$BT157,,T157+1)*R157-ERP_i)*Q157*Ramure*Pc/MaxiM</f>
        <v>1.4105731529479811E-3</v>
      </c>
      <c r="Q157" s="307">
        <f t="shared" si="53"/>
        <v>1</v>
      </c>
      <c r="R157" s="179">
        <f t="shared" si="54"/>
        <v>0.62533528272072703</v>
      </c>
      <c r="S157" s="837">
        <f t="shared" si="55"/>
        <v>1</v>
      </c>
      <c r="T157" s="178">
        <f t="shared" si="56"/>
        <v>7</v>
      </c>
      <c r="U157" s="253">
        <f t="shared" si="57"/>
        <v>1.625335282720727</v>
      </c>
      <c r="V157" s="385">
        <f t="shared" si="58"/>
        <v>59.472142467268178</v>
      </c>
      <c r="W157" s="404">
        <f t="shared" si="59"/>
        <v>17.991133435588072</v>
      </c>
      <c r="X157" s="157">
        <f t="shared" si="60"/>
        <v>45434</v>
      </c>
      <c r="Y157" s="387">
        <f t="shared" si="61"/>
        <v>16.591422812892347</v>
      </c>
      <c r="Z157" s="387">
        <f t="shared" si="62"/>
        <v>17.430912435462901</v>
      </c>
      <c r="AA157" s="388">
        <f t="shared" si="63"/>
        <v>19.540630936376807</v>
      </c>
      <c r="AB157" s="199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0.10796573088059587</v>
      </c>
      <c r="AD157" s="233">
        <f>(INDEX(Models!$BJ157:$BT157,,AH157)*(1-AF157)+INDEX(Models!$BJ157:$BT157,,AH157+1)*AF157-ERP_i)*AE157*Ramure*Pc/MaxiM</f>
        <v>1.4105731529479811E-3</v>
      </c>
      <c r="AE157" s="307">
        <f t="shared" si="65"/>
        <v>1</v>
      </c>
      <c r="AF157" s="179">
        <f t="shared" si="66"/>
        <v>0.62533528272072703</v>
      </c>
      <c r="AG157" s="837">
        <f t="shared" si="74"/>
        <v>1</v>
      </c>
      <c r="AH157" s="178">
        <f t="shared" si="67"/>
        <v>7</v>
      </c>
      <c r="AI157" s="227">
        <f t="shared" si="68"/>
        <v>1.625335282720727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45435</v>
      </c>
      <c r="B158" s="1139">
        <f>IF(t&gt;Tmaj,'2023'!Wh/'2023'!Env_an*'2024'!Env_an,0.001*[7]mois!$B$231)</f>
        <v>14.990357907810813</v>
      </c>
      <c r="C158" s="866"/>
      <c r="D158" s="395">
        <f t="shared" si="50"/>
        <v>15.749203663020385</v>
      </c>
      <c r="E158" s="387">
        <f t="shared" si="72"/>
        <v>16.287358153740222</v>
      </c>
      <c r="F158" s="387">
        <f t="shared" si="51"/>
        <v>16.287358153740222</v>
      </c>
      <c r="G158" s="110">
        <f t="shared" si="73"/>
        <v>0.2515663987577833</v>
      </c>
      <c r="H158" s="414" t="b">
        <f>Wh_hp&gt;='2023'!Maxi_hp</f>
        <v>0</v>
      </c>
      <c r="I158" s="392">
        <f>IF(H158,Wh_hp,'2023'!Maxi_hp)</f>
        <v>28.621272020184886</v>
      </c>
      <c r="J158" s="85">
        <f>IF(H158,An,'2023'!An_max)</f>
        <v>2021</v>
      </c>
      <c r="K158" s="199">
        <f t="shared" si="52"/>
        <v>45435</v>
      </c>
      <c r="L158" s="147">
        <f>IF(t&lt;Tvie,1-EXP((T0-t)*PertePVj)+'2023'!Pspv,1-EXP((T0-t)*PertePVj)+Pspv)</f>
        <v>4.8183119060893564E-2</v>
      </c>
      <c r="M158" s="870"/>
      <c r="N158" s="870"/>
      <c r="O158" s="48">
        <f>IF(t&lt;Tnet,'2023'!Resal+('2023'!Salim-'2023'!Resal)*(1-EXP(('2023'!Tnet-t)/('2023'!Tau_j))),Resal+(Salim-Resal)*(1-EXP((Tnet-t)/(Tau_j))))*Salcycl</f>
        <v>3.3041238833214782E-2</v>
      </c>
      <c r="P158" s="171">
        <f>(INDEX(Models!$BJ158:$BT158,,T158)*(1-R158)+INDEX(Models!$BJ158:$BT158,,T158+1)*R158-ERP_i)*Q158*Ramure*Pc/MaxiM</f>
        <v>1.32082667367891E-3</v>
      </c>
      <c r="Q158" s="307">
        <f t="shared" si="53"/>
        <v>1</v>
      </c>
      <c r="R158" s="179">
        <f t="shared" si="54"/>
        <v>0.63168257406388828</v>
      </c>
      <c r="S158" s="837">
        <f t="shared" si="55"/>
        <v>1</v>
      </c>
      <c r="T158" s="178">
        <f t="shared" si="56"/>
        <v>7</v>
      </c>
      <c r="U158" s="253">
        <f t="shared" si="57"/>
        <v>1.6316825740638883</v>
      </c>
      <c r="V158" s="385">
        <f t="shared" si="58"/>
        <v>59.509371351506857</v>
      </c>
      <c r="W158" s="404">
        <f t="shared" si="59"/>
        <v>14.990357907810813</v>
      </c>
      <c r="X158" s="157">
        <f t="shared" si="60"/>
        <v>45435</v>
      </c>
      <c r="Y158" s="387">
        <f t="shared" si="61"/>
        <v>13.824346440228107</v>
      </c>
      <c r="Z158" s="387">
        <f t="shared" si="62"/>
        <v>14.524166062896855</v>
      </c>
      <c r="AA158" s="388">
        <f t="shared" si="63"/>
        <v>16.287358153740222</v>
      </c>
      <c r="AB158" s="199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0.10825525381097292</v>
      </c>
      <c r="AD158" s="233">
        <f>(INDEX(Models!$BJ158:$BT158,,AH158)*(1-AF158)+INDEX(Models!$BJ158:$BT158,,AH158+1)*AF158-ERP_i)*AE158*Ramure*Pc/MaxiM</f>
        <v>1.32082667367891E-3</v>
      </c>
      <c r="AE158" s="307">
        <f t="shared" si="65"/>
        <v>1</v>
      </c>
      <c r="AF158" s="179">
        <f t="shared" si="66"/>
        <v>0.63168257406388828</v>
      </c>
      <c r="AG158" s="837">
        <f t="shared" si="74"/>
        <v>1</v>
      </c>
      <c r="AH158" s="178">
        <f t="shared" si="67"/>
        <v>7</v>
      </c>
      <c r="AI158" s="227">
        <f t="shared" si="68"/>
        <v>1.6316825740638883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45436</v>
      </c>
      <c r="B159" s="1139">
        <f>IF(t&gt;Tmaj,'2023'!Wh/'2023'!Env_an*'2024'!Env_an,0.001*[7]mois!$B$232)</f>
        <v>41.705472918560908</v>
      </c>
      <c r="C159" s="866"/>
      <c r="D159" s="395">
        <f t="shared" si="50"/>
        <v>43.817717802273663</v>
      </c>
      <c r="E159" s="387">
        <f t="shared" si="72"/>
        <v>45.330494194706624</v>
      </c>
      <c r="F159" s="387">
        <f t="shared" si="51"/>
        <v>45.362572917944298</v>
      </c>
      <c r="G159" s="110">
        <f t="shared" si="73"/>
        <v>0.70006600437629629</v>
      </c>
      <c r="H159" s="414" t="b">
        <f>Wh_hp&gt;='2023'!Maxi_hp</f>
        <v>0</v>
      </c>
      <c r="I159" s="392">
        <f>IF(H159,Wh_hp,'2023'!Maxi_hp)</f>
        <v>59.3893737120083</v>
      </c>
      <c r="J159" s="85">
        <f>IF(H159,An,'2023'!An_max)</f>
        <v>2020</v>
      </c>
      <c r="K159" s="199">
        <f t="shared" si="52"/>
        <v>45436</v>
      </c>
      <c r="L159" s="147">
        <f>IF(t&lt;Tvie,1-EXP((T0-t)*PertePVj)+'2023'!Pspv,1-EXP((T0-t)*PertePVj)+Pspv)</f>
        <v>4.8205269230227943E-2</v>
      </c>
      <c r="M159" s="870"/>
      <c r="N159" s="870"/>
      <c r="O159" s="48">
        <f>IF(t&lt;Tnet,'2023'!Resal+('2023'!Salim-'2023'!Resal)*(1-EXP(('2023'!Tnet-t)/('2023'!Tau_j))),Resal+(Salim-Resal)*(1-EXP((Tnet-t)/(Tau_j))))*Salcycl</f>
        <v>3.3372157513553311E-2</v>
      </c>
      <c r="P159" s="171">
        <f>(INDEX(Models!$BJ159:$BT159,,T159)*(1-R159)+INDEX(Models!$BJ159:$BT159,,T159+1)*R159-ERP_i)*Q159*Ramure*Pc/MaxiM</f>
        <v>1.236184912870623E-3</v>
      </c>
      <c r="Q159" s="307">
        <f t="shared" si="53"/>
        <v>1</v>
      </c>
      <c r="R159" s="179">
        <f t="shared" si="54"/>
        <v>0.63811804564869234</v>
      </c>
      <c r="S159" s="837">
        <f t="shared" si="55"/>
        <v>1</v>
      </c>
      <c r="T159" s="178">
        <f t="shared" si="56"/>
        <v>7</v>
      </c>
      <c r="U159" s="253">
        <f t="shared" si="57"/>
        <v>1.6381180456486923</v>
      </c>
      <c r="V159" s="385">
        <f t="shared" si="58"/>
        <v>59.542091640722461</v>
      </c>
      <c r="W159" s="404">
        <f t="shared" si="59"/>
        <v>41.705472918560908</v>
      </c>
      <c r="X159" s="157">
        <f t="shared" si="60"/>
        <v>45436</v>
      </c>
      <c r="Y159" s="387">
        <f t="shared" si="61"/>
        <v>38.462115494058011</v>
      </c>
      <c r="Z159" s="387">
        <f t="shared" si="62"/>
        <v>40.410095003311746</v>
      </c>
      <c r="AA159" s="388">
        <f t="shared" si="63"/>
        <v>45.330494194706624</v>
      </c>
      <c r="AB159" s="199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0.10854501542075504</v>
      </c>
      <c r="AD159" s="233">
        <f>(INDEX(Models!$BJ159:$BT159,,AH159)*(1-AF159)+INDEX(Models!$BJ159:$BT159,,AH159+1)*AF159-ERP_i)*AE159*Ramure*Pc/MaxiM</f>
        <v>1.236184912870623E-3</v>
      </c>
      <c r="AE159" s="307">
        <f t="shared" si="65"/>
        <v>1</v>
      </c>
      <c r="AF159" s="179">
        <f t="shared" si="66"/>
        <v>0.63811804564869234</v>
      </c>
      <c r="AG159" s="837">
        <f t="shared" si="74"/>
        <v>1</v>
      </c>
      <c r="AH159" s="178">
        <f t="shared" si="67"/>
        <v>7</v>
      </c>
      <c r="AI159" s="227">
        <f t="shared" si="68"/>
        <v>1.6381180456486923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45437</v>
      </c>
      <c r="B160" s="1139">
        <f>IF(t&gt;Tmaj,'2023'!Wh/'2023'!Env_an*'2024'!Env_an,0.001*[7]mois!$B$233)</f>
        <v>21.903737545408656</v>
      </c>
      <c r="C160" s="866"/>
      <c r="D160" s="395">
        <f t="shared" si="50"/>
        <v>23.013625292428209</v>
      </c>
      <c r="E160" s="387">
        <f t="shared" si="72"/>
        <v>23.816313458871598</v>
      </c>
      <c r="F160" s="387">
        <f t="shared" si="51"/>
        <v>23.818977743696362</v>
      </c>
      <c r="G160" s="110">
        <f t="shared" si="73"/>
        <v>0.36730941609245649</v>
      </c>
      <c r="H160" s="414" t="b">
        <f>Wh_hp&gt;='2023'!Maxi_hp</f>
        <v>0</v>
      </c>
      <c r="I160" s="392">
        <f>IF(H160,Wh_hp,'2023'!Maxi_hp)</f>
        <v>63.356163340026761</v>
      </c>
      <c r="J160" s="85">
        <f>IF(H160,An,'2023'!An_max)</f>
        <v>2020</v>
      </c>
      <c r="K160" s="199">
        <f t="shared" si="52"/>
        <v>45437</v>
      </c>
      <c r="L160" s="147">
        <f>IF(t&lt;Tvie,1-EXP((T0-t)*PertePVj)+'2023'!Pspv,1-EXP((T0-t)*PertePVj)+Pspv)</f>
        <v>4.8227418884095541E-2</v>
      </c>
      <c r="M160" s="870"/>
      <c r="N160" s="870"/>
      <c r="O160" s="48">
        <f>IF(t&lt;Tnet,'2023'!Resal+('2023'!Salim-'2023'!Resal)*(1-EXP(('2023'!Tnet-t)/('2023'!Tau_j))),Resal+(Salim-Resal)*(1-EXP((Tnet-t)/(Tau_j))))*Salcycl</f>
        <v>3.3703291982176441E-2</v>
      </c>
      <c r="P160" s="171">
        <f>(INDEX(Models!$BJ160:$BT160,,T160)*(1-R160)+INDEX(Models!$BJ160:$BT160,,T160+1)*R160-ERP_i)*Q160*Ramure*Pc/MaxiM</f>
        <v>1.1566654825714063E-3</v>
      </c>
      <c r="Q160" s="307">
        <f t="shared" si="53"/>
        <v>1</v>
      </c>
      <c r="R160" s="179">
        <f t="shared" si="54"/>
        <v>0.6446380029258576</v>
      </c>
      <c r="S160" s="837">
        <f t="shared" si="55"/>
        <v>1</v>
      </c>
      <c r="T160" s="178">
        <f t="shared" si="56"/>
        <v>7</v>
      </c>
      <c r="U160" s="253">
        <f t="shared" si="57"/>
        <v>1.6446380029258576</v>
      </c>
      <c r="V160" s="385">
        <f t="shared" si="58"/>
        <v>59.570620256565029</v>
      </c>
      <c r="W160" s="404">
        <f t="shared" si="59"/>
        <v>21.903737545408656</v>
      </c>
      <c r="X160" s="157">
        <f t="shared" si="60"/>
        <v>45437</v>
      </c>
      <c r="Y160" s="387">
        <f t="shared" si="61"/>
        <v>20.200677136357488</v>
      </c>
      <c r="Z160" s="387">
        <f t="shared" si="62"/>
        <v>21.224268840223608</v>
      </c>
      <c r="AA160" s="388">
        <f t="shared" si="63"/>
        <v>23.816313458871598</v>
      </c>
      <c r="AB160" s="199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0.10883483806694909</v>
      </c>
      <c r="AD160" s="233">
        <f>(INDEX(Models!$BJ160:$BT160,,AH160)*(1-AF160)+INDEX(Models!$BJ160:$BT160,,AH160+1)*AF160-ERP_i)*AE160*Ramure*Pc/MaxiM</f>
        <v>1.1566654825714063E-3</v>
      </c>
      <c r="AE160" s="307">
        <f t="shared" si="65"/>
        <v>1</v>
      </c>
      <c r="AF160" s="179">
        <f t="shared" si="66"/>
        <v>0.6446380029258576</v>
      </c>
      <c r="AG160" s="837">
        <f t="shared" si="74"/>
        <v>1</v>
      </c>
      <c r="AH160" s="178">
        <f t="shared" si="67"/>
        <v>7</v>
      </c>
      <c r="AI160" s="227">
        <f t="shared" si="68"/>
        <v>1.6446380029258576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45438</v>
      </c>
      <c r="B161" s="1139">
        <f>IF(t&gt;Tmaj,'2023'!Wh/'2023'!Env_an*'2024'!Env_an,0.001*[7]mois!$B$234)</f>
        <v>41.520019889884018</v>
      </c>
      <c r="C161" s="866"/>
      <c r="D161" s="395">
        <f t="shared" si="50"/>
        <v>43.624902595122691</v>
      </c>
      <c r="E161" s="387">
        <f t="shared" si="72"/>
        <v>45.161971533940203</v>
      </c>
      <c r="F161" s="387">
        <f t="shared" si="51"/>
        <v>45.189688602837457</v>
      </c>
      <c r="G161" s="110">
        <f t="shared" si="73"/>
        <v>0.69637296482041533</v>
      </c>
      <c r="H161" s="414" t="b">
        <f>Wh_hp&gt;='2023'!Maxi_hp</f>
        <v>0</v>
      </c>
      <c r="I161" s="392">
        <f>IF(H161,Wh_hp,'2023'!Maxi_hp)</f>
        <v>62.931716158042121</v>
      </c>
      <c r="J161" s="85">
        <f>IF(H161,An,'2023'!An_max)</f>
        <v>2021</v>
      </c>
      <c r="K161" s="199">
        <f t="shared" si="52"/>
        <v>45438</v>
      </c>
      <c r="L161" s="147">
        <f>IF(t&lt;Tvie,1-EXP((T0-t)*PertePVj)+'2023'!Pspv,1-EXP((T0-t)*PertePVj)+Pspv)</f>
        <v>4.8249568022508349E-2</v>
      </c>
      <c r="M161" s="870"/>
      <c r="N161" s="870"/>
      <c r="O161" s="48">
        <f>IF(t&lt;Tnet,'2023'!Resal+('2023'!Salim-'2023'!Resal)*(1-EXP(('2023'!Tnet-t)/('2023'!Tau_j))),Resal+(Salim-Resal)*(1-EXP((Tnet-t)/(Tau_j))))*Salcycl</f>
        <v>3.4034584554449049E-2</v>
      </c>
      <c r="P161" s="171">
        <f>(INDEX(Models!$BJ161:$BT161,,T161)*(1-R161)+INDEX(Models!$BJ161:$BT161,,T161+1)*R161-ERP_i)*Q161*Ramure*Pc/MaxiM</f>
        <v>1.0822907015984203E-3</v>
      </c>
      <c r="Q161" s="307">
        <f t="shared" si="53"/>
        <v>1</v>
      </c>
      <c r="R161" s="179">
        <f t="shared" si="54"/>
        <v>0.6512385092732238</v>
      </c>
      <c r="S161" s="837">
        <f t="shared" si="55"/>
        <v>1</v>
      </c>
      <c r="T161" s="178">
        <f t="shared" si="56"/>
        <v>7</v>
      </c>
      <c r="U161" s="253">
        <f t="shared" si="57"/>
        <v>1.6512385092732238</v>
      </c>
      <c r="V161" s="385">
        <f t="shared" si="58"/>
        <v>59.595273775975677</v>
      </c>
      <c r="W161" s="404">
        <f t="shared" si="59"/>
        <v>41.520019889884018</v>
      </c>
      <c r="X161" s="157">
        <f t="shared" si="60"/>
        <v>45438</v>
      </c>
      <c r="Y161" s="387">
        <f t="shared" si="61"/>
        <v>38.292433847442204</v>
      </c>
      <c r="Z161" s="387">
        <f t="shared" si="62"/>
        <v>40.233692111786503</v>
      </c>
      <c r="AA161" s="388">
        <f t="shared" si="63"/>
        <v>45.161971533940203</v>
      </c>
      <c r="AB161" s="199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0.10912454117398281</v>
      </c>
      <c r="AD161" s="233">
        <f>(INDEX(Models!$BJ161:$BT161,,AH161)*(1-AF161)+INDEX(Models!$BJ161:$BT161,,AH161+1)*AF161-ERP_i)*AE161*Ramure*Pc/MaxiM</f>
        <v>1.0822907015984203E-3</v>
      </c>
      <c r="AE161" s="307">
        <f t="shared" si="65"/>
        <v>1</v>
      </c>
      <c r="AF161" s="179">
        <f t="shared" si="66"/>
        <v>0.6512385092732238</v>
      </c>
      <c r="AG161" s="837">
        <f t="shared" si="74"/>
        <v>1</v>
      </c>
      <c r="AH161" s="178">
        <f t="shared" si="67"/>
        <v>7</v>
      </c>
      <c r="AI161" s="227">
        <f t="shared" si="68"/>
        <v>1.6512385092732238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45439</v>
      </c>
      <c r="B162" s="1139">
        <f>IF(t&gt;Tmaj,'2023'!Wh/'2023'!Env_an*'2024'!Env_an,0.001*[7]mois!$B$235)</f>
        <v>55.437512307330671</v>
      </c>
      <c r="C162" s="866"/>
      <c r="D162" s="395">
        <f t="shared" si="50"/>
        <v>58.249306316643349</v>
      </c>
      <c r="E162" s="387">
        <f t="shared" si="72"/>
        <v>60.322342442741416</v>
      </c>
      <c r="F162" s="387">
        <f t="shared" si="51"/>
        <v>60.377384877543946</v>
      </c>
      <c r="G162" s="110">
        <f t="shared" si="73"/>
        <v>0.92980979310186984</v>
      </c>
      <c r="H162" s="414" t="b">
        <f>Wh_hp&gt;='2023'!Maxi_hp</f>
        <v>0</v>
      </c>
      <c r="I162" s="392">
        <f>IF(H162,Wh_hp,'2023'!Maxi_hp)</f>
        <v>62.080985179253567</v>
      </c>
      <c r="J162" s="85">
        <f>IF(H162,An,'2023'!An_max)</f>
        <v>2020</v>
      </c>
      <c r="K162" s="199">
        <f t="shared" si="52"/>
        <v>45439</v>
      </c>
      <c r="L162" s="147">
        <f>IF(t&lt;Tvie,1-EXP((T0-t)*PertePVj)+'2023'!Pspv,1-EXP((T0-t)*PertePVj)+Pspv)</f>
        <v>4.8271716645478357E-2</v>
      </c>
      <c r="M162" s="870"/>
      <c r="N162" s="870"/>
      <c r="O162" s="48">
        <f>IF(t&lt;Tnet,'2023'!Resal+('2023'!Salim-'2023'!Resal)*(1-EXP(('2023'!Tnet-t)/('2023'!Tau_j))),Resal+(Salim-Resal)*(1-EXP((Tnet-t)/(Tau_j))))*Salcycl</f>
        <v>3.4365975228263339E-2</v>
      </c>
      <c r="P162" s="171">
        <f>(INDEX(Models!$BJ162:$BT162,,T162)*(1-R162)+INDEX(Models!$BJ162:$BT162,,T162+1)*R162-ERP_i)*Q162*Ramure*Pc/MaxiM</f>
        <v>1.0130872819916726E-3</v>
      </c>
      <c r="Q162" s="307">
        <f t="shared" si="53"/>
        <v>1</v>
      </c>
      <c r="R162" s="179">
        <f t="shared" si="54"/>
        <v>0.65791539260738308</v>
      </c>
      <c r="S162" s="837">
        <f t="shared" si="55"/>
        <v>1</v>
      </c>
      <c r="T162" s="178">
        <f t="shared" si="56"/>
        <v>7</v>
      </c>
      <c r="U162" s="253">
        <f t="shared" si="57"/>
        <v>1.6579153926073831</v>
      </c>
      <c r="V162" s="385">
        <f t="shared" si="58"/>
        <v>59.616368420622649</v>
      </c>
      <c r="W162" s="404">
        <f t="shared" si="59"/>
        <v>55.437512307330671</v>
      </c>
      <c r="X162" s="157">
        <f t="shared" si="60"/>
        <v>45439</v>
      </c>
      <c r="Y162" s="387">
        <f t="shared" si="61"/>
        <v>51.128972565778497</v>
      </c>
      <c r="Z162" s="387">
        <f t="shared" si="62"/>
        <v>53.722237176314742</v>
      </c>
      <c r="AA162" s="388">
        <f t="shared" si="63"/>
        <v>60.322342442741416</v>
      </c>
      <c r="AB162" s="199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0.10941394181917848</v>
      </c>
      <c r="AD162" s="233">
        <f>(INDEX(Models!$BJ162:$BT162,,AH162)*(1-AF162)+INDEX(Models!$BJ162:$BT162,,AH162+1)*AF162-ERP_i)*AE162*Ramure*Pc/MaxiM</f>
        <v>1.0130872819916726E-3</v>
      </c>
      <c r="AE162" s="307">
        <f t="shared" si="65"/>
        <v>1</v>
      </c>
      <c r="AF162" s="179">
        <f t="shared" si="66"/>
        <v>0.65791539260738308</v>
      </c>
      <c r="AG162" s="837">
        <f t="shared" si="74"/>
        <v>1</v>
      </c>
      <c r="AH162" s="178">
        <f t="shared" si="67"/>
        <v>7</v>
      </c>
      <c r="AI162" s="227">
        <f t="shared" si="68"/>
        <v>1.6579153926073831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45440</v>
      </c>
      <c r="B163" s="1139">
        <f>IF(t&gt;Tmaj,'2023'!Wh/'2023'!Env_an*'2024'!Env_an,0.001*[7]mois!$B$236)</f>
        <v>60.507210267717355</v>
      </c>
      <c r="C163" s="866"/>
      <c r="D163" s="395">
        <f t="shared" si="50"/>
        <v>63.577619211223009</v>
      </c>
      <c r="E163" s="387">
        <f t="shared" si="72"/>
        <v>65.862890387307502</v>
      </c>
      <c r="F163" s="387">
        <f t="shared" si="51"/>
        <v>65.925460607676627</v>
      </c>
      <c r="G163" s="110">
        <f t="shared" si="73"/>
        <v>1.014659991825851</v>
      </c>
      <c r="H163" s="414" t="b">
        <f>Wh_hp&gt;='2023'!Maxi_hp</f>
        <v>1</v>
      </c>
      <c r="I163" s="392">
        <f>IF(H163,Wh_hp,'2023'!Maxi_hp)</f>
        <v>65.925460607676627</v>
      </c>
      <c r="J163" s="85">
        <f>IF(H163,An,'2023'!An_max)</f>
        <v>2024</v>
      </c>
      <c r="K163" s="199">
        <f t="shared" si="52"/>
        <v>45440</v>
      </c>
      <c r="L163" s="147">
        <f>IF(t&lt;Tvie,1-EXP((T0-t)*PertePVj)+'2023'!Pspv,1-EXP((T0-t)*PertePVj)+Pspv)</f>
        <v>4.8293864753017557E-2</v>
      </c>
      <c r="M163" s="870"/>
      <c r="N163" s="870"/>
      <c r="O163" s="48">
        <f>IF(t&lt;Tnet,'2023'!Resal+('2023'!Salim-'2023'!Resal)*(1-EXP(('2023'!Tnet-t)/('2023'!Tau_j))),Resal+(Salim-Resal)*(1-EXP((Tnet-t)/(Tau_j))))*Salcycl</f>
        <v>3.4697401869944147E-2</v>
      </c>
      <c r="P163" s="171">
        <f>(INDEX(Models!$BJ163:$BT163,,T163)*(1-R163)+INDEX(Models!$BJ163:$BT163,,T163+1)*R163-ERP_i)*Q163*Ramure*Pc/MaxiM</f>
        <v>9.4910554727083813E-4</v>
      </c>
      <c r="Q163" s="307">
        <f t="shared" si="53"/>
        <v>1</v>
      </c>
      <c r="R163" s="179">
        <f t="shared" si="54"/>
        <v>0.66466425337109381</v>
      </c>
      <c r="S163" s="837">
        <f t="shared" si="55"/>
        <v>1</v>
      </c>
      <c r="T163" s="178">
        <f t="shared" si="56"/>
        <v>7</v>
      </c>
      <c r="U163" s="253">
        <f t="shared" si="57"/>
        <v>1.6646642533710938</v>
      </c>
      <c r="V163" s="385">
        <f t="shared" si="58"/>
        <v>59.632991105558816</v>
      </c>
      <c r="W163" s="404">
        <f t="shared" si="59"/>
        <v>60.507210267717355</v>
      </c>
      <c r="X163" s="157">
        <f t="shared" si="60"/>
        <v>45440</v>
      </c>
      <c r="Y163" s="387">
        <f t="shared" si="61"/>
        <v>55.805709667302494</v>
      </c>
      <c r="Z163" s="387">
        <f t="shared" si="62"/>
        <v>58.637543250490921</v>
      </c>
      <c r="AA163" s="388">
        <f t="shared" si="63"/>
        <v>65.862890387307502</v>
      </c>
      <c r="AB163" s="199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0.10970285534582278</v>
      </c>
      <c r="AD163" s="233">
        <f>(INDEX(Models!$BJ163:$BT163,,AH163)*(1-AF163)+INDEX(Models!$BJ163:$BT163,,AH163+1)*AF163-ERP_i)*AE163*Ramure*Pc/MaxiM</f>
        <v>9.4910554727083813E-4</v>
      </c>
      <c r="AE163" s="307">
        <f t="shared" si="65"/>
        <v>1</v>
      </c>
      <c r="AF163" s="179">
        <f t="shared" si="66"/>
        <v>0.66466425337109381</v>
      </c>
      <c r="AG163" s="837">
        <f t="shared" si="74"/>
        <v>1</v>
      </c>
      <c r="AH163" s="178">
        <f t="shared" si="67"/>
        <v>7</v>
      </c>
      <c r="AI163" s="227">
        <f t="shared" si="68"/>
        <v>1.6646642533710938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45441</v>
      </c>
      <c r="B164" s="1139">
        <f>IF(t&gt;Tmaj,'2023'!Wh/'2023'!Env_an*'2024'!Env_an,0.001*[7]mois!$B$237)</f>
        <v>51.733577335790741</v>
      </c>
      <c r="C164" s="866"/>
      <c r="D164" s="395">
        <f t="shared" si="50"/>
        <v>54.360037582719585</v>
      </c>
      <c r="E164" s="387">
        <f t="shared" si="72"/>
        <v>56.333326431047269</v>
      </c>
      <c r="F164" s="387">
        <f t="shared" si="51"/>
        <v>56.374100690726706</v>
      </c>
      <c r="G164" s="110">
        <f t="shared" si="73"/>
        <v>0.86722530338256276</v>
      </c>
      <c r="H164" s="414" t="b">
        <f>Wh_hp&gt;='2023'!Maxi_hp</f>
        <v>0</v>
      </c>
      <c r="I164" s="392">
        <f>IF(H164,Wh_hp,'2023'!Maxi_hp)</f>
        <v>63.686724886206711</v>
      </c>
      <c r="J164" s="85">
        <f>IF(H164,An,'2023'!An_max)</f>
        <v>2019</v>
      </c>
      <c r="K164" s="199">
        <f t="shared" si="52"/>
        <v>45441</v>
      </c>
      <c r="L164" s="147">
        <f>IF(t&lt;Tvie,1-EXP((T0-t)*PertePVj)+'2023'!Pspv,1-EXP((T0-t)*PertePVj)+Pspv)</f>
        <v>4.8316012345137938E-2</v>
      </c>
      <c r="M164" s="870"/>
      <c r="N164" s="870"/>
      <c r="O164" s="48">
        <f>IF(t&lt;Tnet,'2023'!Resal+('2023'!Salim-'2023'!Resal)*(1-EXP(('2023'!Tnet-t)/('2023'!Tau_j))),Resal+(Salim-Resal)*(1-EXP((Tnet-t)/(Tau_j))))*Salcycl</f>
        <v>3.5028800416091466E-2</v>
      </c>
      <c r="P164" s="171">
        <f>(INDEX(Models!$BJ164:$BT164,,T164)*(1-R164)+INDEX(Models!$BJ164:$BT164,,T164+1)*R164-ERP_i)*Q164*Ramure*Pc/MaxiM</f>
        <v>8.9235272352316804E-4</v>
      </c>
      <c r="Q164" s="307">
        <f t="shared" si="53"/>
        <v>1</v>
      </c>
      <c r="R164" s="179">
        <f t="shared" si="54"/>
        <v>0.67148047388721643</v>
      </c>
      <c r="S164" s="837">
        <f t="shared" si="55"/>
        <v>1</v>
      </c>
      <c r="T164" s="178">
        <f t="shared" si="56"/>
        <v>7</v>
      </c>
      <c r="U164" s="253">
        <f t="shared" si="57"/>
        <v>1.6714804738872164</v>
      </c>
      <c r="V164" s="385">
        <f t="shared" si="58"/>
        <v>59.64404413296694</v>
      </c>
      <c r="W164" s="404">
        <f t="shared" si="59"/>
        <v>51.733577335790741</v>
      </c>
      <c r="X164" s="157">
        <f t="shared" si="60"/>
        <v>45441</v>
      </c>
      <c r="Y164" s="387">
        <f t="shared" si="61"/>
        <v>47.714734371808639</v>
      </c>
      <c r="Z164" s="387">
        <f t="shared" si="62"/>
        <v>50.137162115532909</v>
      </c>
      <c r="AA164" s="388">
        <f t="shared" si="63"/>
        <v>56.333326431047269</v>
      </c>
      <c r="AB164" s="199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0.10999109600066928</v>
      </c>
      <c r="AD164" s="233">
        <f>(INDEX(Models!$BJ164:$BT164,,AH164)*(1-AF164)+INDEX(Models!$BJ164:$BT164,,AH164+1)*AF164-ERP_i)*AE164*Ramure*Pc/MaxiM</f>
        <v>8.9235272352316804E-4</v>
      </c>
      <c r="AE164" s="307">
        <f t="shared" si="65"/>
        <v>1</v>
      </c>
      <c r="AF164" s="179">
        <f t="shared" si="66"/>
        <v>0.67148047388721643</v>
      </c>
      <c r="AG164" s="837">
        <f t="shared" si="74"/>
        <v>1</v>
      </c>
      <c r="AH164" s="178">
        <f t="shared" si="67"/>
        <v>7</v>
      </c>
      <c r="AI164" s="227">
        <f t="shared" si="68"/>
        <v>1.6714804738872164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45442</v>
      </c>
      <c r="B165" s="1139">
        <f>IF(t&gt;Tmaj,'2023'!Wh/'2023'!Env_an*'2024'!Env_an,0.001*[7]mois!$B$238)</f>
        <v>55.455049525905139</v>
      </c>
      <c r="C165" s="866"/>
      <c r="D165" s="395">
        <f t="shared" si="50"/>
        <v>58.271801139168701</v>
      </c>
      <c r="E165" s="387">
        <f t="shared" si="72"/>
        <v>60.40782829600402</v>
      </c>
      <c r="F165" s="387">
        <f t="shared" si="51"/>
        <v>60.453421420589969</v>
      </c>
      <c r="G165" s="110">
        <f t="shared" si="73"/>
        <v>0.92959544889290802</v>
      </c>
      <c r="H165" s="414" t="b">
        <f>Wh_hp&gt;='2023'!Maxi_hp</f>
        <v>0</v>
      </c>
      <c r="I165" s="392">
        <f>IF(H165,Wh_hp,'2023'!Maxi_hp)</f>
        <v>64.708611084195553</v>
      </c>
      <c r="J165" s="85">
        <f>IF(H165,An,'2023'!An_max)</f>
        <v>2019</v>
      </c>
      <c r="K165" s="199">
        <f t="shared" si="52"/>
        <v>45442</v>
      </c>
      <c r="L165" s="147">
        <f>IF(t&lt;Tvie,1-EXP((T0-t)*PertePVj)+'2023'!Pspv,1-EXP((T0-t)*PertePVj)+Pspv)</f>
        <v>4.833815942185149E-2</v>
      </c>
      <c r="M165" s="870"/>
      <c r="N165" s="870"/>
      <c r="O165" s="48">
        <f>IF(t&lt;Tnet,'2023'!Resal+('2023'!Salim-'2023'!Resal)*(1-EXP(('2023'!Tnet-t)/('2023'!Tau_j))),Resal+(Salim-Resal)*(1-EXP((Tnet-t)/(Tau_j))))*Salcycl</f>
        <v>3.53601050904956E-2</v>
      </c>
      <c r="P165" s="171">
        <f>(INDEX(Models!$BJ165:$BT165,,T165)*(1-R165)+INDEX(Models!$BJ165:$BT165,,T165+1)*R165-ERP_i)*Q165*Ramure*Pc/MaxiM</f>
        <v>8.3841854576381972E-4</v>
      </c>
      <c r="Q165" s="307">
        <f t="shared" si="53"/>
        <v>1</v>
      </c>
      <c r="R165" s="179">
        <f t="shared" si="54"/>
        <v>0.67835922905669377</v>
      </c>
      <c r="S165" s="837">
        <f t="shared" si="55"/>
        <v>1</v>
      </c>
      <c r="T165" s="178">
        <f t="shared" si="56"/>
        <v>7</v>
      </c>
      <c r="U165" s="253">
        <f t="shared" si="57"/>
        <v>1.6783592290566938</v>
      </c>
      <c r="V165" s="385">
        <f t="shared" si="58"/>
        <v>59.650006835609467</v>
      </c>
      <c r="W165" s="404">
        <f t="shared" si="59"/>
        <v>55.455049525905139</v>
      </c>
      <c r="X165" s="157">
        <f t="shared" si="60"/>
        <v>45442</v>
      </c>
      <c r="Y165" s="387">
        <f t="shared" si="61"/>
        <v>51.14815523362212</v>
      </c>
      <c r="Z165" s="387">
        <f t="shared" si="62"/>
        <v>53.74614495685659</v>
      </c>
      <c r="AA165" s="388">
        <f t="shared" si="63"/>
        <v>60.40782829600402</v>
      </c>
      <c r="AB165" s="199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0.11027847759241656</v>
      </c>
      <c r="AD165" s="233">
        <f>(INDEX(Models!$BJ165:$BT165,,AH165)*(1-AF165)+INDEX(Models!$BJ165:$BT165,,AH165+1)*AF165-ERP_i)*AE165*Ramure*Pc/MaxiM</f>
        <v>8.3841854576381972E-4</v>
      </c>
      <c r="AE165" s="307">
        <f t="shared" si="65"/>
        <v>1</v>
      </c>
      <c r="AF165" s="179">
        <f t="shared" si="66"/>
        <v>0.67835922905669377</v>
      </c>
      <c r="AG165" s="837">
        <f t="shared" si="74"/>
        <v>1</v>
      </c>
      <c r="AH165" s="178">
        <f t="shared" si="67"/>
        <v>7</v>
      </c>
      <c r="AI165" s="227">
        <f t="shared" si="68"/>
        <v>1.6783592290566938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45443</v>
      </c>
      <c r="B166" s="1139">
        <f>IF(t&gt;Tmaj,'2023'!Wh/'2023'!Env_an*'2024'!Env_an,0.001*'[8]mon-tableau'!$B$202)</f>
        <v>57.034609947608082</v>
      </c>
      <c r="C166" s="866"/>
      <c r="D166" s="395">
        <f t="shared" si="50"/>
        <v>59.932987564723653</v>
      </c>
      <c r="E166" s="387">
        <f t="shared" si="72"/>
        <v>62.151243032788031</v>
      </c>
      <c r="F166" s="387">
        <f t="shared" si="51"/>
        <v>62.197140927191192</v>
      </c>
      <c r="G166" s="110">
        <f t="shared" si="73"/>
        <v>0.9560896128920684</v>
      </c>
      <c r="H166" s="414" t="b">
        <f>Wh_hp&gt;='2023'!Maxi_hp</f>
        <v>0</v>
      </c>
      <c r="I166" s="392">
        <f>IF(H166,Wh_hp,'2023'!Maxi_hp)</f>
        <v>65.140726705313512</v>
      </c>
      <c r="J166" s="85">
        <f>IF(H166,An,'2023'!An_max)</f>
        <v>2019</v>
      </c>
      <c r="K166" s="199">
        <f t="shared" si="52"/>
        <v>45443</v>
      </c>
      <c r="L166" s="147">
        <f>IF(t&lt;Tvie,1-EXP((T0-t)*PertePVj)+'2023'!Pspv,1-EXP((T0-t)*PertePVj)+Pspv)</f>
        <v>4.8360305983170204E-2</v>
      </c>
      <c r="M166" s="870"/>
      <c r="N166" s="870"/>
      <c r="O166" s="48">
        <f>IF(t&lt;Tnet,'2023'!Resal+('2023'!Salim-'2023'!Resal)*(1-EXP(('2023'!Tnet-t)/('2023'!Tau_j))),Resal+(Salim-Resal)*(1-EXP((Tnet-t)/(Tau_j))))*Salcycl</f>
        <v>3.5691248635109869E-2</v>
      </c>
      <c r="P166" s="171">
        <f>(INDEX(Models!$BJ166:$BT166,,T166)*(1-R166)+INDEX(Models!$BJ166:$BT166,,T166+1)*R166-ERP_i)*Q166*Ramure*Pc/MaxiM</f>
        <v>7.8727411835243703E-4</v>
      </c>
      <c r="Q166" s="307">
        <f t="shared" si="53"/>
        <v>1</v>
      </c>
      <c r="R166" s="179">
        <f t="shared" si="54"/>
        <v>0.68529549836460912</v>
      </c>
      <c r="S166" s="837">
        <f t="shared" si="55"/>
        <v>1</v>
      </c>
      <c r="T166" s="178">
        <f t="shared" si="56"/>
        <v>7</v>
      </c>
      <c r="U166" s="253">
        <f t="shared" si="57"/>
        <v>1.6852954983646091</v>
      </c>
      <c r="V166" s="385">
        <f t="shared" si="58"/>
        <v>59.65109700333236</v>
      </c>
      <c r="W166" s="404">
        <f t="shared" si="59"/>
        <v>57.034609947608082</v>
      </c>
      <c r="X166" s="157">
        <f t="shared" si="60"/>
        <v>45443</v>
      </c>
      <c r="Y166" s="387">
        <f t="shared" si="61"/>
        <v>52.606168746096074</v>
      </c>
      <c r="Z166" s="387">
        <f t="shared" si="62"/>
        <v>55.27950239659269</v>
      </c>
      <c r="AA166" s="388">
        <f t="shared" si="63"/>
        <v>62.151243032788031</v>
      </c>
      <c r="AB166" s="199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0.11056481416743569</v>
      </c>
      <c r="AD166" s="233">
        <f>(INDEX(Models!$BJ166:$BT166,,AH166)*(1-AF166)+INDEX(Models!$BJ166:$BT166,,AH166+1)*AF166-ERP_i)*AE166*Ramure*Pc/MaxiM</f>
        <v>7.8727411835243703E-4</v>
      </c>
      <c r="AE166" s="307">
        <f t="shared" si="65"/>
        <v>1</v>
      </c>
      <c r="AF166" s="179">
        <f t="shared" si="66"/>
        <v>0.68529549836460912</v>
      </c>
      <c r="AG166" s="837">
        <f t="shared" si="74"/>
        <v>1</v>
      </c>
      <c r="AH166" s="178">
        <f t="shared" si="67"/>
        <v>7</v>
      </c>
      <c r="AI166" s="227">
        <f t="shared" si="68"/>
        <v>1.6852954983646091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45444</v>
      </c>
      <c r="B167" s="1139">
        <f>IF(t&gt;Tmaj,'2023'!Wh/'2023'!Env_an*'2024'!Env_an,0.001*'[8]mon-tableau'!$B$203)</f>
        <v>44.793700098451829</v>
      </c>
      <c r="C167" s="866"/>
      <c r="D167" s="395">
        <f t="shared" si="50"/>
        <v>47.071116115885125</v>
      </c>
      <c r="E167" s="387">
        <f t="shared" si="72"/>
        <v>48.830081239827223</v>
      </c>
      <c r="F167" s="387">
        <f t="shared" si="51"/>
        <v>48.85333687589322</v>
      </c>
      <c r="G167" s="110">
        <f t="shared" si="73"/>
        <v>0.75077573594614955</v>
      </c>
      <c r="H167" s="414" t="b">
        <f>Wh_hp&gt;='2023'!Maxi_hp</f>
        <v>0</v>
      </c>
      <c r="I167" s="392">
        <f>IF(H167,Wh_hp,'2023'!Maxi_hp)</f>
        <v>63.901540527508928</v>
      </c>
      <c r="J167" s="85">
        <f>IF(H167,An,'2023'!An_max)</f>
        <v>2019</v>
      </c>
      <c r="K167" s="199">
        <f t="shared" si="52"/>
        <v>45444</v>
      </c>
      <c r="L167" s="147">
        <f>IF(t&lt;Tvie,1-EXP((T0-t)*PertePVj)+'2023'!Pspv,1-EXP((T0-t)*PertePVj)+Pspv)</f>
        <v>4.8382452029106182E-2</v>
      </c>
      <c r="M167" s="870"/>
      <c r="N167" s="870"/>
      <c r="O167" s="48">
        <f>IF(t&lt;Tnet,'2023'!Resal+('2023'!Salim-'2023'!Resal)*(1-EXP(('2023'!Tnet-t)/('2023'!Tau_j))),Resal+(Salim-Resal)*(1-EXP((Tnet-t)/(Tau_j))))*Salcycl</f>
        <v>3.602216255391847E-2</v>
      </c>
      <c r="P167" s="171">
        <f>(INDEX(Models!$BJ167:$BT167,,T167)*(1-R167)+INDEX(Models!$BJ167:$BT167,,T167+1)*R167-ERP_i)*Q167*Ramure*Pc/MaxiM</f>
        <v>7.3889250927058219E-4</v>
      </c>
      <c r="Q167" s="307">
        <f t="shared" si="53"/>
        <v>1</v>
      </c>
      <c r="R167" s="179">
        <f t="shared" si="54"/>
        <v>0.69228407914478662</v>
      </c>
      <c r="S167" s="837">
        <f t="shared" si="55"/>
        <v>1</v>
      </c>
      <c r="T167" s="178">
        <f t="shared" si="56"/>
        <v>7</v>
      </c>
      <c r="U167" s="253">
        <f t="shared" si="57"/>
        <v>1.6922840791447866</v>
      </c>
      <c r="V167" s="385">
        <f t="shared" si="58"/>
        <v>59.647532206778017</v>
      </c>
      <c r="W167" s="404">
        <f t="shared" si="59"/>
        <v>44.793700098451829</v>
      </c>
      <c r="X167" s="157">
        <f t="shared" si="60"/>
        <v>45444</v>
      </c>
      <c r="Y167" s="387">
        <f t="shared" si="61"/>
        <v>41.316636594315185</v>
      </c>
      <c r="Z167" s="387">
        <f t="shared" si="62"/>
        <v>43.417270606677477</v>
      </c>
      <c r="AA167" s="388">
        <f t="shared" si="63"/>
        <v>48.830081239827223</v>
      </c>
      <c r="AB167" s="199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0.11084992069877816</v>
      </c>
      <c r="AD167" s="233">
        <f>(INDEX(Models!$BJ167:$BT167,,AH167)*(1-AF167)+INDEX(Models!$BJ167:$BT167,,AH167+1)*AF167-ERP_i)*AE167*Ramure*Pc/MaxiM</f>
        <v>7.3889250927058219E-4</v>
      </c>
      <c r="AE167" s="307">
        <f t="shared" si="65"/>
        <v>1</v>
      </c>
      <c r="AF167" s="179">
        <f t="shared" si="66"/>
        <v>0.69228407914478662</v>
      </c>
      <c r="AG167" s="837">
        <f t="shared" si="74"/>
        <v>1</v>
      </c>
      <c r="AH167" s="178">
        <f t="shared" si="67"/>
        <v>7</v>
      </c>
      <c r="AI167" s="227">
        <f t="shared" si="68"/>
        <v>1.6922840791447866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45445</v>
      </c>
      <c r="B168" s="1139">
        <f>IF(t&gt;Tmaj,'2023'!Wh/'2023'!Env_an*'2024'!Env_an,0.001*'[8]mon-tableau'!$B$204)</f>
        <v>54.286336706842583</v>
      </c>
      <c r="C168" s="866"/>
      <c r="D168" s="395">
        <f t="shared" si="50"/>
        <v>57.047708057045483</v>
      </c>
      <c r="E168" s="387">
        <f t="shared" si="72"/>
        <v>59.199784648634427</v>
      </c>
      <c r="F168" s="387">
        <f t="shared" si="51"/>
        <v>59.235583984958595</v>
      </c>
      <c r="G168" s="110">
        <f t="shared" si="73"/>
        <v>0.91015989387460383</v>
      </c>
      <c r="H168" s="414" t="b">
        <f>Wh_hp&gt;='2023'!Maxi_hp</f>
        <v>0</v>
      </c>
      <c r="I168" s="392">
        <f>IF(H168,Wh_hp,'2023'!Maxi_hp)</f>
        <v>59.942123507520741</v>
      </c>
      <c r="J168" s="85">
        <f>IF(H168,An,'2023'!An_max)</f>
        <v>2020</v>
      </c>
      <c r="K168" s="199">
        <f t="shared" si="52"/>
        <v>45445</v>
      </c>
      <c r="L168" s="147">
        <f>IF(t&lt;Tvie,1-EXP((T0-t)*PertePVj)+'2023'!Pspv,1-EXP((T0-t)*PertePVj)+Pspv)</f>
        <v>4.8404597559671192E-2</v>
      </c>
      <c r="M168" s="870"/>
      <c r="N168" s="870"/>
      <c r="O168" s="48">
        <f>IF(t&lt;Tnet,'2023'!Resal+('2023'!Salim-'2023'!Resal)*(1-EXP(('2023'!Tnet-t)/('2023'!Tau_j))),Resal+(Salim-Resal)*(1-EXP((Tnet-t)/(Tau_j))))*Salcycl</f>
        <v>3.635277736839844E-2</v>
      </c>
      <c r="P168" s="171">
        <f>(INDEX(Models!$BJ168:$BT168,,T168)*(1-R168)+INDEX(Models!$BJ168:$BT168,,T168+1)*R168-ERP_i)*Q168*Ramure*Pc/MaxiM</f>
        <v>6.9324869323338578E-4</v>
      </c>
      <c r="Q168" s="307">
        <f t="shared" si="53"/>
        <v>1</v>
      </c>
      <c r="R168" s="179">
        <f t="shared" si="54"/>
        <v>0.69931960103996715</v>
      </c>
      <c r="S168" s="837">
        <f t="shared" si="55"/>
        <v>1</v>
      </c>
      <c r="T168" s="178">
        <f t="shared" si="56"/>
        <v>7</v>
      </c>
      <c r="U168" s="253">
        <f t="shared" si="57"/>
        <v>1.6993196010399672</v>
      </c>
      <c r="V168" s="385">
        <f t="shared" si="58"/>
        <v>59.639529773516308</v>
      </c>
      <c r="W168" s="404">
        <f t="shared" si="59"/>
        <v>54.286336706842583</v>
      </c>
      <c r="X168" s="157">
        <f t="shared" si="60"/>
        <v>45445</v>
      </c>
      <c r="Y168" s="387">
        <f t="shared" si="61"/>
        <v>50.073614904141863</v>
      </c>
      <c r="Z168" s="387">
        <f t="shared" si="62"/>
        <v>52.62069864538023</v>
      </c>
      <c r="AA168" s="388">
        <f t="shared" si="63"/>
        <v>59.199784648634427</v>
      </c>
      <c r="AB168" s="199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0.11113361378428524</v>
      </c>
      <c r="AD168" s="233">
        <f>(INDEX(Models!$BJ168:$BT168,,AH168)*(1-AF168)+INDEX(Models!$BJ168:$BT168,,AH168+1)*AF168-ERP_i)*AE168*Ramure*Pc/MaxiM</f>
        <v>6.9324869323338578E-4</v>
      </c>
      <c r="AE168" s="307">
        <f t="shared" si="65"/>
        <v>1</v>
      </c>
      <c r="AF168" s="179">
        <f t="shared" si="66"/>
        <v>0.69931960103996715</v>
      </c>
      <c r="AG168" s="837">
        <f t="shared" si="74"/>
        <v>1</v>
      </c>
      <c r="AH168" s="178">
        <f t="shared" si="67"/>
        <v>7</v>
      </c>
      <c r="AI168" s="227">
        <f t="shared" si="68"/>
        <v>1.6993196010399672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45446</v>
      </c>
      <c r="B169" s="1139">
        <f>IF(t&gt;Tmaj,'2023'!Wh/'2023'!Env_an*'2024'!Env_an,0.001*'[8]mon-tableau'!$B$205)</f>
        <v>30.826755907280692</v>
      </c>
      <c r="C169" s="866"/>
      <c r="D169" s="395">
        <f t="shared" si="50"/>
        <v>32.395567726120532</v>
      </c>
      <c r="E169" s="387">
        <f t="shared" si="72"/>
        <v>33.629187999030457</v>
      </c>
      <c r="F169" s="387">
        <f t="shared" si="51"/>
        <v>33.635968683802886</v>
      </c>
      <c r="G169" s="110">
        <f t="shared" si="73"/>
        <v>0.51675854441841906</v>
      </c>
      <c r="H169" s="414" t="b">
        <f>Wh_hp&gt;='2023'!Maxi_hp</f>
        <v>0</v>
      </c>
      <c r="I169" s="392">
        <f>IF(H169,Wh_hp,'2023'!Maxi_hp)</f>
        <v>57.961791725127831</v>
      </c>
      <c r="J169" s="85">
        <f>IF(H169,An,'2023'!An_max)</f>
        <v>2019</v>
      </c>
      <c r="K169" s="199">
        <f t="shared" si="52"/>
        <v>45446</v>
      </c>
      <c r="L169" s="147">
        <f>IF(t&lt;Tvie,1-EXP((T0-t)*PertePVj)+'2023'!Pspv,1-EXP((T0-t)*PertePVj)+Pspv)</f>
        <v>4.8426742574877335E-2</v>
      </c>
      <c r="M169" s="870"/>
      <c r="N169" s="870"/>
      <c r="O169" s="48">
        <f>IF(t&lt;Tnet,'2023'!Resal+('2023'!Salim-'2023'!Resal)*(1-EXP(('2023'!Tnet-t)/('2023'!Tau_j))),Resal+(Salim-Resal)*(1-EXP((Tnet-t)/(Tau_j))))*Salcycl</f>
        <v>3.6683022883142069E-2</v>
      </c>
      <c r="P169" s="171">
        <f>(INDEX(Models!$BJ169:$BT169,,T169)*(1-R169)+INDEX(Models!$BJ169:$BT169,,T169+1)*R169-ERP_i)*Q169*Ramure*Pc/MaxiM</f>
        <v>6.5031949735524315E-4</v>
      </c>
      <c r="Q169" s="307">
        <f t="shared" si="53"/>
        <v>1</v>
      </c>
      <c r="R169" s="179">
        <f t="shared" si="54"/>
        <v>0.70639654158149101</v>
      </c>
      <c r="S169" s="837">
        <f t="shared" si="55"/>
        <v>1</v>
      </c>
      <c r="T169" s="178">
        <f t="shared" si="56"/>
        <v>7</v>
      </c>
      <c r="U169" s="253">
        <f t="shared" si="57"/>
        <v>1.706396541581491</v>
      </c>
      <c r="V169" s="385">
        <f t="shared" si="58"/>
        <v>59.627306766963891</v>
      </c>
      <c r="W169" s="404">
        <f t="shared" si="59"/>
        <v>30.826755907280692</v>
      </c>
      <c r="X169" s="157">
        <f t="shared" si="60"/>
        <v>45446</v>
      </c>
      <c r="Y169" s="387">
        <f t="shared" si="61"/>
        <v>28.435262316700396</v>
      </c>
      <c r="Z169" s="387">
        <f t="shared" si="62"/>
        <v>29.882368062385261</v>
      </c>
      <c r="AA169" s="388">
        <f t="shared" si="63"/>
        <v>33.629187999030457</v>
      </c>
      <c r="AB169" s="199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0.11141571234943935</v>
      </c>
      <c r="AD169" s="233">
        <f>(INDEX(Models!$BJ169:$BT169,,AH169)*(1-AF169)+INDEX(Models!$BJ169:$BT169,,AH169+1)*AF169-ERP_i)*AE169*Ramure*Pc/MaxiM</f>
        <v>6.5031949735524315E-4</v>
      </c>
      <c r="AE169" s="307">
        <f t="shared" si="65"/>
        <v>1</v>
      </c>
      <c r="AF169" s="179">
        <f t="shared" si="66"/>
        <v>0.70639654158149101</v>
      </c>
      <c r="AG169" s="837">
        <f t="shared" si="74"/>
        <v>1</v>
      </c>
      <c r="AH169" s="178">
        <f t="shared" si="67"/>
        <v>7</v>
      </c>
      <c r="AI169" s="227">
        <f t="shared" si="68"/>
        <v>1.706396541581491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45447</v>
      </c>
      <c r="B170" s="1139">
        <f>IF(t&gt;Tmaj,'2023'!Wh/'2023'!Env_an*'2024'!Env_an,0.001*'[8]mon-tableau'!$B$206)</f>
        <v>32.201716758313886</v>
      </c>
      <c r="C170" s="866"/>
      <c r="D170" s="395">
        <f t="shared" si="50"/>
        <v>33.841289575416717</v>
      </c>
      <c r="E170" s="387">
        <f t="shared" ref="E170:E232" si="75">Wh_pvt/(1-Psa)</f>
        <v>35.141994177659761</v>
      </c>
      <c r="F170" s="387">
        <f t="shared" si="51"/>
        <v>35.149365792585513</v>
      </c>
      <c r="G170" s="110">
        <f t="shared" ref="G170:G232" si="76">+Wh_hp/MaxiM</f>
        <v>0.53998051641162692</v>
      </c>
      <c r="H170" s="414" t="b">
        <f>Wh_hp&gt;='2023'!Maxi_hp</f>
        <v>0</v>
      </c>
      <c r="I170" s="392">
        <f>IF(H170,Wh_hp,'2023'!Maxi_hp)</f>
        <v>47.729541453271779</v>
      </c>
      <c r="J170" s="85">
        <f>IF(H170,An,'2023'!An_max)</f>
        <v>2021</v>
      </c>
      <c r="K170" s="199">
        <f t="shared" si="52"/>
        <v>45447</v>
      </c>
      <c r="L170" s="147">
        <f>IF(t&lt;Tvie,1-EXP((T0-t)*PertePVj)+'2023'!Pspv,1-EXP((T0-t)*PertePVj)+Pspv)</f>
        <v>4.8448887074736713E-2</v>
      </c>
      <c r="M170" s="870"/>
      <c r="N170" s="870"/>
      <c r="O170" s="48">
        <f>IF(t&lt;Tnet,'2023'!Resal+('2023'!Salim-'2023'!Resal)*(1-EXP(('2023'!Tnet-t)/('2023'!Tau_j))),Resal+(Salim-Resal)*(1-EXP((Tnet-t)/(Tau_j))))*Salcycl</f>
        <v>3.7012828460085544E-2</v>
      </c>
      <c r="P170" s="171">
        <f>(INDEX(Models!$BJ170:$BT170,,T170)*(1-R170)+INDEX(Models!$BJ170:$BT170,,T170+1)*R170-ERP_i)*Q170*Ramure*Pc/MaxiM</f>
        <v>6.1118801086725233E-4</v>
      </c>
      <c r="Q170" s="307">
        <f t="shared" si="53"/>
        <v>1</v>
      </c>
      <c r="R170" s="179">
        <f t="shared" si="54"/>
        <v>0.71350924279987171</v>
      </c>
      <c r="S170" s="837">
        <f t="shared" si="55"/>
        <v>1</v>
      </c>
      <c r="T170" s="178">
        <f t="shared" si="56"/>
        <v>7</v>
      </c>
      <c r="U170" s="253">
        <f t="shared" si="57"/>
        <v>1.7135092427998717</v>
      </c>
      <c r="V170" s="385">
        <f t="shared" si="58"/>
        <v>59.611014085472647</v>
      </c>
      <c r="W170" s="404">
        <f t="shared" si="59"/>
        <v>32.201716758313886</v>
      </c>
      <c r="X170" s="157">
        <f t="shared" si="60"/>
        <v>45447</v>
      </c>
      <c r="Y170" s="387">
        <f t="shared" si="61"/>
        <v>29.704354755406069</v>
      </c>
      <c r="Z170" s="387">
        <f t="shared" si="62"/>
        <v>31.216772648280333</v>
      </c>
      <c r="AA170" s="388">
        <f t="shared" si="63"/>
        <v>35.141994177659761</v>
      </c>
      <c r="AB170" s="199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0.1116960383504572</v>
      </c>
      <c r="AD170" s="233">
        <f>(INDEX(Models!$BJ170:$BT170,,AH170)*(1-AF170)+INDEX(Models!$BJ170:$BT170,,AH170+1)*AF170-ERP_i)*AE170*Ramure*Pc/MaxiM</f>
        <v>6.1118801086725233E-4</v>
      </c>
      <c r="AE170" s="307">
        <f t="shared" si="65"/>
        <v>1</v>
      </c>
      <c r="AF170" s="179">
        <f t="shared" si="66"/>
        <v>0.71350924279987171</v>
      </c>
      <c r="AG170" s="837">
        <f t="shared" si="74"/>
        <v>1</v>
      </c>
      <c r="AH170" s="178">
        <f t="shared" si="67"/>
        <v>7</v>
      </c>
      <c r="AI170" s="227">
        <f t="shared" si="68"/>
        <v>1.7135092427998717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45448</v>
      </c>
      <c r="B171" s="1139">
        <f>IF(t&gt;Tmaj,'2023'!Wh/'2023'!Env_an*'2024'!Env_an,0.001*'[8]mon-tableau'!$B$207)</f>
        <v>42.965729219373671</v>
      </c>
      <c r="C171" s="866"/>
      <c r="D171" s="395">
        <f t="shared" si="50"/>
        <v>45.154410030420813</v>
      </c>
      <c r="E171" s="387">
        <f t="shared" si="75"/>
        <v>46.905978877143198</v>
      </c>
      <c r="F171" s="387">
        <f t="shared" si="51"/>
        <v>46.922204338873982</v>
      </c>
      <c r="G171" s="110">
        <f t="shared" si="76"/>
        <v>0.72084604954711828</v>
      </c>
      <c r="H171" s="414" t="b">
        <f>Wh_hp&gt;='2023'!Maxi_hp</f>
        <v>0</v>
      </c>
      <c r="I171" s="392">
        <f>IF(H171,Wh_hp,'2023'!Maxi_hp)</f>
        <v>63.713317790939129</v>
      </c>
      <c r="J171" s="85">
        <f>IF(H171,An,'2023'!An_max)</f>
        <v>2019</v>
      </c>
      <c r="K171" s="199">
        <f t="shared" si="52"/>
        <v>45448</v>
      </c>
      <c r="L171" s="147">
        <f>IF(t&lt;Tvie,1-EXP((T0-t)*PertePVj)+'2023'!Pspv,1-EXP((T0-t)*PertePVj)+Pspv)</f>
        <v>4.8471031059261205E-2</v>
      </c>
      <c r="M171" s="870"/>
      <c r="N171" s="870"/>
      <c r="O171" s="48">
        <f>IF(t&lt;Tnet,'2023'!Resal+('2023'!Salim-'2023'!Resal)*(1-EXP(('2023'!Tnet-t)/('2023'!Tau_j))),Resal+(Salim-Resal)*(1-EXP((Tnet-t)/(Tau_j))))*Salcycl</f>
        <v>3.734212329967819E-2</v>
      </c>
      <c r="P171" s="171">
        <f>(INDEX(Models!$BJ171:$BT171,,T171)*(1-R171)+INDEX(Models!$BJ171:$BT171,,T171+1)*R171-ERP_i)*Q171*Ramure*Pc/MaxiM</f>
        <v>5.7494052538046615E-4</v>
      </c>
      <c r="Q171" s="307">
        <f t="shared" si="53"/>
        <v>1</v>
      </c>
      <c r="R171" s="179">
        <f t="shared" si="54"/>
        <v>0.7206519287658677</v>
      </c>
      <c r="S171" s="837">
        <f t="shared" si="55"/>
        <v>1</v>
      </c>
      <c r="T171" s="178">
        <f t="shared" si="56"/>
        <v>7</v>
      </c>
      <c r="U171" s="253">
        <f t="shared" si="57"/>
        <v>1.7206519287658677</v>
      </c>
      <c r="V171" s="385">
        <f t="shared" si="58"/>
        <v>59.590921576583</v>
      </c>
      <c r="W171" s="404">
        <f t="shared" si="59"/>
        <v>42.965729219373671</v>
      </c>
      <c r="X171" s="157">
        <f t="shared" si="60"/>
        <v>45448</v>
      </c>
      <c r="Y171" s="387">
        <f t="shared" si="61"/>
        <v>39.634710983213154</v>
      </c>
      <c r="Z171" s="387">
        <f t="shared" si="62"/>
        <v>41.653709216373421</v>
      </c>
      <c r="AA171" s="388">
        <f t="shared" si="63"/>
        <v>46.905978877143198</v>
      </c>
      <c r="AB171" s="199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0.11197441747301756</v>
      </c>
      <c r="AD171" s="233">
        <f>(INDEX(Models!$BJ171:$BT171,,AH171)*(1-AF171)+INDEX(Models!$BJ171:$BT171,,AH171+1)*AF171-ERP_i)*AE171*Ramure*Pc/MaxiM</f>
        <v>5.7494052538046615E-4</v>
      </c>
      <c r="AE171" s="307">
        <f t="shared" si="65"/>
        <v>1</v>
      </c>
      <c r="AF171" s="179">
        <f t="shared" si="66"/>
        <v>0.7206519287658677</v>
      </c>
      <c r="AG171" s="837">
        <f t="shared" si="74"/>
        <v>1</v>
      </c>
      <c r="AH171" s="178">
        <f t="shared" si="67"/>
        <v>7</v>
      </c>
      <c r="AI171" s="227">
        <f t="shared" si="68"/>
        <v>1.7206519287658677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45449</v>
      </c>
      <c r="B172" s="1139">
        <f>IF(t&gt;Tmaj,'2023'!Wh/'2023'!Env_an*'2024'!Env_an,0.001*'[8]mon-tableau'!$B$208)</f>
        <v>32.334912576903669</v>
      </c>
      <c r="C172" s="866"/>
      <c r="D172" s="395">
        <f t="shared" si="50"/>
        <v>33.982848794468175</v>
      </c>
      <c r="E172" s="387">
        <f t="shared" si="75"/>
        <v>35.313123712157328</v>
      </c>
      <c r="F172" s="387">
        <f t="shared" si="51"/>
        <v>35.319759423007405</v>
      </c>
      <c r="G172" s="110">
        <f t="shared" si="76"/>
        <v>0.54263838919604268</v>
      </c>
      <c r="H172" s="414" t="b">
        <f>Wh_hp&gt;='2023'!Maxi_hp</f>
        <v>0</v>
      </c>
      <c r="I172" s="392">
        <f>IF(H172,Wh_hp,'2023'!Maxi_hp)</f>
        <v>57.56714176960822</v>
      </c>
      <c r="J172" s="85">
        <f>IF(H172,An,'2023'!An_max)</f>
        <v>2021</v>
      </c>
      <c r="K172" s="199">
        <f t="shared" si="52"/>
        <v>45449</v>
      </c>
      <c r="L172" s="147">
        <f>IF(t&lt;Tvie,1-EXP((T0-t)*PertePVj)+'2023'!Pspv,1-EXP((T0-t)*PertePVj)+Pspv)</f>
        <v>4.8493174528462801E-2</v>
      </c>
      <c r="M172" s="870"/>
      <c r="N172" s="870"/>
      <c r="O172" s="48">
        <f>IF(t&lt;Tnet,'2023'!Resal+('2023'!Salim-'2023'!Resal)*(1-EXP(('2023'!Tnet-t)/('2023'!Tau_j))),Resal+(Salim-Resal)*(1-EXP((Tnet-t)/(Tau_j))))*Salcycl</f>
        <v>3.7670836727229998E-2</v>
      </c>
      <c r="P172" s="171">
        <f>(INDEX(Models!$BJ172:$BT172,,T172)*(1-R172)+INDEX(Models!$BJ172:$BT172,,T172+1)*R172-ERP_i)*Q172*Ramure*Pc/MaxiM</f>
        <v>5.415825351038694E-4</v>
      </c>
      <c r="Q172" s="307">
        <f t="shared" si="53"/>
        <v>1</v>
      </c>
      <c r="R172" s="179">
        <f t="shared" si="54"/>
        <v>0.72781872395082403</v>
      </c>
      <c r="S172" s="837">
        <f t="shared" si="55"/>
        <v>1</v>
      </c>
      <c r="T172" s="178">
        <f t="shared" si="56"/>
        <v>7</v>
      </c>
      <c r="U172" s="253">
        <f t="shared" si="57"/>
        <v>1.727818723950824</v>
      </c>
      <c r="V172" s="385">
        <f t="shared" si="58"/>
        <v>59.567244004854807</v>
      </c>
      <c r="W172" s="404">
        <f t="shared" si="59"/>
        <v>32.334912576903669</v>
      </c>
      <c r="X172" s="157">
        <f t="shared" si="60"/>
        <v>45449</v>
      </c>
      <c r="Y172" s="387">
        <f t="shared" si="61"/>
        <v>29.828979265825716</v>
      </c>
      <c r="Z172" s="387">
        <f t="shared" si="62"/>
        <v>31.349201568830996</v>
      </c>
      <c r="AA172" s="388">
        <f t="shared" si="63"/>
        <v>35.313123712157328</v>
      </c>
      <c r="AB172" s="199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0.11225067982195136</v>
      </c>
      <c r="AD172" s="233">
        <f>(INDEX(Models!$BJ172:$BT172,,AH172)*(1-AF172)+INDEX(Models!$BJ172:$BT172,,AH172+1)*AF172-ERP_i)*AE172*Ramure*Pc/MaxiM</f>
        <v>5.415825351038694E-4</v>
      </c>
      <c r="AE172" s="307">
        <f t="shared" si="65"/>
        <v>1</v>
      </c>
      <c r="AF172" s="179">
        <f t="shared" si="66"/>
        <v>0.72781872395082403</v>
      </c>
      <c r="AG172" s="837">
        <f t="shared" si="74"/>
        <v>1</v>
      </c>
      <c r="AH172" s="178">
        <f t="shared" si="67"/>
        <v>7</v>
      </c>
      <c r="AI172" s="227">
        <f t="shared" si="68"/>
        <v>1.727818723950824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45450</v>
      </c>
      <c r="B173" s="1139">
        <f>IF(t&gt;Tmaj,'2023'!Wh/'2023'!Env_an*'2024'!Env_an,0.001*'[8]mon-tableau'!$B$209)</f>
        <v>22.747562714030785</v>
      </c>
      <c r="C173" s="866"/>
      <c r="D173" s="395">
        <f t="shared" si="50"/>
        <v>23.907439743370649</v>
      </c>
      <c r="E173" s="387">
        <f t="shared" si="75"/>
        <v>24.85178000904606</v>
      </c>
      <c r="F173" s="387">
        <f t="shared" si="51"/>
        <v>24.853269056614547</v>
      </c>
      <c r="G173" s="110">
        <f t="shared" si="76"/>
        <v>0.38188148235502489</v>
      </c>
      <c r="H173" s="414" t="b">
        <f>Wh_hp&gt;='2023'!Maxi_hp</f>
        <v>0</v>
      </c>
      <c r="I173" s="392">
        <f>IF(H173,Wh_hp,'2023'!Maxi_hp)</f>
        <v>66.080309605009333</v>
      </c>
      <c r="J173" s="85">
        <f>IF(H173,An,'2023'!An_max)</f>
        <v>2019</v>
      </c>
      <c r="K173" s="199">
        <f t="shared" si="52"/>
        <v>45450</v>
      </c>
      <c r="L173" s="147">
        <f>IF(t&lt;Tvie,1-EXP((T0-t)*PertePVj)+'2023'!Pspv,1-EXP((T0-t)*PertePVj)+Pspv)</f>
        <v>4.8515317482353493E-2</v>
      </c>
      <c r="M173" s="870"/>
      <c r="N173" s="870"/>
      <c r="O173" s="48">
        <f>IF(t&lt;Tnet,'2023'!Resal+('2023'!Salim-'2023'!Resal)*(1-EXP(('2023'!Tnet-t)/('2023'!Tau_j))),Resal+(Salim-Resal)*(1-EXP((Tnet-t)/(Tau_j))))*Salcycl</f>
        <v>3.7998898482590374E-2</v>
      </c>
      <c r="P173" s="171">
        <f>(INDEX(Models!$BJ173:$BT173,,T173)*(1-R173)+INDEX(Models!$BJ173:$BT173,,T173+1)*R173-ERP_i)*Q173*Ramure*Pc/MaxiM</f>
        <v>5.1112129695049188E-4</v>
      </c>
      <c r="Q173" s="307">
        <f t="shared" si="53"/>
        <v>1</v>
      </c>
      <c r="R173" s="179">
        <f t="shared" si="54"/>
        <v>0.73500367228539698</v>
      </c>
      <c r="S173" s="837">
        <f t="shared" si="55"/>
        <v>1</v>
      </c>
      <c r="T173" s="178">
        <f t="shared" si="56"/>
        <v>7</v>
      </c>
      <c r="U173" s="253">
        <f t="shared" si="57"/>
        <v>1.735003672285397</v>
      </c>
      <c r="V173" s="385">
        <f t="shared" si="58"/>
        <v>59.54019577566379</v>
      </c>
      <c r="W173" s="404">
        <f t="shared" si="59"/>
        <v>22.747562714030785</v>
      </c>
      <c r="X173" s="157">
        <f t="shared" si="60"/>
        <v>45450</v>
      </c>
      <c r="Y173" s="387">
        <f t="shared" si="61"/>
        <v>20.985319983914486</v>
      </c>
      <c r="Z173" s="387">
        <f t="shared" si="62"/>
        <v>22.055341898291974</v>
      </c>
      <c r="AA173" s="388">
        <f t="shared" si="63"/>
        <v>24.85178000904606</v>
      </c>
      <c r="AB173" s="199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0.11252466059719587</v>
      </c>
      <c r="AD173" s="233">
        <f>(INDEX(Models!$BJ173:$BT173,,AH173)*(1-AF173)+INDEX(Models!$BJ173:$BT173,,AH173+1)*AF173-ERP_i)*AE173*Ramure*Pc/MaxiM</f>
        <v>5.1112129695049188E-4</v>
      </c>
      <c r="AE173" s="307">
        <f t="shared" si="65"/>
        <v>1</v>
      </c>
      <c r="AF173" s="179">
        <f t="shared" si="66"/>
        <v>0.73500367228539698</v>
      </c>
      <c r="AG173" s="837">
        <f t="shared" si="74"/>
        <v>1</v>
      </c>
      <c r="AH173" s="178">
        <f t="shared" si="67"/>
        <v>7</v>
      </c>
      <c r="AI173" s="227">
        <f t="shared" si="68"/>
        <v>1.735003672285397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45451</v>
      </c>
      <c r="B174" s="1139">
        <f>IF(t&gt;Tmaj,'2023'!Wh/'2023'!Env_an*'2024'!Env_an,0.001*'[8]mon-tableau'!$B$210)</f>
        <v>45.245418295380134</v>
      </c>
      <c r="C174" s="866"/>
      <c r="D174" s="395">
        <f t="shared" si="50"/>
        <v>47.553546660513618</v>
      </c>
      <c r="E174" s="387">
        <f t="shared" si="75"/>
        <v>49.448730525433959</v>
      </c>
      <c r="F174" s="387">
        <f t="shared" si="51"/>
        <v>49.464459168900838</v>
      </c>
      <c r="G174" s="110">
        <f t="shared" si="76"/>
        <v>0.760173597026503</v>
      </c>
      <c r="H174" s="414" t="b">
        <f>Wh_hp&gt;='2023'!Maxi_hp</f>
        <v>0</v>
      </c>
      <c r="I174" s="392">
        <f>IF(H174,Wh_hp,'2023'!Maxi_hp)</f>
        <v>60.192808761372696</v>
      </c>
      <c r="J174" s="85">
        <f>IF(H174,An,'2023'!An_max)</f>
        <v>2021</v>
      </c>
      <c r="K174" s="199">
        <f t="shared" si="52"/>
        <v>45451</v>
      </c>
      <c r="L174" s="147">
        <f>IF(t&lt;Tvie,1-EXP((T0-t)*PertePVj)+'2023'!Pspv,1-EXP((T0-t)*PertePVj)+Pspv)</f>
        <v>4.8537459920945381E-2</v>
      </c>
      <c r="M174" s="870"/>
      <c r="N174" s="870"/>
      <c r="O174" s="48">
        <f>IF(t&lt;Tnet,'2023'!Resal+('2023'!Salim-'2023'!Resal)*(1-EXP(('2023'!Tnet-t)/('2023'!Tau_j))),Resal+(Salim-Resal)*(1-EXP((Tnet-t)/(Tau_j))))*Salcycl</f>
        <v>3.8326239011243171E-2</v>
      </c>
      <c r="P174" s="171">
        <f>(INDEX(Models!$BJ174:$BT174,,T174)*(1-R174)+INDEX(Models!$BJ174:$BT174,,T174+1)*R174-ERP_i)*Q174*Ramure*Pc/MaxiM</f>
        <v>4.8356572318986984E-4</v>
      </c>
      <c r="Q174" s="307">
        <f t="shared" si="53"/>
        <v>1</v>
      </c>
      <c r="R174" s="179">
        <f t="shared" si="54"/>
        <v>0.74220075678742536</v>
      </c>
      <c r="S174" s="837">
        <f t="shared" si="55"/>
        <v>1</v>
      </c>
      <c r="T174" s="178">
        <f t="shared" si="56"/>
        <v>7</v>
      </c>
      <c r="U174" s="253">
        <f t="shared" si="57"/>
        <v>1.7422007567874254</v>
      </c>
      <c r="V174" s="385">
        <f t="shared" si="58"/>
        <v>59.509990920835115</v>
      </c>
      <c r="W174" s="404">
        <f t="shared" si="59"/>
        <v>45.245418295380134</v>
      </c>
      <c r="X174" s="157">
        <f t="shared" si="60"/>
        <v>45451</v>
      </c>
      <c r="Y174" s="387">
        <f t="shared" si="61"/>
        <v>41.741709755067127</v>
      </c>
      <c r="Z174" s="387">
        <f t="shared" si="62"/>
        <v>43.87110159018863</v>
      </c>
      <c r="AA174" s="388">
        <f t="shared" si="63"/>
        <v>49.448730525433959</v>
      </c>
      <c r="AB174" s="199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0.11279620075133122</v>
      </c>
      <c r="AD174" s="233">
        <f>(INDEX(Models!$BJ174:$BT174,,AH174)*(1-AF174)+INDEX(Models!$BJ174:$BT174,,AH174+1)*AF174-ERP_i)*AE174*Ramure*Pc/MaxiM</f>
        <v>4.8356572318986984E-4</v>
      </c>
      <c r="AE174" s="307">
        <f t="shared" si="65"/>
        <v>1</v>
      </c>
      <c r="AF174" s="179">
        <f t="shared" si="66"/>
        <v>0.74220075678742536</v>
      </c>
      <c r="AG174" s="837">
        <f t="shared" si="74"/>
        <v>1</v>
      </c>
      <c r="AH174" s="178">
        <f t="shared" si="67"/>
        <v>7</v>
      </c>
      <c r="AI174" s="227">
        <f t="shared" si="68"/>
        <v>1.7422007567874254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45452</v>
      </c>
      <c r="B175" s="1139">
        <f>IF(t&gt;Tmaj,'2023'!Wh/'2023'!Env_an*'2024'!Env_an,0.001*'[8]mon-tableau'!$B$211)</f>
        <v>59.430348583475428</v>
      </c>
      <c r="C175" s="866"/>
      <c r="D175" s="395">
        <f t="shared" si="50"/>
        <v>62.463553890158394</v>
      </c>
      <c r="E175" s="387">
        <f t="shared" si="75"/>
        <v>64.975019664570283</v>
      </c>
      <c r="F175" s="387">
        <f t="shared" si="51"/>
        <v>65.004818768436394</v>
      </c>
      <c r="G175" s="110">
        <f t="shared" si="76"/>
        <v>0.99921776337441381</v>
      </c>
      <c r="H175" s="414" t="b">
        <f>Wh_hp&gt;='2023'!Maxi_hp</f>
        <v>0</v>
      </c>
      <c r="I175" s="392">
        <f>IF(H175,Wh_hp,'2023'!Maxi_hp)</f>
        <v>65.004837110945502</v>
      </c>
      <c r="J175" s="85">
        <f>IF(H175,An,'2023'!An_max)</f>
        <v>2022</v>
      </c>
      <c r="K175" s="199">
        <f t="shared" si="52"/>
        <v>45452</v>
      </c>
      <c r="L175" s="147">
        <f>IF(t&lt;Tvie,1-EXP((T0-t)*PertePVj)+'2023'!Pspv,1-EXP((T0-t)*PertePVj)+Pspv)</f>
        <v>4.8559601844250344E-2</v>
      </c>
      <c r="M175" s="870"/>
      <c r="N175" s="870"/>
      <c r="O175" s="48">
        <f>IF(t&lt;Tnet,'2023'!Resal+('2023'!Salim-'2023'!Resal)*(1-EXP(('2023'!Tnet-t)/('2023'!Tau_j))),Resal+(Salim-Resal)*(1-EXP((Tnet-t)/(Tau_j))))*Salcycl</f>
        <v>3.8652789754850245E-2</v>
      </c>
      <c r="P175" s="171">
        <f>(INDEX(Models!$BJ175:$BT175,,T175)*(1-R175)+INDEX(Models!$BJ175:$BT175,,T175+1)*R175-ERP_i)*Q175*Ramure*Pc/MaxiM</f>
        <v>4.5892627277491124E-4</v>
      </c>
      <c r="Q175" s="307">
        <f t="shared" si="53"/>
        <v>1</v>
      </c>
      <c r="R175" s="179">
        <f t="shared" si="54"/>
        <v>0.74940391962284147</v>
      </c>
      <c r="S175" s="837">
        <f t="shared" si="55"/>
        <v>1</v>
      </c>
      <c r="T175" s="178">
        <f t="shared" si="56"/>
        <v>7</v>
      </c>
      <c r="U175" s="253">
        <f t="shared" si="57"/>
        <v>1.7494039196228415</v>
      </c>
      <c r="V175" s="385">
        <f t="shared" si="58"/>
        <v>59.476843076157522</v>
      </c>
      <c r="W175" s="404">
        <f t="shared" si="59"/>
        <v>59.430348583475428</v>
      </c>
      <c r="X175" s="157">
        <f t="shared" si="60"/>
        <v>45452</v>
      </c>
      <c r="Y175" s="387">
        <f t="shared" si="61"/>
        <v>54.830187143407784</v>
      </c>
      <c r="Z175" s="387">
        <f t="shared" si="62"/>
        <v>57.62860947431848</v>
      </c>
      <c r="AA175" s="388">
        <f t="shared" si="63"/>
        <v>64.975019664570283</v>
      </c>
      <c r="AB175" s="199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0.11306514762407487</v>
      </c>
      <c r="AD175" s="233">
        <f>(INDEX(Models!$BJ175:$BT175,,AH175)*(1-AF175)+INDEX(Models!$BJ175:$BT175,,AH175+1)*AF175-ERP_i)*AE175*Ramure*Pc/MaxiM</f>
        <v>4.5892627277491124E-4</v>
      </c>
      <c r="AE175" s="307">
        <f t="shared" si="65"/>
        <v>1</v>
      </c>
      <c r="AF175" s="179">
        <f t="shared" si="66"/>
        <v>0.74940391962284147</v>
      </c>
      <c r="AG175" s="837">
        <f t="shared" si="74"/>
        <v>1</v>
      </c>
      <c r="AH175" s="178">
        <f t="shared" si="67"/>
        <v>7</v>
      </c>
      <c r="AI175" s="227">
        <f t="shared" si="68"/>
        <v>1.7494039196228415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45453</v>
      </c>
      <c r="B176" s="1139">
        <f>IF(t&gt;Tmaj,'2023'!Wh/'2023'!Env_an*'2024'!Env_an,0.001*'[8]mon-tableau'!$B$212)</f>
        <v>55.755426867413092</v>
      </c>
      <c r="C176" s="866"/>
      <c r="D176" s="395">
        <f t="shared" si="50"/>
        <v>58.602435334807055</v>
      </c>
      <c r="E176" s="387">
        <f t="shared" si="75"/>
        <v>60.979316617727328</v>
      </c>
      <c r="F176" s="387">
        <f t="shared" si="51"/>
        <v>61.003625831175867</v>
      </c>
      <c r="G176" s="110">
        <f t="shared" si="76"/>
        <v>0.93796031635338806</v>
      </c>
      <c r="H176" s="414" t="b">
        <f>Wh_hp&gt;='2023'!Maxi_hp</f>
        <v>0</v>
      </c>
      <c r="I176" s="392">
        <f>IF(H176,Wh_hp,'2023'!Maxi_hp)</f>
        <v>61.004914058296308</v>
      </c>
      <c r="J176" s="85">
        <f>IF(H176,An,'2023'!An_max)</f>
        <v>2022</v>
      </c>
      <c r="K176" s="199">
        <f t="shared" si="52"/>
        <v>45453</v>
      </c>
      <c r="L176" s="147">
        <f>IF(t&lt;Tvie,1-EXP((T0-t)*PertePVj)+'2023'!Pspv,1-EXP((T0-t)*PertePVj)+Pspv)</f>
        <v>4.8581743252280374E-2</v>
      </c>
      <c r="M176" s="870"/>
      <c r="N176" s="870"/>
      <c r="O176" s="48">
        <f>IF(t&lt;Tnet,'2023'!Resal+('2023'!Salim-'2023'!Resal)*(1-EXP(('2023'!Tnet-t)/('2023'!Tau_j))),Resal+(Salim-Resal)*(1-EXP((Tnet-t)/(Tau_j))))*Salcycl</f>
        <v>3.8978483439240291E-2</v>
      </c>
      <c r="P176" s="171">
        <f>(INDEX(Models!$BJ176:$BT176,,T176)*(1-R176)+INDEX(Models!$BJ176:$BT176,,T176+1)*R176-ERP_i)*Q176*Ramure*Pc/MaxiM</f>
        <v>4.3721484123083733E-4</v>
      </c>
      <c r="Q176" s="307">
        <f t="shared" si="53"/>
        <v>1</v>
      </c>
      <c r="R176" s="179">
        <f t="shared" si="54"/>
        <v>0.75660708245825758</v>
      </c>
      <c r="S176" s="837">
        <f t="shared" si="55"/>
        <v>1</v>
      </c>
      <c r="T176" s="178">
        <f t="shared" si="56"/>
        <v>7</v>
      </c>
      <c r="U176" s="253">
        <f t="shared" si="57"/>
        <v>1.7566070824582576</v>
      </c>
      <c r="V176" s="385">
        <f t="shared" si="58"/>
        <v>59.44096546896926</v>
      </c>
      <c r="W176" s="404">
        <f t="shared" si="59"/>
        <v>55.755426867413092</v>
      </c>
      <c r="X176" s="157">
        <f t="shared" si="60"/>
        <v>45453</v>
      </c>
      <c r="Y176" s="387">
        <f t="shared" si="61"/>
        <v>51.441708545948778</v>
      </c>
      <c r="Z176" s="387">
        <f t="shared" si="62"/>
        <v>54.068448004975785</v>
      </c>
      <c r="AA176" s="388">
        <f t="shared" si="63"/>
        <v>60.979316617727328</v>
      </c>
      <c r="AB176" s="199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0.11333135554921053</v>
      </c>
      <c r="AD176" s="233">
        <f>(INDEX(Models!$BJ176:$BT176,,AH176)*(1-AF176)+INDEX(Models!$BJ176:$BT176,,AH176+1)*AF176-ERP_i)*AE176*Ramure*Pc/MaxiM</f>
        <v>4.3721484123083733E-4</v>
      </c>
      <c r="AE176" s="307">
        <f t="shared" si="65"/>
        <v>1</v>
      </c>
      <c r="AF176" s="179">
        <f t="shared" si="66"/>
        <v>0.75660708245825758</v>
      </c>
      <c r="AG176" s="837">
        <f t="shared" si="74"/>
        <v>1</v>
      </c>
      <c r="AH176" s="178">
        <f t="shared" si="67"/>
        <v>7</v>
      </c>
      <c r="AI176" s="227">
        <f t="shared" si="68"/>
        <v>1.7566070824582576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45454</v>
      </c>
      <c r="B177" s="1139">
        <f>IF(t&gt;Tmaj,'2023'!Wh/'2023'!Env_an*'2024'!Env_an,0.001*'[8]mon-tableau'!$B$213)</f>
        <v>44.000067764787808</v>
      </c>
      <c r="C177" s="866"/>
      <c r="D177" s="395">
        <f t="shared" si="50"/>
        <v>46.247895100189737</v>
      </c>
      <c r="E177" s="387">
        <f t="shared" si="75"/>
        <v>48.139951873445042</v>
      </c>
      <c r="F177" s="387">
        <f t="shared" si="51"/>
        <v>48.152638077488156</v>
      </c>
      <c r="G177" s="110">
        <f t="shared" si="76"/>
        <v>0.74060701084454872</v>
      </c>
      <c r="H177" s="414" t="b">
        <f>Wh_hp&gt;='2023'!Maxi_hp</f>
        <v>0</v>
      </c>
      <c r="I177" s="392">
        <f>IF(H177,Wh_hp,'2023'!Maxi_hp)</f>
        <v>60.932539305572888</v>
      </c>
      <c r="J177" s="85">
        <f>IF(H177,An,'2023'!An_max)</f>
        <v>2019</v>
      </c>
      <c r="K177" s="199">
        <f t="shared" si="52"/>
        <v>45454</v>
      </c>
      <c r="L177" s="147">
        <f>IF(t&lt;Tvie,1-EXP((T0-t)*PertePVj)+'2023'!Pspv,1-EXP((T0-t)*PertePVj)+Pspv)</f>
        <v>4.860388414504746E-2</v>
      </c>
      <c r="M177" s="870"/>
      <c r="N177" s="870"/>
      <c r="O177" s="48">
        <f>IF(t&lt;Tnet,'2023'!Resal+('2023'!Salim-'2023'!Resal)*(1-EXP(('2023'!Tnet-t)/('2023'!Tau_j))),Resal+(Salim-Resal)*(1-EXP((Tnet-t)/(Tau_j))))*Salcycl</f>
        <v>3.930325435782165E-2</v>
      </c>
      <c r="P177" s="171">
        <f>(INDEX(Models!$BJ177:$BT177,,T177)*(1-R177)+INDEX(Models!$BJ177:$BT177,,T177+1)*R177-ERP_i)*Q177*Ramure*Pc/MaxiM</f>
        <v>4.1845143985116024E-4</v>
      </c>
      <c r="Q177" s="307">
        <f t="shared" si="53"/>
        <v>1</v>
      </c>
      <c r="R177" s="179">
        <f t="shared" si="54"/>
        <v>0.76380416696028597</v>
      </c>
      <c r="S177" s="837">
        <f t="shared" si="55"/>
        <v>1</v>
      </c>
      <c r="T177" s="178">
        <f t="shared" si="56"/>
        <v>7</v>
      </c>
      <c r="U177" s="253">
        <f t="shared" si="57"/>
        <v>1.763804166960286</v>
      </c>
      <c r="V177" s="385">
        <f t="shared" si="58"/>
        <v>59.4016065299679</v>
      </c>
      <c r="W177" s="404">
        <f t="shared" si="59"/>
        <v>44.000067764787808</v>
      </c>
      <c r="X177" s="157">
        <f t="shared" si="60"/>
        <v>45454</v>
      </c>
      <c r="Y177" s="387">
        <f t="shared" si="61"/>
        <v>40.597508049323217</v>
      </c>
      <c r="Z177" s="387">
        <f t="shared" si="62"/>
        <v>42.671509135646517</v>
      </c>
      <c r="AA177" s="388">
        <f t="shared" si="63"/>
        <v>48.139951873445042</v>
      </c>
      <c r="AB177" s="199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0.11359468642956894</v>
      </c>
      <c r="AD177" s="233">
        <f>(INDEX(Models!$BJ177:$BT177,,AH177)*(1-AF177)+INDEX(Models!$BJ177:$BT177,,AH177+1)*AF177-ERP_i)*AE177*Ramure*Pc/MaxiM</f>
        <v>4.1845143985116024E-4</v>
      </c>
      <c r="AE177" s="307">
        <f t="shared" si="65"/>
        <v>1</v>
      </c>
      <c r="AF177" s="179">
        <f t="shared" si="66"/>
        <v>0.76380416696028597</v>
      </c>
      <c r="AG177" s="837">
        <f t="shared" si="74"/>
        <v>1</v>
      </c>
      <c r="AH177" s="178">
        <f t="shared" si="67"/>
        <v>7</v>
      </c>
      <c r="AI177" s="227">
        <f t="shared" si="68"/>
        <v>1.763804166960286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45455</v>
      </c>
      <c r="B178" s="1139">
        <f>IF(t&gt;Tmaj,'2023'!Wh/'2023'!Env_an*'2024'!Env_an,0.001*'[8]mon-tableau'!$B$214)</f>
        <v>54.053917476526919</v>
      </c>
      <c r="C178" s="866"/>
      <c r="D178" s="395">
        <f t="shared" si="50"/>
        <v>56.816687096575848</v>
      </c>
      <c r="E178" s="387">
        <f t="shared" si="75"/>
        <v>59.16106490192486</v>
      </c>
      <c r="F178" s="387">
        <f t="shared" si="51"/>
        <v>59.181888318551444</v>
      </c>
      <c r="G178" s="110">
        <f t="shared" si="76"/>
        <v>0.91059598093807748</v>
      </c>
      <c r="H178" s="414" t="b">
        <f>Wh_hp&gt;='2023'!Maxi_hp</f>
        <v>0</v>
      </c>
      <c r="I178" s="392">
        <f>IF(H178,Wh_hp,'2023'!Maxi_hp)</f>
        <v>63.578698622220735</v>
      </c>
      <c r="J178" s="85">
        <f>IF(H178,An,'2023'!An_max)</f>
        <v>2019</v>
      </c>
      <c r="K178" s="199">
        <f t="shared" si="52"/>
        <v>45455</v>
      </c>
      <c r="L178" s="147">
        <f>IF(t&lt;Tvie,1-EXP((T0-t)*PertePVj)+'2023'!Pspv,1-EXP((T0-t)*PertePVj)+Pspv)</f>
        <v>4.8626024522563704E-2</v>
      </c>
      <c r="M178" s="870"/>
      <c r="N178" s="870"/>
      <c r="O178" s="48">
        <f>IF(t&lt;Tnet,'2023'!Resal+('2023'!Salim-'2023'!Resal)*(1-EXP(('2023'!Tnet-t)/('2023'!Tau_j))),Resal+(Salim-Resal)*(1-EXP((Tnet-t)/(Tau_j))))*Salcycl</f>
        <v>3.9627038648398852E-2</v>
      </c>
      <c r="P178" s="171">
        <f>(INDEX(Models!$BJ178:$BT178,,T178)*(1-R178)+INDEX(Models!$BJ178:$BT178,,T178+1)*R178-ERP_i)*Q178*Ramure*Pc/MaxiM</f>
        <v>4.0334242907854976E-4</v>
      </c>
      <c r="Q178" s="307">
        <f t="shared" si="53"/>
        <v>1</v>
      </c>
      <c r="R178" s="179">
        <f t="shared" si="54"/>
        <v>0.77098911529485892</v>
      </c>
      <c r="S178" s="837">
        <f t="shared" si="55"/>
        <v>1</v>
      </c>
      <c r="T178" s="178">
        <f t="shared" si="56"/>
        <v>7</v>
      </c>
      <c r="U178" s="253">
        <f t="shared" si="57"/>
        <v>1.7709891152948589</v>
      </c>
      <c r="V178" s="385">
        <f t="shared" si="58"/>
        <v>59.357974894231425</v>
      </c>
      <c r="W178" s="404">
        <f t="shared" si="59"/>
        <v>54.053917476526919</v>
      </c>
      <c r="X178" s="157">
        <f t="shared" si="60"/>
        <v>45455</v>
      </c>
      <c r="Y178" s="387">
        <f t="shared" si="61"/>
        <v>49.876048237940644</v>
      </c>
      <c r="Z178" s="387">
        <f t="shared" si="62"/>
        <v>52.425281249585275</v>
      </c>
      <c r="AA178" s="388">
        <f t="shared" si="63"/>
        <v>59.16106490192486</v>
      </c>
      <c r="AB178" s="199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0.11385501027586188</v>
      </c>
      <c r="AD178" s="233">
        <f>(INDEX(Models!$BJ178:$BT178,,AH178)*(1-AF178)+INDEX(Models!$BJ178:$BT178,,AH178+1)*AF178-ERP_i)*AE178*Ramure*Pc/MaxiM</f>
        <v>4.0334242907854976E-4</v>
      </c>
      <c r="AE178" s="307">
        <f t="shared" si="65"/>
        <v>1</v>
      </c>
      <c r="AF178" s="179">
        <f t="shared" si="66"/>
        <v>0.77098911529485892</v>
      </c>
      <c r="AG178" s="837">
        <f t="shared" si="74"/>
        <v>1</v>
      </c>
      <c r="AH178" s="178">
        <f t="shared" si="67"/>
        <v>7</v>
      </c>
      <c r="AI178" s="227">
        <f t="shared" si="68"/>
        <v>1.7709891152948589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45456</v>
      </c>
      <c r="B179" s="1139">
        <f>IF(t&gt;Tmaj,'2023'!Wh/'2023'!Env_an*'2024'!Env_an,0.001*'[8]mon-tableau'!$B$215)</f>
        <v>46.422822796430239</v>
      </c>
      <c r="C179" s="866"/>
      <c r="D179" s="395">
        <f t="shared" si="50"/>
        <v>48.796692305126541</v>
      </c>
      <c r="E179" s="387">
        <f t="shared" si="75"/>
        <v>50.827228630495078</v>
      </c>
      <c r="F179" s="387">
        <f t="shared" si="51"/>
        <v>50.840899634044945</v>
      </c>
      <c r="G179" s="110">
        <f t="shared" si="76"/>
        <v>0.78261487587348921</v>
      </c>
      <c r="H179" s="414" t="b">
        <f>Wh_hp&gt;='2023'!Maxi_hp</f>
        <v>0</v>
      </c>
      <c r="I179" s="392">
        <f>IF(H179,Wh_hp,'2023'!Maxi_hp)</f>
        <v>54.737043912408573</v>
      </c>
      <c r="J179" s="85">
        <f>IF(H179,An,'2023'!An_max)</f>
        <v>2021</v>
      </c>
      <c r="K179" s="199">
        <f t="shared" si="52"/>
        <v>45456</v>
      </c>
      <c r="L179" s="147">
        <f>IF(t&lt;Tvie,1-EXP((T0-t)*PertePVj)+'2023'!Pspv,1-EXP((T0-t)*PertePVj)+Pspv)</f>
        <v>4.8648164384840986E-2</v>
      </c>
      <c r="M179" s="870"/>
      <c r="N179" s="870"/>
      <c r="O179" s="48">
        <f>IF(t&lt;Tnet,'2023'!Resal+('2023'!Salim-'2023'!Resal)*(1-EXP(('2023'!Tnet-t)/('2023'!Tau_j))),Resal+(Salim-Resal)*(1-EXP((Tnet-t)/(Tau_j))))*Salcycl</f>
        <v>3.9949774561390629E-2</v>
      </c>
      <c r="P179" s="171">
        <f>(INDEX(Models!$BJ179:$BT179,,T179)*(1-R179)+INDEX(Models!$BJ179:$BT179,,T179+1)*R179-ERP_i)*Q179*Ramure*Pc/MaxiM</f>
        <v>3.8994129913548492E-4</v>
      </c>
      <c r="Q179" s="307">
        <f t="shared" si="53"/>
        <v>1</v>
      </c>
      <c r="R179" s="179">
        <f t="shared" si="54"/>
        <v>0.77815591047981525</v>
      </c>
      <c r="S179" s="837">
        <f t="shared" si="55"/>
        <v>1</v>
      </c>
      <c r="T179" s="178">
        <f t="shared" si="56"/>
        <v>7</v>
      </c>
      <c r="U179" s="253">
        <f t="shared" si="57"/>
        <v>1.7781559104798152</v>
      </c>
      <c r="V179" s="385">
        <f t="shared" si="58"/>
        <v>59.310400981104031</v>
      </c>
      <c r="W179" s="404">
        <f t="shared" si="59"/>
        <v>46.422822796430239</v>
      </c>
      <c r="X179" s="157">
        <f t="shared" si="60"/>
        <v>45456</v>
      </c>
      <c r="Y179" s="387">
        <f t="shared" si="61"/>
        <v>42.836729790121595</v>
      </c>
      <c r="Z179" s="387">
        <f t="shared" si="62"/>
        <v>45.027221461577035</v>
      </c>
      <c r="AA179" s="388">
        <f t="shared" si="63"/>
        <v>50.827228630495078</v>
      </c>
      <c r="AB179" s="199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0.11411220570539199</v>
      </c>
      <c r="AD179" s="233">
        <f>(INDEX(Models!$BJ179:$BT179,,AH179)*(1-AF179)+INDEX(Models!$BJ179:$BT179,,AH179+1)*AF179-ERP_i)*AE179*Ramure*Pc/MaxiM</f>
        <v>3.8994129913548492E-4</v>
      </c>
      <c r="AE179" s="307">
        <f t="shared" si="65"/>
        <v>1</v>
      </c>
      <c r="AF179" s="179">
        <f t="shared" si="66"/>
        <v>0.77815591047981525</v>
      </c>
      <c r="AG179" s="837">
        <f t="shared" si="74"/>
        <v>1</v>
      </c>
      <c r="AH179" s="178">
        <f t="shared" si="67"/>
        <v>7</v>
      </c>
      <c r="AI179" s="227">
        <f t="shared" si="68"/>
        <v>1.7781559104798152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45457</v>
      </c>
      <c r="B180" s="1139">
        <f>IF(t&gt;Tmaj,'2023'!Wh/'2023'!Env_an*'2024'!Env_an,0.001*'[8]mon-tableau'!$B$216)</f>
        <v>54.829713161139459</v>
      </c>
      <c r="C180" s="866"/>
      <c r="D180" s="395">
        <f t="shared" si="50"/>
        <v>57.634817220808245</v>
      </c>
      <c r="E180" s="387">
        <f t="shared" si="75"/>
        <v>60.053245661327644</v>
      </c>
      <c r="F180" s="387">
        <f t="shared" si="51"/>
        <v>60.073543144033138</v>
      </c>
      <c r="G180" s="110">
        <f t="shared" si="76"/>
        <v>0.9252165453711928</v>
      </c>
      <c r="H180" s="414" t="b">
        <f>Wh_hp&gt;='2023'!Maxi_hp</f>
        <v>0</v>
      </c>
      <c r="I180" s="392">
        <f>IF(H180,Wh_hp,'2023'!Maxi_hp)</f>
        <v>60.074800201950083</v>
      </c>
      <c r="J180" s="85">
        <f>IF(H180,An,'2023'!An_max)</f>
        <v>2022</v>
      </c>
      <c r="K180" s="199">
        <f t="shared" si="52"/>
        <v>45457</v>
      </c>
      <c r="L180" s="147">
        <f>IF(t&lt;Tvie,1-EXP((T0-t)*PertePVj)+'2023'!Pspv,1-EXP((T0-t)*PertePVj)+Pspv)</f>
        <v>4.8670303731891407E-2</v>
      </c>
      <c r="M180" s="870"/>
      <c r="N180" s="870"/>
      <c r="O180" s="48">
        <f>IF(t&lt;Tnet,'2023'!Resal+('2023'!Salim-'2023'!Resal)*(1-EXP(('2023'!Tnet-t)/('2023'!Tau_j))),Resal+(Salim-Resal)*(1-EXP((Tnet-t)/(Tau_j))))*Salcycl</f>
        <v>4.0271402717485201E-2</v>
      </c>
      <c r="P180" s="171">
        <f>(INDEX(Models!$BJ180:$BT180,,T180)*(1-R180)+INDEX(Models!$BJ180:$BT180,,T180+1)*R180-ERP_i)*Q180*Ramure*Pc/MaxiM</f>
        <v>3.7826881778954405E-4</v>
      </c>
      <c r="Q180" s="307">
        <f t="shared" si="53"/>
        <v>1</v>
      </c>
      <c r="R180" s="179">
        <f t="shared" si="54"/>
        <v>0.78529859644581146</v>
      </c>
      <c r="S180" s="837">
        <f t="shared" si="55"/>
        <v>1</v>
      </c>
      <c r="T180" s="178">
        <f t="shared" si="56"/>
        <v>7</v>
      </c>
      <c r="U180" s="253">
        <f t="shared" si="57"/>
        <v>1.7852985964458115</v>
      </c>
      <c r="V180" s="385">
        <f t="shared" si="58"/>
        <v>59.259097805860755</v>
      </c>
      <c r="W180" s="404">
        <f t="shared" si="59"/>
        <v>54.829713161139459</v>
      </c>
      <c r="X180" s="157">
        <f t="shared" si="60"/>
        <v>45457</v>
      </c>
      <c r="Y180" s="387">
        <f t="shared" si="61"/>
        <v>50.596647352940174</v>
      </c>
      <c r="Z180" s="387">
        <f t="shared" si="62"/>
        <v>53.185186535668457</v>
      </c>
      <c r="AA180" s="388">
        <f t="shared" si="63"/>
        <v>60.053245661327644</v>
      </c>
      <c r="AB180" s="199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0.1143661603969225</v>
      </c>
      <c r="AD180" s="233">
        <f>(INDEX(Models!$BJ180:$BT180,,AH180)*(1-AF180)+INDEX(Models!$BJ180:$BT180,,AH180+1)*AF180-ERP_i)*AE180*Ramure*Pc/MaxiM</f>
        <v>3.7826881778954405E-4</v>
      </c>
      <c r="AE180" s="307">
        <f t="shared" si="65"/>
        <v>1</v>
      </c>
      <c r="AF180" s="179">
        <f t="shared" si="66"/>
        <v>0.78529859644581146</v>
      </c>
      <c r="AG180" s="837">
        <f t="shared" si="74"/>
        <v>1</v>
      </c>
      <c r="AH180" s="178">
        <f t="shared" si="67"/>
        <v>7</v>
      </c>
      <c r="AI180" s="227">
        <f t="shared" si="68"/>
        <v>1.7852985964458115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45458</v>
      </c>
      <c r="B181" s="1139">
        <f>IF(t&gt;Tmaj,'2023'!Wh/'2023'!Env_an*'2024'!Env_an,0.001*'[8]mon-tableau'!$B$217)</f>
        <v>50.897676930474454</v>
      </c>
      <c r="C181" s="866"/>
      <c r="D181" s="395">
        <f t="shared" si="50"/>
        <v>53.502861963633684</v>
      </c>
      <c r="E181" s="387">
        <f t="shared" si="75"/>
        <v>55.766529475045616</v>
      </c>
      <c r="F181" s="387">
        <f t="shared" si="51"/>
        <v>55.782958521696671</v>
      </c>
      <c r="G181" s="110">
        <f t="shared" si="76"/>
        <v>0.85963244376165826</v>
      </c>
      <c r="H181" s="414" t="b">
        <f>Wh_hp&gt;='2023'!Maxi_hp</f>
        <v>0</v>
      </c>
      <c r="I181" s="392">
        <f>IF(H181,Wh_hp,'2023'!Maxi_hp)</f>
        <v>65.146942528286331</v>
      </c>
      <c r="J181" s="85">
        <f>IF(H181,An,'2023'!An_max)</f>
        <v>2019</v>
      </c>
      <c r="K181" s="199">
        <f t="shared" si="52"/>
        <v>45458</v>
      </c>
      <c r="L181" s="147">
        <f>IF(t&lt;Tvie,1-EXP((T0-t)*PertePVj)+'2023'!Pspv,1-EXP((T0-t)*PertePVj)+Pspv)</f>
        <v>4.8692442563726734E-2</v>
      </c>
      <c r="M181" s="870"/>
      <c r="N181" s="870"/>
      <c r="O181" s="48">
        <f>IF(t&lt;Tnet,'2023'!Resal+('2023'!Salim-'2023'!Resal)*(1-EXP(('2023'!Tnet-t)/('2023'!Tau_j))),Resal+(Salim-Resal)*(1-EXP((Tnet-t)/(Tau_j))))*Salcycl</f>
        <v>4.0591866352825114E-2</v>
      </c>
      <c r="P181" s="171">
        <f>(INDEX(Models!$BJ181:$BT181,,T181)*(1-R181)+INDEX(Models!$BJ181:$BT181,,T181+1)*R181-ERP_i)*Q181*Ramure*Pc/MaxiM</f>
        <v>3.6834663571590437E-4</v>
      </c>
      <c r="Q181" s="307">
        <f t="shared" si="53"/>
        <v>1</v>
      </c>
      <c r="R181" s="179">
        <f t="shared" si="54"/>
        <v>0.79241129766419194</v>
      </c>
      <c r="S181" s="837">
        <f t="shared" si="55"/>
        <v>1</v>
      </c>
      <c r="T181" s="178">
        <f t="shared" si="56"/>
        <v>7</v>
      </c>
      <c r="U181" s="253">
        <f t="shared" si="57"/>
        <v>1.7924112976641919</v>
      </c>
      <c r="V181" s="385">
        <f t="shared" si="58"/>
        <v>59.204277888044935</v>
      </c>
      <c r="W181" s="404">
        <f t="shared" si="59"/>
        <v>50.897676930474454</v>
      </c>
      <c r="X181" s="157">
        <f t="shared" si="60"/>
        <v>45458</v>
      </c>
      <c r="Y181" s="387">
        <f t="shared" si="61"/>
        <v>46.970572734911791</v>
      </c>
      <c r="Z181" s="387">
        <f t="shared" si="62"/>
        <v>49.374749908951799</v>
      </c>
      <c r="AA181" s="388">
        <f t="shared" si="63"/>
        <v>55.766529475045616</v>
      </c>
      <c r="AB181" s="199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0.11461677149828757</v>
      </c>
      <c r="AD181" s="233">
        <f>(INDEX(Models!$BJ181:$BT181,,AH181)*(1-AF181)+INDEX(Models!$BJ181:$BT181,,AH181+1)*AF181-ERP_i)*AE181*Ramure*Pc/MaxiM</f>
        <v>3.6834663571590437E-4</v>
      </c>
      <c r="AE181" s="307">
        <f t="shared" si="65"/>
        <v>1</v>
      </c>
      <c r="AF181" s="179">
        <f t="shared" si="66"/>
        <v>0.79241129766419194</v>
      </c>
      <c r="AG181" s="837">
        <f t="shared" si="74"/>
        <v>1</v>
      </c>
      <c r="AH181" s="178">
        <f t="shared" si="67"/>
        <v>7</v>
      </c>
      <c r="AI181" s="227">
        <f t="shared" si="68"/>
        <v>1.7924112976641919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45459</v>
      </c>
      <c r="B182" s="1139">
        <f>IF(t&gt;Tmaj,'2023'!Wh/'2023'!Env_an*'2024'!Env_an,0.001*'[8]mon-tableau'!$B$218)</f>
        <v>52.505404704836408</v>
      </c>
      <c r="C182" s="866"/>
      <c r="D182" s="395">
        <f t="shared" si="50"/>
        <v>55.19416533623221</v>
      </c>
      <c r="E182" s="387">
        <f t="shared" si="75"/>
        <v>57.548540078934671</v>
      </c>
      <c r="F182" s="387">
        <f t="shared" si="51"/>
        <v>57.565949354384884</v>
      </c>
      <c r="G182" s="110">
        <f t="shared" si="76"/>
        <v>0.88767176651205404</v>
      </c>
      <c r="H182" s="414" t="b">
        <f>Wh_hp&gt;='2023'!Maxi_hp</f>
        <v>0</v>
      </c>
      <c r="I182" s="392">
        <f>IF(H182,Wh_hp,'2023'!Maxi_hp)</f>
        <v>64.280395132327001</v>
      </c>
      <c r="J182" s="85">
        <f>IF(H182,An,'2023'!An_max)</f>
        <v>2019</v>
      </c>
      <c r="K182" s="199">
        <f t="shared" si="52"/>
        <v>45459</v>
      </c>
      <c r="L182" s="147">
        <f>IF(t&lt;Tvie,1-EXP((T0-t)*PertePVj)+'2023'!Pspv,1-EXP((T0-t)*PertePVj)+Pspv)</f>
        <v>4.8714580880359182E-2</v>
      </c>
      <c r="M182" s="870"/>
      <c r="N182" s="870"/>
      <c r="O182" s="48">
        <f>IF(t&lt;Tnet,'2023'!Resal+('2023'!Salim-'2023'!Resal)*(1-EXP(('2023'!Tnet-t)/('2023'!Tau_j))),Resal+(Salim-Resal)*(1-EXP((Tnet-t)/(Tau_j))))*Salcycl</f>
        <v>4.0911111549887344E-2</v>
      </c>
      <c r="P182" s="171">
        <f>(INDEX(Models!$BJ182:$BT182,,T182)*(1-R182)+INDEX(Models!$BJ182:$BT182,,T182+1)*R182-ERP_i)*Q182*Ramure*Pc/MaxiM</f>
        <v>3.6019719583306898E-4</v>
      </c>
      <c r="Q182" s="307">
        <f t="shared" si="53"/>
        <v>1</v>
      </c>
      <c r="R182" s="179">
        <f t="shared" si="54"/>
        <v>0.7994882382057158</v>
      </c>
      <c r="S182" s="837">
        <f t="shared" si="55"/>
        <v>1</v>
      </c>
      <c r="T182" s="178">
        <f t="shared" si="56"/>
        <v>7</v>
      </c>
      <c r="U182" s="253">
        <f t="shared" si="57"/>
        <v>1.7994882382057158</v>
      </c>
      <c r="V182" s="385">
        <f t="shared" si="58"/>
        <v>59.146153249362648</v>
      </c>
      <c r="W182" s="404">
        <f t="shared" si="59"/>
        <v>52.505404704836408</v>
      </c>
      <c r="X182" s="157">
        <f t="shared" si="60"/>
        <v>45459</v>
      </c>
      <c r="Y182" s="387">
        <f t="shared" si="61"/>
        <v>48.456850344781763</v>
      </c>
      <c r="Z182" s="387">
        <f t="shared" si="62"/>
        <v>50.938287679869781</v>
      </c>
      <c r="AA182" s="388">
        <f t="shared" si="63"/>
        <v>57.548540078934671</v>
      </c>
      <c r="AB182" s="199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0.11486394598365395</v>
      </c>
      <c r="AD182" s="233">
        <f>(INDEX(Models!$BJ182:$BT182,,AH182)*(1-AF182)+INDEX(Models!$BJ182:$BT182,,AH182+1)*AF182-ERP_i)*AE182*Ramure*Pc/MaxiM</f>
        <v>3.6019719583306898E-4</v>
      </c>
      <c r="AE182" s="307">
        <f t="shared" si="65"/>
        <v>1</v>
      </c>
      <c r="AF182" s="179">
        <f t="shared" si="66"/>
        <v>0.7994882382057158</v>
      </c>
      <c r="AG182" s="837">
        <f t="shared" si="74"/>
        <v>1</v>
      </c>
      <c r="AH182" s="178">
        <f t="shared" si="67"/>
        <v>7</v>
      </c>
      <c r="AI182" s="227">
        <f t="shared" si="68"/>
        <v>1.7994882382057158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45460</v>
      </c>
      <c r="B183" s="1139">
        <f>IF(t&gt;Tmaj,'2023'!Wh/'2023'!Env_an*'2024'!Env_an,0.001*'[8]mon-tableau'!$B$219)</f>
        <v>54.58138319761224</v>
      </c>
      <c r="C183" s="866"/>
      <c r="D183" s="395">
        <f t="shared" si="50"/>
        <v>57.377788325832228</v>
      </c>
      <c r="E183" s="387">
        <f t="shared" si="75"/>
        <v>59.845149216475306</v>
      </c>
      <c r="F183" s="387">
        <f t="shared" si="51"/>
        <v>59.864025198684367</v>
      </c>
      <c r="G183" s="110">
        <f t="shared" si="76"/>
        <v>0.9237427303959258</v>
      </c>
      <c r="H183" s="414" t="b">
        <f>Wh_hp&gt;='2023'!Maxi_hp</f>
        <v>0</v>
      </c>
      <c r="I183" s="392">
        <f>IF(H183,Wh_hp,'2023'!Maxi_hp)</f>
        <v>62.624362697411456</v>
      </c>
      <c r="J183" s="85">
        <f>IF(H183,An,'2023'!An_max)</f>
        <v>2019</v>
      </c>
      <c r="K183" s="199">
        <f t="shared" si="52"/>
        <v>45460</v>
      </c>
      <c r="L183" s="147">
        <f>IF(t&lt;Tvie,1-EXP((T0-t)*PertePVj)+'2023'!Pspv,1-EXP((T0-t)*PertePVj)+Pspv)</f>
        <v>4.8736718681800628E-2</v>
      </c>
      <c r="M183" s="870"/>
      <c r="N183" s="870"/>
      <c r="O183" s="48">
        <f>IF(t&lt;Tnet,'2023'!Resal+('2023'!Salim-'2023'!Resal)*(1-EXP(('2023'!Tnet-t)/('2023'!Tau_j))),Resal+(Salim-Resal)*(1-EXP((Tnet-t)/(Tau_j))))*Salcycl</f>
        <v>4.1229087452318049E-2</v>
      </c>
      <c r="P183" s="171">
        <f>(INDEX(Models!$BJ183:$BT183,,T183)*(1-R183)+INDEX(Models!$BJ183:$BT183,,T183+1)*R183-ERP_i)*Q183*Ramure*Pc/MaxiM</f>
        <v>3.5384364332563675E-4</v>
      </c>
      <c r="Q183" s="307">
        <f t="shared" si="53"/>
        <v>1</v>
      </c>
      <c r="R183" s="179">
        <f t="shared" si="54"/>
        <v>0.80652376010089633</v>
      </c>
      <c r="S183" s="837">
        <f t="shared" si="55"/>
        <v>1</v>
      </c>
      <c r="T183" s="178">
        <f t="shared" si="56"/>
        <v>7</v>
      </c>
      <c r="U183" s="253">
        <f t="shared" si="57"/>
        <v>1.8065237601008963</v>
      </c>
      <c r="V183" s="385">
        <f t="shared" si="58"/>
        <v>59.084935396624815</v>
      </c>
      <c r="W183" s="404">
        <f t="shared" si="59"/>
        <v>54.58138319761224</v>
      </c>
      <c r="X183" s="157">
        <f t="shared" si="60"/>
        <v>45460</v>
      </c>
      <c r="Y183" s="387">
        <f t="shared" si="61"/>
        <v>50.375590757588647</v>
      </c>
      <c r="Z183" s="387">
        <f t="shared" si="62"/>
        <v>52.956517661210889</v>
      </c>
      <c r="AA183" s="388">
        <f t="shared" si="63"/>
        <v>59.845149216475306</v>
      </c>
      <c r="AB183" s="199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0.11510760095770615</v>
      </c>
      <c r="AD183" s="233">
        <f>(INDEX(Models!$BJ183:$BT183,,AH183)*(1-AF183)+INDEX(Models!$BJ183:$BT183,,AH183+1)*AF183-ERP_i)*AE183*Ramure*Pc/MaxiM</f>
        <v>3.5384364332563675E-4</v>
      </c>
      <c r="AE183" s="307">
        <f t="shared" si="65"/>
        <v>1</v>
      </c>
      <c r="AF183" s="179">
        <f t="shared" si="66"/>
        <v>0.80652376010089633</v>
      </c>
      <c r="AG183" s="837">
        <f t="shared" si="74"/>
        <v>1</v>
      </c>
      <c r="AH183" s="178">
        <f t="shared" si="67"/>
        <v>7</v>
      </c>
      <c r="AI183" s="227">
        <f t="shared" si="68"/>
        <v>1.8065237601008963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45461</v>
      </c>
      <c r="B184" s="1139">
        <f>IF(t&gt;Tmaj,'2023'!Wh/'2023'!Env_an*'2024'!Env_an,0.001*'[8]mon-tableau'!$B$220)</f>
        <v>55.933113706788596</v>
      </c>
      <c r="C184" s="866"/>
      <c r="D184" s="395">
        <f t="shared" si="50"/>
        <v>58.800141328738306</v>
      </c>
      <c r="E184" s="387">
        <f t="shared" si="75"/>
        <v>61.348928351761522</v>
      </c>
      <c r="F184" s="387">
        <f t="shared" si="51"/>
        <v>61.368803131933483</v>
      </c>
      <c r="G184" s="110">
        <f t="shared" si="76"/>
        <v>0.94766008221152087</v>
      </c>
      <c r="H184" s="414" t="b">
        <f>Wh_hp&gt;='2023'!Maxi_hp</f>
        <v>0</v>
      </c>
      <c r="I184" s="392">
        <f>IF(H184,Wh_hp,'2023'!Maxi_hp)</f>
        <v>61.369602347085966</v>
      </c>
      <c r="J184" s="85">
        <f>IF(H184,An,'2023'!An_max)</f>
        <v>2022</v>
      </c>
      <c r="K184" s="199">
        <f t="shared" si="52"/>
        <v>45461</v>
      </c>
      <c r="L184" s="147">
        <f>IF(t&lt;Tvie,1-EXP((T0-t)*PertePVj)+'2023'!Pspv,1-EXP((T0-t)*PertePVj)+Pspv)</f>
        <v>4.8758855968063175E-2</v>
      </c>
      <c r="M184" s="870"/>
      <c r="N184" s="870"/>
      <c r="O184" s="48">
        <f>IF(t&lt;Tnet,'2023'!Resal+('2023'!Salim-'2023'!Resal)*(1-EXP(('2023'!Tnet-t)/('2023'!Tau_j))),Resal+(Salim-Resal)*(1-EXP((Tnet-t)/(Tau_j))))*Salcycl</f>
        <v>4.1545746462090104E-2</v>
      </c>
      <c r="P184" s="171">
        <f>(INDEX(Models!$BJ184:$BT184,,T184)*(1-R184)+INDEX(Models!$BJ184:$BT184,,T184+1)*R184-ERP_i)*Q184*Ramure*Pc/MaxiM</f>
        <v>3.5001685750268364E-4</v>
      </c>
      <c r="Q184" s="307">
        <f t="shared" si="53"/>
        <v>1</v>
      </c>
      <c r="R184" s="179">
        <f t="shared" si="54"/>
        <v>0.81351234088107383</v>
      </c>
      <c r="S184" s="837">
        <f t="shared" si="55"/>
        <v>1</v>
      </c>
      <c r="T184" s="178">
        <f t="shared" si="56"/>
        <v>7</v>
      </c>
      <c r="U184" s="253">
        <f t="shared" si="57"/>
        <v>1.8135123408810738</v>
      </c>
      <c r="V184" s="385">
        <f t="shared" si="58"/>
        <v>59.0207935719191</v>
      </c>
      <c r="W184" s="404">
        <f t="shared" si="59"/>
        <v>55.933113706788596</v>
      </c>
      <c r="X184" s="157">
        <f t="shared" si="60"/>
        <v>45461</v>
      </c>
      <c r="Y184" s="387">
        <f t="shared" si="61"/>
        <v>51.626209099872575</v>
      </c>
      <c r="Z184" s="387">
        <f t="shared" si="62"/>
        <v>54.272472783346394</v>
      </c>
      <c r="AA184" s="388">
        <f t="shared" si="63"/>
        <v>61.348928351761515</v>
      </c>
      <c r="AB184" s="199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0.11534766390441656</v>
      </c>
      <c r="AD184" s="233">
        <f>(INDEX(Models!$BJ184:$BT184,,AH184)*(1-AF184)+INDEX(Models!$BJ184:$BT184,,AH184+1)*AF184-ERP_i)*AE184*Ramure*Pc/MaxiM</f>
        <v>3.5001685750268364E-4</v>
      </c>
      <c r="AE184" s="307">
        <f t="shared" si="65"/>
        <v>1</v>
      </c>
      <c r="AF184" s="179">
        <f t="shared" si="66"/>
        <v>0.81351234088107383</v>
      </c>
      <c r="AG184" s="837">
        <f t="shared" si="74"/>
        <v>1</v>
      </c>
      <c r="AH184" s="178">
        <f t="shared" si="67"/>
        <v>7</v>
      </c>
      <c r="AI184" s="227">
        <f t="shared" si="68"/>
        <v>1.8135123408810738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45462</v>
      </c>
      <c r="B185" s="1139">
        <f>IF(t&gt;Tmaj,'2023'!Wh/'2023'!Env_an*'2024'!Env_an,0.001*'[8]mon-tableau'!$B$221)</f>
        <v>33.213821814723254</v>
      </c>
      <c r="C185" s="866"/>
      <c r="D185" s="395">
        <f t="shared" si="50"/>
        <v>34.917113263292293</v>
      </c>
      <c r="E185" s="387">
        <f t="shared" si="75"/>
        <v>36.442640245290569</v>
      </c>
      <c r="F185" s="387">
        <f t="shared" si="51"/>
        <v>36.447406851224926</v>
      </c>
      <c r="G185" s="110">
        <f t="shared" si="76"/>
        <v>0.56326315888109857</v>
      </c>
      <c r="H185" s="414" t="b">
        <f>Wh_hp&gt;='2023'!Maxi_hp</f>
        <v>0</v>
      </c>
      <c r="I185" s="392">
        <f>IF(H185,Wh_hp,'2023'!Maxi_hp)</f>
        <v>61.978111723562009</v>
      </c>
      <c r="J185" s="85">
        <f>IF(H185,An,'2023'!An_max)</f>
        <v>2020</v>
      </c>
      <c r="K185" s="199">
        <f t="shared" si="52"/>
        <v>45462</v>
      </c>
      <c r="L185" s="147">
        <f>IF(t&lt;Tvie,1-EXP((T0-t)*PertePVj)+'2023'!Pspv,1-EXP((T0-t)*PertePVj)+Pspv)</f>
        <v>4.8780992739158591E-2</v>
      </c>
      <c r="M185" s="870"/>
      <c r="N185" s="870"/>
      <c r="O185" s="48">
        <f>IF(t&lt;Tnet,'2023'!Resal+('2023'!Salim-'2023'!Resal)*(1-EXP(('2023'!Tnet-t)/('2023'!Tau_j))),Resal+(Salim-Resal)*(1-EXP((Tnet-t)/(Tau_j))))*Salcycl</f>
        <v>4.1861044417477788E-2</v>
      </c>
      <c r="P185" s="171">
        <f>(INDEX(Models!$BJ185:$BT185,,T185)*(1-R185)+INDEX(Models!$BJ185:$BT185,,T185+1)*R185-ERP_i)*Q185*Ramure*Pc/MaxiM</f>
        <v>3.4757545422616659E-4</v>
      </c>
      <c r="Q185" s="307">
        <f t="shared" si="53"/>
        <v>1</v>
      </c>
      <c r="R185" s="179">
        <f t="shared" si="54"/>
        <v>0.82044861018898918</v>
      </c>
      <c r="S185" s="837">
        <f t="shared" si="55"/>
        <v>1</v>
      </c>
      <c r="T185" s="178">
        <f t="shared" si="56"/>
        <v>7</v>
      </c>
      <c r="U185" s="253">
        <f t="shared" si="57"/>
        <v>1.8204486101889892</v>
      </c>
      <c r="V185" s="385">
        <f t="shared" si="58"/>
        <v>58.954007121820275</v>
      </c>
      <c r="W185" s="404">
        <f t="shared" si="59"/>
        <v>33.213821814723254</v>
      </c>
      <c r="X185" s="157">
        <f t="shared" si="60"/>
        <v>45462</v>
      </c>
      <c r="Y185" s="387">
        <f t="shared" si="61"/>
        <v>30.658218040679216</v>
      </c>
      <c r="Z185" s="387">
        <f t="shared" si="62"/>
        <v>32.230451459294883</v>
      </c>
      <c r="AA185" s="388">
        <f t="shared" si="63"/>
        <v>36.442640245290569</v>
      </c>
      <c r="AB185" s="199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0.11558407287847443</v>
      </c>
      <c r="AD185" s="233">
        <f>(INDEX(Models!$BJ185:$BT185,,AH185)*(1-AF185)+INDEX(Models!$BJ185:$BT185,,AH185+1)*AF185-ERP_i)*AE185*Ramure*Pc/MaxiM</f>
        <v>3.4757545422616659E-4</v>
      </c>
      <c r="AE185" s="307">
        <f t="shared" si="65"/>
        <v>1</v>
      </c>
      <c r="AF185" s="179">
        <f t="shared" si="66"/>
        <v>0.82044861018898918</v>
      </c>
      <c r="AG185" s="837">
        <f t="shared" si="74"/>
        <v>1</v>
      </c>
      <c r="AH185" s="178">
        <f t="shared" si="67"/>
        <v>7</v>
      </c>
      <c r="AI185" s="227">
        <f t="shared" si="68"/>
        <v>1.8204486101889892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45463</v>
      </c>
      <c r="B186" s="1139">
        <f>IF(t&gt;Tmaj,'2023'!Wh/'2023'!Env_an*'2024'!Env_an,0.001*'[8]mon-tableau'!$B$222)</f>
        <v>19.718443372938708</v>
      </c>
      <c r="C186" s="866"/>
      <c r="D186" s="395">
        <f t="shared" si="50"/>
        <v>20.730139021701124</v>
      </c>
      <c r="E186" s="387">
        <f t="shared" si="75"/>
        <v>21.642928237797211</v>
      </c>
      <c r="F186" s="387">
        <f t="shared" si="51"/>
        <v>21.643301802222314</v>
      </c>
      <c r="G186" s="110">
        <f t="shared" si="76"/>
        <v>0.33475455489978734</v>
      </c>
      <c r="H186" s="414" t="b">
        <f>Wh_hp&gt;='2023'!Maxi_hp</f>
        <v>0</v>
      </c>
      <c r="I186" s="392">
        <f>IF(H186,Wh_hp,'2023'!Maxi_hp)</f>
        <v>55.551816026089647</v>
      </c>
      <c r="J186" s="85">
        <f>IF(H186,An,'2023'!An_max)</f>
        <v>2020</v>
      </c>
      <c r="K186" s="199">
        <f t="shared" si="52"/>
        <v>45463</v>
      </c>
      <c r="L186" s="147">
        <f>IF(t&lt;Tvie,1-EXP((T0-t)*PertePVj)+'2023'!Pspv,1-EXP((T0-t)*PertePVj)+Pspv)</f>
        <v>4.8803128995099088E-2</v>
      </c>
      <c r="M186" s="870"/>
      <c r="N186" s="870"/>
      <c r="O186" s="48">
        <f>IF(t&lt;Tnet,'2023'!Resal+('2023'!Salim-'2023'!Resal)*(1-EXP(('2023'!Tnet-t)/('2023'!Tau_j))),Resal+(Salim-Resal)*(1-EXP((Tnet-t)/(Tau_j))))*Salcycl</f>
        <v>4.2174940750484599E-2</v>
      </c>
      <c r="P186" s="171">
        <f>(INDEX(Models!$BJ186:$BT186,,T186)*(1-R186)+INDEX(Models!$BJ186:$BT186,,T186+1)*R186-ERP_i)*Q186*Ramure*Pc/MaxiM</f>
        <v>3.4653938284587727E-4</v>
      </c>
      <c r="Q186" s="307">
        <f t="shared" si="53"/>
        <v>1</v>
      </c>
      <c r="R186" s="179">
        <f t="shared" si="54"/>
        <v>0.82732736535846652</v>
      </c>
      <c r="S186" s="837">
        <f t="shared" si="55"/>
        <v>1</v>
      </c>
      <c r="T186" s="178">
        <f t="shared" si="56"/>
        <v>7</v>
      </c>
      <c r="U186" s="253">
        <f t="shared" si="57"/>
        <v>1.8273273653584665</v>
      </c>
      <c r="V186" s="385">
        <f t="shared" si="58"/>
        <v>58.884786170720702</v>
      </c>
      <c r="W186" s="404">
        <f t="shared" si="59"/>
        <v>19.718443372938708</v>
      </c>
      <c r="X186" s="157">
        <f t="shared" si="60"/>
        <v>45463</v>
      </c>
      <c r="Y186" s="387">
        <f t="shared" si="61"/>
        <v>18.202402049105856</v>
      </c>
      <c r="Z186" s="387">
        <f t="shared" si="62"/>
        <v>19.136314052290519</v>
      </c>
      <c r="AA186" s="388">
        <f t="shared" si="63"/>
        <v>21.642928237797211</v>
      </c>
      <c r="AB186" s="199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0.11581677663788298</v>
      </c>
      <c r="AD186" s="233">
        <f>(INDEX(Models!$BJ186:$BT186,,AH186)*(1-AF186)+INDEX(Models!$BJ186:$BT186,,AH186+1)*AF186-ERP_i)*AE186*Ramure*Pc/MaxiM</f>
        <v>3.4653938284587727E-4</v>
      </c>
      <c r="AE186" s="307">
        <f t="shared" si="65"/>
        <v>1</v>
      </c>
      <c r="AF186" s="179">
        <f t="shared" si="66"/>
        <v>0.82732736535846652</v>
      </c>
      <c r="AG186" s="837">
        <f t="shared" si="74"/>
        <v>1</v>
      </c>
      <c r="AH186" s="178">
        <f t="shared" si="67"/>
        <v>7</v>
      </c>
      <c r="AI186" s="227">
        <f t="shared" si="68"/>
        <v>1.8273273653584665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45464</v>
      </c>
      <c r="B187" s="1139">
        <f>IF(t&gt;Tmaj,'2023'!Wh/'2023'!Env_an*'2024'!Env_an,0.001*'[8]mon-tableau'!$B$223)</f>
        <v>47.619645514248525</v>
      </c>
      <c r="C187" s="866"/>
      <c r="D187" s="395">
        <f t="shared" si="50"/>
        <v>50.064035291082924</v>
      </c>
      <c r="E187" s="387">
        <f t="shared" si="75"/>
        <v>52.285510623108706</v>
      </c>
      <c r="F187" s="387">
        <f t="shared" si="51"/>
        <v>52.298721331675061</v>
      </c>
      <c r="G187" s="110">
        <f t="shared" si="76"/>
        <v>0.80959782722000606</v>
      </c>
      <c r="H187" s="414" t="b">
        <f>Wh_hp&gt;='2023'!Maxi_hp</f>
        <v>0</v>
      </c>
      <c r="I187" s="392">
        <f>IF(H187,Wh_hp,'2023'!Maxi_hp)</f>
        <v>63.856670121040153</v>
      </c>
      <c r="J187" s="85">
        <f>IF(H187,An,'2023'!An_max)</f>
        <v>2020</v>
      </c>
      <c r="K187" s="199">
        <f t="shared" si="52"/>
        <v>45464</v>
      </c>
      <c r="L187" s="147">
        <f>IF(t&lt;Tvie,1-EXP((T0-t)*PertePVj)+'2023'!Pspv,1-EXP((T0-t)*PertePVj)+Pspv)</f>
        <v>4.8825264735896656E-2</v>
      </c>
      <c r="M187" s="870"/>
      <c r="N187" s="870"/>
      <c r="O187" s="48">
        <f>IF(t&lt;Tnet,'2023'!Resal+('2023'!Salim-'2023'!Resal)*(1-EXP(('2023'!Tnet-t)/('2023'!Tau_j))),Resal+(Salim-Resal)*(1-EXP((Tnet-t)/(Tau_j))))*Salcycl</f>
        <v>4.2487398622515424E-2</v>
      </c>
      <c r="P187" s="171">
        <f>(INDEX(Models!$BJ187:$BT187,,T187)*(1-R187)+INDEX(Models!$BJ187:$BT187,,T187+1)*R187-ERP_i)*Q187*Ramure*Pc/MaxiM</f>
        <v>3.4692884724538695E-4</v>
      </c>
      <c r="Q187" s="307">
        <f t="shared" si="53"/>
        <v>1</v>
      </c>
      <c r="R187" s="179">
        <f t="shared" si="54"/>
        <v>0.83414358587458914</v>
      </c>
      <c r="S187" s="837">
        <f t="shared" si="55"/>
        <v>1</v>
      </c>
      <c r="T187" s="178">
        <f t="shared" si="56"/>
        <v>7</v>
      </c>
      <c r="U187" s="253">
        <f t="shared" si="57"/>
        <v>1.8341435858745891</v>
      </c>
      <c r="V187" s="385">
        <f t="shared" si="58"/>
        <v>58.813340301927511</v>
      </c>
      <c r="W187" s="404">
        <f t="shared" si="59"/>
        <v>47.619645514248525</v>
      </c>
      <c r="X187" s="157">
        <f t="shared" si="60"/>
        <v>45464</v>
      </c>
      <c r="Y187" s="387">
        <f t="shared" si="61"/>
        <v>43.96139403600894</v>
      </c>
      <c r="Z187" s="387">
        <f t="shared" si="62"/>
        <v>46.21800012781312</v>
      </c>
      <c r="AA187" s="388">
        <f t="shared" si="63"/>
        <v>52.285510623108706</v>
      </c>
      <c r="AB187" s="199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0.11604573471668297</v>
      </c>
      <c r="AD187" s="233">
        <f>(INDEX(Models!$BJ187:$BT187,,AH187)*(1-AF187)+INDEX(Models!$BJ187:$BT187,,AH187+1)*AF187-ERP_i)*AE187*Ramure*Pc/MaxiM</f>
        <v>3.4692884724538695E-4</v>
      </c>
      <c r="AE187" s="307">
        <f t="shared" si="65"/>
        <v>1</v>
      </c>
      <c r="AF187" s="179">
        <f t="shared" si="66"/>
        <v>0.83414358587458914</v>
      </c>
      <c r="AG187" s="837">
        <f t="shared" si="74"/>
        <v>1</v>
      </c>
      <c r="AH187" s="178">
        <f t="shared" si="67"/>
        <v>7</v>
      </c>
      <c r="AI187" s="227">
        <f t="shared" si="68"/>
        <v>1.8341435858745891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45465</v>
      </c>
      <c r="B188" s="1139">
        <f>IF(t&gt;Tmaj,'2023'!Wh/'2023'!Env_an*'2024'!Env_an,0.001*'[8]mon-tableau'!$B$224)</f>
        <v>42.198903177327246</v>
      </c>
      <c r="C188" s="866"/>
      <c r="D188" s="395">
        <f t="shared" si="50"/>
        <v>44.366070360972522</v>
      </c>
      <c r="E188" s="387">
        <f t="shared" si="75"/>
        <v>46.349765469941424</v>
      </c>
      <c r="F188" s="387">
        <f t="shared" si="51"/>
        <v>46.35942958977445</v>
      </c>
      <c r="G188" s="110">
        <f t="shared" si="76"/>
        <v>0.71830215385326412</v>
      </c>
      <c r="H188" s="414" t="b">
        <f>Wh_hp&gt;='2023'!Maxi_hp</f>
        <v>0</v>
      </c>
      <c r="I188" s="392">
        <f>IF(H188,Wh_hp,'2023'!Maxi_hp)</f>
        <v>56.926407326668489</v>
      </c>
      <c r="J188" s="85">
        <f>IF(H188,An,'2023'!An_max)</f>
        <v>2020</v>
      </c>
      <c r="K188" s="199">
        <f t="shared" si="52"/>
        <v>45465</v>
      </c>
      <c r="L188" s="147">
        <f>IF(t&lt;Tvie,1-EXP((T0-t)*PertePVj)+'2023'!Pspv,1-EXP((T0-t)*PertePVj)+Pspv)</f>
        <v>4.8847399961563065E-2</v>
      </c>
      <c r="M188" s="870"/>
      <c r="N188" s="870"/>
      <c r="O188" s="48">
        <f>IF(t&lt;Tnet,'2023'!Resal+('2023'!Salim-'2023'!Resal)*(1-EXP(('2023'!Tnet-t)/('2023'!Tau_j))),Resal+(Salim-Resal)*(1-EXP((Tnet-t)/(Tau_j))))*Salcycl</f>
        <v>4.2798385037252383E-2</v>
      </c>
      <c r="P188" s="171">
        <f>(INDEX(Models!$BJ188:$BT188,,T188)*(1-R188)+INDEX(Models!$BJ188:$BT188,,T188+1)*R188-ERP_i)*Q188*Ramure*Pc/MaxiM</f>
        <v>3.4876067330579256E-4</v>
      </c>
      <c r="Q188" s="307">
        <f t="shared" si="53"/>
        <v>1</v>
      </c>
      <c r="R188" s="179">
        <f t="shared" si="54"/>
        <v>0.84089244663829987</v>
      </c>
      <c r="S188" s="837">
        <f t="shared" si="55"/>
        <v>1</v>
      </c>
      <c r="T188" s="178">
        <f t="shared" si="56"/>
        <v>7</v>
      </c>
      <c r="U188" s="253">
        <f t="shared" si="57"/>
        <v>1.8408924466382999</v>
      </c>
      <c r="V188" s="385">
        <f t="shared" si="58"/>
        <v>58.73987877131519</v>
      </c>
      <c r="W188" s="404">
        <f t="shared" si="59"/>
        <v>42.198903177327246</v>
      </c>
      <c r="X188" s="157">
        <f t="shared" si="60"/>
        <v>45465</v>
      </c>
      <c r="Y188" s="387">
        <f t="shared" si="61"/>
        <v>38.959815160263958</v>
      </c>
      <c r="Z188" s="387">
        <f t="shared" si="62"/>
        <v>40.960635715751138</v>
      </c>
      <c r="AA188" s="388">
        <f t="shared" si="63"/>
        <v>46.349765469941424</v>
      </c>
      <c r="AB188" s="199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0.11627091743722474</v>
      </c>
      <c r="AD188" s="233">
        <f>(INDEX(Models!$BJ188:$BT188,,AH188)*(1-AF188)+INDEX(Models!$BJ188:$BT188,,AH188+1)*AF188-ERP_i)*AE188*Ramure*Pc/MaxiM</f>
        <v>3.4876067330579256E-4</v>
      </c>
      <c r="AE188" s="307">
        <f t="shared" si="65"/>
        <v>1</v>
      </c>
      <c r="AF188" s="179">
        <f t="shared" si="66"/>
        <v>0.84089244663829987</v>
      </c>
      <c r="AG188" s="837">
        <f t="shared" si="74"/>
        <v>1</v>
      </c>
      <c r="AH188" s="178">
        <f t="shared" si="67"/>
        <v>7</v>
      </c>
      <c r="AI188" s="227">
        <f t="shared" si="68"/>
        <v>1.8408924466382999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45466</v>
      </c>
      <c r="B189" s="1139">
        <f>IF(t&gt;Tmaj,'2023'!Wh/'2023'!Env_an*'2024'!Env_an,0.001*'[8]mon-tableau'!$B$225)</f>
        <v>44.62243236538243</v>
      </c>
      <c r="C189" s="866"/>
      <c r="D189" s="395">
        <f t="shared" si="50"/>
        <v>46.915154116106926</v>
      </c>
      <c r="E189" s="387">
        <f t="shared" si="75"/>
        <v>49.028675950859174</v>
      </c>
      <c r="F189" s="387">
        <f t="shared" si="51"/>
        <v>49.040036964801956</v>
      </c>
      <c r="G189" s="110">
        <f t="shared" si="76"/>
        <v>0.76054471487824837</v>
      </c>
      <c r="H189" s="414" t="b">
        <f>Wh_hp&gt;='2023'!Maxi_hp</f>
        <v>0</v>
      </c>
      <c r="I189" s="392">
        <f>IF(H189,Wh_hp,'2023'!Maxi_hp)</f>
        <v>63.0959882762929</v>
      </c>
      <c r="J189" s="85">
        <f>IF(H189,An,'2023'!An_max)</f>
        <v>2020</v>
      </c>
      <c r="K189" s="199">
        <f t="shared" si="52"/>
        <v>45466</v>
      </c>
      <c r="L189" s="147">
        <f>IF(t&lt;Tvie,1-EXP((T0-t)*PertePVj)+'2023'!Pspv,1-EXP((T0-t)*PertePVj)+Pspv)</f>
        <v>4.8869534672110526E-2</v>
      </c>
      <c r="M189" s="870"/>
      <c r="N189" s="870"/>
      <c r="O189" s="48">
        <f>IF(t&lt;Tnet,'2023'!Resal+('2023'!Salim-'2023'!Resal)*(1-EXP(('2023'!Tnet-t)/('2023'!Tau_j))),Resal+(Salim-Resal)*(1-EXP((Tnet-t)/(Tau_j))))*Salcycl</f>
        <v>4.3107870929873941E-2</v>
      </c>
      <c r="P189" s="171">
        <f>(INDEX(Models!$BJ189:$BT189,,T189)*(1-R189)+INDEX(Models!$BJ189:$BT189,,T189+1)*R189-ERP_i)*Q189*Ramure*Pc/MaxiM</f>
        <v>3.5205148537115324E-4</v>
      </c>
      <c r="Q189" s="307">
        <f t="shared" si="53"/>
        <v>1</v>
      </c>
      <c r="R189" s="179">
        <f t="shared" si="54"/>
        <v>0.84756932997245915</v>
      </c>
      <c r="S189" s="837">
        <f t="shared" si="55"/>
        <v>1</v>
      </c>
      <c r="T189" s="178">
        <f t="shared" si="56"/>
        <v>7</v>
      </c>
      <c r="U189" s="253">
        <f t="shared" si="57"/>
        <v>1.8475693299724592</v>
      </c>
      <c r="V189" s="385">
        <f t="shared" si="58"/>
        <v>58.66461031142348</v>
      </c>
      <c r="W189" s="404">
        <f t="shared" si="59"/>
        <v>44.62243236538243</v>
      </c>
      <c r="X189" s="157">
        <f t="shared" si="60"/>
        <v>45466</v>
      </c>
      <c r="Y189" s="387">
        <f t="shared" si="61"/>
        <v>41.200320420948842</v>
      </c>
      <c r="Z189" s="387">
        <f t="shared" si="62"/>
        <v>43.317212435988559</v>
      </c>
      <c r="AA189" s="388">
        <f t="shared" si="63"/>
        <v>49.028675950859174</v>
      </c>
      <c r="AB189" s="199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0.11649230586188263</v>
      </c>
      <c r="AD189" s="233">
        <f>(INDEX(Models!$BJ189:$BT189,,AH189)*(1-AF189)+INDEX(Models!$BJ189:$BT189,,AH189+1)*AF189-ERP_i)*AE189*Ramure*Pc/MaxiM</f>
        <v>3.5205148537115324E-4</v>
      </c>
      <c r="AE189" s="307">
        <f t="shared" si="65"/>
        <v>1</v>
      </c>
      <c r="AF189" s="179">
        <f t="shared" si="66"/>
        <v>0.84756932997245915</v>
      </c>
      <c r="AG189" s="837">
        <f t="shared" si="74"/>
        <v>1</v>
      </c>
      <c r="AH189" s="178">
        <f t="shared" si="67"/>
        <v>7</v>
      </c>
      <c r="AI189" s="227">
        <f t="shared" si="68"/>
        <v>1.8475693299724592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45467</v>
      </c>
      <c r="B190" s="1139">
        <f>IF(t&gt;Tmaj,'2023'!Wh/'2023'!Env_an*'2024'!Env_an,0.001*'[8]mon-tableau'!$B$226)</f>
        <v>31.253032958164003</v>
      </c>
      <c r="C190" s="866"/>
      <c r="D190" s="395">
        <f t="shared" si="50"/>
        <v>32.859593313573633</v>
      </c>
      <c r="E190" s="387">
        <f t="shared" si="75"/>
        <v>34.350969194788306</v>
      </c>
      <c r="F190" s="387">
        <f t="shared" si="51"/>
        <v>34.35505726352784</v>
      </c>
      <c r="G190" s="110">
        <f t="shared" si="76"/>
        <v>0.53331290323431735</v>
      </c>
      <c r="H190" s="414" t="b">
        <f>Wh_hp&gt;='2023'!Maxi_hp</f>
        <v>0</v>
      </c>
      <c r="I190" s="392">
        <f>IF(H190,Wh_hp,'2023'!Maxi_hp)</f>
        <v>58.333269226080525</v>
      </c>
      <c r="J190" s="85">
        <f>IF(H190,An,'2023'!An_max)</f>
        <v>2021</v>
      </c>
      <c r="K190" s="199">
        <f t="shared" si="52"/>
        <v>45467</v>
      </c>
      <c r="L190" s="147">
        <f>IF(t&lt;Tvie,1-EXP((T0-t)*PertePVj)+'2023'!Pspv,1-EXP((T0-t)*PertePVj)+Pspv)</f>
        <v>4.8891668867550808E-2</v>
      </c>
      <c r="M190" s="870"/>
      <c r="N190" s="870"/>
      <c r="O190" s="48">
        <f>IF(t&lt;Tnet,'2023'!Resal+('2023'!Salim-'2023'!Resal)*(1-EXP(('2023'!Tnet-t)/('2023'!Tau_j))),Resal+(Salim-Resal)*(1-EXP((Tnet-t)/(Tau_j))))*Salcycl</f>
        <v>4.3415831231945028E-2</v>
      </c>
      <c r="P190" s="171">
        <f>(INDEX(Models!$BJ190:$BT190,,T190)*(1-R190)+INDEX(Models!$BJ190:$BT190,,T190+1)*R190-ERP_i)*Q190*Ramure*Pc/MaxiM</f>
        <v>3.5682122459553217E-4</v>
      </c>
      <c r="Q190" s="307">
        <f t="shared" si="53"/>
        <v>1</v>
      </c>
      <c r="R190" s="179">
        <f t="shared" si="54"/>
        <v>0.85416983631982535</v>
      </c>
      <c r="S190" s="837">
        <f t="shared" si="55"/>
        <v>1</v>
      </c>
      <c r="T190" s="178">
        <f t="shared" si="56"/>
        <v>7</v>
      </c>
      <c r="U190" s="253">
        <f t="shared" si="57"/>
        <v>1.8541698363198253</v>
      </c>
      <c r="V190" s="385">
        <f t="shared" si="58"/>
        <v>58.587742923504763</v>
      </c>
      <c r="W190" s="404">
        <f t="shared" si="59"/>
        <v>31.253032958164003</v>
      </c>
      <c r="X190" s="157">
        <f t="shared" si="60"/>
        <v>45467</v>
      </c>
      <c r="Y190" s="387">
        <f t="shared" si="61"/>
        <v>28.858406576343484</v>
      </c>
      <c r="Z190" s="387">
        <f t="shared" si="62"/>
        <v>30.341871300804247</v>
      </c>
      <c r="AA190" s="388">
        <f t="shared" si="63"/>
        <v>34.350969194788306</v>
      </c>
      <c r="AB190" s="199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0.11670989168457911</v>
      </c>
      <c r="AD190" s="233">
        <f>(INDEX(Models!$BJ190:$BT190,,AH190)*(1-AF190)+INDEX(Models!$BJ190:$BT190,,AH190+1)*AF190-ERP_i)*AE190*Ramure*Pc/MaxiM</f>
        <v>3.5682122459553217E-4</v>
      </c>
      <c r="AE190" s="307">
        <f t="shared" si="65"/>
        <v>1</v>
      </c>
      <c r="AF190" s="179">
        <f t="shared" si="66"/>
        <v>0.85416983631982535</v>
      </c>
      <c r="AG190" s="837">
        <f t="shared" si="74"/>
        <v>1</v>
      </c>
      <c r="AH190" s="178">
        <f t="shared" si="67"/>
        <v>7</v>
      </c>
      <c r="AI190" s="227">
        <f t="shared" si="68"/>
        <v>1.8541698363198253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45468</v>
      </c>
      <c r="B191" s="1139">
        <f>IF(t&gt;Tmaj,'2023'!Wh/'2023'!Env_an*'2024'!Env_an,0.001*'[8]mon-tableau'!$B$227)</f>
        <v>11.94201745406737</v>
      </c>
      <c r="C191" s="866"/>
      <c r="D191" s="395">
        <f t="shared" si="50"/>
        <v>12.55618837289326</v>
      </c>
      <c r="E191" s="387">
        <f t="shared" si="75"/>
        <v>13.130273402345612</v>
      </c>
      <c r="F191" s="387">
        <f t="shared" si="51"/>
        <v>13.130273402345612</v>
      </c>
      <c r="G191" s="110">
        <f t="shared" si="76"/>
        <v>0.20403009184754534</v>
      </c>
      <c r="H191" s="414" t="b">
        <f>Wh_hp&gt;='2023'!Maxi_hp</f>
        <v>0</v>
      </c>
      <c r="I191" s="392">
        <f>IF(H191,Wh_hp,'2023'!Maxi_hp)</f>
        <v>61.173275923851143</v>
      </c>
      <c r="J191" s="85">
        <f>IF(H191,An,'2023'!An_max)</f>
        <v>2019</v>
      </c>
      <c r="K191" s="199">
        <f t="shared" si="52"/>
        <v>45468</v>
      </c>
      <c r="L191" s="147">
        <f>IF(t&lt;Tvie,1-EXP((T0-t)*PertePVj)+'2023'!Pspv,1-EXP((T0-t)*PertePVj)+Pspv)</f>
        <v>4.8913802547896124E-2</v>
      </c>
      <c r="M191" s="870"/>
      <c r="N191" s="870"/>
      <c r="O191" s="48">
        <f>IF(t&lt;Tnet,'2023'!Resal+('2023'!Salim-'2023'!Resal)*(1-EXP(('2023'!Tnet-t)/('2023'!Tau_j))),Resal+(Salim-Resal)*(1-EXP((Tnet-t)/(Tau_j))))*Salcycl</f>
        <v>4.3722244911503262E-2</v>
      </c>
      <c r="P191" s="171">
        <f>(INDEX(Models!$BJ191:$BT191,,T191)*(1-R191)+INDEX(Models!$BJ191:$BT191,,T191+1)*R191-ERP_i)*Q191*Ramure*Pc/MaxiM</f>
        <v>3.6309004723394662E-4</v>
      </c>
      <c r="Q191" s="307">
        <f t="shared" si="53"/>
        <v>1</v>
      </c>
      <c r="R191" s="179">
        <f t="shared" si="54"/>
        <v>0.8606897935969906</v>
      </c>
      <c r="S191" s="837">
        <f t="shared" si="55"/>
        <v>1</v>
      </c>
      <c r="T191" s="178">
        <f t="shared" si="56"/>
        <v>7</v>
      </c>
      <c r="U191" s="253">
        <f t="shared" si="57"/>
        <v>1.8606897935969906</v>
      </c>
      <c r="V191" s="385">
        <f t="shared" si="58"/>
        <v>58.509415539085957</v>
      </c>
      <c r="W191" s="404">
        <f t="shared" si="59"/>
        <v>11.94201745406737</v>
      </c>
      <c r="X191" s="157">
        <f t="shared" si="60"/>
        <v>45468</v>
      </c>
      <c r="Y191" s="387">
        <f t="shared" si="61"/>
        <v>11.027876373441119</v>
      </c>
      <c r="Z191" s="387">
        <f t="shared" si="62"/>
        <v>11.595033555301359</v>
      </c>
      <c r="AA191" s="388">
        <f t="shared" si="63"/>
        <v>13.130273402345612</v>
      </c>
      <c r="AB191" s="199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0.11692367706296164</v>
      </c>
      <c r="AD191" s="233">
        <f>(INDEX(Models!$BJ191:$BT191,,AH191)*(1-AF191)+INDEX(Models!$BJ191:$BT191,,AH191+1)*AF191-ERP_i)*AE191*Ramure*Pc/MaxiM</f>
        <v>3.6309004723394662E-4</v>
      </c>
      <c r="AE191" s="307">
        <f t="shared" si="65"/>
        <v>1</v>
      </c>
      <c r="AF191" s="179">
        <f t="shared" si="66"/>
        <v>0.8606897935969906</v>
      </c>
      <c r="AG191" s="837">
        <f t="shared" si="74"/>
        <v>1</v>
      </c>
      <c r="AH191" s="178">
        <f t="shared" si="67"/>
        <v>7</v>
      </c>
      <c r="AI191" s="227">
        <f t="shared" si="68"/>
        <v>1.8606897935969906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45469</v>
      </c>
      <c r="B192" s="1139">
        <f>IF(t&gt;Tmaj,'2023'!Wh/'2023'!Env_an*'2024'!Env_an,0.001*'[8]mon-tableau'!$B$228)</f>
        <v>17.729757488007362</v>
      </c>
      <c r="C192" s="866"/>
      <c r="D192" s="395">
        <f t="shared" si="50"/>
        <v>18.642022292475193</v>
      </c>
      <c r="E192" s="387">
        <f t="shared" si="75"/>
        <v>19.500576004549561</v>
      </c>
      <c r="F192" s="387">
        <f t="shared" si="51"/>
        <v>19.500611651010207</v>
      </c>
      <c r="G192" s="110">
        <f t="shared" si="76"/>
        <v>0.30332651366684837</v>
      </c>
      <c r="H192" s="414" t="b">
        <f>Wh_hp&gt;='2023'!Maxi_hp</f>
        <v>0</v>
      </c>
      <c r="I192" s="392">
        <f>IF(H192,Wh_hp,'2023'!Maxi_hp)</f>
        <v>60.985394415911713</v>
      </c>
      <c r="J192" s="85">
        <f>IF(H192,An,'2023'!An_max)</f>
        <v>2019</v>
      </c>
      <c r="K192" s="199">
        <f t="shared" si="52"/>
        <v>45469</v>
      </c>
      <c r="L192" s="147">
        <f>IF(t&lt;Tvie,1-EXP((T0-t)*PertePVj)+'2023'!Pspv,1-EXP((T0-t)*PertePVj)+Pspv)</f>
        <v>4.8935935713158352E-2</v>
      </c>
      <c r="M192" s="870"/>
      <c r="N192" s="870"/>
      <c r="O192" s="48">
        <f>IF(t&lt;Tnet,'2023'!Resal+('2023'!Salim-'2023'!Resal)*(1-EXP(('2023'!Tnet-t)/('2023'!Tau_j))),Resal+(Salim-Resal)*(1-EXP((Tnet-t)/(Tau_j))))*Salcycl</f>
        <v>4.4027094988069344E-2</v>
      </c>
      <c r="P192" s="171">
        <f>(INDEX(Models!$BJ192:$BT192,,T192)*(1-R192)+INDEX(Models!$BJ192:$BT192,,T192+1)*R192-ERP_i)*Q192*Ramure*Pc/MaxiM</f>
        <v>3.7209248827345875E-4</v>
      </c>
      <c r="Q192" s="307">
        <f t="shared" si="53"/>
        <v>1</v>
      </c>
      <c r="R192" s="179">
        <f t="shared" si="54"/>
        <v>0.86712526518179445</v>
      </c>
      <c r="S192" s="837">
        <f t="shared" si="55"/>
        <v>1</v>
      </c>
      <c r="T192" s="178">
        <f t="shared" si="56"/>
        <v>7</v>
      </c>
      <c r="U192" s="253">
        <f t="shared" si="57"/>
        <v>1.8671252651817944</v>
      </c>
      <c r="V192" s="385">
        <f t="shared" si="58"/>
        <v>58.429421686796189</v>
      </c>
      <c r="W192" s="404">
        <f t="shared" si="59"/>
        <v>17.729757488007362</v>
      </c>
      <c r="X192" s="157">
        <f t="shared" si="60"/>
        <v>45469</v>
      </c>
      <c r="Y192" s="387">
        <f t="shared" si="61"/>
        <v>16.373901148540398</v>
      </c>
      <c r="Z192" s="387">
        <f t="shared" si="62"/>
        <v>17.216401884365613</v>
      </c>
      <c r="AA192" s="388">
        <f t="shared" si="63"/>
        <v>19.500576004549561</v>
      </c>
      <c r="AB192" s="199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0.11713367439254321</v>
      </c>
      <c r="AD192" s="233">
        <f>(INDEX(Models!$BJ192:$BT192,,AH192)*(1-AF192)+INDEX(Models!$BJ192:$BT192,,AH192+1)*AF192-ERP_i)*AE192*Ramure*Pc/MaxiM</f>
        <v>3.7209248827345875E-4</v>
      </c>
      <c r="AE192" s="307">
        <f t="shared" si="65"/>
        <v>1</v>
      </c>
      <c r="AF192" s="179">
        <f t="shared" si="66"/>
        <v>0.86712526518179445</v>
      </c>
      <c r="AG192" s="837">
        <f t="shared" si="74"/>
        <v>1</v>
      </c>
      <c r="AH192" s="178">
        <f t="shared" si="67"/>
        <v>7</v>
      </c>
      <c r="AI192" s="227">
        <f t="shared" si="68"/>
        <v>1.8671252651817944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45470</v>
      </c>
      <c r="B193" s="1139">
        <f>IF(t&gt;Tmaj,'2023'!Wh/'2023'!Env_an*'2024'!Env_an,0.001*'[8]mon-tableau'!$B$229)</f>
        <v>60.490102698669354</v>
      </c>
      <c r="C193" s="866"/>
      <c r="D193" s="395">
        <f t="shared" si="50"/>
        <v>63.604033309626821</v>
      </c>
      <c r="E193" s="387">
        <f t="shared" si="75"/>
        <v>66.554415055853283</v>
      </c>
      <c r="F193" s="387">
        <f t="shared" si="51"/>
        <v>66.57992359839362</v>
      </c>
      <c r="G193" s="110">
        <f t="shared" si="76"/>
        <v>1.036719640791316</v>
      </c>
      <c r="H193" s="414" t="b">
        <f>Wh_hp&gt;='2023'!Maxi_hp</f>
        <v>1</v>
      </c>
      <c r="I193" s="392">
        <f>IF(H193,Wh_hp,'2023'!Maxi_hp)</f>
        <v>66.57992359839362</v>
      </c>
      <c r="J193" s="85">
        <f>IF(H193,An,'2023'!An_max)</f>
        <v>2024</v>
      </c>
      <c r="K193" s="199">
        <f t="shared" si="52"/>
        <v>45470</v>
      </c>
      <c r="L193" s="147">
        <f>IF(t&lt;Tvie,1-EXP((T0-t)*PertePVj)+'2023'!Pspv,1-EXP((T0-t)*PertePVj)+Pspv)</f>
        <v>4.8958068363349483E-2</v>
      </c>
      <c r="M193" s="870"/>
      <c r="N193" s="870"/>
      <c r="O193" s="48">
        <f>IF(t&lt;Tnet,'2023'!Resal+('2023'!Salim-'2023'!Resal)*(1-EXP(('2023'!Tnet-t)/('2023'!Tau_j))),Resal+(Salim-Resal)*(1-EXP((Tnet-t)/(Tau_j))))*Salcycl</f>
        <v>4.4330368522515887E-2</v>
      </c>
      <c r="P193" s="171">
        <f>(INDEX(Models!$BJ193:$BT193,,T193)*(1-R193)+INDEX(Models!$BJ193:$BT193,,T193+1)*R193-ERP_i)*Q193*Ramure*Pc/MaxiM</f>
        <v>3.831266418118797E-4</v>
      </c>
      <c r="Q193" s="307">
        <f t="shared" si="53"/>
        <v>1</v>
      </c>
      <c r="R193" s="179">
        <f t="shared" si="54"/>
        <v>0.87347255652495592</v>
      </c>
      <c r="S193" s="837">
        <f t="shared" si="55"/>
        <v>1</v>
      </c>
      <c r="T193" s="178">
        <f t="shared" si="56"/>
        <v>7</v>
      </c>
      <c r="U193" s="253">
        <f t="shared" si="57"/>
        <v>1.8734725565249559</v>
      </c>
      <c r="V193" s="385">
        <f t="shared" si="58"/>
        <v>58.347599793226614</v>
      </c>
      <c r="W193" s="404">
        <f t="shared" si="59"/>
        <v>60.490102698669354</v>
      </c>
      <c r="X193" s="157">
        <f t="shared" si="60"/>
        <v>45470</v>
      </c>
      <c r="Y193" s="387">
        <f t="shared" si="61"/>
        <v>55.868888132445001</v>
      </c>
      <c r="Z193" s="387">
        <f t="shared" si="62"/>
        <v>58.744926247678784</v>
      </c>
      <c r="AA193" s="388">
        <f t="shared" si="63"/>
        <v>66.554415055853283</v>
      </c>
      <c r="AB193" s="199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0.11733990602457682</v>
      </c>
      <c r="AD193" s="233">
        <f>(INDEX(Models!$BJ193:$BT193,,AH193)*(1-AF193)+INDEX(Models!$BJ193:$BT193,,AH193+1)*AF193-ERP_i)*AE193*Ramure*Pc/MaxiM</f>
        <v>3.831266418118797E-4</v>
      </c>
      <c r="AE193" s="307">
        <f t="shared" si="65"/>
        <v>1</v>
      </c>
      <c r="AF193" s="179">
        <f t="shared" si="66"/>
        <v>0.87347255652495592</v>
      </c>
      <c r="AG193" s="837">
        <f t="shared" si="74"/>
        <v>1</v>
      </c>
      <c r="AH193" s="178">
        <f t="shared" si="67"/>
        <v>7</v>
      </c>
      <c r="AI193" s="227">
        <f t="shared" si="68"/>
        <v>1.8734725565249559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45471</v>
      </c>
      <c r="B194" s="1139">
        <f>IF(t&gt;Tmaj,'2023'!Wh/'2023'!Env_an*'2024'!Env_an,0.001*'[8]mon-tableau'!$B$230)</f>
        <v>56.166777145380337</v>
      </c>
      <c r="C194" s="866"/>
      <c r="D194" s="395">
        <f t="shared" si="50"/>
        <v>59.059524496567178</v>
      </c>
      <c r="E194" s="387">
        <f t="shared" si="75"/>
        <v>61.81861648535881</v>
      </c>
      <c r="F194" s="387">
        <f t="shared" si="51"/>
        <v>61.841859586867876</v>
      </c>
      <c r="G194" s="110">
        <f t="shared" si="76"/>
        <v>0.96398938801833722</v>
      </c>
      <c r="H194" s="414" t="b">
        <f>Wh_hp&gt;='2023'!Maxi_hp</f>
        <v>0</v>
      </c>
      <c r="I194" s="392">
        <f>IF(H194,Wh_hp,'2023'!Maxi_hp)</f>
        <v>61.842506845841385</v>
      </c>
      <c r="J194" s="85">
        <f>IF(H194,An,'2023'!An_max)</f>
        <v>2022</v>
      </c>
      <c r="K194" s="199">
        <f t="shared" si="52"/>
        <v>45471</v>
      </c>
      <c r="L194" s="147">
        <f>IF(t&lt;Tvie,1-EXP((T0-t)*PertePVj)+'2023'!Pspv,1-EXP((T0-t)*PertePVj)+Pspv)</f>
        <v>4.8980200498481508E-2</v>
      </c>
      <c r="M194" s="870"/>
      <c r="N194" s="870"/>
      <c r="O194" s="48">
        <f>IF(t&lt;Tnet,'2023'!Resal+('2023'!Salim-'2023'!Resal)*(1-EXP(('2023'!Tnet-t)/('2023'!Tau_j))),Resal+(Salim-Resal)*(1-EXP((Tnet-t)/(Tau_j))))*Salcycl</f>
        <v>4.4632056581937564E-2</v>
      </c>
      <c r="P194" s="171">
        <f>(INDEX(Models!$BJ194:$BT194,,T194)*(1-R194)+INDEX(Models!$BJ194:$BT194,,T194+1)*R194-ERP_i)*Q194*Ramure*Pc/MaxiM</f>
        <v>3.9621926719670748E-4</v>
      </c>
      <c r="Q194" s="307">
        <f t="shared" si="53"/>
        <v>1</v>
      </c>
      <c r="R194" s="179">
        <f t="shared" si="54"/>
        <v>0.87972822038943721</v>
      </c>
      <c r="S194" s="837">
        <f t="shared" si="55"/>
        <v>1</v>
      </c>
      <c r="T194" s="178">
        <f t="shared" si="56"/>
        <v>7</v>
      </c>
      <c r="U194" s="253">
        <f t="shared" si="57"/>
        <v>1.8797282203894372</v>
      </c>
      <c r="V194" s="385">
        <f t="shared" si="58"/>
        <v>58.263745628911479</v>
      </c>
      <c r="W194" s="404">
        <f t="shared" si="59"/>
        <v>56.166777145380337</v>
      </c>
      <c r="X194" s="157">
        <f t="shared" si="60"/>
        <v>45471</v>
      </c>
      <c r="Y194" s="387">
        <f t="shared" si="61"/>
        <v>51.880324727443082</v>
      </c>
      <c r="Z194" s="387">
        <f t="shared" si="62"/>
        <v>54.552307696050491</v>
      </c>
      <c r="AA194" s="388">
        <f t="shared" si="63"/>
        <v>61.81861648535881</v>
      </c>
      <c r="AB194" s="199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0.11754240392987886</v>
      </c>
      <c r="AD194" s="233">
        <f>(INDEX(Models!$BJ194:$BT194,,AH194)*(1-AF194)+INDEX(Models!$BJ194:$BT194,,AH194+1)*AF194-ERP_i)*AE194*Ramure*Pc/MaxiM</f>
        <v>3.9621926719670748E-4</v>
      </c>
      <c r="AE194" s="307">
        <f t="shared" si="65"/>
        <v>1</v>
      </c>
      <c r="AF194" s="179">
        <f t="shared" si="66"/>
        <v>0.87972822038943721</v>
      </c>
      <c r="AG194" s="837">
        <f t="shared" si="74"/>
        <v>1</v>
      </c>
      <c r="AH194" s="178">
        <f t="shared" si="67"/>
        <v>7</v>
      </c>
      <c r="AI194" s="227">
        <f t="shared" si="68"/>
        <v>1.8797282203894372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45472</v>
      </c>
      <c r="B195" s="1139">
        <f>IF(t&gt;Tmaj,'2023'!Wh/'2023'!Env_an*'2024'!Env_an,0.001*'[8]mon-tableau'!$B$231)</f>
        <v>13.603444142850671</v>
      </c>
      <c r="C195" s="866"/>
      <c r="D195" s="395">
        <f t="shared" si="50"/>
        <v>14.304392746993248</v>
      </c>
      <c r="E195" s="387">
        <f t="shared" si="75"/>
        <v>14.977357692018135</v>
      </c>
      <c r="F195" s="387">
        <f t="shared" si="51"/>
        <v>14.977357692018135</v>
      </c>
      <c r="G195" s="110">
        <f t="shared" si="76"/>
        <v>0.23372973213414422</v>
      </c>
      <c r="H195" s="414" t="b">
        <f>Wh_hp&gt;='2023'!Maxi_hp</f>
        <v>0</v>
      </c>
      <c r="I195" s="392">
        <f>IF(H195,Wh_hp,'2023'!Maxi_hp)</f>
        <v>57.491267700625883</v>
      </c>
      <c r="J195" s="85">
        <f>IF(H195,An,'2023'!An_max)</f>
        <v>2019</v>
      </c>
      <c r="K195" s="199">
        <f t="shared" si="52"/>
        <v>45472</v>
      </c>
      <c r="L195" s="147">
        <f>IF(t&lt;Tvie,1-EXP((T0-t)*PertePVj)+'2023'!Pspv,1-EXP((T0-t)*PertePVj)+Pspv)</f>
        <v>4.9002332118566416E-2</v>
      </c>
      <c r="M195" s="870"/>
      <c r="N195" s="870"/>
      <c r="O195" s="48">
        <f>IF(t&lt;Tnet,'2023'!Resal+('2023'!Salim-'2023'!Resal)*(1-EXP(('2023'!Tnet-t)/('2023'!Tau_j))),Resal+(Salim-Resal)*(1-EXP((Tnet-t)/(Tau_j))))*Salcycl</f>
        <v>4.4932154179874402E-2</v>
      </c>
      <c r="P195" s="171">
        <f>(INDEX(Models!$BJ195:$BT195,,T195)*(1-R195)+INDEX(Models!$BJ195:$BT195,,T195+1)*R195-ERP_i)*Q195*Ramure*Pc/MaxiM</f>
        <v>4.1139715127820853E-4</v>
      </c>
      <c r="Q195" s="307">
        <f t="shared" si="53"/>
        <v>1</v>
      </c>
      <c r="R195" s="179">
        <f t="shared" si="54"/>
        <v>0.88588906073321505</v>
      </c>
      <c r="S195" s="837">
        <f t="shared" si="55"/>
        <v>1</v>
      </c>
      <c r="T195" s="178">
        <f t="shared" si="56"/>
        <v>7</v>
      </c>
      <c r="U195" s="253">
        <f t="shared" si="57"/>
        <v>1.8858890607332151</v>
      </c>
      <c r="V195" s="385">
        <f t="shared" si="58"/>
        <v>58.177655022847219</v>
      </c>
      <c r="W195" s="404">
        <f t="shared" si="59"/>
        <v>13.603444142850671</v>
      </c>
      <c r="X195" s="157">
        <f t="shared" si="60"/>
        <v>45472</v>
      </c>
      <c r="Y195" s="387">
        <f t="shared" si="61"/>
        <v>12.566393299909988</v>
      </c>
      <c r="Z195" s="387">
        <f t="shared" si="62"/>
        <v>13.213905485072875</v>
      </c>
      <c r="AA195" s="388">
        <f t="shared" si="63"/>
        <v>14.977357692018135</v>
      </c>
      <c r="AB195" s="199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0.11774120931124292</v>
      </c>
      <c r="AD195" s="233">
        <f>(INDEX(Models!$BJ195:$BT195,,AH195)*(1-AF195)+INDEX(Models!$BJ195:$BT195,,AH195+1)*AF195-ERP_i)*AE195*Ramure*Pc/MaxiM</f>
        <v>4.1139715127820853E-4</v>
      </c>
      <c r="AE195" s="307">
        <f t="shared" si="65"/>
        <v>1</v>
      </c>
      <c r="AF195" s="179">
        <f t="shared" si="66"/>
        <v>0.88588906073321505</v>
      </c>
      <c r="AG195" s="837">
        <f t="shared" si="74"/>
        <v>1</v>
      </c>
      <c r="AH195" s="178">
        <f t="shared" si="67"/>
        <v>7</v>
      </c>
      <c r="AI195" s="227">
        <f t="shared" si="68"/>
        <v>1.8858890607332151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45473</v>
      </c>
      <c r="B196" s="1139">
        <f>IF(t&gt;Tmaj,'2023'!Wh/'2023'!Env_an*'2024'!Env_an,0.001*[9]mois!$B$208)</f>
        <v>55.486275125591092</v>
      </c>
      <c r="C196" s="866"/>
      <c r="D196" s="395">
        <f t="shared" si="50"/>
        <v>58.346690298341876</v>
      </c>
      <c r="E196" s="387">
        <f t="shared" si="75"/>
        <v>61.110770806802783</v>
      </c>
      <c r="F196" s="387">
        <f t="shared" si="51"/>
        <v>61.13530112573676</v>
      </c>
      <c r="G196" s="110">
        <f t="shared" si="76"/>
        <v>0.95516592843195847</v>
      </c>
      <c r="H196" s="414" t="b">
        <f>Wh_hp&gt;='2023'!Maxi_hp</f>
        <v>0</v>
      </c>
      <c r="I196" s="392">
        <f>IF(H196,Wh_hp,'2023'!Maxi_hp)</f>
        <v>61.136183783970139</v>
      </c>
      <c r="J196" s="85">
        <f>IF(H196,An,'2023'!An_max)</f>
        <v>2022</v>
      </c>
      <c r="K196" s="199">
        <f t="shared" si="52"/>
        <v>45473</v>
      </c>
      <c r="L196" s="147">
        <f>IF(t&lt;Tvie,1-EXP((T0-t)*PertePVj)+'2023'!Pspv,1-EXP((T0-t)*PertePVj)+Pspv)</f>
        <v>4.9024463223616199E-2</v>
      </c>
      <c r="M196" s="870"/>
      <c r="N196" s="870"/>
      <c r="O196" s="48">
        <f>IF(t&lt;Tnet,'2023'!Resal+('2023'!Salim-'2023'!Resal)*(1-EXP(('2023'!Tnet-t)/('2023'!Tau_j))),Resal+(Salim-Resal)*(1-EXP((Tnet-t)/(Tau_j))))*Salcycl</f>
        <v>4.5230660192445322E-2</v>
      </c>
      <c r="P196" s="171">
        <f>(INDEX(Models!$BJ196:$BT196,,T196)*(1-R196)+INDEX(Models!$BJ196:$BT196,,T196+1)*R196-ERP_i)*Q196*Ramure*Pc/MaxiM</f>
        <v>4.2868717758894065E-4</v>
      </c>
      <c r="Q196" s="307">
        <f t="shared" si="53"/>
        <v>1</v>
      </c>
      <c r="R196" s="179">
        <f t="shared" si="54"/>
        <v>0.89195213526253503</v>
      </c>
      <c r="S196" s="837">
        <f t="shared" si="55"/>
        <v>1</v>
      </c>
      <c r="T196" s="178">
        <f t="shared" si="56"/>
        <v>7</v>
      </c>
      <c r="U196" s="253">
        <f t="shared" si="57"/>
        <v>1.891952135262535</v>
      </c>
      <c r="V196" s="385">
        <f t="shared" si="58"/>
        <v>58.089123864018269</v>
      </c>
      <c r="W196" s="404">
        <f t="shared" si="59"/>
        <v>55.486275125591092</v>
      </c>
      <c r="X196" s="157">
        <f t="shared" si="60"/>
        <v>45473</v>
      </c>
      <c r="Y196" s="387">
        <f t="shared" si="61"/>
        <v>51.260993720280823</v>
      </c>
      <c r="Z196" s="387">
        <f t="shared" si="62"/>
        <v>53.903588197489604</v>
      </c>
      <c r="AA196" s="388">
        <f t="shared" si="63"/>
        <v>61.110770806802783</v>
      </c>
      <c r="AB196" s="199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0.11793637216748841</v>
      </c>
      <c r="AD196" s="233">
        <f>(INDEX(Models!$BJ196:$BT196,,AH196)*(1-AF196)+INDEX(Models!$BJ196:$BT196,,AH196+1)*AF196-ERP_i)*AE196*Ramure*Pc/MaxiM</f>
        <v>4.2868717758894065E-4</v>
      </c>
      <c r="AE196" s="307">
        <f t="shared" si="65"/>
        <v>1</v>
      </c>
      <c r="AF196" s="179">
        <f t="shared" si="66"/>
        <v>0.89195213526253503</v>
      </c>
      <c r="AG196" s="837">
        <f t="shared" si="74"/>
        <v>1</v>
      </c>
      <c r="AH196" s="178">
        <f t="shared" si="67"/>
        <v>7</v>
      </c>
      <c r="AI196" s="227">
        <f t="shared" si="68"/>
        <v>1.891952135262535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45474</v>
      </c>
      <c r="B197" s="1139">
        <f>IF(t&gt;Tmaj,'2023'!Wh/'2023'!Env_an*'2024'!Env_an,0.001*[9]mois!$B$209)</f>
        <v>51.663872106207421</v>
      </c>
      <c r="C197" s="866"/>
      <c r="D197" s="395">
        <f t="shared" si="50"/>
        <v>54.328499977088171</v>
      </c>
      <c r="E197" s="387">
        <f t="shared" si="75"/>
        <v>56.919926319739965</v>
      </c>
      <c r="F197" s="387">
        <f t="shared" si="51"/>
        <v>56.941461723869196</v>
      </c>
      <c r="G197" s="110">
        <f t="shared" si="76"/>
        <v>0.89072562746632344</v>
      </c>
      <c r="H197" s="414" t="b">
        <f>Wh_hp&gt;='2023'!Maxi_hp</f>
        <v>0</v>
      </c>
      <c r="I197" s="392">
        <f>IF(H197,Wh_hp,'2023'!Maxi_hp)</f>
        <v>57.066664805016352</v>
      </c>
      <c r="J197" s="85">
        <f>IF(H197,An,'2023'!An_max)</f>
        <v>2021</v>
      </c>
      <c r="K197" s="199">
        <f t="shared" si="52"/>
        <v>45474</v>
      </c>
      <c r="L197" s="147">
        <f>IF(t&lt;Tvie,1-EXP((T0-t)*PertePVj)+'2023'!Pspv,1-EXP((T0-t)*PertePVj)+Pspv)</f>
        <v>4.9046593813642847E-2</v>
      </c>
      <c r="M197" s="870"/>
      <c r="N197" s="870"/>
      <c r="O197" s="48">
        <f>IF(t&lt;Tnet,'2023'!Resal+('2023'!Salim-'2023'!Resal)*(1-EXP(('2023'!Tnet-t)/('2023'!Tau_j))),Resal+(Salim-Resal)*(1-EXP((Tnet-t)/(Tau_j))))*Salcycl</f>
        <v>4.5527577251151162E-2</v>
      </c>
      <c r="P197" s="171">
        <f>(INDEX(Models!$BJ197:$BT197,,T197)*(1-R197)+INDEX(Models!$BJ197:$BT197,,T197+1)*R197-ERP_i)*Q197*Ramure*Pc/MaxiM</f>
        <v>4.4811640267226221E-4</v>
      </c>
      <c r="Q197" s="307">
        <f t="shared" si="53"/>
        <v>1</v>
      </c>
      <c r="R197" s="179">
        <f t="shared" si="54"/>
        <v>0.89791475669325993</v>
      </c>
      <c r="S197" s="837">
        <f t="shared" si="55"/>
        <v>1</v>
      </c>
      <c r="T197" s="178">
        <f t="shared" si="56"/>
        <v>7</v>
      </c>
      <c r="U197" s="253">
        <f t="shared" si="57"/>
        <v>1.8979147566932599</v>
      </c>
      <c r="V197" s="385">
        <f t="shared" si="58"/>
        <v>57.997948104962568</v>
      </c>
      <c r="W197" s="404">
        <f t="shared" si="59"/>
        <v>51.663872106207421</v>
      </c>
      <c r="X197" s="157">
        <f t="shared" si="60"/>
        <v>45474</v>
      </c>
      <c r="Y197" s="387">
        <f t="shared" si="61"/>
        <v>47.734144724731536</v>
      </c>
      <c r="Z197" s="387">
        <f t="shared" si="62"/>
        <v>50.196092063186882</v>
      </c>
      <c r="AA197" s="388">
        <f t="shared" si="63"/>
        <v>56.919926319739965</v>
      </c>
      <c r="AB197" s="199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0.11812795081256532</v>
      </c>
      <c r="AD197" s="233">
        <f>(INDEX(Models!$BJ197:$BT197,,AH197)*(1-AF197)+INDEX(Models!$BJ197:$BT197,,AH197+1)*AF197-ERP_i)*AE197*Ramure*Pc/MaxiM</f>
        <v>4.4811640267226221E-4</v>
      </c>
      <c r="AE197" s="307">
        <f t="shared" si="65"/>
        <v>1</v>
      </c>
      <c r="AF197" s="179">
        <f t="shared" si="66"/>
        <v>0.89791475669325993</v>
      </c>
      <c r="AG197" s="837">
        <f t="shared" si="74"/>
        <v>1</v>
      </c>
      <c r="AH197" s="178">
        <f t="shared" si="67"/>
        <v>7</v>
      </c>
      <c r="AI197" s="227">
        <f t="shared" si="68"/>
        <v>1.8979147566932599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45475</v>
      </c>
      <c r="B198" s="1139">
        <f>IF(t&gt;Tmaj,'2023'!Wh/'2023'!Env_an*'2024'!Env_an,0.001*[9]mois!$B$210)</f>
        <v>43.711623894935911</v>
      </c>
      <c r="C198" s="866"/>
      <c r="D198" s="395">
        <f t="shared" si="50"/>
        <v>45.96717448782055</v>
      </c>
      <c r="E198" s="387">
        <f t="shared" si="75"/>
        <v>48.174678523816617</v>
      </c>
      <c r="F198" s="387">
        <f t="shared" si="51"/>
        <v>48.189451513116687</v>
      </c>
      <c r="G198" s="110">
        <f t="shared" si="76"/>
        <v>0.75477596759094256</v>
      </c>
      <c r="H198" s="414" t="b">
        <f>Wh_hp&gt;='2023'!Maxi_hp</f>
        <v>0</v>
      </c>
      <c r="I198" s="392">
        <f>IF(H198,Wh_hp,'2023'!Maxi_hp)</f>
        <v>51.612823612045531</v>
      </c>
      <c r="J198" s="85">
        <f>IF(H198,An,'2023'!An_max)</f>
        <v>2019</v>
      </c>
      <c r="K198" s="199">
        <f t="shared" si="52"/>
        <v>45475</v>
      </c>
      <c r="L198" s="147">
        <f>IF(t&lt;Tvie,1-EXP((T0-t)*PertePVj)+'2023'!Pspv,1-EXP((T0-t)*PertePVj)+Pspv)</f>
        <v>4.9068723888658239E-2</v>
      </c>
      <c r="M198" s="870"/>
      <c r="N198" s="870"/>
      <c r="O198" s="48">
        <f>IF(t&lt;Tnet,'2023'!Resal+('2023'!Salim-'2023'!Resal)*(1-EXP(('2023'!Tnet-t)/('2023'!Tau_j))),Resal+(Salim-Resal)*(1-EXP((Tnet-t)/(Tau_j))))*Salcycl</f>
        <v>4.5822911613301598E-2</v>
      </c>
      <c r="P198" s="171">
        <f>(INDEX(Models!$BJ198:$BT198,,T198)*(1-R198)+INDEX(Models!$BJ198:$BT198,,T198+1)*R198-ERP_i)*Q198*Ramure*Pc/MaxiM</f>
        <v>4.7173471684230223E-4</v>
      </c>
      <c r="Q198" s="307">
        <f t="shared" si="53"/>
        <v>1</v>
      </c>
      <c r="R198" s="179">
        <f t="shared" si="54"/>
        <v>0.9037744927674749</v>
      </c>
      <c r="S198" s="837">
        <f t="shared" si="55"/>
        <v>1</v>
      </c>
      <c r="T198" s="178">
        <f t="shared" si="56"/>
        <v>7</v>
      </c>
      <c r="U198" s="253">
        <f t="shared" si="57"/>
        <v>1.9037744927674749</v>
      </c>
      <c r="V198" s="385">
        <f t="shared" si="58"/>
        <v>57.90380660030106</v>
      </c>
      <c r="W198" s="404">
        <f t="shared" si="59"/>
        <v>43.711623894935911</v>
      </c>
      <c r="X198" s="157">
        <f t="shared" si="60"/>
        <v>45475</v>
      </c>
      <c r="Y198" s="387">
        <f t="shared" si="61"/>
        <v>40.390656383361495</v>
      </c>
      <c r="Z198" s="387">
        <f t="shared" si="62"/>
        <v>42.474842712642328</v>
      </c>
      <c r="AA198" s="388">
        <f t="shared" si="63"/>
        <v>48.174678523816617</v>
      </c>
      <c r="AB198" s="199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0.11831601135348327</v>
      </c>
      <c r="AD198" s="233">
        <f>(INDEX(Models!$BJ198:$BT198,,AH198)*(1-AF198)+INDEX(Models!$BJ198:$BT198,,AH198+1)*AF198-ERP_i)*AE198*Ramure*Pc/MaxiM</f>
        <v>4.7173471684230223E-4</v>
      </c>
      <c r="AE198" s="307">
        <f t="shared" si="65"/>
        <v>1</v>
      </c>
      <c r="AF198" s="179">
        <f t="shared" si="66"/>
        <v>0.9037744927674749</v>
      </c>
      <c r="AG198" s="837">
        <f t="shared" si="74"/>
        <v>1</v>
      </c>
      <c r="AH198" s="178">
        <f t="shared" si="67"/>
        <v>7</v>
      </c>
      <c r="AI198" s="227">
        <f t="shared" si="68"/>
        <v>1.9037744927674749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45476</v>
      </c>
      <c r="B199" s="1139">
        <f>IF(t&gt;Tmaj,'2023'!Wh/'2023'!Env_an*'2024'!Env_an,0.001*[9]mois!$B$211)</f>
        <v>45.863471261110675</v>
      </c>
      <c r="C199" s="866"/>
      <c r="D199" s="395">
        <f t="shared" si="50"/>
        <v>48.231181104361362</v>
      </c>
      <c r="E199" s="387">
        <f t="shared" si="75"/>
        <v>50.5629773995704</v>
      </c>
      <c r="F199" s="387">
        <f t="shared" si="51"/>
        <v>50.580761272649383</v>
      </c>
      <c r="G199" s="110">
        <f t="shared" si="76"/>
        <v>0.79327904854702647</v>
      </c>
      <c r="H199" s="414" t="b">
        <f>Wh_hp&gt;='2023'!Maxi_hp</f>
        <v>0</v>
      </c>
      <c r="I199" s="392">
        <f>IF(H199,Wh_hp,'2023'!Maxi_hp)</f>
        <v>59.307857255602293</v>
      </c>
      <c r="J199" s="85">
        <f>IF(H199,An,'2023'!An_max)</f>
        <v>2019</v>
      </c>
      <c r="K199" s="199">
        <f t="shared" si="52"/>
        <v>45476</v>
      </c>
      <c r="L199" s="147">
        <f>IF(t&lt;Tvie,1-EXP((T0-t)*PertePVj)+'2023'!Pspv,1-EXP((T0-t)*PertePVj)+Pspv)</f>
        <v>4.9090853448674587E-2</v>
      </c>
      <c r="M199" s="870"/>
      <c r="N199" s="870"/>
      <c r="O199" s="48">
        <f>IF(t&lt;Tnet,'2023'!Resal+('2023'!Salim-'2023'!Resal)*(1-EXP(('2023'!Tnet-t)/('2023'!Tau_j))),Resal+(Salim-Resal)*(1-EXP((Tnet-t)/(Tau_j))))*Salcycl</f>
        <v>4.6116673011206977E-2</v>
      </c>
      <c r="P199" s="171">
        <f>(INDEX(Models!$BJ199:$BT199,,T199)*(1-R199)+INDEX(Models!$BJ199:$BT199,,T199+1)*R199-ERP_i)*Q199*Ramure*Pc/MaxiM</f>
        <v>4.9881958203878681E-4</v>
      </c>
      <c r="Q199" s="307">
        <f t="shared" si="53"/>
        <v>1</v>
      </c>
      <c r="R199" s="179">
        <f t="shared" si="54"/>
        <v>0.90952916508101489</v>
      </c>
      <c r="S199" s="837">
        <f t="shared" si="55"/>
        <v>1</v>
      </c>
      <c r="T199" s="178">
        <f t="shared" si="56"/>
        <v>7</v>
      </c>
      <c r="U199" s="253">
        <f t="shared" si="57"/>
        <v>1.9095291650810149</v>
      </c>
      <c r="V199" s="385">
        <f t="shared" si="58"/>
        <v>57.80653942220502</v>
      </c>
      <c r="W199" s="404">
        <f t="shared" si="59"/>
        <v>45.863471261110675</v>
      </c>
      <c r="X199" s="157">
        <f t="shared" si="60"/>
        <v>45476</v>
      </c>
      <c r="Y199" s="387">
        <f t="shared" si="61"/>
        <v>42.383193007348623</v>
      </c>
      <c r="Z199" s="387">
        <f t="shared" si="62"/>
        <v>44.571232868103436</v>
      </c>
      <c r="AA199" s="388">
        <f t="shared" si="63"/>
        <v>50.5629773995704</v>
      </c>
      <c r="AB199" s="199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0.11850062713114413</v>
      </c>
      <c r="AD199" s="233">
        <f>(INDEX(Models!$BJ199:$BT199,,AH199)*(1-AF199)+INDEX(Models!$BJ199:$BT199,,AH199+1)*AF199-ERP_i)*AE199*Ramure*Pc/MaxiM</f>
        <v>4.9881958203878681E-4</v>
      </c>
      <c r="AE199" s="307">
        <f t="shared" si="65"/>
        <v>1</v>
      </c>
      <c r="AF199" s="179">
        <f t="shared" si="66"/>
        <v>0.90952916508101489</v>
      </c>
      <c r="AG199" s="837">
        <f t="shared" si="74"/>
        <v>1</v>
      </c>
      <c r="AH199" s="178">
        <f t="shared" si="67"/>
        <v>7</v>
      </c>
      <c r="AI199" s="227">
        <f t="shared" si="68"/>
        <v>1.9095291650810149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45477</v>
      </c>
      <c r="B200" s="1139">
        <f>IF(t&gt;Tmaj,'2023'!Wh/'2023'!Env_an*'2024'!Env_an,0.001*[9]mois!$B$212)</f>
        <v>55.285001533506673</v>
      </c>
      <c r="C200" s="866"/>
      <c r="D200" s="395">
        <f t="shared" si="50"/>
        <v>58.14045256237879</v>
      </c>
      <c r="E200" s="387">
        <f t="shared" si="75"/>
        <v>60.970001719303909</v>
      </c>
      <c r="F200" s="387">
        <f t="shared" si="51"/>
        <v>61.000359827164161</v>
      </c>
      <c r="G200" s="110">
        <f t="shared" si="76"/>
        <v>0.95801651524813136</v>
      </c>
      <c r="H200" s="414" t="b">
        <f>Wh_hp&gt;='2023'!Maxi_hp</f>
        <v>0</v>
      </c>
      <c r="I200" s="392">
        <f>IF(H200,Wh_hp,'2023'!Maxi_hp)</f>
        <v>62.396203571574965</v>
      </c>
      <c r="J200" s="85">
        <f>IF(H200,An,'2023'!An_max)</f>
        <v>2021</v>
      </c>
      <c r="K200" s="199">
        <f t="shared" si="52"/>
        <v>45477</v>
      </c>
      <c r="L200" s="147">
        <f>IF(t&lt;Tvie,1-EXP((T0-t)*PertePVj)+'2023'!Pspv,1-EXP((T0-t)*PertePVj)+Pspv)</f>
        <v>4.9112982493703661E-2</v>
      </c>
      <c r="M200" s="870"/>
      <c r="N200" s="870"/>
      <c r="O200" s="48">
        <f>IF(t&lt;Tnet,'2023'!Resal+('2023'!Salim-'2023'!Resal)*(1-EXP(('2023'!Tnet-t)/('2023'!Tau_j))),Resal+(Salim-Resal)*(1-EXP((Tnet-t)/(Tau_j))))*Salcycl</f>
        <v>4.6408874481452457E-2</v>
      </c>
      <c r="P200" s="171">
        <f>(INDEX(Models!$BJ200:$BT200,,T200)*(1-R200)+INDEX(Models!$BJ200:$BT200,,T200+1)*R200-ERP_i)*Q200*Ramure*Pc/MaxiM</f>
        <v>5.2939943929037519E-4</v>
      </c>
      <c r="Q200" s="307">
        <f t="shared" si="53"/>
        <v>1</v>
      </c>
      <c r="R200" s="179">
        <f t="shared" si="54"/>
        <v>0.91517684678497835</v>
      </c>
      <c r="S200" s="837">
        <f t="shared" si="55"/>
        <v>1</v>
      </c>
      <c r="T200" s="178">
        <f t="shared" si="56"/>
        <v>7</v>
      </c>
      <c r="U200" s="253">
        <f t="shared" si="57"/>
        <v>1.9151768467849783</v>
      </c>
      <c r="V200" s="385">
        <f t="shared" si="58"/>
        <v>57.705943134980046</v>
      </c>
      <c r="W200" s="404">
        <f t="shared" si="59"/>
        <v>55.285001533506673</v>
      </c>
      <c r="X200" s="157">
        <f t="shared" si="60"/>
        <v>45477</v>
      </c>
      <c r="Y200" s="387">
        <f t="shared" si="61"/>
        <v>51.094932005246548</v>
      </c>
      <c r="Z200" s="387">
        <f t="shared" si="62"/>
        <v>53.733967405763032</v>
      </c>
      <c r="AA200" s="388">
        <f t="shared" si="63"/>
        <v>60.970001719303909</v>
      </c>
      <c r="AB200" s="199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0.11868187812843471</v>
      </c>
      <c r="AD200" s="233">
        <f>(INDEX(Models!$BJ200:$BT200,,AH200)*(1-AF200)+INDEX(Models!$BJ200:$BT200,,AH200+1)*AF200-ERP_i)*AE200*Ramure*Pc/MaxiM</f>
        <v>5.2939943929037519E-4</v>
      </c>
      <c r="AE200" s="307">
        <f t="shared" si="65"/>
        <v>1</v>
      </c>
      <c r="AF200" s="179">
        <f t="shared" si="66"/>
        <v>0.91517684678497835</v>
      </c>
      <c r="AG200" s="837">
        <f t="shared" si="74"/>
        <v>1</v>
      </c>
      <c r="AH200" s="178">
        <f t="shared" si="67"/>
        <v>7</v>
      </c>
      <c r="AI200" s="227">
        <f t="shared" si="68"/>
        <v>1.9151768467849783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45478</v>
      </c>
      <c r="B201" s="1139">
        <f>IF(t&gt;Tmaj,'2023'!Wh/'2023'!Env_an*'2024'!Env_an,0.001*[9]mois!$B$213)</f>
        <v>42.827567933220934</v>
      </c>
      <c r="C201" s="866"/>
      <c r="D201" s="395">
        <f t="shared" si="50"/>
        <v>45.040645027214786</v>
      </c>
      <c r="E201" s="387">
        <f t="shared" si="75"/>
        <v>47.247060656554503</v>
      </c>
      <c r="F201" s="387">
        <f t="shared" si="51"/>
        <v>47.263935236146509</v>
      </c>
      <c r="G201" s="110">
        <f t="shared" si="76"/>
        <v>0.74335717360333275</v>
      </c>
      <c r="H201" s="414" t="b">
        <f>Wh_hp&gt;='2023'!Maxi_hp</f>
        <v>0</v>
      </c>
      <c r="I201" s="392">
        <f>IF(H201,Wh_hp,'2023'!Maxi_hp)</f>
        <v>61.545383485754634</v>
      </c>
      <c r="J201" s="85">
        <f>IF(H201,An,'2023'!An_max)</f>
        <v>2020</v>
      </c>
      <c r="K201" s="199">
        <f t="shared" si="52"/>
        <v>45478</v>
      </c>
      <c r="L201" s="147">
        <f>IF(t&lt;Tvie,1-EXP((T0-t)*PertePVj)+'2023'!Pspv,1-EXP((T0-t)*PertePVj)+Pspv)</f>
        <v>4.9135111023757561E-2</v>
      </c>
      <c r="M201" s="870"/>
      <c r="N201" s="870"/>
      <c r="O201" s="48">
        <f>IF(t&lt;Tnet,'2023'!Resal+('2023'!Salim-'2023'!Resal)*(1-EXP(('2023'!Tnet-t)/('2023'!Tau_j))),Resal+(Salim-Resal)*(1-EXP((Tnet-t)/(Tau_j))))*Salcycl</f>
        <v>4.6699532175735928E-2</v>
      </c>
      <c r="P201" s="171">
        <f>(INDEX(Models!$BJ201:$BT201,,T201)*(1-R201)+INDEX(Models!$BJ201:$BT201,,T201+1)*R201-ERP_i)*Q201*Ramure*Pc/MaxiM</f>
        <v>5.6350396624150481E-4</v>
      </c>
      <c r="Q201" s="307">
        <f t="shared" si="53"/>
        <v>1</v>
      </c>
      <c r="R201" s="179">
        <f t="shared" si="54"/>
        <v>0.92071585923055488</v>
      </c>
      <c r="S201" s="837">
        <f t="shared" si="55"/>
        <v>1</v>
      </c>
      <c r="T201" s="178">
        <f t="shared" si="56"/>
        <v>7</v>
      </c>
      <c r="U201" s="253">
        <f t="shared" si="57"/>
        <v>1.9207158592305549</v>
      </c>
      <c r="V201" s="385">
        <f t="shared" si="58"/>
        <v>57.601814390652784</v>
      </c>
      <c r="W201" s="404">
        <f t="shared" si="59"/>
        <v>42.827567933220934</v>
      </c>
      <c r="X201" s="157">
        <f t="shared" si="60"/>
        <v>45478</v>
      </c>
      <c r="Y201" s="387">
        <f t="shared" si="61"/>
        <v>39.585724429512375</v>
      </c>
      <c r="Z201" s="387">
        <f t="shared" si="62"/>
        <v>41.631282097431018</v>
      </c>
      <c r="AA201" s="388">
        <f t="shared" si="63"/>
        <v>47.247060656554503</v>
      </c>
      <c r="AB201" s="199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0.11885985035017026</v>
      </c>
      <c r="AD201" s="233">
        <f>(INDEX(Models!$BJ201:$BT201,,AH201)*(1-AF201)+INDEX(Models!$BJ201:$BT201,,AH201+1)*AF201-ERP_i)*AE201*Ramure*Pc/MaxiM</f>
        <v>5.6350396624150481E-4</v>
      </c>
      <c r="AE201" s="307">
        <f t="shared" si="65"/>
        <v>1</v>
      </c>
      <c r="AF201" s="179">
        <f t="shared" si="66"/>
        <v>0.92071585923055488</v>
      </c>
      <c r="AG201" s="837">
        <f t="shared" si="74"/>
        <v>1</v>
      </c>
      <c r="AH201" s="178">
        <f t="shared" si="67"/>
        <v>7</v>
      </c>
      <c r="AI201" s="227">
        <f t="shared" si="68"/>
        <v>1.9207158592305549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45479</v>
      </c>
      <c r="B202" s="1139">
        <f>IF(t&gt;Tmaj,'2023'!Wh/'2023'!Env_an*'2024'!Env_an,0.001*[9]mois!$B$214)</f>
        <v>53.17882224961005</v>
      </c>
      <c r="C202" s="866"/>
      <c r="D202" s="395">
        <f t="shared" si="50"/>
        <v>55.92809288031458</v>
      </c>
      <c r="E202" s="387">
        <f t="shared" si="75"/>
        <v>58.685653397191821</v>
      </c>
      <c r="F202" s="387">
        <f t="shared" si="51"/>
        <v>58.717167356978756</v>
      </c>
      <c r="G202" s="110">
        <f t="shared" si="76"/>
        <v>0.92488675334493342</v>
      </c>
      <c r="H202" s="414" t="b">
        <f>Wh_hp&gt;='2023'!Maxi_hp</f>
        <v>0</v>
      </c>
      <c r="I202" s="392">
        <f>IF(H202,Wh_hp,'2023'!Maxi_hp)</f>
        <v>58.7192468171447</v>
      </c>
      <c r="J202" s="85">
        <f>IF(H202,An,'2023'!An_max)</f>
        <v>2022</v>
      </c>
      <c r="K202" s="199">
        <f t="shared" si="52"/>
        <v>45479</v>
      </c>
      <c r="L202" s="147">
        <f>IF(t&lt;Tvie,1-EXP((T0-t)*PertePVj)+'2023'!Pspv,1-EXP((T0-t)*PertePVj)+Pspv)</f>
        <v>4.9157239038848277E-2</v>
      </c>
      <c r="M202" s="870"/>
      <c r="N202" s="870"/>
      <c r="O202" s="48">
        <f>IF(t&lt;Tnet,'2023'!Resal+('2023'!Salim-'2023'!Resal)*(1-EXP(('2023'!Tnet-t)/('2023'!Tau_j))),Resal+(Salim-Resal)*(1-EXP((Tnet-t)/(Tau_j))))*Salcycl</f>
        <v>4.6988665154901278E-2</v>
      </c>
      <c r="P202" s="171">
        <f>(INDEX(Models!$BJ202:$BT202,,T202)*(1-R202)+INDEX(Models!$BJ202:$BT202,,T202+1)*R202-ERP_i)*Q202*Ramure*Pc/MaxiM</f>
        <v>6.0116425108622587E-4</v>
      </c>
      <c r="Q202" s="307">
        <f t="shared" si="53"/>
        <v>1</v>
      </c>
      <c r="R202" s="179">
        <f t="shared" si="54"/>
        <v>0.92614476763161013</v>
      </c>
      <c r="S202" s="837">
        <f t="shared" si="55"/>
        <v>1</v>
      </c>
      <c r="T202" s="178">
        <f t="shared" si="56"/>
        <v>7</v>
      </c>
      <c r="U202" s="253">
        <f t="shared" si="57"/>
        <v>1.9261447676316101</v>
      </c>
      <c r="V202" s="385">
        <f t="shared" si="58"/>
        <v>57.493949931409439</v>
      </c>
      <c r="W202" s="404">
        <f t="shared" si="59"/>
        <v>53.17882224961005</v>
      </c>
      <c r="X202" s="157">
        <f t="shared" si="60"/>
        <v>45479</v>
      </c>
      <c r="Y202" s="387">
        <f t="shared" si="61"/>
        <v>49.158597417372469</v>
      </c>
      <c r="Z202" s="387">
        <f t="shared" si="62"/>
        <v>51.700028054776269</v>
      </c>
      <c r="AA202" s="388">
        <f t="shared" si="63"/>
        <v>58.685653397191821</v>
      </c>
      <c r="AB202" s="199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0.11903463517967444</v>
      </c>
      <c r="AD202" s="233">
        <f>(INDEX(Models!$BJ202:$BT202,,AH202)*(1-AF202)+INDEX(Models!$BJ202:$BT202,,AH202+1)*AF202-ERP_i)*AE202*Ramure*Pc/MaxiM</f>
        <v>6.0116425108622587E-4</v>
      </c>
      <c r="AE202" s="307">
        <f t="shared" si="65"/>
        <v>1</v>
      </c>
      <c r="AF202" s="179">
        <f t="shared" si="66"/>
        <v>0.92614476763161013</v>
      </c>
      <c r="AG202" s="837">
        <f t="shared" si="74"/>
        <v>1</v>
      </c>
      <c r="AH202" s="178">
        <f t="shared" si="67"/>
        <v>7</v>
      </c>
      <c r="AI202" s="227">
        <f t="shared" si="68"/>
        <v>1.9261447676316101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45480</v>
      </c>
      <c r="B203" s="1139">
        <f>IF(t&gt;Tmaj,'2023'!Wh/'2023'!Env_an*'2024'!Env_an,0.001*[9]mois!$B$215)</f>
        <v>58.357742134271881</v>
      </c>
      <c r="C203" s="866"/>
      <c r="D203" s="395">
        <f t="shared" si="50"/>
        <v>61.376183983143228</v>
      </c>
      <c r="E203" s="387">
        <f t="shared" si="75"/>
        <v>64.421808412924676</v>
      </c>
      <c r="F203" s="387">
        <f t="shared" si="51"/>
        <v>64.463220422098431</v>
      </c>
      <c r="G203" s="110">
        <f t="shared" si="76"/>
        <v>1.017001725951227</v>
      </c>
      <c r="H203" s="414" t="b">
        <f>Wh_hp&gt;='2023'!Maxi_hp</f>
        <v>1</v>
      </c>
      <c r="I203" s="392">
        <f>IF(H203,Wh_hp,'2023'!Maxi_hp)</f>
        <v>64.463220422098431</v>
      </c>
      <c r="J203" s="85">
        <f>IF(H203,An,'2023'!An_max)</f>
        <v>2024</v>
      </c>
      <c r="K203" s="199">
        <f t="shared" si="52"/>
        <v>45480</v>
      </c>
      <c r="L203" s="147">
        <f>IF(t&lt;Tvie,1-EXP((T0-t)*PertePVj)+'2023'!Pspv,1-EXP((T0-t)*PertePVj)+Pspv)</f>
        <v>4.917936653898769E-2</v>
      </c>
      <c r="M203" s="870"/>
      <c r="N203" s="870"/>
      <c r="O203" s="48">
        <f>IF(t&lt;Tnet,'2023'!Resal+('2023'!Salim-'2023'!Resal)*(1-EXP(('2023'!Tnet-t)/('2023'!Tau_j))),Resal+(Salim-Resal)*(1-EXP((Tnet-t)/(Tau_j))))*Salcycl</f>
        <v>4.7276295167932962E-2</v>
      </c>
      <c r="P203" s="171">
        <f>(INDEX(Models!$BJ203:$BT203,,T203)*(1-R203)+INDEX(Models!$BJ203:$BT203,,T203+1)*R203-ERP_i)*Q203*Ramure*Pc/MaxiM</f>
        <v>6.4241297444638825E-4</v>
      </c>
      <c r="Q203" s="307">
        <f t="shared" si="53"/>
        <v>1</v>
      </c>
      <c r="R203" s="179">
        <f t="shared" si="54"/>
        <v>0.93146237582345348</v>
      </c>
      <c r="S203" s="837">
        <f t="shared" si="55"/>
        <v>1</v>
      </c>
      <c r="T203" s="178">
        <f t="shared" si="56"/>
        <v>7</v>
      </c>
      <c r="U203" s="253">
        <f t="shared" si="57"/>
        <v>1.9314623758234535</v>
      </c>
      <c r="V203" s="385">
        <f t="shared" si="58"/>
        <v>57.382146603230623</v>
      </c>
      <c r="W203" s="404">
        <f t="shared" si="59"/>
        <v>58.357742134271881</v>
      </c>
      <c r="X203" s="157">
        <f t="shared" si="60"/>
        <v>45480</v>
      </c>
      <c r="Y203" s="387">
        <f t="shared" si="61"/>
        <v>53.951769732963953</v>
      </c>
      <c r="Z203" s="387">
        <f t="shared" si="62"/>
        <v>56.742321142714459</v>
      </c>
      <c r="AA203" s="388">
        <f t="shared" si="63"/>
        <v>64.421808412924676</v>
      </c>
      <c r="AB203" s="199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0.11920632871693046</v>
      </c>
      <c r="AD203" s="233">
        <f>(INDEX(Models!$BJ203:$BT203,,AH203)*(1-AF203)+INDEX(Models!$BJ203:$BT203,,AH203+1)*AF203-ERP_i)*AE203*Ramure*Pc/MaxiM</f>
        <v>6.4241297444638825E-4</v>
      </c>
      <c r="AE203" s="307">
        <f t="shared" si="65"/>
        <v>1</v>
      </c>
      <c r="AF203" s="179">
        <f t="shared" si="66"/>
        <v>0.93146237582345348</v>
      </c>
      <c r="AG203" s="837">
        <f t="shared" si="74"/>
        <v>1</v>
      </c>
      <c r="AH203" s="178">
        <f t="shared" si="67"/>
        <v>7</v>
      </c>
      <c r="AI203" s="227">
        <f t="shared" si="68"/>
        <v>1.9314623758234535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45481</v>
      </c>
      <c r="B204" s="1139">
        <f>IF(t&gt;Tmaj,'2023'!Wh/'2023'!Env_an*'2024'!Env_an,0.001*[9]mois!$B$216)</f>
        <v>57.317540684695565</v>
      </c>
      <c r="C204" s="866"/>
      <c r="D204" s="395">
        <f t="shared" si="50"/>
        <v>60.283583003454893</v>
      </c>
      <c r="E204" s="387">
        <f t="shared" si="75"/>
        <v>63.294000511343562</v>
      </c>
      <c r="F204" s="387">
        <f t="shared" si="51"/>
        <v>63.337531421263037</v>
      </c>
      <c r="G204" s="110">
        <f t="shared" si="76"/>
        <v>1.0008965028877421</v>
      </c>
      <c r="H204" s="414" t="b">
        <f>Wh_hp&gt;='2023'!Maxi_hp</f>
        <v>1</v>
      </c>
      <c r="I204" s="392">
        <f>IF(H204,Wh_hp,'2023'!Maxi_hp)</f>
        <v>63.337531421263037</v>
      </c>
      <c r="J204" s="85">
        <f>IF(H204,An,'2023'!An_max)</f>
        <v>2024</v>
      </c>
      <c r="K204" s="199">
        <f t="shared" si="52"/>
        <v>45481</v>
      </c>
      <c r="L204" s="147">
        <f>IF(t&lt;Tvie,1-EXP((T0-t)*PertePVj)+'2023'!Pspv,1-EXP((T0-t)*PertePVj)+Pspv)</f>
        <v>4.92014935241879E-2</v>
      </c>
      <c r="M204" s="870"/>
      <c r="N204" s="870"/>
      <c r="O204" s="48">
        <f>IF(t&lt;Tnet,'2023'!Resal+('2023'!Salim-'2023'!Resal)*(1-EXP(('2023'!Tnet-t)/('2023'!Tau_j))),Resal+(Salim-Resal)*(1-EXP((Tnet-t)/(Tau_j))))*Salcycl</f>
        <v>4.7562446417795098E-2</v>
      </c>
      <c r="P204" s="171">
        <f>(INDEX(Models!$BJ204:$BT204,,T204)*(1-R204)+INDEX(Models!$BJ204:$BT204,,T204+1)*R204-ERP_i)*Q204*Ramure*Pc/MaxiM</f>
        <v>6.8728459955206373E-4</v>
      </c>
      <c r="Q204" s="307">
        <f t="shared" si="53"/>
        <v>1</v>
      </c>
      <c r="R204" s="179">
        <f t="shared" si="54"/>
        <v>0.93666772019908651</v>
      </c>
      <c r="S204" s="837">
        <f t="shared" si="55"/>
        <v>1</v>
      </c>
      <c r="T204" s="178">
        <f t="shared" si="56"/>
        <v>7</v>
      </c>
      <c r="U204" s="253">
        <f t="shared" si="57"/>
        <v>1.9366677201990865</v>
      </c>
      <c r="V204" s="385">
        <f t="shared" si="58"/>
        <v>57.266201369797521</v>
      </c>
      <c r="W204" s="404">
        <f t="shared" si="59"/>
        <v>57.317540684695565</v>
      </c>
      <c r="X204" s="157">
        <f t="shared" si="60"/>
        <v>45481</v>
      </c>
      <c r="Y204" s="387">
        <f t="shared" si="61"/>
        <v>52.995870745384671</v>
      </c>
      <c r="Z204" s="387">
        <f t="shared" si="62"/>
        <v>55.73827723164694</v>
      </c>
      <c r="AA204" s="388">
        <f t="shared" si="63"/>
        <v>63.294000511343562</v>
      </c>
      <c r="AB204" s="199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0.11937503110334263</v>
      </c>
      <c r="AD204" s="233">
        <f>(INDEX(Models!$BJ204:$BT204,,AH204)*(1-AF204)+INDEX(Models!$BJ204:$BT204,,AH204+1)*AF204-ERP_i)*AE204*Ramure*Pc/MaxiM</f>
        <v>6.8728459955206373E-4</v>
      </c>
      <c r="AE204" s="307">
        <f t="shared" si="65"/>
        <v>1</v>
      </c>
      <c r="AF204" s="179">
        <f t="shared" si="66"/>
        <v>0.93666772019908651</v>
      </c>
      <c r="AG204" s="837">
        <f t="shared" si="74"/>
        <v>1</v>
      </c>
      <c r="AH204" s="178">
        <f t="shared" si="67"/>
        <v>7</v>
      </c>
      <c r="AI204" s="227">
        <f t="shared" si="68"/>
        <v>1.9366677201990865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45482</v>
      </c>
      <c r="B205" s="1139">
        <f>IF(t&gt;Tmaj,'2023'!Wh/'2023'!Env_an*'2024'!Env_an,0.001*[9]mois!$B$217)</f>
        <v>56.735169764177371</v>
      </c>
      <c r="C205" s="866"/>
      <c r="D205" s="395">
        <f t="shared" si="50"/>
        <v>59.672464479867322</v>
      </c>
      <c r="E205" s="387">
        <f t="shared" si="75"/>
        <v>62.671097593545014</v>
      </c>
      <c r="F205" s="387">
        <f t="shared" si="51"/>
        <v>62.716771591058446</v>
      </c>
      <c r="G205" s="110">
        <f t="shared" si="76"/>
        <v>0.99280371394564348</v>
      </c>
      <c r="H205" s="414" t="b">
        <f>Wh_hp&gt;='2023'!Maxi_hp</f>
        <v>0</v>
      </c>
      <c r="I205" s="392">
        <f>IF(H205,Wh_hp,'2023'!Maxi_hp)</f>
        <v>63.097862001735528</v>
      </c>
      <c r="J205" s="85">
        <f>IF(H205,An,'2023'!An_max)</f>
        <v>2019</v>
      </c>
      <c r="K205" s="199">
        <f t="shared" si="52"/>
        <v>45482</v>
      </c>
      <c r="L205" s="147">
        <f>IF(t&lt;Tvie,1-EXP((T0-t)*PertePVj)+'2023'!Pspv,1-EXP((T0-t)*PertePVj)+Pspv)</f>
        <v>4.9223619994460788E-2</v>
      </c>
      <c r="M205" s="870"/>
      <c r="N205" s="870"/>
      <c r="O205" s="48">
        <f>IF(t&lt;Tnet,'2023'!Resal+('2023'!Salim-'2023'!Resal)*(1-EXP(('2023'!Tnet-t)/('2023'!Tau_j))),Resal+(Salim-Resal)*(1-EXP((Tnet-t)/(Tau_j))))*Salcycl</f>
        <v>4.7847145316097711E-2</v>
      </c>
      <c r="P205" s="171">
        <f>(INDEX(Models!$BJ205:$BT205,,T205)*(1-R205)+INDEX(Models!$BJ205:$BT205,,T205+1)*R205-ERP_i)*Q205*Ramure*Pc/MaxiM</f>
        <v>7.3581469339420935E-4</v>
      </c>
      <c r="Q205" s="307">
        <f t="shared" si="53"/>
        <v>1</v>
      </c>
      <c r="R205" s="179">
        <f t="shared" si="54"/>
        <v>0.94176006290604675</v>
      </c>
      <c r="S205" s="837">
        <f t="shared" si="55"/>
        <v>1</v>
      </c>
      <c r="T205" s="178">
        <f t="shared" si="56"/>
        <v>7</v>
      </c>
      <c r="U205" s="253">
        <f t="shared" si="57"/>
        <v>1.9417600629060467</v>
      </c>
      <c r="V205" s="385">
        <f t="shared" si="58"/>
        <v>57.145979543308556</v>
      </c>
      <c r="W205" s="404">
        <f t="shared" si="59"/>
        <v>56.735169764177371</v>
      </c>
      <c r="X205" s="157">
        <f t="shared" si="60"/>
        <v>45482</v>
      </c>
      <c r="Y205" s="387">
        <f t="shared" si="61"/>
        <v>52.463214636243364</v>
      </c>
      <c r="Z205" s="387">
        <f t="shared" si="62"/>
        <v>55.179341577603886</v>
      </c>
      <c r="AA205" s="388">
        <f t="shared" si="63"/>
        <v>62.671097593545014</v>
      </c>
      <c r="AB205" s="199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0.11954084583820605</v>
      </c>
      <c r="AD205" s="233">
        <f>(INDEX(Models!$BJ205:$BT205,,AH205)*(1-AF205)+INDEX(Models!$BJ205:$BT205,,AH205+1)*AF205-ERP_i)*AE205*Ramure*Pc/MaxiM</f>
        <v>7.3581469339420935E-4</v>
      </c>
      <c r="AE205" s="307">
        <f t="shared" si="65"/>
        <v>1</v>
      </c>
      <c r="AF205" s="179">
        <f t="shared" si="66"/>
        <v>0.94176006290604675</v>
      </c>
      <c r="AG205" s="837">
        <f t="shared" si="74"/>
        <v>1</v>
      </c>
      <c r="AH205" s="178">
        <f t="shared" si="67"/>
        <v>7</v>
      </c>
      <c r="AI205" s="227">
        <f t="shared" si="68"/>
        <v>1.9417600629060467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45483</v>
      </c>
      <c r="B206" s="1139">
        <f>IF(t&gt;Tmaj,'2023'!Wh/'2023'!Env_an*'2024'!Env_an,0.001*[9]mois!$B$218)</f>
        <v>54.775317927213536</v>
      </c>
      <c r="C206" s="866"/>
      <c r="D206" s="395">
        <f t="shared" si="50"/>
        <v>57.612487868313501</v>
      </c>
      <c r="E206" s="387">
        <f t="shared" si="75"/>
        <v>60.525610958334049</v>
      </c>
      <c r="F206" s="387">
        <f t="shared" si="51"/>
        <v>60.57070421906397</v>
      </c>
      <c r="G206" s="110">
        <f t="shared" si="76"/>
        <v>0.96056426644829584</v>
      </c>
      <c r="H206" s="414" t="b">
        <f>Wh_hp&gt;='2023'!Maxi_hp</f>
        <v>0</v>
      </c>
      <c r="I206" s="392">
        <f>IF(H206,Wh_hp,'2023'!Maxi_hp)</f>
        <v>62.66471285413887</v>
      </c>
      <c r="J206" s="85">
        <f>IF(H206,An,'2023'!An_max)</f>
        <v>2019</v>
      </c>
      <c r="K206" s="199">
        <f t="shared" si="52"/>
        <v>45483</v>
      </c>
      <c r="L206" s="147">
        <f>IF(t&lt;Tvie,1-EXP((T0-t)*PertePVj)+'2023'!Pspv,1-EXP((T0-t)*PertePVj)+Pspv)</f>
        <v>4.9245745949818454E-2</v>
      </c>
      <c r="M206" s="870"/>
      <c r="N206" s="870"/>
      <c r="O206" s="48">
        <f>IF(t&lt;Tnet,'2023'!Resal+('2023'!Salim-'2023'!Resal)*(1-EXP(('2023'!Tnet-t)/('2023'!Tau_j))),Resal+(Salim-Resal)*(1-EXP((Tnet-t)/(Tau_j))))*Salcycl</f>
        <v>4.8130420228652389E-2</v>
      </c>
      <c r="P206" s="171">
        <f>(INDEX(Models!$BJ206:$BT206,,T206)*(1-R206)+INDEX(Models!$BJ206:$BT206,,T206+1)*R206-ERP_i)*Q206*Ramure*Pc/MaxiM</f>
        <v>7.8886724434537646E-4</v>
      </c>
      <c r="Q206" s="307">
        <f t="shared" si="53"/>
        <v>1</v>
      </c>
      <c r="R206" s="179">
        <f t="shared" si="54"/>
        <v>0.94673888438775666</v>
      </c>
      <c r="S206" s="837">
        <f t="shared" si="55"/>
        <v>1</v>
      </c>
      <c r="T206" s="178">
        <f t="shared" si="56"/>
        <v>7</v>
      </c>
      <c r="U206" s="253">
        <f t="shared" si="57"/>
        <v>1.9467388843877567</v>
      </c>
      <c r="V206" s="385">
        <f t="shared" si="58"/>
        <v>57.021571930211167</v>
      </c>
      <c r="W206" s="404">
        <f t="shared" si="59"/>
        <v>54.775317927213536</v>
      </c>
      <c r="X206" s="157">
        <f t="shared" si="60"/>
        <v>45483</v>
      </c>
      <c r="Y206" s="387">
        <f t="shared" si="61"/>
        <v>50.656624518257765</v>
      </c>
      <c r="Z206" s="387">
        <f t="shared" si="62"/>
        <v>53.280460542208701</v>
      </c>
      <c r="AA206" s="388">
        <f t="shared" si="63"/>
        <v>60.525610958334049</v>
      </c>
      <c r="AB206" s="199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0.11970387909199182</v>
      </c>
      <c r="AD206" s="233">
        <f>(INDEX(Models!$BJ206:$BT206,,AH206)*(1-AF206)+INDEX(Models!$BJ206:$BT206,,AH206+1)*AF206-ERP_i)*AE206*Ramure*Pc/MaxiM</f>
        <v>7.8886724434537646E-4</v>
      </c>
      <c r="AE206" s="307">
        <f t="shared" si="65"/>
        <v>1</v>
      </c>
      <c r="AF206" s="179">
        <f t="shared" si="66"/>
        <v>0.94673888438775666</v>
      </c>
      <c r="AG206" s="837">
        <f t="shared" si="74"/>
        <v>1</v>
      </c>
      <c r="AH206" s="178">
        <f t="shared" si="67"/>
        <v>7</v>
      </c>
      <c r="AI206" s="227">
        <f t="shared" si="68"/>
        <v>1.9467388843877567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45484</v>
      </c>
      <c r="B207" s="1139">
        <f>IF(t&gt;Tmaj,'2023'!Wh/'2023'!Env_an*'2024'!Env_an,0.001*[9]mois!$B$219)</f>
        <v>54.879023119413979</v>
      </c>
      <c r="C207" s="866"/>
      <c r="D207" s="395">
        <f t="shared" ref="D207:D270" si="77">Wh/(1-Ppv)</f>
        <v>57.722907923249174</v>
      </c>
      <c r="E207" s="387">
        <f t="shared" si="75"/>
        <v>60.659577668870917</v>
      </c>
      <c r="F207" s="387">
        <f t="shared" ref="F207:F270" si="78">Wh_sa/(1-Pvg*MEDIAN((-Sdif+Wh/Env_an)/Csdif,0,1))</f>
        <v>60.708292206772263</v>
      </c>
      <c r="G207" s="110">
        <f t="shared" si="76"/>
        <v>0.96455497079183061</v>
      </c>
      <c r="H207" s="414" t="b">
        <f>Wh_hp&gt;='2023'!Maxi_hp</f>
        <v>0</v>
      </c>
      <c r="I207" s="392">
        <f>IF(H207,Wh_hp,'2023'!Maxi_hp)</f>
        <v>63.499999412795624</v>
      </c>
      <c r="J207" s="85">
        <f>IF(H207,An,'2023'!An_max)</f>
        <v>2019</v>
      </c>
      <c r="K207" s="199">
        <f t="shared" ref="K207:K270" si="79">t</f>
        <v>45484</v>
      </c>
      <c r="L207" s="147">
        <f>IF(t&lt;Tvie,1-EXP((T0-t)*PertePVj)+'2023'!Pspv,1-EXP((T0-t)*PertePVj)+Pspv)</f>
        <v>4.9267871390272777E-2</v>
      </c>
      <c r="M207" s="870"/>
      <c r="N207" s="870"/>
      <c r="O207" s="48">
        <f>IF(t&lt;Tnet,'2023'!Resal+('2023'!Salim-'2023'!Resal)*(1-EXP(('2023'!Tnet-t)/('2023'!Tau_j))),Resal+(Salim-Resal)*(1-EXP((Tnet-t)/(Tau_j))))*Salcycl</f>
        <v>4.8412301214038479E-2</v>
      </c>
      <c r="P207" s="171">
        <f>(INDEX(Models!$BJ207:$BT207,,T207)*(1-R207)+INDEX(Models!$BJ207:$BT207,,T207+1)*R207-ERP_i)*Q207*Ramure*Pc/MaxiM</f>
        <v>8.4518296166236951E-4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0.95160387535316238</v>
      </c>
      <c r="S207" s="837">
        <f t="shared" ref="S207:S270" si="82">INDEX(Echel_vg,T207)</f>
        <v>1</v>
      </c>
      <c r="T207" s="178">
        <f t="shared" ref="T207:T270" si="83">MIN(MATCH(Hp_vg,Echel_vg),10)</f>
        <v>7</v>
      </c>
      <c r="U207" s="253">
        <f t="shared" ref="U207:U270" si="84">IF(OR(t&lt;Ttai,Notai),Hdd+PousH*Croivg,Hdtf+PousH*(Croivg-Croi_tai))</f>
        <v>1.9516038753531624</v>
      </c>
      <c r="V207" s="385">
        <f t="shared" ref="V207:V270" si="85">MaxiM*(1-Ppv)*(1-Pvg)*(1-Psa)</f>
        <v>56.893258552035796</v>
      </c>
      <c r="W207" s="404">
        <f t="shared" ref="W207:W270" si="86">Wh*(A207&gt;Tmaj)</f>
        <v>54.879023119413979</v>
      </c>
      <c r="X207" s="157">
        <f t="shared" ref="X207:X270" si="87">t</f>
        <v>45484</v>
      </c>
      <c r="Y207" s="387">
        <f t="shared" ref="Y207:Y270" si="88">Wh_pvt_s*(1-Ppv)</f>
        <v>50.758317742635377</v>
      </c>
      <c r="Z207" s="387">
        <f t="shared" ref="Z207:Z270" si="89">Wh_sa_s*(1-Psa_s)</f>
        <v>53.388663552224941</v>
      </c>
      <c r="AA207" s="388">
        <f t="shared" ref="AA207:AA270" si="90">Wh_hp*(1-Pvg_s*MEDIAN((-Sdif+Wh/Env_an)/Csdif,0,1))</f>
        <v>60.659577668870917</v>
      </c>
      <c r="AB207" s="199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0.11986423902151951</v>
      </c>
      <c r="AD207" s="233">
        <f>(INDEX(Models!$BJ207:$BT207,,AH207)*(1-AF207)+INDEX(Models!$BJ207:$BT207,,AH207+1)*AF207-ERP_i)*AE207*Ramure*Pc/MaxiM</f>
        <v>8.4518296166236951E-4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0.95160387535316238</v>
      </c>
      <c r="AG207" s="837">
        <f t="shared" si="74"/>
        <v>1</v>
      </c>
      <c r="AH207" s="178">
        <f t="shared" ref="AH207:AH270" si="94">MIN(MATCH(Hp_vg_s,Echel_vg),10)</f>
        <v>7</v>
      </c>
      <c r="AI207" s="227">
        <f t="shared" ref="AI207:AI270" si="95">IF(OR(t&lt;Ttai,Notai),Hdd_s+PousH*Croivg,Hdtai_s+PousH*(Croivg-Croi_tai))</f>
        <v>1.9516038753531624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45485</v>
      </c>
      <c r="B208" s="1139">
        <f>IF(t&gt;Tmaj,'2023'!Wh/'2023'!Env_an*'2024'!Env_an,0.001*[9]mois!$B$220)</f>
        <v>54.535917301044883</v>
      </c>
      <c r="C208" s="866"/>
      <c r="D208" s="395">
        <f t="shared" si="77"/>
        <v>57.36335695397004</v>
      </c>
      <c r="E208" s="387">
        <f t="shared" si="75"/>
        <v>60.299510132297954</v>
      </c>
      <c r="F208" s="387">
        <f t="shared" si="78"/>
        <v>60.351056236173918</v>
      </c>
      <c r="G208" s="110">
        <f t="shared" si="76"/>
        <v>0.96074619999999844</v>
      </c>
      <c r="H208" s="414" t="b">
        <f>Wh_hp&gt;='2023'!Maxi_hp</f>
        <v>0</v>
      </c>
      <c r="I208" s="392">
        <f>IF(H208,Wh_hp,'2023'!Maxi_hp)</f>
        <v>60.352705657987606</v>
      </c>
      <c r="J208" s="85">
        <f>IF(H208,An,'2023'!An_max)</f>
        <v>2022</v>
      </c>
      <c r="K208" s="199">
        <f t="shared" si="79"/>
        <v>45485</v>
      </c>
      <c r="L208" s="147">
        <f>IF(t&lt;Tvie,1-EXP((T0-t)*PertePVj)+'2023'!Pspv,1-EXP((T0-t)*PertePVj)+Pspv)</f>
        <v>4.9289996315835749E-2</v>
      </c>
      <c r="M208" s="870"/>
      <c r="N208" s="870"/>
      <c r="O208" s="48">
        <f>IF(t&lt;Tnet,'2023'!Resal+('2023'!Salim-'2023'!Resal)*(1-EXP(('2023'!Tnet-t)/('2023'!Tau_j))),Resal+(Salim-Resal)*(1-EXP((Tnet-t)/(Tau_j))))*Salcycl</f>
        <v>4.8692819757340543E-2</v>
      </c>
      <c r="P208" s="171">
        <f>(INDEX(Models!$BJ208:$BT208,,T208)*(1-R208)+INDEX(Models!$BJ208:$BT208,,T208+1)*R208-ERP_i)*Q208*Ramure*Pc/MaxiM</f>
        <v>9.0477857440817051E-4</v>
      </c>
      <c r="Q208" s="307">
        <f t="shared" si="80"/>
        <v>1</v>
      </c>
      <c r="R208" s="179">
        <f t="shared" si="81"/>
        <v>0.95635492825744572</v>
      </c>
      <c r="S208" s="837">
        <f t="shared" si="82"/>
        <v>1</v>
      </c>
      <c r="T208" s="178">
        <f t="shared" si="83"/>
        <v>7</v>
      </c>
      <c r="U208" s="253">
        <f t="shared" si="84"/>
        <v>1.9563549282574457</v>
      </c>
      <c r="V208" s="385">
        <f t="shared" si="85"/>
        <v>56.761245974386064</v>
      </c>
      <c r="W208" s="404">
        <f t="shared" si="86"/>
        <v>54.535917301044883</v>
      </c>
      <c r="X208" s="157">
        <f t="shared" si="87"/>
        <v>45485</v>
      </c>
      <c r="Y208" s="387">
        <f t="shared" si="88"/>
        <v>50.446802586650044</v>
      </c>
      <c r="Z208" s="387">
        <f t="shared" si="89"/>
        <v>53.062240211168536</v>
      </c>
      <c r="AA208" s="388">
        <f t="shared" si="90"/>
        <v>60.299510132297954</v>
      </c>
      <c r="AB208" s="199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0.12002203509200568</v>
      </c>
      <c r="AD208" s="233">
        <f>(INDEX(Models!$BJ208:$BT208,,AH208)*(1-AF208)+INDEX(Models!$BJ208:$BT208,,AH208+1)*AF208-ERP_i)*AE208*Ramure*Pc/MaxiM</f>
        <v>9.0477857440817051E-4</v>
      </c>
      <c r="AE208" s="307">
        <f t="shared" si="92"/>
        <v>1</v>
      </c>
      <c r="AF208" s="179">
        <f t="shared" si="93"/>
        <v>0.95635492825744572</v>
      </c>
      <c r="AG208" s="837">
        <f t="shared" ref="AG208:AG271" si="99">INDEX(Echel_vg,AH208)</f>
        <v>1</v>
      </c>
      <c r="AH208" s="178">
        <f t="shared" si="94"/>
        <v>7</v>
      </c>
      <c r="AI208" s="227">
        <f t="shared" si="95"/>
        <v>1.9563549282574457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45486</v>
      </c>
      <c r="B209" s="1139">
        <f>IF(t&gt;Tmaj,'2023'!Wh/'2023'!Env_an*'2024'!Env_an,0.001*[9]mois!$B$221)</f>
        <v>53.84121614631043</v>
      </c>
      <c r="C209" s="866"/>
      <c r="D209" s="395">
        <f t="shared" si="77"/>
        <v>56.633956654055687</v>
      </c>
      <c r="E209" s="387">
        <f t="shared" si="75"/>
        <v>59.55025210646405</v>
      </c>
      <c r="F209" s="387">
        <f t="shared" si="78"/>
        <v>59.603877360664534</v>
      </c>
      <c r="G209" s="110">
        <f t="shared" si="76"/>
        <v>0.95076112863768758</v>
      </c>
      <c r="H209" s="414" t="b">
        <f>Wh_hp&gt;='2023'!Maxi_hp</f>
        <v>0</v>
      </c>
      <c r="I209" s="392">
        <f>IF(H209,Wh_hp,'2023'!Maxi_hp)</f>
        <v>62.42092802890074</v>
      </c>
      <c r="J209" s="85">
        <f>IF(H209,An,'2023'!An_max)</f>
        <v>2019</v>
      </c>
      <c r="K209" s="199">
        <f t="shared" si="79"/>
        <v>45486</v>
      </c>
      <c r="L209" s="147">
        <f>IF(t&lt;Tvie,1-EXP((T0-t)*PertePVj)+'2023'!Pspv,1-EXP((T0-t)*PertePVj)+Pspv)</f>
        <v>4.931212072651936E-2</v>
      </c>
      <c r="M209" s="870"/>
      <c r="N209" s="870"/>
      <c r="O209" s="48">
        <f>IF(t&lt;Tnet,'2023'!Resal+('2023'!Salim-'2023'!Resal)*(1-EXP(('2023'!Tnet-t)/('2023'!Tau_j))),Resal+(Salim-Resal)*(1-EXP((Tnet-t)/(Tau_j))))*Salcycl</f>
        <v>4.8972008501233649E-2</v>
      </c>
      <c r="P209" s="171">
        <f>(INDEX(Models!$BJ209:$BT209,,T209)*(1-R209)+INDEX(Models!$BJ209:$BT209,,T209+1)*R209-ERP_i)*Q209*Ramure*Pc/MaxiM</f>
        <v>9.6767186902380715E-4</v>
      </c>
      <c r="Q209" s="307">
        <f t="shared" si="80"/>
        <v>1</v>
      </c>
      <c r="R209" s="179">
        <f t="shared" si="81"/>
        <v>0.96099212837483194</v>
      </c>
      <c r="S209" s="837">
        <f t="shared" si="82"/>
        <v>1</v>
      </c>
      <c r="T209" s="178">
        <f t="shared" si="83"/>
        <v>7</v>
      </c>
      <c r="U209" s="253">
        <f t="shared" si="84"/>
        <v>1.9609921283748319</v>
      </c>
      <c r="V209" s="385">
        <f t="shared" si="85"/>
        <v>56.62574038917387</v>
      </c>
      <c r="W209" s="404">
        <f t="shared" si="86"/>
        <v>53.84121614631043</v>
      </c>
      <c r="X209" s="157">
        <f t="shared" si="87"/>
        <v>45486</v>
      </c>
      <c r="Y209" s="387">
        <f t="shared" si="88"/>
        <v>49.810016547023707</v>
      </c>
      <c r="Z209" s="387">
        <f t="shared" si="89"/>
        <v>52.393658984154413</v>
      </c>
      <c r="AA209" s="388">
        <f t="shared" si="90"/>
        <v>59.55025210646405</v>
      </c>
      <c r="AB209" s="199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0.12017737741084734</v>
      </c>
      <c r="AD209" s="233">
        <f>(INDEX(Models!$BJ209:$BT209,,AH209)*(1-AF209)+INDEX(Models!$BJ209:$BT209,,AH209+1)*AF209-ERP_i)*AE209*Ramure*Pc/MaxiM</f>
        <v>9.6767186902380715E-4</v>
      </c>
      <c r="AE209" s="307">
        <f t="shared" si="92"/>
        <v>1</v>
      </c>
      <c r="AF209" s="179">
        <f t="shared" si="93"/>
        <v>0.96099212837483194</v>
      </c>
      <c r="AG209" s="837">
        <f t="shared" si="99"/>
        <v>1</v>
      </c>
      <c r="AH209" s="178">
        <f t="shared" si="94"/>
        <v>7</v>
      </c>
      <c r="AI209" s="227">
        <f t="shared" si="95"/>
        <v>1.9609921283748319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45487</v>
      </c>
      <c r="B210" s="1139">
        <f>IF(t&gt;Tmaj,'2023'!Wh/'2023'!Env_an*'2024'!Env_an,0.001*[9]mois!$B$222)</f>
        <v>52.015690456604702</v>
      </c>
      <c r="C210" s="866"/>
      <c r="D210" s="395">
        <f t="shared" si="77"/>
        <v>54.715014359532489</v>
      </c>
      <c r="E210" s="387">
        <f t="shared" si="75"/>
        <v>57.549312291142051</v>
      </c>
      <c r="F210" s="387">
        <f t="shared" si="78"/>
        <v>57.602131770262972</v>
      </c>
      <c r="G210" s="110">
        <f t="shared" si="76"/>
        <v>0.92073666333215565</v>
      </c>
      <c r="H210" s="414" t="b">
        <f>Wh_hp&gt;='2023'!Maxi_hp</f>
        <v>0</v>
      </c>
      <c r="I210" s="392">
        <f>IF(H210,Wh_hp,'2023'!Maxi_hp)</f>
        <v>64.059383068495961</v>
      </c>
      <c r="J210" s="85">
        <f>IF(H210,An,'2023'!An_max)</f>
        <v>2019</v>
      </c>
      <c r="K210" s="199">
        <f t="shared" si="79"/>
        <v>45487</v>
      </c>
      <c r="L210" s="147">
        <f>IF(t&lt;Tvie,1-EXP((T0-t)*PertePVj)+'2023'!Pspv,1-EXP((T0-t)*PertePVj)+Pspv)</f>
        <v>4.933424462233571E-2</v>
      </c>
      <c r="M210" s="870"/>
      <c r="N210" s="870"/>
      <c r="O210" s="48">
        <f>IF(t&lt;Tnet,'2023'!Resal+('2023'!Salim-'2023'!Resal)*(1-EXP(('2023'!Tnet-t)/('2023'!Tau_j))),Resal+(Salim-Resal)*(1-EXP((Tnet-t)/(Tau_j))))*Salcycl</f>
        <v>4.9249900976589302E-2</v>
      </c>
      <c r="P210" s="171">
        <f>(INDEX(Models!$BJ210:$BT210,,T210)*(1-R210)+INDEX(Models!$BJ210:$BT210,,T210+1)*R210-ERP_i)*Q210*Ramure*Pc/MaxiM</f>
        <v>1.0338816245071213E-3</v>
      </c>
      <c r="Q210" s="307">
        <f t="shared" si="80"/>
        <v>1</v>
      </c>
      <c r="R210" s="179">
        <f t="shared" si="81"/>
        <v>0.96551574454204525</v>
      </c>
      <c r="S210" s="837">
        <f t="shared" si="82"/>
        <v>1</v>
      </c>
      <c r="T210" s="178">
        <f t="shared" si="83"/>
        <v>7</v>
      </c>
      <c r="U210" s="253">
        <f t="shared" si="84"/>
        <v>1.9655157445420453</v>
      </c>
      <c r="V210" s="385">
        <f t="shared" si="85"/>
        <v>56.486947631031462</v>
      </c>
      <c r="W210" s="404">
        <f t="shared" si="86"/>
        <v>52.015690456604702</v>
      </c>
      <c r="X210" s="157">
        <f t="shared" si="87"/>
        <v>45487</v>
      </c>
      <c r="Y210" s="387">
        <f t="shared" si="88"/>
        <v>48.126866259613145</v>
      </c>
      <c r="Z210" s="387">
        <f t="shared" si="89"/>
        <v>50.624381900128633</v>
      </c>
      <c r="AA210" s="388">
        <f t="shared" si="90"/>
        <v>57.549312291142051</v>
      </c>
      <c r="AB210" s="199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0.12033037607782668</v>
      </c>
      <c r="AD210" s="233">
        <f>(INDEX(Models!$BJ210:$BT210,,AH210)*(1-AF210)+INDEX(Models!$BJ210:$BT210,,AH210+1)*AF210-ERP_i)*AE210*Ramure*Pc/MaxiM</f>
        <v>1.0338816245071213E-3</v>
      </c>
      <c r="AE210" s="307">
        <f t="shared" si="92"/>
        <v>1</v>
      </c>
      <c r="AF210" s="179">
        <f t="shared" si="93"/>
        <v>0.96551574454204525</v>
      </c>
      <c r="AG210" s="837">
        <f t="shared" si="99"/>
        <v>1</v>
      </c>
      <c r="AH210" s="178">
        <f t="shared" si="94"/>
        <v>7</v>
      </c>
      <c r="AI210" s="227">
        <f t="shared" si="95"/>
        <v>1.9655157445420453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45488</v>
      </c>
      <c r="B211" s="1139">
        <f>IF(t&gt;Tmaj,'2023'!Wh/'2023'!Env_an*'2024'!Env_an,0.001*[9]mois!$B$223)</f>
        <v>53.562094797604338</v>
      </c>
      <c r="C211" s="866"/>
      <c r="D211" s="395">
        <f t="shared" si="77"/>
        <v>56.342979634864982</v>
      </c>
      <c r="E211" s="387">
        <f t="shared" si="75"/>
        <v>59.278855741220582</v>
      </c>
      <c r="F211" s="387">
        <f t="shared" si="78"/>
        <v>59.339712781479108</v>
      </c>
      <c r="G211" s="110">
        <f t="shared" si="76"/>
        <v>0.9505342220589269</v>
      </c>
      <c r="H211" s="414" t="b">
        <f>Wh_hp&gt;='2023'!Maxi_hp</f>
        <v>0</v>
      </c>
      <c r="I211" s="392">
        <f>IF(H211,Wh_hp,'2023'!Maxi_hp)</f>
        <v>61.939106503544039</v>
      </c>
      <c r="J211" s="85">
        <f>IF(H211,An,'2023'!An_max)</f>
        <v>2019</v>
      </c>
      <c r="K211" s="199">
        <f t="shared" si="79"/>
        <v>45488</v>
      </c>
      <c r="L211" s="147">
        <f>IF(t&lt;Tvie,1-EXP((T0-t)*PertePVj)+'2023'!Pspv,1-EXP((T0-t)*PertePVj)+Pspv)</f>
        <v>4.9356368003296569E-2</v>
      </c>
      <c r="M211" s="870"/>
      <c r="N211" s="870"/>
      <c r="O211" s="48">
        <f>IF(t&lt;Tnet,'2023'!Resal+('2023'!Salim-'2023'!Resal)*(1-EXP(('2023'!Tnet-t)/('2023'!Tau_j))),Resal+(Salim-Resal)*(1-EXP((Tnet-t)/(Tau_j))))*Salcycl</f>
        <v>4.952653133474863E-2</v>
      </c>
      <c r="P211" s="171">
        <f>(INDEX(Models!$BJ211:$BT211,,T211)*(1-R211)+INDEX(Models!$BJ211:$BT211,,T211+1)*R211-ERP_i)*Q211*Ramure*Pc/MaxiM</f>
        <v>1.1034275447987408E-3</v>
      </c>
      <c r="Q211" s="307">
        <f t="shared" si="80"/>
        <v>1</v>
      </c>
      <c r="R211" s="179">
        <f t="shared" si="81"/>
        <v>0.96992621964792325</v>
      </c>
      <c r="S211" s="837">
        <f t="shared" si="82"/>
        <v>1</v>
      </c>
      <c r="T211" s="178">
        <f t="shared" si="83"/>
        <v>7</v>
      </c>
      <c r="U211" s="253">
        <f t="shared" si="84"/>
        <v>1.9699262196479232</v>
      </c>
      <c r="V211" s="385">
        <f t="shared" si="85"/>
        <v>56.345073191704827</v>
      </c>
      <c r="W211" s="404">
        <f t="shared" si="86"/>
        <v>53.562094797604338</v>
      </c>
      <c r="X211" s="157">
        <f t="shared" si="87"/>
        <v>45488</v>
      </c>
      <c r="Y211" s="387">
        <f t="shared" si="88"/>
        <v>49.563584969882697</v>
      </c>
      <c r="Z211" s="387">
        <f t="shared" si="89"/>
        <v>52.136871590651509</v>
      </c>
      <c r="AA211" s="388">
        <f t="shared" si="90"/>
        <v>59.278855741220582</v>
      </c>
      <c r="AB211" s="199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0.12048114055620629</v>
      </c>
      <c r="AD211" s="233">
        <f>(INDEX(Models!$BJ211:$BT211,,AH211)*(1-AF211)+INDEX(Models!$BJ211:$BT211,,AH211+1)*AF211-ERP_i)*AE211*Ramure*Pc/MaxiM</f>
        <v>1.1034275447987408E-3</v>
      </c>
      <c r="AE211" s="307">
        <f t="shared" si="92"/>
        <v>1</v>
      </c>
      <c r="AF211" s="179">
        <f t="shared" si="93"/>
        <v>0.96992621964792325</v>
      </c>
      <c r="AG211" s="837">
        <f t="shared" si="99"/>
        <v>1</v>
      </c>
      <c r="AH211" s="178">
        <f t="shared" si="94"/>
        <v>7</v>
      </c>
      <c r="AI211" s="227">
        <f t="shared" si="95"/>
        <v>1.9699262196479232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45489</v>
      </c>
      <c r="B212" s="1139">
        <f>IF(t&gt;Tmaj,'2023'!Wh/'2023'!Env_an*'2024'!Env_an,0.001*[9]mois!$B$224)</f>
        <v>52.642497572755502</v>
      </c>
      <c r="C212" s="866"/>
      <c r="D212" s="395">
        <f t="shared" si="77"/>
        <v>55.376926639184703</v>
      </c>
      <c r="E212" s="387">
        <f t="shared" si="75"/>
        <v>58.279351038012543</v>
      </c>
      <c r="F212" s="387">
        <f t="shared" si="78"/>
        <v>58.342075624350763</v>
      </c>
      <c r="G212" s="110">
        <f t="shared" si="76"/>
        <v>0.93659896677194021</v>
      </c>
      <c r="H212" s="414" t="b">
        <f>Wh_hp&gt;='2023'!Maxi_hp</f>
        <v>0</v>
      </c>
      <c r="I212" s="392">
        <f>IF(H212,Wh_hp,'2023'!Maxi_hp)</f>
        <v>61.436079600146336</v>
      </c>
      <c r="J212" s="85">
        <f>IF(H212,An,'2023'!An_max)</f>
        <v>2021</v>
      </c>
      <c r="K212" s="199">
        <f t="shared" si="79"/>
        <v>45489</v>
      </c>
      <c r="L212" s="147">
        <f>IF(t&lt;Tvie,1-EXP((T0-t)*PertePVj)+'2023'!Pspv,1-EXP((T0-t)*PertePVj)+Pspv)</f>
        <v>4.9378490869414149E-2</v>
      </c>
      <c r="M212" s="870"/>
      <c r="N212" s="870"/>
      <c r="O212" s="48">
        <f>IF(t&lt;Tnet,'2023'!Resal+('2023'!Salim-'2023'!Resal)*(1-EXP(('2023'!Tnet-t)/('2023'!Tau_j))),Resal+(Salim-Resal)*(1-EXP((Tnet-t)/(Tau_j))))*Salcycl</f>
        <v>4.9801934083561449E-2</v>
      </c>
      <c r="P212" s="171">
        <f>(INDEX(Models!$BJ212:$BT212,,T212)*(1-R212)+INDEX(Models!$BJ212:$BT212,,T212+1)*R212-ERP_i)*Q212*Ramure*Pc/MaxiM</f>
        <v>1.1820059643160772E-3</v>
      </c>
      <c r="Q212" s="307">
        <f t="shared" si="80"/>
        <v>1</v>
      </c>
      <c r="R212" s="179">
        <f t="shared" si="81"/>
        <v>0.97422416094113018</v>
      </c>
      <c r="S212" s="837">
        <f t="shared" si="82"/>
        <v>1</v>
      </c>
      <c r="T212" s="178">
        <f t="shared" si="83"/>
        <v>7</v>
      </c>
      <c r="U212" s="253">
        <f t="shared" si="84"/>
        <v>1.9742241609411302</v>
      </c>
      <c r="V212" s="385">
        <f t="shared" si="85"/>
        <v>56.200002891577469</v>
      </c>
      <c r="W212" s="404">
        <f t="shared" si="86"/>
        <v>52.642497572755502</v>
      </c>
      <c r="X212" s="157">
        <f t="shared" si="87"/>
        <v>45489</v>
      </c>
      <c r="Y212" s="387">
        <f t="shared" si="88"/>
        <v>48.718521307733788</v>
      </c>
      <c r="Z212" s="387">
        <f t="shared" si="89"/>
        <v>51.249125798016607</v>
      </c>
      <c r="AA212" s="388">
        <f t="shared" si="90"/>
        <v>58.279351038012543</v>
      </c>
      <c r="AB212" s="199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0.12062977906892769</v>
      </c>
      <c r="AD212" s="233">
        <f>(INDEX(Models!$BJ212:$BT212,,AH212)*(1-AF212)+INDEX(Models!$BJ212:$BT212,,AH212+1)*AF212-ERP_i)*AE212*Ramure*Pc/MaxiM</f>
        <v>1.1820059643160772E-3</v>
      </c>
      <c r="AE212" s="307">
        <f t="shared" si="92"/>
        <v>1</v>
      </c>
      <c r="AF212" s="179">
        <f t="shared" si="93"/>
        <v>0.97422416094113018</v>
      </c>
      <c r="AG212" s="837">
        <f t="shared" si="99"/>
        <v>1</v>
      </c>
      <c r="AH212" s="178">
        <f t="shared" si="94"/>
        <v>7</v>
      </c>
      <c r="AI212" s="227">
        <f t="shared" si="95"/>
        <v>1.9742241609411302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45490</v>
      </c>
      <c r="B213" s="1139">
        <f>IF(t&gt;Tmaj,'2023'!Wh/'2023'!Env_an*'2024'!Env_an,0.001*[9]mois!$B$225)</f>
        <v>52.921972892468418</v>
      </c>
      <c r="C213" s="866"/>
      <c r="D213" s="395">
        <f t="shared" si="77"/>
        <v>55.672214424387469</v>
      </c>
      <c r="E213" s="387">
        <f t="shared" si="75"/>
        <v>58.607028408368222</v>
      </c>
      <c r="F213" s="387">
        <f t="shared" si="78"/>
        <v>58.675473767553363</v>
      </c>
      <c r="G213" s="110">
        <f t="shared" si="76"/>
        <v>0.94406196827535616</v>
      </c>
      <c r="H213" s="414" t="b">
        <f>Wh_hp&gt;='2023'!Maxi_hp</f>
        <v>0</v>
      </c>
      <c r="I213" s="392">
        <f>IF(H213,Wh_hp,'2023'!Maxi_hp)</f>
        <v>58.678514973829415</v>
      </c>
      <c r="J213" s="85">
        <f>IF(H213,An,'2023'!An_max)</f>
        <v>2022</v>
      </c>
      <c r="K213" s="199">
        <f t="shared" si="79"/>
        <v>45490</v>
      </c>
      <c r="L213" s="147">
        <f>IF(t&lt;Tvie,1-EXP((T0-t)*PertePVj)+'2023'!Pspv,1-EXP((T0-t)*PertePVj)+Pspv)</f>
        <v>4.9400613220700218E-2</v>
      </c>
      <c r="M213" s="870"/>
      <c r="N213" s="870"/>
      <c r="O213" s="48">
        <f>IF(t&lt;Tnet,'2023'!Resal+('2023'!Salim-'2023'!Resal)*(1-EXP(('2023'!Tnet-t)/('2023'!Tau_j))),Resal+(Salim-Resal)*(1-EXP((Tnet-t)/(Tau_j))))*Salcycl</f>
        <v>5.0076143829222118E-2</v>
      </c>
      <c r="P213" s="171">
        <f>(INDEX(Models!$BJ213:$BT213,,T213)*(1-R213)+INDEX(Models!$BJ213:$BT213,,T213+1)*R213-ERP_i)*Q213*Ramure*Pc/MaxiM</f>
        <v>1.2676324122868046E-3</v>
      </c>
      <c r="Q213" s="307">
        <f t="shared" si="80"/>
        <v>1</v>
      </c>
      <c r="R213" s="179">
        <f t="shared" si="81"/>
        <v>0.97841033022393664</v>
      </c>
      <c r="S213" s="837">
        <f t="shared" si="82"/>
        <v>1</v>
      </c>
      <c r="T213" s="178">
        <f t="shared" si="83"/>
        <v>7</v>
      </c>
      <c r="U213" s="253">
        <f t="shared" si="84"/>
        <v>1.9784103302239366</v>
      </c>
      <c r="V213" s="385">
        <f t="shared" si="85"/>
        <v>56.05205661462967</v>
      </c>
      <c r="W213" s="404">
        <f t="shared" si="86"/>
        <v>52.921972892468418</v>
      </c>
      <c r="X213" s="157">
        <f t="shared" si="87"/>
        <v>45490</v>
      </c>
      <c r="Y213" s="387">
        <f t="shared" si="88"/>
        <v>48.983134098525063</v>
      </c>
      <c r="Z213" s="387">
        <f t="shared" si="89"/>
        <v>51.528682618325163</v>
      </c>
      <c r="AA213" s="388">
        <f t="shared" si="90"/>
        <v>58.607028408368222</v>
      </c>
      <c r="AB213" s="199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0.12077639802383112</v>
      </c>
      <c r="AD213" s="233">
        <f>(INDEX(Models!$BJ213:$BT213,,AH213)*(1-AF213)+INDEX(Models!$BJ213:$BT213,,AH213+1)*AF213-ERP_i)*AE213*Ramure*Pc/MaxiM</f>
        <v>1.2676324122868046E-3</v>
      </c>
      <c r="AE213" s="307">
        <f t="shared" si="92"/>
        <v>1</v>
      </c>
      <c r="AF213" s="179">
        <f t="shared" si="93"/>
        <v>0.97841033022393664</v>
      </c>
      <c r="AG213" s="837">
        <f t="shared" si="99"/>
        <v>1</v>
      </c>
      <c r="AH213" s="178">
        <f t="shared" si="94"/>
        <v>7</v>
      </c>
      <c r="AI213" s="227">
        <f t="shared" si="95"/>
        <v>1.9784103302239366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45491</v>
      </c>
      <c r="B214" s="1139">
        <f>IF(t&gt;Tmaj,'2023'!Wh/'2023'!Env_an*'2024'!Env_an,0.001*[9]mois!$B$226)</f>
        <v>42.795574160517319</v>
      </c>
      <c r="C214" s="866"/>
      <c r="D214" s="395">
        <f t="shared" si="77"/>
        <v>45.020616144328898</v>
      </c>
      <c r="E214" s="387">
        <f t="shared" si="75"/>
        <v>47.407548025565148</v>
      </c>
      <c r="F214" s="387">
        <f t="shared" si="78"/>
        <v>47.450479670242203</v>
      </c>
      <c r="G214" s="110">
        <f t="shared" si="76"/>
        <v>0.76520497564207846</v>
      </c>
      <c r="H214" s="414" t="b">
        <f>Wh_hp&gt;='2023'!Maxi_hp</f>
        <v>0</v>
      </c>
      <c r="I214" s="392">
        <f>IF(H214,Wh_hp,'2023'!Maxi_hp)</f>
        <v>60.900356316381583</v>
      </c>
      <c r="J214" s="85">
        <f>IF(H214,An,'2023'!An_max)</f>
        <v>2020</v>
      </c>
      <c r="K214" s="199">
        <f t="shared" si="79"/>
        <v>45491</v>
      </c>
      <c r="L214" s="147">
        <f>IF(t&lt;Tvie,1-EXP((T0-t)*PertePVj)+'2023'!Pspv,1-EXP((T0-t)*PertePVj)+Pspv)</f>
        <v>4.9422735057166878E-2</v>
      </c>
      <c r="M214" s="870"/>
      <c r="N214" s="870"/>
      <c r="O214" s="48">
        <f>IF(t&lt;Tnet,'2023'!Resal+('2023'!Salim-'2023'!Resal)*(1-EXP(('2023'!Tnet-t)/('2023'!Tau_j))),Resal+(Salim-Resal)*(1-EXP((Tnet-t)/(Tau_j))))*Salcycl</f>
        <v>5.0349195025844146E-2</v>
      </c>
      <c r="P214" s="171">
        <f>(INDEX(Models!$BJ214:$BT214,,T214)*(1-R214)+INDEX(Models!$BJ214:$BT214,,T214+1)*R214-ERP_i)*Q214*Ramure*Pc/MaxiM</f>
        <v>1.3603943040458603E-3</v>
      </c>
      <c r="Q214" s="307">
        <f t="shared" si="80"/>
        <v>1</v>
      </c>
      <c r="R214" s="179">
        <f t="shared" si="81"/>
        <v>0.98248563399572597</v>
      </c>
      <c r="S214" s="837">
        <f t="shared" si="82"/>
        <v>1</v>
      </c>
      <c r="T214" s="178">
        <f t="shared" si="83"/>
        <v>7</v>
      </c>
      <c r="U214" s="253">
        <f t="shared" si="84"/>
        <v>1.982485633995726</v>
      </c>
      <c r="V214" s="385">
        <f t="shared" si="85"/>
        <v>55.901436931444323</v>
      </c>
      <c r="W214" s="404">
        <f t="shared" si="86"/>
        <v>42.795574160517319</v>
      </c>
      <c r="X214" s="157">
        <f t="shared" si="87"/>
        <v>45491</v>
      </c>
      <c r="Y214" s="387">
        <f t="shared" si="88"/>
        <v>39.615283847357709</v>
      </c>
      <c r="Z214" s="387">
        <f t="shared" si="89"/>
        <v>41.674975100251466</v>
      </c>
      <c r="AA214" s="388">
        <f t="shared" si="90"/>
        <v>47.407548025565148</v>
      </c>
      <c r="AB214" s="199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0.12092110147148534</v>
      </c>
      <c r="AD214" s="233">
        <f>(INDEX(Models!$BJ214:$BT214,,AH214)*(1-AF214)+INDEX(Models!$BJ214:$BT214,,AH214+1)*AF214-ERP_i)*AE214*Ramure*Pc/MaxiM</f>
        <v>1.3603943040458603E-3</v>
      </c>
      <c r="AE214" s="307">
        <f t="shared" si="92"/>
        <v>1</v>
      </c>
      <c r="AF214" s="179">
        <f t="shared" si="93"/>
        <v>0.98248563399572597</v>
      </c>
      <c r="AG214" s="837">
        <f t="shared" si="99"/>
        <v>1</v>
      </c>
      <c r="AH214" s="178">
        <f t="shared" si="94"/>
        <v>7</v>
      </c>
      <c r="AI214" s="227">
        <f t="shared" si="95"/>
        <v>1.982485633995726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45492</v>
      </c>
      <c r="B215" s="1139">
        <f>IF(t&gt;Tmaj,'2023'!Wh/'2023'!Env_an*'2024'!Env_an,0.001*[9]mois!$B$227)</f>
        <v>41.043329409730134</v>
      </c>
      <c r="C215" s="866"/>
      <c r="D215" s="395">
        <f t="shared" si="77"/>
        <v>43.178272912578329</v>
      </c>
      <c r="E215" s="387">
        <f t="shared" si="75"/>
        <v>45.480549337130036</v>
      </c>
      <c r="F215" s="387">
        <f t="shared" si="78"/>
        <v>45.521977843586356</v>
      </c>
      <c r="G215" s="110">
        <f t="shared" si="76"/>
        <v>0.73581954195847643</v>
      </c>
      <c r="H215" s="414" t="b">
        <f>Wh_hp&gt;='2023'!Maxi_hp</f>
        <v>0</v>
      </c>
      <c r="I215" s="392">
        <f>IF(H215,Wh_hp,'2023'!Maxi_hp)</f>
        <v>59.452822712934505</v>
      </c>
      <c r="J215" s="85">
        <f>IF(H215,An,'2023'!An_max)</f>
        <v>2020</v>
      </c>
      <c r="K215" s="199">
        <f t="shared" si="79"/>
        <v>45492</v>
      </c>
      <c r="L215" s="147">
        <f>IF(t&lt;Tvie,1-EXP((T0-t)*PertePVj)+'2023'!Pspv,1-EXP((T0-t)*PertePVj)+Pspv)</f>
        <v>4.9444856378826119E-2</v>
      </c>
      <c r="M215" s="870"/>
      <c r="N215" s="870"/>
      <c r="O215" s="48">
        <f>IF(t&lt;Tnet,'2023'!Resal+('2023'!Salim-'2023'!Resal)*(1-EXP(('2023'!Tnet-t)/('2023'!Tau_j))),Resal+(Salim-Resal)*(1-EXP((Tnet-t)/(Tau_j))))*Salcycl</f>
        <v>5.0621121734607949E-2</v>
      </c>
      <c r="P215" s="171">
        <f>(INDEX(Models!$BJ215:$BT215,,T215)*(1-R215)+INDEX(Models!$BJ215:$BT215,,T215+1)*R215-ERP_i)*Q215*Ramure*Pc/MaxiM</f>
        <v>1.4603790211773836E-3</v>
      </c>
      <c r="Q215" s="307">
        <f t="shared" si="80"/>
        <v>1</v>
      </c>
      <c r="R215" s="179">
        <f t="shared" si="81"/>
        <v>0.98645111360533511</v>
      </c>
      <c r="S215" s="837">
        <f t="shared" si="82"/>
        <v>1</v>
      </c>
      <c r="T215" s="178">
        <f t="shared" si="83"/>
        <v>7</v>
      </c>
      <c r="U215" s="253">
        <f t="shared" si="84"/>
        <v>1.9864511136053351</v>
      </c>
      <c r="V215" s="385">
        <f t="shared" si="85"/>
        <v>55.748346259974426</v>
      </c>
      <c r="W215" s="404">
        <f t="shared" si="86"/>
        <v>41.043329409730134</v>
      </c>
      <c r="X215" s="157">
        <f t="shared" si="87"/>
        <v>45492</v>
      </c>
      <c r="Y215" s="387">
        <f t="shared" si="88"/>
        <v>37.99795949730462</v>
      </c>
      <c r="Z215" s="387">
        <f t="shared" si="89"/>
        <v>39.974492539748965</v>
      </c>
      <c r="AA215" s="388">
        <f t="shared" si="90"/>
        <v>45.480549337130036</v>
      </c>
      <c r="AB215" s="199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0.12106399059885496</v>
      </c>
      <c r="AD215" s="233">
        <f>(INDEX(Models!$BJ215:$BT215,,AH215)*(1-AF215)+INDEX(Models!$BJ215:$BT215,,AH215+1)*AF215-ERP_i)*AE215*Ramure*Pc/MaxiM</f>
        <v>1.4603790211773836E-3</v>
      </c>
      <c r="AE215" s="307">
        <f t="shared" si="92"/>
        <v>1</v>
      </c>
      <c r="AF215" s="179">
        <f t="shared" si="93"/>
        <v>0.98645111360533511</v>
      </c>
      <c r="AG215" s="837">
        <f t="shared" si="99"/>
        <v>1</v>
      </c>
      <c r="AH215" s="178">
        <f t="shared" si="94"/>
        <v>7</v>
      </c>
      <c r="AI215" s="227">
        <f t="shared" si="95"/>
        <v>1.9864511136053351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45493</v>
      </c>
      <c r="B216" s="1139">
        <f>IF(t&gt;Tmaj,'2023'!Wh/'2023'!Env_an*'2024'!Env_an,0.001*[9]mois!$B$228)</f>
        <v>51.909671244488742</v>
      </c>
      <c r="C216" s="866"/>
      <c r="D216" s="395">
        <f t="shared" si="77"/>
        <v>54.611118181666242</v>
      </c>
      <c r="E216" s="387">
        <f t="shared" si="75"/>
        <v>57.539411458077502</v>
      </c>
      <c r="F216" s="387">
        <f t="shared" si="78"/>
        <v>57.621192835000571</v>
      </c>
      <c r="G216" s="110">
        <f t="shared" si="76"/>
        <v>0.93360621249316067</v>
      </c>
      <c r="H216" s="414" t="b">
        <f>Wh_hp&gt;='2023'!Maxi_hp</f>
        <v>0</v>
      </c>
      <c r="I216" s="392">
        <f>IF(H216,Wh_hp,'2023'!Maxi_hp)</f>
        <v>57.625511170704193</v>
      </c>
      <c r="J216" s="85">
        <f>IF(H216,An,'2023'!An_max)</f>
        <v>2022</v>
      </c>
      <c r="K216" s="199">
        <f t="shared" si="79"/>
        <v>45493</v>
      </c>
      <c r="L216" s="147">
        <f>IF(t&lt;Tvie,1-EXP((T0-t)*PertePVj)+'2023'!Pspv,1-EXP((T0-t)*PertePVj)+Pspv)</f>
        <v>4.9466977185689931E-2</v>
      </c>
      <c r="M216" s="870"/>
      <c r="N216" s="870"/>
      <c r="O216" s="48">
        <f>IF(t&lt;Tnet,'2023'!Resal+('2023'!Salim-'2023'!Resal)*(1-EXP(('2023'!Tnet-t)/('2023'!Tau_j))),Resal+(Salim-Resal)*(1-EXP((Tnet-t)/(Tau_j))))*Salcycl</f>
        <v>5.089195739419012E-2</v>
      </c>
      <c r="P216" s="171">
        <f>(INDEX(Models!$BJ216:$BT216,,T216)*(1-R216)+INDEX(Models!$BJ216:$BT216,,T216+1)*R216-ERP_i)*Q216*Ramure*Pc/MaxiM</f>
        <v>1.5676737851766924E-3</v>
      </c>
      <c r="Q216" s="307">
        <f t="shared" si="80"/>
        <v>1</v>
      </c>
      <c r="R216" s="179">
        <f t="shared" si="81"/>
        <v>0.99030793546661888</v>
      </c>
      <c r="S216" s="837">
        <f t="shared" si="82"/>
        <v>1</v>
      </c>
      <c r="T216" s="178">
        <f t="shared" si="83"/>
        <v>7</v>
      </c>
      <c r="U216" s="253">
        <f t="shared" si="84"/>
        <v>1.9903079354666189</v>
      </c>
      <c r="V216" s="385">
        <f t="shared" si="85"/>
        <v>55.592986875920346</v>
      </c>
      <c r="W216" s="404">
        <f t="shared" si="86"/>
        <v>51.909671244488742</v>
      </c>
      <c r="X216" s="157">
        <f t="shared" si="87"/>
        <v>45493</v>
      </c>
      <c r="Y216" s="387">
        <f t="shared" si="88"/>
        <v>48.064023292012642</v>
      </c>
      <c r="Z216" s="387">
        <f t="shared" si="89"/>
        <v>50.565337698322253</v>
      </c>
      <c r="AA216" s="388">
        <f t="shared" si="90"/>
        <v>57.539411458077502</v>
      </c>
      <c r="AB216" s="199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0.12120516326164503</v>
      </c>
      <c r="AD216" s="233">
        <f>(INDEX(Models!$BJ216:$BT216,,AH216)*(1-AF216)+INDEX(Models!$BJ216:$BT216,,AH216+1)*AF216-ERP_i)*AE216*Ramure*Pc/MaxiM</f>
        <v>1.5676737851766924E-3</v>
      </c>
      <c r="AE216" s="307">
        <f t="shared" si="92"/>
        <v>1</v>
      </c>
      <c r="AF216" s="179">
        <f t="shared" si="93"/>
        <v>0.99030793546661888</v>
      </c>
      <c r="AG216" s="837">
        <f t="shared" si="99"/>
        <v>1</v>
      </c>
      <c r="AH216" s="178">
        <f t="shared" si="94"/>
        <v>7</v>
      </c>
      <c r="AI216" s="227">
        <f t="shared" si="95"/>
        <v>1.9903079354666189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45494</v>
      </c>
      <c r="B217" s="1139">
        <f>IF(t&gt;Tmaj,'2023'!Wh/'2023'!Env_an*'2024'!Env_an,0.001*[9]mois!$B$229)</f>
        <v>39.092651886323125</v>
      </c>
      <c r="C217" s="866"/>
      <c r="D217" s="395">
        <f t="shared" si="77"/>
        <v>41.128041543330802</v>
      </c>
      <c r="E217" s="387">
        <f t="shared" si="75"/>
        <v>43.345681812450593</v>
      </c>
      <c r="F217" s="387">
        <f t="shared" si="78"/>
        <v>43.387934170666007</v>
      </c>
      <c r="G217" s="110">
        <f t="shared" si="76"/>
        <v>0.70469073641977209</v>
      </c>
      <c r="H217" s="414" t="b">
        <f>Wh_hp&gt;='2023'!Maxi_hp</f>
        <v>0</v>
      </c>
      <c r="I217" s="392">
        <f>IF(H217,Wh_hp,'2023'!Maxi_hp)</f>
        <v>56.185831469090324</v>
      </c>
      <c r="J217" s="85">
        <f>IF(H217,An,'2023'!An_max)</f>
        <v>2021</v>
      </c>
      <c r="K217" s="199">
        <f t="shared" si="79"/>
        <v>45494</v>
      </c>
      <c r="L217" s="147">
        <f>IF(t&lt;Tvie,1-EXP((T0-t)*PertePVj)+'2023'!Pspv,1-EXP((T0-t)*PertePVj)+Pspv)</f>
        <v>4.9489097477770194E-2</v>
      </c>
      <c r="M217" s="870"/>
      <c r="N217" s="870"/>
      <c r="O217" s="48">
        <f>IF(t&lt;Tnet,'2023'!Resal+('2023'!Salim-'2023'!Resal)*(1-EXP(('2023'!Tnet-t)/('2023'!Tau_j))),Resal+(Salim-Resal)*(1-EXP((Tnet-t)/(Tau_j))))*Salcycl</f>
        <v>5.1161734604040755E-2</v>
      </c>
      <c r="P217" s="171">
        <f>(INDEX(Models!$BJ217:$BT217,,T217)*(1-R217)+INDEX(Models!$BJ217:$BT217,,T217+1)*R217-ERP_i)*Q217*Ramure*Pc/MaxiM</f>
        <v>1.6823655273472985E-3</v>
      </c>
      <c r="Q217" s="307">
        <f t="shared" si="80"/>
        <v>1</v>
      </c>
      <c r="R217" s="179">
        <f t="shared" si="81"/>
        <v>0.99405738138680988</v>
      </c>
      <c r="S217" s="837">
        <f t="shared" si="82"/>
        <v>1</v>
      </c>
      <c r="T217" s="178">
        <f t="shared" si="83"/>
        <v>7</v>
      </c>
      <c r="U217" s="253">
        <f t="shared" si="84"/>
        <v>1.9940573813868099</v>
      </c>
      <c r="V217" s="385">
        <f t="shared" si="85"/>
        <v>55.435560923693302</v>
      </c>
      <c r="W217" s="404">
        <f t="shared" si="86"/>
        <v>39.092651886323125</v>
      </c>
      <c r="X217" s="157">
        <f t="shared" si="87"/>
        <v>45494</v>
      </c>
      <c r="Y217" s="387">
        <f t="shared" si="88"/>
        <v>36.201075034247552</v>
      </c>
      <c r="Z217" s="387">
        <f t="shared" si="89"/>
        <v>38.08591246895341</v>
      </c>
      <c r="AA217" s="388">
        <f t="shared" si="90"/>
        <v>43.345681812450593</v>
      </c>
      <c r="AB217" s="199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0.12134471355774995</v>
      </c>
      <c r="AD217" s="233">
        <f>(INDEX(Models!$BJ217:$BT217,,AH217)*(1-AF217)+INDEX(Models!$BJ217:$BT217,,AH217+1)*AF217-ERP_i)*AE217*Ramure*Pc/MaxiM</f>
        <v>1.6823655273472985E-3</v>
      </c>
      <c r="AE217" s="307">
        <f t="shared" si="92"/>
        <v>1</v>
      </c>
      <c r="AF217" s="179">
        <f t="shared" si="93"/>
        <v>0.99405738138680988</v>
      </c>
      <c r="AG217" s="837">
        <f t="shared" si="99"/>
        <v>1</v>
      </c>
      <c r="AH217" s="178">
        <f t="shared" si="94"/>
        <v>7</v>
      </c>
      <c r="AI217" s="227">
        <f t="shared" si="95"/>
        <v>1.9940573813868099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45495</v>
      </c>
      <c r="B218" s="1139">
        <f>IF(t&gt;Tmaj,'2023'!Wh/'2023'!Env_an*'2024'!Env_an,0.001*[9]mois!$B$230)</f>
        <v>48.809949779174651</v>
      </c>
      <c r="C218" s="866"/>
      <c r="D218" s="395">
        <f t="shared" si="77"/>
        <v>51.352473238259755</v>
      </c>
      <c r="E218" s="387">
        <f t="shared" si="75"/>
        <v>54.136752680727433</v>
      </c>
      <c r="F218" s="387">
        <f t="shared" si="78"/>
        <v>54.218241148336311</v>
      </c>
      <c r="G218" s="110">
        <f t="shared" si="76"/>
        <v>0.88275145309947978</v>
      </c>
      <c r="H218" s="414" t="b">
        <f>Wh_hp&gt;='2023'!Maxi_hp</f>
        <v>0</v>
      </c>
      <c r="I218" s="392">
        <f>IF(H218,Wh_hp,'2023'!Maxi_hp)</f>
        <v>56.993648476218958</v>
      </c>
      <c r="J218" s="85">
        <f>IF(H218,An,'2023'!An_max)</f>
        <v>2019</v>
      </c>
      <c r="K218" s="199">
        <f t="shared" si="79"/>
        <v>45495</v>
      </c>
      <c r="L218" s="147">
        <f>IF(t&lt;Tvie,1-EXP((T0-t)*PertePVj)+'2023'!Pspv,1-EXP((T0-t)*PertePVj)+Pspv)</f>
        <v>4.9511217255078899E-2</v>
      </c>
      <c r="M218" s="870"/>
      <c r="N218" s="870"/>
      <c r="O218" s="48">
        <f>IF(t&lt;Tnet,'2023'!Resal+('2023'!Salim-'2023'!Resal)*(1-EXP(('2023'!Tnet-t)/('2023'!Tau_j))),Resal+(Salim-Resal)*(1-EXP((Tnet-t)/(Tau_j))))*Salcycl</f>
        <v>5.1430484921916618E-2</v>
      </c>
      <c r="P218" s="171">
        <f>(INDEX(Models!$BJ218:$BT218,,T218)*(1-R218)+INDEX(Models!$BJ218:$BT218,,T218+1)*R218-ERP_i)*Q218*Ramure*Pc/MaxiM</f>
        <v>1.8045407542099279E-3</v>
      </c>
      <c r="Q218" s="307">
        <f t="shared" si="80"/>
        <v>1</v>
      </c>
      <c r="R218" s="179">
        <f t="shared" si="81"/>
        <v>0.99770083905239471</v>
      </c>
      <c r="S218" s="837">
        <f t="shared" si="82"/>
        <v>1</v>
      </c>
      <c r="T218" s="178">
        <f t="shared" si="83"/>
        <v>7</v>
      </c>
      <c r="U218" s="253">
        <f t="shared" si="84"/>
        <v>1.9977008390523947</v>
      </c>
      <c r="V218" s="385">
        <f t="shared" si="85"/>
        <v>55.276270424731479</v>
      </c>
      <c r="W218" s="404">
        <f t="shared" si="86"/>
        <v>48.809949779174651</v>
      </c>
      <c r="X218" s="157">
        <f t="shared" si="87"/>
        <v>45495</v>
      </c>
      <c r="Y218" s="387">
        <f t="shared" si="88"/>
        <v>45.205315031482812</v>
      </c>
      <c r="Z218" s="387">
        <f t="shared" si="89"/>
        <v>47.560072093575016</v>
      </c>
      <c r="AA218" s="388">
        <f t="shared" si="90"/>
        <v>54.136752680727433</v>
      </c>
      <c r="AB218" s="199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0.12148273144380348</v>
      </c>
      <c r="AD218" s="233">
        <f>(INDEX(Models!$BJ218:$BT218,,AH218)*(1-AF218)+INDEX(Models!$BJ218:$BT218,,AH218+1)*AF218-ERP_i)*AE218*Ramure*Pc/MaxiM</f>
        <v>1.8045407542099279E-3</v>
      </c>
      <c r="AE218" s="307">
        <f t="shared" si="92"/>
        <v>1</v>
      </c>
      <c r="AF218" s="179">
        <f t="shared" si="93"/>
        <v>0.99770083905239471</v>
      </c>
      <c r="AG218" s="837">
        <f t="shared" si="99"/>
        <v>1</v>
      </c>
      <c r="AH218" s="178">
        <f t="shared" si="94"/>
        <v>7</v>
      </c>
      <c r="AI218" s="227">
        <f t="shared" si="95"/>
        <v>1.9977008390523947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45496</v>
      </c>
      <c r="B219" s="1139">
        <f>IF(t&gt;Tmaj,'2023'!Wh/'2023'!Env_an*'2024'!Env_an,0.001*[9]mois!$B$231)</f>
        <v>51.428764436803746</v>
      </c>
      <c r="C219" s="866"/>
      <c r="D219" s="395">
        <f t="shared" si="77"/>
        <v>54.108961852882061</v>
      </c>
      <c r="E219" s="387">
        <f t="shared" si="75"/>
        <v>57.058801385529428</v>
      </c>
      <c r="F219" s="387">
        <f t="shared" si="78"/>
        <v>57.158828473036898</v>
      </c>
      <c r="G219" s="110">
        <f t="shared" si="76"/>
        <v>0.93294088211163129</v>
      </c>
      <c r="H219" s="414" t="b">
        <f>Wh_hp&gt;='2023'!Maxi_hp</f>
        <v>0</v>
      </c>
      <c r="I219" s="392">
        <f>IF(H219,Wh_hp,'2023'!Maxi_hp)</f>
        <v>57.250617661501515</v>
      </c>
      <c r="J219" s="85">
        <f>IF(H219,An,'2023'!An_max)</f>
        <v>2019</v>
      </c>
      <c r="K219" s="199">
        <f t="shared" si="79"/>
        <v>45496</v>
      </c>
      <c r="L219" s="147">
        <f>IF(t&lt;Tvie,1-EXP((T0-t)*PertePVj)+'2023'!Pspv,1-EXP((T0-t)*PertePVj)+Pspv)</f>
        <v>4.9533336517628146E-2</v>
      </c>
      <c r="M219" s="870"/>
      <c r="N219" s="870"/>
      <c r="O219" s="48">
        <f>IF(t&lt;Tnet,'2023'!Resal+('2023'!Salim-'2023'!Resal)*(1-EXP(('2023'!Tnet-t)/('2023'!Tau_j))),Resal+(Salim-Resal)*(1-EXP((Tnet-t)/(Tau_j))))*Salcycl</f>
        <v>5.1698238676907551E-2</v>
      </c>
      <c r="P219" s="171">
        <f>(INDEX(Models!$BJ219:$BT219,,T219)*(1-R219)+INDEX(Models!$BJ219:$BT219,,T219+1)*R219-ERP_i)*Q219*Ramure*Pc/MaxiM</f>
        <v>1.9348648471190289E-3</v>
      </c>
      <c r="Q219" s="307">
        <f t="shared" si="80"/>
        <v>1</v>
      </c>
      <c r="R219" s="179">
        <f t="shared" si="81"/>
        <v>1.2397927124228048E-3</v>
      </c>
      <c r="S219" s="837">
        <f t="shared" si="82"/>
        <v>2</v>
      </c>
      <c r="T219" s="178">
        <f t="shared" si="83"/>
        <v>8</v>
      </c>
      <c r="U219" s="253">
        <f t="shared" si="84"/>
        <v>2.0012397927124228</v>
      </c>
      <c r="V219" s="385">
        <f t="shared" si="85"/>
        <v>55.115217489010639</v>
      </c>
      <c r="W219" s="404">
        <f t="shared" si="86"/>
        <v>51.428764436803746</v>
      </c>
      <c r="X219" s="157">
        <f t="shared" si="87"/>
        <v>45496</v>
      </c>
      <c r="Y219" s="387">
        <f t="shared" si="88"/>
        <v>47.636771147471144</v>
      </c>
      <c r="Z219" s="387">
        <f t="shared" si="89"/>
        <v>50.11934976544778</v>
      </c>
      <c r="AA219" s="388">
        <f t="shared" si="90"/>
        <v>57.058801385529428</v>
      </c>
      <c r="AB219" s="199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0.12161930239637932</v>
      </c>
      <c r="AD219" s="233">
        <f>(INDEX(Models!$BJ219:$BT219,,AH219)*(1-AF219)+INDEX(Models!$BJ219:$BT219,,AH219+1)*AF219-ERP_i)*AE219*Ramure*Pc/MaxiM</f>
        <v>1.9348648471190289E-3</v>
      </c>
      <c r="AE219" s="307">
        <f t="shared" si="92"/>
        <v>1</v>
      </c>
      <c r="AF219" s="179">
        <f t="shared" si="93"/>
        <v>1.2397927124228048E-3</v>
      </c>
      <c r="AG219" s="837">
        <f t="shared" si="99"/>
        <v>2</v>
      </c>
      <c r="AH219" s="178">
        <f t="shared" si="94"/>
        <v>8</v>
      </c>
      <c r="AI219" s="227">
        <f t="shared" si="95"/>
        <v>2.0012397927124228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45497</v>
      </c>
      <c r="B220" s="1139">
        <f>IF(t&gt;Tmaj,'2023'!Wh/'2023'!Env_an*'2024'!Env_an,0.001*[9]mois!$B$232)</f>
        <v>31.065855114257378</v>
      </c>
      <c r="C220" s="866"/>
      <c r="D220" s="395">
        <f t="shared" si="77"/>
        <v>32.685605158513603</v>
      </c>
      <c r="E220" s="387">
        <f t="shared" si="75"/>
        <v>34.477214463088842</v>
      </c>
      <c r="F220" s="387">
        <f t="shared" si="78"/>
        <v>34.504468277766776</v>
      </c>
      <c r="G220" s="110">
        <f t="shared" si="76"/>
        <v>0.56459817386078637</v>
      </c>
      <c r="H220" s="414" t="b">
        <f>Wh_hp&gt;='2023'!Maxi_hp</f>
        <v>0</v>
      </c>
      <c r="I220" s="392">
        <f>IF(H220,Wh_hp,'2023'!Maxi_hp)</f>
        <v>58.935772550617891</v>
      </c>
      <c r="J220" s="85">
        <f>IF(H220,An,'2023'!An_max)</f>
        <v>2020</v>
      </c>
      <c r="K220" s="199">
        <f t="shared" si="79"/>
        <v>45497</v>
      </c>
      <c r="L220" s="147">
        <f>IF(t&lt;Tvie,1-EXP((T0-t)*PertePVj)+'2023'!Pspv,1-EXP((T0-t)*PertePVj)+Pspv)</f>
        <v>4.9555455265429815E-2</v>
      </c>
      <c r="M220" s="870"/>
      <c r="N220" s="870"/>
      <c r="O220" s="48">
        <f>IF(t&lt;Tnet,'2023'!Resal+('2023'!Salim-'2023'!Resal)*(1-EXP(('2023'!Tnet-t)/('2023'!Tau_j))),Resal+(Salim-Resal)*(1-EXP((Tnet-t)/(Tau_j))))*Salcycl</f>
        <v>5.1965024799011196E-2</v>
      </c>
      <c r="P220" s="171">
        <f>(INDEX(Models!$BJ220:$BT220,,T220)*(1-R220)+INDEX(Models!$BJ220:$BT220,,T220+1)*R220-ERP_i)*Q220*Ramure*Pc/MaxiM</f>
        <v>2.0838343621298332E-3</v>
      </c>
      <c r="Q220" s="307">
        <f t="shared" si="80"/>
        <v>1</v>
      </c>
      <c r="R220" s="179">
        <f t="shared" si="81"/>
        <v>4.6758140944120896E-3</v>
      </c>
      <c r="S220" s="837">
        <f t="shared" si="82"/>
        <v>2</v>
      </c>
      <c r="T220" s="178">
        <f t="shared" si="83"/>
        <v>8</v>
      </c>
      <c r="U220" s="253">
        <f t="shared" si="84"/>
        <v>2.0046758140944121</v>
      </c>
      <c r="V220" s="385">
        <f t="shared" si="85"/>
        <v>54.951692120498763</v>
      </c>
      <c r="W220" s="404">
        <f t="shared" si="86"/>
        <v>31.065855114257378</v>
      </c>
      <c r="X220" s="157">
        <f t="shared" si="87"/>
        <v>45497</v>
      </c>
      <c r="Y220" s="387">
        <f t="shared" si="88"/>
        <v>28.778945872549063</v>
      </c>
      <c r="Z220" s="387">
        <f t="shared" si="89"/>
        <v>30.279458209301556</v>
      </c>
      <c r="AA220" s="388">
        <f t="shared" si="90"/>
        <v>34.477214463088842</v>
      </c>
      <c r="AB220" s="199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0.12175450711893758</v>
      </c>
      <c r="AD220" s="233">
        <f>(INDEX(Models!$BJ220:$BT220,,AH220)*(1-AF220)+INDEX(Models!$BJ220:$BT220,,AH220+1)*AF220-ERP_i)*AE220*Ramure*Pc/MaxiM</f>
        <v>2.0838343621298332E-3</v>
      </c>
      <c r="AE220" s="307">
        <f t="shared" si="92"/>
        <v>1</v>
      </c>
      <c r="AF220" s="179">
        <f t="shared" si="93"/>
        <v>4.6758140944120896E-3</v>
      </c>
      <c r="AG220" s="837">
        <f t="shared" si="99"/>
        <v>2</v>
      </c>
      <c r="AH220" s="178">
        <f t="shared" si="94"/>
        <v>8</v>
      </c>
      <c r="AI220" s="227">
        <f t="shared" si="95"/>
        <v>2.0046758140944121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45498</v>
      </c>
      <c r="B221" s="1139">
        <f>IF(t&gt;Tmaj,'2023'!Wh/'2023'!Env_an*'2024'!Env_an,0.001*[9]mois!$B$233)</f>
        <v>52.563345627997755</v>
      </c>
      <c r="C221" s="866"/>
      <c r="D221" s="395">
        <f t="shared" si="77"/>
        <v>55.305245501711205</v>
      </c>
      <c r="E221" s="387">
        <f t="shared" si="75"/>
        <v>58.353077548095712</v>
      </c>
      <c r="F221" s="387">
        <f t="shared" si="78"/>
        <v>58.477015710900545</v>
      </c>
      <c r="G221" s="110">
        <f t="shared" si="76"/>
        <v>0.9593120762383518</v>
      </c>
      <c r="H221" s="414" t="b">
        <f>Wh_hp&gt;='2023'!Maxi_hp</f>
        <v>0</v>
      </c>
      <c r="I221" s="392">
        <f>IF(H221,Wh_hp,'2023'!Maxi_hp)</f>
        <v>58.480876245023246</v>
      </c>
      <c r="J221" s="85">
        <f>IF(H221,An,'2023'!An_max)</f>
        <v>2022</v>
      </c>
      <c r="K221" s="199">
        <f t="shared" si="79"/>
        <v>45498</v>
      </c>
      <c r="L221" s="147">
        <f>IF(t&lt;Tvie,1-EXP((T0-t)*PertePVj)+'2023'!Pspv,1-EXP((T0-t)*PertePVj)+Pspv)</f>
        <v>4.9577573498495897E-2</v>
      </c>
      <c r="M221" s="870"/>
      <c r="N221" s="870"/>
      <c r="O221" s="48">
        <f>IF(t&lt;Tnet,'2023'!Resal+('2023'!Salim-'2023'!Resal)*(1-EXP(('2023'!Tnet-t)/('2023'!Tau_j))),Resal+(Salim-Resal)*(1-EXP((Tnet-t)/(Tau_j))))*Salcycl</f>
        <v>5.2230870666117465E-2</v>
      </c>
      <c r="P221" s="171">
        <f>(INDEX(Models!$BJ221:$BT221,,T221)*(1-R221)+INDEX(Models!$BJ221:$BT221,,T221+1)*R221-ERP_i)*Q221*Ramure*Pc/MaxiM</f>
        <v>2.2498020290866796E-3</v>
      </c>
      <c r="Q221" s="307">
        <f t="shared" si="80"/>
        <v>1</v>
      </c>
      <c r="R221" s="179">
        <f t="shared" si="81"/>
        <v>8.0105535834142927E-3</v>
      </c>
      <c r="S221" s="837">
        <f t="shared" si="82"/>
        <v>2</v>
      </c>
      <c r="T221" s="178">
        <f t="shared" si="83"/>
        <v>8</v>
      </c>
      <c r="U221" s="253">
        <f t="shared" si="84"/>
        <v>2.0080105535834143</v>
      </c>
      <c r="V221" s="385">
        <f t="shared" si="85"/>
        <v>54.785590408289117</v>
      </c>
      <c r="W221" s="404">
        <f t="shared" si="86"/>
        <v>52.563345627997755</v>
      </c>
      <c r="X221" s="157">
        <f t="shared" si="87"/>
        <v>45498</v>
      </c>
      <c r="Y221" s="387">
        <f t="shared" si="88"/>
        <v>48.700132746304853</v>
      </c>
      <c r="Z221" s="387">
        <f t="shared" si="89"/>
        <v>51.240513048044939</v>
      </c>
      <c r="AA221" s="388">
        <f t="shared" si="90"/>
        <v>58.353077548095712</v>
      </c>
      <c r="AB221" s="199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0.12188842129514869</v>
      </c>
      <c r="AD221" s="233">
        <f>(INDEX(Models!$BJ221:$BT221,,AH221)*(1-AF221)+INDEX(Models!$BJ221:$BT221,,AH221+1)*AF221-ERP_i)*AE221*Ramure*Pc/MaxiM</f>
        <v>2.2498020290866796E-3</v>
      </c>
      <c r="AE221" s="307">
        <f t="shared" si="92"/>
        <v>1</v>
      </c>
      <c r="AF221" s="179">
        <f t="shared" si="93"/>
        <v>8.0105535834142927E-3</v>
      </c>
      <c r="AG221" s="837">
        <f t="shared" si="99"/>
        <v>2</v>
      </c>
      <c r="AH221" s="178">
        <f t="shared" si="94"/>
        <v>8</v>
      </c>
      <c r="AI221" s="227">
        <f t="shared" si="95"/>
        <v>2.0080105535834143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45499</v>
      </c>
      <c r="B222" s="1139">
        <f>IF(t&gt;Tmaj,'2023'!Wh/'2023'!Env_an*'2024'!Env_an,0.001*[9]mois!$B$234)</f>
        <v>55.309301801913591</v>
      </c>
      <c r="C222" s="866"/>
      <c r="D222" s="395">
        <f t="shared" si="77"/>
        <v>58.195795277811378</v>
      </c>
      <c r="E222" s="387">
        <f t="shared" si="75"/>
        <v>61.420092279012167</v>
      </c>
      <c r="F222" s="387">
        <f t="shared" si="78"/>
        <v>61.56989037067234</v>
      </c>
      <c r="G222" s="110">
        <f t="shared" si="76"/>
        <v>1.0126810163838371</v>
      </c>
      <c r="H222" s="414" t="b">
        <f>Wh_hp&gt;='2023'!Maxi_hp</f>
        <v>1</v>
      </c>
      <c r="I222" s="392">
        <f>IF(H222,Wh_hp,'2023'!Maxi_hp)</f>
        <v>61.56989037067234</v>
      </c>
      <c r="J222" s="85">
        <f>IF(H222,An,'2023'!An_max)</f>
        <v>2024</v>
      </c>
      <c r="K222" s="199">
        <f t="shared" si="79"/>
        <v>45499</v>
      </c>
      <c r="L222" s="147">
        <f>IF(t&lt;Tvie,1-EXP((T0-t)*PertePVj)+'2023'!Pspv,1-EXP((T0-t)*PertePVj)+Pspv)</f>
        <v>4.9599691216838382E-2</v>
      </c>
      <c r="M222" s="870"/>
      <c r="N222" s="870"/>
      <c r="O222" s="48">
        <f>IF(t&lt;Tnet,'2023'!Resal+('2023'!Salim-'2023'!Resal)*(1-EXP(('2023'!Tnet-t)/('2023'!Tau_j))),Resal+(Salim-Resal)*(1-EXP((Tnet-t)/(Tau_j))))*Salcycl</f>
        <v>5.2495801969066135E-2</v>
      </c>
      <c r="P222" s="171">
        <f>(INDEX(Models!$BJ222:$BT222,,T222)*(1-R222)+INDEX(Models!$BJ222:$BT222,,T222+1)*R222-ERP_i)*Q222*Ramure*Pc/MaxiM</f>
        <v>2.432976423351438E-3</v>
      </c>
      <c r="Q222" s="307">
        <f t="shared" si="80"/>
        <v>1</v>
      </c>
      <c r="R222" s="179">
        <f t="shared" si="81"/>
        <v>1.1245731690366689E-2</v>
      </c>
      <c r="S222" s="837">
        <f t="shared" si="82"/>
        <v>2</v>
      </c>
      <c r="T222" s="178">
        <f t="shared" si="83"/>
        <v>8</v>
      </c>
      <c r="U222" s="253">
        <f t="shared" si="84"/>
        <v>2.0112457316903667</v>
      </c>
      <c r="V222" s="385">
        <f t="shared" si="85"/>
        <v>54.616706452557487</v>
      </c>
      <c r="W222" s="404">
        <f t="shared" si="86"/>
        <v>55.309301801913591</v>
      </c>
      <c r="X222" s="157">
        <f t="shared" si="87"/>
        <v>45499</v>
      </c>
      <c r="Y222" s="387">
        <f t="shared" si="88"/>
        <v>51.25085377519855</v>
      </c>
      <c r="Z222" s="387">
        <f t="shared" si="89"/>
        <v>53.925544111846115</v>
      </c>
      <c r="AA222" s="388">
        <f t="shared" si="90"/>
        <v>61.420092279012167</v>
      </c>
      <c r="AB222" s="199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0.12202111538876678</v>
      </c>
      <c r="AD222" s="233">
        <f>(INDEX(Models!$BJ222:$BT222,,AH222)*(1-AF222)+INDEX(Models!$BJ222:$BT222,,AH222+1)*AF222-ERP_i)*AE222*Ramure*Pc/MaxiM</f>
        <v>2.432976423351438E-3</v>
      </c>
      <c r="AE222" s="307">
        <f t="shared" si="92"/>
        <v>1</v>
      </c>
      <c r="AF222" s="179">
        <f t="shared" si="93"/>
        <v>1.1245731690366689E-2</v>
      </c>
      <c r="AG222" s="837">
        <f t="shared" si="99"/>
        <v>2</v>
      </c>
      <c r="AH222" s="178">
        <f t="shared" si="94"/>
        <v>8</v>
      </c>
      <c r="AI222" s="227">
        <f t="shared" si="95"/>
        <v>2.0112457316903667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45500</v>
      </c>
      <c r="B223" s="1139">
        <f>IF(t&gt;Tmaj,'2023'!Wh/'2023'!Env_an*'2024'!Env_an,0.001*[9]mois!$B$235)</f>
        <v>47.14731387708715</v>
      </c>
      <c r="C223" s="866"/>
      <c r="D223" s="395">
        <f t="shared" si="77"/>
        <v>49.609002284372927</v>
      </c>
      <c r="E223" s="387">
        <f t="shared" si="75"/>
        <v>52.372148600932391</v>
      </c>
      <c r="F223" s="387">
        <f t="shared" si="78"/>
        <v>52.483902504046846</v>
      </c>
      <c r="G223" s="110">
        <f t="shared" si="76"/>
        <v>0.86552724670591052</v>
      </c>
      <c r="H223" s="414" t="b">
        <f>Wh_hp&gt;='2023'!Maxi_hp</f>
        <v>0</v>
      </c>
      <c r="I223" s="392">
        <f>IF(H223,Wh_hp,'2023'!Maxi_hp)</f>
        <v>61.483978261170357</v>
      </c>
      <c r="J223" s="85">
        <f>IF(H223,An,'2023'!An_max)</f>
        <v>2019</v>
      </c>
      <c r="K223" s="199">
        <f t="shared" si="79"/>
        <v>45500</v>
      </c>
      <c r="L223" s="147">
        <f>IF(t&lt;Tvie,1-EXP((T0-t)*PertePVj)+'2023'!Pspv,1-EXP((T0-t)*PertePVj)+Pspv)</f>
        <v>4.962180842046926E-2</v>
      </c>
      <c r="M223" s="870"/>
      <c r="N223" s="870"/>
      <c r="O223" s="48">
        <f>IF(t&lt;Tnet,'2023'!Resal+('2023'!Salim-'2023'!Resal)*(1-EXP(('2023'!Tnet-t)/('2023'!Tau_j))),Resal+(Salim-Resal)*(1-EXP((Tnet-t)/(Tau_j))))*Salcycl</f>
        <v>5.2759842595235244E-2</v>
      </c>
      <c r="P223" s="171">
        <f>(INDEX(Models!$BJ223:$BT223,,T223)*(1-R223)+INDEX(Models!$BJ223:$BT223,,T223+1)*R223-ERP_i)*Q223*Ramure*Pc/MaxiM</f>
        <v>2.6335717318298553E-3</v>
      </c>
      <c r="Q223" s="307">
        <f t="shared" si="80"/>
        <v>1</v>
      </c>
      <c r="R223" s="179">
        <f t="shared" si="81"/>
        <v>1.4383130831580715E-2</v>
      </c>
      <c r="S223" s="837">
        <f t="shared" si="82"/>
        <v>2</v>
      </c>
      <c r="T223" s="178">
        <f t="shared" si="83"/>
        <v>8</v>
      </c>
      <c r="U223" s="253">
        <f t="shared" si="84"/>
        <v>2.0143831308315807</v>
      </c>
      <c r="V223" s="385">
        <f t="shared" si="85"/>
        <v>54.444834871618127</v>
      </c>
      <c r="W223" s="404">
        <f t="shared" si="86"/>
        <v>47.14731387708715</v>
      </c>
      <c r="X223" s="157">
        <f t="shared" si="87"/>
        <v>45500</v>
      </c>
      <c r="Y223" s="387">
        <f t="shared" si="88"/>
        <v>43.693401310532998</v>
      </c>
      <c r="Z223" s="387">
        <f t="shared" si="89"/>
        <v>45.974751627996078</v>
      </c>
      <c r="AA223" s="388">
        <f t="shared" si="90"/>
        <v>52.372148600932391</v>
      </c>
      <c r="AB223" s="199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0.12215265448976483</v>
      </c>
      <c r="AD223" s="233">
        <f>(INDEX(Models!$BJ223:$BT223,,AH223)*(1-AF223)+INDEX(Models!$BJ223:$BT223,,AH223+1)*AF223-ERP_i)*AE223*Ramure*Pc/MaxiM</f>
        <v>2.6335717318298553E-3</v>
      </c>
      <c r="AE223" s="307">
        <f t="shared" si="92"/>
        <v>1</v>
      </c>
      <c r="AF223" s="179">
        <f t="shared" si="93"/>
        <v>1.4383130831580715E-2</v>
      </c>
      <c r="AG223" s="837">
        <f t="shared" si="99"/>
        <v>2</v>
      </c>
      <c r="AH223" s="178">
        <f t="shared" si="94"/>
        <v>8</v>
      </c>
      <c r="AI223" s="227">
        <f t="shared" si="95"/>
        <v>2.0143831308315807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45501</v>
      </c>
      <c r="B224" s="1139">
        <f>IF(t&gt;Tmaj,'2023'!Wh/'2023'!Env_an*'2024'!Env_an,0.001*[9]mois!$B$236)</f>
        <v>27.313661328580054</v>
      </c>
      <c r="C224" s="866"/>
      <c r="D224" s="395">
        <f t="shared" si="77"/>
        <v>28.740450079960056</v>
      </c>
      <c r="E224" s="387">
        <f t="shared" si="75"/>
        <v>30.349681693397578</v>
      </c>
      <c r="F224" s="387">
        <f t="shared" si="78"/>
        <v>30.374838837341329</v>
      </c>
      <c r="G224" s="110">
        <f t="shared" si="76"/>
        <v>0.50227490519682882</v>
      </c>
      <c r="H224" s="414" t="b">
        <f>Wh_hp&gt;='2023'!Maxi_hp</f>
        <v>0</v>
      </c>
      <c r="I224" s="392">
        <f>IF(H224,Wh_hp,'2023'!Maxi_hp)</f>
        <v>60.214404913663586</v>
      </c>
      <c r="J224" s="85">
        <f>IF(H224,An,'2023'!An_max)</f>
        <v>2019</v>
      </c>
      <c r="K224" s="199">
        <f t="shared" si="79"/>
        <v>45501</v>
      </c>
      <c r="L224" s="147">
        <f>IF(t&lt;Tvie,1-EXP((T0-t)*PertePVj)+'2023'!Pspv,1-EXP((T0-t)*PertePVj)+Pspv)</f>
        <v>4.9643925109400522E-2</v>
      </c>
      <c r="M224" s="870"/>
      <c r="N224" s="870"/>
      <c r="O224" s="48">
        <f>IF(t&lt;Tnet,'2023'!Resal+('2023'!Salim-'2023'!Resal)*(1-EXP(('2023'!Tnet-t)/('2023'!Tau_j))),Resal+(Salim-Resal)*(1-EXP((Tnet-t)/(Tau_j))))*Salcycl</f>
        <v>5.3023014530910267E-2</v>
      </c>
      <c r="P224" s="171">
        <f>(INDEX(Models!$BJ224:$BT224,,T224)*(1-R224)+INDEX(Models!$BJ224:$BT224,,T224+1)*R224-ERP_i)*Q224*Ramure*Pc/MaxiM</f>
        <v>2.8518086785184818E-3</v>
      </c>
      <c r="Q224" s="307">
        <f t="shared" si="80"/>
        <v>1</v>
      </c>
      <c r="R224" s="179">
        <f t="shared" si="81"/>
        <v>1.7424587437227412E-2</v>
      </c>
      <c r="S224" s="837">
        <f t="shared" si="82"/>
        <v>2</v>
      </c>
      <c r="T224" s="178">
        <f t="shared" si="83"/>
        <v>8</v>
      </c>
      <c r="U224" s="253">
        <f t="shared" si="84"/>
        <v>2.0174245874372274</v>
      </c>
      <c r="V224" s="385">
        <f t="shared" si="85"/>
        <v>54.269770798753378</v>
      </c>
      <c r="W224" s="404">
        <f t="shared" si="86"/>
        <v>27.313661328580054</v>
      </c>
      <c r="X224" s="157">
        <f t="shared" si="87"/>
        <v>45501</v>
      </c>
      <c r="Y224" s="387">
        <f t="shared" si="88"/>
        <v>25.315992432589564</v>
      </c>
      <c r="Z224" s="387">
        <f t="shared" si="89"/>
        <v>26.638428586363087</v>
      </c>
      <c r="AA224" s="388">
        <f t="shared" si="90"/>
        <v>30.349681693397578</v>
      </c>
      <c r="AB224" s="199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0.12228309820599716</v>
      </c>
      <c r="AD224" s="233">
        <f>(INDEX(Models!$BJ224:$BT224,,AH224)*(1-AF224)+INDEX(Models!$BJ224:$BT224,,AH224+1)*AF224-ERP_i)*AE224*Ramure*Pc/MaxiM</f>
        <v>2.8518086785184818E-3</v>
      </c>
      <c r="AE224" s="307">
        <f t="shared" si="92"/>
        <v>1</v>
      </c>
      <c r="AF224" s="179">
        <f t="shared" si="93"/>
        <v>1.7424587437227412E-2</v>
      </c>
      <c r="AG224" s="837">
        <f t="shared" si="99"/>
        <v>2</v>
      </c>
      <c r="AH224" s="178">
        <f t="shared" si="94"/>
        <v>8</v>
      </c>
      <c r="AI224" s="227">
        <f t="shared" si="95"/>
        <v>2.0174245874372274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45502</v>
      </c>
      <c r="B225" s="1139">
        <f>IF(t&gt;Tmaj,'2023'!Wh/'2023'!Env_an*'2024'!Env_an,0.001*[9]mois!$B$237)</f>
        <v>46.338273241942282</v>
      </c>
      <c r="C225" s="866"/>
      <c r="D225" s="395">
        <f t="shared" si="77"/>
        <v>48.759988861739458</v>
      </c>
      <c r="E225" s="387">
        <f t="shared" si="75"/>
        <v>51.504419238133664</v>
      </c>
      <c r="F225" s="387">
        <f t="shared" si="78"/>
        <v>51.63120649124825</v>
      </c>
      <c r="G225" s="110">
        <f t="shared" si="76"/>
        <v>0.85612462169336578</v>
      </c>
      <c r="H225" s="414" t="b">
        <f>Wh_hp&gt;='2023'!Maxi_hp</f>
        <v>0</v>
      </c>
      <c r="I225" s="392">
        <f>IF(H225,Wh_hp,'2023'!Maxi_hp)</f>
        <v>52.174946254120343</v>
      </c>
      <c r="J225" s="85">
        <f>IF(H225,An,'2023'!An_max)</f>
        <v>2020</v>
      </c>
      <c r="K225" s="199">
        <f t="shared" si="79"/>
        <v>45502</v>
      </c>
      <c r="L225" s="147">
        <f>IF(t&lt;Tvie,1-EXP((T0-t)*PertePVj)+'2023'!Pspv,1-EXP((T0-t)*PertePVj)+Pspv)</f>
        <v>4.9666041283644047E-2</v>
      </c>
      <c r="M225" s="870"/>
      <c r="N225" s="870"/>
      <c r="O225" s="48">
        <f>IF(t&lt;Tnet,'2023'!Resal+('2023'!Salim-'2023'!Resal)*(1-EXP(('2023'!Tnet-t)/('2023'!Tau_j))),Resal+(Salim-Resal)*(1-EXP((Tnet-t)/(Tau_j))))*Salcycl</f>
        <v>5.3285337782475926E-2</v>
      </c>
      <c r="P225" s="171">
        <f>(INDEX(Models!$BJ225:$BT225,,T225)*(1-R225)+INDEX(Models!$BJ225:$BT225,,T225+1)*R225-ERP_i)*Q225*Ramure*Pc/MaxiM</f>
        <v>3.0879154866328734E-3</v>
      </c>
      <c r="Q225" s="307">
        <f t="shared" si="80"/>
        <v>1</v>
      </c>
      <c r="R225" s="179">
        <f t="shared" si="81"/>
        <v>2.0371984402863141E-2</v>
      </c>
      <c r="S225" s="837">
        <f t="shared" si="82"/>
        <v>2</v>
      </c>
      <c r="T225" s="178">
        <f t="shared" si="83"/>
        <v>8</v>
      </c>
      <c r="U225" s="253">
        <f t="shared" si="84"/>
        <v>2.0203719844028631</v>
      </c>
      <c r="V225" s="385">
        <f t="shared" si="85"/>
        <v>54.091309872747864</v>
      </c>
      <c r="W225" s="404">
        <f t="shared" si="86"/>
        <v>46.338273241942282</v>
      </c>
      <c r="X225" s="157">
        <f t="shared" si="87"/>
        <v>45502</v>
      </c>
      <c r="Y225" s="387">
        <f t="shared" si="88"/>
        <v>42.954747574832183</v>
      </c>
      <c r="Z225" s="387">
        <f t="shared" si="89"/>
        <v>45.199634487283213</v>
      </c>
      <c r="AA225" s="388">
        <f t="shared" si="90"/>
        <v>51.504419238133664</v>
      </c>
      <c r="AB225" s="199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0.12241250059921885</v>
      </c>
      <c r="AD225" s="233">
        <f>(INDEX(Models!$BJ225:$BT225,,AH225)*(1-AF225)+INDEX(Models!$BJ225:$BT225,,AH225+1)*AF225-ERP_i)*AE225*Ramure*Pc/MaxiM</f>
        <v>3.0879154866328734E-3</v>
      </c>
      <c r="AE225" s="307">
        <f t="shared" si="92"/>
        <v>1</v>
      </c>
      <c r="AF225" s="179">
        <f t="shared" si="93"/>
        <v>2.0371984402863141E-2</v>
      </c>
      <c r="AG225" s="837">
        <f t="shared" si="99"/>
        <v>2</v>
      </c>
      <c r="AH225" s="178">
        <f t="shared" si="94"/>
        <v>8</v>
      </c>
      <c r="AI225" s="227">
        <f t="shared" si="95"/>
        <v>2.0203719844028631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45503</v>
      </c>
      <c r="B226" s="1139">
        <f>IF(t&gt;Tmaj,'2023'!Wh/'2023'!Env_an*'2024'!Env_an,0.001*[9]mois!$B$238)</f>
        <v>51.140615043563017</v>
      </c>
      <c r="C226" s="866"/>
      <c r="D226" s="395">
        <f t="shared" si="77"/>
        <v>53.814561417085265</v>
      </c>
      <c r="E226" s="387">
        <f t="shared" si="75"/>
        <v>56.859190862098224</v>
      </c>
      <c r="F226" s="387">
        <f t="shared" si="78"/>
        <v>57.035976966432152</v>
      </c>
      <c r="G226" s="110">
        <f t="shared" si="76"/>
        <v>0.94841187232470381</v>
      </c>
      <c r="H226" s="414" t="b">
        <f>Wh_hp&gt;='2023'!Maxi_hp</f>
        <v>0</v>
      </c>
      <c r="I226" s="392">
        <f>IF(H226,Wh_hp,'2023'!Maxi_hp)</f>
        <v>57.043276941412763</v>
      </c>
      <c r="J226" s="85">
        <f>IF(H226,An,'2023'!An_max)</f>
        <v>2022</v>
      </c>
      <c r="K226" s="199">
        <f t="shared" si="79"/>
        <v>45503</v>
      </c>
      <c r="L226" s="147">
        <f>IF(t&lt;Tvie,1-EXP((T0-t)*PertePVj)+'2023'!Pspv,1-EXP((T0-t)*PertePVj)+Pspv)</f>
        <v>4.9688156943211936E-2</v>
      </c>
      <c r="M226" s="870"/>
      <c r="N226" s="870"/>
      <c r="O226" s="48">
        <f>IF(t&lt;Tnet,'2023'!Resal+('2023'!Salim-'2023'!Resal)*(1-EXP(('2023'!Tnet-t)/('2023'!Tau_j))),Resal+(Salim-Resal)*(1-EXP((Tnet-t)/(Tau_j))))*Salcycl</f>
        <v>5.3546830316266086E-2</v>
      </c>
      <c r="P226" s="171">
        <f>(INDEX(Models!$BJ226:$BT226,,T226)*(1-R226)+INDEX(Models!$BJ226:$BT226,,T226+1)*R226-ERP_i)*Q226*Ramure*Pc/MaxiM</f>
        <v>3.3449524131467438E-3</v>
      </c>
      <c r="Q226" s="307">
        <f t="shared" si="80"/>
        <v>1</v>
      </c>
      <c r="R226" s="179">
        <f t="shared" si="81"/>
        <v>2.3227243894525351E-2</v>
      </c>
      <c r="S226" s="837">
        <f t="shared" si="82"/>
        <v>2</v>
      </c>
      <c r="T226" s="178">
        <f t="shared" si="83"/>
        <v>8</v>
      </c>
      <c r="U226" s="253">
        <f t="shared" si="84"/>
        <v>2.0232272438945254</v>
      </c>
      <c r="V226" s="385">
        <f t="shared" si="85"/>
        <v>53.909095512531891</v>
      </c>
      <c r="W226" s="404">
        <f t="shared" si="86"/>
        <v>51.140615043563017</v>
      </c>
      <c r="X226" s="157">
        <f t="shared" si="87"/>
        <v>45503</v>
      </c>
      <c r="Y226" s="387">
        <f t="shared" si="88"/>
        <v>47.412591522916436</v>
      </c>
      <c r="Z226" s="387">
        <f t="shared" si="89"/>
        <v>49.891613862675172</v>
      </c>
      <c r="AA226" s="388">
        <f t="shared" si="90"/>
        <v>56.859190862098224</v>
      </c>
      <c r="AB226" s="199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0.12254091016387594</v>
      </c>
      <c r="AD226" s="233">
        <f>(INDEX(Models!$BJ226:$BT226,,AH226)*(1-AF226)+INDEX(Models!$BJ226:$BT226,,AH226+1)*AF226-ERP_i)*AE226*Ramure*Pc/MaxiM</f>
        <v>3.3449524131467438E-3</v>
      </c>
      <c r="AE226" s="307">
        <f t="shared" si="92"/>
        <v>1</v>
      </c>
      <c r="AF226" s="179">
        <f t="shared" si="93"/>
        <v>2.3227243894525351E-2</v>
      </c>
      <c r="AG226" s="837">
        <f t="shared" si="99"/>
        <v>2</v>
      </c>
      <c r="AH226" s="178">
        <f t="shared" si="94"/>
        <v>8</v>
      </c>
      <c r="AI226" s="227">
        <f t="shared" si="95"/>
        <v>2.0232272438945254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45504</v>
      </c>
      <c r="B227" s="1139">
        <f>IF(t&gt;Tmaj,'2023'!Wh/'2023'!Env_an*'2024'!Env_an,0.001*'[10]mon-tableau (1)'!$B$208)</f>
        <v>53.078927326109408</v>
      </c>
      <c r="C227" s="866"/>
      <c r="D227" s="395">
        <f t="shared" si="77"/>
        <v>55.855520445056506</v>
      </c>
      <c r="E227" s="387">
        <f t="shared" si="75"/>
        <v>59.031878733236248</v>
      </c>
      <c r="F227" s="387">
        <f t="shared" si="78"/>
        <v>59.242490967949053</v>
      </c>
      <c r="G227" s="110">
        <f t="shared" si="76"/>
        <v>0.98794509253223783</v>
      </c>
      <c r="H227" s="414" t="b">
        <f>Wh_hp&gt;='2023'!Maxi_hp</f>
        <v>0</v>
      </c>
      <c r="I227" s="392">
        <f>IF(H227,Wh_hp,'2023'!Maxi_hp)</f>
        <v>59.244412021710168</v>
      </c>
      <c r="J227" s="85">
        <f>IF(H227,An,'2023'!An_max)</f>
        <v>2022</v>
      </c>
      <c r="K227" s="199">
        <f t="shared" si="79"/>
        <v>45504</v>
      </c>
      <c r="L227" s="147">
        <f>IF(t&lt;Tvie,1-EXP((T0-t)*PertePVj)+'2023'!Pspv,1-EXP((T0-t)*PertePVj)+Pspv)</f>
        <v>4.9710272088116181E-2</v>
      </c>
      <c r="M227" s="870"/>
      <c r="N227" s="870"/>
      <c r="O227" s="48">
        <f>IF(t&lt;Tnet,'2023'!Resal+('2023'!Salim-'2023'!Resal)*(1-EXP(('2023'!Tnet-t)/('2023'!Tau_j))),Resal+(Salim-Resal)*(1-EXP((Tnet-t)/(Tau_j))))*Salcycl</f>
        <v>5.3807508016704537E-2</v>
      </c>
      <c r="P227" s="171">
        <f>(INDEX(Models!$BJ227:$BT227,,T227)*(1-R227)+INDEX(Models!$BJ227:$BT227,,T227+1)*R227-ERP_i)*Q227*Ramure*Pc/MaxiM</f>
        <v>3.6170603780007419E-3</v>
      </c>
      <c r="Q227" s="307">
        <f t="shared" si="80"/>
        <v>1</v>
      </c>
      <c r="R227" s="179">
        <f t="shared" si="81"/>
        <v>2.5992320514661937E-2</v>
      </c>
      <c r="S227" s="837">
        <f t="shared" si="82"/>
        <v>2</v>
      </c>
      <c r="T227" s="178">
        <f t="shared" si="83"/>
        <v>8</v>
      </c>
      <c r="U227" s="253">
        <f t="shared" si="84"/>
        <v>2.0259923205146619</v>
      </c>
      <c r="V227" s="385">
        <f t="shared" si="85"/>
        <v>53.723255000143936</v>
      </c>
      <c r="W227" s="404">
        <f t="shared" si="86"/>
        <v>53.078927326109408</v>
      </c>
      <c r="X227" s="157">
        <f t="shared" si="87"/>
        <v>45504</v>
      </c>
      <c r="Y227" s="387">
        <f t="shared" si="88"/>
        <v>49.216012843427784</v>
      </c>
      <c r="Z227" s="387">
        <f t="shared" si="89"/>
        <v>51.790534400042858</v>
      </c>
      <c r="AA227" s="388">
        <f t="shared" si="90"/>
        <v>59.031878733236248</v>
      </c>
      <c r="AB227" s="199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0.12266836984668678</v>
      </c>
      <c r="AD227" s="233">
        <f>(INDEX(Models!$BJ227:$BT227,,AH227)*(1-AF227)+INDEX(Models!$BJ227:$BT227,,AH227+1)*AF227-ERP_i)*AE227*Ramure*Pc/MaxiM</f>
        <v>3.6170603780007419E-3</v>
      </c>
      <c r="AE227" s="307">
        <f t="shared" si="92"/>
        <v>1</v>
      </c>
      <c r="AF227" s="179">
        <f t="shared" si="93"/>
        <v>2.5992320514661937E-2</v>
      </c>
      <c r="AG227" s="837">
        <f t="shared" si="99"/>
        <v>2</v>
      </c>
      <c r="AH227" s="178">
        <f t="shared" si="94"/>
        <v>8</v>
      </c>
      <c r="AI227" s="227">
        <f t="shared" si="95"/>
        <v>2.0259923205146619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45505</v>
      </c>
      <c r="B228" s="1139">
        <f>IF(t&gt;Tmaj,'2023'!Wh/'2023'!Env_an*'2024'!Env_an,0.001*'[10]mon-tableau (1)'!$B$209)</f>
        <v>51.180756360744553</v>
      </c>
      <c r="C228" s="866"/>
      <c r="D228" s="395">
        <f t="shared" si="77"/>
        <v>53.859308310001381</v>
      </c>
      <c r="E228" s="387">
        <f t="shared" si="75"/>
        <v>56.937785458181189</v>
      </c>
      <c r="F228" s="387">
        <f t="shared" si="78"/>
        <v>57.146901336836187</v>
      </c>
      <c r="G228" s="110">
        <f t="shared" si="76"/>
        <v>0.95581419631683551</v>
      </c>
      <c r="H228" s="414" t="b">
        <f>Wh_hp&gt;='2023'!Maxi_hp</f>
        <v>0</v>
      </c>
      <c r="I228" s="392">
        <f>IF(H228,Wh_hp,'2023'!Maxi_hp)</f>
        <v>57.154241429769726</v>
      </c>
      <c r="J228" s="85">
        <f>IF(H228,An,'2023'!An_max)</f>
        <v>2022</v>
      </c>
      <c r="K228" s="199">
        <f t="shared" si="79"/>
        <v>45505</v>
      </c>
      <c r="L228" s="147">
        <f>IF(t&lt;Tvie,1-EXP((T0-t)*PertePVj)+'2023'!Pspv,1-EXP((T0-t)*PertePVj)+Pspv)</f>
        <v>4.9732386718368549E-2</v>
      </c>
      <c r="M228" s="870"/>
      <c r="N228" s="870"/>
      <c r="O228" s="48">
        <f>IF(t&lt;Tnet,'2023'!Resal+('2023'!Salim-'2023'!Resal)*(1-EXP(('2023'!Tnet-t)/('2023'!Tau_j))),Resal+(Salim-Resal)*(1-EXP((Tnet-t)/(Tau_j))))*Salcycl</f>
        <v>5.4067384662173749E-2</v>
      </c>
      <c r="P228" s="171">
        <f>(INDEX(Models!$BJ228:$BT228,,T228)*(1-R228)+INDEX(Models!$BJ228:$BT228,,T228+1)*R228-ERP_i)*Q228*Ramure*Pc/MaxiM</f>
        <v>3.9044134804681E-3</v>
      </c>
      <c r="Q228" s="307">
        <f t="shared" si="80"/>
        <v>1</v>
      </c>
      <c r="R228" s="179">
        <f t="shared" si="81"/>
        <v>2.8669194833153888E-2</v>
      </c>
      <c r="S228" s="837">
        <f t="shared" si="82"/>
        <v>2</v>
      </c>
      <c r="T228" s="178">
        <f t="shared" si="83"/>
        <v>8</v>
      </c>
      <c r="U228" s="253">
        <f t="shared" si="84"/>
        <v>2.0286691948331539</v>
      </c>
      <c r="V228" s="385">
        <f t="shared" si="85"/>
        <v>53.533588214563643</v>
      </c>
      <c r="W228" s="404">
        <f t="shared" si="86"/>
        <v>51.180756360744553</v>
      </c>
      <c r="X228" s="157">
        <f t="shared" si="87"/>
        <v>45505</v>
      </c>
      <c r="Y228" s="387">
        <f t="shared" si="88"/>
        <v>47.462175315774232</v>
      </c>
      <c r="Z228" s="387">
        <f t="shared" si="89"/>
        <v>49.946114812720481</v>
      </c>
      <c r="AA228" s="388">
        <f t="shared" si="90"/>
        <v>56.937785458181189</v>
      </c>
      <c r="AB228" s="199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0.12279491710466757</v>
      </c>
      <c r="AD228" s="233">
        <f>(INDEX(Models!$BJ228:$BT228,,AH228)*(1-AF228)+INDEX(Models!$BJ228:$BT228,,AH228+1)*AF228-ERP_i)*AE228*Ramure*Pc/MaxiM</f>
        <v>3.9044134804681E-3</v>
      </c>
      <c r="AE228" s="307">
        <f t="shared" si="92"/>
        <v>1</v>
      </c>
      <c r="AF228" s="179">
        <f t="shared" si="93"/>
        <v>2.8669194833153888E-2</v>
      </c>
      <c r="AG228" s="837">
        <f t="shared" si="99"/>
        <v>2</v>
      </c>
      <c r="AH228" s="178">
        <f t="shared" si="94"/>
        <v>8</v>
      </c>
      <c r="AI228" s="227">
        <f t="shared" si="95"/>
        <v>2.0286691948331539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45506</v>
      </c>
      <c r="B229" s="1139">
        <f>IF(t&gt;Tmaj,'2023'!Wh/'2023'!Env_an*'2024'!Env_an,0.001*'[10]mon-tableau (1)'!$B$210)</f>
        <v>49.279128027111895</v>
      </c>
      <c r="C229" s="866"/>
      <c r="D229" s="395">
        <f t="shared" si="77"/>
        <v>51.859364838204058</v>
      </c>
      <c r="E229" s="387">
        <f t="shared" si="75"/>
        <v>54.838549772432351</v>
      </c>
      <c r="F229" s="387">
        <f t="shared" si="78"/>
        <v>55.044948275628499</v>
      </c>
      <c r="G229" s="110">
        <f t="shared" si="76"/>
        <v>0.92344566020847429</v>
      </c>
      <c r="H229" s="414" t="b">
        <f>Wh_hp&gt;='2023'!Maxi_hp</f>
        <v>0</v>
      </c>
      <c r="I229" s="392">
        <f>IF(H229,Wh_hp,'2023'!Maxi_hp)</f>
        <v>57.449799256977776</v>
      </c>
      <c r="J229" s="85">
        <f>IF(H229,An,'2023'!An_max)</f>
        <v>2019</v>
      </c>
      <c r="K229" s="199">
        <f t="shared" si="79"/>
        <v>45506</v>
      </c>
      <c r="L229" s="147">
        <f>IF(t&lt;Tvie,1-EXP((T0-t)*PertePVj)+'2023'!Pspv,1-EXP((T0-t)*PertePVj)+Pspv)</f>
        <v>4.9754500833981252E-2</v>
      </c>
      <c r="M229" s="870"/>
      <c r="N229" s="870"/>
      <c r="O229" s="48">
        <f>IF(t&lt;Tnet,'2023'!Resal+('2023'!Salim-'2023'!Resal)*(1-EXP(('2023'!Tnet-t)/('2023'!Tau_j))),Resal+(Salim-Resal)*(1-EXP((Tnet-t)/(Tau_j))))*Salcycl</f>
        <v>5.4326471917861448E-2</v>
      </c>
      <c r="P229" s="171">
        <f>(INDEX(Models!$BJ229:$BT229,,T229)*(1-R229)+INDEX(Models!$BJ229:$BT229,,T229+1)*R229-ERP_i)*Q229*Ramure*Pc/MaxiM</f>
        <v>4.2071987346711985E-3</v>
      </c>
      <c r="Q229" s="307">
        <f t="shared" si="80"/>
        <v>1</v>
      </c>
      <c r="R229" s="179">
        <f t="shared" si="81"/>
        <v>3.1259867284965992E-2</v>
      </c>
      <c r="S229" s="837">
        <f t="shared" si="82"/>
        <v>2</v>
      </c>
      <c r="T229" s="178">
        <f t="shared" si="83"/>
        <v>8</v>
      </c>
      <c r="U229" s="253">
        <f t="shared" si="84"/>
        <v>2.031259867284966</v>
      </c>
      <c r="V229" s="385">
        <f t="shared" si="85"/>
        <v>53.339895324759922</v>
      </c>
      <c r="W229" s="404">
        <f t="shared" si="86"/>
        <v>49.279128027111895</v>
      </c>
      <c r="X229" s="157">
        <f t="shared" si="87"/>
        <v>45506</v>
      </c>
      <c r="Y229" s="387">
        <f t="shared" si="88"/>
        <v>45.704683009068688</v>
      </c>
      <c r="Z229" s="387">
        <f t="shared" si="89"/>
        <v>48.097763208751132</v>
      </c>
      <c r="AA229" s="388">
        <f t="shared" si="90"/>
        <v>54.838549772432351</v>
      </c>
      <c r="AB229" s="199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0.12292058399891978</v>
      </c>
      <c r="AD229" s="233">
        <f>(INDEX(Models!$BJ229:$BT229,,AH229)*(1-AF229)+INDEX(Models!$BJ229:$BT229,,AH229+1)*AF229-ERP_i)*AE229*Ramure*Pc/MaxiM</f>
        <v>4.2071987346711985E-3</v>
      </c>
      <c r="AE229" s="307">
        <f t="shared" si="92"/>
        <v>1</v>
      </c>
      <c r="AF229" s="179">
        <f t="shared" si="93"/>
        <v>3.1259867284965992E-2</v>
      </c>
      <c r="AG229" s="837">
        <f t="shared" si="99"/>
        <v>2</v>
      </c>
      <c r="AH229" s="178">
        <f t="shared" si="94"/>
        <v>8</v>
      </c>
      <c r="AI229" s="227">
        <f t="shared" si="95"/>
        <v>2.031259867284966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45507</v>
      </c>
      <c r="B230" s="1139">
        <f>IF(t&gt;Tmaj,'2023'!Wh/'2023'!Env_an*'2024'!Env_an,0.001*'[10]mon-tableau (1)'!$B$211)</f>
        <v>45.758731457663849</v>
      </c>
      <c r="C230" s="866"/>
      <c r="D230" s="395">
        <f t="shared" si="77"/>
        <v>48.155762268947122</v>
      </c>
      <c r="E230" s="387">
        <f t="shared" si="75"/>
        <v>50.936097935430489</v>
      </c>
      <c r="F230" s="387">
        <f t="shared" si="78"/>
        <v>51.121535335852982</v>
      </c>
      <c r="G230" s="110">
        <f t="shared" si="76"/>
        <v>0.86028940860793168</v>
      </c>
      <c r="H230" s="414" t="b">
        <f>Wh_hp&gt;='2023'!Maxi_hp</f>
        <v>0</v>
      </c>
      <c r="I230" s="392">
        <f>IF(H230,Wh_hp,'2023'!Maxi_hp)</f>
        <v>53.047340954372693</v>
      </c>
      <c r="J230" s="85">
        <f>IF(H230,An,'2023'!An_max)</f>
        <v>2019</v>
      </c>
      <c r="K230" s="199">
        <f t="shared" si="79"/>
        <v>45507</v>
      </c>
      <c r="L230" s="147">
        <f>IF(t&lt;Tvie,1-EXP((T0-t)*PertePVj)+'2023'!Pspv,1-EXP((T0-t)*PertePVj)+Pspv)</f>
        <v>4.9776614434966171E-2</v>
      </c>
      <c r="M230" s="870"/>
      <c r="N230" s="870"/>
      <c r="O230" s="48">
        <f>IF(t&lt;Tnet,'2023'!Resal+('2023'!Salim-'2023'!Resal)*(1-EXP(('2023'!Tnet-t)/('2023'!Tau_j))),Resal+(Salim-Resal)*(1-EXP((Tnet-t)/(Tau_j))))*Salcycl</f>
        <v>5.4584779344658149E-2</v>
      </c>
      <c r="P230" s="171">
        <f>(INDEX(Models!$BJ230:$BT230,,T230)*(1-R230)+INDEX(Models!$BJ230:$BT230,,T230+1)*R230-ERP_i)*Q230*Ramure*Pc/MaxiM</f>
        <v>4.5256169403603561E-3</v>
      </c>
      <c r="Q230" s="307">
        <f t="shared" si="80"/>
        <v>1</v>
      </c>
      <c r="R230" s="179">
        <f t="shared" si="81"/>
        <v>3.3766352433513447E-2</v>
      </c>
      <c r="S230" s="837">
        <f t="shared" si="82"/>
        <v>2</v>
      </c>
      <c r="T230" s="178">
        <f t="shared" si="83"/>
        <v>8</v>
      </c>
      <c r="U230" s="253">
        <f t="shared" si="84"/>
        <v>2.0337663524335134</v>
      </c>
      <c r="V230" s="385">
        <f t="shared" si="85"/>
        <v>53.141976792775715</v>
      </c>
      <c r="W230" s="404">
        <f t="shared" si="86"/>
        <v>45.758731457663849</v>
      </c>
      <c r="X230" s="157">
        <f t="shared" si="87"/>
        <v>45507</v>
      </c>
      <c r="Y230" s="387">
        <f t="shared" si="88"/>
        <v>42.445191581245822</v>
      </c>
      <c r="Z230" s="387">
        <f t="shared" si="89"/>
        <v>44.668645526974196</v>
      </c>
      <c r="AA230" s="388">
        <f t="shared" si="90"/>
        <v>50.936097935430489</v>
      </c>
      <c r="AB230" s="199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0.12304539732119407</v>
      </c>
      <c r="AD230" s="233">
        <f>(INDEX(Models!$BJ230:$BT230,,AH230)*(1-AF230)+INDEX(Models!$BJ230:$BT230,,AH230+1)*AF230-ERP_i)*AE230*Ramure*Pc/MaxiM</f>
        <v>4.5256169403603561E-3</v>
      </c>
      <c r="AE230" s="307">
        <f t="shared" si="92"/>
        <v>1</v>
      </c>
      <c r="AF230" s="179">
        <f t="shared" si="93"/>
        <v>3.3766352433513447E-2</v>
      </c>
      <c r="AG230" s="837">
        <f t="shared" si="99"/>
        <v>2</v>
      </c>
      <c r="AH230" s="178">
        <f t="shared" si="94"/>
        <v>8</v>
      </c>
      <c r="AI230" s="227">
        <f t="shared" si="95"/>
        <v>2.0337663524335134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45508</v>
      </c>
      <c r="B231" s="1139">
        <f>IF(t&gt;Tmaj,'2023'!Wh/'2023'!Env_an*'2024'!Env_an,0.001*'[10]mon-tableau (1)'!$B$212)</f>
        <v>44.770630276091445</v>
      </c>
      <c r="C231" s="866"/>
      <c r="D231" s="395">
        <f t="shared" si="77"/>
        <v>47.116996759333112</v>
      </c>
      <c r="E231" s="387">
        <f t="shared" si="75"/>
        <v>49.850937550774844</v>
      </c>
      <c r="F231" s="387">
        <f t="shared" si="78"/>
        <v>50.040519643493042</v>
      </c>
      <c r="G231" s="110">
        <f t="shared" si="76"/>
        <v>0.84478266498082533</v>
      </c>
      <c r="H231" s="414" t="b">
        <f>Wh_hp&gt;='2023'!Maxi_hp</f>
        <v>0</v>
      </c>
      <c r="I231" s="392">
        <f>IF(H231,Wh_hp,'2023'!Maxi_hp)</f>
        <v>58.00298989323845</v>
      </c>
      <c r="J231" s="85">
        <f>IF(H231,An,'2023'!An_max)</f>
        <v>2020</v>
      </c>
      <c r="K231" s="199">
        <f t="shared" si="79"/>
        <v>45508</v>
      </c>
      <c r="L231" s="147">
        <f>IF(t&lt;Tvie,1-EXP((T0-t)*PertePVj)+'2023'!Pspv,1-EXP((T0-t)*PertePVj)+Pspv)</f>
        <v>4.9798727521335295E-2</v>
      </c>
      <c r="M231" s="870"/>
      <c r="N231" s="870"/>
      <c r="O231" s="48">
        <f>IF(t&lt;Tnet,'2023'!Resal+('2023'!Salim-'2023'!Resal)*(1-EXP(('2023'!Tnet-t)/('2023'!Tau_j))),Resal+(Salim-Resal)*(1-EXP((Tnet-t)/(Tau_j))))*Salcycl</f>
        <v>5.4842314423016021E-2</v>
      </c>
      <c r="P231" s="171">
        <f>(INDEX(Models!$BJ231:$BT231,,T231)*(1-R231)+INDEX(Models!$BJ231:$BT231,,T231+1)*R231-ERP_i)*Q231*Ramure*Pc/MaxiM</f>
        <v>4.8598835950113498E-3</v>
      </c>
      <c r="Q231" s="307">
        <f t="shared" si="80"/>
        <v>1</v>
      </c>
      <c r="R231" s="179">
        <f t="shared" si="81"/>
        <v>3.6190673596612655E-2</v>
      </c>
      <c r="S231" s="837">
        <f t="shared" si="82"/>
        <v>2</v>
      </c>
      <c r="T231" s="178">
        <f t="shared" si="83"/>
        <v>8</v>
      </c>
      <c r="U231" s="253">
        <f t="shared" si="84"/>
        <v>2.0361906735966127</v>
      </c>
      <c r="V231" s="385">
        <f t="shared" si="85"/>
        <v>52.939633368781344</v>
      </c>
      <c r="W231" s="404">
        <f t="shared" si="86"/>
        <v>44.770630276091445</v>
      </c>
      <c r="X231" s="157">
        <f t="shared" si="87"/>
        <v>45508</v>
      </c>
      <c r="Y231" s="387">
        <f t="shared" si="88"/>
        <v>41.534084902219902</v>
      </c>
      <c r="Z231" s="387">
        <f t="shared" si="89"/>
        <v>43.710828542541748</v>
      </c>
      <c r="AA231" s="388">
        <f t="shared" si="90"/>
        <v>49.850937550774844</v>
      </c>
      <c r="AB231" s="199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0.12316937874998213</v>
      </c>
      <c r="AD231" s="233">
        <f>(INDEX(Models!$BJ231:$BT231,,AH231)*(1-AF231)+INDEX(Models!$BJ231:$BT231,,AH231+1)*AF231-ERP_i)*AE231*Ramure*Pc/MaxiM</f>
        <v>4.8598835950113498E-3</v>
      </c>
      <c r="AE231" s="307">
        <f t="shared" si="92"/>
        <v>1</v>
      </c>
      <c r="AF231" s="179">
        <f t="shared" si="93"/>
        <v>3.6190673596612655E-2</v>
      </c>
      <c r="AG231" s="837">
        <f t="shared" si="99"/>
        <v>2</v>
      </c>
      <c r="AH231" s="178">
        <f t="shared" si="94"/>
        <v>8</v>
      </c>
      <c r="AI231" s="227">
        <f t="shared" si="95"/>
        <v>2.0361906735966127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45509</v>
      </c>
      <c r="B232" s="1139">
        <f>IF(t&gt;Tmaj,'2023'!Wh/'2023'!Env_an*'2024'!Env_an,0.001*'[10]mon-tableau (1)'!$B$213)</f>
        <v>47.443519871170388</v>
      </c>
      <c r="C232" s="866"/>
      <c r="D232" s="395">
        <f t="shared" si="77"/>
        <v>49.931130752035237</v>
      </c>
      <c r="E232" s="387">
        <f t="shared" si="75"/>
        <v>52.842715920867001</v>
      </c>
      <c r="F232" s="387">
        <f t="shared" si="78"/>
        <v>53.079645939001729</v>
      </c>
      <c r="G232" s="110">
        <f t="shared" si="76"/>
        <v>0.89902417521594125</v>
      </c>
      <c r="H232" s="414" t="b">
        <f>Wh_hp&gt;='2023'!Maxi_hp</f>
        <v>0</v>
      </c>
      <c r="I232" s="392">
        <f>IF(H232,Wh_hp,'2023'!Maxi_hp)</f>
        <v>57.070736386069342</v>
      </c>
      <c r="J232" s="85">
        <f>IF(H232,An,'2023'!An_max)</f>
        <v>2020</v>
      </c>
      <c r="K232" s="199">
        <f t="shared" si="79"/>
        <v>45509</v>
      </c>
      <c r="L232" s="147">
        <f>IF(t&lt;Tvie,1-EXP((T0-t)*PertePVj)+'2023'!Pspv,1-EXP((T0-t)*PertePVj)+Pspv)</f>
        <v>4.9820840093100616E-2</v>
      </c>
      <c r="M232" s="870"/>
      <c r="N232" s="870"/>
      <c r="O232" s="48">
        <f>IF(t&lt;Tnet,'2023'!Resal+('2023'!Salim-'2023'!Resal)*(1-EXP(('2023'!Tnet-t)/('2023'!Tau_j))),Resal+(Salim-Resal)*(1-EXP((Tnet-t)/(Tau_j))))*Salcycl</f>
        <v>5.5099082590529938E-2</v>
      </c>
      <c r="P232" s="171">
        <f>(INDEX(Models!$BJ232:$BT232,,T232)*(1-R232)+INDEX(Models!$BJ232:$BT232,,T232+1)*R232-ERP_i)*Q232*Ramure*Pc/MaxiM</f>
        <v>5.2102298516121665E-3</v>
      </c>
      <c r="Q232" s="307">
        <f t="shared" si="80"/>
        <v>1</v>
      </c>
      <c r="R232" s="179">
        <f t="shared" si="81"/>
        <v>3.8534857829956692E-2</v>
      </c>
      <c r="S232" s="837">
        <f t="shared" si="82"/>
        <v>2</v>
      </c>
      <c r="T232" s="178">
        <f t="shared" si="83"/>
        <v>8</v>
      </c>
      <c r="U232" s="253">
        <f t="shared" si="84"/>
        <v>2.0385348578299567</v>
      </c>
      <c r="V232" s="385">
        <f t="shared" si="85"/>
        <v>52.732666080516211</v>
      </c>
      <c r="W232" s="404">
        <f t="shared" si="86"/>
        <v>47.443519871170388</v>
      </c>
      <c r="X232" s="157">
        <f t="shared" si="87"/>
        <v>45509</v>
      </c>
      <c r="Y232" s="387">
        <f t="shared" si="88"/>
        <v>44.019522888156381</v>
      </c>
      <c r="Z232" s="387">
        <f t="shared" si="89"/>
        <v>46.327602988545351</v>
      </c>
      <c r="AA232" s="388">
        <f t="shared" si="90"/>
        <v>52.842715920867001</v>
      </c>
      <c r="AB232" s="199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0.12329254503266181</v>
      </c>
      <c r="AD232" s="233">
        <f>(INDEX(Models!$BJ232:$BT232,,AH232)*(1-AF232)+INDEX(Models!$BJ232:$BT232,,AH232+1)*AF232-ERP_i)*AE232*Ramure*Pc/MaxiM</f>
        <v>5.2102298516121665E-3</v>
      </c>
      <c r="AE232" s="307">
        <f t="shared" si="92"/>
        <v>1</v>
      </c>
      <c r="AF232" s="179">
        <f t="shared" si="93"/>
        <v>3.8534857829956692E-2</v>
      </c>
      <c r="AG232" s="837">
        <f t="shared" si="99"/>
        <v>2</v>
      </c>
      <c r="AH232" s="178">
        <f t="shared" si="94"/>
        <v>8</v>
      </c>
      <c r="AI232" s="227">
        <f t="shared" si="95"/>
        <v>2.0385348578299567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45510</v>
      </c>
      <c r="B233" s="1139">
        <f>IF(t&gt;Tmaj,'2023'!Wh/'2023'!Env_an*'2024'!Env_an,0.001*'[10]mon-tableau (1)'!$B$214)</f>
        <v>50.498475353576993</v>
      </c>
      <c r="C233" s="866"/>
      <c r="D233" s="395">
        <f t="shared" si="77"/>
        <v>53.147503844610412</v>
      </c>
      <c r="E233" s="387">
        <f t="shared" ref="E233:E296" si="100">Wh_pvt/(1-Psa)</f>
        <v>56.26188542342954</v>
      </c>
      <c r="F233" s="387">
        <f t="shared" si="78"/>
        <v>56.559943916460824</v>
      </c>
      <c r="G233" s="110">
        <f t="shared" ref="G233:G296" si="101">+Wh_hp/MaxiM</f>
        <v>0.96117129291689229</v>
      </c>
      <c r="H233" s="414" t="b">
        <f>Wh_hp&gt;='2023'!Maxi_hp</f>
        <v>0</v>
      </c>
      <c r="I233" s="392">
        <f>IF(H233,Wh_hp,'2023'!Maxi_hp)</f>
        <v>56.568958989801914</v>
      </c>
      <c r="J233" s="85">
        <f>IF(H233,An,'2023'!An_max)</f>
        <v>2022</v>
      </c>
      <c r="K233" s="199">
        <f t="shared" si="79"/>
        <v>45510</v>
      </c>
      <c r="L233" s="147">
        <f>IF(t&lt;Tvie,1-EXP((T0-t)*PertePVj)+'2023'!Pspv,1-EXP((T0-t)*PertePVj)+Pspv)</f>
        <v>4.9842952150274011E-2</v>
      </c>
      <c r="M233" s="870"/>
      <c r="N233" s="870"/>
      <c r="O233" s="48">
        <f>IF(t&lt;Tnet,'2023'!Resal+('2023'!Salim-'2023'!Resal)*(1-EXP(('2023'!Tnet-t)/('2023'!Tau_j))),Resal+(Salim-Resal)*(1-EXP((Tnet-t)/(Tau_j))))*Salcycl</f>
        <v>5.5355087291870005E-2</v>
      </c>
      <c r="P233" s="171">
        <f>(INDEX(Models!$BJ233:$BT233,,T233)*(1-R233)+INDEX(Models!$BJ233:$BT233,,T233+1)*R233-ERP_i)*Q233*Ramure*Pc/MaxiM</f>
        <v>5.5767571029935077E-3</v>
      </c>
      <c r="Q233" s="307">
        <f t="shared" si="80"/>
        <v>1</v>
      </c>
      <c r="R233" s="179">
        <f t="shared" si="81"/>
        <v>4.0800931261345763E-2</v>
      </c>
      <c r="S233" s="837">
        <f t="shared" si="82"/>
        <v>2</v>
      </c>
      <c r="T233" s="178">
        <f t="shared" si="83"/>
        <v>8</v>
      </c>
      <c r="U233" s="253">
        <f t="shared" si="84"/>
        <v>2.0408009312613458</v>
      </c>
      <c r="V233" s="385">
        <f t="shared" si="85"/>
        <v>52.522262945420927</v>
      </c>
      <c r="W233" s="404">
        <f t="shared" si="86"/>
        <v>50.498475353576993</v>
      </c>
      <c r="X233" s="157">
        <f t="shared" si="87"/>
        <v>45510</v>
      </c>
      <c r="Y233" s="387">
        <f t="shared" si="88"/>
        <v>46.86015883701198</v>
      </c>
      <c r="Z233" s="387">
        <f t="shared" si="89"/>
        <v>49.318329999298435</v>
      </c>
      <c r="AA233" s="388">
        <f t="shared" si="90"/>
        <v>56.26188542342954</v>
      </c>
      <c r="AB233" s="199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0.12341490819003995</v>
      </c>
      <c r="AD233" s="233">
        <f>(INDEX(Models!$BJ233:$BT233,,AH233)*(1-AF233)+INDEX(Models!$BJ233:$BT233,,AH233+1)*AF233-ERP_i)*AE233*Ramure*Pc/MaxiM</f>
        <v>5.5767571029935077E-3</v>
      </c>
      <c r="AE233" s="307">
        <f t="shared" si="92"/>
        <v>1</v>
      </c>
      <c r="AF233" s="179">
        <f t="shared" si="93"/>
        <v>4.0800931261345763E-2</v>
      </c>
      <c r="AG233" s="837">
        <f t="shared" si="99"/>
        <v>2</v>
      </c>
      <c r="AH233" s="178">
        <f t="shared" si="94"/>
        <v>8</v>
      </c>
      <c r="AI233" s="227">
        <f t="shared" si="95"/>
        <v>2.0408009312613458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45511</v>
      </c>
      <c r="B234" s="1139">
        <f>IF(t&gt;Tmaj,'2023'!Wh/'2023'!Env_an*'2024'!Env_an,0.001*'[10]mon-tableau (1)'!$B$215)</f>
        <v>51.18512058464507</v>
      </c>
      <c r="C234" s="866"/>
      <c r="D234" s="395">
        <f t="shared" si="77"/>
        <v>53.8714224987717</v>
      </c>
      <c r="E234" s="387">
        <f t="shared" si="100"/>
        <v>57.043638036648083</v>
      </c>
      <c r="F234" s="387">
        <f t="shared" si="78"/>
        <v>57.374995605102761</v>
      </c>
      <c r="G234" s="110">
        <f t="shared" si="101"/>
        <v>0.97832436618243157</v>
      </c>
      <c r="H234" s="414" t="b">
        <f>Wh_hp&gt;='2023'!Maxi_hp</f>
        <v>0</v>
      </c>
      <c r="I234" s="392">
        <f>IF(H234,Wh_hp,'2023'!Maxi_hp)</f>
        <v>57.38042233361849</v>
      </c>
      <c r="J234" s="85">
        <f>IF(H234,An,'2023'!An_max)</f>
        <v>2022</v>
      </c>
      <c r="K234" s="199">
        <f t="shared" si="79"/>
        <v>45511</v>
      </c>
      <c r="L234" s="147">
        <f>IF(t&lt;Tvie,1-EXP((T0-t)*PertePVj)+'2023'!Pspv,1-EXP((T0-t)*PertePVj)+Pspv)</f>
        <v>4.9865063692867584E-2</v>
      </c>
      <c r="M234" s="870"/>
      <c r="N234" s="870"/>
      <c r="O234" s="48">
        <f>IF(t&lt;Tnet,'2023'!Resal+('2023'!Salim-'2023'!Resal)*(1-EXP(('2023'!Tnet-t)/('2023'!Tau_j))),Resal+(Salim-Resal)*(1-EXP((Tnet-t)/(Tau_j))))*Salcycl</f>
        <v>5.5610330039580796E-2</v>
      </c>
      <c r="P234" s="171">
        <f>(INDEX(Models!$BJ234:$BT234,,T234)*(1-R234)+INDEX(Models!$BJ234:$BT234,,T234+1)*R234-ERP_i)*Q234*Ramure*Pc/MaxiM</f>
        <v>5.9582617206642855E-3</v>
      </c>
      <c r="Q234" s="307">
        <f t="shared" si="80"/>
        <v>1</v>
      </c>
      <c r="R234" s="179">
        <f t="shared" si="81"/>
        <v>4.2990914767435662E-2</v>
      </c>
      <c r="S234" s="837">
        <f t="shared" si="82"/>
        <v>2</v>
      </c>
      <c r="T234" s="178">
        <f t="shared" si="83"/>
        <v>8</v>
      </c>
      <c r="U234" s="253">
        <f t="shared" si="84"/>
        <v>2.0429909147674357</v>
      </c>
      <c r="V234" s="385">
        <f t="shared" si="85"/>
        <v>52.30954356030729</v>
      </c>
      <c r="W234" s="404">
        <f t="shared" si="86"/>
        <v>51.18512058464507</v>
      </c>
      <c r="X234" s="157">
        <f t="shared" si="87"/>
        <v>45511</v>
      </c>
      <c r="Y234" s="387">
        <f t="shared" si="88"/>
        <v>47.503580994481872</v>
      </c>
      <c r="Z234" s="387">
        <f t="shared" si="89"/>
        <v>49.996668030240997</v>
      </c>
      <c r="AA234" s="388">
        <f t="shared" si="90"/>
        <v>57.043638036648083</v>
      </c>
      <c r="AB234" s="199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0.12353647573949814</v>
      </c>
      <c r="AD234" s="233">
        <f>(INDEX(Models!$BJ234:$BT234,,AH234)*(1-AF234)+INDEX(Models!$BJ234:$BT234,,AH234+1)*AF234-ERP_i)*AE234*Ramure*Pc/MaxiM</f>
        <v>5.9582617206642855E-3</v>
      </c>
      <c r="AE234" s="307">
        <f t="shared" si="92"/>
        <v>1</v>
      </c>
      <c r="AF234" s="179">
        <f t="shared" si="93"/>
        <v>4.2990914767435662E-2</v>
      </c>
      <c r="AG234" s="837">
        <f t="shared" si="99"/>
        <v>2</v>
      </c>
      <c r="AH234" s="178">
        <f t="shared" si="94"/>
        <v>8</v>
      </c>
      <c r="AI234" s="227">
        <f t="shared" si="95"/>
        <v>2.0429909147674357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45512</v>
      </c>
      <c r="B235" s="1139">
        <f>IF(t&gt;Tmaj,'2023'!Wh/'2023'!Env_an*'2024'!Env_an,0.001*'[10]mon-tableau (1)'!$B$216)</f>
        <v>49.207961361434073</v>
      </c>
      <c r="C235" s="866"/>
      <c r="D235" s="395">
        <f t="shared" si="77"/>
        <v>51.791703103237936</v>
      </c>
      <c r="E235" s="387">
        <f t="shared" si="100"/>
        <v>54.856236350853052</v>
      </c>
      <c r="F235" s="387">
        <f t="shared" si="78"/>
        <v>55.178607745020315</v>
      </c>
      <c r="G235" s="110">
        <f t="shared" si="101"/>
        <v>0.9441104152684211</v>
      </c>
      <c r="H235" s="414" t="b">
        <f>Wh_hp&gt;='2023'!Maxi_hp</f>
        <v>0</v>
      </c>
      <c r="I235" s="392">
        <f>IF(H235,Wh_hp,'2023'!Maxi_hp)</f>
        <v>56.476341657102651</v>
      </c>
      <c r="J235" s="85">
        <f>IF(H235,An,'2023'!An_max)</f>
        <v>2021</v>
      </c>
      <c r="K235" s="199">
        <f t="shared" si="79"/>
        <v>45512</v>
      </c>
      <c r="L235" s="147">
        <f>IF(t&lt;Tvie,1-EXP((T0-t)*PertePVj)+'2023'!Pspv,1-EXP((T0-t)*PertePVj)+Pspv)</f>
        <v>4.9887174720893324E-2</v>
      </c>
      <c r="M235" s="870"/>
      <c r="N235" s="870"/>
      <c r="O235" s="48">
        <f>IF(t&lt;Tnet,'2023'!Resal+('2023'!Salim-'2023'!Resal)*(1-EXP(('2023'!Tnet-t)/('2023'!Tau_j))),Resal+(Salim-Resal)*(1-EXP((Tnet-t)/(Tau_j))))*Salcycl</f>
        <v>5.5864810484167741E-2</v>
      </c>
      <c r="P235" s="171">
        <f>(INDEX(Models!$BJ235:$BT235,,T235)*(1-R235)+INDEX(Models!$BJ235:$BT235,,T235+1)*R235-ERP_i)*Q235*Ramure*Pc/MaxiM</f>
        <v>6.3445649007884816E-3</v>
      </c>
      <c r="Q235" s="307">
        <f t="shared" si="80"/>
        <v>1</v>
      </c>
      <c r="R235" s="179">
        <f t="shared" si="81"/>
        <v>4.51068199835154E-2</v>
      </c>
      <c r="S235" s="837">
        <f t="shared" si="82"/>
        <v>2</v>
      </c>
      <c r="T235" s="178">
        <f t="shared" si="83"/>
        <v>8</v>
      </c>
      <c r="U235" s="253">
        <f t="shared" si="84"/>
        <v>2.0451068199835154</v>
      </c>
      <c r="V235" s="385">
        <f t="shared" si="85"/>
        <v>52.094650327511474</v>
      </c>
      <c r="W235" s="404">
        <f t="shared" si="86"/>
        <v>49.207961361434073</v>
      </c>
      <c r="X235" s="157">
        <f t="shared" si="87"/>
        <v>45512</v>
      </c>
      <c r="Y235" s="387">
        <f t="shared" si="88"/>
        <v>45.674645553231812</v>
      </c>
      <c r="Z235" s="387">
        <f t="shared" si="89"/>
        <v>48.072864967183612</v>
      </c>
      <c r="AA235" s="388">
        <f t="shared" si="90"/>
        <v>54.856236350853052</v>
      </c>
      <c r="AB235" s="199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0.12365725093285503</v>
      </c>
      <c r="AD235" s="233">
        <f>(INDEX(Models!$BJ235:$BT235,,AH235)*(1-AF235)+INDEX(Models!$BJ235:$BT235,,AH235+1)*AF235-ERP_i)*AE235*Ramure*Pc/MaxiM</f>
        <v>6.3445649007884816E-3</v>
      </c>
      <c r="AE235" s="307">
        <f t="shared" si="92"/>
        <v>1</v>
      </c>
      <c r="AF235" s="179">
        <f t="shared" si="93"/>
        <v>4.51068199835154E-2</v>
      </c>
      <c r="AG235" s="837">
        <f t="shared" si="99"/>
        <v>2</v>
      </c>
      <c r="AH235" s="178">
        <f t="shared" si="94"/>
        <v>8</v>
      </c>
      <c r="AI235" s="227">
        <f t="shared" si="95"/>
        <v>2.0451068199835154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45513</v>
      </c>
      <c r="B236" s="1139">
        <f>IF(t&gt;Tmaj,'2023'!Wh/'2023'!Env_an*'2024'!Env_an,0.001*'[10]mon-tableau (1)'!$B$217)</f>
        <v>47.366707553023346</v>
      </c>
      <c r="C236" s="866"/>
      <c r="D236" s="395">
        <f t="shared" si="77"/>
        <v>49.854931552201833</v>
      </c>
      <c r="E236" s="387">
        <f t="shared" si="100"/>
        <v>52.819059332633095</v>
      </c>
      <c r="F236" s="387">
        <f t="shared" si="78"/>
        <v>53.132495447196504</v>
      </c>
      <c r="G236" s="110">
        <f t="shared" si="101"/>
        <v>0.91228633295327866</v>
      </c>
      <c r="H236" s="414" t="b">
        <f>Wh_hp&gt;='2023'!Maxi_hp</f>
        <v>0</v>
      </c>
      <c r="I236" s="392">
        <f>IF(H236,Wh_hp,'2023'!Maxi_hp)</f>
        <v>53.155188356658869</v>
      </c>
      <c r="J236" s="85">
        <f>IF(H236,An,'2023'!An_max)</f>
        <v>2022</v>
      </c>
      <c r="K236" s="199">
        <f t="shared" si="79"/>
        <v>45513</v>
      </c>
      <c r="L236" s="147">
        <f>IF(t&lt;Tvie,1-EXP((T0-t)*PertePVj)+'2023'!Pspv,1-EXP((T0-t)*PertePVj)+Pspv)</f>
        <v>4.9909285234362999E-2</v>
      </c>
      <c r="M236" s="870"/>
      <c r="N236" s="870"/>
      <c r="O236" s="48">
        <f>IF(t&lt;Tnet,'2023'!Resal+('2023'!Salim-'2023'!Resal)*(1-EXP(('2023'!Tnet-t)/('2023'!Tau_j))),Resal+(Salim-Resal)*(1-EXP((Tnet-t)/(Tau_j))))*Salcycl</f>
        <v>5.6118526491817734E-2</v>
      </c>
      <c r="P236" s="171">
        <f>(INDEX(Models!$BJ236:$BT236,,T236)*(1-R236)+INDEX(Models!$BJ236:$BT236,,T236+1)*R236-ERP_i)*Q236*Ramure*Pc/MaxiM</f>
        <v>6.7357753414989856E-3</v>
      </c>
      <c r="Q236" s="307">
        <f t="shared" si="80"/>
        <v>1</v>
      </c>
      <c r="R236" s="179">
        <f t="shared" si="81"/>
        <v>4.715064563577176E-2</v>
      </c>
      <c r="S236" s="837">
        <f t="shared" si="82"/>
        <v>2</v>
      </c>
      <c r="T236" s="178">
        <f t="shared" si="83"/>
        <v>8</v>
      </c>
      <c r="U236" s="253">
        <f t="shared" si="84"/>
        <v>2.0471506456357718</v>
      </c>
      <c r="V236" s="385">
        <f t="shared" si="85"/>
        <v>51.87718164370893</v>
      </c>
      <c r="W236" s="404">
        <f t="shared" si="86"/>
        <v>47.366707553023346</v>
      </c>
      <c r="X236" s="157">
        <f t="shared" si="87"/>
        <v>45513</v>
      </c>
      <c r="Y236" s="387">
        <f t="shared" si="88"/>
        <v>43.97139759645119</v>
      </c>
      <c r="Z236" s="387">
        <f t="shared" si="89"/>
        <v>46.281262318512191</v>
      </c>
      <c r="AA236" s="388">
        <f t="shared" si="90"/>
        <v>52.819059332633095</v>
      </c>
      <c r="AB236" s="199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0.12377723300501237</v>
      </c>
      <c r="AD236" s="233">
        <f>(INDEX(Models!$BJ236:$BT236,,AH236)*(1-AF236)+INDEX(Models!$BJ236:$BT236,,AH236+1)*AF236-ERP_i)*AE236*Ramure*Pc/MaxiM</f>
        <v>6.7357753414989856E-3</v>
      </c>
      <c r="AE236" s="307">
        <f t="shared" si="92"/>
        <v>1</v>
      </c>
      <c r="AF236" s="179">
        <f t="shared" si="93"/>
        <v>4.715064563577176E-2</v>
      </c>
      <c r="AG236" s="837">
        <f t="shared" si="99"/>
        <v>2</v>
      </c>
      <c r="AH236" s="178">
        <f t="shared" si="94"/>
        <v>8</v>
      </c>
      <c r="AI236" s="227">
        <f t="shared" si="95"/>
        <v>2.0471506456357718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45514</v>
      </c>
      <c r="B237" s="1139">
        <f>IF(t&gt;Tmaj,'2023'!Wh/'2023'!Env_an*'2024'!Env_an,0.001*'[10]mon-tableau (1)'!$B$218)</f>
        <v>42.893335553688395</v>
      </c>
      <c r="C237" s="866"/>
      <c r="D237" s="395">
        <f t="shared" si="77"/>
        <v>45.147619170323843</v>
      </c>
      <c r="E237" s="387">
        <f t="shared" si="100"/>
        <v>47.844695171110949</v>
      </c>
      <c r="F237" s="387">
        <f t="shared" si="78"/>
        <v>48.104631241883126</v>
      </c>
      <c r="G237" s="110">
        <f t="shared" si="101"/>
        <v>0.82891015281062719</v>
      </c>
      <c r="H237" s="414" t="b">
        <f>Wh_hp&gt;='2023'!Maxi_hp</f>
        <v>0</v>
      </c>
      <c r="I237" s="392">
        <f>IF(H237,Wh_hp,'2023'!Maxi_hp)</f>
        <v>51.445554600155653</v>
      </c>
      <c r="J237" s="85">
        <f>IF(H237,An,'2023'!An_max)</f>
        <v>2021</v>
      </c>
      <c r="K237" s="199">
        <f t="shared" si="79"/>
        <v>45514</v>
      </c>
      <c r="L237" s="147">
        <f>IF(t&lt;Tvie,1-EXP((T0-t)*PertePVj)+'2023'!Pspv,1-EXP((T0-t)*PertePVj)+Pspv)</f>
        <v>4.9931395233288822E-2</v>
      </c>
      <c r="M237" s="870"/>
      <c r="N237" s="870"/>
      <c r="O237" s="48">
        <f>IF(t&lt;Tnet,'2023'!Resal+('2023'!Salim-'2023'!Resal)*(1-EXP(('2023'!Tnet-t)/('2023'!Tau_j))),Resal+(Salim-Resal)*(1-EXP((Tnet-t)/(Tau_j))))*Salcycl</f>
        <v>5.6371474228048252E-2</v>
      </c>
      <c r="P237" s="171">
        <f>(INDEX(Models!$BJ237:$BT237,,T237)*(1-R237)+INDEX(Models!$BJ237:$BT237,,T237+1)*R237-ERP_i)*Q237*Ramure*Pc/MaxiM</f>
        <v>7.132019441260417E-3</v>
      </c>
      <c r="Q237" s="307">
        <f t="shared" si="80"/>
        <v>1</v>
      </c>
      <c r="R237" s="179">
        <f t="shared" si="81"/>
        <v>4.9124374184651209E-2</v>
      </c>
      <c r="S237" s="837">
        <f t="shared" si="82"/>
        <v>2</v>
      </c>
      <c r="T237" s="178">
        <f t="shared" si="83"/>
        <v>8</v>
      </c>
      <c r="U237" s="253">
        <f t="shared" si="84"/>
        <v>2.0491243741846512</v>
      </c>
      <c r="V237" s="385">
        <f t="shared" si="85"/>
        <v>51.656736323127241</v>
      </c>
      <c r="W237" s="404">
        <f t="shared" si="86"/>
        <v>42.893335553688395</v>
      </c>
      <c r="X237" s="157">
        <f t="shared" si="87"/>
        <v>45514</v>
      </c>
      <c r="Y237" s="387">
        <f t="shared" si="88"/>
        <v>39.823939103838427</v>
      </c>
      <c r="Z237" s="387">
        <f t="shared" si="89"/>
        <v>41.916908846406066</v>
      </c>
      <c r="AA237" s="388">
        <f t="shared" si="90"/>
        <v>47.844695171110949</v>
      </c>
      <c r="AB237" s="199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0.12389641742945275</v>
      </c>
      <c r="AD237" s="233">
        <f>(INDEX(Models!$BJ237:$BT237,,AH237)*(1-AF237)+INDEX(Models!$BJ237:$BT237,,AH237+1)*AF237-ERP_i)*AE237*Ramure*Pc/MaxiM</f>
        <v>7.132019441260417E-3</v>
      </c>
      <c r="AE237" s="307">
        <f t="shared" si="92"/>
        <v>1</v>
      </c>
      <c r="AF237" s="179">
        <f t="shared" si="93"/>
        <v>4.9124374184651209E-2</v>
      </c>
      <c r="AG237" s="837">
        <f t="shared" si="99"/>
        <v>2</v>
      </c>
      <c r="AH237" s="178">
        <f t="shared" si="94"/>
        <v>8</v>
      </c>
      <c r="AI237" s="227">
        <f t="shared" si="95"/>
        <v>2.0491243741846512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45515</v>
      </c>
      <c r="B238" s="1139">
        <f>IF(t&gt;Tmaj,'2023'!Wh/'2023'!Env_an*'2024'!Env_an,0.001*'[10]mon-tableau (1)'!$B$219)</f>
        <v>45.588536989185258</v>
      </c>
      <c r="C238" s="866"/>
      <c r="D238" s="395">
        <f t="shared" si="77"/>
        <v>47.985585143007235</v>
      </c>
      <c r="E238" s="387">
        <f t="shared" si="100"/>
        <v>50.865791848360132</v>
      </c>
      <c r="F238" s="387">
        <f t="shared" si="78"/>
        <v>51.188820829342646</v>
      </c>
      <c r="G238" s="110">
        <f t="shared" si="101"/>
        <v>0.88527810967854426</v>
      </c>
      <c r="H238" s="414" t="b">
        <f>Wh_hp&gt;='2023'!Maxi_hp</f>
        <v>0</v>
      </c>
      <c r="I238" s="392">
        <f>IF(H238,Wh_hp,'2023'!Maxi_hp)</f>
        <v>51.220274033581461</v>
      </c>
      <c r="J238" s="85">
        <f>IF(H238,An,'2023'!An_max)</f>
        <v>2022</v>
      </c>
      <c r="K238" s="199">
        <f t="shared" si="79"/>
        <v>45515</v>
      </c>
      <c r="L238" s="147">
        <f>IF(t&lt;Tvie,1-EXP((T0-t)*PertePVj)+'2023'!Pspv,1-EXP((T0-t)*PertePVj)+Pspv)</f>
        <v>4.9953504717682673E-2</v>
      </c>
      <c r="M238" s="870"/>
      <c r="N238" s="870"/>
      <c r="O238" s="48">
        <f>IF(t&lt;Tnet,'2023'!Resal+('2023'!Salim-'2023'!Resal)*(1-EXP(('2023'!Tnet-t)/('2023'!Tau_j))),Resal+(Salim-Resal)*(1-EXP((Tnet-t)/(Tau_j))))*Salcycl</f>
        <v>5.6623648245549829E-2</v>
      </c>
      <c r="P238" s="171">
        <f>(INDEX(Models!$BJ238:$BT238,,T238)*(1-R238)+INDEX(Models!$BJ238:$BT238,,T238+1)*R238-ERP_i)*Q238*Ramure*Pc/MaxiM</f>
        <v>7.5334419488612336E-3</v>
      </c>
      <c r="Q238" s="307">
        <f t="shared" si="80"/>
        <v>1</v>
      </c>
      <c r="R238" s="179">
        <f t="shared" si="81"/>
        <v>5.1029968767243528E-2</v>
      </c>
      <c r="S238" s="837">
        <f t="shared" si="82"/>
        <v>2</v>
      </c>
      <c r="T238" s="178">
        <f t="shared" si="83"/>
        <v>8</v>
      </c>
      <c r="U238" s="253">
        <f t="shared" si="84"/>
        <v>2.0510299687672435</v>
      </c>
      <c r="V238" s="385">
        <f t="shared" si="85"/>
        <v>51.43291359411964</v>
      </c>
      <c r="W238" s="404">
        <f t="shared" si="86"/>
        <v>45.588536989185258</v>
      </c>
      <c r="X238" s="157">
        <f t="shared" si="87"/>
        <v>45515</v>
      </c>
      <c r="Y238" s="387">
        <f t="shared" si="88"/>
        <v>42.331868709882471</v>
      </c>
      <c r="Z238" s="387">
        <f t="shared" si="89"/>
        <v>44.557681039919068</v>
      </c>
      <c r="AA238" s="388">
        <f t="shared" si="90"/>
        <v>50.865791848360132</v>
      </c>
      <c r="AB238" s="199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0.12401479617670465</v>
      </c>
      <c r="AD238" s="233">
        <f>(INDEX(Models!$BJ238:$BT238,,AH238)*(1-AF238)+INDEX(Models!$BJ238:$BT238,,AH238+1)*AF238-ERP_i)*AE238*Ramure*Pc/MaxiM</f>
        <v>7.5334419488612336E-3</v>
      </c>
      <c r="AE238" s="307">
        <f t="shared" si="92"/>
        <v>1</v>
      </c>
      <c r="AF238" s="179">
        <f t="shared" si="93"/>
        <v>5.1029968767243528E-2</v>
      </c>
      <c r="AG238" s="837">
        <f t="shared" si="99"/>
        <v>2</v>
      </c>
      <c r="AH238" s="178">
        <f t="shared" si="94"/>
        <v>8</v>
      </c>
      <c r="AI238" s="227">
        <f t="shared" si="95"/>
        <v>2.0510299687672435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45516</v>
      </c>
      <c r="B239" s="1139">
        <f>IF(t&gt;Tmaj,'2023'!Wh/'2023'!Env_an*'2024'!Env_an,0.001*'[10]mon-tableau (1)'!$B$220)</f>
        <v>30.738242224929387</v>
      </c>
      <c r="C239" s="866"/>
      <c r="D239" s="395">
        <f t="shared" si="77"/>
        <v>32.355213895341222</v>
      </c>
      <c r="E239" s="387">
        <f t="shared" si="100"/>
        <v>34.306391328415181</v>
      </c>
      <c r="F239" s="387">
        <f t="shared" si="78"/>
        <v>34.423647932653445</v>
      </c>
      <c r="G239" s="110">
        <f t="shared" si="101"/>
        <v>0.59756300904626725</v>
      </c>
      <c r="H239" s="414" t="b">
        <f>Wh_hp&gt;='2023'!Maxi_hp</f>
        <v>0</v>
      </c>
      <c r="I239" s="392">
        <f>IF(H239,Wh_hp,'2023'!Maxi_hp)</f>
        <v>52.158181392668176</v>
      </c>
      <c r="J239" s="85">
        <f>IF(H239,An,'2023'!An_max)</f>
        <v>2019</v>
      </c>
      <c r="K239" s="199">
        <f t="shared" si="79"/>
        <v>45516</v>
      </c>
      <c r="L239" s="147">
        <f>IF(t&lt;Tvie,1-EXP((T0-t)*PertePVj)+'2023'!Pspv,1-EXP((T0-t)*PertePVj)+Pspv)</f>
        <v>4.9975613687556542E-2</v>
      </c>
      <c r="M239" s="870"/>
      <c r="N239" s="870"/>
      <c r="O239" s="48">
        <f>IF(t&lt;Tnet,'2023'!Resal+('2023'!Salim-'2023'!Resal)*(1-EXP(('2023'!Tnet-t)/('2023'!Tau_j))),Resal+(Salim-Resal)*(1-EXP((Tnet-t)/(Tau_j))))*Salcycl</f>
        <v>5.6875041574478986E-2</v>
      </c>
      <c r="P239" s="171">
        <f>(INDEX(Models!$BJ239:$BT239,,T239)*(1-R239)+INDEX(Models!$BJ239:$BT239,,T239+1)*R239-ERP_i)*Q239*Ramure*Pc/MaxiM</f>
        <v>7.940206666381816E-3</v>
      </c>
      <c r="Q239" s="307">
        <f t="shared" si="80"/>
        <v>1</v>
      </c>
      <c r="R239" s="179">
        <f t="shared" si="81"/>
        <v>5.286937042608475E-2</v>
      </c>
      <c r="S239" s="837">
        <f t="shared" si="82"/>
        <v>2</v>
      </c>
      <c r="T239" s="178">
        <f t="shared" si="83"/>
        <v>8</v>
      </c>
      <c r="U239" s="253">
        <f t="shared" si="84"/>
        <v>2.0528693704260847</v>
      </c>
      <c r="V239" s="385">
        <f t="shared" si="85"/>
        <v>51.20531308931232</v>
      </c>
      <c r="W239" s="404">
        <f t="shared" si="86"/>
        <v>30.738242224929387</v>
      </c>
      <c r="X239" s="157">
        <f t="shared" si="87"/>
        <v>45516</v>
      </c>
      <c r="Y239" s="387">
        <f t="shared" si="88"/>
        <v>28.546197931799295</v>
      </c>
      <c r="Z239" s="387">
        <f t="shared" si="89"/>
        <v>30.047858079309385</v>
      </c>
      <c r="AA239" s="388">
        <f t="shared" si="90"/>
        <v>34.306391328415181</v>
      </c>
      <c r="AB239" s="199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0.12413235797198383</v>
      </c>
      <c r="AD239" s="233">
        <f>(INDEX(Models!$BJ239:$BT239,,AH239)*(1-AF239)+INDEX(Models!$BJ239:$BT239,,AH239+1)*AF239-ERP_i)*AE239*Ramure*Pc/MaxiM</f>
        <v>7.940206666381816E-3</v>
      </c>
      <c r="AE239" s="307">
        <f t="shared" si="92"/>
        <v>1</v>
      </c>
      <c r="AF239" s="179">
        <f t="shared" si="93"/>
        <v>5.286937042608475E-2</v>
      </c>
      <c r="AG239" s="837">
        <f t="shared" si="99"/>
        <v>2</v>
      </c>
      <c r="AH239" s="178">
        <f t="shared" si="94"/>
        <v>8</v>
      </c>
      <c r="AI239" s="227">
        <f t="shared" si="95"/>
        <v>2.0528693704260847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45517</v>
      </c>
      <c r="B240" s="1139">
        <f>IF(t&gt;Tmaj,'2023'!Wh/'2023'!Env_an*'2024'!Env_an,0.001*'[10]mon-tableau (1)'!$B$221)</f>
        <v>33.062463549520778</v>
      </c>
      <c r="C240" s="866"/>
      <c r="D240" s="395">
        <f t="shared" si="77"/>
        <v>34.80250976250273</v>
      </c>
      <c r="E240" s="387">
        <f t="shared" si="100"/>
        <v>36.91107898732588</v>
      </c>
      <c r="F240" s="387">
        <f t="shared" si="78"/>
        <v>37.065149033110714</v>
      </c>
      <c r="G240" s="110">
        <f t="shared" si="101"/>
        <v>0.64588736907019362</v>
      </c>
      <c r="H240" s="414" t="b">
        <f>Wh_hp&gt;='2023'!Maxi_hp</f>
        <v>0</v>
      </c>
      <c r="I240" s="392">
        <f>IF(H240,Wh_hp,'2023'!Maxi_hp)</f>
        <v>56.516623137013951</v>
      </c>
      <c r="J240" s="85">
        <f>IF(H240,An,'2023'!An_max)</f>
        <v>2019</v>
      </c>
      <c r="K240" s="199">
        <f t="shared" si="79"/>
        <v>45517</v>
      </c>
      <c r="L240" s="147">
        <f>IF(t&lt;Tvie,1-EXP((T0-t)*PertePVj)+'2023'!Pspv,1-EXP((T0-t)*PertePVj)+Pspv)</f>
        <v>4.9997722142922307E-2</v>
      </c>
      <c r="M240" s="870"/>
      <c r="N240" s="870"/>
      <c r="O240" s="48">
        <f>IF(t&lt;Tnet,'2023'!Resal+('2023'!Salim-'2023'!Resal)*(1-EXP(('2023'!Tnet-t)/('2023'!Tau_j))),Resal+(Salim-Resal)*(1-EXP((Tnet-t)/(Tau_j))))*Salcycl</f>
        <v>5.7125645813474235E-2</v>
      </c>
      <c r="P240" s="171">
        <f>(INDEX(Models!$BJ240:$BT240,,T240)*(1-R240)+INDEX(Models!$BJ240:$BT240,,T240+1)*R240-ERP_i)*Q240*Ramure*Pc/MaxiM</f>
        <v>8.3464709014239597E-3</v>
      </c>
      <c r="Q240" s="307">
        <f t="shared" si="80"/>
        <v>1</v>
      </c>
      <c r="R240" s="179">
        <f t="shared" si="81"/>
        <v>5.4644495611412935E-2</v>
      </c>
      <c r="S240" s="837">
        <f t="shared" si="82"/>
        <v>2</v>
      </c>
      <c r="T240" s="178">
        <f t="shared" si="83"/>
        <v>8</v>
      </c>
      <c r="U240" s="253">
        <f t="shared" si="84"/>
        <v>2.0546444956114129</v>
      </c>
      <c r="V240" s="385">
        <f t="shared" si="85"/>
        <v>50.973844616895406</v>
      </c>
      <c r="W240" s="404">
        <f t="shared" si="86"/>
        <v>33.062463549520778</v>
      </c>
      <c r="X240" s="157">
        <f t="shared" si="87"/>
        <v>45517</v>
      </c>
      <c r="Y240" s="387">
        <f t="shared" si="88"/>
        <v>30.708739144050938</v>
      </c>
      <c r="Z240" s="387">
        <f t="shared" si="89"/>
        <v>32.324911065814192</v>
      </c>
      <c r="AA240" s="388">
        <f t="shared" si="90"/>
        <v>36.91107898732588</v>
      </c>
      <c r="AB240" s="199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0.12424908854835794</v>
      </c>
      <c r="AD240" s="233">
        <f>(INDEX(Models!$BJ240:$BT240,,AH240)*(1-AF240)+INDEX(Models!$BJ240:$BT240,,AH240+1)*AF240-ERP_i)*AE240*Ramure*Pc/MaxiM</f>
        <v>8.3464709014239597E-3</v>
      </c>
      <c r="AE240" s="307">
        <f t="shared" si="92"/>
        <v>1</v>
      </c>
      <c r="AF240" s="179">
        <f t="shared" si="93"/>
        <v>5.4644495611412935E-2</v>
      </c>
      <c r="AG240" s="837">
        <f t="shared" si="99"/>
        <v>2</v>
      </c>
      <c r="AH240" s="178">
        <f t="shared" si="94"/>
        <v>8</v>
      </c>
      <c r="AI240" s="227">
        <f t="shared" si="95"/>
        <v>2.0546444956114129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45518</v>
      </c>
      <c r="B241" s="1139">
        <f>IF(t&gt;Tmaj,'2023'!Wh/'2023'!Env_an*'2024'!Env_an,0.001*'[10]mon-tableau (1)'!$B$222)</f>
        <v>38.763217091544483</v>
      </c>
      <c r="C241" s="866"/>
      <c r="D241" s="395">
        <f t="shared" si="77"/>
        <v>40.804238150532719</v>
      </c>
      <c r="E241" s="387">
        <f t="shared" si="100"/>
        <v>43.287901002929807</v>
      </c>
      <c r="F241" s="387">
        <f t="shared" si="78"/>
        <v>43.540410492112819</v>
      </c>
      <c r="G241" s="110">
        <f t="shared" si="101"/>
        <v>0.76171708435912255</v>
      </c>
      <c r="H241" s="414" t="b">
        <f>Wh_hp&gt;='2023'!Maxi_hp</f>
        <v>0</v>
      </c>
      <c r="I241" s="392">
        <f>IF(H241,Wh_hp,'2023'!Maxi_hp)</f>
        <v>51.583884574540299</v>
      </c>
      <c r="J241" s="85">
        <f>IF(H241,An,'2023'!An_max)</f>
        <v>2020</v>
      </c>
      <c r="K241" s="199">
        <f t="shared" si="79"/>
        <v>45518</v>
      </c>
      <c r="L241" s="147">
        <f>IF(t&lt;Tvie,1-EXP((T0-t)*PertePVj)+'2023'!Pspv,1-EXP((T0-t)*PertePVj)+Pspv)</f>
        <v>5.0019830083792072E-2</v>
      </c>
      <c r="M241" s="870"/>
      <c r="N241" s="870"/>
      <c r="O241" s="48">
        <f>IF(t&lt;Tnet,'2023'!Resal+('2023'!Salim-'2023'!Resal)*(1-EXP(('2023'!Tnet-t)/('2023'!Tau_j))),Resal+(Salim-Resal)*(1-EXP((Tnet-t)/(Tau_j))))*Salcycl</f>
        <v>5.7375451219706552E-2</v>
      </c>
      <c r="P241" s="171">
        <f>(INDEX(Models!$BJ241:$BT241,,T241)*(1-R241)+INDEX(Models!$BJ241:$BT241,,T241+1)*R241-ERP_i)*Q241*Ramure*Pc/MaxiM</f>
        <v>8.7494393834873264E-3</v>
      </c>
      <c r="Q241" s="307">
        <f t="shared" si="80"/>
        <v>1</v>
      </c>
      <c r="R241" s="179">
        <f t="shared" si="81"/>
        <v>5.6357233943669094E-2</v>
      </c>
      <c r="S241" s="837">
        <f t="shared" si="82"/>
        <v>2</v>
      </c>
      <c r="T241" s="178">
        <f t="shared" si="83"/>
        <v>8</v>
      </c>
      <c r="U241" s="253">
        <f t="shared" si="84"/>
        <v>2.0563572339436691</v>
      </c>
      <c r="V241" s="385">
        <f t="shared" si="85"/>
        <v>50.738258234176058</v>
      </c>
      <c r="W241" s="404">
        <f t="shared" si="86"/>
        <v>38.763217091544483</v>
      </c>
      <c r="X241" s="157">
        <f t="shared" si="87"/>
        <v>45518</v>
      </c>
      <c r="Y241" s="387">
        <f t="shared" si="88"/>
        <v>36.008430684513144</v>
      </c>
      <c r="Z241" s="387">
        <f t="shared" si="89"/>
        <v>37.904402454726224</v>
      </c>
      <c r="AA241" s="388">
        <f t="shared" si="90"/>
        <v>43.287901002929807</v>
      </c>
      <c r="AB241" s="199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0.12436497089196392</v>
      </c>
      <c r="AD241" s="233">
        <f>(INDEX(Models!$BJ241:$BT241,,AH241)*(1-AF241)+INDEX(Models!$BJ241:$BT241,,AH241+1)*AF241-ERP_i)*AE241*Ramure*Pc/MaxiM</f>
        <v>8.7494393834873264E-3</v>
      </c>
      <c r="AE241" s="307">
        <f t="shared" si="92"/>
        <v>1</v>
      </c>
      <c r="AF241" s="179">
        <f t="shared" si="93"/>
        <v>5.6357233943669094E-2</v>
      </c>
      <c r="AG241" s="837">
        <f t="shared" si="99"/>
        <v>2</v>
      </c>
      <c r="AH241" s="178">
        <f t="shared" si="94"/>
        <v>8</v>
      </c>
      <c r="AI241" s="227">
        <f t="shared" si="95"/>
        <v>2.0563572339436691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45519</v>
      </c>
      <c r="B242" s="1139">
        <f>IF(t&gt;Tmaj,'2023'!Wh/'2023'!Env_an*'2024'!Env_an,0.001*'[10]mon-tableau (1)'!$B$223)</f>
        <v>30.916318880217773</v>
      </c>
      <c r="C242" s="866"/>
      <c r="D242" s="395">
        <f t="shared" si="77"/>
        <v>32.544930245853884</v>
      </c>
      <c r="E242" s="387">
        <f t="shared" si="100"/>
        <v>34.534989936034911</v>
      </c>
      <c r="F242" s="387">
        <f t="shared" si="78"/>
        <v>34.676501228794322</v>
      </c>
      <c r="G242" s="110">
        <f t="shared" si="101"/>
        <v>0.60911102912909365</v>
      </c>
      <c r="H242" s="414" t="b">
        <f>Wh_hp&gt;='2023'!Maxi_hp</f>
        <v>0</v>
      </c>
      <c r="I242" s="392">
        <f>IF(H242,Wh_hp,'2023'!Maxi_hp)</f>
        <v>55.530808319610884</v>
      </c>
      <c r="J242" s="85">
        <f>IF(H242,An,'2023'!An_max)</f>
        <v>2019</v>
      </c>
      <c r="K242" s="199">
        <f t="shared" si="79"/>
        <v>45519</v>
      </c>
      <c r="L242" s="147">
        <f>IF(t&lt;Tvie,1-EXP((T0-t)*PertePVj)+'2023'!Pspv,1-EXP((T0-t)*PertePVj)+Pspv)</f>
        <v>5.0041937510177714E-2</v>
      </c>
      <c r="M242" s="870"/>
      <c r="N242" s="870"/>
      <c r="O242" s="48">
        <f>IF(t&lt;Tnet,'2023'!Resal+('2023'!Salim-'2023'!Resal)*(1-EXP(('2023'!Tnet-t)/('2023'!Tau_j))),Resal+(Salim-Resal)*(1-EXP((Tnet-t)/(Tau_j))))*Salcycl</f>
        <v>5.7624446796335542E-2</v>
      </c>
      <c r="P242" s="171">
        <f>(INDEX(Models!$BJ242:$BT242,,T242)*(1-R242)+INDEX(Models!$BJ242:$BT242,,T242+1)*R242-ERP_i)*Q242*Ramure*Pc/MaxiM</f>
        <v>9.1492148156554157E-3</v>
      </c>
      <c r="Q242" s="307">
        <f t="shared" si="80"/>
        <v>1</v>
      </c>
      <c r="R242" s="179">
        <f t="shared" si="81"/>
        <v>5.8009446222895722E-2</v>
      </c>
      <c r="S242" s="837">
        <f t="shared" si="82"/>
        <v>2</v>
      </c>
      <c r="T242" s="178">
        <f t="shared" si="83"/>
        <v>8</v>
      </c>
      <c r="U242" s="253">
        <f t="shared" si="84"/>
        <v>2.0580094462228957</v>
      </c>
      <c r="V242" s="385">
        <f t="shared" si="85"/>
        <v>50.49815495750903</v>
      </c>
      <c r="W242" s="404">
        <f t="shared" si="86"/>
        <v>30.916318880217773</v>
      </c>
      <c r="X242" s="157">
        <f t="shared" si="87"/>
        <v>45519</v>
      </c>
      <c r="Y242" s="387">
        <f t="shared" si="88"/>
        <v>28.723003120164915</v>
      </c>
      <c r="Z242" s="387">
        <f t="shared" si="89"/>
        <v>30.23607489038249</v>
      </c>
      <c r="AA242" s="388">
        <f t="shared" si="90"/>
        <v>34.534989936034911</v>
      </c>
      <c r="AB242" s="199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0.12447998547602872</v>
      </c>
      <c r="AD242" s="233">
        <f>(INDEX(Models!$BJ242:$BT242,,AH242)*(1-AF242)+INDEX(Models!$BJ242:$BT242,,AH242+1)*AF242-ERP_i)*AE242*Ramure*Pc/MaxiM</f>
        <v>9.1492148156554157E-3</v>
      </c>
      <c r="AE242" s="307">
        <f t="shared" si="92"/>
        <v>1</v>
      </c>
      <c r="AF242" s="179">
        <f t="shared" si="93"/>
        <v>5.8009446222895722E-2</v>
      </c>
      <c r="AG242" s="837">
        <f t="shared" si="99"/>
        <v>2</v>
      </c>
      <c r="AH242" s="178">
        <f t="shared" si="94"/>
        <v>8</v>
      </c>
      <c r="AI242" s="227">
        <f t="shared" si="95"/>
        <v>2.0580094462228957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45520</v>
      </c>
      <c r="B243" s="1139">
        <f>IF(t&gt;Tmaj,'2023'!Wh/'2023'!Env_an*'2024'!Env_an,0.001*'[10]mon-tableau (1)'!$B$224)</f>
        <v>22.396309308422239</v>
      </c>
      <c r="C243" s="866"/>
      <c r="D243" s="395">
        <f t="shared" si="77"/>
        <v>23.576651854173775</v>
      </c>
      <c r="E243" s="387">
        <f t="shared" si="100"/>
        <v>25.02490890730591</v>
      </c>
      <c r="F243" s="387">
        <f t="shared" si="78"/>
        <v>25.074719920420726</v>
      </c>
      <c r="G243" s="110">
        <f t="shared" si="101"/>
        <v>0.44229417481591776</v>
      </c>
      <c r="H243" s="414" t="b">
        <f>Wh_hp&gt;='2023'!Maxi_hp</f>
        <v>0</v>
      </c>
      <c r="I243" s="392">
        <f>IF(H243,Wh_hp,'2023'!Maxi_hp)</f>
        <v>54.275394990879882</v>
      </c>
      <c r="J243" s="85">
        <f>IF(H243,An,'2023'!An_max)</f>
        <v>2019</v>
      </c>
      <c r="K243" s="199">
        <f t="shared" si="79"/>
        <v>45520</v>
      </c>
      <c r="L243" s="147">
        <f>IF(t&lt;Tvie,1-EXP((T0-t)*PertePVj)+'2023'!Pspv,1-EXP((T0-t)*PertePVj)+Pspv)</f>
        <v>5.0064044422091225E-2</v>
      </c>
      <c r="M243" s="870"/>
      <c r="N243" s="870"/>
      <c r="O243" s="48">
        <f>IF(t&lt;Tnet,'2023'!Resal+('2023'!Salim-'2023'!Resal)*(1-EXP(('2023'!Tnet-t)/('2023'!Tau_j))),Resal+(Salim-Resal)*(1-EXP((Tnet-t)/(Tau_j))))*Salcycl</f>
        <v>5.7872620375825773E-2</v>
      </c>
      <c r="P243" s="171">
        <f>(INDEX(Models!$BJ243:$BT243,,T243)*(1-R243)+INDEX(Models!$BJ243:$BT243,,T243+1)*R243-ERP_i)*Q243*Ramure*Pc/MaxiM</f>
        <v>9.5459147972110497E-3</v>
      </c>
      <c r="Q243" s="307">
        <f t="shared" si="80"/>
        <v>1</v>
      </c>
      <c r="R243" s="179">
        <f t="shared" si="81"/>
        <v>5.9602962671689408E-2</v>
      </c>
      <c r="S243" s="837">
        <f t="shared" si="82"/>
        <v>2</v>
      </c>
      <c r="T243" s="178">
        <f t="shared" si="83"/>
        <v>8</v>
      </c>
      <c r="U243" s="253">
        <f t="shared" si="84"/>
        <v>2.0596029626716894</v>
      </c>
      <c r="V243" s="385">
        <f t="shared" si="85"/>
        <v>50.253136181783724</v>
      </c>
      <c r="W243" s="404">
        <f t="shared" si="86"/>
        <v>22.396309308422239</v>
      </c>
      <c r="X243" s="157">
        <f t="shared" si="87"/>
        <v>45520</v>
      </c>
      <c r="Y243" s="387">
        <f t="shared" si="88"/>
        <v>20.810201991910716</v>
      </c>
      <c r="Z243" s="387">
        <f t="shared" si="89"/>
        <v>21.906952642139434</v>
      </c>
      <c r="AA243" s="388">
        <f t="shared" si="90"/>
        <v>25.02490890730591</v>
      </c>
      <c r="AB243" s="199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0.12459411048070601</v>
      </c>
      <c r="AD243" s="233">
        <f>(INDEX(Models!$BJ243:$BT243,,AH243)*(1-AF243)+INDEX(Models!$BJ243:$BT243,,AH243+1)*AF243-ERP_i)*AE243*Ramure*Pc/MaxiM</f>
        <v>9.5459147972110497E-3</v>
      </c>
      <c r="AE243" s="307">
        <f t="shared" si="92"/>
        <v>1</v>
      </c>
      <c r="AF243" s="179">
        <f t="shared" si="93"/>
        <v>5.9602962671689408E-2</v>
      </c>
      <c r="AG243" s="837">
        <f t="shared" si="99"/>
        <v>2</v>
      </c>
      <c r="AH243" s="178">
        <f t="shared" si="94"/>
        <v>8</v>
      </c>
      <c r="AI243" s="227">
        <f t="shared" si="95"/>
        <v>2.0596029626716894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45521</v>
      </c>
      <c r="B244" s="1139">
        <f>IF(t&gt;Tmaj,'2023'!Wh/'2023'!Env_an*'2024'!Env_an,0.001*'[10]mon-tableau (1)'!$B$225)</f>
        <v>37.747029483275774</v>
      </c>
      <c r="C244" s="866"/>
      <c r="D244" s="395">
        <f t="shared" si="77"/>
        <v>39.737318827220257</v>
      </c>
      <c r="E244" s="387">
        <f t="shared" si="100"/>
        <v>42.189362853762368</v>
      </c>
      <c r="F244" s="387">
        <f t="shared" si="78"/>
        <v>42.463650094738377</v>
      </c>
      <c r="G244" s="110">
        <f t="shared" si="101"/>
        <v>0.75225388416440586</v>
      </c>
      <c r="H244" s="414" t="b">
        <f>Wh_hp&gt;='2023'!Maxi_hp</f>
        <v>0</v>
      </c>
      <c r="I244" s="392">
        <f>IF(H244,Wh_hp,'2023'!Maxi_hp)</f>
        <v>53.81892121253842</v>
      </c>
      <c r="J244" s="85">
        <f>IF(H244,An,'2023'!An_max)</f>
        <v>2021</v>
      </c>
      <c r="K244" s="199">
        <f t="shared" si="79"/>
        <v>45521</v>
      </c>
      <c r="L244" s="147">
        <f>IF(t&lt;Tvie,1-EXP((T0-t)*PertePVj)+'2023'!Pspv,1-EXP((T0-t)*PertePVj)+Pspv)</f>
        <v>5.0086150819544595E-2</v>
      </c>
      <c r="M244" s="870"/>
      <c r="N244" s="870"/>
      <c r="O244" s="48">
        <f>IF(t&lt;Tnet,'2023'!Resal+('2023'!Salim-'2023'!Resal)*(1-EXP(('2023'!Tnet-t)/('2023'!Tau_j))),Resal+(Salim-Resal)*(1-EXP((Tnet-t)/(Tau_j))))*Salcycl</f>
        <v>5.8119958697680198E-2</v>
      </c>
      <c r="P244" s="171">
        <f>(INDEX(Models!$BJ244:$BT244,,T244)*(1-R244)+INDEX(Models!$BJ244:$BT244,,T244+1)*R244-ERP_i)*Q244*Ramure*Pc/MaxiM</f>
        <v>9.9396718733786495E-3</v>
      </c>
      <c r="Q244" s="307">
        <f t="shared" si="80"/>
        <v>1</v>
      </c>
      <c r="R244" s="179">
        <f t="shared" si="81"/>
        <v>6.1139581398428344E-2</v>
      </c>
      <c r="S244" s="837">
        <f t="shared" si="82"/>
        <v>2</v>
      </c>
      <c r="T244" s="178">
        <f t="shared" si="83"/>
        <v>8</v>
      </c>
      <c r="U244" s="253">
        <f t="shared" si="84"/>
        <v>2.0611395813984283</v>
      </c>
      <c r="V244" s="385">
        <f t="shared" si="85"/>
        <v>50.00280366593713</v>
      </c>
      <c r="W244" s="404">
        <f t="shared" si="86"/>
        <v>37.747029483275774</v>
      </c>
      <c r="X244" s="157">
        <f t="shared" si="87"/>
        <v>45521</v>
      </c>
      <c r="Y244" s="387">
        <f t="shared" si="88"/>
        <v>35.078456994828763</v>
      </c>
      <c r="Z244" s="387">
        <f t="shared" si="89"/>
        <v>36.928040395550539</v>
      </c>
      <c r="AA244" s="388">
        <f t="shared" si="90"/>
        <v>42.189362853762368</v>
      </c>
      <c r="AB244" s="199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0.12470732199603791</v>
      </c>
      <c r="AD244" s="233">
        <f>(INDEX(Models!$BJ244:$BT244,,AH244)*(1-AF244)+INDEX(Models!$BJ244:$BT244,,AH244+1)*AF244-ERP_i)*AE244*Ramure*Pc/MaxiM</f>
        <v>9.9396718733786495E-3</v>
      </c>
      <c r="AE244" s="307">
        <f t="shared" si="92"/>
        <v>1</v>
      </c>
      <c r="AF244" s="179">
        <f t="shared" si="93"/>
        <v>6.1139581398428344E-2</v>
      </c>
      <c r="AG244" s="837">
        <f t="shared" si="99"/>
        <v>2</v>
      </c>
      <c r="AH244" s="178">
        <f t="shared" si="94"/>
        <v>8</v>
      </c>
      <c r="AI244" s="227">
        <f t="shared" si="95"/>
        <v>2.0611395813984283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45522</v>
      </c>
      <c r="B245" s="1139">
        <f>IF(t&gt;Tmaj,'2023'!Wh/'2023'!Env_an*'2024'!Env_an,0.001*'[10]mon-tableau (1)'!$B$226)</f>
        <v>39.06827880937135</v>
      </c>
      <c r="C245" s="866"/>
      <c r="D245" s="395">
        <f t="shared" si="77"/>
        <v>41.129190863108143</v>
      </c>
      <c r="E245" s="387">
        <f t="shared" si="100"/>
        <v>43.678552822386543</v>
      </c>
      <c r="F245" s="387">
        <f t="shared" si="78"/>
        <v>43.993667058210853</v>
      </c>
      <c r="G245" s="110">
        <f t="shared" si="101"/>
        <v>0.78283734007893191</v>
      </c>
      <c r="H245" s="414" t="b">
        <f>Wh_hp&gt;='2023'!Maxi_hp</f>
        <v>0</v>
      </c>
      <c r="I245" s="392">
        <f>IF(H245,Wh_hp,'2023'!Maxi_hp)</f>
        <v>48.769575691470848</v>
      </c>
      <c r="J245" s="85">
        <f>IF(H245,An,'2023'!An_max)</f>
        <v>2021</v>
      </c>
      <c r="K245" s="199">
        <f t="shared" si="79"/>
        <v>45522</v>
      </c>
      <c r="L245" s="147">
        <f>IF(t&lt;Tvie,1-EXP((T0-t)*PertePVj)+'2023'!Pspv,1-EXP((T0-t)*PertePVj)+Pspv)</f>
        <v>5.0108256702549925E-2</v>
      </c>
      <c r="M245" s="870"/>
      <c r="N245" s="870"/>
      <c r="O245" s="48">
        <f>IF(t&lt;Tnet,'2023'!Resal+('2023'!Salim-'2023'!Resal)*(1-EXP(('2023'!Tnet-t)/('2023'!Tau_j))),Resal+(Salim-Resal)*(1-EXP((Tnet-t)/(Tau_j))))*Salcycl</f>
        <v>5.8366447479271215E-2</v>
      </c>
      <c r="P245" s="171">
        <f>(INDEX(Models!$BJ245:$BT245,,T245)*(1-R245)+INDEX(Models!$BJ245:$BT245,,T245+1)*R245-ERP_i)*Q245*Ramure*Pc/MaxiM</f>
        <v>1.0330633631769254E-2</v>
      </c>
      <c r="Q245" s="307">
        <f t="shared" si="80"/>
        <v>1</v>
      </c>
      <c r="R245" s="179">
        <f t="shared" si="81"/>
        <v>6.2621067067643477E-2</v>
      </c>
      <c r="S245" s="837">
        <f t="shared" si="82"/>
        <v>2</v>
      </c>
      <c r="T245" s="178">
        <f t="shared" si="83"/>
        <v>8</v>
      </c>
      <c r="U245" s="253">
        <f t="shared" si="84"/>
        <v>2.0626210670676435</v>
      </c>
      <c r="V245" s="385">
        <f t="shared" si="85"/>
        <v>49.746759536635608</v>
      </c>
      <c r="W245" s="404">
        <f t="shared" si="86"/>
        <v>39.06827880937135</v>
      </c>
      <c r="X245" s="157">
        <f t="shared" si="87"/>
        <v>45522</v>
      </c>
      <c r="Y245" s="387">
        <f t="shared" si="88"/>
        <v>36.311144617288519</v>
      </c>
      <c r="Z245" s="387">
        <f t="shared" si="89"/>
        <v>38.22661358360498</v>
      </c>
      <c r="AA245" s="388">
        <f t="shared" si="90"/>
        <v>43.678552822386543</v>
      </c>
      <c r="AB245" s="199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0.12481959420567806</v>
      </c>
      <c r="AD245" s="233">
        <f>(INDEX(Models!$BJ245:$BT245,,AH245)*(1-AF245)+INDEX(Models!$BJ245:$BT245,,AH245+1)*AF245-ERP_i)*AE245*Ramure*Pc/MaxiM</f>
        <v>1.0330633631769254E-2</v>
      </c>
      <c r="AE245" s="307">
        <f t="shared" si="92"/>
        <v>1</v>
      </c>
      <c r="AF245" s="179">
        <f t="shared" si="93"/>
        <v>6.2621067067643477E-2</v>
      </c>
      <c r="AG245" s="837">
        <f t="shared" si="99"/>
        <v>2</v>
      </c>
      <c r="AH245" s="178">
        <f t="shared" si="94"/>
        <v>8</v>
      </c>
      <c r="AI245" s="227">
        <f t="shared" si="95"/>
        <v>2.0626210670676435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45523</v>
      </c>
      <c r="B246" s="1139">
        <f>IF(t&gt;Tmaj,'2023'!Wh/'2023'!Env_an*'2024'!Env_an,0.001*'[10]mon-tableau (1)'!$B$227)</f>
        <v>46.031954738630233</v>
      </c>
      <c r="C246" s="866"/>
      <c r="D246" s="395">
        <f t="shared" si="77"/>
        <v>48.461339220189657</v>
      </c>
      <c r="E246" s="387">
        <f t="shared" si="100"/>
        <v>51.478607014119511</v>
      </c>
      <c r="F246" s="387">
        <f t="shared" si="78"/>
        <v>51.980245192893165</v>
      </c>
      <c r="G246" s="110">
        <f t="shared" si="101"/>
        <v>0.92922421751876449</v>
      </c>
      <c r="H246" s="414" t="b">
        <f>Wh_hp&gt;='2023'!Maxi_hp</f>
        <v>0</v>
      </c>
      <c r="I246" s="392">
        <f>IF(H246,Wh_hp,'2023'!Maxi_hp)</f>
        <v>52.529091636366658</v>
      </c>
      <c r="J246" s="85">
        <f>IF(H246,An,'2023'!An_max)</f>
        <v>2021</v>
      </c>
      <c r="K246" s="199">
        <f t="shared" si="79"/>
        <v>45523</v>
      </c>
      <c r="L246" s="147">
        <f>IF(t&lt;Tvie,1-EXP((T0-t)*PertePVj)+'2023'!Pspv,1-EXP((T0-t)*PertePVj)+Pspv)</f>
        <v>5.0130362071118983E-2</v>
      </c>
      <c r="M246" s="870"/>
      <c r="N246" s="870"/>
      <c r="O246" s="48">
        <f>IF(t&lt;Tnet,'2023'!Resal+('2023'!Salim-'2023'!Resal)*(1-EXP(('2023'!Tnet-t)/('2023'!Tau_j))),Resal+(Salim-Resal)*(1-EXP((Tnet-t)/(Tau_j))))*Salcycl</f>
        <v>5.8612071478590766E-2</v>
      </c>
      <c r="P246" s="171">
        <f>(INDEX(Models!$BJ246:$BT246,,T246)*(1-R246)+INDEX(Models!$BJ246:$BT246,,T246+1)*R246-ERP_i)*Q246*Ramure*Pc/MaxiM</f>
        <v>1.0718962855514399E-2</v>
      </c>
      <c r="Q246" s="307">
        <f t="shared" si="80"/>
        <v>1</v>
      </c>
      <c r="R246" s="179">
        <f t="shared" si="81"/>
        <v>6.404914976464271E-2</v>
      </c>
      <c r="S246" s="837">
        <f t="shared" si="82"/>
        <v>2</v>
      </c>
      <c r="T246" s="178">
        <f t="shared" si="83"/>
        <v>8</v>
      </c>
      <c r="U246" s="253">
        <f t="shared" si="84"/>
        <v>2.0640491497646427</v>
      </c>
      <c r="V246" s="385">
        <f t="shared" si="85"/>
        <v>49.484606286807789</v>
      </c>
      <c r="W246" s="404">
        <f t="shared" si="86"/>
        <v>46.031954738630233</v>
      </c>
      <c r="X246" s="157">
        <f t="shared" si="87"/>
        <v>45523</v>
      </c>
      <c r="Y246" s="387">
        <f t="shared" si="88"/>
        <v>42.789098951358788</v>
      </c>
      <c r="Z246" s="387">
        <f t="shared" si="89"/>
        <v>45.047338332297038</v>
      </c>
      <c r="AA246" s="388">
        <f t="shared" si="90"/>
        <v>51.478607014119511</v>
      </c>
      <c r="AB246" s="199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0.12493089954937027</v>
      </c>
      <c r="AD246" s="233">
        <f>(INDEX(Models!$BJ246:$BT246,,AH246)*(1-AF246)+INDEX(Models!$BJ246:$BT246,,AH246+1)*AF246-ERP_i)*AE246*Ramure*Pc/MaxiM</f>
        <v>1.0718962855514399E-2</v>
      </c>
      <c r="AE246" s="307">
        <f t="shared" si="92"/>
        <v>1</v>
      </c>
      <c r="AF246" s="179">
        <f t="shared" si="93"/>
        <v>6.404914976464271E-2</v>
      </c>
      <c r="AG246" s="837">
        <f t="shared" si="99"/>
        <v>2</v>
      </c>
      <c r="AH246" s="178">
        <f t="shared" si="94"/>
        <v>8</v>
      </c>
      <c r="AI246" s="227">
        <f t="shared" si="95"/>
        <v>2.0640491497646427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45524</v>
      </c>
      <c r="B247" s="1139">
        <f>IF(t&gt;Tmaj,'2023'!Wh/'2023'!Env_an*'2024'!Env_an,0.001*'[10]mon-tableau (1)'!$B$228)</f>
        <v>30.215325517133412</v>
      </c>
      <c r="C247" s="866"/>
      <c r="D247" s="395">
        <f t="shared" si="77"/>
        <v>31.810711156267221</v>
      </c>
      <c r="E247" s="387">
        <f t="shared" si="100"/>
        <v>33.800075958671663</v>
      </c>
      <c r="F247" s="387">
        <f t="shared" si="78"/>
        <v>33.969236938826405</v>
      </c>
      <c r="G247" s="110">
        <f t="shared" si="101"/>
        <v>0.61013671707466166</v>
      </c>
      <c r="H247" s="414" t="b">
        <f>Wh_hp&gt;='2023'!Maxi_hp</f>
        <v>0</v>
      </c>
      <c r="I247" s="392">
        <f>IF(H247,Wh_hp,'2023'!Maxi_hp)</f>
        <v>51.419921349849517</v>
      </c>
      <c r="J247" s="85">
        <f>IF(H247,An,'2023'!An_max)</f>
        <v>2020</v>
      </c>
      <c r="K247" s="199">
        <f t="shared" si="79"/>
        <v>45524</v>
      </c>
      <c r="L247" s="147">
        <f>IF(t&lt;Tvie,1-EXP((T0-t)*PertePVj)+'2023'!Pspv,1-EXP((T0-t)*PertePVj)+Pspv)</f>
        <v>5.0152466925263761E-2</v>
      </c>
      <c r="M247" s="870"/>
      <c r="N247" s="870"/>
      <c r="O247" s="48">
        <f>IF(t&lt;Tnet,'2023'!Resal+('2023'!Salim-'2023'!Resal)*(1-EXP(('2023'!Tnet-t)/('2023'!Tau_j))),Resal+(Salim-Resal)*(1-EXP((Tnet-t)/(Tau_j))))*Salcycl</f>
        <v>5.885681454789915E-2</v>
      </c>
      <c r="P247" s="171">
        <f>(INDEX(Models!$BJ247:$BT247,,T247)*(1-R247)+INDEX(Models!$BJ247:$BT247,,T247+1)*R247-ERP_i)*Q247*Ramure*Pc/MaxiM</f>
        <v>1.1104514549577019E-2</v>
      </c>
      <c r="Q247" s="307">
        <f t="shared" si="80"/>
        <v>1</v>
      </c>
      <c r="R247" s="179">
        <f t="shared" si="81"/>
        <v>6.5425524041772931E-2</v>
      </c>
      <c r="S247" s="837">
        <f t="shared" si="82"/>
        <v>2</v>
      </c>
      <c r="T247" s="178">
        <f t="shared" si="83"/>
        <v>8</v>
      </c>
      <c r="U247" s="253">
        <f t="shared" si="84"/>
        <v>2.0654255240417729</v>
      </c>
      <c r="V247" s="385">
        <f t="shared" si="85"/>
        <v>49.217395254474759</v>
      </c>
      <c r="W247" s="404">
        <f t="shared" si="86"/>
        <v>30.215325517133412</v>
      </c>
      <c r="X247" s="157">
        <f t="shared" si="87"/>
        <v>45524</v>
      </c>
      <c r="Y247" s="387">
        <f t="shared" si="88"/>
        <v>28.090480914012737</v>
      </c>
      <c r="Z247" s="387">
        <f t="shared" si="89"/>
        <v>29.573673601153114</v>
      </c>
      <c r="AA247" s="388">
        <f t="shared" si="90"/>
        <v>33.800075958671663</v>
      </c>
      <c r="AB247" s="199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0.12504120886255674</v>
      </c>
      <c r="AD247" s="233">
        <f>(INDEX(Models!$BJ247:$BT247,,AH247)*(1-AF247)+INDEX(Models!$BJ247:$BT247,,AH247+1)*AF247-ERP_i)*AE247*Ramure*Pc/MaxiM</f>
        <v>1.1104514549577019E-2</v>
      </c>
      <c r="AE247" s="307">
        <f t="shared" si="92"/>
        <v>1</v>
      </c>
      <c r="AF247" s="179">
        <f t="shared" si="93"/>
        <v>6.5425524041772931E-2</v>
      </c>
      <c r="AG247" s="837">
        <f t="shared" si="99"/>
        <v>2</v>
      </c>
      <c r="AH247" s="178">
        <f t="shared" si="94"/>
        <v>8</v>
      </c>
      <c r="AI247" s="227">
        <f t="shared" si="95"/>
        <v>2.0654255240417729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45525</v>
      </c>
      <c r="B248" s="1139">
        <f>IF(t&gt;Tmaj,'2023'!Wh/'2023'!Env_an*'2024'!Env_an,0.001*'[10]mon-tableau (1)'!$B$229)</f>
        <v>24.226536669228981</v>
      </c>
      <c r="C248" s="866"/>
      <c r="D248" s="395">
        <f t="shared" si="77"/>
        <v>25.506304565349829</v>
      </c>
      <c r="E248" s="387">
        <f t="shared" si="100"/>
        <v>27.108430702699106</v>
      </c>
      <c r="F248" s="387">
        <f t="shared" si="78"/>
        <v>27.195382687542111</v>
      </c>
      <c r="G248" s="110">
        <f t="shared" si="101"/>
        <v>0.49084516232386816</v>
      </c>
      <c r="H248" s="414" t="b">
        <f>Wh_hp&gt;='2023'!Maxi_hp</f>
        <v>0</v>
      </c>
      <c r="I248" s="392">
        <f>IF(H248,Wh_hp,'2023'!Maxi_hp)</f>
        <v>55.310874432474641</v>
      </c>
      <c r="J248" s="85">
        <f>IF(H248,An,'2023'!An_max)</f>
        <v>2019</v>
      </c>
      <c r="K248" s="199">
        <f t="shared" si="79"/>
        <v>45525</v>
      </c>
      <c r="L248" s="147">
        <f>IF(t&lt;Tvie,1-EXP((T0-t)*PertePVj)+'2023'!Pspv,1-EXP((T0-t)*PertePVj)+Pspv)</f>
        <v>5.0174571264996359E-2</v>
      </c>
      <c r="M248" s="870"/>
      <c r="N248" s="870"/>
      <c r="O248" s="48">
        <f>IF(t&lt;Tnet,'2023'!Resal+('2023'!Salim-'2023'!Resal)*(1-EXP(('2023'!Tnet-t)/('2023'!Tau_j))),Resal+(Salim-Resal)*(1-EXP((Tnet-t)/(Tau_j))))*Salcycl</f>
        <v>5.9100659677424915E-2</v>
      </c>
      <c r="P248" s="171">
        <f>(INDEX(Models!$BJ248:$BT248,,T248)*(1-R248)+INDEX(Models!$BJ248:$BT248,,T248+1)*R248-ERP_i)*Q248*Ramure*Pc/MaxiM</f>
        <v>1.1479990948089663E-2</v>
      </c>
      <c r="Q248" s="307">
        <f t="shared" si="80"/>
        <v>1</v>
      </c>
      <c r="R248" s="179">
        <f t="shared" si="81"/>
        <v>6.6751848134038561E-2</v>
      </c>
      <c r="S248" s="837">
        <f t="shared" si="82"/>
        <v>2</v>
      </c>
      <c r="T248" s="178">
        <f t="shared" si="83"/>
        <v>8</v>
      </c>
      <c r="U248" s="253">
        <f t="shared" si="84"/>
        <v>2.0667518481340386</v>
      </c>
      <c r="V248" s="385">
        <f t="shared" si="85"/>
        <v>48.94666206935959</v>
      </c>
      <c r="W248" s="404">
        <f t="shared" si="86"/>
        <v>24.226536669228981</v>
      </c>
      <c r="X248" s="157">
        <f t="shared" si="87"/>
        <v>45525</v>
      </c>
      <c r="Y248" s="387">
        <f t="shared" si="88"/>
        <v>22.525867316117367</v>
      </c>
      <c r="Z248" s="387">
        <f t="shared" si="89"/>
        <v>23.71579727668248</v>
      </c>
      <c r="AA248" s="388">
        <f t="shared" si="90"/>
        <v>27.108430702699106</v>
      </c>
      <c r="AB248" s="199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0.1251504914918897</v>
      </c>
      <c r="AD248" s="233">
        <f>(INDEX(Models!$BJ248:$BT248,,AH248)*(1-AF248)+INDEX(Models!$BJ248:$BT248,,AH248+1)*AF248-ERP_i)*AE248*Ramure*Pc/MaxiM</f>
        <v>1.1479990948089663E-2</v>
      </c>
      <c r="AE248" s="307">
        <f t="shared" si="92"/>
        <v>1</v>
      </c>
      <c r="AF248" s="179">
        <f t="shared" si="93"/>
        <v>6.6751848134038561E-2</v>
      </c>
      <c r="AG248" s="837">
        <f t="shared" si="99"/>
        <v>2</v>
      </c>
      <c r="AH248" s="178">
        <f t="shared" si="94"/>
        <v>8</v>
      </c>
      <c r="AI248" s="227">
        <f t="shared" si="95"/>
        <v>2.0667518481340386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45526</v>
      </c>
      <c r="B249" s="1139">
        <f>IF(t&gt;Tmaj,'2023'!Wh/'2023'!Env_an*'2024'!Env_an,0.001*'[10]mon-tableau (1)'!$B$230)</f>
        <v>42.931616096166813</v>
      </c>
      <c r="C249" s="866"/>
      <c r="D249" s="395">
        <f t="shared" si="77"/>
        <v>45.200532542092034</v>
      </c>
      <c r="E249" s="387">
        <f t="shared" si="100"/>
        <v>48.052117664734993</v>
      </c>
      <c r="F249" s="387">
        <f t="shared" si="78"/>
        <v>48.530175994318519</v>
      </c>
      <c r="G249" s="110">
        <f t="shared" si="101"/>
        <v>0.88027916311853405</v>
      </c>
      <c r="H249" s="414" t="b">
        <f>Wh_hp&gt;='2023'!Maxi_hp</f>
        <v>0</v>
      </c>
      <c r="I249" s="392">
        <f>IF(H249,Wh_hp,'2023'!Maxi_hp)</f>
        <v>52.494512682759208</v>
      </c>
      <c r="J249" s="85">
        <f>IF(H249,An,'2023'!An_max)</f>
        <v>2019</v>
      </c>
      <c r="K249" s="199">
        <f t="shared" si="79"/>
        <v>45526</v>
      </c>
      <c r="L249" s="147">
        <f>IF(t&lt;Tvie,1-EXP((T0-t)*PertePVj)+'2023'!Pspv,1-EXP((T0-t)*PertePVj)+Pspv)</f>
        <v>5.0196675090328657E-2</v>
      </c>
      <c r="M249" s="870"/>
      <c r="N249" s="870"/>
      <c r="O249" s="48">
        <f>IF(t&lt;Tnet,'2023'!Resal+('2023'!Salim-'2023'!Resal)*(1-EXP(('2023'!Tnet-t)/('2023'!Tau_j))),Resal+(Salim-Resal)*(1-EXP((Tnet-t)/(Tau_j))))*Salcycl</f>
        <v>5.9343589028454172E-2</v>
      </c>
      <c r="P249" s="171">
        <f>(INDEX(Models!$BJ249:$BT249,,T249)*(1-R249)+INDEX(Models!$BJ249:$BT249,,T249+1)*R249-ERP_i)*Q249*Ramure*Pc/MaxiM</f>
        <v>1.1846806830236558E-2</v>
      </c>
      <c r="Q249" s="307">
        <f t="shared" si="80"/>
        <v>1</v>
      </c>
      <c r="R249" s="179">
        <f t="shared" si="81"/>
        <v>6.8029743332179038E-2</v>
      </c>
      <c r="S249" s="837">
        <f t="shared" si="82"/>
        <v>2</v>
      </c>
      <c r="T249" s="178">
        <f t="shared" si="83"/>
        <v>8</v>
      </c>
      <c r="U249" s="253">
        <f t="shared" si="84"/>
        <v>2.068029743332179</v>
      </c>
      <c r="V249" s="385">
        <f t="shared" si="85"/>
        <v>48.6721384862253</v>
      </c>
      <c r="W249" s="404">
        <f t="shared" si="86"/>
        <v>42.931616096166813</v>
      </c>
      <c r="X249" s="157">
        <f t="shared" si="87"/>
        <v>45526</v>
      </c>
      <c r="Y249" s="387">
        <f t="shared" si="88"/>
        <v>39.923245700027501</v>
      </c>
      <c r="Z249" s="387">
        <f t="shared" si="89"/>
        <v>42.033171134481236</v>
      </c>
      <c r="AA249" s="388">
        <f t="shared" si="90"/>
        <v>48.052117664734993</v>
      </c>
      <c r="AB249" s="199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0.12525871538583636</v>
      </c>
      <c r="AD249" s="233">
        <f>(INDEX(Models!$BJ249:$BT249,,AH249)*(1-AF249)+INDEX(Models!$BJ249:$BT249,,AH249+1)*AF249-ERP_i)*AE249*Ramure*Pc/MaxiM</f>
        <v>1.1846806830236558E-2</v>
      </c>
      <c r="AE249" s="307">
        <f t="shared" si="92"/>
        <v>1</v>
      </c>
      <c r="AF249" s="179">
        <f t="shared" si="93"/>
        <v>6.8029743332179038E-2</v>
      </c>
      <c r="AG249" s="837">
        <f t="shared" si="99"/>
        <v>2</v>
      </c>
      <c r="AH249" s="178">
        <f t="shared" si="94"/>
        <v>8</v>
      </c>
      <c r="AI249" s="227">
        <f t="shared" si="95"/>
        <v>2.068029743332179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45527</v>
      </c>
      <c r="B250" s="1139">
        <f>IF(t&gt;Tmaj,'2023'!Wh/'2023'!Env_an*'2024'!Env_an,0.001*'[10]mon-tableau (1)'!$B$231)</f>
        <v>43.336051446955267</v>
      </c>
      <c r="C250" s="866"/>
      <c r="D250" s="395">
        <f t="shared" si="77"/>
        <v>45.627403934149683</v>
      </c>
      <c r="E250" s="387">
        <f t="shared" si="100"/>
        <v>48.518401202372743</v>
      </c>
      <c r="F250" s="387">
        <f t="shared" si="78"/>
        <v>49.027442671553239</v>
      </c>
      <c r="G250" s="110">
        <f t="shared" si="101"/>
        <v>0.89384200902950151</v>
      </c>
      <c r="H250" s="414" t="b">
        <f>Wh_hp&gt;='2023'!Maxi_hp</f>
        <v>0</v>
      </c>
      <c r="I250" s="392">
        <f>IF(H250,Wh_hp,'2023'!Maxi_hp)</f>
        <v>52.36810981673333</v>
      </c>
      <c r="J250" s="85">
        <f>IF(H250,An,'2023'!An_max)</f>
        <v>2019</v>
      </c>
      <c r="K250" s="199">
        <f t="shared" si="79"/>
        <v>45527</v>
      </c>
      <c r="L250" s="147">
        <f>IF(t&lt;Tvie,1-EXP((T0-t)*PertePVj)+'2023'!Pspv,1-EXP((T0-t)*PertePVj)+Pspv)</f>
        <v>5.0218778401272646E-2</v>
      </c>
      <c r="M250" s="870"/>
      <c r="N250" s="870"/>
      <c r="O250" s="48">
        <f>IF(t&lt;Tnet,'2023'!Resal+('2023'!Salim-'2023'!Resal)*(1-EXP(('2023'!Tnet-t)/('2023'!Tau_j))),Resal+(Salim-Resal)*(1-EXP((Tnet-t)/(Tau_j))))*Salcycl</f>
        <v>5.9585583955344308E-2</v>
      </c>
      <c r="P250" s="171">
        <f>(INDEX(Models!$BJ250:$BT250,,T250)*(1-R250)+INDEX(Models!$BJ250:$BT250,,T250+1)*R250-ERP_i)*Q250*Ramure*Pc/MaxiM</f>
        <v>1.2204973698619058E-2</v>
      </c>
      <c r="Q250" s="307">
        <f t="shared" si="80"/>
        <v>1</v>
      </c>
      <c r="R250" s="179">
        <f t="shared" si="81"/>
        <v>6.9260793501709106E-2</v>
      </c>
      <c r="S250" s="837">
        <f t="shared" si="82"/>
        <v>2</v>
      </c>
      <c r="T250" s="178">
        <f t="shared" si="83"/>
        <v>8</v>
      </c>
      <c r="U250" s="253">
        <f t="shared" si="84"/>
        <v>2.0692607935017091</v>
      </c>
      <c r="V250" s="385">
        <f t="shared" si="85"/>
        <v>48.393626745930561</v>
      </c>
      <c r="W250" s="404">
        <f t="shared" si="86"/>
        <v>43.336051446955267</v>
      </c>
      <c r="X250" s="157">
        <f t="shared" si="87"/>
        <v>45527</v>
      </c>
      <c r="Y250" s="387">
        <f t="shared" si="88"/>
        <v>40.304774148569521</v>
      </c>
      <c r="Z250" s="387">
        <f t="shared" si="89"/>
        <v>42.435850732788928</v>
      </c>
      <c r="AA250" s="388">
        <f t="shared" si="90"/>
        <v>48.518401202372743</v>
      </c>
      <c r="AB250" s="199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0.12536584715999172</v>
      </c>
      <c r="AD250" s="233">
        <f>(INDEX(Models!$BJ250:$BT250,,AH250)*(1-AF250)+INDEX(Models!$BJ250:$BT250,,AH250+1)*AF250-ERP_i)*AE250*Ramure*Pc/MaxiM</f>
        <v>1.2204973698619058E-2</v>
      </c>
      <c r="AE250" s="307">
        <f t="shared" si="92"/>
        <v>1</v>
      </c>
      <c r="AF250" s="179">
        <f t="shared" si="93"/>
        <v>6.9260793501709106E-2</v>
      </c>
      <c r="AG250" s="837">
        <f t="shared" si="99"/>
        <v>2</v>
      </c>
      <c r="AH250" s="178">
        <f t="shared" si="94"/>
        <v>8</v>
      </c>
      <c r="AI250" s="227">
        <f t="shared" si="95"/>
        <v>2.0692607935017091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45528</v>
      </c>
      <c r="B251" s="1139">
        <f>IF(t&gt;Tmaj,'2023'!Wh/'2023'!Env_an*'2024'!Env_an,0.001*'[10]mon-tableau (1)'!$B$232)</f>
        <v>33.008998265608867</v>
      </c>
      <c r="C251" s="866"/>
      <c r="D251" s="395">
        <f t="shared" si="77"/>
        <v>34.755126444313539</v>
      </c>
      <c r="E251" s="387">
        <f t="shared" si="100"/>
        <v>36.966720574183938</v>
      </c>
      <c r="F251" s="387">
        <f t="shared" si="78"/>
        <v>37.224490588998457</v>
      </c>
      <c r="G251" s="110">
        <f t="shared" si="101"/>
        <v>0.68221233987470342</v>
      </c>
      <c r="H251" s="414" t="b">
        <f>Wh_hp&gt;='2023'!Maxi_hp</f>
        <v>0</v>
      </c>
      <c r="I251" s="392">
        <f>IF(H251,Wh_hp,'2023'!Maxi_hp)</f>
        <v>49.230030482850516</v>
      </c>
      <c r="J251" s="85">
        <f>IF(H251,An,'2023'!An_max)</f>
        <v>2021</v>
      </c>
      <c r="K251" s="199">
        <f t="shared" si="79"/>
        <v>45528</v>
      </c>
      <c r="L251" s="147">
        <f>IF(t&lt;Tvie,1-EXP((T0-t)*PertePVj)+'2023'!Pspv,1-EXP((T0-t)*PertePVj)+Pspv)</f>
        <v>5.0240881197840315E-2</v>
      </c>
      <c r="M251" s="870"/>
      <c r="N251" s="870"/>
      <c r="O251" s="48">
        <f>IF(t&lt;Tnet,'2023'!Resal+('2023'!Salim-'2023'!Resal)*(1-EXP(('2023'!Tnet-t)/('2023'!Tau_j))),Resal+(Salim-Resal)*(1-EXP((Tnet-t)/(Tau_j))))*Salcycl</f>
        <v>5.982662501620143E-2</v>
      </c>
      <c r="P251" s="171">
        <f>(INDEX(Models!$BJ251:$BT251,,T251)*(1-R251)+INDEX(Models!$BJ251:$BT251,,T251+1)*R251-ERP_i)*Q251*Ramure*Pc/MaxiM</f>
        <v>1.2554510106860635E-2</v>
      </c>
      <c r="Q251" s="307">
        <f t="shared" si="80"/>
        <v>1</v>
      </c>
      <c r="R251" s="179">
        <f t="shared" si="81"/>
        <v>7.0446544736859629E-2</v>
      </c>
      <c r="S251" s="837">
        <f t="shared" si="82"/>
        <v>2</v>
      </c>
      <c r="T251" s="178">
        <f t="shared" si="83"/>
        <v>8</v>
      </c>
      <c r="U251" s="253">
        <f t="shared" si="84"/>
        <v>2.0704465447368596</v>
      </c>
      <c r="V251" s="385">
        <f t="shared" si="85"/>
        <v>48.110929019747338</v>
      </c>
      <c r="W251" s="404">
        <f t="shared" si="86"/>
        <v>33.008998265608867</v>
      </c>
      <c r="X251" s="157">
        <f t="shared" si="87"/>
        <v>45528</v>
      </c>
      <c r="Y251" s="387">
        <f t="shared" si="88"/>
        <v>30.704228479697807</v>
      </c>
      <c r="Z251" s="387">
        <f t="shared" si="89"/>
        <v>32.328437676304823</v>
      </c>
      <c r="AA251" s="388">
        <f t="shared" si="90"/>
        <v>36.966720574183938</v>
      </c>
      <c r="AB251" s="199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0.12547185213714365</v>
      </c>
      <c r="AD251" s="233">
        <f>(INDEX(Models!$BJ251:$BT251,,AH251)*(1-AF251)+INDEX(Models!$BJ251:$BT251,,AH251+1)*AF251-ERP_i)*AE251*Ramure*Pc/MaxiM</f>
        <v>1.2554510106860635E-2</v>
      </c>
      <c r="AE251" s="307">
        <f t="shared" si="92"/>
        <v>1</v>
      </c>
      <c r="AF251" s="179">
        <f t="shared" si="93"/>
        <v>7.0446544736859629E-2</v>
      </c>
      <c r="AG251" s="837">
        <f t="shared" si="99"/>
        <v>2</v>
      </c>
      <c r="AH251" s="178">
        <f t="shared" si="94"/>
        <v>8</v>
      </c>
      <c r="AI251" s="227">
        <f t="shared" si="95"/>
        <v>2.0704465447368596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45529</v>
      </c>
      <c r="B252" s="1139">
        <f>IF(t&gt;Tmaj,'2023'!Wh/'2023'!Env_an*'2024'!Env_an,0.001*'[10]mon-tableau (1)'!$B$233)</f>
        <v>39.970955880286645</v>
      </c>
      <c r="C252" s="866"/>
      <c r="D252" s="395">
        <f t="shared" si="77"/>
        <v>42.086340939672908</v>
      </c>
      <c r="E252" s="387">
        <f t="shared" si="100"/>
        <v>44.775879927032989</v>
      </c>
      <c r="F252" s="387">
        <f t="shared" si="78"/>
        <v>45.222243672684336</v>
      </c>
      <c r="G252" s="110">
        <f t="shared" si="101"/>
        <v>0.83324200698465889</v>
      </c>
      <c r="H252" s="414" t="b">
        <f>Wh_hp&gt;='2023'!Maxi_hp</f>
        <v>0</v>
      </c>
      <c r="I252" s="392">
        <f>IF(H252,Wh_hp,'2023'!Maxi_hp)</f>
        <v>51.409197401417927</v>
      </c>
      <c r="J252" s="85">
        <f>IF(H252,An,'2023'!An_max)</f>
        <v>2021</v>
      </c>
      <c r="K252" s="199">
        <f t="shared" si="79"/>
        <v>45529</v>
      </c>
      <c r="L252" s="147">
        <f>IF(t&lt;Tvie,1-EXP((T0-t)*PertePVj)+'2023'!Pspv,1-EXP((T0-t)*PertePVj)+Pspv)</f>
        <v>5.0262983480043655E-2</v>
      </c>
      <c r="M252" s="870"/>
      <c r="N252" s="870"/>
      <c r="O252" s="48">
        <f>IF(t&lt;Tnet,'2023'!Resal+('2023'!Salim-'2023'!Resal)*(1-EXP(('2023'!Tnet-t)/('2023'!Tau_j))),Resal+(Salim-Resal)*(1-EXP((Tnet-t)/(Tau_j))))*Salcycl</f>
        <v>6.0066691972172591E-2</v>
      </c>
      <c r="P252" s="171">
        <f>(INDEX(Models!$BJ252:$BT252,,T252)*(1-R252)+INDEX(Models!$BJ252:$BT252,,T252+1)*R252-ERP_i)*Q252*Ramure*Pc/MaxiM</f>
        <v>1.2895429274141439E-2</v>
      </c>
      <c r="Q252" s="307">
        <f t="shared" si="80"/>
        <v>1</v>
      </c>
      <c r="R252" s="179">
        <f t="shared" si="81"/>
        <v>7.1588505138824754E-2</v>
      </c>
      <c r="S252" s="837">
        <f t="shared" si="82"/>
        <v>2</v>
      </c>
      <c r="T252" s="178">
        <f t="shared" si="83"/>
        <v>8</v>
      </c>
      <c r="U252" s="253">
        <f t="shared" si="84"/>
        <v>2.0715885051388248</v>
      </c>
      <c r="V252" s="385">
        <f t="shared" si="85"/>
        <v>47.823847998299478</v>
      </c>
      <c r="W252" s="404">
        <f t="shared" si="86"/>
        <v>39.970955880286645</v>
      </c>
      <c r="X252" s="157">
        <f t="shared" si="87"/>
        <v>45529</v>
      </c>
      <c r="Y252" s="387">
        <f t="shared" si="88"/>
        <v>37.185122680314123</v>
      </c>
      <c r="Z252" s="387">
        <f t="shared" si="89"/>
        <v>39.153072938620973</v>
      </c>
      <c r="AA252" s="388">
        <f t="shared" si="90"/>
        <v>44.775879927032989</v>
      </c>
      <c r="AB252" s="199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0.12557669436256685</v>
      </c>
      <c r="AD252" s="233">
        <f>(INDEX(Models!$BJ252:$BT252,,AH252)*(1-AF252)+INDEX(Models!$BJ252:$BT252,,AH252+1)*AF252-ERP_i)*AE252*Ramure*Pc/MaxiM</f>
        <v>1.2895429274141439E-2</v>
      </c>
      <c r="AE252" s="307">
        <f t="shared" si="92"/>
        <v>1</v>
      </c>
      <c r="AF252" s="179">
        <f t="shared" si="93"/>
        <v>7.1588505138824754E-2</v>
      </c>
      <c r="AG252" s="837">
        <f t="shared" si="99"/>
        <v>2</v>
      </c>
      <c r="AH252" s="178">
        <f t="shared" si="94"/>
        <v>8</v>
      </c>
      <c r="AI252" s="227">
        <f t="shared" si="95"/>
        <v>2.0715885051388248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45530</v>
      </c>
      <c r="B253" s="1139">
        <f>IF(t&gt;Tmaj,'2023'!Wh/'2023'!Env_an*'2024'!Env_an,0.001*'[10]mon-tableau (1)'!$B$234)</f>
        <v>46.4924663229015</v>
      </c>
      <c r="C253" s="866"/>
      <c r="D253" s="395">
        <f t="shared" si="77"/>
        <v>48.954128866173448</v>
      </c>
      <c r="E253" s="387">
        <f t="shared" si="100"/>
        <v>52.095806251682497</v>
      </c>
      <c r="F253" s="387">
        <f t="shared" si="78"/>
        <v>52.772048251891917</v>
      </c>
      <c r="G253" s="110">
        <f t="shared" si="101"/>
        <v>0.97771642047629581</v>
      </c>
      <c r="H253" s="414" t="b">
        <f>Wh_hp&gt;='2023'!Maxi_hp</f>
        <v>0</v>
      </c>
      <c r="I253" s="392">
        <f>IF(H253,Wh_hp,'2023'!Maxi_hp)</f>
        <v>52.781666805057725</v>
      </c>
      <c r="J253" s="85">
        <f>IF(H253,An,'2023'!An_max)</f>
        <v>2022</v>
      </c>
      <c r="K253" s="199">
        <f t="shared" si="79"/>
        <v>45530</v>
      </c>
      <c r="L253" s="147">
        <f>IF(t&lt;Tvie,1-EXP((T0-t)*PertePVj)+'2023'!Pspv,1-EXP((T0-t)*PertePVj)+Pspv)</f>
        <v>5.0285085247894545E-2</v>
      </c>
      <c r="M253" s="870"/>
      <c r="N253" s="870"/>
      <c r="O253" s="48">
        <f>IF(t&lt;Tnet,'2023'!Resal+('2023'!Salim-'2023'!Resal)*(1-EXP(('2023'!Tnet-t)/('2023'!Tau_j))),Resal+(Salim-Resal)*(1-EXP((Tnet-t)/(Tau_j))))*Salcycl</f>
        <v>6.0305763775516712E-2</v>
      </c>
      <c r="P253" s="171">
        <f>(INDEX(Models!$BJ253:$BT253,,T253)*(1-R253)+INDEX(Models!$BJ253:$BT253,,T253+1)*R253-ERP_i)*Q253*Ramure*Pc/MaxiM</f>
        <v>1.3227746070486957E-2</v>
      </c>
      <c r="Q253" s="307">
        <f t="shared" si="80"/>
        <v>1</v>
      </c>
      <c r="R253" s="179">
        <f t="shared" si="81"/>
        <v>7.2688144708171087E-2</v>
      </c>
      <c r="S253" s="837">
        <f t="shared" si="82"/>
        <v>2</v>
      </c>
      <c r="T253" s="178">
        <f t="shared" si="83"/>
        <v>8</v>
      </c>
      <c r="U253" s="253">
        <f t="shared" si="84"/>
        <v>2.0726881447081711</v>
      </c>
      <c r="V253" s="385">
        <f t="shared" si="85"/>
        <v>47.532186525572818</v>
      </c>
      <c r="W253" s="404">
        <f t="shared" si="86"/>
        <v>46.4924663229015</v>
      </c>
      <c r="X253" s="157">
        <f t="shared" si="87"/>
        <v>45530</v>
      </c>
      <c r="Y253" s="387">
        <f t="shared" si="88"/>
        <v>43.257983223998565</v>
      </c>
      <c r="Z253" s="387">
        <f t="shared" si="89"/>
        <v>45.548387786759946</v>
      </c>
      <c r="AA253" s="388">
        <f t="shared" si="90"/>
        <v>52.095806251682497</v>
      </c>
      <c r="AB253" s="199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0.12568033659544509</v>
      </c>
      <c r="AD253" s="233">
        <f>(INDEX(Models!$BJ253:$BT253,,AH253)*(1-AF253)+INDEX(Models!$BJ253:$BT253,,AH253+1)*AF253-ERP_i)*AE253*Ramure*Pc/MaxiM</f>
        <v>1.3227746070486957E-2</v>
      </c>
      <c r="AE253" s="307">
        <f t="shared" si="92"/>
        <v>1</v>
      </c>
      <c r="AF253" s="179">
        <f t="shared" si="93"/>
        <v>7.2688144708171087E-2</v>
      </c>
      <c r="AG253" s="837">
        <f t="shared" si="99"/>
        <v>2</v>
      </c>
      <c r="AH253" s="178">
        <f t="shared" si="94"/>
        <v>8</v>
      </c>
      <c r="AI253" s="227">
        <f t="shared" si="95"/>
        <v>2.0726881447081711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45531</v>
      </c>
      <c r="B254" s="1139">
        <f>IF(t&gt;Tmaj,'2023'!Wh/'2023'!Env_an*'2024'!Env_an,0.001*'[10]mon-tableau (1)'!$B$235)</f>
        <v>44.827137079976787</v>
      </c>
      <c r="C254" s="866"/>
      <c r="D254" s="395">
        <f t="shared" si="77"/>
        <v>47.201722960119149</v>
      </c>
      <c r="E254" s="387">
        <f t="shared" si="100"/>
        <v>50.243666380593496</v>
      </c>
      <c r="F254" s="387">
        <f t="shared" si="78"/>
        <v>50.882787161317758</v>
      </c>
      <c r="G254" s="110">
        <f t="shared" si="101"/>
        <v>0.94805646891656048</v>
      </c>
      <c r="H254" s="414" t="b">
        <f>Wh_hp&gt;='2023'!Maxi_hp</f>
        <v>0</v>
      </c>
      <c r="I254" s="392">
        <f>IF(H254,Wh_hp,'2023'!Maxi_hp)</f>
        <v>52.903282092675809</v>
      </c>
      <c r="J254" s="85">
        <f>IF(H254,An,'2023'!An_max)</f>
        <v>2021</v>
      </c>
      <c r="K254" s="199">
        <f t="shared" si="79"/>
        <v>45531</v>
      </c>
      <c r="L254" s="147">
        <f>IF(t&lt;Tvie,1-EXP((T0-t)*PertePVj)+'2023'!Pspv,1-EXP((T0-t)*PertePVj)+Pspv)</f>
        <v>5.0307186501404977E-2</v>
      </c>
      <c r="M254" s="870"/>
      <c r="N254" s="870"/>
      <c r="O254" s="48">
        <f>IF(t&lt;Tnet,'2023'!Resal+('2023'!Salim-'2023'!Resal)*(1-EXP(('2023'!Tnet-t)/('2023'!Tau_j))),Resal+(Salim-Resal)*(1-EXP((Tnet-t)/(Tau_j))))*Salcycl</f>
        <v>6.0543818546834556E-2</v>
      </c>
      <c r="P254" s="171">
        <f>(INDEX(Models!$BJ254:$BT254,,T254)*(1-R254)+INDEX(Models!$BJ254:$BT254,,T254+1)*R254-ERP_i)*Q254*Ramure*Pc/MaxiM</f>
        <v>1.3547590051976919E-2</v>
      </c>
      <c r="Q254" s="307">
        <f t="shared" si="80"/>
        <v>1</v>
      </c>
      <c r="R254" s="179">
        <f t="shared" si="81"/>
        <v>7.3746895341754382E-2</v>
      </c>
      <c r="S254" s="837">
        <f t="shared" si="82"/>
        <v>2</v>
      </c>
      <c r="T254" s="178">
        <f t="shared" si="83"/>
        <v>8</v>
      </c>
      <c r="U254" s="253">
        <f t="shared" si="84"/>
        <v>2.0737468953417544</v>
      </c>
      <c r="V254" s="385">
        <f t="shared" si="85"/>
        <v>47.23593371173655</v>
      </c>
      <c r="W254" s="404">
        <f t="shared" si="86"/>
        <v>44.827137079976787</v>
      </c>
      <c r="X254" s="157">
        <f t="shared" si="87"/>
        <v>45531</v>
      </c>
      <c r="Y254" s="387">
        <f t="shared" si="88"/>
        <v>41.714193501429534</v>
      </c>
      <c r="Z254" s="387">
        <f t="shared" si="89"/>
        <v>43.923880341641912</v>
      </c>
      <c r="AA254" s="388">
        <f t="shared" si="90"/>
        <v>50.243666380593496</v>
      </c>
      <c r="AB254" s="199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0.1257827402777395</v>
      </c>
      <c r="AD254" s="233">
        <f>(INDEX(Models!$BJ254:$BT254,,AH254)*(1-AF254)+INDEX(Models!$BJ254:$BT254,,AH254+1)*AF254-ERP_i)*AE254*Ramure*Pc/MaxiM</f>
        <v>1.3547590051976919E-2</v>
      </c>
      <c r="AE254" s="307">
        <f t="shared" si="92"/>
        <v>1</v>
      </c>
      <c r="AF254" s="179">
        <f t="shared" si="93"/>
        <v>7.3746895341754382E-2</v>
      </c>
      <c r="AG254" s="837">
        <f t="shared" si="99"/>
        <v>2</v>
      </c>
      <c r="AH254" s="178">
        <f t="shared" si="94"/>
        <v>8</v>
      </c>
      <c r="AI254" s="227">
        <f t="shared" si="95"/>
        <v>2.0737468953417544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45532</v>
      </c>
      <c r="B255" s="1139">
        <f>IF(t&gt;Tmaj,'2023'!Wh/'2023'!Env_an*'2024'!Env_an,0.001*'[10]mon-tableau (1)'!$B$236)</f>
        <v>31.491136061773982</v>
      </c>
      <c r="C255" s="866"/>
      <c r="D255" s="395">
        <f t="shared" si="77"/>
        <v>33.160058153495847</v>
      </c>
      <c r="E255" s="387">
        <f t="shared" si="100"/>
        <v>35.305985373521921</v>
      </c>
      <c r="F255" s="387">
        <f t="shared" si="78"/>
        <v>35.567254188553946</v>
      </c>
      <c r="G255" s="110">
        <f t="shared" si="101"/>
        <v>0.66655396880034434</v>
      </c>
      <c r="H255" s="414" t="b">
        <f>Wh_hp&gt;='2023'!Maxi_hp</f>
        <v>0</v>
      </c>
      <c r="I255" s="392">
        <f>IF(H255,Wh_hp,'2023'!Maxi_hp)</f>
        <v>52.164540919966655</v>
      </c>
      <c r="J255" s="85">
        <f>IF(H255,An,'2023'!An_max)</f>
        <v>2021</v>
      </c>
      <c r="K255" s="199">
        <f t="shared" si="79"/>
        <v>45532</v>
      </c>
      <c r="L255" s="147">
        <f>IF(t&lt;Tvie,1-EXP((T0-t)*PertePVj)+'2023'!Pspv,1-EXP((T0-t)*PertePVj)+Pspv)</f>
        <v>5.0329287240587051E-2</v>
      </c>
      <c r="M255" s="870"/>
      <c r="N255" s="870"/>
      <c r="O255" s="48">
        <f>IF(t&lt;Tnet,'2023'!Resal+('2023'!Salim-'2023'!Resal)*(1-EXP(('2023'!Tnet-t)/('2023'!Tau_j))),Resal+(Salim-Resal)*(1-EXP((Tnet-t)/(Tau_j))))*Salcycl</f>
        <v>6.0780833542049675E-2</v>
      </c>
      <c r="P255" s="171">
        <f>(INDEX(Models!$BJ255:$BT255,,T255)*(1-R255)+INDEX(Models!$BJ255:$BT255,,T255+1)*R255-ERP_i)*Q255*Ramure*Pc/MaxiM</f>
        <v>1.3861505760798205E-2</v>
      </c>
      <c r="Q255" s="307">
        <f t="shared" si="80"/>
        <v>1</v>
      </c>
      <c r="R255" s="179">
        <f t="shared" si="81"/>
        <v>7.4766150924967079E-2</v>
      </c>
      <c r="S255" s="837">
        <f t="shared" si="82"/>
        <v>2</v>
      </c>
      <c r="T255" s="178">
        <f t="shared" si="83"/>
        <v>8</v>
      </c>
      <c r="U255" s="253">
        <f t="shared" si="84"/>
        <v>2.0747661509249671</v>
      </c>
      <c r="V255" s="385">
        <f t="shared" si="85"/>
        <v>46.934578653591153</v>
      </c>
      <c r="W255" s="404">
        <f t="shared" si="86"/>
        <v>31.491136061773982</v>
      </c>
      <c r="X255" s="157">
        <f t="shared" si="87"/>
        <v>45532</v>
      </c>
      <c r="Y255" s="387">
        <f t="shared" si="88"/>
        <v>29.308292578507334</v>
      </c>
      <c r="Z255" s="387">
        <f t="shared" si="89"/>
        <v>30.861531460044318</v>
      </c>
      <c r="AA255" s="388">
        <f t="shared" si="90"/>
        <v>35.305985373521921</v>
      </c>
      <c r="AB255" s="199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0.12588386548221836</v>
      </c>
      <c r="AD255" s="233">
        <f>(INDEX(Models!$BJ255:$BT255,,AH255)*(1-AF255)+INDEX(Models!$BJ255:$BT255,,AH255+1)*AF255-ERP_i)*AE255*Ramure*Pc/MaxiM</f>
        <v>1.3861505760798205E-2</v>
      </c>
      <c r="AE255" s="307">
        <f t="shared" si="92"/>
        <v>1</v>
      </c>
      <c r="AF255" s="179">
        <f t="shared" si="93"/>
        <v>7.4766150924967079E-2</v>
      </c>
      <c r="AG255" s="837">
        <f t="shared" si="99"/>
        <v>2</v>
      </c>
      <c r="AH255" s="178">
        <f t="shared" si="94"/>
        <v>8</v>
      </c>
      <c r="AI255" s="227">
        <f t="shared" si="95"/>
        <v>2.0747661509249671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45533</v>
      </c>
      <c r="B256" s="1139">
        <f>IF(t&gt;Tmaj,'2023'!Wh/'2023'!Env_an*'2024'!Env_an,0.001*'[10]mon-tableau (1)'!$B$237)</f>
        <v>43.836642520702924</v>
      </c>
      <c r="C256" s="866"/>
      <c r="D256" s="395">
        <f t="shared" si="77"/>
        <v>46.160908300287943</v>
      </c>
      <c r="E256" s="387">
        <f t="shared" si="100"/>
        <v>49.160525521952728</v>
      </c>
      <c r="F256" s="387">
        <f t="shared" si="78"/>
        <v>49.805901886789279</v>
      </c>
      <c r="G256" s="110">
        <f t="shared" si="101"/>
        <v>0.93898296644433232</v>
      </c>
      <c r="H256" s="414" t="b">
        <f>Wh_hp&gt;='2023'!Maxi_hp</f>
        <v>0</v>
      </c>
      <c r="I256" s="392">
        <f>IF(H256,Wh_hp,'2023'!Maxi_hp)</f>
        <v>50.422665541987861</v>
      </c>
      <c r="J256" s="85">
        <f>IF(H256,An,'2023'!An_max)</f>
        <v>2021</v>
      </c>
      <c r="K256" s="199">
        <f t="shared" si="79"/>
        <v>45533</v>
      </c>
      <c r="L256" s="147">
        <f>IF(t&lt;Tvie,1-EXP((T0-t)*PertePVj)+'2023'!Pspv,1-EXP((T0-t)*PertePVj)+Pspv)</f>
        <v>5.0351387465452535E-2</v>
      </c>
      <c r="M256" s="870"/>
      <c r="N256" s="870"/>
      <c r="O256" s="48">
        <f>IF(t&lt;Tnet,'2023'!Resal+('2023'!Salim-'2023'!Resal)*(1-EXP(('2023'!Tnet-t)/('2023'!Tau_j))),Resal+(Salim-Resal)*(1-EXP((Tnet-t)/(Tau_j))))*Salcycl</f>
        <v>6.1016785109941435E-2</v>
      </c>
      <c r="P256" s="171">
        <f>(INDEX(Models!$BJ256:$BT256,,T256)*(1-R256)+INDEX(Models!$BJ256:$BT256,,T256+1)*R256-ERP_i)*Q256*Ramure*Pc/MaxiM</f>
        <v>1.4169589239655375E-2</v>
      </c>
      <c r="Q256" s="307">
        <f t="shared" si="80"/>
        <v>1</v>
      </c>
      <c r="R256" s="179">
        <f t="shared" si="81"/>
        <v>7.5747267510611671E-2</v>
      </c>
      <c r="S256" s="837">
        <f t="shared" si="82"/>
        <v>2</v>
      </c>
      <c r="T256" s="178">
        <f t="shared" si="83"/>
        <v>8</v>
      </c>
      <c r="U256" s="253">
        <f t="shared" si="84"/>
        <v>2.0757472675106117</v>
      </c>
      <c r="V256" s="385">
        <f t="shared" si="85"/>
        <v>46.627923231622049</v>
      </c>
      <c r="W256" s="404">
        <f t="shared" si="86"/>
        <v>43.836642520702924</v>
      </c>
      <c r="X256" s="157">
        <f t="shared" si="87"/>
        <v>45533</v>
      </c>
      <c r="Y256" s="387">
        <f t="shared" si="88"/>
        <v>40.803648852289022</v>
      </c>
      <c r="Z256" s="387">
        <f t="shared" si="89"/>
        <v>42.967102056187777</v>
      </c>
      <c r="AA256" s="388">
        <f t="shared" si="90"/>
        <v>49.160525521952728</v>
      </c>
      <c r="AB256" s="199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0.12598367084174614</v>
      </c>
      <c r="AD256" s="233">
        <f>(INDEX(Models!$BJ256:$BT256,,AH256)*(1-AF256)+INDEX(Models!$BJ256:$BT256,,AH256+1)*AF256-ERP_i)*AE256*Ramure*Pc/MaxiM</f>
        <v>1.4169589239655375E-2</v>
      </c>
      <c r="AE256" s="307">
        <f t="shared" si="92"/>
        <v>1</v>
      </c>
      <c r="AF256" s="179">
        <f t="shared" si="93"/>
        <v>7.5747267510611671E-2</v>
      </c>
      <c r="AG256" s="837">
        <f t="shared" si="99"/>
        <v>2</v>
      </c>
      <c r="AH256" s="178">
        <f t="shared" si="94"/>
        <v>8</v>
      </c>
      <c r="AI256" s="227">
        <f t="shared" si="95"/>
        <v>2.0757472675106117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45534</v>
      </c>
      <c r="B257" s="1139">
        <f>IF(t&gt;Tmaj,'2023'!Wh/'2023'!Env_an*'2024'!Env_an,0.001*'[10]mon-tableau (1)'!$B$238)</f>
        <v>20.580388676342281</v>
      </c>
      <c r="C257" s="866"/>
      <c r="D257" s="395">
        <f t="shared" si="77"/>
        <v>21.672087287391122</v>
      </c>
      <c r="E257" s="387">
        <f t="shared" si="100"/>
        <v>23.086152168493722</v>
      </c>
      <c r="F257" s="387">
        <f t="shared" si="78"/>
        <v>23.155254623471837</v>
      </c>
      <c r="G257" s="110">
        <f t="shared" si="101"/>
        <v>0.4392296907994076</v>
      </c>
      <c r="H257" s="414" t="b">
        <f>Wh_hp&gt;='2023'!Maxi_hp</f>
        <v>0</v>
      </c>
      <c r="I257" s="392">
        <f>IF(H257,Wh_hp,'2023'!Maxi_hp)</f>
        <v>50.324433414295505</v>
      </c>
      <c r="J257" s="85">
        <f>IF(H257,An,'2023'!An_max)</f>
        <v>2021</v>
      </c>
      <c r="K257" s="199">
        <f t="shared" si="79"/>
        <v>45534</v>
      </c>
      <c r="L257" s="147">
        <f>IF(t&lt;Tvie,1-EXP((T0-t)*PertePVj)+'2023'!Pspv,1-EXP((T0-t)*PertePVj)+Pspv)</f>
        <v>5.0373487176013532E-2</v>
      </c>
      <c r="M257" s="870"/>
      <c r="N257" s="870"/>
      <c r="O257" s="48">
        <f>IF(t&lt;Tnet,'2023'!Resal+('2023'!Salim-'2023'!Resal)*(1-EXP(('2023'!Tnet-t)/('2023'!Tau_j))),Resal+(Salim-Resal)*(1-EXP((Tnet-t)/(Tau_j))))*Salcycl</f>
        <v>6.125164864123224E-2</v>
      </c>
      <c r="P257" s="171">
        <f>(INDEX(Models!$BJ257:$BT257,,T257)*(1-R257)+INDEX(Models!$BJ257:$BT257,,T257+1)*R257-ERP_i)*Q257*Ramure*Pc/MaxiM</f>
        <v>1.4471938121222046E-2</v>
      </c>
      <c r="Q257" s="307">
        <f t="shared" si="80"/>
        <v>1</v>
      </c>
      <c r="R257" s="179">
        <f t="shared" si="81"/>
        <v>7.6691563576192223E-2</v>
      </c>
      <c r="S257" s="837">
        <f t="shared" si="82"/>
        <v>2</v>
      </c>
      <c r="T257" s="178">
        <f t="shared" si="83"/>
        <v>8</v>
      </c>
      <c r="U257" s="253">
        <f t="shared" si="84"/>
        <v>2.0766915635761922</v>
      </c>
      <c r="V257" s="385">
        <f t="shared" si="85"/>
        <v>46.315769598830016</v>
      </c>
      <c r="W257" s="404">
        <f t="shared" si="86"/>
        <v>20.580388676342281</v>
      </c>
      <c r="X257" s="157">
        <f t="shared" si="87"/>
        <v>45534</v>
      </c>
      <c r="Y257" s="387">
        <f t="shared" si="88"/>
        <v>19.159095992148494</v>
      </c>
      <c r="Z257" s="387">
        <f t="shared" si="89"/>
        <v>20.175401311378128</v>
      </c>
      <c r="AA257" s="388">
        <f t="shared" si="90"/>
        <v>23.086152168493722</v>
      </c>
      <c r="AB257" s="199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0.12608211346228462</v>
      </c>
      <c r="AD257" s="233">
        <f>(INDEX(Models!$BJ257:$BT257,,AH257)*(1-AF257)+INDEX(Models!$BJ257:$BT257,,AH257+1)*AF257-ERP_i)*AE257*Ramure*Pc/MaxiM</f>
        <v>1.4471938121222046E-2</v>
      </c>
      <c r="AE257" s="307">
        <f t="shared" si="92"/>
        <v>1</v>
      </c>
      <c r="AF257" s="179">
        <f t="shared" si="93"/>
        <v>7.6691563576192223E-2</v>
      </c>
      <c r="AG257" s="837">
        <f t="shared" si="99"/>
        <v>2</v>
      </c>
      <c r="AH257" s="178">
        <f t="shared" si="94"/>
        <v>8</v>
      </c>
      <c r="AI257" s="227">
        <f t="shared" si="95"/>
        <v>2.0766915635761922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45535</v>
      </c>
      <c r="B258" s="1139">
        <f>IF(t&gt;Tmaj,'2023'!Wh/'2023'!Env_an*'2024'!Env_an,0.001*'[11]mon-tableau (3)'!$B$202)</f>
        <v>41.457949858631203</v>
      </c>
      <c r="C258" s="866"/>
      <c r="D258" s="395">
        <f t="shared" si="77"/>
        <v>43.658126756437277</v>
      </c>
      <c r="E258" s="387">
        <f t="shared" si="100"/>
        <v>46.518324474807976</v>
      </c>
      <c r="F258" s="387">
        <f t="shared" si="78"/>
        <v>47.116052040820819</v>
      </c>
      <c r="G258" s="110">
        <f t="shared" si="101"/>
        <v>0.89939957442098839</v>
      </c>
      <c r="H258" s="414" t="b">
        <f>Wh_hp&gt;='2023'!Maxi_hp</f>
        <v>0</v>
      </c>
      <c r="I258" s="392">
        <f>IF(H258,Wh_hp,'2023'!Maxi_hp)</f>
        <v>47.157889501262005</v>
      </c>
      <c r="J258" s="85">
        <f>IF(H258,An,'2023'!An_max)</f>
        <v>2022</v>
      </c>
      <c r="K258" s="199">
        <f t="shared" si="79"/>
        <v>45535</v>
      </c>
      <c r="L258" s="147">
        <f>IF(t&lt;Tvie,1-EXP((T0-t)*PertePVj)+'2023'!Pspv,1-EXP((T0-t)*PertePVj)+Pspv)</f>
        <v>5.0395586372282031E-2</v>
      </c>
      <c r="M258" s="870"/>
      <c r="N258" s="870"/>
      <c r="O258" s="48">
        <f>IF(t&lt;Tnet,'2023'!Resal+('2023'!Salim-'2023'!Resal)*(1-EXP(('2023'!Tnet-t)/('2023'!Tau_j))),Resal+(Salim-Resal)*(1-EXP((Tnet-t)/(Tau_j))))*Salcycl</f>
        <v>6.1485398510422264E-2</v>
      </c>
      <c r="P258" s="171">
        <f>(INDEX(Models!$BJ258:$BT258,,T258)*(1-R258)+INDEX(Models!$BJ258:$BT258,,T258+1)*R258-ERP_i)*Q258*Ramure*Pc/MaxiM</f>
        <v>1.4768651597728456E-2</v>
      </c>
      <c r="Q258" s="307">
        <f t="shared" si="80"/>
        <v>1</v>
      </c>
      <c r="R258" s="179">
        <f t="shared" si="81"/>
        <v>7.7600320351861818E-2</v>
      </c>
      <c r="S258" s="837">
        <f t="shared" si="82"/>
        <v>2</v>
      </c>
      <c r="T258" s="178">
        <f t="shared" si="83"/>
        <v>8</v>
      </c>
      <c r="U258" s="253">
        <f t="shared" si="84"/>
        <v>2.0776003203518618</v>
      </c>
      <c r="V258" s="385">
        <f t="shared" si="85"/>
        <v>45.997920179043966</v>
      </c>
      <c r="W258" s="404">
        <f t="shared" si="86"/>
        <v>41.457949858631203</v>
      </c>
      <c r="X258" s="157">
        <f t="shared" si="87"/>
        <v>45535</v>
      </c>
      <c r="Y258" s="387">
        <f t="shared" si="88"/>
        <v>38.60016772893038</v>
      </c>
      <c r="Z258" s="387">
        <f t="shared" si="89"/>
        <v>40.64868188793313</v>
      </c>
      <c r="AA258" s="388">
        <f t="shared" si="90"/>
        <v>46.518324474807976</v>
      </c>
      <c r="AB258" s="199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0.12617914882238629</v>
      </c>
      <c r="AD258" s="233">
        <f>(INDEX(Models!$BJ258:$BT258,,AH258)*(1-AF258)+INDEX(Models!$BJ258:$BT258,,AH258+1)*AF258-ERP_i)*AE258*Ramure*Pc/MaxiM</f>
        <v>1.4768651597728456E-2</v>
      </c>
      <c r="AE258" s="307">
        <f t="shared" si="92"/>
        <v>1</v>
      </c>
      <c r="AF258" s="179">
        <f t="shared" si="93"/>
        <v>7.7600320351861818E-2</v>
      </c>
      <c r="AG258" s="837">
        <f t="shared" si="99"/>
        <v>2</v>
      </c>
      <c r="AH258" s="178">
        <f t="shared" si="94"/>
        <v>8</v>
      </c>
      <c r="AI258" s="227">
        <f t="shared" si="95"/>
        <v>2.0776003203518618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45536</v>
      </c>
      <c r="B259" s="1139">
        <f>IF(t&gt;Tmaj,'2023'!Wh/'2023'!Env_an*'2024'!Env_an,0.001*'[11]mon-tableau (3)'!$B$203)</f>
        <v>36.027653699471109</v>
      </c>
      <c r="C259" s="866"/>
      <c r="D259" s="395">
        <f t="shared" si="77"/>
        <v>37.940527253322045</v>
      </c>
      <c r="E259" s="387">
        <f t="shared" si="100"/>
        <v>40.436166927732017</v>
      </c>
      <c r="F259" s="387">
        <f t="shared" si="78"/>
        <v>40.865912850646744</v>
      </c>
      <c r="G259" s="110">
        <f t="shared" si="101"/>
        <v>0.78517473479723765</v>
      </c>
      <c r="H259" s="414" t="b">
        <f>Wh_hp&gt;='2023'!Maxi_hp</f>
        <v>0</v>
      </c>
      <c r="I259" s="392">
        <f>IF(H259,Wh_hp,'2023'!Maxi_hp)</f>
        <v>49.191044286339199</v>
      </c>
      <c r="J259" s="85">
        <f>IF(H259,An,'2023'!An_max)</f>
        <v>2019</v>
      </c>
      <c r="K259" s="199">
        <f t="shared" si="79"/>
        <v>45536</v>
      </c>
      <c r="L259" s="147">
        <f>IF(t&lt;Tvie,1-EXP((T0-t)*PertePVj)+'2023'!Pspv,1-EXP((T0-t)*PertePVj)+Pspv)</f>
        <v>5.0417685054269912E-2</v>
      </c>
      <c r="M259" s="870"/>
      <c r="N259" s="870"/>
      <c r="O259" s="48">
        <f>IF(t&lt;Tnet,'2023'!Resal+('2023'!Salim-'2023'!Resal)*(1-EXP(('2023'!Tnet-t)/('2023'!Tau_j))),Resal+(Salim-Resal)*(1-EXP((Tnet-t)/(Tau_j))))*Salcycl</f>
        <v>6.1718008011743763E-2</v>
      </c>
      <c r="P259" s="171">
        <f>(INDEX(Models!$BJ259:$BT259,,T259)*(1-R259)+INDEX(Models!$BJ259:$BT259,,T259+1)*R259-ERP_i)*Q259*Ramure*Pc/MaxiM</f>
        <v>1.5059830398861164E-2</v>
      </c>
      <c r="Q259" s="307">
        <f t="shared" si="80"/>
        <v>1</v>
      </c>
      <c r="R259" s="179">
        <f t="shared" si="81"/>
        <v>7.8474782211751304E-2</v>
      </c>
      <c r="S259" s="837">
        <f t="shared" si="82"/>
        <v>2</v>
      </c>
      <c r="T259" s="178">
        <f t="shared" si="83"/>
        <v>8</v>
      </c>
      <c r="U259" s="253">
        <f t="shared" si="84"/>
        <v>2.0784747822117513</v>
      </c>
      <c r="V259" s="385">
        <f t="shared" si="85"/>
        <v>45.674177663954154</v>
      </c>
      <c r="W259" s="404">
        <f t="shared" si="86"/>
        <v>36.027653699471109</v>
      </c>
      <c r="X259" s="157">
        <f t="shared" si="87"/>
        <v>45536</v>
      </c>
      <c r="Y259" s="387">
        <f t="shared" si="88"/>
        <v>33.54883894283612</v>
      </c>
      <c r="Z259" s="387">
        <f t="shared" si="89"/>
        <v>35.330100839918742</v>
      </c>
      <c r="AA259" s="388">
        <f t="shared" si="90"/>
        <v>40.436166927732017</v>
      </c>
      <c r="AB259" s="199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0.12627473066225342</v>
      </c>
      <c r="AD259" s="233">
        <f>(INDEX(Models!$BJ259:$BT259,,AH259)*(1-AF259)+INDEX(Models!$BJ259:$BT259,,AH259+1)*AF259-ERP_i)*AE259*Ramure*Pc/MaxiM</f>
        <v>1.5059830398861164E-2</v>
      </c>
      <c r="AE259" s="307">
        <f t="shared" si="92"/>
        <v>1</v>
      </c>
      <c r="AF259" s="179">
        <f t="shared" si="93"/>
        <v>7.8474782211751304E-2</v>
      </c>
      <c r="AG259" s="837">
        <f t="shared" si="99"/>
        <v>2</v>
      </c>
      <c r="AH259" s="178">
        <f t="shared" si="94"/>
        <v>8</v>
      </c>
      <c r="AI259" s="227">
        <f t="shared" si="95"/>
        <v>2.0784747822117513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45537</v>
      </c>
      <c r="B260" s="1139">
        <f>IF(t&gt;Tmaj,'2023'!Wh/'2023'!Env_an*'2024'!Env_an,0.001*'[11]mon-tableau (3)'!$B$204)</f>
        <v>29.643236407837581</v>
      </c>
      <c r="C260" s="866"/>
      <c r="D260" s="395">
        <f t="shared" si="77"/>
        <v>31.217858419154481</v>
      </c>
      <c r="E260" s="387">
        <f t="shared" si="100"/>
        <v>33.27950545474517</v>
      </c>
      <c r="F260" s="387">
        <f t="shared" si="78"/>
        <v>33.539594704024765</v>
      </c>
      <c r="G260" s="110">
        <f t="shared" si="101"/>
        <v>0.64873490722517257</v>
      </c>
      <c r="H260" s="414" t="b">
        <f>Wh_hp&gt;='2023'!Maxi_hp</f>
        <v>0</v>
      </c>
      <c r="I260" s="392">
        <f>IF(H260,Wh_hp,'2023'!Maxi_hp)</f>
        <v>51.164853972749853</v>
      </c>
      <c r="J260" s="85">
        <f>IF(H260,An,'2023'!An_max)</f>
        <v>2019</v>
      </c>
      <c r="K260" s="199">
        <f t="shared" si="79"/>
        <v>45537</v>
      </c>
      <c r="L260" s="147">
        <f>IF(t&lt;Tvie,1-EXP((T0-t)*PertePVj)+'2023'!Pspv,1-EXP((T0-t)*PertePVj)+Pspv)</f>
        <v>5.0439783221989165E-2</v>
      </c>
      <c r="M260" s="870"/>
      <c r="N260" s="870"/>
      <c r="O260" s="48">
        <f>IF(t&lt;Tnet,'2023'!Resal+('2023'!Salim-'2023'!Resal)*(1-EXP(('2023'!Tnet-t)/('2023'!Tau_j))),Resal+(Salim-Resal)*(1-EXP((Tnet-t)/(Tau_j))))*Salcycl</f>
        <v>6.1949449290771515E-2</v>
      </c>
      <c r="P260" s="171">
        <f>(INDEX(Models!$BJ260:$BT260,,T260)*(1-R260)+INDEX(Models!$BJ260:$BT260,,T260+1)*R260-ERP_i)*Q260*Ramure*Pc/MaxiM</f>
        <v>1.5345576779741528E-2</v>
      </c>
      <c r="Q260" s="307">
        <f t="shared" si="80"/>
        <v>1</v>
      </c>
      <c r="R260" s="179">
        <f t="shared" si="81"/>
        <v>7.9316157121827047E-2</v>
      </c>
      <c r="S260" s="837">
        <f t="shared" si="82"/>
        <v>2</v>
      </c>
      <c r="T260" s="178">
        <f t="shared" si="83"/>
        <v>8</v>
      </c>
      <c r="U260" s="253">
        <f t="shared" si="84"/>
        <v>2.079316157121827</v>
      </c>
      <c r="V260" s="385">
        <f t="shared" si="85"/>
        <v>45.34434500511648</v>
      </c>
      <c r="W260" s="404">
        <f t="shared" si="86"/>
        <v>29.643236407837581</v>
      </c>
      <c r="X260" s="157">
        <f t="shared" si="87"/>
        <v>45537</v>
      </c>
      <c r="Y260" s="387">
        <f t="shared" si="88"/>
        <v>27.607526964499332</v>
      </c>
      <c r="Z260" s="387">
        <f t="shared" si="89"/>
        <v>29.07401392423062</v>
      </c>
      <c r="AA260" s="388">
        <f t="shared" si="90"/>
        <v>33.27950545474517</v>
      </c>
      <c r="AB260" s="199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0.12636881086569474</v>
      </c>
      <c r="AD260" s="233">
        <f>(INDEX(Models!$BJ260:$BT260,,AH260)*(1-AF260)+INDEX(Models!$BJ260:$BT260,,AH260+1)*AF260-ERP_i)*AE260*Ramure*Pc/MaxiM</f>
        <v>1.5345576779741528E-2</v>
      </c>
      <c r="AE260" s="307">
        <f t="shared" si="92"/>
        <v>1</v>
      </c>
      <c r="AF260" s="179">
        <f t="shared" si="93"/>
        <v>7.9316157121827047E-2</v>
      </c>
      <c r="AG260" s="837">
        <f t="shared" si="99"/>
        <v>2</v>
      </c>
      <c r="AH260" s="178">
        <f t="shared" si="94"/>
        <v>8</v>
      </c>
      <c r="AI260" s="227">
        <f t="shared" si="95"/>
        <v>2.079316157121827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45538</v>
      </c>
      <c r="B261" s="1139">
        <f>IF(t&gt;Tmaj,'2023'!Wh/'2023'!Env_an*'2024'!Env_an,0.001*'[11]mon-tableau (3)'!$B$205)</f>
        <v>43.132161435249429</v>
      </c>
      <c r="C261" s="866"/>
      <c r="D261" s="395">
        <f t="shared" si="77"/>
        <v>45.424360082580222</v>
      </c>
      <c r="E261" s="387">
        <f t="shared" si="100"/>
        <v>48.436102051500299</v>
      </c>
      <c r="F261" s="387">
        <f t="shared" si="78"/>
        <v>49.158535193131875</v>
      </c>
      <c r="G261" s="110">
        <f t="shared" si="101"/>
        <v>0.95742506855555165</v>
      </c>
      <c r="H261" s="414" t="b">
        <f>Wh_hp&gt;='2023'!Maxi_hp</f>
        <v>0</v>
      </c>
      <c r="I261" s="392">
        <f>IF(H261,Wh_hp,'2023'!Maxi_hp)</f>
        <v>50.630743838713244</v>
      </c>
      <c r="J261" s="85">
        <f>IF(H261,An,'2023'!An_max)</f>
        <v>2019</v>
      </c>
      <c r="K261" s="199">
        <f t="shared" si="79"/>
        <v>45538</v>
      </c>
      <c r="L261" s="147">
        <f>IF(t&lt;Tvie,1-EXP((T0-t)*PertePVj)+'2023'!Pspv,1-EXP((T0-t)*PertePVj)+Pspv)</f>
        <v>5.0461880875451781E-2</v>
      </c>
      <c r="M261" s="870"/>
      <c r="N261" s="870"/>
      <c r="O261" s="48">
        <f>IF(t&lt;Tnet,'2023'!Resal+('2023'!Salim-'2023'!Resal)*(1-EXP(('2023'!Tnet-t)/('2023'!Tau_j))),Resal+(Salim-Resal)*(1-EXP((Tnet-t)/(Tau_j))))*Salcycl</f>
        <v>6.2179693273372937E-2</v>
      </c>
      <c r="P261" s="171">
        <f>(INDEX(Models!$BJ261:$BT261,,T261)*(1-R261)+INDEX(Models!$BJ261:$BT261,,T261+1)*R261-ERP_i)*Q261*Ramure*Pc/MaxiM</f>
        <v>1.5626195207762709E-2</v>
      </c>
      <c r="Q261" s="307">
        <f t="shared" si="80"/>
        <v>1</v>
      </c>
      <c r="R261" s="179">
        <f t="shared" si="81"/>
        <v>8.0125617137897009E-2</v>
      </c>
      <c r="S261" s="837">
        <f t="shared" si="82"/>
        <v>2</v>
      </c>
      <c r="T261" s="178">
        <f t="shared" si="83"/>
        <v>8</v>
      </c>
      <c r="U261" s="253">
        <f t="shared" si="84"/>
        <v>2.080125617137897</v>
      </c>
      <c r="V261" s="385">
        <f t="shared" si="85"/>
        <v>45.007638182830462</v>
      </c>
      <c r="W261" s="404">
        <f t="shared" si="86"/>
        <v>43.132161435249429</v>
      </c>
      <c r="X261" s="157">
        <f t="shared" si="87"/>
        <v>45538</v>
      </c>
      <c r="Y261" s="387">
        <f t="shared" si="88"/>
        <v>40.175724775135606</v>
      </c>
      <c r="Z261" s="387">
        <f t="shared" si="89"/>
        <v>42.310807713729993</v>
      </c>
      <c r="AA261" s="388">
        <f t="shared" si="90"/>
        <v>48.436102051500299</v>
      </c>
      <c r="AB261" s="199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0.12646133933852713</v>
      </c>
      <c r="AD261" s="233">
        <f>(INDEX(Models!$BJ261:$BT261,,AH261)*(1-AF261)+INDEX(Models!$BJ261:$BT261,,AH261+1)*AF261-ERP_i)*AE261*Ramure*Pc/MaxiM</f>
        <v>1.5626195207762709E-2</v>
      </c>
      <c r="AE261" s="307">
        <f t="shared" si="92"/>
        <v>1</v>
      </c>
      <c r="AF261" s="179">
        <f t="shared" si="93"/>
        <v>8.0125617137897009E-2</v>
      </c>
      <c r="AG261" s="837">
        <f t="shared" si="99"/>
        <v>2</v>
      </c>
      <c r="AH261" s="178">
        <f t="shared" si="94"/>
        <v>8</v>
      </c>
      <c r="AI261" s="227">
        <f t="shared" si="95"/>
        <v>2.080125617137897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45539</v>
      </c>
      <c r="B262" s="1139">
        <f>IF(t&gt;Tmaj,'2023'!Wh/'2023'!Env_an*'2024'!Env_an,0.001*'[11]mon-tableau (3)'!$B$206)</f>
        <v>37.23230789481714</v>
      </c>
      <c r="C262" s="866"/>
      <c r="D262" s="395">
        <f t="shared" si="77"/>
        <v>39.211879560461348</v>
      </c>
      <c r="E262" s="387">
        <f t="shared" si="100"/>
        <v>41.821932393883124</v>
      </c>
      <c r="F262" s="387">
        <f t="shared" si="78"/>
        <v>42.335051980875207</v>
      </c>
      <c r="G262" s="110">
        <f t="shared" si="101"/>
        <v>0.83042277758637251</v>
      </c>
      <c r="H262" s="414" t="b">
        <f>Wh_hp&gt;='2023'!Maxi_hp</f>
        <v>0</v>
      </c>
      <c r="I262" s="392">
        <f>IF(H262,Wh_hp,'2023'!Maxi_hp)</f>
        <v>48.60501068816032</v>
      </c>
      <c r="J262" s="85">
        <f>IF(H262,An,'2023'!An_max)</f>
        <v>2020</v>
      </c>
      <c r="K262" s="199">
        <f t="shared" si="79"/>
        <v>45539</v>
      </c>
      <c r="L262" s="147">
        <f>IF(t&lt;Tvie,1-EXP((T0-t)*PertePVj)+'2023'!Pspv,1-EXP((T0-t)*PertePVj)+Pspv)</f>
        <v>5.048397801466975E-2</v>
      </c>
      <c r="M262" s="870"/>
      <c r="N262" s="870"/>
      <c r="O262" s="48">
        <f>IF(t&lt;Tnet,'2023'!Resal+('2023'!Salim-'2023'!Resal)*(1-EXP(('2023'!Tnet-t)/('2023'!Tau_j))),Resal+(Salim-Resal)*(1-EXP((Tnet-t)/(Tau_j))))*Salcycl</f>
        <v>6.2408709593809189E-2</v>
      </c>
      <c r="P262" s="171">
        <f>(INDEX(Models!$BJ262:$BT262,,T262)*(1-R262)+INDEX(Models!$BJ262:$BT262,,T262+1)*R262-ERP_i)*Q262*Ramure*Pc/MaxiM</f>
        <v>1.5899776014109347E-2</v>
      </c>
      <c r="Q262" s="307">
        <f t="shared" si="80"/>
        <v>1</v>
      </c>
      <c r="R262" s="179">
        <f t="shared" si="81"/>
        <v>8.0904298947777509E-2</v>
      </c>
      <c r="S262" s="837">
        <f t="shared" si="82"/>
        <v>2</v>
      </c>
      <c r="T262" s="178">
        <f t="shared" si="83"/>
        <v>8</v>
      </c>
      <c r="U262" s="253">
        <f t="shared" si="84"/>
        <v>2.0809042989477775</v>
      </c>
      <c r="V262" s="385">
        <f t="shared" si="85"/>
        <v>44.663837716402973</v>
      </c>
      <c r="W262" s="404">
        <f t="shared" si="86"/>
        <v>37.23230789481714</v>
      </c>
      <c r="X262" s="157">
        <f t="shared" si="87"/>
        <v>45539</v>
      </c>
      <c r="Y262" s="387">
        <f t="shared" si="88"/>
        <v>34.685129196215186</v>
      </c>
      <c r="Z262" s="387">
        <f t="shared" si="89"/>
        <v>36.529272169302125</v>
      </c>
      <c r="AA262" s="388">
        <f t="shared" si="90"/>
        <v>41.821932393883124</v>
      </c>
      <c r="AB262" s="199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0.12655226388714413</v>
      </c>
      <c r="AD262" s="233">
        <f>(INDEX(Models!$BJ262:$BT262,,AH262)*(1-AF262)+INDEX(Models!$BJ262:$BT262,,AH262+1)*AF262-ERP_i)*AE262*Ramure*Pc/MaxiM</f>
        <v>1.5899776014109347E-2</v>
      </c>
      <c r="AE262" s="307">
        <f t="shared" si="92"/>
        <v>1</v>
      </c>
      <c r="AF262" s="179">
        <f t="shared" si="93"/>
        <v>8.0904298947777509E-2</v>
      </c>
      <c r="AG262" s="837">
        <f t="shared" si="99"/>
        <v>2</v>
      </c>
      <c r="AH262" s="178">
        <f t="shared" si="94"/>
        <v>8</v>
      </c>
      <c r="AI262" s="227">
        <f t="shared" si="95"/>
        <v>2.0809042989477775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45540</v>
      </c>
      <c r="B263" s="1139">
        <f>IF(t&gt;Tmaj,'2023'!Wh/'2023'!Env_an*'2024'!Env_an,0.001*'[11]mon-tableau (3)'!$B$207)</f>
        <v>41.756178215903205</v>
      </c>
      <c r="C263" s="866"/>
      <c r="D263" s="395">
        <f t="shared" si="77"/>
        <v>43.977298959607566</v>
      </c>
      <c r="E263" s="387">
        <f t="shared" si="100"/>
        <v>46.915948177035752</v>
      </c>
      <c r="F263" s="387">
        <f t="shared" si="78"/>
        <v>47.622705595343682</v>
      </c>
      <c r="G263" s="110">
        <f t="shared" si="101"/>
        <v>0.94102354349714967</v>
      </c>
      <c r="H263" s="414" t="b">
        <f>Wh_hp&gt;='2023'!Maxi_hp</f>
        <v>0</v>
      </c>
      <c r="I263" s="392">
        <f>IF(H263,Wh_hp,'2023'!Maxi_hp)</f>
        <v>51.979212378770349</v>
      </c>
      <c r="J263" s="85">
        <f>IF(H263,An,'2023'!An_max)</f>
        <v>2019</v>
      </c>
      <c r="K263" s="199">
        <f t="shared" si="79"/>
        <v>45540</v>
      </c>
      <c r="L263" s="147">
        <f>IF(t&lt;Tvie,1-EXP((T0-t)*PertePVj)+'2023'!Pspv,1-EXP((T0-t)*PertePVj)+Pspv)</f>
        <v>5.0506074639654952E-2</v>
      </c>
      <c r="M263" s="870"/>
      <c r="N263" s="870"/>
      <c r="O263" s="48">
        <f>IF(t&lt;Tnet,'2023'!Resal+('2023'!Salim-'2023'!Resal)*(1-EXP(('2023'!Tnet-t)/('2023'!Tau_j))),Resal+(Salim-Resal)*(1-EXP((Tnet-t)/(Tau_j))))*Salcycl</f>
        <v>6.2636466523905504E-2</v>
      </c>
      <c r="P263" s="171">
        <f>(INDEX(Models!$BJ263:$BT263,,T263)*(1-R263)+INDEX(Models!$BJ263:$BT263,,T263+1)*R263-ERP_i)*Q263*Ramure*Pc/MaxiM</f>
        <v>1.6173993400435103E-2</v>
      </c>
      <c r="Q263" s="307">
        <f t="shared" si="80"/>
        <v>1</v>
      </c>
      <c r="R263" s="179">
        <f t="shared" si="81"/>
        <v>8.1653304452061981E-2</v>
      </c>
      <c r="S263" s="837">
        <f t="shared" si="82"/>
        <v>2</v>
      </c>
      <c r="T263" s="178">
        <f t="shared" si="83"/>
        <v>8</v>
      </c>
      <c r="U263" s="253">
        <f t="shared" si="84"/>
        <v>2.081653304452062</v>
      </c>
      <c r="V263" s="385">
        <f t="shared" si="85"/>
        <v>44.31309861915053</v>
      </c>
      <c r="W263" s="404">
        <f t="shared" si="86"/>
        <v>41.756178215903205</v>
      </c>
      <c r="X263" s="157">
        <f t="shared" si="87"/>
        <v>45540</v>
      </c>
      <c r="Y263" s="387">
        <f t="shared" si="88"/>
        <v>38.904982552745111</v>
      </c>
      <c r="Z263" s="387">
        <f t="shared" si="89"/>
        <v>40.974440713751981</v>
      </c>
      <c r="AA263" s="388">
        <f t="shared" si="90"/>
        <v>46.915948177035752</v>
      </c>
      <c r="AB263" s="199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0.12664153010110107</v>
      </c>
      <c r="AD263" s="233">
        <f>(INDEX(Models!$BJ263:$BT263,,AH263)*(1-AF263)+INDEX(Models!$BJ263:$BT263,,AH263+1)*AF263-ERP_i)*AE263*Ramure*Pc/MaxiM</f>
        <v>1.6173993400435103E-2</v>
      </c>
      <c r="AE263" s="307">
        <f t="shared" si="92"/>
        <v>1</v>
      </c>
      <c r="AF263" s="179">
        <f t="shared" si="93"/>
        <v>8.1653304452061981E-2</v>
      </c>
      <c r="AG263" s="837">
        <f t="shared" si="99"/>
        <v>2</v>
      </c>
      <c r="AH263" s="178">
        <f t="shared" si="94"/>
        <v>8</v>
      </c>
      <c r="AI263" s="227">
        <f t="shared" si="95"/>
        <v>2.081653304452062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45541</v>
      </c>
      <c r="B264" s="1139">
        <f>IF(t&gt;Tmaj,'2023'!Wh/'2023'!Env_an*'2024'!Env_an,0.001*'[11]mon-tableau (3)'!$B$208)</f>
        <v>33.662570311316216</v>
      </c>
      <c r="C264" s="866"/>
      <c r="D264" s="395">
        <f t="shared" si="77"/>
        <v>35.453995868336172</v>
      </c>
      <c r="E264" s="387">
        <f t="shared" si="100"/>
        <v>37.832241448505982</v>
      </c>
      <c r="F264" s="387">
        <f t="shared" si="78"/>
        <v>38.250942289418994</v>
      </c>
      <c r="G264" s="110">
        <f t="shared" si="101"/>
        <v>0.76156475220484565</v>
      </c>
      <c r="H264" s="414" t="b">
        <f>Wh_hp&gt;='2023'!Maxi_hp</f>
        <v>0</v>
      </c>
      <c r="I264" s="392">
        <f>IF(H264,Wh_hp,'2023'!Maxi_hp)</f>
        <v>50.735283993858943</v>
      </c>
      <c r="J264" s="85">
        <f>IF(H264,An,'2023'!An_max)</f>
        <v>2019</v>
      </c>
      <c r="K264" s="199">
        <f t="shared" si="79"/>
        <v>45541</v>
      </c>
      <c r="L264" s="147">
        <f>IF(t&lt;Tvie,1-EXP((T0-t)*PertePVj)+'2023'!Pspv,1-EXP((T0-t)*PertePVj)+Pspv)</f>
        <v>5.0528170750419488E-2</v>
      </c>
      <c r="M264" s="870"/>
      <c r="N264" s="870"/>
      <c r="O264" s="48">
        <f>IF(t&lt;Tnet,'2023'!Resal+('2023'!Salim-'2023'!Resal)*(1-EXP(('2023'!Tnet-t)/('2023'!Tau_j))),Resal+(Salim-Resal)*(1-EXP((Tnet-t)/(Tau_j))))*Salcycl</f>
        <v>6.2862930905293546E-2</v>
      </c>
      <c r="P264" s="171">
        <f>(INDEX(Models!$BJ264:$BT264,,T264)*(1-R264)+INDEX(Models!$BJ264:$BT264,,T264+1)*R264-ERP_i)*Q264*Ramure*Pc/MaxiM</f>
        <v>1.6448884736500267E-2</v>
      </c>
      <c r="Q264" s="307">
        <f t="shared" si="80"/>
        <v>1</v>
      </c>
      <c r="R264" s="179">
        <f t="shared" si="81"/>
        <v>8.2373701378314568E-2</v>
      </c>
      <c r="S264" s="837">
        <f t="shared" si="82"/>
        <v>2</v>
      </c>
      <c r="T264" s="178">
        <f t="shared" si="83"/>
        <v>8</v>
      </c>
      <c r="U264" s="253">
        <f t="shared" si="84"/>
        <v>2.0823737013783146</v>
      </c>
      <c r="V264" s="385">
        <f t="shared" si="85"/>
        <v>43.955926546813643</v>
      </c>
      <c r="W264" s="404">
        <f t="shared" si="86"/>
        <v>33.662570311316216</v>
      </c>
      <c r="X264" s="157">
        <f t="shared" si="87"/>
        <v>45541</v>
      </c>
      <c r="Y264" s="387">
        <f t="shared" si="88"/>
        <v>31.368456838294865</v>
      </c>
      <c r="Z264" s="387">
        <f t="shared" si="89"/>
        <v>33.037796248349011</v>
      </c>
      <c r="AA264" s="388">
        <f t="shared" si="90"/>
        <v>37.832241448505982</v>
      </c>
      <c r="AB264" s="199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0.12672908124364671</v>
      </c>
      <c r="AD264" s="233">
        <f>(INDEX(Models!$BJ264:$BT264,,AH264)*(1-AF264)+INDEX(Models!$BJ264:$BT264,,AH264+1)*AF264-ERP_i)*AE264*Ramure*Pc/MaxiM</f>
        <v>1.6448884736500267E-2</v>
      </c>
      <c r="AE264" s="307">
        <f t="shared" si="92"/>
        <v>1</v>
      </c>
      <c r="AF264" s="179">
        <f t="shared" si="93"/>
        <v>8.2373701378314568E-2</v>
      </c>
      <c r="AG264" s="837">
        <f t="shared" si="99"/>
        <v>2</v>
      </c>
      <c r="AH264" s="178">
        <f t="shared" si="94"/>
        <v>8</v>
      </c>
      <c r="AI264" s="227">
        <f t="shared" si="95"/>
        <v>2.0823737013783146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45542</v>
      </c>
      <c r="B265" s="1139">
        <f>IF(t&gt;Tmaj,'2023'!Wh/'2023'!Env_an*'2024'!Env_an,0.001*'[11]mon-tableau (3)'!$B$209)</f>
        <v>36.222656059947965</v>
      </c>
      <c r="C265" s="866"/>
      <c r="D265" s="395">
        <f t="shared" si="77"/>
        <v>38.151209880886107</v>
      </c>
      <c r="E265" s="387">
        <f t="shared" si="100"/>
        <v>40.720166518724746</v>
      </c>
      <c r="F265" s="387">
        <f t="shared" si="78"/>
        <v>41.243341239746336</v>
      </c>
      <c r="G265" s="110">
        <f t="shared" si="101"/>
        <v>0.82753198140883844</v>
      </c>
      <c r="H265" s="414" t="b">
        <f>Wh_hp&gt;='2023'!Maxi_hp</f>
        <v>0</v>
      </c>
      <c r="I265" s="392">
        <f>IF(H265,Wh_hp,'2023'!Maxi_hp)</f>
        <v>44.572005255446598</v>
      </c>
      <c r="J265" s="85">
        <f>IF(H265,An,'2023'!An_max)</f>
        <v>2019</v>
      </c>
      <c r="K265" s="199">
        <f t="shared" si="79"/>
        <v>45542</v>
      </c>
      <c r="L265" s="147">
        <f>IF(t&lt;Tvie,1-EXP((T0-t)*PertePVj)+'2023'!Pspv,1-EXP((T0-t)*PertePVj)+Pspv)</f>
        <v>5.0550266346975126E-2</v>
      </c>
      <c r="M265" s="870"/>
      <c r="N265" s="870"/>
      <c r="O265" s="48">
        <f>IF(t&lt;Tnet,'2023'!Resal+('2023'!Salim-'2023'!Resal)*(1-EXP(('2023'!Tnet-t)/('2023'!Tau_j))),Resal+(Salim-Resal)*(1-EXP((Tnet-t)/(Tau_j))))*Salcycl</f>
        <v>6.3088068086787727E-2</v>
      </c>
      <c r="P265" s="171">
        <f>(INDEX(Models!$BJ265:$BT265,,T265)*(1-R265)+INDEX(Models!$BJ265:$BT265,,T265+1)*R265-ERP_i)*Q265*Ramure*Pc/MaxiM</f>
        <v>1.6724471376754254E-2</v>
      </c>
      <c r="Q265" s="307">
        <f t="shared" si="80"/>
        <v>1</v>
      </c>
      <c r="R265" s="179">
        <f t="shared" si="81"/>
        <v>8.3066523923898572E-2</v>
      </c>
      <c r="S265" s="837">
        <f t="shared" si="82"/>
        <v>2</v>
      </c>
      <c r="T265" s="178">
        <f t="shared" si="83"/>
        <v>8</v>
      </c>
      <c r="U265" s="253">
        <f t="shared" si="84"/>
        <v>2.0830665239238986</v>
      </c>
      <c r="V265" s="385">
        <f t="shared" si="85"/>
        <v>43.592826826601147</v>
      </c>
      <c r="W265" s="404">
        <f t="shared" si="86"/>
        <v>36.222656059947965</v>
      </c>
      <c r="X265" s="157">
        <f t="shared" si="87"/>
        <v>45542</v>
      </c>
      <c r="Y265" s="387">
        <f t="shared" si="88"/>
        <v>33.75886675405102</v>
      </c>
      <c r="Z265" s="387">
        <f t="shared" si="89"/>
        <v>35.556244377638798</v>
      </c>
      <c r="AA265" s="388">
        <f t="shared" si="90"/>
        <v>40.720166518724746</v>
      </c>
      <c r="AB265" s="199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0.12681485815416224</v>
      </c>
      <c r="AD265" s="233">
        <f>(INDEX(Models!$BJ265:$BT265,,AH265)*(1-AF265)+INDEX(Models!$BJ265:$BT265,,AH265+1)*AF265-ERP_i)*AE265*Ramure*Pc/MaxiM</f>
        <v>1.6724471376754254E-2</v>
      </c>
      <c r="AE265" s="307">
        <f t="shared" si="92"/>
        <v>1</v>
      </c>
      <c r="AF265" s="179">
        <f t="shared" si="93"/>
        <v>8.3066523923898572E-2</v>
      </c>
      <c r="AG265" s="837">
        <f t="shared" si="99"/>
        <v>2</v>
      </c>
      <c r="AH265" s="178">
        <f t="shared" si="94"/>
        <v>8</v>
      </c>
      <c r="AI265" s="227">
        <f t="shared" si="95"/>
        <v>2.0830665239238986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45543</v>
      </c>
      <c r="B266" s="1139">
        <f>IF(t&gt;Tmaj,'2023'!Wh/'2023'!Env_an*'2024'!Env_an,0.001*'[11]mon-tableau (3)'!$B$210)</f>
        <v>20.594290244780584</v>
      </c>
      <c r="C266" s="866"/>
      <c r="D266" s="395">
        <f t="shared" si="77"/>
        <v>21.691268937340663</v>
      </c>
      <c r="E266" s="387">
        <f t="shared" si="100"/>
        <v>23.157407029273951</v>
      </c>
      <c r="F266" s="387">
        <f t="shared" si="78"/>
        <v>23.257073940144885</v>
      </c>
      <c r="G266" s="110">
        <f t="shared" si="101"/>
        <v>0.47036732282941157</v>
      </c>
      <c r="H266" s="414" t="b">
        <f>Wh_hp&gt;='2023'!Maxi_hp</f>
        <v>0</v>
      </c>
      <c r="I266" s="392">
        <f>IF(H266,Wh_hp,'2023'!Maxi_hp)</f>
        <v>45.910285028445344</v>
      </c>
      <c r="J266" s="85">
        <f>IF(H266,An,'2023'!An_max)</f>
        <v>2020</v>
      </c>
      <c r="K266" s="199">
        <f t="shared" si="79"/>
        <v>45543</v>
      </c>
      <c r="L266" s="147">
        <f>IF(t&lt;Tvie,1-EXP((T0-t)*PertePVj)+'2023'!Pspv,1-EXP((T0-t)*PertePVj)+Pspv)</f>
        <v>5.0572361429334078E-2</v>
      </c>
      <c r="M266" s="870"/>
      <c r="N266" s="870"/>
      <c r="O266" s="48">
        <f>IF(t&lt;Tnet,'2023'!Resal+('2023'!Salim-'2023'!Resal)*(1-EXP(('2023'!Tnet-t)/('2023'!Tau_j))),Resal+(Salim-Resal)*(1-EXP((Tnet-t)/(Tau_j))))*Salcycl</f>
        <v>6.3311841868992524E-2</v>
      </c>
      <c r="P266" s="171">
        <f>(INDEX(Models!$BJ266:$BT266,,T266)*(1-R266)+INDEX(Models!$BJ266:$BT266,,T266+1)*R266-ERP_i)*Q266*Ramure*Pc/MaxiM</f>
        <v>1.7000758305346874E-2</v>
      </c>
      <c r="Q266" s="307">
        <f t="shared" si="80"/>
        <v>1</v>
      </c>
      <c r="R266" s="179">
        <f t="shared" si="81"/>
        <v>8.3732773422995788E-2</v>
      </c>
      <c r="S266" s="837">
        <f t="shared" si="82"/>
        <v>2</v>
      </c>
      <c r="T266" s="178">
        <f t="shared" si="83"/>
        <v>8</v>
      </c>
      <c r="U266" s="253">
        <f t="shared" si="84"/>
        <v>2.0837327734229958</v>
      </c>
      <c r="V266" s="385">
        <f t="shared" si="85"/>
        <v>43.224304445148647</v>
      </c>
      <c r="W266" s="404">
        <f t="shared" si="86"/>
        <v>20.594290244780584</v>
      </c>
      <c r="X266" s="157">
        <f t="shared" si="87"/>
        <v>45543</v>
      </c>
      <c r="Y266" s="387">
        <f t="shared" si="88"/>
        <v>19.196249452870472</v>
      </c>
      <c r="Z266" s="387">
        <f t="shared" si="89"/>
        <v>20.218759885450389</v>
      </c>
      <c r="AA266" s="388">
        <f t="shared" si="90"/>
        <v>23.157407029273951</v>
      </c>
      <c r="AB266" s="199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0.12689879916644956</v>
      </c>
      <c r="AD266" s="233">
        <f>(INDEX(Models!$BJ266:$BT266,,AH266)*(1-AF266)+INDEX(Models!$BJ266:$BT266,,AH266+1)*AF266-ERP_i)*AE266*Ramure*Pc/MaxiM</f>
        <v>1.7000758305346874E-2</v>
      </c>
      <c r="AE266" s="307">
        <f t="shared" si="92"/>
        <v>1</v>
      </c>
      <c r="AF266" s="179">
        <f t="shared" si="93"/>
        <v>8.3732773422995788E-2</v>
      </c>
      <c r="AG266" s="837">
        <f t="shared" si="99"/>
        <v>2</v>
      </c>
      <c r="AH266" s="178">
        <f t="shared" si="94"/>
        <v>8</v>
      </c>
      <c r="AI266" s="227">
        <f t="shared" si="95"/>
        <v>2.0837327734229958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45544</v>
      </c>
      <c r="B267" s="1139">
        <f>IF(t&gt;Tmaj,'2023'!Wh/'2023'!Env_an*'2024'!Env_an,0.001*'[11]mon-tableau (3)'!$B$211)</f>
        <v>40.493497038723511</v>
      </c>
      <c r="C267" s="866"/>
      <c r="D267" s="395">
        <f t="shared" si="77"/>
        <v>42.65142256070208</v>
      </c>
      <c r="E267" s="387">
        <f t="shared" si="100"/>
        <v>45.545094352836209</v>
      </c>
      <c r="F267" s="387">
        <f t="shared" si="78"/>
        <v>46.281896097236455</v>
      </c>
      <c r="G267" s="110">
        <f t="shared" si="101"/>
        <v>0.94368278829202112</v>
      </c>
      <c r="H267" s="414" t="b">
        <f>Wh_hp&gt;='2023'!Maxi_hp</f>
        <v>0</v>
      </c>
      <c r="I267" s="392">
        <f>IF(H267,Wh_hp,'2023'!Maxi_hp)</f>
        <v>46.307820639917978</v>
      </c>
      <c r="J267" s="85">
        <f>IF(H267,An,'2023'!An_max)</f>
        <v>2022</v>
      </c>
      <c r="K267" s="199">
        <f t="shared" si="79"/>
        <v>45544</v>
      </c>
      <c r="L267" s="147">
        <f>IF(t&lt;Tvie,1-EXP((T0-t)*PertePVj)+'2023'!Pspv,1-EXP((T0-t)*PertePVj)+Pspv)</f>
        <v>5.0594455997508114E-2</v>
      </c>
      <c r="M267" s="870"/>
      <c r="N267" s="870"/>
      <c r="O267" s="48">
        <f>IF(t&lt;Tnet,'2023'!Resal+('2023'!Salim-'2023'!Resal)*(1-EXP(('2023'!Tnet-t)/('2023'!Tau_j))),Resal+(Salim-Resal)*(1-EXP((Tnet-t)/(Tau_j))))*Salcycl</f>
        <v>6.3534214458245628E-2</v>
      </c>
      <c r="P267" s="171">
        <f>(INDEX(Models!$BJ267:$BT267,,T267)*(1-R267)+INDEX(Models!$BJ267:$BT267,,T267+1)*R267-ERP_i)*Q267*Ramure*Pc/MaxiM</f>
        <v>1.7277733708202826E-2</v>
      </c>
      <c r="Q267" s="307">
        <f t="shared" si="80"/>
        <v>1</v>
      </c>
      <c r="R267" s="179">
        <f t="shared" si="81"/>
        <v>8.4373419033726638E-2</v>
      </c>
      <c r="S267" s="837">
        <f t="shared" si="82"/>
        <v>2</v>
      </c>
      <c r="T267" s="178">
        <f t="shared" si="83"/>
        <v>8</v>
      </c>
      <c r="U267" s="253">
        <f t="shared" si="84"/>
        <v>2.0843734190337266</v>
      </c>
      <c r="V267" s="385">
        <f t="shared" si="85"/>
        <v>42.85086403925304</v>
      </c>
      <c r="W267" s="404">
        <f t="shared" si="86"/>
        <v>40.493497038723511</v>
      </c>
      <c r="X267" s="157">
        <f t="shared" si="87"/>
        <v>45544</v>
      </c>
      <c r="Y267" s="387">
        <f t="shared" si="88"/>
        <v>37.750016406488335</v>
      </c>
      <c r="Z267" s="387">
        <f t="shared" si="89"/>
        <v>39.761740011905019</v>
      </c>
      <c r="AA267" s="388">
        <f t="shared" si="90"/>
        <v>45.545094352836209</v>
      </c>
      <c r="AB267" s="199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0.1269808400467404</v>
      </c>
      <c r="AD267" s="233">
        <f>(INDEX(Models!$BJ267:$BT267,,AH267)*(1-AF267)+INDEX(Models!$BJ267:$BT267,,AH267+1)*AF267-ERP_i)*AE267*Ramure*Pc/MaxiM</f>
        <v>1.7277733708202826E-2</v>
      </c>
      <c r="AE267" s="307">
        <f t="shared" si="92"/>
        <v>1</v>
      </c>
      <c r="AF267" s="179">
        <f t="shared" si="93"/>
        <v>8.4373419033726638E-2</v>
      </c>
      <c r="AG267" s="837">
        <f t="shared" si="99"/>
        <v>2</v>
      </c>
      <c r="AH267" s="178">
        <f t="shared" si="94"/>
        <v>8</v>
      </c>
      <c r="AI267" s="227">
        <f t="shared" si="95"/>
        <v>2.0843734190337266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45545</v>
      </c>
      <c r="B268" s="1139">
        <f>IF(t&gt;Tmaj,'2023'!Wh/'2023'!Env_an*'2024'!Env_an,0.001*'[11]mon-tableau (3)'!$B$212)</f>
        <v>40.332464912849424</v>
      </c>
      <c r="C268" s="866"/>
      <c r="D268" s="395">
        <f t="shared" si="77"/>
        <v>42.482797561973172</v>
      </c>
      <c r="E268" s="387">
        <f t="shared" si="100"/>
        <v>45.37573413629115</v>
      </c>
      <c r="F268" s="387">
        <f t="shared" si="78"/>
        <v>46.128203208830143</v>
      </c>
      <c r="G268" s="110">
        <f t="shared" si="101"/>
        <v>0.94840248525744664</v>
      </c>
      <c r="H268" s="414" t="b">
        <f>Wh_hp&gt;='2023'!Maxi_hp</f>
        <v>0</v>
      </c>
      <c r="I268" s="392">
        <f>IF(H268,Wh_hp,'2023'!Maxi_hp)</f>
        <v>46.152308154930608</v>
      </c>
      <c r="J268" s="85">
        <f>IF(H268,An,'2023'!An_max)</f>
        <v>2022</v>
      </c>
      <c r="K268" s="199">
        <f t="shared" si="79"/>
        <v>45545</v>
      </c>
      <c r="L268" s="147">
        <f>IF(t&lt;Tvie,1-EXP((T0-t)*PertePVj)+'2023'!Pspv,1-EXP((T0-t)*PertePVj)+Pspv)</f>
        <v>5.0616550051509224E-2</v>
      </c>
      <c r="M268" s="870"/>
      <c r="N268" s="870"/>
      <c r="O268" s="48">
        <f>IF(t&lt;Tnet,'2023'!Resal+('2023'!Salim-'2023'!Resal)*(1-EXP(('2023'!Tnet-t)/('2023'!Tau_j))),Resal+(Salim-Resal)*(1-EXP((Tnet-t)/(Tau_j))))*Salcycl</f>
        <v>6.3755146431983073E-2</v>
      </c>
      <c r="P268" s="171">
        <f>(INDEX(Models!$BJ268:$BT268,,T268)*(1-R268)+INDEX(Models!$BJ268:$BT268,,T268+1)*R268-ERP_i)*Q268*Ramure*Pc/MaxiM</f>
        <v>1.7577548946446801E-2</v>
      </c>
      <c r="Q268" s="307">
        <f t="shared" si="80"/>
        <v>1</v>
      </c>
      <c r="R268" s="179">
        <f t="shared" si="81"/>
        <v>8.4989398441598141E-2</v>
      </c>
      <c r="S268" s="837">
        <f t="shared" si="82"/>
        <v>2</v>
      </c>
      <c r="T268" s="178">
        <f t="shared" si="83"/>
        <v>8</v>
      </c>
      <c r="U268" s="253">
        <f t="shared" si="84"/>
        <v>2.0849893984415981</v>
      </c>
      <c r="V268" s="385">
        <f t="shared" si="85"/>
        <v>42.472050988312965</v>
      </c>
      <c r="W268" s="404">
        <f t="shared" si="86"/>
        <v>40.332464912849424</v>
      </c>
      <c r="X268" s="157">
        <f t="shared" si="87"/>
        <v>45545</v>
      </c>
      <c r="Y268" s="387">
        <f t="shared" si="88"/>
        <v>37.605317588429166</v>
      </c>
      <c r="Z268" s="387">
        <f t="shared" si="89"/>
        <v>39.610251885546838</v>
      </c>
      <c r="AA268" s="388">
        <f t="shared" si="90"/>
        <v>45.37573413629115</v>
      </c>
      <c r="AB268" s="199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0.12706091395517768</v>
      </c>
      <c r="AD268" s="233">
        <f>(INDEX(Models!$BJ268:$BT268,,AH268)*(1-AF268)+INDEX(Models!$BJ268:$BT268,,AH268+1)*AF268-ERP_i)*AE268*Ramure*Pc/MaxiM</f>
        <v>1.7577548946446801E-2</v>
      </c>
      <c r="AE268" s="307">
        <f t="shared" si="92"/>
        <v>1</v>
      </c>
      <c r="AF268" s="179">
        <f t="shared" si="93"/>
        <v>8.4989398441598141E-2</v>
      </c>
      <c r="AG268" s="837">
        <f t="shared" si="99"/>
        <v>2</v>
      </c>
      <c r="AH268" s="178">
        <f t="shared" si="94"/>
        <v>8</v>
      </c>
      <c r="AI268" s="227">
        <f t="shared" si="95"/>
        <v>2.0849893984415981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45546</v>
      </c>
      <c r="B269" s="1139">
        <f>IF(t&gt;Tmaj,'2023'!Wh/'2023'!Env_an*'2024'!Env_an,0.001*'[11]mon-tableau (3)'!$B$213)</f>
        <v>28.028536368168918</v>
      </c>
      <c r="C269" s="866"/>
      <c r="D269" s="395">
        <f t="shared" si="77"/>
        <v>29.523569901979556</v>
      </c>
      <c r="E269" s="387">
        <f t="shared" si="100"/>
        <v>31.541419494008309</v>
      </c>
      <c r="F269" s="387">
        <f t="shared" si="78"/>
        <v>31.839450433538804</v>
      </c>
      <c r="G269" s="110">
        <f t="shared" si="101"/>
        <v>0.66020381996337973</v>
      </c>
      <c r="H269" s="414" t="b">
        <f>Wh_hp&gt;='2023'!Maxi_hp</f>
        <v>0</v>
      </c>
      <c r="I269" s="392">
        <f>IF(H269,Wh_hp,'2023'!Maxi_hp)</f>
        <v>47.332460641090549</v>
      </c>
      <c r="J269" s="85">
        <f>IF(H269,An,'2023'!An_max)</f>
        <v>2019</v>
      </c>
      <c r="K269" s="199">
        <f t="shared" si="79"/>
        <v>45546</v>
      </c>
      <c r="L269" s="147">
        <f>IF(t&lt;Tvie,1-EXP((T0-t)*PertePVj)+'2023'!Pspv,1-EXP((T0-t)*PertePVj)+Pspv)</f>
        <v>5.0638643591349508E-2</v>
      </c>
      <c r="M269" s="870"/>
      <c r="N269" s="870"/>
      <c r="O269" s="48">
        <f>IF(t&lt;Tnet,'2023'!Resal+('2023'!Salim-'2023'!Resal)*(1-EXP(('2023'!Tnet-t)/('2023'!Tau_j))),Resal+(Salim-Resal)*(1-EXP((Tnet-t)/(Tau_j))))*Salcycl</f>
        <v>6.3974596717565849E-2</v>
      </c>
      <c r="P269" s="171">
        <f>(INDEX(Models!$BJ269:$BT269,,T269)*(1-R269)+INDEX(Models!$BJ269:$BT269,,T269+1)*R269-ERP_i)*Q269*Ramure*Pc/MaxiM</f>
        <v>1.7905013334837277E-2</v>
      </c>
      <c r="Q269" s="307">
        <f t="shared" si="80"/>
        <v>1</v>
      </c>
      <c r="R269" s="179">
        <f t="shared" si="81"/>
        <v>8.5581618575819807E-2</v>
      </c>
      <c r="S269" s="837">
        <f t="shared" si="82"/>
        <v>2</v>
      </c>
      <c r="T269" s="178">
        <f t="shared" si="83"/>
        <v>8</v>
      </c>
      <c r="U269" s="253">
        <f t="shared" si="84"/>
        <v>2.0855816185758198</v>
      </c>
      <c r="V269" s="385">
        <f t="shared" si="85"/>
        <v>42.088186140308011</v>
      </c>
      <c r="W269" s="404">
        <f t="shared" si="86"/>
        <v>28.028536368168918</v>
      </c>
      <c r="X269" s="157">
        <f t="shared" si="87"/>
        <v>45546</v>
      </c>
      <c r="Y269" s="387">
        <f t="shared" si="88"/>
        <v>26.137129994855883</v>
      </c>
      <c r="Z269" s="387">
        <f t="shared" si="89"/>
        <v>27.531276492789129</v>
      </c>
      <c r="AA269" s="388">
        <f t="shared" si="90"/>
        <v>31.541419494008309</v>
      </c>
      <c r="AB269" s="199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0.12713895143434994</v>
      </c>
      <c r="AD269" s="233">
        <f>(INDEX(Models!$BJ269:$BT269,,AH269)*(1-AF269)+INDEX(Models!$BJ269:$BT269,,AH269+1)*AF269-ERP_i)*AE269*Ramure*Pc/MaxiM</f>
        <v>1.7905013334837277E-2</v>
      </c>
      <c r="AE269" s="307">
        <f t="shared" si="92"/>
        <v>1</v>
      </c>
      <c r="AF269" s="179">
        <f t="shared" si="93"/>
        <v>8.5581618575819807E-2</v>
      </c>
      <c r="AG269" s="837">
        <f t="shared" si="99"/>
        <v>2</v>
      </c>
      <c r="AH269" s="178">
        <f t="shared" si="94"/>
        <v>8</v>
      </c>
      <c r="AI269" s="227">
        <f t="shared" si="95"/>
        <v>2.0855816185758198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45547</v>
      </c>
      <c r="B270" s="1139">
        <f>IF(t&gt;Tmaj,'2023'!Wh/'2023'!Env_an*'2024'!Env_an,0.001*'[11]mon-tableau (3)'!$B$214)</f>
        <v>11.633666650202983</v>
      </c>
      <c r="C270" s="866"/>
      <c r="D270" s="395">
        <f t="shared" si="77"/>
        <v>12.254488041236755</v>
      </c>
      <c r="E270" s="387">
        <f t="shared" si="100"/>
        <v>13.095095238080026</v>
      </c>
      <c r="F270" s="387">
        <f t="shared" si="78"/>
        <v>13.095095238080026</v>
      </c>
      <c r="G270" s="110">
        <f t="shared" si="101"/>
        <v>0.27389181855970185</v>
      </c>
      <c r="H270" s="414" t="b">
        <f>Wh_hp&gt;='2023'!Maxi_hp</f>
        <v>0</v>
      </c>
      <c r="I270" s="392">
        <f>IF(H270,Wh_hp,'2023'!Maxi_hp)</f>
        <v>44.332714285498227</v>
      </c>
      <c r="J270" s="85">
        <f>IF(H270,An,'2023'!An_max)</f>
        <v>2020</v>
      </c>
      <c r="K270" s="199">
        <f t="shared" si="79"/>
        <v>45547</v>
      </c>
      <c r="L270" s="147">
        <f>IF(t&lt;Tvie,1-EXP((T0-t)*PertePVj)+'2023'!Pspv,1-EXP((T0-t)*PertePVj)+Pspv)</f>
        <v>5.0660736617040847E-2</v>
      </c>
      <c r="M270" s="870"/>
      <c r="N270" s="870"/>
      <c r="O270" s="48">
        <f>IF(t&lt;Tnet,'2023'!Resal+('2023'!Salim-'2023'!Resal)*(1-EXP(('2023'!Tnet-t)/('2023'!Tau_j))),Resal+(Salim-Resal)*(1-EXP((Tnet-t)/(Tau_j))))*Salcycl</f>
        <v>6.4192522586534448E-2</v>
      </c>
      <c r="P270" s="171">
        <f>(INDEX(Models!$BJ270:$BT270,,T270)*(1-R270)+INDEX(Models!$BJ270:$BT270,,T270+1)*R270-ERP_i)*Q270*Ramure*Pc/MaxiM</f>
        <v>1.826080290881766E-2</v>
      </c>
      <c r="Q270" s="307">
        <f t="shared" si="80"/>
        <v>1</v>
      </c>
      <c r="R270" s="179">
        <f t="shared" si="81"/>
        <v>8.6150956335314E-2</v>
      </c>
      <c r="S270" s="837">
        <f t="shared" si="82"/>
        <v>2</v>
      </c>
      <c r="T270" s="178">
        <f t="shared" si="83"/>
        <v>8</v>
      </c>
      <c r="U270" s="253">
        <f t="shared" si="84"/>
        <v>2.086150956335314</v>
      </c>
      <c r="V270" s="385">
        <f t="shared" si="85"/>
        <v>41.699772619922882</v>
      </c>
      <c r="W270" s="404">
        <f t="shared" si="86"/>
        <v>11.633666650202983</v>
      </c>
      <c r="X270" s="157">
        <f t="shared" si="87"/>
        <v>45547</v>
      </c>
      <c r="Y270" s="387">
        <f t="shared" si="88"/>
        <v>10.850192356252366</v>
      </c>
      <c r="Z270" s="387">
        <f t="shared" si="89"/>
        <v>11.429204263171245</v>
      </c>
      <c r="AA270" s="388">
        <f t="shared" si="90"/>
        <v>13.095095238080026</v>
      </c>
      <c r="AB270" s="199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0.12721488042824108</v>
      </c>
      <c r="AD270" s="233">
        <f>(INDEX(Models!$BJ270:$BT270,,AH270)*(1-AF270)+INDEX(Models!$BJ270:$BT270,,AH270+1)*AF270-ERP_i)*AE270*Ramure*Pc/MaxiM</f>
        <v>1.826080290881766E-2</v>
      </c>
      <c r="AE270" s="307">
        <f t="shared" si="92"/>
        <v>1</v>
      </c>
      <c r="AF270" s="179">
        <f t="shared" si="93"/>
        <v>8.6150956335314E-2</v>
      </c>
      <c r="AG270" s="837">
        <f t="shared" si="99"/>
        <v>2</v>
      </c>
      <c r="AH270" s="178">
        <f t="shared" si="94"/>
        <v>8</v>
      </c>
      <c r="AI270" s="227">
        <f t="shared" si="95"/>
        <v>2.086150956335314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45548</v>
      </c>
      <c r="B271" s="1139">
        <f>IF(t&gt;Tmaj,'2023'!Wh/'2023'!Env_an*'2024'!Env_an,0.001*'[11]mon-tableau (3)'!$B$215)</f>
        <v>34.003496643792026</v>
      </c>
      <c r="C271" s="866"/>
      <c r="D271" s="395">
        <f t="shared" ref="D271:D334" si="102">Wh/(1-Ppv)</f>
        <v>35.818899823100494</v>
      </c>
      <c r="E271" s="387">
        <f t="shared" si="100"/>
        <v>38.28477958439727</v>
      </c>
      <c r="F271" s="387">
        <f t="shared" ref="F271:F334" si="103">Wh_sa/(1-Pvg*MEDIAN((-Sdif+Wh/Env_an)/Csdif,0,1))</f>
        <v>38.82584977609293</v>
      </c>
      <c r="G271" s="110">
        <f t="shared" si="101"/>
        <v>0.81925163843146454</v>
      </c>
      <c r="H271" s="414" t="b">
        <f>Wh_hp&gt;='2023'!Maxi_hp</f>
        <v>0</v>
      </c>
      <c r="I271" s="392">
        <f>IF(H271,Wh_hp,'2023'!Maxi_hp)</f>
        <v>43.753374021516187</v>
      </c>
      <c r="J271" s="85">
        <f>IF(H271,An,'2023'!An_max)</f>
        <v>2020</v>
      </c>
      <c r="K271" s="199">
        <f t="shared" ref="K271:K334" si="104">t</f>
        <v>45548</v>
      </c>
      <c r="L271" s="147">
        <f>IF(t&lt;Tvie,1-EXP((T0-t)*PertePVj)+'2023'!Pspv,1-EXP((T0-t)*PertePVj)+Pspv)</f>
        <v>5.0682829128595119E-2</v>
      </c>
      <c r="M271" s="870"/>
      <c r="N271" s="870"/>
      <c r="O271" s="48">
        <f>IF(t&lt;Tnet,'2023'!Resal+('2023'!Salim-'2023'!Resal)*(1-EXP(('2023'!Tnet-t)/('2023'!Tau_j))),Resal+(Salim-Resal)*(1-EXP((Tnet-t)/(Tau_j))))*Salcycl</f>
        <v>6.4408879666156715E-2</v>
      </c>
      <c r="P271" s="171">
        <f>(INDEX(Models!$BJ271:$BT271,,T271)*(1-R271)+INDEX(Models!$BJ271:$BT271,,T271+1)*R271-ERP_i)*Q271*Ramure*Pc/MaxiM</f>
        <v>1.8645613570380352E-2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8.6698259321523974E-2</v>
      </c>
      <c r="S271" s="837">
        <f t="shared" ref="S271:S334" si="107">INDEX(Echel_vg,T271)</f>
        <v>2</v>
      </c>
      <c r="T271" s="178">
        <f t="shared" ref="T271:T334" si="108">MIN(MATCH(Hp_vg,Echel_vg),10)</f>
        <v>8</v>
      </c>
      <c r="U271" s="253">
        <f t="shared" ref="U271:U334" si="109">IF(OR(t&lt;Ttai,Notai),Hdd+PousH*Croivg,Hdtf+PousH*(Croivg-Croi_tai))</f>
        <v>2.086698259321524</v>
      </c>
      <c r="V271" s="385">
        <f t="shared" ref="V271:V334" si="110">MaxiM*(1-Ppv)*(1-Pvg)*(1-Psa)</f>
        <v>41.307313129045774</v>
      </c>
      <c r="W271" s="404">
        <f t="shared" ref="W271:W334" si="111">Wh*(A271&gt;Tmaj)</f>
        <v>34.003496643792026</v>
      </c>
      <c r="X271" s="157">
        <f t="shared" ref="X271:X334" si="112">t</f>
        <v>45548</v>
      </c>
      <c r="Y271" s="387">
        <f t="shared" ref="Y271:Y334" si="113">Wh_pvt_s*(1-Ppv)</f>
        <v>31.718170064331701</v>
      </c>
      <c r="Z271" s="387">
        <f t="shared" ref="Z271:Z334" si="114">Wh_sa_s*(1-Psa_s)</f>
        <v>33.411562581572923</v>
      </c>
      <c r="AA271" s="388">
        <f t="shared" ref="AA271:AA334" si="115">Wh_hp*(1-Pvg_s*MEDIAN((-Sdif+Wh/Env_an)/Csdif,0,1))</f>
        <v>38.28477958439727</v>
      </c>
      <c r="AB271" s="199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0.12728862633469099</v>
      </c>
      <c r="AD271" s="233">
        <f>(INDEX(Models!$BJ271:$BT271,,AH271)*(1-AF271)+INDEX(Models!$BJ271:$BT271,,AH271+1)*AF271-ERP_i)*AE271*Ramure*Pc/MaxiM</f>
        <v>1.8645613570380352E-2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8.6698259321523974E-2</v>
      </c>
      <c r="AG271" s="837">
        <f t="shared" si="99"/>
        <v>2</v>
      </c>
      <c r="AH271" s="178">
        <f t="shared" ref="AH271:AH334" si="119">MIN(MATCH(Hp_vg_s,Echel_vg),10)</f>
        <v>8</v>
      </c>
      <c r="AI271" s="227">
        <f t="shared" ref="AI271:AI334" si="120">IF(OR(t&lt;Ttai,Notai),Hdd_s+PousH*Croivg,Hdtai_s+PousH*(Croivg-Croi_tai))</f>
        <v>2.086698259321524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45549</v>
      </c>
      <c r="B272" s="1139">
        <f>IF(t&gt;Tmaj,'2023'!Wh/'2023'!Env_an*'2024'!Env_an,0.001*'[11]mon-tableau (3)'!$B$216)</f>
        <v>37.093760447702294</v>
      </c>
      <c r="C272" s="866"/>
      <c r="D272" s="395">
        <f t="shared" si="102"/>
        <v>39.075058191286281</v>
      </c>
      <c r="E272" s="387">
        <f t="shared" si="100"/>
        <v>41.774689963394948</v>
      </c>
      <c r="F272" s="387">
        <f t="shared" si="103"/>
        <v>42.476372605353625</v>
      </c>
      <c r="G272" s="110">
        <f t="shared" si="101"/>
        <v>0.90434478306724253</v>
      </c>
      <c r="H272" s="414" t="b">
        <f>Wh_hp&gt;='2023'!Maxi_hp</f>
        <v>0</v>
      </c>
      <c r="I272" s="392">
        <f>IF(H272,Wh_hp,'2023'!Maxi_hp)</f>
        <v>44.298163479728281</v>
      </c>
      <c r="J272" s="85">
        <f>IF(H272,An,'2023'!An_max)</f>
        <v>2020</v>
      </c>
      <c r="K272" s="199">
        <f t="shared" si="104"/>
        <v>45549</v>
      </c>
      <c r="L272" s="147">
        <f>IF(t&lt;Tvie,1-EXP((T0-t)*PertePVj)+'2023'!Pspv,1-EXP((T0-t)*PertePVj)+Pspv)</f>
        <v>5.0704921126024427E-2</v>
      </c>
      <c r="M272" s="870"/>
      <c r="N272" s="870"/>
      <c r="O272" s="48">
        <f>IF(t&lt;Tnet,'2023'!Resal+('2023'!Salim-'2023'!Resal)*(1-EXP(('2023'!Tnet-t)/('2023'!Tau_j))),Resal+(Salim-Resal)*(1-EXP((Tnet-t)/(Tau_j))))*Salcycl</f>
        <v>6.4623621970006664E-2</v>
      </c>
      <c r="P272" s="171">
        <f>(INDEX(Models!$BJ272:$BT272,,T272)*(1-R272)+INDEX(Models!$BJ272:$BT272,,T272+1)*R272-ERP_i)*Q272*Ramure*Pc/MaxiM</f>
        <v>1.9060159466283755E-2</v>
      </c>
      <c r="Q272" s="307">
        <f t="shared" si="105"/>
        <v>1</v>
      </c>
      <c r="R272" s="179">
        <f t="shared" si="106"/>
        <v>8.7224346575381251E-2</v>
      </c>
      <c r="S272" s="837">
        <f t="shared" si="107"/>
        <v>2</v>
      </c>
      <c r="T272" s="178">
        <f t="shared" si="108"/>
        <v>8</v>
      </c>
      <c r="U272" s="253">
        <f t="shared" si="109"/>
        <v>2.0872243465753813</v>
      </c>
      <c r="V272" s="385">
        <f t="shared" si="110"/>
        <v>40.911309937445054</v>
      </c>
      <c r="W272" s="404">
        <f t="shared" si="111"/>
        <v>37.093760447702294</v>
      </c>
      <c r="X272" s="157">
        <f t="shared" si="112"/>
        <v>45549</v>
      </c>
      <c r="Y272" s="387">
        <f t="shared" si="113"/>
        <v>34.605850350062319</v>
      </c>
      <c r="Z272" s="387">
        <f t="shared" si="114"/>
        <v>36.454260766958477</v>
      </c>
      <c r="AA272" s="388">
        <f t="shared" si="115"/>
        <v>41.774689963394948</v>
      </c>
      <c r="AB272" s="199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0.12736011209415299</v>
      </c>
      <c r="AD272" s="233">
        <f>(INDEX(Models!$BJ272:$BT272,,AH272)*(1-AF272)+INDEX(Models!$BJ272:$BT272,,AH272+1)*AF272-ERP_i)*AE272*Ramure*Pc/MaxiM</f>
        <v>1.9060159466283755E-2</v>
      </c>
      <c r="AE272" s="307">
        <f t="shared" si="117"/>
        <v>1</v>
      </c>
      <c r="AF272" s="179">
        <f t="shared" si="118"/>
        <v>8.7224346575381251E-2</v>
      </c>
      <c r="AG272" s="837">
        <f t="shared" ref="AG272:AG335" si="124">INDEX(Echel_vg,AH272)</f>
        <v>2</v>
      </c>
      <c r="AH272" s="178">
        <f t="shared" si="119"/>
        <v>8</v>
      </c>
      <c r="AI272" s="227">
        <f t="shared" si="120"/>
        <v>2.0872243465753813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45550</v>
      </c>
      <c r="B273" s="1139">
        <f>IF(t&gt;Tmaj,'2023'!Wh/'2023'!Env_an*'2024'!Env_an,0.001*'[11]mon-tableau (3)'!$B$217)</f>
        <v>25.592813599009279</v>
      </c>
      <c r="C273" s="866"/>
      <c r="D273" s="395">
        <f t="shared" si="102"/>
        <v>26.960435974648604</v>
      </c>
      <c r="E273" s="387">
        <f t="shared" si="100"/>
        <v>28.829655773320255</v>
      </c>
      <c r="F273" s="387">
        <f t="shared" si="103"/>
        <v>29.098628977797802</v>
      </c>
      <c r="G273" s="110">
        <f t="shared" si="101"/>
        <v>0.62518692663800257</v>
      </c>
      <c r="H273" s="414" t="b">
        <f>Wh_hp&gt;='2023'!Maxi_hp</f>
        <v>0</v>
      </c>
      <c r="I273" s="392">
        <f>IF(H273,Wh_hp,'2023'!Maxi_hp)</f>
        <v>41.309842416196986</v>
      </c>
      <c r="J273" s="85">
        <f>IF(H273,An,'2023'!An_max)</f>
        <v>2019</v>
      </c>
      <c r="K273" s="199">
        <f t="shared" si="104"/>
        <v>45550</v>
      </c>
      <c r="L273" s="147">
        <f>IF(t&lt;Tvie,1-EXP((T0-t)*PertePVj)+'2023'!Pspv,1-EXP((T0-t)*PertePVj)+Pspv)</f>
        <v>5.072701260934076E-2</v>
      </c>
      <c r="M273" s="870"/>
      <c r="N273" s="870"/>
      <c r="O273" s="48">
        <f>IF(t&lt;Tnet,'2023'!Resal+('2023'!Salim-'2023'!Resal)*(1-EXP(('2023'!Tnet-t)/('2023'!Tau_j))),Resal+(Salim-Resal)*(1-EXP((Tnet-t)/(Tau_j))))*Salcycl</f>
        <v>6.4836701949160261E-2</v>
      </c>
      <c r="P273" s="171">
        <f>(INDEX(Models!$BJ273:$BT273,,T273)*(1-R273)+INDEX(Models!$BJ273:$BT273,,T273+1)*R273-ERP_i)*Q273*Ramure*Pc/MaxiM</f>
        <v>1.9505171116825239E-2</v>
      </c>
      <c r="Q273" s="307">
        <f t="shared" si="105"/>
        <v>1</v>
      </c>
      <c r="R273" s="179">
        <f t="shared" si="106"/>
        <v>8.773000931603514E-2</v>
      </c>
      <c r="S273" s="837">
        <f t="shared" si="107"/>
        <v>2</v>
      </c>
      <c r="T273" s="178">
        <f t="shared" si="108"/>
        <v>8</v>
      </c>
      <c r="U273" s="253">
        <f t="shared" si="109"/>
        <v>2.0877300093160351</v>
      </c>
      <c r="V273" s="385">
        <f t="shared" si="110"/>
        <v>40.512264867922653</v>
      </c>
      <c r="W273" s="404">
        <f t="shared" si="111"/>
        <v>25.592813599009279</v>
      </c>
      <c r="X273" s="157">
        <f t="shared" si="112"/>
        <v>45550</v>
      </c>
      <c r="Y273" s="387">
        <f t="shared" si="113"/>
        <v>23.879829747791916</v>
      </c>
      <c r="Z273" s="387">
        <f t="shared" si="114"/>
        <v>25.155914120586395</v>
      </c>
      <c r="AA273" s="388">
        <f t="shared" si="115"/>
        <v>28.829655773320255</v>
      </c>
      <c r="AB273" s="199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0.12742925831718185</v>
      </c>
      <c r="AD273" s="233">
        <f>(INDEX(Models!$BJ273:$BT273,,AH273)*(1-AF273)+INDEX(Models!$BJ273:$BT273,,AH273+1)*AF273-ERP_i)*AE273*Ramure*Pc/MaxiM</f>
        <v>1.9505171116825239E-2</v>
      </c>
      <c r="AE273" s="307">
        <f t="shared" si="117"/>
        <v>1</v>
      </c>
      <c r="AF273" s="179">
        <f t="shared" si="118"/>
        <v>8.773000931603514E-2</v>
      </c>
      <c r="AG273" s="837">
        <f t="shared" si="124"/>
        <v>2</v>
      </c>
      <c r="AH273" s="178">
        <f t="shared" si="119"/>
        <v>8</v>
      </c>
      <c r="AI273" s="227">
        <f t="shared" si="120"/>
        <v>2.0877300093160351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45551</v>
      </c>
      <c r="B274" s="1139">
        <f>IF(t&gt;Tmaj,'2023'!Wh/'2023'!Env_an*'2024'!Env_an,0.001*'[11]mon-tableau (3)'!$B$218)</f>
        <v>40.159718719116611</v>
      </c>
      <c r="C274" s="866"/>
      <c r="D274" s="395">
        <f t="shared" si="102"/>
        <v>42.3067482690969</v>
      </c>
      <c r="E274" s="387">
        <f t="shared" si="100"/>
        <v>45.250185530588759</v>
      </c>
      <c r="F274" s="387">
        <f t="shared" si="103"/>
        <v>46.172782046829937</v>
      </c>
      <c r="G274" s="110">
        <f t="shared" si="101"/>
        <v>1.0012226029271674</v>
      </c>
      <c r="H274" s="414" t="b">
        <f>Wh_hp&gt;='2023'!Maxi_hp</f>
        <v>1</v>
      </c>
      <c r="I274" s="392">
        <f>IF(H274,Wh_hp,'2023'!Maxi_hp)</f>
        <v>46.172782046829937</v>
      </c>
      <c r="J274" s="85">
        <f>IF(H274,An,'2023'!An_max)</f>
        <v>2024</v>
      </c>
      <c r="K274" s="199">
        <f t="shared" si="104"/>
        <v>45551</v>
      </c>
      <c r="L274" s="147">
        <f>IF(t&lt;Tvie,1-EXP((T0-t)*PertePVj)+'2023'!Pspv,1-EXP((T0-t)*PertePVj)+Pspv)</f>
        <v>5.0749103578555887E-2</v>
      </c>
      <c r="M274" s="870"/>
      <c r="N274" s="870"/>
      <c r="O274" s="48">
        <f>IF(t&lt;Tnet,'2023'!Resal+('2023'!Salim-'2023'!Resal)*(1-EXP(('2023'!Tnet-t)/('2023'!Tau_j))),Resal+(Salim-Resal)*(1-EXP((Tnet-t)/(Tau_j))))*Salcycl</f>
        <v>6.5048070565415117E-2</v>
      </c>
      <c r="P274" s="171">
        <f>(INDEX(Models!$BJ274:$BT274,,T274)*(1-R274)+INDEX(Models!$BJ274:$BT274,,T274+1)*R274-ERP_i)*Q274*Ramure*Pc/MaxiM</f>
        <v>1.9981393265527187E-2</v>
      </c>
      <c r="Q274" s="307">
        <f t="shared" si="105"/>
        <v>1</v>
      </c>
      <c r="R274" s="179">
        <f t="shared" si="106"/>
        <v>8.8216011679172812E-2</v>
      </c>
      <c r="S274" s="837">
        <f t="shared" si="107"/>
        <v>2</v>
      </c>
      <c r="T274" s="178">
        <f t="shared" si="108"/>
        <v>8</v>
      </c>
      <c r="U274" s="253">
        <f t="shared" si="109"/>
        <v>2.0882160116791728</v>
      </c>
      <c r="V274" s="385">
        <f t="shared" si="110"/>
        <v>40.110679285211837</v>
      </c>
      <c r="W274" s="404">
        <f t="shared" si="111"/>
        <v>40.159718719116611</v>
      </c>
      <c r="X274" s="157">
        <f t="shared" si="112"/>
        <v>45551</v>
      </c>
      <c r="Y274" s="387">
        <f t="shared" si="113"/>
        <v>37.477344858820182</v>
      </c>
      <c r="Z274" s="387">
        <f t="shared" si="114"/>
        <v>39.480968624949455</v>
      </c>
      <c r="AA274" s="388">
        <f t="shared" si="115"/>
        <v>45.250185530588759</v>
      </c>
      <c r="AB274" s="199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0.12749598345269447</v>
      </c>
      <c r="AD274" s="233">
        <f>(INDEX(Models!$BJ274:$BT274,,AH274)*(1-AF274)+INDEX(Models!$BJ274:$BT274,,AH274+1)*AF274-ERP_i)*AE274*Ramure*Pc/MaxiM</f>
        <v>1.9981393265527187E-2</v>
      </c>
      <c r="AE274" s="307">
        <f t="shared" si="117"/>
        <v>1</v>
      </c>
      <c r="AF274" s="179">
        <f t="shared" si="118"/>
        <v>8.8216011679172812E-2</v>
      </c>
      <c r="AG274" s="837">
        <f t="shared" si="124"/>
        <v>2</v>
      </c>
      <c r="AH274" s="178">
        <f t="shared" si="119"/>
        <v>8</v>
      </c>
      <c r="AI274" s="227">
        <f t="shared" si="120"/>
        <v>2.0882160116791728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45552</v>
      </c>
      <c r="B275" s="1139">
        <f>IF(t&gt;Tmaj,'2023'!Wh/'2023'!Env_an*'2024'!Env_an,0.001*'[11]mon-tableau (3)'!$B$219)</f>
        <v>40.457172647978787</v>
      </c>
      <c r="C275" s="866"/>
      <c r="D275" s="395">
        <f t="shared" si="102"/>
        <v>42.621096614101646</v>
      </c>
      <c r="E275" s="387">
        <f t="shared" si="100"/>
        <v>45.596626560132094</v>
      </c>
      <c r="F275" s="387">
        <f t="shared" si="103"/>
        <v>46.550502444170561</v>
      </c>
      <c r="G275" s="110">
        <f t="shared" si="101"/>
        <v>1.0189736869084016</v>
      </c>
      <c r="H275" s="414" t="b">
        <f>Wh_hp&gt;='2023'!Maxi_hp</f>
        <v>1</v>
      </c>
      <c r="I275" s="392">
        <f>IF(H275,Wh_hp,'2023'!Maxi_hp)</f>
        <v>46.550502444170561</v>
      </c>
      <c r="J275" s="85">
        <f>IF(H275,An,'2023'!An_max)</f>
        <v>2024</v>
      </c>
      <c r="K275" s="199">
        <f t="shared" si="104"/>
        <v>45552</v>
      </c>
      <c r="L275" s="147">
        <f>IF(t&lt;Tvie,1-EXP((T0-t)*PertePVj)+'2023'!Pspv,1-EXP((T0-t)*PertePVj)+Pspv)</f>
        <v>5.077119403368191E-2</v>
      </c>
      <c r="M275" s="870"/>
      <c r="N275" s="870"/>
      <c r="O275" s="48">
        <f>IF(t&lt;Tnet,'2023'!Resal+('2023'!Salim-'2023'!Resal)*(1-EXP(('2023'!Tnet-t)/('2023'!Tau_j))),Resal+(Salim-Resal)*(1-EXP((Tnet-t)/(Tau_j))))*Salcycl</f>
        <v>6.5257677387742033E-2</v>
      </c>
      <c r="P275" s="171">
        <f>(INDEX(Models!$BJ275:$BT275,,T275)*(1-R275)+INDEX(Models!$BJ275:$BT275,,T275+1)*R275-ERP_i)*Q275*Ramure*Pc/MaxiM</f>
        <v>2.0491204905521268E-2</v>
      </c>
      <c r="Q275" s="307">
        <f t="shared" si="105"/>
        <v>1</v>
      </c>
      <c r="R275" s="179">
        <f t="shared" si="106"/>
        <v>8.8683091452973706E-2</v>
      </c>
      <c r="S275" s="837">
        <f t="shared" si="107"/>
        <v>2</v>
      </c>
      <c r="T275" s="178">
        <f t="shared" si="108"/>
        <v>8</v>
      </c>
      <c r="U275" s="253">
        <f t="shared" si="109"/>
        <v>2.0886830914529737</v>
      </c>
      <c r="V275" s="385">
        <f t="shared" si="110"/>
        <v>39.703844336478525</v>
      </c>
      <c r="W275" s="404">
        <f t="shared" si="111"/>
        <v>40.457172647978787</v>
      </c>
      <c r="X275" s="157">
        <f t="shared" si="112"/>
        <v>45552</v>
      </c>
      <c r="Y275" s="387">
        <f t="shared" si="113"/>
        <v>37.760617656804783</v>
      </c>
      <c r="Z275" s="387">
        <f t="shared" si="114"/>
        <v>39.780311574472655</v>
      </c>
      <c r="AA275" s="388">
        <f t="shared" si="115"/>
        <v>45.596626560132094</v>
      </c>
      <c r="AB275" s="199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0.12756020399862197</v>
      </c>
      <c r="AD275" s="233">
        <f>(INDEX(Models!$BJ275:$BT275,,AH275)*(1-AF275)+INDEX(Models!$BJ275:$BT275,,AH275+1)*AF275-ERP_i)*AE275*Ramure*Pc/MaxiM</f>
        <v>2.0491204905521268E-2</v>
      </c>
      <c r="AE275" s="307">
        <f t="shared" si="117"/>
        <v>1</v>
      </c>
      <c r="AF275" s="179">
        <f t="shared" si="118"/>
        <v>8.8683091452973706E-2</v>
      </c>
      <c r="AG275" s="837">
        <f t="shared" si="124"/>
        <v>2</v>
      </c>
      <c r="AH275" s="178">
        <f t="shared" si="119"/>
        <v>8</v>
      </c>
      <c r="AI275" s="227">
        <f t="shared" si="120"/>
        <v>2.0886830914529737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45553</v>
      </c>
      <c r="B276" s="1139">
        <f>IF(t&gt;Tmaj,'2023'!Wh/'2023'!Env_an*'2024'!Env_an,0.001*'[11]mon-tableau (3)'!$B$220)</f>
        <v>38.771757362531147</v>
      </c>
      <c r="C276" s="866"/>
      <c r="D276" s="395">
        <f t="shared" si="102"/>
        <v>40.846484446385851</v>
      </c>
      <c r="E276" s="387">
        <f t="shared" si="100"/>
        <v>43.70783867937714</v>
      </c>
      <c r="F276" s="387">
        <f t="shared" si="103"/>
        <v>44.630851691088139</v>
      </c>
      <c r="G276" s="110">
        <f t="shared" si="101"/>
        <v>0.98646808929417129</v>
      </c>
      <c r="H276" s="414" t="b">
        <f>Wh_hp&gt;='2023'!Maxi_hp</f>
        <v>0</v>
      </c>
      <c r="I276" s="392">
        <f>IF(H276,Wh_hp,'2023'!Maxi_hp)</f>
        <v>44.638887158912787</v>
      </c>
      <c r="J276" s="85">
        <f>IF(H276,An,'2023'!An_max)</f>
        <v>2022</v>
      </c>
      <c r="K276" s="199">
        <f t="shared" si="104"/>
        <v>45553</v>
      </c>
      <c r="L276" s="147">
        <f>IF(t&lt;Tvie,1-EXP((T0-t)*PertePVj)+'2023'!Pspv,1-EXP((T0-t)*PertePVj)+Pspv)</f>
        <v>5.0793283974730818E-2</v>
      </c>
      <c r="M276" s="870"/>
      <c r="N276" s="870"/>
      <c r="O276" s="48">
        <f>IF(t&lt;Tnet,'2023'!Resal+('2023'!Salim-'2023'!Resal)*(1-EXP(('2023'!Tnet-t)/('2023'!Tau_j))),Resal+(Salim-Resal)*(1-EXP((Tnet-t)/(Tau_j))))*Salcycl</f>
        <v>6.5465470712954152E-2</v>
      </c>
      <c r="P276" s="171">
        <f>(INDEX(Models!$BJ276:$BT276,,T276)*(1-R276)+INDEX(Models!$BJ276:$BT276,,T276+1)*R276-ERP_i)*Q276*Ramure*Pc/MaxiM</f>
        <v>2.1076490935990528E-2</v>
      </c>
      <c r="Q276" s="307">
        <f t="shared" si="105"/>
        <v>1</v>
      </c>
      <c r="R276" s="179">
        <f t="shared" si="106"/>
        <v>8.9131960809940125E-2</v>
      </c>
      <c r="S276" s="837">
        <f t="shared" si="107"/>
        <v>2</v>
      </c>
      <c r="T276" s="178">
        <f t="shared" si="108"/>
        <v>8</v>
      </c>
      <c r="U276" s="253">
        <f t="shared" si="109"/>
        <v>2.0891319608099401</v>
      </c>
      <c r="V276" s="385">
        <f t="shared" si="110"/>
        <v>39.287739955662339</v>
      </c>
      <c r="W276" s="404">
        <f t="shared" si="111"/>
        <v>38.771757362531147</v>
      </c>
      <c r="X276" s="157">
        <f t="shared" si="112"/>
        <v>45553</v>
      </c>
      <c r="Y276" s="387">
        <f t="shared" si="113"/>
        <v>36.193028177364397</v>
      </c>
      <c r="Z276" s="387">
        <f t="shared" si="114"/>
        <v>38.129764113890751</v>
      </c>
      <c r="AA276" s="388">
        <f t="shared" si="115"/>
        <v>43.70783867937714</v>
      </c>
      <c r="AB276" s="199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0.12762183475611474</v>
      </c>
      <c r="AD276" s="233">
        <f>(INDEX(Models!$BJ276:$BT276,,AH276)*(1-AF276)+INDEX(Models!$BJ276:$BT276,,AH276+1)*AF276-ERP_i)*AE276*Ramure*Pc/MaxiM</f>
        <v>2.1076490935990528E-2</v>
      </c>
      <c r="AE276" s="307">
        <f t="shared" si="117"/>
        <v>1</v>
      </c>
      <c r="AF276" s="179">
        <f t="shared" si="118"/>
        <v>8.9131960809940125E-2</v>
      </c>
      <c r="AG276" s="837">
        <f t="shared" si="124"/>
        <v>2</v>
      </c>
      <c r="AH276" s="178">
        <f t="shared" si="119"/>
        <v>8</v>
      </c>
      <c r="AI276" s="227">
        <f t="shared" si="120"/>
        <v>2.0891319608099401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45554</v>
      </c>
      <c r="B277" s="1139">
        <f>IF(t&gt;Tmaj,'2023'!Wh/'2023'!Env_an*'2024'!Env_an,0.001*'[11]mon-tableau (3)'!$B$221)</f>
        <v>39.723536251930703</v>
      </c>
      <c r="C277" s="866"/>
      <c r="D277" s="395">
        <f t="shared" si="102"/>
        <v>41.850168174650094</v>
      </c>
      <c r="E277" s="387">
        <f t="shared" si="100"/>
        <v>44.7917018403772</v>
      </c>
      <c r="F277" s="387">
        <f t="shared" si="103"/>
        <v>45.787183013416708</v>
      </c>
      <c r="G277" s="110">
        <f t="shared" si="101"/>
        <v>1.0221378580498539</v>
      </c>
      <c r="H277" s="414" t="b">
        <f>Wh_hp&gt;='2023'!Maxi_hp</f>
        <v>1</v>
      </c>
      <c r="I277" s="392">
        <f>IF(H277,Wh_hp,'2023'!Maxi_hp)</f>
        <v>45.787183013416708</v>
      </c>
      <c r="J277" s="85">
        <f>IF(H277,An,'2023'!An_max)</f>
        <v>2024</v>
      </c>
      <c r="K277" s="199">
        <f t="shared" si="104"/>
        <v>45554</v>
      </c>
      <c r="L277" s="147">
        <f>IF(t&lt;Tvie,1-EXP((T0-t)*PertePVj)+'2023'!Pspv,1-EXP((T0-t)*PertePVj)+Pspv)</f>
        <v>5.0815373401714492E-2</v>
      </c>
      <c r="M277" s="870"/>
      <c r="N277" s="870"/>
      <c r="O277" s="48">
        <f>IF(t&lt;Tnet,'2023'!Resal+('2023'!Salim-'2023'!Resal)*(1-EXP(('2023'!Tnet-t)/('2023'!Tau_j))),Resal+(Salim-Resal)*(1-EXP((Tnet-t)/(Tau_j))))*Salcycl</f>
        <v>6.5671397711338564E-2</v>
      </c>
      <c r="P277" s="171">
        <f>(INDEX(Models!$BJ277:$BT277,,T277)*(1-R277)+INDEX(Models!$BJ277:$BT277,,T277+1)*R277-ERP_i)*Q277*Ramure*Pc/MaxiM</f>
        <v>2.1741481076654336E-2</v>
      </c>
      <c r="Q277" s="307">
        <f t="shared" si="105"/>
        <v>1</v>
      </c>
      <c r="R277" s="179">
        <f t="shared" si="106"/>
        <v>8.9563307033022177E-2</v>
      </c>
      <c r="S277" s="837">
        <f t="shared" si="107"/>
        <v>2</v>
      </c>
      <c r="T277" s="178">
        <f t="shared" si="108"/>
        <v>8</v>
      </c>
      <c r="U277" s="253">
        <f t="shared" si="109"/>
        <v>2.0895633070330222</v>
      </c>
      <c r="V277" s="385">
        <f t="shared" si="110"/>
        <v>38.86318850151936</v>
      </c>
      <c r="W277" s="404">
        <f t="shared" si="111"/>
        <v>39.723536251930703</v>
      </c>
      <c r="X277" s="157">
        <f t="shared" si="112"/>
        <v>45554</v>
      </c>
      <c r="Y277" s="387">
        <f t="shared" si="113"/>
        <v>37.087170093530538</v>
      </c>
      <c r="Z277" s="387">
        <f t="shared" si="114"/>
        <v>39.072662003012603</v>
      </c>
      <c r="AA277" s="388">
        <f t="shared" si="115"/>
        <v>44.7917018403772</v>
      </c>
      <c r="AB277" s="199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0.12768078912798092</v>
      </c>
      <c r="AD277" s="233">
        <f>(INDEX(Models!$BJ277:$BT277,,AH277)*(1-AF277)+INDEX(Models!$BJ277:$BT277,,AH277+1)*AF277-ERP_i)*AE277*Ramure*Pc/MaxiM</f>
        <v>2.1741481076654336E-2</v>
      </c>
      <c r="AE277" s="307">
        <f t="shared" si="117"/>
        <v>1</v>
      </c>
      <c r="AF277" s="179">
        <f t="shared" si="118"/>
        <v>8.9563307033022177E-2</v>
      </c>
      <c r="AG277" s="837">
        <f t="shared" si="124"/>
        <v>2</v>
      </c>
      <c r="AH277" s="178">
        <f t="shared" si="119"/>
        <v>8</v>
      </c>
      <c r="AI277" s="227">
        <f t="shared" si="120"/>
        <v>2.0895633070330222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45555</v>
      </c>
      <c r="B278" s="1139">
        <f>IF(t&gt;Tmaj,'2023'!Wh/'2023'!Env_an*'2024'!Env_an,0.001*'[11]mon-tableau (3)'!$B$222)</f>
        <v>38.55323172963422</v>
      </c>
      <c r="C278" s="866"/>
      <c r="D278" s="395">
        <f t="shared" si="102"/>
        <v>40.618155688751507</v>
      </c>
      <c r="E278" s="387">
        <f t="shared" si="100"/>
        <v>43.482588820242036</v>
      </c>
      <c r="F278" s="387">
        <f t="shared" si="103"/>
        <v>44.482939873798387</v>
      </c>
      <c r="G278" s="110">
        <f t="shared" si="101"/>
        <v>1.0031780250081224</v>
      </c>
      <c r="H278" s="414" t="b">
        <f>Wh_hp&gt;='2023'!Maxi_hp</f>
        <v>1</v>
      </c>
      <c r="I278" s="392">
        <f>IF(H278,Wh_hp,'2023'!Maxi_hp)</f>
        <v>44.482939873798387</v>
      </c>
      <c r="J278" s="85">
        <f>IF(H278,An,'2023'!An_max)</f>
        <v>2024</v>
      </c>
      <c r="K278" s="199">
        <f t="shared" si="104"/>
        <v>45555</v>
      </c>
      <c r="L278" s="147">
        <f>IF(t&lt;Tvie,1-EXP((T0-t)*PertePVj)+'2023'!Pspv,1-EXP((T0-t)*PertePVj)+Pspv)</f>
        <v>5.0837462314644921E-2</v>
      </c>
      <c r="M278" s="870"/>
      <c r="N278" s="870"/>
      <c r="O278" s="48">
        <f>IF(t&lt;Tnet,'2023'!Resal+('2023'!Salim-'2023'!Resal)*(1-EXP(('2023'!Tnet-t)/('2023'!Tau_j))),Resal+(Salim-Resal)*(1-EXP((Tnet-t)/(Tau_j))))*Salcycl</f>
        <v>6.5875404597738135E-2</v>
      </c>
      <c r="P278" s="171">
        <f>(INDEX(Models!$BJ278:$BT278,,T278)*(1-R278)+INDEX(Models!$BJ278:$BT278,,T278+1)*R278-ERP_i)*Q278*Ramure*Pc/MaxiM</f>
        <v>2.2488420423524714E-2</v>
      </c>
      <c r="Q278" s="307">
        <f t="shared" si="105"/>
        <v>1</v>
      </c>
      <c r="R278" s="179">
        <f t="shared" si="106"/>
        <v>8.9977793234644832E-2</v>
      </c>
      <c r="S278" s="837">
        <f t="shared" si="107"/>
        <v>2</v>
      </c>
      <c r="T278" s="178">
        <f t="shared" si="108"/>
        <v>8</v>
      </c>
      <c r="U278" s="253">
        <f t="shared" si="109"/>
        <v>2.0899777932346448</v>
      </c>
      <c r="V278" s="385">
        <f t="shared" si="110"/>
        <v>38.431096743095097</v>
      </c>
      <c r="W278" s="404">
        <f t="shared" si="111"/>
        <v>38.55323172963422</v>
      </c>
      <c r="X278" s="157">
        <f t="shared" si="112"/>
        <v>45555</v>
      </c>
      <c r="Y278" s="387">
        <f t="shared" si="113"/>
        <v>36.00007806831016</v>
      </c>
      <c r="Z278" s="387">
        <f t="shared" si="114"/>
        <v>37.928254265176335</v>
      </c>
      <c r="AA278" s="388">
        <f t="shared" si="115"/>
        <v>43.482588820242036</v>
      </c>
      <c r="AB278" s="199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0.12773697946153673</v>
      </c>
      <c r="AD278" s="233">
        <f>(INDEX(Models!$BJ278:$BT278,,AH278)*(1-AF278)+INDEX(Models!$BJ278:$BT278,,AH278+1)*AF278-ERP_i)*AE278*Ramure*Pc/MaxiM</f>
        <v>2.2488420423524714E-2</v>
      </c>
      <c r="AE278" s="307">
        <f t="shared" si="117"/>
        <v>1</v>
      </c>
      <c r="AF278" s="179">
        <f t="shared" si="118"/>
        <v>8.9977793234644832E-2</v>
      </c>
      <c r="AG278" s="837">
        <f t="shared" si="124"/>
        <v>2</v>
      </c>
      <c r="AH278" s="178">
        <f t="shared" si="119"/>
        <v>8</v>
      </c>
      <c r="AI278" s="227">
        <f t="shared" si="120"/>
        <v>2.0899777932346448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45556</v>
      </c>
      <c r="B279" s="1139">
        <f>IF(t&gt;Tmaj,'2023'!Wh/'2023'!Env_an*'2024'!Env_an,0.001*'[11]mon-tableau (3)'!$B$223)</f>
        <v>37.229125084318468</v>
      </c>
      <c r="C279" s="866"/>
      <c r="D279" s="395">
        <f t="shared" si="102"/>
        <v>39.224042250339409</v>
      </c>
      <c r="E279" s="387">
        <f t="shared" si="100"/>
        <v>41.999244688050332</v>
      </c>
      <c r="F279" s="387">
        <f t="shared" si="103"/>
        <v>42.972591083269272</v>
      </c>
      <c r="G279" s="110">
        <f t="shared" si="101"/>
        <v>0.97923956300461756</v>
      </c>
      <c r="H279" s="414" t="b">
        <f>Wh_hp&gt;='2023'!Maxi_hp</f>
        <v>0</v>
      </c>
      <c r="I279" s="392">
        <f>IF(H279,Wh_hp,'2023'!Maxi_hp)</f>
        <v>42.986661928230411</v>
      </c>
      <c r="J279" s="85">
        <f>IF(H279,An,'2023'!An_max)</f>
        <v>2022</v>
      </c>
      <c r="K279" s="199">
        <f t="shared" si="104"/>
        <v>45556</v>
      </c>
      <c r="L279" s="147">
        <f>IF(t&lt;Tvie,1-EXP((T0-t)*PertePVj)+'2023'!Pspv,1-EXP((T0-t)*PertePVj)+Pspv)</f>
        <v>5.0859550713534096E-2</v>
      </c>
      <c r="M279" s="870"/>
      <c r="N279" s="870"/>
      <c r="O279" s="48">
        <f>IF(t&lt;Tnet,'2023'!Resal+('2023'!Salim-'2023'!Resal)*(1-EXP(('2023'!Tnet-t)/('2023'!Tau_j))),Resal+(Salim-Resal)*(1-EXP((Tnet-t)/(Tau_j))))*Salcycl</f>
        <v>6.6077436828299113E-2</v>
      </c>
      <c r="P279" s="171">
        <f>(INDEX(Models!$BJ279:$BT279,,T279)*(1-R279)+INDEX(Models!$BJ279:$BT279,,T279+1)*R279-ERP_i)*Q279*Ramure*Pc/MaxiM</f>
        <v>2.3319655488118519E-2</v>
      </c>
      <c r="Q279" s="307">
        <f t="shared" si="105"/>
        <v>1</v>
      </c>
      <c r="R279" s="179">
        <f t="shared" si="106"/>
        <v>9.0376059067379E-2</v>
      </c>
      <c r="S279" s="837">
        <f t="shared" si="107"/>
        <v>2</v>
      </c>
      <c r="T279" s="178">
        <f t="shared" si="108"/>
        <v>8</v>
      </c>
      <c r="U279" s="253">
        <f t="shared" si="109"/>
        <v>2.090376059067379</v>
      </c>
      <c r="V279" s="385">
        <f t="shared" si="110"/>
        <v>37.992370077600015</v>
      </c>
      <c r="W279" s="404">
        <f t="shared" si="111"/>
        <v>37.229125084318468</v>
      </c>
      <c r="X279" s="157">
        <f t="shared" si="112"/>
        <v>45556</v>
      </c>
      <c r="Y279" s="387">
        <f t="shared" si="113"/>
        <v>34.76905329460012</v>
      </c>
      <c r="Z279" s="387">
        <f t="shared" si="114"/>
        <v>36.632147877311951</v>
      </c>
      <c r="AA279" s="388">
        <f t="shared" si="115"/>
        <v>41.999244688050332</v>
      </c>
      <c r="AB279" s="199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0.12779031743552832</v>
      </c>
      <c r="AD279" s="233">
        <f>(INDEX(Models!$BJ279:$BT279,,AH279)*(1-AF279)+INDEX(Models!$BJ279:$BT279,,AH279+1)*AF279-ERP_i)*AE279*Ramure*Pc/MaxiM</f>
        <v>2.3319655488118519E-2</v>
      </c>
      <c r="AE279" s="307">
        <f t="shared" si="117"/>
        <v>1</v>
      </c>
      <c r="AF279" s="179">
        <f t="shared" si="118"/>
        <v>9.0376059067379E-2</v>
      </c>
      <c r="AG279" s="837">
        <f t="shared" si="124"/>
        <v>2</v>
      </c>
      <c r="AH279" s="178">
        <f t="shared" si="119"/>
        <v>8</v>
      </c>
      <c r="AI279" s="227">
        <f t="shared" si="120"/>
        <v>2.090376059067379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45557</v>
      </c>
      <c r="B280" s="1139">
        <f>IF(t&gt;Tmaj,'2023'!Wh/'2023'!Env_an*'2024'!Env_an,0.001*'[11]mon-tableau (3)'!$B$224)</f>
        <v>23.954707216442046</v>
      </c>
      <c r="C280" s="866"/>
      <c r="D280" s="395">
        <f t="shared" si="102"/>
        <v>25.238904008839366</v>
      </c>
      <c r="E280" s="387">
        <f t="shared" si="100"/>
        <v>27.030410393570008</v>
      </c>
      <c r="F280" s="387">
        <f t="shared" si="103"/>
        <v>27.350481606744395</v>
      </c>
      <c r="G280" s="110">
        <f t="shared" si="101"/>
        <v>0.62988530556326028</v>
      </c>
      <c r="H280" s="414" t="b">
        <f>Wh_hp&gt;='2023'!Maxi_hp</f>
        <v>0</v>
      </c>
      <c r="I280" s="392">
        <f>IF(H280,Wh_hp,'2023'!Maxi_hp)</f>
        <v>39.136561933282216</v>
      </c>
      <c r="J280" s="85">
        <f>IF(H280,An,'2023'!An_max)</f>
        <v>2019</v>
      </c>
      <c r="K280" s="199">
        <f t="shared" si="104"/>
        <v>45557</v>
      </c>
      <c r="L280" s="147">
        <f>IF(t&lt;Tvie,1-EXP((T0-t)*PertePVj)+'2023'!Pspv,1-EXP((T0-t)*PertePVj)+Pspv)</f>
        <v>5.0881638598393897E-2</v>
      </c>
      <c r="M280" s="870"/>
      <c r="N280" s="870"/>
      <c r="O280" s="48">
        <f>IF(t&lt;Tnet,'2023'!Resal+('2023'!Salim-'2023'!Resal)*(1-EXP(('2023'!Tnet-t)/('2023'!Tau_j))),Resal+(Salim-Resal)*(1-EXP((Tnet-t)/(Tau_j))))*Salcycl</f>
        <v>6.6277439322815698E-2</v>
      </c>
      <c r="P280" s="171">
        <f>(INDEX(Models!$BJ280:$BT280,,T280)*(1-R280)+INDEX(Models!$BJ280:$BT280,,T280+1)*R280-ERP_i)*Q280*Ramure*Pc/MaxiM</f>
        <v>2.4237751770901057E-2</v>
      </c>
      <c r="Q280" s="307">
        <f t="shared" si="105"/>
        <v>1</v>
      </c>
      <c r="R280" s="179">
        <f t="shared" si="106"/>
        <v>9.0758721425170386E-2</v>
      </c>
      <c r="S280" s="837">
        <f t="shared" si="107"/>
        <v>2</v>
      </c>
      <c r="T280" s="178">
        <f t="shared" si="108"/>
        <v>8</v>
      </c>
      <c r="U280" s="253">
        <f t="shared" si="109"/>
        <v>2.0907587214251704</v>
      </c>
      <c r="V280" s="385">
        <f t="shared" si="110"/>
        <v>37.547907582690662</v>
      </c>
      <c r="W280" s="404">
        <f t="shared" si="111"/>
        <v>23.954707216442046</v>
      </c>
      <c r="X280" s="157">
        <f t="shared" si="112"/>
        <v>45557</v>
      </c>
      <c r="Y280" s="387">
        <f t="shared" si="113"/>
        <v>22.375297770822854</v>
      </c>
      <c r="Z280" s="387">
        <f t="shared" si="114"/>
        <v>23.574823415891185</v>
      </c>
      <c r="AA280" s="388">
        <f t="shared" si="115"/>
        <v>27.030410393570008</v>
      </c>
      <c r="AB280" s="199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0.12784071449025569</v>
      </c>
      <c r="AD280" s="233">
        <f>(INDEX(Models!$BJ280:$BT280,,AH280)*(1-AF280)+INDEX(Models!$BJ280:$BT280,,AH280+1)*AF280-ERP_i)*AE280*Ramure*Pc/MaxiM</f>
        <v>2.4237751770901057E-2</v>
      </c>
      <c r="AE280" s="307">
        <f t="shared" si="117"/>
        <v>1</v>
      </c>
      <c r="AF280" s="179">
        <f t="shared" si="118"/>
        <v>9.0758721425170386E-2</v>
      </c>
      <c r="AG280" s="837">
        <f t="shared" si="124"/>
        <v>2</v>
      </c>
      <c r="AH280" s="178">
        <f t="shared" si="119"/>
        <v>8</v>
      </c>
      <c r="AI280" s="227">
        <f t="shared" si="120"/>
        <v>2.0907587214251704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45558</v>
      </c>
      <c r="B281" s="1139">
        <f>IF(t&gt;Tmaj,'2023'!Wh/'2023'!Env_an*'2024'!Env_an,0.001*'[11]mon-tableau (3)'!$B$225)</f>
        <v>16.059062825986597</v>
      </c>
      <c r="C281" s="866"/>
      <c r="D281" s="395">
        <f t="shared" si="102"/>
        <v>16.920372848778108</v>
      </c>
      <c r="E281" s="387">
        <f t="shared" si="100"/>
        <v>18.125255686007296</v>
      </c>
      <c r="F281" s="387">
        <f t="shared" si="103"/>
        <v>18.212532005644562</v>
      </c>
      <c r="G281" s="110">
        <f t="shared" si="101"/>
        <v>0.42397875292536541</v>
      </c>
      <c r="H281" s="414" t="b">
        <f>Wh_hp&gt;='2023'!Maxi_hp</f>
        <v>0</v>
      </c>
      <c r="I281" s="392">
        <f>IF(H281,Wh_hp,'2023'!Maxi_hp)</f>
        <v>35.871023448312265</v>
      </c>
      <c r="J281" s="85">
        <f>IF(H281,An,'2023'!An_max)</f>
        <v>2021</v>
      </c>
      <c r="K281" s="199">
        <f t="shared" si="104"/>
        <v>45558</v>
      </c>
      <c r="L281" s="147">
        <f>IF(t&lt;Tvie,1-EXP((T0-t)*PertePVj)+'2023'!Pspv,1-EXP((T0-t)*PertePVj)+Pspv)</f>
        <v>5.0903725969236424E-2</v>
      </c>
      <c r="M281" s="870"/>
      <c r="N281" s="870"/>
      <c r="O281" s="48">
        <f>IF(t&lt;Tnet,'2023'!Resal+('2023'!Salim-'2023'!Resal)*(1-EXP(('2023'!Tnet-t)/('2023'!Tau_j))),Resal+(Salim-Resal)*(1-EXP((Tnet-t)/(Tau_j))))*Salcycl</f>
        <v>6.6475356712311515E-2</v>
      </c>
      <c r="P281" s="171">
        <f>(INDEX(Models!$BJ281:$BT281,,T281)*(1-R281)+INDEX(Models!$BJ281:$BT281,,T281+1)*R281-ERP_i)*Q281*Ramure*Pc/MaxiM</f>
        <v>2.5245306059054309E-2</v>
      </c>
      <c r="Q281" s="307">
        <f t="shared" si="105"/>
        <v>1</v>
      </c>
      <c r="R281" s="179">
        <f t="shared" si="106"/>
        <v>9.1126375134161108E-2</v>
      </c>
      <c r="S281" s="837">
        <f t="shared" si="107"/>
        <v>2</v>
      </c>
      <c r="T281" s="178">
        <f t="shared" si="108"/>
        <v>8</v>
      </c>
      <c r="U281" s="253">
        <f t="shared" si="109"/>
        <v>2.0911263751341611</v>
      </c>
      <c r="V281" s="385">
        <f t="shared" si="110"/>
        <v>37.098608942974224</v>
      </c>
      <c r="W281" s="404">
        <f t="shared" si="111"/>
        <v>16.059062825986597</v>
      </c>
      <c r="X281" s="157">
        <f t="shared" si="112"/>
        <v>45558</v>
      </c>
      <c r="Y281" s="387">
        <f t="shared" si="113"/>
        <v>15.002603496700578</v>
      </c>
      <c r="Z281" s="387">
        <f t="shared" si="114"/>
        <v>15.807251495135771</v>
      </c>
      <c r="AA281" s="388">
        <f t="shared" si="115"/>
        <v>18.125255686007296</v>
      </c>
      <c r="AB281" s="199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0.12788808229949686</v>
      </c>
      <c r="AD281" s="233">
        <f>(INDEX(Models!$BJ281:$BT281,,AH281)*(1-AF281)+INDEX(Models!$BJ281:$BT281,,AH281+1)*AF281-ERP_i)*AE281*Ramure*Pc/MaxiM</f>
        <v>2.5245306059054309E-2</v>
      </c>
      <c r="AE281" s="307">
        <f t="shared" si="117"/>
        <v>1</v>
      </c>
      <c r="AF281" s="179">
        <f t="shared" si="118"/>
        <v>9.1126375134161108E-2</v>
      </c>
      <c r="AG281" s="837">
        <f t="shared" si="124"/>
        <v>2</v>
      </c>
      <c r="AH281" s="178">
        <f t="shared" si="119"/>
        <v>8</v>
      </c>
      <c r="AI281" s="227">
        <f t="shared" si="120"/>
        <v>2.0911263751341611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45559</v>
      </c>
      <c r="B282" s="1139">
        <f>IF(t&gt;Tmaj,'2023'!Wh/'2023'!Env_an*'2024'!Env_an,0.001*'[11]mon-tableau (3)'!$B$226)</f>
        <v>26.793709448909159</v>
      </c>
      <c r="C282" s="866"/>
      <c r="D282" s="395">
        <f t="shared" si="102"/>
        <v>28.231417323331932</v>
      </c>
      <c r="E282" s="387">
        <f t="shared" si="100"/>
        <v>30.248091899872122</v>
      </c>
      <c r="F282" s="387">
        <f t="shared" si="103"/>
        <v>30.747200803981151</v>
      </c>
      <c r="G282" s="110">
        <f t="shared" si="101"/>
        <v>0.72364640710207495</v>
      </c>
      <c r="H282" s="414" t="b">
        <f>Wh_hp&gt;='2023'!Maxi_hp</f>
        <v>0</v>
      </c>
      <c r="I282" s="392">
        <f>IF(H282,Wh_hp,'2023'!Maxi_hp)</f>
        <v>30.911204106697131</v>
      </c>
      <c r="J282" s="85">
        <f>IF(H282,An,'2023'!An_max)</f>
        <v>2022</v>
      </c>
      <c r="K282" s="199">
        <f t="shared" si="104"/>
        <v>45559</v>
      </c>
      <c r="L282" s="147">
        <f>IF(t&lt;Tvie,1-EXP((T0-t)*PertePVj)+'2023'!Pspv,1-EXP((T0-t)*PertePVj)+Pspv)</f>
        <v>5.0925812826073558E-2</v>
      </c>
      <c r="M282" s="870"/>
      <c r="N282" s="870"/>
      <c r="O282" s="48">
        <f>IF(t&lt;Tnet,'2023'!Resal+('2023'!Salim-'2023'!Resal)*(1-EXP(('2023'!Tnet-t)/('2023'!Tau_j))),Resal+(Salim-Resal)*(1-EXP((Tnet-t)/(Tau_j))))*Salcycl</f>
        <v>6.6671133611198669E-2</v>
      </c>
      <c r="P282" s="171">
        <f>(INDEX(Models!$BJ282:$BT282,,T282)*(1-R282)+INDEX(Models!$BJ282:$BT282,,T282+1)*R282-ERP_i)*Q282*Ramure*Pc/MaxiM</f>
        <v>2.6353639018267008E-2</v>
      </c>
      <c r="Q282" s="307">
        <f t="shared" si="105"/>
        <v>1</v>
      </c>
      <c r="R282" s="179">
        <f t="shared" si="106"/>
        <v>9.1479593632266543E-2</v>
      </c>
      <c r="S282" s="837">
        <f t="shared" si="107"/>
        <v>2</v>
      </c>
      <c r="T282" s="178">
        <f t="shared" si="108"/>
        <v>8</v>
      </c>
      <c r="U282" s="253">
        <f t="shared" si="109"/>
        <v>2.0914795936322665</v>
      </c>
      <c r="V282" s="385">
        <f t="shared" si="110"/>
        <v>36.645046634934886</v>
      </c>
      <c r="W282" s="404">
        <f t="shared" si="111"/>
        <v>26.793709448909159</v>
      </c>
      <c r="X282" s="157">
        <f t="shared" si="112"/>
        <v>45559</v>
      </c>
      <c r="Y282" s="387">
        <f t="shared" si="113"/>
        <v>25.035042334251177</v>
      </c>
      <c r="Z282" s="387">
        <f t="shared" si="114"/>
        <v>26.378382925784155</v>
      </c>
      <c r="AA282" s="388">
        <f t="shared" si="115"/>
        <v>30.248091899872122</v>
      </c>
      <c r="AB282" s="199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0.12793233328229628</v>
      </c>
      <c r="AD282" s="233">
        <f>(INDEX(Models!$BJ282:$BT282,,AH282)*(1-AF282)+INDEX(Models!$BJ282:$BT282,,AH282+1)*AF282-ERP_i)*AE282*Ramure*Pc/MaxiM</f>
        <v>2.6353639018267008E-2</v>
      </c>
      <c r="AE282" s="307">
        <f t="shared" si="117"/>
        <v>1</v>
      </c>
      <c r="AF282" s="179">
        <f t="shared" si="118"/>
        <v>9.1479593632266543E-2</v>
      </c>
      <c r="AG282" s="837">
        <f t="shared" si="124"/>
        <v>2</v>
      </c>
      <c r="AH282" s="178">
        <f t="shared" si="119"/>
        <v>8</v>
      </c>
      <c r="AI282" s="227">
        <f t="shared" si="120"/>
        <v>2.0914795936322665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45560</v>
      </c>
      <c r="B283" s="1139">
        <f>IF(t&gt;Tmaj,'2023'!Wh/'2023'!Env_an*'2024'!Env_an,0.001*'[11]mon-tableau (3)'!$B$227)</f>
        <v>28.735914774485568</v>
      </c>
      <c r="C283" s="866"/>
      <c r="D283" s="395">
        <f t="shared" si="102"/>
        <v>30.278542926485901</v>
      </c>
      <c r="E283" s="387">
        <f t="shared" si="100"/>
        <v>32.448181319887262</v>
      </c>
      <c r="F283" s="387">
        <f t="shared" si="103"/>
        <v>33.091382508634325</v>
      </c>
      <c r="G283" s="110">
        <f t="shared" si="101"/>
        <v>0.78748778894884242</v>
      </c>
      <c r="H283" s="414" t="b">
        <f>Wh_hp&gt;='2023'!Maxi_hp</f>
        <v>0</v>
      </c>
      <c r="I283" s="392">
        <f>IF(H283,Wh_hp,'2023'!Maxi_hp)</f>
        <v>33.236088483579834</v>
      </c>
      <c r="J283" s="85">
        <f>IF(H283,An,'2023'!An_max)</f>
        <v>2022</v>
      </c>
      <c r="K283" s="199">
        <f t="shared" si="104"/>
        <v>45560</v>
      </c>
      <c r="L283" s="147">
        <f>IF(t&lt;Tvie,1-EXP((T0-t)*PertePVj)+'2023'!Pspv,1-EXP((T0-t)*PertePVj)+Pspv)</f>
        <v>5.0947899168917177E-2</v>
      </c>
      <c r="M283" s="870"/>
      <c r="N283" s="870"/>
      <c r="O283" s="48">
        <f>IF(t&lt;Tnet,'2023'!Resal+('2023'!Salim-'2023'!Resal)*(1-EXP(('2023'!Tnet-t)/('2023'!Tau_j))),Resal+(Salim-Resal)*(1-EXP((Tnet-t)/(Tau_j))))*Salcycl</f>
        <v>6.6864714913054346E-2</v>
      </c>
      <c r="P283" s="171">
        <f>(INDEX(Models!$BJ283:$BT283,,T283)*(1-R283)+INDEX(Models!$BJ283:$BT283,,T283+1)*R283-ERP_i)*Q283*Ramure*Pc/MaxiM</f>
        <v>2.7539735650935669E-2</v>
      </c>
      <c r="Q283" s="307">
        <f t="shared" si="105"/>
        <v>1</v>
      </c>
      <c r="R283" s="179">
        <f t="shared" si="106"/>
        <v>9.1818929636795499E-2</v>
      </c>
      <c r="S283" s="837">
        <f t="shared" si="107"/>
        <v>2</v>
      </c>
      <c r="T283" s="178">
        <f t="shared" si="108"/>
        <v>8</v>
      </c>
      <c r="U283" s="253">
        <f t="shared" si="109"/>
        <v>2.0918189296367955</v>
      </c>
      <c r="V283" s="385">
        <f t="shared" si="110"/>
        <v>36.189086032073163</v>
      </c>
      <c r="W283" s="404">
        <f t="shared" si="111"/>
        <v>28.735914774485568</v>
      </c>
      <c r="X283" s="157">
        <f t="shared" si="112"/>
        <v>45560</v>
      </c>
      <c r="Y283" s="387">
        <f t="shared" si="113"/>
        <v>26.854072502423474</v>
      </c>
      <c r="Z283" s="387">
        <f t="shared" si="114"/>
        <v>28.295677844143036</v>
      </c>
      <c r="AA283" s="388">
        <f t="shared" si="115"/>
        <v>32.448181319887262</v>
      </c>
      <c r="AB283" s="199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0.1279733811521567</v>
      </c>
      <c r="AD283" s="233">
        <f>(INDEX(Models!$BJ283:$BT283,,AH283)*(1-AF283)+INDEX(Models!$BJ283:$BT283,,AH283+1)*AF283-ERP_i)*AE283*Ramure*Pc/MaxiM</f>
        <v>2.7539735650935669E-2</v>
      </c>
      <c r="AE283" s="307">
        <f t="shared" si="117"/>
        <v>1</v>
      </c>
      <c r="AF283" s="179">
        <f t="shared" si="118"/>
        <v>9.1818929636795499E-2</v>
      </c>
      <c r="AG283" s="837">
        <f t="shared" si="124"/>
        <v>2</v>
      </c>
      <c r="AH283" s="178">
        <f t="shared" si="119"/>
        <v>8</v>
      </c>
      <c r="AI283" s="227">
        <f t="shared" si="120"/>
        <v>2.0918189296367955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45561</v>
      </c>
      <c r="B284" s="1139">
        <f>IF(t&gt;Tmaj,'2023'!Wh/'2023'!Env_an*'2024'!Env_an,0.001*'[11]mon-tableau (3)'!$B$228)</f>
        <v>14.021829955529061</v>
      </c>
      <c r="C284" s="866"/>
      <c r="D284" s="395">
        <f t="shared" si="102"/>
        <v>14.77490672989542</v>
      </c>
      <c r="E284" s="387">
        <f t="shared" si="100"/>
        <v>15.836864227770921</v>
      </c>
      <c r="F284" s="387">
        <f t="shared" si="103"/>
        <v>15.897324769815047</v>
      </c>
      <c r="G284" s="110">
        <f t="shared" si="101"/>
        <v>0.3825717622230243</v>
      </c>
      <c r="H284" s="414" t="b">
        <f>Wh_hp&gt;='2023'!Maxi_hp</f>
        <v>0</v>
      </c>
      <c r="I284" s="392">
        <f>IF(H284,Wh_hp,'2023'!Maxi_hp)</f>
        <v>32.510091909422549</v>
      </c>
      <c r="J284" s="85">
        <f>IF(H284,An,'2023'!An_max)</f>
        <v>2019</v>
      </c>
      <c r="K284" s="199">
        <f t="shared" si="104"/>
        <v>45561</v>
      </c>
      <c r="L284" s="147">
        <f>IF(t&lt;Tvie,1-EXP((T0-t)*PertePVj)+'2023'!Pspv,1-EXP((T0-t)*PertePVj)+Pspv)</f>
        <v>5.0969984997779383E-2</v>
      </c>
      <c r="M284" s="870"/>
      <c r="N284" s="870"/>
      <c r="O284" s="48">
        <f>IF(t&lt;Tnet,'2023'!Resal+('2023'!Salim-'2023'!Resal)*(1-EXP(('2023'!Tnet-t)/('2023'!Tau_j))),Resal+(Salim-Resal)*(1-EXP((Tnet-t)/(Tau_j))))*Salcycl</f>
        <v>6.7056046108755013E-2</v>
      </c>
      <c r="P284" s="171">
        <f>(INDEX(Models!$BJ284:$BT284,,T284)*(1-R284)+INDEX(Models!$BJ284:$BT284,,T284+1)*R284-ERP_i)*Q284*Ramure*Pc/MaxiM</f>
        <v>2.8805596056284331E-2</v>
      </c>
      <c r="Q284" s="307">
        <f t="shared" si="105"/>
        <v>1</v>
      </c>
      <c r="R284" s="179">
        <f t="shared" si="106"/>
        <v>9.2144915799492466E-2</v>
      </c>
      <c r="S284" s="837">
        <f t="shared" si="107"/>
        <v>2</v>
      </c>
      <c r="T284" s="178">
        <f t="shared" si="108"/>
        <v>8</v>
      </c>
      <c r="U284" s="253">
        <f t="shared" si="109"/>
        <v>2.0921449157994925</v>
      </c>
      <c r="V284" s="385">
        <f t="shared" si="110"/>
        <v>35.731628427946291</v>
      </c>
      <c r="W284" s="404">
        <f t="shared" si="111"/>
        <v>14.021829955529061</v>
      </c>
      <c r="X284" s="157">
        <f t="shared" si="112"/>
        <v>45561</v>
      </c>
      <c r="Y284" s="387">
        <f t="shared" si="113"/>
        <v>13.105695627262671</v>
      </c>
      <c r="Z284" s="387">
        <f t="shared" si="114"/>
        <v>13.809569160182996</v>
      </c>
      <c r="AA284" s="388">
        <f t="shared" si="115"/>
        <v>15.836864227770921</v>
      </c>
      <c r="AB284" s="199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0.12801114150066009</v>
      </c>
      <c r="AD284" s="233">
        <f>(INDEX(Models!$BJ284:$BT284,,AH284)*(1-AF284)+INDEX(Models!$BJ284:$BT284,,AH284+1)*AF284-ERP_i)*AE284*Ramure*Pc/MaxiM</f>
        <v>2.8805596056284331E-2</v>
      </c>
      <c r="AE284" s="307">
        <f t="shared" si="117"/>
        <v>1</v>
      </c>
      <c r="AF284" s="179">
        <f t="shared" si="118"/>
        <v>9.2144915799492466E-2</v>
      </c>
      <c r="AG284" s="837">
        <f t="shared" si="124"/>
        <v>2</v>
      </c>
      <c r="AH284" s="178">
        <f t="shared" si="119"/>
        <v>8</v>
      </c>
      <c r="AI284" s="227">
        <f t="shared" si="120"/>
        <v>2.0921449157994925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45562</v>
      </c>
      <c r="B285" s="1139">
        <f>IF(t&gt;Tmaj,'2023'!Wh/'2023'!Env_an*'2024'!Env_an,0.001*'[11]mon-tableau (3)'!$B$229)</f>
        <v>16.476450949092929</v>
      </c>
      <c r="C285" s="866"/>
      <c r="D285" s="395">
        <f t="shared" si="102"/>
        <v>17.361763198882297</v>
      </c>
      <c r="E285" s="387">
        <f t="shared" si="100"/>
        <v>18.613424285373238</v>
      </c>
      <c r="F285" s="387">
        <f t="shared" si="103"/>
        <v>18.748378850020885</v>
      </c>
      <c r="G285" s="110">
        <f t="shared" si="101"/>
        <v>0.4563045392615821</v>
      </c>
      <c r="H285" s="414" t="b">
        <f>Wh_hp&gt;='2023'!Maxi_hp</f>
        <v>0</v>
      </c>
      <c r="I285" s="392">
        <f>IF(H285,Wh_hp,'2023'!Maxi_hp)</f>
        <v>28.599911688914776</v>
      </c>
      <c r="J285" s="85">
        <f>IF(H285,An,'2023'!An_max)</f>
        <v>2019</v>
      </c>
      <c r="K285" s="199">
        <f t="shared" si="104"/>
        <v>45562</v>
      </c>
      <c r="L285" s="147">
        <f>IF(t&lt;Tvie,1-EXP((T0-t)*PertePVj)+'2023'!Pspv,1-EXP((T0-t)*PertePVj)+Pspv)</f>
        <v>5.0992070312672166E-2</v>
      </c>
      <c r="M285" s="870"/>
      <c r="N285" s="870"/>
      <c r="O285" s="48">
        <f>IF(t&lt;Tnet,'2023'!Resal+('2023'!Salim-'2023'!Resal)*(1-EXP(('2023'!Tnet-t)/('2023'!Tau_j))),Resal+(Salim-Resal)*(1-EXP((Tnet-t)/(Tau_j))))*Salcycl</f>
        <v>6.7245073625411364E-2</v>
      </c>
      <c r="P285" s="171">
        <f>(INDEX(Models!$BJ285:$BT285,,T285)*(1-R285)+INDEX(Models!$BJ285:$BT285,,T285+1)*R285-ERP_i)*Q285*Ramure*Pc/MaxiM</f>
        <v>3.0153193961394174E-2</v>
      </c>
      <c r="Q285" s="307">
        <f t="shared" si="105"/>
        <v>1</v>
      </c>
      <c r="R285" s="179">
        <f t="shared" si="106"/>
        <v>9.2458065348493879E-2</v>
      </c>
      <c r="S285" s="837">
        <f t="shared" si="107"/>
        <v>2</v>
      </c>
      <c r="T285" s="178">
        <f t="shared" si="108"/>
        <v>8</v>
      </c>
      <c r="U285" s="253">
        <f t="shared" si="109"/>
        <v>2.0924580653484939</v>
      </c>
      <c r="V285" s="385">
        <f t="shared" si="110"/>
        <v>35.273573893930738</v>
      </c>
      <c r="W285" s="404">
        <f t="shared" si="111"/>
        <v>16.476450949092929</v>
      </c>
      <c r="X285" s="157">
        <f t="shared" si="112"/>
        <v>45562</v>
      </c>
      <c r="Y285" s="387">
        <f t="shared" si="113"/>
        <v>15.402454180430423</v>
      </c>
      <c r="Z285" s="387">
        <f t="shared" si="114"/>
        <v>16.230058462741308</v>
      </c>
      <c r="AA285" s="388">
        <f t="shared" si="115"/>
        <v>18.613424285373238</v>
      </c>
      <c r="AB285" s="199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0.12804553241204639</v>
      </c>
      <c r="AD285" s="233">
        <f>(INDEX(Models!$BJ285:$BT285,,AH285)*(1-AF285)+INDEX(Models!$BJ285:$BT285,,AH285+1)*AF285-ERP_i)*AE285*Ramure*Pc/MaxiM</f>
        <v>3.0153193961394174E-2</v>
      </c>
      <c r="AE285" s="307">
        <f t="shared" si="117"/>
        <v>1</v>
      </c>
      <c r="AF285" s="179">
        <f t="shared" si="118"/>
        <v>9.2458065348493879E-2</v>
      </c>
      <c r="AG285" s="837">
        <f t="shared" si="124"/>
        <v>2</v>
      </c>
      <c r="AH285" s="178">
        <f t="shared" si="119"/>
        <v>8</v>
      </c>
      <c r="AI285" s="227">
        <f t="shared" si="120"/>
        <v>2.0924580653484939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45563</v>
      </c>
      <c r="B286" s="1139">
        <f>IF(t&gt;Tmaj,'2023'!Wh/'2023'!Env_an*'2024'!Env_an,0.001*'[11]mon-tableau (3)'!$B$230)</f>
        <v>21.998683415208284</v>
      </c>
      <c r="C286" s="866"/>
      <c r="D286" s="395">
        <f t="shared" si="102"/>
        <v>23.181255583260931</v>
      </c>
      <c r="E286" s="387">
        <f t="shared" si="100"/>
        <v>24.857435864403413</v>
      </c>
      <c r="F286" s="387">
        <f t="shared" si="103"/>
        <v>25.235301306838817</v>
      </c>
      <c r="G286" s="110">
        <f t="shared" si="101"/>
        <v>0.62120360101708283</v>
      </c>
      <c r="H286" s="414" t="b">
        <f>Wh_hp&gt;='2023'!Maxi_hp</f>
        <v>0</v>
      </c>
      <c r="I286" s="392">
        <f>IF(H286,Wh_hp,'2023'!Maxi_hp)</f>
        <v>39.642846116741424</v>
      </c>
      <c r="J286" s="85">
        <f>IF(H286,An,'2023'!An_max)</f>
        <v>2019</v>
      </c>
      <c r="K286" s="199">
        <f t="shared" si="104"/>
        <v>45563</v>
      </c>
      <c r="L286" s="147">
        <f>IF(t&lt;Tvie,1-EXP((T0-t)*PertePVj)+'2023'!Pspv,1-EXP((T0-t)*PertePVj)+Pspv)</f>
        <v>5.1014155113607296E-2</v>
      </c>
      <c r="M286" s="870"/>
      <c r="N286" s="870"/>
      <c r="O286" s="48">
        <f>IF(t&lt;Tnet,'2023'!Resal+('2023'!Salim-'2023'!Resal)*(1-EXP(('2023'!Tnet-t)/('2023'!Tau_j))),Resal+(Salim-Resal)*(1-EXP((Tnet-t)/(Tau_j))))*Salcycl</f>
        <v>6.7431745184257874E-2</v>
      </c>
      <c r="P286" s="171">
        <f>(INDEX(Models!$BJ286:$BT286,,T286)*(1-R286)+INDEX(Models!$BJ286:$BT286,,T286+1)*R286-ERP_i)*Q286*Ramure*Pc/MaxiM</f>
        <v>3.1584453733515962E-2</v>
      </c>
      <c r="Q286" s="307">
        <f t="shared" si="105"/>
        <v>1</v>
      </c>
      <c r="R286" s="179">
        <f t="shared" si="106"/>
        <v>9.2758872716768082E-2</v>
      </c>
      <c r="S286" s="837">
        <f t="shared" si="107"/>
        <v>2</v>
      </c>
      <c r="T286" s="178">
        <f t="shared" si="108"/>
        <v>8</v>
      </c>
      <c r="U286" s="253">
        <f t="shared" si="109"/>
        <v>2.0927588727167681</v>
      </c>
      <c r="V286" s="385">
        <f t="shared" si="110"/>
        <v>34.815821323170987</v>
      </c>
      <c r="W286" s="404">
        <f t="shared" si="111"/>
        <v>21.998683415208284</v>
      </c>
      <c r="X286" s="157">
        <f t="shared" si="112"/>
        <v>45563</v>
      </c>
      <c r="Y286" s="387">
        <f t="shared" si="113"/>
        <v>20.568113365848617</v>
      </c>
      <c r="Z286" s="387">
        <f t="shared" si="114"/>
        <v>21.673783098746764</v>
      </c>
      <c r="AA286" s="388">
        <f t="shared" si="115"/>
        <v>24.857435864403413</v>
      </c>
      <c r="AB286" s="199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0.12807647510480893</v>
      </c>
      <c r="AD286" s="233">
        <f>(INDEX(Models!$BJ286:$BT286,,AH286)*(1-AF286)+INDEX(Models!$BJ286:$BT286,,AH286+1)*AF286-ERP_i)*AE286*Ramure*Pc/MaxiM</f>
        <v>3.1584453733515962E-2</v>
      </c>
      <c r="AE286" s="307">
        <f t="shared" si="117"/>
        <v>1</v>
      </c>
      <c r="AF286" s="179">
        <f t="shared" si="118"/>
        <v>9.2758872716768082E-2</v>
      </c>
      <c r="AG286" s="837">
        <f t="shared" si="124"/>
        <v>2</v>
      </c>
      <c r="AH286" s="178">
        <f t="shared" si="119"/>
        <v>8</v>
      </c>
      <c r="AI286" s="227">
        <f t="shared" si="120"/>
        <v>2.0927588727167681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45564</v>
      </c>
      <c r="B287" s="1139">
        <f>IF(t&gt;Tmaj,'2023'!Wh/'2023'!Env_an*'2024'!Env_an,0.001*'[11]mon-tableau (3)'!$B$231)</f>
        <v>25.376640178819962</v>
      </c>
      <c r="C287" s="866"/>
      <c r="D287" s="395">
        <f t="shared" si="102"/>
        <v>26.741421782841392</v>
      </c>
      <c r="E287" s="387">
        <f t="shared" si="100"/>
        <v>28.680696016531979</v>
      </c>
      <c r="F287" s="387">
        <f t="shared" si="103"/>
        <v>29.288094381222407</v>
      </c>
      <c r="G287" s="110">
        <f t="shared" si="101"/>
        <v>0.72924364280180776</v>
      </c>
      <c r="H287" s="414" t="b">
        <f>Wh_hp&gt;='2023'!Maxi_hp</f>
        <v>0</v>
      </c>
      <c r="I287" s="392">
        <f>IF(H287,Wh_hp,'2023'!Maxi_hp)</f>
        <v>32.062263093878606</v>
      </c>
      <c r="J287" s="85">
        <f>IF(H287,An,'2023'!An_max)</f>
        <v>2020</v>
      </c>
      <c r="K287" s="199">
        <f t="shared" si="104"/>
        <v>45564</v>
      </c>
      <c r="L287" s="147">
        <f>IF(t&lt;Tvie,1-EXP((T0-t)*PertePVj)+'2023'!Pspv,1-EXP((T0-t)*PertePVj)+Pspv)</f>
        <v>5.1036239400596983E-2</v>
      </c>
      <c r="M287" s="870"/>
      <c r="N287" s="870"/>
      <c r="O287" s="48">
        <f>IF(t&lt;Tnet,'2023'!Resal+('2023'!Salim-'2023'!Resal)*(1-EXP(('2023'!Tnet-t)/('2023'!Tau_j))),Resal+(Salim-Resal)*(1-EXP((Tnet-t)/(Tau_j))))*Salcycl</f>
        <v>6.7616010175372318E-2</v>
      </c>
      <c r="P287" s="171">
        <f>(INDEX(Models!$BJ287:$BT287,,T287)*(1-R287)+INDEX(Models!$BJ287:$BT287,,T287+1)*R287-ERP_i)*Q287*Ramure*Pc/MaxiM</f>
        <v>3.3101224848769803E-2</v>
      </c>
      <c r="Q287" s="307">
        <f t="shared" si="105"/>
        <v>1</v>
      </c>
      <c r="R287" s="179">
        <f t="shared" si="106"/>
        <v>9.3047814156700603E-2</v>
      </c>
      <c r="S287" s="837">
        <f t="shared" si="107"/>
        <v>2</v>
      </c>
      <c r="T287" s="178">
        <f t="shared" si="108"/>
        <v>8</v>
      </c>
      <c r="U287" s="253">
        <f t="shared" si="109"/>
        <v>2.0930478141567006</v>
      </c>
      <c r="V287" s="385">
        <f t="shared" si="110"/>
        <v>34.359268474160757</v>
      </c>
      <c r="W287" s="404">
        <f t="shared" si="111"/>
        <v>25.376640178819962</v>
      </c>
      <c r="X287" s="157">
        <f t="shared" si="112"/>
        <v>45564</v>
      </c>
      <c r="Y287" s="387">
        <f t="shared" si="113"/>
        <v>23.730344988351238</v>
      </c>
      <c r="Z287" s="387">
        <f t="shared" si="114"/>
        <v>25.006587157092504</v>
      </c>
      <c r="AA287" s="388">
        <f t="shared" si="115"/>
        <v>28.680696016531979</v>
      </c>
      <c r="AB287" s="199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0.12810389459592142</v>
      </c>
      <c r="AD287" s="233">
        <f>(INDEX(Models!$BJ287:$BT287,,AH287)*(1-AF287)+INDEX(Models!$BJ287:$BT287,,AH287+1)*AF287-ERP_i)*AE287*Ramure*Pc/MaxiM</f>
        <v>3.3101224848769803E-2</v>
      </c>
      <c r="AE287" s="307">
        <f t="shared" si="117"/>
        <v>1</v>
      </c>
      <c r="AF287" s="179">
        <f t="shared" si="118"/>
        <v>9.3047814156700603E-2</v>
      </c>
      <c r="AG287" s="837">
        <f t="shared" si="124"/>
        <v>2</v>
      </c>
      <c r="AH287" s="178">
        <f t="shared" si="119"/>
        <v>8</v>
      </c>
      <c r="AI287" s="227">
        <f t="shared" si="120"/>
        <v>2.0930478141567006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45565</v>
      </c>
      <c r="B288" s="1139">
        <f>IF(t&gt;Tmaj,'2023'!Wh/'2023'!Env_an*'2024'!Env_an,0.001*'[12]mon-tableau (1)'!$B$208)</f>
        <v>30.492531444168851</v>
      </c>
      <c r="C288" s="866"/>
      <c r="D288" s="395">
        <f t="shared" si="102"/>
        <v>32.133198687350806</v>
      </c>
      <c r="E288" s="387">
        <f t="shared" si="100"/>
        <v>34.470203329673836</v>
      </c>
      <c r="F288" s="387">
        <f t="shared" si="103"/>
        <v>35.525871772958148</v>
      </c>
      <c r="G288" s="110">
        <f t="shared" si="101"/>
        <v>0.89473202200412083</v>
      </c>
      <c r="H288" s="414" t="b">
        <f>Wh_hp&gt;='2023'!Maxi_hp</f>
        <v>0</v>
      </c>
      <c r="I288" s="392">
        <f>IF(H288,Wh_hp,'2023'!Maxi_hp)</f>
        <v>38.101768879016269</v>
      </c>
      <c r="J288" s="85">
        <f>IF(H288,An,'2023'!An_max)</f>
        <v>2020</v>
      </c>
      <c r="K288" s="199">
        <f t="shared" si="104"/>
        <v>45565</v>
      </c>
      <c r="L288" s="147">
        <f>IF(t&lt;Tvie,1-EXP((T0-t)*PertePVj)+'2023'!Pspv,1-EXP((T0-t)*PertePVj)+Pspv)</f>
        <v>5.1058323173652886E-2</v>
      </c>
      <c r="M288" s="870"/>
      <c r="N288" s="870"/>
      <c r="O288" s="48">
        <f>IF(t&lt;Tnet,'2023'!Resal+('2023'!Salim-'2023'!Resal)*(1-EXP(('2023'!Tnet-t)/('2023'!Tau_j))),Resal+(Salim-Resal)*(1-EXP((Tnet-t)/(Tau_j))))*Salcycl</f>
        <v>6.7797820046834656E-2</v>
      </c>
      <c r="P288" s="171">
        <f>(INDEX(Models!$BJ288:$BT288,,T288)*(1-R288)+INDEX(Models!$BJ288:$BT288,,T288+1)*R288-ERP_i)*Q288*Ramure*Pc/MaxiM</f>
        <v>3.4705253684035021E-2</v>
      </c>
      <c r="Q288" s="307">
        <f t="shared" si="105"/>
        <v>1</v>
      </c>
      <c r="R288" s="179">
        <f t="shared" si="106"/>
        <v>9.3325348340548508E-2</v>
      </c>
      <c r="S288" s="837">
        <f t="shared" si="107"/>
        <v>2</v>
      </c>
      <c r="T288" s="178">
        <f t="shared" si="108"/>
        <v>8</v>
      </c>
      <c r="U288" s="253">
        <f t="shared" si="109"/>
        <v>2.0933253483405485</v>
      </c>
      <c r="V288" s="385">
        <f t="shared" si="110"/>
        <v>33.90481201607161</v>
      </c>
      <c r="W288" s="404">
        <f t="shared" si="111"/>
        <v>30.492531444168851</v>
      </c>
      <c r="X288" s="157">
        <f t="shared" si="112"/>
        <v>45565</v>
      </c>
      <c r="Y288" s="387">
        <f t="shared" si="113"/>
        <v>28.519127581163957</v>
      </c>
      <c r="Z288" s="387">
        <f t="shared" si="114"/>
        <v>30.053614755907549</v>
      </c>
      <c r="AA288" s="388">
        <f t="shared" si="115"/>
        <v>34.470203329673836</v>
      </c>
      <c r="AB288" s="199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0.12812772038290379</v>
      </c>
      <c r="AD288" s="233">
        <f>(INDEX(Models!$BJ288:$BT288,,AH288)*(1-AF288)+INDEX(Models!$BJ288:$BT288,,AH288+1)*AF288-ERP_i)*AE288*Ramure*Pc/MaxiM</f>
        <v>3.4705253684035021E-2</v>
      </c>
      <c r="AE288" s="307">
        <f t="shared" si="117"/>
        <v>1</v>
      </c>
      <c r="AF288" s="179">
        <f t="shared" si="118"/>
        <v>9.3325348340548508E-2</v>
      </c>
      <c r="AG288" s="837">
        <f t="shared" si="124"/>
        <v>2</v>
      </c>
      <c r="AH288" s="178">
        <f t="shared" si="119"/>
        <v>8</v>
      </c>
      <c r="AI288" s="227">
        <f t="shared" si="120"/>
        <v>2.0933253483405485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45566</v>
      </c>
      <c r="B289" s="1139">
        <f>IF(t&gt;Tmaj,'2023'!Wh/'2023'!Env_an*'2024'!Env_an,0.001*'[12]mon-tableau (1)'!$B$209)</f>
        <v>32.162774256850639</v>
      </c>
      <c r="C289" s="866"/>
      <c r="D289" s="395">
        <f t="shared" si="102"/>
        <v>33.8940985884201</v>
      </c>
      <c r="E289" s="387">
        <f t="shared" si="100"/>
        <v>36.366166144990508</v>
      </c>
      <c r="F289" s="387">
        <f t="shared" si="103"/>
        <v>37.661852826669502</v>
      </c>
      <c r="G289" s="110">
        <f t="shared" si="101"/>
        <v>0.95955738055458206</v>
      </c>
      <c r="H289" s="414" t="b">
        <f>Wh_hp&gt;='2023'!Maxi_hp</f>
        <v>0</v>
      </c>
      <c r="I289" s="392">
        <f>IF(H289,Wh_hp,'2023'!Maxi_hp)</f>
        <v>37.706519945613685</v>
      </c>
      <c r="J289" s="85">
        <f>IF(H289,An,'2023'!An_max)</f>
        <v>2022</v>
      </c>
      <c r="K289" s="199">
        <f t="shared" si="104"/>
        <v>45566</v>
      </c>
      <c r="L289" s="147">
        <f>IF(t&lt;Tvie,1-EXP((T0-t)*PertePVj)+'2023'!Pspv,1-EXP((T0-t)*PertePVj)+Pspv)</f>
        <v>5.1080406432787218E-2</v>
      </c>
      <c r="M289" s="870"/>
      <c r="N289" s="870"/>
      <c r="O289" s="48">
        <f>IF(t&lt;Tnet,'2023'!Resal+('2023'!Salim-'2023'!Resal)*(1-EXP(('2023'!Tnet-t)/('2023'!Tau_j))),Resal+(Salim-Resal)*(1-EXP((Tnet-t)/(Tau_j))))*Salcycl</f>
        <v>6.7977128705686826E-2</v>
      </c>
      <c r="P289" s="171">
        <f>(INDEX(Models!$BJ289:$BT289,,T289)*(1-R289)+INDEX(Models!$BJ289:$BT289,,T289+1)*R289-ERP_i)*Q289*Ramure*Pc/MaxiM</f>
        <v>3.640278274757304E-2</v>
      </c>
      <c r="Q289" s="307">
        <f t="shared" si="105"/>
        <v>1</v>
      </c>
      <c r="R289" s="179">
        <f t="shared" si="106"/>
        <v>9.35919169465671E-2</v>
      </c>
      <c r="S289" s="837">
        <f t="shared" si="107"/>
        <v>2</v>
      </c>
      <c r="T289" s="178">
        <f t="shared" si="108"/>
        <v>8</v>
      </c>
      <c r="U289" s="253">
        <f t="shared" si="109"/>
        <v>2.0935919169465671</v>
      </c>
      <c r="V289" s="385">
        <f t="shared" si="110"/>
        <v>33.448931785032379</v>
      </c>
      <c r="W289" s="404">
        <f t="shared" si="111"/>
        <v>32.162774256850639</v>
      </c>
      <c r="X289" s="157">
        <f t="shared" si="112"/>
        <v>45566</v>
      </c>
      <c r="Y289" s="387">
        <f t="shared" si="113"/>
        <v>30.086367572052652</v>
      </c>
      <c r="Z289" s="387">
        <f t="shared" si="114"/>
        <v>31.705918790179989</v>
      </c>
      <c r="AA289" s="388">
        <f t="shared" si="115"/>
        <v>36.366166144990508</v>
      </c>
      <c r="AB289" s="199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0.12814788713856415</v>
      </c>
      <c r="AD289" s="233">
        <f>(INDEX(Models!$BJ289:$BT289,,AH289)*(1-AF289)+INDEX(Models!$BJ289:$BT289,,AH289+1)*AF289-ERP_i)*AE289*Ramure*Pc/MaxiM</f>
        <v>3.640278274757304E-2</v>
      </c>
      <c r="AE289" s="307">
        <f t="shared" si="117"/>
        <v>1</v>
      </c>
      <c r="AF289" s="179">
        <f t="shared" si="118"/>
        <v>9.35919169465671E-2</v>
      </c>
      <c r="AG289" s="837">
        <f t="shared" si="124"/>
        <v>2</v>
      </c>
      <c r="AH289" s="178">
        <f t="shared" si="119"/>
        <v>8</v>
      </c>
      <c r="AI289" s="227">
        <f t="shared" si="120"/>
        <v>2.0935919169465671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45567</v>
      </c>
      <c r="B290" s="1139">
        <f>IF(t&gt;Tmaj,'2023'!Wh/'2023'!Env_an*'2024'!Env_an,0.001*'[12]mon-tableau (1)'!$B$210)</f>
        <v>30.297147316406505</v>
      </c>
      <c r="C290" s="866"/>
      <c r="D290" s="395">
        <f t="shared" si="102"/>
        <v>31.928787852084699</v>
      </c>
      <c r="E290" s="387">
        <f t="shared" si="100"/>
        <v>34.264013778416427</v>
      </c>
      <c r="F290" s="387">
        <f t="shared" si="103"/>
        <v>35.460322351138885</v>
      </c>
      <c r="G290" s="110">
        <f t="shared" si="101"/>
        <v>0.91418103842708331</v>
      </c>
      <c r="H290" s="414" t="b">
        <f>Wh_hp&gt;='2023'!Maxi_hp</f>
        <v>0</v>
      </c>
      <c r="I290" s="392">
        <f>IF(H290,Wh_hp,'2023'!Maxi_hp)</f>
        <v>36.052378620144729</v>
      </c>
      <c r="J290" s="85">
        <f>IF(H290,An,'2023'!An_max)</f>
        <v>2018</v>
      </c>
      <c r="K290" s="199">
        <f t="shared" si="104"/>
        <v>45567</v>
      </c>
      <c r="L290" s="147">
        <f>IF(t&lt;Tvie,1-EXP((T0-t)*PertePVj)+'2023'!Pspv,1-EXP((T0-t)*PertePVj)+Pspv)</f>
        <v>5.1102489178011856E-2</v>
      </c>
      <c r="M290" s="870"/>
      <c r="N290" s="870"/>
      <c r="O290" s="48">
        <f>IF(t&lt;Tnet,'2023'!Resal+('2023'!Salim-'2023'!Resal)*(1-EXP(('2023'!Tnet-t)/('2023'!Tau_j))),Resal+(Salim-Resal)*(1-EXP((Tnet-t)/(Tau_j))))*Salcycl</f>
        <v>6.8153892927825352E-2</v>
      </c>
      <c r="P290" s="171">
        <f>(INDEX(Models!$BJ290:$BT290,,T290)*(1-R290)+INDEX(Models!$BJ290:$BT290,,T290+1)*R290-ERP_i)*Q290*Ramure*Pc/MaxiM</f>
        <v>3.8187478235143325E-2</v>
      </c>
      <c r="Q290" s="307">
        <f t="shared" si="105"/>
        <v>1</v>
      </c>
      <c r="R290" s="179">
        <f t="shared" si="106"/>
        <v>9.3847945230670415E-2</v>
      </c>
      <c r="S290" s="837">
        <f t="shared" si="107"/>
        <v>2</v>
      </c>
      <c r="T290" s="178">
        <f t="shared" si="108"/>
        <v>8</v>
      </c>
      <c r="U290" s="253">
        <f t="shared" si="109"/>
        <v>2.0938479452306704</v>
      </c>
      <c r="V290" s="385">
        <f t="shared" si="110"/>
        <v>32.988639089222183</v>
      </c>
      <c r="W290" s="404">
        <f t="shared" si="111"/>
        <v>30.297147316406505</v>
      </c>
      <c r="X290" s="157">
        <f t="shared" si="112"/>
        <v>45567</v>
      </c>
      <c r="Y290" s="387">
        <f t="shared" si="113"/>
        <v>28.346025556391364</v>
      </c>
      <c r="Z290" s="387">
        <f t="shared" si="114"/>
        <v>29.872589223926248</v>
      </c>
      <c r="AA290" s="388">
        <f t="shared" si="115"/>
        <v>34.264013778416427</v>
      </c>
      <c r="AB290" s="199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0.12816433541292885</v>
      </c>
      <c r="AD290" s="233">
        <f>(INDEX(Models!$BJ290:$BT290,,AH290)*(1-AF290)+INDEX(Models!$BJ290:$BT290,,AH290+1)*AF290-ERP_i)*AE290*Ramure*Pc/MaxiM</f>
        <v>3.8187478235143325E-2</v>
      </c>
      <c r="AE290" s="307">
        <f t="shared" si="117"/>
        <v>1</v>
      </c>
      <c r="AF290" s="179">
        <f t="shared" si="118"/>
        <v>9.3847945230670415E-2</v>
      </c>
      <c r="AG290" s="837">
        <f t="shared" si="124"/>
        <v>2</v>
      </c>
      <c r="AH290" s="178">
        <f t="shared" si="119"/>
        <v>8</v>
      </c>
      <c r="AI290" s="227">
        <f t="shared" si="120"/>
        <v>2.0938479452306704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45568</v>
      </c>
      <c r="B291" s="1139">
        <f>IF(t&gt;Tmaj,'2023'!Wh/'2023'!Env_an*'2024'!Env_an,0.001*'[12]mon-tableau (1)'!$B$211)</f>
        <v>32.343712498152648</v>
      </c>
      <c r="C291" s="866"/>
      <c r="D291" s="395">
        <f t="shared" si="102"/>
        <v>34.086363208068185</v>
      </c>
      <c r="E291" s="387">
        <f t="shared" si="100"/>
        <v>36.586229778919453</v>
      </c>
      <c r="F291" s="387">
        <f t="shared" si="103"/>
        <v>38.098508694962696</v>
      </c>
      <c r="G291" s="110">
        <f t="shared" si="101"/>
        <v>0.99404726840073487</v>
      </c>
      <c r="H291" s="414" t="b">
        <f>Wh_hp&gt;='2023'!Maxi_hp</f>
        <v>0</v>
      </c>
      <c r="I291" s="392">
        <f>IF(H291,Wh_hp,'2023'!Maxi_hp)</f>
        <v>38.105877849887769</v>
      </c>
      <c r="J291" s="85">
        <f>IF(H291,An,'2023'!An_max)</f>
        <v>2022</v>
      </c>
      <c r="K291" s="199">
        <f t="shared" si="104"/>
        <v>45568</v>
      </c>
      <c r="L291" s="147">
        <f>IF(t&lt;Tvie,1-EXP((T0-t)*PertePVj)+'2023'!Pspv,1-EXP((T0-t)*PertePVj)+Pspv)</f>
        <v>5.1124571409338682E-2</v>
      </c>
      <c r="M291" s="870"/>
      <c r="N291" s="870"/>
      <c r="O291" s="48">
        <f>IF(t&lt;Tnet,'2023'!Resal+('2023'!Salim-'2023'!Resal)*(1-EXP(('2023'!Tnet-t)/('2023'!Tau_j))),Resal+(Salim-Resal)*(1-EXP((Tnet-t)/(Tau_j))))*Salcycl</f>
        <v>6.832807277375319E-2</v>
      </c>
      <c r="P291" s="171">
        <f>(INDEX(Models!$BJ291:$BT291,,T291)*(1-R291)+INDEX(Models!$BJ291:$BT291,,T291+1)*R291-ERP_i)*Q291*Ramure*Pc/MaxiM</f>
        <v>4.0015182093425257E-2</v>
      </c>
      <c r="Q291" s="307">
        <f t="shared" si="105"/>
        <v>1</v>
      </c>
      <c r="R291" s="179">
        <f t="shared" si="106"/>
        <v>9.4093842583533149E-2</v>
      </c>
      <c r="S291" s="837">
        <f t="shared" si="107"/>
        <v>2</v>
      </c>
      <c r="T291" s="178">
        <f t="shared" si="108"/>
        <v>8</v>
      </c>
      <c r="U291" s="253">
        <f t="shared" si="109"/>
        <v>2.0940938425835331</v>
      </c>
      <c r="V291" s="385">
        <f t="shared" si="110"/>
        <v>32.526513581800032</v>
      </c>
      <c r="W291" s="404">
        <f t="shared" si="111"/>
        <v>32.343712498152648</v>
      </c>
      <c r="X291" s="157">
        <f t="shared" si="112"/>
        <v>45568</v>
      </c>
      <c r="Y291" s="387">
        <f t="shared" si="113"/>
        <v>30.266010210499829</v>
      </c>
      <c r="Z291" s="387">
        <f t="shared" si="114"/>
        <v>31.896716153197374</v>
      </c>
      <c r="AA291" s="388">
        <f t="shared" si="115"/>
        <v>36.586229778919453</v>
      </c>
      <c r="AB291" s="199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0.12817701233659551</v>
      </c>
      <c r="AD291" s="233">
        <f>(INDEX(Models!$BJ291:$BT291,,AH291)*(1-AF291)+INDEX(Models!$BJ291:$BT291,,AH291+1)*AF291-ERP_i)*AE291*Ramure*Pc/MaxiM</f>
        <v>4.0015182093425257E-2</v>
      </c>
      <c r="AE291" s="307">
        <f t="shared" si="117"/>
        <v>1</v>
      </c>
      <c r="AF291" s="179">
        <f t="shared" si="118"/>
        <v>9.4093842583533149E-2</v>
      </c>
      <c r="AG291" s="837">
        <f t="shared" si="124"/>
        <v>2</v>
      </c>
      <c r="AH291" s="178">
        <f t="shared" si="119"/>
        <v>8</v>
      </c>
      <c r="AI291" s="227">
        <f t="shared" si="120"/>
        <v>2.0940938425835331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45569</v>
      </c>
      <c r="B292" s="1139">
        <f>IF(t&gt;Tmaj,'2023'!Wh/'2023'!Env_an*'2024'!Env_an,0.001*'[12]mon-tableau (1)'!$B$212)</f>
        <v>32.613348647346982</v>
      </c>
      <c r="C292" s="866"/>
      <c r="D292" s="395">
        <f t="shared" si="102"/>
        <v>34.371326986218207</v>
      </c>
      <c r="E292" s="387">
        <f t="shared" si="100"/>
        <v>36.89888717947786</v>
      </c>
      <c r="F292" s="387">
        <f t="shared" si="103"/>
        <v>38.512022634162186</v>
      </c>
      <c r="G292" s="110">
        <f t="shared" si="101"/>
        <v>1.0171470124477862</v>
      </c>
      <c r="H292" s="414" t="b">
        <f>Wh_hp&gt;='2023'!Maxi_hp</f>
        <v>1</v>
      </c>
      <c r="I292" s="392">
        <f>IF(H292,Wh_hp,'2023'!Maxi_hp)</f>
        <v>38.512022634162186</v>
      </c>
      <c r="J292" s="85">
        <f>IF(H292,An,'2023'!An_max)</f>
        <v>2024</v>
      </c>
      <c r="K292" s="199">
        <f t="shared" si="104"/>
        <v>45569</v>
      </c>
      <c r="L292" s="147">
        <f>IF(t&lt;Tvie,1-EXP((T0-t)*PertePVj)+'2023'!Pspv,1-EXP((T0-t)*PertePVj)+Pspv)</f>
        <v>5.1146653126779795E-2</v>
      </c>
      <c r="M292" s="870"/>
      <c r="N292" s="870"/>
      <c r="O292" s="48">
        <f>IF(t&lt;Tnet,'2023'!Resal+('2023'!Salim-'2023'!Resal)*(1-EXP(('2023'!Tnet-t)/('2023'!Tau_j))),Resal+(Salim-Resal)*(1-EXP((Tnet-t)/(Tau_j))))*Salcycl</f>
        <v>6.8499632006935249E-2</v>
      </c>
      <c r="P292" s="171">
        <f>(INDEX(Models!$BJ292:$BT292,,T292)*(1-R292)+INDEX(Models!$BJ292:$BT292,,T292+1)*R292-ERP_i)*Q292*Ramure*Pc/MaxiM</f>
        <v>4.1886542028914057E-2</v>
      </c>
      <c r="Q292" s="307">
        <f t="shared" si="105"/>
        <v>1</v>
      </c>
      <c r="R292" s="179">
        <f t="shared" si="106"/>
        <v>9.4330003073107349E-2</v>
      </c>
      <c r="S292" s="837">
        <f t="shared" si="107"/>
        <v>2</v>
      </c>
      <c r="T292" s="178">
        <f t="shared" si="108"/>
        <v>8</v>
      </c>
      <c r="U292" s="253">
        <f t="shared" si="109"/>
        <v>2.0943300030731073</v>
      </c>
      <c r="V292" s="385">
        <f t="shared" si="110"/>
        <v>32.063554479565603</v>
      </c>
      <c r="W292" s="404">
        <f t="shared" si="111"/>
        <v>32.613348647346982</v>
      </c>
      <c r="X292" s="157">
        <f t="shared" si="112"/>
        <v>45569</v>
      </c>
      <c r="Y292" s="387">
        <f t="shared" si="113"/>
        <v>30.523635930477695</v>
      </c>
      <c r="Z292" s="387">
        <f t="shared" si="114"/>
        <v>32.168971138757094</v>
      </c>
      <c r="AA292" s="388">
        <f t="shared" si="115"/>
        <v>36.89888717947786</v>
      </c>
      <c r="AB292" s="199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0.12818587231951575</v>
      </c>
      <c r="AD292" s="233">
        <f>(INDEX(Models!$BJ292:$BT292,,AH292)*(1-AF292)+INDEX(Models!$BJ292:$BT292,,AH292+1)*AF292-ERP_i)*AE292*Ramure*Pc/MaxiM</f>
        <v>4.1886542028914057E-2</v>
      </c>
      <c r="AE292" s="307">
        <f t="shared" si="117"/>
        <v>1</v>
      </c>
      <c r="AF292" s="179">
        <f t="shared" si="118"/>
        <v>9.4330003073107349E-2</v>
      </c>
      <c r="AG292" s="837">
        <f t="shared" si="124"/>
        <v>2</v>
      </c>
      <c r="AH292" s="178">
        <f t="shared" si="119"/>
        <v>8</v>
      </c>
      <c r="AI292" s="227">
        <f t="shared" si="120"/>
        <v>2.0943300030731073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45570</v>
      </c>
      <c r="B293" s="1139">
        <f>IF(t&gt;Tmaj,'2023'!Wh/'2023'!Env_an*'2024'!Env_an,0.001*'[12]mon-tableau (1)'!$B$213)</f>
        <v>13.991712720144879</v>
      </c>
      <c r="C293" s="866"/>
      <c r="D293" s="395">
        <f t="shared" si="102"/>
        <v>14.7462601901825</v>
      </c>
      <c r="E293" s="387">
        <f t="shared" si="100"/>
        <v>15.833525227003403</v>
      </c>
      <c r="F293" s="387">
        <f t="shared" si="103"/>
        <v>15.976247857997716</v>
      </c>
      <c r="G293" s="110">
        <f t="shared" si="101"/>
        <v>0.42718731131514986</v>
      </c>
      <c r="H293" s="414" t="b">
        <f>Wh_hp&gt;='2023'!Maxi_hp</f>
        <v>0</v>
      </c>
      <c r="I293" s="392">
        <f>IF(H293,Wh_hp,'2023'!Maxi_hp)</f>
        <v>33.993896318509428</v>
      </c>
      <c r="J293" s="85">
        <f>IF(H293,An,'2023'!An_max)</f>
        <v>2018</v>
      </c>
      <c r="K293" s="199">
        <f t="shared" si="104"/>
        <v>45570</v>
      </c>
      <c r="L293" s="147">
        <f>IF(t&lt;Tvie,1-EXP((T0-t)*PertePVj)+'2023'!Pspv,1-EXP((T0-t)*PertePVj)+Pspv)</f>
        <v>5.1168734330347077E-2</v>
      </c>
      <c r="M293" s="870"/>
      <c r="N293" s="870"/>
      <c r="O293" s="48">
        <f>IF(t&lt;Tnet,'2023'!Resal+('2023'!Salim-'2023'!Resal)*(1-EXP(('2023'!Tnet-t)/('2023'!Tau_j))),Resal+(Salim-Resal)*(1-EXP((Tnet-t)/(Tau_j))))*Salcycl</f>
        <v>6.866853851134927E-2</v>
      </c>
      <c r="P293" s="171">
        <f>(INDEX(Models!$BJ293:$BT293,,T293)*(1-R293)+INDEX(Models!$BJ293:$BT293,,T293+1)*R293-ERP_i)*Q293*Ramure*Pc/MaxiM</f>
        <v>4.3802019417068842E-2</v>
      </c>
      <c r="Q293" s="307">
        <f t="shared" si="105"/>
        <v>1</v>
      </c>
      <c r="R293" s="179">
        <f t="shared" si="106"/>
        <v>9.455680597256233E-2</v>
      </c>
      <c r="S293" s="837">
        <f t="shared" si="107"/>
        <v>2</v>
      </c>
      <c r="T293" s="178">
        <f t="shared" si="108"/>
        <v>8</v>
      </c>
      <c r="U293" s="253">
        <f t="shared" si="109"/>
        <v>2.0945568059725623</v>
      </c>
      <c r="V293" s="385">
        <f t="shared" si="110"/>
        <v>31.600760075231026</v>
      </c>
      <c r="W293" s="404">
        <f t="shared" si="111"/>
        <v>13.991712720144879</v>
      </c>
      <c r="X293" s="157">
        <f t="shared" si="112"/>
        <v>45570</v>
      </c>
      <c r="Y293" s="387">
        <f t="shared" si="113"/>
        <v>13.097488155268991</v>
      </c>
      <c r="Z293" s="387">
        <f t="shared" si="114"/>
        <v>13.803811730450542</v>
      </c>
      <c r="AA293" s="388">
        <f t="shared" si="115"/>
        <v>15.833525227003403</v>
      </c>
      <c r="AB293" s="199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0.12819087773904389</v>
      </c>
      <c r="AD293" s="233">
        <f>(INDEX(Models!$BJ293:$BT293,,AH293)*(1-AF293)+INDEX(Models!$BJ293:$BT293,,AH293+1)*AF293-ERP_i)*AE293*Ramure*Pc/MaxiM</f>
        <v>4.3802019417068842E-2</v>
      </c>
      <c r="AE293" s="307">
        <f t="shared" si="117"/>
        <v>1</v>
      </c>
      <c r="AF293" s="179">
        <f t="shared" si="118"/>
        <v>9.455680597256233E-2</v>
      </c>
      <c r="AG293" s="837">
        <f t="shared" si="124"/>
        <v>2</v>
      </c>
      <c r="AH293" s="178">
        <f t="shared" si="119"/>
        <v>8</v>
      </c>
      <c r="AI293" s="227">
        <f t="shared" si="120"/>
        <v>2.0945568059725623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45571</v>
      </c>
      <c r="B294" s="1139">
        <f>IF(t&gt;Tmaj,'2023'!Wh/'2023'!Env_an*'2024'!Env_an,0.001*'[12]mon-tableau (1)'!$B$214)</f>
        <v>23.987747175446668</v>
      </c>
      <c r="C294" s="866"/>
      <c r="D294" s="395">
        <f t="shared" si="102"/>
        <v>25.2819508444721</v>
      </c>
      <c r="E294" s="387">
        <f t="shared" si="100"/>
        <v>27.150874931938844</v>
      </c>
      <c r="F294" s="387">
        <f t="shared" si="103"/>
        <v>28.012197233767317</v>
      </c>
      <c r="G294" s="110">
        <f t="shared" si="101"/>
        <v>0.75840840044517532</v>
      </c>
      <c r="H294" s="414" t="b">
        <f>Wh_hp&gt;='2023'!Maxi_hp</f>
        <v>0</v>
      </c>
      <c r="I294" s="392">
        <f>IF(H294,Wh_hp,'2023'!Maxi_hp)</f>
        <v>37.024189714848987</v>
      </c>
      <c r="J294" s="85">
        <f>IF(H294,An,'2023'!An_max)</f>
        <v>2021</v>
      </c>
      <c r="K294" s="199">
        <f t="shared" si="104"/>
        <v>45571</v>
      </c>
      <c r="L294" s="147">
        <f>IF(t&lt;Tvie,1-EXP((T0-t)*PertePVj)+'2023'!Pspv,1-EXP((T0-t)*PertePVj)+Pspv)</f>
        <v>5.1190815020052516E-2</v>
      </c>
      <c r="M294" s="870"/>
      <c r="N294" s="870"/>
      <c r="O294" s="48">
        <f>IF(t&lt;Tnet,'2023'!Resal+('2023'!Salim-'2023'!Resal)*(1-EXP(('2023'!Tnet-t)/('2023'!Tau_j))),Resal+(Salim-Resal)*(1-EXP((Tnet-t)/(Tau_j))))*Salcycl</f>
        <v>6.8834764704699805E-2</v>
      </c>
      <c r="P294" s="171">
        <f>(INDEX(Models!$BJ294:$BT294,,T294)*(1-R294)+INDEX(Models!$BJ294:$BT294,,T294+1)*R294-ERP_i)*Q294*Ramure*Pc/MaxiM</f>
        <v>4.5761864210045446E-2</v>
      </c>
      <c r="Q294" s="307">
        <f t="shared" si="105"/>
        <v>1</v>
      </c>
      <c r="R294" s="179">
        <f t="shared" si="106"/>
        <v>9.4774616273694434E-2</v>
      </c>
      <c r="S294" s="837">
        <f t="shared" si="107"/>
        <v>2</v>
      </c>
      <c r="T294" s="178">
        <f t="shared" si="108"/>
        <v>8</v>
      </c>
      <c r="U294" s="253">
        <f t="shared" si="109"/>
        <v>2.0947746162736944</v>
      </c>
      <c r="V294" s="385">
        <f t="shared" si="110"/>
        <v>31.139127763045952</v>
      </c>
      <c r="W294" s="404">
        <f t="shared" si="111"/>
        <v>23.987747175446668</v>
      </c>
      <c r="X294" s="157">
        <f t="shared" si="112"/>
        <v>45571</v>
      </c>
      <c r="Y294" s="387">
        <f t="shared" si="113"/>
        <v>22.458645475774915</v>
      </c>
      <c r="Z294" s="387">
        <f t="shared" si="114"/>
        <v>23.670349983226149</v>
      </c>
      <c r="AA294" s="388">
        <f t="shared" si="115"/>
        <v>27.150874931938844</v>
      </c>
      <c r="AB294" s="199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0.12819199961097355</v>
      </c>
      <c r="AD294" s="233">
        <f>(INDEX(Models!$BJ294:$BT294,,AH294)*(1-AF294)+INDEX(Models!$BJ294:$BT294,,AH294+1)*AF294-ERP_i)*AE294*Ramure*Pc/MaxiM</f>
        <v>4.5761864210045446E-2</v>
      </c>
      <c r="AE294" s="307">
        <f t="shared" si="117"/>
        <v>1</v>
      </c>
      <c r="AF294" s="179">
        <f t="shared" si="118"/>
        <v>9.4774616273694434E-2</v>
      </c>
      <c r="AG294" s="837">
        <f t="shared" si="124"/>
        <v>2</v>
      </c>
      <c r="AH294" s="178">
        <f t="shared" si="119"/>
        <v>8</v>
      </c>
      <c r="AI294" s="227">
        <f t="shared" si="120"/>
        <v>2.0947746162736944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45572</v>
      </c>
      <c r="B295" s="1139">
        <f>IF(t&gt;Tmaj,'2023'!Wh/'2023'!Env_an*'2024'!Env_an,0.001*'[12]mon-tableau (1)'!$B$215)</f>
        <v>14.667591309319324</v>
      </c>
      <c r="C295" s="866"/>
      <c r="D295" s="395">
        <f t="shared" si="102"/>
        <v>15.459307188147257</v>
      </c>
      <c r="E295" s="387">
        <f t="shared" si="100"/>
        <v>16.605025520309564</v>
      </c>
      <c r="F295" s="387">
        <f t="shared" si="103"/>
        <v>16.809296735209209</v>
      </c>
      <c r="G295" s="110">
        <f t="shared" si="101"/>
        <v>0.46085253705394308</v>
      </c>
      <c r="H295" s="414" t="b">
        <f>Wh_hp&gt;='2023'!Maxi_hp</f>
        <v>0</v>
      </c>
      <c r="I295" s="392">
        <f>IF(H295,Wh_hp,'2023'!Maxi_hp)</f>
        <v>36.120260428293889</v>
      </c>
      <c r="J295" s="85">
        <f>IF(H295,An,'2023'!An_max)</f>
        <v>2021</v>
      </c>
      <c r="K295" s="199">
        <f t="shared" si="104"/>
        <v>45572</v>
      </c>
      <c r="L295" s="147">
        <f>IF(t&lt;Tvie,1-EXP((T0-t)*PertePVj)+'2023'!Pspv,1-EXP((T0-t)*PertePVj)+Pspv)</f>
        <v>5.1212895195907993E-2</v>
      </c>
      <c r="M295" s="870"/>
      <c r="N295" s="870"/>
      <c r="O295" s="48">
        <f>IF(t&lt;Tnet,'2023'!Resal+('2023'!Salim-'2023'!Resal)*(1-EXP(('2023'!Tnet-t)/('2023'!Tau_j))),Resal+(Salim-Resal)*(1-EXP((Tnet-t)/(Tau_j))))*Salcycl</f>
        <v>6.8998287943670009E-2</v>
      </c>
      <c r="P295" s="171">
        <f>(INDEX(Models!$BJ295:$BT295,,T295)*(1-R295)+INDEX(Models!$BJ295:$BT295,,T295+1)*R295-ERP_i)*Q295*Ramure*Pc/MaxiM</f>
        <v>4.7766087698892942E-2</v>
      </c>
      <c r="Q295" s="307">
        <f t="shared" si="105"/>
        <v>1</v>
      </c>
      <c r="R295" s="179">
        <f t="shared" si="106"/>
        <v>9.4983785185899894E-2</v>
      </c>
      <c r="S295" s="837">
        <f t="shared" si="107"/>
        <v>2</v>
      </c>
      <c r="T295" s="178">
        <f t="shared" si="108"/>
        <v>8</v>
      </c>
      <c r="U295" s="253">
        <f t="shared" si="109"/>
        <v>2.0949837851858999</v>
      </c>
      <c r="V295" s="385">
        <f t="shared" si="110"/>
        <v>30.679654070206571</v>
      </c>
      <c r="W295" s="404">
        <f t="shared" si="111"/>
        <v>14.667591309319324</v>
      </c>
      <c r="X295" s="157">
        <f t="shared" si="112"/>
        <v>45572</v>
      </c>
      <c r="Y295" s="387">
        <f t="shared" si="113"/>
        <v>13.735059861179762</v>
      </c>
      <c r="Z295" s="387">
        <f t="shared" si="114"/>
        <v>14.476440280051881</v>
      </c>
      <c r="AA295" s="388">
        <f t="shared" si="115"/>
        <v>16.605025520309564</v>
      </c>
      <c r="AB295" s="199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0.1281892182372269</v>
      </c>
      <c r="AD295" s="233">
        <f>(INDEX(Models!$BJ295:$BT295,,AH295)*(1-AF295)+INDEX(Models!$BJ295:$BT295,,AH295+1)*AF295-ERP_i)*AE295*Ramure*Pc/MaxiM</f>
        <v>4.7766087698892942E-2</v>
      </c>
      <c r="AE295" s="307">
        <f t="shared" si="117"/>
        <v>1</v>
      </c>
      <c r="AF295" s="179">
        <f t="shared" si="118"/>
        <v>9.4983785185899894E-2</v>
      </c>
      <c r="AG295" s="837">
        <f t="shared" si="124"/>
        <v>2</v>
      </c>
      <c r="AH295" s="178">
        <f t="shared" si="119"/>
        <v>8</v>
      </c>
      <c r="AI295" s="227">
        <f t="shared" si="120"/>
        <v>2.0949837851858999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45573</v>
      </c>
      <c r="B296" s="1139">
        <f>IF(t&gt;Tmaj,'2023'!Wh/'2023'!Env_an*'2024'!Env_an,0.001*'[12]mon-tableau (1)'!$B$216)</f>
        <v>29.581402349787336</v>
      </c>
      <c r="C296" s="866"/>
      <c r="D296" s="395">
        <f t="shared" si="102"/>
        <v>31.178849942700634</v>
      </c>
      <c r="E296" s="387">
        <f t="shared" si="100"/>
        <v>33.495358485515652</v>
      </c>
      <c r="F296" s="387">
        <f t="shared" si="103"/>
        <v>35.195155756559046</v>
      </c>
      <c r="G296" s="110">
        <f t="shared" si="101"/>
        <v>0.97719912323899705</v>
      </c>
      <c r="H296" s="414" t="b">
        <f>Wh_hp&gt;='2023'!Maxi_hp</f>
        <v>0</v>
      </c>
      <c r="I296" s="392">
        <f>IF(H296,Wh_hp,'2023'!Maxi_hp)</f>
        <v>35.227074069795499</v>
      </c>
      <c r="J296" s="85">
        <f>IF(H296,An,'2023'!An_max)</f>
        <v>2022</v>
      </c>
      <c r="K296" s="199">
        <f t="shared" si="104"/>
        <v>45573</v>
      </c>
      <c r="L296" s="147">
        <f>IF(t&lt;Tvie,1-EXP((T0-t)*PertePVj)+'2023'!Pspv,1-EXP((T0-t)*PertePVj)+Pspv)</f>
        <v>5.1234974857925497E-2</v>
      </c>
      <c r="M296" s="870"/>
      <c r="N296" s="870"/>
      <c r="O296" s="48">
        <f>IF(t&lt;Tnet,'2023'!Resal+('2023'!Salim-'2023'!Resal)*(1-EXP(('2023'!Tnet-t)/('2023'!Tau_j))),Resal+(Salim-Resal)*(1-EXP((Tnet-t)/(Tau_j))))*Salcycl</f>
        <v>6.9159090917529448E-2</v>
      </c>
      <c r="P296" s="171">
        <f>(INDEX(Models!$BJ296:$BT296,,T296)*(1-R296)+INDEX(Models!$BJ296:$BT296,,T296+1)*R296-ERP_i)*Q296*Ramure*Pc/MaxiM</f>
        <v>4.9808099452252654E-2</v>
      </c>
      <c r="Q296" s="307">
        <f t="shared" si="105"/>
        <v>1</v>
      </c>
      <c r="R296" s="179">
        <f t="shared" si="106"/>
        <v>9.5184650620827593E-2</v>
      </c>
      <c r="S296" s="837">
        <f t="shared" si="107"/>
        <v>2</v>
      </c>
      <c r="T296" s="178">
        <f t="shared" si="108"/>
        <v>8</v>
      </c>
      <c r="U296" s="253">
        <f t="shared" si="109"/>
        <v>2.0951846506208276</v>
      </c>
      <c r="V296" s="385">
        <f t="shared" si="110"/>
        <v>30.2235361480177</v>
      </c>
      <c r="W296" s="404">
        <f t="shared" si="111"/>
        <v>29.581402349787336</v>
      </c>
      <c r="X296" s="157">
        <f t="shared" si="112"/>
        <v>45573</v>
      </c>
      <c r="Y296" s="387">
        <f t="shared" si="113"/>
        <v>27.705683416689329</v>
      </c>
      <c r="Z296" s="387">
        <f t="shared" si="114"/>
        <v>29.201838898456963</v>
      </c>
      <c r="AA296" s="388">
        <f t="shared" si="115"/>
        <v>33.495358485515652</v>
      </c>
      <c r="AB296" s="199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0.12818252382387041</v>
      </c>
      <c r="AD296" s="233">
        <f>(INDEX(Models!$BJ296:$BT296,,AH296)*(1-AF296)+INDEX(Models!$BJ296:$BT296,,AH296+1)*AF296-ERP_i)*AE296*Ramure*Pc/MaxiM</f>
        <v>4.9808099452252654E-2</v>
      </c>
      <c r="AE296" s="307">
        <f t="shared" si="117"/>
        <v>1</v>
      </c>
      <c r="AF296" s="179">
        <f t="shared" si="118"/>
        <v>9.5184650620827593E-2</v>
      </c>
      <c r="AG296" s="837">
        <f t="shared" si="124"/>
        <v>2</v>
      </c>
      <c r="AH296" s="178">
        <f t="shared" si="119"/>
        <v>8</v>
      </c>
      <c r="AI296" s="227">
        <f t="shared" si="120"/>
        <v>2.0951846506208276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45574</v>
      </c>
      <c r="B297" s="1139">
        <f>IF(t&gt;Tmaj,'2023'!Wh/'2023'!Env_an*'2024'!Env_an,0.001*'[12]mon-tableau (1)'!$B$217)</f>
        <v>25.227258130830609</v>
      </c>
      <c r="C297" s="866"/>
      <c r="D297" s="395">
        <f t="shared" si="102"/>
        <v>26.590193094298129</v>
      </c>
      <c r="E297" s="387">
        <f t="shared" ref="E297:E360" si="125">Wh_pvt/(1-Psa)</f>
        <v>28.570627940441376</v>
      </c>
      <c r="F297" s="387">
        <f t="shared" si="103"/>
        <v>29.778551251748308</v>
      </c>
      <c r="G297" s="110">
        <f t="shared" ref="G297:G360" si="126">+Wh_hp/MaxiM</f>
        <v>0.8373542876726644</v>
      </c>
      <c r="H297" s="414" t="b">
        <f>Wh_hp&gt;='2023'!Maxi_hp</f>
        <v>0</v>
      </c>
      <c r="I297" s="392">
        <f>IF(H297,Wh_hp,'2023'!Maxi_hp)</f>
        <v>29.978792140738321</v>
      </c>
      <c r="J297" s="85">
        <f>IF(H297,An,'2023'!An_max)</f>
        <v>2022</v>
      </c>
      <c r="K297" s="199">
        <f t="shared" si="104"/>
        <v>45574</v>
      </c>
      <c r="L297" s="147">
        <f>IF(t&lt;Tvie,1-EXP((T0-t)*PertePVj)+'2023'!Pspv,1-EXP((T0-t)*PertePVj)+Pspv)</f>
        <v>5.125705400611702E-2</v>
      </c>
      <c r="M297" s="870"/>
      <c r="N297" s="870"/>
      <c r="O297" s="48">
        <f>IF(t&lt;Tnet,'2023'!Resal+('2023'!Salim-'2023'!Resal)*(1-EXP(('2023'!Tnet-t)/('2023'!Tau_j))),Resal+(Salim-Resal)*(1-EXP((Tnet-t)/(Tau_j))))*Salcycl</f>
        <v>6.9317162026388851E-2</v>
      </c>
      <c r="P297" s="171">
        <f>(INDEX(Models!$BJ297:$BT297,,T297)*(1-R297)+INDEX(Models!$BJ297:$BT297,,T297+1)*R297-ERP_i)*Q297*Ramure*Pc/MaxiM</f>
        <v>5.1876672996454119E-2</v>
      </c>
      <c r="Q297" s="307">
        <f t="shared" si="105"/>
        <v>1</v>
      </c>
      <c r="R297" s="179">
        <f t="shared" si="106"/>
        <v>9.5377537662855172E-2</v>
      </c>
      <c r="S297" s="837">
        <f t="shared" si="107"/>
        <v>2</v>
      </c>
      <c r="T297" s="178">
        <f t="shared" si="108"/>
        <v>8</v>
      </c>
      <c r="U297" s="253">
        <f t="shared" si="109"/>
        <v>2.0953775376628552</v>
      </c>
      <c r="V297" s="385">
        <f t="shared" si="110"/>
        <v>29.772096219167363</v>
      </c>
      <c r="W297" s="404">
        <f t="shared" si="111"/>
        <v>25.227258130830609</v>
      </c>
      <c r="X297" s="157">
        <f t="shared" si="112"/>
        <v>45574</v>
      </c>
      <c r="Y297" s="387">
        <f t="shared" si="113"/>
        <v>23.631930445651552</v>
      </c>
      <c r="Z297" s="387">
        <f t="shared" si="114"/>
        <v>24.908675785615717</v>
      </c>
      <c r="AA297" s="388">
        <f t="shared" si="115"/>
        <v>28.570627940441376</v>
      </c>
      <c r="AB297" s="199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0.1281719170631952</v>
      </c>
      <c r="AD297" s="233">
        <f>(INDEX(Models!$BJ297:$BT297,,AH297)*(1-AF297)+INDEX(Models!$BJ297:$BT297,,AH297+1)*AF297-ERP_i)*AE297*Ramure*Pc/MaxiM</f>
        <v>5.1876672996454119E-2</v>
      </c>
      <c r="AE297" s="307">
        <f t="shared" si="117"/>
        <v>1</v>
      </c>
      <c r="AF297" s="179">
        <f t="shared" si="118"/>
        <v>9.5377537662855172E-2</v>
      </c>
      <c r="AG297" s="837">
        <f t="shared" si="124"/>
        <v>2</v>
      </c>
      <c r="AH297" s="178">
        <f t="shared" si="119"/>
        <v>8</v>
      </c>
      <c r="AI297" s="227">
        <f t="shared" si="120"/>
        <v>2.0953775376628552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45575</v>
      </c>
      <c r="B298" s="1139">
        <f>IF(t&gt;Tmaj,'2023'!Wh/'2023'!Env_an*'2024'!Env_an,0.001*'[12]mon-tableau (1)'!$B$218)</f>
        <v>21.774334713935282</v>
      </c>
      <c r="C298" s="866"/>
      <c r="D298" s="395">
        <f t="shared" si="102"/>
        <v>22.951255172175085</v>
      </c>
      <c r="E298" s="387">
        <f t="shared" si="125"/>
        <v>24.664778920680114</v>
      </c>
      <c r="F298" s="387">
        <f t="shared" si="103"/>
        <v>25.535955873394414</v>
      </c>
      <c r="G298" s="110">
        <f t="shared" si="126"/>
        <v>0.7272217870994967</v>
      </c>
      <c r="H298" s="414" t="b">
        <f>Wh_hp&gt;='2023'!Maxi_hp</f>
        <v>0</v>
      </c>
      <c r="I298" s="392">
        <f>IF(H298,Wh_hp,'2023'!Maxi_hp)</f>
        <v>35.228282069749262</v>
      </c>
      <c r="J298" s="85">
        <f>IF(H298,An,'2023'!An_max)</f>
        <v>2019</v>
      </c>
      <c r="K298" s="199">
        <f t="shared" si="104"/>
        <v>45575</v>
      </c>
      <c r="L298" s="147">
        <f>IF(t&lt;Tvie,1-EXP((T0-t)*PertePVj)+'2023'!Pspv,1-EXP((T0-t)*PertePVj)+Pspv)</f>
        <v>5.1279132640494551E-2</v>
      </c>
      <c r="M298" s="870"/>
      <c r="N298" s="870"/>
      <c r="O298" s="48">
        <f>IF(t&lt;Tnet,'2023'!Resal+('2023'!Salim-'2023'!Resal)*(1-EXP(('2023'!Tnet-t)/('2023'!Tau_j))),Resal+(Salim-Resal)*(1-EXP((Tnet-t)/(Tau_j))))*Salcycl</f>
        <v>6.9472495740406995E-2</v>
      </c>
      <c r="P298" s="171">
        <f>(INDEX(Models!$BJ298:$BT298,,T298)*(1-R298)+INDEX(Models!$BJ298:$BT298,,T298+1)*R298-ERP_i)*Q298*Ramure*Pc/MaxiM</f>
        <v>5.3970265392749225E-2</v>
      </c>
      <c r="Q298" s="307">
        <f t="shared" si="105"/>
        <v>1</v>
      </c>
      <c r="R298" s="179">
        <f t="shared" si="106"/>
        <v>9.5562759025567878E-2</v>
      </c>
      <c r="S298" s="837">
        <f t="shared" si="107"/>
        <v>2</v>
      </c>
      <c r="T298" s="178">
        <f t="shared" si="108"/>
        <v>8</v>
      </c>
      <c r="U298" s="253">
        <f t="shared" si="109"/>
        <v>2.0955627590255679</v>
      </c>
      <c r="V298" s="385">
        <f t="shared" si="110"/>
        <v>29.326328296809447</v>
      </c>
      <c r="W298" s="404">
        <f t="shared" si="111"/>
        <v>21.774334713935282</v>
      </c>
      <c r="X298" s="157">
        <f t="shared" si="112"/>
        <v>45575</v>
      </c>
      <c r="Y298" s="387">
        <f t="shared" si="113"/>
        <v>20.401108288286029</v>
      </c>
      <c r="Z298" s="387">
        <f t="shared" si="114"/>
        <v>21.503804744030464</v>
      </c>
      <c r="AA298" s="388">
        <f t="shared" si="115"/>
        <v>24.664778920680114</v>
      </c>
      <c r="AB298" s="199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0.12815740967373279</v>
      </c>
      <c r="AD298" s="233">
        <f>(INDEX(Models!$BJ298:$BT298,,AH298)*(1-AF298)+INDEX(Models!$BJ298:$BT298,,AH298+1)*AF298-ERP_i)*AE298*Ramure*Pc/MaxiM</f>
        <v>5.3970265392749225E-2</v>
      </c>
      <c r="AE298" s="307">
        <f t="shared" si="117"/>
        <v>1</v>
      </c>
      <c r="AF298" s="179">
        <f t="shared" si="118"/>
        <v>9.5562759025567878E-2</v>
      </c>
      <c r="AG298" s="837">
        <f t="shared" si="124"/>
        <v>2</v>
      </c>
      <c r="AH298" s="178">
        <f t="shared" si="119"/>
        <v>8</v>
      </c>
      <c r="AI298" s="227">
        <f t="shared" si="120"/>
        <v>2.0955627590255679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45576</v>
      </c>
      <c r="B299" s="1139">
        <f>IF(t&gt;Tmaj,'2023'!Wh/'2023'!Env_an*'2024'!Env_an,0.001*'[12]mon-tableau (1)'!$B$219)</f>
        <v>23.453026703631636</v>
      </c>
      <c r="C299" s="866"/>
      <c r="D299" s="395">
        <f t="shared" si="102"/>
        <v>24.721257125716626</v>
      </c>
      <c r="E299" s="387">
        <f t="shared" si="125"/>
        <v>26.571285336722891</v>
      </c>
      <c r="F299" s="387">
        <f t="shared" si="103"/>
        <v>27.707693297688873</v>
      </c>
      <c r="G299" s="110">
        <f t="shared" si="126"/>
        <v>0.79912158458997751</v>
      </c>
      <c r="H299" s="414" t="b">
        <f>Wh_hp&gt;='2023'!Maxi_hp</f>
        <v>0</v>
      </c>
      <c r="I299" s="392">
        <f>IF(H299,Wh_hp,'2023'!Maxi_hp)</f>
        <v>34.24330519553645</v>
      </c>
      <c r="J299" s="85">
        <f>IF(H299,An,'2023'!An_max)</f>
        <v>2021</v>
      </c>
      <c r="K299" s="199">
        <f t="shared" si="104"/>
        <v>45576</v>
      </c>
      <c r="L299" s="147">
        <f>IF(t&lt;Tvie,1-EXP((T0-t)*PertePVj)+'2023'!Pspv,1-EXP((T0-t)*PertePVj)+Pspv)</f>
        <v>5.1301210761069971E-2</v>
      </c>
      <c r="M299" s="870"/>
      <c r="N299" s="870"/>
      <c r="O299" s="48">
        <f>IF(t&lt;Tnet,'2023'!Resal+('2023'!Salim-'2023'!Resal)*(1-EXP(('2023'!Tnet-t)/('2023'!Tau_j))),Resal+(Salim-Resal)*(1-EXP((Tnet-t)/(Tau_j))))*Salcycl</f>
        <v>6.9625092936299607E-2</v>
      </c>
      <c r="P299" s="171">
        <f>(INDEX(Models!$BJ299:$BT299,,T299)*(1-R299)+INDEX(Models!$BJ299:$BT299,,T299+1)*R299-ERP_i)*Q299*Ramure*Pc/MaxiM</f>
        <v>5.6086951999888911E-2</v>
      </c>
      <c r="Q299" s="307">
        <f t="shared" si="105"/>
        <v>1</v>
      </c>
      <c r="R299" s="179">
        <f t="shared" si="106"/>
        <v>9.5740615494429804E-2</v>
      </c>
      <c r="S299" s="837">
        <f t="shared" si="107"/>
        <v>2</v>
      </c>
      <c r="T299" s="178">
        <f t="shared" si="108"/>
        <v>8</v>
      </c>
      <c r="U299" s="253">
        <f t="shared" si="109"/>
        <v>2.0957406154944298</v>
      </c>
      <c r="V299" s="385">
        <f t="shared" si="110"/>
        <v>28.887225714310173</v>
      </c>
      <c r="W299" s="404">
        <f t="shared" si="111"/>
        <v>23.453026703631636</v>
      </c>
      <c r="X299" s="157">
        <f t="shared" si="112"/>
        <v>45576</v>
      </c>
      <c r="Y299" s="387">
        <f t="shared" si="113"/>
        <v>21.977998950541323</v>
      </c>
      <c r="Z299" s="387">
        <f t="shared" si="114"/>
        <v>23.16646674354104</v>
      </c>
      <c r="AA299" s="388">
        <f t="shared" si="115"/>
        <v>26.571285336722891</v>
      </c>
      <c r="AB299" s="199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0.12813902489226661</v>
      </c>
      <c r="AD299" s="233">
        <f>(INDEX(Models!$BJ299:$BT299,,AH299)*(1-AF299)+INDEX(Models!$BJ299:$BT299,,AH299+1)*AF299-ERP_i)*AE299*Ramure*Pc/MaxiM</f>
        <v>5.6086951999888911E-2</v>
      </c>
      <c r="AE299" s="307">
        <f t="shared" si="117"/>
        <v>1</v>
      </c>
      <c r="AF299" s="179">
        <f t="shared" si="118"/>
        <v>9.5740615494429804E-2</v>
      </c>
      <c r="AG299" s="837">
        <f t="shared" si="124"/>
        <v>2</v>
      </c>
      <c r="AH299" s="178">
        <f t="shared" si="119"/>
        <v>8</v>
      </c>
      <c r="AI299" s="227">
        <f t="shared" si="120"/>
        <v>2.0957406154944298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45577</v>
      </c>
      <c r="B300" s="1139">
        <f>IF(t&gt;Tmaj,'2023'!Wh/'2023'!Env_an*'2024'!Env_an,0.001*'[12]mon-tableau (1)'!$B$220)</f>
        <v>19.31473888525689</v>
      </c>
      <c r="C300" s="866"/>
      <c r="D300" s="395">
        <f t="shared" si="102"/>
        <v>20.359663780538021</v>
      </c>
      <c r="E300" s="387">
        <f t="shared" si="125"/>
        <v>21.886815481733567</v>
      </c>
      <c r="F300" s="387">
        <f t="shared" si="103"/>
        <v>22.59878246234279</v>
      </c>
      <c r="G300" s="110">
        <f t="shared" si="126"/>
        <v>0.66003692109810541</v>
      </c>
      <c r="H300" s="414" t="b">
        <f>Wh_hp&gt;='2023'!Maxi_hp</f>
        <v>0</v>
      </c>
      <c r="I300" s="392">
        <f>IF(H300,Wh_hp,'2023'!Maxi_hp)</f>
        <v>32.914868339815627</v>
      </c>
      <c r="J300" s="85">
        <f>IF(H300,An,'2023'!An_max)</f>
        <v>2021</v>
      </c>
      <c r="K300" s="199">
        <f t="shared" si="104"/>
        <v>45577</v>
      </c>
      <c r="L300" s="147">
        <f>IF(t&lt;Tvie,1-EXP((T0-t)*PertePVj)+'2023'!Pspv,1-EXP((T0-t)*PertePVj)+Pspv)</f>
        <v>5.1323288367855269E-2</v>
      </c>
      <c r="M300" s="870"/>
      <c r="N300" s="870"/>
      <c r="O300" s="48">
        <f>IF(t&lt;Tnet,'2023'!Resal+('2023'!Salim-'2023'!Resal)*(1-EXP(('2023'!Tnet-t)/('2023'!Tau_j))),Resal+(Salim-Resal)*(1-EXP((Tnet-t)/(Tau_j))))*Salcycl</f>
        <v>6.9774961207585709E-2</v>
      </c>
      <c r="P300" s="171">
        <f>(INDEX(Models!$BJ300:$BT300,,T300)*(1-R300)+INDEX(Models!$BJ300:$BT300,,T300+1)*R300-ERP_i)*Q300*Ramure*Pc/MaxiM</f>
        <v>5.8224397210747458E-2</v>
      </c>
      <c r="Q300" s="307">
        <f t="shared" si="105"/>
        <v>1</v>
      </c>
      <c r="R300" s="179">
        <f t="shared" si="106"/>
        <v>9.5911396355861989E-2</v>
      </c>
      <c r="S300" s="837">
        <f t="shared" si="107"/>
        <v>2</v>
      </c>
      <c r="T300" s="178">
        <f t="shared" si="108"/>
        <v>8</v>
      </c>
      <c r="U300" s="253">
        <f t="shared" si="109"/>
        <v>2.095911396355862</v>
      </c>
      <c r="V300" s="385">
        <f t="shared" si="110"/>
        <v>28.455781158866372</v>
      </c>
      <c r="W300" s="404">
        <f t="shared" si="111"/>
        <v>19.31473888525689</v>
      </c>
      <c r="X300" s="157">
        <f t="shared" si="112"/>
        <v>45577</v>
      </c>
      <c r="Y300" s="387">
        <f t="shared" si="113"/>
        <v>18.103357450611917</v>
      </c>
      <c r="Z300" s="387">
        <f t="shared" si="114"/>
        <v>19.082746765719708</v>
      </c>
      <c r="AA300" s="388">
        <f t="shared" si="115"/>
        <v>21.886815481733567</v>
      </c>
      <c r="AB300" s="199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0.1281167979121538</v>
      </c>
      <c r="AD300" s="233">
        <f>(INDEX(Models!$BJ300:$BT300,,AH300)*(1-AF300)+INDEX(Models!$BJ300:$BT300,,AH300+1)*AF300-ERP_i)*AE300*Ramure*Pc/MaxiM</f>
        <v>5.8224397210747458E-2</v>
      </c>
      <c r="AE300" s="307">
        <f t="shared" si="117"/>
        <v>1</v>
      </c>
      <c r="AF300" s="179">
        <f t="shared" si="118"/>
        <v>9.5911396355861989E-2</v>
      </c>
      <c r="AG300" s="837">
        <f t="shared" si="124"/>
        <v>2</v>
      </c>
      <c r="AH300" s="178">
        <f t="shared" si="119"/>
        <v>8</v>
      </c>
      <c r="AI300" s="227">
        <f t="shared" si="120"/>
        <v>2.095911396355862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45578</v>
      </c>
      <c r="B301" s="1139">
        <f>IF(t&gt;Tmaj,'2023'!Wh/'2023'!Env_an*'2024'!Env_an,0.001*'[12]mon-tableau (1)'!$B$221)</f>
        <v>16.184707096641748</v>
      </c>
      <c r="C301" s="866"/>
      <c r="D301" s="395">
        <f t="shared" si="102"/>
        <v>17.060694701085165</v>
      </c>
      <c r="E301" s="387">
        <f t="shared" si="125"/>
        <v>18.343296812983837</v>
      </c>
      <c r="F301" s="387">
        <f t="shared" si="103"/>
        <v>18.792877420004743</v>
      </c>
      <c r="G301" s="110">
        <f t="shared" si="126"/>
        <v>0.55578099731949382</v>
      </c>
      <c r="H301" s="414" t="b">
        <f>Wh_hp&gt;='2023'!Maxi_hp</f>
        <v>0</v>
      </c>
      <c r="I301" s="392">
        <f>IF(H301,Wh_hp,'2023'!Maxi_hp)</f>
        <v>34.821662172601158</v>
      </c>
      <c r="J301" s="85">
        <f>IF(H301,An,'2023'!An_max)</f>
        <v>2021</v>
      </c>
      <c r="K301" s="199">
        <f t="shared" si="104"/>
        <v>45578</v>
      </c>
      <c r="L301" s="147">
        <f>IF(t&lt;Tvie,1-EXP((T0-t)*PertePVj)+'2023'!Pspv,1-EXP((T0-t)*PertePVj)+Pspv)</f>
        <v>5.1345365460862435E-2</v>
      </c>
      <c r="M301" s="870"/>
      <c r="N301" s="870"/>
      <c r="O301" s="48">
        <f>IF(t&lt;Tnet,'2023'!Resal+('2023'!Salim-'2023'!Resal)*(1-EXP(('2023'!Tnet-t)/('2023'!Tau_j))),Resal+(Salim-Resal)*(1-EXP((Tnet-t)/(Tau_j))))*Salcycl</f>
        <v>6.9922115145125599E-2</v>
      </c>
      <c r="P301" s="171">
        <f>(INDEX(Models!$BJ301:$BT301,,T301)*(1-R301)+INDEX(Models!$BJ301:$BT301,,T301+1)*R301-ERP_i)*Q301*Ramure*Pc/MaxiM</f>
        <v>6.0379825532829133E-2</v>
      </c>
      <c r="Q301" s="307">
        <f t="shared" si="105"/>
        <v>1</v>
      </c>
      <c r="R301" s="179">
        <f t="shared" si="106"/>
        <v>9.6075379812954775E-2</v>
      </c>
      <c r="S301" s="837">
        <f t="shared" si="107"/>
        <v>2</v>
      </c>
      <c r="T301" s="178">
        <f t="shared" si="108"/>
        <v>8</v>
      </c>
      <c r="U301" s="253">
        <f t="shared" si="109"/>
        <v>2.0960753798129548</v>
      </c>
      <c r="V301" s="385">
        <f t="shared" si="110"/>
        <v>28.032986691645846</v>
      </c>
      <c r="W301" s="404">
        <f t="shared" si="111"/>
        <v>16.184707096641748</v>
      </c>
      <c r="X301" s="157">
        <f t="shared" si="112"/>
        <v>45578</v>
      </c>
      <c r="Y301" s="387">
        <f t="shared" si="113"/>
        <v>15.17248784305014</v>
      </c>
      <c r="Z301" s="387">
        <f t="shared" si="114"/>
        <v>15.993689684993772</v>
      </c>
      <c r="AA301" s="388">
        <f t="shared" si="115"/>
        <v>18.343296812983837</v>
      </c>
      <c r="AB301" s="199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0.12809077626258303</v>
      </c>
      <c r="AD301" s="233">
        <f>(INDEX(Models!$BJ301:$BT301,,AH301)*(1-AF301)+INDEX(Models!$BJ301:$BT301,,AH301+1)*AF301-ERP_i)*AE301*Ramure*Pc/MaxiM</f>
        <v>6.0379825532829133E-2</v>
      </c>
      <c r="AE301" s="307">
        <f t="shared" si="117"/>
        <v>1</v>
      </c>
      <c r="AF301" s="179">
        <f t="shared" si="118"/>
        <v>9.6075379812954775E-2</v>
      </c>
      <c r="AG301" s="837">
        <f t="shared" si="124"/>
        <v>2</v>
      </c>
      <c r="AH301" s="178">
        <f t="shared" si="119"/>
        <v>8</v>
      </c>
      <c r="AI301" s="227">
        <f t="shared" si="120"/>
        <v>2.0960753798129548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45579</v>
      </c>
      <c r="B302" s="1139">
        <f>IF(t&gt;Tmaj,'2023'!Wh/'2023'!Env_an*'2024'!Env_an,0.001*'[12]mon-tableau (1)'!$B$222)</f>
        <v>27.378832763968362</v>
      </c>
      <c r="C302" s="866"/>
      <c r="D302" s="395">
        <f t="shared" si="102"/>
        <v>28.861367380061818</v>
      </c>
      <c r="E302" s="387">
        <f t="shared" si="125"/>
        <v>31.035950158736636</v>
      </c>
      <c r="F302" s="387">
        <f t="shared" si="103"/>
        <v>33.079266171074515</v>
      </c>
      <c r="G302" s="110">
        <f t="shared" si="126"/>
        <v>0.99045056830187939</v>
      </c>
      <c r="H302" s="414" t="b">
        <f>Wh_hp&gt;='2023'!Maxi_hp</f>
        <v>0</v>
      </c>
      <c r="I302" s="392">
        <f>IF(H302,Wh_hp,'2023'!Maxi_hp)</f>
        <v>33.09419835540163</v>
      </c>
      <c r="J302" s="85">
        <f>IF(H302,An,'2023'!An_max)</f>
        <v>2022</v>
      </c>
      <c r="K302" s="199">
        <f t="shared" si="104"/>
        <v>45579</v>
      </c>
      <c r="L302" s="147">
        <f>IF(t&lt;Tvie,1-EXP((T0-t)*PertePVj)+'2023'!Pspv,1-EXP((T0-t)*PertePVj)+Pspv)</f>
        <v>5.1367442040103461E-2</v>
      </c>
      <c r="M302" s="870"/>
      <c r="N302" s="870"/>
      <c r="O302" s="48">
        <f>IF(t&lt;Tnet,'2023'!Resal+('2023'!Salim-'2023'!Resal)*(1-EXP(('2023'!Tnet-t)/('2023'!Tau_j))),Resal+(Salim-Resal)*(1-EXP((Tnet-t)/(Tau_j))))*Salcycl</f>
        <v>7.0066576584660215E-2</v>
      </c>
      <c r="P302" s="171">
        <f>(INDEX(Models!$BJ302:$BT302,,T302)*(1-R302)+INDEX(Models!$BJ302:$BT302,,T302+1)*R302-ERP_i)*Q302*Ramure*Pc/MaxiM</f>
        <v>6.2549993613786575E-2</v>
      </c>
      <c r="Q302" s="307">
        <f t="shared" si="105"/>
        <v>1</v>
      </c>
      <c r="R302" s="179">
        <f t="shared" si="106"/>
        <v>9.623283338806754E-2</v>
      </c>
      <c r="S302" s="837">
        <f t="shared" si="107"/>
        <v>2</v>
      </c>
      <c r="T302" s="178">
        <f t="shared" si="108"/>
        <v>8</v>
      </c>
      <c r="U302" s="253">
        <f t="shared" si="109"/>
        <v>2.0962328333880675</v>
      </c>
      <c r="V302" s="385">
        <f t="shared" si="110"/>
        <v>27.619833787309837</v>
      </c>
      <c r="W302" s="404">
        <f t="shared" si="111"/>
        <v>27.378832763968362</v>
      </c>
      <c r="X302" s="157">
        <f t="shared" si="112"/>
        <v>45579</v>
      </c>
      <c r="Y302" s="387">
        <f t="shared" si="113"/>
        <v>25.671377014001894</v>
      </c>
      <c r="Z302" s="387">
        <f t="shared" si="114"/>
        <v>27.061454720898535</v>
      </c>
      <c r="AA302" s="388">
        <f t="shared" si="115"/>
        <v>31.035950158736636</v>
      </c>
      <c r="AB302" s="199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0.12806102012376369</v>
      </c>
      <c r="AD302" s="233">
        <f>(INDEX(Models!$BJ302:$BT302,,AH302)*(1-AF302)+INDEX(Models!$BJ302:$BT302,,AH302+1)*AF302-ERP_i)*AE302*Ramure*Pc/MaxiM</f>
        <v>6.2549993613786575E-2</v>
      </c>
      <c r="AE302" s="307">
        <f t="shared" si="117"/>
        <v>1</v>
      </c>
      <c r="AF302" s="179">
        <f t="shared" si="118"/>
        <v>9.623283338806754E-2</v>
      </c>
      <c r="AG302" s="837">
        <f t="shared" si="124"/>
        <v>2</v>
      </c>
      <c r="AH302" s="178">
        <f t="shared" si="119"/>
        <v>8</v>
      </c>
      <c r="AI302" s="227">
        <f t="shared" si="120"/>
        <v>2.0962328333880675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45580</v>
      </c>
      <c r="B303" s="1139">
        <f>IF(t&gt;Tmaj,'2023'!Wh/'2023'!Env_an*'2024'!Env_an,0.001*'[12]mon-tableau (1)'!$B$223)</f>
        <v>25.429052656697397</v>
      </c>
      <c r="C303" s="866"/>
      <c r="D303" s="395">
        <f t="shared" si="102"/>
        <v>26.806632587397356</v>
      </c>
      <c r="E303" s="387">
        <f t="shared" si="125"/>
        <v>28.830795913178306</v>
      </c>
      <c r="F303" s="387">
        <f t="shared" si="103"/>
        <v>30.627560968979804</v>
      </c>
      <c r="G303" s="110">
        <f t="shared" si="126"/>
        <v>0.92833495096940144</v>
      </c>
      <c r="H303" s="414" t="b">
        <f>Wh_hp&gt;='2023'!Maxi_hp</f>
        <v>0</v>
      </c>
      <c r="I303" s="392">
        <f>IF(H303,Wh_hp,'2023'!Maxi_hp)</f>
        <v>31.863522294539795</v>
      </c>
      <c r="J303" s="85">
        <f>IF(H303,An,'2023'!An_max)</f>
        <v>2021</v>
      </c>
      <c r="K303" s="199">
        <f t="shared" si="104"/>
        <v>45580</v>
      </c>
      <c r="L303" s="147">
        <f>IF(t&lt;Tvie,1-EXP((T0-t)*PertePVj)+'2023'!Pspv,1-EXP((T0-t)*PertePVj)+Pspv)</f>
        <v>5.1389518105590115E-2</v>
      </c>
      <c r="M303" s="870"/>
      <c r="N303" s="870"/>
      <c r="O303" s="48">
        <f>IF(t&lt;Tnet,'2023'!Resal+('2023'!Salim-'2023'!Resal)*(1-EXP(('2023'!Tnet-t)/('2023'!Tau_j))),Resal+(Salim-Resal)*(1-EXP((Tnet-t)/(Tau_j))))*Salcycl</f>
        <v>7.020837481825204E-2</v>
      </c>
      <c r="P303" s="171">
        <f>(INDEX(Models!$BJ303:$BT303,,T303)*(1-R303)+INDEX(Models!$BJ303:$BT303,,T303+1)*R303-ERP_i)*Q303*Ramure*Pc/MaxiM</f>
        <v>6.4735267384814665E-2</v>
      </c>
      <c r="Q303" s="307">
        <f t="shared" si="105"/>
        <v>1</v>
      </c>
      <c r="R303" s="179">
        <f t="shared" si="106"/>
        <v>9.638401431255339E-2</v>
      </c>
      <c r="S303" s="837">
        <f t="shared" si="107"/>
        <v>2</v>
      </c>
      <c r="T303" s="178">
        <f t="shared" si="108"/>
        <v>8</v>
      </c>
      <c r="U303" s="253">
        <f t="shared" si="109"/>
        <v>2.0963840143125534</v>
      </c>
      <c r="V303" s="385">
        <f t="shared" si="110"/>
        <v>27.215468750416772</v>
      </c>
      <c r="W303" s="404">
        <f t="shared" si="111"/>
        <v>25.429052656697397</v>
      </c>
      <c r="X303" s="157">
        <f t="shared" si="112"/>
        <v>45580</v>
      </c>
      <c r="Y303" s="387">
        <f t="shared" si="113"/>
        <v>23.84774331024089</v>
      </c>
      <c r="Z303" s="387">
        <f t="shared" si="114"/>
        <v>25.139658232129243</v>
      </c>
      <c r="AA303" s="388">
        <f t="shared" si="115"/>
        <v>28.830795913178306</v>
      </c>
      <c r="AB303" s="199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0.12802760257346482</v>
      </c>
      <c r="AD303" s="233">
        <f>(INDEX(Models!$BJ303:$BT303,,AH303)*(1-AF303)+INDEX(Models!$BJ303:$BT303,,AH303+1)*AF303-ERP_i)*AE303*Ramure*Pc/MaxiM</f>
        <v>6.4735267384814665E-2</v>
      </c>
      <c r="AE303" s="307">
        <f t="shared" si="117"/>
        <v>1</v>
      </c>
      <c r="AF303" s="179">
        <f t="shared" si="118"/>
        <v>9.638401431255339E-2</v>
      </c>
      <c r="AG303" s="837">
        <f t="shared" si="124"/>
        <v>2</v>
      </c>
      <c r="AH303" s="178">
        <f t="shared" si="119"/>
        <v>8</v>
      </c>
      <c r="AI303" s="227">
        <f t="shared" si="120"/>
        <v>2.0963840143125534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45581</v>
      </c>
      <c r="B304" s="1139">
        <f>IF(t&gt;Tmaj,'2023'!Wh/'2023'!Env_an*'2024'!Env_an,0.001*'[12]mon-tableau (1)'!$B$224)</f>
        <v>16.18206042886035</v>
      </c>
      <c r="C304" s="866"/>
      <c r="D304" s="395">
        <f t="shared" si="102"/>
        <v>17.05909572651343</v>
      </c>
      <c r="E304" s="387">
        <f t="shared" si="125"/>
        <v>18.349971182438573</v>
      </c>
      <c r="F304" s="387">
        <f t="shared" si="103"/>
        <v>18.89832185955003</v>
      </c>
      <c r="G304" s="110">
        <f t="shared" si="126"/>
        <v>0.57983287624650515</v>
      </c>
      <c r="H304" s="414" t="b">
        <f>Wh_hp&gt;='2023'!Maxi_hp</f>
        <v>0</v>
      </c>
      <c r="I304" s="392">
        <f>IF(H304,Wh_hp,'2023'!Maxi_hp)</f>
        <v>29.854260667658959</v>
      </c>
      <c r="J304" s="85">
        <f>IF(H304,An,'2023'!An_max)</f>
        <v>2021</v>
      </c>
      <c r="K304" s="199">
        <f t="shared" si="104"/>
        <v>45581</v>
      </c>
      <c r="L304" s="147">
        <f>IF(t&lt;Tvie,1-EXP((T0-t)*PertePVj)+'2023'!Pspv,1-EXP((T0-t)*PertePVj)+Pspv)</f>
        <v>5.1411593657334498E-2</v>
      </c>
      <c r="M304" s="870"/>
      <c r="N304" s="870"/>
      <c r="O304" s="48">
        <f>IF(t&lt;Tnet,'2023'!Resal+('2023'!Salim-'2023'!Resal)*(1-EXP(('2023'!Tnet-t)/('2023'!Tau_j))),Resal+(Salim-Resal)*(1-EXP((Tnet-t)/(Tau_j))))*Salcycl</f>
        <v>7.034754676675159E-2</v>
      </c>
      <c r="P304" s="171">
        <f>(INDEX(Models!$BJ304:$BT304,,T304)*(1-R304)+INDEX(Models!$BJ304:$BT304,,T304+1)*R304-ERP_i)*Q304*Ramure*Pc/MaxiM</f>
        <v>6.6944275032185044E-2</v>
      </c>
      <c r="Q304" s="307">
        <f t="shared" si="105"/>
        <v>1</v>
      </c>
      <c r="R304" s="179">
        <f t="shared" si="106"/>
        <v>9.652916990389615E-2</v>
      </c>
      <c r="S304" s="837">
        <f t="shared" si="107"/>
        <v>2</v>
      </c>
      <c r="T304" s="178">
        <f t="shared" si="108"/>
        <v>8</v>
      </c>
      <c r="U304" s="253">
        <f t="shared" si="109"/>
        <v>2.0965291699038962</v>
      </c>
      <c r="V304" s="385">
        <f t="shared" si="110"/>
        <v>26.818002025069358</v>
      </c>
      <c r="W304" s="404">
        <f t="shared" si="111"/>
        <v>16.18206042886035</v>
      </c>
      <c r="X304" s="157">
        <f t="shared" si="112"/>
        <v>45581</v>
      </c>
      <c r="Y304" s="387">
        <f t="shared" si="113"/>
        <v>15.178692422429418</v>
      </c>
      <c r="Z304" s="387">
        <f t="shared" si="114"/>
        <v>16.001347181705178</v>
      </c>
      <c r="AA304" s="388">
        <f t="shared" si="115"/>
        <v>18.349971182438573</v>
      </c>
      <c r="AB304" s="199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0.12799060976079862</v>
      </c>
      <c r="AD304" s="233">
        <f>(INDEX(Models!$BJ304:$BT304,,AH304)*(1-AF304)+INDEX(Models!$BJ304:$BT304,,AH304+1)*AF304-ERP_i)*AE304*Ramure*Pc/MaxiM</f>
        <v>6.6944275032185044E-2</v>
      </c>
      <c r="AE304" s="307">
        <f t="shared" si="117"/>
        <v>1</v>
      </c>
      <c r="AF304" s="179">
        <f t="shared" si="118"/>
        <v>9.652916990389615E-2</v>
      </c>
      <c r="AG304" s="837">
        <f t="shared" si="124"/>
        <v>2</v>
      </c>
      <c r="AH304" s="178">
        <f t="shared" si="119"/>
        <v>8</v>
      </c>
      <c r="AI304" s="227">
        <f t="shared" si="120"/>
        <v>2.0965291699038962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45582</v>
      </c>
      <c r="B305" s="1139">
        <f>IF(t&gt;Tmaj,'2023'!Wh/'2023'!Env_an*'2024'!Env_an,0.001*'[12]mon-tableau (1)'!$B$225)</f>
        <v>25.25860702853107</v>
      </c>
      <c r="C305" s="866"/>
      <c r="D305" s="395">
        <f t="shared" si="102"/>
        <v>26.628192668182269</v>
      </c>
      <c r="E305" s="387">
        <f t="shared" si="125"/>
        <v>28.647378416340846</v>
      </c>
      <c r="F305" s="387">
        <f t="shared" si="103"/>
        <v>30.633154052353998</v>
      </c>
      <c r="G305" s="110">
        <f t="shared" si="126"/>
        <v>0.95133462894153664</v>
      </c>
      <c r="H305" s="414" t="b">
        <f>Wh_hp&gt;='2023'!Maxi_hp</f>
        <v>0</v>
      </c>
      <c r="I305" s="392">
        <f>IF(H305,Wh_hp,'2023'!Maxi_hp)</f>
        <v>32.364301744109355</v>
      </c>
      <c r="J305" s="85">
        <f>IF(H305,An,'2023'!An_max)</f>
        <v>2020</v>
      </c>
      <c r="K305" s="199">
        <f t="shared" si="104"/>
        <v>45582</v>
      </c>
      <c r="L305" s="147">
        <f>IF(t&lt;Tvie,1-EXP((T0-t)*PertePVj)+'2023'!Pspv,1-EXP((T0-t)*PertePVj)+Pspv)</f>
        <v>5.14336686953486E-2</v>
      </c>
      <c r="M305" s="870"/>
      <c r="N305" s="870"/>
      <c r="O305" s="48">
        <f>IF(t&lt;Tnet,'2023'!Resal+('2023'!Salim-'2023'!Resal)*(1-EXP(('2023'!Tnet-t)/('2023'!Tau_j))),Resal+(Salim-Resal)*(1-EXP((Tnet-t)/(Tau_j))))*Salcycl</f>
        <v>7.0484137110668629E-2</v>
      </c>
      <c r="P305" s="171">
        <f>(INDEX(Models!$BJ305:$BT305,,T305)*(1-R305)+INDEX(Models!$BJ305:$BT305,,T305+1)*R305-ERP_i)*Q305*Ramure*Pc/MaxiM</f>
        <v>6.919346127693253E-2</v>
      </c>
      <c r="Q305" s="307">
        <f t="shared" si="105"/>
        <v>1</v>
      </c>
      <c r="R305" s="179">
        <f t="shared" si="106"/>
        <v>9.6668537930512777E-2</v>
      </c>
      <c r="S305" s="837">
        <f t="shared" si="107"/>
        <v>2</v>
      </c>
      <c r="T305" s="178">
        <f t="shared" si="108"/>
        <v>8</v>
      </c>
      <c r="U305" s="253">
        <f t="shared" si="109"/>
        <v>2.0966685379305128</v>
      </c>
      <c r="V305" s="385">
        <f t="shared" si="110"/>
        <v>26.42666420124192</v>
      </c>
      <c r="W305" s="404">
        <f t="shared" si="111"/>
        <v>25.25860702853107</v>
      </c>
      <c r="X305" s="157">
        <f t="shared" si="112"/>
        <v>45582</v>
      </c>
      <c r="Y305" s="387">
        <f t="shared" si="113"/>
        <v>23.697029364518695</v>
      </c>
      <c r="Z305" s="387">
        <f t="shared" si="114"/>
        <v>24.981942308584756</v>
      </c>
      <c r="AA305" s="388">
        <f t="shared" si="115"/>
        <v>28.647378416340846</v>
      </c>
      <c r="AB305" s="199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0.12795014100366259</v>
      </c>
      <c r="AD305" s="233">
        <f>(INDEX(Models!$BJ305:$BT305,,AH305)*(1-AF305)+INDEX(Models!$BJ305:$BT305,,AH305+1)*AF305-ERP_i)*AE305*Ramure*Pc/MaxiM</f>
        <v>6.919346127693253E-2</v>
      </c>
      <c r="AE305" s="307">
        <f t="shared" si="117"/>
        <v>1</v>
      </c>
      <c r="AF305" s="179">
        <f t="shared" si="118"/>
        <v>9.6668537930512777E-2</v>
      </c>
      <c r="AG305" s="837">
        <f t="shared" si="124"/>
        <v>2</v>
      </c>
      <c r="AH305" s="178">
        <f t="shared" si="119"/>
        <v>8</v>
      </c>
      <c r="AI305" s="227">
        <f t="shared" si="120"/>
        <v>2.0966685379305128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45583</v>
      </c>
      <c r="B306" s="1139">
        <f>IF(t&gt;Tmaj,'2023'!Wh/'2023'!Env_an*'2024'!Env_an,0.001*'[12]mon-tableau (1)'!$B$226)</f>
        <v>13.636725077304948</v>
      </c>
      <c r="C306" s="866"/>
      <c r="D306" s="395">
        <f t="shared" si="102"/>
        <v>14.376477407171377</v>
      </c>
      <c r="E306" s="387">
        <f t="shared" si="125"/>
        <v>15.46886046409255</v>
      </c>
      <c r="F306" s="387">
        <f t="shared" si="103"/>
        <v>15.830428804278483</v>
      </c>
      <c r="G306" s="110">
        <f t="shared" si="126"/>
        <v>0.49759254022674521</v>
      </c>
      <c r="H306" s="414" t="b">
        <f>Wh_hp&gt;='2023'!Maxi_hp</f>
        <v>0</v>
      </c>
      <c r="I306" s="392">
        <f>IF(H306,Wh_hp,'2023'!Maxi_hp)</f>
        <v>30.618334526163864</v>
      </c>
      <c r="J306" s="85">
        <f>IF(H306,An,'2023'!An_max)</f>
        <v>2020</v>
      </c>
      <c r="K306" s="199">
        <f t="shared" si="104"/>
        <v>45583</v>
      </c>
      <c r="L306" s="147">
        <f>IF(t&lt;Tvie,1-EXP((T0-t)*PertePVj)+'2023'!Pspv,1-EXP((T0-t)*PertePVj)+Pspv)</f>
        <v>5.1455743219644301E-2</v>
      </c>
      <c r="M306" s="870"/>
      <c r="N306" s="870"/>
      <c r="O306" s="48">
        <f>IF(t&lt;Tnet,'2023'!Resal+('2023'!Salim-'2023'!Resal)*(1-EXP(('2023'!Tnet-t)/('2023'!Tau_j))),Resal+(Salim-Resal)*(1-EXP((Tnet-t)/(Tau_j))))*Salcycl</f>
        <v>7.0618198377113348E-2</v>
      </c>
      <c r="P306" s="171">
        <f>(INDEX(Models!$BJ306:$BT306,,T306)*(1-R306)+INDEX(Models!$BJ306:$BT306,,T306+1)*R306-ERP_i)*Q306*Ramure*Pc/MaxiM</f>
        <v>7.1483571287348696E-2</v>
      </c>
      <c r="Q306" s="307">
        <f t="shared" si="105"/>
        <v>1</v>
      </c>
      <c r="R306" s="179">
        <f t="shared" si="106"/>
        <v>9.6802346964515174E-2</v>
      </c>
      <c r="S306" s="837">
        <f t="shared" si="107"/>
        <v>2</v>
      </c>
      <c r="T306" s="178">
        <f t="shared" si="108"/>
        <v>8</v>
      </c>
      <c r="U306" s="253">
        <f t="shared" si="109"/>
        <v>2.0968023469645152</v>
      </c>
      <c r="V306" s="385">
        <f t="shared" si="110"/>
        <v>26.04115085472203</v>
      </c>
      <c r="W306" s="404">
        <f t="shared" si="111"/>
        <v>13.636725077304948</v>
      </c>
      <c r="X306" s="157">
        <f t="shared" si="112"/>
        <v>45583</v>
      </c>
      <c r="Y306" s="387">
        <f t="shared" si="113"/>
        <v>12.796142433267748</v>
      </c>
      <c r="Z306" s="387">
        <f t="shared" si="114"/>
        <v>13.490295620682689</v>
      </c>
      <c r="AA306" s="388">
        <f t="shared" si="115"/>
        <v>15.46886046409255</v>
      </c>
      <c r="AB306" s="199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0.12790630880682199</v>
      </c>
      <c r="AD306" s="233">
        <f>(INDEX(Models!$BJ306:$BT306,,AH306)*(1-AF306)+INDEX(Models!$BJ306:$BT306,,AH306+1)*AF306-ERP_i)*AE306*Ramure*Pc/MaxiM</f>
        <v>7.1483571287348696E-2</v>
      </c>
      <c r="AE306" s="307">
        <f t="shared" si="117"/>
        <v>1</v>
      </c>
      <c r="AF306" s="179">
        <f t="shared" si="118"/>
        <v>9.6802346964515174E-2</v>
      </c>
      <c r="AG306" s="837">
        <f t="shared" si="124"/>
        <v>2</v>
      </c>
      <c r="AH306" s="178">
        <f t="shared" si="119"/>
        <v>8</v>
      </c>
      <c r="AI306" s="227">
        <f t="shared" si="120"/>
        <v>2.0968023469645152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45584</v>
      </c>
      <c r="B307" s="1139">
        <f>IF(t&gt;Tmaj,'2023'!Wh/'2023'!Env_an*'2024'!Env_an,0.001*'[12]mon-tableau (1)'!$B$227)</f>
        <v>7.535000527710479</v>
      </c>
      <c r="C307" s="866"/>
      <c r="D307" s="395">
        <f t="shared" si="102"/>
        <v>7.9439370681955248</v>
      </c>
      <c r="E307" s="387">
        <f t="shared" si="125"/>
        <v>8.5487600552493088</v>
      </c>
      <c r="F307" s="387">
        <f t="shared" si="103"/>
        <v>8.5487600552493088</v>
      </c>
      <c r="G307" s="110">
        <f t="shared" si="126"/>
        <v>0.27195971657482848</v>
      </c>
      <c r="H307" s="414" t="b">
        <f>Wh_hp&gt;='2023'!Maxi_hp</f>
        <v>0</v>
      </c>
      <c r="I307" s="392">
        <f>IF(H307,Wh_hp,'2023'!Maxi_hp)</f>
        <v>26.917739526991838</v>
      </c>
      <c r="J307" s="85">
        <f>IF(H307,An,'2023'!An_max)</f>
        <v>2020</v>
      </c>
      <c r="K307" s="199">
        <f t="shared" si="104"/>
        <v>45584</v>
      </c>
      <c r="L307" s="147">
        <f>IF(t&lt;Tvie,1-EXP((T0-t)*PertePVj)+'2023'!Pspv,1-EXP((T0-t)*PertePVj)+Pspv)</f>
        <v>5.147781723023348E-2</v>
      </c>
      <c r="M307" s="870"/>
      <c r="N307" s="870"/>
      <c r="O307" s="48">
        <f>IF(t&lt;Tnet,'2023'!Resal+('2023'!Salim-'2023'!Resal)*(1-EXP(('2023'!Tnet-t)/('2023'!Tau_j))),Resal+(Salim-Resal)*(1-EXP((Tnet-t)/(Tau_j))))*Salcycl</f>
        <v>7.0749790980786376E-2</v>
      </c>
      <c r="P307" s="171">
        <f>(INDEX(Models!$BJ307:$BT307,,T307)*(1-R307)+INDEX(Models!$BJ307:$BT307,,T307+1)*R307-ERP_i)*Q307*Ramure*Pc/MaxiM</f>
        <v>7.381542745314032E-2</v>
      </c>
      <c r="Q307" s="307">
        <f t="shared" si="105"/>
        <v>1</v>
      </c>
      <c r="R307" s="179">
        <f t="shared" si="106"/>
        <v>9.693081672270587E-2</v>
      </c>
      <c r="S307" s="837">
        <f t="shared" si="107"/>
        <v>2</v>
      </c>
      <c r="T307" s="178">
        <f t="shared" si="108"/>
        <v>8</v>
      </c>
      <c r="U307" s="253">
        <f t="shared" si="109"/>
        <v>2.0969308167227059</v>
      </c>
      <c r="V307" s="385">
        <f t="shared" si="110"/>
        <v>25.661157949389562</v>
      </c>
      <c r="W307" s="404">
        <f t="shared" si="111"/>
        <v>7.535000527710479</v>
      </c>
      <c r="X307" s="157">
        <f t="shared" si="112"/>
        <v>45584</v>
      </c>
      <c r="Y307" s="387">
        <f t="shared" si="113"/>
        <v>7.0719178022346671</v>
      </c>
      <c r="Z307" s="387">
        <f t="shared" si="114"/>
        <v>7.4557221019165389</v>
      </c>
      <c r="AA307" s="388">
        <f t="shared" si="115"/>
        <v>8.5487600552493088</v>
      </c>
      <c r="AB307" s="199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0.12785923879821576</v>
      </c>
      <c r="AD307" s="233">
        <f>(INDEX(Models!$BJ307:$BT307,,AH307)*(1-AF307)+INDEX(Models!$BJ307:$BT307,,AH307+1)*AF307-ERP_i)*AE307*Ramure*Pc/MaxiM</f>
        <v>7.381542745314032E-2</v>
      </c>
      <c r="AE307" s="307">
        <f t="shared" si="117"/>
        <v>1</v>
      </c>
      <c r="AF307" s="179">
        <f t="shared" si="118"/>
        <v>9.693081672270587E-2</v>
      </c>
      <c r="AG307" s="837">
        <f t="shared" si="124"/>
        <v>2</v>
      </c>
      <c r="AH307" s="178">
        <f t="shared" si="119"/>
        <v>8</v>
      </c>
      <c r="AI307" s="227">
        <f t="shared" si="120"/>
        <v>2.0969308167227059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45585</v>
      </c>
      <c r="B308" s="1139">
        <f>IF(t&gt;Tmaj,'2023'!Wh/'2023'!Env_an*'2024'!Env_an,0.001*'[12]mon-tableau (1)'!$B$228)</f>
        <v>13.160829506205669</v>
      </c>
      <c r="C308" s="866"/>
      <c r="D308" s="395">
        <f t="shared" si="102"/>
        <v>13.875411692145059</v>
      </c>
      <c r="E308" s="387">
        <f t="shared" si="125"/>
        <v>14.933912204668932</v>
      </c>
      <c r="F308" s="387">
        <f t="shared" si="103"/>
        <v>15.301087479913326</v>
      </c>
      <c r="G308" s="110">
        <f t="shared" si="126"/>
        <v>0.49263806346915295</v>
      </c>
      <c r="H308" s="414" t="b">
        <f>Wh_hp&gt;='2023'!Maxi_hp</f>
        <v>0</v>
      </c>
      <c r="I308" s="392">
        <f>IF(H308,Wh_hp,'2023'!Maxi_hp)</f>
        <v>22.474187536944374</v>
      </c>
      <c r="J308" s="85">
        <f>IF(H308,An,'2023'!An_max)</f>
        <v>2019</v>
      </c>
      <c r="K308" s="199">
        <f t="shared" si="104"/>
        <v>45585</v>
      </c>
      <c r="L308" s="147">
        <f>IF(t&lt;Tvie,1-EXP((T0-t)*PertePVj)+'2023'!Pspv,1-EXP((T0-t)*PertePVj)+Pspv)</f>
        <v>5.149989072712835E-2</v>
      </c>
      <c r="M308" s="870"/>
      <c r="N308" s="870"/>
      <c r="O308" s="48">
        <f>IF(t&lt;Tnet,'2023'!Resal+('2023'!Salim-'2023'!Resal)*(1-EXP(('2023'!Tnet-t)/('2023'!Tau_j))),Resal+(Salim-Resal)*(1-EXP((Tnet-t)/(Tau_j))))*Salcycl</f>
        <v>7.0878983217334282E-2</v>
      </c>
      <c r="P308" s="171">
        <f>(INDEX(Models!$BJ308:$BT308,,T308)*(1-R308)+INDEX(Models!$BJ308:$BT308,,T308+1)*R308-ERP_i)*Q308*Ramure*Pc/MaxiM</f>
        <v>7.6189937208877609E-2</v>
      </c>
      <c r="Q308" s="307">
        <f t="shared" si="105"/>
        <v>1</v>
      </c>
      <c r="R308" s="179">
        <f t="shared" si="106"/>
        <v>9.7054158396105095E-2</v>
      </c>
      <c r="S308" s="837">
        <f t="shared" si="107"/>
        <v>2</v>
      </c>
      <c r="T308" s="178">
        <f t="shared" si="108"/>
        <v>8</v>
      </c>
      <c r="U308" s="253">
        <f t="shared" si="109"/>
        <v>2.0970541583961051</v>
      </c>
      <c r="V308" s="385">
        <f t="shared" si="110"/>
        <v>25.286381826778232</v>
      </c>
      <c r="W308" s="404">
        <f t="shared" si="111"/>
        <v>13.160829506205669</v>
      </c>
      <c r="X308" s="157">
        <f t="shared" si="112"/>
        <v>45585</v>
      </c>
      <c r="Y308" s="387">
        <f t="shared" si="113"/>
        <v>12.354425230679208</v>
      </c>
      <c r="Z308" s="387">
        <f t="shared" si="114"/>
        <v>13.025222780575341</v>
      </c>
      <c r="AA308" s="388">
        <f t="shared" si="115"/>
        <v>14.933912204668932</v>
      </c>
      <c r="AB308" s="199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0.12780906958170407</v>
      </c>
      <c r="AD308" s="233">
        <f>(INDEX(Models!$BJ308:$BT308,,AH308)*(1-AF308)+INDEX(Models!$BJ308:$BT308,,AH308+1)*AF308-ERP_i)*AE308*Ramure*Pc/MaxiM</f>
        <v>7.6189937208877609E-2</v>
      </c>
      <c r="AE308" s="307">
        <f t="shared" si="117"/>
        <v>1</v>
      </c>
      <c r="AF308" s="179">
        <f t="shared" si="118"/>
        <v>9.7054158396105095E-2</v>
      </c>
      <c r="AG308" s="837">
        <f t="shared" si="124"/>
        <v>2</v>
      </c>
      <c r="AH308" s="178">
        <f t="shared" si="119"/>
        <v>8</v>
      </c>
      <c r="AI308" s="227">
        <f t="shared" si="120"/>
        <v>2.0970541583961051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45586</v>
      </c>
      <c r="B309" s="1139">
        <f>IF(t&gt;Tmaj,'2023'!Wh/'2023'!Env_an*'2024'!Env_an,0.001*'[12]mon-tableau (1)'!$B$229)</f>
        <v>23.297071500740255</v>
      </c>
      <c r="C309" s="866"/>
      <c r="D309" s="395">
        <f t="shared" si="102"/>
        <v>24.562584065600305</v>
      </c>
      <c r="E309" s="387">
        <f t="shared" si="125"/>
        <v>26.439977148976837</v>
      </c>
      <c r="F309" s="387">
        <f t="shared" si="103"/>
        <v>28.47016606203438</v>
      </c>
      <c r="G309" s="110">
        <f t="shared" si="126"/>
        <v>0.92765667654580797</v>
      </c>
      <c r="H309" s="414" t="b">
        <f>Wh_hp&gt;='2023'!Maxi_hp</f>
        <v>0</v>
      </c>
      <c r="I309" s="392">
        <f>IF(H309,Wh_hp,'2023'!Maxi_hp)</f>
        <v>28.583639581005087</v>
      </c>
      <c r="J309" s="85">
        <f>IF(H309,An,'2023'!An_max)</f>
        <v>2022</v>
      </c>
      <c r="K309" s="199">
        <f t="shared" si="104"/>
        <v>45586</v>
      </c>
      <c r="L309" s="147">
        <f>IF(t&lt;Tvie,1-EXP((T0-t)*PertePVj)+'2023'!Pspv,1-EXP((T0-t)*PertePVj)+Pspv)</f>
        <v>5.1521963710340568E-2</v>
      </c>
      <c r="M309" s="870"/>
      <c r="N309" s="870"/>
      <c r="O309" s="48">
        <f>IF(t&lt;Tnet,'2023'!Resal+('2023'!Salim-'2023'!Resal)*(1-EXP(('2023'!Tnet-t)/('2023'!Tau_j))),Resal+(Salim-Resal)*(1-EXP((Tnet-t)/(Tau_j))))*Salcycl</f>
        <v>7.100585120774891E-2</v>
      </c>
      <c r="P309" s="171">
        <f>(INDEX(Models!$BJ309:$BT309,,T309)*(1-R309)+INDEX(Models!$BJ309:$BT309,,T309+1)*R309-ERP_i)*Q309*Ramure*Pc/MaxiM</f>
        <v>7.8608101333514757E-2</v>
      </c>
      <c r="Q309" s="307">
        <f t="shared" si="105"/>
        <v>1</v>
      </c>
      <c r="R309" s="179">
        <f t="shared" si="106"/>
        <v>9.717257496828946E-2</v>
      </c>
      <c r="S309" s="837">
        <f t="shared" si="107"/>
        <v>2</v>
      </c>
      <c r="T309" s="178">
        <f t="shared" si="108"/>
        <v>8</v>
      </c>
      <c r="U309" s="253">
        <f t="shared" si="109"/>
        <v>2.0971725749682895</v>
      </c>
      <c r="V309" s="385">
        <f t="shared" si="110"/>
        <v>24.916519214356768</v>
      </c>
      <c r="W309" s="404">
        <f t="shared" si="111"/>
        <v>23.297071500740255</v>
      </c>
      <c r="X309" s="157">
        <f t="shared" si="112"/>
        <v>45586</v>
      </c>
      <c r="Y309" s="387">
        <f t="shared" si="113"/>
        <v>21.873907351301423</v>
      </c>
      <c r="Z309" s="387">
        <f t="shared" si="114"/>
        <v>23.062112684095158</v>
      </c>
      <c r="AA309" s="388">
        <f t="shared" si="115"/>
        <v>26.439977148976837</v>
      </c>
      <c r="AB309" s="199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0.12775595250514027</v>
      </c>
      <c r="AD309" s="233">
        <f>(INDEX(Models!$BJ309:$BT309,,AH309)*(1-AF309)+INDEX(Models!$BJ309:$BT309,,AH309+1)*AF309-ERP_i)*AE309*Ramure*Pc/MaxiM</f>
        <v>7.8608101333514757E-2</v>
      </c>
      <c r="AE309" s="307">
        <f t="shared" si="117"/>
        <v>1</v>
      </c>
      <c r="AF309" s="179">
        <f t="shared" si="118"/>
        <v>9.717257496828946E-2</v>
      </c>
      <c r="AG309" s="837">
        <f t="shared" si="124"/>
        <v>2</v>
      </c>
      <c r="AH309" s="178">
        <f t="shared" si="119"/>
        <v>8</v>
      </c>
      <c r="AI309" s="227">
        <f t="shared" si="120"/>
        <v>2.0971725749682895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45587</v>
      </c>
      <c r="B310" s="1139">
        <f>IF(t&gt;Tmaj,'2023'!Wh/'2023'!Env_an*'2024'!Env_an,0.001*'[12]mon-tableau (1)'!$B$230)</f>
        <v>15.722859817071033</v>
      </c>
      <c r="C310" s="866"/>
      <c r="D310" s="395">
        <f t="shared" si="102"/>
        <v>16.57732189667901</v>
      </c>
      <c r="E310" s="387">
        <f t="shared" si="125"/>
        <v>17.84677128294145</v>
      </c>
      <c r="F310" s="387">
        <f t="shared" si="103"/>
        <v>18.579134542380611</v>
      </c>
      <c r="G310" s="110">
        <f t="shared" si="126"/>
        <v>0.61264006820177652</v>
      </c>
      <c r="H310" s="414" t="b">
        <f>Wh_hp&gt;='2023'!Maxi_hp</f>
        <v>0</v>
      </c>
      <c r="I310" s="392">
        <f>IF(H310,Wh_hp,'2023'!Maxi_hp)</f>
        <v>30.859930652265835</v>
      </c>
      <c r="J310" s="85">
        <f>IF(H310,An,'2023'!An_max)</f>
        <v>2021</v>
      </c>
      <c r="K310" s="199">
        <f t="shared" si="104"/>
        <v>45587</v>
      </c>
      <c r="L310" s="147">
        <f>IF(t&lt;Tvie,1-EXP((T0-t)*PertePVj)+'2023'!Pspv,1-EXP((T0-t)*PertePVj)+Pspv)</f>
        <v>5.1544036179882236E-2</v>
      </c>
      <c r="M310" s="870"/>
      <c r="N310" s="870"/>
      <c r="O310" s="48">
        <f>IF(t&lt;Tnet,'2023'!Resal+('2023'!Salim-'2023'!Resal)*(1-EXP(('2023'!Tnet-t)/('2023'!Tau_j))),Resal+(Salim-Resal)*(1-EXP((Tnet-t)/(Tau_j))))*Salcycl</f>
        <v>7.1130478792868337E-2</v>
      </c>
      <c r="P310" s="171">
        <f>(INDEX(Models!$BJ310:$BT310,,T310)*(1-R310)+INDEX(Models!$BJ310:$BT310,,T310+1)*R310-ERP_i)*Q310*Ramure*Pc/MaxiM</f>
        <v>8.1060143431447199E-2</v>
      </c>
      <c r="Q310" s="307">
        <f t="shared" si="105"/>
        <v>1</v>
      </c>
      <c r="R310" s="179">
        <f t="shared" si="106"/>
        <v>9.7286261522840256E-2</v>
      </c>
      <c r="S310" s="837">
        <f t="shared" si="107"/>
        <v>2</v>
      </c>
      <c r="T310" s="178">
        <f t="shared" si="108"/>
        <v>8</v>
      </c>
      <c r="U310" s="253">
        <f t="shared" si="109"/>
        <v>2.0972862615228403</v>
      </c>
      <c r="V310" s="385">
        <f t="shared" si="110"/>
        <v>24.551557894928727</v>
      </c>
      <c r="W310" s="404">
        <f t="shared" si="111"/>
        <v>15.722859817071033</v>
      </c>
      <c r="X310" s="157">
        <f t="shared" si="112"/>
        <v>45587</v>
      </c>
      <c r="Y310" s="387">
        <f t="shared" si="113"/>
        <v>14.765313639900022</v>
      </c>
      <c r="Z310" s="387">
        <f t="shared" si="114"/>
        <v>15.567737673797136</v>
      </c>
      <c r="AA310" s="388">
        <f t="shared" si="115"/>
        <v>17.84677128294145</v>
      </c>
      <c r="AB310" s="199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0.12770005134333129</v>
      </c>
      <c r="AD310" s="233">
        <f>(INDEX(Models!$BJ310:$BT310,,AH310)*(1-AF310)+INDEX(Models!$BJ310:$BT310,,AH310+1)*AF310-ERP_i)*AE310*Ramure*Pc/MaxiM</f>
        <v>8.1060143431447199E-2</v>
      </c>
      <c r="AE310" s="307">
        <f t="shared" si="117"/>
        <v>1</v>
      </c>
      <c r="AF310" s="179">
        <f t="shared" si="118"/>
        <v>9.7286261522840256E-2</v>
      </c>
      <c r="AG310" s="837">
        <f t="shared" si="124"/>
        <v>2</v>
      </c>
      <c r="AH310" s="178">
        <f t="shared" si="119"/>
        <v>8</v>
      </c>
      <c r="AI310" s="227">
        <f t="shared" si="120"/>
        <v>2.0972862615228403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45588</v>
      </c>
      <c r="B311" s="1139">
        <f>IF(t&gt;Tmaj,'2023'!Wh/'2023'!Env_an*'2024'!Env_an,0.001*'[12]mon-tableau (1)'!$B$231)</f>
        <v>18.562343741086249</v>
      </c>
      <c r="C311" s="866"/>
      <c r="D311" s="395">
        <f t="shared" si="102"/>
        <v>19.571573622912446</v>
      </c>
      <c r="E311" s="387">
        <f t="shared" si="125"/>
        <v>21.073093883181421</v>
      </c>
      <c r="F311" s="387">
        <f t="shared" si="103"/>
        <v>22.318046329727441</v>
      </c>
      <c r="G311" s="110">
        <f t="shared" si="126"/>
        <v>0.74475530902845133</v>
      </c>
      <c r="H311" s="414" t="b">
        <f>Wh_hp&gt;='2023'!Maxi_hp</f>
        <v>0</v>
      </c>
      <c r="I311" s="392">
        <f>IF(H311,Wh_hp,'2023'!Maxi_hp)</f>
        <v>31.094214113391882</v>
      </c>
      <c r="J311" s="85">
        <f>IF(H311,An,'2023'!An_max)</f>
        <v>2021</v>
      </c>
      <c r="K311" s="199">
        <f t="shared" si="104"/>
        <v>45588</v>
      </c>
      <c r="L311" s="147">
        <f>IF(t&lt;Tvie,1-EXP((T0-t)*PertePVj)+'2023'!Pspv,1-EXP((T0-t)*PertePVj)+Pspv)</f>
        <v>5.1566108135765343E-2</v>
      </c>
      <c r="M311" s="870"/>
      <c r="N311" s="870"/>
      <c r="O311" s="48">
        <f>IF(t&lt;Tnet,'2023'!Resal+('2023'!Salim-'2023'!Resal)*(1-EXP(('2023'!Tnet-t)/('2023'!Tau_j))),Resal+(Salim-Resal)*(1-EXP((Tnet-t)/(Tau_j))))*Salcycl</f>
        <v>7.125295737743334E-2</v>
      </c>
      <c r="P311" s="171">
        <f>(INDEX(Models!$BJ311:$BT311,,T311)*(1-R311)+INDEX(Models!$BJ311:$BT311,,T311+1)*R311-ERP_i)*Q311*Ramure*Pc/MaxiM</f>
        <v>8.3555535746762402E-2</v>
      </c>
      <c r="Q311" s="307">
        <f t="shared" si="105"/>
        <v>1</v>
      </c>
      <c r="R311" s="179">
        <f t="shared" si="106"/>
        <v>9.739540554018955E-2</v>
      </c>
      <c r="S311" s="837">
        <f t="shared" si="107"/>
        <v>2</v>
      </c>
      <c r="T311" s="178">
        <f t="shared" si="108"/>
        <v>8</v>
      </c>
      <c r="U311" s="253">
        <f t="shared" si="109"/>
        <v>2.0973954055401896</v>
      </c>
      <c r="V311" s="385">
        <f t="shared" si="110"/>
        <v>24.190966942624502</v>
      </c>
      <c r="W311" s="404">
        <f t="shared" si="111"/>
        <v>18.562343741086249</v>
      </c>
      <c r="X311" s="157">
        <f t="shared" si="112"/>
        <v>45588</v>
      </c>
      <c r="Y311" s="387">
        <f t="shared" si="113"/>
        <v>17.435336880365494</v>
      </c>
      <c r="Z311" s="387">
        <f t="shared" si="114"/>
        <v>18.383291687409784</v>
      </c>
      <c r="AA311" s="388">
        <f t="shared" si="115"/>
        <v>21.073093883181421</v>
      </c>
      <c r="AB311" s="199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0.12764154189615162</v>
      </c>
      <c r="AD311" s="233">
        <f>(INDEX(Models!$BJ311:$BT311,,AH311)*(1-AF311)+INDEX(Models!$BJ311:$BT311,,AH311+1)*AF311-ERP_i)*AE311*Ramure*Pc/MaxiM</f>
        <v>8.3555535746762402E-2</v>
      </c>
      <c r="AE311" s="307">
        <f t="shared" si="117"/>
        <v>1</v>
      </c>
      <c r="AF311" s="179">
        <f t="shared" si="118"/>
        <v>9.739540554018955E-2</v>
      </c>
      <c r="AG311" s="837">
        <f t="shared" si="124"/>
        <v>2</v>
      </c>
      <c r="AH311" s="178">
        <f t="shared" si="119"/>
        <v>8</v>
      </c>
      <c r="AI311" s="227">
        <f t="shared" si="120"/>
        <v>2.0973954055401896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45589</v>
      </c>
      <c r="B312" s="1139">
        <f>IF(t&gt;Tmaj,'2023'!Wh/'2023'!Env_an*'2024'!Env_an,0.001*'[12]mon-tableau (1)'!$B$232)</f>
        <v>17.133212603654101</v>
      </c>
      <c r="C312" s="866"/>
      <c r="D312" s="395">
        <f t="shared" si="102"/>
        <v>18.065161393739942</v>
      </c>
      <c r="E312" s="387">
        <f t="shared" si="125"/>
        <v>19.453633049076288</v>
      </c>
      <c r="F312" s="387">
        <f t="shared" si="103"/>
        <v>20.510227582376306</v>
      </c>
      <c r="G312" s="110">
        <f t="shared" si="126"/>
        <v>0.69263484756132476</v>
      </c>
      <c r="H312" s="414" t="b">
        <f>Wh_hp&gt;='2023'!Maxi_hp</f>
        <v>0</v>
      </c>
      <c r="I312" s="392">
        <f>IF(H312,Wh_hp,'2023'!Maxi_hp)</f>
        <v>29.799774376559132</v>
      </c>
      <c r="J312" s="85">
        <f>IF(H312,An,'2023'!An_max)</f>
        <v>2021</v>
      </c>
      <c r="K312" s="199">
        <f t="shared" si="104"/>
        <v>45589</v>
      </c>
      <c r="L312" s="147">
        <f>IF(t&lt;Tvie,1-EXP((T0-t)*PertePVj)+'2023'!Pspv,1-EXP((T0-t)*PertePVj)+Pspv)</f>
        <v>5.1588179578001769E-2</v>
      </c>
      <c r="M312" s="870"/>
      <c r="N312" s="870"/>
      <c r="O312" s="48">
        <f>IF(t&lt;Tnet,'2023'!Resal+('2023'!Salim-'2023'!Resal)*(1-EXP(('2023'!Tnet-t)/('2023'!Tau_j))),Resal+(Salim-Resal)*(1-EXP((Tnet-t)/(Tau_j))))*Salcycl</f>
        <v>7.1373385723561444E-2</v>
      </c>
      <c r="P312" s="171">
        <f>(INDEX(Models!$BJ312:$BT312,,T312)*(1-R312)+INDEX(Models!$BJ312:$BT312,,T312+1)*R312-ERP_i)*Q312*Ramure*Pc/MaxiM</f>
        <v>8.6096301421061311E-2</v>
      </c>
      <c r="Q312" s="307">
        <f t="shared" si="105"/>
        <v>1</v>
      </c>
      <c r="R312" s="179">
        <f t="shared" si="106"/>
        <v>9.7500187184161202E-2</v>
      </c>
      <c r="S312" s="837">
        <f t="shared" si="107"/>
        <v>2</v>
      </c>
      <c r="T312" s="178">
        <f t="shared" si="108"/>
        <v>8</v>
      </c>
      <c r="U312" s="253">
        <f t="shared" si="109"/>
        <v>2.0975001871841612</v>
      </c>
      <c r="V312" s="385">
        <f t="shared" si="110"/>
        <v>23.834423998838293</v>
      </c>
      <c r="W312" s="404">
        <f t="shared" si="111"/>
        <v>17.133212603654101</v>
      </c>
      <c r="X312" s="157">
        <f t="shared" si="112"/>
        <v>45589</v>
      </c>
      <c r="Y312" s="387">
        <f t="shared" si="113"/>
        <v>16.096186166621262</v>
      </c>
      <c r="Z312" s="387">
        <f t="shared" si="114"/>
        <v>16.971726648724417</v>
      </c>
      <c r="AA312" s="388">
        <f t="shared" si="115"/>
        <v>19.453633049076288</v>
      </c>
      <c r="AB312" s="199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0.12758061150278144</v>
      </c>
      <c r="AD312" s="233">
        <f>(INDEX(Models!$BJ312:$BT312,,AH312)*(1-AF312)+INDEX(Models!$BJ312:$BT312,,AH312+1)*AF312-ERP_i)*AE312*Ramure*Pc/MaxiM</f>
        <v>8.6096301421061311E-2</v>
      </c>
      <c r="AE312" s="307">
        <f t="shared" si="117"/>
        <v>1</v>
      </c>
      <c r="AF312" s="179">
        <f t="shared" si="118"/>
        <v>9.7500187184161202E-2</v>
      </c>
      <c r="AG312" s="837">
        <f t="shared" si="124"/>
        <v>2</v>
      </c>
      <c r="AH312" s="178">
        <f t="shared" si="119"/>
        <v>8</v>
      </c>
      <c r="AI312" s="227">
        <f t="shared" si="120"/>
        <v>2.0975001871841612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45590</v>
      </c>
      <c r="B313" s="1139">
        <f>IF(t&gt;Tmaj,'2023'!Wh/'2023'!Env_an*'2024'!Env_an,0.001*'[12]mon-tableau (1)'!$B$233)</f>
        <v>13.553496612762697</v>
      </c>
      <c r="C313" s="866"/>
      <c r="D313" s="395">
        <f t="shared" si="102"/>
        <v>14.291061897287058</v>
      </c>
      <c r="E313" s="387">
        <f t="shared" si="125"/>
        <v>15.391423543675382</v>
      </c>
      <c r="F313" s="387">
        <f t="shared" si="103"/>
        <v>15.951617550466878</v>
      </c>
      <c r="G313" s="110">
        <f t="shared" si="126"/>
        <v>0.54515270054095266</v>
      </c>
      <c r="H313" s="414" t="b">
        <f>Wh_hp&gt;='2023'!Maxi_hp</f>
        <v>0</v>
      </c>
      <c r="I313" s="392">
        <f>IF(H313,Wh_hp,'2023'!Maxi_hp)</f>
        <v>29.263227957076836</v>
      </c>
      <c r="J313" s="85">
        <f>IF(H313,An,'2023'!An_max)</f>
        <v>2019</v>
      </c>
      <c r="K313" s="199">
        <f t="shared" si="104"/>
        <v>45590</v>
      </c>
      <c r="L313" s="147">
        <f>IF(t&lt;Tvie,1-EXP((T0-t)*PertePVj)+'2023'!Pspv,1-EXP((T0-t)*PertePVj)+Pspv)</f>
        <v>5.1610250506603506E-2</v>
      </c>
      <c r="M313" s="870"/>
      <c r="N313" s="870"/>
      <c r="O313" s="48">
        <f>IF(t&lt;Tnet,'2023'!Resal+('2023'!Salim-'2023'!Resal)*(1-EXP(('2023'!Tnet-t)/('2023'!Tau_j))),Resal+(Salim-Resal)*(1-EXP((Tnet-t)/(Tau_j))))*Salcycl</f>
        <v>7.1491869693916882E-2</v>
      </c>
      <c r="P313" s="171">
        <f>(INDEX(Models!$BJ313:$BT313,,T313)*(1-R313)+INDEX(Models!$BJ313:$BT313,,T313+1)*R313-ERP_i)*Q313*Ramure*Pc/MaxiM</f>
        <v>8.8683949545167104E-2</v>
      </c>
      <c r="Q313" s="307">
        <f t="shared" si="105"/>
        <v>1</v>
      </c>
      <c r="R313" s="179">
        <f t="shared" si="106"/>
        <v>9.7600779578482566E-2</v>
      </c>
      <c r="S313" s="837">
        <f t="shared" si="107"/>
        <v>2</v>
      </c>
      <c r="T313" s="178">
        <f t="shared" si="108"/>
        <v>8</v>
      </c>
      <c r="U313" s="253">
        <f t="shared" si="109"/>
        <v>2.0976007795784826</v>
      </c>
      <c r="V313" s="385">
        <f t="shared" si="110"/>
        <v>23.481624689123468</v>
      </c>
      <c r="W313" s="404">
        <f t="shared" si="111"/>
        <v>13.553496612762697</v>
      </c>
      <c r="X313" s="157">
        <f t="shared" si="112"/>
        <v>45590</v>
      </c>
      <c r="Y313" s="387">
        <f t="shared" si="113"/>
        <v>12.735687265735036</v>
      </c>
      <c r="Z313" s="387">
        <f t="shared" si="114"/>
        <v>13.428748331092873</v>
      </c>
      <c r="AA313" s="388">
        <f t="shared" si="115"/>
        <v>15.391423543675382</v>
      </c>
      <c r="AB313" s="199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0.12751745847374907</v>
      </c>
      <c r="AD313" s="233">
        <f>(INDEX(Models!$BJ313:$BT313,,AH313)*(1-AF313)+INDEX(Models!$BJ313:$BT313,,AH313+1)*AF313-ERP_i)*AE313*Ramure*Pc/MaxiM</f>
        <v>8.8683949545167104E-2</v>
      </c>
      <c r="AE313" s="307">
        <f t="shared" si="117"/>
        <v>1</v>
      </c>
      <c r="AF313" s="179">
        <f t="shared" si="118"/>
        <v>9.7600779578482566E-2</v>
      </c>
      <c r="AG313" s="837">
        <f t="shared" si="124"/>
        <v>2</v>
      </c>
      <c r="AH313" s="178">
        <f t="shared" si="119"/>
        <v>8</v>
      </c>
      <c r="AI313" s="227">
        <f t="shared" si="120"/>
        <v>2.0976007795784826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45591</v>
      </c>
      <c r="B314" s="1139">
        <f>IF(t&gt;Tmaj,'2023'!Wh/'2023'!Env_an*'2024'!Env_an,0.001*'[12]mon-tableau (1)'!$B$234)</f>
        <v>10.817101142548632</v>
      </c>
      <c r="C314" s="866"/>
      <c r="D314" s="395">
        <f t="shared" si="102"/>
        <v>11.406020450908049</v>
      </c>
      <c r="E314" s="387">
        <f t="shared" si="125"/>
        <v>12.285787537394578</v>
      </c>
      <c r="F314" s="387">
        <f t="shared" si="103"/>
        <v>12.560449531628173</v>
      </c>
      <c r="G314" s="110">
        <f t="shared" si="126"/>
        <v>0.43441600454898743</v>
      </c>
      <c r="H314" s="414" t="b">
        <f>Wh_hp&gt;='2023'!Maxi_hp</f>
        <v>0</v>
      </c>
      <c r="I314" s="392">
        <f>IF(H314,Wh_hp,'2023'!Maxi_hp)</f>
        <v>29.643885541046256</v>
      </c>
      <c r="J314" s="85">
        <f>IF(H314,An,'2023'!An_max)</f>
        <v>2021</v>
      </c>
      <c r="K314" s="199">
        <f t="shared" si="104"/>
        <v>45591</v>
      </c>
      <c r="L314" s="147">
        <f>IF(t&lt;Tvie,1-EXP((T0-t)*PertePVj)+'2023'!Pspv,1-EXP((T0-t)*PertePVj)+Pspv)</f>
        <v>5.1632320921582431E-2</v>
      </c>
      <c r="M314" s="870"/>
      <c r="N314" s="870"/>
      <c r="O314" s="48">
        <f>IF(t&lt;Tnet,'2023'!Resal+('2023'!Salim-'2023'!Resal)*(1-EXP(('2023'!Tnet-t)/('2023'!Tau_j))),Resal+(Salim-Resal)*(1-EXP((Tnet-t)/(Tau_j))))*Salcycl</f>
        <v>7.1608521945276921E-2</v>
      </c>
      <c r="P314" s="171">
        <f>(INDEX(Models!$BJ314:$BT314,,T314)*(1-R314)+INDEX(Models!$BJ314:$BT314,,T314+1)*R314-ERP_i)*Q314*Ramure*Pc/MaxiM</f>
        <v>9.1320137446981253E-2</v>
      </c>
      <c r="Q314" s="307">
        <f t="shared" si="105"/>
        <v>1</v>
      </c>
      <c r="R314" s="179">
        <f t="shared" si="106"/>
        <v>9.7697349073571083E-2</v>
      </c>
      <c r="S314" s="837">
        <f t="shared" si="107"/>
        <v>2</v>
      </c>
      <c r="T314" s="178">
        <f t="shared" si="108"/>
        <v>8</v>
      </c>
      <c r="U314" s="253">
        <f t="shared" si="109"/>
        <v>2.0976973490735711</v>
      </c>
      <c r="V314" s="385">
        <f t="shared" si="110"/>
        <v>23.132265028508041</v>
      </c>
      <c r="W314" s="404">
        <f t="shared" si="111"/>
        <v>10.817101142548632</v>
      </c>
      <c r="X314" s="157">
        <f t="shared" si="112"/>
        <v>45591</v>
      </c>
      <c r="Y314" s="387">
        <f t="shared" si="113"/>
        <v>10.1664405999664</v>
      </c>
      <c r="Z314" s="387">
        <f t="shared" si="114"/>
        <v>10.719935763569783</v>
      </c>
      <c r="AA314" s="388">
        <f t="shared" si="115"/>
        <v>12.285787537394578</v>
      </c>
      <c r="AB314" s="199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0.12745229144316317</v>
      </c>
      <c r="AD314" s="233">
        <f>(INDEX(Models!$BJ314:$BT314,,AH314)*(1-AF314)+INDEX(Models!$BJ314:$BT314,,AH314+1)*AF314-ERP_i)*AE314*Ramure*Pc/MaxiM</f>
        <v>9.1320137446981253E-2</v>
      </c>
      <c r="AE314" s="307">
        <f t="shared" si="117"/>
        <v>1</v>
      </c>
      <c r="AF314" s="179">
        <f t="shared" si="118"/>
        <v>9.7697349073571083E-2</v>
      </c>
      <c r="AG314" s="837">
        <f t="shared" si="124"/>
        <v>2</v>
      </c>
      <c r="AH314" s="178">
        <f t="shared" si="119"/>
        <v>8</v>
      </c>
      <c r="AI314" s="227">
        <f t="shared" si="120"/>
        <v>2.0976973490735711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45592</v>
      </c>
      <c r="B315" s="1139">
        <f>IF(t&gt;Tmaj,'2023'!Wh/'2023'!Env_an*'2024'!Env_an,0.001*'[12]mon-tableau (1)'!$B$235)</f>
        <v>14.698689885342775</v>
      </c>
      <c r="C315" s="866"/>
      <c r="D315" s="395">
        <f t="shared" si="102"/>
        <v>15.499296609912003</v>
      </c>
      <c r="E315" s="387">
        <f t="shared" si="125"/>
        <v>16.696852681622712</v>
      </c>
      <c r="F315" s="387">
        <f t="shared" si="103"/>
        <v>17.50821568869398</v>
      </c>
      <c r="G315" s="110">
        <f t="shared" si="126"/>
        <v>0.61283281351513286</v>
      </c>
      <c r="H315" s="414" t="b">
        <f>Wh_hp&gt;='2023'!Maxi_hp</f>
        <v>0</v>
      </c>
      <c r="I315" s="392">
        <f>IF(H315,Wh_hp,'2023'!Maxi_hp)</f>
        <v>28.741781736753882</v>
      </c>
      <c r="J315" s="85">
        <f>IF(H315,An,'2023'!An_max)</f>
        <v>2021</v>
      </c>
      <c r="K315" s="199">
        <f t="shared" si="104"/>
        <v>45592</v>
      </c>
      <c r="L315" s="147">
        <f>IF(t&lt;Tvie,1-EXP((T0-t)*PertePVj)+'2023'!Pspv,1-EXP((T0-t)*PertePVj)+Pspv)</f>
        <v>5.1654390822950647E-2</v>
      </c>
      <c r="M315" s="870"/>
      <c r="N315" s="870"/>
      <c r="O315" s="48">
        <f>IF(t&lt;Tnet,'2023'!Resal+('2023'!Salim-'2023'!Resal)*(1-EXP(('2023'!Tnet-t)/('2023'!Tau_j))),Resal+(Salim-Resal)*(1-EXP((Tnet-t)/(Tau_j))))*Salcycl</f>
        <v>7.1723461573616892E-2</v>
      </c>
      <c r="P315" s="171">
        <f>(INDEX(Models!$BJ315:$BT315,,T315)*(1-R315)+INDEX(Models!$BJ315:$BT315,,T315+1)*R315-ERP_i)*Q315*Ramure*Pc/MaxiM</f>
        <v>9.4006683330775123E-2</v>
      </c>
      <c r="Q315" s="307">
        <f t="shared" si="105"/>
        <v>1</v>
      </c>
      <c r="R315" s="179">
        <f t="shared" si="106"/>
        <v>9.7790055503865769E-2</v>
      </c>
      <c r="S315" s="837">
        <f t="shared" si="107"/>
        <v>2</v>
      </c>
      <c r="T315" s="178">
        <f t="shared" si="108"/>
        <v>8</v>
      </c>
      <c r="U315" s="253">
        <f t="shared" si="109"/>
        <v>2.0977900555038658</v>
      </c>
      <c r="V315" s="385">
        <f t="shared" si="110"/>
        <v>22.786041441307397</v>
      </c>
      <c r="W315" s="404">
        <f t="shared" si="111"/>
        <v>14.698689885342775</v>
      </c>
      <c r="X315" s="157">
        <f t="shared" si="112"/>
        <v>45592</v>
      </c>
      <c r="Y315" s="387">
        <f t="shared" si="113"/>
        <v>13.817318345029166</v>
      </c>
      <c r="Z315" s="387">
        <f t="shared" si="114"/>
        <v>14.569918615450216</v>
      </c>
      <c r="AA315" s="388">
        <f t="shared" si="115"/>
        <v>16.696852681622712</v>
      </c>
      <c r="AB315" s="199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0.12738532864421162</v>
      </c>
      <c r="AD315" s="233">
        <f>(INDEX(Models!$BJ315:$BT315,,AH315)*(1-AF315)+INDEX(Models!$BJ315:$BT315,,AH315+1)*AF315-ERP_i)*AE315*Ramure*Pc/MaxiM</f>
        <v>9.4006683330775123E-2</v>
      </c>
      <c r="AE315" s="307">
        <f t="shared" si="117"/>
        <v>1</v>
      </c>
      <c r="AF315" s="179">
        <f t="shared" si="118"/>
        <v>9.7790055503865769E-2</v>
      </c>
      <c r="AG315" s="837">
        <f t="shared" si="124"/>
        <v>2</v>
      </c>
      <c r="AH315" s="178">
        <f t="shared" si="119"/>
        <v>8</v>
      </c>
      <c r="AI315" s="227">
        <f t="shared" si="120"/>
        <v>2.0977900555038658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45593</v>
      </c>
      <c r="B316" s="1139">
        <f>IF(t&gt;Tmaj,'2023'!Wh/'2023'!Env_an*'2024'!Env_an,0.001*'[12]mon-tableau (1)'!$B$236)</f>
        <v>18.632582113518282</v>
      </c>
      <c r="C316" s="866"/>
      <c r="D316" s="395">
        <f t="shared" si="102"/>
        <v>19.647916909938235</v>
      </c>
      <c r="E316" s="387">
        <f t="shared" si="125"/>
        <v>21.168601815076808</v>
      </c>
      <c r="F316" s="387">
        <f t="shared" si="103"/>
        <v>22.842552906034282</v>
      </c>
      <c r="G316" s="110">
        <f t="shared" si="126"/>
        <v>0.80921039620708168</v>
      </c>
      <c r="H316" s="414" t="b">
        <f>Wh_hp&gt;='2023'!Maxi_hp</f>
        <v>0</v>
      </c>
      <c r="I316" s="392">
        <f>IF(H316,Wh_hp,'2023'!Maxi_hp)</f>
        <v>25.210255189313802</v>
      </c>
      <c r="J316" s="85">
        <f>IF(H316,An,'2023'!An_max)</f>
        <v>2019</v>
      </c>
      <c r="K316" s="199">
        <f t="shared" si="104"/>
        <v>45593</v>
      </c>
      <c r="L316" s="147">
        <f>IF(t&lt;Tvie,1-EXP((T0-t)*PertePVj)+'2023'!Pspv,1-EXP((T0-t)*PertePVj)+Pspv)</f>
        <v>5.1676460210719921E-2</v>
      </c>
      <c r="M316" s="870"/>
      <c r="N316" s="870"/>
      <c r="O316" s="48">
        <f>IF(t&lt;Tnet,'2023'!Resal+('2023'!Salim-'2023'!Resal)*(1-EXP(('2023'!Tnet-t)/('2023'!Tau_j))),Resal+(Salim-Resal)*(1-EXP((Tnet-t)/(Tau_j))))*Salcycl</f>
        <v>7.1836813712254949E-2</v>
      </c>
      <c r="P316" s="171">
        <f>(INDEX(Models!$BJ316:$BT316,,T316)*(1-R316)+INDEX(Models!$BJ316:$BT316,,T316+1)*R316-ERP_i)*Q316*Ramure*Pc/MaxiM</f>
        <v>9.6745580047730914E-2</v>
      </c>
      <c r="Q316" s="307">
        <f t="shared" si="105"/>
        <v>1</v>
      </c>
      <c r="R316" s="179">
        <f t="shared" si="106"/>
        <v>9.7879052435996261E-2</v>
      </c>
      <c r="S316" s="837">
        <f t="shared" si="107"/>
        <v>2</v>
      </c>
      <c r="T316" s="178">
        <f t="shared" si="108"/>
        <v>8</v>
      </c>
      <c r="U316" s="253">
        <f t="shared" si="109"/>
        <v>2.0978790524359963</v>
      </c>
      <c r="V316" s="385">
        <f t="shared" si="110"/>
        <v>22.442650756310901</v>
      </c>
      <c r="W316" s="404">
        <f t="shared" si="111"/>
        <v>18.632582113518282</v>
      </c>
      <c r="X316" s="157">
        <f t="shared" si="112"/>
        <v>45593</v>
      </c>
      <c r="Y316" s="387">
        <f t="shared" si="113"/>
        <v>17.518839011423356</v>
      </c>
      <c r="Z316" s="387">
        <f t="shared" si="114"/>
        <v>18.473483232648729</v>
      </c>
      <c r="AA316" s="388">
        <f t="shared" si="115"/>
        <v>21.168601815076808</v>
      </c>
      <c r="AB316" s="199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0.12731679711168034</v>
      </c>
      <c r="AD316" s="233">
        <f>(INDEX(Models!$BJ316:$BT316,,AH316)*(1-AF316)+INDEX(Models!$BJ316:$BT316,,AH316+1)*AF316-ERP_i)*AE316*Ramure*Pc/MaxiM</f>
        <v>9.6745580047730914E-2</v>
      </c>
      <c r="AE316" s="307">
        <f t="shared" si="117"/>
        <v>1</v>
      </c>
      <c r="AF316" s="179">
        <f t="shared" si="118"/>
        <v>9.7879052435996261E-2</v>
      </c>
      <c r="AG316" s="837">
        <f t="shared" si="124"/>
        <v>2</v>
      </c>
      <c r="AH316" s="178">
        <f t="shared" si="119"/>
        <v>8</v>
      </c>
      <c r="AI316" s="227">
        <f t="shared" si="120"/>
        <v>2.0978790524359963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45594</v>
      </c>
      <c r="B317" s="1139">
        <f>IF(t&gt;Tmaj,'2023'!Wh/'2023'!Env_an*'2024'!Env_an,0.001*'[12]mon-tableau (1)'!$B$237)</f>
        <v>16.033098879803124</v>
      </c>
      <c r="C317" s="866"/>
      <c r="D317" s="395">
        <f t="shared" si="102"/>
        <v>16.907174956009936</v>
      </c>
      <c r="E317" s="387">
        <f t="shared" si="125"/>
        <v>18.217931618133644</v>
      </c>
      <c r="F317" s="387">
        <f t="shared" si="103"/>
        <v>19.390990918015646</v>
      </c>
      <c r="G317" s="110">
        <f t="shared" si="126"/>
        <v>0.69527707579887121</v>
      </c>
      <c r="H317" s="414" t="b">
        <f>Wh_hp&gt;='2023'!Maxi_hp</f>
        <v>0</v>
      </c>
      <c r="I317" s="392">
        <f>IF(H317,Wh_hp,'2023'!Maxi_hp)</f>
        <v>25.555453874343382</v>
      </c>
      <c r="J317" s="85">
        <f>IF(H317,An,'2023'!An_max)</f>
        <v>2020</v>
      </c>
      <c r="K317" s="199">
        <f t="shared" si="104"/>
        <v>45594</v>
      </c>
      <c r="L317" s="147">
        <f>IF(t&lt;Tvie,1-EXP((T0-t)*PertePVj)+'2023'!Pspv,1-EXP((T0-t)*PertePVj)+Pspv)</f>
        <v>5.1698529084902356E-2</v>
      </c>
      <c r="M317" s="870"/>
      <c r="N317" s="870"/>
      <c r="O317" s="48">
        <f>IF(t&lt;Tnet,'2023'!Resal+('2023'!Salim-'2023'!Resal)*(1-EXP(('2023'!Tnet-t)/('2023'!Tau_j))),Resal+(Salim-Resal)*(1-EXP((Tnet-t)/(Tau_j))))*Salcycl</f>
        <v>7.1948709085010318E-2</v>
      </c>
      <c r="P317" s="171">
        <f>(INDEX(Models!$BJ317:$BT317,,T317)*(1-R317)+INDEX(Models!$BJ317:$BT317,,T317+1)*R317-ERP_i)*Q317*Ramure*Pc/MaxiM</f>
        <v>9.9539480647254763E-2</v>
      </c>
      <c r="Q317" s="307">
        <f t="shared" si="105"/>
        <v>1</v>
      </c>
      <c r="R317" s="179">
        <f t="shared" si="106"/>
        <v>9.79644874080563E-2</v>
      </c>
      <c r="S317" s="837">
        <f t="shared" si="107"/>
        <v>2</v>
      </c>
      <c r="T317" s="178">
        <f t="shared" si="108"/>
        <v>8</v>
      </c>
      <c r="U317" s="253">
        <f t="shared" si="109"/>
        <v>2.0979644874080563</v>
      </c>
      <c r="V317" s="385">
        <f t="shared" si="110"/>
        <v>22.101674160153681</v>
      </c>
      <c r="W317" s="404">
        <f t="shared" si="111"/>
        <v>16.033098879803124</v>
      </c>
      <c r="X317" s="157">
        <f t="shared" si="112"/>
        <v>45594</v>
      </c>
      <c r="Y317" s="387">
        <f t="shared" si="113"/>
        <v>15.077761732383673</v>
      </c>
      <c r="Z317" s="387">
        <f t="shared" si="114"/>
        <v>15.899755715694338</v>
      </c>
      <c r="AA317" s="388">
        <f t="shared" si="115"/>
        <v>18.217931618133644</v>
      </c>
      <c r="AB317" s="199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0.12724693181589586</v>
      </c>
      <c r="AD317" s="233">
        <f>(INDEX(Models!$BJ317:$BT317,,AH317)*(1-AF317)+INDEX(Models!$BJ317:$BT317,,AH317+1)*AF317-ERP_i)*AE317*Ramure*Pc/MaxiM</f>
        <v>9.9539480647254763E-2</v>
      </c>
      <c r="AE317" s="307">
        <f t="shared" si="117"/>
        <v>1</v>
      </c>
      <c r="AF317" s="179">
        <f t="shared" si="118"/>
        <v>9.79644874080563E-2</v>
      </c>
      <c r="AG317" s="837">
        <f t="shared" si="124"/>
        <v>2</v>
      </c>
      <c r="AH317" s="178">
        <f t="shared" si="119"/>
        <v>8</v>
      </c>
      <c r="AI317" s="227">
        <f t="shared" si="120"/>
        <v>2.0979644874080563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45595</v>
      </c>
      <c r="B318" s="1139">
        <f>IF(t&gt;Tmaj,'2023'!Wh/'2023'!Env_an*'2024'!Env_an,0.001*'[12]mon-tableau (1)'!$B$238)</f>
        <v>15.589839680927975</v>
      </c>
      <c r="C318" s="866"/>
      <c r="D318" s="395">
        <f t="shared" si="102"/>
        <v>16.440133191685717</v>
      </c>
      <c r="E318" s="387">
        <f t="shared" si="125"/>
        <v>17.716792570532821</v>
      </c>
      <c r="F318" s="387">
        <f t="shared" si="103"/>
        <v>18.865387767209342</v>
      </c>
      <c r="G318" s="110">
        <f t="shared" si="126"/>
        <v>0.68468114820383541</v>
      </c>
      <c r="H318" s="414" t="b">
        <f>Wh_hp&gt;='2023'!Maxi_hp</f>
        <v>0</v>
      </c>
      <c r="I318" s="392">
        <f>IF(H318,Wh_hp,'2023'!Maxi_hp)</f>
        <v>27.871025086088434</v>
      </c>
      <c r="J318" s="85">
        <f>IF(H318,An,'2023'!An_max)</f>
        <v>2020</v>
      </c>
      <c r="K318" s="199">
        <f t="shared" si="104"/>
        <v>45595</v>
      </c>
      <c r="L318" s="147">
        <f>IF(t&lt;Tvie,1-EXP((T0-t)*PertePVj)+'2023'!Pspv,1-EXP((T0-t)*PertePVj)+Pspv)</f>
        <v>5.1720597445509831E-2</v>
      </c>
      <c r="M318" s="870"/>
      <c r="N318" s="870"/>
      <c r="O318" s="48">
        <f>IF(t&lt;Tnet,'2023'!Resal+('2023'!Salim-'2023'!Resal)*(1-EXP(('2023'!Tnet-t)/('2023'!Tau_j))),Resal+(Salim-Resal)*(1-EXP((Tnet-t)/(Tau_j))))*Salcycl</f>
        <v>7.205928351672905E-2</v>
      </c>
      <c r="P318" s="171">
        <f>(INDEX(Models!$BJ318:$BT318,,T318)*(1-R318)+INDEX(Models!$BJ318:$BT318,,T318+1)*R318-ERP_i)*Q318*Ramure*Pc/MaxiM</f>
        <v>0.10236874792029077</v>
      </c>
      <c r="Q318" s="307">
        <f t="shared" si="105"/>
        <v>1</v>
      </c>
      <c r="R318" s="179">
        <f t="shared" si="106"/>
        <v>9.8046502160261451E-2</v>
      </c>
      <c r="S318" s="837">
        <f t="shared" si="107"/>
        <v>2</v>
      </c>
      <c r="T318" s="178">
        <f t="shared" si="108"/>
        <v>8</v>
      </c>
      <c r="U318" s="253">
        <f t="shared" si="109"/>
        <v>2.0980465021602615</v>
      </c>
      <c r="V318" s="385">
        <f t="shared" si="110"/>
        <v>21.763657330633048</v>
      </c>
      <c r="W318" s="404">
        <f t="shared" si="111"/>
        <v>15.589839680927975</v>
      </c>
      <c r="X318" s="157">
        <f t="shared" si="112"/>
        <v>45595</v>
      </c>
      <c r="Y318" s="387">
        <f t="shared" si="113"/>
        <v>14.663853392641041</v>
      </c>
      <c r="Z318" s="387">
        <f t="shared" si="114"/>
        <v>15.463642206230904</v>
      </c>
      <c r="AA318" s="388">
        <f t="shared" si="115"/>
        <v>17.716792570532821</v>
      </c>
      <c r="AB318" s="199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0.12717597473311476</v>
      </c>
      <c r="AD318" s="233">
        <f>(INDEX(Models!$BJ318:$BT318,,AH318)*(1-AF318)+INDEX(Models!$BJ318:$BT318,,AH318+1)*AF318-ERP_i)*AE318*Ramure*Pc/MaxiM</f>
        <v>0.10236874792029077</v>
      </c>
      <c r="AE318" s="307">
        <f t="shared" si="117"/>
        <v>1</v>
      </c>
      <c r="AF318" s="179">
        <f t="shared" si="118"/>
        <v>9.8046502160261451E-2</v>
      </c>
      <c r="AG318" s="837">
        <f t="shared" si="124"/>
        <v>2</v>
      </c>
      <c r="AH318" s="178">
        <f t="shared" si="119"/>
        <v>8</v>
      </c>
      <c r="AI318" s="227">
        <f t="shared" si="120"/>
        <v>2.0980465021602615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45596</v>
      </c>
      <c r="B319" s="1139">
        <f>IF(t&gt;Tmaj,'2023'!Wh/'2023'!Env_an*'2024'!Env_an,0.001*'[13]mon-tableau (3)'!$B$202)</f>
        <v>14.68800409713532</v>
      </c>
      <c r="C319" s="866"/>
      <c r="D319" s="395">
        <f t="shared" si="102"/>
        <v>15.48947058940159</v>
      </c>
      <c r="E319" s="387">
        <f t="shared" si="125"/>
        <v>16.694274284750239</v>
      </c>
      <c r="F319" s="387">
        <f t="shared" si="103"/>
        <v>17.720972093914735</v>
      </c>
      <c r="G319" s="110">
        <f t="shared" si="126"/>
        <v>0.65101561948342479</v>
      </c>
      <c r="H319" s="414" t="b">
        <f>Wh_hp&gt;='2023'!Maxi_hp</f>
        <v>0</v>
      </c>
      <c r="I319" s="392">
        <f>IF(H319,Wh_hp,'2023'!Maxi_hp)</f>
        <v>26.847448093899022</v>
      </c>
      <c r="J319" s="85">
        <f>IF(H319,An,'2023'!An_max)</f>
        <v>2020</v>
      </c>
      <c r="K319" s="199">
        <f t="shared" si="104"/>
        <v>45596</v>
      </c>
      <c r="L319" s="147">
        <f>IF(t&lt;Tvie,1-EXP((T0-t)*PertePVj)+'2023'!Pspv,1-EXP((T0-t)*PertePVj)+Pspv)</f>
        <v>5.1742665292554335E-2</v>
      </c>
      <c r="M319" s="870"/>
      <c r="N319" s="870"/>
      <c r="O319" s="48">
        <f>IF(t&lt;Tnet,'2023'!Resal+('2023'!Salim-'2023'!Resal)*(1-EXP(('2023'!Tnet-t)/('2023'!Tau_j))),Resal+(Salim-Resal)*(1-EXP((Tnet-t)/(Tau_j))))*Salcycl</f>
        <v>7.2168677403917095E-2</v>
      </c>
      <c r="P319" s="171">
        <f>(INDEX(Models!$BJ319:$BT319,,T319)*(1-R319)+INDEX(Models!$BJ319:$BT319,,T319+1)*R319-ERP_i)*Q319*Ramure*Pc/MaxiM</f>
        <v>0.10522470625524888</v>
      </c>
      <c r="Q319" s="307">
        <f t="shared" si="105"/>
        <v>1</v>
      </c>
      <c r="R319" s="179">
        <f t="shared" si="106"/>
        <v>9.8125232857259714E-2</v>
      </c>
      <c r="S319" s="837">
        <f t="shared" si="107"/>
        <v>2</v>
      </c>
      <c r="T319" s="178">
        <f t="shared" si="108"/>
        <v>8</v>
      </c>
      <c r="U319" s="253">
        <f t="shared" si="109"/>
        <v>2.0981252328572597</v>
      </c>
      <c r="V319" s="385">
        <f t="shared" si="110"/>
        <v>21.429170363823513</v>
      </c>
      <c r="W319" s="404">
        <f t="shared" si="111"/>
        <v>14.68800409713532</v>
      </c>
      <c r="X319" s="157">
        <f t="shared" si="112"/>
        <v>45596</v>
      </c>
      <c r="Y319" s="387">
        <f t="shared" si="113"/>
        <v>13.818349476360538</v>
      </c>
      <c r="Z319" s="387">
        <f t="shared" si="114"/>
        <v>14.572362343628743</v>
      </c>
      <c r="AA319" s="388">
        <f t="shared" si="115"/>
        <v>16.694274284750239</v>
      </c>
      <c r="AB319" s="199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0.12710417385796782</v>
      </c>
      <c r="AD319" s="233">
        <f>(INDEX(Models!$BJ319:$BT319,,AH319)*(1-AF319)+INDEX(Models!$BJ319:$BT319,,AH319+1)*AF319-ERP_i)*AE319*Ramure*Pc/MaxiM</f>
        <v>0.10522470625524888</v>
      </c>
      <c r="AE319" s="307">
        <f t="shared" si="117"/>
        <v>1</v>
      </c>
      <c r="AF319" s="179">
        <f t="shared" si="118"/>
        <v>9.8125232857259714E-2</v>
      </c>
      <c r="AG319" s="837">
        <f t="shared" si="124"/>
        <v>2</v>
      </c>
      <c r="AH319" s="178">
        <f t="shared" si="119"/>
        <v>8</v>
      </c>
      <c r="AI319" s="227">
        <f t="shared" si="120"/>
        <v>2.0981252328572597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45597</v>
      </c>
      <c r="B320" s="1139">
        <f>IF(t&gt;Tmaj,'2023'!Wh/'2023'!Env_an*'2024'!Env_an,0.001*'[13]mon-tableau (3)'!$B$203)</f>
        <v>19.852492118331625</v>
      </c>
      <c r="C320" s="866"/>
      <c r="D320" s="395">
        <f t="shared" si="102"/>
        <v>20.936251583756448</v>
      </c>
      <c r="E320" s="387">
        <f t="shared" si="125"/>
        <v>22.567352945833004</v>
      </c>
      <c r="F320" s="387">
        <f t="shared" si="103"/>
        <v>25.046566469225969</v>
      </c>
      <c r="G320" s="110">
        <f t="shared" si="126"/>
        <v>0.93141305204348246</v>
      </c>
      <c r="H320" s="414" t="b">
        <f>Wh_hp&gt;='2023'!Maxi_hp</f>
        <v>0</v>
      </c>
      <c r="I320" s="392">
        <f>IF(H320,Wh_hp,'2023'!Maxi_hp)</f>
        <v>26.326466731477012</v>
      </c>
      <c r="J320" s="85">
        <f>IF(H320,An,'2023'!An_max)</f>
        <v>2021</v>
      </c>
      <c r="K320" s="199">
        <f t="shared" si="104"/>
        <v>45597</v>
      </c>
      <c r="L320" s="147">
        <f>IF(t&lt;Tvie,1-EXP((T0-t)*PertePVj)+'2023'!Pspv,1-EXP((T0-t)*PertePVj)+Pspv)</f>
        <v>5.1764732626047749E-2</v>
      </c>
      <c r="M320" s="870"/>
      <c r="N320" s="870"/>
      <c r="O320" s="48">
        <f>IF(t&lt;Tnet,'2023'!Resal+('2023'!Salim-'2023'!Resal)*(1-EXP(('2023'!Tnet-t)/('2023'!Tau_j))),Resal+(Salim-Resal)*(1-EXP((Tnet-t)/(Tau_j))))*Salcycl</f>
        <v>7.2277035148587687E-2</v>
      </c>
      <c r="P320" s="171">
        <f>(INDEX(Models!$BJ320:$BT320,,T320)*(1-R320)+INDEX(Models!$BJ320:$BT320,,T320+1)*R320-ERP_i)*Q320*Ramure*Pc/MaxiM</f>
        <v>0.10810541515225161</v>
      </c>
      <c r="Q320" s="307">
        <f t="shared" si="105"/>
        <v>1</v>
      </c>
      <c r="R320" s="179">
        <f t="shared" si="106"/>
        <v>9.8200810302355279E-2</v>
      </c>
      <c r="S320" s="837">
        <f t="shared" si="107"/>
        <v>2</v>
      </c>
      <c r="T320" s="178">
        <f t="shared" si="108"/>
        <v>8</v>
      </c>
      <c r="U320" s="253">
        <f t="shared" si="109"/>
        <v>2.0982008103023553</v>
      </c>
      <c r="V320" s="385">
        <f t="shared" si="110"/>
        <v>21.098608684887346</v>
      </c>
      <c r="W320" s="404">
        <f t="shared" si="111"/>
        <v>19.852492118331625</v>
      </c>
      <c r="X320" s="157">
        <f t="shared" si="112"/>
        <v>45597</v>
      </c>
      <c r="Y320" s="387">
        <f t="shared" si="113"/>
        <v>18.680786528677586</v>
      </c>
      <c r="Z320" s="387">
        <f t="shared" si="114"/>
        <v>19.700581882397451</v>
      </c>
      <c r="AA320" s="388">
        <f t="shared" si="115"/>
        <v>22.567352945833004</v>
      </c>
      <c r="AB320" s="199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0.1270317821641061</v>
      </c>
      <c r="AD320" s="233">
        <f>(INDEX(Models!$BJ320:$BT320,,AH320)*(1-AF320)+INDEX(Models!$BJ320:$BT320,,AH320+1)*AF320-ERP_i)*AE320*Ramure*Pc/MaxiM</f>
        <v>0.10810541515225161</v>
      </c>
      <c r="AE320" s="307">
        <f t="shared" si="117"/>
        <v>1</v>
      </c>
      <c r="AF320" s="179">
        <f t="shared" si="118"/>
        <v>9.8200810302355279E-2</v>
      </c>
      <c r="AG320" s="837">
        <f t="shared" si="124"/>
        <v>2</v>
      </c>
      <c r="AH320" s="178">
        <f t="shared" si="119"/>
        <v>8</v>
      </c>
      <c r="AI320" s="227">
        <f t="shared" si="120"/>
        <v>2.0982008103023553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45598</v>
      </c>
      <c r="B321" s="1139">
        <f>IF(t&gt;Tmaj,'2023'!Wh/'2023'!Env_an*'2024'!Env_an,0.001*'[13]mon-tableau (3)'!$B$204)</f>
        <v>5.2153508715658035</v>
      </c>
      <c r="C321" s="866"/>
      <c r="D321" s="395">
        <f t="shared" si="102"/>
        <v>5.500188004679444</v>
      </c>
      <c r="E321" s="387">
        <f t="shared" si="125"/>
        <v>5.9293834910155843</v>
      </c>
      <c r="F321" s="387">
        <f t="shared" si="103"/>
        <v>5.9293834910155843</v>
      </c>
      <c r="G321" s="110">
        <f t="shared" si="126"/>
        <v>0.22320045708206795</v>
      </c>
      <c r="H321" s="414" t="b">
        <f>Wh_hp&gt;='2023'!Maxi_hp</f>
        <v>0</v>
      </c>
      <c r="I321" s="392">
        <f>IF(H321,Wh_hp,'2023'!Maxi_hp)</f>
        <v>25.417463869453393</v>
      </c>
      <c r="J321" s="85">
        <f>IF(H321,An,'2023'!An_max)</f>
        <v>2020</v>
      </c>
      <c r="K321" s="199">
        <f t="shared" si="104"/>
        <v>45598</v>
      </c>
      <c r="L321" s="147">
        <f>IF(t&lt;Tvie,1-EXP((T0-t)*PertePVj)+'2023'!Pspv,1-EXP((T0-t)*PertePVj)+Pspv)</f>
        <v>5.1786799446002063E-2</v>
      </c>
      <c r="M321" s="870"/>
      <c r="N321" s="870"/>
      <c r="O321" s="48">
        <f>IF(t&lt;Tnet,'2023'!Resal+('2023'!Salim-'2023'!Resal)*(1-EXP(('2023'!Tnet-t)/('2023'!Tau_j))),Resal+(Salim-Resal)*(1-EXP((Tnet-t)/(Tau_j))))*Salcycl</f>
        <v>7.2384504558774487E-2</v>
      </c>
      <c r="P321" s="171">
        <f>(INDEX(Models!$BJ321:$BT321,,T321)*(1-R321)+INDEX(Models!$BJ321:$BT321,,T321+1)*R321-ERP_i)*Q321*Ramure*Pc/MaxiM</f>
        <v>0.11100861765296671</v>
      </c>
      <c r="Q321" s="307">
        <f t="shared" si="105"/>
        <v>1</v>
      </c>
      <c r="R321" s="179">
        <f t="shared" si="106"/>
        <v>9.8273360143906086E-2</v>
      </c>
      <c r="S321" s="837">
        <f t="shared" si="107"/>
        <v>2</v>
      </c>
      <c r="T321" s="178">
        <f t="shared" si="108"/>
        <v>8</v>
      </c>
      <c r="U321" s="253">
        <f t="shared" si="109"/>
        <v>2.0982733601439061</v>
      </c>
      <c r="V321" s="385">
        <f t="shared" si="110"/>
        <v>20.772367769091719</v>
      </c>
      <c r="W321" s="404">
        <f t="shared" si="111"/>
        <v>5.2153508715658035</v>
      </c>
      <c r="X321" s="157">
        <f t="shared" si="112"/>
        <v>45598</v>
      </c>
      <c r="Y321" s="387">
        <f t="shared" si="113"/>
        <v>4.9085152931030933</v>
      </c>
      <c r="Z321" s="387">
        <f t="shared" si="114"/>
        <v>5.1765945572528107</v>
      </c>
      <c r="AA321" s="388">
        <f t="shared" si="115"/>
        <v>5.9293834910155843</v>
      </c>
      <c r="AB321" s="199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0.1269590565196915</v>
      </c>
      <c r="AD321" s="233">
        <f>(INDEX(Models!$BJ321:$BT321,,AH321)*(1-AF321)+INDEX(Models!$BJ321:$BT321,,AH321+1)*AF321-ERP_i)*AE321*Ramure*Pc/MaxiM</f>
        <v>0.11100861765296671</v>
      </c>
      <c r="AE321" s="307">
        <f t="shared" si="117"/>
        <v>1</v>
      </c>
      <c r="AF321" s="179">
        <f t="shared" si="118"/>
        <v>9.8273360143906086E-2</v>
      </c>
      <c r="AG321" s="837">
        <f t="shared" si="124"/>
        <v>2</v>
      </c>
      <c r="AH321" s="178">
        <f t="shared" si="119"/>
        <v>8</v>
      </c>
      <c r="AI321" s="227">
        <f t="shared" si="120"/>
        <v>2.0982733601439061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45599</v>
      </c>
      <c r="B322" s="1139">
        <f>IF(t&gt;Tmaj,'2023'!Wh/'2023'!Env_an*'2024'!Env_an,0.001*'[13]mon-tableau (3)'!$B$205)</f>
        <v>10.762641901534503</v>
      </c>
      <c r="C322" s="866"/>
      <c r="D322" s="395">
        <f t="shared" si="102"/>
        <v>11.350709274533672</v>
      </c>
      <c r="E322" s="387">
        <f t="shared" si="125"/>
        <v>12.237845848774795</v>
      </c>
      <c r="F322" s="387">
        <f t="shared" si="103"/>
        <v>12.705766565672217</v>
      </c>
      <c r="G322" s="110">
        <f t="shared" si="126"/>
        <v>0.48413976624927479</v>
      </c>
      <c r="H322" s="414" t="b">
        <f>Wh_hp&gt;='2023'!Maxi_hp</f>
        <v>0</v>
      </c>
      <c r="I322" s="392">
        <f>IF(H322,Wh_hp,'2023'!Maxi_hp)</f>
        <v>18.882274393596006</v>
      </c>
      <c r="J322" s="85">
        <f>IF(H322,An,'2023'!An_max)</f>
        <v>2018</v>
      </c>
      <c r="K322" s="199">
        <f t="shared" si="104"/>
        <v>45599</v>
      </c>
      <c r="L322" s="147">
        <f>IF(t&lt;Tvie,1-EXP((T0-t)*PertePVj)+'2023'!Pspv,1-EXP((T0-t)*PertePVj)+Pspv)</f>
        <v>5.1808865752429378E-2</v>
      </c>
      <c r="M322" s="870"/>
      <c r="N322" s="870"/>
      <c r="O322" s="48">
        <f>IF(t&lt;Tnet,'2023'!Resal+('2023'!Salim-'2023'!Resal)*(1-EXP(('2023'!Tnet-t)/('2023'!Tau_j))),Resal+(Salim-Resal)*(1-EXP((Tnet-t)/(Tau_j))))*Salcycl</f>
        <v>7.2491236219480518E-2</v>
      </c>
      <c r="P322" s="171">
        <f>(INDEX(Models!$BJ322:$BT322,,T322)*(1-R322)+INDEX(Models!$BJ322:$BT322,,T322+1)*R322-ERP_i)*Q322*Ramure*Pc/MaxiM</f>
        <v>0.11393171991193876</v>
      </c>
      <c r="Q322" s="307">
        <f t="shared" si="105"/>
        <v>1</v>
      </c>
      <c r="R322" s="179">
        <f t="shared" si="106"/>
        <v>9.834300307414745E-2</v>
      </c>
      <c r="S322" s="837">
        <f t="shared" si="107"/>
        <v>2</v>
      </c>
      <c r="T322" s="178">
        <f t="shared" si="108"/>
        <v>8</v>
      </c>
      <c r="U322" s="253">
        <f t="shared" si="109"/>
        <v>2.0983430030741475</v>
      </c>
      <c r="V322" s="385">
        <f t="shared" si="110"/>
        <v>20.450843145657466</v>
      </c>
      <c r="W322" s="404">
        <f t="shared" si="111"/>
        <v>10.762641901534503</v>
      </c>
      <c r="X322" s="157">
        <f t="shared" si="112"/>
        <v>45599</v>
      </c>
      <c r="Y322" s="387">
        <f t="shared" si="113"/>
        <v>10.131452043212015</v>
      </c>
      <c r="Z322" s="387">
        <f t="shared" si="114"/>
        <v>10.685031400606531</v>
      </c>
      <c r="AA322" s="388">
        <f t="shared" si="115"/>
        <v>12.237845848774795</v>
      </c>
      <c r="AB322" s="199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0.12688625656481234</v>
      </c>
      <c r="AD322" s="233">
        <f>(INDEX(Models!$BJ322:$BT322,,AH322)*(1-AF322)+INDEX(Models!$BJ322:$BT322,,AH322+1)*AF322-ERP_i)*AE322*Ramure*Pc/MaxiM</f>
        <v>0.11393171991193876</v>
      </c>
      <c r="AE322" s="307">
        <f t="shared" si="117"/>
        <v>1</v>
      </c>
      <c r="AF322" s="179">
        <f t="shared" si="118"/>
        <v>9.834300307414745E-2</v>
      </c>
      <c r="AG322" s="837">
        <f t="shared" si="124"/>
        <v>2</v>
      </c>
      <c r="AH322" s="178">
        <f t="shared" si="119"/>
        <v>8</v>
      </c>
      <c r="AI322" s="227">
        <f t="shared" si="120"/>
        <v>2.0983430030741475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45600</v>
      </c>
      <c r="B323" s="1139">
        <f>IF(t&gt;Tmaj,'2023'!Wh/'2023'!Env_an*'2024'!Env_an,0.001*'[13]mon-tableau (3)'!$B$206)</f>
        <v>18.805647022689005</v>
      </c>
      <c r="C323" s="866"/>
      <c r="D323" s="395">
        <f t="shared" si="102"/>
        <v>19.833643227086867</v>
      </c>
      <c r="E323" s="387">
        <f t="shared" si="125"/>
        <v>21.386227362376442</v>
      </c>
      <c r="F323" s="387">
        <f t="shared" si="103"/>
        <v>23.91802627577605</v>
      </c>
      <c r="G323" s="110">
        <f t="shared" si="126"/>
        <v>0.9224946543664958</v>
      </c>
      <c r="H323" s="414" t="b">
        <f>Wh_hp&gt;='2023'!Maxi_hp</f>
        <v>0</v>
      </c>
      <c r="I323" s="392">
        <f>IF(H323,Wh_hp,'2023'!Maxi_hp)</f>
        <v>24.048869114323441</v>
      </c>
      <c r="J323" s="85">
        <f>IF(H323,An,'2023'!An_max)</f>
        <v>2022</v>
      </c>
      <c r="K323" s="199">
        <f t="shared" si="104"/>
        <v>45600</v>
      </c>
      <c r="L323" s="147">
        <f>IF(t&lt;Tvie,1-EXP((T0-t)*PertePVj)+'2023'!Pspv,1-EXP((T0-t)*PertePVj)+Pspv)</f>
        <v>5.1830931545341352E-2</v>
      </c>
      <c r="M323" s="870"/>
      <c r="N323" s="870"/>
      <c r="O323" s="48">
        <f>IF(t&lt;Tnet,'2023'!Resal+('2023'!Salim-'2023'!Resal)*(1-EXP(('2023'!Tnet-t)/('2023'!Tau_j))),Resal+(Salim-Resal)*(1-EXP((Tnet-t)/(Tau_j))))*Salcycl</f>
        <v>7.2597382838122559E-2</v>
      </c>
      <c r="P323" s="171">
        <f>(INDEX(Models!$BJ323:$BT323,,T323)*(1-R323)+INDEX(Models!$BJ323:$BT323,,T323+1)*R323-ERP_i)*Q323*Ramure*Pc/MaxiM</f>
        <v>0.11687177075555903</v>
      </c>
      <c r="Q323" s="307">
        <f t="shared" si="105"/>
        <v>1</v>
      </c>
      <c r="R323" s="179">
        <f t="shared" si="106"/>
        <v>9.840985502069266E-2</v>
      </c>
      <c r="S323" s="837">
        <f t="shared" si="107"/>
        <v>2</v>
      </c>
      <c r="T323" s="178">
        <f t="shared" si="108"/>
        <v>8</v>
      </c>
      <c r="U323" s="253">
        <f t="shared" si="109"/>
        <v>2.0984098550206927</v>
      </c>
      <c r="V323" s="385">
        <f t="shared" si="110"/>
        <v>20.134430415619637</v>
      </c>
      <c r="W323" s="404">
        <f t="shared" si="111"/>
        <v>18.805647022689005</v>
      </c>
      <c r="X323" s="157">
        <f t="shared" si="112"/>
        <v>45600</v>
      </c>
      <c r="Y323" s="387">
        <f t="shared" si="113"/>
        <v>17.706262738963616</v>
      </c>
      <c r="Z323" s="387">
        <f t="shared" si="114"/>
        <v>18.674161948587471</v>
      </c>
      <c r="AA323" s="388">
        <f t="shared" si="115"/>
        <v>21.386227362376442</v>
      </c>
      <c r="AB323" s="199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0.12681364355829075</v>
      </c>
      <c r="AD323" s="233">
        <f>(INDEX(Models!$BJ323:$BT323,,AH323)*(1-AF323)+INDEX(Models!$BJ323:$BT323,,AH323+1)*AF323-ERP_i)*AE323*Ramure*Pc/MaxiM</f>
        <v>0.11687177075555903</v>
      </c>
      <c r="AE323" s="307">
        <f t="shared" si="117"/>
        <v>1</v>
      </c>
      <c r="AF323" s="179">
        <f t="shared" si="118"/>
        <v>9.840985502069266E-2</v>
      </c>
      <c r="AG323" s="837">
        <f t="shared" si="124"/>
        <v>2</v>
      </c>
      <c r="AH323" s="178">
        <f t="shared" si="119"/>
        <v>8</v>
      </c>
      <c r="AI323" s="227">
        <f t="shared" si="120"/>
        <v>2.0984098550206927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45601</v>
      </c>
      <c r="B324" s="1139">
        <f>IF(t&gt;Tmaj,'2023'!Wh/'2023'!Env_an*'2024'!Env_an,0.001*'[13]mon-tableau (3)'!$B$207)</f>
        <v>18.808490367212624</v>
      </c>
      <c r="C324" s="866"/>
      <c r="D324" s="395">
        <f t="shared" si="102"/>
        <v>19.837103639229849</v>
      </c>
      <c r="E324" s="387">
        <f t="shared" si="125"/>
        <v>21.392397201600467</v>
      </c>
      <c r="F324" s="387">
        <f t="shared" si="103"/>
        <v>24.064933427359296</v>
      </c>
      <c r="G324" s="110">
        <f t="shared" si="126"/>
        <v>0.93943572728821245</v>
      </c>
      <c r="H324" s="414" t="b">
        <f>Wh_hp&gt;='2023'!Maxi_hp</f>
        <v>0</v>
      </c>
      <c r="I324" s="392">
        <f>IF(H324,Wh_hp,'2023'!Maxi_hp)</f>
        <v>24.169643486522705</v>
      </c>
      <c r="J324" s="85">
        <f>IF(H324,An,'2023'!An_max)</f>
        <v>2022</v>
      </c>
      <c r="K324" s="199">
        <f t="shared" si="104"/>
        <v>45601</v>
      </c>
      <c r="L324" s="147">
        <f>IF(t&lt;Tvie,1-EXP((T0-t)*PertePVj)+'2023'!Pspv,1-EXP((T0-t)*PertePVj)+Pspv)</f>
        <v>5.1852996824750197E-2</v>
      </c>
      <c r="M324" s="870"/>
      <c r="N324" s="870"/>
      <c r="O324" s="48">
        <f>IF(t&lt;Tnet,'2023'!Resal+('2023'!Salim-'2023'!Resal)*(1-EXP(('2023'!Tnet-t)/('2023'!Tau_j))),Resal+(Salim-Resal)*(1-EXP((Tnet-t)/(Tau_j))))*Salcycl</f>
        <v>7.2703098568787761E-2</v>
      </c>
      <c r="P324" s="171">
        <f>(INDEX(Models!$BJ324:$BT324,,T324)*(1-R324)+INDEX(Models!$BJ324:$BT324,,T324+1)*R324-ERP_i)*Q324*Ramure*Pc/MaxiM</f>
        <v>0.1198207185759667</v>
      </c>
      <c r="Q324" s="307">
        <f t="shared" si="105"/>
        <v>1</v>
      </c>
      <c r="R324" s="179">
        <f t="shared" si="106"/>
        <v>9.8474027330949454E-2</v>
      </c>
      <c r="S324" s="837">
        <f t="shared" si="107"/>
        <v>2</v>
      </c>
      <c r="T324" s="178">
        <f t="shared" si="108"/>
        <v>8</v>
      </c>
      <c r="U324" s="253">
        <f t="shared" si="109"/>
        <v>2.0984740273309495</v>
      </c>
      <c r="V324" s="385">
        <f t="shared" si="110"/>
        <v>19.823631622473574</v>
      </c>
      <c r="W324" s="404">
        <f t="shared" si="111"/>
        <v>18.808490367212624</v>
      </c>
      <c r="X324" s="157">
        <f t="shared" si="112"/>
        <v>45601</v>
      </c>
      <c r="Y324" s="387">
        <f t="shared" si="113"/>
        <v>17.712422473505001</v>
      </c>
      <c r="Z324" s="387">
        <f t="shared" si="114"/>
        <v>18.681093136599983</v>
      </c>
      <c r="AA324" s="388">
        <f t="shared" si="115"/>
        <v>21.392397201600467</v>
      </c>
      <c r="AB324" s="199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0.12674147920166881</v>
      </c>
      <c r="AD324" s="233">
        <f>(INDEX(Models!$BJ324:$BT324,,AH324)*(1-AF324)+INDEX(Models!$BJ324:$BT324,,AH324+1)*AF324-ERP_i)*AE324*Ramure*Pc/MaxiM</f>
        <v>0.1198207185759667</v>
      </c>
      <c r="AE324" s="307">
        <f t="shared" si="117"/>
        <v>1</v>
      </c>
      <c r="AF324" s="179">
        <f t="shared" si="118"/>
        <v>9.8474027330949454E-2</v>
      </c>
      <c r="AG324" s="837">
        <f t="shared" si="124"/>
        <v>2</v>
      </c>
      <c r="AH324" s="178">
        <f t="shared" si="119"/>
        <v>8</v>
      </c>
      <c r="AI324" s="227">
        <f t="shared" si="120"/>
        <v>2.0984740273309495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45602</v>
      </c>
      <c r="B325" s="1139">
        <f>IF(t&gt;Tmaj,'2023'!Wh/'2023'!Env_an*'2024'!Env_an,0.001*'[13]mon-tableau (3)'!$B$208)</f>
        <v>18.637062462085751</v>
      </c>
      <c r="C325" s="866"/>
      <c r="D325" s="395">
        <f t="shared" si="102"/>
        <v>19.656757993680792</v>
      </c>
      <c r="E325" s="387">
        <f t="shared" si="125"/>
        <v>21.200322485779697</v>
      </c>
      <c r="F325" s="387">
        <f t="shared" si="103"/>
        <v>23.951538527634071</v>
      </c>
      <c r="G325" s="110">
        <f t="shared" si="126"/>
        <v>0.94629275469444429</v>
      </c>
      <c r="H325" s="414" t="b">
        <f>Wh_hp&gt;='2023'!Maxi_hp</f>
        <v>0</v>
      </c>
      <c r="I325" s="392">
        <f>IF(H325,Wh_hp,'2023'!Maxi_hp)</f>
        <v>24.045788242607607</v>
      </c>
      <c r="J325" s="85">
        <f>IF(H325,An,'2023'!An_max)</f>
        <v>2022</v>
      </c>
      <c r="K325" s="199">
        <f t="shared" si="104"/>
        <v>45602</v>
      </c>
      <c r="L325" s="147">
        <f>IF(t&lt;Tvie,1-EXP((T0-t)*PertePVj)+'2023'!Pspv,1-EXP((T0-t)*PertePVj)+Pspv)</f>
        <v>5.1875061590667682E-2</v>
      </c>
      <c r="M325" s="870"/>
      <c r="N325" s="870"/>
      <c r="O325" s="48">
        <f>IF(t&lt;Tnet,'2023'!Resal+('2023'!Salim-'2023'!Resal)*(1-EXP(('2023'!Tnet-t)/('2023'!Tau_j))),Resal+(Salim-Resal)*(1-EXP((Tnet-t)/(Tau_j))))*Salcycl</f>
        <v>7.2808538319842186E-2</v>
      </c>
      <c r="P325" s="171">
        <f>(INDEX(Models!$BJ325:$BT325,,T325)*(1-R325)+INDEX(Models!$BJ325:$BT325,,T325+1)*R325-ERP_i)*Q325*Ramure*Pc/MaxiM</f>
        <v>0.12278778197224764</v>
      </c>
      <c r="Q325" s="307">
        <f t="shared" si="105"/>
        <v>1</v>
      </c>
      <c r="R325" s="179">
        <f t="shared" si="106"/>
        <v>9.8535626949688648E-2</v>
      </c>
      <c r="S325" s="837">
        <f t="shared" si="107"/>
        <v>2</v>
      </c>
      <c r="T325" s="178">
        <f t="shared" si="108"/>
        <v>8</v>
      </c>
      <c r="U325" s="253">
        <f t="shared" si="109"/>
        <v>2.0985356269496886</v>
      </c>
      <c r="V325" s="385">
        <f t="shared" si="110"/>
        <v>19.518550659935435</v>
      </c>
      <c r="W325" s="404">
        <f t="shared" si="111"/>
        <v>18.637062462085751</v>
      </c>
      <c r="X325" s="157">
        <f t="shared" si="112"/>
        <v>45602</v>
      </c>
      <c r="Y325" s="387">
        <f t="shared" si="113"/>
        <v>17.554416727341774</v>
      </c>
      <c r="Z325" s="387">
        <f t="shared" si="114"/>
        <v>18.514877118191606</v>
      </c>
      <c r="AA325" s="388">
        <f t="shared" si="115"/>
        <v>21.200322485779697</v>
      </c>
      <c r="AB325" s="199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0.12667002444841943</v>
      </c>
      <c r="AD325" s="233">
        <f>(INDEX(Models!$BJ325:$BT325,,AH325)*(1-AF325)+INDEX(Models!$BJ325:$BT325,,AH325+1)*AF325-ERP_i)*AE325*Ramure*Pc/MaxiM</f>
        <v>0.12278778197224764</v>
      </c>
      <c r="AE325" s="307">
        <f t="shared" si="117"/>
        <v>1</v>
      </c>
      <c r="AF325" s="179">
        <f t="shared" si="118"/>
        <v>9.8535626949688648E-2</v>
      </c>
      <c r="AG325" s="837">
        <f t="shared" si="124"/>
        <v>2</v>
      </c>
      <c r="AH325" s="178">
        <f t="shared" si="119"/>
        <v>8</v>
      </c>
      <c r="AI325" s="227">
        <f t="shared" si="120"/>
        <v>2.0985356269496886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45603</v>
      </c>
      <c r="B326" s="1139">
        <f>IF(t&gt;Tmaj,'2023'!Wh/'2023'!Env_an*'2024'!Env_an,0.001*'[13]mon-tableau (3)'!$B$209)</f>
        <v>12.294986462569959</v>
      </c>
      <c r="C326" s="866"/>
      <c r="D326" s="395">
        <f t="shared" si="102"/>
        <v>12.967987755024312</v>
      </c>
      <c r="E326" s="387">
        <f t="shared" si="125"/>
        <v>13.987899456413661</v>
      </c>
      <c r="F326" s="387">
        <f t="shared" si="103"/>
        <v>14.897162797539515</v>
      </c>
      <c r="G326" s="110">
        <f t="shared" si="126"/>
        <v>0.59560905186755009</v>
      </c>
      <c r="H326" s="414" t="b">
        <f>Wh_hp&gt;='2023'!Maxi_hp</f>
        <v>0</v>
      </c>
      <c r="I326" s="392">
        <f>IF(H326,Wh_hp,'2023'!Maxi_hp)</f>
        <v>20.498806693630254</v>
      </c>
      <c r="J326" s="85">
        <f>IF(H326,An,'2023'!An_max)</f>
        <v>2021</v>
      </c>
      <c r="K326" s="199">
        <f t="shared" si="104"/>
        <v>45603</v>
      </c>
      <c r="L326" s="147">
        <f>IF(t&lt;Tvie,1-EXP((T0-t)*PertePVj)+'2023'!Pspv,1-EXP((T0-t)*PertePVj)+Pspv)</f>
        <v>5.1897125843105907E-2</v>
      </c>
      <c r="M326" s="870"/>
      <c r="N326" s="870"/>
      <c r="O326" s="48">
        <f>IF(t&lt;Tnet,'2023'!Resal+('2023'!Salim-'2023'!Resal)*(1-EXP(('2023'!Tnet-t)/('2023'!Tau_j))),Resal+(Salim-Resal)*(1-EXP((Tnet-t)/(Tau_j))))*Salcycl</f>
        <v>7.2913857049616157E-2</v>
      </c>
      <c r="P326" s="171">
        <f>(INDEX(Models!$BJ326:$BT326,,T326)*(1-R326)+INDEX(Models!$BJ326:$BT326,,T326+1)*R326-ERP_i)*Q326*Ramure*Pc/MaxiM</f>
        <v>0.12576912567770074</v>
      </c>
      <c r="Q326" s="307">
        <f t="shared" si="105"/>
        <v>1</v>
      </c>
      <c r="R326" s="179">
        <f t="shared" si="106"/>
        <v>9.8594756590001609E-2</v>
      </c>
      <c r="S326" s="837">
        <f t="shared" si="107"/>
        <v>2</v>
      </c>
      <c r="T326" s="178">
        <f t="shared" si="108"/>
        <v>8</v>
      </c>
      <c r="U326" s="253">
        <f t="shared" si="109"/>
        <v>2.0985947565900016</v>
      </c>
      <c r="V326" s="385">
        <f t="shared" si="110"/>
        <v>19.219583290613294</v>
      </c>
      <c r="W326" s="404">
        <f t="shared" si="111"/>
        <v>12.294986462569959</v>
      </c>
      <c r="X326" s="157">
        <f t="shared" si="112"/>
        <v>45603</v>
      </c>
      <c r="Y326" s="387">
        <f t="shared" si="113"/>
        <v>11.583008692965844</v>
      </c>
      <c r="Z326" s="387">
        <f t="shared" si="114"/>
        <v>12.217037843352285</v>
      </c>
      <c r="AA326" s="388">
        <f t="shared" si="115"/>
        <v>13.987899456413661</v>
      </c>
      <c r="AB326" s="199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0.12659953830661899</v>
      </c>
      <c r="AD326" s="233">
        <f>(INDEX(Models!$BJ326:$BT326,,AH326)*(1-AF326)+INDEX(Models!$BJ326:$BT326,,AH326+1)*AF326-ERP_i)*AE326*Ramure*Pc/MaxiM</f>
        <v>0.12576912567770074</v>
      </c>
      <c r="AE326" s="307">
        <f t="shared" si="117"/>
        <v>1</v>
      </c>
      <c r="AF326" s="179">
        <f t="shared" si="118"/>
        <v>9.8594756590001609E-2</v>
      </c>
      <c r="AG326" s="837">
        <f t="shared" si="124"/>
        <v>2</v>
      </c>
      <c r="AH326" s="178">
        <f t="shared" si="119"/>
        <v>8</v>
      </c>
      <c r="AI326" s="227">
        <f t="shared" si="120"/>
        <v>2.0985947565900016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45604</v>
      </c>
      <c r="B327" s="1139">
        <f>IF(t&gt;Tmaj,'2023'!Wh/'2023'!Env_an*'2024'!Env_an,0.001*'[13]mon-tableau (3)'!$B$210)</f>
        <v>7.2546394291095186</v>
      </c>
      <c r="C327" s="866"/>
      <c r="D327" s="395">
        <f t="shared" si="102"/>
        <v>7.6519209643232857</v>
      </c>
      <c r="E327" s="387">
        <f t="shared" si="125"/>
        <v>8.2546704732931193</v>
      </c>
      <c r="F327" s="387">
        <f t="shared" si="103"/>
        <v>8.3831102547674075</v>
      </c>
      <c r="G327" s="110">
        <f t="shared" si="126"/>
        <v>0.33913622022621076</v>
      </c>
      <c r="H327" s="414" t="b">
        <f>Wh_hp&gt;='2023'!Maxi_hp</f>
        <v>0</v>
      </c>
      <c r="I327" s="392">
        <f>IF(H327,Wh_hp,'2023'!Maxi_hp)</f>
        <v>19.612077061652013</v>
      </c>
      <c r="J327" s="85">
        <f>IF(H327,An,'2023'!An_max)</f>
        <v>2020</v>
      </c>
      <c r="K327" s="199">
        <f t="shared" si="104"/>
        <v>45604</v>
      </c>
      <c r="L327" s="147">
        <f>IF(t&lt;Tvie,1-EXP((T0-t)*PertePVj)+'2023'!Pspv,1-EXP((T0-t)*PertePVj)+Pspv)</f>
        <v>5.1919189582076641E-2</v>
      </c>
      <c r="M327" s="870"/>
      <c r="N327" s="870"/>
      <c r="O327" s="48">
        <f>IF(t&lt;Tnet,'2023'!Resal+('2023'!Salim-'2023'!Resal)*(1-EXP(('2023'!Tnet-t)/('2023'!Tau_j))),Resal+(Salim-Resal)*(1-EXP((Tnet-t)/(Tau_j))))*Salcycl</f>
        <v>7.3019209055037185E-2</v>
      </c>
      <c r="P327" s="171">
        <f>(INDEX(Models!$BJ327:$BT327,,T327)*(1-R327)+INDEX(Models!$BJ327:$BT327,,T327+1)*R327-ERP_i)*Q327*Ramure*Pc/MaxiM</f>
        <v>0.12876048429122994</v>
      </c>
      <c r="Q327" s="307">
        <f t="shared" si="105"/>
        <v>1</v>
      </c>
      <c r="R327" s="179">
        <f t="shared" si="106"/>
        <v>9.8651514897858839E-2</v>
      </c>
      <c r="S327" s="837">
        <f t="shared" si="107"/>
        <v>2</v>
      </c>
      <c r="T327" s="178">
        <f t="shared" si="108"/>
        <v>8</v>
      </c>
      <c r="U327" s="253">
        <f t="shared" si="109"/>
        <v>2.0986515148978588</v>
      </c>
      <c r="V327" s="385">
        <f t="shared" si="110"/>
        <v>18.927125356950093</v>
      </c>
      <c r="W327" s="404">
        <f t="shared" si="111"/>
        <v>7.2546394291095186</v>
      </c>
      <c r="X327" s="157">
        <f t="shared" si="112"/>
        <v>45604</v>
      </c>
      <c r="Y327" s="387">
        <f t="shared" si="113"/>
        <v>6.835856748160074</v>
      </c>
      <c r="Z327" s="387">
        <f t="shared" si="114"/>
        <v>7.2102047347069087</v>
      </c>
      <c r="AA327" s="388">
        <f t="shared" si="115"/>
        <v>8.2546704732931193</v>
      </c>
      <c r="AB327" s="199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0.12653027664343952</v>
      </c>
      <c r="AD327" s="233">
        <f>(INDEX(Models!$BJ327:$BT327,,AH327)*(1-AF327)+INDEX(Models!$BJ327:$BT327,,AH327+1)*AF327-ERP_i)*AE327*Ramure*Pc/MaxiM</f>
        <v>0.12876048429122994</v>
      </c>
      <c r="AE327" s="307">
        <f t="shared" si="117"/>
        <v>1</v>
      </c>
      <c r="AF327" s="179">
        <f t="shared" si="118"/>
        <v>9.8651514897858839E-2</v>
      </c>
      <c r="AG327" s="837">
        <f t="shared" si="124"/>
        <v>2</v>
      </c>
      <c r="AH327" s="178">
        <f t="shared" si="119"/>
        <v>8</v>
      </c>
      <c r="AI327" s="227">
        <f t="shared" si="120"/>
        <v>2.0986515148978588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45605</v>
      </c>
      <c r="B328" s="1139">
        <f>IF(t&gt;Tmaj,'2023'!Wh/'2023'!Env_an*'2024'!Env_an,0.001*'[13]mon-tableau (3)'!$B$211)</f>
        <v>16.282110109132951</v>
      </c>
      <c r="C328" s="866"/>
      <c r="D328" s="395">
        <f t="shared" si="102"/>
        <v>17.174157358234368</v>
      </c>
      <c r="E328" s="387">
        <f t="shared" si="125"/>
        <v>18.52909256928703</v>
      </c>
      <c r="F328" s="387">
        <f t="shared" si="103"/>
        <v>20.770978730684156</v>
      </c>
      <c r="G328" s="110">
        <f t="shared" si="126"/>
        <v>0.85010420578814416</v>
      </c>
      <c r="H328" s="414" t="b">
        <f>Wh_hp&gt;='2023'!Maxi_hp</f>
        <v>0</v>
      </c>
      <c r="I328" s="392">
        <f>IF(H328,Wh_hp,'2023'!Maxi_hp)</f>
        <v>21.016789567634788</v>
      </c>
      <c r="J328" s="85">
        <f>IF(H328,An,'2023'!An_max)</f>
        <v>2022</v>
      </c>
      <c r="K328" s="199">
        <f t="shared" si="104"/>
        <v>45605</v>
      </c>
      <c r="L328" s="147">
        <f>IF(t&lt;Tvie,1-EXP((T0-t)*PertePVj)+'2023'!Pspv,1-EXP((T0-t)*PertePVj)+Pspv)</f>
        <v>5.1941252807591987E-2</v>
      </c>
      <c r="M328" s="870"/>
      <c r="N328" s="870"/>
      <c r="O328" s="48">
        <f>IF(t&lt;Tnet,'2023'!Resal+('2023'!Salim-'2023'!Resal)*(1-EXP(('2023'!Tnet-t)/('2023'!Tau_j))),Resal+(Salim-Resal)*(1-EXP((Tnet-t)/(Tau_j))))*Salcycl</f>
        <v>7.3124747258186837E-2</v>
      </c>
      <c r="P328" s="171">
        <f>(INDEX(Models!$BJ328:$BT328,,T328)*(1-R328)+INDEX(Models!$BJ328:$BT328,,T328+1)*R328-ERP_i)*Q328*Ramure*Pc/MaxiM</f>
        <v>0.13175714516062115</v>
      </c>
      <c r="Q328" s="307">
        <f t="shared" si="105"/>
        <v>1</v>
      </c>
      <c r="R328" s="179">
        <f t="shared" si="106"/>
        <v>9.8705996610507718E-2</v>
      </c>
      <c r="S328" s="837">
        <f t="shared" si="107"/>
        <v>2</v>
      </c>
      <c r="T328" s="178">
        <f t="shared" si="108"/>
        <v>8</v>
      </c>
      <c r="U328" s="253">
        <f t="shared" si="109"/>
        <v>2.0987059966105077</v>
      </c>
      <c r="V328" s="385">
        <f t="shared" si="110"/>
        <v>18.641572771527162</v>
      </c>
      <c r="W328" s="404">
        <f t="shared" si="111"/>
        <v>16.282110109132951</v>
      </c>
      <c r="X328" s="157">
        <f t="shared" si="112"/>
        <v>45605</v>
      </c>
      <c r="Y328" s="387">
        <f t="shared" si="113"/>
        <v>15.345143657600458</v>
      </c>
      <c r="Z328" s="387">
        <f t="shared" si="114"/>
        <v>16.185857367007838</v>
      </c>
      <c r="AA328" s="388">
        <f t="shared" si="115"/>
        <v>18.52909256928703</v>
      </c>
      <c r="AB328" s="199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0.12646249099986859</v>
      </c>
      <c r="AD328" s="233">
        <f>(INDEX(Models!$BJ328:$BT328,,AH328)*(1-AF328)+INDEX(Models!$BJ328:$BT328,,AH328+1)*AF328-ERP_i)*AE328*Ramure*Pc/MaxiM</f>
        <v>0.13175714516062115</v>
      </c>
      <c r="AE328" s="307">
        <f t="shared" si="117"/>
        <v>1</v>
      </c>
      <c r="AF328" s="179">
        <f t="shared" si="118"/>
        <v>9.8705996610507718E-2</v>
      </c>
      <c r="AG328" s="837">
        <f t="shared" si="124"/>
        <v>2</v>
      </c>
      <c r="AH328" s="178">
        <f t="shared" si="119"/>
        <v>8</v>
      </c>
      <c r="AI328" s="227">
        <f t="shared" si="120"/>
        <v>2.0987059966105077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45606</v>
      </c>
      <c r="B329" s="1139">
        <f>IF(t&gt;Tmaj,'2023'!Wh/'2023'!Env_an*'2024'!Env_an,0.001*'[13]mon-tableau (3)'!$B$212)</f>
        <v>16.739353953543223</v>
      </c>
      <c r="C329" s="866"/>
      <c r="D329" s="395">
        <f t="shared" si="102"/>
        <v>17.656863101999956</v>
      </c>
      <c r="E329" s="387">
        <f t="shared" si="125"/>
        <v>19.052057103516379</v>
      </c>
      <c r="F329" s="387">
        <f t="shared" si="103"/>
        <v>21.594352032087702</v>
      </c>
      <c r="G329" s="110">
        <f t="shared" si="126"/>
        <v>0.89397503399076372</v>
      </c>
      <c r="H329" s="414" t="b">
        <f>Wh_hp&gt;='2023'!Maxi_hp</f>
        <v>0</v>
      </c>
      <c r="I329" s="392">
        <f>IF(H329,Wh_hp,'2023'!Maxi_hp)</f>
        <v>21.778957702491802</v>
      </c>
      <c r="J329" s="85">
        <f>IF(H329,An,'2023'!An_max)</f>
        <v>2022</v>
      </c>
      <c r="K329" s="199">
        <f t="shared" si="104"/>
        <v>45606</v>
      </c>
      <c r="L329" s="147">
        <f>IF(t&lt;Tvie,1-EXP((T0-t)*PertePVj)+'2023'!Pspv,1-EXP((T0-t)*PertePVj)+Pspv)</f>
        <v>5.1963315519663822E-2</v>
      </c>
      <c r="M329" s="870"/>
      <c r="N329" s="870"/>
      <c r="O329" s="48">
        <f>IF(t&lt;Tnet,'2023'!Resal+('2023'!Salim-'2023'!Resal)*(1-EXP(('2023'!Tnet-t)/('2023'!Tau_j))),Resal+(Salim-Resal)*(1-EXP((Tnet-t)/(Tau_j))))*Salcycl</f>
        <v>7.3230622495820477E-2</v>
      </c>
      <c r="P329" s="171">
        <f>(INDEX(Models!$BJ329:$BT329,,T329)*(1-R329)+INDEX(Models!$BJ329:$BT329,,T329+1)*R329-ERP_i)*Q329*Ramure*Pc/MaxiM</f>
        <v>0.13475393343981809</v>
      </c>
      <c r="Q329" s="307">
        <f t="shared" si="105"/>
        <v>1</v>
      </c>
      <c r="R329" s="179">
        <f t="shared" si="106"/>
        <v>9.8758292708903905E-2</v>
      </c>
      <c r="S329" s="837">
        <f t="shared" si="107"/>
        <v>2</v>
      </c>
      <c r="T329" s="178">
        <f t="shared" si="108"/>
        <v>8</v>
      </c>
      <c r="U329" s="253">
        <f t="shared" si="109"/>
        <v>2.0987582927089039</v>
      </c>
      <c r="V329" s="385">
        <f t="shared" si="110"/>
        <v>18.363321520860886</v>
      </c>
      <c r="W329" s="404">
        <f t="shared" si="111"/>
        <v>16.739353953543223</v>
      </c>
      <c r="X329" s="157">
        <f t="shared" si="112"/>
        <v>45606</v>
      </c>
      <c r="Y329" s="387">
        <f t="shared" si="113"/>
        <v>15.779070577202852</v>
      </c>
      <c r="Z329" s="387">
        <f t="shared" si="114"/>
        <v>16.643945150553016</v>
      </c>
      <c r="AA329" s="388">
        <f t="shared" si="115"/>
        <v>19.052057103516379</v>
      </c>
      <c r="AB329" s="199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0.12639642742404483</v>
      </c>
      <c r="AD329" s="233">
        <f>(INDEX(Models!$BJ329:$BT329,,AH329)*(1-AF329)+INDEX(Models!$BJ329:$BT329,,AH329+1)*AF329-ERP_i)*AE329*Ramure*Pc/MaxiM</f>
        <v>0.13475393343981809</v>
      </c>
      <c r="AE329" s="307">
        <f t="shared" si="117"/>
        <v>1</v>
      </c>
      <c r="AF329" s="179">
        <f t="shared" si="118"/>
        <v>9.8758292708903905E-2</v>
      </c>
      <c r="AG329" s="837">
        <f t="shared" si="124"/>
        <v>2</v>
      </c>
      <c r="AH329" s="178">
        <f t="shared" si="119"/>
        <v>8</v>
      </c>
      <c r="AI329" s="227">
        <f t="shared" si="120"/>
        <v>2.0987582927089039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45607</v>
      </c>
      <c r="B330" s="1139">
        <f>IF(t&gt;Tmaj,'2023'!Wh/'2023'!Env_an*'2024'!Env_an,0.001*'[13]mon-tableau (3)'!$B$213)</f>
        <v>16.572792755812987</v>
      </c>
      <c r="C330" s="866"/>
      <c r="D330" s="395">
        <f t="shared" si="102"/>
        <v>17.481579256578701</v>
      </c>
      <c r="E330" s="387">
        <f t="shared" si="125"/>
        <v>18.865087882453679</v>
      </c>
      <c r="F330" s="387">
        <f t="shared" si="103"/>
        <v>21.467209785300621</v>
      </c>
      <c r="G330" s="110">
        <f t="shared" si="126"/>
        <v>0.89875864691852625</v>
      </c>
      <c r="H330" s="414" t="b">
        <f>Wh_hp&gt;='2023'!Maxi_hp</f>
        <v>0</v>
      </c>
      <c r="I330" s="392">
        <f>IF(H330,Wh_hp,'2023'!Maxi_hp)</f>
        <v>21.646886416658624</v>
      </c>
      <c r="J330" s="85">
        <f>IF(H330,An,'2023'!An_max)</f>
        <v>2022</v>
      </c>
      <c r="K330" s="199">
        <f t="shared" si="104"/>
        <v>45607</v>
      </c>
      <c r="L330" s="147">
        <f>IF(t&lt;Tvie,1-EXP((T0-t)*PertePVj)+'2023'!Pspv,1-EXP((T0-t)*PertePVj)+Pspv)</f>
        <v>5.1985377718304138E-2</v>
      </c>
      <c r="M330" s="870"/>
      <c r="N330" s="870"/>
      <c r="O330" s="48">
        <f>IF(t&lt;Tnet,'2023'!Resal+('2023'!Salim-'2023'!Resal)*(1-EXP(('2023'!Tnet-t)/('2023'!Tau_j))),Resal+(Salim-Resal)*(1-EXP((Tnet-t)/(Tau_j))))*Salcycl</f>
        <v>7.333698281690873E-2</v>
      </c>
      <c r="P330" s="171">
        <f>(INDEX(Models!$BJ330:$BT330,,T330)*(1-R330)+INDEX(Models!$BJ330:$BT330,,T330+1)*R330-ERP_i)*Q330*Ramure*Pc/MaxiM</f>
        <v>0.13774520005376981</v>
      </c>
      <c r="Q330" s="307">
        <f t="shared" si="105"/>
        <v>1</v>
      </c>
      <c r="R330" s="179">
        <f t="shared" si="106"/>
        <v>9.880849056439267E-2</v>
      </c>
      <c r="S330" s="837">
        <f t="shared" si="107"/>
        <v>2</v>
      </c>
      <c r="T330" s="178">
        <f t="shared" si="108"/>
        <v>8</v>
      </c>
      <c r="U330" s="253">
        <f t="shared" si="109"/>
        <v>2.0988084905643927</v>
      </c>
      <c r="V330" s="385">
        <f t="shared" si="110"/>
        <v>18.0927676568073</v>
      </c>
      <c r="W330" s="404">
        <f t="shared" si="111"/>
        <v>16.572792755812987</v>
      </c>
      <c r="X330" s="157">
        <f t="shared" si="112"/>
        <v>45607</v>
      </c>
      <c r="Y330" s="387">
        <f t="shared" si="113"/>
        <v>15.625003956398579</v>
      </c>
      <c r="Z330" s="387">
        <f t="shared" si="114"/>
        <v>16.481817462680148</v>
      </c>
      <c r="AA330" s="388">
        <f t="shared" si="115"/>
        <v>18.865087882453679</v>
      </c>
      <c r="AB330" s="199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0.12633232533150285</v>
      </c>
      <c r="AD330" s="233">
        <f>(INDEX(Models!$BJ330:$BT330,,AH330)*(1-AF330)+INDEX(Models!$BJ330:$BT330,,AH330+1)*AF330-ERP_i)*AE330*Ramure*Pc/MaxiM</f>
        <v>0.13774520005376981</v>
      </c>
      <c r="AE330" s="307">
        <f t="shared" si="117"/>
        <v>1</v>
      </c>
      <c r="AF330" s="179">
        <f t="shared" si="118"/>
        <v>9.880849056439267E-2</v>
      </c>
      <c r="AG330" s="837">
        <f t="shared" si="124"/>
        <v>2</v>
      </c>
      <c r="AH330" s="178">
        <f t="shared" si="119"/>
        <v>8</v>
      </c>
      <c r="AI330" s="227">
        <f t="shared" si="120"/>
        <v>2.0988084905643927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45608</v>
      </c>
      <c r="B331" s="1139">
        <f>IF(t&gt;Tmaj,'2023'!Wh/'2023'!Env_an*'2024'!Env_an,0.001*'[13]mon-tableau (3)'!$B$214)</f>
        <v>14.666175652426787</v>
      </c>
      <c r="C331" s="866"/>
      <c r="D331" s="395">
        <f t="shared" si="102"/>
        <v>15.470770828833148</v>
      </c>
      <c r="E331" s="387">
        <f t="shared" si="125"/>
        <v>16.697069982343109</v>
      </c>
      <c r="F331" s="387">
        <f t="shared" si="103"/>
        <v>18.657078894476502</v>
      </c>
      <c r="G331" s="110">
        <f t="shared" si="126"/>
        <v>0.78977063107711165</v>
      </c>
      <c r="H331" s="414" t="b">
        <f>Wh_hp&gt;='2023'!Maxi_hp</f>
        <v>0</v>
      </c>
      <c r="I331" s="392">
        <f>IF(H331,Wh_hp,'2023'!Maxi_hp)</f>
        <v>23.471862617221571</v>
      </c>
      <c r="J331" s="85">
        <f>IF(H331,An,'2023'!An_max)</f>
        <v>2020</v>
      </c>
      <c r="K331" s="199">
        <f t="shared" si="104"/>
        <v>45608</v>
      </c>
      <c r="L331" s="147">
        <f>IF(t&lt;Tvie,1-EXP((T0-t)*PertePVj)+'2023'!Pspv,1-EXP((T0-t)*PertePVj)+Pspv)</f>
        <v>5.2007439403524924E-2</v>
      </c>
      <c r="M331" s="870"/>
      <c r="N331" s="870"/>
      <c r="O331" s="48">
        <f>IF(t&lt;Tnet,'2023'!Resal+('2023'!Salim-'2023'!Resal)*(1-EXP(('2023'!Tnet-t)/('2023'!Tau_j))),Resal+(Salim-Resal)*(1-EXP((Tnet-t)/(Tau_j))))*Salcycl</f>
        <v>7.3443972793235737E-2</v>
      </c>
      <c r="P331" s="171">
        <f>(INDEX(Models!$BJ331:$BT331,,T331)*(1-R331)+INDEX(Models!$BJ331:$BT331,,T331+1)*R331-ERP_i)*Q331*Ramure*Pc/MaxiM</f>
        <v>0.14072717014866118</v>
      </c>
      <c r="Q331" s="307">
        <f t="shared" si="105"/>
        <v>1</v>
      </c>
      <c r="R331" s="179">
        <f t="shared" si="106"/>
        <v>9.885667407984311E-2</v>
      </c>
      <c r="S331" s="837">
        <f t="shared" si="107"/>
        <v>2</v>
      </c>
      <c r="T331" s="178">
        <f t="shared" si="108"/>
        <v>8</v>
      </c>
      <c r="U331" s="253">
        <f t="shared" si="109"/>
        <v>2.0988566740798431</v>
      </c>
      <c r="V331" s="385">
        <f t="shared" si="110"/>
        <v>17.82995974262694</v>
      </c>
      <c r="W331" s="404">
        <f t="shared" si="111"/>
        <v>14.666175652426787</v>
      </c>
      <c r="X331" s="157">
        <f t="shared" si="112"/>
        <v>45608</v>
      </c>
      <c r="Y331" s="387">
        <f t="shared" si="113"/>
        <v>13.830001823444027</v>
      </c>
      <c r="Z331" s="387">
        <f t="shared" si="114"/>
        <v>14.588724003005062</v>
      </c>
      <c r="AA331" s="388">
        <f t="shared" si="115"/>
        <v>16.697069982343109</v>
      </c>
      <c r="AB331" s="199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0.12627041640045764</v>
      </c>
      <c r="AD331" s="233">
        <f>(INDEX(Models!$BJ331:$BT331,,AH331)*(1-AF331)+INDEX(Models!$BJ331:$BT331,,AH331+1)*AF331-ERP_i)*AE331*Ramure*Pc/MaxiM</f>
        <v>0.14072717014866118</v>
      </c>
      <c r="AE331" s="307">
        <f t="shared" si="117"/>
        <v>1</v>
      </c>
      <c r="AF331" s="179">
        <f t="shared" si="118"/>
        <v>9.885667407984311E-2</v>
      </c>
      <c r="AG331" s="837">
        <f t="shared" si="124"/>
        <v>2</v>
      </c>
      <c r="AH331" s="178">
        <f t="shared" si="119"/>
        <v>8</v>
      </c>
      <c r="AI331" s="227">
        <f t="shared" si="120"/>
        <v>2.0988566740798431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45609</v>
      </c>
      <c r="B332" s="1139">
        <f>IF(t&gt;Tmaj,'2023'!Wh/'2023'!Env_an*'2024'!Env_an,0.001*'[13]mon-tableau (3)'!$B$215)</f>
        <v>8.4437890705859822</v>
      </c>
      <c r="C332" s="866"/>
      <c r="D332" s="395">
        <f t="shared" si="102"/>
        <v>8.9072276781932018</v>
      </c>
      <c r="E332" s="387">
        <f t="shared" si="125"/>
        <v>9.6143821452385794</v>
      </c>
      <c r="F332" s="387">
        <f t="shared" si="103"/>
        <v>9.9842158483813481</v>
      </c>
      <c r="G332" s="110">
        <f t="shared" si="126"/>
        <v>0.42724184188792991</v>
      </c>
      <c r="H332" s="414" t="b">
        <f>Wh_hp&gt;='2023'!Maxi_hp</f>
        <v>0</v>
      </c>
      <c r="I332" s="392">
        <f>IF(H332,Wh_hp,'2023'!Maxi_hp)</f>
        <v>17.097007227824616</v>
      </c>
      <c r="J332" s="85">
        <f>IF(H332,An,'2023'!An_max)</f>
        <v>2020</v>
      </c>
      <c r="K332" s="199">
        <f t="shared" si="104"/>
        <v>45609</v>
      </c>
      <c r="L332" s="147">
        <f>IF(t&lt;Tvie,1-EXP((T0-t)*PertePVj)+'2023'!Pspv,1-EXP((T0-t)*PertePVj)+Pspv)</f>
        <v>5.202950057533795E-2</v>
      </c>
      <c r="M332" s="870"/>
      <c r="N332" s="870"/>
      <c r="O332" s="48">
        <f>IF(t&lt;Tnet,'2023'!Resal+('2023'!Salim-'2023'!Resal)*(1-EXP(('2023'!Tnet-t)/('2023'!Tau_j))),Resal+(Salim-Resal)*(1-EXP((Tnet-t)/(Tau_j))))*Salcycl</f>
        <v>7.3551732848021703E-2</v>
      </c>
      <c r="P332" s="171">
        <f>(INDEX(Models!$BJ332:$BT332,,T332)*(1-R332)+INDEX(Models!$BJ332:$BT332,,T332+1)*R332-ERP_i)*Q332*Ramure*Pc/MaxiM</f>
        <v>0.14369042336839999</v>
      </c>
      <c r="Q332" s="307">
        <f t="shared" si="105"/>
        <v>1</v>
      </c>
      <c r="R332" s="179">
        <f t="shared" si="106"/>
        <v>9.8902923825429756E-2</v>
      </c>
      <c r="S332" s="837">
        <f t="shared" si="107"/>
        <v>2</v>
      </c>
      <c r="T332" s="178">
        <f t="shared" si="108"/>
        <v>8</v>
      </c>
      <c r="U332" s="253">
        <f t="shared" si="109"/>
        <v>2.0989029238254298</v>
      </c>
      <c r="V332" s="385">
        <f t="shared" si="110"/>
        <v>17.574661927939761</v>
      </c>
      <c r="W332" s="404">
        <f t="shared" si="111"/>
        <v>8.4437890705859822</v>
      </c>
      <c r="X332" s="157">
        <f t="shared" si="112"/>
        <v>45609</v>
      </c>
      <c r="Y332" s="387">
        <f t="shared" si="113"/>
        <v>7.9638452741076335</v>
      </c>
      <c r="Z332" s="387">
        <f t="shared" si="114"/>
        <v>8.4009420957097447</v>
      </c>
      <c r="AA332" s="388">
        <f t="shared" si="115"/>
        <v>9.6143821452385794</v>
      </c>
      <c r="AB332" s="199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0.12621092351002272</v>
      </c>
      <c r="AD332" s="233">
        <f>(INDEX(Models!$BJ332:$BT332,,AH332)*(1-AF332)+INDEX(Models!$BJ332:$BT332,,AH332+1)*AF332-ERP_i)*AE332*Ramure*Pc/MaxiM</f>
        <v>0.14369042336839999</v>
      </c>
      <c r="AE332" s="307">
        <f t="shared" si="117"/>
        <v>1</v>
      </c>
      <c r="AF332" s="179">
        <f t="shared" si="118"/>
        <v>9.8902923825429756E-2</v>
      </c>
      <c r="AG332" s="837">
        <f t="shared" si="124"/>
        <v>2</v>
      </c>
      <c r="AH332" s="178">
        <f t="shared" si="119"/>
        <v>8</v>
      </c>
      <c r="AI332" s="227">
        <f t="shared" si="120"/>
        <v>2.0989029238254298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45610</v>
      </c>
      <c r="B333" s="1139">
        <f>IF(t&gt;Tmaj,'2023'!Wh/'2023'!Env_an*'2024'!Env_an,0.001*'[13]mon-tableau (3)'!$B$216)</f>
        <v>10.261788890762224</v>
      </c>
      <c r="C333" s="866"/>
      <c r="D333" s="395">
        <f t="shared" si="102"/>
        <v>10.82526060607046</v>
      </c>
      <c r="E333" s="387">
        <f t="shared" si="125"/>
        <v>11.686060479112362</v>
      </c>
      <c r="F333" s="387">
        <f t="shared" si="103"/>
        <v>12.448332437041396</v>
      </c>
      <c r="G333" s="110">
        <f t="shared" si="126"/>
        <v>0.53838015261253092</v>
      </c>
      <c r="H333" s="414" t="b">
        <f>Wh_hp&gt;='2023'!Maxi_hp</f>
        <v>0</v>
      </c>
      <c r="I333" s="392">
        <f>IF(H333,Wh_hp,'2023'!Maxi_hp)</f>
        <v>21.895850327793376</v>
      </c>
      <c r="J333" s="85">
        <f>IF(H333,An,'2023'!An_max)</f>
        <v>2020</v>
      </c>
      <c r="K333" s="199">
        <f t="shared" si="104"/>
        <v>45610</v>
      </c>
      <c r="L333" s="147">
        <f>IF(t&lt;Tvie,1-EXP((T0-t)*PertePVj)+'2023'!Pspv,1-EXP((T0-t)*PertePVj)+Pspv)</f>
        <v>5.2051561233755317E-2</v>
      </c>
      <c r="M333" s="870"/>
      <c r="N333" s="870"/>
      <c r="O333" s="48">
        <f>IF(t&lt;Tnet,'2023'!Resal+('2023'!Salim-'2023'!Resal)*(1-EXP(('2023'!Tnet-t)/('2023'!Tau_j))),Resal+(Salim-Resal)*(1-EXP((Tnet-t)/(Tau_j))))*Salcycl</f>
        <v>7.3660398607425806E-2</v>
      </c>
      <c r="P333" s="171">
        <f>(INDEX(Models!$BJ333:$BT333,,T333)*(1-R333)+INDEX(Models!$BJ333:$BT333,,T333+1)*R333-ERP_i)*Q333*Ramure*Pc/MaxiM</f>
        <v>0.14665811316188834</v>
      </c>
      <c r="Q333" s="307">
        <f t="shared" si="105"/>
        <v>1</v>
      </c>
      <c r="R333" s="179">
        <f t="shared" si="106"/>
        <v>9.8947317169242766E-2</v>
      </c>
      <c r="S333" s="837">
        <f t="shared" si="107"/>
        <v>2</v>
      </c>
      <c r="T333" s="178">
        <f t="shared" si="108"/>
        <v>8</v>
      </c>
      <c r="U333" s="253">
        <f t="shared" si="109"/>
        <v>2.0989473171692428</v>
      </c>
      <c r="V333" s="385">
        <f t="shared" si="110"/>
        <v>17.326073271188982</v>
      </c>
      <c r="W333" s="404">
        <f t="shared" si="111"/>
        <v>10.261788890762224</v>
      </c>
      <c r="X333" s="157">
        <f t="shared" si="112"/>
        <v>45610</v>
      </c>
      <c r="Y333" s="387">
        <f t="shared" si="113"/>
        <v>9.6802755151896562</v>
      </c>
      <c r="Z333" s="387">
        <f t="shared" si="114"/>
        <v>10.211816507434243</v>
      </c>
      <c r="AA333" s="388">
        <f t="shared" si="115"/>
        <v>11.686060479112362</v>
      </c>
      <c r="AB333" s="199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0.12615405972895474</v>
      </c>
      <c r="AD333" s="233">
        <f>(INDEX(Models!$BJ333:$BT333,,AH333)*(1-AF333)+INDEX(Models!$BJ333:$BT333,,AH333+1)*AF333-ERP_i)*AE333*Ramure*Pc/MaxiM</f>
        <v>0.14665811316188834</v>
      </c>
      <c r="AE333" s="307">
        <f t="shared" si="117"/>
        <v>1</v>
      </c>
      <c r="AF333" s="179">
        <f t="shared" si="118"/>
        <v>9.8947317169242766E-2</v>
      </c>
      <c r="AG333" s="837">
        <f t="shared" si="124"/>
        <v>2</v>
      </c>
      <c r="AH333" s="178">
        <f t="shared" si="119"/>
        <v>8</v>
      </c>
      <c r="AI333" s="227">
        <f t="shared" si="120"/>
        <v>2.0989473171692428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45611</v>
      </c>
      <c r="B334" s="1139">
        <f>IF(t&gt;Tmaj,'2023'!Wh/'2023'!Env_an*'2024'!Env_an,0.001*'[13]mon-tableau (3)'!$B$217)</f>
        <v>16.038591645604601</v>
      </c>
      <c r="C334" s="866"/>
      <c r="D334" s="395">
        <f t="shared" si="102"/>
        <v>16.919659593114435</v>
      </c>
      <c r="E334" s="387">
        <f t="shared" si="125"/>
        <v>18.26723537884336</v>
      </c>
      <c r="F334" s="387">
        <f t="shared" si="103"/>
        <v>21.15611482572238</v>
      </c>
      <c r="G334" s="110">
        <f t="shared" si="126"/>
        <v>0.92459290275080386</v>
      </c>
      <c r="H334" s="414" t="b">
        <f>Wh_hp&gt;='2023'!Maxi_hp</f>
        <v>0</v>
      </c>
      <c r="I334" s="392">
        <f>IF(H334,Wh_hp,'2023'!Maxi_hp)</f>
        <v>21.302314417663752</v>
      </c>
      <c r="J334" s="85">
        <f>IF(H334,An,'2023'!An_max)</f>
        <v>2022</v>
      </c>
      <c r="K334" s="199">
        <f t="shared" si="104"/>
        <v>45611</v>
      </c>
      <c r="L334" s="147">
        <f>IF(t&lt;Tvie,1-EXP((T0-t)*PertePVj)+'2023'!Pspv,1-EXP((T0-t)*PertePVj)+Pspv)</f>
        <v>5.2073621378788904E-2</v>
      </c>
      <c r="M334" s="870"/>
      <c r="N334" s="870"/>
      <c r="O334" s="48">
        <f>IF(t&lt;Tnet,'2023'!Resal+('2023'!Salim-'2023'!Resal)*(1-EXP(('2023'!Tnet-t)/('2023'!Tau_j))),Resal+(Salim-Resal)*(1-EXP((Tnet-t)/(Tau_j))))*Salcycl</f>
        <v>7.3770100279632544E-2</v>
      </c>
      <c r="P334" s="171">
        <f>(INDEX(Models!$BJ334:$BT334,,T334)*(1-R334)+INDEX(Models!$BJ334:$BT334,,T334+1)*R334-ERP_i)*Q334*Ramure*Pc/MaxiM</f>
        <v>0.14962958283451153</v>
      </c>
      <c r="Q334" s="307">
        <f t="shared" si="105"/>
        <v>1</v>
      </c>
      <c r="R334" s="179">
        <f t="shared" si="106"/>
        <v>9.8989928402928307E-2</v>
      </c>
      <c r="S334" s="837">
        <f t="shared" si="107"/>
        <v>2</v>
      </c>
      <c r="T334" s="178">
        <f t="shared" si="108"/>
        <v>8</v>
      </c>
      <c r="U334" s="253">
        <f t="shared" si="109"/>
        <v>2.0989899284029283</v>
      </c>
      <c r="V334" s="385">
        <f t="shared" si="110"/>
        <v>17.083895599959288</v>
      </c>
      <c r="W334" s="404">
        <f t="shared" si="111"/>
        <v>16.038591645604601</v>
      </c>
      <c r="X334" s="157">
        <f t="shared" si="112"/>
        <v>45611</v>
      </c>
      <c r="Y334" s="387">
        <f t="shared" si="113"/>
        <v>15.13244692756636</v>
      </c>
      <c r="Z334" s="387">
        <f t="shared" si="114"/>
        <v>15.963736497740449</v>
      </c>
      <c r="AA334" s="388">
        <f t="shared" si="115"/>
        <v>18.26723537884336</v>
      </c>
      <c r="AB334" s="199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0.12610002736214609</v>
      </c>
      <c r="AD334" s="233">
        <f>(INDEX(Models!$BJ334:$BT334,,AH334)*(1-AF334)+INDEX(Models!$BJ334:$BT334,,AH334+1)*AF334-ERP_i)*AE334*Ramure*Pc/MaxiM</f>
        <v>0.14962958283451153</v>
      </c>
      <c r="AE334" s="307">
        <f t="shared" si="117"/>
        <v>1</v>
      </c>
      <c r="AF334" s="179">
        <f t="shared" si="118"/>
        <v>9.8989928402928307E-2</v>
      </c>
      <c r="AG334" s="837">
        <f t="shared" si="124"/>
        <v>2</v>
      </c>
      <c r="AH334" s="178">
        <f t="shared" si="119"/>
        <v>8</v>
      </c>
      <c r="AI334" s="227">
        <f t="shared" si="120"/>
        <v>2.0989899284029283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45612</v>
      </c>
      <c r="B335" s="1139">
        <f>IF(t&gt;Tmaj,'2023'!Wh/'2023'!Env_an*'2024'!Env_an,0.001*'[13]mon-tableau (3)'!$B$218)</f>
        <v>10.501794784963707</v>
      </c>
      <c r="C335" s="866"/>
      <c r="D335" s="395">
        <f t="shared" ref="D335:D380" si="127">Wh/(1-Ppv)</f>
        <v>11.078960792328123</v>
      </c>
      <c r="E335" s="387">
        <f t="shared" si="125"/>
        <v>11.96278268616914</v>
      </c>
      <c r="F335" s="387">
        <f t="shared" ref="F335:F380" si="128">Wh_sa/(1-Pvg*MEDIAN((-Sdif+Wh/Env_an)/Csdif,0,1))</f>
        <v>12.869966009298929</v>
      </c>
      <c r="G335" s="110">
        <f t="shared" si="126"/>
        <v>0.56826506788586684</v>
      </c>
      <c r="H335" s="414" t="b">
        <f>Wh_hp&gt;='2023'!Maxi_hp</f>
        <v>0</v>
      </c>
      <c r="I335" s="392">
        <f>IF(H335,Wh_hp,'2023'!Maxi_hp)</f>
        <v>21.938135822618069</v>
      </c>
      <c r="J335" s="85">
        <f>IF(H335,An,'2023'!An_max)</f>
        <v>2018</v>
      </c>
      <c r="K335" s="199">
        <f t="shared" ref="K335:K380" si="129">t</f>
        <v>45612</v>
      </c>
      <c r="L335" s="147">
        <f>IF(t&lt;Tvie,1-EXP((T0-t)*PertePVj)+'2023'!Pspv,1-EXP((T0-t)*PertePVj)+Pspv)</f>
        <v>5.2095681010450812E-2</v>
      </c>
      <c r="M335" s="870"/>
      <c r="N335" s="870"/>
      <c r="O335" s="48">
        <f>IF(t&lt;Tnet,'2023'!Resal+('2023'!Salim-'2023'!Resal)*(1-EXP(('2023'!Tnet-t)/('2023'!Tau_j))),Resal+(Salim-Resal)*(1-EXP((Tnet-t)/(Tau_j))))*Salcycl</f>
        <v>7.3880962066029413E-2</v>
      </c>
      <c r="P335" s="171">
        <f>(INDEX(Models!$BJ335:$BT335,,T335)*(1-R335)+INDEX(Models!$BJ335:$BT335,,T335+1)*R335-ERP_i)*Q335*Ramure*Pc/MaxiM</f>
        <v>0.15260431440066785</v>
      </c>
      <c r="Q335" s="307">
        <f t="shared" ref="Q335:Q380" si="130">IF(OR(t&lt;Ttai,Notai),Dd+PousD*Croivg,Dens+PousD*(Croivg-Croi_tai))</f>
        <v>1</v>
      </c>
      <c r="R335" s="179">
        <f t="shared" ref="R335:R379" si="131">(Hp_vg-S335)/(INDEX(Echel_vg,T335+1)-S335)</f>
        <v>9.9030828862520348E-2</v>
      </c>
      <c r="S335" s="837">
        <f t="shared" ref="S335:S379" si="132">INDEX(Echel_vg,T335)</f>
        <v>2</v>
      </c>
      <c r="T335" s="178">
        <f t="shared" ref="T335:T380" si="133">MIN(MATCH(Hp_vg,Echel_vg),10)</f>
        <v>8</v>
      </c>
      <c r="U335" s="253">
        <f t="shared" ref="U335:U380" si="134">IF(OR(t&lt;Ttai,Notai),Hdd+PousH*Croivg,Hdtf+PousH*(Croivg-Croi_tai))</f>
        <v>2.0990308288625203</v>
      </c>
      <c r="V335" s="385">
        <f t="shared" ref="V335:V380" si="135">MaxiM*(1-Ppv)*(1-Pvg)*(1-Psa)</f>
        <v>16.847831187677262</v>
      </c>
      <c r="W335" s="404">
        <f t="shared" ref="W335:W380" si="136">Wh*(A335&gt;Tmaj)</f>
        <v>10.501794784963707</v>
      </c>
      <c r="X335" s="157">
        <f t="shared" ref="X335:X380" si="137">t</f>
        <v>45612</v>
      </c>
      <c r="Y335" s="387">
        <f t="shared" ref="Y335:Y380" si="138">Wh_pvt_s*(1-Ppv)</f>
        <v>9.9102312974913183</v>
      </c>
      <c r="Z335" s="387">
        <f t="shared" ref="Z335:Z380" si="139">Wh_sa_s*(1-Psa_s)</f>
        <v>10.454885687255299</v>
      </c>
      <c r="AA335" s="388">
        <f t="shared" ref="AA335:AA380" si="140">Wh_hp*(1-Pvg_s*MEDIAN((-Sdif+Wh/Env_an)/Csdif,0,1))</f>
        <v>11.96278268616914</v>
      </c>
      <c r="AB335" s="199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0.12604901706165803</v>
      </c>
      <c r="AD335" s="233">
        <f>(INDEX(Models!$BJ335:$BT335,,AH335)*(1-AF335)+INDEX(Models!$BJ335:$BT335,,AH335+1)*AF335-ERP_i)*AE335*Ramure*Pc/MaxiM</f>
        <v>0.15260431440066785</v>
      </c>
      <c r="AE335" s="307">
        <f t="shared" ref="AE335:AE380" si="142">IF(OR(t&lt;Ttai,Notai),Dd_s+PousD*Croivg,Dens_s+PousD*(Croivg-Croi_tai))</f>
        <v>1</v>
      </c>
      <c r="AF335" s="179">
        <f t="shared" ref="AF335:AF379" si="143">(Hp_vg_s-AG335)/(INDEX(Echel_vg,AH335+1)-AG335)</f>
        <v>9.9030828862520348E-2</v>
      </c>
      <c r="AG335" s="837">
        <f t="shared" si="124"/>
        <v>2</v>
      </c>
      <c r="AH335" s="178">
        <f t="shared" ref="AH335:AH380" si="144">MIN(MATCH(Hp_vg_s,Echel_vg),10)</f>
        <v>8</v>
      </c>
      <c r="AI335" s="227">
        <f t="shared" ref="AI335:AI380" si="145">IF(OR(t&lt;Ttai,Notai),Hdd_s+PousH*Croivg,Hdtai_s+PousH*(Croivg-Croi_tai))</f>
        <v>2.0990308288625203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45613</v>
      </c>
      <c r="B336" s="1139">
        <f>IF(t&gt;Tmaj,'2023'!Wh/'2023'!Env_an*'2024'!Env_an,0.001*'[13]mon-tableau (3)'!$B$219)</f>
        <v>9.90749038126906</v>
      </c>
      <c r="C336" s="866"/>
      <c r="D336" s="395">
        <f t="shared" si="127"/>
        <v>10.452237372408273</v>
      </c>
      <c r="E336" s="387">
        <f t="shared" si="125"/>
        <v>11.287429273547422</v>
      </c>
      <c r="F336" s="387">
        <f t="shared" si="128"/>
        <v>12.082901754576222</v>
      </c>
      <c r="G336" s="110">
        <f t="shared" si="126"/>
        <v>0.53892648302973079</v>
      </c>
      <c r="H336" s="414" t="b">
        <f>Wh_hp&gt;='2023'!Maxi_hp</f>
        <v>0</v>
      </c>
      <c r="I336" s="392">
        <f>IF(H336,Wh_hp,'2023'!Maxi_hp)</f>
        <v>20.856889266520181</v>
      </c>
      <c r="J336" s="85">
        <f>IF(H336,An,'2023'!An_max)</f>
        <v>2020</v>
      </c>
      <c r="K336" s="199">
        <f t="shared" si="129"/>
        <v>45613</v>
      </c>
      <c r="L336" s="147">
        <f>IF(t&lt;Tvie,1-EXP((T0-t)*PertePVj)+'2023'!Pspv,1-EXP((T0-t)*PertePVj)+Pspv)</f>
        <v>5.211774012875281E-2</v>
      </c>
      <c r="M336" s="870"/>
      <c r="N336" s="870"/>
      <c r="O336" s="48">
        <f>IF(t&lt;Tnet,'2023'!Resal+('2023'!Salim-'2023'!Resal)*(1-EXP(('2023'!Tnet-t)/('2023'!Tau_j))),Resal+(Salim-Resal)*(1-EXP((Tnet-t)/(Tau_j))))*Salcycl</f>
        <v>7.3993101608747808E-2</v>
      </c>
      <c r="P336" s="171">
        <f>(INDEX(Models!$BJ336:$BT336,,T336)*(1-R336)+INDEX(Models!$BJ336:$BT336,,T336+1)*R336-ERP_i)*Q336*Ramure*Pc/MaxiM</f>
        <v>0.15558193819483807</v>
      </c>
      <c r="Q336" s="307">
        <f t="shared" si="130"/>
        <v>1</v>
      </c>
      <c r="R336" s="179">
        <f t="shared" si="131"/>
        <v>9.9070087044649036E-2</v>
      </c>
      <c r="S336" s="837">
        <f t="shared" si="132"/>
        <v>2</v>
      </c>
      <c r="T336" s="178">
        <f t="shared" si="133"/>
        <v>8</v>
      </c>
      <c r="U336" s="253">
        <f t="shared" si="134"/>
        <v>2.099070087044649</v>
      </c>
      <c r="V336" s="385">
        <f t="shared" si="135"/>
        <v>16.61758275500117</v>
      </c>
      <c r="W336" s="404">
        <f t="shared" si="136"/>
        <v>9.90749038126906</v>
      </c>
      <c r="X336" s="157">
        <f t="shared" si="137"/>
        <v>45613</v>
      </c>
      <c r="Y336" s="387">
        <f t="shared" si="138"/>
        <v>9.3510476540149075</v>
      </c>
      <c r="Z336" s="387">
        <f t="shared" si="139"/>
        <v>9.8651995610563272</v>
      </c>
      <c r="AA336" s="388">
        <f t="shared" si="140"/>
        <v>11.287429273547422</v>
      </c>
      <c r="AB336" s="199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0.12600120700859252</v>
      </c>
      <c r="AD336" s="233">
        <f>(INDEX(Models!$BJ336:$BT336,,AH336)*(1-AF336)+INDEX(Models!$BJ336:$BT336,,AH336+1)*AF336-ERP_i)*AE336*Ramure*Pc/MaxiM</f>
        <v>0.15558193819483807</v>
      </c>
      <c r="AE336" s="307">
        <f t="shared" si="142"/>
        <v>1</v>
      </c>
      <c r="AF336" s="179">
        <f t="shared" si="143"/>
        <v>9.9070087044649036E-2</v>
      </c>
      <c r="AG336" s="837">
        <f t="shared" ref="AG336:AG379" si="149">INDEX(Echel_vg,AH336)</f>
        <v>2</v>
      </c>
      <c r="AH336" s="178">
        <f t="shared" si="144"/>
        <v>8</v>
      </c>
      <c r="AI336" s="227">
        <f t="shared" si="145"/>
        <v>2.099070087044649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45614</v>
      </c>
      <c r="B337" s="1139">
        <f>IF(t&gt;Tmaj,'2023'!Wh/'2023'!Env_an*'2024'!Env_an,0.001*'[13]mon-tableau (3)'!$B$220)</f>
        <v>7.2675083094215811</v>
      </c>
      <c r="C337" s="866"/>
      <c r="D337" s="395">
        <f t="shared" si="127"/>
        <v>7.6672786764467569</v>
      </c>
      <c r="E337" s="387">
        <f t="shared" si="125"/>
        <v>8.2809521274882911</v>
      </c>
      <c r="F337" s="387">
        <f t="shared" si="128"/>
        <v>8.5588374151550504</v>
      </c>
      <c r="G337" s="110">
        <f t="shared" si="126"/>
        <v>0.38555601161258907</v>
      </c>
      <c r="H337" s="414" t="b">
        <f>Wh_hp&gt;='2023'!Maxi_hp</f>
        <v>0</v>
      </c>
      <c r="I337" s="392">
        <f>IF(H337,Wh_hp,'2023'!Maxi_hp)</f>
        <v>22.157788716528341</v>
      </c>
      <c r="J337" s="85">
        <f>IF(H337,An,'2023'!An_max)</f>
        <v>2021</v>
      </c>
      <c r="K337" s="199">
        <f t="shared" si="129"/>
        <v>45614</v>
      </c>
      <c r="L337" s="147">
        <f>IF(t&lt;Tvie,1-EXP((T0-t)*PertePVj)+'2023'!Pspv,1-EXP((T0-t)*PertePVj)+Pspv)</f>
        <v>5.2139798733706777E-2</v>
      </c>
      <c r="M337" s="870"/>
      <c r="N337" s="870"/>
      <c r="O337" s="48">
        <f>IF(t&lt;Tnet,'2023'!Resal+('2023'!Salim-'2023'!Resal)*(1-EXP(('2023'!Tnet-t)/('2023'!Tau_j))),Resal+(Salim-Resal)*(1-EXP((Tnet-t)/(Tau_j))))*Salcycl</f>
        <v>7.4106629478567887E-2</v>
      </c>
      <c r="P337" s="171">
        <f>(INDEX(Models!$BJ337:$BT337,,T337)*(1-R337)+INDEX(Models!$BJ337:$BT337,,T337+1)*R337-ERP_i)*Q337*Ramure*Pc/MaxiM</f>
        <v>0.15856224240052058</v>
      </c>
      <c r="Q337" s="307">
        <f t="shared" si="130"/>
        <v>1</v>
      </c>
      <c r="R337" s="179">
        <f t="shared" si="131"/>
        <v>9.9107768718287748E-2</v>
      </c>
      <c r="S337" s="837">
        <f t="shared" si="132"/>
        <v>2</v>
      </c>
      <c r="T337" s="178">
        <f t="shared" si="133"/>
        <v>8</v>
      </c>
      <c r="U337" s="253">
        <f t="shared" si="134"/>
        <v>2.0991077687182877</v>
      </c>
      <c r="V337" s="385">
        <f t="shared" si="135"/>
        <v>16.392853458848176</v>
      </c>
      <c r="W337" s="404">
        <f t="shared" si="136"/>
        <v>7.2675083094215811</v>
      </c>
      <c r="X337" s="157">
        <f t="shared" si="137"/>
        <v>45614</v>
      </c>
      <c r="Y337" s="387">
        <f t="shared" si="138"/>
        <v>6.8605270282199324</v>
      </c>
      <c r="Z337" s="387">
        <f t="shared" si="139"/>
        <v>7.2379102098121813</v>
      </c>
      <c r="AA337" s="388">
        <f t="shared" si="140"/>
        <v>8.2809521274882911</v>
      </c>
      <c r="AB337" s="199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0.12595676217155921</v>
      </c>
      <c r="AD337" s="233">
        <f>(INDEX(Models!$BJ337:$BT337,,AH337)*(1-AF337)+INDEX(Models!$BJ337:$BT337,,AH337+1)*AF337-ERP_i)*AE337*Ramure*Pc/MaxiM</f>
        <v>0.15856224240052058</v>
      </c>
      <c r="AE337" s="307">
        <f t="shared" si="142"/>
        <v>1</v>
      </c>
      <c r="AF337" s="179">
        <f t="shared" si="143"/>
        <v>9.9107768718287748E-2</v>
      </c>
      <c r="AG337" s="837">
        <f t="shared" si="149"/>
        <v>2</v>
      </c>
      <c r="AH337" s="178">
        <f t="shared" si="144"/>
        <v>8</v>
      </c>
      <c r="AI337" s="227">
        <f t="shared" si="145"/>
        <v>2.0991077687182877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45615</v>
      </c>
      <c r="B338" s="1139">
        <f>IF(t&gt;Tmaj,'2023'!Wh/'2023'!Env_an*'2024'!Env_an,0.001*'[13]mon-tableau (3)'!$B$221)</f>
        <v>11.850949989190042</v>
      </c>
      <c r="C338" s="866"/>
      <c r="D338" s="395">
        <f t="shared" si="127"/>
        <v>12.503136821964819</v>
      </c>
      <c r="E338" s="387">
        <f t="shared" si="125"/>
        <v>13.505540288882862</v>
      </c>
      <c r="F338" s="387">
        <f t="shared" si="128"/>
        <v>15.004028150508011</v>
      </c>
      <c r="G338" s="110">
        <f t="shared" si="126"/>
        <v>0.68254114375011421</v>
      </c>
      <c r="H338" s="414" t="b">
        <f>Wh_hp&gt;='2023'!Maxi_hp</f>
        <v>0</v>
      </c>
      <c r="I338" s="392">
        <f>IF(H338,Wh_hp,'2023'!Maxi_hp)</f>
        <v>22.532430665642437</v>
      </c>
      <c r="J338" s="85">
        <f>IF(H338,An,'2023'!An_max)</f>
        <v>2019</v>
      </c>
      <c r="K338" s="199">
        <f t="shared" si="129"/>
        <v>45615</v>
      </c>
      <c r="L338" s="147">
        <f>IF(t&lt;Tvie,1-EXP((T0-t)*PertePVj)+'2023'!Pspv,1-EXP((T0-t)*PertePVj)+Pspv)</f>
        <v>5.2161856825324926E-2</v>
      </c>
      <c r="M338" s="870"/>
      <c r="N338" s="870"/>
      <c r="O338" s="48">
        <f>IF(t&lt;Tnet,'2023'!Resal+('2023'!Salim-'2023'!Resal)*(1-EXP(('2023'!Tnet-t)/('2023'!Tau_j))),Resal+(Salim-Resal)*(1-EXP((Tnet-t)/(Tau_j))))*Salcycl</f>
        <v>7.4221648706877363E-2</v>
      </c>
      <c r="P338" s="171">
        <f>(INDEX(Models!$BJ338:$BT338,,T338)*(1-R338)+INDEX(Models!$BJ338:$BT338,,T338+1)*R338-ERP_i)*Q338*Ramure*Pc/MaxiM</f>
        <v>0.16154985272413674</v>
      </c>
      <c r="Q338" s="307">
        <f t="shared" si="130"/>
        <v>1</v>
      </c>
      <c r="R338" s="179">
        <f t="shared" si="131"/>
        <v>9.9143937032202256E-2</v>
      </c>
      <c r="S338" s="837">
        <f t="shared" si="132"/>
        <v>2</v>
      </c>
      <c r="T338" s="178">
        <f t="shared" si="133"/>
        <v>8</v>
      </c>
      <c r="U338" s="253">
        <f t="shared" si="134"/>
        <v>2.0991439370322023</v>
      </c>
      <c r="V338" s="385">
        <f t="shared" si="135"/>
        <v>16.173256800284005</v>
      </c>
      <c r="W338" s="404">
        <f t="shared" si="136"/>
        <v>11.850949989190042</v>
      </c>
      <c r="X338" s="157">
        <f t="shared" si="137"/>
        <v>45615</v>
      </c>
      <c r="Y338" s="387">
        <f t="shared" si="138"/>
        <v>11.189209304067761</v>
      </c>
      <c r="Z338" s="387">
        <f t="shared" si="139"/>
        <v>11.804978924556453</v>
      </c>
      <c r="AA338" s="388">
        <f t="shared" si="140"/>
        <v>13.505540288882862</v>
      </c>
      <c r="AB338" s="199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0.12591583364689474</v>
      </c>
      <c r="AD338" s="233">
        <f>(INDEX(Models!$BJ338:$BT338,,AH338)*(1-AF338)+INDEX(Models!$BJ338:$BT338,,AH338+1)*AF338-ERP_i)*AE338*Ramure*Pc/MaxiM</f>
        <v>0.16154985272413674</v>
      </c>
      <c r="AE338" s="307">
        <f t="shared" si="142"/>
        <v>1</v>
      </c>
      <c r="AF338" s="179">
        <f t="shared" si="143"/>
        <v>9.9143937032202256E-2</v>
      </c>
      <c r="AG338" s="837">
        <f t="shared" si="149"/>
        <v>2</v>
      </c>
      <c r="AH338" s="178">
        <f t="shared" si="144"/>
        <v>8</v>
      </c>
      <c r="AI338" s="227">
        <f t="shared" si="145"/>
        <v>2.0991439370322023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45616</v>
      </c>
      <c r="B339" s="1139">
        <f>IF(t&gt;Tmaj,'2023'!Wh/'2023'!Env_an*'2024'!Env_an,0.001*'[13]mon-tableau (3)'!$B$222)</f>
        <v>2.8212929491233174</v>
      </c>
      <c r="C339" s="866"/>
      <c r="D339" s="395">
        <f t="shared" si="127"/>
        <v>2.976624887462334</v>
      </c>
      <c r="E339" s="387">
        <f t="shared" si="125"/>
        <v>3.2156723570989665</v>
      </c>
      <c r="F339" s="387">
        <f t="shared" si="128"/>
        <v>3.2156723570989665</v>
      </c>
      <c r="G339" s="110">
        <f t="shared" si="126"/>
        <v>0.14769957485508697</v>
      </c>
      <c r="H339" s="414" t="b">
        <f>Wh_hp&gt;='2023'!Maxi_hp</f>
        <v>0</v>
      </c>
      <c r="I339" s="392">
        <f>IF(H339,Wh_hp,'2023'!Maxi_hp)</f>
        <v>21.71388989490131</v>
      </c>
      <c r="J339" s="85">
        <f>IF(H339,An,'2023'!An_max)</f>
        <v>2019</v>
      </c>
      <c r="K339" s="199">
        <f t="shared" si="129"/>
        <v>45616</v>
      </c>
      <c r="L339" s="147">
        <f>IF(t&lt;Tvie,1-EXP((T0-t)*PertePVj)+'2023'!Pspv,1-EXP((T0-t)*PertePVj)+Pspv)</f>
        <v>5.2183914403619025E-2</v>
      </c>
      <c r="M339" s="870"/>
      <c r="N339" s="870"/>
      <c r="O339" s="48">
        <f>IF(t&lt;Tnet,'2023'!Resal+('2023'!Salim-'2023'!Resal)*(1-EXP(('2023'!Tnet-t)/('2023'!Tau_j))),Resal+(Salim-Resal)*(1-EXP((Tnet-t)/(Tau_j))))*Salcycl</f>
        <v>7.4338254365034384E-2</v>
      </c>
      <c r="P339" s="171">
        <f>(INDEX(Models!$BJ339:$BT339,,T339)*(1-R339)+INDEX(Models!$BJ339:$BT339,,T339+1)*R339-ERP_i)*Q339*Ramure*Pc/MaxiM</f>
        <v>0.16455064663286897</v>
      </c>
      <c r="Q339" s="307">
        <f t="shared" si="130"/>
        <v>1</v>
      </c>
      <c r="R339" s="179">
        <f t="shared" si="131"/>
        <v>9.917865261826142E-2</v>
      </c>
      <c r="S339" s="837">
        <f t="shared" si="132"/>
        <v>2</v>
      </c>
      <c r="T339" s="178">
        <f t="shared" si="133"/>
        <v>8</v>
      </c>
      <c r="U339" s="253">
        <f t="shared" si="134"/>
        <v>2.0991786526182614</v>
      </c>
      <c r="V339" s="385">
        <f t="shared" si="135"/>
        <v>15.958389672528849</v>
      </c>
      <c r="W339" s="404">
        <f t="shared" si="136"/>
        <v>2.8212929491233174</v>
      </c>
      <c r="X339" s="157">
        <f t="shared" si="137"/>
        <v>45616</v>
      </c>
      <c r="Y339" s="387">
        <f t="shared" si="138"/>
        <v>2.6642050105032529</v>
      </c>
      <c r="Z339" s="387">
        <f t="shared" si="139"/>
        <v>2.8108881575130606</v>
      </c>
      <c r="AA339" s="388">
        <f t="shared" si="140"/>
        <v>3.2156723570989665</v>
      </c>
      <c r="AB339" s="199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0.12587855808515389</v>
      </c>
      <c r="AD339" s="233">
        <f>(INDEX(Models!$BJ339:$BT339,,AH339)*(1-AF339)+INDEX(Models!$BJ339:$BT339,,AH339+1)*AF339-ERP_i)*AE339*Ramure*Pc/MaxiM</f>
        <v>0.16455064663286897</v>
      </c>
      <c r="AE339" s="307">
        <f t="shared" si="142"/>
        <v>1</v>
      </c>
      <c r="AF339" s="179">
        <f t="shared" si="143"/>
        <v>9.917865261826142E-2</v>
      </c>
      <c r="AG339" s="837">
        <f t="shared" si="149"/>
        <v>2</v>
      </c>
      <c r="AH339" s="178">
        <f t="shared" si="144"/>
        <v>8</v>
      </c>
      <c r="AI339" s="227">
        <f t="shared" si="145"/>
        <v>2.0991786526182614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45617</v>
      </c>
      <c r="B340" s="1139">
        <f>IF(t&gt;Tmaj,'2023'!Wh/'2023'!Env_an*'2024'!Env_an,0.001*'[13]mon-tableau (3)'!$B$223)</f>
        <v>7.4541090380635611</v>
      </c>
      <c r="C340" s="866"/>
      <c r="D340" s="395">
        <f t="shared" si="127"/>
        <v>7.864692975132642</v>
      </c>
      <c r="E340" s="387">
        <f t="shared" si="125"/>
        <v>8.4973783049587297</v>
      </c>
      <c r="F340" s="387">
        <f t="shared" si="128"/>
        <v>8.8652276600960924</v>
      </c>
      <c r="G340" s="110">
        <f t="shared" si="126"/>
        <v>0.41108031416957858</v>
      </c>
      <c r="H340" s="414" t="b">
        <f>Wh_hp&gt;='2023'!Maxi_hp</f>
        <v>0</v>
      </c>
      <c r="I340" s="392">
        <f>IF(H340,Wh_hp,'2023'!Maxi_hp)</f>
        <v>22.055020906483698</v>
      </c>
      <c r="J340" s="85">
        <f>IF(H340,An,'2023'!An_max)</f>
        <v>2020</v>
      </c>
      <c r="K340" s="199">
        <f t="shared" si="129"/>
        <v>45617</v>
      </c>
      <c r="L340" s="147">
        <f>IF(t&lt;Tvie,1-EXP((T0-t)*PertePVj)+'2023'!Pspv,1-EXP((T0-t)*PertePVj)+Pspv)</f>
        <v>5.2205971468600954E-2</v>
      </c>
      <c r="M340" s="870"/>
      <c r="N340" s="870"/>
      <c r="O340" s="48">
        <f>IF(t&lt;Tnet,'2023'!Resal+('2023'!Salim-'2023'!Resal)*(1-EXP(('2023'!Tnet-t)/('2023'!Tau_j))),Resal+(Salim-Resal)*(1-EXP((Tnet-t)/(Tau_j))))*Salcycl</f>
        <v>7.445653319411201E-2</v>
      </c>
      <c r="P340" s="171">
        <f>(INDEX(Models!$BJ340:$BT340,,T340)*(1-R340)+INDEX(Models!$BJ340:$BT340,,T340+1)*R340-ERP_i)*Q340*Ramure*Pc/MaxiM</f>
        <v>0.16756523720092628</v>
      </c>
      <c r="Q340" s="307">
        <f t="shared" si="130"/>
        <v>1</v>
      </c>
      <c r="R340" s="179">
        <f t="shared" si="131"/>
        <v>9.9211973690757738E-2</v>
      </c>
      <c r="S340" s="837">
        <f t="shared" si="132"/>
        <v>2</v>
      </c>
      <c r="T340" s="178">
        <f t="shared" si="133"/>
        <v>8</v>
      </c>
      <c r="U340" s="253">
        <f t="shared" si="134"/>
        <v>2.0992119736907577</v>
      </c>
      <c r="V340" s="385">
        <f t="shared" si="135"/>
        <v>15.747956591171214</v>
      </c>
      <c r="W340" s="404">
        <f t="shared" si="136"/>
        <v>7.4541090380635611</v>
      </c>
      <c r="X340" s="157">
        <f t="shared" si="137"/>
        <v>45617</v>
      </c>
      <c r="Y340" s="387">
        <f t="shared" si="138"/>
        <v>7.0402379719920063</v>
      </c>
      <c r="Z340" s="387">
        <f t="shared" si="139"/>
        <v>7.4280252460556344</v>
      </c>
      <c r="AA340" s="388">
        <f t="shared" si="140"/>
        <v>8.4973783049587297</v>
      </c>
      <c r="AB340" s="199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0.12584505720771125</v>
      </c>
      <c r="AD340" s="233">
        <f>(INDEX(Models!$BJ340:$BT340,,AH340)*(1-AF340)+INDEX(Models!$BJ340:$BT340,,AH340+1)*AF340-ERP_i)*AE340*Ramure*Pc/MaxiM</f>
        <v>0.16756523720092628</v>
      </c>
      <c r="AE340" s="307">
        <f t="shared" si="142"/>
        <v>1</v>
      </c>
      <c r="AF340" s="179">
        <f t="shared" si="143"/>
        <v>9.9211973690757738E-2</v>
      </c>
      <c r="AG340" s="837">
        <f t="shared" si="149"/>
        <v>2</v>
      </c>
      <c r="AH340" s="178">
        <f t="shared" si="144"/>
        <v>8</v>
      </c>
      <c r="AI340" s="227">
        <f t="shared" si="145"/>
        <v>2.0992119736907577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45618</v>
      </c>
      <c r="B341" s="1139">
        <f>IF(t&gt;Tmaj,'2023'!Wh/'2023'!Env_an*'2024'!Env_an,0.001*'[13]mon-tableau (3)'!$B$224)</f>
        <v>11.051280370070643</v>
      </c>
      <c r="C341" s="866"/>
      <c r="D341" s="395">
        <f t="shared" si="127"/>
        <v>11.660273459012087</v>
      </c>
      <c r="E341" s="387">
        <f t="shared" si="125"/>
        <v>12.599933172684358</v>
      </c>
      <c r="F341" s="387">
        <f t="shared" si="128"/>
        <v>14.00273592164295</v>
      </c>
      <c r="G341" s="110">
        <f t="shared" si="126"/>
        <v>0.65543062218585624</v>
      </c>
      <c r="H341" s="414" t="b">
        <f>Wh_hp&gt;='2023'!Maxi_hp</f>
        <v>0</v>
      </c>
      <c r="I341" s="392">
        <f>IF(H341,Wh_hp,'2023'!Maxi_hp)</f>
        <v>21.439200666327118</v>
      </c>
      <c r="J341" s="85">
        <f>IF(H341,An,'2023'!An_max)</f>
        <v>2020</v>
      </c>
      <c r="K341" s="199">
        <f t="shared" si="129"/>
        <v>45618</v>
      </c>
      <c r="L341" s="147">
        <f>IF(t&lt;Tvie,1-EXP((T0-t)*PertePVj)+'2023'!Pspv,1-EXP((T0-t)*PertePVj)+Pspv)</f>
        <v>5.2228028020282924E-2</v>
      </c>
      <c r="M341" s="870"/>
      <c r="N341" s="870"/>
      <c r="O341" s="48">
        <f>IF(t&lt;Tnet,'2023'!Resal+('2023'!Salim-'2023'!Resal)*(1-EXP(('2023'!Tnet-t)/('2023'!Tau_j))),Resal+(Salim-Resal)*(1-EXP((Tnet-t)/(Tau_j))))*Salcycl</f>
        <v>7.4576563287603578E-2</v>
      </c>
      <c r="P341" s="171">
        <f>(INDEX(Models!$BJ341:$BT341,,T341)*(1-R341)+INDEX(Models!$BJ341:$BT341,,T341+1)*R341-ERP_i)*Q341*Ramure*Pc/MaxiM</f>
        <v>0.17059336740758493</v>
      </c>
      <c r="Q341" s="307">
        <f t="shared" si="130"/>
        <v>1</v>
      </c>
      <c r="R341" s="179">
        <f t="shared" si="131"/>
        <v>9.9243956141886969E-2</v>
      </c>
      <c r="S341" s="837">
        <f t="shared" si="132"/>
        <v>2</v>
      </c>
      <c r="T341" s="178">
        <f t="shared" si="133"/>
        <v>8</v>
      </c>
      <c r="U341" s="253">
        <f t="shared" si="134"/>
        <v>2.099243956141887</v>
      </c>
      <c r="V341" s="385">
        <f t="shared" si="135"/>
        <v>15.541682401469286</v>
      </c>
      <c r="W341" s="404">
        <f t="shared" si="136"/>
        <v>11.051280370070643</v>
      </c>
      <c r="X341" s="157">
        <f t="shared" si="137"/>
        <v>45618</v>
      </c>
      <c r="Y341" s="387">
        <f t="shared" si="138"/>
        <v>10.439392728821842</v>
      </c>
      <c r="Z341" s="387">
        <f t="shared" si="139"/>
        <v>11.014667069143137</v>
      </c>
      <c r="AA341" s="388">
        <f t="shared" si="140"/>
        <v>12.599933172684358</v>
      </c>
      <c r="AB341" s="199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0.1258154374166007</v>
      </c>
      <c r="AD341" s="233">
        <f>(INDEX(Models!$BJ341:$BT341,,AH341)*(1-AF341)+INDEX(Models!$BJ341:$BT341,,AH341+1)*AF341-ERP_i)*AE341*Ramure*Pc/MaxiM</f>
        <v>0.17059336740758493</v>
      </c>
      <c r="AE341" s="307">
        <f t="shared" si="142"/>
        <v>1</v>
      </c>
      <c r="AF341" s="179">
        <f t="shared" si="143"/>
        <v>9.9243956141886969E-2</v>
      </c>
      <c r="AG341" s="837">
        <f t="shared" si="149"/>
        <v>2</v>
      </c>
      <c r="AH341" s="178">
        <f t="shared" si="144"/>
        <v>8</v>
      </c>
      <c r="AI341" s="227">
        <f t="shared" si="145"/>
        <v>2.099243956141887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45619</v>
      </c>
      <c r="B342" s="1139">
        <f>IF(t&gt;Tmaj,'2023'!Wh/'2023'!Env_an*'2024'!Env_an,0.001*'[13]mon-tableau (3)'!$B$225)</f>
        <v>9.9619562811549969</v>
      </c>
      <c r="C342" s="866"/>
      <c r="D342" s="395">
        <f t="shared" si="127"/>
        <v>10.511165565507428</v>
      </c>
      <c r="E342" s="387">
        <f t="shared" si="125"/>
        <v>11.359718520538374</v>
      </c>
      <c r="F342" s="387">
        <f t="shared" si="128"/>
        <v>12.437817857511845</v>
      </c>
      <c r="G342" s="110">
        <f t="shared" si="126"/>
        <v>0.58760823520010053</v>
      </c>
      <c r="H342" s="414" t="b">
        <f>Wh_hp&gt;='2023'!Maxi_hp</f>
        <v>0</v>
      </c>
      <c r="I342" s="392">
        <f>IF(H342,Wh_hp,'2023'!Maxi_hp)</f>
        <v>20.206281401845153</v>
      </c>
      <c r="J342" s="85">
        <f>IF(H342,An,'2023'!An_max)</f>
        <v>2020</v>
      </c>
      <c r="K342" s="199">
        <f t="shared" si="129"/>
        <v>45619</v>
      </c>
      <c r="L342" s="147">
        <f>IF(t&lt;Tvie,1-EXP((T0-t)*PertePVj)+'2023'!Pspv,1-EXP((T0-t)*PertePVj)+Pspv)</f>
        <v>5.2250084058676594E-2</v>
      </c>
      <c r="M342" s="870"/>
      <c r="N342" s="870"/>
      <c r="O342" s="48">
        <f>IF(t&lt;Tnet,'2023'!Resal+('2023'!Salim-'2023'!Resal)*(1-EXP(('2023'!Tnet-t)/('2023'!Tau_j))),Resal+(Salim-Resal)*(1-EXP((Tnet-t)/(Tau_j))))*Salcycl</f>
        <v>7.4698413829247773E-2</v>
      </c>
      <c r="P342" s="171">
        <f>(INDEX(Models!$BJ342:$BT342,,T342)*(1-R342)+INDEX(Models!$BJ342:$BT342,,T342+1)*R342-ERP_i)*Q342*Ramure*Pc/MaxiM</f>
        <v>0.17363562560816642</v>
      </c>
      <c r="Q342" s="307">
        <f t="shared" si="130"/>
        <v>1</v>
      </c>
      <c r="R342" s="179">
        <f t="shared" si="131"/>
        <v>9.9274653633534271E-2</v>
      </c>
      <c r="S342" s="837">
        <f t="shared" si="132"/>
        <v>2</v>
      </c>
      <c r="T342" s="178">
        <f t="shared" si="133"/>
        <v>8</v>
      </c>
      <c r="U342" s="253">
        <f t="shared" si="134"/>
        <v>2.0992746536335343</v>
      </c>
      <c r="V342" s="385">
        <f t="shared" si="135"/>
        <v>15.339279682975825</v>
      </c>
      <c r="W342" s="404">
        <f t="shared" si="136"/>
        <v>9.9619562811549969</v>
      </c>
      <c r="X342" s="157">
        <f t="shared" si="137"/>
        <v>45619</v>
      </c>
      <c r="Y342" s="387">
        <f t="shared" si="138"/>
        <v>9.4118977290215096</v>
      </c>
      <c r="Z342" s="387">
        <f t="shared" si="139"/>
        <v>9.9307819190608235</v>
      </c>
      <c r="AA342" s="388">
        <f t="shared" si="140"/>
        <v>11.359718520538374</v>
      </c>
      <c r="AB342" s="199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0.12578978949998029</v>
      </c>
      <c r="AD342" s="233">
        <f>(INDEX(Models!$BJ342:$BT342,,AH342)*(1-AF342)+INDEX(Models!$BJ342:$BT342,,AH342+1)*AF342-ERP_i)*AE342*Ramure*Pc/MaxiM</f>
        <v>0.17363562560816642</v>
      </c>
      <c r="AE342" s="307">
        <f t="shared" si="142"/>
        <v>1</v>
      </c>
      <c r="AF342" s="179">
        <f t="shared" si="143"/>
        <v>9.9274653633534271E-2</v>
      </c>
      <c r="AG342" s="837">
        <f t="shared" si="149"/>
        <v>2</v>
      </c>
      <c r="AH342" s="178">
        <f t="shared" si="144"/>
        <v>8</v>
      </c>
      <c r="AI342" s="227">
        <f t="shared" si="145"/>
        <v>2.0992746536335343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45620</v>
      </c>
      <c r="B343" s="1139">
        <f>IF(t&gt;Tmaj,'2023'!Wh/'2023'!Env_an*'2024'!Env_an,0.001*'[13]mon-tableau (3)'!$B$226)</f>
        <v>4.0754302579762491</v>
      </c>
      <c r="C343" s="866"/>
      <c r="D343" s="395">
        <f t="shared" si="127"/>
        <v>4.300211514502144</v>
      </c>
      <c r="E343" s="387">
        <f t="shared" si="125"/>
        <v>4.6479836182202261</v>
      </c>
      <c r="F343" s="387">
        <f t="shared" si="128"/>
        <v>4.6479836182202261</v>
      </c>
      <c r="G343" s="110">
        <f t="shared" si="126"/>
        <v>0.22161352869288709</v>
      </c>
      <c r="H343" s="414" t="b">
        <f>Wh_hp&gt;='2023'!Maxi_hp</f>
        <v>0</v>
      </c>
      <c r="I343" s="392">
        <f>IF(H343,Wh_hp,'2023'!Maxi_hp)</f>
        <v>18.507554622634164</v>
      </c>
      <c r="J343" s="85">
        <f>IF(H343,An,'2023'!An_max)</f>
        <v>2020</v>
      </c>
      <c r="K343" s="199">
        <f t="shared" si="129"/>
        <v>45620</v>
      </c>
      <c r="L343" s="147">
        <f>IF(t&lt;Tvie,1-EXP((T0-t)*PertePVj)+'2023'!Pspv,1-EXP((T0-t)*PertePVj)+Pspv)</f>
        <v>5.2272139583794064E-2</v>
      </c>
      <c r="M343" s="870"/>
      <c r="N343" s="870"/>
      <c r="O343" s="48">
        <f>IF(t&lt;Tnet,'2023'!Resal+('2023'!Salim-'2023'!Resal)*(1-EXP(('2023'!Tnet-t)/('2023'!Tau_j))),Resal+(Salim-Resal)*(1-EXP((Tnet-t)/(Tau_j))))*Salcycl</f>
        <v>7.4822144887689818E-2</v>
      </c>
      <c r="P343" s="171">
        <f>(INDEX(Models!$BJ343:$BT343,,T343)*(1-R343)+INDEX(Models!$BJ343:$BT343,,T343+1)*R343-ERP_i)*Q343*Ramure*Pc/MaxiM</f>
        <v>0.17669369096062701</v>
      </c>
      <c r="Q343" s="307">
        <f t="shared" si="130"/>
        <v>1</v>
      </c>
      <c r="R343" s="179">
        <f t="shared" si="131"/>
        <v>9.9304117685490745E-2</v>
      </c>
      <c r="S343" s="837">
        <f t="shared" si="132"/>
        <v>2</v>
      </c>
      <c r="T343" s="178">
        <f t="shared" si="133"/>
        <v>8</v>
      </c>
      <c r="U343" s="253">
        <f t="shared" si="134"/>
        <v>2.0993041176854907</v>
      </c>
      <c r="V343" s="385">
        <f t="shared" si="135"/>
        <v>15.14044500456302</v>
      </c>
      <c r="W343" s="404">
        <f t="shared" si="136"/>
        <v>4.0754302579762491</v>
      </c>
      <c r="X343" s="157">
        <f t="shared" si="137"/>
        <v>45620</v>
      </c>
      <c r="Y343" s="387">
        <f t="shared" si="138"/>
        <v>3.8510117353657192</v>
      </c>
      <c r="Z343" s="387">
        <f t="shared" si="139"/>
        <v>4.0634151386817958</v>
      </c>
      <c r="AA343" s="388">
        <f t="shared" si="140"/>
        <v>4.6479836182202261</v>
      </c>
      <c r="AB343" s="199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0.12576818843485274</v>
      </c>
      <c r="AD343" s="233">
        <f>(INDEX(Models!$BJ343:$BT343,,AH343)*(1-AF343)+INDEX(Models!$BJ343:$BT343,,AH343+1)*AF343-ERP_i)*AE343*Ramure*Pc/MaxiM</f>
        <v>0.17669369096062701</v>
      </c>
      <c r="AE343" s="307">
        <f t="shared" si="142"/>
        <v>1</v>
      </c>
      <c r="AF343" s="179">
        <f t="shared" si="143"/>
        <v>9.9304117685490745E-2</v>
      </c>
      <c r="AG343" s="837">
        <f t="shared" si="149"/>
        <v>2</v>
      </c>
      <c r="AH343" s="178">
        <f t="shared" si="144"/>
        <v>8</v>
      </c>
      <c r="AI343" s="227">
        <f t="shared" si="145"/>
        <v>2.0993041176854907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45621</v>
      </c>
      <c r="B344" s="1139">
        <f>IF(t&gt;Tmaj,'2023'!Wh/'2023'!Env_an*'2024'!Env_an,0.001*'[13]mon-tableau (3)'!$B$227)</f>
        <v>8.7225482999384027</v>
      </c>
      <c r="C344" s="866"/>
      <c r="D344" s="395">
        <f t="shared" si="127"/>
        <v>9.2038565662439922</v>
      </c>
      <c r="E344" s="387">
        <f t="shared" si="125"/>
        <v>9.949553807417244</v>
      </c>
      <c r="F344" s="387">
        <f t="shared" si="128"/>
        <v>10.73126980754337</v>
      </c>
      <c r="G344" s="110">
        <f t="shared" si="126"/>
        <v>0.51633851090783245</v>
      </c>
      <c r="H344" s="414" t="b">
        <f>Wh_hp&gt;='2023'!Maxi_hp</f>
        <v>0</v>
      </c>
      <c r="I344" s="392">
        <f>IF(H344,Wh_hp,'2023'!Maxi_hp)</f>
        <v>20.367586395989942</v>
      </c>
      <c r="J344" s="85">
        <f>IF(H344,An,'2023'!An_max)</f>
        <v>2020</v>
      </c>
      <c r="K344" s="199">
        <f t="shared" si="129"/>
        <v>45621</v>
      </c>
      <c r="L344" s="147">
        <f>IF(t&lt;Tvie,1-EXP((T0-t)*PertePVj)+'2023'!Pspv,1-EXP((T0-t)*PertePVj)+Pspv)</f>
        <v>5.2294194595647214E-2</v>
      </c>
      <c r="M344" s="870"/>
      <c r="N344" s="870"/>
      <c r="O344" s="48">
        <f>IF(t&lt;Tnet,'2023'!Resal+('2023'!Salim-'2023'!Resal)*(1-EXP(('2023'!Tnet-t)/('2023'!Tau_j))),Resal+(Salim-Resal)*(1-EXP((Tnet-t)/(Tau_j))))*Salcycl</f>
        <v>7.4947807269241051E-2</v>
      </c>
      <c r="P344" s="171">
        <f>(INDEX(Models!$BJ344:$BT344,,T344)*(1-R344)+INDEX(Models!$BJ344:$BT344,,T344+1)*R344-ERP_i)*Q344*Ramure*Pc/MaxiM</f>
        <v>0.17976949994056976</v>
      </c>
      <c r="Q344" s="307">
        <f t="shared" si="130"/>
        <v>1</v>
      </c>
      <c r="R344" s="179">
        <f t="shared" si="131"/>
        <v>9.933239776024827E-2</v>
      </c>
      <c r="S344" s="837">
        <f t="shared" si="132"/>
        <v>2</v>
      </c>
      <c r="T344" s="178">
        <f t="shared" si="133"/>
        <v>8</v>
      </c>
      <c r="U344" s="253">
        <f t="shared" si="134"/>
        <v>2.0993323977602483</v>
      </c>
      <c r="V344" s="385">
        <f t="shared" si="135"/>
        <v>14.944875054184545</v>
      </c>
      <c r="W344" s="404">
        <f t="shared" si="136"/>
        <v>8.7225482999384027</v>
      </c>
      <c r="X344" s="157">
        <f t="shared" si="137"/>
        <v>45621</v>
      </c>
      <c r="Y344" s="387">
        <f t="shared" si="138"/>
        <v>8.2435151918000571</v>
      </c>
      <c r="Z344" s="387">
        <f t="shared" si="139"/>
        <v>8.6983905182292709</v>
      </c>
      <c r="AA344" s="388">
        <f t="shared" si="140"/>
        <v>9.949553807417244</v>
      </c>
      <c r="AB344" s="199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0.12575069328789884</v>
      </c>
      <c r="AD344" s="233">
        <f>(INDEX(Models!$BJ344:$BT344,,AH344)*(1-AF344)+INDEX(Models!$BJ344:$BT344,,AH344+1)*AF344-ERP_i)*AE344*Ramure*Pc/MaxiM</f>
        <v>0.17976949994056976</v>
      </c>
      <c r="AE344" s="307">
        <f t="shared" si="142"/>
        <v>1</v>
      </c>
      <c r="AF344" s="179">
        <f t="shared" si="143"/>
        <v>9.933239776024827E-2</v>
      </c>
      <c r="AG344" s="837">
        <f t="shared" si="149"/>
        <v>2</v>
      </c>
      <c r="AH344" s="178">
        <f t="shared" si="144"/>
        <v>8</v>
      </c>
      <c r="AI344" s="227">
        <f t="shared" si="145"/>
        <v>2.0993323977602483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45622</v>
      </c>
      <c r="B345" s="1139">
        <f>IF(t&gt;Tmaj,'2023'!Wh/'2023'!Env_an*'2024'!Env_an,0.001*'[13]mon-tableau (3)'!$B$228)</f>
        <v>10.319520370773347</v>
      </c>
      <c r="C345" s="866"/>
      <c r="D345" s="395">
        <f t="shared" si="127"/>
        <v>10.889202606787793</v>
      </c>
      <c r="E345" s="387">
        <f t="shared" si="125"/>
        <v>11.773071130677749</v>
      </c>
      <c r="F345" s="387">
        <f t="shared" si="128"/>
        <v>13.145323374130109</v>
      </c>
      <c r="G345" s="110">
        <f t="shared" si="126"/>
        <v>0.63827016805394543</v>
      </c>
      <c r="H345" s="414" t="b">
        <f>Wh_hp&gt;='2023'!Maxi_hp</f>
        <v>0</v>
      </c>
      <c r="I345" s="392">
        <f>IF(H345,Wh_hp,'2023'!Maxi_hp)</f>
        <v>18.723509974078482</v>
      </c>
      <c r="J345" s="85">
        <f>IF(H345,An,'2023'!An_max)</f>
        <v>2018</v>
      </c>
      <c r="K345" s="199">
        <f t="shared" si="129"/>
        <v>45622</v>
      </c>
      <c r="L345" s="147">
        <f>IF(t&lt;Tvie,1-EXP((T0-t)*PertePVj)+'2023'!Pspv,1-EXP((T0-t)*PertePVj)+Pspv)</f>
        <v>5.2316249094248035E-2</v>
      </c>
      <c r="M345" s="870"/>
      <c r="N345" s="870"/>
      <c r="O345" s="48">
        <f>IF(t&lt;Tnet,'2023'!Resal+('2023'!Salim-'2023'!Resal)*(1-EXP(('2023'!Tnet-t)/('2023'!Tau_j))),Resal+(Salim-Resal)*(1-EXP((Tnet-t)/(Tau_j))))*Salcycl</f>
        <v>7.5075442429529793E-2</v>
      </c>
      <c r="P345" s="171">
        <f>(INDEX(Models!$BJ345:$BT345,,T345)*(1-R345)+INDEX(Models!$BJ345:$BT345,,T345+1)*R345-ERP_i)*Q345*Ramure*Pc/MaxiM</f>
        <v>0.18287730257427168</v>
      </c>
      <c r="Q345" s="307">
        <f t="shared" si="130"/>
        <v>1</v>
      </c>
      <c r="R345" s="179">
        <f t="shared" si="131"/>
        <v>9.9359541344492985E-2</v>
      </c>
      <c r="S345" s="837">
        <f t="shared" si="132"/>
        <v>2</v>
      </c>
      <c r="T345" s="178">
        <f t="shared" si="133"/>
        <v>8</v>
      </c>
      <c r="U345" s="253">
        <f t="shared" si="134"/>
        <v>2.099359541344493</v>
      </c>
      <c r="V345" s="385">
        <f t="shared" si="135"/>
        <v>14.751077562327117</v>
      </c>
      <c r="W345" s="404">
        <f t="shared" si="136"/>
        <v>10.319520370773347</v>
      </c>
      <c r="X345" s="157">
        <f t="shared" si="137"/>
        <v>45622</v>
      </c>
      <c r="Y345" s="387">
        <f t="shared" si="138"/>
        <v>9.7542779905472408</v>
      </c>
      <c r="Z345" s="387">
        <f t="shared" si="139"/>
        <v>10.292756398138678</v>
      </c>
      <c r="AA345" s="388">
        <f t="shared" si="140"/>
        <v>11.773071130677749</v>
      </c>
      <c r="AB345" s="199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0.12573734721450319</v>
      </c>
      <c r="AD345" s="233">
        <f>(INDEX(Models!$BJ345:$BT345,,AH345)*(1-AF345)+INDEX(Models!$BJ345:$BT345,,AH345+1)*AF345-ERP_i)*AE345*Ramure*Pc/MaxiM</f>
        <v>0.18287730257427168</v>
      </c>
      <c r="AE345" s="307">
        <f t="shared" si="142"/>
        <v>1</v>
      </c>
      <c r="AF345" s="179">
        <f t="shared" si="143"/>
        <v>9.9359541344492985E-2</v>
      </c>
      <c r="AG345" s="837">
        <f t="shared" si="149"/>
        <v>2</v>
      </c>
      <c r="AH345" s="178">
        <f t="shared" si="144"/>
        <v>8</v>
      </c>
      <c r="AI345" s="227">
        <f t="shared" si="145"/>
        <v>2.099359541344493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45623</v>
      </c>
      <c r="B346" s="1139">
        <f>IF(t&gt;Tmaj,'2023'!Wh/'2023'!Env_an*'2024'!Env_an,0.001*'[13]mon-tableau (3)'!$B$229)</f>
        <v>8.1113190043654431</v>
      </c>
      <c r="C346" s="866"/>
      <c r="D346" s="395">
        <f t="shared" si="127"/>
        <v>8.5592981448176388</v>
      </c>
      <c r="E346" s="387">
        <f t="shared" si="125"/>
        <v>9.2553473016926606</v>
      </c>
      <c r="F346" s="387">
        <f t="shared" si="128"/>
        <v>9.9340341701967532</v>
      </c>
      <c r="G346" s="110">
        <f t="shared" si="126"/>
        <v>0.48676953799132061</v>
      </c>
      <c r="H346" s="414" t="b">
        <f>Wh_hp&gt;='2023'!Maxi_hp</f>
        <v>0</v>
      </c>
      <c r="I346" s="392">
        <f>IF(H346,Wh_hp,'2023'!Maxi_hp)</f>
        <v>15.043607934783193</v>
      </c>
      <c r="J346" s="85">
        <f>IF(H346,An,'2023'!An_max)</f>
        <v>2018</v>
      </c>
      <c r="K346" s="199">
        <f t="shared" si="129"/>
        <v>45623</v>
      </c>
      <c r="L346" s="147">
        <f>IF(t&lt;Tvie,1-EXP((T0-t)*PertePVj)+'2023'!Pspv,1-EXP((T0-t)*PertePVj)+Pspv)</f>
        <v>5.2338303079608517E-2</v>
      </c>
      <c r="M346" s="870"/>
      <c r="N346" s="870"/>
      <c r="O346" s="48">
        <f>IF(t&lt;Tnet,'2023'!Resal+('2023'!Salim-'2023'!Resal)*(1-EXP(('2023'!Tnet-t)/('2023'!Tau_j))),Resal+(Salim-Resal)*(1-EXP((Tnet-t)/(Tau_j))))*Salcycl</f>
        <v>7.520508244436426E-2</v>
      </c>
      <c r="P346" s="171">
        <f>(INDEX(Models!$BJ346:$BT346,,T346)*(1-R346)+INDEX(Models!$BJ346:$BT346,,T346+1)*R346-ERP_i)*Q346*Ramure*Pc/MaxiM</f>
        <v>0.18598726163455925</v>
      </c>
      <c r="Q346" s="307">
        <f t="shared" si="130"/>
        <v>1</v>
      </c>
      <c r="R346" s="179">
        <f t="shared" si="131"/>
        <v>9.9385594027421753E-2</v>
      </c>
      <c r="S346" s="837">
        <f t="shared" si="132"/>
        <v>2</v>
      </c>
      <c r="T346" s="178">
        <f t="shared" si="133"/>
        <v>8</v>
      </c>
      <c r="U346" s="253">
        <f t="shared" si="134"/>
        <v>2.0993855940274218</v>
      </c>
      <c r="V346" s="385">
        <f t="shared" si="135"/>
        <v>14.559022597760599</v>
      </c>
      <c r="W346" s="404">
        <f t="shared" si="136"/>
        <v>8.1113190043654431</v>
      </c>
      <c r="X346" s="157">
        <f t="shared" si="137"/>
        <v>45623</v>
      </c>
      <c r="Y346" s="387">
        <f t="shared" si="138"/>
        <v>7.6681840630363034</v>
      </c>
      <c r="Z346" s="387">
        <f t="shared" si="139"/>
        <v>8.0916893528096985</v>
      </c>
      <c r="AA346" s="388">
        <f t="shared" si="140"/>
        <v>9.2553473016926606</v>
      </c>
      <c r="AB346" s="199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0.12572817755527627</v>
      </c>
      <c r="AD346" s="233">
        <f>(INDEX(Models!$BJ346:$BT346,,AH346)*(1-AF346)+INDEX(Models!$BJ346:$BT346,,AH346+1)*AF346-ERP_i)*AE346*Ramure*Pc/MaxiM</f>
        <v>0.18598726163455925</v>
      </c>
      <c r="AE346" s="307">
        <f t="shared" si="142"/>
        <v>1</v>
      </c>
      <c r="AF346" s="179">
        <f t="shared" si="143"/>
        <v>9.9385594027421753E-2</v>
      </c>
      <c r="AG346" s="837">
        <f t="shared" si="149"/>
        <v>2</v>
      </c>
      <c r="AH346" s="178">
        <f t="shared" si="144"/>
        <v>8</v>
      </c>
      <c r="AI346" s="227">
        <f t="shared" si="145"/>
        <v>2.0993855940274218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45624</v>
      </c>
      <c r="B347" s="1139">
        <f>IF(t&gt;Tmaj,'2023'!Wh/'2023'!Env_an*'2024'!Env_an,0.001*'[13]mon-tableau (3)'!$B$230)</f>
        <v>9.1531042769221802</v>
      </c>
      <c r="C347" s="866"/>
      <c r="D347" s="395">
        <f t="shared" si="127"/>
        <v>9.6588448364359021</v>
      </c>
      <c r="E347" s="387">
        <f t="shared" si="125"/>
        <v>10.44579725305409</v>
      </c>
      <c r="F347" s="387">
        <f t="shared" si="128"/>
        <v>11.491956268988069</v>
      </c>
      <c r="G347" s="110">
        <f t="shared" si="126"/>
        <v>0.56826250352705021</v>
      </c>
      <c r="H347" s="414" t="b">
        <f>Wh_hp&gt;='2023'!Maxi_hp</f>
        <v>0</v>
      </c>
      <c r="I347" s="392">
        <f>IF(H347,Wh_hp,'2023'!Maxi_hp)</f>
        <v>19.948122922418964</v>
      </c>
      <c r="J347" s="85">
        <f>IF(H347,An,'2023'!An_max)</f>
        <v>2018</v>
      </c>
      <c r="K347" s="199">
        <f t="shared" si="129"/>
        <v>45624</v>
      </c>
      <c r="L347" s="147">
        <f>IF(t&lt;Tvie,1-EXP((T0-t)*PertePVj)+'2023'!Pspv,1-EXP((T0-t)*PertePVj)+Pspv)</f>
        <v>5.2360356551740539E-2</v>
      </c>
      <c r="M347" s="870"/>
      <c r="N347" s="870"/>
      <c r="O347" s="48">
        <f>IF(t&lt;Tnet,'2023'!Resal+('2023'!Salim-'2023'!Resal)*(1-EXP(('2023'!Tnet-t)/('2023'!Tau_j))),Resal+(Salim-Resal)*(1-EXP((Tnet-t)/(Tau_j))))*Salcycl</f>
        <v>7.5336750039649028E-2</v>
      </c>
      <c r="P347" s="171">
        <f>(INDEX(Models!$BJ347:$BT347,,T347)*(1-R347)+INDEX(Models!$BJ347:$BT347,,T347+1)*R347-ERP_i)*Q347*Ramure*Pc/MaxiM</f>
        <v>0.18909983332061442</v>
      </c>
      <c r="Q347" s="307">
        <f t="shared" si="130"/>
        <v>1</v>
      </c>
      <c r="R347" s="179">
        <f t="shared" si="131"/>
        <v>9.9410599576002401E-2</v>
      </c>
      <c r="S347" s="837">
        <f t="shared" si="132"/>
        <v>2</v>
      </c>
      <c r="T347" s="178">
        <f t="shared" si="133"/>
        <v>8</v>
      </c>
      <c r="U347" s="253">
        <f t="shared" si="134"/>
        <v>2.0994105995760024</v>
      </c>
      <c r="V347" s="385">
        <f t="shared" si="135"/>
        <v>14.369417787231155</v>
      </c>
      <c r="W347" s="404">
        <f t="shared" si="136"/>
        <v>9.1531042769221802</v>
      </c>
      <c r="X347" s="157">
        <f t="shared" si="137"/>
        <v>45624</v>
      </c>
      <c r="Y347" s="387">
        <f t="shared" si="138"/>
        <v>8.6543363262112614</v>
      </c>
      <c r="Z347" s="387">
        <f t="shared" si="139"/>
        <v>9.132518237333306</v>
      </c>
      <c r="AA347" s="388">
        <f t="shared" si="140"/>
        <v>10.44579725305409</v>
      </c>
      <c r="AB347" s="199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0.12572319602860516</v>
      </c>
      <c r="AD347" s="233">
        <f>(INDEX(Models!$BJ347:$BT347,,AH347)*(1-AF347)+INDEX(Models!$BJ347:$BT347,,AH347+1)*AF347-ERP_i)*AE347*Ramure*Pc/MaxiM</f>
        <v>0.18909983332061442</v>
      </c>
      <c r="AE347" s="307">
        <f t="shared" si="142"/>
        <v>1</v>
      </c>
      <c r="AF347" s="179">
        <f t="shared" si="143"/>
        <v>9.9410599576002401E-2</v>
      </c>
      <c r="AG347" s="837">
        <f t="shared" si="149"/>
        <v>2</v>
      </c>
      <c r="AH347" s="178">
        <f t="shared" si="144"/>
        <v>8</v>
      </c>
      <c r="AI347" s="227">
        <f t="shared" si="145"/>
        <v>2.0994105995760024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45625</v>
      </c>
      <c r="B348" s="1139">
        <f>IF(t&gt;Tmaj,'2023'!Wh/'2023'!Env_an*'2024'!Env_an,0.001*'[13]mon-tableau (3)'!$B$231)</f>
        <v>3.7061481068234445</v>
      </c>
      <c r="C348" s="866"/>
      <c r="D348" s="395">
        <f t="shared" si="127"/>
        <v>3.9110165788602678</v>
      </c>
      <c r="E348" s="387">
        <f t="shared" si="125"/>
        <v>4.230277567199348</v>
      </c>
      <c r="F348" s="387">
        <f t="shared" si="128"/>
        <v>4.230277567199348</v>
      </c>
      <c r="G348" s="110">
        <f t="shared" si="126"/>
        <v>0.21108211390258791</v>
      </c>
      <c r="H348" s="414" t="b">
        <f>Wh_hp&gt;='2023'!Maxi_hp</f>
        <v>0</v>
      </c>
      <c r="I348" s="392">
        <f>IF(H348,Wh_hp,'2023'!Maxi_hp)</f>
        <v>19.841900082377851</v>
      </c>
      <c r="J348" s="85">
        <f>IF(H348,An,'2023'!An_max)</f>
        <v>2021</v>
      </c>
      <c r="K348" s="199">
        <f t="shared" si="129"/>
        <v>45625</v>
      </c>
      <c r="L348" s="147">
        <f>IF(t&lt;Tvie,1-EXP((T0-t)*PertePVj)+'2023'!Pspv,1-EXP((T0-t)*PertePVj)+Pspv)</f>
        <v>5.2382409510655981E-2</v>
      </c>
      <c r="M348" s="870"/>
      <c r="N348" s="870"/>
      <c r="O348" s="48">
        <f>IF(t&lt;Tnet,'2023'!Resal+('2023'!Salim-'2023'!Resal)*(1-EXP(('2023'!Tnet-t)/('2023'!Tau_j))),Resal+(Salim-Resal)*(1-EXP((Tnet-t)/(Tau_j))))*Salcycl</f>
        <v>7.5470458679723573E-2</v>
      </c>
      <c r="P348" s="171">
        <f>(INDEX(Models!$BJ348:$BT348,,T348)*(1-R348)+INDEX(Models!$BJ348:$BT348,,T348+1)*R348-ERP_i)*Q348*Ramure*Pc/MaxiM</f>
        <v>0.19220469544369695</v>
      </c>
      <c r="Q348" s="307">
        <f t="shared" si="130"/>
        <v>1</v>
      </c>
      <c r="R348" s="179">
        <f t="shared" si="131"/>
        <v>9.9434600007294982E-2</v>
      </c>
      <c r="S348" s="837">
        <f t="shared" si="132"/>
        <v>2</v>
      </c>
      <c r="T348" s="178">
        <f t="shared" si="133"/>
        <v>8</v>
      </c>
      <c r="U348" s="253">
        <f t="shared" si="134"/>
        <v>2.099434600007295</v>
      </c>
      <c r="V348" s="385">
        <f t="shared" si="135"/>
        <v>14.183148838768124</v>
      </c>
      <c r="W348" s="404">
        <f t="shared" si="136"/>
        <v>3.7061481068234445</v>
      </c>
      <c r="X348" s="157">
        <f t="shared" si="137"/>
        <v>45625</v>
      </c>
      <c r="Y348" s="387">
        <f t="shared" si="138"/>
        <v>3.5047038854962498</v>
      </c>
      <c r="Z348" s="387">
        <f t="shared" si="139"/>
        <v>3.6984369229431904</v>
      </c>
      <c r="AA348" s="388">
        <f t="shared" si="140"/>
        <v>4.230277567199348</v>
      </c>
      <c r="AB348" s="199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0.12572239901701354</v>
      </c>
      <c r="AD348" s="233">
        <f>(INDEX(Models!$BJ348:$BT348,,AH348)*(1-AF348)+INDEX(Models!$BJ348:$BT348,,AH348+1)*AF348-ERP_i)*AE348*Ramure*Pc/MaxiM</f>
        <v>0.19220469544369695</v>
      </c>
      <c r="AE348" s="307">
        <f t="shared" si="142"/>
        <v>1</v>
      </c>
      <c r="AF348" s="179">
        <f t="shared" si="143"/>
        <v>9.9434600007294982E-2</v>
      </c>
      <c r="AG348" s="837">
        <f t="shared" si="149"/>
        <v>2</v>
      </c>
      <c r="AH348" s="178">
        <f t="shared" si="144"/>
        <v>8</v>
      </c>
      <c r="AI348" s="227">
        <f t="shared" si="145"/>
        <v>2.099434600007295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45626</v>
      </c>
      <c r="B349" s="1139">
        <f>IF(t&gt;Tmaj,'2023'!Wh/'2023'!Env_an*'2024'!Env_an,0.001*'[14]mon-tableau (2)'!$B$208)</f>
        <v>3.1981812752928822</v>
      </c>
      <c r="C349" s="866"/>
      <c r="D349" s="395">
        <f t="shared" si="127"/>
        <v>3.375048896806454</v>
      </c>
      <c r="E349" s="387">
        <f t="shared" si="125"/>
        <v>3.6510943098308215</v>
      </c>
      <c r="F349" s="387">
        <f t="shared" si="128"/>
        <v>3.6510943098308215</v>
      </c>
      <c r="G349" s="110">
        <f t="shared" si="126"/>
        <v>0.18381460215466849</v>
      </c>
      <c r="H349" s="414" t="b">
        <f>Wh_hp&gt;='2023'!Maxi_hp</f>
        <v>0</v>
      </c>
      <c r="I349" s="392">
        <f>IF(H349,Wh_hp,'2023'!Maxi_hp)</f>
        <v>18.774902602934571</v>
      </c>
      <c r="J349" s="85">
        <f>IF(H349,An,'2023'!An_max)</f>
        <v>2020</v>
      </c>
      <c r="K349" s="199">
        <f t="shared" si="129"/>
        <v>45626</v>
      </c>
      <c r="L349" s="147">
        <f>IF(t&lt;Tvie,1-EXP((T0-t)*PertePVj)+'2023'!Pspv,1-EXP((T0-t)*PertePVj)+Pspv)</f>
        <v>5.2404461956366832E-2</v>
      </c>
      <c r="M349" s="870"/>
      <c r="N349" s="870"/>
      <c r="O349" s="48">
        <f>IF(t&lt;Tnet,'2023'!Resal+('2023'!Salim-'2023'!Resal)*(1-EXP(('2023'!Tnet-t)/('2023'!Tau_j))),Resal+(Salim-Resal)*(1-EXP((Tnet-t)/(Tau_j))))*Salcycl</f>
        <v>7.5606212713020329E-2</v>
      </c>
      <c r="P349" s="171">
        <f>(INDEX(Models!$BJ349:$BT349,,T349)*(1-R349)+INDEX(Models!$BJ349:$BT349,,T349+1)*R349-ERP_i)*Q349*Ramure*Pc/MaxiM</f>
        <v>0.19529053041506109</v>
      </c>
      <c r="Q349" s="307">
        <f t="shared" si="130"/>
        <v>1</v>
      </c>
      <c r="R349" s="179">
        <f t="shared" si="131"/>
        <v>9.9457635657941079E-2</v>
      </c>
      <c r="S349" s="837">
        <f t="shared" si="132"/>
        <v>2</v>
      </c>
      <c r="T349" s="178">
        <f t="shared" si="133"/>
        <v>8</v>
      </c>
      <c r="U349" s="253">
        <f t="shared" si="134"/>
        <v>2.0994576356579411</v>
      </c>
      <c r="V349" s="385">
        <f t="shared" si="135"/>
        <v>14.001100715121044</v>
      </c>
      <c r="W349" s="404">
        <f t="shared" si="136"/>
        <v>3.1981812752928822</v>
      </c>
      <c r="X349" s="157">
        <f t="shared" si="137"/>
        <v>45626</v>
      </c>
      <c r="Y349" s="387">
        <f t="shared" si="138"/>
        <v>3.0247796089561008</v>
      </c>
      <c r="Z349" s="387">
        <f t="shared" si="139"/>
        <v>3.1920576738899982</v>
      </c>
      <c r="AA349" s="388">
        <f t="shared" si="140"/>
        <v>3.6510943098308215</v>
      </c>
      <c r="AB349" s="199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0.12572576794437651</v>
      </c>
      <c r="AD349" s="233">
        <f>(INDEX(Models!$BJ349:$BT349,,AH349)*(1-AF349)+INDEX(Models!$BJ349:$BT349,,AH349+1)*AF349-ERP_i)*AE349*Ramure*Pc/MaxiM</f>
        <v>0.19529053041506109</v>
      </c>
      <c r="AE349" s="307">
        <f t="shared" si="142"/>
        <v>1</v>
      </c>
      <c r="AF349" s="179">
        <f t="shared" si="143"/>
        <v>9.9457635657941079E-2</v>
      </c>
      <c r="AG349" s="837">
        <f t="shared" si="149"/>
        <v>2</v>
      </c>
      <c r="AH349" s="178">
        <f t="shared" si="144"/>
        <v>8</v>
      </c>
      <c r="AI349" s="227">
        <f t="shared" si="145"/>
        <v>2.0994576356579411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45627</v>
      </c>
      <c r="B350" s="1139">
        <f>IF(t&gt;Tmaj,'2023'!Wh/'2023'!Env_an*'2024'!Env_an,0.001*'[14]mon-tableau (2)'!$B$209)</f>
        <v>4.4020647941224684</v>
      </c>
      <c r="C350" s="866"/>
      <c r="D350" s="395">
        <f t="shared" si="127"/>
        <v>4.6456183701263578</v>
      </c>
      <c r="E350" s="387">
        <f t="shared" si="125"/>
        <v>5.0263329728919288</v>
      </c>
      <c r="F350" s="387">
        <f t="shared" si="128"/>
        <v>5.0527229679674353</v>
      </c>
      <c r="G350" s="110">
        <f t="shared" si="126"/>
        <v>0.25661349296456859</v>
      </c>
      <c r="H350" s="414" t="b">
        <f>Wh_hp&gt;='2023'!Maxi_hp</f>
        <v>0</v>
      </c>
      <c r="I350" s="392">
        <f>IF(H350,Wh_hp,'2023'!Maxi_hp)</f>
        <v>8.2901078959824659</v>
      </c>
      <c r="J350" s="85">
        <f>IF(H350,An,'2023'!An_max)</f>
        <v>2021</v>
      </c>
      <c r="K350" s="199">
        <f t="shared" si="129"/>
        <v>45627</v>
      </c>
      <c r="L350" s="147">
        <f>IF(t&lt;Tvie,1-EXP((T0-t)*PertePVj)+'2023'!Pspv,1-EXP((T0-t)*PertePVj)+Pspv)</f>
        <v>5.2426513888885085E-2</v>
      </c>
      <c r="M350" s="870"/>
      <c r="N350" s="870"/>
      <c r="O350" s="48">
        <f>IF(t&lt;Tnet,'2023'!Resal+('2023'!Salim-'2023'!Resal)*(1-EXP(('2023'!Tnet-t)/('2023'!Tau_j))),Resal+(Salim-Resal)*(1-EXP((Tnet-t)/(Tau_j))))*Salcycl</f>
        <v>7.5744007573482597E-2</v>
      </c>
      <c r="P350" s="171">
        <f>(INDEX(Models!$BJ350:$BT350,,T350)*(1-R350)+INDEX(Models!$BJ350:$BT350,,T350+1)*R350-ERP_i)*Q350*Ramure*Pc/MaxiM</f>
        <v>0.19834500617348724</v>
      </c>
      <c r="Q350" s="307">
        <f t="shared" si="130"/>
        <v>1</v>
      </c>
      <c r="R350" s="179">
        <f t="shared" si="131"/>
        <v>9.9479745250931728E-2</v>
      </c>
      <c r="S350" s="837">
        <f t="shared" si="132"/>
        <v>2</v>
      </c>
      <c r="T350" s="178">
        <f t="shared" si="133"/>
        <v>8</v>
      </c>
      <c r="U350" s="253">
        <f t="shared" si="134"/>
        <v>2.0994797452509317</v>
      </c>
      <c r="V350" s="385">
        <f t="shared" si="135"/>
        <v>13.824157612816622</v>
      </c>
      <c r="W350" s="404">
        <f t="shared" si="136"/>
        <v>4.4020647941224684</v>
      </c>
      <c r="X350" s="157">
        <f t="shared" si="137"/>
        <v>45627</v>
      </c>
      <c r="Y350" s="387">
        <f t="shared" si="138"/>
        <v>4.1639749436134963</v>
      </c>
      <c r="Z350" s="387">
        <f t="shared" si="139"/>
        <v>4.3943556934065775</v>
      </c>
      <c r="AA350" s="388">
        <f t="shared" si="140"/>
        <v>5.0263329728919288</v>
      </c>
      <c r="AB350" s="199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0.12573326974033319</v>
      </c>
      <c r="AD350" s="233">
        <f>(INDEX(Models!$BJ350:$BT350,,AH350)*(1-AF350)+INDEX(Models!$BJ350:$BT350,,AH350+1)*AF350-ERP_i)*AE350*Ramure*Pc/MaxiM</f>
        <v>0.19834500617348724</v>
      </c>
      <c r="AE350" s="307">
        <f t="shared" si="142"/>
        <v>1</v>
      </c>
      <c r="AF350" s="179">
        <f t="shared" si="143"/>
        <v>9.9479745250931728E-2</v>
      </c>
      <c r="AG350" s="837">
        <f t="shared" si="149"/>
        <v>2</v>
      </c>
      <c r="AH350" s="178">
        <f t="shared" si="144"/>
        <v>8</v>
      </c>
      <c r="AI350" s="227">
        <f t="shared" si="145"/>
        <v>2.0994797452509317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45628</v>
      </c>
      <c r="B351" s="1139">
        <f>IF(t&gt;Tmaj,'2023'!Wh/'2023'!Env_an*'2024'!Env_an,0.001*'[14]mon-tableau (2)'!$B$210)</f>
        <v>6.8948600567269462</v>
      </c>
      <c r="C351" s="866"/>
      <c r="D351" s="395">
        <f t="shared" si="127"/>
        <v>7.2765021552310021</v>
      </c>
      <c r="E351" s="387">
        <f t="shared" si="125"/>
        <v>7.8740123717480168</v>
      </c>
      <c r="F351" s="387">
        <f t="shared" si="128"/>
        <v>8.367422780782972</v>
      </c>
      <c r="G351" s="110">
        <f t="shared" si="126"/>
        <v>0.42858841911685291</v>
      </c>
      <c r="H351" s="414" t="b">
        <f>Wh_hp&gt;='2023'!Maxi_hp</f>
        <v>0</v>
      </c>
      <c r="I351" s="392">
        <f>IF(H351,Wh_hp,'2023'!Maxi_hp)</f>
        <v>13.468073041251417</v>
      </c>
      <c r="J351" s="85">
        <f>IF(H351,An,'2023'!An_max)</f>
        <v>2021</v>
      </c>
      <c r="K351" s="199">
        <f t="shared" si="129"/>
        <v>45628</v>
      </c>
      <c r="L351" s="147">
        <f>IF(t&lt;Tvie,1-EXP((T0-t)*PertePVj)+'2023'!Pspv,1-EXP((T0-t)*PertePVj)+Pspv)</f>
        <v>5.2448565308222617E-2</v>
      </c>
      <c r="M351" s="870"/>
      <c r="N351" s="870"/>
      <c r="O351" s="48">
        <f>IF(t&lt;Tnet,'2023'!Resal+('2023'!Salim-'2023'!Resal)*(1-EXP(('2023'!Tnet-t)/('2023'!Tau_j))),Resal+(Salim-Resal)*(1-EXP((Tnet-t)/(Tau_j))))*Salcycl</f>
        <v>7.5883830035736691E-2</v>
      </c>
      <c r="P351" s="171">
        <f>(INDEX(Models!$BJ351:$BT351,,T351)*(1-R351)+INDEX(Models!$BJ351:$BT351,,T351+1)*R351-ERP_i)*Q351*Ramure*Pc/MaxiM</f>
        <v>0.20135477156113374</v>
      </c>
      <c r="Q351" s="307">
        <f t="shared" si="130"/>
        <v>1</v>
      </c>
      <c r="R351" s="179">
        <f t="shared" si="131"/>
        <v>9.9500965959759213E-2</v>
      </c>
      <c r="S351" s="837">
        <f t="shared" si="132"/>
        <v>2</v>
      </c>
      <c r="T351" s="178">
        <f t="shared" si="133"/>
        <v>8</v>
      </c>
      <c r="U351" s="253">
        <f t="shared" si="134"/>
        <v>2.0995009659597592</v>
      </c>
      <c r="V351" s="385">
        <f t="shared" si="135"/>
        <v>13.653202941351967</v>
      </c>
      <c r="W351" s="404">
        <f t="shared" si="136"/>
        <v>6.8948600567269462</v>
      </c>
      <c r="X351" s="157">
        <f t="shared" si="137"/>
        <v>45628</v>
      </c>
      <c r="Y351" s="387">
        <f t="shared" si="138"/>
        <v>6.5228453500815666</v>
      </c>
      <c r="Z351" s="387">
        <f t="shared" si="139"/>
        <v>6.8838958089946214</v>
      </c>
      <c r="AA351" s="388">
        <f t="shared" si="140"/>
        <v>7.8740123717480177</v>
      </c>
      <c r="AB351" s="199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0.12574485738756749</v>
      </c>
      <c r="AD351" s="233">
        <f>(INDEX(Models!$BJ351:$BT351,,AH351)*(1-AF351)+INDEX(Models!$BJ351:$BT351,,AH351+1)*AF351-ERP_i)*AE351*Ramure*Pc/MaxiM</f>
        <v>0.20135477156113374</v>
      </c>
      <c r="AE351" s="307">
        <f t="shared" si="142"/>
        <v>1</v>
      </c>
      <c r="AF351" s="179">
        <f t="shared" si="143"/>
        <v>9.9500965959759213E-2</v>
      </c>
      <c r="AG351" s="837">
        <f t="shared" si="149"/>
        <v>2</v>
      </c>
      <c r="AH351" s="178">
        <f t="shared" si="144"/>
        <v>8</v>
      </c>
      <c r="AI351" s="227">
        <f t="shared" si="145"/>
        <v>2.0995009659597592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45629</v>
      </c>
      <c r="B352" s="1139">
        <f>IF(t&gt;Tmaj,'2023'!Wh/'2023'!Env_an*'2024'!Env_an,0.001*'[14]mon-tableau (2)'!$B$211)</f>
        <v>11.675259060753877</v>
      </c>
      <c r="C352" s="866"/>
      <c r="D352" s="395">
        <f t="shared" si="127"/>
        <v>12.32179102890551</v>
      </c>
      <c r="E352" s="387">
        <f t="shared" si="125"/>
        <v>13.335641993250533</v>
      </c>
      <c r="F352" s="387">
        <f t="shared" si="128"/>
        <v>15.970742768922527</v>
      </c>
      <c r="G352" s="110">
        <f t="shared" si="126"/>
        <v>0.82478449850077473</v>
      </c>
      <c r="H352" s="414" t="b">
        <f>Wh_hp&gt;='2023'!Maxi_hp</f>
        <v>0</v>
      </c>
      <c r="I352" s="392">
        <f>IF(H352,Wh_hp,'2023'!Maxi_hp)</f>
        <v>16.33460099180688</v>
      </c>
      <c r="J352" s="85">
        <f>IF(H352,An,'2023'!An_max)</f>
        <v>2022</v>
      </c>
      <c r="K352" s="199">
        <f t="shared" si="129"/>
        <v>45629</v>
      </c>
      <c r="L352" s="147">
        <f>IF(t&lt;Tvie,1-EXP((T0-t)*PertePVj)+'2023'!Pspv,1-EXP((T0-t)*PertePVj)+Pspv)</f>
        <v>5.247061621439153E-2</v>
      </c>
      <c r="M352" s="870"/>
      <c r="N352" s="870"/>
      <c r="O352" s="48">
        <f>IF(t&lt;Tnet,'2023'!Resal+('2023'!Salim-'2023'!Resal)*(1-EXP(('2023'!Tnet-t)/('2023'!Tau_j))),Resal+(Salim-Resal)*(1-EXP((Tnet-t)/(Tau_j))))*Salcycl</f>
        <v>7.6025658521588713E-2</v>
      </c>
      <c r="P352" s="171">
        <f>(INDEX(Models!$BJ352:$BT352,,T352)*(1-R352)+INDEX(Models!$BJ352:$BT352,,T352+1)*R352-ERP_i)*Q352*Ramure*Pc/MaxiM</f>
        <v>0.20424917075939017</v>
      </c>
      <c r="Q352" s="307">
        <f t="shared" si="130"/>
        <v>1</v>
      </c>
      <c r="R352" s="179">
        <f t="shared" si="131"/>
        <v>9.9521333470048212E-2</v>
      </c>
      <c r="S352" s="837">
        <f t="shared" si="132"/>
        <v>2</v>
      </c>
      <c r="T352" s="178">
        <f t="shared" si="133"/>
        <v>8</v>
      </c>
      <c r="U352" s="253">
        <f t="shared" si="134"/>
        <v>2.0995213334700482</v>
      </c>
      <c r="V352" s="385">
        <f t="shared" si="135"/>
        <v>13.4900737079482</v>
      </c>
      <c r="W352" s="404">
        <f t="shared" si="136"/>
        <v>11.675259060753877</v>
      </c>
      <c r="X352" s="157">
        <f t="shared" si="137"/>
        <v>45629</v>
      </c>
      <c r="Y352" s="387">
        <f t="shared" si="138"/>
        <v>11.046814320821522</v>
      </c>
      <c r="Z352" s="387">
        <f t="shared" si="139"/>
        <v>11.658545381133019</v>
      </c>
      <c r="AA352" s="388">
        <f t="shared" si="140"/>
        <v>13.335641993250533</v>
      </c>
      <c r="AB352" s="199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0.12576047054699957</v>
      </c>
      <c r="AD352" s="233">
        <f>(INDEX(Models!$BJ352:$BT352,,AH352)*(1-AF352)+INDEX(Models!$BJ352:$BT352,,AH352+1)*AF352-ERP_i)*AE352*Ramure*Pc/MaxiM</f>
        <v>0.20424917075939017</v>
      </c>
      <c r="AE352" s="307">
        <f t="shared" si="142"/>
        <v>1</v>
      </c>
      <c r="AF352" s="179">
        <f t="shared" si="143"/>
        <v>9.9521333470048212E-2</v>
      </c>
      <c r="AG352" s="837">
        <f t="shared" si="149"/>
        <v>2</v>
      </c>
      <c r="AH352" s="178">
        <f t="shared" si="144"/>
        <v>8</v>
      </c>
      <c r="AI352" s="227">
        <f t="shared" si="145"/>
        <v>2.0995213334700482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45630</v>
      </c>
      <c r="B353" s="1139">
        <f>IF(t&gt;Tmaj,'2023'!Wh/'2023'!Env_an*'2024'!Env_an,0.001*'[14]mon-tableau (2)'!$B$212)</f>
        <v>13.661135988775829</v>
      </c>
      <c r="C353" s="866"/>
      <c r="D353" s="395">
        <f t="shared" si="127"/>
        <v>14.41797388507956</v>
      </c>
      <c r="E353" s="387">
        <f t="shared" si="125"/>
        <v>15.606730146635982</v>
      </c>
      <c r="F353" s="387">
        <f t="shared" si="128"/>
        <v>19.680771499615481</v>
      </c>
      <c r="G353" s="110">
        <f t="shared" si="126"/>
        <v>1.0244001947458024</v>
      </c>
      <c r="H353" s="414" t="b">
        <f>Wh_hp&gt;='2023'!Maxi_hp</f>
        <v>1</v>
      </c>
      <c r="I353" s="392">
        <f>IF(H353,Wh_hp,'2023'!Maxi_hp)</f>
        <v>19.680771499615481</v>
      </c>
      <c r="J353" s="85">
        <f>IF(H353,An,'2023'!An_max)</f>
        <v>2024</v>
      </c>
      <c r="K353" s="199">
        <f t="shared" si="129"/>
        <v>45630</v>
      </c>
      <c r="L353" s="147">
        <f>IF(t&lt;Tvie,1-EXP((T0-t)*PertePVj)+'2023'!Pspv,1-EXP((T0-t)*PertePVj)+Pspv)</f>
        <v>5.2492666607403482E-2</v>
      </c>
      <c r="M353" s="870"/>
      <c r="N353" s="870"/>
      <c r="O353" s="48">
        <f>IF(t&lt;Tnet,'2023'!Resal+('2023'!Salim-'2023'!Resal)*(1-EXP(('2023'!Tnet-t)/('2023'!Tau_j))),Resal+(Salim-Resal)*(1-EXP((Tnet-t)/(Tau_j))))*Salcycl</f>
        <v>7.6169463455011938E-2</v>
      </c>
      <c r="P353" s="171">
        <f>(INDEX(Models!$BJ353:$BT353,,T353)*(1-R353)+INDEX(Models!$BJ353:$BT353,,T353+1)*R353-ERP_i)*Q353*Ramure*Pc/MaxiM</f>
        <v>0.207006181290154</v>
      </c>
      <c r="Q353" s="307">
        <f t="shared" si="130"/>
        <v>1</v>
      </c>
      <c r="R353" s="179">
        <f t="shared" si="131"/>
        <v>9.9540882038764877E-2</v>
      </c>
      <c r="S353" s="837">
        <f t="shared" si="132"/>
        <v>2</v>
      </c>
      <c r="T353" s="178">
        <f t="shared" si="133"/>
        <v>8</v>
      </c>
      <c r="U353" s="253">
        <f t="shared" si="134"/>
        <v>2.0995408820387649</v>
      </c>
      <c r="V353" s="385">
        <f t="shared" si="135"/>
        <v>13.33574130388148</v>
      </c>
      <c r="W353" s="404">
        <f t="shared" si="136"/>
        <v>13.661135988775829</v>
      </c>
      <c r="X353" s="157">
        <f t="shared" si="137"/>
        <v>45630</v>
      </c>
      <c r="Y353" s="387">
        <f t="shared" si="138"/>
        <v>12.927520076878105</v>
      </c>
      <c r="Z353" s="387">
        <f t="shared" si="139"/>
        <v>13.643715062964722</v>
      </c>
      <c r="AA353" s="388">
        <f t="shared" si="140"/>
        <v>15.606730146635982</v>
      </c>
      <c r="AB353" s="199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0.12578003625534503</v>
      </c>
      <c r="AD353" s="233">
        <f>(INDEX(Models!$BJ353:$BT353,,AH353)*(1-AF353)+INDEX(Models!$BJ353:$BT353,,AH353+1)*AF353-ERP_i)*AE353*Ramure*Pc/MaxiM</f>
        <v>0.207006181290154</v>
      </c>
      <c r="AE353" s="307">
        <f t="shared" si="142"/>
        <v>1</v>
      </c>
      <c r="AF353" s="179">
        <f t="shared" si="143"/>
        <v>9.9540882038764877E-2</v>
      </c>
      <c r="AG353" s="837">
        <f t="shared" si="149"/>
        <v>2</v>
      </c>
      <c r="AH353" s="178">
        <f t="shared" si="144"/>
        <v>8</v>
      </c>
      <c r="AI353" s="227">
        <f t="shared" si="145"/>
        <v>2.0995408820387649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45631</v>
      </c>
      <c r="B354" s="1139">
        <f>IF(t&gt;Tmaj,'2023'!Wh/'2023'!Env_an*'2024'!Env_an,0.001*'[14]mon-tableau (2)'!$B$213)</f>
        <v>9.780762258421845</v>
      </c>
      <c r="C354" s="866"/>
      <c r="D354" s="395">
        <f t="shared" si="127"/>
        <v>10.322864564355465</v>
      </c>
      <c r="E354" s="387">
        <f t="shared" si="125"/>
        <v>11.175743771023022</v>
      </c>
      <c r="F354" s="387">
        <f t="shared" si="128"/>
        <v>12.878146974484299</v>
      </c>
      <c r="G354" s="110">
        <f t="shared" si="126"/>
        <v>0.67532293872832694</v>
      </c>
      <c r="H354" s="414" t="b">
        <f>Wh_hp&gt;='2023'!Maxi_hp</f>
        <v>0</v>
      </c>
      <c r="I354" s="392">
        <f>IF(H354,Wh_hp,'2023'!Maxi_hp)</f>
        <v>16.269133792401302</v>
      </c>
      <c r="J354" s="85">
        <f>IF(H354,An,'2023'!An_max)</f>
        <v>2020</v>
      </c>
      <c r="K354" s="199">
        <f t="shared" si="129"/>
        <v>45631</v>
      </c>
      <c r="L354" s="147">
        <f>IF(t&lt;Tvie,1-EXP((T0-t)*PertePVj)+'2023'!Pspv,1-EXP((T0-t)*PertePVj)+Pspv)</f>
        <v>5.2514716487270685E-2</v>
      </c>
      <c r="M354" s="870"/>
      <c r="N354" s="870"/>
      <c r="O354" s="48">
        <f>IF(t&lt;Tnet,'2023'!Resal+('2023'!Salim-'2023'!Resal)*(1-EXP(('2023'!Tnet-t)/('2023'!Tau_j))),Resal+(Salim-Resal)*(1-EXP((Tnet-t)/(Tau_j))))*Salcycl</f>
        <v>7.6315207662414564E-2</v>
      </c>
      <c r="P354" s="171">
        <f>(INDEX(Models!$BJ354:$BT354,,T354)*(1-R354)+INDEX(Models!$BJ354:$BT354,,T354+1)*R354-ERP_i)*Q354*Ramure*Pc/MaxiM</f>
        <v>0.20960822011538305</v>
      </c>
      <c r="Q354" s="307">
        <f t="shared" si="130"/>
        <v>1</v>
      </c>
      <c r="R354" s="179">
        <f t="shared" si="131"/>
        <v>9.9559644551097115E-2</v>
      </c>
      <c r="S354" s="837">
        <f t="shared" si="132"/>
        <v>2</v>
      </c>
      <c r="T354" s="178">
        <f t="shared" si="133"/>
        <v>8</v>
      </c>
      <c r="U354" s="253">
        <f t="shared" si="134"/>
        <v>2.0995596445510971</v>
      </c>
      <c r="V354" s="385">
        <f t="shared" si="135"/>
        <v>13.191086161441429</v>
      </c>
      <c r="W354" s="404">
        <f t="shared" si="136"/>
        <v>9.780762258421845</v>
      </c>
      <c r="X354" s="157">
        <f t="shared" si="137"/>
        <v>45631</v>
      </c>
      <c r="Y354" s="387">
        <f t="shared" si="138"/>
        <v>9.2567383387043449</v>
      </c>
      <c r="Z354" s="387">
        <f t="shared" si="139"/>
        <v>9.7697964282734766</v>
      </c>
      <c r="AA354" s="388">
        <f t="shared" si="140"/>
        <v>11.175743771023022</v>
      </c>
      <c r="AB354" s="199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0.12580346968896611</v>
      </c>
      <c r="AD354" s="233">
        <f>(INDEX(Models!$BJ354:$BT354,,AH354)*(1-AF354)+INDEX(Models!$BJ354:$BT354,,AH354+1)*AF354-ERP_i)*AE354*Ramure*Pc/MaxiM</f>
        <v>0.20960822011538305</v>
      </c>
      <c r="AE354" s="307">
        <f t="shared" si="142"/>
        <v>1</v>
      </c>
      <c r="AF354" s="179">
        <f t="shared" si="143"/>
        <v>9.9559644551097115E-2</v>
      </c>
      <c r="AG354" s="837">
        <f t="shared" si="149"/>
        <v>2</v>
      </c>
      <c r="AH354" s="178">
        <f t="shared" si="144"/>
        <v>8</v>
      </c>
      <c r="AI354" s="227">
        <f t="shared" si="145"/>
        <v>2.0995596445510971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45632</v>
      </c>
      <c r="B355" s="1139">
        <f>IF(t&gt;Tmaj,'2023'!Wh/'2023'!Env_an*'2024'!Env_an,0.001*'[14]mon-tableau (2)'!$B$214)</f>
        <v>12.008350405678767</v>
      </c>
      <c r="C355" s="866"/>
      <c r="D355" s="395">
        <f t="shared" si="127"/>
        <v>12.674212542402879</v>
      </c>
      <c r="E355" s="387">
        <f t="shared" si="125"/>
        <v>13.723554595165208</v>
      </c>
      <c r="F355" s="387">
        <f t="shared" si="128"/>
        <v>16.894887616945361</v>
      </c>
      <c r="G355" s="110">
        <f t="shared" si="126"/>
        <v>0.89214376615907165</v>
      </c>
      <c r="H355" s="414" t="b">
        <f>Wh_hp&gt;='2023'!Maxi_hp</f>
        <v>0</v>
      </c>
      <c r="I355" s="392">
        <f>IF(H355,Wh_hp,'2023'!Maxi_hp)</f>
        <v>17.136477996690616</v>
      </c>
      <c r="J355" s="85">
        <f>IF(H355,An,'2023'!An_max)</f>
        <v>2022</v>
      </c>
      <c r="K355" s="199">
        <f t="shared" si="129"/>
        <v>45632</v>
      </c>
      <c r="L355" s="147">
        <f>IF(t&lt;Tvie,1-EXP((T0-t)*PertePVj)+'2023'!Pspv,1-EXP((T0-t)*PertePVj)+Pspv)</f>
        <v>5.2536765854004908E-2</v>
      </c>
      <c r="M355" s="870"/>
      <c r="N355" s="870"/>
      <c r="O355" s="48">
        <f>IF(t&lt;Tnet,'2023'!Resal+('2023'!Salim-'2023'!Resal)*(1-EXP(('2023'!Tnet-t)/('2023'!Tau_j))),Resal+(Salim-Resal)*(1-EXP((Tnet-t)/(Tau_j))))*Salcycl</f>
        <v>7.6462846814630059E-2</v>
      </c>
      <c r="P355" s="171">
        <f>(INDEX(Models!$BJ355:$BT355,,T355)*(1-R355)+INDEX(Models!$BJ355:$BT355,,T355+1)*R355-ERP_i)*Q355*Ramure*Pc/MaxiM</f>
        <v>0.21203704569585308</v>
      </c>
      <c r="Q355" s="307">
        <f t="shared" si="130"/>
        <v>1</v>
      </c>
      <c r="R355" s="179">
        <f t="shared" si="131"/>
        <v>9.9577652575096209E-2</v>
      </c>
      <c r="S355" s="837">
        <f t="shared" si="132"/>
        <v>2</v>
      </c>
      <c r="T355" s="178">
        <f t="shared" si="133"/>
        <v>8</v>
      </c>
      <c r="U355" s="253">
        <f t="shared" si="134"/>
        <v>2.0995776525750962</v>
      </c>
      <c r="V355" s="385">
        <f t="shared" si="135"/>
        <v>13.05698784131368</v>
      </c>
      <c r="W355" s="404">
        <f t="shared" si="136"/>
        <v>12.008350405678767</v>
      </c>
      <c r="X355" s="157">
        <f t="shared" si="137"/>
        <v>45632</v>
      </c>
      <c r="Y355" s="387">
        <f t="shared" si="138"/>
        <v>11.366442088918598</v>
      </c>
      <c r="Z355" s="387">
        <f t="shared" si="139"/>
        <v>11.996710457228293</v>
      </c>
      <c r="AA355" s="388">
        <f t="shared" si="140"/>
        <v>13.723554595165208</v>
      </c>
      <c r="AB355" s="199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0.12583067498746142</v>
      </c>
      <c r="AD355" s="233">
        <f>(INDEX(Models!$BJ355:$BT355,,AH355)*(1-AF355)+INDEX(Models!$BJ355:$BT355,,AH355+1)*AF355-ERP_i)*AE355*Ramure*Pc/MaxiM</f>
        <v>0.21203704569585308</v>
      </c>
      <c r="AE355" s="307">
        <f t="shared" si="142"/>
        <v>1</v>
      </c>
      <c r="AF355" s="179">
        <f t="shared" si="143"/>
        <v>9.9577652575096209E-2</v>
      </c>
      <c r="AG355" s="837">
        <f t="shared" si="149"/>
        <v>2</v>
      </c>
      <c r="AH355" s="178">
        <f t="shared" si="144"/>
        <v>8</v>
      </c>
      <c r="AI355" s="227">
        <f t="shared" si="145"/>
        <v>2.0995776525750962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45633</v>
      </c>
      <c r="B356" s="1139">
        <f>IF(t&gt;Tmaj,'2023'!Wh/'2023'!Env_an*'2024'!Env_an,0.001*'[14]mon-tableau (2)'!$B$215)</f>
        <v>3.5778531465762771</v>
      </c>
      <c r="C356" s="866"/>
      <c r="D356" s="395">
        <f t="shared" si="127"/>
        <v>3.7763327181857167</v>
      </c>
      <c r="E356" s="387">
        <f t="shared" si="125"/>
        <v>4.0896503608331543</v>
      </c>
      <c r="F356" s="387">
        <f t="shared" si="128"/>
        <v>4.0896503608331543</v>
      </c>
      <c r="G356" s="110">
        <f t="shared" si="126"/>
        <v>0.21734512953383162</v>
      </c>
      <c r="H356" s="414" t="b">
        <f>Wh_hp&gt;='2023'!Maxi_hp</f>
        <v>0</v>
      </c>
      <c r="I356" s="392">
        <f>IF(H356,Wh_hp,'2023'!Maxi_hp)</f>
        <v>15.197501570723485</v>
      </c>
      <c r="J356" s="85">
        <f>IF(H356,An,'2023'!An_max)</f>
        <v>2019</v>
      </c>
      <c r="K356" s="199">
        <f t="shared" si="129"/>
        <v>45633</v>
      </c>
      <c r="L356" s="147">
        <f>IF(t&lt;Tvie,1-EXP((T0-t)*PertePVj)+'2023'!Pspv,1-EXP((T0-t)*PertePVj)+Pspv)</f>
        <v>5.2558814707618251E-2</v>
      </c>
      <c r="M356" s="870"/>
      <c r="N356" s="870"/>
      <c r="O356" s="48">
        <f>IF(t&lt;Tnet,'2023'!Resal+('2023'!Salim-'2023'!Resal)*(1-EXP(('2023'!Tnet-t)/('2023'!Tau_j))),Resal+(Salim-Resal)*(1-EXP((Tnet-t)/(Tau_j))))*Salcycl</f>
        <v>7.6612329906757079E-2</v>
      </c>
      <c r="P356" s="171">
        <f>(INDEX(Models!$BJ356:$BT356,,T356)*(1-R356)+INDEX(Models!$BJ356:$BT356,,T356+1)*R356-ERP_i)*Q356*Ramure*Pc/MaxiM</f>
        <v>0.21427391370635504</v>
      </c>
      <c r="Q356" s="307">
        <f t="shared" si="130"/>
        <v>1</v>
      </c>
      <c r="R356" s="179">
        <f t="shared" si="131"/>
        <v>9.9594936414163726E-2</v>
      </c>
      <c r="S356" s="837">
        <f t="shared" si="132"/>
        <v>2</v>
      </c>
      <c r="T356" s="178">
        <f t="shared" si="133"/>
        <v>8</v>
      </c>
      <c r="U356" s="253">
        <f t="shared" si="134"/>
        <v>2.0995949364141637</v>
      </c>
      <c r="V356" s="385">
        <f t="shared" si="135"/>
        <v>12.934325035128941</v>
      </c>
      <c r="W356" s="404">
        <f t="shared" si="136"/>
        <v>3.5778531465762771</v>
      </c>
      <c r="X356" s="157">
        <f t="shared" si="137"/>
        <v>45633</v>
      </c>
      <c r="Y356" s="387">
        <f t="shared" si="138"/>
        <v>3.3870270516024981</v>
      </c>
      <c r="Z356" s="387">
        <f t="shared" si="139"/>
        <v>3.5749206432874843</v>
      </c>
      <c r="AA356" s="388">
        <f t="shared" si="140"/>
        <v>4.0896503608331543</v>
      </c>
      <c r="AB356" s="199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0.12586154613002359</v>
      </c>
      <c r="AD356" s="233">
        <f>(INDEX(Models!$BJ356:$BT356,,AH356)*(1-AF356)+INDEX(Models!$BJ356:$BT356,,AH356+1)*AF356-ERP_i)*AE356*Ramure*Pc/MaxiM</f>
        <v>0.21427391370635504</v>
      </c>
      <c r="AE356" s="307">
        <f t="shared" si="142"/>
        <v>1</v>
      </c>
      <c r="AF356" s="179">
        <f t="shared" si="143"/>
        <v>9.9594936414163726E-2</v>
      </c>
      <c r="AG356" s="837">
        <f t="shared" si="149"/>
        <v>2</v>
      </c>
      <c r="AH356" s="178">
        <f t="shared" si="144"/>
        <v>8</v>
      </c>
      <c r="AI356" s="227">
        <f t="shared" si="145"/>
        <v>2.0995949364141637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45634</v>
      </c>
      <c r="B357" s="1139">
        <f>IF(t&gt;Tmaj,'2023'!Wh/'2023'!Env_an*'2024'!Env_an,0.001*'[14]mon-tableau (2)'!$B$216)</f>
        <v>6.8081537230808191</v>
      </c>
      <c r="C357" s="866"/>
      <c r="D357" s="395">
        <f t="shared" si="127"/>
        <v>7.1859997941192395</v>
      </c>
      <c r="E357" s="387">
        <f t="shared" si="125"/>
        <v>7.783488381028147</v>
      </c>
      <c r="F357" s="387">
        <f t="shared" si="128"/>
        <v>8.38147055849808</v>
      </c>
      <c r="G357" s="110">
        <f t="shared" si="126"/>
        <v>0.44802535323204179</v>
      </c>
      <c r="H357" s="414" t="b">
        <f>Wh_hp&gt;='2023'!Maxi_hp</f>
        <v>0</v>
      </c>
      <c r="I357" s="392">
        <f>IF(H357,Wh_hp,'2023'!Maxi_hp)</f>
        <v>9.1861126811797025</v>
      </c>
      <c r="J357" s="85">
        <f>IF(H357,An,'2023'!An_max)</f>
        <v>2020</v>
      </c>
      <c r="K357" s="199">
        <f t="shared" si="129"/>
        <v>45634</v>
      </c>
      <c r="L357" s="147">
        <f>IF(t&lt;Tvie,1-EXP((T0-t)*PertePVj)+'2023'!Pspv,1-EXP((T0-t)*PertePVj)+Pspv)</f>
        <v>5.2580863048122484E-2</v>
      </c>
      <c r="M357" s="870"/>
      <c r="N357" s="870"/>
      <c r="O357" s="48">
        <f>IF(t&lt;Tnet,'2023'!Resal+('2023'!Salim-'2023'!Resal)*(1-EXP(('2023'!Tnet-t)/('2023'!Tau_j))),Resal+(Salim-Resal)*(1-EXP((Tnet-t)/(Tau_j))))*Salcycl</f>
        <v>7.6763599771698124E-2</v>
      </c>
      <c r="P357" s="171">
        <f>(INDEX(Models!$BJ357:$BT357,,T357)*(1-R357)+INDEX(Models!$BJ357:$BT357,,T357+1)*R357-ERP_i)*Q357*Ramure*Pc/MaxiM</f>
        <v>0.21629976358026309</v>
      </c>
      <c r="Q357" s="307">
        <f t="shared" si="130"/>
        <v>1</v>
      </c>
      <c r="R357" s="179">
        <f t="shared" si="131"/>
        <v>9.9611525157467629E-2</v>
      </c>
      <c r="S357" s="837">
        <f t="shared" si="132"/>
        <v>2</v>
      </c>
      <c r="T357" s="178">
        <f t="shared" si="133"/>
        <v>8</v>
      </c>
      <c r="U357" s="253">
        <f t="shared" si="134"/>
        <v>2.0996115251574676</v>
      </c>
      <c r="V357" s="385">
        <f t="shared" si="135"/>
        <v>12.82397558368285</v>
      </c>
      <c r="W357" s="404">
        <f t="shared" si="136"/>
        <v>6.8081537230808191</v>
      </c>
      <c r="X357" s="157">
        <f t="shared" si="137"/>
        <v>45634</v>
      </c>
      <c r="Y357" s="387">
        <f t="shared" si="138"/>
        <v>6.4458405445464502</v>
      </c>
      <c r="Z357" s="387">
        <f t="shared" si="139"/>
        <v>6.8035785779930418</v>
      </c>
      <c r="AA357" s="388">
        <f t="shared" si="140"/>
        <v>7.783488381028147</v>
      </c>
      <c r="AB357" s="199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0.12589596785723803</v>
      </c>
      <c r="AD357" s="233">
        <f>(INDEX(Models!$BJ357:$BT357,,AH357)*(1-AF357)+INDEX(Models!$BJ357:$BT357,,AH357+1)*AF357-ERP_i)*AE357*Ramure*Pc/MaxiM</f>
        <v>0.21629976358026309</v>
      </c>
      <c r="AE357" s="307">
        <f t="shared" si="142"/>
        <v>1</v>
      </c>
      <c r="AF357" s="179">
        <f t="shared" si="143"/>
        <v>9.9611525157467629E-2</v>
      </c>
      <c r="AG357" s="837">
        <f t="shared" si="149"/>
        <v>2</v>
      </c>
      <c r="AH357" s="178">
        <f t="shared" si="144"/>
        <v>8</v>
      </c>
      <c r="AI357" s="227">
        <f t="shared" si="145"/>
        <v>2.0996115251574676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45635</v>
      </c>
      <c r="B358" s="1139">
        <f>IF(t&gt;Tmaj,'2023'!Wh/'2023'!Env_an*'2024'!Env_an,0.001*'[14]mon-tableau (2)'!$B$217)</f>
        <v>9.9573700975706494</v>
      </c>
      <c r="C358" s="866"/>
      <c r="D358" s="395">
        <f t="shared" si="127"/>
        <v>10.510239277569108</v>
      </c>
      <c r="E358" s="387">
        <f t="shared" si="125"/>
        <v>11.386012580185648</v>
      </c>
      <c r="F358" s="387">
        <f t="shared" si="128"/>
        <v>13.399986006526479</v>
      </c>
      <c r="G358" s="110">
        <f t="shared" si="126"/>
        <v>0.71996486176961116</v>
      </c>
      <c r="H358" s="414" t="b">
        <f>Wh_hp&gt;='2023'!Maxi_hp</f>
        <v>0</v>
      </c>
      <c r="I358" s="392">
        <f>IF(H358,Wh_hp,'2023'!Maxi_hp)</f>
        <v>16.709769802628212</v>
      </c>
      <c r="J358" s="85">
        <f>IF(H358,An,'2023'!An_max)</f>
        <v>2019</v>
      </c>
      <c r="K358" s="199">
        <f t="shared" si="129"/>
        <v>45635</v>
      </c>
      <c r="L358" s="147">
        <f>IF(t&lt;Tvie,1-EXP((T0-t)*PertePVj)+'2023'!Pspv,1-EXP((T0-t)*PertePVj)+Pspv)</f>
        <v>5.2602910875529596E-2</v>
      </c>
      <c r="M358" s="870"/>
      <c r="N358" s="870"/>
      <c r="O358" s="48">
        <f>IF(t&lt;Tnet,'2023'!Resal+('2023'!Salim-'2023'!Resal)*(1-EXP(('2023'!Tnet-t)/('2023'!Tau_j))),Resal+(Salim-Resal)*(1-EXP((Tnet-t)/(Tau_j))))*Salcycl</f>
        <v>7.6916593623003099E-2</v>
      </c>
      <c r="P358" s="171">
        <f>(INDEX(Models!$BJ358:$BT358,,T358)*(1-R358)+INDEX(Models!$BJ358:$BT358,,T358+1)*R358-ERP_i)*Q358*Ramure*Pc/MaxiM</f>
        <v>0.2180954362361445</v>
      </c>
      <c r="Q358" s="307">
        <f t="shared" si="130"/>
        <v>1</v>
      </c>
      <c r="R358" s="179">
        <f t="shared" si="131"/>
        <v>9.9627446728370206E-2</v>
      </c>
      <c r="S358" s="837">
        <f t="shared" si="132"/>
        <v>2</v>
      </c>
      <c r="T358" s="178">
        <f t="shared" si="133"/>
        <v>8</v>
      </c>
      <c r="U358" s="253">
        <f t="shared" si="134"/>
        <v>2.0996274467283702</v>
      </c>
      <c r="V358" s="385">
        <f t="shared" si="135"/>
        <v>12.726816486919315</v>
      </c>
      <c r="W358" s="404">
        <f t="shared" si="136"/>
        <v>9.9573700975706494</v>
      </c>
      <c r="X358" s="157">
        <f t="shared" si="137"/>
        <v>45635</v>
      </c>
      <c r="Y358" s="387">
        <f t="shared" si="138"/>
        <v>9.4286176281068634</v>
      </c>
      <c r="Z358" s="387">
        <f t="shared" si="139"/>
        <v>9.9521285597576057</v>
      </c>
      <c r="AA358" s="388">
        <f t="shared" si="140"/>
        <v>11.386012580185648</v>
      </c>
      <c r="AB358" s="199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0.12593381663070868</v>
      </c>
      <c r="AD358" s="233">
        <f>(INDEX(Models!$BJ358:$BT358,,AH358)*(1-AF358)+INDEX(Models!$BJ358:$BT358,,AH358+1)*AF358-ERP_i)*AE358*Ramure*Pc/MaxiM</f>
        <v>0.2180954362361445</v>
      </c>
      <c r="AE358" s="307">
        <f t="shared" si="142"/>
        <v>1</v>
      </c>
      <c r="AF358" s="179">
        <f t="shared" si="143"/>
        <v>9.9627446728370206E-2</v>
      </c>
      <c r="AG358" s="837">
        <f t="shared" si="149"/>
        <v>2</v>
      </c>
      <c r="AH358" s="178">
        <f t="shared" si="144"/>
        <v>8</v>
      </c>
      <c r="AI358" s="227">
        <f t="shared" si="145"/>
        <v>2.0996274467283702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45636</v>
      </c>
      <c r="B359" s="1139">
        <f>IF(t&gt;Tmaj,'2023'!Wh/'2023'!Env_an*'2024'!Env_an,0.001*'[14]mon-tableau (2)'!$B$218)</f>
        <v>10.415895180572264</v>
      </c>
      <c r="C359" s="866"/>
      <c r="D359" s="395">
        <f t="shared" si="127"/>
        <v>10.994479188168842</v>
      </c>
      <c r="E359" s="387">
        <f t="shared" si="125"/>
        <v>11.912597925024391</v>
      </c>
      <c r="F359" s="387">
        <f t="shared" si="128"/>
        <v>14.256854934645002</v>
      </c>
      <c r="G359" s="110">
        <f t="shared" si="126"/>
        <v>0.76948260136346158</v>
      </c>
      <c r="H359" s="414" t="b">
        <f>Wh_hp&gt;='2023'!Maxi_hp</f>
        <v>0</v>
      </c>
      <c r="I359" s="392">
        <f>IF(H359,Wh_hp,'2023'!Maxi_hp)</f>
        <v>15.16428753732999</v>
      </c>
      <c r="J359" s="85">
        <f>IF(H359,An,'2023'!An_max)</f>
        <v>2018</v>
      </c>
      <c r="K359" s="199">
        <f t="shared" si="129"/>
        <v>45636</v>
      </c>
      <c r="L359" s="147">
        <f>IF(t&lt;Tvie,1-EXP((T0-t)*PertePVj)+'2023'!Pspv,1-EXP((T0-t)*PertePVj)+Pspv)</f>
        <v>5.2624958189851578E-2</v>
      </c>
      <c r="M359" s="870"/>
      <c r="N359" s="870"/>
      <c r="O359" s="48">
        <f>IF(t&lt;Tnet,'2023'!Resal+('2023'!Salim-'2023'!Resal)*(1-EXP(('2023'!Tnet-t)/('2023'!Tau_j))),Resal+(Salim-Resal)*(1-EXP((Tnet-t)/(Tau_j))))*Salcycl</f>
        <v>7.7071243622425026E-2</v>
      </c>
      <c r="P359" s="171">
        <f>(INDEX(Models!$BJ359:$BT359,,T359)*(1-R359)+INDEX(Models!$BJ359:$BT359,,T359+1)*R359-ERP_i)*Q359*Ramure*Pc/MaxiM</f>
        <v>0.21967531883991523</v>
      </c>
      <c r="Q359" s="307">
        <f t="shared" si="130"/>
        <v>1</v>
      </c>
      <c r="R359" s="179">
        <f t="shared" si="131"/>
        <v>9.964272793093798E-2</v>
      </c>
      <c r="S359" s="837">
        <f t="shared" si="132"/>
        <v>2</v>
      </c>
      <c r="T359" s="178">
        <f t="shared" si="133"/>
        <v>8</v>
      </c>
      <c r="U359" s="253">
        <f t="shared" si="134"/>
        <v>2.099642727930938</v>
      </c>
      <c r="V359" s="385">
        <f t="shared" si="135"/>
        <v>12.641260668217638</v>
      </c>
      <c r="W359" s="404">
        <f t="shared" si="136"/>
        <v>10.415895180572264</v>
      </c>
      <c r="X359" s="157">
        <f t="shared" si="137"/>
        <v>45636</v>
      </c>
      <c r="Y359" s="387">
        <f t="shared" si="138"/>
        <v>9.8639825902330678</v>
      </c>
      <c r="Z359" s="387">
        <f t="shared" si="139"/>
        <v>10.411908858593074</v>
      </c>
      <c r="AA359" s="388">
        <f t="shared" si="140"/>
        <v>11.912597925024391</v>
      </c>
      <c r="AB359" s="199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0.12597496162267591</v>
      </c>
      <c r="AD359" s="233">
        <f>(INDEX(Models!$BJ359:$BT359,,AH359)*(1-AF359)+INDEX(Models!$BJ359:$BT359,,AH359+1)*AF359-ERP_i)*AE359*Ramure*Pc/MaxiM</f>
        <v>0.21967531883991523</v>
      </c>
      <c r="AE359" s="307">
        <f t="shared" si="142"/>
        <v>1</v>
      </c>
      <c r="AF359" s="179">
        <f t="shared" si="143"/>
        <v>9.964272793093798E-2</v>
      </c>
      <c r="AG359" s="837">
        <f t="shared" si="149"/>
        <v>2</v>
      </c>
      <c r="AH359" s="178">
        <f t="shared" si="144"/>
        <v>8</v>
      </c>
      <c r="AI359" s="227">
        <f t="shared" si="145"/>
        <v>2.099642727930938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45637</v>
      </c>
      <c r="B360" s="1139">
        <f>IF(t&gt;Tmaj,'2023'!Wh/'2023'!Env_an*'2024'!Env_an,0.001*'[14]mon-tableau (2)'!$B$219)</f>
        <v>3.6131302812826194</v>
      </c>
      <c r="C360" s="866"/>
      <c r="D360" s="395">
        <f t="shared" si="127"/>
        <v>3.8139218436193123</v>
      </c>
      <c r="E360" s="387">
        <f t="shared" si="125"/>
        <v>4.1331116288030918</v>
      </c>
      <c r="F360" s="387">
        <f t="shared" si="128"/>
        <v>4.1331116288030918</v>
      </c>
      <c r="G360" s="110">
        <f t="shared" si="126"/>
        <v>0.22398381746293419</v>
      </c>
      <c r="H360" s="414" t="b">
        <f>Wh_hp&gt;='2023'!Maxi_hp</f>
        <v>0</v>
      </c>
      <c r="I360" s="392">
        <f>IF(H360,Wh_hp,'2023'!Maxi_hp)</f>
        <v>18.180866502884243</v>
      </c>
      <c r="J360" s="85">
        <f>IF(H360,An,'2023'!An_max)</f>
        <v>2021</v>
      </c>
      <c r="K360" s="199">
        <f t="shared" si="129"/>
        <v>45637</v>
      </c>
      <c r="L360" s="147">
        <f>IF(t&lt;Tvie,1-EXP((T0-t)*PertePVj)+'2023'!Pspv,1-EXP((T0-t)*PertePVj)+Pspv)</f>
        <v>5.2647004991100421E-2</v>
      </c>
      <c r="M360" s="870"/>
      <c r="N360" s="870"/>
      <c r="O360" s="48">
        <f>IF(t&lt;Tnet,'2023'!Resal+('2023'!Salim-'2023'!Resal)*(1-EXP(('2023'!Tnet-t)/('2023'!Tau_j))),Resal+(Salim-Resal)*(1-EXP((Tnet-t)/(Tau_j))))*Salcycl</f>
        <v>7.7227477467433706E-2</v>
      </c>
      <c r="P360" s="171">
        <f>(INDEX(Models!$BJ360:$BT360,,T360)*(1-R360)+INDEX(Models!$BJ360:$BT360,,T360+1)*R360-ERP_i)*Q360*Ramure*Pc/MaxiM</f>
        <v>0.22106266013953599</v>
      </c>
      <c r="Q360" s="307">
        <f t="shared" si="130"/>
        <v>1</v>
      </c>
      <c r="R360" s="179">
        <f t="shared" si="131"/>
        <v>9.9657394494618856E-2</v>
      </c>
      <c r="S360" s="837">
        <f t="shared" si="132"/>
        <v>2</v>
      </c>
      <c r="T360" s="178">
        <f t="shared" si="133"/>
        <v>8</v>
      </c>
      <c r="U360" s="253">
        <f t="shared" si="134"/>
        <v>2.0996573944946189</v>
      </c>
      <c r="V360" s="385">
        <f t="shared" si="135"/>
        <v>12.565202797908885</v>
      </c>
      <c r="W360" s="404">
        <f t="shared" si="136"/>
        <v>3.6131302812826194</v>
      </c>
      <c r="X360" s="157">
        <f t="shared" si="137"/>
        <v>45637</v>
      </c>
      <c r="Y360" s="387">
        <f t="shared" si="138"/>
        <v>3.4220852692822099</v>
      </c>
      <c r="Z360" s="387">
        <f t="shared" si="139"/>
        <v>3.6122599361709544</v>
      </c>
      <c r="AA360" s="388">
        <f t="shared" si="140"/>
        <v>4.1331116288030918</v>
      </c>
      <c r="AB360" s="199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0.12601926572764036</v>
      </c>
      <c r="AD360" s="233">
        <f>(INDEX(Models!$BJ360:$BT360,,AH360)*(1-AF360)+INDEX(Models!$BJ360:$BT360,,AH360+1)*AF360-ERP_i)*AE360*Ramure*Pc/MaxiM</f>
        <v>0.22106266013953599</v>
      </c>
      <c r="AE360" s="307">
        <f t="shared" si="142"/>
        <v>1</v>
      </c>
      <c r="AF360" s="179">
        <f t="shared" si="143"/>
        <v>9.9657394494618856E-2</v>
      </c>
      <c r="AG360" s="837">
        <f t="shared" si="149"/>
        <v>2</v>
      </c>
      <c r="AH360" s="178">
        <f t="shared" si="144"/>
        <v>8</v>
      </c>
      <c r="AI360" s="227">
        <f t="shared" si="145"/>
        <v>2.0996573944946189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45638</v>
      </c>
      <c r="B361" s="1139">
        <f>IF(t&gt;Tmaj,'2023'!Wh/'2023'!Env_an*'2024'!Env_an,0.001*'[14]mon-tableau (2)'!$B$220)</f>
        <v>4.3447797378558386</v>
      </c>
      <c r="C361" s="866"/>
      <c r="D361" s="395">
        <f t="shared" si="127"/>
        <v>4.5863377985519049</v>
      </c>
      <c r="E361" s="387">
        <f t="shared" ref="E361:E380" si="150">Wh_pvt/(1-Psa)</f>
        <v>4.9710213763865347</v>
      </c>
      <c r="F361" s="387">
        <f t="shared" si="128"/>
        <v>5.0473656915025567</v>
      </c>
      <c r="G361" s="110">
        <f t="shared" ref="G361:G380" si="151">+Wh_hp/MaxiM</f>
        <v>0.2745108520080391</v>
      </c>
      <c r="H361" s="414" t="b">
        <f>Wh_hp&gt;='2023'!Maxi_hp</f>
        <v>0</v>
      </c>
      <c r="I361" s="392">
        <f>IF(H361,Wh_hp,'2023'!Maxi_hp)</f>
        <v>18.504532146725122</v>
      </c>
      <c r="J361" s="85">
        <f>IF(H361,An,'2023'!An_max)</f>
        <v>2021</v>
      </c>
      <c r="K361" s="199">
        <f t="shared" si="129"/>
        <v>45638</v>
      </c>
      <c r="L361" s="147">
        <f>IF(t&lt;Tvie,1-EXP((T0-t)*PertePVj)+'2023'!Pspv,1-EXP((T0-t)*PertePVj)+Pspv)</f>
        <v>5.2669051279287893E-2</v>
      </c>
      <c r="M361" s="870"/>
      <c r="N361" s="870"/>
      <c r="O361" s="48">
        <f>IF(t&lt;Tnet,'2023'!Resal+('2023'!Salim-'2023'!Resal)*(1-EXP(('2023'!Tnet-t)/('2023'!Tau_j))),Resal+(Salim-Resal)*(1-EXP((Tnet-t)/(Tau_j))))*Salcycl</f>
        <v>7.7385218993819407E-2</v>
      </c>
      <c r="P361" s="171">
        <f>(INDEX(Models!$BJ361:$BT361,,T361)*(1-R361)+INDEX(Models!$BJ361:$BT361,,T361+1)*R361-ERP_i)*Q361*Ramure*Pc/MaxiM</f>
        <v>0.22228497826148894</v>
      </c>
      <c r="Q361" s="307">
        <f t="shared" si="130"/>
        <v>1</v>
      </c>
      <c r="R361" s="179">
        <f t="shared" si="131"/>
        <v>9.9671471117144694E-2</v>
      </c>
      <c r="S361" s="837">
        <f t="shared" si="132"/>
        <v>2</v>
      </c>
      <c r="T361" s="178">
        <f t="shared" si="133"/>
        <v>8</v>
      </c>
      <c r="U361" s="253">
        <f t="shared" si="134"/>
        <v>2.0996714711171447</v>
      </c>
      <c r="V361" s="385">
        <f t="shared" si="135"/>
        <v>12.49821164930519</v>
      </c>
      <c r="W361" s="404">
        <f t="shared" si="136"/>
        <v>4.3447797378558386</v>
      </c>
      <c r="X361" s="157">
        <f t="shared" si="137"/>
        <v>45638</v>
      </c>
      <c r="Y361" s="387">
        <f t="shared" si="138"/>
        <v>4.1155293249117388</v>
      </c>
      <c r="Z361" s="387">
        <f t="shared" si="139"/>
        <v>4.3443416796098582</v>
      </c>
      <c r="AA361" s="388">
        <f t="shared" si="140"/>
        <v>4.9710213763865347</v>
      </c>
      <c r="AB361" s="199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0.12606658658792855</v>
      </c>
      <c r="AD361" s="233">
        <f>(INDEX(Models!$BJ361:$BT361,,AH361)*(1-AF361)+INDEX(Models!$BJ361:$BT361,,AH361+1)*AF361-ERP_i)*AE361*Ramure*Pc/MaxiM</f>
        <v>0.22228497826148894</v>
      </c>
      <c r="AE361" s="307">
        <f t="shared" si="142"/>
        <v>1</v>
      </c>
      <c r="AF361" s="179">
        <f t="shared" si="143"/>
        <v>9.9671471117144694E-2</v>
      </c>
      <c r="AG361" s="837">
        <f t="shared" si="149"/>
        <v>2</v>
      </c>
      <c r="AH361" s="178">
        <f t="shared" si="144"/>
        <v>8</v>
      </c>
      <c r="AI361" s="227">
        <f t="shared" si="145"/>
        <v>2.0996714711171447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45639</v>
      </c>
      <c r="B362" s="1139">
        <f>IF(t&gt;Tmaj,'2023'!Wh/'2023'!Env_an*'2024'!Env_an,0.001*'[14]mon-tableau (2)'!$B$221)</f>
        <v>10.220553353430768</v>
      </c>
      <c r="C362" s="866"/>
      <c r="D362" s="395">
        <f t="shared" si="127"/>
        <v>10.789039690908481</v>
      </c>
      <c r="E362" s="387">
        <f t="shared" si="150"/>
        <v>11.695998766529401</v>
      </c>
      <c r="F362" s="387">
        <f t="shared" si="128"/>
        <v>14.030816535564789</v>
      </c>
      <c r="G362" s="110">
        <f t="shared" si="151"/>
        <v>0.76545288781436394</v>
      </c>
      <c r="H362" s="414" t="b">
        <f>Wh_hp&gt;='2023'!Maxi_hp</f>
        <v>0</v>
      </c>
      <c r="I362" s="392">
        <f>IF(H362,Wh_hp,'2023'!Maxi_hp)</f>
        <v>18.47305077116031</v>
      </c>
      <c r="J362" s="85">
        <f>IF(H362,An,'2023'!An_max)</f>
        <v>2021</v>
      </c>
      <c r="K362" s="199">
        <f t="shared" si="129"/>
        <v>45639</v>
      </c>
      <c r="L362" s="147">
        <f>IF(t&lt;Tvie,1-EXP((T0-t)*PertePVj)+'2023'!Pspv,1-EXP((T0-t)*PertePVj)+Pspv)</f>
        <v>5.2691097054426095E-2</v>
      </c>
      <c r="M362" s="870"/>
      <c r="N362" s="870"/>
      <c r="O362" s="48">
        <f>IF(t&lt;Tnet,'2023'!Resal+('2023'!Salim-'2023'!Resal)*(1-EXP(('2023'!Tnet-t)/('2023'!Tau_j))),Resal+(Salim-Resal)*(1-EXP((Tnet-t)/(Tau_j))))*Salcycl</f>
        <v>7.7544388788444177E-2</v>
      </c>
      <c r="P362" s="171">
        <f>(INDEX(Models!$BJ362:$BT362,,T362)*(1-R362)+INDEX(Models!$BJ362:$BT362,,T362+1)*R362-ERP_i)*Q362*Ramure*Pc/MaxiM</f>
        <v>0.22333758816814447</v>
      </c>
      <c r="Q362" s="307">
        <f t="shared" si="130"/>
        <v>1</v>
      </c>
      <c r="R362" s="179">
        <f t="shared" si="131"/>
        <v>9.9684981505741899E-2</v>
      </c>
      <c r="S362" s="837">
        <f t="shared" si="132"/>
        <v>2</v>
      </c>
      <c r="T362" s="178">
        <f t="shared" si="133"/>
        <v>8</v>
      </c>
      <c r="U362" s="253">
        <f t="shared" si="134"/>
        <v>2.0996849815057419</v>
      </c>
      <c r="V362" s="385">
        <f t="shared" si="135"/>
        <v>12.44038620550522</v>
      </c>
      <c r="W362" s="404">
        <f t="shared" si="136"/>
        <v>10.220553353430768</v>
      </c>
      <c r="X362" s="157">
        <f t="shared" si="137"/>
        <v>45639</v>
      </c>
      <c r="Y362" s="387">
        <f t="shared" si="138"/>
        <v>9.6823847027388688</v>
      </c>
      <c r="Z362" s="387">
        <f t="shared" si="139"/>
        <v>10.220937090987261</v>
      </c>
      <c r="AA362" s="388">
        <f t="shared" si="140"/>
        <v>11.695998766529401</v>
      </c>
      <c r="AB362" s="199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0.12611677762512627</v>
      </c>
      <c r="AD362" s="233">
        <f>(INDEX(Models!$BJ362:$BT362,,AH362)*(1-AF362)+INDEX(Models!$BJ362:$BT362,,AH362+1)*AF362-ERP_i)*AE362*Ramure*Pc/MaxiM</f>
        <v>0.22333758816814447</v>
      </c>
      <c r="AE362" s="307">
        <f t="shared" si="142"/>
        <v>1</v>
      </c>
      <c r="AF362" s="179">
        <f t="shared" si="143"/>
        <v>9.9684981505741899E-2</v>
      </c>
      <c r="AG362" s="837">
        <f t="shared" si="149"/>
        <v>2</v>
      </c>
      <c r="AH362" s="178">
        <f t="shared" si="144"/>
        <v>8</v>
      </c>
      <c r="AI362" s="227">
        <f t="shared" si="145"/>
        <v>2.0996849815057419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45640</v>
      </c>
      <c r="B363" s="1139">
        <f>IF(t&gt;Tmaj,'2023'!Wh/'2023'!Env_an*'2024'!Env_an,0.001*'[14]mon-tableau (2)'!$B$222)</f>
        <v>5.007078408167347</v>
      </c>
      <c r="C363" s="866"/>
      <c r="D363" s="395">
        <f t="shared" si="127"/>
        <v>5.2857045018146076</v>
      </c>
      <c r="E363" s="387">
        <f t="shared" si="150"/>
        <v>5.7310339492909383</v>
      </c>
      <c r="F363" s="387">
        <f t="shared" si="128"/>
        <v>5.9286495451401358</v>
      </c>
      <c r="G363" s="110">
        <f t="shared" si="151"/>
        <v>0.3242743510850099</v>
      </c>
      <c r="H363" s="414" t="b">
        <f>Wh_hp&gt;='2023'!Maxi_hp</f>
        <v>0</v>
      </c>
      <c r="I363" s="392">
        <f>IF(H363,Wh_hp,'2023'!Maxi_hp)</f>
        <v>17.873939107740306</v>
      </c>
      <c r="J363" s="85">
        <f>IF(H363,An,'2023'!An_max)</f>
        <v>2021</v>
      </c>
      <c r="K363" s="199">
        <f t="shared" si="129"/>
        <v>45640</v>
      </c>
      <c r="L363" s="147">
        <f>IF(t&lt;Tvie,1-EXP((T0-t)*PertePVj)+'2023'!Pspv,1-EXP((T0-t)*PertePVj)+Pspv)</f>
        <v>5.2713142316526906E-2</v>
      </c>
      <c r="M363" s="870"/>
      <c r="N363" s="870"/>
      <c r="O363" s="48">
        <f>IF(t&lt;Tnet,'2023'!Resal+('2023'!Salim-'2023'!Resal)*(1-EXP(('2023'!Tnet-t)/('2023'!Tau_j))),Resal+(Salim-Resal)*(1-EXP((Tnet-t)/(Tau_j))))*Salcycl</f>
        <v>7.7704904807173264E-2</v>
      </c>
      <c r="P363" s="171">
        <f>(INDEX(Models!$BJ363:$BT363,,T363)*(1-R363)+INDEX(Models!$BJ363:$BT363,,T363+1)*R363-ERP_i)*Q363*Ramure*Pc/MaxiM</f>
        <v>0.2242162257843483</v>
      </c>
      <c r="Q363" s="307">
        <f t="shared" si="130"/>
        <v>1</v>
      </c>
      <c r="R363" s="179">
        <f t="shared" si="131"/>
        <v>9.9697948416701099E-2</v>
      </c>
      <c r="S363" s="837">
        <f t="shared" si="132"/>
        <v>2</v>
      </c>
      <c r="T363" s="178">
        <f t="shared" si="133"/>
        <v>8</v>
      </c>
      <c r="U363" s="253">
        <f t="shared" si="134"/>
        <v>2.0996979484167011</v>
      </c>
      <c r="V363" s="385">
        <f t="shared" si="135"/>
        <v>12.391825331461661</v>
      </c>
      <c r="W363" s="404">
        <f t="shared" si="136"/>
        <v>5.007078408167347</v>
      </c>
      <c r="X363" s="157">
        <f t="shared" si="137"/>
        <v>45640</v>
      </c>
      <c r="Y363" s="387">
        <f t="shared" si="138"/>
        <v>4.7439663347099961</v>
      </c>
      <c r="Z363" s="387">
        <f t="shared" si="139"/>
        <v>5.0079511778629016</v>
      </c>
      <c r="AA363" s="388">
        <f t="shared" si="140"/>
        <v>5.7310339492909383</v>
      </c>
      <c r="AB363" s="199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0.12616968906936923</v>
      </c>
      <c r="AD363" s="233">
        <f>(INDEX(Models!$BJ363:$BT363,,AH363)*(1-AF363)+INDEX(Models!$BJ363:$BT363,,AH363+1)*AF363-ERP_i)*AE363*Ramure*Pc/MaxiM</f>
        <v>0.2242162257843483</v>
      </c>
      <c r="AE363" s="307">
        <f t="shared" si="142"/>
        <v>1</v>
      </c>
      <c r="AF363" s="179">
        <f t="shared" si="143"/>
        <v>9.9697948416701099E-2</v>
      </c>
      <c r="AG363" s="837">
        <f t="shared" si="149"/>
        <v>2</v>
      </c>
      <c r="AH363" s="178">
        <f t="shared" si="144"/>
        <v>8</v>
      </c>
      <c r="AI363" s="227">
        <f t="shared" si="145"/>
        <v>2.0996979484167011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45641</v>
      </c>
      <c r="B364" s="1139">
        <f>IF(t&gt;Tmaj,'2023'!Wh/'2023'!Env_an*'2024'!Env_an,0.001*'[14]mon-tableau (2)'!$B$223)</f>
        <v>4.4182946308226754</v>
      </c>
      <c r="C364" s="866"/>
      <c r="D364" s="395">
        <f t="shared" si="127"/>
        <v>4.664265546965547</v>
      </c>
      <c r="E364" s="387">
        <f t="shared" si="150"/>
        <v>5.058124959745177</v>
      </c>
      <c r="F364" s="387">
        <f t="shared" si="128"/>
        <v>5.1536391201144154</v>
      </c>
      <c r="G364" s="110">
        <f t="shared" si="151"/>
        <v>0.28246713840296267</v>
      </c>
      <c r="H364" s="414" t="b">
        <f>Wh_hp&gt;='2023'!Maxi_hp</f>
        <v>0</v>
      </c>
      <c r="I364" s="392">
        <f>IF(H364,Wh_hp,'2023'!Maxi_hp)</f>
        <v>18.022426039936903</v>
      </c>
      <c r="J364" s="85">
        <f>IF(H364,An,'2023'!An_max)</f>
        <v>2021</v>
      </c>
      <c r="K364" s="199">
        <f t="shared" si="129"/>
        <v>45641</v>
      </c>
      <c r="L364" s="147">
        <f>IF(t&lt;Tvie,1-EXP((T0-t)*PertePVj)+'2023'!Pspv,1-EXP((T0-t)*PertePVj)+Pspv)</f>
        <v>5.2735187065602207E-2</v>
      </c>
      <c r="M364" s="870"/>
      <c r="N364" s="870"/>
      <c r="O364" s="48">
        <f>IF(t&lt;Tnet,'2023'!Resal+('2023'!Salim-'2023'!Resal)*(1-EXP(('2023'!Tnet-t)/('2023'!Tau_j))),Resal+(Salim-Resal)*(1-EXP((Tnet-t)/(Tau_j))))*Salcycl</f>
        <v>7.7866682993033953E-2</v>
      </c>
      <c r="P364" s="171">
        <f>(INDEX(Models!$BJ364:$BT364,,T364)*(1-R364)+INDEX(Models!$BJ364:$BT364,,T364+1)*R364-ERP_i)*Q364*Ramure*Pc/MaxiM</f>
        <v>0.22491708682816008</v>
      </c>
      <c r="Q364" s="307">
        <f t="shared" si="130"/>
        <v>1</v>
      </c>
      <c r="R364" s="179">
        <f t="shared" si="131"/>
        <v>9.9710393693384525E-2</v>
      </c>
      <c r="S364" s="837">
        <f t="shared" si="132"/>
        <v>2</v>
      </c>
      <c r="T364" s="178">
        <f t="shared" si="133"/>
        <v>8</v>
      </c>
      <c r="U364" s="253">
        <f t="shared" si="134"/>
        <v>2.0997103936933845</v>
      </c>
      <c r="V364" s="385">
        <f t="shared" si="135"/>
        <v>12.352627795234497</v>
      </c>
      <c r="W364" s="404">
        <f t="shared" si="136"/>
        <v>4.4182946308226754</v>
      </c>
      <c r="X364" s="157">
        <f t="shared" si="137"/>
        <v>45641</v>
      </c>
      <c r="Y364" s="387">
        <f t="shared" si="138"/>
        <v>4.1865905647790704</v>
      </c>
      <c r="Z364" s="387">
        <f t="shared" si="139"/>
        <v>4.41966228198641</v>
      </c>
      <c r="AA364" s="388">
        <f t="shared" si="140"/>
        <v>5.058124959745177</v>
      </c>
      <c r="AB364" s="199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0.12622516897861139</v>
      </c>
      <c r="AD364" s="233">
        <f>(INDEX(Models!$BJ364:$BT364,,AH364)*(1-AF364)+INDEX(Models!$BJ364:$BT364,,AH364+1)*AF364-ERP_i)*AE364*Ramure*Pc/MaxiM</f>
        <v>0.22491708682816008</v>
      </c>
      <c r="AE364" s="307">
        <f t="shared" si="142"/>
        <v>1</v>
      </c>
      <c r="AF364" s="179">
        <f t="shared" si="143"/>
        <v>9.9710393693384525E-2</v>
      </c>
      <c r="AG364" s="837">
        <f t="shared" si="149"/>
        <v>2</v>
      </c>
      <c r="AH364" s="178">
        <f t="shared" si="144"/>
        <v>8</v>
      </c>
      <c r="AI364" s="227">
        <f t="shared" si="145"/>
        <v>2.0997103936933845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45642</v>
      </c>
      <c r="B365" s="1139">
        <f>IF(t&gt;Tmaj,'2023'!Wh/'2023'!Env_an*'2024'!Env_an,0.001*'[14]mon-tableau (2)'!$B$224)</f>
        <v>2.7368523082589897</v>
      </c>
      <c r="C365" s="866"/>
      <c r="D365" s="395">
        <f t="shared" si="127"/>
        <v>2.8892828730905649</v>
      </c>
      <c r="E365" s="387">
        <f t="shared" si="150"/>
        <v>3.1338131808025982</v>
      </c>
      <c r="F365" s="387">
        <f t="shared" si="128"/>
        <v>3.1338131808025982</v>
      </c>
      <c r="G365" s="110">
        <f t="shared" si="151"/>
        <v>0.17202657130672216</v>
      </c>
      <c r="H365" s="414" t="b">
        <f>Wh_hp&gt;='2023'!Maxi_hp</f>
        <v>0</v>
      </c>
      <c r="I365" s="392">
        <f>IF(H365,Wh_hp,'2023'!Maxi_hp)</f>
        <v>18.022391356123773</v>
      </c>
      <c r="J365" s="85">
        <f>IF(H365,An,'2023'!An_max)</f>
        <v>2021</v>
      </c>
      <c r="K365" s="199">
        <f t="shared" si="129"/>
        <v>45642</v>
      </c>
      <c r="L365" s="147">
        <f>IF(t&lt;Tvie,1-EXP((T0-t)*PertePVj)+'2023'!Pspv,1-EXP((T0-t)*PertePVj)+Pspv)</f>
        <v>5.2757231301663987E-2</v>
      </c>
      <c r="M365" s="870"/>
      <c r="N365" s="870"/>
      <c r="O365" s="48">
        <f>IF(t&lt;Tnet,'2023'!Resal+('2023'!Salim-'2023'!Resal)*(1-EXP(('2023'!Tnet-t)/('2023'!Tau_j))),Resal+(Salim-Resal)*(1-EXP((Tnet-t)/(Tau_j))))*Salcycl</f>
        <v>7.8029637889712067E-2</v>
      </c>
      <c r="P365" s="171">
        <f>(INDEX(Models!$BJ365:$BT365,,T365)*(1-R365)+INDEX(Models!$BJ365:$BT365,,T365+1)*R365-ERP_i)*Q365*Ramure*Pc/MaxiM</f>
        <v>0.22543686337530333</v>
      </c>
      <c r="Q365" s="307">
        <f t="shared" si="130"/>
        <v>1</v>
      </c>
      <c r="R365" s="179">
        <f t="shared" si="131"/>
        <v>9.9722338302721703E-2</v>
      </c>
      <c r="S365" s="837">
        <f t="shared" si="132"/>
        <v>2</v>
      </c>
      <c r="T365" s="178">
        <f t="shared" si="133"/>
        <v>8</v>
      </c>
      <c r="U365" s="253">
        <f t="shared" si="134"/>
        <v>2.0997223383027217</v>
      </c>
      <c r="V365" s="385">
        <f t="shared" si="135"/>
        <v>12.322892284959396</v>
      </c>
      <c r="W365" s="404">
        <f t="shared" si="136"/>
        <v>2.7368523082589897</v>
      </c>
      <c r="X365" s="157">
        <f t="shared" si="137"/>
        <v>45642</v>
      </c>
      <c r="Y365" s="387">
        <f t="shared" si="138"/>
        <v>2.5936128867807975</v>
      </c>
      <c r="Z365" s="387">
        <f t="shared" si="139"/>
        <v>2.7380656495745423</v>
      </c>
      <c r="AA365" s="388">
        <f t="shared" si="140"/>
        <v>3.1338131808025982</v>
      </c>
      <c r="AB365" s="199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0.12628306424019228</v>
      </c>
      <c r="AD365" s="233">
        <f>(INDEX(Models!$BJ365:$BT365,,AH365)*(1-AF365)+INDEX(Models!$BJ365:$BT365,,AH365+1)*AF365-ERP_i)*AE365*Ramure*Pc/MaxiM</f>
        <v>0.22543686337530333</v>
      </c>
      <c r="AE365" s="307">
        <f t="shared" si="142"/>
        <v>1</v>
      </c>
      <c r="AF365" s="179">
        <f t="shared" si="143"/>
        <v>9.9722338302721703E-2</v>
      </c>
      <c r="AG365" s="837">
        <f t="shared" si="149"/>
        <v>2</v>
      </c>
      <c r="AH365" s="178">
        <f t="shared" si="144"/>
        <v>8</v>
      </c>
      <c r="AI365" s="227">
        <f t="shared" si="145"/>
        <v>2.0997223383027217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45643</v>
      </c>
      <c r="B366" s="1139">
        <f>IF(t&gt;Tmaj,'2023'!Wh/'2023'!Env_an*'2024'!Env_an,0.001*'[14]mon-tableau (2)'!$B$225)</f>
        <v>10.651402275255316</v>
      </c>
      <c r="C366" s="866"/>
      <c r="D366" s="395">
        <f t="shared" si="127"/>
        <v>11.244899941915163</v>
      </c>
      <c r="E366" s="387">
        <f t="shared" si="150"/>
        <v>12.198766419292367</v>
      </c>
      <c r="F366" s="387">
        <f t="shared" si="128"/>
        <v>14.921512558510281</v>
      </c>
      <c r="G366" s="110">
        <f t="shared" si="151"/>
        <v>0.81991929850328515</v>
      </c>
      <c r="H366" s="414" t="b">
        <f>Wh_hp&gt;='2023'!Maxi_hp</f>
        <v>0</v>
      </c>
      <c r="I366" s="392">
        <f>IF(H366,Wh_hp,'2023'!Maxi_hp)</f>
        <v>18.412762938360004</v>
      </c>
      <c r="J366" s="85">
        <f>IF(H366,An,'2023'!An_max)</f>
        <v>2021</v>
      </c>
      <c r="K366" s="199">
        <f t="shared" si="129"/>
        <v>45643</v>
      </c>
      <c r="L366" s="147">
        <f>IF(t&lt;Tvie,1-EXP((T0-t)*PertePVj)+'2023'!Pspv,1-EXP((T0-t)*PertePVj)+Pspv)</f>
        <v>5.2779275024724237E-2</v>
      </c>
      <c r="M366" s="870"/>
      <c r="N366" s="870"/>
      <c r="O366" s="48">
        <f>IF(t&lt;Tnet,'2023'!Resal+('2023'!Salim-'2023'!Resal)*(1-EXP(('2023'!Tnet-t)/('2023'!Tau_j))),Resal+(Salim-Resal)*(1-EXP((Tnet-t)/(Tau_j))))*Salcycl</f>
        <v>7.8193683245599666E-2</v>
      </c>
      <c r="P366" s="171">
        <f>(INDEX(Models!$BJ366:$BT366,,T366)*(1-R366)+INDEX(Models!$BJ366:$BT366,,T366+1)*R366-ERP_i)*Q366*Ramure*Pc/MaxiM</f>
        <v>0.22576413143125246</v>
      </c>
      <c r="Q366" s="307">
        <f t="shared" si="130"/>
        <v>1</v>
      </c>
      <c r="R366" s="179">
        <f t="shared" si="131"/>
        <v>9.9733802370258751E-2</v>
      </c>
      <c r="S366" s="837">
        <f t="shared" si="132"/>
        <v>2</v>
      </c>
      <c r="T366" s="178">
        <f t="shared" si="133"/>
        <v>8</v>
      </c>
      <c r="U366" s="253">
        <f t="shared" si="134"/>
        <v>2.0997338023702588</v>
      </c>
      <c r="V366" s="385">
        <f t="shared" si="135"/>
        <v>12.302854819432698</v>
      </c>
      <c r="W366" s="404">
        <f t="shared" si="136"/>
        <v>10.651402275255316</v>
      </c>
      <c r="X366" s="157">
        <f t="shared" si="137"/>
        <v>45643</v>
      </c>
      <c r="Y366" s="387">
        <f t="shared" si="138"/>
        <v>10.095038001657308</v>
      </c>
      <c r="Z366" s="387">
        <f t="shared" si="139"/>
        <v>10.657534970976069</v>
      </c>
      <c r="AA366" s="388">
        <f t="shared" si="140"/>
        <v>12.198766419292367</v>
      </c>
      <c r="AB366" s="199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0.12634322154729005</v>
      </c>
      <c r="AD366" s="233">
        <f>(INDEX(Models!$BJ366:$BT366,,AH366)*(1-AF366)+INDEX(Models!$BJ366:$BT366,,AH366+1)*AF366-ERP_i)*AE366*Ramure*Pc/MaxiM</f>
        <v>0.22576413143125246</v>
      </c>
      <c r="AE366" s="307">
        <f t="shared" si="142"/>
        <v>1</v>
      </c>
      <c r="AF366" s="179">
        <f t="shared" si="143"/>
        <v>9.9733802370258751E-2</v>
      </c>
      <c r="AG366" s="837">
        <f t="shared" si="149"/>
        <v>2</v>
      </c>
      <c r="AH366" s="178">
        <f t="shared" si="144"/>
        <v>8</v>
      </c>
      <c r="AI366" s="227">
        <f t="shared" si="145"/>
        <v>2.0997338023702588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45644</v>
      </c>
      <c r="B367" s="1139">
        <f>IF(t&gt;Tmaj,'2023'!Wh/'2023'!Env_an*'2024'!Env_an,0.001*'[14]mon-tableau (2)'!$B$226)</f>
        <v>10.443720110494874</v>
      </c>
      <c r="C367" s="866"/>
      <c r="D367" s="395">
        <f t="shared" si="127"/>
        <v>11.025902285919459</v>
      </c>
      <c r="E367" s="387">
        <f t="shared" si="150"/>
        <v>11.963333973823728</v>
      </c>
      <c r="F367" s="387">
        <f t="shared" si="128"/>
        <v>14.543800884772532</v>
      </c>
      <c r="G367" s="110">
        <f t="shared" si="151"/>
        <v>0.79953156965449756</v>
      </c>
      <c r="H367" s="414" t="b">
        <f>Wh_hp&gt;='2023'!Maxi_hp</f>
        <v>0</v>
      </c>
      <c r="I367" s="392">
        <f>IF(H367,Wh_hp,'2023'!Maxi_hp)</f>
        <v>17.957139739546754</v>
      </c>
      <c r="J367" s="85">
        <f>IF(H367,An,'2023'!An_max)</f>
        <v>2021</v>
      </c>
      <c r="K367" s="199">
        <f t="shared" si="129"/>
        <v>45644</v>
      </c>
      <c r="L367" s="147">
        <f>IF(t&lt;Tvie,1-EXP((T0-t)*PertePVj)+'2023'!Pspv,1-EXP((T0-t)*PertePVj)+Pspv)</f>
        <v>5.2801318234794836E-2</v>
      </c>
      <c r="M367" s="870"/>
      <c r="N367" s="870"/>
      <c r="O367" s="48">
        <f>IF(t&lt;Tnet,'2023'!Resal+('2023'!Salim-'2023'!Resal)*(1-EXP(('2023'!Tnet-t)/('2023'!Tau_j))),Resal+(Salim-Resal)*(1-EXP((Tnet-t)/(Tau_j))))*Salcycl</f>
        <v>7.8358732603754769E-2</v>
      </c>
      <c r="P367" s="171">
        <f>(INDEX(Models!$BJ367:$BT367,,T367)*(1-R367)+INDEX(Models!$BJ367:$BT367,,T367+1)*R367-ERP_i)*Q367*Ramure*Pc/MaxiM</f>
        <v>0.22595664229229032</v>
      </c>
      <c r="Q367" s="307">
        <f t="shared" si="130"/>
        <v>1</v>
      </c>
      <c r="R367" s="179">
        <f t="shared" si="131"/>
        <v>9.974480521381146E-2</v>
      </c>
      <c r="S367" s="837">
        <f t="shared" si="132"/>
        <v>2</v>
      </c>
      <c r="T367" s="178">
        <f t="shared" si="133"/>
        <v>8</v>
      </c>
      <c r="U367" s="253">
        <f t="shared" si="134"/>
        <v>2.0997448052138115</v>
      </c>
      <c r="V367" s="385">
        <f t="shared" si="135"/>
        <v>12.291661426419269</v>
      </c>
      <c r="W367" s="404">
        <f t="shared" si="136"/>
        <v>10.443720110494874</v>
      </c>
      <c r="X367" s="157">
        <f t="shared" si="137"/>
        <v>45644</v>
      </c>
      <c r="Y367" s="387">
        <f t="shared" si="138"/>
        <v>9.8992708904882392</v>
      </c>
      <c r="Z367" s="387">
        <f t="shared" si="139"/>
        <v>10.451102900650049</v>
      </c>
      <c r="AA367" s="388">
        <f t="shared" si="140"/>
        <v>11.963333973823728</v>
      </c>
      <c r="AB367" s="199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0.12640548834317455</v>
      </c>
      <c r="AD367" s="233">
        <f>(INDEX(Models!$BJ367:$BT367,,AH367)*(1-AF367)+INDEX(Models!$BJ367:$BT367,,AH367+1)*AF367-ERP_i)*AE367*Ramure*Pc/MaxiM</f>
        <v>0.22595664229229032</v>
      </c>
      <c r="AE367" s="307">
        <f t="shared" si="142"/>
        <v>1</v>
      </c>
      <c r="AF367" s="179">
        <f t="shared" si="143"/>
        <v>9.974480521381146E-2</v>
      </c>
      <c r="AG367" s="837">
        <f t="shared" si="149"/>
        <v>2</v>
      </c>
      <c r="AH367" s="178">
        <f t="shared" si="144"/>
        <v>8</v>
      </c>
      <c r="AI367" s="227">
        <f t="shared" si="145"/>
        <v>2.0997448052138115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45645</v>
      </c>
      <c r="B368" s="1139">
        <f>IF(t&gt;Tmaj,'2023'!Wh/'2023'!Env_an*'2024'!Env_an,0.001*'[14]mon-tableau (2)'!$B$227)</f>
        <v>3.3189548708234535</v>
      </c>
      <c r="C368" s="866"/>
      <c r="D368" s="395">
        <f t="shared" si="127"/>
        <v>3.5040506004126484</v>
      </c>
      <c r="E368" s="387">
        <f t="shared" si="150"/>
        <v>3.8026527677203421</v>
      </c>
      <c r="F368" s="387">
        <f t="shared" si="128"/>
        <v>3.8026527677203421</v>
      </c>
      <c r="G368" s="110">
        <f t="shared" si="151"/>
        <v>0.20902780988322034</v>
      </c>
      <c r="H368" s="414" t="b">
        <f>Wh_hp&gt;='2023'!Maxi_hp</f>
        <v>0</v>
      </c>
      <c r="I368" s="392">
        <f>IF(H368,Wh_hp,'2023'!Maxi_hp)</f>
        <v>18.802231330650311</v>
      </c>
      <c r="J368" s="85">
        <f>IF(H368,An,'2023'!An_max)</f>
        <v>2021</v>
      </c>
      <c r="K368" s="199">
        <f t="shared" si="129"/>
        <v>45645</v>
      </c>
      <c r="L368" s="147">
        <f>IF(t&lt;Tvie,1-EXP((T0-t)*PertePVj)+'2023'!Pspv,1-EXP((T0-t)*PertePVj)+Pspv)</f>
        <v>5.2823360931887664E-2</v>
      </c>
      <c r="M368" s="870"/>
      <c r="N368" s="870"/>
      <c r="O368" s="48">
        <f>IF(t&lt;Tnet,'2023'!Resal+('2023'!Salim-'2023'!Resal)*(1-EXP(('2023'!Tnet-t)/('2023'!Tau_j))),Resal+(Salim-Resal)*(1-EXP((Tnet-t)/(Tau_j))))*Salcycl</f>
        <v>7.8524699873321085E-2</v>
      </c>
      <c r="P368" s="171">
        <f>(INDEX(Models!$BJ368:$BT368,,T368)*(1-R368)+INDEX(Models!$BJ368:$BT368,,T368+1)*R368-ERP_i)*Q368*Ramure*Pc/MaxiM</f>
        <v>0.22601279208816352</v>
      </c>
      <c r="Q368" s="307">
        <f t="shared" si="130"/>
        <v>1</v>
      </c>
      <c r="R368" s="179">
        <f t="shared" si="131"/>
        <v>9.9755365375785221E-2</v>
      </c>
      <c r="S368" s="837">
        <f t="shared" si="132"/>
        <v>2</v>
      </c>
      <c r="T368" s="178">
        <f t="shared" si="133"/>
        <v>8</v>
      </c>
      <c r="U368" s="253">
        <f t="shared" si="134"/>
        <v>2.0997553653757852</v>
      </c>
      <c r="V368" s="385">
        <f t="shared" si="135"/>
        <v>12.289410749168679</v>
      </c>
      <c r="W368" s="404">
        <f t="shared" si="136"/>
        <v>3.3189548708234535</v>
      </c>
      <c r="X368" s="157">
        <f t="shared" si="137"/>
        <v>45645</v>
      </c>
      <c r="Y368" s="387">
        <f t="shared" si="138"/>
        <v>3.1462672933723379</v>
      </c>
      <c r="Z368" s="387">
        <f t="shared" si="139"/>
        <v>3.3217323607852274</v>
      </c>
      <c r="AA368" s="388">
        <f t="shared" si="140"/>
        <v>3.8026527677203421</v>
      </c>
      <c r="AB368" s="199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0.12646971372656307</v>
      </c>
      <c r="AD368" s="233">
        <f>(INDEX(Models!$BJ368:$BT368,,AH368)*(1-AF368)+INDEX(Models!$BJ368:$BT368,,AH368+1)*AF368-ERP_i)*AE368*Ramure*Pc/MaxiM</f>
        <v>0.22601279208816352</v>
      </c>
      <c r="AE368" s="307">
        <f t="shared" si="142"/>
        <v>1</v>
      </c>
      <c r="AF368" s="179">
        <f t="shared" si="143"/>
        <v>9.9755365375785221E-2</v>
      </c>
      <c r="AG368" s="837">
        <f t="shared" si="149"/>
        <v>2</v>
      </c>
      <c r="AH368" s="178">
        <f t="shared" si="144"/>
        <v>8</v>
      </c>
      <c r="AI368" s="227">
        <f t="shared" si="145"/>
        <v>2.0997553653757852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45646</v>
      </c>
      <c r="B369" s="1139">
        <f>IF(t&gt;Tmaj,'2023'!Wh/'2023'!Env_an*'2024'!Env_an,0.001*'[14]mon-tableau (2)'!$B$228)</f>
        <v>12.100341666425322</v>
      </c>
      <c r="C369" s="866"/>
      <c r="D369" s="395">
        <f t="shared" si="127"/>
        <v>12.775466334887531</v>
      </c>
      <c r="E369" s="387">
        <f t="shared" si="150"/>
        <v>13.866654148092966</v>
      </c>
      <c r="F369" s="387">
        <f t="shared" si="128"/>
        <v>17.795793942109608</v>
      </c>
      <c r="G369" s="110">
        <f t="shared" si="151"/>
        <v>0.97757883795992351</v>
      </c>
      <c r="H369" s="414" t="b">
        <f>Wh_hp&gt;='2023'!Maxi_hp</f>
        <v>0</v>
      </c>
      <c r="I369" s="392">
        <f>IF(H369,Wh_hp,'2023'!Maxi_hp)</f>
        <v>17.850386035050892</v>
      </c>
      <c r="J369" s="85">
        <f>IF(H369,An,'2023'!An_max)</f>
        <v>2022</v>
      </c>
      <c r="K369" s="199">
        <f t="shared" si="129"/>
        <v>45646</v>
      </c>
      <c r="L369" s="147">
        <f>IF(t&lt;Tvie,1-EXP((T0-t)*PertePVj)+'2023'!Pspv,1-EXP((T0-t)*PertePVj)+Pspv)</f>
        <v>5.2845403116014822E-2</v>
      </c>
      <c r="M369" s="870"/>
      <c r="N369" s="870"/>
      <c r="O369" s="48">
        <f>IF(t&lt;Tnet,'2023'!Resal+('2023'!Salim-'2023'!Resal)*(1-EXP(('2023'!Tnet-t)/('2023'!Tau_j))),Resal+(Salim-Resal)*(1-EXP((Tnet-t)/(Tau_j))))*Salcycl</f>
        <v>7.8691499878180873E-2</v>
      </c>
      <c r="P369" s="171">
        <f>(INDEX(Models!$BJ369:$BT369,,T369)*(1-R369)+INDEX(Models!$BJ369:$BT369,,T369+1)*R369-ERP_i)*Q369*Ramure*Pc/MaxiM</f>
        <v>0.22593142152803442</v>
      </c>
      <c r="Q369" s="307">
        <f t="shared" si="130"/>
        <v>1</v>
      </c>
      <c r="R369" s="179">
        <f t="shared" si="131"/>
        <v>9.976550065420664E-2</v>
      </c>
      <c r="S369" s="837">
        <f t="shared" si="132"/>
        <v>2</v>
      </c>
      <c r="T369" s="178">
        <f t="shared" si="133"/>
        <v>8</v>
      </c>
      <c r="U369" s="253">
        <f t="shared" si="134"/>
        <v>2.0997655006542066</v>
      </c>
      <c r="V369" s="385">
        <f t="shared" si="135"/>
        <v>12.296201313287732</v>
      </c>
      <c r="W369" s="404">
        <f t="shared" si="136"/>
        <v>12.100341666425322</v>
      </c>
      <c r="X369" s="157">
        <f t="shared" si="137"/>
        <v>45646</v>
      </c>
      <c r="Y369" s="387">
        <f t="shared" si="138"/>
        <v>11.471961742822977</v>
      </c>
      <c r="Z369" s="387">
        <f t="shared" si="139"/>
        <v>12.112026675016129</v>
      </c>
      <c r="AA369" s="388">
        <f t="shared" si="140"/>
        <v>13.866654148092966</v>
      </c>
      <c r="AB369" s="199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0.12653574931182263</v>
      </c>
      <c r="AD369" s="233">
        <f>(INDEX(Models!$BJ369:$BT369,,AH369)*(1-AF369)+INDEX(Models!$BJ369:$BT369,,AH369+1)*AF369-ERP_i)*AE369*Ramure*Pc/MaxiM</f>
        <v>0.22593142152803442</v>
      </c>
      <c r="AE369" s="307">
        <f t="shared" si="142"/>
        <v>1</v>
      </c>
      <c r="AF369" s="179">
        <f t="shared" si="143"/>
        <v>9.976550065420664E-2</v>
      </c>
      <c r="AG369" s="837">
        <f t="shared" si="149"/>
        <v>2</v>
      </c>
      <c r="AH369" s="178">
        <f t="shared" si="144"/>
        <v>8</v>
      </c>
      <c r="AI369" s="227">
        <f t="shared" si="145"/>
        <v>2.0997655006542066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45647</v>
      </c>
      <c r="B370" s="1139">
        <f>IF(t&gt;Tmaj,'2023'!Wh/'2023'!Env_an*'2024'!Env_an,0.001*'[14]mon-tableau (2)'!$B$229)</f>
        <v>10.73481325414776</v>
      </c>
      <c r="C370" s="866"/>
      <c r="D370" s="395">
        <f t="shared" si="127"/>
        <v>11.334013591936714</v>
      </c>
      <c r="E370" s="387">
        <f t="shared" si="150"/>
        <v>12.304320612542577</v>
      </c>
      <c r="F370" s="387">
        <f t="shared" si="128"/>
        <v>15.086275905838264</v>
      </c>
      <c r="G370" s="110">
        <f t="shared" si="151"/>
        <v>0.82772920179436738</v>
      </c>
      <c r="H370" s="414" t="b">
        <f>Wh_hp&gt;='2023'!Maxi_hp</f>
        <v>0</v>
      </c>
      <c r="I370" s="392">
        <f>IF(H370,Wh_hp,'2023'!Maxi_hp)</f>
        <v>17.758391649876643</v>
      </c>
      <c r="J370" s="85">
        <f>IF(H370,An,'2023'!An_max)</f>
        <v>2021</v>
      </c>
      <c r="K370" s="199">
        <f t="shared" si="129"/>
        <v>45647</v>
      </c>
      <c r="L370" s="147">
        <f>IF(t&lt;Tvie,1-EXP((T0-t)*PertePVj)+'2023'!Pspv,1-EXP((T0-t)*PertePVj)+Pspv)</f>
        <v>5.2867444787188189E-2</v>
      </c>
      <c r="M370" s="870"/>
      <c r="N370" s="870"/>
      <c r="O370" s="48">
        <f>IF(t&lt;Tnet,'2023'!Resal+('2023'!Salim-'2023'!Resal)*(1-EXP(('2023'!Tnet-t)/('2023'!Tau_j))),Resal+(Salim-Resal)*(1-EXP((Tnet-t)/(Tau_j))))*Salcycl</f>
        <v>7.8859048878876584E-2</v>
      </c>
      <c r="P370" s="171">
        <f>(INDEX(Models!$BJ370:$BT370,,T370)*(1-R370)+INDEX(Models!$BJ370:$BT370,,T370+1)*R370-ERP_i)*Q370*Ramure*Pc/MaxiM</f>
        <v>0.22571183100530673</v>
      </c>
      <c r="Q370" s="307">
        <f t="shared" si="130"/>
        <v>1</v>
      </c>
      <c r="R370" s="179">
        <f t="shared" si="131"/>
        <v>9.977522813252282E-2</v>
      </c>
      <c r="S370" s="837">
        <f t="shared" si="132"/>
        <v>2</v>
      </c>
      <c r="T370" s="178">
        <f t="shared" si="133"/>
        <v>8</v>
      </c>
      <c r="U370" s="253">
        <f t="shared" si="134"/>
        <v>2.0997752281325228</v>
      </c>
      <c r="V370" s="385">
        <f t="shared" si="135"/>
        <v>12.312131548573308</v>
      </c>
      <c r="W370" s="404">
        <f t="shared" si="136"/>
        <v>10.73481325414776</v>
      </c>
      <c r="X370" s="157">
        <f t="shared" si="137"/>
        <v>45647</v>
      </c>
      <c r="Y370" s="387">
        <f t="shared" si="138"/>
        <v>10.178408471846778</v>
      </c>
      <c r="Z370" s="387">
        <f t="shared" si="139"/>
        <v>10.746551172617844</v>
      </c>
      <c r="AA370" s="388">
        <f t="shared" si="140"/>
        <v>12.304320612542577</v>
      </c>
      <c r="AB370" s="199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0.12660345003825729</v>
      </c>
      <c r="AD370" s="233">
        <f>(INDEX(Models!$BJ370:$BT370,,AH370)*(1-AF370)+INDEX(Models!$BJ370:$BT370,,AH370+1)*AF370-ERP_i)*AE370*Ramure*Pc/MaxiM</f>
        <v>0.22571183100530673</v>
      </c>
      <c r="AE370" s="307">
        <f t="shared" si="142"/>
        <v>1</v>
      </c>
      <c r="AF370" s="179">
        <f t="shared" si="143"/>
        <v>9.977522813252282E-2</v>
      </c>
      <c r="AG370" s="837">
        <f t="shared" si="149"/>
        <v>2</v>
      </c>
      <c r="AH370" s="178">
        <f t="shared" si="144"/>
        <v>8</v>
      </c>
      <c r="AI370" s="227">
        <f t="shared" si="145"/>
        <v>2.0997752281325228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45648</v>
      </c>
      <c r="B371" s="1139">
        <f>IF(t&gt;Tmaj,'2023'!Wh/'2023'!Env_an*'2024'!Env_an,0.001*'[14]mon-tableau (2)'!$B$230)</f>
        <v>11.250598402084371</v>
      </c>
      <c r="C371" s="866"/>
      <c r="D371" s="395">
        <f t="shared" si="127"/>
        <v>11.87886549154708</v>
      </c>
      <c r="E371" s="387">
        <f t="shared" si="150"/>
        <v>12.898172813307289</v>
      </c>
      <c r="F371" s="387">
        <f t="shared" si="128"/>
        <v>16.062408743403939</v>
      </c>
      <c r="G371" s="110">
        <f t="shared" si="151"/>
        <v>0.87971376210257624</v>
      </c>
      <c r="H371" s="414" t="b">
        <f>Wh_hp&gt;='2023'!Maxi_hp</f>
        <v>0</v>
      </c>
      <c r="I371" s="392">
        <f>IF(H371,Wh_hp,'2023'!Maxi_hp)</f>
        <v>16.329649322578813</v>
      </c>
      <c r="J371" s="85">
        <f>IF(H371,An,'2023'!An_max)</f>
        <v>2022</v>
      </c>
      <c r="K371" s="199">
        <f t="shared" si="129"/>
        <v>45648</v>
      </c>
      <c r="L371" s="147">
        <f>IF(t&lt;Tvie,1-EXP((T0-t)*PertePVj)+'2023'!Pspv,1-EXP((T0-t)*PertePVj)+Pspv)</f>
        <v>5.2889485945419534E-2</v>
      </c>
      <c r="M371" s="870"/>
      <c r="N371" s="870"/>
      <c r="O371" s="48">
        <f>IF(t&lt;Tnet,'2023'!Resal+('2023'!Salim-'2023'!Resal)*(1-EXP(('2023'!Tnet-t)/('2023'!Tau_j))),Resal+(Salim-Resal)*(1-EXP((Tnet-t)/(Tau_j))))*Salcycl</f>
        <v>7.9027265064131463E-2</v>
      </c>
      <c r="P371" s="171">
        <f>(INDEX(Models!$BJ371:$BT371,,T371)*(1-R371)+INDEX(Models!$BJ371:$BT371,,T371+1)*R371-ERP_i)*Q371*Ramure*Pc/MaxiM</f>
        <v>0.22535326633163141</v>
      </c>
      <c r="Q371" s="307">
        <f t="shared" si="130"/>
        <v>1</v>
      </c>
      <c r="R371" s="179">
        <f t="shared" si="131"/>
        <v>9.977522813252282E-2</v>
      </c>
      <c r="S371" s="837">
        <f t="shared" si="132"/>
        <v>2</v>
      </c>
      <c r="T371" s="178">
        <f t="shared" si="133"/>
        <v>8</v>
      </c>
      <c r="U371" s="253">
        <f t="shared" si="134"/>
        <v>2.0997752281325228</v>
      </c>
      <c r="V371" s="385">
        <f t="shared" si="135"/>
        <v>12.337308150857266</v>
      </c>
      <c r="W371" s="404">
        <f t="shared" si="136"/>
        <v>11.250598402084371</v>
      </c>
      <c r="X371" s="157">
        <f t="shared" si="137"/>
        <v>45648</v>
      </c>
      <c r="Y371" s="387">
        <f t="shared" si="138"/>
        <v>10.668562309490344</v>
      </c>
      <c r="Z371" s="387">
        <f t="shared" si="139"/>
        <v>11.264326761423252</v>
      </c>
      <c r="AA371" s="388">
        <f t="shared" si="140"/>
        <v>12.898172813307287</v>
      </c>
      <c r="AB371" s="199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0.12667267492325462</v>
      </c>
      <c r="AD371" s="233">
        <f>(INDEX(Models!$BJ371:$BT371,,AH371)*(1-AF371)+INDEX(Models!$BJ371:$BT371,,AH371+1)*AF371-ERP_i)*AE371*Ramure*Pc/MaxiM</f>
        <v>0.22535326633163141</v>
      </c>
      <c r="AE371" s="307">
        <f t="shared" si="142"/>
        <v>1</v>
      </c>
      <c r="AF371" s="179">
        <f t="shared" si="143"/>
        <v>9.977522813252282E-2</v>
      </c>
      <c r="AG371" s="837">
        <f t="shared" si="149"/>
        <v>2</v>
      </c>
      <c r="AH371" s="178">
        <f t="shared" si="144"/>
        <v>8</v>
      </c>
      <c r="AI371" s="227">
        <f t="shared" si="145"/>
        <v>2.0997752281325228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45649</v>
      </c>
      <c r="B372" s="1139">
        <f>IF(t&gt;Tmaj,'2023'!Wh/'2023'!Env_an*'2024'!Env_an,0.001*'[14]mon-tableau (2)'!$B$231)</f>
        <v>12.814856798361699</v>
      </c>
      <c r="C372" s="866"/>
      <c r="D372" s="395">
        <f t="shared" si="127"/>
        <v>13.530791640015906</v>
      </c>
      <c r="E372" s="387">
        <f t="shared" si="150"/>
        <v>14.694541568092681</v>
      </c>
      <c r="F372" s="387">
        <f t="shared" si="128"/>
        <v>18.957181052151117</v>
      </c>
      <c r="G372" s="110">
        <f t="shared" si="151"/>
        <v>1.0358096498659237</v>
      </c>
      <c r="H372" s="414" t="b">
        <f>Wh_hp&gt;='2023'!Maxi_hp</f>
        <v>1</v>
      </c>
      <c r="I372" s="392">
        <f>IF(H372,Wh_hp,'2023'!Maxi_hp)</f>
        <v>18.957181052151117</v>
      </c>
      <c r="J372" s="85">
        <f>IF(H372,An,'2023'!An_max)</f>
        <v>2024</v>
      </c>
      <c r="K372" s="199">
        <f t="shared" si="129"/>
        <v>45649</v>
      </c>
      <c r="L372" s="147">
        <f>IF(t&lt;Tvie,1-EXP((T0-t)*PertePVj)+'2023'!Pspv,1-EXP((T0-t)*PertePVj)+Pspv)</f>
        <v>5.2911526590720959E-2</v>
      </c>
      <c r="M372" s="870"/>
      <c r="N372" s="870"/>
      <c r="O372" s="48">
        <f>IF(t&lt;Tnet,'2023'!Resal+('2023'!Salim-'2023'!Resal)*(1-EXP(('2023'!Tnet-t)/('2023'!Tau_j))),Resal+(Salim-Resal)*(1-EXP((Tnet-t)/(Tau_j))))*Salcycl</f>
        <v>7.9196069008624984E-2</v>
      </c>
      <c r="P372" s="171">
        <f>(INDEX(Models!$BJ372:$BT372,,T372)*(1-R372)+INDEX(Models!$BJ372:$BT372,,T372+1)*R372-ERP_i)*Q372*Ramure*Pc/MaxiM</f>
        <v>0.22485618892027956</v>
      </c>
      <c r="Q372" s="307">
        <f t="shared" si="130"/>
        <v>1</v>
      </c>
      <c r="R372" s="179">
        <f t="shared" si="131"/>
        <v>9.977522813252282E-2</v>
      </c>
      <c r="S372" s="837">
        <f t="shared" si="132"/>
        <v>2</v>
      </c>
      <c r="T372" s="178">
        <f t="shared" si="133"/>
        <v>8</v>
      </c>
      <c r="U372" s="253">
        <f t="shared" si="134"/>
        <v>2.0997752281325228</v>
      </c>
      <c r="V372" s="385">
        <f t="shared" si="135"/>
        <v>12.371826039678687</v>
      </c>
      <c r="W372" s="404">
        <f t="shared" si="136"/>
        <v>12.814856798361699</v>
      </c>
      <c r="X372" s="157">
        <f t="shared" si="137"/>
        <v>45649</v>
      </c>
      <c r="Y372" s="387">
        <f t="shared" si="138"/>
        <v>12.153140683906548</v>
      </c>
      <c r="Z372" s="387">
        <f t="shared" si="139"/>
        <v>12.832107057705301</v>
      </c>
      <c r="AA372" s="388">
        <f t="shared" si="140"/>
        <v>14.694541568092681</v>
      </c>
      <c r="AB372" s="199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0.12674328775464613</v>
      </c>
      <c r="AD372" s="233">
        <f>(INDEX(Models!$BJ372:$BT372,,AH372)*(1-AF372)+INDEX(Models!$BJ372:$BT372,,AH372+1)*AF372-ERP_i)*AE372*Ramure*Pc/MaxiM</f>
        <v>0.22485618892027956</v>
      </c>
      <c r="AE372" s="307">
        <f t="shared" si="142"/>
        <v>1</v>
      </c>
      <c r="AF372" s="179">
        <f t="shared" si="143"/>
        <v>9.977522813252282E-2</v>
      </c>
      <c r="AG372" s="837">
        <f t="shared" si="149"/>
        <v>2</v>
      </c>
      <c r="AH372" s="178">
        <f t="shared" si="144"/>
        <v>8</v>
      </c>
      <c r="AI372" s="227">
        <f t="shared" si="145"/>
        <v>2.0997752281325228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45650</v>
      </c>
      <c r="B373" s="1139">
        <f>IF(t&gt;Tmaj,'2023'!Wh/'2023'!Env_an*'2024'!Env_an,0.001*'[14]mon-tableau (2)'!$B$232)</f>
        <v>7.2474020974634943</v>
      </c>
      <c r="C373" s="866"/>
      <c r="D373" s="395">
        <f t="shared" si="127"/>
        <v>7.6524748875188546</v>
      </c>
      <c r="E373" s="387">
        <f t="shared" si="150"/>
        <v>8.3121737498304835</v>
      </c>
      <c r="F373" s="387">
        <f t="shared" si="128"/>
        <v>9.1430537708680912</v>
      </c>
      <c r="G373" s="110">
        <f t="shared" si="151"/>
        <v>0.49809888811449554</v>
      </c>
      <c r="H373" s="414" t="b">
        <f>Wh_hp&gt;='2023'!Maxi_hp</f>
        <v>0</v>
      </c>
      <c r="I373" s="392">
        <f>IF(H373,Wh_hp,'2023'!Maxi_hp)</f>
        <v>13.907050225818837</v>
      </c>
      <c r="J373" s="85">
        <f>IF(H373,An,'2023'!An_max)</f>
        <v>2018</v>
      </c>
      <c r="K373" s="199">
        <f t="shared" si="129"/>
        <v>45650</v>
      </c>
      <c r="L373" s="147">
        <f>IF(t&lt;Tvie,1-EXP((T0-t)*PertePVj)+'2023'!Pspv,1-EXP((T0-t)*PertePVj)+Pspv)</f>
        <v>5.2933566723104453E-2</v>
      </c>
      <c r="M373" s="870"/>
      <c r="N373" s="870"/>
      <c r="O373" s="48">
        <f>IF(t&lt;Tnet,'2023'!Resal+('2023'!Salim-'2023'!Resal)*(1-EXP(('2023'!Tnet-t)/('2023'!Tau_j))),Resal+(Salim-Resal)*(1-EXP((Tnet-t)/(Tau_j))))*Salcycl</f>
        <v>7.9365384094032293E-2</v>
      </c>
      <c r="P373" s="171">
        <f>(INDEX(Models!$BJ373:$BT373,,T373)*(1-R373)+INDEX(Models!$BJ373:$BT373,,T373+1)*R373-ERP_i)*Q373*Ramure*Pc/MaxiM</f>
        <v>0.22421660371978686</v>
      </c>
      <c r="Q373" s="307">
        <f t="shared" si="130"/>
        <v>1</v>
      </c>
      <c r="R373" s="179">
        <f t="shared" si="131"/>
        <v>9.977522813252282E-2</v>
      </c>
      <c r="S373" s="837">
        <f t="shared" si="132"/>
        <v>2</v>
      </c>
      <c r="T373" s="178">
        <f t="shared" si="133"/>
        <v>8</v>
      </c>
      <c r="U373" s="253">
        <f t="shared" si="134"/>
        <v>2.0997752281325228</v>
      </c>
      <c r="V373" s="385">
        <f t="shared" si="135"/>
        <v>12.41606354410396</v>
      </c>
      <c r="W373" s="404">
        <f t="shared" si="136"/>
        <v>7.2474020974634943</v>
      </c>
      <c r="X373" s="157">
        <f t="shared" si="137"/>
        <v>45650</v>
      </c>
      <c r="Y373" s="387">
        <f t="shared" si="138"/>
        <v>6.8738689031354703</v>
      </c>
      <c r="Z373" s="387">
        <f t="shared" si="139"/>
        <v>7.2580641247642497</v>
      </c>
      <c r="AA373" s="388">
        <f t="shared" si="140"/>
        <v>8.3121737498304835</v>
      </c>
      <c r="AB373" s="199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0.126815157718248</v>
      </c>
      <c r="AD373" s="233">
        <f>(INDEX(Models!$BJ373:$BT373,,AH373)*(1-AF373)+INDEX(Models!$BJ373:$BT373,,AH373+1)*AF373-ERP_i)*AE373*Ramure*Pc/MaxiM</f>
        <v>0.22421660371978686</v>
      </c>
      <c r="AE373" s="307">
        <f t="shared" si="142"/>
        <v>1</v>
      </c>
      <c r="AF373" s="179">
        <f t="shared" si="143"/>
        <v>9.977522813252282E-2</v>
      </c>
      <c r="AG373" s="837">
        <f t="shared" si="149"/>
        <v>2</v>
      </c>
      <c r="AH373" s="178">
        <f t="shared" si="144"/>
        <v>8</v>
      </c>
      <c r="AI373" s="227">
        <f t="shared" si="145"/>
        <v>2.0997752281325228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45651</v>
      </c>
      <c r="B374" s="1139">
        <f>IF(t&gt;Tmaj,'2023'!Wh/'2023'!Env_an*'2024'!Env_an,0.001*'[14]mon-tableau (2)'!$B$233)</f>
        <v>11.277266596254551</v>
      </c>
      <c r="C374" s="866"/>
      <c r="D374" s="395">
        <f t="shared" si="127"/>
        <v>11.907854237648298</v>
      </c>
      <c r="E374" s="387">
        <f t="shared" si="150"/>
        <v>12.936783048322031</v>
      </c>
      <c r="F374" s="387">
        <f t="shared" si="128"/>
        <v>16.028727501611446</v>
      </c>
      <c r="G374" s="110">
        <f t="shared" si="151"/>
        <v>0.87012649460059732</v>
      </c>
      <c r="H374" s="414" t="b">
        <f>Wh_hp&gt;='2023'!Maxi_hp</f>
        <v>0</v>
      </c>
      <c r="I374" s="392">
        <f>IF(H374,Wh_hp,'2023'!Maxi_hp)</f>
        <v>17.58318067946076</v>
      </c>
      <c r="J374" s="85">
        <f>IF(H374,An,'2023'!An_max)</f>
        <v>2018</v>
      </c>
      <c r="K374" s="199">
        <f t="shared" si="129"/>
        <v>45651</v>
      </c>
      <c r="L374" s="147">
        <f>IF(t&lt;Tvie,1-EXP((T0-t)*PertePVj)+'2023'!Pspv,1-EXP((T0-t)*PertePVj)+Pspv)</f>
        <v>5.2955606342581785E-2</v>
      </c>
      <c r="M374" s="870"/>
      <c r="N374" s="870"/>
      <c r="O374" s="48">
        <f>IF(t&lt;Tnet,'2023'!Resal+('2023'!Salim-'2023'!Resal)*(1-EXP(('2023'!Tnet-t)/('2023'!Tau_j))),Resal+(Salim-Resal)*(1-EXP((Tnet-t)/(Tau_j))))*Salcycl</f>
        <v>7.9535136890711816E-2</v>
      </c>
      <c r="P374" s="171">
        <f>(INDEX(Models!$BJ374:$BT374,,T374)*(1-R374)+INDEX(Models!$BJ374:$BT374,,T374+1)*R374-ERP_i)*Q374*Ramure*Pc/MaxiM</f>
        <v>0.22343428091099707</v>
      </c>
      <c r="Q374" s="307">
        <f t="shared" si="130"/>
        <v>1</v>
      </c>
      <c r="R374" s="179">
        <f t="shared" si="131"/>
        <v>9.977522813252282E-2</v>
      </c>
      <c r="S374" s="837">
        <f t="shared" si="132"/>
        <v>2</v>
      </c>
      <c r="T374" s="178">
        <f t="shared" si="133"/>
        <v>8</v>
      </c>
      <c r="U374" s="253">
        <f t="shared" si="134"/>
        <v>2.0997752281325228</v>
      </c>
      <c r="V374" s="385">
        <f t="shared" si="135"/>
        <v>12.470171327301259</v>
      </c>
      <c r="W374" s="404">
        <f t="shared" si="136"/>
        <v>11.277266596254551</v>
      </c>
      <c r="X374" s="157">
        <f t="shared" si="137"/>
        <v>45651</v>
      </c>
      <c r="Y374" s="387">
        <f t="shared" si="138"/>
        <v>10.697111191456829</v>
      </c>
      <c r="Z374" s="387">
        <f t="shared" si="139"/>
        <v>11.2952584515551</v>
      </c>
      <c r="AA374" s="388">
        <f t="shared" si="140"/>
        <v>12.936783048322029</v>
      </c>
      <c r="AB374" s="199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0.12688815995718855</v>
      </c>
      <c r="AD374" s="233">
        <f>(INDEX(Models!$BJ374:$BT374,,AH374)*(1-AF374)+INDEX(Models!$BJ374:$BT374,,AH374+1)*AF374-ERP_i)*AE374*Ramure*Pc/MaxiM</f>
        <v>0.22343428091099707</v>
      </c>
      <c r="AE374" s="307">
        <f t="shared" si="142"/>
        <v>1</v>
      </c>
      <c r="AF374" s="179">
        <f t="shared" si="143"/>
        <v>9.977522813252282E-2</v>
      </c>
      <c r="AG374" s="837">
        <f t="shared" si="149"/>
        <v>2</v>
      </c>
      <c r="AH374" s="178">
        <f t="shared" si="144"/>
        <v>8</v>
      </c>
      <c r="AI374" s="227">
        <f t="shared" si="145"/>
        <v>2.0997752281325228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45652</v>
      </c>
      <c r="B375" s="1139">
        <f>IF(t&gt;Tmaj,'2023'!Wh/'2023'!Env_an*'2024'!Env_an,0.001*'[14]mon-tableau (2)'!$B$234)</f>
        <v>5.3765950195782191</v>
      </c>
      <c r="C375" s="866"/>
      <c r="D375" s="395">
        <f t="shared" si="127"/>
        <v>5.677368642610654</v>
      </c>
      <c r="E375" s="387">
        <f t="shared" si="150"/>
        <v>6.1690764712775925</v>
      </c>
      <c r="F375" s="387">
        <f t="shared" si="128"/>
        <v>6.4326438654536542</v>
      </c>
      <c r="G375" s="110">
        <f t="shared" si="151"/>
        <v>0.34776176292178235</v>
      </c>
      <c r="H375" s="414" t="b">
        <f>Wh_hp&gt;='2023'!Maxi_hp</f>
        <v>0</v>
      </c>
      <c r="I375" s="392">
        <f>IF(H375,Wh_hp,'2023'!Maxi_hp)</f>
        <v>17.819544852558497</v>
      </c>
      <c r="J375" s="85">
        <f>IF(H375,An,'2023'!An_max)</f>
        <v>2018</v>
      </c>
      <c r="K375" s="199">
        <f t="shared" si="129"/>
        <v>45652</v>
      </c>
      <c r="L375" s="147">
        <f>IF(t&lt;Tvie,1-EXP((T0-t)*PertePVj)+'2023'!Pspv,1-EXP((T0-t)*PertePVj)+Pspv)</f>
        <v>5.2977645449165056E-2</v>
      </c>
      <c r="M375" s="870"/>
      <c r="N375" s="870"/>
      <c r="O375" s="48">
        <f>IF(t&lt;Tnet,'2023'!Resal+('2023'!Salim-'2023'!Resal)*(1-EXP(('2023'!Tnet-t)/('2023'!Tau_j))),Resal+(Salim-Resal)*(1-EXP((Tnet-t)/(Tau_j))))*Salcycl</f>
        <v>7.9705257497822424E-2</v>
      </c>
      <c r="P375" s="171">
        <f>(INDEX(Models!$BJ375:$BT375,,T375)*(1-R375)+INDEX(Models!$BJ375:$BT375,,T375+1)*R375-ERP_i)*Q375*Ramure*Pc/MaxiM</f>
        <v>0.22245561244867512</v>
      </c>
      <c r="Q375" s="307">
        <f t="shared" si="130"/>
        <v>1</v>
      </c>
      <c r="R375" s="179">
        <f t="shared" si="131"/>
        <v>9.977522813252282E-2</v>
      </c>
      <c r="S375" s="837">
        <f t="shared" si="132"/>
        <v>2</v>
      </c>
      <c r="T375" s="178">
        <f t="shared" si="133"/>
        <v>8</v>
      </c>
      <c r="U375" s="253">
        <f t="shared" si="134"/>
        <v>2.0997752281325228</v>
      </c>
      <c r="V375" s="385">
        <f t="shared" si="135"/>
        <v>12.534875989608761</v>
      </c>
      <c r="W375" s="404">
        <f t="shared" si="136"/>
        <v>5.3765950195782191</v>
      </c>
      <c r="X375" s="157">
        <f t="shared" si="137"/>
        <v>45652</v>
      </c>
      <c r="Y375" s="387">
        <f t="shared" si="138"/>
        <v>5.1005081299663368</v>
      </c>
      <c r="Z375" s="387">
        <f t="shared" si="139"/>
        <v>5.3858370982018338</v>
      </c>
      <c r="AA375" s="388">
        <f t="shared" si="140"/>
        <v>6.1690764712775925</v>
      </c>
      <c r="AB375" s="199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0.12696217606029322</v>
      </c>
      <c r="AD375" s="233">
        <f>(INDEX(Models!$BJ375:$BT375,,AH375)*(1-AF375)+INDEX(Models!$BJ375:$BT375,,AH375+1)*AF375-ERP_i)*AE375*Ramure*Pc/MaxiM</f>
        <v>0.22245561244867512</v>
      </c>
      <c r="AE375" s="307">
        <f t="shared" si="142"/>
        <v>1</v>
      </c>
      <c r="AF375" s="179">
        <f t="shared" si="143"/>
        <v>9.977522813252282E-2</v>
      </c>
      <c r="AG375" s="837">
        <f t="shared" si="149"/>
        <v>2</v>
      </c>
      <c r="AH375" s="178">
        <f t="shared" si="144"/>
        <v>8</v>
      </c>
      <c r="AI375" s="227">
        <f t="shared" si="145"/>
        <v>2.0997752281325228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45653</v>
      </c>
      <c r="B376" s="1139">
        <f>IF(t&gt;Tmaj,'2023'!Wh/'2023'!Env_an*'2024'!Env_an,0.001*'[14]mon-tableau (2)'!$B$235)</f>
        <v>11.97327470035621</v>
      </c>
      <c r="C376" s="866"/>
      <c r="D376" s="395">
        <f t="shared" si="127"/>
        <v>12.643369277289851</v>
      </c>
      <c r="E376" s="387">
        <f t="shared" si="150"/>
        <v>13.740935871678902</v>
      </c>
      <c r="F376" s="387">
        <f t="shared" si="128"/>
        <v>17.291530899364712</v>
      </c>
      <c r="G376" s="110">
        <f t="shared" si="151"/>
        <v>0.9304519679150095</v>
      </c>
      <c r="H376" s="414" t="b">
        <f>Wh_hp&gt;='2023'!Maxi_hp</f>
        <v>0</v>
      </c>
      <c r="I376" s="392">
        <f>IF(H376,Wh_hp,'2023'!Maxi_hp)</f>
        <v>17.454162146130681</v>
      </c>
      <c r="J376" s="85">
        <f>IF(H376,An,'2023'!An_max)</f>
        <v>2022</v>
      </c>
      <c r="K376" s="199">
        <f t="shared" si="129"/>
        <v>45653</v>
      </c>
      <c r="L376" s="147">
        <f>IF(t&lt;Tvie,1-EXP((T0-t)*PertePVj)+'2023'!Pspv,1-EXP((T0-t)*PertePVj)+Pspv)</f>
        <v>5.2999684042866035E-2</v>
      </c>
      <c r="M376" s="870"/>
      <c r="N376" s="870"/>
      <c r="O376" s="48">
        <f>IF(t&lt;Tnet,'2023'!Resal+('2023'!Salim-'2023'!Resal)*(1-EXP(('2023'!Tnet-t)/('2023'!Tau_j))),Resal+(Salim-Resal)*(1-EXP((Tnet-t)/(Tau_j))))*Salcycl</f>
        <v>7.9875679840062302E-2</v>
      </c>
      <c r="P376" s="171">
        <f>(INDEX(Models!$BJ376:$BT376,,T376)*(1-R376)+INDEX(Models!$BJ376:$BT376,,T376+1)*R376-ERP_i)*Q376*Ramure*Pc/MaxiM</f>
        <v>0.22129571149465704</v>
      </c>
      <c r="Q376" s="307">
        <f t="shared" si="130"/>
        <v>1</v>
      </c>
      <c r="R376" s="179">
        <f t="shared" si="131"/>
        <v>9.977522813252282E-2</v>
      </c>
      <c r="S376" s="837">
        <f t="shared" si="132"/>
        <v>2</v>
      </c>
      <c r="T376" s="178">
        <f t="shared" si="133"/>
        <v>8</v>
      </c>
      <c r="U376" s="253">
        <f t="shared" si="134"/>
        <v>2.0997752281325228</v>
      </c>
      <c r="V376" s="385">
        <f t="shared" si="135"/>
        <v>12.609814172683926</v>
      </c>
      <c r="W376" s="404">
        <f t="shared" si="136"/>
        <v>11.97327470035621</v>
      </c>
      <c r="X376" s="157">
        <f t="shared" si="137"/>
        <v>45653</v>
      </c>
      <c r="Y376" s="387">
        <f t="shared" si="138"/>
        <v>11.359578746082358</v>
      </c>
      <c r="Z376" s="387">
        <f t="shared" si="139"/>
        <v>11.995327303139517</v>
      </c>
      <c r="AA376" s="388">
        <f t="shared" si="140"/>
        <v>13.7409358716789</v>
      </c>
      <c r="AB376" s="199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0.12703709447747397</v>
      </c>
      <c r="AD376" s="233">
        <f>(INDEX(Models!$BJ376:$BT376,,AH376)*(1-AF376)+INDEX(Models!$BJ376:$BT376,,AH376+1)*AF376-ERP_i)*AE376*Ramure*Pc/MaxiM</f>
        <v>0.22129571149465704</v>
      </c>
      <c r="AE376" s="307">
        <f t="shared" si="142"/>
        <v>1</v>
      </c>
      <c r="AF376" s="179">
        <f t="shared" si="143"/>
        <v>9.977522813252282E-2</v>
      </c>
      <c r="AG376" s="837">
        <f t="shared" si="149"/>
        <v>2</v>
      </c>
      <c r="AH376" s="178">
        <f t="shared" si="144"/>
        <v>8</v>
      </c>
      <c r="AI376" s="227">
        <f t="shared" si="145"/>
        <v>2.0997752281325228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45654</v>
      </c>
      <c r="B377" s="1139">
        <f>IF(t&gt;Tmaj,'2023'!Wh/'2023'!Env_an*'2024'!Env_an,0.001*'[14]mon-tableau (2)'!$B$236)</f>
        <v>8.0528208726881179</v>
      </c>
      <c r="C377" s="866"/>
      <c r="D377" s="395">
        <f t="shared" si="127"/>
        <v>8.5037017857974551</v>
      </c>
      <c r="E377" s="387">
        <f t="shared" si="150"/>
        <v>9.2436197313916164</v>
      </c>
      <c r="F377" s="387">
        <f t="shared" si="128"/>
        <v>10.328765835016</v>
      </c>
      <c r="G377" s="110">
        <f t="shared" si="151"/>
        <v>0.55289913918398514</v>
      </c>
      <c r="H377" s="414" t="b">
        <f>Wh_hp&gt;='2023'!Maxi_hp</f>
        <v>0</v>
      </c>
      <c r="I377" s="392">
        <f>IF(H377,Wh_hp,'2023'!Maxi_hp)</f>
        <v>19.042847861253957</v>
      </c>
      <c r="J377" s="85">
        <f>IF(H377,An,'2023'!An_max)</f>
        <v>2019</v>
      </c>
      <c r="K377" s="199">
        <f t="shared" si="129"/>
        <v>45654</v>
      </c>
      <c r="L377" s="147">
        <f>IF(t&lt;Tvie,1-EXP((T0-t)*PertePVj)+'2023'!Pspv,1-EXP((T0-t)*PertePVj)+Pspv)</f>
        <v>5.3021722123696824E-2</v>
      </c>
      <c r="M377" s="870"/>
      <c r="N377" s="870"/>
      <c r="O377" s="48">
        <f>IF(t&lt;Tnet,'2023'!Resal+('2023'!Salim-'2023'!Resal)*(1-EXP(('2023'!Tnet-t)/('2023'!Tau_j))),Resal+(Salim-Resal)*(1-EXP((Tnet-t)/(Tau_j))))*Salcycl</f>
        <v>8.0046341919646255E-2</v>
      </c>
      <c r="P377" s="171">
        <f>(INDEX(Models!$BJ377:$BT377,,T377)*(1-R377)+INDEX(Models!$BJ377:$BT377,,T377+1)*R377-ERP_i)*Q377*Ramure*Pc/MaxiM</f>
        <v>0.21996154122438563</v>
      </c>
      <c r="Q377" s="307">
        <f t="shared" si="130"/>
        <v>1</v>
      </c>
      <c r="R377" s="179">
        <f t="shared" si="131"/>
        <v>9.977522813252282E-2</v>
      </c>
      <c r="S377" s="837">
        <f t="shared" si="132"/>
        <v>2</v>
      </c>
      <c r="T377" s="178">
        <f t="shared" si="133"/>
        <v>8</v>
      </c>
      <c r="U377" s="253">
        <f t="shared" si="134"/>
        <v>2.0997752281325228</v>
      </c>
      <c r="V377" s="385">
        <f t="shared" si="135"/>
        <v>12.694760185945322</v>
      </c>
      <c r="W377" s="404">
        <f t="shared" si="136"/>
        <v>8.0528208726881179</v>
      </c>
      <c r="X377" s="157">
        <f t="shared" si="137"/>
        <v>45654</v>
      </c>
      <c r="Y377" s="387">
        <f t="shared" si="138"/>
        <v>7.6408242028954181</v>
      </c>
      <c r="Z377" s="387">
        <f t="shared" si="139"/>
        <v>8.0686372448064567</v>
      </c>
      <c r="AA377" s="388">
        <f t="shared" si="140"/>
        <v>9.2436197313916164</v>
      </c>
      <c r="AB377" s="199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0.12711281086075879</v>
      </c>
      <c r="AD377" s="233">
        <f>(INDEX(Models!$BJ377:$BT377,,AH377)*(1-AF377)+INDEX(Models!$BJ377:$BT377,,AH377+1)*AF377-ERP_i)*AE377*Ramure*Pc/MaxiM</f>
        <v>0.21996154122438563</v>
      </c>
      <c r="AE377" s="307">
        <f t="shared" si="142"/>
        <v>1</v>
      </c>
      <c r="AF377" s="179">
        <f t="shared" si="143"/>
        <v>9.977522813252282E-2</v>
      </c>
      <c r="AG377" s="837">
        <f t="shared" si="149"/>
        <v>2</v>
      </c>
      <c r="AH377" s="178">
        <f t="shared" si="144"/>
        <v>8</v>
      </c>
      <c r="AI377" s="227">
        <f t="shared" si="145"/>
        <v>2.0997752281325228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45655</v>
      </c>
      <c r="B378" s="1139">
        <f>IF(t&gt;Tmaj,'2023'!Wh/'2023'!Env_an*'2024'!Env_an,0.001*'[14]mon-tableau (2)'!$B$237)</f>
        <v>10.245345531260236</v>
      </c>
      <c r="C378" s="866"/>
      <c r="D378" s="395">
        <f t="shared" si="127"/>
        <v>10.819238624927728</v>
      </c>
      <c r="E378" s="387">
        <f t="shared" si="150"/>
        <v>11.762818853009357</v>
      </c>
      <c r="F378" s="387">
        <f t="shared" si="128"/>
        <v>13.943247148779392</v>
      </c>
      <c r="G378" s="110">
        <f t="shared" si="151"/>
        <v>0.74212475872174266</v>
      </c>
      <c r="H378" s="414" t="b">
        <f>Wh_hp&gt;='2023'!Maxi_hp</f>
        <v>0</v>
      </c>
      <c r="I378" s="392">
        <f>IF(H378,Wh_hp,'2023'!Maxi_hp)</f>
        <v>18.153924992563482</v>
      </c>
      <c r="J378" s="85">
        <f>IF(H378,An,'2023'!An_max)</f>
        <v>2019</v>
      </c>
      <c r="K378" s="199">
        <f t="shared" si="129"/>
        <v>45655</v>
      </c>
      <c r="L378" s="147">
        <f>IF(t&lt;Tvie,1-EXP((T0-t)*PertePVj)+'2023'!Pspv,1-EXP((T0-t)*PertePVj)+Pspv)</f>
        <v>5.304375969166919E-2</v>
      </c>
      <c r="M378" s="870"/>
      <c r="N378" s="870"/>
      <c r="O378" s="48">
        <f>IF(t&lt;Tnet,'2023'!Resal+('2023'!Salim-'2023'!Resal)*(1-EXP(('2023'!Tnet-t)/('2023'!Tau_j))),Resal+(Salim-Resal)*(1-EXP((Tnet-t)/(Tau_j))))*Salcycl</f>
        <v>8.0217186022568721E-2</v>
      </c>
      <c r="P378" s="171">
        <f>(INDEX(Models!$BJ378:$BT378,,T378)*(1-R378)+INDEX(Models!$BJ378:$BT378,,T378+1)*R378-ERP_i)*Q378*Ramure*Pc/MaxiM</f>
        <v>0.21846042938015445</v>
      </c>
      <c r="Q378" s="307">
        <f t="shared" si="130"/>
        <v>1</v>
      </c>
      <c r="R378" s="179">
        <f t="shared" si="131"/>
        <v>9.977522813252282E-2</v>
      </c>
      <c r="S378" s="837">
        <f t="shared" si="132"/>
        <v>2</v>
      </c>
      <c r="T378" s="178">
        <f t="shared" si="133"/>
        <v>8</v>
      </c>
      <c r="U378" s="253">
        <f t="shared" si="134"/>
        <v>2.0997752281325228</v>
      </c>
      <c r="V378" s="385">
        <f t="shared" si="135"/>
        <v>12.789488553780476</v>
      </c>
      <c r="W378" s="404">
        <f t="shared" si="136"/>
        <v>10.245345531260236</v>
      </c>
      <c r="X378" s="157">
        <f t="shared" si="137"/>
        <v>45655</v>
      </c>
      <c r="Y378" s="387">
        <f t="shared" si="138"/>
        <v>9.7221298368176665</v>
      </c>
      <c r="Z378" s="387">
        <f t="shared" si="139"/>
        <v>10.266715000106153</v>
      </c>
      <c r="AA378" s="388">
        <f t="shared" si="140"/>
        <v>11.762818853009357</v>
      </c>
      <c r="AB378" s="199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0.12718922833028631</v>
      </c>
      <c r="AD378" s="233">
        <f>(INDEX(Models!$BJ378:$BT378,,AH378)*(1-AF378)+INDEX(Models!$BJ378:$BT378,,AH378+1)*AF378-ERP_i)*AE378*Ramure*Pc/MaxiM</f>
        <v>0.21846042938015445</v>
      </c>
      <c r="AE378" s="307">
        <f t="shared" si="142"/>
        <v>1</v>
      </c>
      <c r="AF378" s="179">
        <f t="shared" si="143"/>
        <v>9.977522813252282E-2</v>
      </c>
      <c r="AG378" s="837">
        <f t="shared" si="149"/>
        <v>2</v>
      </c>
      <c r="AH378" s="178">
        <f t="shared" si="144"/>
        <v>8</v>
      </c>
      <c r="AI378" s="227">
        <f t="shared" si="145"/>
        <v>2.0997752281325228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45656</v>
      </c>
      <c r="B379" s="1139">
        <f>IF(t&gt;Tmaj,'2023'!Wh/'2023'!Env_an*'2024'!Env_an,0.001*'[14]mon-tableau (2)'!$B$238)</f>
        <v>8.0068591759613525</v>
      </c>
      <c r="C379" s="866"/>
      <c r="D379" s="395">
        <f t="shared" si="127"/>
        <v>8.4555602157506655</v>
      </c>
      <c r="E379" s="387">
        <f t="shared" si="150"/>
        <v>9.1947056765167847</v>
      </c>
      <c r="F379" s="387">
        <f t="shared" si="128"/>
        <v>10.209693057127874</v>
      </c>
      <c r="G379" s="110">
        <f t="shared" si="151"/>
        <v>0.54004465370260757</v>
      </c>
      <c r="H379" s="414" t="b">
        <f>Wh_hp&gt;='2023'!Maxi_hp</f>
        <v>0</v>
      </c>
      <c r="I379" s="392">
        <f>IF(H379,Wh_hp,'2023'!Maxi_hp)</f>
        <v>18.304438481335758</v>
      </c>
      <c r="J379" s="85">
        <f>IF(H379,An,'2023'!An_max)</f>
        <v>2021</v>
      </c>
      <c r="K379" s="199">
        <f t="shared" si="129"/>
        <v>45656</v>
      </c>
      <c r="L379" s="147">
        <f>IF(t&lt;Tvie,1-EXP((T0-t)*PertePVj)+'2023'!Pspv,1-EXP((T0-t)*PertePVj)+Pspv)</f>
        <v>5.3065796746795235E-2</v>
      </c>
      <c r="M379" s="870"/>
      <c r="N379" s="870"/>
      <c r="O379" s="48">
        <f>IF(t&lt;Tnet,'2023'!Resal+('2023'!Salim-'2023'!Resal)*(1-EXP(('2023'!Tnet-t)/('2023'!Tau_j))),Resal+(Salim-Resal)*(1-EXP((Tnet-t)/(Tau_j))))*Salcycl</f>
        <v>8.0388158878635013E-2</v>
      </c>
      <c r="P379" s="171">
        <f>(INDEX(Models!$BJ379:$BT379,,T379)*(1-R379)+INDEX(Models!$BJ379:$BT379,,T379+1)*R379-ERP_i)*Q379*Ramure*Pc/MaxiM</f>
        <v>0.21679999714967699</v>
      </c>
      <c r="Q379" s="308">
        <f t="shared" si="130"/>
        <v>1</v>
      </c>
      <c r="R379" s="179">
        <f t="shared" si="131"/>
        <v>9.977522813252282E-2</v>
      </c>
      <c r="S379" s="837">
        <f t="shared" si="132"/>
        <v>2</v>
      </c>
      <c r="T379" s="178">
        <f t="shared" si="133"/>
        <v>8</v>
      </c>
      <c r="U379" s="309">
        <f t="shared" si="134"/>
        <v>2.0997752281325228</v>
      </c>
      <c r="V379" s="385">
        <f t="shared" si="135"/>
        <v>12.893773988224297</v>
      </c>
      <c r="W379" s="404">
        <f t="shared" si="136"/>
        <v>8.0068591759613525</v>
      </c>
      <c r="X379" s="157">
        <f t="shared" si="137"/>
        <v>45656</v>
      </c>
      <c r="Y379" s="387">
        <f t="shared" si="138"/>
        <v>7.5987018223503551</v>
      </c>
      <c r="Z379" s="387">
        <f t="shared" si="139"/>
        <v>8.0245298947328294</v>
      </c>
      <c r="AA379" s="388">
        <f t="shared" si="140"/>
        <v>9.1947056765167847</v>
      </c>
      <c r="AB379" s="199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0.12726625766527533</v>
      </c>
      <c r="AD379" s="233">
        <f>(INDEX(Models!$BJ379:$BT379,,AH379)*(1-AF379)+INDEX(Models!$BJ379:$BT379,,AH379+1)*AF379-ERP_i)*AE379*Ramure*Pc/MaxiM</f>
        <v>0.21679999714967699</v>
      </c>
      <c r="AE379" s="308">
        <f t="shared" si="142"/>
        <v>1</v>
      </c>
      <c r="AF379" s="179">
        <f t="shared" si="143"/>
        <v>9.977522813252282E-2</v>
      </c>
      <c r="AG379" s="837">
        <f t="shared" si="149"/>
        <v>2</v>
      </c>
      <c r="AH379" s="178">
        <f t="shared" si="144"/>
        <v>8</v>
      </c>
      <c r="AI379" s="224">
        <f t="shared" si="145"/>
        <v>2.0997752281325228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607">
        <f>A379+1</f>
        <v>45657</v>
      </c>
      <c r="B380" s="828">
        <f>AVERAGE(B366:B379)</f>
        <v>9.5353036693682132</v>
      </c>
      <c r="C380" s="876"/>
      <c r="D380" s="606">
        <f t="shared" si="127"/>
        <v>10.069892440487868</v>
      </c>
      <c r="E380" s="602">
        <f t="shared" si="150"/>
        <v>10.952192429846347</v>
      </c>
      <c r="F380" s="602">
        <f t="shared" si="128"/>
        <v>12.632379863658812</v>
      </c>
      <c r="G380" s="110">
        <f t="shared" si="151"/>
        <v>0.66375021965041825</v>
      </c>
      <c r="H380" s="603" t="b">
        <f>Wh_hp&gt;='2023'!Maxi_hp</f>
        <v>0</v>
      </c>
      <c r="I380" s="604">
        <f>IF(H380,Wh_hp,'2023'!Maxi_hp)</f>
        <v>13.062281165272948</v>
      </c>
      <c r="J380" s="151">
        <f>IF(H380,An,'2023'!An_max)</f>
        <v>2020</v>
      </c>
      <c r="K380" s="236">
        <f t="shared" si="129"/>
        <v>45657</v>
      </c>
      <c r="L380" s="147">
        <f>IF(t&lt;Tvie,1-EXP((T0-t)*PertePVj)+'2023'!Pspv,1-EXP((T0-t)*PertePVj)+Pspv)</f>
        <v>5.3087833289086728E-2</v>
      </c>
      <c r="M380" s="870"/>
      <c r="N380" s="870"/>
      <c r="O380" s="48">
        <f>IF(t&lt;Tnet,'2023'!Resal+('2023'!Salim-'2023'!Resal)*(1-EXP(('2023'!Tnet-t)/('2023'!Tau_j))),Resal+(Salim-Resal)*(1-EXP((Tnet-t)/(Tau_j))))*Salcycl</f>
        <v>8.0559211775176762E-2</v>
      </c>
      <c r="P380" s="233">
        <f>(INDEX(Models!$BJ380:$BT380,,T380)*(1-R380)+INDEX(Models!$BJ380:$BT380,,T380+1)*R380-ERP_i)*Q380*Ramure*Pc/MaxiM</f>
        <v>0.21498809001718849</v>
      </c>
      <c r="Q380" s="330">
        <f t="shared" si="130"/>
        <v>1</v>
      </c>
      <c r="R380" s="316">
        <f>(Hp_vg-S380)/(INDEX(Echel_vg,T380+1)-S380)</f>
        <v>9.977522813252282E-2</v>
      </c>
      <c r="S380" s="838">
        <f>INDEX(Echel_vg,T380)</f>
        <v>2</v>
      </c>
      <c r="T380" s="235">
        <f t="shared" si="133"/>
        <v>8</v>
      </c>
      <c r="U380" s="303">
        <f t="shared" si="134"/>
        <v>2.0997752281325228</v>
      </c>
      <c r="V380" s="385">
        <f t="shared" si="135"/>
        <v>13.007391365451841</v>
      </c>
      <c r="W380" s="404">
        <f t="shared" si="136"/>
        <v>9.5353036693682132</v>
      </c>
      <c r="X380" s="328">
        <f t="shared" si="137"/>
        <v>45657</v>
      </c>
      <c r="Y380" s="602">
        <f t="shared" si="138"/>
        <v>9.0501115530356628</v>
      </c>
      <c r="Z380" s="602">
        <f t="shared" si="139"/>
        <v>9.5574984367041189</v>
      </c>
      <c r="AA380" s="605">
        <f t="shared" si="140"/>
        <v>10.952192429846347</v>
      </c>
      <c r="AB380" s="236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0.12734381742065462</v>
      </c>
      <c r="AD380" s="233">
        <f>(INDEX(Models!$BJ380:$BT380,,AH380)*(1-AF380)+INDEX(Models!$BJ380:$BT380,,AH380+1)*AF380-ERP_i)*AE380*Ramure*Pc/MaxiM</f>
        <v>0.21498809001718849</v>
      </c>
      <c r="AE380" s="330">
        <f t="shared" si="142"/>
        <v>1</v>
      </c>
      <c r="AF380" s="316">
        <f>(Hp_vg_s-AG380)/(INDEX(Echel_vg,AH380+1)-AG380)</f>
        <v>9.977522813252282E-2</v>
      </c>
      <c r="AG380" s="838">
        <f>INDEX(Echel_vg,AH380)</f>
        <v>2</v>
      </c>
      <c r="AH380" s="235">
        <f t="shared" si="144"/>
        <v>8</v>
      </c>
      <c r="AI380" s="227">
        <f t="shared" si="145"/>
        <v>2.0997752281325228</v>
      </c>
      <c r="AJ380" s="267" t="b">
        <f t="shared" si="146"/>
        <v>0</v>
      </c>
      <c r="AK380" s="267" t="b">
        <f t="shared" si="147"/>
        <v>0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0.84771411605678004</v>
      </c>
      <c r="C381" s="377"/>
      <c r="D381" s="375">
        <f>MIN(D15:D380)</f>
        <v>0.89021288582027092</v>
      </c>
      <c r="E381" s="375">
        <f>MIN(E15:E380)</f>
        <v>0.9144754231293174</v>
      </c>
      <c r="F381" s="376">
        <f>MIN(F15:F380)</f>
        <v>0.9144754231293174</v>
      </c>
      <c r="G381" s="125">
        <f>+MIN(G15:G380)</f>
        <v>1.4647285019056412E-2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4.5010331625304212E-2</v>
      </c>
      <c r="M381" s="872"/>
      <c r="N381" s="872"/>
      <c r="O381" s="47">
        <f t="shared" si="152"/>
        <v>2.5579156912699436E-2</v>
      </c>
      <c r="P381" s="170">
        <f t="shared" si="152"/>
        <v>3.4653938284587727E-4</v>
      </c>
      <c r="Q381" s="312">
        <f t="shared" si="152"/>
        <v>1</v>
      </c>
      <c r="R381" s="313">
        <f t="shared" si="152"/>
        <v>1.2397927124228048E-3</v>
      </c>
      <c r="S381" s="837">
        <f t="shared" si="152"/>
        <v>1</v>
      </c>
      <c r="T381" s="178">
        <f t="shared" si="152"/>
        <v>7</v>
      </c>
      <c r="U381" s="254">
        <f>+MIN(U15:U380)</f>
        <v>1.3997770103831628</v>
      </c>
      <c r="V381" s="375">
        <f>MIN(V15:V380)</f>
        <v>12.289410749168679</v>
      </c>
      <c r="W381" s="829" t="s">
        <v>40</v>
      </c>
      <c r="X381" s="112" t="s">
        <v>7</v>
      </c>
      <c r="Y381" s="375">
        <f>MIN(Y15:Y380)</f>
        <v>0.7813766353242132</v>
      </c>
      <c r="Z381" s="375">
        <f>MIN(Z15:Z380)</f>
        <v>0.8205496832825071</v>
      </c>
      <c r="AA381" s="375">
        <f>MIN(AA15:AA380)</f>
        <v>0.9144754231293174</v>
      </c>
      <c r="AB381" s="202" t="s">
        <v>7</v>
      </c>
      <c r="AC381" s="47">
        <f t="shared" ref="AC381:AH381" si="153">MIN(AC15:AC380)</f>
        <v>0.10195101725373752</v>
      </c>
      <c r="AD381" s="170">
        <f t="shared" si="153"/>
        <v>3.4653938284587727E-4</v>
      </c>
      <c r="AE381" s="312">
        <f t="shared" si="153"/>
        <v>1</v>
      </c>
      <c r="AF381" s="313">
        <f t="shared" si="153"/>
        <v>1.2397927124228048E-3</v>
      </c>
      <c r="AG381" s="837">
        <f t="shared" si="153"/>
        <v>1</v>
      </c>
      <c r="AH381" s="178">
        <f t="shared" si="153"/>
        <v>7</v>
      </c>
      <c r="AI381" s="228">
        <f>MIN(AI15:AI380)</f>
        <v>1.3997770103831628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27.603812174653925</v>
      </c>
      <c r="C382" s="377"/>
      <c r="D382" s="377">
        <f>AVERAGE(D15:D380)</f>
        <v>29.023990045809953</v>
      </c>
      <c r="E382" s="377">
        <f>AVERAGE(E15:E380)</f>
        <v>30.952402081944978</v>
      </c>
      <c r="F382" s="378">
        <f>AVERAGE(F15:F380)</f>
        <v>31.578462400231004</v>
      </c>
      <c r="G382" s="126">
        <f>AVERAGE(G15:G380)</f>
        <v>0.69387194463454671</v>
      </c>
      <c r="H382" s="94"/>
      <c r="I382" s="378">
        <f>AVERAGE(I15:I380)</f>
        <v>40.928682660810949</v>
      </c>
      <c r="J382" s="59">
        <f>AVERAGE(J15:J380)</f>
        <v>2020.5300546448088</v>
      </c>
      <c r="K382" s="202" t="s">
        <v>8</v>
      </c>
      <c r="L382" s="147">
        <f t="shared" ref="L382:V382" si="154">AVERAGE(L15:L380)</f>
        <v>4.9054784433032725E-2</v>
      </c>
      <c r="M382" s="870"/>
      <c r="N382" s="870"/>
      <c r="O382" s="48">
        <f t="shared" si="154"/>
        <v>6.8815757134064931E-2</v>
      </c>
      <c r="P382" s="171">
        <f t="shared" si="154"/>
        <v>5.8948877817355812E-2</v>
      </c>
      <c r="Q382" s="314">
        <f t="shared" si="154"/>
        <v>1</v>
      </c>
      <c r="R382" s="179">
        <f t="shared" si="154"/>
        <v>0.34983306580477974</v>
      </c>
      <c r="S382" s="837">
        <f t="shared" si="154"/>
        <v>1.4426229508196722</v>
      </c>
      <c r="T382" s="178">
        <f t="shared" si="154"/>
        <v>7.442622950819672</v>
      </c>
      <c r="U382" s="253">
        <f t="shared" si="154"/>
        <v>1.7924560166244534</v>
      </c>
      <c r="V382" s="377">
        <f t="shared" si="154"/>
        <v>37.645721075394789</v>
      </c>
      <c r="X382" s="112" t="s">
        <v>8</v>
      </c>
      <c r="Y382" s="377">
        <f>AVERAGE(Y15:Y380)</f>
        <v>25.965765211908835</v>
      </c>
      <c r="Z382" s="377">
        <f>AVERAGE(Z15:Z380)</f>
        <v>27.301021654767446</v>
      </c>
      <c r="AA382" s="377">
        <f>AVERAGE(AA15:AA380)</f>
        <v>30.952402081944978</v>
      </c>
      <c r="AB382" s="202" t="s">
        <v>8</v>
      </c>
      <c r="AC382" s="48">
        <f t="shared" ref="AC382:AH382" si="155">AVERAGE(AC15:AC380)</f>
        <v>0.11831059781213871</v>
      </c>
      <c r="AD382" s="171">
        <f t="shared" si="155"/>
        <v>5.8948877817355812E-2</v>
      </c>
      <c r="AE382" s="314">
        <f t="shared" si="155"/>
        <v>1</v>
      </c>
      <c r="AF382" s="179">
        <f t="shared" si="155"/>
        <v>0.34983306580477974</v>
      </c>
      <c r="AG382" s="837">
        <f t="shared" si="155"/>
        <v>1.4426229508196722</v>
      </c>
      <c r="AH382" s="178">
        <f t="shared" si="155"/>
        <v>7.442622950819672</v>
      </c>
      <c r="AI382" s="227">
        <f>AVERAGE(AI15:AI380)</f>
        <v>1.7924560166244534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60.507210267717355</v>
      </c>
      <c r="C383" s="379"/>
      <c r="D383" s="379">
        <f>MAX(D15:D380)</f>
        <v>63.604033309626821</v>
      </c>
      <c r="E383" s="379">
        <f>MAX(E15:E380)</f>
        <v>66.554415055853283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2024</v>
      </c>
      <c r="K383" s="202" t="s">
        <v>9</v>
      </c>
      <c r="L383" s="148">
        <f t="shared" ref="L383:T383" si="156">MAX(L15:L380)</f>
        <v>5.3087833289086728E-2</v>
      </c>
      <c r="M383" s="873"/>
      <c r="N383" s="873"/>
      <c r="O383" s="49">
        <f t="shared" si="156"/>
        <v>0.10170340704232843</v>
      </c>
      <c r="P383" s="172">
        <f t="shared" si="156"/>
        <v>0.22601279208816352</v>
      </c>
      <c r="Q383" s="315">
        <f t="shared" si="156"/>
        <v>1</v>
      </c>
      <c r="R383" s="316">
        <f t="shared" si="156"/>
        <v>0.99770083905239471</v>
      </c>
      <c r="S383" s="838">
        <f t="shared" si="156"/>
        <v>2</v>
      </c>
      <c r="T383" s="235">
        <f t="shared" si="156"/>
        <v>8</v>
      </c>
      <c r="U383" s="255">
        <f>+MAX(U15:U380)</f>
        <v>2.0997752281325228</v>
      </c>
      <c r="V383" s="379">
        <f>MAX(V15:V380)</f>
        <v>59.65109700333236</v>
      </c>
      <c r="X383" s="112" t="s">
        <v>9</v>
      </c>
      <c r="Y383" s="379">
        <f>MAX(Y15:Y380)</f>
        <v>55.868888132445001</v>
      </c>
      <c r="Z383" s="379">
        <f>MAX(Z15:Z380)</f>
        <v>58.744926247678784</v>
      </c>
      <c r="AA383" s="379">
        <f>MAX(AA15:AA380)</f>
        <v>66.554415055853283</v>
      </c>
      <c r="AB383" s="202" t="s">
        <v>9</v>
      </c>
      <c r="AC383" s="49">
        <f t="shared" ref="AC383:AH383" si="157">MAX(AC15:AC380)</f>
        <v>0.12819199961097355</v>
      </c>
      <c r="AD383" s="172">
        <f t="shared" si="157"/>
        <v>0.22601279208816352</v>
      </c>
      <c r="AE383" s="315">
        <f t="shared" si="157"/>
        <v>1</v>
      </c>
      <c r="AF383" s="316">
        <f t="shared" si="157"/>
        <v>0.99770083905239471</v>
      </c>
      <c r="AG383" s="838">
        <f t="shared" si="157"/>
        <v>2</v>
      </c>
      <c r="AH383" s="235">
        <f t="shared" si="157"/>
        <v>8</v>
      </c>
      <c r="AI383" s="229">
        <f>MAX(AI15:AI380)</f>
        <v>2.0997752281325228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4" priority="5" stopIfTrue="1" operator="lessThan">
      <formula>0.01</formula>
    </cfRule>
    <cfRule type="cellIs" dxfId="13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3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2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'2024'!An+1</f>
        <v>2025</v>
      </c>
      <c r="K1" s="1263"/>
      <c r="L1" s="113" t="str">
        <f>"Calcul pertes et enveloppes en "&amp;TEXT(An,0)</f>
        <v>Calcul pertes et enveloppes en 2025</v>
      </c>
      <c r="M1" s="245"/>
      <c r="N1" s="245"/>
      <c r="V1" s="458"/>
      <c r="W1" s="456"/>
      <c r="X1" s="487" t="str">
        <f>"Prévision sans nettoyage ni taille végétation en "&amp;TEXT(An,0)</f>
        <v>Prévision sans nettoyage ni taille végétation en 2025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54" t="s">
        <v>269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2">
        <f>Tmaj</f>
        <v>44947</v>
      </c>
      <c r="F3" s="1272"/>
      <c r="G3" s="8"/>
      <c r="H3" s="26"/>
      <c r="I3" s="6"/>
      <c r="J3" s="34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58">
        <f>AL11-AJ11</f>
        <v>107.52062585296278</v>
      </c>
      <c r="AK3" s="859">
        <f>AM11-AK11</f>
        <v>-3.6392921118243464</v>
      </c>
      <c r="AL3" s="858"/>
      <c r="AM3" s="859"/>
      <c r="AN3" s="857" t="s">
        <v>270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2" t="str">
        <f>Station</f>
        <v>Crèche Ayguesvives</v>
      </c>
      <c r="F4" s="1213"/>
      <c r="G4" s="1213"/>
      <c r="H4" s="1213"/>
      <c r="I4" s="1214"/>
      <c r="J4" s="158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58">
        <f>AL12-AJ12</f>
        <v>528.96335222460175</v>
      </c>
      <c r="AK4" s="859">
        <f>AM12-AK12</f>
        <v>165.71781638998345</v>
      </c>
      <c r="AL4" s="858"/>
      <c r="AM4" s="859"/>
      <c r="AN4" s="857" t="s">
        <v>271</v>
      </c>
    </row>
    <row r="5" spans="1:40" s="35" customFormat="1" ht="16.5" customHeight="1" x14ac:dyDescent="0.25">
      <c r="D5" s="161" t="s">
        <v>20</v>
      </c>
      <c r="E5" s="1273">
        <f>T0</f>
        <v>43313</v>
      </c>
      <c r="F5" s="1273"/>
      <c r="G5" s="34"/>
      <c r="H5" s="158"/>
      <c r="I5" s="158"/>
      <c r="K5" s="194"/>
      <c r="L5" s="506"/>
      <c r="M5" s="505"/>
      <c r="N5" s="505"/>
      <c r="O5" s="19"/>
      <c r="R5" s="39"/>
      <c r="S5" s="180"/>
      <c r="T5" s="180"/>
      <c r="U5" s="41"/>
      <c r="V5" s="507"/>
      <c r="W5" s="508"/>
      <c r="X5" s="509"/>
      <c r="Y5" s="510"/>
      <c r="Z5" s="238">
        <f>Wh_Psa_s-Wh_Psa</f>
        <v>636.66240872103094</v>
      </c>
      <c r="AA5" s="239">
        <f>Wh_Pvg_s-Wh_Pvg</f>
        <v>160.29433461185278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2417.839802974675</v>
      </c>
      <c r="AK5" s="516">
        <f>SUMIF(AK15:AK380,"VRAI",Wh)</f>
        <v>1491.0230578022208</v>
      </c>
      <c r="AL5" s="516">
        <f>SUMIF(AJ15:AJ380,"VRAI",Wh_s)</f>
        <v>2301.1806702256849</v>
      </c>
      <c r="AM5" s="516">
        <f>SUMIF(AK15:AK380,"VRAI",Wh_s)</f>
        <v>1421.9912420691537</v>
      </c>
      <c r="AN5" s="857" t="s">
        <v>267</v>
      </c>
    </row>
    <row r="6" spans="1:40" s="6" customFormat="1" ht="16.5" customHeight="1" x14ac:dyDescent="0.2">
      <c r="B6" s="8"/>
      <c r="C6" s="8"/>
      <c r="D6" s="161" t="s">
        <v>11</v>
      </c>
      <c r="E6" s="1274">
        <f>Tservice</f>
        <v>43354</v>
      </c>
      <c r="F6" s="1274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7767.7501606928881</v>
      </c>
      <c r="AK6" s="516">
        <f>SUMIF(AK15:AK380,"FAUX",Wh)</f>
        <v>8694.5669058653384</v>
      </c>
      <c r="AL6" s="516">
        <f>SUMIF(AJ15:AJ380,"FAUX",Wh_s)</f>
        <v>7059.1544121220368</v>
      </c>
      <c r="AM6" s="516">
        <f>SUMIF(AK15:AK380,"FAUX",Wh_s)</f>
        <v>7938.3438402785678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AND(YEAR(Tnet)=An,Resal_2025="I")</f>
        <v>0</v>
      </c>
      <c r="F7" s="322" t="b">
        <f>YEAR(Tnet)=An</f>
        <v>1</v>
      </c>
      <c r="J7" s="180"/>
      <c r="K7" s="193"/>
      <c r="L7" s="191" t="s">
        <v>81</v>
      </c>
      <c r="M7" s="868"/>
      <c r="N7" s="868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50"/>
      <c r="Z7" s="518"/>
      <c r="AA7" s="518"/>
      <c r="AB7" s="518"/>
      <c r="AC7" s="518"/>
      <c r="AD7" s="250"/>
      <c r="AE7" s="250"/>
      <c r="AF7" s="493"/>
      <c r="AG7" s="493"/>
      <c r="AH7" s="493"/>
      <c r="AI7" s="518"/>
      <c r="AJ7" s="516">
        <f>SUMIF(AJ15:AJ380,"VRAI",Wh_pvt)</f>
        <v>2557.8004229087255</v>
      </c>
      <c r="AK7" s="516">
        <f>SUMIF(AK15:AK380,"VRAI",Wh_sa)</f>
        <v>1732.1014940150271</v>
      </c>
      <c r="AL7" s="516">
        <f>SUMIF(AJ15:AJ380,"VRAI",Wh_pvt_s)</f>
        <v>2434.3867424494606</v>
      </c>
      <c r="AM7" s="516">
        <f>SUMIF(AK15:AK380,"VRAI",Wh_sa_s)</f>
        <v>1732.1014940150271</v>
      </c>
      <c r="AN7" s="857" t="s">
        <v>259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AND(YEAR(Tnet)=An,Resal_2025&lt;&gt;"I")</f>
        <v>1</v>
      </c>
      <c r="F8" s="323" t="b">
        <f>YEAR(Ttai)=An</f>
        <v>1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6"/>
      <c r="X8" s="1260" t="s">
        <v>102</v>
      </c>
      <c r="Y8" s="1261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8244.1019890904809</v>
      </c>
      <c r="AK8" s="516">
        <f>SUMIF(AK15:AK380,"FAUX",Wh_sa)</f>
        <v>9787.3430597707811</v>
      </c>
      <c r="AL8" s="516">
        <f>SUMIF(AJ15:AJ380,"FAUX",Wh_pvt_s)</f>
        <v>7491.7793780788406</v>
      </c>
      <c r="AM8" s="516">
        <f>SUMIF(AK15:AK380,"FAUX",Wh_sa_s)</f>
        <v>9586.7158218245295</v>
      </c>
      <c r="AN8" s="857" t="s">
        <v>260</v>
      </c>
    </row>
    <row r="9" spans="1:40" s="19" customFormat="1" ht="15" customHeight="1" x14ac:dyDescent="0.25">
      <c r="A9" s="34"/>
      <c r="B9" s="212"/>
      <c r="C9" s="212"/>
      <c r="D9" s="186">
        <f>SUM(D$15:D$380)</f>
        <v>10801.902411999201</v>
      </c>
      <c r="E9" s="186">
        <f>SUM(E$15:E$380)</f>
        <v>11519.444553785806</v>
      </c>
      <c r="F9" s="186">
        <f>SUM(F$15:F$380)</f>
        <v>11617.60777166108</v>
      </c>
      <c r="H9" s="1264">
        <f>+SUM(Wh)</f>
        <v>10185.589963667546</v>
      </c>
      <c r="I9" s="1265"/>
      <c r="J9" s="1266"/>
      <c r="K9" s="193"/>
      <c r="L9" s="234"/>
      <c r="M9" s="234"/>
      <c r="N9" s="234"/>
      <c r="O9" s="225">
        <f>Tnet_2025</f>
        <v>45777</v>
      </c>
      <c r="P9" s="246" t="s">
        <v>91</v>
      </c>
      <c r="Q9" s="247"/>
      <c r="R9" s="247"/>
      <c r="S9" s="247"/>
      <c r="T9" s="247"/>
      <c r="U9" s="248"/>
      <c r="V9" s="462"/>
      <c r="W9" s="521"/>
      <c r="X9" s="1258">
        <f>+SUM(Wh_s)</f>
        <v>9360.335082347714</v>
      </c>
      <c r="Y9" s="1259"/>
      <c r="Z9" s="516">
        <f>SUM(Z$15:Z$380)</f>
        <v>9926.1661205283108</v>
      </c>
      <c r="AA9" s="516">
        <f>SUM(AA$15:AA$380)</f>
        <v>11318.81731583956</v>
      </c>
      <c r="AB9" s="516">
        <f>F9</f>
        <v>11617.60777166108</v>
      </c>
      <c r="AC9" s="327">
        <f>IF(An_Tnet,Tnet,'2024'!Tnet_s)</f>
        <v>45777</v>
      </c>
      <c r="AD9" s="318" t="s">
        <v>91</v>
      </c>
      <c r="AE9" s="318"/>
      <c r="AF9" s="318"/>
      <c r="AG9" s="318"/>
      <c r="AH9" s="318"/>
      <c r="AI9" s="319"/>
      <c r="AJ9" s="516">
        <f>SUMIF(AJ15:AJ380,"VRAI",Wh_sa)</f>
        <v>2820.3092360851715</v>
      </c>
      <c r="AK9" s="516">
        <f>SUMIF(AK15:AK380,"VRAI",Wh_hp)</f>
        <v>1823.4162484816197</v>
      </c>
      <c r="AL9" s="516">
        <f>SUMIF(AJ15:AJ380,"VRAI",Wh_sa_s)</f>
        <v>2810.6399507160854</v>
      </c>
      <c r="AM9" s="516">
        <f>SUMIF(AK15:AK380,"VRAI",Wh_hp)</f>
        <v>1823.4162484816197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IF(Inflex,'2024'!Resal+('2024'!Salim-'2024'!Resal)*(1-EXP(-(Tnet-'2024'!Tnet)/('2024'!Tau_j))),IF(An_Tnet,Resal_2025,'2024'!Resal))</f>
        <v>2.5000000000000001E-2</v>
      </c>
      <c r="P10" s="421" t="b">
        <f>NOT(Acti_tai)</f>
        <v>0</v>
      </c>
      <c r="Q10" s="259">
        <f>IF(Acti_tai,'2024'!PousD,Dens-Dd)</f>
        <v>0</v>
      </c>
      <c r="R10" s="276"/>
      <c r="S10" s="277"/>
      <c r="T10" s="278"/>
      <c r="U10" s="268">
        <f>IF(Acti_tai,'2024'!PousH,Hdtf-Hdd)</f>
        <v>0.69999999999999973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IF(OR(Inflex,GainD),'2024'!Resal_s+('2024'!Salim-'2024'!Resal_s)*(1-EXP(('2024'!Tnet_s-Tnet)/('2024'!Tau_j))),IF(Acti_net,'2024'!Resal+('2024'!Salim-'2024'!Resal)*(1-EXP(('2024'!Tnet-Tnet)/'2024'!Tau_j)),'2024'!Resal_s))</f>
        <v>9.9501677911626452E-2</v>
      </c>
      <c r="AD10" s="428"/>
      <c r="AE10" s="428"/>
      <c r="AF10" s="262"/>
      <c r="AG10" s="263"/>
      <c r="AH10" s="264"/>
      <c r="AI10" s="473"/>
      <c r="AJ10" s="516">
        <f>SUMIF(AJ15:AJ380,"FAUX",Wh_sa)</f>
        <v>8699.1353177006349</v>
      </c>
      <c r="AK10" s="516">
        <f>SUMIF(AK15:AK380,"FAUX",Wh_hp)</f>
        <v>9794.191523179461</v>
      </c>
      <c r="AL10" s="516">
        <f>SUMIF(AJ15:AJ380,"FAUX",Wh_sa_s)</f>
        <v>8508.1773651234635</v>
      </c>
      <c r="AM10" s="516">
        <f>SUMIF(AK15:AK380,"FAUX",Wh_hp)</f>
        <v>9794.191523179461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50">
        <f>D$9-Prod_an</f>
        <v>616.3124483316551</v>
      </c>
      <c r="E11" s="51">
        <f>(E$9-D$9)*Prod_an/D$9</f>
        <v>676.60211684299975</v>
      </c>
      <c r="F11" s="188">
        <f>(F$9-E$9)*Prod_an/E$9</f>
        <v>86.796744593305903</v>
      </c>
      <c r="G11" s="187" t="s">
        <v>6</v>
      </c>
      <c r="K11" s="196"/>
      <c r="L11" s="213">
        <f>Tvie_2025</f>
        <v>43313</v>
      </c>
      <c r="M11" s="869"/>
      <c r="N11" s="869"/>
      <c r="O11" s="204">
        <f>IF(An_Tnet,Salim_2025,'2024'!Salim)</f>
        <v>0.17333333333333334</v>
      </c>
      <c r="P11" s="258">
        <f>Ttai_2025</f>
        <v>45747</v>
      </c>
      <c r="Q11" s="274">
        <f>Dens_2025</f>
        <v>1</v>
      </c>
      <c r="R11" s="279"/>
      <c r="S11" s="232"/>
      <c r="T11" s="232"/>
      <c r="U11" s="268">
        <f>Htf_2025</f>
        <v>-2.800224011995649</v>
      </c>
      <c r="V11" s="428"/>
      <c r="W11" s="519"/>
      <c r="X11" s="526" t="s">
        <v>43</v>
      </c>
      <c r="Y11" s="50">
        <f>Z$9-Prod_an_s</f>
        <v>565.83103818059681</v>
      </c>
      <c r="Z11" s="51">
        <f>(AA$9-Z$9)*Prod_an_s/Z$9</f>
        <v>1313.2645255640307</v>
      </c>
      <c r="AA11" s="188">
        <f>(AB$9-AA$9)*Prod_an_s/AA$9</f>
        <v>247.09107920515868</v>
      </c>
      <c r="AB11" s="527" t="s">
        <v>6</v>
      </c>
      <c r="AC11" s="327"/>
      <c r="AD11" s="428"/>
      <c r="AE11" s="274">
        <f>IF(Acti_tai,IF(GainD,Dd_s,Dd)+PousD*Croi_tai,"NA")</f>
        <v>1</v>
      </c>
      <c r="AF11" s="249"/>
      <c r="AG11" s="249"/>
      <c r="AH11" s="249"/>
      <c r="AI11" s="268">
        <f>IF(Acti_tai,IF(GainD,Hdd_s,Hdd)+PousH*Croi_tai,"NA")</f>
        <v>2.1347585809279215</v>
      </c>
      <c r="AJ11" s="858">
        <f>IF($AJ7=0,0,($AJ9-$AJ7)*$AJ5/$AJ7)</f>
        <v>248.14455867822147</v>
      </c>
      <c r="AK11" s="859">
        <f>IF($AK7=0,0,($AK9-$AK7)*$AK5/$AK7)</f>
        <v>78.605327053690928</v>
      </c>
      <c r="AL11" s="858">
        <f>IF($AL7=0,0,($AL9-$AL7)*$AL5/$AL7)</f>
        <v>355.66518453118425</v>
      </c>
      <c r="AM11" s="859">
        <f>IF($AM7=0,0,($AM9-$AM7)*$AM5/$AM7)</f>
        <v>74.966034941866582</v>
      </c>
      <c r="AN11" s="857" t="s">
        <v>272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Pspv_2025</f>
        <v>0</v>
      </c>
      <c r="M12" s="214"/>
      <c r="N12" s="214"/>
      <c r="O12" s="207">
        <f>IF(An_Tnet,Tau_2025*365,'2024'!Tau_j)</f>
        <v>523.16666666666663</v>
      </c>
      <c r="P12" s="283">
        <f>INDEX(Croivg,MIN(MAX(Ttai-$A$15,0)+1,366))</f>
        <v>4.9976218279140845E-2</v>
      </c>
      <c r="Q12" s="282">
        <f>'2024'!Df</f>
        <v>1</v>
      </c>
      <c r="R12" s="280"/>
      <c r="S12" s="281"/>
      <c r="T12" s="281"/>
      <c r="U12" s="269">
        <f>'2024'!Hdf</f>
        <v>2.0997752281325228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'2024'!Df_s</f>
        <v>1</v>
      </c>
      <c r="AF12" s="205"/>
      <c r="AG12" s="205"/>
      <c r="AH12" s="205"/>
      <c r="AI12" s="299">
        <f>'2024'!Hdf_s</f>
        <v>2.0997752281325228</v>
      </c>
      <c r="AJ12" s="858">
        <f>IF($AJ8=0,0,($AJ10-$AJ8)*$AJ6/$AJ8)</f>
        <v>428.74108254719596</v>
      </c>
      <c r="AK12" s="859">
        <f>IF($AK8=0,0,($AK10-$AK8)*$AK6/$AK8)</f>
        <v>6.0838189634820496</v>
      </c>
      <c r="AL12" s="858">
        <f>IF($AL8=0,0,($AL10-$AL8)*$AL6/$AL8)</f>
        <v>957.70443477179765</v>
      </c>
      <c r="AM12" s="859">
        <f>IF($AM8=0,0,($AM10-$AM8)*$AM6/$AM8)</f>
        <v>171.80163535346551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204</v>
      </c>
      <c r="V13" s="124" t="s">
        <v>41</v>
      </c>
      <c r="W13" s="862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676.88564122541743</v>
      </c>
      <c r="AK13" s="73">
        <f>+AK11+AK12</f>
        <v>84.689146017172973</v>
      </c>
      <c r="AL13" s="73">
        <f>+AL11+AL12</f>
        <v>1313.3696193029818</v>
      </c>
      <c r="AM13" s="73">
        <f>+AM11+AM12</f>
        <v>246.7676702953321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1281" t="s">
        <v>366</v>
      </c>
      <c r="C14" s="416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203</v>
      </c>
      <c r="V14" s="45" t="str">
        <f>"Enveloppe "&amp; TEXT(An,0)</f>
        <v>Enveloppe 2025</v>
      </c>
      <c r="W14" s="863" t="s">
        <v>116</v>
      </c>
      <c r="X14" s="260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129">
        <f>DATE(An,1,1)</f>
        <v>45658</v>
      </c>
      <c r="B15" s="1138">
        <f>IF(t&gt;Tmaj,'2024'!Wh/'2024'!Env_an*'2025'!Env_an,0.001*'[3]mon-tableau (2)'!$B$208)</f>
        <v>4.9592826690817802</v>
      </c>
      <c r="C15" s="866"/>
      <c r="D15" s="395">
        <f t="shared" ref="D15:D78" si="0">Wh/(1-Ppv)</f>
        <v>5.2374425589511162</v>
      </c>
      <c r="E15" s="402">
        <f t="shared" ref="E15:E79" si="1">Wh_pvt/(1-Psa)</f>
        <v>5.6974349586465349</v>
      </c>
      <c r="F15" s="402">
        <f t="shared" ref="F15:F78" si="2">Wh_sa/(1-Pvg*MEDIAN((-Sdif+Wh/Env_an)/Csdif,0,1))</f>
        <v>5.8434296386574376</v>
      </c>
      <c r="G15" s="123">
        <f>+Wh_hp/MaxiM</f>
        <v>0.30703460064194144</v>
      </c>
      <c r="H15" s="414" t="b">
        <f>Wh_hp&gt;='2024'!Maxi_hp</f>
        <v>0</v>
      </c>
      <c r="I15" s="398">
        <f>IF(H15,Wh_hp,'2024'!Maxi_hp)</f>
        <v>19.462082173692245</v>
      </c>
      <c r="J15" s="84">
        <f>IF(H15,An,'2024'!An_max)</f>
        <v>2022</v>
      </c>
      <c r="K15" s="199">
        <f t="shared" ref="K15:K78" si="3">t</f>
        <v>45658</v>
      </c>
      <c r="L15" s="146">
        <f>IF(t&lt;Tvie,1-EXP((T0-t)*PertePVj)+'2024'!Pspv,1-EXP((T0-t)*PertePVj)+Pspv)</f>
        <v>5.3109869318555769E-2</v>
      </c>
      <c r="M15" s="870"/>
      <c r="N15" s="870"/>
      <c r="O15" s="48">
        <f>IF(t&lt;Tnet,'2024'!Resal+('2024'!Salim-'2024'!Resal)*(1-EXP(('2024'!Tnet-t)/('2024'!Tau_j))),Resal+(Salim-Resal)*(1-EXP((Tnet-t)/(Tau_j))))*Salcycl</f>
        <v>8.0736753123846663E-2</v>
      </c>
      <c r="P15" s="304">
        <f>(INDEX(Models!$BJ15:$BT15,,T15)*(1-R15)+INDEX(Models!$BJ15:$BT15,,T15+1)*R15-ERP_i)*Q15*Ramure*Pc/MaxiM</f>
        <v>0.21498820709726485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9.977690183004384E-2</v>
      </c>
      <c r="S15" s="836">
        <f t="shared" ref="S15:S78" si="6">INDEX(Echel_vg,T15)</f>
        <v>2</v>
      </c>
      <c r="T15" s="251">
        <f t="shared" ref="T15:T78" si="7">MIN(MATCH(Hp_vg,Echel_vg),10)</f>
        <v>8</v>
      </c>
      <c r="U15" s="253">
        <f t="shared" ref="U15:U78" si="8">IF(OR(t&lt;Ttai,Notai),Hdd+PousH*Croivg,Hdtf+PousH*(Croivg-Croi_tai))</f>
        <v>2.0997769018300438</v>
      </c>
      <c r="V15" s="384">
        <f t="shared" ref="V15:V78" si="9">MaxiM*(1-Ppv)*(1-Pvg)*(1-Psa)</f>
        <v>13.004575092383593</v>
      </c>
      <c r="W15" s="404">
        <f t="shared" ref="W15:W78" si="10">Wh*(A15&gt;Tmaj)</f>
        <v>4.9592826690817802</v>
      </c>
      <c r="X15" s="156">
        <f t="shared" ref="X15:X78" si="11">t</f>
        <v>45658</v>
      </c>
      <c r="Y15" s="387">
        <f t="shared" ref="Y15:Y78" si="12">Wh_pvt_s*(1-Ppv)</f>
        <v>4.7073689540185866</v>
      </c>
      <c r="Z15" s="387">
        <f>Wh_sa_s*(1-Psa_s)</f>
        <v>4.9713993223594537</v>
      </c>
      <c r="AA15" s="388">
        <f t="shared" ref="AA15:AA78" si="13">Wh_hp*(1-Pvg_s*MEDIAN((-Sdif+Wh/Env_an)/Csdif,0,1))</f>
        <v>5.6974349586465349</v>
      </c>
      <c r="AB15" s="199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0.12743201836560442</v>
      </c>
      <c r="AD15" s="233">
        <f>(INDEX(Models!$BJ15:$BT15,,AH15)*(1-AF15)+INDEX(Models!$BJ15:$BT15,,AH15+1)*AF15-ERP_i)*AE15*Ramure*Pc/MaxiM</f>
        <v>0.21498820709726485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9.977690183004384E-2</v>
      </c>
      <c r="AG15" s="836">
        <f>INDEX(Echel_vg,AH15)</f>
        <v>2</v>
      </c>
      <c r="AH15" s="251">
        <f t="shared" ref="AH15:AH78" si="16">MIN(MATCH(Hp_vg_s,Echel_vg),10)</f>
        <v>8</v>
      </c>
      <c r="AI15" s="226">
        <f t="shared" ref="AI15:AI78" si="17">IF(OR(t&lt;Ttai,Notai),Hdd_s+PousH*Croivg,Hdtai_s+PousH*(Croivg-Croi_tai))</f>
        <v>2.0997769018300438</v>
      </c>
      <c r="AJ15" s="267" t="b">
        <f t="shared" ref="AJ15:AJ78" si="18">t&lt;Tnet</f>
        <v>1</v>
      </c>
      <c r="AK15" s="267" t="b">
        <f t="shared" ref="AK15:AK78" si="19">t&lt;Ttai</f>
        <v>1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45659</v>
      </c>
      <c r="B16" s="1139">
        <f>IF(t&gt;Tmaj,'2024'!Wh/'2024'!Env_an*'2025'!Env_an,0.001*'[3]mon-tableau (2)'!$B$209)</f>
        <v>1.2108224022877343</v>
      </c>
      <c r="C16" s="866"/>
      <c r="D16" s="395">
        <f t="shared" si="0"/>
        <v>1.2787656575090449</v>
      </c>
      <c r="E16" s="387">
        <f t="shared" si="1"/>
        <v>1.391335085307924</v>
      </c>
      <c r="F16" s="387">
        <f t="shared" si="2"/>
        <v>1.391335085307924</v>
      </c>
      <c r="G16" s="110">
        <f t="shared" ref="G16:G79" si="21">+Wh_hp/MaxiM</f>
        <v>7.2587593757592425E-2</v>
      </c>
      <c r="H16" s="414" t="b">
        <f>Wh_hp&gt;='2024'!Maxi_hp</f>
        <v>0</v>
      </c>
      <c r="I16" s="392">
        <f>IF(H16,Wh_hp,'2024'!Maxi_hp)</f>
        <v>17.82763006390077</v>
      </c>
      <c r="J16" s="85">
        <f>IF(H16,An,'2024'!An_max)</f>
        <v>2020</v>
      </c>
      <c r="K16" s="199">
        <f t="shared" si="3"/>
        <v>45659</v>
      </c>
      <c r="L16" s="147">
        <f>IF(t&lt;Tvie,1-EXP((T0-t)*PertePVj)+'2024'!Pspv,1-EXP((T0-t)*PertePVj)+Pspv)</f>
        <v>5.3131904835214128E-2</v>
      </c>
      <c r="M16" s="870"/>
      <c r="N16" s="870"/>
      <c r="O16" s="48">
        <f>IF(t&lt;Tnet,'2024'!Resal+('2024'!Salim-'2024'!Resal)*(1-EXP(('2024'!Tnet-t)/('2024'!Tau_j))),Resal+(Salim-Resal)*(1-EXP((Tnet-t)/(Tau_j))))*Salcycl</f>
        <v>8.0907488776483932E-2</v>
      </c>
      <c r="P16" s="171">
        <f>(INDEX(Models!$BJ16:$BT16,,T16)*(1-R16)+INDEX(Models!$BJ16:$BT16,,T16+1)*R16-ERP_i)*Q16*Ramure*Pc/MaxiM</f>
        <v>0.21300384350829765</v>
      </c>
      <c r="Q16" s="307">
        <f t="shared" si="4"/>
        <v>1</v>
      </c>
      <c r="R16" s="179">
        <f t="shared" si="5"/>
        <v>9.9817802289635882E-2</v>
      </c>
      <c r="S16" s="837">
        <f t="shared" si="6"/>
        <v>2</v>
      </c>
      <c r="T16" s="178">
        <f t="shared" si="7"/>
        <v>8</v>
      </c>
      <c r="U16" s="253">
        <f t="shared" si="8"/>
        <v>2.0998178022896359</v>
      </c>
      <c r="V16" s="385">
        <f t="shared" si="9"/>
        <v>13.1277609225726</v>
      </c>
      <c r="W16" s="404">
        <f t="shared" si="10"/>
        <v>1.2108224022877343</v>
      </c>
      <c r="X16" s="157">
        <f t="shared" si="11"/>
        <v>45659</v>
      </c>
      <c r="Y16" s="387">
        <f t="shared" si="12"/>
        <v>1.1494279357646913</v>
      </c>
      <c r="Z16" s="387">
        <f t="shared" ref="Z16:Z78" si="22">Wh_sa_s*(1-Psa_s)</f>
        <v>1.2139261441316738</v>
      </c>
      <c r="AA16" s="388">
        <f t="shared" si="13"/>
        <v>1.391335085307924</v>
      </c>
      <c r="AB16" s="199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0.1275098594505629</v>
      </c>
      <c r="AD16" s="233">
        <f>(INDEX(Models!$BJ16:$BT16,,AH16)*(1-AF16)+INDEX(Models!$BJ16:$BT16,,AH16+1)*AF16-ERP_i)*AE16*Ramure*Pc/MaxiM</f>
        <v>0.21300384350829765</v>
      </c>
      <c r="AE16" s="307">
        <f t="shared" si="15"/>
        <v>1</v>
      </c>
      <c r="AF16" s="179">
        <f t="shared" ref="AF16:AF78" si="23">(Hp_vg_s-AG16)/(INDEX(Echel_vg,AH16+1)-AG16)</f>
        <v>9.9817802289635882E-2</v>
      </c>
      <c r="AG16" s="837">
        <f t="shared" ref="AG16:AG79" si="24">INDEX(Echel_vg,AH16)</f>
        <v>2</v>
      </c>
      <c r="AH16" s="178">
        <f t="shared" si="16"/>
        <v>8</v>
      </c>
      <c r="AI16" s="227">
        <f t="shared" si="17"/>
        <v>2.0998178022896359</v>
      </c>
      <c r="AJ16" s="267" t="b">
        <f t="shared" si="18"/>
        <v>1</v>
      </c>
      <c r="AK16" s="267" t="b">
        <f t="shared" si="19"/>
        <v>1</v>
      </c>
      <c r="AL16" s="267"/>
      <c r="AM16" s="267"/>
      <c r="AN16" s="75"/>
    </row>
    <row r="17" spans="1:40" s="6" customFormat="1" ht="11.25" x14ac:dyDescent="0.2">
      <c r="A17" s="56">
        <f t="shared" si="20"/>
        <v>45660</v>
      </c>
      <c r="B17" s="1139">
        <f>IF(t&gt;Tmaj,'2024'!Wh/'2024'!Env_an*'2025'!Env_an,0.001*'[3]mon-tableau (2)'!$B$210)</f>
        <v>9.1315161208254079</v>
      </c>
      <c r="C17" s="866"/>
      <c r="D17" s="395">
        <f t="shared" si="0"/>
        <v>9.6441401670651867</v>
      </c>
      <c r="E17" s="387">
        <f t="shared" si="1"/>
        <v>10.495061062398374</v>
      </c>
      <c r="F17" s="387">
        <f t="shared" si="2"/>
        <v>11.886540185988737</v>
      </c>
      <c r="G17" s="110">
        <f t="shared" si="21"/>
        <v>0.61548303083886702</v>
      </c>
      <c r="H17" s="414" t="b">
        <f>Wh_hp&gt;='2024'!Maxi_hp</f>
        <v>0</v>
      </c>
      <c r="I17" s="392">
        <f>IF(H17,Wh_hp,'2024'!Maxi_hp)</f>
        <v>19.427917678346777</v>
      </c>
      <c r="J17" s="85">
        <f>IF(H17,An,'2024'!An_max)</f>
        <v>2019</v>
      </c>
      <c r="K17" s="199">
        <f t="shared" si="3"/>
        <v>45660</v>
      </c>
      <c r="L17" s="147">
        <f>IF(t&lt;Tvie,1-EXP((T0-t)*PertePVj)+'2024'!Pspv,1-EXP((T0-t)*PertePVj)+Pspv)</f>
        <v>5.3153939839073905E-2</v>
      </c>
      <c r="M17" s="870"/>
      <c r="N17" s="870"/>
      <c r="O17" s="48">
        <f>IF(t&lt;Tnet,'2024'!Resal+('2024'!Salim-'2024'!Resal)*(1-EXP(('2024'!Tnet-t)/('2024'!Tau_j))),Resal+(Salim-Resal)*(1-EXP((Tnet-t)/(Tau_j))))*Salcycl</f>
        <v>8.1078222439492031E-2</v>
      </c>
      <c r="P17" s="171">
        <f>(INDEX(Models!$BJ17:$BT17,,T17)*(1-R17)+INDEX(Models!$BJ17:$BT17,,T17+1)*R17-ERP_i)*Q17*Ramure*Pc/MaxiM</f>
        <v>0.21085302581267804</v>
      </c>
      <c r="Q17" s="307">
        <f t="shared" si="4"/>
        <v>1</v>
      </c>
      <c r="R17" s="179">
        <f t="shared" si="5"/>
        <v>9.9860413523321423E-2</v>
      </c>
      <c r="S17" s="837">
        <f t="shared" si="6"/>
        <v>2</v>
      </c>
      <c r="T17" s="178">
        <f t="shared" si="7"/>
        <v>8</v>
      </c>
      <c r="U17" s="253">
        <f t="shared" si="8"/>
        <v>2.0998604135233214</v>
      </c>
      <c r="V17" s="385">
        <f t="shared" si="9"/>
        <v>13.260356354139427</v>
      </c>
      <c r="W17" s="404">
        <f t="shared" si="10"/>
        <v>9.1315161208254079</v>
      </c>
      <c r="X17" s="157">
        <f t="shared" si="11"/>
        <v>45660</v>
      </c>
      <c r="Y17" s="387">
        <f t="shared" si="12"/>
        <v>8.669337906931295</v>
      </c>
      <c r="Z17" s="387">
        <f t="shared" si="22"/>
        <v>9.1560162435040944</v>
      </c>
      <c r="AA17" s="388">
        <f t="shared" si="13"/>
        <v>10.495061062398374</v>
      </c>
      <c r="AB17" s="199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0.12758809224005374</v>
      </c>
      <c r="AD17" s="233">
        <f>(INDEX(Models!$BJ17:$BT17,,AH17)*(1-AF17)+INDEX(Models!$BJ17:$BT17,,AH17+1)*AF17-ERP_i)*AE17*Ramure*Pc/MaxiM</f>
        <v>0.21085302581267804</v>
      </c>
      <c r="AE17" s="307">
        <f t="shared" si="15"/>
        <v>1</v>
      </c>
      <c r="AF17" s="179">
        <f>(Hp_vg_s-AG17)/(INDEX(Echel_vg,AH17+1)-AG17)</f>
        <v>9.9860413523321423E-2</v>
      </c>
      <c r="AG17" s="837">
        <f>INDEX(Echel_vg,AH17)</f>
        <v>2</v>
      </c>
      <c r="AH17" s="178">
        <f t="shared" si="16"/>
        <v>8</v>
      </c>
      <c r="AI17" s="227">
        <f t="shared" si="17"/>
        <v>2.0998604135233214</v>
      </c>
      <c r="AJ17" s="267" t="b">
        <f t="shared" si="18"/>
        <v>1</v>
      </c>
      <c r="AK17" s="267" t="b">
        <f t="shared" si="19"/>
        <v>1</v>
      </c>
      <c r="AL17" s="267"/>
      <c r="AM17" s="267"/>
      <c r="AN17" s="75"/>
    </row>
    <row r="18" spans="1:40" s="6" customFormat="1" ht="11.25" x14ac:dyDescent="0.2">
      <c r="A18" s="56">
        <f t="shared" si="20"/>
        <v>45661</v>
      </c>
      <c r="B18" s="1139">
        <f>IF(t&gt;Tmaj,'2024'!Wh/'2024'!Env_an*'2025'!Env_an,0.001*'[3]mon-tableau (2)'!$B$211)</f>
        <v>9.2021349734082047</v>
      </c>
      <c r="C18" s="866"/>
      <c r="D18" s="395">
        <f t="shared" si="0"/>
        <v>9.7189495871716343</v>
      </c>
      <c r="E18" s="387">
        <f t="shared" si="1"/>
        <v>10.578436086111887</v>
      </c>
      <c r="F18" s="387">
        <f t="shared" si="2"/>
        <v>11.955483991387656</v>
      </c>
      <c r="G18" s="110">
        <f t="shared" si="21"/>
        <v>0.61416727956149397</v>
      </c>
      <c r="H18" s="414" t="b">
        <f>Wh_hp&gt;='2024'!Maxi_hp</f>
        <v>0</v>
      </c>
      <c r="I18" s="392">
        <f>IF(H18,Wh_hp,'2024'!Maxi_hp)</f>
        <v>19.204055167696065</v>
      </c>
      <c r="J18" s="85">
        <f>IF(H18,An,'2024'!An_max)</f>
        <v>2019</v>
      </c>
      <c r="K18" s="199">
        <f t="shared" si="3"/>
        <v>45661</v>
      </c>
      <c r="L18" s="147">
        <f>IF(t&lt;Tvie,1-EXP((T0-t)*PertePVj)+'2024'!Pspv,1-EXP((T0-t)*PertePVj)+Pspv)</f>
        <v>5.3175974330146869E-2</v>
      </c>
      <c r="M18" s="870"/>
      <c r="N18" s="870"/>
      <c r="O18" s="48">
        <f>IF(t&lt;Tnet,'2024'!Resal+('2024'!Salim-'2024'!Resal)*(1-EXP(('2024'!Tnet-t)/('2024'!Tau_j))),Resal+(Salim-Resal)*(1-EXP((Tnet-t)/(Tau_j))))*Salcycl</f>
        <v>8.1248919211096546E-2</v>
      </c>
      <c r="P18" s="171">
        <f>(INDEX(Models!$BJ18:$BT18,,T18)*(1-R18)+INDEX(Models!$BJ18:$BT18,,T18+1)*R18-ERP_i)*Q18*Ramure*Pc/MaxiM</f>
        <v>0.2085446213670176</v>
      </c>
      <c r="Q18" s="307">
        <f t="shared" si="4"/>
        <v>1</v>
      </c>
      <c r="R18" s="179">
        <f t="shared" si="5"/>
        <v>9.9904806867134432E-2</v>
      </c>
      <c r="S18" s="837">
        <f t="shared" si="6"/>
        <v>2</v>
      </c>
      <c r="T18" s="178">
        <f t="shared" si="7"/>
        <v>8</v>
      </c>
      <c r="U18" s="253">
        <f t="shared" si="8"/>
        <v>2.0999048068671344</v>
      </c>
      <c r="V18" s="385">
        <f t="shared" si="9"/>
        <v>13.402137043962233</v>
      </c>
      <c r="W18" s="404">
        <f t="shared" si="10"/>
        <v>9.2021349734082047</v>
      </c>
      <c r="X18" s="157">
        <f t="shared" si="11"/>
        <v>45661</v>
      </c>
      <c r="Y18" s="387">
        <f t="shared" si="12"/>
        <v>8.7372187283974334</v>
      </c>
      <c r="Z18" s="387">
        <f>Wh_sa_s*(1-Psa_s)</f>
        <v>9.2279224982869241</v>
      </c>
      <c r="AA18" s="388">
        <f t="shared" si="13"/>
        <v>10.578436086111887</v>
      </c>
      <c r="AB18" s="199">
        <f>t</f>
        <v>45661</v>
      </c>
      <c r="AC18" s="119">
        <f>IF(OR(t&lt;Tnet,NoTnet),'2024'!Resal_s+('2024'!Salim-'2024'!Resal_s)*(1-EXP(('2024'!Tnet_s-t)/'2024'!Tau_j)),Resal_s+(Salim-Resal_s)*(1-EXP((Tnet_s-t)/Tau_j)))*Salcycl</f>
        <v>0.1276666585524879</v>
      </c>
      <c r="AD18" s="233">
        <f>(INDEX(Models!$BJ18:$BT18,,AH18)*(1-AF18)+INDEX(Models!$BJ18:$BT18,,AH18+1)*AF18-ERP_i)*AE18*Ramure*Pc/MaxiM</f>
        <v>0.2085446213670176</v>
      </c>
      <c r="AE18" s="307">
        <f t="shared" si="15"/>
        <v>1</v>
      </c>
      <c r="AF18" s="179">
        <f t="shared" si="23"/>
        <v>9.9904806867134432E-2</v>
      </c>
      <c r="AG18" s="837">
        <f t="shared" si="24"/>
        <v>2</v>
      </c>
      <c r="AH18" s="178">
        <f t="shared" si="16"/>
        <v>8</v>
      </c>
      <c r="AI18" s="227">
        <f t="shared" si="17"/>
        <v>2.0999048068671344</v>
      </c>
      <c r="AJ18" s="267" t="b">
        <f t="shared" si="18"/>
        <v>1</v>
      </c>
      <c r="AK18" s="267" t="b">
        <f t="shared" si="19"/>
        <v>1</v>
      </c>
      <c r="AL18" s="267"/>
      <c r="AM18" s="267"/>
      <c r="AN18" s="75"/>
    </row>
    <row r="19" spans="1:40" s="6" customFormat="1" ht="11.25" x14ac:dyDescent="0.2">
      <c r="A19" s="56">
        <f t="shared" si="20"/>
        <v>45662</v>
      </c>
      <c r="B19" s="1139">
        <f>IF(t&gt;Tmaj,'2024'!Wh/'2024'!Env_an*'2025'!Env_an,0.001*'[3]mon-tableau (2)'!$B$212)</f>
        <v>9.9224533410079072</v>
      </c>
      <c r="C19" s="866"/>
      <c r="D19" s="395">
        <f t="shared" si="0"/>
        <v>10.479966696394953</v>
      </c>
      <c r="E19" s="387">
        <f t="shared" si="1"/>
        <v>11.408871898246993</v>
      </c>
      <c r="F19" s="387">
        <f t="shared" si="2"/>
        <v>13.071926603498387</v>
      </c>
      <c r="G19" s="110">
        <f t="shared" si="21"/>
        <v>0.66597362786871361</v>
      </c>
      <c r="H19" s="414" t="b">
        <f>Wh_hp&gt;='2024'!Maxi_hp</f>
        <v>0</v>
      </c>
      <c r="I19" s="392">
        <f>IF(H19,Wh_hp,'2024'!Maxi_hp)</f>
        <v>19.428700857508826</v>
      </c>
      <c r="J19" s="85">
        <f>IF(H19,An,'2024'!An_max)</f>
        <v>2019</v>
      </c>
      <c r="K19" s="199">
        <f t="shared" si="3"/>
        <v>45662</v>
      </c>
      <c r="L19" s="147">
        <f>IF(t&lt;Tvie,1-EXP((T0-t)*PertePVj)+'2024'!Pspv,1-EXP((T0-t)*PertePVj)+Pspv)</f>
        <v>5.3198008308445122E-2</v>
      </c>
      <c r="M19" s="870"/>
      <c r="N19" s="870"/>
      <c r="O19" s="48">
        <f>IF(t&lt;Tnet,'2024'!Resal+('2024'!Salim-'2024'!Resal)*(1-EXP(('2024'!Tnet-t)/('2024'!Tau_j))),Resal+(Salim-Resal)*(1-EXP((Tnet-t)/(Tau_j))))*Salcycl</f>
        <v>8.1419548763166386E-2</v>
      </c>
      <c r="P19" s="171">
        <f>(INDEX(Models!$BJ19:$BT19,,T19)*(1-R19)+INDEX(Models!$BJ19:$BT19,,T19+1)*R19-ERP_i)*Q19*Ramure*Pc/MaxiM</f>
        <v>0.20608753484759226</v>
      </c>
      <c r="Q19" s="307">
        <f t="shared" si="4"/>
        <v>1</v>
      </c>
      <c r="R19" s="179">
        <f t="shared" si="5"/>
        <v>9.9951056612720635E-2</v>
      </c>
      <c r="S19" s="837">
        <f t="shared" si="6"/>
        <v>2</v>
      </c>
      <c r="T19" s="178">
        <f t="shared" si="7"/>
        <v>8</v>
      </c>
      <c r="U19" s="253">
        <f t="shared" si="8"/>
        <v>2.0999510566127206</v>
      </c>
      <c r="V19" s="385">
        <f t="shared" si="9"/>
        <v>13.552878701065485</v>
      </c>
      <c r="W19" s="404">
        <f t="shared" si="10"/>
        <v>9.9224533410079072</v>
      </c>
      <c r="X19" s="157">
        <f t="shared" si="11"/>
        <v>45662</v>
      </c>
      <c r="Y19" s="387">
        <f t="shared" si="12"/>
        <v>9.4220429894975268</v>
      </c>
      <c r="Z19" s="387">
        <f t="shared" si="22"/>
        <v>9.9514397647855812</v>
      </c>
      <c r="AA19" s="388">
        <f t="shared" si="13"/>
        <v>11.408871898246993</v>
      </c>
      <c r="AB19" s="199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0.12774550774694468</v>
      </c>
      <c r="AD19" s="233">
        <f>(INDEX(Models!$BJ19:$BT19,,AH19)*(1-AF19)+INDEX(Models!$BJ19:$BT19,,AH19+1)*AF19-ERP_i)*AE19*Ramure*Pc/MaxiM</f>
        <v>0.20608753484759226</v>
      </c>
      <c r="AE19" s="307">
        <f t="shared" si="15"/>
        <v>1</v>
      </c>
      <c r="AF19" s="179">
        <f t="shared" si="23"/>
        <v>9.9951056612720635E-2</v>
      </c>
      <c r="AG19" s="837">
        <f t="shared" si="24"/>
        <v>2</v>
      </c>
      <c r="AH19" s="178">
        <f t="shared" si="16"/>
        <v>8</v>
      </c>
      <c r="AI19" s="227">
        <f t="shared" si="17"/>
        <v>2.0999510566127206</v>
      </c>
      <c r="AJ19" s="267" t="b">
        <f t="shared" si="18"/>
        <v>1</v>
      </c>
      <c r="AK19" s="267" t="b">
        <f t="shared" si="19"/>
        <v>1</v>
      </c>
      <c r="AL19" s="267"/>
      <c r="AM19" s="267"/>
      <c r="AN19" s="75"/>
    </row>
    <row r="20" spans="1:40" s="6" customFormat="1" ht="11.25" x14ac:dyDescent="0.2">
      <c r="A20" s="56">
        <f t="shared" si="20"/>
        <v>45663</v>
      </c>
      <c r="B20" s="1139">
        <f>IF(t&gt;Tmaj,'2024'!Wh/'2024'!Env_an*'2025'!Env_an,0.001*'[3]mon-tableau (2)'!$B$213)</f>
        <v>4.4049633770770544</v>
      </c>
      <c r="C20" s="866"/>
      <c r="D20" s="395">
        <f t="shared" si="0"/>
        <v>4.6525735349643744</v>
      </c>
      <c r="E20" s="387">
        <f t="shared" si="1"/>
        <v>5.0659008141928608</v>
      </c>
      <c r="F20" s="387">
        <f t="shared" si="2"/>
        <v>5.0973751210864711</v>
      </c>
      <c r="G20" s="110">
        <f t="shared" si="21"/>
        <v>0.25746072024980488</v>
      </c>
      <c r="H20" s="414" t="b">
        <f>Wh_hp&gt;='2024'!Maxi_hp</f>
        <v>0</v>
      </c>
      <c r="I20" s="392">
        <f>IF(H20,Wh_hp,'2024'!Maxi_hp)</f>
        <v>20.454909959477973</v>
      </c>
      <c r="J20" s="85">
        <f>IF(H20,An,'2024'!An_max)</f>
        <v>2022</v>
      </c>
      <c r="K20" s="199">
        <f t="shared" si="3"/>
        <v>45663</v>
      </c>
      <c r="L20" s="147">
        <f>IF(t&lt;Tvie,1-EXP((T0-t)*PertePVj)+'2024'!Pspv,1-EXP((T0-t)*PertePVj)+Pspv)</f>
        <v>5.3220041773980431E-2</v>
      </c>
      <c r="M20" s="870"/>
      <c r="N20" s="870"/>
      <c r="O20" s="48">
        <f>IF(t&lt;Tnet,'2024'!Resal+('2024'!Salim-'2024'!Resal)*(1-EXP(('2024'!Tnet-t)/('2024'!Tau_j))),Resal+(Salim-Resal)*(1-EXP((Tnet-t)/(Tau_j))))*Salcycl</f>
        <v>8.1590085236270302E-2</v>
      </c>
      <c r="P20" s="171">
        <f>(INDEX(Models!$BJ20:$BT20,,T20)*(1-R20)+INDEX(Models!$BJ20:$BT20,,T20+1)*R20-ERP_i)*Q20*Ramure*Pc/MaxiM</f>
        <v>0.20349064993369056</v>
      </c>
      <c r="Q20" s="307">
        <f t="shared" si="4"/>
        <v>1</v>
      </c>
      <c r="R20" s="179">
        <f t="shared" si="5"/>
        <v>9.9999240128171962E-2</v>
      </c>
      <c r="S20" s="837">
        <f t="shared" si="6"/>
        <v>2</v>
      </c>
      <c r="T20" s="178">
        <f t="shared" si="7"/>
        <v>8</v>
      </c>
      <c r="U20" s="253">
        <f t="shared" si="8"/>
        <v>2.099999240128172</v>
      </c>
      <c r="V20" s="385">
        <f t="shared" si="9"/>
        <v>13.712357043984063</v>
      </c>
      <c r="W20" s="404">
        <f t="shared" si="10"/>
        <v>4.4049633770770544</v>
      </c>
      <c r="X20" s="157">
        <f t="shared" si="11"/>
        <v>45663</v>
      </c>
      <c r="Y20" s="387">
        <f t="shared" si="12"/>
        <v>4.1832090976413419</v>
      </c>
      <c r="Z20" s="387">
        <f t="shared" si="22"/>
        <v>4.418354086708189</v>
      </c>
      <c r="AA20" s="388">
        <f t="shared" si="13"/>
        <v>5.0659008141928608</v>
      </c>
      <c r="AB20" s="199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0.12782459650028583</v>
      </c>
      <c r="AD20" s="233">
        <f>(INDEX(Models!$BJ20:$BT20,,AH20)*(1-AF20)+INDEX(Models!$BJ20:$BT20,,AH20+1)*AF20-ERP_i)*AE20*Ramure*Pc/MaxiM</f>
        <v>0.20349064993369056</v>
      </c>
      <c r="AE20" s="307">
        <f t="shared" si="15"/>
        <v>1</v>
      </c>
      <c r="AF20" s="179">
        <f t="shared" si="23"/>
        <v>9.9999240128171962E-2</v>
      </c>
      <c r="AG20" s="837">
        <f t="shared" si="24"/>
        <v>2</v>
      </c>
      <c r="AH20" s="178">
        <f t="shared" si="16"/>
        <v>8</v>
      </c>
      <c r="AI20" s="227">
        <f t="shared" si="17"/>
        <v>2.099999240128172</v>
      </c>
      <c r="AJ20" s="267" t="b">
        <f t="shared" si="18"/>
        <v>1</v>
      </c>
      <c r="AK20" s="267" t="b">
        <f t="shared" si="19"/>
        <v>1</v>
      </c>
      <c r="AL20" s="267"/>
      <c r="AM20" s="267"/>
      <c r="AN20" s="75"/>
    </row>
    <row r="21" spans="1:40" s="6" customFormat="1" ht="11.25" x14ac:dyDescent="0.2">
      <c r="A21" s="56">
        <f t="shared" si="20"/>
        <v>45664</v>
      </c>
      <c r="B21" s="1139">
        <f>IF(t&gt;Tmaj,'2024'!Wh/'2024'!Env_an*'2025'!Env_an,0.001*'[3]mon-tableau (2)'!$B$214)</f>
        <v>11.248702752095953</v>
      </c>
      <c r="C21" s="866"/>
      <c r="D21" s="395">
        <f t="shared" si="0"/>
        <v>11.881287129283411</v>
      </c>
      <c r="E21" s="387">
        <f t="shared" si="1"/>
        <v>12.939202921574635</v>
      </c>
      <c r="F21" s="387">
        <f t="shared" si="2"/>
        <v>15.158145805503182</v>
      </c>
      <c r="G21" s="110">
        <f t="shared" si="21"/>
        <v>0.75878083372486116</v>
      </c>
      <c r="H21" s="414" t="b">
        <f>Wh_hp&gt;='2024'!Maxi_hp</f>
        <v>0</v>
      </c>
      <c r="I21" s="392">
        <f>IF(H21,Wh_hp,'2024'!Maxi_hp)</f>
        <v>15.62674165622532</v>
      </c>
      <c r="J21" s="85">
        <f>IF(H21,An,'2024'!An_max)</f>
        <v>2023</v>
      </c>
      <c r="K21" s="199">
        <f t="shared" si="3"/>
        <v>45664</v>
      </c>
      <c r="L21" s="147">
        <f>IF(t&lt;Tvie,1-EXP((T0-t)*PertePVj)+'2024'!Pspv,1-EXP((T0-t)*PertePVj)+Pspv)</f>
        <v>5.3242074726764899E-2</v>
      </c>
      <c r="M21" s="870"/>
      <c r="N21" s="870"/>
      <c r="O21" s="48">
        <f>IF(t&lt;Tnet,'2024'!Resal+('2024'!Salim-'2024'!Resal)*(1-EXP(('2024'!Tnet-t)/('2024'!Tau_j))),Resal+(Salim-Resal)*(1-EXP((Tnet-t)/(Tau_j))))*Salcycl</f>
        <v>8.1760507096404658E-2</v>
      </c>
      <c r="P21" s="171">
        <f>(INDEX(Models!$BJ21:$BT21,,T21)*(1-R21)+INDEX(Models!$BJ21:$BT21,,T21+1)*R21-ERP_i)*Q21*Ramure*Pc/MaxiM</f>
        <v>0.20076277616532254</v>
      </c>
      <c r="Q21" s="307">
        <f t="shared" si="4"/>
        <v>1</v>
      </c>
      <c r="R21" s="179">
        <f t="shared" si="5"/>
        <v>0.10004943798366028</v>
      </c>
      <c r="S21" s="837">
        <f t="shared" si="6"/>
        <v>2</v>
      </c>
      <c r="T21" s="178">
        <f t="shared" si="7"/>
        <v>8</v>
      </c>
      <c r="U21" s="253">
        <f t="shared" si="8"/>
        <v>2.1000494379836603</v>
      </c>
      <c r="V21" s="385">
        <f t="shared" si="9"/>
        <v>13.880347764686384</v>
      </c>
      <c r="W21" s="404">
        <f t="shared" si="10"/>
        <v>11.248702752095953</v>
      </c>
      <c r="X21" s="157">
        <f t="shared" si="11"/>
        <v>45664</v>
      </c>
      <c r="Y21" s="387">
        <f t="shared" si="12"/>
        <v>10.683432813589796</v>
      </c>
      <c r="Z21" s="387">
        <f t="shared" si="22"/>
        <v>11.284228553467402</v>
      </c>
      <c r="AA21" s="388">
        <f t="shared" si="13"/>
        <v>12.939202921574635</v>
      </c>
      <c r="AB21" s="199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0.12790388852683907</v>
      </c>
      <c r="AD21" s="233">
        <f>(INDEX(Models!$BJ21:$BT21,,AH21)*(1-AF21)+INDEX(Models!$BJ21:$BT21,,AH21+1)*AF21-ERP_i)*AE21*Ramure*Pc/MaxiM</f>
        <v>0.20076277616532254</v>
      </c>
      <c r="AE21" s="307">
        <f t="shared" si="15"/>
        <v>1</v>
      </c>
      <c r="AF21" s="179">
        <f t="shared" si="23"/>
        <v>0.10004943798366028</v>
      </c>
      <c r="AG21" s="837">
        <f t="shared" si="24"/>
        <v>2</v>
      </c>
      <c r="AH21" s="178">
        <f t="shared" si="16"/>
        <v>8</v>
      </c>
      <c r="AI21" s="227">
        <f t="shared" si="17"/>
        <v>2.1000494379836603</v>
      </c>
      <c r="AJ21" s="267" t="b">
        <f t="shared" si="18"/>
        <v>1</v>
      </c>
      <c r="AK21" s="267" t="b">
        <f t="shared" si="19"/>
        <v>1</v>
      </c>
      <c r="AL21" s="267"/>
      <c r="AM21" s="267"/>
      <c r="AN21" s="75"/>
    </row>
    <row r="22" spans="1:40" s="6" customFormat="1" ht="11.25" x14ac:dyDescent="0.2">
      <c r="A22" s="56">
        <f t="shared" si="20"/>
        <v>45665</v>
      </c>
      <c r="B22" s="1139">
        <f>IF(t&gt;Tmaj,'2024'!Wh/'2024'!Env_an*'2025'!Env_an,0.001*'[3]mon-tableau (2)'!$B$215)</f>
        <v>5.8755841669545381</v>
      </c>
      <c r="C22" s="866"/>
      <c r="D22" s="395">
        <f t="shared" si="0"/>
        <v>6.2061491609569597</v>
      </c>
      <c r="E22" s="387">
        <f t="shared" si="1"/>
        <v>6.7600014687122805</v>
      </c>
      <c r="F22" s="387">
        <f t="shared" si="2"/>
        <v>6.9933028492407088</v>
      </c>
      <c r="G22" s="110">
        <f t="shared" si="21"/>
        <v>0.34683840940778971</v>
      </c>
      <c r="H22" s="414" t="b">
        <f>Wh_hp&gt;='2024'!Maxi_hp</f>
        <v>0</v>
      </c>
      <c r="I22" s="392">
        <f>IF(H22,Wh_hp,'2024'!Maxi_hp)</f>
        <v>14.685729582313519</v>
      </c>
      <c r="J22" s="85">
        <f>IF(H22,An,'2024'!An_max)</f>
        <v>2021</v>
      </c>
      <c r="K22" s="199">
        <f t="shared" si="3"/>
        <v>45665</v>
      </c>
      <c r="L22" s="147">
        <f>IF(t&lt;Tvie,1-EXP((T0-t)*PertePVj)+'2024'!Pspv,1-EXP((T0-t)*PertePVj)+Pspv)</f>
        <v>5.3264107166810293E-2</v>
      </c>
      <c r="M22" s="870"/>
      <c r="N22" s="870"/>
      <c r="O22" s="48">
        <f>IF(t&lt;Tnet,'2024'!Resal+('2024'!Salim-'2024'!Resal)*(1-EXP(('2024'!Tnet-t)/('2024'!Tau_j))),Resal+(Salim-Resal)*(1-EXP((Tnet-t)/(Tau_j))))*Salcycl</f>
        <v>8.1930796955999058E-2</v>
      </c>
      <c r="P22" s="171">
        <f>(INDEX(Models!$BJ22:$BT22,,T22)*(1-R22)+INDEX(Models!$BJ22:$BT22,,T22+1)*R22-ERP_i)*Q22*Ramure*Pc/MaxiM</f>
        <v>0.1979126011866324</v>
      </c>
      <c r="Q22" s="307">
        <f t="shared" si="4"/>
        <v>1</v>
      </c>
      <c r="R22" s="179">
        <f t="shared" si="5"/>
        <v>0.10010173408205647</v>
      </c>
      <c r="S22" s="837">
        <f t="shared" si="6"/>
        <v>2</v>
      </c>
      <c r="T22" s="178">
        <f t="shared" si="7"/>
        <v>8</v>
      </c>
      <c r="U22" s="253">
        <f t="shared" si="8"/>
        <v>2.1001017340820565</v>
      </c>
      <c r="V22" s="385">
        <f t="shared" si="9"/>
        <v>14.056626493888585</v>
      </c>
      <c r="W22" s="404">
        <f t="shared" si="10"/>
        <v>5.8755841669545381</v>
      </c>
      <c r="X22" s="157">
        <f t="shared" si="11"/>
        <v>45665</v>
      </c>
      <c r="Y22" s="387">
        <f t="shared" si="12"/>
        <v>5.5808507464678261</v>
      </c>
      <c r="Z22" s="387">
        <f t="shared" si="22"/>
        <v>5.8948338060434615</v>
      </c>
      <c r="AA22" s="388">
        <f t="shared" si="13"/>
        <v>6.7600014687122805</v>
      </c>
      <c r="AB22" s="199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0.12798335424528032</v>
      </c>
      <c r="AD22" s="233">
        <f>(INDEX(Models!$BJ22:$BT22,,AH22)*(1-AF22)+INDEX(Models!$BJ22:$BT22,,AH22+1)*AF22-ERP_i)*AE22*Ramure*Pc/MaxiM</f>
        <v>0.1979126011866324</v>
      </c>
      <c r="AE22" s="307">
        <f t="shared" si="15"/>
        <v>1</v>
      </c>
      <c r="AF22" s="179">
        <f t="shared" si="23"/>
        <v>0.10010173408205647</v>
      </c>
      <c r="AG22" s="837">
        <f t="shared" si="24"/>
        <v>2</v>
      </c>
      <c r="AH22" s="178">
        <f t="shared" si="16"/>
        <v>8</v>
      </c>
      <c r="AI22" s="227">
        <f t="shared" si="17"/>
        <v>2.1001017340820565</v>
      </c>
      <c r="AJ22" s="267" t="b">
        <f t="shared" si="18"/>
        <v>1</v>
      </c>
      <c r="AK22" s="267" t="b">
        <f t="shared" si="19"/>
        <v>1</v>
      </c>
      <c r="AL22" s="267"/>
      <c r="AM22" s="267"/>
      <c r="AN22" s="75"/>
    </row>
    <row r="23" spans="1:40" s="6" customFormat="1" ht="11.25" x14ac:dyDescent="0.2">
      <c r="A23" s="56">
        <f t="shared" si="20"/>
        <v>45666</v>
      </c>
      <c r="B23" s="1139">
        <f>IF(t&gt;Tmaj,'2024'!Wh/'2024'!Env_an*'2025'!Env_an,0.001*'[3]mon-tableau (2)'!$B$216)</f>
        <v>5.9953020621577711</v>
      </c>
      <c r="C23" s="866"/>
      <c r="D23" s="395">
        <f t="shared" si="0"/>
        <v>6.3327498515983649</v>
      </c>
      <c r="E23" s="387">
        <f t="shared" si="1"/>
        <v>6.8991789369472869</v>
      </c>
      <c r="F23" s="387">
        <f t="shared" si="2"/>
        <v>7.1396047101065143</v>
      </c>
      <c r="G23" s="110">
        <f t="shared" si="21"/>
        <v>0.35068911582926166</v>
      </c>
      <c r="H23" s="414" t="b">
        <f>Wh_hp&gt;='2024'!Maxi_hp</f>
        <v>0</v>
      </c>
      <c r="I23" s="392">
        <f>IF(H23,Wh_hp,'2024'!Maxi_hp)</f>
        <v>18.908516116999923</v>
      </c>
      <c r="J23" s="85">
        <f>IF(H23,An,'2024'!An_max)</f>
        <v>2020</v>
      </c>
      <c r="K23" s="199">
        <f t="shared" si="3"/>
        <v>45666</v>
      </c>
      <c r="L23" s="147">
        <f>IF(t&lt;Tvie,1-EXP((T0-t)*PertePVj)+'2024'!Pspv,1-EXP((T0-t)*PertePVj)+Pspv)</f>
        <v>5.3286139094128715E-2</v>
      </c>
      <c r="M23" s="870"/>
      <c r="N23" s="870"/>
      <c r="O23" s="48">
        <f>IF(t&lt;Tnet,'2024'!Resal+('2024'!Salim-'2024'!Resal)*(1-EXP(('2024'!Tnet-t)/('2024'!Tau_j))),Resal+(Salim-Resal)*(1-EXP((Tnet-t)/(Tau_j))))*Salcycl</f>
        <v>8.2100941362096683E-2</v>
      </c>
      <c r="P23" s="171">
        <f>(INDEX(Models!$BJ23:$BT23,,T23)*(1-R23)+INDEX(Models!$BJ23:$BT23,,T23+1)*R23-ERP_i)*Q23*Ramure*Pc/MaxiM</f>
        <v>0.19492638947401619</v>
      </c>
      <c r="Q23" s="307">
        <f t="shared" si="4"/>
        <v>1</v>
      </c>
      <c r="R23" s="179">
        <f t="shared" si="5"/>
        <v>0.10015621579470535</v>
      </c>
      <c r="S23" s="837">
        <f t="shared" si="6"/>
        <v>2</v>
      </c>
      <c r="T23" s="178">
        <f t="shared" si="7"/>
        <v>8</v>
      </c>
      <c r="U23" s="253">
        <f t="shared" si="8"/>
        <v>2.1001562157947053</v>
      </c>
      <c r="V23" s="385">
        <f t="shared" si="9"/>
        <v>14.242988761284298</v>
      </c>
      <c r="W23" s="404">
        <f t="shared" si="10"/>
        <v>5.9953020621577711</v>
      </c>
      <c r="X23" s="157">
        <f t="shared" si="11"/>
        <v>45666</v>
      </c>
      <c r="Y23" s="387">
        <f t="shared" si="12"/>
        <v>5.6950988482365927</v>
      </c>
      <c r="Z23" s="387">
        <f t="shared" si="22"/>
        <v>6.0156495889763235</v>
      </c>
      <c r="AA23" s="388">
        <f t="shared" si="13"/>
        <v>6.8991789369472869</v>
      </c>
      <c r="AB23" s="199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0.12806297039773587</v>
      </c>
      <c r="AD23" s="233">
        <f>(INDEX(Models!$BJ23:$BT23,,AH23)*(1-AF23)+INDEX(Models!$BJ23:$BT23,,AH23+1)*AF23-ERP_i)*AE23*Ramure*Pc/MaxiM</f>
        <v>0.19492638947401619</v>
      </c>
      <c r="AE23" s="307">
        <f t="shared" si="15"/>
        <v>1</v>
      </c>
      <c r="AF23" s="179">
        <f t="shared" si="23"/>
        <v>0.10015621579470535</v>
      </c>
      <c r="AG23" s="837">
        <f t="shared" si="24"/>
        <v>2</v>
      </c>
      <c r="AH23" s="178">
        <f t="shared" si="16"/>
        <v>8</v>
      </c>
      <c r="AI23" s="227">
        <f t="shared" si="17"/>
        <v>2.1001562157947053</v>
      </c>
      <c r="AJ23" s="267" t="b">
        <f t="shared" si="18"/>
        <v>1</v>
      </c>
      <c r="AK23" s="267" t="b">
        <f t="shared" si="19"/>
        <v>1</v>
      </c>
      <c r="AL23" s="267"/>
      <c r="AM23" s="267"/>
      <c r="AN23" s="75"/>
    </row>
    <row r="24" spans="1:40" s="6" customFormat="1" ht="11.25" x14ac:dyDescent="0.2">
      <c r="A24" s="56">
        <f t="shared" si="20"/>
        <v>45667</v>
      </c>
      <c r="B24" s="1139">
        <f>IF(t&gt;Tmaj,'2024'!Wh/'2024'!Env_an*'2025'!Env_an,0.001*'[3]mon-tableau (2)'!$B$217)</f>
        <v>13.222370019637227</v>
      </c>
      <c r="C24" s="866"/>
      <c r="D24" s="395">
        <f t="shared" si="0"/>
        <v>13.966921027239293</v>
      </c>
      <c r="E24" s="387">
        <f t="shared" si="1"/>
        <v>15.219002527275029</v>
      </c>
      <c r="F24" s="387">
        <f t="shared" si="2"/>
        <v>18.307053445896422</v>
      </c>
      <c r="G24" s="110">
        <f t="shared" si="21"/>
        <v>0.89015800299062375</v>
      </c>
      <c r="H24" s="414" t="b">
        <f>Wh_hp&gt;='2024'!Maxi_hp</f>
        <v>0</v>
      </c>
      <c r="I24" s="392">
        <f>IF(H24,Wh_hp,'2024'!Maxi_hp)</f>
        <v>18.551618953476808</v>
      </c>
      <c r="J24" s="85">
        <f>IF(H24,An,'2024'!An_max)</f>
        <v>2023</v>
      </c>
      <c r="K24" s="199">
        <f t="shared" si="3"/>
        <v>45667</v>
      </c>
      <c r="L24" s="147">
        <f>IF(t&lt;Tvie,1-EXP((T0-t)*PertePVj)+'2024'!Pspv,1-EXP((T0-t)*PertePVj)+Pspv)</f>
        <v>5.3308170508731934E-2</v>
      </c>
      <c r="M24" s="870"/>
      <c r="N24" s="870"/>
      <c r="O24" s="48">
        <f>IF(t&lt;Tnet,'2024'!Resal+('2024'!Salim-'2024'!Resal)*(1-EXP(('2024'!Tnet-t)/('2024'!Tau_j))),Resal+(Salim-Resal)*(1-EXP((Tnet-t)/(Tau_j))))*Salcycl</f>
        <v>8.2270930554863508E-2</v>
      </c>
      <c r="P24" s="171">
        <f>(INDEX(Models!$BJ24:$BT24,,T24)*(1-R24)+INDEX(Models!$BJ24:$BT24,,T24+1)*R24-ERP_i)*Q24*Ramure*Pc/MaxiM</f>
        <v>0.19180053640549632</v>
      </c>
      <c r="Q24" s="307">
        <f t="shared" si="4"/>
        <v>1</v>
      </c>
      <c r="R24" s="179">
        <f t="shared" si="5"/>
        <v>0.10021297410256302</v>
      </c>
      <c r="S24" s="837">
        <f t="shared" si="6"/>
        <v>2</v>
      </c>
      <c r="T24" s="178">
        <f t="shared" si="7"/>
        <v>8</v>
      </c>
      <c r="U24" s="253">
        <f t="shared" si="8"/>
        <v>2.100212974102563</v>
      </c>
      <c r="V24" s="385">
        <f t="shared" si="9"/>
        <v>14.440858876312374</v>
      </c>
      <c r="W24" s="404">
        <f t="shared" si="10"/>
        <v>13.222370019637227</v>
      </c>
      <c r="X24" s="157">
        <f t="shared" si="11"/>
        <v>45667</v>
      </c>
      <c r="Y24" s="387">
        <f t="shared" si="12"/>
        <v>12.561462799019091</v>
      </c>
      <c r="Z24" s="387">
        <f t="shared" si="22"/>
        <v>13.268798153427978</v>
      </c>
      <c r="AA24" s="388">
        <f t="shared" si="13"/>
        <v>15.219002527275027</v>
      </c>
      <c r="AB24" s="199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0.12814271962646384</v>
      </c>
      <c r="AD24" s="233">
        <f>(INDEX(Models!$BJ24:$BT24,,AH24)*(1-AF24)+INDEX(Models!$BJ24:$BT24,,AH24+1)*AF24-ERP_i)*AE24*Ramure*Pc/MaxiM</f>
        <v>0.19180053640549632</v>
      </c>
      <c r="AE24" s="307">
        <f t="shared" si="15"/>
        <v>1</v>
      </c>
      <c r="AF24" s="179">
        <f t="shared" si="23"/>
        <v>0.10021297410256302</v>
      </c>
      <c r="AG24" s="837">
        <f t="shared" si="24"/>
        <v>2</v>
      </c>
      <c r="AH24" s="178">
        <f t="shared" si="16"/>
        <v>8</v>
      </c>
      <c r="AI24" s="227">
        <f t="shared" si="17"/>
        <v>2.100212974102563</v>
      </c>
      <c r="AJ24" s="267" t="b">
        <f t="shared" si="18"/>
        <v>1</v>
      </c>
      <c r="AK24" s="267" t="b">
        <f t="shared" si="19"/>
        <v>1</v>
      </c>
      <c r="AL24" s="267"/>
      <c r="AM24" s="267"/>
      <c r="AN24" s="75"/>
    </row>
    <row r="25" spans="1:40" s="6" customFormat="1" ht="11.25" x14ac:dyDescent="0.2">
      <c r="A25" s="56">
        <f t="shared" si="20"/>
        <v>45668</v>
      </c>
      <c r="B25" s="1139">
        <f>IF(t&gt;Tmaj,'2024'!Wh/'2024'!Env_an*'2025'!Env_an,0.001*'[3]mon-tableau (2)'!$B$218)</f>
        <v>3.9297834144416774</v>
      </c>
      <c r="C25" s="866"/>
      <c r="D25" s="395">
        <f t="shared" si="0"/>
        <v>4.1511659295537306</v>
      </c>
      <c r="E25" s="387">
        <f t="shared" si="1"/>
        <v>4.5241394129597525</v>
      </c>
      <c r="F25" s="387">
        <f t="shared" si="2"/>
        <v>4.5241394129597525</v>
      </c>
      <c r="G25" s="110">
        <f t="shared" si="21"/>
        <v>0.21767298960712111</v>
      </c>
      <c r="H25" s="414" t="b">
        <f>Wh_hp&gt;='2024'!Maxi_hp</f>
        <v>0</v>
      </c>
      <c r="I25" s="392">
        <f>IF(H25,Wh_hp,'2024'!Maxi_hp)</f>
        <v>21.391910226810385</v>
      </c>
      <c r="J25" s="85">
        <f>IF(H25,An,'2024'!An_max)</f>
        <v>2022</v>
      </c>
      <c r="K25" s="199">
        <f t="shared" si="3"/>
        <v>45668</v>
      </c>
      <c r="L25" s="147">
        <f>IF(t&lt;Tvie,1-EXP((T0-t)*PertePVj)+'2024'!Pspv,1-EXP((T0-t)*PertePVj)+Pspv)</f>
        <v>5.3330201410631939E-2</v>
      </c>
      <c r="M25" s="870"/>
      <c r="N25" s="870"/>
      <c r="O25" s="48">
        <f>IF(t&lt;Tnet,'2024'!Resal+('2024'!Salim-'2024'!Resal)*(1-EXP(('2024'!Tnet-t)/('2024'!Tau_j))),Resal+(Salim-Resal)*(1-EXP((Tnet-t)/(Tau_j))))*Salcycl</f>
        <v>8.2440758199804939E-2</v>
      </c>
      <c r="P25" s="171">
        <f>(INDEX(Models!$BJ25:$BT25,,T25)*(1-R25)+INDEX(Models!$BJ25:$BT25,,T25+1)*R25-ERP_i)*Q25*Ramure*Pc/MaxiM</f>
        <v>0.18860361784953153</v>
      </c>
      <c r="Q25" s="307">
        <f t="shared" si="4"/>
        <v>1</v>
      </c>
      <c r="R25" s="179">
        <f t="shared" si="5"/>
        <v>0.1002721037428751</v>
      </c>
      <c r="S25" s="837">
        <f t="shared" si="6"/>
        <v>2</v>
      </c>
      <c r="T25" s="178">
        <f t="shared" si="7"/>
        <v>8</v>
      </c>
      <c r="U25" s="253">
        <f t="shared" si="8"/>
        <v>2.1002721037428751</v>
      </c>
      <c r="V25" s="385">
        <f t="shared" si="9"/>
        <v>14.64863440736506</v>
      </c>
      <c r="W25" s="404">
        <f t="shared" si="10"/>
        <v>3.9297834144416774</v>
      </c>
      <c r="X25" s="157">
        <f t="shared" si="11"/>
        <v>45668</v>
      </c>
      <c r="Y25" s="387">
        <f t="shared" si="12"/>
        <v>3.7337059568246307</v>
      </c>
      <c r="Z25" s="387">
        <f t="shared" si="22"/>
        <v>3.9440425398467589</v>
      </c>
      <c r="AA25" s="388">
        <f t="shared" si="13"/>
        <v>4.5241394129597525</v>
      </c>
      <c r="AB25" s="199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0.12822259001375164</v>
      </c>
      <c r="AD25" s="233">
        <f>(INDEX(Models!$BJ25:$BT25,,AH25)*(1-AF25)+INDEX(Models!$BJ25:$BT25,,AH25+1)*AF25-ERP_i)*AE25*Ramure*Pc/MaxiM</f>
        <v>0.18860361784953153</v>
      </c>
      <c r="AE25" s="307">
        <f t="shared" si="15"/>
        <v>1</v>
      </c>
      <c r="AF25" s="179">
        <f t="shared" si="23"/>
        <v>0.1002721037428751</v>
      </c>
      <c r="AG25" s="837">
        <f t="shared" si="24"/>
        <v>2</v>
      </c>
      <c r="AH25" s="178">
        <f t="shared" si="16"/>
        <v>8</v>
      </c>
      <c r="AI25" s="227">
        <f t="shared" si="17"/>
        <v>2.1002721037428751</v>
      </c>
      <c r="AJ25" s="267" t="b">
        <f t="shared" si="18"/>
        <v>1</v>
      </c>
      <c r="AK25" s="267" t="b">
        <f t="shared" si="19"/>
        <v>1</v>
      </c>
      <c r="AL25" s="267"/>
      <c r="AM25" s="267"/>
      <c r="AN25" s="75"/>
    </row>
    <row r="26" spans="1:40" s="6" customFormat="1" ht="11.25" x14ac:dyDescent="0.2">
      <c r="A26" s="56">
        <f t="shared" si="20"/>
        <v>45669</v>
      </c>
      <c r="B26" s="1139">
        <f>IF(t&gt;Tmaj,'2024'!Wh/'2024'!Env_an*'2025'!Env_an,0.001*'[3]mon-tableau (2)'!$B$219)</f>
        <v>14.22358274318554</v>
      </c>
      <c r="C26" s="866"/>
      <c r="D26" s="395">
        <f t="shared" si="0"/>
        <v>15.025211299265539</v>
      </c>
      <c r="E26" s="387">
        <f t="shared" si="1"/>
        <v>16.378223215960894</v>
      </c>
      <c r="F26" s="387">
        <f t="shared" si="2"/>
        <v>19.826249548649084</v>
      </c>
      <c r="G26" s="110">
        <f t="shared" si="21"/>
        <v>0.94356100450923475</v>
      </c>
      <c r="H26" s="414" t="b">
        <f>Wh_hp&gt;='2024'!Maxi_hp</f>
        <v>0</v>
      </c>
      <c r="I26" s="392">
        <f>IF(H26,Wh_hp,'2024'!Maxi_hp)</f>
        <v>20.743234517449725</v>
      </c>
      <c r="J26" s="85">
        <f>IF(H26,An,'2024'!An_max)</f>
        <v>2020</v>
      </c>
      <c r="K26" s="199">
        <f t="shared" si="3"/>
        <v>45669</v>
      </c>
      <c r="L26" s="147">
        <f>IF(t&lt;Tvie,1-EXP((T0-t)*PertePVj)+'2024'!Pspv,1-EXP((T0-t)*PertePVj)+Pspv)</f>
        <v>5.335223179984061E-2</v>
      </c>
      <c r="M26" s="870"/>
      <c r="N26" s="870"/>
      <c r="O26" s="48">
        <f>IF(t&lt;Tnet,'2024'!Resal+('2024'!Salim-'2024'!Resal)*(1-EXP(('2024'!Tnet-t)/('2024'!Tau_j))),Resal+(Salim-Resal)*(1-EXP((Tnet-t)/(Tau_j))))*Salcycl</f>
        <v>8.2610421097254166E-2</v>
      </c>
      <c r="P26" s="171">
        <f>(INDEX(Models!$BJ26:$BT26,,T26)*(1-R26)+INDEX(Models!$BJ26:$BT26,,T26+1)*R26-ERP_i)*Q26*Ramure*Pc/MaxiM</f>
        <v>0.18534888559951002</v>
      </c>
      <c r="Q26" s="307">
        <f t="shared" si="4"/>
        <v>1</v>
      </c>
      <c r="R26" s="179">
        <f t="shared" si="5"/>
        <v>0.10033370336161473</v>
      </c>
      <c r="S26" s="837">
        <f t="shared" si="6"/>
        <v>2</v>
      </c>
      <c r="T26" s="178">
        <f t="shared" si="7"/>
        <v>8</v>
      </c>
      <c r="U26" s="253">
        <f t="shared" si="8"/>
        <v>2.1003337033616147</v>
      </c>
      <c r="V26" s="385">
        <f t="shared" si="9"/>
        <v>14.865668978754657</v>
      </c>
      <c r="W26" s="404">
        <f t="shared" si="10"/>
        <v>14.22358274318554</v>
      </c>
      <c r="X26" s="157">
        <f t="shared" si="11"/>
        <v>45669</v>
      </c>
      <c r="Y26" s="387">
        <f t="shared" si="12"/>
        <v>13.515152932255715</v>
      </c>
      <c r="Z26" s="387">
        <f t="shared" si="22"/>
        <v>14.276855010128823</v>
      </c>
      <c r="AA26" s="388">
        <f t="shared" si="13"/>
        <v>16.378223215960894</v>
      </c>
      <c r="AB26" s="199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0.12830257459089009</v>
      </c>
      <c r="AD26" s="233">
        <f>(INDEX(Models!$BJ26:$BT26,,AH26)*(1-AF26)+INDEX(Models!$BJ26:$BT26,,AH26+1)*AF26-ERP_i)*AE26*Ramure*Pc/MaxiM</f>
        <v>0.18534888559951002</v>
      </c>
      <c r="AE26" s="307">
        <f t="shared" si="15"/>
        <v>1</v>
      </c>
      <c r="AF26" s="179">
        <f t="shared" si="23"/>
        <v>0.10033370336161473</v>
      </c>
      <c r="AG26" s="837">
        <f t="shared" si="24"/>
        <v>2</v>
      </c>
      <c r="AH26" s="178">
        <f t="shared" si="16"/>
        <v>8</v>
      </c>
      <c r="AI26" s="227">
        <f t="shared" si="17"/>
        <v>2.1003337033616147</v>
      </c>
      <c r="AJ26" s="267" t="b">
        <f t="shared" si="18"/>
        <v>1</v>
      </c>
      <c r="AK26" s="267" t="b">
        <f t="shared" si="19"/>
        <v>1</v>
      </c>
      <c r="AL26" s="267"/>
      <c r="AM26" s="267"/>
      <c r="AN26" s="75"/>
    </row>
    <row r="27" spans="1:40" s="6" customFormat="1" ht="11.25" x14ac:dyDescent="0.2">
      <c r="A27" s="56">
        <f t="shared" si="20"/>
        <v>45670</v>
      </c>
      <c r="B27" s="1139">
        <f>IF(t&gt;Tmaj,'2024'!Wh/'2024'!Env_an*'2025'!Env_an,0.001*'[3]mon-tableau (2)'!$B$220)</f>
        <v>9.2983873373418451</v>
      </c>
      <c r="C27" s="866"/>
      <c r="D27" s="395">
        <f t="shared" si="0"/>
        <v>9.8226648197927364</v>
      </c>
      <c r="E27" s="387">
        <f t="shared" si="1"/>
        <v>10.70916895727127</v>
      </c>
      <c r="F27" s="387">
        <f t="shared" si="2"/>
        <v>11.668542897244558</v>
      </c>
      <c r="G27" s="110">
        <f t="shared" si="21"/>
        <v>0.54912191872622063</v>
      </c>
      <c r="H27" s="414" t="b">
        <f>Wh_hp&gt;='2024'!Maxi_hp</f>
        <v>0</v>
      </c>
      <c r="I27" s="392">
        <f>IF(H27,Wh_hp,'2024'!Maxi_hp)</f>
        <v>14.753138664755877</v>
      </c>
      <c r="J27" s="85">
        <f>IF(H27,An,'2024'!An_max)</f>
        <v>2020</v>
      </c>
      <c r="K27" s="199">
        <f t="shared" si="3"/>
        <v>45670</v>
      </c>
      <c r="L27" s="147">
        <f>IF(t&lt;Tvie,1-EXP((T0-t)*PertePVj)+'2024'!Pspv,1-EXP((T0-t)*PertePVj)+Pspv)</f>
        <v>5.3374261676370049E-2</v>
      </c>
      <c r="M27" s="870"/>
      <c r="N27" s="870"/>
      <c r="O27" s="48">
        <f>IF(t&lt;Tnet,'2024'!Resal+('2024'!Salim-'2024'!Resal)*(1-EXP(('2024'!Tnet-t)/('2024'!Tau_j))),Resal+(Salim-Resal)*(1-EXP((Tnet-t)/(Tau_j))))*Salcycl</f>
        <v>8.2779918872847649E-2</v>
      </c>
      <c r="P27" s="171">
        <f>(INDEX(Models!$BJ27:$BT27,,T27)*(1-R27)+INDEX(Models!$BJ27:$BT27,,T27+1)*R27-ERP_i)*Q27*Ramure*Pc/MaxiM</f>
        <v>0.18204876172245507</v>
      </c>
      <c r="Q27" s="307">
        <f t="shared" si="4"/>
        <v>1</v>
      </c>
      <c r="R27" s="179">
        <f t="shared" si="5"/>
        <v>0.10039787567187153</v>
      </c>
      <c r="S27" s="837">
        <f t="shared" si="6"/>
        <v>2</v>
      </c>
      <c r="T27" s="178">
        <f t="shared" si="7"/>
        <v>8</v>
      </c>
      <c r="U27" s="253">
        <f t="shared" si="8"/>
        <v>2.1003978756718715</v>
      </c>
      <c r="V27" s="385">
        <f t="shared" si="9"/>
        <v>15.091316416505078</v>
      </c>
      <c r="W27" s="404">
        <f t="shared" si="10"/>
        <v>9.2983873373418451</v>
      </c>
      <c r="X27" s="157">
        <f t="shared" si="11"/>
        <v>45670</v>
      </c>
      <c r="Y27" s="387">
        <f t="shared" si="12"/>
        <v>8.8360860205704927</v>
      </c>
      <c r="Z27" s="387">
        <f t="shared" si="22"/>
        <v>9.3342972442501182</v>
      </c>
      <c r="AA27" s="388">
        <f t="shared" si="13"/>
        <v>10.70916895727127</v>
      </c>
      <c r="AB27" s="199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0.12838267082224394</v>
      </c>
      <c r="AD27" s="233">
        <f>(INDEX(Models!$BJ27:$BT27,,AH27)*(1-AF27)+INDEX(Models!$BJ27:$BT27,,AH27+1)*AF27-ERP_i)*AE27*Ramure*Pc/MaxiM</f>
        <v>0.18204876172245507</v>
      </c>
      <c r="AE27" s="307">
        <f t="shared" si="15"/>
        <v>1</v>
      </c>
      <c r="AF27" s="179">
        <f t="shared" si="23"/>
        <v>0.10039787567187153</v>
      </c>
      <c r="AG27" s="837">
        <f t="shared" si="24"/>
        <v>2</v>
      </c>
      <c r="AH27" s="178">
        <f t="shared" si="16"/>
        <v>8</v>
      </c>
      <c r="AI27" s="227">
        <f t="shared" si="17"/>
        <v>2.1003978756718715</v>
      </c>
      <c r="AJ27" s="267" t="b">
        <f t="shared" si="18"/>
        <v>1</v>
      </c>
      <c r="AK27" s="267" t="b">
        <f t="shared" si="19"/>
        <v>1</v>
      </c>
      <c r="AL27" s="267"/>
      <c r="AM27" s="267"/>
      <c r="AN27" s="75"/>
    </row>
    <row r="28" spans="1:40" s="6" customFormat="1" ht="11.25" x14ac:dyDescent="0.2">
      <c r="A28" s="56">
        <f t="shared" si="20"/>
        <v>45671</v>
      </c>
      <c r="B28" s="1139">
        <f>IF(t&gt;Tmaj,'2024'!Wh/'2024'!Env_an*'2025'!Env_an,0.001*'[3]mon-tableau (2)'!$B$221)</f>
        <v>11.255608018635286</v>
      </c>
      <c r="C28" s="866"/>
      <c r="D28" s="395">
        <f t="shared" si="0"/>
        <v>11.890517554599679</v>
      </c>
      <c r="E28" s="387">
        <f t="shared" si="1"/>
        <v>12.966040976426003</v>
      </c>
      <c r="F28" s="387">
        <f t="shared" si="2"/>
        <v>14.583687058844788</v>
      </c>
      <c r="G28" s="110">
        <f t="shared" si="21"/>
        <v>0.67846020305791177</v>
      </c>
      <c r="H28" s="414" t="b">
        <f>Wh_hp&gt;='2024'!Maxi_hp</f>
        <v>0</v>
      </c>
      <c r="I28" s="392">
        <f>IF(H28,Wh_hp,'2024'!Maxi_hp)</f>
        <v>22.064358181548073</v>
      </c>
      <c r="J28" s="85">
        <f>IF(H28,An,'2024'!An_max)</f>
        <v>2022</v>
      </c>
      <c r="K28" s="199">
        <f t="shared" si="3"/>
        <v>45671</v>
      </c>
      <c r="L28" s="147">
        <f>IF(t&lt;Tvie,1-EXP((T0-t)*PertePVj)+'2024'!Pspv,1-EXP((T0-t)*PertePVj)+Pspv)</f>
        <v>5.3396291040232025E-2</v>
      </c>
      <c r="M28" s="870"/>
      <c r="N28" s="870"/>
      <c r="O28" s="48">
        <f>IF(t&lt;Tnet,'2024'!Resal+('2024'!Salim-'2024'!Resal)*(1-EXP(('2024'!Tnet-t)/('2024'!Tau_j))),Resal+(Salim-Resal)*(1-EXP((Tnet-t)/(Tau_j))))*Salcycl</f>
        <v>8.2949253652812652E-2</v>
      </c>
      <c r="P28" s="171">
        <f>(INDEX(Models!$BJ28:$BT28,,T28)*(1-R28)+INDEX(Models!$BJ28:$BT28,,T28+1)*R28-ERP_i)*Q28*Ramure*Pc/MaxiM</f>
        <v>0.17871480949505381</v>
      </c>
      <c r="Q28" s="307">
        <f t="shared" si="4"/>
        <v>1</v>
      </c>
      <c r="R28" s="179">
        <f t="shared" si="5"/>
        <v>0.10046472761841674</v>
      </c>
      <c r="S28" s="837">
        <f t="shared" si="6"/>
        <v>2</v>
      </c>
      <c r="T28" s="178">
        <f t="shared" si="7"/>
        <v>8</v>
      </c>
      <c r="U28" s="253">
        <f t="shared" si="8"/>
        <v>2.1004647276184167</v>
      </c>
      <c r="V28" s="385">
        <f t="shared" si="9"/>
        <v>15.324930746216856</v>
      </c>
      <c r="W28" s="404">
        <f t="shared" si="10"/>
        <v>11.255608018635286</v>
      </c>
      <c r="X28" s="157">
        <f t="shared" si="11"/>
        <v>45671</v>
      </c>
      <c r="Y28" s="387">
        <f t="shared" si="12"/>
        <v>10.696987309252448</v>
      </c>
      <c r="Z28" s="387">
        <f t="shared" si="22"/>
        <v>11.300386009481699</v>
      </c>
      <c r="AA28" s="388">
        <f t="shared" si="13"/>
        <v>12.966040976426003</v>
      </c>
      <c r="AB28" s="199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0.12846288007053872</v>
      </c>
      <c r="AD28" s="233">
        <f>(INDEX(Models!$BJ28:$BT28,,AH28)*(1-AF28)+INDEX(Models!$BJ28:$BT28,,AH28+1)*AF28-ERP_i)*AE28*Ramure*Pc/MaxiM</f>
        <v>0.17871480949505381</v>
      </c>
      <c r="AE28" s="307">
        <f t="shared" si="15"/>
        <v>1</v>
      </c>
      <c r="AF28" s="179">
        <f t="shared" si="23"/>
        <v>0.10046472761841674</v>
      </c>
      <c r="AG28" s="837">
        <f t="shared" si="24"/>
        <v>2</v>
      </c>
      <c r="AH28" s="178">
        <f t="shared" si="16"/>
        <v>8</v>
      </c>
      <c r="AI28" s="227">
        <f t="shared" si="17"/>
        <v>2.1004647276184167</v>
      </c>
      <c r="AJ28" s="267" t="b">
        <f t="shared" si="18"/>
        <v>1</v>
      </c>
      <c r="AK28" s="267" t="b">
        <f t="shared" si="19"/>
        <v>1</v>
      </c>
      <c r="AL28" s="267"/>
      <c r="AM28" s="267"/>
      <c r="AN28" s="75"/>
    </row>
    <row r="29" spans="1:40" s="6" customFormat="1" ht="11.25" x14ac:dyDescent="0.2">
      <c r="A29" s="56">
        <f t="shared" si="20"/>
        <v>45672</v>
      </c>
      <c r="B29" s="1139">
        <f>IF(t&gt;Tmaj,'2024'!Wh/'2024'!Env_an*'2025'!Env_an,0.001*'[3]mon-tableau (2)'!$B$222)</f>
        <v>4.6728873042445063</v>
      </c>
      <c r="C29" s="866"/>
      <c r="D29" s="395">
        <f t="shared" si="0"/>
        <v>4.9365917410408606</v>
      </c>
      <c r="E29" s="387">
        <f t="shared" si="1"/>
        <v>5.3841105559316569</v>
      </c>
      <c r="F29" s="387">
        <f t="shared" si="2"/>
        <v>5.3843815625593878</v>
      </c>
      <c r="G29" s="110">
        <f t="shared" si="21"/>
        <v>0.24757082957702173</v>
      </c>
      <c r="H29" s="414" t="b">
        <f>Wh_hp&gt;='2024'!Maxi_hp</f>
        <v>0</v>
      </c>
      <c r="I29" s="392">
        <f>IF(H29,Wh_hp,'2024'!Maxi_hp)</f>
        <v>22.222811190623492</v>
      </c>
      <c r="J29" s="85">
        <f>IF(H29,An,'2024'!An_max)</f>
        <v>2022</v>
      </c>
      <c r="K29" s="199">
        <f t="shared" si="3"/>
        <v>45672</v>
      </c>
      <c r="L29" s="147">
        <f>IF(t&lt;Tvie,1-EXP((T0-t)*PertePVj)+'2024'!Pspv,1-EXP((T0-t)*PertePVj)+Pspv)</f>
        <v>5.3418319891438526E-2</v>
      </c>
      <c r="M29" s="870"/>
      <c r="N29" s="870"/>
      <c r="O29" s="48">
        <f>IF(t&lt;Tnet,'2024'!Resal+('2024'!Salim-'2024'!Resal)*(1-EXP(('2024'!Tnet-t)/('2024'!Tau_j))),Resal+(Salim-Resal)*(1-EXP((Tnet-t)/(Tau_j))))*Salcycl</f>
        <v>8.3118429727964294E-2</v>
      </c>
      <c r="P29" s="171">
        <f>(INDEX(Models!$BJ29:$BT29,,T29)*(1-R29)+INDEX(Models!$BJ29:$BT29,,T29+1)*R29-ERP_i)*Q29*Ramure*Pc/MaxiM</f>
        <v>0.17535772005734077</v>
      </c>
      <c r="Q29" s="307">
        <f t="shared" si="4"/>
        <v>1</v>
      </c>
      <c r="R29" s="179">
        <f t="shared" si="5"/>
        <v>0.1005343705486581</v>
      </c>
      <c r="S29" s="837">
        <f t="shared" si="6"/>
        <v>2</v>
      </c>
      <c r="T29" s="178">
        <f t="shared" si="7"/>
        <v>8</v>
      </c>
      <c r="U29" s="253">
        <f t="shared" si="8"/>
        <v>2.1005343705486581</v>
      </c>
      <c r="V29" s="385">
        <f t="shared" si="9"/>
        <v>15.565866177199208</v>
      </c>
      <c r="W29" s="404">
        <f t="shared" si="10"/>
        <v>4.6728873042445063</v>
      </c>
      <c r="X29" s="157">
        <f t="shared" si="11"/>
        <v>45672</v>
      </c>
      <c r="Y29" s="387">
        <f t="shared" si="12"/>
        <v>4.4413799077319238</v>
      </c>
      <c r="Z29" s="387">
        <f t="shared" si="22"/>
        <v>4.6920197179630092</v>
      </c>
      <c r="AA29" s="388">
        <f t="shared" si="13"/>
        <v>5.3841105559316569</v>
      </c>
      <c r="AB29" s="199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0.12854320704952332</v>
      </c>
      <c r="AD29" s="233">
        <f>(INDEX(Models!$BJ29:$BT29,,AH29)*(1-AF29)+INDEX(Models!$BJ29:$BT29,,AH29+1)*AF29-ERP_i)*AE29*Ramure*Pc/MaxiM</f>
        <v>0.17535772005734077</v>
      </c>
      <c r="AE29" s="307">
        <f t="shared" si="15"/>
        <v>1</v>
      </c>
      <c r="AF29" s="179">
        <f t="shared" si="23"/>
        <v>0.1005343705486581</v>
      </c>
      <c r="AG29" s="837">
        <f t="shared" si="24"/>
        <v>2</v>
      </c>
      <c r="AH29" s="178">
        <f t="shared" si="16"/>
        <v>8</v>
      </c>
      <c r="AI29" s="227">
        <f t="shared" si="17"/>
        <v>2.1005343705486581</v>
      </c>
      <c r="AJ29" s="267" t="b">
        <f t="shared" si="18"/>
        <v>1</v>
      </c>
      <c r="AK29" s="267" t="b">
        <f t="shared" si="19"/>
        <v>1</v>
      </c>
      <c r="AL29" s="267"/>
      <c r="AM29" s="267"/>
      <c r="AN29" s="75"/>
    </row>
    <row r="30" spans="1:40" s="6" customFormat="1" ht="11.25" x14ac:dyDescent="0.2">
      <c r="A30" s="56">
        <f t="shared" si="20"/>
        <v>45673</v>
      </c>
      <c r="B30" s="1139">
        <f>IF(t&gt;Tmaj,'2024'!Wh/'2024'!Env_an*'2025'!Env_an,0.001*'[3]mon-tableau (2)'!$B$223)</f>
        <v>3.0005798024315649</v>
      </c>
      <c r="C30" s="866"/>
      <c r="D30" s="395">
        <f t="shared" si="0"/>
        <v>3.1699848993359225</v>
      </c>
      <c r="E30" s="387">
        <f t="shared" si="1"/>
        <v>3.457992268609452</v>
      </c>
      <c r="F30" s="387">
        <f t="shared" si="2"/>
        <v>3.457992268609452</v>
      </c>
      <c r="G30" s="110">
        <f t="shared" si="21"/>
        <v>0.1571139688740617</v>
      </c>
      <c r="H30" s="414" t="b">
        <f>Wh_hp&gt;='2024'!Maxi_hp</f>
        <v>0</v>
      </c>
      <c r="I30" s="392">
        <f>IF(H30,Wh_hp,'2024'!Maxi_hp)</f>
        <v>22.179762474374062</v>
      </c>
      <c r="J30" s="85">
        <f>IF(H30,An,'2024'!An_max)</f>
        <v>2022</v>
      </c>
      <c r="K30" s="199">
        <f t="shared" si="3"/>
        <v>45673</v>
      </c>
      <c r="L30" s="147">
        <f>IF(t&lt;Tvie,1-EXP((T0-t)*PertePVj)+'2024'!Pspv,1-EXP((T0-t)*PertePVj)+Pspv)</f>
        <v>5.3440348230001433E-2</v>
      </c>
      <c r="M30" s="870"/>
      <c r="N30" s="870"/>
      <c r="O30" s="48">
        <f>IF(t&lt;Tnet,'2024'!Resal+('2024'!Salim-'2024'!Resal)*(1-EXP(('2024'!Tnet-t)/('2024'!Tau_j))),Resal+(Salim-Resal)*(1-EXP((Tnet-t)/(Tau_j))))*Salcycl</f>
        <v>8.3287453210340659E-2</v>
      </c>
      <c r="P30" s="171">
        <f>(INDEX(Models!$BJ30:$BT30,,T30)*(1-R30)+INDEX(Models!$BJ30:$BT30,,T30+1)*R30-ERP_i)*Q30*Ramure*Pc/MaxiM</f>
        <v>0.17197795021422843</v>
      </c>
      <c r="Q30" s="307">
        <f t="shared" si="4"/>
        <v>1</v>
      </c>
      <c r="R30" s="179">
        <f t="shared" si="5"/>
        <v>0.10060692039020847</v>
      </c>
      <c r="S30" s="837">
        <f t="shared" si="6"/>
        <v>2</v>
      </c>
      <c r="T30" s="178">
        <f t="shared" si="7"/>
        <v>8</v>
      </c>
      <c r="U30" s="253">
        <f t="shared" si="8"/>
        <v>2.1006069203902085</v>
      </c>
      <c r="V30" s="385">
        <f t="shared" si="9"/>
        <v>15.813655885344698</v>
      </c>
      <c r="W30" s="404">
        <f t="shared" si="10"/>
        <v>3.0005798024315649</v>
      </c>
      <c r="X30" s="157">
        <f t="shared" si="11"/>
        <v>45673</v>
      </c>
      <c r="Y30" s="387">
        <f t="shared" si="12"/>
        <v>2.8521855160237659</v>
      </c>
      <c r="Z30" s="387">
        <f t="shared" si="22"/>
        <v>3.0132126492930307</v>
      </c>
      <c r="AA30" s="388">
        <f t="shared" si="13"/>
        <v>3.457992268609452</v>
      </c>
      <c r="AB30" s="199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0.12862365927014591</v>
      </c>
      <c r="AD30" s="233">
        <f>(INDEX(Models!$BJ30:$BT30,,AH30)*(1-AF30)+INDEX(Models!$BJ30:$BT30,,AH30+1)*AF30-ERP_i)*AE30*Ramure*Pc/MaxiM</f>
        <v>0.17197795021422843</v>
      </c>
      <c r="AE30" s="307">
        <f t="shared" si="15"/>
        <v>1</v>
      </c>
      <c r="AF30" s="179">
        <f t="shared" si="23"/>
        <v>0.10060692039020847</v>
      </c>
      <c r="AG30" s="837">
        <f t="shared" si="24"/>
        <v>2</v>
      </c>
      <c r="AH30" s="178">
        <f t="shared" si="16"/>
        <v>8</v>
      </c>
      <c r="AI30" s="227">
        <f t="shared" si="17"/>
        <v>2.1006069203902085</v>
      </c>
      <c r="AJ30" s="267" t="b">
        <f t="shared" si="18"/>
        <v>1</v>
      </c>
      <c r="AK30" s="267" t="b">
        <f t="shared" si="19"/>
        <v>1</v>
      </c>
      <c r="AL30" s="267"/>
      <c r="AM30" s="267"/>
      <c r="AN30" s="75"/>
    </row>
    <row r="31" spans="1:40" s="6" customFormat="1" ht="11.25" x14ac:dyDescent="0.2">
      <c r="A31" s="56">
        <f t="shared" si="20"/>
        <v>45674</v>
      </c>
      <c r="B31" s="1139">
        <f>IF(t&gt;Tmaj,'2024'!Wh/'2024'!Env_an*'2025'!Env_an,0.001*'[3]mon-tableau (2)'!$B$224)</f>
        <v>5.1696748884178438</v>
      </c>
      <c r="C31" s="866"/>
      <c r="D31" s="395">
        <f t="shared" si="0"/>
        <v>5.4616686729014061</v>
      </c>
      <c r="E31" s="387">
        <f t="shared" si="1"/>
        <v>5.9589835833470177</v>
      </c>
      <c r="F31" s="387">
        <f t="shared" si="2"/>
        <v>5.9903797156098415</v>
      </c>
      <c r="G31" s="110">
        <f t="shared" si="21"/>
        <v>0.26891243093055844</v>
      </c>
      <c r="H31" s="414" t="b">
        <f>Wh_hp&gt;='2024'!Maxi_hp</f>
        <v>0</v>
      </c>
      <c r="I31" s="392">
        <f>IF(H31,Wh_hp,'2024'!Maxi_hp)</f>
        <v>17.368757233641855</v>
      </c>
      <c r="J31" s="85">
        <f>IF(H31,An,'2024'!An_max)</f>
        <v>2022</v>
      </c>
      <c r="K31" s="199">
        <f t="shared" si="3"/>
        <v>45674</v>
      </c>
      <c r="L31" s="147">
        <f>IF(t&lt;Tvie,1-EXP((T0-t)*PertePVj)+'2024'!Pspv,1-EXP((T0-t)*PertePVj)+Pspv)</f>
        <v>5.3462376055932848E-2</v>
      </c>
      <c r="M31" s="870"/>
      <c r="N31" s="870"/>
      <c r="O31" s="48">
        <f>IF(t&lt;Tnet,'2024'!Resal+('2024'!Salim-'2024'!Resal)*(1-EXP(('2024'!Tnet-t)/('2024'!Tau_j))),Resal+(Salim-Resal)*(1-EXP((Tnet-t)/(Tau_j))))*Salcycl</f>
        <v>8.3456331686398419E-2</v>
      </c>
      <c r="P31" s="171">
        <f>(INDEX(Models!$BJ31:$BT31,,T31)*(1-R31)+INDEX(Models!$BJ31:$BT31,,T31+1)*R31-ERP_i)*Q31*Ramure*Pc/MaxiM</f>
        <v>0.16861950491523436</v>
      </c>
      <c r="Q31" s="307">
        <f t="shared" si="4"/>
        <v>1</v>
      </c>
      <c r="R31" s="179">
        <f t="shared" si="5"/>
        <v>0.10068249783530447</v>
      </c>
      <c r="S31" s="837">
        <f t="shared" si="6"/>
        <v>2</v>
      </c>
      <c r="T31" s="178">
        <f t="shared" si="7"/>
        <v>8</v>
      </c>
      <c r="U31" s="253">
        <f t="shared" si="8"/>
        <v>2.1006824978353045</v>
      </c>
      <c r="V31" s="385">
        <f t="shared" si="9"/>
        <v>16.066983503964281</v>
      </c>
      <c r="W31" s="404">
        <f t="shared" si="10"/>
        <v>5.1696748884178438</v>
      </c>
      <c r="X31" s="157">
        <f t="shared" si="11"/>
        <v>45674</v>
      </c>
      <c r="Y31" s="387">
        <f t="shared" si="12"/>
        <v>4.9144584519498284</v>
      </c>
      <c r="Z31" s="387">
        <f t="shared" si="22"/>
        <v>5.1920370914281095</v>
      </c>
      <c r="AA31" s="388">
        <f t="shared" si="13"/>
        <v>5.9589835833470177</v>
      </c>
      <c r="AB31" s="199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0.12870424648629974</v>
      </c>
      <c r="AD31" s="233">
        <f>(INDEX(Models!$BJ31:$BT31,,AH31)*(1-AF31)+INDEX(Models!$BJ31:$BT31,,AH31+1)*AF31-ERP_i)*AE31*Ramure*Pc/MaxiM</f>
        <v>0.16861950491523436</v>
      </c>
      <c r="AE31" s="307">
        <f t="shared" si="15"/>
        <v>1</v>
      </c>
      <c r="AF31" s="179">
        <f t="shared" si="23"/>
        <v>0.10068249783530447</v>
      </c>
      <c r="AG31" s="837">
        <f t="shared" si="24"/>
        <v>2</v>
      </c>
      <c r="AH31" s="178">
        <f t="shared" si="16"/>
        <v>8</v>
      </c>
      <c r="AI31" s="227">
        <f t="shared" si="17"/>
        <v>2.1006824978353045</v>
      </c>
      <c r="AJ31" s="267" t="b">
        <f t="shared" si="18"/>
        <v>1</v>
      </c>
      <c r="AK31" s="267" t="b">
        <f t="shared" si="19"/>
        <v>1</v>
      </c>
      <c r="AL31" s="267"/>
      <c r="AM31" s="267"/>
      <c r="AN31" s="75"/>
    </row>
    <row r="32" spans="1:40" s="6" customFormat="1" ht="11.25" x14ac:dyDescent="0.2">
      <c r="A32" s="56">
        <f t="shared" si="20"/>
        <v>45675</v>
      </c>
      <c r="B32" s="1139">
        <f>IF(t&gt;Tmaj,'2024'!Wh/'2024'!Env_an*'2025'!Env_an,0.001*'[3]mon-tableau (2)'!$B$225)</f>
        <v>12.061938047814959</v>
      </c>
      <c r="C32" s="866"/>
      <c r="D32" s="395">
        <f t="shared" si="0"/>
        <v>12.74351747689207</v>
      </c>
      <c r="E32" s="387">
        <f t="shared" si="1"/>
        <v>13.906444964310586</v>
      </c>
      <c r="F32" s="387">
        <f t="shared" si="2"/>
        <v>15.514104368464743</v>
      </c>
      <c r="G32" s="110">
        <f t="shared" si="21"/>
        <v>0.6880260768587787</v>
      </c>
      <c r="H32" s="414" t="b">
        <f>Wh_hp&gt;='2024'!Maxi_hp</f>
        <v>0</v>
      </c>
      <c r="I32" s="392">
        <f>IF(H32,Wh_hp,'2024'!Maxi_hp)</f>
        <v>21.743395935695009</v>
      </c>
      <c r="J32" s="85">
        <f>IF(H32,An,'2024'!An_max)</f>
        <v>2021</v>
      </c>
      <c r="K32" s="199">
        <f t="shared" si="3"/>
        <v>45675</v>
      </c>
      <c r="L32" s="147">
        <f>IF(t&lt;Tvie,1-EXP((T0-t)*PertePVj)+'2024'!Pspv,1-EXP((T0-t)*PertePVj)+Pspv)</f>
        <v>5.3484403369244427E-2</v>
      </c>
      <c r="M32" s="870"/>
      <c r="N32" s="870"/>
      <c r="O32" s="48">
        <f>IF(t&lt;Tnet,'2024'!Resal+('2024'!Salim-'2024'!Resal)*(1-EXP(('2024'!Tnet-t)/('2024'!Tau_j))),Resal+(Salim-Resal)*(1-EXP((Tnet-t)/(Tau_j))))*Salcycl</f>
        <v>8.3625073870643898E-2</v>
      </c>
      <c r="P32" s="171">
        <f>(INDEX(Models!$BJ32:$BT32,,T32)*(1-R32)+INDEX(Models!$BJ32:$BT32,,T32+1)*R32-ERP_i)*Q32*Ramure*Pc/MaxiM</f>
        <v>0.1652896073994812</v>
      </c>
      <c r="Q32" s="307">
        <f t="shared" si="4"/>
        <v>1</v>
      </c>
      <c r="R32" s="179">
        <f t="shared" si="5"/>
        <v>0.10076122853230274</v>
      </c>
      <c r="S32" s="837">
        <f t="shared" si="6"/>
        <v>2</v>
      </c>
      <c r="T32" s="178">
        <f t="shared" si="7"/>
        <v>8</v>
      </c>
      <c r="U32" s="253">
        <f t="shared" si="8"/>
        <v>2.1007612285323027</v>
      </c>
      <c r="V32" s="385">
        <f t="shared" si="9"/>
        <v>16.325203472928454</v>
      </c>
      <c r="W32" s="404">
        <f t="shared" si="10"/>
        <v>12.061938047814959</v>
      </c>
      <c r="X32" s="157">
        <f t="shared" si="11"/>
        <v>45675</v>
      </c>
      <c r="Y32" s="387">
        <f t="shared" si="12"/>
        <v>11.467513237393781</v>
      </c>
      <c r="Z32" s="387">
        <f t="shared" si="22"/>
        <v>12.115503725679613</v>
      </c>
      <c r="AA32" s="388">
        <f t="shared" si="13"/>
        <v>13.906444964310586</v>
      </c>
      <c r="AB32" s="199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0.12878498014605702</v>
      </c>
      <c r="AD32" s="233">
        <f>(INDEX(Models!$BJ32:$BT32,,AH32)*(1-AF32)+INDEX(Models!$BJ32:$BT32,,AH32+1)*AF32-ERP_i)*AE32*Ramure*Pc/MaxiM</f>
        <v>0.1652896073994812</v>
      </c>
      <c r="AE32" s="307">
        <f t="shared" si="15"/>
        <v>1</v>
      </c>
      <c r="AF32" s="179">
        <f t="shared" si="23"/>
        <v>0.10076122853230274</v>
      </c>
      <c r="AG32" s="837">
        <f t="shared" si="24"/>
        <v>2</v>
      </c>
      <c r="AH32" s="178">
        <f t="shared" si="16"/>
        <v>8</v>
      </c>
      <c r="AI32" s="227">
        <f t="shared" si="17"/>
        <v>2.1007612285323027</v>
      </c>
      <c r="AJ32" s="267" t="b">
        <f t="shared" si="18"/>
        <v>1</v>
      </c>
      <c r="AK32" s="267" t="b">
        <f t="shared" si="19"/>
        <v>1</v>
      </c>
      <c r="AL32" s="267"/>
      <c r="AM32" s="267"/>
      <c r="AN32" s="75"/>
    </row>
    <row r="33" spans="1:40" s="6" customFormat="1" ht="11.25" x14ac:dyDescent="0.2">
      <c r="A33" s="56">
        <f t="shared" si="20"/>
        <v>45676</v>
      </c>
      <c r="B33" s="1139">
        <f>IF(t&gt;Tmaj,'2024'!Wh/'2024'!Env_an*'2025'!Env_an,0.001*'[3]mon-tableau (2)'!$B$226)</f>
        <v>7.8379055700345832</v>
      </c>
      <c r="C33" s="866"/>
      <c r="D33" s="395">
        <f t="shared" si="0"/>
        <v>8.2809918840145151</v>
      </c>
      <c r="E33" s="387">
        <f t="shared" si="1"/>
        <v>9.0383484450764175</v>
      </c>
      <c r="F33" s="387">
        <f t="shared" si="2"/>
        <v>9.4141945653811216</v>
      </c>
      <c r="G33" s="110">
        <f t="shared" si="21"/>
        <v>0.41243498339286822</v>
      </c>
      <c r="H33" s="414" t="b">
        <f>Wh_hp&gt;='2024'!Maxi_hp</f>
        <v>0</v>
      </c>
      <c r="I33" s="392">
        <f>IF(H33,Wh_hp,'2024'!Maxi_hp)</f>
        <v>22.082454622527671</v>
      </c>
      <c r="J33" s="85">
        <f>IF(H33,An,'2024'!An_max)</f>
        <v>2021</v>
      </c>
      <c r="K33" s="199">
        <f t="shared" si="3"/>
        <v>45676</v>
      </c>
      <c r="L33" s="147">
        <f>IF(t&lt;Tvie,1-EXP((T0-t)*PertePVj)+'2024'!Pspv,1-EXP((T0-t)*PertePVj)+Pspv)</f>
        <v>5.3506430169948382E-2</v>
      </c>
      <c r="M33" s="870"/>
      <c r="N33" s="870"/>
      <c r="O33" s="48">
        <f>IF(t&lt;Tnet,'2024'!Resal+('2024'!Salim-'2024'!Resal)*(1-EXP(('2024'!Tnet-t)/('2024'!Tau_j))),Resal+(Salim-Resal)*(1-EXP((Tnet-t)/(Tau_j))))*Salcycl</f>
        <v>8.3793689263492316E-2</v>
      </c>
      <c r="P33" s="171">
        <f>(INDEX(Models!$BJ33:$BT33,,T33)*(1-R33)+INDEX(Models!$BJ33:$BT33,,T33+1)*R33-ERP_i)*Q33*Ramure*Pc/MaxiM</f>
        <v>0.16199467560093508</v>
      </c>
      <c r="Q33" s="307">
        <f t="shared" si="4"/>
        <v>1</v>
      </c>
      <c r="R33" s="179">
        <f t="shared" si="5"/>
        <v>0.10084324328450789</v>
      </c>
      <c r="S33" s="837">
        <f t="shared" si="6"/>
        <v>2</v>
      </c>
      <c r="T33" s="178">
        <f t="shared" si="7"/>
        <v>8</v>
      </c>
      <c r="U33" s="253">
        <f t="shared" si="8"/>
        <v>2.1008432432845079</v>
      </c>
      <c r="V33" s="385">
        <f t="shared" si="9"/>
        <v>16.587670454089057</v>
      </c>
      <c r="W33" s="404">
        <f t="shared" si="10"/>
        <v>7.8379055700345832</v>
      </c>
      <c r="X33" s="157">
        <f t="shared" si="11"/>
        <v>45676</v>
      </c>
      <c r="Y33" s="387">
        <f t="shared" si="12"/>
        <v>7.4523248174477805</v>
      </c>
      <c r="Z33" s="387">
        <f t="shared" si="22"/>
        <v>7.8736137835420141</v>
      </c>
      <c r="AA33" s="388">
        <f t="shared" si="13"/>
        <v>9.0383484450764175</v>
      </c>
      <c r="AB33" s="199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0.12886587285411474</v>
      </c>
      <c r="AD33" s="233">
        <f>(INDEX(Models!$BJ33:$BT33,,AH33)*(1-AF33)+INDEX(Models!$BJ33:$BT33,,AH33+1)*AF33-ERP_i)*AE33*Ramure*Pc/MaxiM</f>
        <v>0.16199467560093508</v>
      </c>
      <c r="AE33" s="307">
        <f t="shared" si="15"/>
        <v>1</v>
      </c>
      <c r="AF33" s="179">
        <f t="shared" si="23"/>
        <v>0.10084324328450789</v>
      </c>
      <c r="AG33" s="837">
        <f t="shared" si="24"/>
        <v>2</v>
      </c>
      <c r="AH33" s="178">
        <f t="shared" si="16"/>
        <v>8</v>
      </c>
      <c r="AI33" s="227">
        <f t="shared" si="17"/>
        <v>2.1008432432845079</v>
      </c>
      <c r="AJ33" s="267" t="b">
        <f t="shared" si="18"/>
        <v>1</v>
      </c>
      <c r="AK33" s="267" t="b">
        <f t="shared" si="19"/>
        <v>1</v>
      </c>
      <c r="AL33" s="267"/>
      <c r="AM33" s="267"/>
      <c r="AN33" s="75"/>
    </row>
    <row r="34" spans="1:40" s="6" customFormat="1" ht="11.25" x14ac:dyDescent="0.2">
      <c r="A34" s="56">
        <f t="shared" si="20"/>
        <v>45677</v>
      </c>
      <c r="B34" s="1139">
        <f>IF(t&gt;Tmaj,'2024'!Wh/'2024'!Env_an*'2025'!Env_an,0.001*'[3]mon-tableau (2)'!$B$227)</f>
        <v>13.744903548845578</v>
      </c>
      <c r="C34" s="866"/>
      <c r="D34" s="395">
        <f t="shared" si="0"/>
        <v>14.522257581467859</v>
      </c>
      <c r="E34" s="387">
        <f t="shared" si="1"/>
        <v>15.853338572193248</v>
      </c>
      <c r="F34" s="387">
        <f t="shared" si="2"/>
        <v>17.952139852016156</v>
      </c>
      <c r="G34" s="110">
        <f t="shared" si="21"/>
        <v>0.77691045006651416</v>
      </c>
      <c r="H34" s="414" t="b">
        <f>Wh_hp&gt;='2024'!Maxi_hp</f>
        <v>0</v>
      </c>
      <c r="I34" s="392">
        <f>IF(H34,Wh_hp,'2024'!Maxi_hp)</f>
        <v>18.36031638130591</v>
      </c>
      <c r="J34" s="85">
        <f>IF(H34,An,'2024'!An_max)</f>
        <v>2023</v>
      </c>
      <c r="K34" s="199">
        <f t="shared" si="3"/>
        <v>45677</v>
      </c>
      <c r="L34" s="147">
        <f>IF(t&lt;Tvie,1-EXP((T0-t)*PertePVj)+'2024'!Pspv,1-EXP((T0-t)*PertePVj)+Pspv)</f>
        <v>5.3528456458056373E-2</v>
      </c>
      <c r="M34" s="870"/>
      <c r="N34" s="870"/>
      <c r="O34" s="48">
        <f>IF(t&lt;Tnet,'2024'!Resal+('2024'!Salim-'2024'!Resal)*(1-EXP(('2024'!Tnet-t)/('2024'!Tau_j))),Resal+(Salim-Resal)*(1-EXP((Tnet-t)/(Tau_j))))*Salcycl</f>
        <v>8.396218781702583E-2</v>
      </c>
      <c r="P34" s="171">
        <f>(INDEX(Models!$BJ34:$BT34,,T34)*(1-R34)+INDEX(Models!$BJ34:$BT34,,T34+1)*R34-ERP_i)*Q34*Ramure*Pc/MaxiM</f>
        <v>0.15874125101557329</v>
      </c>
      <c r="Q34" s="307">
        <f t="shared" si="4"/>
        <v>1</v>
      </c>
      <c r="R34" s="179">
        <f t="shared" si="5"/>
        <v>0.10092867825656793</v>
      </c>
      <c r="S34" s="837">
        <f t="shared" si="6"/>
        <v>2</v>
      </c>
      <c r="T34" s="178">
        <f t="shared" si="7"/>
        <v>8</v>
      </c>
      <c r="U34" s="253">
        <f t="shared" si="8"/>
        <v>2.1009286782565679</v>
      </c>
      <c r="V34" s="385">
        <f t="shared" si="9"/>
        <v>16.853721593261159</v>
      </c>
      <c r="W34" s="404">
        <f t="shared" si="10"/>
        <v>13.744903548845578</v>
      </c>
      <c r="X34" s="157">
        <f t="shared" si="11"/>
        <v>45677</v>
      </c>
      <c r="Y34" s="387">
        <f t="shared" si="12"/>
        <v>13.069919348235482</v>
      </c>
      <c r="Z34" s="387">
        <f t="shared" si="22"/>
        <v>13.809099108594888</v>
      </c>
      <c r="AA34" s="388">
        <f t="shared" si="13"/>
        <v>15.853338572193246</v>
      </c>
      <c r="AB34" s="199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0.12894693785093039</v>
      </c>
      <c r="AD34" s="233">
        <f>(INDEX(Models!$BJ34:$BT34,,AH34)*(1-AF34)+INDEX(Models!$BJ34:$BT34,,AH34+1)*AF34-ERP_i)*AE34*Ramure*Pc/MaxiM</f>
        <v>0.15874125101557329</v>
      </c>
      <c r="AE34" s="307">
        <f t="shared" si="15"/>
        <v>1</v>
      </c>
      <c r="AF34" s="179">
        <f t="shared" si="23"/>
        <v>0.10092867825656793</v>
      </c>
      <c r="AG34" s="837">
        <f t="shared" si="24"/>
        <v>2</v>
      </c>
      <c r="AH34" s="178">
        <f t="shared" si="16"/>
        <v>8</v>
      </c>
      <c r="AI34" s="227">
        <f t="shared" si="17"/>
        <v>2.1009286782565679</v>
      </c>
      <c r="AJ34" s="267" t="b">
        <f t="shared" si="18"/>
        <v>1</v>
      </c>
      <c r="AK34" s="267" t="b">
        <f t="shared" si="19"/>
        <v>1</v>
      </c>
      <c r="AL34" s="267"/>
      <c r="AM34" s="267"/>
      <c r="AN34" s="75"/>
    </row>
    <row r="35" spans="1:40" s="6" customFormat="1" ht="11.25" x14ac:dyDescent="0.2">
      <c r="A35" s="56">
        <f t="shared" si="20"/>
        <v>45678</v>
      </c>
      <c r="B35" s="1139">
        <f>IF(t&gt;Tmaj,'2024'!Wh/'2024'!Env_an*'2025'!Env_an,0.001*'[3]mon-tableau (2)'!$B$228)</f>
        <v>6.3896730843395035</v>
      </c>
      <c r="C35" s="866"/>
      <c r="D35" s="395">
        <f t="shared" si="0"/>
        <v>6.7512032753937685</v>
      </c>
      <c r="E35" s="387">
        <f t="shared" si="1"/>
        <v>7.3713600706691533</v>
      </c>
      <c r="F35" s="387">
        <f t="shared" si="2"/>
        <v>7.493183511470872</v>
      </c>
      <c r="G35" s="110">
        <f t="shared" si="21"/>
        <v>0.32033683006728569</v>
      </c>
      <c r="H35" s="414" t="b">
        <f>Wh_hp&gt;='2024'!Maxi_hp</f>
        <v>0</v>
      </c>
      <c r="I35" s="392">
        <f>IF(H35,Wh_hp,'2024'!Maxi_hp)</f>
        <v>16.890929824623914</v>
      </c>
      <c r="J35" s="85">
        <f>IF(H35,An,'2024'!An_max)</f>
        <v>2022</v>
      </c>
      <c r="K35" s="199">
        <f t="shared" si="3"/>
        <v>45678</v>
      </c>
      <c r="L35" s="147">
        <f>IF(t&lt;Tvie,1-EXP((T0-t)*PertePVj)+'2024'!Pspv,1-EXP((T0-t)*PertePVj)+Pspv)</f>
        <v>5.355048223358061E-2</v>
      </c>
      <c r="M35" s="870"/>
      <c r="N35" s="870"/>
      <c r="O35" s="48">
        <f>IF(t&lt;Tnet,'2024'!Resal+('2024'!Salim-'2024'!Resal)*(1-EXP(('2024'!Tnet-t)/('2024'!Tau_j))),Resal+(Salim-Resal)*(1-EXP((Tnet-t)/(Tau_j))))*Salcycl</f>
        <v>8.4130579612167605E-2</v>
      </c>
      <c r="P35" s="171">
        <f>(INDEX(Models!$BJ35:$BT35,,T35)*(1-R35)+INDEX(Models!$BJ35:$BT35,,T35+1)*R35-ERP_i)*Q35*Ramure*Pc/MaxiM</f>
        <v>0.15553548015157037</v>
      </c>
      <c r="Q35" s="307">
        <f t="shared" si="4"/>
        <v>1</v>
      </c>
      <c r="R35" s="179">
        <f t="shared" si="5"/>
        <v>0.10101767518869842</v>
      </c>
      <c r="S35" s="837">
        <f t="shared" si="6"/>
        <v>2</v>
      </c>
      <c r="T35" s="178">
        <f t="shared" si="7"/>
        <v>8</v>
      </c>
      <c r="U35" s="253">
        <f t="shared" si="8"/>
        <v>2.1010176751886984</v>
      </c>
      <c r="V35" s="385">
        <f t="shared" si="9"/>
        <v>17.122686909575592</v>
      </c>
      <c r="W35" s="404">
        <f t="shared" si="10"/>
        <v>6.3896730843395035</v>
      </c>
      <c r="X35" s="157">
        <f t="shared" si="11"/>
        <v>45678</v>
      </c>
      <c r="Y35" s="387">
        <f t="shared" si="12"/>
        <v>6.0764395198560148</v>
      </c>
      <c r="Z35" s="387">
        <f t="shared" si="22"/>
        <v>6.4202468338682808</v>
      </c>
      <c r="AA35" s="388">
        <f t="shared" si="13"/>
        <v>7.3713600706691533</v>
      </c>
      <c r="AB35" s="199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0.12902818851372877</v>
      </c>
      <c r="AD35" s="233">
        <f>(INDEX(Models!$BJ35:$BT35,,AH35)*(1-AF35)+INDEX(Models!$BJ35:$BT35,,AH35+1)*AF35-ERP_i)*AE35*Ramure*Pc/MaxiM</f>
        <v>0.15553548015157037</v>
      </c>
      <c r="AE35" s="307">
        <f t="shared" si="15"/>
        <v>1</v>
      </c>
      <c r="AF35" s="179">
        <f t="shared" si="23"/>
        <v>0.10101767518869842</v>
      </c>
      <c r="AG35" s="837">
        <f t="shared" si="24"/>
        <v>2</v>
      </c>
      <c r="AH35" s="178">
        <f t="shared" si="16"/>
        <v>8</v>
      </c>
      <c r="AI35" s="227">
        <f t="shared" si="17"/>
        <v>2.1010176751886984</v>
      </c>
      <c r="AJ35" s="267" t="b">
        <f t="shared" si="18"/>
        <v>1</v>
      </c>
      <c r="AK35" s="267" t="b">
        <f t="shared" si="19"/>
        <v>1</v>
      </c>
      <c r="AL35" s="267"/>
      <c r="AM35" s="267"/>
      <c r="AN35" s="75"/>
    </row>
    <row r="36" spans="1:40" s="6" customFormat="1" ht="11.25" x14ac:dyDescent="0.2">
      <c r="A36" s="56">
        <f t="shared" si="20"/>
        <v>45679</v>
      </c>
      <c r="B36" s="1139">
        <f>IF(t&gt;Tmaj,'2024'!Wh/'2024'!Env_an*'2025'!Env_an,0.001*'[3]mon-tableau (2)'!$B$229)</f>
        <v>17.38311306912146</v>
      </c>
      <c r="C36" s="866"/>
      <c r="D36" s="395">
        <f t="shared" si="0"/>
        <v>18.367083803895074</v>
      </c>
      <c r="E36" s="387">
        <f t="shared" si="1"/>
        <v>20.057946084625623</v>
      </c>
      <c r="F36" s="387">
        <f t="shared" si="2"/>
        <v>23.660128352820578</v>
      </c>
      <c r="G36" s="110">
        <f t="shared" si="21"/>
        <v>0.99921990124922533</v>
      </c>
      <c r="H36" s="414" t="b">
        <f>Wh_hp&gt;='2024'!Maxi_hp</f>
        <v>0</v>
      </c>
      <c r="I36" s="392">
        <f>IF(H36,Wh_hp,'2024'!Maxi_hp)</f>
        <v>23.662480027421342</v>
      </c>
      <c r="J36" s="85">
        <f>IF(H36,An,'2024'!An_max)</f>
        <v>2022</v>
      </c>
      <c r="K36" s="199">
        <f t="shared" si="3"/>
        <v>45679</v>
      </c>
      <c r="L36" s="147">
        <f>IF(t&lt;Tvie,1-EXP((T0-t)*PertePVj)+'2024'!Pspv,1-EXP((T0-t)*PertePVj)+Pspv)</f>
        <v>5.3572507496532751E-2</v>
      </c>
      <c r="M36" s="870"/>
      <c r="N36" s="870"/>
      <c r="O36" s="48">
        <f>IF(t&lt;Tnet,'2024'!Resal+('2024'!Salim-'2024'!Resal)*(1-EXP(('2024'!Tnet-t)/('2024'!Tau_j))),Resal+(Salim-Resal)*(1-EXP((Tnet-t)/(Tau_j))))*Salcycl</f>
        <v>8.4298874550599853E-2</v>
      </c>
      <c r="P36" s="171">
        <f>(INDEX(Models!$BJ36:$BT36,,T36)*(1-R36)+INDEX(Models!$BJ36:$BT36,,T36+1)*R36-ERP_i)*Q36*Ramure*Pc/MaxiM</f>
        <v>0.15238208418767352</v>
      </c>
      <c r="Q36" s="307">
        <f t="shared" si="4"/>
        <v>1</v>
      </c>
      <c r="R36" s="179">
        <f t="shared" si="5"/>
        <v>0.10111038161899355</v>
      </c>
      <c r="S36" s="837">
        <f t="shared" si="6"/>
        <v>2</v>
      </c>
      <c r="T36" s="178">
        <f t="shared" si="7"/>
        <v>8</v>
      </c>
      <c r="U36" s="253">
        <f t="shared" si="8"/>
        <v>2.1011103816189936</v>
      </c>
      <c r="V36" s="385">
        <f t="shared" si="9"/>
        <v>17.393911025514122</v>
      </c>
      <c r="W36" s="404">
        <f t="shared" si="10"/>
        <v>17.38311306912146</v>
      </c>
      <c r="X36" s="157">
        <f t="shared" si="11"/>
        <v>45679</v>
      </c>
      <c r="Y36" s="387">
        <f t="shared" si="12"/>
        <v>16.532452800073884</v>
      </c>
      <c r="Z36" s="387">
        <f t="shared" si="22"/>
        <v>17.46827192893841</v>
      </c>
      <c r="AA36" s="388">
        <f t="shared" si="13"/>
        <v>20.057946084625623</v>
      </c>
      <c r="AB36" s="199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0.12910963788421947</v>
      </c>
      <c r="AD36" s="233">
        <f>(INDEX(Models!$BJ36:$BT36,,AH36)*(1-AF36)+INDEX(Models!$BJ36:$BT36,,AH36+1)*AF36-ERP_i)*AE36*Ramure*Pc/MaxiM</f>
        <v>0.15238208418767352</v>
      </c>
      <c r="AE36" s="307">
        <f t="shared" si="15"/>
        <v>1</v>
      </c>
      <c r="AF36" s="179">
        <f t="shared" si="23"/>
        <v>0.10111038161899355</v>
      </c>
      <c r="AG36" s="837">
        <f t="shared" si="24"/>
        <v>2</v>
      </c>
      <c r="AH36" s="178">
        <f t="shared" si="16"/>
        <v>8</v>
      </c>
      <c r="AI36" s="227">
        <f t="shared" si="17"/>
        <v>2.1011103816189936</v>
      </c>
      <c r="AJ36" s="267" t="b">
        <f t="shared" si="18"/>
        <v>1</v>
      </c>
      <c r="AK36" s="267" t="b">
        <f t="shared" si="19"/>
        <v>1</v>
      </c>
      <c r="AL36" s="267"/>
      <c r="AM36" s="267"/>
      <c r="AN36" s="75"/>
    </row>
    <row r="37" spans="1:40" s="6" customFormat="1" ht="11.25" x14ac:dyDescent="0.2">
      <c r="A37" s="56">
        <f t="shared" si="20"/>
        <v>45680</v>
      </c>
      <c r="B37" s="1139">
        <f>IF(t&gt;Tmaj,'2024'!Wh/'2024'!Env_an*'2025'!Env_an,0.001*'[3]mon-tableau (2)'!$B$230)</f>
        <v>17.463868426311709</v>
      </c>
      <c r="C37" s="866"/>
      <c r="D37" s="395">
        <f t="shared" si="0"/>
        <v>18.452839740850035</v>
      </c>
      <c r="E37" s="387">
        <f t="shared" si="1"/>
        <v>20.155299038795242</v>
      </c>
      <c r="F37" s="387">
        <f t="shared" si="2"/>
        <v>23.622997465721241</v>
      </c>
      <c r="G37" s="110">
        <f t="shared" si="21"/>
        <v>0.98552283162181242</v>
      </c>
      <c r="H37" s="414" t="b">
        <f>Wh_hp&gt;='2024'!Maxi_hp</f>
        <v>0</v>
      </c>
      <c r="I37" s="392">
        <f>IF(H37,Wh_hp,'2024'!Maxi_hp)</f>
        <v>23.66568550843968</v>
      </c>
      <c r="J37" s="85">
        <f>IF(H37,An,'2024'!An_max)</f>
        <v>2022</v>
      </c>
      <c r="K37" s="199">
        <f t="shared" si="3"/>
        <v>45680</v>
      </c>
      <c r="L37" s="147">
        <f>IF(t&lt;Tvie,1-EXP((T0-t)*PertePVj)+'2024'!Pspv,1-EXP((T0-t)*PertePVj)+Pspv)</f>
        <v>5.3594532246924897E-2</v>
      </c>
      <c r="M37" s="870"/>
      <c r="N37" s="870"/>
      <c r="O37" s="48">
        <f>IF(t&lt;Tnet,'2024'!Resal+('2024'!Salim-'2024'!Resal)*(1-EXP(('2024'!Tnet-t)/('2024'!Tau_j))),Resal+(Salim-Resal)*(1-EXP((Tnet-t)/(Tau_j))))*Salcycl</f>
        <v>8.4467082064537194E-2</v>
      </c>
      <c r="P37" s="171">
        <f>(INDEX(Models!$BJ37:$BT37,,T37)*(1-R37)+INDEX(Models!$BJ37:$BT37,,T37+1)*R37-ERP_i)*Q37*Ramure*Pc/MaxiM</f>
        <v>0.14926891927270744</v>
      </c>
      <c r="Q37" s="307">
        <f t="shared" si="4"/>
        <v>1</v>
      </c>
      <c r="R37" s="179">
        <f t="shared" si="5"/>
        <v>0.10120695111408162</v>
      </c>
      <c r="S37" s="837">
        <f t="shared" si="6"/>
        <v>2</v>
      </c>
      <c r="T37" s="178">
        <f t="shared" si="7"/>
        <v>8</v>
      </c>
      <c r="U37" s="253">
        <f t="shared" si="8"/>
        <v>2.1012069511140816</v>
      </c>
      <c r="V37" s="385">
        <f t="shared" si="9"/>
        <v>17.668993772049848</v>
      </c>
      <c r="W37" s="404">
        <f t="shared" si="10"/>
        <v>17.463868426311709</v>
      </c>
      <c r="X37" s="157">
        <f t="shared" si="11"/>
        <v>45680</v>
      </c>
      <c r="Y37" s="387">
        <f t="shared" si="12"/>
        <v>16.610750191851178</v>
      </c>
      <c r="Z37" s="387">
        <f t="shared" si="22"/>
        <v>17.551409789810151</v>
      </c>
      <c r="AA37" s="388">
        <f t="shared" si="13"/>
        <v>20.155299038795242</v>
      </c>
      <c r="AB37" s="199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0.12919129822748268</v>
      </c>
      <c r="AD37" s="233">
        <f>(INDEX(Models!$BJ37:$BT37,,AH37)*(1-AF37)+INDEX(Models!$BJ37:$BT37,,AH37+1)*AF37-ERP_i)*AE37*Ramure*Pc/MaxiM</f>
        <v>0.14926891927270744</v>
      </c>
      <c r="AE37" s="307">
        <f t="shared" si="15"/>
        <v>1</v>
      </c>
      <c r="AF37" s="179">
        <f t="shared" si="23"/>
        <v>0.10120695111408162</v>
      </c>
      <c r="AG37" s="837">
        <f t="shared" si="24"/>
        <v>2</v>
      </c>
      <c r="AH37" s="178">
        <f t="shared" si="16"/>
        <v>8</v>
      </c>
      <c r="AI37" s="227">
        <f t="shared" si="17"/>
        <v>2.1012069511140816</v>
      </c>
      <c r="AJ37" s="267" t="b">
        <f t="shared" si="18"/>
        <v>1</v>
      </c>
      <c r="AK37" s="267" t="b">
        <f t="shared" si="19"/>
        <v>1</v>
      </c>
      <c r="AL37" s="267"/>
      <c r="AM37" s="267"/>
      <c r="AN37" s="75"/>
    </row>
    <row r="38" spans="1:40" s="6" customFormat="1" ht="11.25" x14ac:dyDescent="0.2">
      <c r="A38" s="56">
        <f t="shared" si="20"/>
        <v>45681</v>
      </c>
      <c r="B38" s="1139">
        <f>IF(t&gt;Tmaj,'2024'!Wh/'2024'!Env_an*'2025'!Env_an,0.001*'[3]mon-tableau (2)'!$B$231)</f>
        <v>17.889239931171414</v>
      </c>
      <c r="C38" s="866"/>
      <c r="D38" s="395">
        <f t="shared" si="0"/>
        <v>18.902739744393578</v>
      </c>
      <c r="E38" s="387">
        <f t="shared" si="1"/>
        <v>20.65049908888135</v>
      </c>
      <c r="F38" s="387">
        <f t="shared" si="2"/>
        <v>24.166002134044934</v>
      </c>
      <c r="G38" s="110">
        <f t="shared" si="21"/>
        <v>0.99579907977408788</v>
      </c>
      <c r="H38" s="414" t="b">
        <f>Wh_hp&gt;='2024'!Maxi_hp</f>
        <v>0</v>
      </c>
      <c r="I38" s="392">
        <f>IF(H38,Wh_hp,'2024'!Maxi_hp)</f>
        <v>24.178380916845647</v>
      </c>
      <c r="J38" s="85">
        <f>IF(H38,An,'2024'!An_max)</f>
        <v>2022</v>
      </c>
      <c r="K38" s="199">
        <f t="shared" si="3"/>
        <v>45681</v>
      </c>
      <c r="L38" s="147">
        <f>IF(t&lt;Tvie,1-EXP((T0-t)*PertePVj)+'2024'!Pspv,1-EXP((T0-t)*PertePVj)+Pspv)</f>
        <v>5.3616556484768929E-2</v>
      </c>
      <c r="M38" s="870"/>
      <c r="N38" s="870"/>
      <c r="O38" s="48">
        <f>IF(t&lt;Tnet,'2024'!Resal+('2024'!Salim-'2024'!Resal)*(1-EXP(('2024'!Tnet-t)/('2024'!Tau_j))),Resal+(Salim-Resal)*(1-EXP((Tnet-t)/(Tau_j))))*Salcycl</f>
        <v>8.4635210847218714E-2</v>
      </c>
      <c r="P38" s="171">
        <f>(INDEX(Models!$BJ38:$BT38,,T38)*(1-R38)+INDEX(Models!$BJ38:$BT38,,T38+1)*R38-ERP_i)*Q38*Ramure*Pc/MaxiM</f>
        <v>0.14617854192013188</v>
      </c>
      <c r="Q38" s="307">
        <f t="shared" si="4"/>
        <v>1</v>
      </c>
      <c r="R38" s="179">
        <f t="shared" si="5"/>
        <v>0.10130754350840299</v>
      </c>
      <c r="S38" s="837">
        <f t="shared" si="6"/>
        <v>2</v>
      </c>
      <c r="T38" s="178">
        <f t="shared" si="7"/>
        <v>8</v>
      </c>
      <c r="U38" s="253">
        <f t="shared" si="8"/>
        <v>2.101307543508403</v>
      </c>
      <c r="V38" s="385">
        <f t="shared" si="9"/>
        <v>17.949877567029386</v>
      </c>
      <c r="W38" s="404">
        <f t="shared" si="10"/>
        <v>17.889239931171414</v>
      </c>
      <c r="X38" s="157">
        <f t="shared" si="11"/>
        <v>45681</v>
      </c>
      <c r="Y38" s="387">
        <f t="shared" si="12"/>
        <v>17.01686712321893</v>
      </c>
      <c r="Z38" s="387">
        <f t="shared" si="22"/>
        <v>17.980943390146134</v>
      </c>
      <c r="AA38" s="388">
        <f t="shared" si="13"/>
        <v>20.65049908888135</v>
      </c>
      <c r="AB38" s="199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0.12927318062605853</v>
      </c>
      <c r="AD38" s="233">
        <f>(INDEX(Models!$BJ38:$BT38,,AH38)*(1-AF38)+INDEX(Models!$BJ38:$BT38,,AH38+1)*AF38-ERP_i)*AE38*Ramure*Pc/MaxiM</f>
        <v>0.14617854192013188</v>
      </c>
      <c r="AE38" s="307">
        <f t="shared" si="15"/>
        <v>1</v>
      </c>
      <c r="AF38" s="179">
        <f t="shared" si="23"/>
        <v>0.10130754350840299</v>
      </c>
      <c r="AG38" s="837">
        <f t="shared" si="24"/>
        <v>2</v>
      </c>
      <c r="AH38" s="178">
        <f t="shared" si="16"/>
        <v>8</v>
      </c>
      <c r="AI38" s="227">
        <f t="shared" si="17"/>
        <v>2.101307543508403</v>
      </c>
      <c r="AJ38" s="267" t="b">
        <f t="shared" si="18"/>
        <v>1</v>
      </c>
      <c r="AK38" s="267" t="b">
        <f t="shared" si="19"/>
        <v>1</v>
      </c>
      <c r="AL38" s="267"/>
      <c r="AM38" s="267"/>
      <c r="AN38" s="75"/>
    </row>
    <row r="39" spans="1:40" s="6" customFormat="1" ht="11.25" x14ac:dyDescent="0.2">
      <c r="A39" s="56">
        <f t="shared" si="20"/>
        <v>45682</v>
      </c>
      <c r="B39" s="1139">
        <f>IF(t&gt;Tmaj,'2024'!Wh/'2024'!Env_an*'2025'!Env_an,0.001*'[3]mon-tableau (2)'!$B$232)</f>
        <v>18.139113407742439</v>
      </c>
      <c r="C39" s="866"/>
      <c r="D39" s="395">
        <f t="shared" si="0"/>
        <v>19.167215641323402</v>
      </c>
      <c r="E39" s="387">
        <f t="shared" si="1"/>
        <v>20.943273707002234</v>
      </c>
      <c r="F39" s="387">
        <f t="shared" si="2"/>
        <v>24.409992843000893</v>
      </c>
      <c r="G39" s="110">
        <f t="shared" si="21"/>
        <v>0.99340424422022666</v>
      </c>
      <c r="H39" s="414" t="b">
        <f>Wh_hp&gt;='2024'!Maxi_hp</f>
        <v>0</v>
      </c>
      <c r="I39" s="392">
        <f>IF(H39,Wh_hp,'2024'!Maxi_hp)</f>
        <v>24.429204367487987</v>
      </c>
      <c r="J39" s="85">
        <f>IF(H39,An,'2024'!An_max)</f>
        <v>2022</v>
      </c>
      <c r="K39" s="199">
        <f t="shared" si="3"/>
        <v>45682</v>
      </c>
      <c r="L39" s="147">
        <f>IF(t&lt;Tvie,1-EXP((T0-t)*PertePVj)+'2024'!Pspv,1-EXP((T0-t)*PertePVj)+Pspv)</f>
        <v>5.3638580210076725E-2</v>
      </c>
      <c r="M39" s="870"/>
      <c r="N39" s="870"/>
      <c r="O39" s="48">
        <f>IF(t&lt;Tnet,'2024'!Resal+('2024'!Salim-'2024'!Resal)*(1-EXP(('2024'!Tnet-t)/('2024'!Tau_j))),Resal+(Salim-Resal)*(1-EXP((Tnet-t)/(Tau_j))))*Salcycl</f>
        <v>8.4803268606713444E-2</v>
      </c>
      <c r="P39" s="171">
        <f>(INDEX(Models!$BJ39:$BT39,,T39)*(1-R39)+INDEX(Models!$BJ39:$BT39,,T39+1)*R39-ERP_i)*Q39*Ramure*Pc/MaxiM</f>
        <v>0.1431105824777433</v>
      </c>
      <c r="Q39" s="307">
        <f t="shared" si="4"/>
        <v>1</v>
      </c>
      <c r="R39" s="179">
        <f t="shared" si="5"/>
        <v>0.10141232515237419</v>
      </c>
      <c r="S39" s="837">
        <f t="shared" si="6"/>
        <v>2</v>
      </c>
      <c r="T39" s="178">
        <f t="shared" si="7"/>
        <v>8</v>
      </c>
      <c r="U39" s="253">
        <f t="shared" si="8"/>
        <v>2.1014123251523742</v>
      </c>
      <c r="V39" s="385">
        <f t="shared" si="9"/>
        <v>18.236349540828563</v>
      </c>
      <c r="W39" s="404">
        <f t="shared" si="10"/>
        <v>18.139113407742439</v>
      </c>
      <c r="X39" s="157">
        <f t="shared" si="11"/>
        <v>45682</v>
      </c>
      <c r="Y39" s="387">
        <f t="shared" si="12"/>
        <v>17.256096429481097</v>
      </c>
      <c r="Z39" s="387">
        <f t="shared" si="22"/>
        <v>18.234150366475916</v>
      </c>
      <c r="AA39" s="388">
        <f t="shared" si="13"/>
        <v>20.943273707002234</v>
      </c>
      <c r="AB39" s="199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0.12935529461282552</v>
      </c>
      <c r="AD39" s="233">
        <f>(INDEX(Models!$BJ39:$BT39,,AH39)*(1-AF39)+INDEX(Models!$BJ39:$BT39,,AH39+1)*AF39-ERP_i)*AE39*Ramure*Pc/MaxiM</f>
        <v>0.1431105824777433</v>
      </c>
      <c r="AE39" s="307">
        <f t="shared" si="15"/>
        <v>1</v>
      </c>
      <c r="AF39" s="179">
        <f t="shared" si="23"/>
        <v>0.10141232515237419</v>
      </c>
      <c r="AG39" s="837">
        <f t="shared" si="24"/>
        <v>2</v>
      </c>
      <c r="AH39" s="178">
        <f t="shared" si="16"/>
        <v>8</v>
      </c>
      <c r="AI39" s="227">
        <f t="shared" si="17"/>
        <v>2.1014123251523742</v>
      </c>
      <c r="AJ39" s="267" t="b">
        <f t="shared" si="18"/>
        <v>1</v>
      </c>
      <c r="AK39" s="267" t="b">
        <f t="shared" si="19"/>
        <v>1</v>
      </c>
      <c r="AL39" s="267"/>
      <c r="AM39" s="267"/>
      <c r="AN39" s="75"/>
    </row>
    <row r="40" spans="1:40" s="6" customFormat="1" ht="11.25" x14ac:dyDescent="0.2">
      <c r="A40" s="56">
        <f t="shared" si="20"/>
        <v>45683</v>
      </c>
      <c r="B40" s="1139">
        <f>IF(t&gt;Tmaj,'2024'!Wh/'2024'!Env_an*'2025'!Env_an,0.001*'[3]mon-tableau (2)'!$B$233)</f>
        <v>18.262481724360384</v>
      </c>
      <c r="C40" s="866"/>
      <c r="D40" s="395">
        <f t="shared" si="0"/>
        <v>19.298025412885512</v>
      </c>
      <c r="E40" s="387">
        <f t="shared" si="1"/>
        <v>21.090075762870427</v>
      </c>
      <c r="F40" s="387">
        <f t="shared" si="2"/>
        <v>24.443759469126263</v>
      </c>
      <c r="G40" s="110">
        <f t="shared" si="21"/>
        <v>0.98238648686797769</v>
      </c>
      <c r="H40" s="414" t="b">
        <f>Wh_hp&gt;='2024'!Maxi_hp</f>
        <v>0</v>
      </c>
      <c r="I40" s="392">
        <f>IF(H40,Wh_hp,'2024'!Maxi_hp)</f>
        <v>24.494094497904509</v>
      </c>
      <c r="J40" s="85">
        <f>IF(H40,An,'2024'!An_max)</f>
        <v>2022</v>
      </c>
      <c r="K40" s="199">
        <f t="shared" si="3"/>
        <v>45683</v>
      </c>
      <c r="L40" s="147">
        <f>IF(t&lt;Tvie,1-EXP((T0-t)*PertePVj)+'2024'!Pspv,1-EXP((T0-t)*PertePVj)+Pspv)</f>
        <v>5.3660603422860276E-2</v>
      </c>
      <c r="M40" s="870"/>
      <c r="N40" s="870"/>
      <c r="O40" s="48">
        <f>IF(t&lt;Tnet,'2024'!Resal+('2024'!Salim-'2024'!Resal)*(1-EXP(('2024'!Tnet-t)/('2024'!Tau_j))),Resal+(Salim-Resal)*(1-EXP((Tnet-t)/(Tau_j))))*Salcycl</f>
        <v>8.4971261845339818E-2</v>
      </c>
      <c r="P40" s="171">
        <f>(INDEX(Models!$BJ40:$BT40,,T40)*(1-R40)+INDEX(Models!$BJ40:$BT40,,T40+1)*R40-ERP_i)*Q40*Ramure*Pc/MaxiM</f>
        <v>0.14006867000496595</v>
      </c>
      <c r="Q40" s="307">
        <f t="shared" si="4"/>
        <v>1</v>
      </c>
      <c r="R40" s="179">
        <f t="shared" si="5"/>
        <v>0.10152146916972393</v>
      </c>
      <c r="S40" s="837">
        <f t="shared" si="6"/>
        <v>2</v>
      </c>
      <c r="T40" s="178">
        <f t="shared" si="7"/>
        <v>8</v>
      </c>
      <c r="U40" s="253">
        <f t="shared" si="8"/>
        <v>2.1015214691697239</v>
      </c>
      <c r="V40" s="385">
        <f t="shared" si="9"/>
        <v>18.528106910022739</v>
      </c>
      <c r="W40" s="404">
        <f t="shared" si="10"/>
        <v>18.262481724360384</v>
      </c>
      <c r="X40" s="157">
        <f t="shared" si="11"/>
        <v>45683</v>
      </c>
      <c r="Y40" s="387">
        <f t="shared" si="12"/>
        <v>17.375005159068078</v>
      </c>
      <c r="Z40" s="387">
        <f t="shared" si="22"/>
        <v>18.360225963235354</v>
      </c>
      <c r="AA40" s="388">
        <f t="shared" si="13"/>
        <v>21.090075762870427</v>
      </c>
      <c r="AB40" s="199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0.12943764784577189</v>
      </c>
      <c r="AD40" s="233">
        <f>(INDEX(Models!$BJ40:$BT40,,AH40)*(1-AF40)+INDEX(Models!$BJ40:$BT40,,AH40+1)*AF40-ERP_i)*AE40*Ramure*Pc/MaxiM</f>
        <v>0.14006867000496595</v>
      </c>
      <c r="AE40" s="307">
        <f t="shared" si="15"/>
        <v>1</v>
      </c>
      <c r="AF40" s="179">
        <f t="shared" si="23"/>
        <v>0.10152146916972393</v>
      </c>
      <c r="AG40" s="837">
        <f t="shared" si="24"/>
        <v>2</v>
      </c>
      <c r="AH40" s="178">
        <f t="shared" si="16"/>
        <v>8</v>
      </c>
      <c r="AI40" s="227">
        <f t="shared" si="17"/>
        <v>2.1015214691697239</v>
      </c>
      <c r="AJ40" s="267" t="b">
        <f t="shared" si="18"/>
        <v>1</v>
      </c>
      <c r="AK40" s="267" t="b">
        <f t="shared" si="19"/>
        <v>1</v>
      </c>
      <c r="AL40" s="267"/>
      <c r="AM40" s="267"/>
      <c r="AN40" s="75"/>
    </row>
    <row r="41" spans="1:40" s="6" customFormat="1" ht="11.25" x14ac:dyDescent="0.2">
      <c r="A41" s="56">
        <f t="shared" si="20"/>
        <v>45684</v>
      </c>
      <c r="B41" s="1139">
        <f>IF(t&gt;Tmaj,'2024'!Wh/'2024'!Env_an*'2025'!Env_an,0.001*'[3]mon-tableau (2)'!$B$234)</f>
        <v>17.857356726360251</v>
      </c>
      <c r="C41" s="866"/>
      <c r="D41" s="395">
        <f t="shared" si="0"/>
        <v>18.870367615890132</v>
      </c>
      <c r="E41" s="387">
        <f t="shared" si="1"/>
        <v>20.626490419645418</v>
      </c>
      <c r="F41" s="387">
        <f t="shared" si="2"/>
        <v>23.626956282515799</v>
      </c>
      <c r="G41" s="110">
        <f t="shared" si="21"/>
        <v>0.93767154957036958</v>
      </c>
      <c r="H41" s="414" t="b">
        <f>Wh_hp&gt;='2024'!Maxi_hp</f>
        <v>0</v>
      </c>
      <c r="I41" s="392">
        <f>IF(H41,Wh_hp,'2024'!Maxi_hp)</f>
        <v>23.796328277938077</v>
      </c>
      <c r="J41" s="85">
        <f>IF(H41,An,'2024'!An_max)</f>
        <v>2022</v>
      </c>
      <c r="K41" s="199">
        <f t="shared" si="3"/>
        <v>45684</v>
      </c>
      <c r="L41" s="147">
        <f>IF(t&lt;Tvie,1-EXP((T0-t)*PertePVj)+'2024'!Pspv,1-EXP((T0-t)*PertePVj)+Pspv)</f>
        <v>5.3682626123131572E-2</v>
      </c>
      <c r="M41" s="870"/>
      <c r="N41" s="870"/>
      <c r="O41" s="48">
        <f>IF(t&lt;Tnet,'2024'!Resal+('2024'!Salim-'2024'!Resal)*(1-EXP(('2024'!Tnet-t)/('2024'!Tau_j))),Resal+(Salim-Resal)*(1-EXP((Tnet-t)/(Tau_j))))*Salcycl</f>
        <v>8.5139195666689441E-2</v>
      </c>
      <c r="P41" s="171">
        <f>(INDEX(Models!$BJ41:$BT41,,T41)*(1-R41)+INDEX(Models!$BJ41:$BT41,,T41+1)*R41-ERP_i)*Q41*Ramure*Pc/MaxiM</f>
        <v>0.13705605148761693</v>
      </c>
      <c r="Q41" s="307">
        <f t="shared" si="4"/>
        <v>1</v>
      </c>
      <c r="R41" s="179">
        <f t="shared" si="5"/>
        <v>0.10163515572427473</v>
      </c>
      <c r="S41" s="837">
        <f t="shared" si="6"/>
        <v>2</v>
      </c>
      <c r="T41" s="178">
        <f t="shared" si="7"/>
        <v>8</v>
      </c>
      <c r="U41" s="253">
        <f t="shared" si="8"/>
        <v>2.1016351557242747</v>
      </c>
      <c r="V41" s="385">
        <f t="shared" si="9"/>
        <v>18.824847262600834</v>
      </c>
      <c r="W41" s="404">
        <f t="shared" si="10"/>
        <v>17.857356726360251</v>
      </c>
      <c r="X41" s="157">
        <f t="shared" si="11"/>
        <v>45684</v>
      </c>
      <c r="Y41" s="387">
        <f t="shared" si="12"/>
        <v>16.99107385485237</v>
      </c>
      <c r="Z41" s="387">
        <f t="shared" si="22"/>
        <v>17.954942309939234</v>
      </c>
      <c r="AA41" s="388">
        <f t="shared" si="13"/>
        <v>20.626490419645418</v>
      </c>
      <c r="AB41" s="199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0.12952024582726418</v>
      </c>
      <c r="AD41" s="233">
        <f>(INDEX(Models!$BJ41:$BT41,,AH41)*(1-AF41)+INDEX(Models!$BJ41:$BT41,,AH41+1)*AF41-ERP_i)*AE41*Ramure*Pc/MaxiM</f>
        <v>0.13705605148761693</v>
      </c>
      <c r="AE41" s="307">
        <f t="shared" si="15"/>
        <v>1</v>
      </c>
      <c r="AF41" s="179">
        <f t="shared" si="23"/>
        <v>0.10163515572427473</v>
      </c>
      <c r="AG41" s="837">
        <f t="shared" si="24"/>
        <v>2</v>
      </c>
      <c r="AH41" s="178">
        <f t="shared" si="16"/>
        <v>8</v>
      </c>
      <c r="AI41" s="227">
        <f t="shared" si="17"/>
        <v>2.1016351557242747</v>
      </c>
      <c r="AJ41" s="267" t="b">
        <f t="shared" si="18"/>
        <v>1</v>
      </c>
      <c r="AK41" s="267" t="b">
        <f t="shared" si="19"/>
        <v>1</v>
      </c>
      <c r="AL41" s="267"/>
      <c r="AM41" s="267"/>
      <c r="AN41" s="75"/>
    </row>
    <row r="42" spans="1:40" s="6" customFormat="1" ht="11.25" x14ac:dyDescent="0.2">
      <c r="A42" s="56">
        <f t="shared" si="20"/>
        <v>45685</v>
      </c>
      <c r="B42" s="1139">
        <f>IF(t&gt;Tmaj,'2024'!Wh/'2024'!Env_an*'2025'!Env_an,0.001*'[3]mon-tableau (2)'!$B$235)</f>
        <v>3.7423595236454443</v>
      </c>
      <c r="C42" s="866"/>
      <c r="D42" s="395">
        <f t="shared" si="0"/>
        <v>3.9547478670010259</v>
      </c>
      <c r="E42" s="387">
        <f t="shared" si="1"/>
        <v>4.3235798079443422</v>
      </c>
      <c r="F42" s="387">
        <f t="shared" si="2"/>
        <v>4.3235798079443422</v>
      </c>
      <c r="G42" s="110">
        <f t="shared" si="21"/>
        <v>0.16943191881930847</v>
      </c>
      <c r="H42" s="414" t="b">
        <f>Wh_hp&gt;='2024'!Maxi_hp</f>
        <v>0</v>
      </c>
      <c r="I42" s="392">
        <f>IF(H42,Wh_hp,'2024'!Maxi_hp)</f>
        <v>17.198833933173557</v>
      </c>
      <c r="J42" s="85">
        <f>IF(H42,An,'2024'!An_max)</f>
        <v>2020</v>
      </c>
      <c r="K42" s="199">
        <f t="shared" si="3"/>
        <v>45685</v>
      </c>
      <c r="L42" s="147">
        <f>IF(t&lt;Tvie,1-EXP((T0-t)*PertePVj)+'2024'!Pspv,1-EXP((T0-t)*PertePVj)+Pspv)</f>
        <v>5.3704648310902381E-2</v>
      </c>
      <c r="M42" s="870"/>
      <c r="N42" s="870"/>
      <c r="O42" s="48">
        <f>IF(t&lt;Tnet,'2024'!Resal+('2024'!Salim-'2024'!Resal)*(1-EXP(('2024'!Tnet-t)/('2024'!Tau_j))),Resal+(Salim-Resal)*(1-EXP((Tnet-t)/(Tau_j))))*Salcycl</f>
        <v>8.5307073611919318E-2</v>
      </c>
      <c r="P42" s="171">
        <f>(INDEX(Models!$BJ42:$BT42,,T42)*(1-R42)+INDEX(Models!$BJ42:$BT42,,T42+1)*R42-ERP_i)*Q42*Ramure*Pc/MaxiM</f>
        <v>0.13407561132876164</v>
      </c>
      <c r="Q42" s="307">
        <f t="shared" si="4"/>
        <v>1</v>
      </c>
      <c r="R42" s="179">
        <f t="shared" si="5"/>
        <v>0.10175357229645865</v>
      </c>
      <c r="S42" s="837">
        <f t="shared" si="6"/>
        <v>2</v>
      </c>
      <c r="T42" s="178">
        <f t="shared" si="7"/>
        <v>8</v>
      </c>
      <c r="U42" s="253">
        <f t="shared" si="8"/>
        <v>2.1017535722964586</v>
      </c>
      <c r="V42" s="385">
        <f t="shared" si="9"/>
        <v>19.126268564287599</v>
      </c>
      <c r="W42" s="404">
        <f t="shared" si="10"/>
        <v>3.7423595236454443</v>
      </c>
      <c r="X42" s="157">
        <f t="shared" si="11"/>
        <v>45685</v>
      </c>
      <c r="Y42" s="387">
        <f t="shared" si="12"/>
        <v>3.5611275273585101</v>
      </c>
      <c r="Z42" s="387">
        <f t="shared" si="22"/>
        <v>3.7632304977532085</v>
      </c>
      <c r="AA42" s="388">
        <f t="shared" si="13"/>
        <v>4.3235798079443422</v>
      </c>
      <c r="AB42" s="199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0.12960309166989867</v>
      </c>
      <c r="AD42" s="233">
        <f>(INDEX(Models!$BJ42:$BT42,,AH42)*(1-AF42)+INDEX(Models!$BJ42:$BT42,,AH42+1)*AF42-ERP_i)*AE42*Ramure*Pc/MaxiM</f>
        <v>0.13407561132876164</v>
      </c>
      <c r="AE42" s="307">
        <f t="shared" si="15"/>
        <v>1</v>
      </c>
      <c r="AF42" s="179">
        <f t="shared" si="23"/>
        <v>0.10175357229645865</v>
      </c>
      <c r="AG42" s="837">
        <f t="shared" si="24"/>
        <v>2</v>
      </c>
      <c r="AH42" s="178">
        <f t="shared" si="16"/>
        <v>8</v>
      </c>
      <c r="AI42" s="227">
        <f t="shared" si="17"/>
        <v>2.1017535722964586</v>
      </c>
      <c r="AJ42" s="267" t="b">
        <f t="shared" si="18"/>
        <v>1</v>
      </c>
      <c r="AK42" s="267" t="b">
        <f t="shared" si="19"/>
        <v>1</v>
      </c>
      <c r="AL42" s="267"/>
      <c r="AM42" s="267"/>
      <c r="AN42" s="75"/>
    </row>
    <row r="43" spans="1:40" s="6" customFormat="1" ht="11.25" x14ac:dyDescent="0.2">
      <c r="A43" s="56">
        <f t="shared" si="20"/>
        <v>45686</v>
      </c>
      <c r="B43" s="1139">
        <f>IF(t&gt;Tmaj,'2024'!Wh/'2024'!Env_an*'2025'!Env_an,0.001*'[3]mon-tableau (2)'!$B$236)</f>
        <v>5.8628159687254238</v>
      </c>
      <c r="C43" s="866"/>
      <c r="D43" s="395">
        <f t="shared" si="0"/>
        <v>6.1956897471049182</v>
      </c>
      <c r="E43" s="387">
        <f t="shared" si="1"/>
        <v>6.7747618193841666</v>
      </c>
      <c r="F43" s="387">
        <f t="shared" si="2"/>
        <v>6.7769304879063421</v>
      </c>
      <c r="G43" s="110">
        <f t="shared" si="21"/>
        <v>0.2622292125362114</v>
      </c>
      <c r="H43" s="414" t="b">
        <f>Wh_hp&gt;='2024'!Maxi_hp</f>
        <v>0</v>
      </c>
      <c r="I43" s="392">
        <f>IF(H43,Wh_hp,'2024'!Maxi_hp)</f>
        <v>20.008035676598013</v>
      </c>
      <c r="J43" s="85">
        <f>IF(H43,An,'2024'!An_max)</f>
        <v>2020</v>
      </c>
      <c r="K43" s="199">
        <f t="shared" si="3"/>
        <v>45686</v>
      </c>
      <c r="L43" s="147">
        <f>IF(t&lt;Tvie,1-EXP((T0-t)*PertePVj)+'2024'!Pspv,1-EXP((T0-t)*PertePVj)+Pspv)</f>
        <v>5.3726669986184694E-2</v>
      </c>
      <c r="M43" s="870"/>
      <c r="N43" s="870"/>
      <c r="O43" s="48">
        <f>IF(t&lt;Tnet,'2024'!Resal+('2024'!Salim-'2024'!Resal)*(1-EXP(('2024'!Tnet-t)/('2024'!Tau_j))),Resal+(Salim-Resal)*(1-EXP((Tnet-t)/(Tau_j))))*Salcycl</f>
        <v>8.5474897526639115E-2</v>
      </c>
      <c r="P43" s="171">
        <f>(INDEX(Models!$BJ43:$BT43,,T43)*(1-R43)+INDEX(Models!$BJ43:$BT43,,T43+1)*R43-ERP_i)*Q43*Ramure*Pc/MaxiM</f>
        <v>0.13112989137248282</v>
      </c>
      <c r="Q43" s="307">
        <f t="shared" si="4"/>
        <v>1</v>
      </c>
      <c r="R43" s="179">
        <f t="shared" si="5"/>
        <v>0.10187691396985832</v>
      </c>
      <c r="S43" s="837">
        <f t="shared" si="6"/>
        <v>2</v>
      </c>
      <c r="T43" s="178">
        <f t="shared" si="7"/>
        <v>8</v>
      </c>
      <c r="U43" s="253">
        <f t="shared" si="8"/>
        <v>2.1018769139698583</v>
      </c>
      <c r="V43" s="385">
        <f t="shared" si="9"/>
        <v>19.432069167580593</v>
      </c>
      <c r="W43" s="404">
        <f t="shared" si="10"/>
        <v>5.8628159687254238</v>
      </c>
      <c r="X43" s="157">
        <f t="shared" si="11"/>
        <v>45686</v>
      </c>
      <c r="Y43" s="387">
        <f t="shared" si="12"/>
        <v>5.5793872833522595</v>
      </c>
      <c r="Z43" s="387">
        <f t="shared" si="22"/>
        <v>5.8961687985762019</v>
      </c>
      <c r="AA43" s="388">
        <f t="shared" si="13"/>
        <v>6.7747618193841666</v>
      </c>
      <c r="AB43" s="199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0.12968618591049302</v>
      </c>
      <c r="AD43" s="233">
        <f>(INDEX(Models!$BJ43:$BT43,,AH43)*(1-AF43)+INDEX(Models!$BJ43:$BT43,,AH43+1)*AF43-ERP_i)*AE43*Ramure*Pc/MaxiM</f>
        <v>0.13112989137248282</v>
      </c>
      <c r="AE43" s="307">
        <f t="shared" si="15"/>
        <v>1</v>
      </c>
      <c r="AF43" s="179">
        <f t="shared" si="23"/>
        <v>0.10187691396985832</v>
      </c>
      <c r="AG43" s="837">
        <f t="shared" si="24"/>
        <v>2</v>
      </c>
      <c r="AH43" s="178">
        <f t="shared" si="16"/>
        <v>8</v>
      </c>
      <c r="AI43" s="227">
        <f t="shared" si="17"/>
        <v>2.1018769139698583</v>
      </c>
      <c r="AJ43" s="267" t="b">
        <f t="shared" si="18"/>
        <v>1</v>
      </c>
      <c r="AK43" s="267" t="b">
        <f t="shared" si="19"/>
        <v>1</v>
      </c>
      <c r="AL43" s="267"/>
      <c r="AM43" s="267"/>
      <c r="AN43" s="75"/>
    </row>
    <row r="44" spans="1:40" s="6" customFormat="1" ht="11.25" x14ac:dyDescent="0.2">
      <c r="A44" s="56">
        <f t="shared" si="20"/>
        <v>45687</v>
      </c>
      <c r="B44" s="1139">
        <f>IF(t&gt;Tmaj,'2024'!Wh/'2024'!Env_an*'2025'!Env_an,0.001*'[3]mon-tableau (2)'!$B$237)</f>
        <v>4.2746570106982995</v>
      </c>
      <c r="C44" s="866"/>
      <c r="D44" s="395">
        <f t="shared" si="0"/>
        <v>4.5174648327713527</v>
      </c>
      <c r="E44" s="387">
        <f t="shared" si="1"/>
        <v>4.9405901522320237</v>
      </c>
      <c r="F44" s="387">
        <f t="shared" si="2"/>
        <v>4.9405901522320237</v>
      </c>
      <c r="G44" s="110">
        <f t="shared" si="21"/>
        <v>0.18876332631744608</v>
      </c>
      <c r="H44" s="414" t="b">
        <f>Wh_hp&gt;='2024'!Maxi_hp</f>
        <v>0</v>
      </c>
      <c r="I44" s="392">
        <f>IF(H44,Wh_hp,'2024'!Maxi_hp)</f>
        <v>10.958880369584882</v>
      </c>
      <c r="J44" s="85">
        <f>IF(H44,An,'2024'!An_max)</f>
        <v>2020</v>
      </c>
      <c r="K44" s="199">
        <f t="shared" si="3"/>
        <v>45687</v>
      </c>
      <c r="L44" s="147">
        <f>IF(t&lt;Tvie,1-EXP((T0-t)*PertePVj)+'2024'!Pspv,1-EXP((T0-t)*PertePVj)+Pspv)</f>
        <v>5.3748691148990502E-2</v>
      </c>
      <c r="M44" s="870"/>
      <c r="N44" s="870"/>
      <c r="O44" s="48">
        <f>IF(t&lt;Tnet,'2024'!Resal+('2024'!Salim-'2024'!Resal)*(1-EXP(('2024'!Tnet-t)/('2024'!Tau_j))),Resal+(Salim-Resal)*(1-EXP((Tnet-t)/(Tau_j))))*Salcycl</f>
        <v>8.5642667459375058E-2</v>
      </c>
      <c r="P44" s="171">
        <f>(INDEX(Models!$BJ44:$BT44,,T44)*(1-R44)+INDEX(Models!$BJ44:$BT44,,T44+1)*R44-ERP_i)*Q44*Ramure*Pc/MaxiM</f>
        <v>0.12819874028342526</v>
      </c>
      <c r="Q44" s="307">
        <f t="shared" si="4"/>
        <v>1</v>
      </c>
      <c r="R44" s="179">
        <f t="shared" si="5"/>
        <v>0.10200538372804901</v>
      </c>
      <c r="S44" s="837">
        <f t="shared" si="6"/>
        <v>2</v>
      </c>
      <c r="T44" s="178">
        <f t="shared" si="7"/>
        <v>8</v>
      </c>
      <c r="U44" s="253">
        <f t="shared" si="8"/>
        <v>2.102005383728049</v>
      </c>
      <c r="V44" s="385">
        <f t="shared" si="9"/>
        <v>19.742454424202613</v>
      </c>
      <c r="W44" s="404">
        <f t="shared" si="10"/>
        <v>4.2746570106982995</v>
      </c>
      <c r="X44" s="157">
        <f t="shared" si="11"/>
        <v>45687</v>
      </c>
      <c r="Y44" s="387">
        <f t="shared" si="12"/>
        <v>4.0683621847005247</v>
      </c>
      <c r="Z44" s="387">
        <f t="shared" si="22"/>
        <v>4.2994521081725683</v>
      </c>
      <c r="AA44" s="388">
        <f t="shared" si="13"/>
        <v>4.9405901522320237</v>
      </c>
      <c r="AB44" s="199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0.12976952637324238</v>
      </c>
      <c r="AD44" s="233">
        <f>(INDEX(Models!$BJ44:$BT44,,AH44)*(1-AF44)+INDEX(Models!$BJ44:$BT44,,AH44+1)*AF44-ERP_i)*AE44*Ramure*Pc/MaxiM</f>
        <v>0.12819874028342526</v>
      </c>
      <c r="AE44" s="307">
        <f t="shared" si="15"/>
        <v>1</v>
      </c>
      <c r="AF44" s="179">
        <f t="shared" si="23"/>
        <v>0.10200538372804901</v>
      </c>
      <c r="AG44" s="837">
        <f t="shared" si="24"/>
        <v>2</v>
      </c>
      <c r="AH44" s="178">
        <f t="shared" si="16"/>
        <v>8</v>
      </c>
      <c r="AI44" s="227">
        <f t="shared" si="17"/>
        <v>2.102005383728049</v>
      </c>
      <c r="AJ44" s="267" t="b">
        <f t="shared" si="18"/>
        <v>1</v>
      </c>
      <c r="AK44" s="267" t="b">
        <f t="shared" si="19"/>
        <v>1</v>
      </c>
      <c r="AL44" s="267"/>
      <c r="AM44" s="267"/>
      <c r="AN44" s="75"/>
    </row>
    <row r="45" spans="1:40" s="6" customFormat="1" ht="11.25" x14ac:dyDescent="0.2">
      <c r="A45" s="56">
        <f t="shared" si="20"/>
        <v>45688</v>
      </c>
      <c r="B45" s="1139">
        <f>IF(t&gt;Tmaj,'2024'!Wh/'2024'!Env_an*'2025'!Env_an,0.001*'[3]mon-tableau (2)'!$B$238)</f>
        <v>9.6005448380760399</v>
      </c>
      <c r="C45" s="866"/>
      <c r="D45" s="395">
        <f t="shared" si="0"/>
        <v>10.146108303551092</v>
      </c>
      <c r="E45" s="387">
        <f t="shared" si="1"/>
        <v>11.098472460475486</v>
      </c>
      <c r="F45" s="387">
        <f t="shared" si="2"/>
        <v>11.465115969607746</v>
      </c>
      <c r="G45" s="110">
        <f t="shared" si="21"/>
        <v>0.43252288881253859</v>
      </c>
      <c r="H45" s="414" t="b">
        <f>Wh_hp&gt;='2024'!Maxi_hp</f>
        <v>0</v>
      </c>
      <c r="I45" s="392">
        <f>IF(H45,Wh_hp,'2024'!Maxi_hp)</f>
        <v>19.380623642476806</v>
      </c>
      <c r="J45" s="85">
        <f>IF(H45,An,'2024'!An_max)</f>
        <v>2020</v>
      </c>
      <c r="K45" s="199">
        <f t="shared" si="3"/>
        <v>45688</v>
      </c>
      <c r="L45" s="147">
        <f>IF(t&lt;Tvie,1-EXP((T0-t)*PertePVj)+'2024'!Pspv,1-EXP((T0-t)*PertePVj)+Pspv)</f>
        <v>5.3770711799331683E-2</v>
      </c>
      <c r="M45" s="870"/>
      <c r="N45" s="870"/>
      <c r="O45" s="48">
        <f>IF(t&lt;Tnet,'2024'!Resal+('2024'!Salim-'2024'!Resal)*(1-EXP(('2024'!Tnet-t)/('2024'!Tau_j))),Resal+(Salim-Resal)*(1-EXP((Tnet-t)/(Tau_j))))*Salcycl</f>
        <v>8.5810381592242468E-2</v>
      </c>
      <c r="P45" s="171">
        <f>(INDEX(Models!$BJ45:$BT45,,T45)*(1-R45)+INDEX(Models!$BJ45:$BT45,,T45+1)*R45-ERP_i)*Q45*Ramure*Pc/MaxiM</f>
        <v>0.12529267295692045</v>
      </c>
      <c r="Q45" s="307">
        <f t="shared" si="4"/>
        <v>1</v>
      </c>
      <c r="R45" s="179">
        <f t="shared" si="5"/>
        <v>0.10213919276205097</v>
      </c>
      <c r="S45" s="837">
        <f t="shared" si="6"/>
        <v>2</v>
      </c>
      <c r="T45" s="178">
        <f t="shared" si="7"/>
        <v>8</v>
      </c>
      <c r="U45" s="253">
        <f t="shared" si="8"/>
        <v>2.102139192762051</v>
      </c>
      <c r="V45" s="385">
        <f t="shared" si="9"/>
        <v>20.056945434062559</v>
      </c>
      <c r="W45" s="404">
        <f t="shared" si="10"/>
        <v>9.6005448380760399</v>
      </c>
      <c r="X45" s="157">
        <f t="shared" si="11"/>
        <v>45688</v>
      </c>
      <c r="Y45" s="387">
        <f t="shared" si="12"/>
        <v>9.1380213506647809</v>
      </c>
      <c r="Z45" s="387">
        <f t="shared" si="22"/>
        <v>9.6573013165143831</v>
      </c>
      <c r="AA45" s="388">
        <f t="shared" si="13"/>
        <v>11.098472460475486</v>
      </c>
      <c r="AB45" s="199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0.12985310808252981</v>
      </c>
      <c r="AD45" s="233">
        <f>(INDEX(Models!$BJ45:$BT45,,AH45)*(1-AF45)+INDEX(Models!$BJ45:$BT45,,AH45+1)*AF45-ERP_i)*AE45*Ramure*Pc/MaxiM</f>
        <v>0.12529267295692045</v>
      </c>
      <c r="AE45" s="307">
        <f t="shared" si="15"/>
        <v>1</v>
      </c>
      <c r="AF45" s="179">
        <f t="shared" si="23"/>
        <v>0.10213919276205097</v>
      </c>
      <c r="AG45" s="837">
        <f t="shared" si="24"/>
        <v>2</v>
      </c>
      <c r="AH45" s="178">
        <f t="shared" si="16"/>
        <v>8</v>
      </c>
      <c r="AI45" s="227">
        <f t="shared" si="17"/>
        <v>2.102139192762051</v>
      </c>
      <c r="AJ45" s="267" t="b">
        <f t="shared" si="18"/>
        <v>1</v>
      </c>
      <c r="AK45" s="267" t="b">
        <f t="shared" si="19"/>
        <v>1</v>
      </c>
      <c r="AL45" s="267"/>
      <c r="AM45" s="267"/>
      <c r="AN45" s="75"/>
    </row>
    <row r="46" spans="1:40" s="6" customFormat="1" ht="11.25" x14ac:dyDescent="0.2">
      <c r="A46" s="56">
        <f t="shared" si="20"/>
        <v>45689</v>
      </c>
      <c r="B46" s="1139">
        <f>IF(t&gt;Tmaj,'2024'!Wh/'2024'!Env_an*'2025'!Env_an,0.001*'[4]mon-tableau'!$B$190)</f>
        <v>9.4547756030413126</v>
      </c>
      <c r="C46" s="866"/>
      <c r="D46" s="395">
        <f t="shared" si="0"/>
        <v>9.9922880770072435</v>
      </c>
      <c r="E46" s="387">
        <f t="shared" si="1"/>
        <v>10.932218778977406</v>
      </c>
      <c r="F46" s="387">
        <f t="shared" si="2"/>
        <v>11.255076338550847</v>
      </c>
      <c r="G46" s="110">
        <f t="shared" si="21"/>
        <v>0.41925509456592902</v>
      </c>
      <c r="H46" s="414" t="b">
        <f>Wh_hp&gt;='2024'!Maxi_hp</f>
        <v>0</v>
      </c>
      <c r="I46" s="392">
        <f>IF(H46,Wh_hp,'2024'!Maxi_hp)</f>
        <v>21.672609398761253</v>
      </c>
      <c r="J46" s="85">
        <f>IF(H46,An,'2024'!An_max)</f>
        <v>2019</v>
      </c>
      <c r="K46" s="199">
        <f t="shared" si="3"/>
        <v>45689</v>
      </c>
      <c r="L46" s="147">
        <f>IF(t&lt;Tvie,1-EXP((T0-t)*PertePVj)+'2024'!Pspv,1-EXP((T0-t)*PertePVj)+Pspv)</f>
        <v>5.3792731937220117E-2</v>
      </c>
      <c r="M46" s="870"/>
      <c r="N46" s="870"/>
      <c r="O46" s="48">
        <f>IF(t&lt;Tnet,'2024'!Resal+('2024'!Salim-'2024'!Resal)*(1-EXP(('2024'!Tnet-t)/('2024'!Tau_j))),Resal+(Salim-Resal)*(1-EXP((Tnet-t)/(Tau_j))))*Salcycl</f>
        <v>8.5978036204109265E-2</v>
      </c>
      <c r="P46" s="171">
        <f>(INDEX(Models!$BJ46:$BT46,,T46)*(1-R46)+INDEX(Models!$BJ46:$BT46,,T46+1)*R46-ERP_i)*Q46*Ramure*Pc/MaxiM</f>
        <v>0.12241383546948043</v>
      </c>
      <c r="Q46" s="307">
        <f t="shared" si="4"/>
        <v>1</v>
      </c>
      <c r="R46" s="179">
        <f t="shared" si="5"/>
        <v>0.10227856078866804</v>
      </c>
      <c r="S46" s="837">
        <f t="shared" si="6"/>
        <v>2</v>
      </c>
      <c r="T46" s="178">
        <f t="shared" si="7"/>
        <v>8</v>
      </c>
      <c r="U46" s="253">
        <f t="shared" si="8"/>
        <v>2.102278560788668</v>
      </c>
      <c r="V46" s="385">
        <f t="shared" si="9"/>
        <v>20.375242003660365</v>
      </c>
      <c r="W46" s="404">
        <f t="shared" si="10"/>
        <v>9.4547756030413126</v>
      </c>
      <c r="X46" s="157">
        <f t="shared" si="11"/>
        <v>45689</v>
      </c>
      <c r="Y46" s="387">
        <f t="shared" si="12"/>
        <v>9.0000585076016648</v>
      </c>
      <c r="Z46" s="387">
        <f t="shared" si="22"/>
        <v>9.5117199068106508</v>
      </c>
      <c r="AA46" s="388">
        <f t="shared" si="13"/>
        <v>10.932218778977406</v>
      </c>
      <c r="AB46" s="199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0.12993692322535352</v>
      </c>
      <c r="AD46" s="233">
        <f>(INDEX(Models!$BJ46:$BT46,,AH46)*(1-AF46)+INDEX(Models!$BJ46:$BT46,,AH46+1)*AF46-ERP_i)*AE46*Ramure*Pc/MaxiM</f>
        <v>0.12241383546948043</v>
      </c>
      <c r="AE46" s="307">
        <f t="shared" si="15"/>
        <v>1</v>
      </c>
      <c r="AF46" s="179">
        <f t="shared" si="23"/>
        <v>0.10227856078866804</v>
      </c>
      <c r="AG46" s="837">
        <f t="shared" si="24"/>
        <v>2</v>
      </c>
      <c r="AH46" s="178">
        <f t="shared" si="16"/>
        <v>8</v>
      </c>
      <c r="AI46" s="227">
        <f t="shared" si="17"/>
        <v>2.102278560788668</v>
      </c>
      <c r="AJ46" s="267" t="b">
        <f t="shared" si="18"/>
        <v>1</v>
      </c>
      <c r="AK46" s="267" t="b">
        <f t="shared" si="19"/>
        <v>1</v>
      </c>
      <c r="AL46" s="267"/>
      <c r="AM46" s="267"/>
      <c r="AN46" s="75"/>
    </row>
    <row r="47" spans="1:40" s="6" customFormat="1" ht="11.25" x14ac:dyDescent="0.2">
      <c r="A47" s="56">
        <f t="shared" si="20"/>
        <v>45690</v>
      </c>
      <c r="B47" s="1139">
        <f>IF(t&gt;Tmaj,'2024'!Wh/'2024'!Env_an*'2025'!Env_an,0.001*'[4]mon-tableau'!$B$191)</f>
        <v>4.9475105683244909</v>
      </c>
      <c r="C47" s="866"/>
      <c r="D47" s="395">
        <f t="shared" si="0"/>
        <v>5.2289026662543394</v>
      </c>
      <c r="E47" s="387">
        <f t="shared" si="1"/>
        <v>5.7218117165178883</v>
      </c>
      <c r="F47" s="387">
        <f t="shared" si="2"/>
        <v>5.7218117165178883</v>
      </c>
      <c r="G47" s="110">
        <f t="shared" si="21"/>
        <v>0.21046318823792329</v>
      </c>
      <c r="H47" s="414" t="b">
        <f>Wh_hp&gt;='2024'!Maxi_hp</f>
        <v>0</v>
      </c>
      <c r="I47" s="392">
        <f>IF(H47,Wh_hp,'2024'!Maxi_hp)</f>
        <v>24.150188849551444</v>
      </c>
      <c r="J47" s="85">
        <f>IF(H47,An,'2024'!An_max)</f>
        <v>2021</v>
      </c>
      <c r="K47" s="199">
        <f t="shared" si="3"/>
        <v>45690</v>
      </c>
      <c r="L47" s="147">
        <f>IF(t&lt;Tvie,1-EXP((T0-t)*PertePVj)+'2024'!Pspv,1-EXP((T0-t)*PertePVj)+Pspv)</f>
        <v>5.3814751562667795E-2</v>
      </c>
      <c r="M47" s="870"/>
      <c r="N47" s="870"/>
      <c r="O47" s="48">
        <f>IF(t&lt;Tnet,'2024'!Resal+('2024'!Salim-'2024'!Resal)*(1-EXP(('2024'!Tnet-t)/('2024'!Tau_j))),Resal+(Salim-Resal)*(1-EXP((Tnet-t)/(Tau_j))))*Salcycl</f>
        <v>8.6145625666186387E-2</v>
      </c>
      <c r="P47" s="171">
        <f>(INDEX(Models!$BJ47:$BT47,,T47)*(1-R47)+INDEX(Models!$BJ47:$BT47,,T47+1)*R47-ERP_i)*Q47*Ramure*Pc/MaxiM</f>
        <v>0.11956409457040634</v>
      </c>
      <c r="Q47" s="307">
        <f t="shared" si="4"/>
        <v>1</v>
      </c>
      <c r="R47" s="179">
        <f t="shared" si="5"/>
        <v>0.1024237163800108</v>
      </c>
      <c r="S47" s="837">
        <f t="shared" si="6"/>
        <v>2</v>
      </c>
      <c r="T47" s="178">
        <f t="shared" si="7"/>
        <v>8</v>
      </c>
      <c r="U47" s="253">
        <f t="shared" si="8"/>
        <v>2.1024237163800108</v>
      </c>
      <c r="V47" s="385">
        <f t="shared" si="9"/>
        <v>20.697044377760484</v>
      </c>
      <c r="W47" s="404">
        <f t="shared" si="10"/>
        <v>4.9475105683244909</v>
      </c>
      <c r="X47" s="157">
        <f t="shared" si="11"/>
        <v>45690</v>
      </c>
      <c r="Y47" s="387">
        <f t="shared" si="12"/>
        <v>4.7099741597291889</v>
      </c>
      <c r="Z47" s="387">
        <f t="shared" si="22"/>
        <v>4.977856257543567</v>
      </c>
      <c r="AA47" s="388">
        <f t="shared" si="13"/>
        <v>5.7218117165178883</v>
      </c>
      <c r="AB47" s="199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0.13002096116281661</v>
      </c>
      <c r="AD47" s="233">
        <f>(INDEX(Models!$BJ47:$BT47,,AH47)*(1-AF47)+INDEX(Models!$BJ47:$BT47,,AH47+1)*AF47-ERP_i)*AE47*Ramure*Pc/MaxiM</f>
        <v>0.11956409457040634</v>
      </c>
      <c r="AE47" s="307">
        <f t="shared" si="15"/>
        <v>1</v>
      </c>
      <c r="AF47" s="179">
        <f t="shared" si="23"/>
        <v>0.1024237163800108</v>
      </c>
      <c r="AG47" s="837">
        <f t="shared" si="24"/>
        <v>2</v>
      </c>
      <c r="AH47" s="178">
        <f t="shared" si="16"/>
        <v>8</v>
      </c>
      <c r="AI47" s="227">
        <f t="shared" si="17"/>
        <v>2.1024237163800108</v>
      </c>
      <c r="AJ47" s="267" t="b">
        <f t="shared" si="18"/>
        <v>1</v>
      </c>
      <c r="AK47" s="267" t="b">
        <f t="shared" si="19"/>
        <v>1</v>
      </c>
      <c r="AL47" s="267"/>
      <c r="AM47" s="267"/>
      <c r="AN47" s="75"/>
    </row>
    <row r="48" spans="1:40" s="6" customFormat="1" ht="11.25" x14ac:dyDescent="0.2">
      <c r="A48" s="56">
        <f t="shared" si="20"/>
        <v>45691</v>
      </c>
      <c r="B48" s="1139">
        <f>IF(t&gt;Tmaj,'2024'!Wh/'2024'!Env_an*'2025'!Env_an,0.001*'[4]mon-tableau'!$B$192)</f>
        <v>11.849078022446552</v>
      </c>
      <c r="C48" s="866"/>
      <c r="D48" s="395">
        <f t="shared" si="0"/>
        <v>12.523291600444431</v>
      </c>
      <c r="E48" s="387">
        <f t="shared" si="1"/>
        <v>13.706327826903557</v>
      </c>
      <c r="F48" s="387">
        <f t="shared" si="2"/>
        <v>14.336730692170143</v>
      </c>
      <c r="G48" s="110">
        <f t="shared" si="21"/>
        <v>0.52074429034372727</v>
      </c>
      <c r="H48" s="414" t="b">
        <f>Wh_hp&gt;='2024'!Maxi_hp</f>
        <v>0</v>
      </c>
      <c r="I48" s="392">
        <f>IF(H48,Wh_hp,'2024'!Maxi_hp)</f>
        <v>22.38607837569748</v>
      </c>
      <c r="J48" s="85">
        <f>IF(H48,An,'2024'!An_max)</f>
        <v>2020</v>
      </c>
      <c r="K48" s="199">
        <f t="shared" si="3"/>
        <v>45691</v>
      </c>
      <c r="L48" s="147">
        <f>IF(t&lt;Tvie,1-EXP((T0-t)*PertePVj)+'2024'!Pspv,1-EXP((T0-t)*PertePVj)+Pspv)</f>
        <v>5.3836770675686596E-2</v>
      </c>
      <c r="M48" s="870"/>
      <c r="N48" s="870"/>
      <c r="O48" s="48">
        <f>IF(t&lt;Tnet,'2024'!Resal+('2024'!Salim-'2024'!Resal)*(1-EXP(('2024'!Tnet-t)/('2024'!Tau_j))),Resal+(Salim-Resal)*(1-EXP((Tnet-t)/(Tau_j))))*Salcycl</f>
        <v>8.6313142469640572E-2</v>
      </c>
      <c r="P48" s="171">
        <f>(INDEX(Models!$BJ48:$BT48,,T48)*(1-R48)+INDEX(Models!$BJ48:$BT48,,T48+1)*R48-ERP_i)*Q48*Ramure*Pc/MaxiM</f>
        <v>0.11674505534037856</v>
      </c>
      <c r="Q48" s="307">
        <f t="shared" si="4"/>
        <v>1</v>
      </c>
      <c r="R48" s="179">
        <f t="shared" si="5"/>
        <v>0.10257489730449665</v>
      </c>
      <c r="S48" s="837">
        <f t="shared" si="6"/>
        <v>2</v>
      </c>
      <c r="T48" s="178">
        <f t="shared" si="7"/>
        <v>8</v>
      </c>
      <c r="U48" s="253">
        <f t="shared" si="8"/>
        <v>2.1025748973044966</v>
      </c>
      <c r="V48" s="385">
        <f t="shared" si="9"/>
        <v>21.022053257922831</v>
      </c>
      <c r="W48" s="404">
        <f t="shared" si="10"/>
        <v>11.849078022446552</v>
      </c>
      <c r="X48" s="157">
        <f t="shared" si="11"/>
        <v>45691</v>
      </c>
      <c r="Y48" s="387">
        <f t="shared" si="12"/>
        <v>11.281163968787668</v>
      </c>
      <c r="Z48" s="387">
        <f t="shared" si="22"/>
        <v>11.923063187357135</v>
      </c>
      <c r="AA48" s="388">
        <f t="shared" si="13"/>
        <v>13.706327826903557</v>
      </c>
      <c r="AB48" s="199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0.13010520848962392</v>
      </c>
      <c r="AD48" s="233">
        <f>(INDEX(Models!$BJ48:$BT48,,AH48)*(1-AF48)+INDEX(Models!$BJ48:$BT48,,AH48+1)*AF48-ERP_i)*AE48*Ramure*Pc/MaxiM</f>
        <v>0.11674505534037856</v>
      </c>
      <c r="AE48" s="307">
        <f t="shared" si="15"/>
        <v>1</v>
      </c>
      <c r="AF48" s="179">
        <f t="shared" si="23"/>
        <v>0.10257489730449665</v>
      </c>
      <c r="AG48" s="837">
        <f t="shared" si="24"/>
        <v>2</v>
      </c>
      <c r="AH48" s="178">
        <f t="shared" si="16"/>
        <v>8</v>
      </c>
      <c r="AI48" s="227">
        <f t="shared" si="17"/>
        <v>2.1025748973044966</v>
      </c>
      <c r="AJ48" s="267" t="b">
        <f t="shared" si="18"/>
        <v>1</v>
      </c>
      <c r="AK48" s="267" t="b">
        <f t="shared" si="19"/>
        <v>1</v>
      </c>
      <c r="AL48" s="267"/>
      <c r="AM48" s="267"/>
      <c r="AN48" s="75"/>
    </row>
    <row r="49" spans="1:40" s="6" customFormat="1" ht="11.25" x14ac:dyDescent="0.2">
      <c r="A49" s="56">
        <f t="shared" si="20"/>
        <v>45692</v>
      </c>
      <c r="B49" s="1139">
        <f>IF(t&gt;Tmaj,'2024'!Wh/'2024'!Env_an*'2025'!Env_an,0.001*'[4]mon-tableau'!$B$193)</f>
        <v>9.894209420695077</v>
      </c>
      <c r="C49" s="866"/>
      <c r="D49" s="395">
        <f t="shared" si="0"/>
        <v>10.457434163687799</v>
      </c>
      <c r="E49" s="387">
        <f t="shared" si="1"/>
        <v>11.447413052918245</v>
      </c>
      <c r="F49" s="387">
        <f t="shared" si="2"/>
        <v>11.760306610400875</v>
      </c>
      <c r="G49" s="110">
        <f t="shared" si="21"/>
        <v>0.4218415892355587</v>
      </c>
      <c r="H49" s="414" t="b">
        <f>Wh_hp&gt;='2024'!Maxi_hp</f>
        <v>0</v>
      </c>
      <c r="I49" s="392">
        <f>IF(H49,Wh_hp,'2024'!Maxi_hp)</f>
        <v>23.379370808970474</v>
      </c>
      <c r="J49" s="85">
        <f>IF(H49,An,'2024'!An_max)</f>
        <v>2019</v>
      </c>
      <c r="K49" s="199">
        <f t="shared" si="3"/>
        <v>45692</v>
      </c>
      <c r="L49" s="147">
        <f>IF(t&lt;Tvie,1-EXP((T0-t)*PertePVj)+'2024'!Pspv,1-EXP((T0-t)*PertePVj)+Pspv)</f>
        <v>5.385878927628851E-2</v>
      </c>
      <c r="M49" s="870"/>
      <c r="N49" s="870"/>
      <c r="O49" s="48">
        <f>IF(t&lt;Tnet,'2024'!Resal+('2024'!Salim-'2024'!Resal)*(1-EXP(('2024'!Tnet-t)/('2024'!Tau_j))),Resal+(Salim-Resal)*(1-EXP((Tnet-t)/(Tau_j))))*Salcycl</f>
        <v>8.6480577284496082E-2</v>
      </c>
      <c r="P49" s="171">
        <f>(INDEX(Models!$BJ49:$BT49,,T49)*(1-R49)+INDEX(Models!$BJ49:$BT49,,T49+1)*R49-ERP_i)*Q49*Ramure*Pc/MaxiM</f>
        <v>0.11395807852568</v>
      </c>
      <c r="Q49" s="307">
        <f t="shared" si="4"/>
        <v>1</v>
      </c>
      <c r="R49" s="179">
        <f t="shared" si="5"/>
        <v>0.10273235087960941</v>
      </c>
      <c r="S49" s="837">
        <f t="shared" si="6"/>
        <v>2</v>
      </c>
      <c r="T49" s="178">
        <f t="shared" si="7"/>
        <v>8</v>
      </c>
      <c r="U49" s="253">
        <f t="shared" si="8"/>
        <v>2.1027323508796094</v>
      </c>
      <c r="V49" s="385">
        <f t="shared" si="9"/>
        <v>21.349969808320886</v>
      </c>
      <c r="W49" s="404">
        <f t="shared" si="10"/>
        <v>9.894209420695077</v>
      </c>
      <c r="X49" s="157">
        <f t="shared" si="11"/>
        <v>45692</v>
      </c>
      <c r="Y49" s="387">
        <f t="shared" si="12"/>
        <v>9.4208021785835374</v>
      </c>
      <c r="Z49" s="387">
        <f t="shared" si="22"/>
        <v>9.9570783639975744</v>
      </c>
      <c r="AA49" s="388">
        <f t="shared" si="13"/>
        <v>11.447413052918245</v>
      </c>
      <c r="AB49" s="199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0.13018964914005141</v>
      </c>
      <c r="AD49" s="233">
        <f>(INDEX(Models!$BJ49:$BT49,,AH49)*(1-AF49)+INDEX(Models!$BJ49:$BT49,,AH49+1)*AF49-ERP_i)*AE49*Ramure*Pc/MaxiM</f>
        <v>0.11395807852568</v>
      </c>
      <c r="AE49" s="307">
        <f t="shared" si="15"/>
        <v>1</v>
      </c>
      <c r="AF49" s="179">
        <f t="shared" si="23"/>
        <v>0.10273235087960941</v>
      </c>
      <c r="AG49" s="837">
        <f t="shared" si="24"/>
        <v>2</v>
      </c>
      <c r="AH49" s="178">
        <f t="shared" si="16"/>
        <v>8</v>
      </c>
      <c r="AI49" s="227">
        <f t="shared" si="17"/>
        <v>2.1027323508796094</v>
      </c>
      <c r="AJ49" s="267" t="b">
        <f t="shared" si="18"/>
        <v>1</v>
      </c>
      <c r="AK49" s="267" t="b">
        <f t="shared" si="19"/>
        <v>1</v>
      </c>
      <c r="AL49" s="267"/>
      <c r="AM49" s="267"/>
      <c r="AN49" s="75"/>
    </row>
    <row r="50" spans="1:40" s="6" customFormat="1" ht="11.25" x14ac:dyDescent="0.2">
      <c r="A50" s="56">
        <f t="shared" si="20"/>
        <v>45693</v>
      </c>
      <c r="B50" s="1139">
        <f>IF(t&gt;Tmaj,'2024'!Wh/'2024'!Env_an*'2025'!Env_an,0.001*'[4]mon-tableau'!$B$194)</f>
        <v>8.5831061869526053</v>
      </c>
      <c r="C50" s="866"/>
      <c r="D50" s="395">
        <f t="shared" si="0"/>
        <v>9.071907909450033</v>
      </c>
      <c r="E50" s="387">
        <f t="shared" si="1"/>
        <v>9.9325420050523761</v>
      </c>
      <c r="F50" s="387">
        <f t="shared" si="2"/>
        <v>10.086190064357215</v>
      </c>
      <c r="G50" s="110">
        <f t="shared" si="21"/>
        <v>0.35730900533636628</v>
      </c>
      <c r="H50" s="414" t="b">
        <f>Wh_hp&gt;='2024'!Maxi_hp</f>
        <v>0</v>
      </c>
      <c r="I50" s="392">
        <f>IF(H50,Wh_hp,'2024'!Maxi_hp)</f>
        <v>27.78824906234189</v>
      </c>
      <c r="J50" s="85">
        <f>IF(H50,An,'2024'!An_max)</f>
        <v>2020</v>
      </c>
      <c r="K50" s="199">
        <f t="shared" si="3"/>
        <v>45693</v>
      </c>
      <c r="L50" s="147">
        <f>IF(t&lt;Tvie,1-EXP((T0-t)*PertePVj)+'2024'!Pspv,1-EXP((T0-t)*PertePVj)+Pspv)</f>
        <v>5.3880807364485306E-2</v>
      </c>
      <c r="M50" s="870"/>
      <c r="N50" s="870"/>
      <c r="O50" s="48">
        <f>IF(t&lt;Tnet,'2024'!Resal+('2024'!Salim-'2024'!Resal)*(1-EXP(('2024'!Tnet-t)/('2024'!Tau_j))),Resal+(Salim-Resal)*(1-EXP((Tnet-t)/(Tau_j))))*Salcycl</f>
        <v>8.664791904877564E-2</v>
      </c>
      <c r="P50" s="171">
        <f>(INDEX(Models!$BJ50:$BT50,,T50)*(1-R50)+INDEX(Models!$BJ50:$BT50,,T50+1)*R50-ERP_i)*Q50*Ramure*Pc/MaxiM</f>
        <v>0.11120429731884757</v>
      </c>
      <c r="Q50" s="307">
        <f t="shared" si="4"/>
        <v>1</v>
      </c>
      <c r="R50" s="179">
        <f t="shared" si="5"/>
        <v>0.1028963343367022</v>
      </c>
      <c r="S50" s="837">
        <f t="shared" si="6"/>
        <v>2</v>
      </c>
      <c r="T50" s="178">
        <f t="shared" si="7"/>
        <v>8</v>
      </c>
      <c r="U50" s="253">
        <f t="shared" si="8"/>
        <v>2.1028963343367022</v>
      </c>
      <c r="V50" s="385">
        <f t="shared" si="9"/>
        <v>21.680495670058825</v>
      </c>
      <c r="W50" s="404">
        <f t="shared" si="10"/>
        <v>8.5831061869526053</v>
      </c>
      <c r="X50" s="157">
        <f t="shared" si="11"/>
        <v>45693</v>
      </c>
      <c r="Y50" s="387">
        <f t="shared" si="12"/>
        <v>8.1731333367280339</v>
      </c>
      <c r="Z50" s="387">
        <f t="shared" si="22"/>
        <v>8.6385874003474239</v>
      </c>
      <c r="AA50" s="388">
        <f t="shared" si="13"/>
        <v>9.9325420050523761</v>
      </c>
      <c r="AB50" s="199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0.13027426453839894</v>
      </c>
      <c r="AD50" s="233">
        <f>(INDEX(Models!$BJ50:$BT50,,AH50)*(1-AF50)+INDEX(Models!$BJ50:$BT50,,AH50+1)*AF50-ERP_i)*AE50*Ramure*Pc/MaxiM</f>
        <v>0.11120429731884757</v>
      </c>
      <c r="AE50" s="307">
        <f t="shared" si="15"/>
        <v>1</v>
      </c>
      <c r="AF50" s="179">
        <f t="shared" si="23"/>
        <v>0.1028963343367022</v>
      </c>
      <c r="AG50" s="837">
        <f t="shared" si="24"/>
        <v>2</v>
      </c>
      <c r="AH50" s="178">
        <f t="shared" si="16"/>
        <v>8</v>
      </c>
      <c r="AI50" s="227">
        <f t="shared" si="17"/>
        <v>2.1028963343367022</v>
      </c>
      <c r="AJ50" s="267" t="b">
        <f t="shared" si="18"/>
        <v>1</v>
      </c>
      <c r="AK50" s="267" t="b">
        <f t="shared" si="19"/>
        <v>1</v>
      </c>
      <c r="AL50" s="267"/>
      <c r="AM50" s="267"/>
      <c r="AN50" s="75"/>
    </row>
    <row r="51" spans="1:40" s="6" customFormat="1" ht="11.25" x14ac:dyDescent="0.2">
      <c r="A51" s="56">
        <f t="shared" si="20"/>
        <v>45694</v>
      </c>
      <c r="B51" s="1139">
        <f>IF(t&gt;Tmaj,'2024'!Wh/'2024'!Env_an*'2025'!Env_an,0.001*'[4]mon-tableau'!$B$195)</f>
        <v>15.954409747977847</v>
      </c>
      <c r="C51" s="866"/>
      <c r="D51" s="395">
        <f t="shared" si="0"/>
        <v>16.863394341042103</v>
      </c>
      <c r="E51" s="387">
        <f t="shared" si="1"/>
        <v>18.466572715231628</v>
      </c>
      <c r="F51" s="387">
        <f t="shared" si="2"/>
        <v>19.767779191275547</v>
      </c>
      <c r="G51" s="110">
        <f t="shared" si="21"/>
        <v>0.69164969724323844</v>
      </c>
      <c r="H51" s="414" t="b">
        <f>Wh_hp&gt;='2024'!Maxi_hp</f>
        <v>0</v>
      </c>
      <c r="I51" s="392">
        <f>IF(H51,Wh_hp,'2024'!Maxi_hp)</f>
        <v>28.842415345268009</v>
      </c>
      <c r="J51" s="85">
        <f>IF(H51,An,'2024'!An_max)</f>
        <v>2020</v>
      </c>
      <c r="K51" s="199">
        <f t="shared" si="3"/>
        <v>45694</v>
      </c>
      <c r="L51" s="147">
        <f>IF(t&lt;Tvie,1-EXP((T0-t)*PertePVj)+'2024'!Pspv,1-EXP((T0-t)*PertePVj)+Pspv)</f>
        <v>5.3902824940289196E-2</v>
      </c>
      <c r="M51" s="870"/>
      <c r="N51" s="870"/>
      <c r="O51" s="48">
        <f>IF(t&lt;Tnet,'2024'!Resal+('2024'!Salim-'2024'!Resal)*(1-EXP(('2024'!Tnet-t)/('2024'!Tau_j))),Resal+(Salim-Resal)*(1-EXP((Tnet-t)/(Tau_j))))*Salcycl</f>
        <v>8.6815155086530385E-2</v>
      </c>
      <c r="P51" s="171">
        <f>(INDEX(Models!$BJ51:$BT51,,T51)*(1-R51)+INDEX(Models!$BJ51:$BT51,,T51+1)*R51-ERP_i)*Q51*Ramure*Pc/MaxiM</f>
        <v>0.10848234502992993</v>
      </c>
      <c r="Q51" s="307">
        <f t="shared" si="4"/>
        <v>1</v>
      </c>
      <c r="R51" s="179">
        <f t="shared" si="5"/>
        <v>0.10306711519813438</v>
      </c>
      <c r="S51" s="837">
        <f t="shared" si="6"/>
        <v>2</v>
      </c>
      <c r="T51" s="178">
        <f t="shared" si="7"/>
        <v>8</v>
      </c>
      <c r="U51" s="253">
        <f t="shared" si="8"/>
        <v>2.1030671151981344</v>
      </c>
      <c r="V51" s="385">
        <f t="shared" si="9"/>
        <v>22.013853871493051</v>
      </c>
      <c r="W51" s="404">
        <f t="shared" si="10"/>
        <v>15.954409747977847</v>
      </c>
      <c r="X51" s="157">
        <f t="shared" si="11"/>
        <v>45694</v>
      </c>
      <c r="Y51" s="387">
        <f t="shared" si="12"/>
        <v>15.193647141430903</v>
      </c>
      <c r="Z51" s="387">
        <f t="shared" si="22"/>
        <v>16.059288138633317</v>
      </c>
      <c r="AA51" s="388">
        <f t="shared" si="13"/>
        <v>18.466572715231628</v>
      </c>
      <c r="AB51" s="199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0.13035903379151298</v>
      </c>
      <c r="AD51" s="233">
        <f>(INDEX(Models!$BJ51:$BT51,,AH51)*(1-AF51)+INDEX(Models!$BJ51:$BT51,,AH51+1)*AF51-ERP_i)*AE51*Ramure*Pc/MaxiM</f>
        <v>0.10848234502992993</v>
      </c>
      <c r="AE51" s="307">
        <f t="shared" si="15"/>
        <v>1</v>
      </c>
      <c r="AF51" s="179">
        <f t="shared" si="23"/>
        <v>0.10306711519813438</v>
      </c>
      <c r="AG51" s="837">
        <f t="shared" si="24"/>
        <v>2</v>
      </c>
      <c r="AH51" s="178">
        <f t="shared" si="16"/>
        <v>8</v>
      </c>
      <c r="AI51" s="227">
        <f t="shared" si="17"/>
        <v>2.1030671151981344</v>
      </c>
      <c r="AJ51" s="267" t="b">
        <f t="shared" si="18"/>
        <v>1</v>
      </c>
      <c r="AK51" s="267" t="b">
        <f t="shared" si="19"/>
        <v>1</v>
      </c>
      <c r="AL51" s="267"/>
      <c r="AM51" s="267"/>
      <c r="AN51" s="75"/>
    </row>
    <row r="52" spans="1:40" s="6" customFormat="1" ht="11.25" x14ac:dyDescent="0.2">
      <c r="A52" s="56">
        <f t="shared" si="20"/>
        <v>45695</v>
      </c>
      <c r="B52" s="1139">
        <f>IF(t&gt;Tmaj,'2024'!Wh/'2024'!Env_an*'2025'!Env_an,0.001*'[4]mon-tableau'!$B$196)</f>
        <v>11.072943034215751</v>
      </c>
      <c r="C52" s="866"/>
      <c r="D52" s="395">
        <f t="shared" si="0"/>
        <v>11.704083909852747</v>
      </c>
      <c r="E52" s="387">
        <f t="shared" si="1"/>
        <v>12.819120090818791</v>
      </c>
      <c r="F52" s="387">
        <f t="shared" si="2"/>
        <v>13.209181674235074</v>
      </c>
      <c r="G52" s="110">
        <f t="shared" si="21"/>
        <v>0.45649134920173751</v>
      </c>
      <c r="H52" s="414" t="b">
        <f>Wh_hp&gt;='2024'!Maxi_hp</f>
        <v>0</v>
      </c>
      <c r="I52" s="392">
        <f>IF(H52,Wh_hp,'2024'!Maxi_hp)</f>
        <v>20.460774580395299</v>
      </c>
      <c r="J52" s="85">
        <f>IF(H52,An,'2024'!An_max)</f>
        <v>2021</v>
      </c>
      <c r="K52" s="199">
        <f t="shared" si="3"/>
        <v>45695</v>
      </c>
      <c r="L52" s="147">
        <f>IF(t&lt;Tvie,1-EXP((T0-t)*PertePVj)+'2024'!Pspv,1-EXP((T0-t)*PertePVj)+Pspv)</f>
        <v>5.3924842003711837E-2</v>
      </c>
      <c r="M52" s="870"/>
      <c r="N52" s="870"/>
      <c r="O52" s="48">
        <f>IF(t&lt;Tnet,'2024'!Resal+('2024'!Salim-'2024'!Resal)*(1-EXP(('2024'!Tnet-t)/('2024'!Tau_j))),Resal+(Salim-Resal)*(1-EXP((Tnet-t)/(Tau_j))))*Salcycl</f>
        <v>8.698227125312967E-2</v>
      </c>
      <c r="P52" s="171">
        <f>(INDEX(Models!$BJ52:$BT52,,T52)*(1-R52)+INDEX(Models!$BJ52:$BT52,,T52+1)*R52-ERP_i)*Q52*Ramure*Pc/MaxiM</f>
        <v>0.10577821821148432</v>
      </c>
      <c r="Q52" s="307">
        <f t="shared" si="4"/>
        <v>1</v>
      </c>
      <c r="R52" s="179">
        <f t="shared" si="5"/>
        <v>0.10324497166699631</v>
      </c>
      <c r="S52" s="837">
        <f t="shared" si="6"/>
        <v>2</v>
      </c>
      <c r="T52" s="178">
        <f t="shared" si="7"/>
        <v>8</v>
      </c>
      <c r="U52" s="253">
        <f t="shared" si="8"/>
        <v>2.1032449716669963</v>
      </c>
      <c r="V52" s="385">
        <f t="shared" si="9"/>
        <v>22.350819715931223</v>
      </c>
      <c r="W52" s="404">
        <f t="shared" si="10"/>
        <v>11.072943034215751</v>
      </c>
      <c r="X52" s="157">
        <f t="shared" si="11"/>
        <v>45695</v>
      </c>
      <c r="Y52" s="387">
        <f t="shared" si="12"/>
        <v>10.545846462334891</v>
      </c>
      <c r="Z52" s="387">
        <f t="shared" si="22"/>
        <v>11.146943636772109</v>
      </c>
      <c r="AA52" s="388">
        <f t="shared" si="13"/>
        <v>12.819120090818791</v>
      </c>
      <c r="AB52" s="199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0.13044393392057493</v>
      </c>
      <c r="AD52" s="233">
        <f>(INDEX(Models!$BJ52:$BT52,,AH52)*(1-AF52)+INDEX(Models!$BJ52:$BT52,,AH52+1)*AF52-ERP_i)*AE52*Ramure*Pc/MaxiM</f>
        <v>0.10577821821148432</v>
      </c>
      <c r="AE52" s="307">
        <f t="shared" si="15"/>
        <v>1</v>
      </c>
      <c r="AF52" s="179">
        <f t="shared" si="23"/>
        <v>0.10324497166699631</v>
      </c>
      <c r="AG52" s="837">
        <f t="shared" si="24"/>
        <v>2</v>
      </c>
      <c r="AH52" s="178">
        <f t="shared" si="16"/>
        <v>8</v>
      </c>
      <c r="AI52" s="227">
        <f t="shared" si="17"/>
        <v>2.1032449716669963</v>
      </c>
      <c r="AJ52" s="267" t="b">
        <f t="shared" si="18"/>
        <v>1</v>
      </c>
      <c r="AK52" s="267" t="b">
        <f t="shared" si="19"/>
        <v>1</v>
      </c>
      <c r="AL52" s="267"/>
      <c r="AM52" s="267"/>
      <c r="AN52" s="75"/>
    </row>
    <row r="53" spans="1:40" s="6" customFormat="1" ht="11.25" x14ac:dyDescent="0.2">
      <c r="A53" s="56">
        <f t="shared" si="20"/>
        <v>45696</v>
      </c>
      <c r="B53" s="1139">
        <f>IF(t&gt;Tmaj,'2024'!Wh/'2024'!Env_an*'2025'!Env_an,0.001*'[4]mon-tableau'!$B$197)</f>
        <v>23.053861372369131</v>
      </c>
      <c r="C53" s="866"/>
      <c r="D53" s="395">
        <f t="shared" si="0"/>
        <v>24.368463421780916</v>
      </c>
      <c r="E53" s="387">
        <f t="shared" si="1"/>
        <v>26.694904372920021</v>
      </c>
      <c r="F53" s="387">
        <f t="shared" si="2"/>
        <v>29.763398061400451</v>
      </c>
      <c r="G53" s="110">
        <f t="shared" si="21"/>
        <v>1.0159745529718149</v>
      </c>
      <c r="H53" s="414" t="b">
        <f>Wh_hp&gt;='2024'!Maxi_hp</f>
        <v>1</v>
      </c>
      <c r="I53" s="392">
        <f>IF(H53,Wh_hp,'2024'!Maxi_hp)</f>
        <v>29.763398061400451</v>
      </c>
      <c r="J53" s="85">
        <f>IF(H53,An,'2024'!An_max)</f>
        <v>2025</v>
      </c>
      <c r="K53" s="199">
        <f t="shared" si="3"/>
        <v>45696</v>
      </c>
      <c r="L53" s="147">
        <f>IF(t&lt;Tvie,1-EXP((T0-t)*PertePVj)+'2024'!Pspv,1-EXP((T0-t)*PertePVj)+Pspv)</f>
        <v>5.394685855476522E-2</v>
      </c>
      <c r="M53" s="870"/>
      <c r="N53" s="870"/>
      <c r="O53" s="48">
        <f>IF(t&lt;Tnet,'2024'!Resal+('2024'!Salim-'2024'!Resal)*(1-EXP(('2024'!Tnet-t)/('2024'!Tau_j))),Resal+(Salim-Resal)*(1-EXP((Tnet-t)/(Tau_j))))*Salcycl</f>
        <v>8.7149252105922767E-2</v>
      </c>
      <c r="P53" s="171">
        <f>(INDEX(Models!$BJ53:$BT53,,T53)*(1-R53)+INDEX(Models!$BJ53:$BT53,,T53+1)*R53-ERP_i)*Q53*Ramure*Pc/MaxiM</f>
        <v>0.10309621509446856</v>
      </c>
      <c r="Q53" s="307">
        <f t="shared" si="4"/>
        <v>1</v>
      </c>
      <c r="R53" s="179">
        <f t="shared" si="5"/>
        <v>0.10343019302970902</v>
      </c>
      <c r="S53" s="837">
        <f t="shared" si="6"/>
        <v>2</v>
      </c>
      <c r="T53" s="178">
        <f t="shared" si="7"/>
        <v>8</v>
      </c>
      <c r="U53" s="253">
        <f t="shared" si="8"/>
        <v>2.103430193029709</v>
      </c>
      <c r="V53" s="385">
        <f t="shared" si="9"/>
        <v>22.691376772119497</v>
      </c>
      <c r="W53" s="404">
        <f t="shared" si="10"/>
        <v>23.053861372369131</v>
      </c>
      <c r="X53" s="157">
        <f t="shared" si="11"/>
        <v>45696</v>
      </c>
      <c r="Y53" s="387">
        <f t="shared" si="12"/>
        <v>21.95831610785822</v>
      </c>
      <c r="Z53" s="387">
        <f t="shared" si="22"/>
        <v>23.210446798277818</v>
      </c>
      <c r="AA53" s="388">
        <f t="shared" si="13"/>
        <v>26.694904372920021</v>
      </c>
      <c r="AB53" s="199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0.13052894012899802</v>
      </c>
      <c r="AD53" s="233">
        <f>(INDEX(Models!$BJ53:$BT53,,AH53)*(1-AF53)+INDEX(Models!$BJ53:$BT53,,AH53+1)*AF53-ERP_i)*AE53*Ramure*Pc/MaxiM</f>
        <v>0.10309621509446856</v>
      </c>
      <c r="AE53" s="307">
        <f t="shared" si="15"/>
        <v>1</v>
      </c>
      <c r="AF53" s="179">
        <f t="shared" si="23"/>
        <v>0.10343019302970902</v>
      </c>
      <c r="AG53" s="837">
        <f t="shared" si="24"/>
        <v>2</v>
      </c>
      <c r="AH53" s="178">
        <f t="shared" si="16"/>
        <v>8</v>
      </c>
      <c r="AI53" s="227">
        <f t="shared" si="17"/>
        <v>2.103430193029709</v>
      </c>
      <c r="AJ53" s="267" t="b">
        <f t="shared" si="18"/>
        <v>1</v>
      </c>
      <c r="AK53" s="267" t="b">
        <f t="shared" si="19"/>
        <v>1</v>
      </c>
      <c r="AL53" s="267"/>
      <c r="AM53" s="267"/>
      <c r="AN53" s="75"/>
    </row>
    <row r="54" spans="1:40" s="6" customFormat="1" ht="11.25" x14ac:dyDescent="0.2">
      <c r="A54" s="56">
        <f t="shared" si="20"/>
        <v>45697</v>
      </c>
      <c r="B54" s="1139">
        <f>IF(t&gt;Tmaj,'2024'!Wh/'2024'!Env_an*'2025'!Env_an,0.001*'[4]mon-tableau'!$B$198)</f>
        <v>23.118860318604419</v>
      </c>
      <c r="C54" s="866"/>
      <c r="D54" s="395">
        <f t="shared" si="0"/>
        <v>24.4377375096084</v>
      </c>
      <c r="E54" s="387">
        <f t="shared" si="1"/>
        <v>26.775685430079825</v>
      </c>
      <c r="F54" s="387">
        <f t="shared" si="2"/>
        <v>29.76518784171283</v>
      </c>
      <c r="G54" s="110">
        <f t="shared" si="21"/>
        <v>1.0036136555808277</v>
      </c>
      <c r="H54" s="414" t="b">
        <f>Wh_hp&gt;='2024'!Maxi_hp</f>
        <v>1</v>
      </c>
      <c r="I54" s="392">
        <f>IF(H54,Wh_hp,'2024'!Maxi_hp)</f>
        <v>29.76518784171283</v>
      </c>
      <c r="J54" s="85">
        <f>IF(H54,An,'2024'!An_max)</f>
        <v>2025</v>
      </c>
      <c r="K54" s="199">
        <f t="shared" si="3"/>
        <v>45697</v>
      </c>
      <c r="L54" s="147">
        <f>IF(t&lt;Tvie,1-EXP((T0-t)*PertePVj)+'2024'!Pspv,1-EXP((T0-t)*PertePVj)+Pspv)</f>
        <v>5.3968874593461336E-2</v>
      </c>
      <c r="M54" s="870"/>
      <c r="N54" s="870"/>
      <c r="O54" s="48">
        <f>IF(t&lt;Tnet,'2024'!Resal+('2024'!Salim-'2024'!Resal)*(1-EXP(('2024'!Tnet-t)/('2024'!Tau_j))),Resal+(Salim-Resal)*(1-EXP((Tnet-t)/(Tau_j))))*Salcycl</f>
        <v>8.7316081098150852E-2</v>
      </c>
      <c r="P54" s="171">
        <f>(INDEX(Models!$BJ54:$BT54,,T54)*(1-R54)+INDEX(Models!$BJ54:$BT54,,T54+1)*R54-ERP_i)*Q54*Ramure*Pc/MaxiM</f>
        <v>0.10043620176465098</v>
      </c>
      <c r="Q54" s="307">
        <f t="shared" si="4"/>
        <v>1</v>
      </c>
      <c r="R54" s="179">
        <f t="shared" si="5"/>
        <v>0.1036230800717366</v>
      </c>
      <c r="S54" s="837">
        <f t="shared" si="6"/>
        <v>2</v>
      </c>
      <c r="T54" s="178">
        <f t="shared" si="7"/>
        <v>8</v>
      </c>
      <c r="U54" s="253">
        <f t="shared" si="8"/>
        <v>2.1036230800717366</v>
      </c>
      <c r="V54" s="385">
        <f t="shared" si="9"/>
        <v>23.035617530756589</v>
      </c>
      <c r="W54" s="404">
        <f t="shared" si="10"/>
        <v>23.118860318604419</v>
      </c>
      <c r="X54" s="157">
        <f t="shared" si="11"/>
        <v>45697</v>
      </c>
      <c r="Y54" s="387">
        <f t="shared" si="12"/>
        <v>22.022096015083843</v>
      </c>
      <c r="Z54" s="387">
        <f t="shared" si="22"/>
        <v>23.278405354390713</v>
      </c>
      <c r="AA54" s="388">
        <f t="shared" si="13"/>
        <v>26.775685430079825</v>
      </c>
      <c r="AB54" s="199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0.13061402610296077</v>
      </c>
      <c r="AD54" s="233">
        <f>(INDEX(Models!$BJ54:$BT54,,AH54)*(1-AF54)+INDEX(Models!$BJ54:$BT54,,AH54+1)*AF54-ERP_i)*AE54*Ramure*Pc/MaxiM</f>
        <v>0.10043620176465098</v>
      </c>
      <c r="AE54" s="307">
        <f t="shared" si="15"/>
        <v>1</v>
      </c>
      <c r="AF54" s="179">
        <f t="shared" si="23"/>
        <v>0.1036230800717366</v>
      </c>
      <c r="AG54" s="837">
        <f t="shared" si="24"/>
        <v>2</v>
      </c>
      <c r="AH54" s="178">
        <f t="shared" si="16"/>
        <v>8</v>
      </c>
      <c r="AI54" s="227">
        <f t="shared" si="17"/>
        <v>2.1036230800717366</v>
      </c>
      <c r="AJ54" s="267" t="b">
        <f t="shared" si="18"/>
        <v>1</v>
      </c>
      <c r="AK54" s="267" t="b">
        <f t="shared" si="19"/>
        <v>1</v>
      </c>
      <c r="AL54" s="267"/>
      <c r="AM54" s="267"/>
      <c r="AN54" s="75"/>
    </row>
    <row r="55" spans="1:40" s="6" customFormat="1" ht="11.25" x14ac:dyDescent="0.2">
      <c r="A55" s="56">
        <f t="shared" si="20"/>
        <v>45698</v>
      </c>
      <c r="B55" s="1139">
        <f>IF(t&gt;Tmaj,'2024'!Wh/'2024'!Env_an*'2025'!Env_an,0.001*'[4]mon-tableau'!$B$199)</f>
        <v>22.463004345361846</v>
      </c>
      <c r="C55" s="866"/>
      <c r="D55" s="395">
        <f t="shared" si="0"/>
        <v>23.74501906034159</v>
      </c>
      <c r="E55" s="387">
        <f t="shared" si="1"/>
        <v>26.021446521457481</v>
      </c>
      <c r="F55" s="387">
        <f t="shared" si="2"/>
        <v>28.667374234351811</v>
      </c>
      <c r="G55" s="110">
        <f t="shared" si="21"/>
        <v>0.95480801884939115</v>
      </c>
      <c r="H55" s="414" t="b">
        <f>Wh_hp&gt;='2024'!Maxi_hp</f>
        <v>0</v>
      </c>
      <c r="I55" s="392">
        <f>IF(H55,Wh_hp,'2024'!Maxi_hp)</f>
        <v>28.780840754960145</v>
      </c>
      <c r="J55" s="85">
        <f>IF(H55,An,'2024'!An_max)</f>
        <v>2022</v>
      </c>
      <c r="K55" s="199">
        <f t="shared" si="3"/>
        <v>45698</v>
      </c>
      <c r="L55" s="147">
        <f>IF(t&lt;Tvie,1-EXP((T0-t)*PertePVj)+'2024'!Pspv,1-EXP((T0-t)*PertePVj)+Pspv)</f>
        <v>5.3990890119812063E-2</v>
      </c>
      <c r="M55" s="870"/>
      <c r="N55" s="870"/>
      <c r="O55" s="48">
        <f>IF(t&lt;Tnet,'2024'!Resal+('2024'!Salim-'2024'!Resal)*(1-EXP(('2024'!Tnet-t)/('2024'!Tau_j))),Resal+(Salim-Resal)*(1-EXP((Tnet-t)/(Tau_j))))*Salcycl</f>
        <v>8.7482740793780669E-2</v>
      </c>
      <c r="P55" s="171">
        <f>(INDEX(Models!$BJ55:$BT55,,T55)*(1-R55)+INDEX(Models!$BJ55:$BT55,,T55+1)*R55-ERP_i)*Q55*Ramure*Pc/MaxiM</f>
        <v>9.7798067817732329E-2</v>
      </c>
      <c r="Q55" s="307">
        <f t="shared" si="4"/>
        <v>1</v>
      </c>
      <c r="R55" s="179">
        <f t="shared" si="5"/>
        <v>0.10382394550666429</v>
      </c>
      <c r="S55" s="837">
        <f t="shared" si="6"/>
        <v>2</v>
      </c>
      <c r="T55" s="178">
        <f t="shared" si="7"/>
        <v>8</v>
      </c>
      <c r="U55" s="253">
        <f t="shared" si="8"/>
        <v>2.1038239455066643</v>
      </c>
      <c r="V55" s="385">
        <f t="shared" si="9"/>
        <v>23.383634655786512</v>
      </c>
      <c r="W55" s="404">
        <f t="shared" si="10"/>
        <v>22.463004345361846</v>
      </c>
      <c r="X55" s="157">
        <f t="shared" si="11"/>
        <v>45698</v>
      </c>
      <c r="Y55" s="387">
        <f t="shared" si="12"/>
        <v>21.399166154758255</v>
      </c>
      <c r="Z55" s="387">
        <f t="shared" si="22"/>
        <v>22.620465206163246</v>
      </c>
      <c r="AA55" s="388">
        <f t="shared" si="13"/>
        <v>26.021446521457481</v>
      </c>
      <c r="AB55" s="199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0.13069916434083556</v>
      </c>
      <c r="AD55" s="233">
        <f>(INDEX(Models!$BJ55:$BT55,,AH55)*(1-AF55)+INDEX(Models!$BJ55:$BT55,,AH55+1)*AF55-ERP_i)*AE55*Ramure*Pc/MaxiM</f>
        <v>9.7798067817732329E-2</v>
      </c>
      <c r="AE55" s="307">
        <f t="shared" si="15"/>
        <v>1</v>
      </c>
      <c r="AF55" s="179">
        <f t="shared" si="23"/>
        <v>0.10382394550666429</v>
      </c>
      <c r="AG55" s="837">
        <f t="shared" si="24"/>
        <v>2</v>
      </c>
      <c r="AH55" s="178">
        <f t="shared" si="16"/>
        <v>8</v>
      </c>
      <c r="AI55" s="227">
        <f t="shared" si="17"/>
        <v>2.1038239455066643</v>
      </c>
      <c r="AJ55" s="267" t="b">
        <f t="shared" si="18"/>
        <v>1</v>
      </c>
      <c r="AK55" s="267" t="b">
        <f t="shared" si="19"/>
        <v>1</v>
      </c>
      <c r="AL55" s="267"/>
      <c r="AM55" s="267"/>
      <c r="AN55" s="75"/>
    </row>
    <row r="56" spans="1:40" s="6" customFormat="1" ht="11.25" x14ac:dyDescent="0.2">
      <c r="A56" s="56">
        <f t="shared" si="20"/>
        <v>45699</v>
      </c>
      <c r="B56" s="1139">
        <f>IF(t&gt;Tmaj,'2024'!Wh/'2024'!Env_an*'2025'!Env_an,0.001*'[4]mon-tableau'!$B$200)</f>
        <v>11.860846243785883</v>
      </c>
      <c r="C56" s="866"/>
      <c r="D56" s="395">
        <f t="shared" si="0"/>
        <v>12.538063476927077</v>
      </c>
      <c r="E56" s="387">
        <f t="shared" si="1"/>
        <v>13.742590741374219</v>
      </c>
      <c r="F56" s="387">
        <f t="shared" si="2"/>
        <v>14.126189805463678</v>
      </c>
      <c r="G56" s="110">
        <f t="shared" si="21"/>
        <v>0.46476636992910014</v>
      </c>
      <c r="H56" s="414" t="b">
        <f>Wh_hp&gt;='2024'!Maxi_hp</f>
        <v>0</v>
      </c>
      <c r="I56" s="392">
        <f>IF(H56,Wh_hp,'2024'!Maxi_hp)</f>
        <v>26.884629340458861</v>
      </c>
      <c r="J56" s="85">
        <f>IF(H56,An,'2024'!An_max)</f>
        <v>2021</v>
      </c>
      <c r="K56" s="199">
        <f t="shared" si="3"/>
        <v>45699</v>
      </c>
      <c r="L56" s="147">
        <f>IF(t&lt;Tvie,1-EXP((T0-t)*PertePVj)+'2024'!Pspv,1-EXP((T0-t)*PertePVj)+Pspv)</f>
        <v>5.4012905133829392E-2</v>
      </c>
      <c r="M56" s="870"/>
      <c r="N56" s="870"/>
      <c r="O56" s="48">
        <f>IF(t&lt;Tnet,'2024'!Resal+('2024'!Salim-'2024'!Resal)*(1-EXP(('2024'!Tnet-t)/('2024'!Tau_j))),Resal+(Salim-Resal)*(1-EXP((Tnet-t)/(Tau_j))))*Salcycl</f>
        <v>8.7649213100752799E-2</v>
      </c>
      <c r="P56" s="171">
        <f>(INDEX(Models!$BJ56:$BT56,,T56)*(1-R56)+INDEX(Models!$BJ56:$BT56,,T56+1)*R56-ERP_i)*Q56*Ramure*Pc/MaxiM</f>
        <v>9.5181723787422665E-2</v>
      </c>
      <c r="Q56" s="307">
        <f t="shared" si="4"/>
        <v>1</v>
      </c>
      <c r="R56" s="179">
        <f t="shared" si="5"/>
        <v>0.10403311441886975</v>
      </c>
      <c r="S56" s="837">
        <f t="shared" si="6"/>
        <v>2</v>
      </c>
      <c r="T56" s="178">
        <f t="shared" si="7"/>
        <v>8</v>
      </c>
      <c r="U56" s="253">
        <f t="shared" si="8"/>
        <v>2.1040331144188698</v>
      </c>
      <c r="V56" s="385">
        <f t="shared" si="9"/>
        <v>23.735520995733882</v>
      </c>
      <c r="W56" s="404">
        <f t="shared" si="10"/>
        <v>11.860846243785883</v>
      </c>
      <c r="X56" s="157">
        <f t="shared" si="11"/>
        <v>45699</v>
      </c>
      <c r="Y56" s="387">
        <f t="shared" si="12"/>
        <v>11.300076247011921</v>
      </c>
      <c r="Z56" s="387">
        <f t="shared" si="22"/>
        <v>11.945275266794786</v>
      </c>
      <c r="AA56" s="388">
        <f t="shared" si="13"/>
        <v>13.742590741374219</v>
      </c>
      <c r="AB56" s="199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0.13078432650754368</v>
      </c>
      <c r="AD56" s="233">
        <f>(INDEX(Models!$BJ56:$BT56,,AH56)*(1-AF56)+INDEX(Models!$BJ56:$BT56,,AH56+1)*AF56-ERP_i)*AE56*Ramure*Pc/MaxiM</f>
        <v>9.5181723787422665E-2</v>
      </c>
      <c r="AE56" s="307">
        <f t="shared" si="15"/>
        <v>1</v>
      </c>
      <c r="AF56" s="179">
        <f t="shared" si="23"/>
        <v>0.10403311441886975</v>
      </c>
      <c r="AG56" s="837">
        <f t="shared" si="24"/>
        <v>2</v>
      </c>
      <c r="AH56" s="178">
        <f t="shared" si="16"/>
        <v>8</v>
      </c>
      <c r="AI56" s="227">
        <f t="shared" si="17"/>
        <v>2.1040331144188698</v>
      </c>
      <c r="AJ56" s="267" t="b">
        <f t="shared" si="18"/>
        <v>1</v>
      </c>
      <c r="AK56" s="267" t="b">
        <f t="shared" si="19"/>
        <v>1</v>
      </c>
      <c r="AL56" s="267"/>
      <c r="AM56" s="267"/>
      <c r="AN56" s="75"/>
    </row>
    <row r="57" spans="1:40" s="6" customFormat="1" ht="11.25" x14ac:dyDescent="0.2">
      <c r="A57" s="56">
        <f t="shared" si="20"/>
        <v>45700</v>
      </c>
      <c r="B57" s="1139">
        <f>IF(t&gt;Tmaj,'2024'!Wh/'2024'!Env_an*'2025'!Env_an,0.001*'[4]mon-tableau'!$B$201)</f>
        <v>20.302951074980641</v>
      </c>
      <c r="C57" s="866"/>
      <c r="D57" s="395">
        <f t="shared" si="0"/>
        <v>21.462685564627851</v>
      </c>
      <c r="E57" s="387">
        <f t="shared" si="1"/>
        <v>23.528885968524964</v>
      </c>
      <c r="F57" s="387">
        <f t="shared" si="2"/>
        <v>25.348606408607282</v>
      </c>
      <c r="G57" s="110">
        <f t="shared" si="21"/>
        <v>0.82386366691807755</v>
      </c>
      <c r="H57" s="414" t="b">
        <f>Wh_hp&gt;='2024'!Maxi_hp</f>
        <v>0</v>
      </c>
      <c r="I57" s="392">
        <f>IF(H57,Wh_hp,'2024'!Maxi_hp)</f>
        <v>30.634138699782948</v>
      </c>
      <c r="J57" s="85">
        <f>IF(H57,An,'2024'!An_max)</f>
        <v>2019</v>
      </c>
      <c r="K57" s="199">
        <f t="shared" si="3"/>
        <v>45700</v>
      </c>
      <c r="L57" s="147">
        <f>IF(t&lt;Tvie,1-EXP((T0-t)*PertePVj)+'2024'!Pspv,1-EXP((T0-t)*PertePVj)+Pspv)</f>
        <v>5.4034919635525092E-2</v>
      </c>
      <c r="M57" s="870"/>
      <c r="N57" s="870"/>
      <c r="O57" s="48">
        <f>IF(t&lt;Tnet,'2024'!Resal+('2024'!Salim-'2024'!Resal)*(1-EXP(('2024'!Tnet-t)/('2024'!Tau_j))),Resal+(Salim-Resal)*(1-EXP((Tnet-t)/(Tau_j))))*Salcycl</f>
        <v>8.7815479519987014E-2</v>
      </c>
      <c r="P57" s="171">
        <f>(INDEX(Models!$BJ57:$BT57,,T57)*(1-R57)+INDEX(Models!$BJ57:$BT57,,T57+1)*R57-ERP_i)*Q57*Ramure*Pc/MaxiM</f>
        <v>9.2587098725221723E-2</v>
      </c>
      <c r="Q57" s="307">
        <f t="shared" si="4"/>
        <v>1</v>
      </c>
      <c r="R57" s="179">
        <f t="shared" si="5"/>
        <v>0.10425092472000186</v>
      </c>
      <c r="S57" s="837">
        <f t="shared" si="6"/>
        <v>2</v>
      </c>
      <c r="T57" s="178">
        <f t="shared" si="7"/>
        <v>8</v>
      </c>
      <c r="U57" s="253">
        <f t="shared" si="8"/>
        <v>2.1042509247200019</v>
      </c>
      <c r="V57" s="385">
        <f t="shared" si="9"/>
        <v>24.091369593354212</v>
      </c>
      <c r="W57" s="404">
        <f t="shared" si="10"/>
        <v>20.302951074980641</v>
      </c>
      <c r="X57" s="157">
        <f t="shared" si="11"/>
        <v>45700</v>
      </c>
      <c r="Y57" s="387">
        <f t="shared" si="12"/>
        <v>19.344676380496853</v>
      </c>
      <c r="Z57" s="387">
        <f t="shared" si="22"/>
        <v>20.449672807207069</v>
      </c>
      <c r="AA57" s="388">
        <f t="shared" si="13"/>
        <v>23.528885968524964</v>
      </c>
      <c r="AB57" s="199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0.13086948380968888</v>
      </c>
      <c r="AD57" s="233">
        <f>(INDEX(Models!$BJ57:$BT57,,AH57)*(1-AF57)+INDEX(Models!$BJ57:$BT57,,AH57+1)*AF57-ERP_i)*AE57*Ramure*Pc/MaxiM</f>
        <v>9.2587098725221723E-2</v>
      </c>
      <c r="AE57" s="307">
        <f t="shared" si="15"/>
        <v>1</v>
      </c>
      <c r="AF57" s="179">
        <f t="shared" si="23"/>
        <v>0.10425092472000186</v>
      </c>
      <c r="AG57" s="837">
        <f t="shared" si="24"/>
        <v>2</v>
      </c>
      <c r="AH57" s="178">
        <f t="shared" si="16"/>
        <v>8</v>
      </c>
      <c r="AI57" s="227">
        <f t="shared" si="17"/>
        <v>2.1042509247200019</v>
      </c>
      <c r="AJ57" s="267" t="b">
        <f t="shared" si="18"/>
        <v>1</v>
      </c>
      <c r="AK57" s="267" t="b">
        <f t="shared" si="19"/>
        <v>1</v>
      </c>
      <c r="AL57" s="267"/>
      <c r="AM57" s="267"/>
      <c r="AN57" s="75"/>
    </row>
    <row r="58" spans="1:40" s="6" customFormat="1" ht="11.25" x14ac:dyDescent="0.2">
      <c r="A58" s="56">
        <f t="shared" si="20"/>
        <v>45701</v>
      </c>
      <c r="B58" s="1139">
        <f>IF(t&gt;Tmaj,'2024'!Wh/'2024'!Env_an*'2025'!Env_an,0.001*'[4]mon-tableau'!$B$202)</f>
        <v>23.69365182287239</v>
      </c>
      <c r="C58" s="866"/>
      <c r="D58" s="395">
        <f t="shared" si="0"/>
        <v>25.04765103217882</v>
      </c>
      <c r="E58" s="387">
        <f t="shared" si="1"/>
        <v>27.463973176103615</v>
      </c>
      <c r="F58" s="387">
        <f t="shared" si="2"/>
        <v>30.049332048248669</v>
      </c>
      <c r="G58" s="110">
        <f t="shared" si="21"/>
        <v>0.96479849397467821</v>
      </c>
      <c r="H58" s="414" t="b">
        <f>Wh_hp&gt;='2024'!Maxi_hp</f>
        <v>0</v>
      </c>
      <c r="I58" s="392">
        <f>IF(H58,Wh_hp,'2024'!Maxi_hp)</f>
        <v>31.578425450237262</v>
      </c>
      <c r="J58" s="85">
        <f>IF(H58,An,'2024'!An_max)</f>
        <v>2019</v>
      </c>
      <c r="K58" s="199">
        <f t="shared" si="3"/>
        <v>45701</v>
      </c>
      <c r="L58" s="147">
        <f>IF(t&lt;Tvie,1-EXP((T0-t)*PertePVj)+'2024'!Pspv,1-EXP((T0-t)*PertePVj)+Pspv)</f>
        <v>5.4056933624911263E-2</v>
      </c>
      <c r="M58" s="870"/>
      <c r="N58" s="870"/>
      <c r="O58" s="48">
        <f>IF(t&lt;Tnet,'2024'!Resal+('2024'!Salim-'2024'!Resal)*(1-EXP(('2024'!Tnet-t)/('2024'!Tau_j))),Resal+(Salim-Resal)*(1-EXP((Tnet-t)/(Tau_j))))*Salcycl</f>
        <v>8.7981521407369964E-2</v>
      </c>
      <c r="P58" s="171">
        <f>(INDEX(Models!$BJ58:$BT58,,T58)*(1-R58)+INDEX(Models!$BJ58:$BT58,,T58+1)*R58-ERP_i)*Q58*Ramure*Pc/MaxiM</f>
        <v>9.0020927257819877E-2</v>
      </c>
      <c r="Q58" s="307">
        <f t="shared" si="4"/>
        <v>1</v>
      </c>
      <c r="R58" s="179">
        <f t="shared" si="5"/>
        <v>0.10447772761945684</v>
      </c>
      <c r="S58" s="837">
        <f t="shared" si="6"/>
        <v>2</v>
      </c>
      <c r="T58" s="178">
        <f t="shared" si="7"/>
        <v>8</v>
      </c>
      <c r="U58" s="253">
        <f t="shared" si="8"/>
        <v>2.1044777276194568</v>
      </c>
      <c r="V58" s="385">
        <f t="shared" si="9"/>
        <v>24.451091259287569</v>
      </c>
      <c r="W58" s="404">
        <f t="shared" si="10"/>
        <v>23.69365182287239</v>
      </c>
      <c r="X58" s="157">
        <f t="shared" si="11"/>
        <v>45701</v>
      </c>
      <c r="Y58" s="387">
        <f t="shared" si="12"/>
        <v>22.577238766712199</v>
      </c>
      <c r="Z58" s="387">
        <f t="shared" si="22"/>
        <v>23.867439351534706</v>
      </c>
      <c r="AA58" s="388">
        <f t="shared" si="13"/>
        <v>27.463973176103615</v>
      </c>
      <c r="AB58" s="199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0.13095460738718789</v>
      </c>
      <c r="AD58" s="233">
        <f>(INDEX(Models!$BJ58:$BT58,,AH58)*(1-AF58)+INDEX(Models!$BJ58:$BT58,,AH58+1)*AF58-ERP_i)*AE58*Ramure*Pc/MaxiM</f>
        <v>9.0020927257819877E-2</v>
      </c>
      <c r="AE58" s="307">
        <f t="shared" si="15"/>
        <v>1</v>
      </c>
      <c r="AF58" s="179">
        <f t="shared" si="23"/>
        <v>0.10447772761945684</v>
      </c>
      <c r="AG58" s="837">
        <f t="shared" si="24"/>
        <v>2</v>
      </c>
      <c r="AH58" s="178">
        <f t="shared" si="16"/>
        <v>8</v>
      </c>
      <c r="AI58" s="227">
        <f t="shared" si="17"/>
        <v>2.1044777276194568</v>
      </c>
      <c r="AJ58" s="267" t="b">
        <f t="shared" si="18"/>
        <v>1</v>
      </c>
      <c r="AK58" s="267" t="b">
        <f t="shared" si="19"/>
        <v>1</v>
      </c>
      <c r="AL58" s="267"/>
      <c r="AM58" s="267"/>
      <c r="AN58" s="75"/>
    </row>
    <row r="59" spans="1:40" s="6" customFormat="1" ht="11.25" x14ac:dyDescent="0.2">
      <c r="A59" s="56">
        <f t="shared" si="20"/>
        <v>45702</v>
      </c>
      <c r="B59" s="1139">
        <f>IF(t&gt;Tmaj,'2024'!Wh/'2024'!Env_an*'2025'!Env_an,0.001*'[4]mon-tableau'!$B$203)</f>
        <v>13.939051098942118</v>
      </c>
      <c r="C59" s="866"/>
      <c r="D59" s="395">
        <f t="shared" si="0"/>
        <v>14.735956088763762</v>
      </c>
      <c r="E59" s="387">
        <f t="shared" si="1"/>
        <v>16.160457073764395</v>
      </c>
      <c r="F59" s="387">
        <f t="shared" si="2"/>
        <v>16.707070602839899</v>
      </c>
      <c r="G59" s="110">
        <f t="shared" si="21"/>
        <v>0.52992017939497038</v>
      </c>
      <c r="H59" s="414" t="b">
        <f>Wh_hp&gt;='2024'!Maxi_hp</f>
        <v>0</v>
      </c>
      <c r="I59" s="392">
        <f>IF(H59,Wh_hp,'2024'!Maxi_hp)</f>
        <v>31.770566290205203</v>
      </c>
      <c r="J59" s="85">
        <f>IF(H59,An,'2024'!An_max)</f>
        <v>2019</v>
      </c>
      <c r="K59" s="199">
        <f t="shared" si="3"/>
        <v>45702</v>
      </c>
      <c r="L59" s="147">
        <f>IF(t&lt;Tvie,1-EXP((T0-t)*PertePVj)+'2024'!Pspv,1-EXP((T0-t)*PertePVj)+Pspv)</f>
        <v>5.4078947101999675E-2</v>
      </c>
      <c r="M59" s="870"/>
      <c r="N59" s="870"/>
      <c r="O59" s="48">
        <f>IF(t&lt;Tnet,'2024'!Resal+('2024'!Salim-'2024'!Resal)*(1-EXP(('2024'!Tnet-t)/('2024'!Tau_j))),Resal+(Salim-Resal)*(1-EXP((Tnet-t)/(Tau_j))))*Salcycl</f>
        <v>8.8147320245863067E-2</v>
      </c>
      <c r="P59" s="171">
        <f>(INDEX(Models!$BJ59:$BT59,,T59)*(1-R59)+INDEX(Models!$BJ59:$BT59,,T59+1)*R59-ERP_i)*Q59*Ramure*Pc/MaxiM</f>
        <v>8.7501582695035898E-2</v>
      </c>
      <c r="Q59" s="307">
        <f t="shared" si="4"/>
        <v>1</v>
      </c>
      <c r="R59" s="179">
        <f t="shared" si="5"/>
        <v>0.10471388810903104</v>
      </c>
      <c r="S59" s="837">
        <f t="shared" si="6"/>
        <v>2</v>
      </c>
      <c r="T59" s="178">
        <f t="shared" si="7"/>
        <v>8</v>
      </c>
      <c r="U59" s="253">
        <f t="shared" si="8"/>
        <v>2.104713888109031</v>
      </c>
      <c r="V59" s="385">
        <f t="shared" si="9"/>
        <v>24.814272101226809</v>
      </c>
      <c r="W59" s="404">
        <f t="shared" si="10"/>
        <v>13.939051098942118</v>
      </c>
      <c r="X59" s="157">
        <f t="shared" si="11"/>
        <v>45702</v>
      </c>
      <c r="Y59" s="387">
        <f t="shared" si="12"/>
        <v>13.283376503288721</v>
      </c>
      <c r="Z59" s="387">
        <f t="shared" si="22"/>
        <v>14.04279613250249</v>
      </c>
      <c r="AA59" s="388">
        <f t="shared" si="13"/>
        <v>16.160457073764395</v>
      </c>
      <c r="AB59" s="199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0.13103966871703207</v>
      </c>
      <c r="AD59" s="233">
        <f>(INDEX(Models!$BJ59:$BT59,,AH59)*(1-AF59)+INDEX(Models!$BJ59:$BT59,,AH59+1)*AF59-ERP_i)*AE59*Ramure*Pc/MaxiM</f>
        <v>8.7501582695035898E-2</v>
      </c>
      <c r="AE59" s="307">
        <f t="shared" si="15"/>
        <v>1</v>
      </c>
      <c r="AF59" s="179">
        <f t="shared" si="23"/>
        <v>0.10471388810903104</v>
      </c>
      <c r="AG59" s="837">
        <f t="shared" si="24"/>
        <v>2</v>
      </c>
      <c r="AH59" s="178">
        <f t="shared" si="16"/>
        <v>8</v>
      </c>
      <c r="AI59" s="227">
        <f t="shared" si="17"/>
        <v>2.104713888109031</v>
      </c>
      <c r="AJ59" s="267" t="b">
        <f t="shared" si="18"/>
        <v>1</v>
      </c>
      <c r="AK59" s="267" t="b">
        <f t="shared" si="19"/>
        <v>1</v>
      </c>
      <c r="AL59" s="267"/>
      <c r="AM59" s="267"/>
      <c r="AN59" s="75"/>
    </row>
    <row r="60" spans="1:40" s="6" customFormat="1" ht="11.25" x14ac:dyDescent="0.2">
      <c r="A60" s="56">
        <f t="shared" si="20"/>
        <v>45703</v>
      </c>
      <c r="B60" s="1139">
        <f>IF(t&gt;Tmaj,'2024'!Wh/'2024'!Env_an*'2025'!Env_an,0.001*'[4]mon-tableau'!$B$204)</f>
        <v>16.992068559397882</v>
      </c>
      <c r="C60" s="866"/>
      <c r="D60" s="395">
        <f t="shared" si="0"/>
        <v>17.963934671714981</v>
      </c>
      <c r="E60" s="387">
        <f t="shared" si="1"/>
        <v>19.70405618623224</v>
      </c>
      <c r="F60" s="387">
        <f t="shared" si="2"/>
        <v>20.64389325842102</v>
      </c>
      <c r="G60" s="110">
        <f t="shared" si="21"/>
        <v>0.6468698158450582</v>
      </c>
      <c r="H60" s="414" t="b">
        <f>Wh_hp&gt;='2024'!Maxi_hp</f>
        <v>0</v>
      </c>
      <c r="I60" s="392">
        <f>IF(H60,Wh_hp,'2024'!Maxi_hp)</f>
        <v>31.929826724148288</v>
      </c>
      <c r="J60" s="85">
        <f>IF(H60,An,'2024'!An_max)</f>
        <v>2019</v>
      </c>
      <c r="K60" s="199">
        <f t="shared" si="3"/>
        <v>45703</v>
      </c>
      <c r="L60" s="147">
        <f>IF(t&lt;Tvie,1-EXP((T0-t)*PertePVj)+'2024'!Pspv,1-EXP((T0-t)*PertePVj)+Pspv)</f>
        <v>5.4100960066802317E-2</v>
      </c>
      <c r="M60" s="870"/>
      <c r="N60" s="870"/>
      <c r="O60" s="48">
        <f>IF(t&lt;Tnet,'2024'!Resal+('2024'!Salim-'2024'!Resal)*(1-EXP(('2024'!Tnet-t)/('2024'!Tau_j))),Resal+(Salim-Resal)*(1-EXP((Tnet-t)/(Tau_j))))*Salcycl</f>
        <v>8.8312857924812901E-2</v>
      </c>
      <c r="P60" s="171">
        <f>(INDEX(Models!$BJ60:$BT60,,T60)*(1-R60)+INDEX(Models!$BJ60:$BT60,,T60+1)*R60-ERP_i)*Q60*Ramure*Pc/MaxiM</f>
        <v>8.5028165683182527E-2</v>
      </c>
      <c r="Q60" s="307">
        <f t="shared" si="4"/>
        <v>1</v>
      </c>
      <c r="R60" s="179">
        <f t="shared" si="5"/>
        <v>0.10495978546189377</v>
      </c>
      <c r="S60" s="837">
        <f t="shared" si="6"/>
        <v>2</v>
      </c>
      <c r="T60" s="178">
        <f t="shared" si="7"/>
        <v>8</v>
      </c>
      <c r="U60" s="253">
        <f t="shared" si="8"/>
        <v>2.1049597854618938</v>
      </c>
      <c r="V60" s="385">
        <f t="shared" si="9"/>
        <v>25.18100492776108</v>
      </c>
      <c r="W60" s="404">
        <f t="shared" si="10"/>
        <v>16.992068559397882</v>
      </c>
      <c r="X60" s="157">
        <f t="shared" si="11"/>
        <v>45703</v>
      </c>
      <c r="Y60" s="387">
        <f t="shared" si="12"/>
        <v>16.194140516959198</v>
      </c>
      <c r="Z60" s="387">
        <f t="shared" si="22"/>
        <v>17.120368911784581</v>
      </c>
      <c r="AA60" s="388">
        <f t="shared" si="13"/>
        <v>19.70405618623224</v>
      </c>
      <c r="AB60" s="199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0.13112464002477578</v>
      </c>
      <c r="AD60" s="233">
        <f>(INDEX(Models!$BJ60:$BT60,,AH60)*(1-AF60)+INDEX(Models!$BJ60:$BT60,,AH60+1)*AF60-ERP_i)*AE60*Ramure*Pc/MaxiM</f>
        <v>8.5028165683182527E-2</v>
      </c>
      <c r="AE60" s="307">
        <f t="shared" si="15"/>
        <v>1</v>
      </c>
      <c r="AF60" s="179">
        <f t="shared" si="23"/>
        <v>0.10495978546189377</v>
      </c>
      <c r="AG60" s="837">
        <f t="shared" si="24"/>
        <v>2</v>
      </c>
      <c r="AH60" s="178">
        <f t="shared" si="16"/>
        <v>8</v>
      </c>
      <c r="AI60" s="227">
        <f t="shared" si="17"/>
        <v>2.1049597854618938</v>
      </c>
      <c r="AJ60" s="267" t="b">
        <f t="shared" si="18"/>
        <v>1</v>
      </c>
      <c r="AK60" s="267" t="b">
        <f t="shared" si="19"/>
        <v>1</v>
      </c>
      <c r="AL60" s="267"/>
      <c r="AM60" s="267"/>
      <c r="AN60" s="75"/>
    </row>
    <row r="61" spans="1:40" s="6" customFormat="1" ht="11.25" x14ac:dyDescent="0.2">
      <c r="A61" s="56">
        <f t="shared" si="20"/>
        <v>45704</v>
      </c>
      <c r="B61" s="1139">
        <f>IF(t&gt;Tmaj,'2024'!Wh/'2024'!Env_an*'2025'!Env_an,0.001*'[4]mon-tableau'!$B$205)</f>
        <v>8.6779301278427763</v>
      </c>
      <c r="C61" s="866"/>
      <c r="D61" s="395">
        <f t="shared" si="0"/>
        <v>9.1744802714538167</v>
      </c>
      <c r="E61" s="387">
        <f t="shared" si="1"/>
        <v>10.065013734498111</v>
      </c>
      <c r="F61" s="387">
        <f t="shared" si="2"/>
        <v>10.112298158592214</v>
      </c>
      <c r="G61" s="110">
        <f t="shared" si="21"/>
        <v>0.31303728038306927</v>
      </c>
      <c r="H61" s="414" t="b">
        <f>Wh_hp&gt;='2024'!Maxi_hp</f>
        <v>0</v>
      </c>
      <c r="I61" s="392">
        <f>IF(H61,Wh_hp,'2024'!Maxi_hp)</f>
        <v>32.591538912686424</v>
      </c>
      <c r="J61" s="85">
        <f>IF(H61,An,'2024'!An_max)</f>
        <v>2019</v>
      </c>
      <c r="K61" s="199">
        <f t="shared" si="3"/>
        <v>45704</v>
      </c>
      <c r="L61" s="147">
        <f>IF(t&lt;Tvie,1-EXP((T0-t)*PertePVj)+'2024'!Pspv,1-EXP((T0-t)*PertePVj)+Pspv)</f>
        <v>5.412297251933107E-2</v>
      </c>
      <c r="M61" s="870"/>
      <c r="N61" s="870"/>
      <c r="O61" s="48">
        <f>IF(t&lt;Tnet,'2024'!Resal+('2024'!Salim-'2024'!Resal)*(1-EXP(('2024'!Tnet-t)/('2024'!Tau_j))),Resal+(Salim-Resal)*(1-EXP((Tnet-t)/(Tau_j))))*Salcycl</f>
        <v>8.8478117023523359E-2</v>
      </c>
      <c r="P61" s="171">
        <f>(INDEX(Models!$BJ61:$BT61,,T61)*(1-R61)+INDEX(Models!$BJ61:$BT61,,T61+1)*R61-ERP_i)*Q61*Ramure*Pc/MaxiM</f>
        <v>8.2599814114989581E-2</v>
      </c>
      <c r="Q61" s="307">
        <f t="shared" si="4"/>
        <v>1</v>
      </c>
      <c r="R61" s="179">
        <f t="shared" si="5"/>
        <v>0.10521581374599709</v>
      </c>
      <c r="S61" s="837">
        <f t="shared" si="6"/>
        <v>2</v>
      </c>
      <c r="T61" s="178">
        <f t="shared" si="7"/>
        <v>8</v>
      </c>
      <c r="U61" s="253">
        <f t="shared" si="8"/>
        <v>2.1052158137459971</v>
      </c>
      <c r="V61" s="385">
        <f t="shared" si="9"/>
        <v>25.551382615672985</v>
      </c>
      <c r="W61" s="404">
        <f t="shared" si="10"/>
        <v>8.6779301278427763</v>
      </c>
      <c r="X61" s="157">
        <f t="shared" si="11"/>
        <v>45704</v>
      </c>
      <c r="Y61" s="387">
        <f t="shared" si="12"/>
        <v>8.2711160768992311</v>
      </c>
      <c r="Z61" s="387">
        <f t="shared" si="22"/>
        <v>8.7443883682525207</v>
      </c>
      <c r="AA61" s="388">
        <f t="shared" si="13"/>
        <v>10.065013734498111</v>
      </c>
      <c r="AB61" s="199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0.13120949469935742</v>
      </c>
      <c r="AD61" s="233">
        <f>(INDEX(Models!$BJ61:$BT61,,AH61)*(1-AF61)+INDEX(Models!$BJ61:$BT61,,AH61+1)*AF61-ERP_i)*AE61*Ramure*Pc/MaxiM</f>
        <v>8.2599814114989581E-2</v>
      </c>
      <c r="AE61" s="307">
        <f t="shared" si="15"/>
        <v>1</v>
      </c>
      <c r="AF61" s="179">
        <f t="shared" si="23"/>
        <v>0.10521581374599709</v>
      </c>
      <c r="AG61" s="837">
        <f t="shared" si="24"/>
        <v>2</v>
      </c>
      <c r="AH61" s="178">
        <f t="shared" si="16"/>
        <v>8</v>
      </c>
      <c r="AI61" s="227">
        <f t="shared" si="17"/>
        <v>2.1052158137459971</v>
      </c>
      <c r="AJ61" s="267" t="b">
        <f t="shared" si="18"/>
        <v>1</v>
      </c>
      <c r="AK61" s="267" t="b">
        <f t="shared" si="19"/>
        <v>1</v>
      </c>
      <c r="AL61" s="267"/>
      <c r="AM61" s="267"/>
      <c r="AN61" s="75"/>
    </row>
    <row r="62" spans="1:40" s="6" customFormat="1" ht="11.25" x14ac:dyDescent="0.2">
      <c r="A62" s="56">
        <f t="shared" si="20"/>
        <v>45705</v>
      </c>
      <c r="B62" s="1139">
        <f>IF(t&gt;Tmaj,'2024'!Wh/'2024'!Env_an*'2025'!Env_an,0.001*'[4]mon-tableau'!$B$206)</f>
        <v>10.094270660380575</v>
      </c>
      <c r="C62" s="866"/>
      <c r="D62" s="395">
        <f t="shared" si="0"/>
        <v>10.672111998701348</v>
      </c>
      <c r="E62" s="387">
        <f t="shared" si="1"/>
        <v>11.710134391186168</v>
      </c>
      <c r="F62" s="387">
        <f t="shared" si="2"/>
        <v>11.831283753755725</v>
      </c>
      <c r="G62" s="110">
        <f t="shared" si="21"/>
        <v>0.36182937263110543</v>
      </c>
      <c r="H62" s="414" t="b">
        <f>Wh_hp&gt;='2024'!Maxi_hp</f>
        <v>0</v>
      </c>
      <c r="I62" s="392">
        <f>IF(H62,Wh_hp,'2024'!Maxi_hp)</f>
        <v>33.211013673025583</v>
      </c>
      <c r="J62" s="85">
        <f>IF(H62,An,'2024'!An_max)</f>
        <v>2019</v>
      </c>
      <c r="K62" s="199">
        <f t="shared" si="3"/>
        <v>45705</v>
      </c>
      <c r="L62" s="147">
        <f>IF(t&lt;Tvie,1-EXP((T0-t)*PertePVj)+'2024'!Pspv,1-EXP((T0-t)*PertePVj)+Pspv)</f>
        <v>5.4144984459598033E-2</v>
      </c>
      <c r="M62" s="870"/>
      <c r="N62" s="870"/>
      <c r="O62" s="48">
        <f>IF(t&lt;Tnet,'2024'!Resal+('2024'!Salim-'2024'!Resal)*(1-EXP(('2024'!Tnet-t)/('2024'!Tau_j))),Resal+(Salim-Resal)*(1-EXP((Tnet-t)/(Tau_j))))*Salcycl</f>
        <v>8.8643081096157539E-2</v>
      </c>
      <c r="P62" s="171">
        <f>(INDEX(Models!$BJ62:$BT62,,T62)*(1-R62)+INDEX(Models!$BJ62:$BT62,,T62+1)*R62-ERP_i)*Q62*Ramure*Pc/MaxiM</f>
        <v>8.0215700557420166E-2</v>
      </c>
      <c r="Q62" s="307">
        <f t="shared" si="4"/>
        <v>1</v>
      </c>
      <c r="R62" s="179">
        <f t="shared" si="5"/>
        <v>0.10548238235201568</v>
      </c>
      <c r="S62" s="837">
        <f t="shared" si="6"/>
        <v>2</v>
      </c>
      <c r="T62" s="178">
        <f t="shared" si="7"/>
        <v>8</v>
      </c>
      <c r="U62" s="253">
        <f t="shared" si="8"/>
        <v>2.1054823823520157</v>
      </c>
      <c r="V62" s="385">
        <f t="shared" si="9"/>
        <v>25.925498107365833</v>
      </c>
      <c r="W62" s="404">
        <f t="shared" si="10"/>
        <v>10.094270660380575</v>
      </c>
      <c r="X62" s="157">
        <f t="shared" si="11"/>
        <v>45705</v>
      </c>
      <c r="Y62" s="387">
        <f t="shared" si="12"/>
        <v>9.6218629713085821</v>
      </c>
      <c r="Z62" s="387">
        <f t="shared" si="22"/>
        <v>10.172661574153896</v>
      </c>
      <c r="AA62" s="388">
        <f t="shared" si="13"/>
        <v>11.710134391186168</v>
      </c>
      <c r="AB62" s="199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0.13129420770691386</v>
      </c>
      <c r="AD62" s="233">
        <f>(INDEX(Models!$BJ62:$BT62,,AH62)*(1-AF62)+INDEX(Models!$BJ62:$BT62,,AH62+1)*AF62-ERP_i)*AE62*Ramure*Pc/MaxiM</f>
        <v>8.0215700557420166E-2</v>
      </c>
      <c r="AE62" s="307">
        <f t="shared" si="15"/>
        <v>1</v>
      </c>
      <c r="AF62" s="179">
        <f t="shared" si="23"/>
        <v>0.10548238235201568</v>
      </c>
      <c r="AG62" s="837">
        <f t="shared" si="24"/>
        <v>2</v>
      </c>
      <c r="AH62" s="178">
        <f t="shared" si="16"/>
        <v>8</v>
      </c>
      <c r="AI62" s="227">
        <f t="shared" si="17"/>
        <v>2.1054823823520157</v>
      </c>
      <c r="AJ62" s="267" t="b">
        <f t="shared" si="18"/>
        <v>1</v>
      </c>
      <c r="AK62" s="267" t="b">
        <f t="shared" si="19"/>
        <v>1</v>
      </c>
      <c r="AL62" s="267"/>
      <c r="AM62" s="267"/>
      <c r="AN62" s="75"/>
    </row>
    <row r="63" spans="1:40" s="6" customFormat="1" ht="11.25" x14ac:dyDescent="0.2">
      <c r="A63" s="56">
        <f t="shared" si="20"/>
        <v>45706</v>
      </c>
      <c r="B63" s="1139">
        <f>IF(t&gt;Tmaj,'2024'!Wh/'2024'!Env_an*'2025'!Env_an,0.001*'[4]mon-tableau'!$B$207)</f>
        <v>23.855981207676429</v>
      </c>
      <c r="C63" s="866"/>
      <c r="D63" s="395">
        <f t="shared" si="0"/>
        <v>25.222191553850482</v>
      </c>
      <c r="E63" s="387">
        <f t="shared" si="1"/>
        <v>27.680427634673734</v>
      </c>
      <c r="F63" s="387">
        <f t="shared" si="2"/>
        <v>29.684853406390832</v>
      </c>
      <c r="G63" s="110">
        <f t="shared" si="21"/>
        <v>0.89688458009157401</v>
      </c>
      <c r="H63" s="414" t="b">
        <f>Wh_hp&gt;='2024'!Maxi_hp</f>
        <v>0</v>
      </c>
      <c r="I63" s="392">
        <f>IF(H63,Wh_hp,'2024'!Maxi_hp)</f>
        <v>33.126742104724151</v>
      </c>
      <c r="J63" s="85">
        <f>IF(H63,An,'2024'!An_max)</f>
        <v>2019</v>
      </c>
      <c r="K63" s="199">
        <f t="shared" si="3"/>
        <v>45706</v>
      </c>
      <c r="L63" s="147">
        <f>IF(t&lt;Tvie,1-EXP((T0-t)*PertePVj)+'2024'!Pspv,1-EXP((T0-t)*PertePVj)+Pspv)</f>
        <v>5.4166995887614866E-2</v>
      </c>
      <c r="M63" s="870"/>
      <c r="N63" s="870"/>
      <c r="O63" s="48">
        <f>IF(t&lt;Tnet,'2024'!Resal+('2024'!Salim-'2024'!Resal)*(1-EXP(('2024'!Tnet-t)/('2024'!Tau_j))),Resal+(Salim-Resal)*(1-EXP((Tnet-t)/(Tau_j))))*Salcycl</f>
        <v>8.8807734955075407E-2</v>
      </c>
      <c r="P63" s="171">
        <f>(INDEX(Models!$BJ63:$BT63,,T63)*(1-R63)+INDEX(Models!$BJ63:$BT63,,T63+1)*R63-ERP_i)*Q63*Ramure*Pc/MaxiM</f>
        <v>7.7875029907101101E-2</v>
      </c>
      <c r="Q63" s="307">
        <f t="shared" si="4"/>
        <v>1</v>
      </c>
      <c r="R63" s="179">
        <f t="shared" si="5"/>
        <v>0.10575991653586359</v>
      </c>
      <c r="S63" s="837">
        <f t="shared" si="6"/>
        <v>2</v>
      </c>
      <c r="T63" s="178">
        <f t="shared" si="7"/>
        <v>8</v>
      </c>
      <c r="U63" s="253">
        <f t="shared" si="8"/>
        <v>2.1057599165358636</v>
      </c>
      <c r="V63" s="385">
        <f t="shared" si="9"/>
        <v>26.303444391705803</v>
      </c>
      <c r="W63" s="404">
        <f t="shared" si="10"/>
        <v>23.855981207676429</v>
      </c>
      <c r="X63" s="157">
        <f t="shared" si="11"/>
        <v>45706</v>
      </c>
      <c r="Y63" s="387">
        <f t="shared" si="12"/>
        <v>22.741426665256423</v>
      </c>
      <c r="Z63" s="387">
        <f t="shared" si="22"/>
        <v>24.043807486500288</v>
      </c>
      <c r="AA63" s="388">
        <f t="shared" si="13"/>
        <v>27.680427634673734</v>
      </c>
      <c r="AB63" s="199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0.1313787559993492</v>
      </c>
      <c r="AD63" s="233">
        <f>(INDEX(Models!$BJ63:$BT63,,AH63)*(1-AF63)+INDEX(Models!$BJ63:$BT63,,AH63+1)*AF63-ERP_i)*AE63*Ramure*Pc/MaxiM</f>
        <v>7.7875029907101101E-2</v>
      </c>
      <c r="AE63" s="307">
        <f t="shared" si="15"/>
        <v>1</v>
      </c>
      <c r="AF63" s="179">
        <f t="shared" si="23"/>
        <v>0.10575991653586359</v>
      </c>
      <c r="AG63" s="837">
        <f t="shared" si="24"/>
        <v>2</v>
      </c>
      <c r="AH63" s="178">
        <f t="shared" si="16"/>
        <v>8</v>
      </c>
      <c r="AI63" s="227">
        <f t="shared" si="17"/>
        <v>2.1057599165358636</v>
      </c>
      <c r="AJ63" s="267" t="b">
        <f t="shared" si="18"/>
        <v>1</v>
      </c>
      <c r="AK63" s="267" t="b">
        <f t="shared" si="19"/>
        <v>1</v>
      </c>
      <c r="AL63" s="267"/>
      <c r="AM63" s="267"/>
      <c r="AN63" s="75"/>
    </row>
    <row r="64" spans="1:40" s="6" customFormat="1" ht="11.25" x14ac:dyDescent="0.2">
      <c r="A64" s="56">
        <f t="shared" si="20"/>
        <v>45707</v>
      </c>
      <c r="B64" s="1139">
        <f>IF(t&gt;Tmaj,'2024'!Wh/'2024'!Env_an*'2025'!Env_an,0.001*'[4]mon-tableau'!$B$208)</f>
        <v>14.415059231400891</v>
      </c>
      <c r="C64" s="866"/>
      <c r="D64" s="395">
        <f t="shared" si="0"/>
        <v>15.240951241940602</v>
      </c>
      <c r="E64" s="387">
        <f t="shared" si="1"/>
        <v>16.729400554660828</v>
      </c>
      <c r="F64" s="387">
        <f t="shared" si="2"/>
        <v>17.174782402641505</v>
      </c>
      <c r="G64" s="110">
        <f t="shared" si="21"/>
        <v>0.51265558667368294</v>
      </c>
      <c r="H64" s="414" t="b">
        <f>Wh_hp&gt;='2024'!Maxi_hp</f>
        <v>0</v>
      </c>
      <c r="I64" s="392">
        <f>IF(H64,Wh_hp,'2024'!Maxi_hp)</f>
        <v>32.228087820026474</v>
      </c>
      <c r="J64" s="85">
        <f>IF(H64,An,'2024'!An_max)</f>
        <v>2021</v>
      </c>
      <c r="K64" s="199">
        <f t="shared" si="3"/>
        <v>45707</v>
      </c>
      <c r="L64" s="147">
        <f>IF(t&lt;Tvie,1-EXP((T0-t)*PertePVj)+'2024'!Pspv,1-EXP((T0-t)*PertePVj)+Pspv)</f>
        <v>5.4189006803393669E-2</v>
      </c>
      <c r="M64" s="870"/>
      <c r="N64" s="870"/>
      <c r="O64" s="48">
        <f>IF(t&lt;Tnet,'2024'!Resal+('2024'!Salim-'2024'!Resal)*(1-EXP(('2024'!Tnet-t)/('2024'!Tau_j))),Resal+(Salim-Resal)*(1-EXP((Tnet-t)/(Tau_j))))*Salcycl</f>
        <v>8.8972064949783519E-2</v>
      </c>
      <c r="P64" s="171">
        <f>(INDEX(Models!$BJ64:$BT64,,T64)*(1-R64)+INDEX(Models!$BJ64:$BT64,,T64+1)*R64-ERP_i)*Q64*Ramure*Pc/MaxiM</f>
        <v>7.5577037187583671E-2</v>
      </c>
      <c r="Q64" s="307">
        <f t="shared" si="4"/>
        <v>1</v>
      </c>
      <c r="R64" s="179">
        <f t="shared" si="5"/>
        <v>0.10604885797579611</v>
      </c>
      <c r="S64" s="837">
        <f t="shared" si="6"/>
        <v>2</v>
      </c>
      <c r="T64" s="178">
        <f t="shared" si="7"/>
        <v>8</v>
      </c>
      <c r="U64" s="253">
        <f t="shared" si="8"/>
        <v>2.1060488579757961</v>
      </c>
      <c r="V64" s="385">
        <f t="shared" si="9"/>
        <v>26.685314492366075</v>
      </c>
      <c r="W64" s="404">
        <f t="shared" si="10"/>
        <v>14.415059231400891</v>
      </c>
      <c r="X64" s="157">
        <f t="shared" si="11"/>
        <v>45707</v>
      </c>
      <c r="Y64" s="387">
        <f t="shared" si="12"/>
        <v>13.742729617645695</v>
      </c>
      <c r="Z64" s="387">
        <f t="shared" si="22"/>
        <v>14.530101380190857</v>
      </c>
      <c r="AA64" s="388">
        <f t="shared" si="13"/>
        <v>16.729400554660828</v>
      </c>
      <c r="AB64" s="199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0.13146311891356116</v>
      </c>
      <c r="AD64" s="233">
        <f>(INDEX(Models!$BJ64:$BT64,,AH64)*(1-AF64)+INDEX(Models!$BJ64:$BT64,,AH64+1)*AF64-ERP_i)*AE64*Ramure*Pc/MaxiM</f>
        <v>7.5577037187583671E-2</v>
      </c>
      <c r="AE64" s="307">
        <f t="shared" si="15"/>
        <v>1</v>
      </c>
      <c r="AF64" s="179">
        <f t="shared" si="23"/>
        <v>0.10604885797579611</v>
      </c>
      <c r="AG64" s="837">
        <f t="shared" si="24"/>
        <v>2</v>
      </c>
      <c r="AH64" s="178">
        <f t="shared" si="16"/>
        <v>8</v>
      </c>
      <c r="AI64" s="227">
        <f t="shared" si="17"/>
        <v>2.1060488579757961</v>
      </c>
      <c r="AJ64" s="267" t="b">
        <f t="shared" si="18"/>
        <v>1</v>
      </c>
      <c r="AK64" s="267" t="b">
        <f t="shared" si="19"/>
        <v>1</v>
      </c>
      <c r="AL64" s="267"/>
      <c r="AM64" s="267"/>
      <c r="AN64" s="75"/>
    </row>
    <row r="65" spans="1:40" s="6" customFormat="1" ht="11.25" x14ac:dyDescent="0.2">
      <c r="A65" s="56">
        <f t="shared" si="20"/>
        <v>45708</v>
      </c>
      <c r="B65" s="1139">
        <f>IF(t&gt;Tmaj,'2024'!Wh/'2024'!Env_an*'2025'!Env_an,0.001*'[4]mon-tableau'!$B$209)</f>
        <v>17.267896695732411</v>
      </c>
      <c r="C65" s="866"/>
      <c r="D65" s="395">
        <f t="shared" si="0"/>
        <v>18.257663189031632</v>
      </c>
      <c r="E65" s="387">
        <f t="shared" si="1"/>
        <v>20.044336340478313</v>
      </c>
      <c r="F65" s="387">
        <f t="shared" si="2"/>
        <v>20.779681350408097</v>
      </c>
      <c r="G65" s="110">
        <f t="shared" si="21"/>
        <v>0.6127728476761013</v>
      </c>
      <c r="H65" s="414" t="b">
        <f>Wh_hp&gt;='2024'!Maxi_hp</f>
        <v>0</v>
      </c>
      <c r="I65" s="392">
        <f>IF(H65,Wh_hp,'2024'!Maxi_hp)</f>
        <v>33.595449120875671</v>
      </c>
      <c r="J65" s="85">
        <f>IF(H65,An,'2024'!An_max)</f>
        <v>2020</v>
      </c>
      <c r="K65" s="199">
        <f t="shared" si="3"/>
        <v>45708</v>
      </c>
      <c r="L65" s="147">
        <f>IF(t&lt;Tvie,1-EXP((T0-t)*PertePVj)+'2024'!Pspv,1-EXP((T0-t)*PertePVj)+Pspv)</f>
        <v>5.421101720694621E-2</v>
      </c>
      <c r="M65" s="870"/>
      <c r="N65" s="870"/>
      <c r="O65" s="48">
        <f>IF(t&lt;Tnet,'2024'!Resal+('2024'!Salim-'2024'!Resal)*(1-EXP(('2024'!Tnet-t)/('2024'!Tau_j))),Resal+(Salim-Resal)*(1-EXP((Tnet-t)/(Tau_j))))*Salcycl</f>
        <v>8.9136059238768911E-2</v>
      </c>
      <c r="P65" s="171">
        <f>(INDEX(Models!$BJ65:$BT65,,T65)*(1-R65)+INDEX(Models!$BJ65:$BT65,,T65+1)*R65-ERP_i)*Q65*Ramure*Pc/MaxiM</f>
        <v>7.3319478224026041E-2</v>
      </c>
      <c r="Q65" s="307">
        <f t="shared" si="4"/>
        <v>1</v>
      </c>
      <c r="R65" s="179">
        <f t="shared" si="5"/>
        <v>0.10634966534407031</v>
      </c>
      <c r="S65" s="837">
        <f t="shared" si="6"/>
        <v>2</v>
      </c>
      <c r="T65" s="178">
        <f t="shared" si="7"/>
        <v>8</v>
      </c>
      <c r="U65" s="253">
        <f t="shared" si="8"/>
        <v>2.1063496653440703</v>
      </c>
      <c r="V65" s="385">
        <f t="shared" si="9"/>
        <v>27.071802010541102</v>
      </c>
      <c r="W65" s="404">
        <f t="shared" si="10"/>
        <v>17.267896695732411</v>
      </c>
      <c r="X65" s="157">
        <f t="shared" si="11"/>
        <v>45708</v>
      </c>
      <c r="Y65" s="387">
        <f t="shared" si="12"/>
        <v>16.463876994038756</v>
      </c>
      <c r="Z65" s="387">
        <f t="shared" si="22"/>
        <v>17.40755844439899</v>
      </c>
      <c r="AA65" s="388">
        <f t="shared" si="13"/>
        <v>20.044336340478313</v>
      </c>
      <c r="AB65" s="199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0.1315472785574103</v>
      </c>
      <c r="AD65" s="233">
        <f>(INDEX(Models!$BJ65:$BT65,,AH65)*(1-AF65)+INDEX(Models!$BJ65:$BT65,,AH65+1)*AF65-ERP_i)*AE65*Ramure*Pc/MaxiM</f>
        <v>7.3319478224026041E-2</v>
      </c>
      <c r="AE65" s="307">
        <f t="shared" si="15"/>
        <v>1</v>
      </c>
      <c r="AF65" s="179">
        <f t="shared" si="23"/>
        <v>0.10634966534407031</v>
      </c>
      <c r="AG65" s="837">
        <f t="shared" si="24"/>
        <v>2</v>
      </c>
      <c r="AH65" s="178">
        <f t="shared" si="16"/>
        <v>8</v>
      </c>
      <c r="AI65" s="227">
        <f t="shared" si="17"/>
        <v>2.1063496653440703</v>
      </c>
      <c r="AJ65" s="267" t="b">
        <f t="shared" si="18"/>
        <v>1</v>
      </c>
      <c r="AK65" s="267" t="b">
        <f t="shared" si="19"/>
        <v>1</v>
      </c>
      <c r="AL65" s="267"/>
      <c r="AM65" s="267"/>
      <c r="AN65" s="75"/>
    </row>
    <row r="66" spans="1:40" s="6" customFormat="1" ht="11.25" x14ac:dyDescent="0.2">
      <c r="A66" s="56">
        <f t="shared" si="20"/>
        <v>45709</v>
      </c>
      <c r="B66" s="1139">
        <f>IF(t&gt;Tmaj,'2024'!Wh/'2024'!Env_an*'2025'!Env_an,0.001*'[4]mon-tableau'!$B$210)</f>
        <v>17.746447564779746</v>
      </c>
      <c r="C66" s="866"/>
      <c r="D66" s="395">
        <f t="shared" si="0"/>
        <v>18.764080448201447</v>
      </c>
      <c r="E66" s="387">
        <f t="shared" si="1"/>
        <v>20.604012773573302</v>
      </c>
      <c r="F66" s="387">
        <f t="shared" si="2"/>
        <v>21.354840199726414</v>
      </c>
      <c r="G66" s="110">
        <f t="shared" si="21"/>
        <v>0.6221169419616539</v>
      </c>
      <c r="H66" s="414" t="b">
        <f>Wh_hp&gt;='2024'!Maxi_hp</f>
        <v>0</v>
      </c>
      <c r="I66" s="392">
        <f>IF(H66,Wh_hp,'2024'!Maxi_hp)</f>
        <v>33.354248852750764</v>
      </c>
      <c r="J66" s="85">
        <f>IF(H66,An,'2024'!An_max)</f>
        <v>2019</v>
      </c>
      <c r="K66" s="199">
        <f t="shared" si="3"/>
        <v>45709</v>
      </c>
      <c r="L66" s="147">
        <f>IF(t&lt;Tvie,1-EXP((T0-t)*PertePVj)+'2024'!Pspv,1-EXP((T0-t)*PertePVj)+Pspv)</f>
        <v>5.4233027098284592E-2</v>
      </c>
      <c r="M66" s="870"/>
      <c r="N66" s="870"/>
      <c r="O66" s="48">
        <f>IF(t&lt;Tnet,'2024'!Resal+('2024'!Salim-'2024'!Resal)*(1-EXP(('2024'!Tnet-t)/('2024'!Tau_j))),Resal+(Salim-Resal)*(1-EXP((Tnet-t)/(Tau_j))))*Salcycl</f>
        <v>8.9299708051615703E-2</v>
      </c>
      <c r="P66" s="171">
        <f>(INDEX(Models!$BJ66:$BT66,,T66)*(1-R66)+INDEX(Models!$BJ66:$BT66,,T66+1)*R66-ERP_i)*Q66*Ramure*Pc/MaxiM</f>
        <v>7.1094393993251417E-2</v>
      </c>
      <c r="Q66" s="307">
        <f t="shared" si="4"/>
        <v>1</v>
      </c>
      <c r="R66" s="179">
        <f t="shared" si="5"/>
        <v>0.10666281489307172</v>
      </c>
      <c r="S66" s="837">
        <f t="shared" si="6"/>
        <v>2</v>
      </c>
      <c r="T66" s="178">
        <f t="shared" si="7"/>
        <v>8</v>
      </c>
      <c r="U66" s="253">
        <f t="shared" si="8"/>
        <v>2.1066628148930717</v>
      </c>
      <c r="V66" s="385">
        <f t="shared" si="9"/>
        <v>27.46347579783286</v>
      </c>
      <c r="W66" s="404">
        <f t="shared" si="10"/>
        <v>17.746447564779746</v>
      </c>
      <c r="X66" s="157">
        <f t="shared" si="11"/>
        <v>45709</v>
      </c>
      <c r="Y66" s="387">
        <f t="shared" si="12"/>
        <v>16.92155054108979</v>
      </c>
      <c r="Z66" s="387">
        <f t="shared" si="22"/>
        <v>17.891881431609566</v>
      </c>
      <c r="AA66" s="388">
        <f t="shared" si="13"/>
        <v>20.604012773573302</v>
      </c>
      <c r="AB66" s="199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0.13163122017873702</v>
      </c>
      <c r="AD66" s="233">
        <f>(INDEX(Models!$BJ66:$BT66,,AH66)*(1-AF66)+INDEX(Models!$BJ66:$BT66,,AH66+1)*AF66-ERP_i)*AE66*Ramure*Pc/MaxiM</f>
        <v>7.1094393993251417E-2</v>
      </c>
      <c r="AE66" s="307">
        <f t="shared" si="15"/>
        <v>1</v>
      </c>
      <c r="AF66" s="179">
        <f t="shared" si="23"/>
        <v>0.10666281489307172</v>
      </c>
      <c r="AG66" s="837">
        <f t="shared" si="24"/>
        <v>2</v>
      </c>
      <c r="AH66" s="178">
        <f t="shared" si="16"/>
        <v>8</v>
      </c>
      <c r="AI66" s="227">
        <f t="shared" si="17"/>
        <v>2.1066628148930717</v>
      </c>
      <c r="AJ66" s="267" t="b">
        <f t="shared" si="18"/>
        <v>1</v>
      </c>
      <c r="AK66" s="267" t="b">
        <f t="shared" si="19"/>
        <v>1</v>
      </c>
      <c r="AL66" s="267"/>
      <c r="AM66" s="267"/>
      <c r="AN66" s="75"/>
    </row>
    <row r="67" spans="1:40" s="6" customFormat="1" ht="11.25" x14ac:dyDescent="0.2">
      <c r="A67" s="56">
        <f t="shared" si="20"/>
        <v>45710</v>
      </c>
      <c r="B67" s="1139">
        <f>IF(t&gt;Tmaj,'2024'!Wh/'2024'!Env_an*'2025'!Env_an,0.001*'[4]mon-tableau'!$B$211)</f>
        <v>26.260335132077142</v>
      </c>
      <c r="C67" s="866"/>
      <c r="D67" s="395">
        <f t="shared" si="0"/>
        <v>27.766825248813696</v>
      </c>
      <c r="E67" s="387">
        <f t="shared" si="1"/>
        <v>30.494999510104453</v>
      </c>
      <c r="F67" s="387">
        <f t="shared" si="2"/>
        <v>32.554411404041531</v>
      </c>
      <c r="G67" s="110">
        <f t="shared" si="21"/>
        <v>0.9369066807807318</v>
      </c>
      <c r="H67" s="414" t="b">
        <f>Wh_hp&gt;='2024'!Maxi_hp</f>
        <v>0</v>
      </c>
      <c r="I67" s="392">
        <f>IF(H67,Wh_hp,'2024'!Maxi_hp)</f>
        <v>33.45014285747294</v>
      </c>
      <c r="J67" s="85">
        <f>IF(H67,An,'2024'!An_max)</f>
        <v>2020</v>
      </c>
      <c r="K67" s="199">
        <f t="shared" si="3"/>
        <v>45710</v>
      </c>
      <c r="L67" s="147">
        <f>IF(t&lt;Tvie,1-EXP((T0-t)*PertePVj)+'2024'!Pspv,1-EXP((T0-t)*PertePVj)+Pspv)</f>
        <v>5.4255036477420693E-2</v>
      </c>
      <c r="M67" s="870"/>
      <c r="N67" s="870"/>
      <c r="O67" s="48">
        <f>IF(t&lt;Tnet,'2024'!Resal+('2024'!Salim-'2024'!Resal)*(1-EXP(('2024'!Tnet-t)/('2024'!Tau_j))),Resal+(Salim-Resal)*(1-EXP((Tnet-t)/(Tau_j))))*Salcycl</f>
        <v>8.946300393895007E-2</v>
      </c>
      <c r="P67" s="171">
        <f>(INDEX(Models!$BJ67:$BT67,,T67)*(1-R67)+INDEX(Models!$BJ67:$BT67,,T67+1)*R67-ERP_i)*Q67*Ramure*Pc/MaxiM</f>
        <v>6.891204313908364E-2</v>
      </c>
      <c r="Q67" s="307">
        <f t="shared" si="4"/>
        <v>1</v>
      </c>
      <c r="R67" s="179">
        <f t="shared" si="5"/>
        <v>0.10698880105576869</v>
      </c>
      <c r="S67" s="837">
        <f t="shared" si="6"/>
        <v>2</v>
      </c>
      <c r="T67" s="178">
        <f t="shared" si="7"/>
        <v>8</v>
      </c>
      <c r="U67" s="253">
        <f t="shared" si="8"/>
        <v>2.1069888010557687</v>
      </c>
      <c r="V67" s="385">
        <f t="shared" si="9"/>
        <v>27.859662732949666</v>
      </c>
      <c r="W67" s="404">
        <f t="shared" si="10"/>
        <v>26.260335132077142</v>
      </c>
      <c r="X67" s="157">
        <f t="shared" si="11"/>
        <v>45710</v>
      </c>
      <c r="Y67" s="387">
        <f t="shared" si="12"/>
        <v>25.041768715603268</v>
      </c>
      <c r="Z67" s="387">
        <f t="shared" si="22"/>
        <v>26.478352707617042</v>
      </c>
      <c r="AA67" s="388">
        <f t="shared" si="13"/>
        <v>30.494999510104449</v>
      </c>
      <c r="AB67" s="199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0.13171493251398483</v>
      </c>
      <c r="AD67" s="233">
        <f>(INDEX(Models!$BJ67:$BT67,,AH67)*(1-AF67)+INDEX(Models!$BJ67:$BT67,,AH67+1)*AF67-ERP_i)*AE67*Ramure*Pc/MaxiM</f>
        <v>6.891204313908364E-2</v>
      </c>
      <c r="AE67" s="307">
        <f t="shared" si="15"/>
        <v>1</v>
      </c>
      <c r="AF67" s="179">
        <f t="shared" si="23"/>
        <v>0.10698880105576869</v>
      </c>
      <c r="AG67" s="837">
        <f t="shared" si="24"/>
        <v>2</v>
      </c>
      <c r="AH67" s="178">
        <f t="shared" si="16"/>
        <v>8</v>
      </c>
      <c r="AI67" s="227">
        <f t="shared" si="17"/>
        <v>2.1069888010557687</v>
      </c>
      <c r="AJ67" s="267" t="b">
        <f t="shared" si="18"/>
        <v>1</v>
      </c>
      <c r="AK67" s="267" t="b">
        <f t="shared" si="19"/>
        <v>1</v>
      </c>
      <c r="AL67" s="267"/>
      <c r="AM67" s="267"/>
      <c r="AN67" s="75"/>
    </row>
    <row r="68" spans="1:40" s="6" customFormat="1" ht="11.25" x14ac:dyDescent="0.2">
      <c r="A68" s="56">
        <f t="shared" si="20"/>
        <v>45711</v>
      </c>
      <c r="B68" s="1139">
        <f>IF(t&gt;Tmaj,'2024'!Wh/'2024'!Env_an*'2025'!Env_an,0.001*'[4]mon-tableau'!$B$212)</f>
        <v>27.833498776729556</v>
      </c>
      <c r="C68" s="866"/>
      <c r="D68" s="395">
        <f t="shared" si="0"/>
        <v>29.430922279838892</v>
      </c>
      <c r="E68" s="387">
        <f t="shared" si="1"/>
        <v>32.328384164144708</v>
      </c>
      <c r="F68" s="387">
        <f t="shared" si="2"/>
        <v>34.5881254621276</v>
      </c>
      <c r="G68" s="110">
        <f t="shared" si="21"/>
        <v>0.98339165738893031</v>
      </c>
      <c r="H68" s="414" t="b">
        <f>Wh_hp&gt;='2024'!Maxi_hp</f>
        <v>0</v>
      </c>
      <c r="I68" s="392">
        <f>IF(H68,Wh_hp,'2024'!Maxi_hp)</f>
        <v>34.62690070447799</v>
      </c>
      <c r="J68" s="85">
        <f>IF(H68,An,'2024'!An_max)</f>
        <v>2022</v>
      </c>
      <c r="K68" s="199">
        <f t="shared" si="3"/>
        <v>45711</v>
      </c>
      <c r="L68" s="147">
        <f>IF(t&lt;Tvie,1-EXP((T0-t)*PertePVj)+'2024'!Pspv,1-EXP((T0-t)*PertePVj)+Pspv)</f>
        <v>5.4277045344366281E-2</v>
      </c>
      <c r="M68" s="870"/>
      <c r="N68" s="870"/>
      <c r="O68" s="48">
        <f>IF(t&lt;Tnet,'2024'!Resal+('2024'!Salim-'2024'!Resal)*(1-EXP(('2024'!Tnet-t)/('2024'!Tau_j))),Resal+(Salim-Resal)*(1-EXP((Tnet-t)/(Tau_j))))*Salcycl</f>
        <v>8.962594200793321E-2</v>
      </c>
      <c r="P68" s="171">
        <f>(INDEX(Models!$BJ68:$BT68,,T68)*(1-R68)+INDEX(Models!$BJ68:$BT68,,T68+1)*R68-ERP_i)*Q68*Ramure*Pc/MaxiM</f>
        <v>6.6772420669265642E-2</v>
      </c>
      <c r="Q68" s="307">
        <f t="shared" si="4"/>
        <v>1</v>
      </c>
      <c r="R68" s="179">
        <f t="shared" si="5"/>
        <v>0.10732813706029765</v>
      </c>
      <c r="S68" s="837">
        <f t="shared" si="6"/>
        <v>2</v>
      </c>
      <c r="T68" s="178">
        <f t="shared" si="7"/>
        <v>8</v>
      </c>
      <c r="U68" s="253">
        <f t="shared" si="8"/>
        <v>2.1073281370602976</v>
      </c>
      <c r="V68" s="385">
        <f t="shared" si="9"/>
        <v>28.259981605293593</v>
      </c>
      <c r="W68" s="404">
        <f t="shared" si="10"/>
        <v>27.833498776729556</v>
      </c>
      <c r="X68" s="157">
        <f t="shared" si="11"/>
        <v>45711</v>
      </c>
      <c r="Y68" s="387">
        <f t="shared" si="12"/>
        <v>26.544130661008456</v>
      </c>
      <c r="Z68" s="387">
        <f t="shared" si="22"/>
        <v>28.067554594436142</v>
      </c>
      <c r="AA68" s="388">
        <f t="shared" si="13"/>
        <v>32.328384164144708</v>
      </c>
      <c r="AB68" s="199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0.13179840811327145</v>
      </c>
      <c r="AD68" s="233">
        <f>(INDEX(Models!$BJ68:$BT68,,AH68)*(1-AF68)+INDEX(Models!$BJ68:$BT68,,AH68+1)*AF68-ERP_i)*AE68*Ramure*Pc/MaxiM</f>
        <v>6.6772420669265642E-2</v>
      </c>
      <c r="AE68" s="307">
        <f t="shared" si="15"/>
        <v>1</v>
      </c>
      <c r="AF68" s="179">
        <f t="shared" si="23"/>
        <v>0.10732813706029765</v>
      </c>
      <c r="AG68" s="837">
        <f t="shared" si="24"/>
        <v>2</v>
      </c>
      <c r="AH68" s="178">
        <f t="shared" si="16"/>
        <v>8</v>
      </c>
      <c r="AI68" s="227">
        <f t="shared" si="17"/>
        <v>2.1073281370602976</v>
      </c>
      <c r="AJ68" s="267" t="b">
        <f t="shared" si="18"/>
        <v>1</v>
      </c>
      <c r="AK68" s="267" t="b">
        <f t="shared" si="19"/>
        <v>1</v>
      </c>
      <c r="AL68" s="267"/>
      <c r="AM68" s="267"/>
      <c r="AN68" s="75"/>
    </row>
    <row r="69" spans="1:40" s="6" customFormat="1" ht="11.25" x14ac:dyDescent="0.2">
      <c r="A69" s="56">
        <f t="shared" si="20"/>
        <v>45712</v>
      </c>
      <c r="B69" s="1139">
        <f>IF(t&gt;Tmaj,'2024'!Wh/'2024'!Env_an*'2025'!Env_an,0.001*'[4]mon-tableau'!$B$213)</f>
        <v>16.771502589414595</v>
      </c>
      <c r="C69" s="866"/>
      <c r="D69" s="395">
        <f t="shared" si="0"/>
        <v>17.734467386351632</v>
      </c>
      <c r="E69" s="387">
        <f t="shared" si="1"/>
        <v>19.483897730122042</v>
      </c>
      <c r="F69" s="387">
        <f t="shared" si="2"/>
        <v>20.011029381160075</v>
      </c>
      <c r="G69" s="110">
        <f t="shared" si="21"/>
        <v>0.56206993461292798</v>
      </c>
      <c r="H69" s="414" t="b">
        <f>Wh_hp&gt;='2024'!Maxi_hp</f>
        <v>0</v>
      </c>
      <c r="I69" s="392">
        <f>IF(H69,Wh_hp,'2024'!Maxi_hp)</f>
        <v>35.350844224345899</v>
      </c>
      <c r="J69" s="85">
        <f>IF(H69,An,'2024'!An_max)</f>
        <v>2020</v>
      </c>
      <c r="K69" s="199">
        <f t="shared" si="3"/>
        <v>45712</v>
      </c>
      <c r="L69" s="147">
        <f>IF(t&lt;Tvie,1-EXP((T0-t)*PertePVj)+'2024'!Pspv,1-EXP((T0-t)*PertePVj)+Pspv)</f>
        <v>5.4299053699133459E-2</v>
      </c>
      <c r="M69" s="870"/>
      <c r="N69" s="870"/>
      <c r="O69" s="48">
        <f>IF(t&lt;Tnet,'2024'!Resal+('2024'!Salim-'2024'!Resal)*(1-EXP(('2024'!Tnet-t)/('2024'!Tau_j))),Resal+(Salim-Resal)*(1-EXP((Tnet-t)/(Tau_j))))*Salcycl</f>
        <v>8.9788520141213649E-2</v>
      </c>
      <c r="P69" s="171">
        <f>(INDEX(Models!$BJ69:$BT69,,T69)*(1-R69)+INDEX(Models!$BJ69:$BT69,,T69+1)*R69-ERP_i)*Q69*Ramure*Pc/MaxiM</f>
        <v>6.4675727876909603E-2</v>
      </c>
      <c r="Q69" s="307">
        <f t="shared" si="4"/>
        <v>1</v>
      </c>
      <c r="R69" s="179">
        <f t="shared" si="5"/>
        <v>0.10768135555840308</v>
      </c>
      <c r="S69" s="837">
        <f t="shared" si="6"/>
        <v>2</v>
      </c>
      <c r="T69" s="178">
        <f t="shared" si="7"/>
        <v>8</v>
      </c>
      <c r="U69" s="253">
        <f t="shared" si="8"/>
        <v>2.1076813555584031</v>
      </c>
      <c r="V69" s="385">
        <f t="shared" si="9"/>
        <v>28.664040661660451</v>
      </c>
      <c r="W69" s="404">
        <f t="shared" si="10"/>
        <v>16.771502589414595</v>
      </c>
      <c r="X69" s="157">
        <f t="shared" si="11"/>
        <v>45712</v>
      </c>
      <c r="Y69" s="387">
        <f t="shared" si="12"/>
        <v>15.995897199499915</v>
      </c>
      <c r="Z69" s="387">
        <f t="shared" si="22"/>
        <v>16.914329272978183</v>
      </c>
      <c r="AA69" s="388">
        <f t="shared" si="13"/>
        <v>19.483897730122042</v>
      </c>
      <c r="AB69" s="199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0.13188164363906071</v>
      </c>
      <c r="AD69" s="233">
        <f>(INDEX(Models!$BJ69:$BT69,,AH69)*(1-AF69)+INDEX(Models!$BJ69:$BT69,,AH69+1)*AF69-ERP_i)*AE69*Ramure*Pc/MaxiM</f>
        <v>6.4675727876909603E-2</v>
      </c>
      <c r="AE69" s="307">
        <f t="shared" si="15"/>
        <v>1</v>
      </c>
      <c r="AF69" s="179">
        <f t="shared" si="23"/>
        <v>0.10768135555840308</v>
      </c>
      <c r="AG69" s="837">
        <f t="shared" si="24"/>
        <v>2</v>
      </c>
      <c r="AH69" s="178">
        <f t="shared" si="16"/>
        <v>8</v>
      </c>
      <c r="AI69" s="227">
        <f t="shared" si="17"/>
        <v>2.1076813555584031</v>
      </c>
      <c r="AJ69" s="267" t="b">
        <f t="shared" si="18"/>
        <v>1</v>
      </c>
      <c r="AK69" s="267" t="b">
        <f t="shared" si="19"/>
        <v>1</v>
      </c>
      <c r="AL69" s="267"/>
      <c r="AM69" s="267"/>
      <c r="AN69" s="75"/>
    </row>
    <row r="70" spans="1:40" s="6" customFormat="1" ht="11.25" x14ac:dyDescent="0.2">
      <c r="A70" s="56">
        <f t="shared" si="20"/>
        <v>45713</v>
      </c>
      <c r="B70" s="1139">
        <f>IF(t&gt;Tmaj,'2024'!Wh/'2024'!Env_an*'2025'!Env_an,0.001*'[4]mon-tableau'!$B$214)</f>
        <v>24.84918531767925</v>
      </c>
      <c r="C70" s="866"/>
      <c r="D70" s="395">
        <f t="shared" si="0"/>
        <v>26.276555717938173</v>
      </c>
      <c r="E70" s="387">
        <f t="shared" si="1"/>
        <v>28.873772937045025</v>
      </c>
      <c r="F70" s="387">
        <f t="shared" si="2"/>
        <v>30.381582842790522</v>
      </c>
      <c r="G70" s="110">
        <f t="shared" si="21"/>
        <v>0.84307671193446054</v>
      </c>
      <c r="H70" s="414" t="b">
        <f>Wh_hp&gt;='2024'!Maxi_hp</f>
        <v>0</v>
      </c>
      <c r="I70" s="392">
        <f>IF(H70,Wh_hp,'2024'!Maxi_hp)</f>
        <v>35.147494250668068</v>
      </c>
      <c r="J70" s="85">
        <f>IF(H70,An,'2024'!An_max)</f>
        <v>2019</v>
      </c>
      <c r="K70" s="199">
        <f t="shared" si="3"/>
        <v>45713</v>
      </c>
      <c r="L70" s="147">
        <f>IF(t&lt;Tvie,1-EXP((T0-t)*PertePVj)+'2024'!Pspv,1-EXP((T0-t)*PertePVj)+Pspv)</f>
        <v>5.4321061541733995E-2</v>
      </c>
      <c r="M70" s="870"/>
      <c r="N70" s="870"/>
      <c r="O70" s="48">
        <f>IF(t&lt;Tnet,'2024'!Resal+('2024'!Salim-'2024'!Resal)*(1-EXP(('2024'!Tnet-t)/('2024'!Tau_j))),Resal+(Salim-Resal)*(1-EXP((Tnet-t)/(Tau_j))))*Salcycl</f>
        <v>8.9950739197461244E-2</v>
      </c>
      <c r="P70" s="171">
        <f>(INDEX(Models!$BJ70:$BT70,,T70)*(1-R70)+INDEX(Models!$BJ70:$BT70,,T70+1)*R70-ERP_i)*Q70*Ramure*Pc/MaxiM</f>
        <v>6.2622023530976373E-2</v>
      </c>
      <c r="Q70" s="307">
        <f t="shared" si="4"/>
        <v>1</v>
      </c>
      <c r="R70" s="179">
        <f t="shared" si="5"/>
        <v>0.1080490092673938</v>
      </c>
      <c r="S70" s="837">
        <f t="shared" si="6"/>
        <v>2</v>
      </c>
      <c r="T70" s="178">
        <f t="shared" si="7"/>
        <v>8</v>
      </c>
      <c r="U70" s="253">
        <f t="shared" si="8"/>
        <v>2.1080490092673938</v>
      </c>
      <c r="V70" s="385">
        <f t="shared" si="9"/>
        <v>29.071448210813909</v>
      </c>
      <c r="W70" s="404">
        <f t="shared" si="10"/>
        <v>24.84918531767925</v>
      </c>
      <c r="X70" s="157">
        <f t="shared" si="11"/>
        <v>45713</v>
      </c>
      <c r="Y70" s="387">
        <f t="shared" si="12"/>
        <v>23.701982352624693</v>
      </c>
      <c r="Z70" s="387">
        <f t="shared" si="22"/>
        <v>25.063455882041609</v>
      </c>
      <c r="AA70" s="388">
        <f t="shared" si="13"/>
        <v>28.873772937045025</v>
      </c>
      <c r="AB70" s="199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0.13196464013592016</v>
      </c>
      <c r="AD70" s="233">
        <f>(INDEX(Models!$BJ70:$BT70,,AH70)*(1-AF70)+INDEX(Models!$BJ70:$BT70,,AH70+1)*AF70-ERP_i)*AE70*Ramure*Pc/MaxiM</f>
        <v>6.2622023530976373E-2</v>
      </c>
      <c r="AE70" s="307">
        <f t="shared" si="15"/>
        <v>1</v>
      </c>
      <c r="AF70" s="179">
        <f t="shared" si="23"/>
        <v>0.1080490092673938</v>
      </c>
      <c r="AG70" s="837">
        <f t="shared" si="24"/>
        <v>2</v>
      </c>
      <c r="AH70" s="178">
        <f t="shared" si="16"/>
        <v>8</v>
      </c>
      <c r="AI70" s="227">
        <f t="shared" si="17"/>
        <v>2.1080490092673938</v>
      </c>
      <c r="AJ70" s="267" t="b">
        <f t="shared" si="18"/>
        <v>1</v>
      </c>
      <c r="AK70" s="267" t="b">
        <f t="shared" si="19"/>
        <v>1</v>
      </c>
      <c r="AL70" s="267"/>
      <c r="AM70" s="267"/>
      <c r="AN70" s="75"/>
    </row>
    <row r="71" spans="1:40" s="6" customFormat="1" ht="11.25" x14ac:dyDescent="0.2">
      <c r="A71" s="56">
        <f t="shared" si="20"/>
        <v>45714</v>
      </c>
      <c r="B71" s="1139">
        <f>IF(t&gt;Tmaj,'2024'!Wh/'2024'!Env_an*'2025'!Env_an,0.001*'[4]mon-tableau'!$B$215)</f>
        <v>30.357514326767728</v>
      </c>
      <c r="C71" s="866"/>
      <c r="D71" s="395">
        <f t="shared" si="0"/>
        <v>32.102037565105569</v>
      </c>
      <c r="E71" s="387">
        <f t="shared" si="1"/>
        <v>35.281330060969722</v>
      </c>
      <c r="F71" s="387">
        <f t="shared" si="2"/>
        <v>37.557751891620654</v>
      </c>
      <c r="G71" s="110">
        <f t="shared" si="21"/>
        <v>1.0297031171721021</v>
      </c>
      <c r="H71" s="414" t="b">
        <f>Wh_hp&gt;='2024'!Maxi_hp</f>
        <v>1</v>
      </c>
      <c r="I71" s="392">
        <f>IF(H71,Wh_hp,'2024'!Maxi_hp)</f>
        <v>37.557751891620654</v>
      </c>
      <c r="J71" s="85">
        <f>IF(H71,An,'2024'!An_max)</f>
        <v>2025</v>
      </c>
      <c r="K71" s="199">
        <f t="shared" si="3"/>
        <v>45714</v>
      </c>
      <c r="L71" s="147">
        <f>IF(t&lt;Tvie,1-EXP((T0-t)*PertePVj)+'2024'!Pspv,1-EXP((T0-t)*PertePVj)+Pspv)</f>
        <v>5.4343068872179989E-2</v>
      </c>
      <c r="M71" s="870"/>
      <c r="N71" s="870"/>
      <c r="O71" s="48">
        <f>IF(t&lt;Tnet,'2024'!Resal+('2024'!Salim-'2024'!Resal)*(1-EXP(('2024'!Tnet-t)/('2024'!Tau_j))),Resal+(Salim-Resal)*(1-EXP((Tnet-t)/(Tau_j))))*Salcycl</f>
        <v>9.0112603191830259E-2</v>
      </c>
      <c r="P71" s="171">
        <f>(INDEX(Models!$BJ71:$BT71,,T71)*(1-R71)+INDEX(Models!$BJ71:$BT71,,T71+1)*R71-ERP_i)*Q71*Ramure*Pc/MaxiM</f>
        <v>6.0611237787073703E-2</v>
      </c>
      <c r="Q71" s="307">
        <f t="shared" si="4"/>
        <v>1</v>
      </c>
      <c r="R71" s="179">
        <f t="shared" si="5"/>
        <v>0.10843167162518519</v>
      </c>
      <c r="S71" s="837">
        <f t="shared" si="6"/>
        <v>2</v>
      </c>
      <c r="T71" s="178">
        <f t="shared" si="7"/>
        <v>8</v>
      </c>
      <c r="U71" s="253">
        <f t="shared" si="8"/>
        <v>2.1084316716251852</v>
      </c>
      <c r="V71" s="385">
        <f t="shared" si="9"/>
        <v>29.481812592875585</v>
      </c>
      <c r="W71" s="404">
        <f t="shared" si="10"/>
        <v>30.357514326767728</v>
      </c>
      <c r="X71" s="157">
        <f t="shared" si="11"/>
        <v>45714</v>
      </c>
      <c r="Y71" s="387">
        <f t="shared" si="12"/>
        <v>28.958400218137729</v>
      </c>
      <c r="Z71" s="387">
        <f t="shared" si="22"/>
        <v>30.622522042535063</v>
      </c>
      <c r="AA71" s="388">
        <f t="shared" si="13"/>
        <v>35.281330060969722</v>
      </c>
      <c r="AB71" s="199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0.13204740326920114</v>
      </c>
      <c r="AD71" s="233">
        <f>(INDEX(Models!$BJ71:$BT71,,AH71)*(1-AF71)+INDEX(Models!$BJ71:$BT71,,AH71+1)*AF71-ERP_i)*AE71*Ramure*Pc/MaxiM</f>
        <v>6.0611237787073703E-2</v>
      </c>
      <c r="AE71" s="307">
        <f t="shared" si="15"/>
        <v>1</v>
      </c>
      <c r="AF71" s="179">
        <f t="shared" si="23"/>
        <v>0.10843167162518519</v>
      </c>
      <c r="AG71" s="837">
        <f t="shared" si="24"/>
        <v>2</v>
      </c>
      <c r="AH71" s="178">
        <f t="shared" si="16"/>
        <v>8</v>
      </c>
      <c r="AI71" s="227">
        <f t="shared" si="17"/>
        <v>2.1084316716251852</v>
      </c>
      <c r="AJ71" s="267" t="b">
        <f t="shared" si="18"/>
        <v>1</v>
      </c>
      <c r="AK71" s="267" t="b">
        <f t="shared" si="19"/>
        <v>1</v>
      </c>
      <c r="AL71" s="267"/>
      <c r="AM71" s="267"/>
      <c r="AN71" s="75"/>
    </row>
    <row r="72" spans="1:40" s="6" customFormat="1" ht="11.25" x14ac:dyDescent="0.2">
      <c r="A72" s="56">
        <f t="shared" si="20"/>
        <v>45715</v>
      </c>
      <c r="B72" s="1139">
        <f>IF(t&gt;Tmaj,'2024'!Wh/'2024'!Env_an*'2025'!Env_an,0.001*'[4]mon-tableau'!$B$216)</f>
        <v>23.204106635669135</v>
      </c>
      <c r="C72" s="866"/>
      <c r="D72" s="395">
        <f t="shared" si="0"/>
        <v>24.538123581478654</v>
      </c>
      <c r="E72" s="387">
        <f t="shared" si="1"/>
        <v>26.973096078982213</v>
      </c>
      <c r="F72" s="387">
        <f t="shared" si="2"/>
        <v>28.093535625050556</v>
      </c>
      <c r="G72" s="110">
        <f t="shared" si="21"/>
        <v>0.7610267308714076</v>
      </c>
      <c r="H72" s="414" t="b">
        <f>Wh_hp&gt;='2024'!Maxi_hp</f>
        <v>0</v>
      </c>
      <c r="I72" s="392">
        <f>IF(H72,Wh_hp,'2024'!Maxi_hp)</f>
        <v>35.744529564271296</v>
      </c>
      <c r="J72" s="85">
        <f>IF(H72,An,'2024'!An_max)</f>
        <v>2019</v>
      </c>
      <c r="K72" s="199">
        <f t="shared" si="3"/>
        <v>45715</v>
      </c>
      <c r="L72" s="147">
        <f>IF(t&lt;Tvie,1-EXP((T0-t)*PertePVj)+'2024'!Pspv,1-EXP((T0-t)*PertePVj)+Pspv)</f>
        <v>5.4365075690483211E-2</v>
      </c>
      <c r="M72" s="870"/>
      <c r="N72" s="870"/>
      <c r="O72" s="48">
        <f>IF(t&lt;Tnet,'2024'!Resal+('2024'!Salim-'2024'!Resal)*(1-EXP(('2024'!Tnet-t)/('2024'!Tau_j))),Resal+(Salim-Resal)*(1-EXP((Tnet-t)/(Tau_j))))*Salcycl</f>
        <v>9.0274119454937865E-2</v>
      </c>
      <c r="P72" s="171">
        <f>(INDEX(Models!$BJ72:$BT72,,T72)*(1-R72)+INDEX(Models!$BJ72:$BT72,,T72+1)*R72-ERP_i)*Q72*Ramure*Pc/MaxiM</f>
        <v>5.8628353327433512E-2</v>
      </c>
      <c r="Q72" s="307">
        <f t="shared" si="4"/>
        <v>1</v>
      </c>
      <c r="R72" s="179">
        <f t="shared" si="5"/>
        <v>0.10882993745791936</v>
      </c>
      <c r="S72" s="837">
        <f t="shared" si="6"/>
        <v>2</v>
      </c>
      <c r="T72" s="178">
        <f t="shared" si="7"/>
        <v>8</v>
      </c>
      <c r="U72" s="253">
        <f t="shared" si="8"/>
        <v>2.1088299374579194</v>
      </c>
      <c r="V72" s="385">
        <f t="shared" si="9"/>
        <v>29.895213185000348</v>
      </c>
      <c r="W72" s="404">
        <f t="shared" si="10"/>
        <v>23.204106635669135</v>
      </c>
      <c r="X72" s="157">
        <f t="shared" si="11"/>
        <v>45715</v>
      </c>
      <c r="Y72" s="387">
        <f t="shared" si="12"/>
        <v>22.136502617853111</v>
      </c>
      <c r="Z72" s="387">
        <f t="shared" si="22"/>
        <v>23.409142417214266</v>
      </c>
      <c r="AA72" s="388">
        <f t="shared" si="13"/>
        <v>26.973096078982213</v>
      </c>
      <c r="AB72" s="199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0.1321299435308439</v>
      </c>
      <c r="AD72" s="233">
        <f>(INDEX(Models!$BJ72:$BT72,,AH72)*(1-AF72)+INDEX(Models!$BJ72:$BT72,,AH72+1)*AF72-ERP_i)*AE72*Ramure*Pc/MaxiM</f>
        <v>5.8628353327433512E-2</v>
      </c>
      <c r="AE72" s="307">
        <f t="shared" si="15"/>
        <v>1</v>
      </c>
      <c r="AF72" s="179">
        <f t="shared" si="23"/>
        <v>0.10882993745791936</v>
      </c>
      <c r="AG72" s="837">
        <f t="shared" si="24"/>
        <v>2</v>
      </c>
      <c r="AH72" s="178">
        <f t="shared" si="16"/>
        <v>8</v>
      </c>
      <c r="AI72" s="227">
        <f t="shared" si="17"/>
        <v>2.1088299374579194</v>
      </c>
      <c r="AJ72" s="267" t="b">
        <f t="shared" si="18"/>
        <v>1</v>
      </c>
      <c r="AK72" s="267" t="b">
        <f t="shared" si="19"/>
        <v>1</v>
      </c>
      <c r="AL72" s="267"/>
      <c r="AM72" s="267"/>
      <c r="AN72" s="75"/>
    </row>
    <row r="73" spans="1:40" s="6" customFormat="1" ht="11.25" x14ac:dyDescent="0.2">
      <c r="A73" s="56">
        <f t="shared" si="20"/>
        <v>45716</v>
      </c>
      <c r="B73" s="1139">
        <f>IF(t&gt;Tmaj,'2024'!Wh/'2024'!Env_an*'2025'!Env_an,0.001*'[4]mon-tableau'!$B$217)</f>
        <v>27.663863003240714</v>
      </c>
      <c r="C73" s="866"/>
      <c r="D73" s="395">
        <f t="shared" si="0"/>
        <v>29.254954618907682</v>
      </c>
      <c r="E73" s="387">
        <f t="shared" si="1"/>
        <v>32.163687288348285</v>
      </c>
      <c r="F73" s="387">
        <f t="shared" si="2"/>
        <v>33.842148866545301</v>
      </c>
      <c r="G73" s="110">
        <f t="shared" si="21"/>
        <v>0.90586389010146395</v>
      </c>
      <c r="H73" s="414" t="b">
        <f>Wh_hp&gt;='2024'!Maxi_hp</f>
        <v>0</v>
      </c>
      <c r="I73" s="392">
        <f>IF(H73,Wh_hp,'2024'!Maxi_hp)</f>
        <v>34.03299855797831</v>
      </c>
      <c r="J73" s="85">
        <f>IF(H73,An,'2024'!An_max)</f>
        <v>2022</v>
      </c>
      <c r="K73" s="199">
        <f t="shared" si="3"/>
        <v>45716</v>
      </c>
      <c r="L73" s="147">
        <f>IF(t&lt;Tvie,1-EXP((T0-t)*PertePVj)+'2024'!Pspv,1-EXP((T0-t)*PertePVj)+Pspv)</f>
        <v>5.438708199665554E-2</v>
      </c>
      <c r="M73" s="870"/>
      <c r="N73" s="870"/>
      <c r="O73" s="48">
        <f>IF(t&lt;Tnet,'2024'!Resal+('2024'!Salim-'2024'!Resal)*(1-EXP(('2024'!Tnet-t)/('2024'!Tau_j))),Resal+(Salim-Resal)*(1-EXP((Tnet-t)/(Tau_j))))*Salcycl</f>
        <v>9.0435298769190861E-2</v>
      </c>
      <c r="P73" s="171">
        <f>(INDEX(Models!$BJ73:$BT73,,T73)*(1-R73)+INDEX(Models!$BJ73:$BT73,,T73+1)*R73-ERP_i)*Q73*Ramure*Pc/MaxiM</f>
        <v>5.6667781658747335E-2</v>
      </c>
      <c r="Q73" s="307">
        <f t="shared" si="4"/>
        <v>1</v>
      </c>
      <c r="R73" s="179">
        <f t="shared" si="5"/>
        <v>0.10924442365954201</v>
      </c>
      <c r="S73" s="837">
        <f t="shared" si="6"/>
        <v>2</v>
      </c>
      <c r="T73" s="178">
        <f t="shared" si="7"/>
        <v>8</v>
      </c>
      <c r="U73" s="253">
        <f t="shared" si="8"/>
        <v>2.109244423659542</v>
      </c>
      <c r="V73" s="385">
        <f t="shared" si="9"/>
        <v>30.311445333108285</v>
      </c>
      <c r="W73" s="404">
        <f t="shared" si="10"/>
        <v>27.663863003240714</v>
      </c>
      <c r="X73" s="157">
        <f t="shared" si="11"/>
        <v>45716</v>
      </c>
      <c r="Y73" s="387">
        <f t="shared" si="12"/>
        <v>26.393241370051403</v>
      </c>
      <c r="Z73" s="387">
        <f t="shared" si="22"/>
        <v>27.91125297418796</v>
      </c>
      <c r="AA73" s="388">
        <f t="shared" si="13"/>
        <v>32.163687288348285</v>
      </c>
      <c r="AB73" s="199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0.13221227641088354</v>
      </c>
      <c r="AD73" s="233">
        <f>(INDEX(Models!$BJ73:$BT73,,AH73)*(1-AF73)+INDEX(Models!$BJ73:$BT73,,AH73+1)*AF73-ERP_i)*AE73*Ramure*Pc/MaxiM</f>
        <v>5.6667781658747335E-2</v>
      </c>
      <c r="AE73" s="307">
        <f t="shared" si="15"/>
        <v>1</v>
      </c>
      <c r="AF73" s="179">
        <f t="shared" si="23"/>
        <v>0.10924442365954201</v>
      </c>
      <c r="AG73" s="837">
        <f t="shared" si="24"/>
        <v>2</v>
      </c>
      <c r="AH73" s="178">
        <f t="shared" si="16"/>
        <v>8</v>
      </c>
      <c r="AI73" s="227">
        <f t="shared" si="17"/>
        <v>2.109244423659542</v>
      </c>
      <c r="AJ73" s="267" t="b">
        <f t="shared" si="18"/>
        <v>1</v>
      </c>
      <c r="AK73" s="267" t="b">
        <f t="shared" si="19"/>
        <v>1</v>
      </c>
      <c r="AL73" s="267"/>
      <c r="AM73" s="267"/>
      <c r="AN73" s="75"/>
    </row>
    <row r="74" spans="1:40" s="6" customFormat="1" ht="11.25" x14ac:dyDescent="0.2">
      <c r="A74" s="56">
        <f t="shared" si="20"/>
        <v>45717</v>
      </c>
      <c r="B74" s="1139">
        <f>IF(t&gt;Tmaj,'2024'!Wh/'2024'!Env_an*'2025'!Env_an,0.001*'[5]mon-tableau'!$B$208)</f>
        <v>30.450803179830206</v>
      </c>
      <c r="C74" s="866"/>
      <c r="D74" s="395">
        <f t="shared" si="0"/>
        <v>32.2029355259819</v>
      </c>
      <c r="E74" s="387">
        <f t="shared" si="1"/>
        <v>35.411039572890722</v>
      </c>
      <c r="F74" s="387">
        <f t="shared" si="2"/>
        <v>37.433146318733499</v>
      </c>
      <c r="G74" s="110">
        <f t="shared" si="21"/>
        <v>0.9901662845298036</v>
      </c>
      <c r="H74" s="414" t="b">
        <f>Wh_hp&gt;='2024'!Maxi_hp</f>
        <v>0</v>
      </c>
      <c r="I74" s="392">
        <f>IF(H74,Wh_hp,'2024'!Maxi_hp)</f>
        <v>37.454455213013745</v>
      </c>
      <c r="J74" s="85">
        <f>IF(H74,An,'2024'!An_max)</f>
        <v>2022</v>
      </c>
      <c r="K74" s="199">
        <f t="shared" si="3"/>
        <v>45717</v>
      </c>
      <c r="L74" s="147">
        <f>IF(t&lt;Tvie,1-EXP((T0-t)*PertePVj)+'2024'!Pspv,1-EXP((T0-t)*PertePVj)+Pspv)</f>
        <v>5.4409087790709076E-2</v>
      </c>
      <c r="M74" s="870"/>
      <c r="N74" s="870"/>
      <c r="O74" s="48">
        <f>IF(t&lt;Tnet,'2024'!Resal+('2024'!Salim-'2024'!Resal)*(1-EXP(('2024'!Tnet-t)/('2024'!Tau_j))),Resal+(Salim-Resal)*(1-EXP((Tnet-t)/(Tau_j))))*Salcycl</f>
        <v>9.0596155481547105E-2</v>
      </c>
      <c r="P74" s="171">
        <f>(INDEX(Models!$BJ74:$BT74,,T74)*(1-R74)+INDEX(Models!$BJ74:$BT74,,T74+1)*R74-ERP_i)*Q74*Ramure*Pc/MaxiM</f>
        <v>5.4729801695489827E-2</v>
      </c>
      <c r="Q74" s="307">
        <f t="shared" si="4"/>
        <v>1</v>
      </c>
      <c r="R74" s="179">
        <f t="shared" si="5"/>
        <v>0.10967576988262451</v>
      </c>
      <c r="S74" s="837">
        <f t="shared" si="6"/>
        <v>2</v>
      </c>
      <c r="T74" s="178">
        <f t="shared" si="7"/>
        <v>8</v>
      </c>
      <c r="U74" s="253">
        <f t="shared" si="8"/>
        <v>2.1096757698826245</v>
      </c>
      <c r="V74" s="385">
        <f t="shared" si="9"/>
        <v>30.730118786844898</v>
      </c>
      <c r="W74" s="404">
        <f t="shared" si="10"/>
        <v>30.450803179830206</v>
      </c>
      <c r="X74" s="157">
        <f t="shared" si="11"/>
        <v>45717</v>
      </c>
      <c r="Y74" s="387">
        <f t="shared" si="12"/>
        <v>29.054563510737029</v>
      </c>
      <c r="Z74" s="387">
        <f t="shared" si="22"/>
        <v>30.726356541280172</v>
      </c>
      <c r="AA74" s="388">
        <f t="shared" si="13"/>
        <v>35.411039572890722</v>
      </c>
      <c r="AB74" s="199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0.13229442253361456</v>
      </c>
      <c r="AD74" s="233">
        <f>(INDEX(Models!$BJ74:$BT74,,AH74)*(1-AF74)+INDEX(Models!$BJ74:$BT74,,AH74+1)*AF74-ERP_i)*AE74*Ramure*Pc/MaxiM</f>
        <v>5.4729801695489827E-2</v>
      </c>
      <c r="AE74" s="307">
        <f t="shared" si="15"/>
        <v>1</v>
      </c>
      <c r="AF74" s="179">
        <f t="shared" si="23"/>
        <v>0.10967576988262451</v>
      </c>
      <c r="AG74" s="837">
        <f t="shared" si="24"/>
        <v>2</v>
      </c>
      <c r="AH74" s="178">
        <f t="shared" si="16"/>
        <v>8</v>
      </c>
      <c r="AI74" s="227">
        <f t="shared" si="17"/>
        <v>2.1096757698826245</v>
      </c>
      <c r="AJ74" s="267" t="b">
        <f t="shared" si="18"/>
        <v>1</v>
      </c>
      <c r="AK74" s="267" t="b">
        <f t="shared" si="19"/>
        <v>1</v>
      </c>
      <c r="AL74" s="267"/>
      <c r="AM74" s="267"/>
      <c r="AN74" s="75"/>
    </row>
    <row r="75" spans="1:40" s="6" customFormat="1" ht="11.25" x14ac:dyDescent="0.2">
      <c r="A75" s="56">
        <f t="shared" si="20"/>
        <v>45718</v>
      </c>
      <c r="B75" s="1139">
        <f>IF(t&gt;Tmaj,'2024'!Wh/'2024'!Env_an*'2025'!Env_an,0.001*'[5]mon-tableau'!$B$209)</f>
        <v>14.153438371167383</v>
      </c>
      <c r="C75" s="866"/>
      <c r="D75" s="395">
        <f t="shared" si="0"/>
        <v>14.968172353677978</v>
      </c>
      <c r="E75" s="387">
        <f t="shared" si="1"/>
        <v>16.462230162883952</v>
      </c>
      <c r="F75" s="387">
        <f t="shared" si="2"/>
        <v>16.656204030416752</v>
      </c>
      <c r="G75" s="110">
        <f t="shared" si="21"/>
        <v>0.43542615769849274</v>
      </c>
      <c r="H75" s="414" t="b">
        <f>Wh_hp&gt;='2024'!Maxi_hp</f>
        <v>0</v>
      </c>
      <c r="I75" s="392">
        <f>IF(H75,Wh_hp,'2024'!Maxi_hp)</f>
        <v>26.22963515117911</v>
      </c>
      <c r="J75" s="85">
        <f>IF(H75,An,'2024'!An_max)</f>
        <v>2020</v>
      </c>
      <c r="K75" s="199">
        <f t="shared" si="3"/>
        <v>45718</v>
      </c>
      <c r="L75" s="147">
        <f>IF(t&lt;Tvie,1-EXP((T0-t)*PertePVj)+'2024'!Pspv,1-EXP((T0-t)*PertePVj)+Pspv)</f>
        <v>5.443109307265559E-2</v>
      </c>
      <c r="M75" s="870"/>
      <c r="N75" s="870"/>
      <c r="O75" s="48">
        <f>IF(t&lt;Tnet,'2024'!Resal+('2024'!Salim-'2024'!Resal)*(1-EXP(('2024'!Tnet-t)/('2024'!Tau_j))),Resal+(Salim-Resal)*(1-EXP((Tnet-t)/(Tau_j))))*Salcycl</f>
        <v>9.0756707592055466E-2</v>
      </c>
      <c r="P75" s="171">
        <f>(INDEX(Models!$BJ75:$BT75,,T75)*(1-R75)+INDEX(Models!$BJ75:$BT75,,T75+1)*R75-ERP_i)*Q75*Ramure*Pc/MaxiM</f>
        <v>5.2814581303240501E-2</v>
      </c>
      <c r="Q75" s="307">
        <f t="shared" si="4"/>
        <v>1</v>
      </c>
      <c r="R75" s="179">
        <f t="shared" si="5"/>
        <v>0.11012463923959048</v>
      </c>
      <c r="S75" s="837">
        <f t="shared" si="6"/>
        <v>2</v>
      </c>
      <c r="T75" s="178">
        <f t="shared" si="7"/>
        <v>8</v>
      </c>
      <c r="U75" s="253">
        <f t="shared" si="8"/>
        <v>2.1101246392395905</v>
      </c>
      <c r="V75" s="385">
        <f t="shared" si="9"/>
        <v>31.150843391961125</v>
      </c>
      <c r="W75" s="404">
        <f t="shared" si="10"/>
        <v>14.153438371167383</v>
      </c>
      <c r="X75" s="157">
        <f t="shared" si="11"/>
        <v>45718</v>
      </c>
      <c r="Y75" s="387">
        <f t="shared" si="12"/>
        <v>13.50557891898311</v>
      </c>
      <c r="Z75" s="387">
        <f t="shared" si="22"/>
        <v>14.28301927024008</v>
      </c>
      <c r="AA75" s="388">
        <f t="shared" si="13"/>
        <v>16.462230162883952</v>
      </c>
      <c r="AB75" s="199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0.13237640775775086</v>
      </c>
      <c r="AD75" s="233">
        <f>(INDEX(Models!$BJ75:$BT75,,AH75)*(1-AF75)+INDEX(Models!$BJ75:$BT75,,AH75+1)*AF75-ERP_i)*AE75*Ramure*Pc/MaxiM</f>
        <v>5.2814581303240501E-2</v>
      </c>
      <c r="AE75" s="307">
        <f t="shared" si="15"/>
        <v>1</v>
      </c>
      <c r="AF75" s="179">
        <f t="shared" si="23"/>
        <v>0.11012463923959048</v>
      </c>
      <c r="AG75" s="837">
        <f t="shared" si="24"/>
        <v>2</v>
      </c>
      <c r="AH75" s="178">
        <f t="shared" si="16"/>
        <v>8</v>
      </c>
      <c r="AI75" s="227">
        <f t="shared" si="17"/>
        <v>2.1101246392395905</v>
      </c>
      <c r="AJ75" s="267" t="b">
        <f t="shared" si="18"/>
        <v>1</v>
      </c>
      <c r="AK75" s="267" t="b">
        <f t="shared" si="19"/>
        <v>1</v>
      </c>
      <c r="AL75" s="267"/>
      <c r="AM75" s="267"/>
      <c r="AN75" s="75"/>
    </row>
    <row r="76" spans="1:40" s="6" customFormat="1" ht="11.25" x14ac:dyDescent="0.2">
      <c r="A76" s="56">
        <f t="shared" si="20"/>
        <v>45719</v>
      </c>
      <c r="B76" s="1139">
        <f>IF(t&gt;Tmaj,'2024'!Wh/'2024'!Env_an*'2025'!Env_an,0.001*'[5]mon-tableau'!$B$210)</f>
        <v>29.290967484985075</v>
      </c>
      <c r="C76" s="866"/>
      <c r="D76" s="395">
        <f t="shared" si="0"/>
        <v>30.977804927656873</v>
      </c>
      <c r="E76" s="387">
        <f t="shared" si="1"/>
        <v>34.075881011637129</v>
      </c>
      <c r="F76" s="387">
        <f t="shared" si="2"/>
        <v>35.706368200320249</v>
      </c>
      <c r="G76" s="110">
        <f t="shared" si="21"/>
        <v>0.9226035541248786</v>
      </c>
      <c r="H76" s="414" t="b">
        <f>Wh_hp&gt;='2024'!Maxi_hp</f>
        <v>0</v>
      </c>
      <c r="I76" s="392">
        <f>IF(H76,Wh_hp,'2024'!Maxi_hp)</f>
        <v>35.856959587503439</v>
      </c>
      <c r="J76" s="85">
        <f>IF(H76,An,'2024'!An_max)</f>
        <v>2022</v>
      </c>
      <c r="K76" s="199">
        <f t="shared" si="3"/>
        <v>45719</v>
      </c>
      <c r="L76" s="147">
        <f>IF(t&lt;Tvie,1-EXP((T0-t)*PertePVj)+'2024'!Pspv,1-EXP((T0-t)*PertePVj)+Pspv)</f>
        <v>5.445309784250707E-2</v>
      </c>
      <c r="M76" s="870"/>
      <c r="N76" s="870"/>
      <c r="O76" s="48">
        <f>IF(t&lt;Tnet,'2024'!Resal+('2024'!Salim-'2024'!Resal)*(1-EXP(('2024'!Tnet-t)/('2024'!Tau_j))),Resal+(Salim-Resal)*(1-EXP((Tnet-t)/(Tau_j))))*Salcycl</f>
        <v>9.0916976817774386E-2</v>
      </c>
      <c r="P76" s="171">
        <f>(INDEX(Models!$BJ76:$BT76,,T76)*(1-R76)+INDEX(Models!$BJ76:$BT76,,T76+1)*R76-ERP_i)*Q76*Ramure*Pc/MaxiM</f>
        <v>5.0922186330098304E-2</v>
      </c>
      <c r="Q76" s="307">
        <f t="shared" si="4"/>
        <v>1</v>
      </c>
      <c r="R76" s="179">
        <f t="shared" si="5"/>
        <v>0.11059171901339138</v>
      </c>
      <c r="S76" s="837">
        <f t="shared" si="6"/>
        <v>2</v>
      </c>
      <c r="T76" s="178">
        <f t="shared" si="7"/>
        <v>8</v>
      </c>
      <c r="U76" s="253">
        <f t="shared" si="8"/>
        <v>2.1105917190133914</v>
      </c>
      <c r="V76" s="385">
        <f t="shared" si="9"/>
        <v>31.57322907391675</v>
      </c>
      <c r="W76" s="404">
        <f t="shared" si="10"/>
        <v>29.290967484985075</v>
      </c>
      <c r="X76" s="157">
        <f t="shared" si="11"/>
        <v>45719</v>
      </c>
      <c r="Y76" s="387">
        <f t="shared" si="12"/>
        <v>27.952492957513218</v>
      </c>
      <c r="Z76" s="387">
        <f t="shared" si="22"/>
        <v>29.562248994452709</v>
      </c>
      <c r="AA76" s="388">
        <f t="shared" si="13"/>
        <v>34.075881011637129</v>
      </c>
      <c r="AB76" s="199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0.13245826324029547</v>
      </c>
      <c r="AD76" s="233">
        <f>(INDEX(Models!$BJ76:$BT76,,AH76)*(1-AF76)+INDEX(Models!$BJ76:$BT76,,AH76+1)*AF76-ERP_i)*AE76*Ramure*Pc/MaxiM</f>
        <v>5.0922186330098304E-2</v>
      </c>
      <c r="AE76" s="307">
        <f t="shared" si="15"/>
        <v>1</v>
      </c>
      <c r="AF76" s="179">
        <f t="shared" si="23"/>
        <v>0.11059171901339138</v>
      </c>
      <c r="AG76" s="837">
        <f t="shared" si="24"/>
        <v>2</v>
      </c>
      <c r="AH76" s="178">
        <f t="shared" si="16"/>
        <v>8</v>
      </c>
      <c r="AI76" s="227">
        <f t="shared" si="17"/>
        <v>2.1105917190133914</v>
      </c>
      <c r="AJ76" s="267" t="b">
        <f t="shared" si="18"/>
        <v>1</v>
      </c>
      <c r="AK76" s="267" t="b">
        <f t="shared" si="19"/>
        <v>1</v>
      </c>
      <c r="AL76" s="267"/>
      <c r="AM76" s="267"/>
      <c r="AN76" s="75"/>
    </row>
    <row r="77" spans="1:40" s="6" customFormat="1" ht="11.25" x14ac:dyDescent="0.2">
      <c r="A77" s="56">
        <f t="shared" si="20"/>
        <v>45720</v>
      </c>
      <c r="B77" s="1139">
        <f>IF(t&gt;Tmaj,'2024'!Wh/'2024'!Env_an*'2025'!Env_an,0.001*'[5]mon-tableau'!$B$211)</f>
        <v>5.5746655276983441</v>
      </c>
      <c r="C77" s="866"/>
      <c r="D77" s="395">
        <f t="shared" si="0"/>
        <v>5.8958421296797541</v>
      </c>
      <c r="E77" s="387">
        <f t="shared" si="1"/>
        <v>6.4866243410490361</v>
      </c>
      <c r="F77" s="387">
        <f t="shared" si="2"/>
        <v>6.4866243410490361</v>
      </c>
      <c r="G77" s="110">
        <f t="shared" si="21"/>
        <v>0.16567905323187448</v>
      </c>
      <c r="H77" s="414" t="b">
        <f>Wh_hp&gt;='2024'!Maxi_hp</f>
        <v>0</v>
      </c>
      <c r="I77" s="392">
        <f>IF(H77,Wh_hp,'2024'!Maxi_hp)</f>
        <v>29.720518011114656</v>
      </c>
      <c r="J77" s="85">
        <f>IF(H77,An,'2024'!An_max)</f>
        <v>2021</v>
      </c>
      <c r="K77" s="199">
        <f t="shared" si="3"/>
        <v>45720</v>
      </c>
      <c r="L77" s="147">
        <f>IF(t&lt;Tvie,1-EXP((T0-t)*PertePVj)+'2024'!Pspv,1-EXP((T0-t)*PertePVj)+Pspv)</f>
        <v>5.4475102100275397E-2</v>
      </c>
      <c r="M77" s="870"/>
      <c r="N77" s="870"/>
      <c r="O77" s="48">
        <f>IF(t&lt;Tnet,'2024'!Resal+('2024'!Salim-'2024'!Resal)*(1-EXP(('2024'!Tnet-t)/('2024'!Tau_j))),Resal+(Salim-Resal)*(1-EXP((Tnet-t)/(Tau_j))))*Salcycl</f>
        <v>9.1076988631923581E-2</v>
      </c>
      <c r="P77" s="171">
        <f>(INDEX(Models!$BJ77:$BT77,,T77)*(1-R77)+INDEX(Models!$BJ77:$BT77,,T77+1)*R77-ERP_i)*Q77*Ramure*Pc/MaxiM</f>
        <v>4.905258911047751E-2</v>
      </c>
      <c r="Q77" s="307">
        <f t="shared" si="4"/>
        <v>1</v>
      </c>
      <c r="R77" s="179">
        <f t="shared" si="5"/>
        <v>0.11107772137652905</v>
      </c>
      <c r="S77" s="837">
        <f t="shared" si="6"/>
        <v>2</v>
      </c>
      <c r="T77" s="178">
        <f t="shared" si="7"/>
        <v>8</v>
      </c>
      <c r="U77" s="253">
        <f t="shared" si="8"/>
        <v>2.111077721376529</v>
      </c>
      <c r="V77" s="385">
        <f t="shared" si="9"/>
        <v>31.996885826722782</v>
      </c>
      <c r="W77" s="404">
        <f t="shared" si="10"/>
        <v>5.5746655276983441</v>
      </c>
      <c r="X77" s="157">
        <f t="shared" si="11"/>
        <v>45720</v>
      </c>
      <c r="Y77" s="387">
        <f t="shared" si="12"/>
        <v>5.3203617426564334</v>
      </c>
      <c r="Z77" s="387">
        <f t="shared" si="22"/>
        <v>5.626886985709679</v>
      </c>
      <c r="AA77" s="388">
        <f t="shared" si="13"/>
        <v>6.4866243410490361</v>
      </c>
      <c r="AB77" s="199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0.13254002546420288</v>
      </c>
      <c r="AD77" s="233">
        <f>(INDEX(Models!$BJ77:$BT77,,AH77)*(1-AF77)+INDEX(Models!$BJ77:$BT77,,AH77+1)*AF77-ERP_i)*AE77*Ramure*Pc/MaxiM</f>
        <v>4.905258911047751E-2</v>
      </c>
      <c r="AE77" s="307">
        <f t="shared" si="15"/>
        <v>1</v>
      </c>
      <c r="AF77" s="179">
        <f t="shared" si="23"/>
        <v>0.11107772137652905</v>
      </c>
      <c r="AG77" s="837">
        <f t="shared" si="24"/>
        <v>2</v>
      </c>
      <c r="AH77" s="178">
        <f t="shared" si="16"/>
        <v>8</v>
      </c>
      <c r="AI77" s="227">
        <f t="shared" si="17"/>
        <v>2.111077721376529</v>
      </c>
      <c r="AJ77" s="267" t="b">
        <f t="shared" si="18"/>
        <v>1</v>
      </c>
      <c r="AK77" s="267" t="b">
        <f t="shared" si="19"/>
        <v>1</v>
      </c>
      <c r="AL77" s="267"/>
      <c r="AM77" s="267"/>
      <c r="AN77" s="75"/>
    </row>
    <row r="78" spans="1:40" s="6" customFormat="1" ht="11.25" x14ac:dyDescent="0.2">
      <c r="A78" s="56">
        <f t="shared" si="20"/>
        <v>45721</v>
      </c>
      <c r="B78" s="1139">
        <f>IF(t&gt;Tmaj,'2024'!Wh/'2024'!Env_an*'2025'!Env_an,0.001*'[5]mon-tableau'!$B$212)</f>
        <v>12.510373330578252</v>
      </c>
      <c r="C78" s="866"/>
      <c r="D78" s="395">
        <f t="shared" si="0"/>
        <v>13.231449007643381</v>
      </c>
      <c r="E78" s="387">
        <f t="shared" si="1"/>
        <v>14.559841996265758</v>
      </c>
      <c r="F78" s="387">
        <f t="shared" si="2"/>
        <v>14.644643538467784</v>
      </c>
      <c r="G78" s="110">
        <f t="shared" si="21"/>
        <v>0.3697936866757956</v>
      </c>
      <c r="H78" s="414" t="b">
        <f>Wh_hp&gt;='2024'!Maxi_hp</f>
        <v>0</v>
      </c>
      <c r="I78" s="392">
        <f>IF(H78,Wh_hp,'2024'!Maxi_hp)</f>
        <v>38.596496043622651</v>
      </c>
      <c r="J78" s="85">
        <f>IF(H78,An,'2024'!An_max)</f>
        <v>2019</v>
      </c>
      <c r="K78" s="199">
        <f t="shared" si="3"/>
        <v>45721</v>
      </c>
      <c r="L78" s="147">
        <f>IF(t&lt;Tvie,1-EXP((T0-t)*PertePVj)+'2024'!Pspv,1-EXP((T0-t)*PertePVj)+Pspv)</f>
        <v>5.4497105845972449E-2</v>
      </c>
      <c r="M78" s="870"/>
      <c r="N78" s="870"/>
      <c r="O78" s="48">
        <f>IF(t&lt;Tnet,'2024'!Resal+('2024'!Salim-'2024'!Resal)*(1-EXP(('2024'!Tnet-t)/('2024'!Tau_j))),Resal+(Salim-Resal)*(1-EXP((Tnet-t)/(Tau_j))))*Salcycl</f>
        <v>9.1236772278372097E-2</v>
      </c>
      <c r="P78" s="171">
        <f>(INDEX(Models!$BJ78:$BT78,,T78)*(1-R78)+INDEX(Models!$BJ78:$BT78,,T78+1)*R78-ERP_i)*Q78*Ramure*Pc/MaxiM</f>
        <v>4.7205676454617283E-2</v>
      </c>
      <c r="Q78" s="307">
        <f t="shared" si="4"/>
        <v>1</v>
      </c>
      <c r="R78" s="179">
        <f t="shared" si="5"/>
        <v>0.11158338411718294</v>
      </c>
      <c r="S78" s="837">
        <f t="shared" si="6"/>
        <v>2</v>
      </c>
      <c r="T78" s="178">
        <f t="shared" si="7"/>
        <v>8</v>
      </c>
      <c r="U78" s="253">
        <f t="shared" si="8"/>
        <v>2.1115833841171829</v>
      </c>
      <c r="V78" s="385">
        <f t="shared" si="9"/>
        <v>32.421423695619261</v>
      </c>
      <c r="W78" s="404">
        <f t="shared" si="10"/>
        <v>12.510373330578252</v>
      </c>
      <c r="X78" s="157">
        <f t="shared" si="11"/>
        <v>45721</v>
      </c>
      <c r="Y78" s="387">
        <f t="shared" si="12"/>
        <v>11.940652490740963</v>
      </c>
      <c r="Z78" s="387">
        <f t="shared" si="22"/>
        <v>12.628890471482539</v>
      </c>
      <c r="AA78" s="388">
        <f t="shared" si="13"/>
        <v>14.559841996265758</v>
      </c>
      <c r="AB78" s="199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0.13262173623027376</v>
      </c>
      <c r="AD78" s="233">
        <f>(INDEX(Models!$BJ78:$BT78,,AH78)*(1-AF78)+INDEX(Models!$BJ78:$BT78,,AH78+1)*AF78-ERP_i)*AE78*Ramure*Pc/MaxiM</f>
        <v>4.7205676454617283E-2</v>
      </c>
      <c r="AE78" s="307">
        <f t="shared" si="15"/>
        <v>1</v>
      </c>
      <c r="AF78" s="179">
        <f t="shared" si="23"/>
        <v>0.11158338411718294</v>
      </c>
      <c r="AG78" s="837">
        <f t="shared" si="24"/>
        <v>2</v>
      </c>
      <c r="AH78" s="178">
        <f t="shared" si="16"/>
        <v>8</v>
      </c>
      <c r="AI78" s="227">
        <f t="shared" si="17"/>
        <v>2.1115833841171829</v>
      </c>
      <c r="AJ78" s="267" t="b">
        <f t="shared" si="18"/>
        <v>1</v>
      </c>
      <c r="AK78" s="267" t="b">
        <f t="shared" si="19"/>
        <v>1</v>
      </c>
      <c r="AL78" s="267"/>
      <c r="AM78" s="267"/>
      <c r="AN78" s="75"/>
    </row>
    <row r="79" spans="1:40" s="6" customFormat="1" ht="11.25" x14ac:dyDescent="0.2">
      <c r="A79" s="56">
        <f t="shared" si="20"/>
        <v>45722</v>
      </c>
      <c r="B79" s="1139">
        <f>IF(t&gt;Tmaj,'2024'!Wh/'2024'!Env_an*'2025'!Env_an,0.001*'[5]mon-tableau'!$B$213)</f>
        <v>18.375121752087868</v>
      </c>
      <c r="C79" s="866"/>
      <c r="D79" s="395">
        <f t="shared" ref="D79:D142" si="25">Wh/(1-Ppv)</f>
        <v>19.434683374933559</v>
      </c>
      <c r="E79" s="387">
        <f t="shared" si="1"/>
        <v>21.389616479225502</v>
      </c>
      <c r="F79" s="387">
        <f t="shared" ref="F79:F142" si="26">Wh_sa/(1-Pvg*MEDIAN((-Sdif+Wh/Env_an)/Csdif,0,1))</f>
        <v>21.755435216595199</v>
      </c>
      <c r="G79" s="110">
        <f t="shared" si="21"/>
        <v>0.54313562979135688</v>
      </c>
      <c r="H79" s="414" t="b">
        <f>Wh_hp&gt;='2024'!Maxi_hp</f>
        <v>0</v>
      </c>
      <c r="I79" s="392">
        <f>IF(H79,Wh_hp,'2024'!Maxi_hp)</f>
        <v>24.169421383322462</v>
      </c>
      <c r="J79" s="85">
        <f>IF(H79,An,'2024'!An_max)</f>
        <v>2019</v>
      </c>
      <c r="K79" s="199">
        <f t="shared" ref="K79:K142" si="27">t</f>
        <v>45722</v>
      </c>
      <c r="L79" s="147">
        <f>IF(t&lt;Tvie,1-EXP((T0-t)*PertePVj)+'2024'!Pspv,1-EXP((T0-t)*PertePVj)+Pspv)</f>
        <v>5.4519109079610328E-2</v>
      </c>
      <c r="M79" s="870"/>
      <c r="N79" s="870"/>
      <c r="O79" s="48">
        <f>IF(t&lt;Tnet,'2024'!Resal+('2024'!Salim-'2024'!Resal)*(1-EXP(('2024'!Tnet-t)/('2024'!Tau_j))),Resal+(Salim-Resal)*(1-EXP((Tnet-t)/(Tau_j))))*Salcycl</f>
        <v>9.1396360761805032E-2</v>
      </c>
      <c r="P79" s="171">
        <f>(INDEX(Models!$BJ79:$BT79,,T79)*(1-R79)+INDEX(Models!$BJ79:$BT79,,T79+1)*R79-ERP_i)*Q79*Ramure*Pc/MaxiM</f>
        <v>4.5378311306682823E-2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0.11210947137104021</v>
      </c>
      <c r="S79" s="837">
        <f t="shared" ref="S79:S142" si="30">INDEX(Echel_vg,T79)</f>
        <v>2</v>
      </c>
      <c r="T79" s="178">
        <f t="shared" ref="T79:T142" si="31">MIN(MATCH(Hp_vg,Echel_vg),10)</f>
        <v>8</v>
      </c>
      <c r="U79" s="253">
        <f t="shared" ref="U79:U142" si="32">IF(OR(t&lt;Ttai,Notai),Hdd+PousH*Croivg,Hdtf+PousH*(Croivg-Croi_tai))</f>
        <v>2.1121094713710402</v>
      </c>
      <c r="V79" s="385">
        <f t="shared" ref="V79:V142" si="33">MaxiM*(1-Ppv)*(1-Pvg)*(1-Psa)</f>
        <v>32.848686405899258</v>
      </c>
      <c r="W79" s="404">
        <f t="shared" ref="W79:W142" si="34">Wh*(A79&gt;Tmaj)</f>
        <v>18.375121752087868</v>
      </c>
      <c r="X79" s="157">
        <f t="shared" ref="X79:X142" si="35">t</f>
        <v>45722</v>
      </c>
      <c r="Y79" s="387">
        <f t="shared" ref="Y79:Y142" si="36">Wh_pvt_s*(1-Ppv)</f>
        <v>17.539749070887641</v>
      </c>
      <c r="Z79" s="387">
        <f t="shared" ref="Z79:Z142" si="37">Wh_sa_s*(1-Psa_s)</f>
        <v>18.551140736237791</v>
      </c>
      <c r="AA79" s="388">
        <f t="shared" ref="AA79:AA142" si="38">Wh_hp*(1-Pvg_s*MEDIAN((-Sdif+Wh/Env_an)/Csdif,0,1))</f>
        <v>21.389616479225502</v>
      </c>
      <c r="AB79" s="199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0.13270344261406269</v>
      </c>
      <c r="AD79" s="233">
        <f>(INDEX(Models!$BJ79:$BT79,,AH79)*(1-AF79)+INDEX(Models!$BJ79:$BT79,,AH79+1)*AF79-ERP_i)*AE79*Ramure*Pc/MaxiM</f>
        <v>4.5378311306682823E-2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0.11210947137104021</v>
      </c>
      <c r="AG79" s="837">
        <f t="shared" si="24"/>
        <v>2</v>
      </c>
      <c r="AH79" s="178">
        <f t="shared" ref="AH79:AH142" si="42">MIN(MATCH(Hp_vg_s,Echel_vg),10)</f>
        <v>8</v>
      </c>
      <c r="AI79" s="227">
        <f t="shared" ref="AI79:AI142" si="43">IF(OR(t&lt;Ttai,Notai),Hdd_s+PousH*Croivg,Hdtai_s+PousH*(Croivg-Croi_tai))</f>
        <v>2.1121094713710402</v>
      </c>
      <c r="AJ79" s="267" t="b">
        <f t="shared" ref="AJ79:AJ142" si="44">t&lt;Tnet</f>
        <v>1</v>
      </c>
      <c r="AK79" s="267" t="b">
        <f t="shared" ref="AK79:AK142" si="45">t&lt;Ttai</f>
        <v>1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45723</v>
      </c>
      <c r="B80" s="1139">
        <f>IF(t&gt;Tmaj,'2024'!Wh/'2024'!Env_an*'2025'!Env_an,0.001*'[5]mon-tableau'!$B$214)</f>
        <v>31.372905559316344</v>
      </c>
      <c r="C80" s="866"/>
      <c r="D80" s="395">
        <f t="shared" si="25"/>
        <v>33.182728462244505</v>
      </c>
      <c r="E80" s="387">
        <f t="shared" ref="E80:E143" si="47">Wh_pvt/(1-Psa)</f>
        <v>36.526985506333531</v>
      </c>
      <c r="F80" s="387">
        <f t="shared" si="26"/>
        <v>38.049321542260671</v>
      </c>
      <c r="G80" s="110">
        <f t="shared" ref="G80:G143" si="48">+Wh_hp/MaxiM</f>
        <v>0.93919018344069682</v>
      </c>
      <c r="H80" s="414" t="b">
        <f>Wh_hp&gt;='2024'!Maxi_hp</f>
        <v>0</v>
      </c>
      <c r="I80" s="392">
        <f>IF(H80,Wh_hp,'2024'!Maxi_hp)</f>
        <v>38.157203221065181</v>
      </c>
      <c r="J80" s="85">
        <f>IF(H80,An,'2024'!An_max)</f>
        <v>2022</v>
      </c>
      <c r="K80" s="199">
        <f t="shared" si="27"/>
        <v>45723</v>
      </c>
      <c r="L80" s="147">
        <f>IF(t&lt;Tvie,1-EXP((T0-t)*PertePVj)+'2024'!Pspv,1-EXP((T0-t)*PertePVj)+Pspv)</f>
        <v>5.4541111801200692E-2</v>
      </c>
      <c r="M80" s="870"/>
      <c r="N80" s="870"/>
      <c r="O80" s="48">
        <f>IF(t&lt;Tnet,'2024'!Resal+('2024'!Salim-'2024'!Resal)*(1-EXP(('2024'!Tnet-t)/('2024'!Tau_j))),Resal+(Salim-Resal)*(1-EXP((Tnet-t)/(Tau_j))))*Salcycl</f>
        <v>9.1555790814140947E-2</v>
      </c>
      <c r="P80" s="171">
        <f>(INDEX(Models!$BJ80:$BT80,,T80)*(1-R80)+INDEX(Models!$BJ80:$BT80,,T80+1)*R80-ERP_i)*Q80*Ramure*Pc/MaxiM</f>
        <v>4.3577047867266711E-2</v>
      </c>
      <c r="Q80" s="307">
        <f t="shared" si="28"/>
        <v>1</v>
      </c>
      <c r="R80" s="179">
        <f t="shared" si="29"/>
        <v>0.11265677435725019</v>
      </c>
      <c r="S80" s="837">
        <f t="shared" si="30"/>
        <v>2</v>
      </c>
      <c r="T80" s="178">
        <f t="shared" si="31"/>
        <v>8</v>
      </c>
      <c r="U80" s="253">
        <f t="shared" si="32"/>
        <v>2.1126567743572502</v>
      </c>
      <c r="V80" s="385">
        <f t="shared" si="33"/>
        <v>33.280073152003403</v>
      </c>
      <c r="W80" s="404">
        <f t="shared" si="34"/>
        <v>31.372905559316344</v>
      </c>
      <c r="X80" s="157">
        <f t="shared" si="35"/>
        <v>45723</v>
      </c>
      <c r="Y80" s="387">
        <f t="shared" si="36"/>
        <v>29.949057787520498</v>
      </c>
      <c r="Z80" s="387">
        <f t="shared" si="37"/>
        <v>31.676742544117037</v>
      </c>
      <c r="AA80" s="388">
        <f t="shared" si="38"/>
        <v>36.526985506333531</v>
      </c>
      <c r="AB80" s="199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0.1327851968889</v>
      </c>
      <c r="AD80" s="233">
        <f>(INDEX(Models!$BJ80:$BT80,,AH80)*(1-AF80)+INDEX(Models!$BJ80:$BT80,,AH80+1)*AF80-ERP_i)*AE80*Ramure*Pc/MaxiM</f>
        <v>4.3577047867266711E-2</v>
      </c>
      <c r="AE80" s="307">
        <f t="shared" si="40"/>
        <v>1</v>
      </c>
      <c r="AF80" s="179">
        <f t="shared" si="41"/>
        <v>0.11265677435725019</v>
      </c>
      <c r="AG80" s="837">
        <f t="shared" ref="AG80:AG143" si="49">INDEX(Echel_vg,AH80)</f>
        <v>2</v>
      </c>
      <c r="AH80" s="178">
        <f t="shared" si="42"/>
        <v>8</v>
      </c>
      <c r="AI80" s="227">
        <f t="shared" si="43"/>
        <v>2.1126567743572502</v>
      </c>
      <c r="AJ80" s="267" t="b">
        <f t="shared" si="44"/>
        <v>1</v>
      </c>
      <c r="AK80" s="267" t="b">
        <f t="shared" si="45"/>
        <v>1</v>
      </c>
      <c r="AL80" s="267"/>
      <c r="AM80" s="267"/>
      <c r="AN80" s="75"/>
    </row>
    <row r="81" spans="1:40" s="6" customFormat="1" ht="11.25" x14ac:dyDescent="0.2">
      <c r="A81" s="56">
        <f t="shared" si="46"/>
        <v>45724</v>
      </c>
      <c r="B81" s="1139">
        <f>IF(t&gt;Tmaj,'2024'!Wh/'2024'!Env_an*'2025'!Env_an,0.001*'[5]mon-tableau'!$B$215)</f>
        <v>25.345558053986888</v>
      </c>
      <c r="C81" s="866"/>
      <c r="D81" s="395">
        <f t="shared" si="25"/>
        <v>26.808302520867827</v>
      </c>
      <c r="E81" s="387">
        <f t="shared" si="47"/>
        <v>29.515301426492769</v>
      </c>
      <c r="F81" s="387">
        <f t="shared" si="26"/>
        <v>30.333761988462776</v>
      </c>
      <c r="G81" s="110">
        <f t="shared" si="48"/>
        <v>0.74030877231031433</v>
      </c>
      <c r="H81" s="414" t="b">
        <f>Wh_hp&gt;='2024'!Maxi_hp</f>
        <v>0</v>
      </c>
      <c r="I81" s="392">
        <f>IF(H81,Wh_hp,'2024'!Maxi_hp)</f>
        <v>30.688096258779094</v>
      </c>
      <c r="J81" s="85">
        <f>IF(H81,An,'2024'!An_max)</f>
        <v>2022</v>
      </c>
      <c r="K81" s="199">
        <f t="shared" si="27"/>
        <v>45724</v>
      </c>
      <c r="L81" s="147">
        <f>IF(t&lt;Tvie,1-EXP((T0-t)*PertePVj)+'2024'!Pspv,1-EXP((T0-t)*PertePVj)+Pspv)</f>
        <v>5.4563114010755642E-2</v>
      </c>
      <c r="M81" s="870"/>
      <c r="N81" s="870"/>
      <c r="O81" s="48">
        <f>IF(t&lt;Tnet,'2024'!Resal+('2024'!Salim-'2024'!Resal)*(1-EXP(('2024'!Tnet-t)/('2024'!Tau_j))),Resal+(Salim-Resal)*(1-EXP((Tnet-t)/(Tau_j))))*Salcycl</f>
        <v>9.1715102837986145E-2</v>
      </c>
      <c r="P81" s="171">
        <f>(INDEX(Models!$BJ81:$BT81,,T81)*(1-R81)+INDEX(Models!$BJ81:$BT81,,T81+1)*R81-ERP_i)*Q81*Ramure*Pc/MaxiM</f>
        <v>4.1807899393259206E-2</v>
      </c>
      <c r="Q81" s="307">
        <f t="shared" si="28"/>
        <v>1</v>
      </c>
      <c r="R81" s="179">
        <f t="shared" si="29"/>
        <v>0.11322611211674438</v>
      </c>
      <c r="S81" s="837">
        <f t="shared" si="30"/>
        <v>2</v>
      </c>
      <c r="T81" s="178">
        <f t="shared" si="31"/>
        <v>8</v>
      </c>
      <c r="U81" s="253">
        <f t="shared" si="32"/>
        <v>2.1132261121167444</v>
      </c>
      <c r="V81" s="385">
        <f t="shared" si="33"/>
        <v>33.714800984941974</v>
      </c>
      <c r="W81" s="404">
        <f t="shared" si="34"/>
        <v>25.345558053986888</v>
      </c>
      <c r="X81" s="157">
        <f t="shared" si="35"/>
        <v>45724</v>
      </c>
      <c r="Y81" s="387">
        <f t="shared" si="36"/>
        <v>24.197218770006355</v>
      </c>
      <c r="Z81" s="387">
        <f t="shared" si="37"/>
        <v>25.593690206711091</v>
      </c>
      <c r="AA81" s="388">
        <f t="shared" si="38"/>
        <v>29.515301426492769</v>
      </c>
      <c r="AB81" s="199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0.13286705641642746</v>
      </c>
      <c r="AD81" s="233">
        <f>(INDEX(Models!$BJ81:$BT81,,AH81)*(1-AF81)+INDEX(Models!$BJ81:$BT81,,AH81+1)*AF81-ERP_i)*AE81*Ramure*Pc/MaxiM</f>
        <v>4.1807899393259206E-2</v>
      </c>
      <c r="AE81" s="307">
        <f t="shared" si="40"/>
        <v>1</v>
      </c>
      <c r="AF81" s="179">
        <f t="shared" si="41"/>
        <v>0.11322611211674438</v>
      </c>
      <c r="AG81" s="837">
        <f t="shared" si="49"/>
        <v>2</v>
      </c>
      <c r="AH81" s="178">
        <f t="shared" si="42"/>
        <v>8</v>
      </c>
      <c r="AI81" s="227">
        <f t="shared" si="43"/>
        <v>2.1132261121167444</v>
      </c>
      <c r="AJ81" s="267" t="b">
        <f t="shared" si="44"/>
        <v>1</v>
      </c>
      <c r="AK81" s="267" t="b">
        <f t="shared" si="45"/>
        <v>1</v>
      </c>
      <c r="AL81" s="267"/>
      <c r="AM81" s="267"/>
      <c r="AN81" s="75"/>
    </row>
    <row r="82" spans="1:40" s="6" customFormat="1" ht="11.25" x14ac:dyDescent="0.2">
      <c r="A82" s="56">
        <f t="shared" si="46"/>
        <v>45725</v>
      </c>
      <c r="B82" s="1139">
        <f>IF(t&gt;Tmaj,'2024'!Wh/'2024'!Env_an*'2025'!Env_an,0.001*'[5]mon-tableau'!$B$216)</f>
        <v>26.428729892980403</v>
      </c>
      <c r="C82" s="866"/>
      <c r="D82" s="395">
        <f t="shared" si="25"/>
        <v>27.954636987527763</v>
      </c>
      <c r="E82" s="387">
        <f t="shared" si="47"/>
        <v>30.782785075161648</v>
      </c>
      <c r="F82" s="387">
        <f t="shared" si="26"/>
        <v>31.641052021122078</v>
      </c>
      <c r="G82" s="110">
        <f t="shared" si="48"/>
        <v>0.76355210415617347</v>
      </c>
      <c r="H82" s="414" t="b">
        <f>Wh_hp&gt;='2024'!Maxi_hp</f>
        <v>0</v>
      </c>
      <c r="I82" s="392">
        <f>IF(H82,Wh_hp,'2024'!Maxi_hp)</f>
        <v>39.162385004311176</v>
      </c>
      <c r="J82" s="85">
        <f>IF(H82,An,'2024'!An_max)</f>
        <v>2021</v>
      </c>
      <c r="K82" s="199">
        <f t="shared" si="27"/>
        <v>45725</v>
      </c>
      <c r="L82" s="147">
        <f>IF(t&lt;Tvie,1-EXP((T0-t)*PertePVj)+'2024'!Pspv,1-EXP((T0-t)*PertePVj)+Pspv)</f>
        <v>5.4585115708286946E-2</v>
      </c>
      <c r="M82" s="870"/>
      <c r="N82" s="870"/>
      <c r="O82" s="48">
        <f>IF(t&lt;Tnet,'2024'!Resal+('2024'!Salim-'2024'!Resal)*(1-EXP(('2024'!Tnet-t)/('2024'!Tau_j))),Resal+(Salim-Resal)*(1-EXP((Tnet-t)/(Tau_j))))*Salcycl</f>
        <v>9.1874340828110829E-2</v>
      </c>
      <c r="P82" s="171">
        <f>(INDEX(Models!$BJ82:$BT82,,T82)*(1-R82)+INDEX(Models!$BJ82:$BT82,,T82+1)*R82-ERP_i)*Q82*Ramure*Pc/MaxiM</f>
        <v>4.0070897627927642E-2</v>
      </c>
      <c r="Q82" s="307">
        <f t="shared" si="28"/>
        <v>1</v>
      </c>
      <c r="R82" s="179">
        <f t="shared" si="29"/>
        <v>0.11381833225096605</v>
      </c>
      <c r="S82" s="837">
        <f t="shared" si="30"/>
        <v>2</v>
      </c>
      <c r="T82" s="178">
        <f t="shared" si="31"/>
        <v>8</v>
      </c>
      <c r="U82" s="253">
        <f t="shared" si="32"/>
        <v>2.113818332250966</v>
      </c>
      <c r="V82" s="385">
        <f t="shared" si="33"/>
        <v>34.1522858829575</v>
      </c>
      <c r="W82" s="404">
        <f t="shared" si="34"/>
        <v>26.428729892980403</v>
      </c>
      <c r="X82" s="157">
        <f t="shared" si="35"/>
        <v>45725</v>
      </c>
      <c r="Y82" s="387">
        <f t="shared" si="36"/>
        <v>25.233352063158947</v>
      </c>
      <c r="Z82" s="387">
        <f t="shared" si="37"/>
        <v>26.690242011646873</v>
      </c>
      <c r="AA82" s="388">
        <f t="shared" si="38"/>
        <v>30.782785075161648</v>
      </c>
      <c r="AB82" s="199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0.13294908350632031</v>
      </c>
      <c r="AD82" s="233">
        <f>(INDEX(Models!$BJ82:$BT82,,AH82)*(1-AF82)+INDEX(Models!$BJ82:$BT82,,AH82+1)*AF82-ERP_i)*AE82*Ramure*Pc/MaxiM</f>
        <v>4.0070897627927642E-2</v>
      </c>
      <c r="AE82" s="307">
        <f t="shared" si="40"/>
        <v>1</v>
      </c>
      <c r="AF82" s="179">
        <f t="shared" si="41"/>
        <v>0.11381833225096605</v>
      </c>
      <c r="AG82" s="837">
        <f t="shared" si="49"/>
        <v>2</v>
      </c>
      <c r="AH82" s="178">
        <f t="shared" si="42"/>
        <v>8</v>
      </c>
      <c r="AI82" s="227">
        <f t="shared" si="43"/>
        <v>2.113818332250966</v>
      </c>
      <c r="AJ82" s="267" t="b">
        <f t="shared" si="44"/>
        <v>1</v>
      </c>
      <c r="AK82" s="267" t="b">
        <f t="shared" si="45"/>
        <v>1</v>
      </c>
      <c r="AL82" s="267"/>
      <c r="AM82" s="267"/>
      <c r="AN82" s="75"/>
    </row>
    <row r="83" spans="1:40" s="6" customFormat="1" ht="11.25" x14ac:dyDescent="0.2">
      <c r="A83" s="56">
        <f t="shared" si="46"/>
        <v>45726</v>
      </c>
      <c r="B83" s="1139">
        <f>IF(t&gt;Tmaj,'2024'!Wh/'2024'!Env_an*'2025'!Env_an,0.001*'[5]mon-tableau'!$B$217)</f>
        <v>18.565493862380364</v>
      </c>
      <c r="C83" s="866"/>
      <c r="D83" s="395">
        <f t="shared" si="25"/>
        <v>19.637860823937423</v>
      </c>
      <c r="E83" s="387">
        <f t="shared" si="47"/>
        <v>21.628399235544027</v>
      </c>
      <c r="F83" s="387">
        <f t="shared" si="26"/>
        <v>21.912676001603781</v>
      </c>
      <c r="G83" s="110">
        <f t="shared" si="48"/>
        <v>0.52289249831278073</v>
      </c>
      <c r="H83" s="414" t="b">
        <f>Wh_hp&gt;='2024'!Maxi_hp</f>
        <v>0</v>
      </c>
      <c r="I83" s="392">
        <f>IF(H83,Wh_hp,'2024'!Maxi_hp)</f>
        <v>39.155466400635383</v>
      </c>
      <c r="J83" s="85">
        <f>IF(H83,An,'2024'!An_max)</f>
        <v>2021</v>
      </c>
      <c r="K83" s="199">
        <f t="shared" si="27"/>
        <v>45726</v>
      </c>
      <c r="L83" s="147">
        <f>IF(t&lt;Tvie,1-EXP((T0-t)*PertePVj)+'2024'!Pspv,1-EXP((T0-t)*PertePVj)+Pspv)</f>
        <v>5.4607116893806706E-2</v>
      </c>
      <c r="M83" s="870"/>
      <c r="N83" s="870"/>
      <c r="O83" s="48">
        <f>IF(t&lt;Tnet,'2024'!Resal+('2024'!Salim-'2024'!Resal)*(1-EXP(('2024'!Tnet-t)/('2024'!Tau_j))),Resal+(Salim-Resal)*(1-EXP((Tnet-t)/(Tau_j))))*Salcycl</f>
        <v>9.2033552272114641E-2</v>
      </c>
      <c r="P83" s="171">
        <f>(INDEX(Models!$BJ83:$BT83,,T83)*(1-R83)+INDEX(Models!$BJ83:$BT83,,T83+1)*R83-ERP_i)*Q83*Ramure*Pc/MaxiM</f>
        <v>3.8365942103735846E-2</v>
      </c>
      <c r="Q83" s="307">
        <f t="shared" si="28"/>
        <v>1</v>
      </c>
      <c r="R83" s="179">
        <f t="shared" si="29"/>
        <v>0.11443431165883755</v>
      </c>
      <c r="S83" s="837">
        <f t="shared" si="30"/>
        <v>2</v>
      </c>
      <c r="T83" s="178">
        <f t="shared" si="31"/>
        <v>8</v>
      </c>
      <c r="U83" s="253">
        <f t="shared" si="32"/>
        <v>2.1144343116588376</v>
      </c>
      <c r="V83" s="385">
        <f t="shared" si="33"/>
        <v>34.591944155528338</v>
      </c>
      <c r="W83" s="404">
        <f t="shared" si="34"/>
        <v>18.565493862380364</v>
      </c>
      <c r="X83" s="157">
        <f t="shared" si="35"/>
        <v>45726</v>
      </c>
      <c r="Y83" s="387">
        <f t="shared" si="36"/>
        <v>17.727198267038563</v>
      </c>
      <c r="Z83" s="387">
        <f t="shared" si="37"/>
        <v>18.751144189698028</v>
      </c>
      <c r="AA83" s="388">
        <f t="shared" si="38"/>
        <v>21.628399235544027</v>
      </c>
      <c r="AB83" s="199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0.13303134524711055</v>
      </c>
      <c r="AD83" s="233">
        <f>(INDEX(Models!$BJ83:$BT83,,AH83)*(1-AF83)+INDEX(Models!$BJ83:$BT83,,AH83+1)*AF83-ERP_i)*AE83*Ramure*Pc/MaxiM</f>
        <v>3.8365942103735846E-2</v>
      </c>
      <c r="AE83" s="307">
        <f t="shared" si="40"/>
        <v>1</v>
      </c>
      <c r="AF83" s="179">
        <f t="shared" si="41"/>
        <v>0.11443431165883755</v>
      </c>
      <c r="AG83" s="837">
        <f t="shared" si="49"/>
        <v>2</v>
      </c>
      <c r="AH83" s="178">
        <f t="shared" si="42"/>
        <v>8</v>
      </c>
      <c r="AI83" s="227">
        <f t="shared" si="43"/>
        <v>2.1144343116588376</v>
      </c>
      <c r="AJ83" s="267" t="b">
        <f t="shared" si="44"/>
        <v>1</v>
      </c>
      <c r="AK83" s="267" t="b">
        <f t="shared" si="45"/>
        <v>1</v>
      </c>
      <c r="AL83" s="267"/>
      <c r="AM83" s="267"/>
      <c r="AN83" s="75"/>
    </row>
    <row r="84" spans="1:40" s="6" customFormat="1" ht="11.25" x14ac:dyDescent="0.2">
      <c r="A84" s="56">
        <f t="shared" si="46"/>
        <v>45727</v>
      </c>
      <c r="B84" s="1139">
        <f>IF(t&gt;Tmaj,'2024'!Wh/'2024'!Env_an*'2025'!Env_an,0.001*'[5]mon-tableau'!$B$218)</f>
        <v>13.223937192175972</v>
      </c>
      <c r="C84" s="866"/>
      <c r="D84" s="395">
        <f t="shared" si="25"/>
        <v>13.988094448337046</v>
      </c>
      <c r="E84" s="387">
        <f t="shared" si="47"/>
        <v>15.408661953683707</v>
      </c>
      <c r="F84" s="387">
        <f t="shared" si="26"/>
        <v>15.471488313100538</v>
      </c>
      <c r="G84" s="110">
        <f t="shared" si="48"/>
        <v>0.36510100637446097</v>
      </c>
      <c r="H84" s="414" t="b">
        <f>Wh_hp&gt;='2024'!Maxi_hp</f>
        <v>0</v>
      </c>
      <c r="I84" s="392">
        <f>IF(H84,Wh_hp,'2024'!Maxi_hp)</f>
        <v>33.082890956820819</v>
      </c>
      <c r="J84" s="85">
        <f>IF(H84,An,'2024'!An_max)</f>
        <v>2019</v>
      </c>
      <c r="K84" s="199">
        <f t="shared" si="27"/>
        <v>45727</v>
      </c>
      <c r="L84" s="147">
        <f>IF(t&lt;Tvie,1-EXP((T0-t)*PertePVj)+'2024'!Pspv,1-EXP((T0-t)*PertePVj)+Pspv)</f>
        <v>5.462911756732669E-2</v>
      </c>
      <c r="M84" s="870"/>
      <c r="N84" s="870"/>
      <c r="O84" s="48">
        <f>IF(t&lt;Tnet,'2024'!Resal+('2024'!Salim-'2024'!Resal)*(1-EXP(('2024'!Tnet-t)/('2024'!Tau_j))),Resal+(Salim-Resal)*(1-EXP((Tnet-t)/(Tau_j))))*Salcycl</f>
        <v>9.2192788031607673E-2</v>
      </c>
      <c r="P84" s="171">
        <f>(INDEX(Models!$BJ84:$BT84,,T84)*(1-R84)+INDEX(Models!$BJ84:$BT84,,T84+1)*R84-ERP_i)*Q84*Ramure*Pc/MaxiM</f>
        <v>3.6692812313439037E-2</v>
      </c>
      <c r="Q84" s="307">
        <f t="shared" si="28"/>
        <v>1</v>
      </c>
      <c r="R84" s="179">
        <f t="shared" si="29"/>
        <v>0.1150749572695684</v>
      </c>
      <c r="S84" s="837">
        <f t="shared" si="30"/>
        <v>2</v>
      </c>
      <c r="T84" s="178">
        <f t="shared" si="31"/>
        <v>8</v>
      </c>
      <c r="U84" s="253">
        <f t="shared" si="32"/>
        <v>2.1150749572695684</v>
      </c>
      <c r="V84" s="385">
        <f t="shared" si="33"/>
        <v>35.033192446009224</v>
      </c>
      <c r="W84" s="404">
        <f t="shared" si="34"/>
        <v>13.223937192175972</v>
      </c>
      <c r="X84" s="157">
        <f t="shared" si="35"/>
        <v>45727</v>
      </c>
      <c r="Y84" s="387">
        <f t="shared" si="36"/>
        <v>12.627843238103441</v>
      </c>
      <c r="Z84" s="387">
        <f t="shared" si="37"/>
        <v>13.357554662154259</v>
      </c>
      <c r="AA84" s="388">
        <f t="shared" si="38"/>
        <v>15.408661953683707</v>
      </c>
      <c r="AB84" s="199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0.13311391331024017</v>
      </c>
      <c r="AD84" s="233">
        <f>(INDEX(Models!$BJ84:$BT84,,AH84)*(1-AF84)+INDEX(Models!$BJ84:$BT84,,AH84+1)*AF84-ERP_i)*AE84*Ramure*Pc/MaxiM</f>
        <v>3.6692812313439037E-2</v>
      </c>
      <c r="AE84" s="307">
        <f t="shared" si="40"/>
        <v>1</v>
      </c>
      <c r="AF84" s="179">
        <f t="shared" si="41"/>
        <v>0.1150749572695684</v>
      </c>
      <c r="AG84" s="837">
        <f t="shared" si="49"/>
        <v>2</v>
      </c>
      <c r="AH84" s="178">
        <f t="shared" si="42"/>
        <v>8</v>
      </c>
      <c r="AI84" s="227">
        <f t="shared" si="43"/>
        <v>2.1150749572695684</v>
      </c>
      <c r="AJ84" s="267" t="b">
        <f t="shared" si="44"/>
        <v>1</v>
      </c>
      <c r="AK84" s="267" t="b">
        <f t="shared" si="45"/>
        <v>1</v>
      </c>
      <c r="AL84" s="267"/>
      <c r="AM84" s="267"/>
      <c r="AN84" s="75"/>
    </row>
    <row r="85" spans="1:40" s="6" customFormat="1" ht="11.25" x14ac:dyDescent="0.2">
      <c r="A85" s="56">
        <f t="shared" si="46"/>
        <v>45728</v>
      </c>
      <c r="B85" s="1139">
        <f>IF(t&gt;Tmaj,'2024'!Wh/'2024'!Env_an*'2025'!Env_an,0.001*'[5]mon-tableau'!$B$219)</f>
        <v>12.553056234294619</v>
      </c>
      <c r="C85" s="866"/>
      <c r="D85" s="395">
        <f t="shared" si="25"/>
        <v>13.278755039236618</v>
      </c>
      <c r="E85" s="387">
        <f t="shared" si="47"/>
        <v>14.629852690124592</v>
      </c>
      <c r="F85" s="387">
        <f t="shared" si="26"/>
        <v>14.669409259791868</v>
      </c>
      <c r="G85" s="110">
        <f t="shared" si="48"/>
        <v>0.34237223708628889</v>
      </c>
      <c r="H85" s="414" t="b">
        <f>Wh_hp&gt;='2024'!Maxi_hp</f>
        <v>0</v>
      </c>
      <c r="I85" s="392">
        <f>IF(H85,Wh_hp,'2024'!Maxi_hp)</f>
        <v>39.998388958381668</v>
      </c>
      <c r="J85" s="85">
        <f>IF(H85,An,'2024'!An_max)</f>
        <v>2020</v>
      </c>
      <c r="K85" s="199">
        <f t="shared" si="27"/>
        <v>45728</v>
      </c>
      <c r="L85" s="147">
        <f>IF(t&lt;Tvie,1-EXP((T0-t)*PertePVj)+'2024'!Pspv,1-EXP((T0-t)*PertePVj)+Pspv)</f>
        <v>5.4651117728858889E-2</v>
      </c>
      <c r="M85" s="870"/>
      <c r="N85" s="870"/>
      <c r="O85" s="48">
        <f>IF(t&lt;Tnet,'2024'!Resal+('2024'!Salim-'2024'!Resal)*(1-EXP(('2024'!Tnet-t)/('2024'!Tau_j))),Resal+(Salim-Resal)*(1-EXP((Tnet-t)/(Tau_j))))*Salcycl</f>
        <v>9.2352102205375486E-2</v>
      </c>
      <c r="P85" s="171">
        <f>(INDEX(Models!$BJ85:$BT85,,T85)*(1-R85)+INDEX(Models!$BJ85:$BT85,,T85+1)*R85-ERP_i)*Q85*Ramure*Pc/MaxiM</f>
        <v>3.5051179126641824E-2</v>
      </c>
      <c r="Q85" s="307">
        <f t="shared" si="28"/>
        <v>1</v>
      </c>
      <c r="R85" s="179">
        <f t="shared" si="29"/>
        <v>0.11574120676866562</v>
      </c>
      <c r="S85" s="837">
        <f t="shared" si="30"/>
        <v>2</v>
      </c>
      <c r="T85" s="178">
        <f t="shared" si="31"/>
        <v>8</v>
      </c>
      <c r="U85" s="253">
        <f t="shared" si="32"/>
        <v>2.1157412067686656</v>
      </c>
      <c r="V85" s="385">
        <f t="shared" si="33"/>
        <v>35.475447739694772</v>
      </c>
      <c r="W85" s="404">
        <f t="shared" si="34"/>
        <v>12.553056234294619</v>
      </c>
      <c r="X85" s="157">
        <f t="shared" si="35"/>
        <v>45728</v>
      </c>
      <c r="Y85" s="387">
        <f t="shared" si="36"/>
        <v>11.988160320872218</v>
      </c>
      <c r="Z85" s="387">
        <f t="shared" si="37"/>
        <v>12.68120219497316</v>
      </c>
      <c r="AA85" s="388">
        <f t="shared" si="38"/>
        <v>14.629852690124592</v>
      </c>
      <c r="AB85" s="199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0.13319686372965356</v>
      </c>
      <c r="AD85" s="233">
        <f>(INDEX(Models!$BJ85:$BT85,,AH85)*(1-AF85)+INDEX(Models!$BJ85:$BT85,,AH85+1)*AF85-ERP_i)*AE85*Ramure*Pc/MaxiM</f>
        <v>3.5051179126641824E-2</v>
      </c>
      <c r="AE85" s="307">
        <f t="shared" si="40"/>
        <v>1</v>
      </c>
      <c r="AF85" s="179">
        <f t="shared" si="41"/>
        <v>0.11574120676866562</v>
      </c>
      <c r="AG85" s="837">
        <f t="shared" si="49"/>
        <v>2</v>
      </c>
      <c r="AH85" s="178">
        <f t="shared" si="42"/>
        <v>8</v>
      </c>
      <c r="AI85" s="227">
        <f t="shared" si="43"/>
        <v>2.1157412067686656</v>
      </c>
      <c r="AJ85" s="267" t="b">
        <f t="shared" si="44"/>
        <v>1</v>
      </c>
      <c r="AK85" s="267" t="b">
        <f t="shared" si="45"/>
        <v>1</v>
      </c>
      <c r="AL85" s="267"/>
      <c r="AM85" s="267"/>
      <c r="AN85" s="75"/>
    </row>
    <row r="86" spans="1:40" s="6" customFormat="1" ht="11.25" x14ac:dyDescent="0.2">
      <c r="A86" s="56">
        <f t="shared" si="46"/>
        <v>45729</v>
      </c>
      <c r="B86" s="1139">
        <f>IF(t&gt;Tmaj,'2024'!Wh/'2024'!Env_an*'2025'!Env_an,0.001*'[5]mon-tableau'!$B$220)</f>
        <v>8.3005389617197665</v>
      </c>
      <c r="C86" s="866"/>
      <c r="D86" s="395">
        <f t="shared" si="25"/>
        <v>8.7806018365844771</v>
      </c>
      <c r="E86" s="387">
        <f t="shared" si="47"/>
        <v>9.6757174768502843</v>
      </c>
      <c r="F86" s="387">
        <f t="shared" si="26"/>
        <v>9.6757174768502843</v>
      </c>
      <c r="G86" s="110">
        <f t="shared" si="48"/>
        <v>0.22336809899677862</v>
      </c>
      <c r="H86" s="414" t="b">
        <f>Wh_hp&gt;='2024'!Maxi_hp</f>
        <v>0</v>
      </c>
      <c r="I86" s="392">
        <f>IF(H86,Wh_hp,'2024'!Maxi_hp)</f>
        <v>40.074289078669288</v>
      </c>
      <c r="J86" s="85">
        <f>IF(H86,An,'2024'!An_max)</f>
        <v>2021</v>
      </c>
      <c r="K86" s="199">
        <f t="shared" si="27"/>
        <v>45729</v>
      </c>
      <c r="L86" s="147">
        <f>IF(t&lt;Tvie,1-EXP((T0-t)*PertePVj)+'2024'!Pspv,1-EXP((T0-t)*PertePVj)+Pspv)</f>
        <v>5.4673117378415181E-2</v>
      </c>
      <c r="M86" s="870"/>
      <c r="N86" s="870"/>
      <c r="O86" s="48">
        <f>IF(t&lt;Tnet,'2024'!Resal+('2024'!Salim-'2024'!Resal)*(1-EXP(('2024'!Tnet-t)/('2024'!Tau_j))),Resal+(Salim-Resal)*(1-EXP((Tnet-t)/(Tau_j))))*Salcycl</f>
        <v>9.2511551976111717E-2</v>
      </c>
      <c r="P86" s="171">
        <f>(INDEX(Models!$BJ86:$BT86,,T86)*(1-R86)+INDEX(Models!$BJ86:$BT86,,T86+1)*R86-ERP_i)*Q86*Ramure*Pc/MaxiM</f>
        <v>3.3482713313280413E-2</v>
      </c>
      <c r="Q86" s="307">
        <f t="shared" si="28"/>
        <v>1</v>
      </c>
      <c r="R86" s="179">
        <f t="shared" si="29"/>
        <v>0.11643402931424962</v>
      </c>
      <c r="S86" s="837">
        <f t="shared" si="30"/>
        <v>2</v>
      </c>
      <c r="T86" s="178">
        <f t="shared" si="31"/>
        <v>8</v>
      </c>
      <c r="U86" s="253">
        <f t="shared" si="32"/>
        <v>2.1164340293142496</v>
      </c>
      <c r="V86" s="385">
        <f t="shared" si="33"/>
        <v>35.916562979902018</v>
      </c>
      <c r="W86" s="404">
        <f t="shared" si="34"/>
        <v>8.3005389617197665</v>
      </c>
      <c r="X86" s="157">
        <f t="shared" si="35"/>
        <v>45729</v>
      </c>
      <c r="Y86" s="387">
        <f t="shared" si="36"/>
        <v>7.9276390219023405</v>
      </c>
      <c r="Z86" s="387">
        <f t="shared" si="37"/>
        <v>8.3861351746576549</v>
      </c>
      <c r="AA86" s="388">
        <f t="shared" si="38"/>
        <v>9.6757174768502843</v>
      </c>
      <c r="AB86" s="199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0.13328027665938266</v>
      </c>
      <c r="AD86" s="233">
        <f>(INDEX(Models!$BJ86:$BT86,,AH86)*(1-AF86)+INDEX(Models!$BJ86:$BT86,,AH86+1)*AF86-ERP_i)*AE86*Ramure*Pc/MaxiM</f>
        <v>3.3482713313280413E-2</v>
      </c>
      <c r="AE86" s="307">
        <f t="shared" si="40"/>
        <v>1</v>
      </c>
      <c r="AF86" s="179">
        <f t="shared" si="41"/>
        <v>0.11643402931424962</v>
      </c>
      <c r="AG86" s="837">
        <f t="shared" si="49"/>
        <v>2</v>
      </c>
      <c r="AH86" s="178">
        <f t="shared" si="42"/>
        <v>8</v>
      </c>
      <c r="AI86" s="227">
        <f t="shared" si="43"/>
        <v>2.1164340293142496</v>
      </c>
      <c r="AJ86" s="267" t="b">
        <f t="shared" si="44"/>
        <v>1</v>
      </c>
      <c r="AK86" s="267" t="b">
        <f t="shared" si="45"/>
        <v>1</v>
      </c>
      <c r="AL86" s="267"/>
      <c r="AM86" s="267"/>
      <c r="AN86" s="75"/>
    </row>
    <row r="87" spans="1:40" s="6" customFormat="1" ht="11.25" x14ac:dyDescent="0.2">
      <c r="A87" s="56">
        <f t="shared" si="46"/>
        <v>45730</v>
      </c>
      <c r="B87" s="1139">
        <f>IF(t&gt;Tmaj,'2024'!Wh/'2024'!Env_an*'2025'!Env_an,0.001*'[5]mon-tableau'!$B$221)</f>
        <v>11.448501057561797</v>
      </c>
      <c r="C87" s="866"/>
      <c r="D87" s="395">
        <f t="shared" si="25"/>
        <v>12.110908615395577</v>
      </c>
      <c r="E87" s="387">
        <f t="shared" si="47"/>
        <v>13.347871886417602</v>
      </c>
      <c r="F87" s="387">
        <f t="shared" si="26"/>
        <v>13.356971995848589</v>
      </c>
      <c r="G87" s="110">
        <f t="shared" si="48"/>
        <v>0.3050358471922261</v>
      </c>
      <c r="H87" s="414" t="b">
        <f>Wh_hp&gt;='2024'!Maxi_hp</f>
        <v>0</v>
      </c>
      <c r="I87" s="392">
        <f>IF(H87,Wh_hp,'2024'!Maxi_hp)</f>
        <v>37.860664680473128</v>
      </c>
      <c r="J87" s="85">
        <f>IF(H87,An,'2024'!An_max)</f>
        <v>2020</v>
      </c>
      <c r="K87" s="199">
        <f t="shared" si="27"/>
        <v>45730</v>
      </c>
      <c r="L87" s="147">
        <f>IF(t&lt;Tvie,1-EXP((T0-t)*PertePVj)+'2024'!Pspv,1-EXP((T0-t)*PertePVj)+Pspv)</f>
        <v>5.4695116516007447E-2</v>
      </c>
      <c r="M87" s="870"/>
      <c r="N87" s="870"/>
      <c r="O87" s="48">
        <f>IF(t&lt;Tnet,'2024'!Resal+('2024'!Salim-'2024'!Resal)*(1-EXP(('2024'!Tnet-t)/('2024'!Tau_j))),Resal+(Salim-Resal)*(1-EXP((Tnet-t)/(Tau_j))))*Salcycl</f>
        <v>9.2671197442396991E-2</v>
      </c>
      <c r="P87" s="171">
        <f>(INDEX(Models!$BJ87:$BT87,,T87)*(1-R87)+INDEX(Models!$BJ87:$BT87,,T87+1)*R87-ERP_i)*Q87*Ramure*Pc/MaxiM</f>
        <v>3.1998052032893479E-2</v>
      </c>
      <c r="Q87" s="307">
        <f t="shared" si="28"/>
        <v>1</v>
      </c>
      <c r="R87" s="179">
        <f t="shared" si="29"/>
        <v>0.11715442624050221</v>
      </c>
      <c r="S87" s="837">
        <f t="shared" si="30"/>
        <v>2</v>
      </c>
      <c r="T87" s="178">
        <f t="shared" si="31"/>
        <v>8</v>
      </c>
      <c r="U87" s="253">
        <f t="shared" si="32"/>
        <v>2.1171544262405022</v>
      </c>
      <c r="V87" s="385">
        <f t="shared" si="33"/>
        <v>36.355486942286177</v>
      </c>
      <c r="W87" s="404">
        <f t="shared" si="34"/>
        <v>11.448501057561797</v>
      </c>
      <c r="X87" s="157">
        <f t="shared" si="35"/>
        <v>45730</v>
      </c>
      <c r="Y87" s="387">
        <f t="shared" si="36"/>
        <v>10.935044089230574</v>
      </c>
      <c r="Z87" s="387">
        <f t="shared" si="37"/>
        <v>11.567743148568791</v>
      </c>
      <c r="AA87" s="388">
        <f t="shared" si="38"/>
        <v>13.347871886417602</v>
      </c>
      <c r="AB87" s="199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0.13336423611169185</v>
      </c>
      <c r="AD87" s="233">
        <f>(INDEX(Models!$BJ87:$BT87,,AH87)*(1-AF87)+INDEX(Models!$BJ87:$BT87,,AH87+1)*AF87-ERP_i)*AE87*Ramure*Pc/MaxiM</f>
        <v>3.1998052032893479E-2</v>
      </c>
      <c r="AE87" s="307">
        <f t="shared" si="40"/>
        <v>1</v>
      </c>
      <c r="AF87" s="179">
        <f t="shared" si="41"/>
        <v>0.11715442624050221</v>
      </c>
      <c r="AG87" s="837">
        <f t="shared" si="49"/>
        <v>2</v>
      </c>
      <c r="AH87" s="178">
        <f t="shared" si="42"/>
        <v>8</v>
      </c>
      <c r="AI87" s="227">
        <f t="shared" si="43"/>
        <v>2.1171544262405022</v>
      </c>
      <c r="AJ87" s="267" t="b">
        <f t="shared" si="44"/>
        <v>1</v>
      </c>
      <c r="AK87" s="267" t="b">
        <f t="shared" si="45"/>
        <v>1</v>
      </c>
      <c r="AL87" s="267"/>
      <c r="AM87" s="267"/>
      <c r="AN87" s="75"/>
    </row>
    <row r="88" spans="1:40" s="6" customFormat="1" ht="11.25" x14ac:dyDescent="0.2">
      <c r="A88" s="56">
        <f t="shared" si="46"/>
        <v>45731</v>
      </c>
      <c r="B88" s="1139">
        <f>IF(t&gt;Tmaj,'2024'!Wh/'2024'!Env_an*'2025'!Env_an,0.001*'[5]mon-tableau'!$B$222)</f>
        <v>13.247005728495976</v>
      </c>
      <c r="C88" s="866"/>
      <c r="D88" s="395">
        <f t="shared" si="25"/>
        <v>14.013800461944255</v>
      </c>
      <c r="E88" s="387">
        <f t="shared" si="47"/>
        <v>15.447840511456205</v>
      </c>
      <c r="F88" s="387">
        <f t="shared" si="26"/>
        <v>15.488494865364109</v>
      </c>
      <c r="G88" s="110">
        <f t="shared" si="48"/>
        <v>0.3499575166605875</v>
      </c>
      <c r="H88" s="414" t="b">
        <f>Wh_hp&gt;='2024'!Maxi_hp</f>
        <v>0</v>
      </c>
      <c r="I88" s="392">
        <f>IF(H88,Wh_hp,'2024'!Maxi_hp)</f>
        <v>32.051148513928005</v>
      </c>
      <c r="J88" s="85">
        <f>IF(H88,An,'2024'!An_max)</f>
        <v>2020</v>
      </c>
      <c r="K88" s="199">
        <f t="shared" si="27"/>
        <v>45731</v>
      </c>
      <c r="L88" s="147">
        <f>IF(t&lt;Tvie,1-EXP((T0-t)*PertePVj)+'2024'!Pspv,1-EXP((T0-t)*PertePVj)+Pspv)</f>
        <v>5.4717115141647676E-2</v>
      </c>
      <c r="M88" s="870"/>
      <c r="N88" s="870"/>
      <c r="O88" s="48">
        <f>IF(t&lt;Tnet,'2024'!Resal+('2024'!Salim-'2024'!Resal)*(1-EXP(('2024'!Tnet-t)/('2024'!Tau_j))),Resal+(Salim-Resal)*(1-EXP((Tnet-t)/(Tau_j))))*Salcycl</f>
        <v>9.2831101437670718E-2</v>
      </c>
      <c r="P88" s="171">
        <f>(INDEX(Models!$BJ88:$BT88,,T88)*(1-R88)+INDEX(Models!$BJ88:$BT88,,T88+1)*R88-ERP_i)*Q88*Ramure*Pc/MaxiM</f>
        <v>3.0594854615773024E-2</v>
      </c>
      <c r="Q88" s="307">
        <f t="shared" si="28"/>
        <v>1</v>
      </c>
      <c r="R88" s="179">
        <f t="shared" si="29"/>
        <v>0.11790343174478668</v>
      </c>
      <c r="S88" s="837">
        <f t="shared" si="30"/>
        <v>2</v>
      </c>
      <c r="T88" s="178">
        <f t="shared" si="31"/>
        <v>8</v>
      </c>
      <c r="U88" s="253">
        <f t="shared" si="32"/>
        <v>2.1179034317447867</v>
      </c>
      <c r="V88" s="385">
        <f t="shared" si="33"/>
        <v>36.791640899329245</v>
      </c>
      <c r="W88" s="404">
        <f t="shared" si="34"/>
        <v>13.247005728495976</v>
      </c>
      <c r="X88" s="157">
        <f t="shared" si="35"/>
        <v>45731</v>
      </c>
      <c r="Y88" s="387">
        <f t="shared" si="36"/>
        <v>12.6538821331694</v>
      </c>
      <c r="Z88" s="387">
        <f t="shared" si="37"/>
        <v>13.386344274143443</v>
      </c>
      <c r="AA88" s="388">
        <f t="shared" si="38"/>
        <v>15.447840511456205</v>
      </c>
      <c r="AB88" s="199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0.133448829678423</v>
      </c>
      <c r="AD88" s="233">
        <f>(INDEX(Models!$BJ88:$BT88,,AH88)*(1-AF88)+INDEX(Models!$BJ88:$BT88,,AH88+1)*AF88-ERP_i)*AE88*Ramure*Pc/MaxiM</f>
        <v>3.0594854615773024E-2</v>
      </c>
      <c r="AE88" s="307">
        <f t="shared" si="40"/>
        <v>1</v>
      </c>
      <c r="AF88" s="179">
        <f t="shared" si="41"/>
        <v>0.11790343174478668</v>
      </c>
      <c r="AG88" s="837">
        <f t="shared" si="49"/>
        <v>2</v>
      </c>
      <c r="AH88" s="178">
        <f t="shared" si="42"/>
        <v>8</v>
      </c>
      <c r="AI88" s="227">
        <f t="shared" si="43"/>
        <v>2.1179034317447867</v>
      </c>
      <c r="AJ88" s="267" t="b">
        <f t="shared" si="44"/>
        <v>1</v>
      </c>
      <c r="AK88" s="267" t="b">
        <f t="shared" si="45"/>
        <v>1</v>
      </c>
      <c r="AL88" s="267"/>
      <c r="AM88" s="267"/>
      <c r="AN88" s="75"/>
    </row>
    <row r="89" spans="1:40" s="6" customFormat="1" ht="11.25" x14ac:dyDescent="0.2">
      <c r="A89" s="56">
        <f t="shared" si="46"/>
        <v>45732</v>
      </c>
      <c r="B89" s="1139">
        <f>IF(t&gt;Tmaj,'2024'!Wh/'2024'!Env_an*'2025'!Env_an,0.001*'[5]mon-tableau'!$B$223)</f>
        <v>11.640076148919871</v>
      </c>
      <c r="C89" s="866"/>
      <c r="D89" s="395">
        <f t="shared" si="25"/>
        <v>12.314141325583336</v>
      </c>
      <c r="E89" s="387">
        <f t="shared" si="47"/>
        <v>13.576652267938563</v>
      </c>
      <c r="F89" s="387">
        <f t="shared" si="26"/>
        <v>13.583865931181331</v>
      </c>
      <c r="G89" s="110">
        <f t="shared" si="48"/>
        <v>0.30370808927007953</v>
      </c>
      <c r="H89" s="414" t="b">
        <f>Wh_hp&gt;='2024'!Maxi_hp</f>
        <v>0</v>
      </c>
      <c r="I89" s="392">
        <f>IF(H89,Wh_hp,'2024'!Maxi_hp)</f>
        <v>45.887721120206436</v>
      </c>
      <c r="J89" s="85">
        <f>IF(H89,An,'2024'!An_max)</f>
        <v>2020</v>
      </c>
      <c r="K89" s="199">
        <f t="shared" si="27"/>
        <v>45732</v>
      </c>
      <c r="L89" s="147">
        <f>IF(t&lt;Tvie,1-EXP((T0-t)*PertePVj)+'2024'!Pspv,1-EXP((T0-t)*PertePVj)+Pspv)</f>
        <v>5.4739113255347749E-2</v>
      </c>
      <c r="M89" s="870"/>
      <c r="N89" s="870"/>
      <c r="O89" s="48">
        <f>IF(t&lt;Tnet,'2024'!Resal+('2024'!Salim-'2024'!Resal)*(1-EXP(('2024'!Tnet-t)/('2024'!Tau_j))),Resal+(Salim-Resal)*(1-EXP((Tnet-t)/(Tau_j))))*Salcycl</f>
        <v>9.2991329337988801E-2</v>
      </c>
      <c r="P89" s="171">
        <f>(INDEX(Models!$BJ89:$BT89,,T89)*(1-R89)+INDEX(Models!$BJ89:$BT89,,T89+1)*R89-ERP_i)*Q89*Ramure*Pc/MaxiM</f>
        <v>2.9270790964808266E-2</v>
      </c>
      <c r="Q89" s="307">
        <f t="shared" si="28"/>
        <v>1</v>
      </c>
      <c r="R89" s="179">
        <f t="shared" si="29"/>
        <v>0.11868211355466718</v>
      </c>
      <c r="S89" s="837">
        <f t="shared" si="30"/>
        <v>2</v>
      </c>
      <c r="T89" s="178">
        <f t="shared" si="31"/>
        <v>8</v>
      </c>
      <c r="U89" s="253">
        <f t="shared" si="32"/>
        <v>2.1186821135546672</v>
      </c>
      <c r="V89" s="385">
        <f t="shared" si="33"/>
        <v>37.224446718344048</v>
      </c>
      <c r="W89" s="404">
        <f t="shared" si="34"/>
        <v>11.640076148919871</v>
      </c>
      <c r="X89" s="157">
        <f t="shared" si="35"/>
        <v>45732</v>
      </c>
      <c r="Y89" s="387">
        <f t="shared" si="36"/>
        <v>11.119770759836726</v>
      </c>
      <c r="Z89" s="387">
        <f t="shared" si="37"/>
        <v>11.76370557141286</v>
      </c>
      <c r="AA89" s="388">
        <f t="shared" si="38"/>
        <v>13.576652267938563</v>
      </c>
      <c r="AB89" s="199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0.13353414823822221</v>
      </c>
      <c r="AD89" s="233">
        <f>(INDEX(Models!$BJ89:$BT89,,AH89)*(1-AF89)+INDEX(Models!$BJ89:$BT89,,AH89+1)*AF89-ERP_i)*AE89*Ramure*Pc/MaxiM</f>
        <v>2.9270790964808266E-2</v>
      </c>
      <c r="AE89" s="307">
        <f t="shared" si="40"/>
        <v>1</v>
      </c>
      <c r="AF89" s="179">
        <f t="shared" si="41"/>
        <v>0.11868211355466718</v>
      </c>
      <c r="AG89" s="837">
        <f t="shared" si="49"/>
        <v>2</v>
      </c>
      <c r="AH89" s="178">
        <f t="shared" si="42"/>
        <v>8</v>
      </c>
      <c r="AI89" s="227">
        <f t="shared" si="43"/>
        <v>2.1186821135546672</v>
      </c>
      <c r="AJ89" s="267" t="b">
        <f t="shared" si="44"/>
        <v>1</v>
      </c>
      <c r="AK89" s="267" t="b">
        <f t="shared" si="45"/>
        <v>1</v>
      </c>
      <c r="AL89" s="267"/>
      <c r="AM89" s="267"/>
      <c r="AN89" s="75"/>
    </row>
    <row r="90" spans="1:40" s="6" customFormat="1" ht="11.25" x14ac:dyDescent="0.2">
      <c r="A90" s="56">
        <f t="shared" si="46"/>
        <v>45733</v>
      </c>
      <c r="B90" s="1139">
        <f>IF(t&gt;Tmaj,'2024'!Wh/'2024'!Env_an*'2025'!Env_an,0.001*'[5]mon-tableau'!$B$224)</f>
        <v>10.219744876553339</v>
      </c>
      <c r="C90" s="866"/>
      <c r="D90" s="395">
        <f t="shared" si="25"/>
        <v>10.811811695369785</v>
      </c>
      <c r="E90" s="387">
        <f t="shared" si="47"/>
        <v>11.922407157166804</v>
      </c>
      <c r="F90" s="387">
        <f t="shared" si="26"/>
        <v>11.922407157166804</v>
      </c>
      <c r="G90" s="110">
        <f t="shared" si="48"/>
        <v>0.26381072129946059</v>
      </c>
      <c r="H90" s="414" t="b">
        <f>Wh_hp&gt;='2024'!Maxi_hp</f>
        <v>0</v>
      </c>
      <c r="I90" s="392">
        <f>IF(H90,Wh_hp,'2024'!Maxi_hp)</f>
        <v>24.980493555127275</v>
      </c>
      <c r="J90" s="85">
        <f>IF(H90,An,'2024'!An_max)</f>
        <v>2021</v>
      </c>
      <c r="K90" s="199">
        <f t="shared" si="27"/>
        <v>45733</v>
      </c>
      <c r="L90" s="147">
        <f>IF(t&lt;Tvie,1-EXP((T0-t)*PertePVj)+'2024'!Pspv,1-EXP((T0-t)*PertePVj)+Pspv)</f>
        <v>5.4761110857119544E-2</v>
      </c>
      <c r="M90" s="870"/>
      <c r="N90" s="870"/>
      <c r="O90" s="48">
        <f>IF(t&lt;Tnet,'2024'!Resal+('2024'!Salim-'2024'!Resal)*(1-EXP(('2024'!Tnet-t)/('2024'!Tau_j))),Resal+(Salim-Resal)*(1-EXP((Tnet-t)/(Tau_j))))*Salcycl</f>
        <v>9.3151948860378933E-2</v>
      </c>
      <c r="P90" s="171">
        <f>(INDEX(Models!$BJ90:$BT90,,T90)*(1-R90)+INDEX(Models!$BJ90:$BT90,,T90+1)*R90-ERP_i)*Q90*Ramure*Pc/MaxiM</f>
        <v>2.8023551685430085E-2</v>
      </c>
      <c r="Q90" s="307">
        <f t="shared" si="28"/>
        <v>1</v>
      </c>
      <c r="R90" s="179">
        <f t="shared" si="29"/>
        <v>0.11949157357073714</v>
      </c>
      <c r="S90" s="837">
        <f t="shared" si="30"/>
        <v>2</v>
      </c>
      <c r="T90" s="178">
        <f t="shared" si="31"/>
        <v>8</v>
      </c>
      <c r="U90" s="253">
        <f t="shared" si="32"/>
        <v>2.1194915735707371</v>
      </c>
      <c r="V90" s="385">
        <f t="shared" si="33"/>
        <v>37.653326896133414</v>
      </c>
      <c r="W90" s="404">
        <f t="shared" si="34"/>
        <v>10.219744876553339</v>
      </c>
      <c r="X90" s="157">
        <f t="shared" si="35"/>
        <v>45733</v>
      </c>
      <c r="Y90" s="387">
        <f t="shared" si="36"/>
        <v>9.763686028466843</v>
      </c>
      <c r="Z90" s="387">
        <f t="shared" si="37"/>
        <v>10.329331707162742</v>
      </c>
      <c r="AA90" s="388">
        <f t="shared" si="38"/>
        <v>11.922407157166804</v>
      </c>
      <c r="AB90" s="199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0.13362028565233419</v>
      </c>
      <c r="AD90" s="233">
        <f>(INDEX(Models!$BJ90:$BT90,,AH90)*(1-AF90)+INDEX(Models!$BJ90:$BT90,,AH90+1)*AF90-ERP_i)*AE90*Ramure*Pc/MaxiM</f>
        <v>2.8023551685430085E-2</v>
      </c>
      <c r="AE90" s="307">
        <f t="shared" si="40"/>
        <v>1</v>
      </c>
      <c r="AF90" s="179">
        <f t="shared" si="41"/>
        <v>0.11949157357073714</v>
      </c>
      <c r="AG90" s="837">
        <f t="shared" si="49"/>
        <v>2</v>
      </c>
      <c r="AH90" s="178">
        <f t="shared" si="42"/>
        <v>8</v>
      </c>
      <c r="AI90" s="227">
        <f t="shared" si="43"/>
        <v>2.1194915735707371</v>
      </c>
      <c r="AJ90" s="267" t="b">
        <f t="shared" si="44"/>
        <v>1</v>
      </c>
      <c r="AK90" s="267" t="b">
        <f t="shared" si="45"/>
        <v>1</v>
      </c>
      <c r="AL90" s="267"/>
      <c r="AM90" s="267"/>
      <c r="AN90" s="75"/>
    </row>
    <row r="91" spans="1:40" s="6" customFormat="1" ht="11.25" x14ac:dyDescent="0.2">
      <c r="A91" s="56">
        <f t="shared" si="46"/>
        <v>45734</v>
      </c>
      <c r="B91" s="1139">
        <f>IF(t&gt;Tmaj,'2024'!Wh/'2024'!Env_an*'2025'!Env_an,0.001*'[5]mon-tableau'!$B$225)</f>
        <v>12.839311229385199</v>
      </c>
      <c r="C91" s="866"/>
      <c r="D91" s="395">
        <f t="shared" si="25"/>
        <v>13.583455117373143</v>
      </c>
      <c r="E91" s="387">
        <f t="shared" si="47"/>
        <v>14.981416480684514</v>
      </c>
      <c r="F91" s="387">
        <f t="shared" si="26"/>
        <v>15.002817052132505</v>
      </c>
      <c r="G91" s="110">
        <f t="shared" si="48"/>
        <v>0.3286020788381645</v>
      </c>
      <c r="H91" s="414" t="b">
        <f>Wh_hp&gt;='2024'!Maxi_hp</f>
        <v>0</v>
      </c>
      <c r="I91" s="392">
        <f>IF(H91,Wh_hp,'2024'!Maxi_hp)</f>
        <v>30.158532920094469</v>
      </c>
      <c r="J91" s="85">
        <f>IF(H91,An,'2024'!An_max)</f>
        <v>2019</v>
      </c>
      <c r="K91" s="199">
        <f t="shared" si="27"/>
        <v>45734</v>
      </c>
      <c r="L91" s="147">
        <f>IF(t&lt;Tvie,1-EXP((T0-t)*PertePVj)+'2024'!Pspv,1-EXP((T0-t)*PertePVj)+Pspv)</f>
        <v>5.4783107946975051E-2</v>
      </c>
      <c r="M91" s="870"/>
      <c r="N91" s="870"/>
      <c r="O91" s="48">
        <f>IF(t&lt;Tnet,'2024'!Resal+('2024'!Salim-'2024'!Resal)*(1-EXP(('2024'!Tnet-t)/('2024'!Tau_j))),Resal+(Salim-Resal)*(1-EXP((Tnet-t)/(Tau_j))))*Salcycl</f>
        <v>9.3313029853602791E-2</v>
      </c>
      <c r="P91" s="171">
        <f>(INDEX(Models!$BJ91:$BT91,,T91)*(1-R91)+INDEX(Models!$BJ91:$BT91,,T91+1)*R91-ERP_i)*Q91*Ramure*Pc/MaxiM</f>
        <v>2.6850856885545088E-2</v>
      </c>
      <c r="Q91" s="307">
        <f t="shared" si="28"/>
        <v>1</v>
      </c>
      <c r="R91" s="179">
        <f t="shared" si="29"/>
        <v>0.12033294848081288</v>
      </c>
      <c r="S91" s="837">
        <f t="shared" si="30"/>
        <v>2</v>
      </c>
      <c r="T91" s="178">
        <f t="shared" si="31"/>
        <v>8</v>
      </c>
      <c r="U91" s="253">
        <f t="shared" si="32"/>
        <v>2.1203329484808129</v>
      </c>
      <c r="V91" s="385">
        <f t="shared" si="33"/>
        <v>38.077704597654687</v>
      </c>
      <c r="W91" s="404">
        <f t="shared" si="34"/>
        <v>12.839311229385199</v>
      </c>
      <c r="X91" s="157">
        <f t="shared" si="35"/>
        <v>45734</v>
      </c>
      <c r="Y91" s="387">
        <f t="shared" si="36"/>
        <v>12.267300031405791</v>
      </c>
      <c r="Z91" s="387">
        <f t="shared" si="37"/>
        <v>12.978291156816967</v>
      </c>
      <c r="AA91" s="388">
        <f t="shared" si="38"/>
        <v>14.981416480684514</v>
      </c>
      <c r="AB91" s="199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0.13370733845161897</v>
      </c>
      <c r="AD91" s="233">
        <f>(INDEX(Models!$BJ91:$BT91,,AH91)*(1-AF91)+INDEX(Models!$BJ91:$BT91,,AH91+1)*AF91-ERP_i)*AE91*Ramure*Pc/MaxiM</f>
        <v>2.6850856885545088E-2</v>
      </c>
      <c r="AE91" s="307">
        <f t="shared" si="40"/>
        <v>1</v>
      </c>
      <c r="AF91" s="179">
        <f t="shared" si="41"/>
        <v>0.12033294848081288</v>
      </c>
      <c r="AG91" s="837">
        <f t="shared" si="49"/>
        <v>2</v>
      </c>
      <c r="AH91" s="178">
        <f t="shared" si="42"/>
        <v>8</v>
      </c>
      <c r="AI91" s="227">
        <f t="shared" si="43"/>
        <v>2.1203329484808129</v>
      </c>
      <c r="AJ91" s="267" t="b">
        <f t="shared" si="44"/>
        <v>1</v>
      </c>
      <c r="AK91" s="267" t="b">
        <f t="shared" si="45"/>
        <v>1</v>
      </c>
      <c r="AL91" s="267"/>
      <c r="AM91" s="267"/>
      <c r="AN91" s="75"/>
    </row>
    <row r="92" spans="1:40" s="6" customFormat="1" ht="11.25" x14ac:dyDescent="0.2">
      <c r="A92" s="56">
        <f t="shared" si="46"/>
        <v>45735</v>
      </c>
      <c r="B92" s="1139">
        <f>IF(t&gt;Tmaj,'2024'!Wh/'2024'!Env_an*'2025'!Env_an,0.001*'[5]mon-tableau'!$B$226)</f>
        <v>25.882607574053004</v>
      </c>
      <c r="C92" s="866"/>
      <c r="D92" s="395">
        <f t="shared" si="25"/>
        <v>27.383355219077743</v>
      </c>
      <c r="E92" s="387">
        <f t="shared" si="47"/>
        <v>30.206937997207095</v>
      </c>
      <c r="F92" s="387">
        <f t="shared" si="26"/>
        <v>30.626415528512908</v>
      </c>
      <c r="G92" s="110">
        <f t="shared" si="48"/>
        <v>0.66411115196458237</v>
      </c>
      <c r="H92" s="414" t="b">
        <f>Wh_hp&gt;='2024'!Maxi_hp</f>
        <v>0</v>
      </c>
      <c r="I92" s="392">
        <f>IF(H92,Wh_hp,'2024'!Maxi_hp)</f>
        <v>42.613877662343725</v>
      </c>
      <c r="J92" s="85">
        <f>IF(H92,An,'2024'!An_max)</f>
        <v>2020</v>
      </c>
      <c r="K92" s="199">
        <f t="shared" si="27"/>
        <v>45735</v>
      </c>
      <c r="L92" s="147">
        <f>IF(t&lt;Tvie,1-EXP((T0-t)*PertePVj)+'2024'!Pspv,1-EXP((T0-t)*PertePVj)+Pspv)</f>
        <v>5.4805104524926151E-2</v>
      </c>
      <c r="M92" s="870"/>
      <c r="N92" s="870"/>
      <c r="O92" s="48">
        <f>IF(t&lt;Tnet,'2024'!Resal+('2024'!Salim-'2024'!Resal)*(1-EXP(('2024'!Tnet-t)/('2024'!Tau_j))),Resal+(Salim-Resal)*(1-EXP((Tnet-t)/(Tau_j))))*Salcycl</f>
        <v>9.3474644083105032E-2</v>
      </c>
      <c r="P92" s="171">
        <f>(INDEX(Models!$BJ92:$BT92,,T92)*(1-R92)+INDEX(Models!$BJ92:$BT92,,T92+1)*R92-ERP_i)*Q92*Ramure*Pc/MaxiM</f>
        <v>2.575046376085089E-2</v>
      </c>
      <c r="Q92" s="307">
        <f t="shared" si="28"/>
        <v>1</v>
      </c>
      <c r="R92" s="179">
        <f t="shared" si="29"/>
        <v>0.12120741034070193</v>
      </c>
      <c r="S92" s="837">
        <f t="shared" si="30"/>
        <v>2</v>
      </c>
      <c r="T92" s="178">
        <f t="shared" si="31"/>
        <v>8</v>
      </c>
      <c r="U92" s="253">
        <f t="shared" si="32"/>
        <v>2.1212074103407019</v>
      </c>
      <c r="V92" s="385">
        <f t="shared" si="33"/>
        <v>38.497003697482477</v>
      </c>
      <c r="W92" s="404">
        <f t="shared" si="34"/>
        <v>25.882607574053004</v>
      </c>
      <c r="X92" s="157">
        <f t="shared" si="35"/>
        <v>45735</v>
      </c>
      <c r="Y92" s="387">
        <f t="shared" si="36"/>
        <v>24.731391627936489</v>
      </c>
      <c r="Z92" s="387">
        <f t="shared" si="37"/>
        <v>26.165388478432266</v>
      </c>
      <c r="AA92" s="388">
        <f t="shared" si="38"/>
        <v>30.206937997207095</v>
      </c>
      <c r="AB92" s="199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0.13379540551738497</v>
      </c>
      <c r="AD92" s="233">
        <f>(INDEX(Models!$BJ92:$BT92,,AH92)*(1-AF92)+INDEX(Models!$BJ92:$BT92,,AH92+1)*AF92-ERP_i)*AE92*Ramure*Pc/MaxiM</f>
        <v>2.575046376085089E-2</v>
      </c>
      <c r="AE92" s="307">
        <f t="shared" si="40"/>
        <v>1</v>
      </c>
      <c r="AF92" s="179">
        <f t="shared" si="41"/>
        <v>0.12120741034070193</v>
      </c>
      <c r="AG92" s="837">
        <f t="shared" si="49"/>
        <v>2</v>
      </c>
      <c r="AH92" s="178">
        <f t="shared" si="42"/>
        <v>8</v>
      </c>
      <c r="AI92" s="227">
        <f t="shared" si="43"/>
        <v>2.1212074103407019</v>
      </c>
      <c r="AJ92" s="267" t="b">
        <f t="shared" si="44"/>
        <v>1</v>
      </c>
      <c r="AK92" s="267" t="b">
        <f t="shared" si="45"/>
        <v>1</v>
      </c>
      <c r="AL92" s="267"/>
      <c r="AM92" s="267"/>
      <c r="AN92" s="75"/>
    </row>
    <row r="93" spans="1:40" s="6" customFormat="1" ht="11.25" x14ac:dyDescent="0.2">
      <c r="A93" s="56">
        <f t="shared" si="46"/>
        <v>45736</v>
      </c>
      <c r="B93" s="1139">
        <f>IF(t&gt;Tmaj,'2024'!Wh/'2024'!Env_an*'2025'!Env_an,0.001*'[5]mon-tableau'!$B$227)</f>
        <v>29.219671663169009</v>
      </c>
      <c r="C93" s="866"/>
      <c r="D93" s="395">
        <f t="shared" si="25"/>
        <v>30.914631261051902</v>
      </c>
      <c r="E93" s="387">
        <f t="shared" si="47"/>
        <v>34.108438513948521</v>
      </c>
      <c r="F93" s="387">
        <f t="shared" si="26"/>
        <v>34.660280488753102</v>
      </c>
      <c r="G93" s="110">
        <f t="shared" si="48"/>
        <v>0.74417015956025911</v>
      </c>
      <c r="H93" s="414" t="b">
        <f>Wh_hp&gt;='2024'!Maxi_hp</f>
        <v>0</v>
      </c>
      <c r="I93" s="392">
        <f>IF(H93,Wh_hp,'2024'!Maxi_hp)</f>
        <v>46.721665369048949</v>
      </c>
      <c r="J93" s="85">
        <f>IF(H93,An,'2024'!An_max)</f>
        <v>2019</v>
      </c>
      <c r="K93" s="199">
        <f t="shared" si="27"/>
        <v>45736</v>
      </c>
      <c r="L93" s="147">
        <f>IF(t&lt;Tvie,1-EXP((T0-t)*PertePVj)+'2024'!Pspv,1-EXP((T0-t)*PertePVj)+Pspv)</f>
        <v>5.4827100590984723E-2</v>
      </c>
      <c r="M93" s="870"/>
      <c r="N93" s="870"/>
      <c r="O93" s="48">
        <f>IF(t&lt;Tnet,'2024'!Resal+('2024'!Salim-'2024'!Resal)*(1-EXP(('2024'!Tnet-t)/('2024'!Tau_j))),Resal+(Salim-Resal)*(1-EXP((Tnet-t)/(Tau_j))))*Salcycl</f>
        <v>9.3636865011880246E-2</v>
      </c>
      <c r="P93" s="171">
        <f>(INDEX(Models!$BJ93:$BT93,,T93)*(1-R93)+INDEX(Models!$BJ93:$BT93,,T93+1)*R93-ERP_i)*Q93*Ramure*Pc/MaxiM</f>
        <v>2.4718233905333453E-2</v>
      </c>
      <c r="Q93" s="307">
        <f t="shared" si="28"/>
        <v>1</v>
      </c>
      <c r="R93" s="179">
        <f t="shared" si="29"/>
        <v>0.12211616711637197</v>
      </c>
      <c r="S93" s="837">
        <f t="shared" si="30"/>
        <v>2</v>
      </c>
      <c r="T93" s="178">
        <f t="shared" si="31"/>
        <v>8</v>
      </c>
      <c r="U93" s="253">
        <f t="shared" si="32"/>
        <v>2.122116167116372</v>
      </c>
      <c r="V93" s="385">
        <f t="shared" si="33"/>
        <v>38.913780068212155</v>
      </c>
      <c r="W93" s="404">
        <f t="shared" si="34"/>
        <v>29.219671663169009</v>
      </c>
      <c r="X93" s="157">
        <f t="shared" si="35"/>
        <v>45736</v>
      </c>
      <c r="Y93" s="387">
        <f t="shared" si="36"/>
        <v>27.922150616196024</v>
      </c>
      <c r="Z93" s="387">
        <f t="shared" si="37"/>
        <v>29.541844284421192</v>
      </c>
      <c r="AA93" s="388">
        <f t="shared" si="38"/>
        <v>34.108438513948521</v>
      </c>
      <c r="AB93" s="199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0.13388458775853485</v>
      </c>
      <c r="AD93" s="233">
        <f>(INDEX(Models!$BJ93:$BT93,,AH93)*(1-AF93)+INDEX(Models!$BJ93:$BT93,,AH93+1)*AF93-ERP_i)*AE93*Ramure*Pc/MaxiM</f>
        <v>2.4718233905333453E-2</v>
      </c>
      <c r="AE93" s="307">
        <f t="shared" si="40"/>
        <v>1</v>
      </c>
      <c r="AF93" s="179">
        <f t="shared" si="41"/>
        <v>0.12211616711637197</v>
      </c>
      <c r="AG93" s="837">
        <f t="shared" si="49"/>
        <v>2</v>
      </c>
      <c r="AH93" s="178">
        <f t="shared" si="42"/>
        <v>8</v>
      </c>
      <c r="AI93" s="227">
        <f t="shared" si="43"/>
        <v>2.122116167116372</v>
      </c>
      <c r="AJ93" s="267" t="b">
        <f t="shared" si="44"/>
        <v>1</v>
      </c>
      <c r="AK93" s="267" t="b">
        <f t="shared" si="45"/>
        <v>1</v>
      </c>
      <c r="AL93" s="267"/>
      <c r="AM93" s="267"/>
      <c r="AN93" s="75"/>
    </row>
    <row r="94" spans="1:40" s="6" customFormat="1" ht="11.25" x14ac:dyDescent="0.2">
      <c r="A94" s="56">
        <f t="shared" si="46"/>
        <v>45737</v>
      </c>
      <c r="B94" s="1139">
        <f>IF(t&gt;Tmaj,'2024'!Wh/'2024'!Env_an*'2025'!Env_an,0.001*'[5]mon-tableau'!$B$228)</f>
        <v>39.202331646451</v>
      </c>
      <c r="C94" s="866"/>
      <c r="D94" s="395">
        <f t="shared" si="25"/>
        <v>41.477325458360838</v>
      </c>
      <c r="E94" s="387">
        <f t="shared" si="47"/>
        <v>45.770596800164533</v>
      </c>
      <c r="F94" s="387">
        <f t="shared" si="26"/>
        <v>46.880031180684767</v>
      </c>
      <c r="G94" s="110">
        <f t="shared" si="48"/>
        <v>0.99665537788959158</v>
      </c>
      <c r="H94" s="414" t="b">
        <f>Wh_hp&gt;='2024'!Maxi_hp</f>
        <v>0</v>
      </c>
      <c r="I94" s="392">
        <f>IF(H94,Wh_hp,'2024'!Maxi_hp)</f>
        <v>47.092775229679972</v>
      </c>
      <c r="J94" s="85">
        <f>IF(H94,An,'2024'!An_max)</f>
        <v>2020</v>
      </c>
      <c r="K94" s="199">
        <f t="shared" si="27"/>
        <v>45737</v>
      </c>
      <c r="L94" s="147">
        <f>IF(t&lt;Tvie,1-EXP((T0-t)*PertePVj)+'2024'!Pspv,1-EXP((T0-t)*PertePVj)+Pspv)</f>
        <v>5.4849096145162757E-2</v>
      </c>
      <c r="M94" s="870"/>
      <c r="N94" s="870"/>
      <c r="O94" s="48">
        <f>IF(t&lt;Tnet,'2024'!Resal+('2024'!Salim-'2024'!Resal)*(1-EXP(('2024'!Tnet-t)/('2024'!Tau_j))),Resal+(Salim-Resal)*(1-EXP((Tnet-t)/(Tau_j))))*Salcycl</f>
        <v>9.3799767578915769E-2</v>
      </c>
      <c r="P94" s="171">
        <f>(INDEX(Models!$BJ94:$BT94,,T94)*(1-R94)+INDEX(Models!$BJ94:$BT94,,T94+1)*R94-ERP_i)*Q94*Ramure*Pc/MaxiM</f>
        <v>2.3775184923976032E-2</v>
      </c>
      <c r="Q94" s="307">
        <f t="shared" si="28"/>
        <v>1</v>
      </c>
      <c r="R94" s="179">
        <f t="shared" si="29"/>
        <v>0.12306046318195252</v>
      </c>
      <c r="S94" s="837">
        <f t="shared" si="30"/>
        <v>2</v>
      </c>
      <c r="T94" s="178">
        <f t="shared" si="31"/>
        <v>8</v>
      </c>
      <c r="U94" s="253">
        <f t="shared" si="32"/>
        <v>2.1230604631819525</v>
      </c>
      <c r="V94" s="385">
        <f t="shared" si="33"/>
        <v>39.329465435655379</v>
      </c>
      <c r="W94" s="404">
        <f t="shared" si="34"/>
        <v>39.202331646451</v>
      </c>
      <c r="X94" s="157">
        <f t="shared" si="35"/>
        <v>45737</v>
      </c>
      <c r="Y94" s="387">
        <f t="shared" si="36"/>
        <v>37.464346761615623</v>
      </c>
      <c r="Z94" s="387">
        <f t="shared" si="37"/>
        <v>39.638481652840547</v>
      </c>
      <c r="AA94" s="388">
        <f t="shared" si="38"/>
        <v>45.770596800164533</v>
      </c>
      <c r="AB94" s="199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0.13397498778739853</v>
      </c>
      <c r="AD94" s="233">
        <f>(INDEX(Models!$BJ94:$BT94,,AH94)*(1-AF94)+INDEX(Models!$BJ94:$BT94,,AH94+1)*AF94-ERP_i)*AE94*Ramure*Pc/MaxiM</f>
        <v>2.3775184923976032E-2</v>
      </c>
      <c r="AE94" s="307">
        <f t="shared" si="40"/>
        <v>1</v>
      </c>
      <c r="AF94" s="179">
        <f t="shared" si="41"/>
        <v>0.12306046318195252</v>
      </c>
      <c r="AG94" s="837">
        <f t="shared" si="49"/>
        <v>2</v>
      </c>
      <c r="AH94" s="178">
        <f t="shared" si="42"/>
        <v>8</v>
      </c>
      <c r="AI94" s="227">
        <f t="shared" si="43"/>
        <v>2.1230604631819525</v>
      </c>
      <c r="AJ94" s="267" t="b">
        <f t="shared" si="44"/>
        <v>1</v>
      </c>
      <c r="AK94" s="267" t="b">
        <f t="shared" si="45"/>
        <v>1</v>
      </c>
      <c r="AL94" s="267"/>
      <c r="AM94" s="267"/>
      <c r="AN94" s="75"/>
    </row>
    <row r="95" spans="1:40" s="6" customFormat="1" ht="11.25" x14ac:dyDescent="0.2">
      <c r="A95" s="56">
        <f t="shared" si="46"/>
        <v>45738</v>
      </c>
      <c r="B95" s="1139">
        <f>IF(t&gt;Tmaj,'2024'!Wh/'2024'!Env_an*'2025'!Env_an,0.001*'[5]mon-tableau'!$B$229)</f>
        <v>36.286549904551549</v>
      </c>
      <c r="C95" s="866"/>
      <c r="D95" s="395">
        <f t="shared" si="25"/>
        <v>38.3932282318424</v>
      </c>
      <c r="E95" s="387">
        <f t="shared" si="47"/>
        <v>42.37492107642904</v>
      </c>
      <c r="F95" s="387">
        <f t="shared" si="26"/>
        <v>43.24257047371934</v>
      </c>
      <c r="G95" s="110">
        <f t="shared" si="48"/>
        <v>0.9103638281658849</v>
      </c>
      <c r="H95" s="414" t="b">
        <f>Wh_hp&gt;='2024'!Maxi_hp</f>
        <v>0</v>
      </c>
      <c r="I95" s="392">
        <f>IF(H95,Wh_hp,'2024'!Maxi_hp)</f>
        <v>46.552413422501928</v>
      </c>
      <c r="J95" s="85">
        <f>IF(H95,An,'2024'!An_max)</f>
        <v>2020</v>
      </c>
      <c r="K95" s="199">
        <f t="shared" si="27"/>
        <v>45738</v>
      </c>
      <c r="L95" s="147">
        <f>IF(t&lt;Tvie,1-EXP((T0-t)*PertePVj)+'2024'!Pspv,1-EXP((T0-t)*PertePVj)+Pspv)</f>
        <v>5.4871091187472021E-2</v>
      </c>
      <c r="M95" s="870"/>
      <c r="N95" s="870"/>
      <c r="O95" s="48">
        <f>IF(t&lt;Tnet,'2024'!Resal+('2024'!Salim-'2024'!Resal)*(1-EXP(('2024'!Tnet-t)/('2024'!Tau_j))),Resal+(Salim-Resal)*(1-EXP((Tnet-t)/(Tau_j))))*Salcycl</f>
        <v>9.3963427976776689E-2</v>
      </c>
      <c r="P95" s="171">
        <f>(INDEX(Models!$BJ95:$BT95,,T95)*(1-R95)+INDEX(Models!$BJ95:$BT95,,T95+1)*R95-ERP_i)*Q95*Ramure*Pc/MaxiM</f>
        <v>2.2911771193571861E-2</v>
      </c>
      <c r="Q95" s="307">
        <f t="shared" si="28"/>
        <v>1</v>
      </c>
      <c r="R95" s="179">
        <f t="shared" si="29"/>
        <v>0.12404157976759711</v>
      </c>
      <c r="S95" s="837">
        <f t="shared" si="30"/>
        <v>2</v>
      </c>
      <c r="T95" s="178">
        <f t="shared" si="31"/>
        <v>8</v>
      </c>
      <c r="U95" s="253">
        <f t="shared" si="32"/>
        <v>2.1240415797675971</v>
      </c>
      <c r="V95" s="385">
        <f t="shared" si="33"/>
        <v>39.743587370058052</v>
      </c>
      <c r="W95" s="404">
        <f t="shared" si="34"/>
        <v>36.286549904551549</v>
      </c>
      <c r="X95" s="157">
        <f t="shared" si="35"/>
        <v>45738</v>
      </c>
      <c r="Y95" s="387">
        <f t="shared" si="36"/>
        <v>34.680422983449574</v>
      </c>
      <c r="Z95" s="387">
        <f t="shared" si="37"/>
        <v>36.693854838301903</v>
      </c>
      <c r="AA95" s="388">
        <f t="shared" si="38"/>
        <v>42.37492107642904</v>
      </c>
      <c r="AB95" s="199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0.13406670959647446</v>
      </c>
      <c r="AD95" s="233">
        <f>(INDEX(Models!$BJ95:$BT95,,AH95)*(1-AF95)+INDEX(Models!$BJ95:$BT95,,AH95+1)*AF95-ERP_i)*AE95*Ramure*Pc/MaxiM</f>
        <v>2.2911771193571861E-2</v>
      </c>
      <c r="AE95" s="307">
        <f t="shared" si="40"/>
        <v>1</v>
      </c>
      <c r="AF95" s="179">
        <f t="shared" si="41"/>
        <v>0.12404157976759711</v>
      </c>
      <c r="AG95" s="837">
        <f t="shared" si="49"/>
        <v>2</v>
      </c>
      <c r="AH95" s="178">
        <f t="shared" si="42"/>
        <v>8</v>
      </c>
      <c r="AI95" s="227">
        <f t="shared" si="43"/>
        <v>2.1240415797675971</v>
      </c>
      <c r="AJ95" s="267" t="b">
        <f t="shared" si="44"/>
        <v>1</v>
      </c>
      <c r="AK95" s="267" t="b">
        <f t="shared" si="45"/>
        <v>1</v>
      </c>
      <c r="AL95" s="267"/>
      <c r="AM95" s="267"/>
      <c r="AN95" s="75"/>
    </row>
    <row r="96" spans="1:40" s="6" customFormat="1" ht="11.25" x14ac:dyDescent="0.2">
      <c r="A96" s="56">
        <f t="shared" si="46"/>
        <v>45739</v>
      </c>
      <c r="B96" s="1139">
        <f>IF(t&gt;Tmaj,'2024'!Wh/'2024'!Env_an*'2025'!Env_an,0.001*'[5]mon-tableau'!$B$230)</f>
        <v>41.028072668365738</v>
      </c>
      <c r="C96" s="866"/>
      <c r="D96" s="395">
        <f t="shared" si="25"/>
        <v>43.411038527351785</v>
      </c>
      <c r="E96" s="387">
        <f t="shared" si="47"/>
        <v>47.921819923750725</v>
      </c>
      <c r="F96" s="387">
        <f t="shared" si="26"/>
        <v>49.006133505479994</v>
      </c>
      <c r="G96" s="110">
        <f t="shared" si="48"/>
        <v>1.0217330990973441</v>
      </c>
      <c r="H96" s="414" t="b">
        <f>Wh_hp&gt;='2024'!Maxi_hp</f>
        <v>1</v>
      </c>
      <c r="I96" s="392">
        <f>IF(H96,Wh_hp,'2024'!Maxi_hp)</f>
        <v>49.006133505479994</v>
      </c>
      <c r="J96" s="85">
        <f>IF(H96,An,'2024'!An_max)</f>
        <v>2025</v>
      </c>
      <c r="K96" s="199">
        <f t="shared" si="27"/>
        <v>45739</v>
      </c>
      <c r="L96" s="147">
        <f>IF(t&lt;Tvie,1-EXP((T0-t)*PertePVj)+'2024'!Pspv,1-EXP((T0-t)*PertePVj)+Pspv)</f>
        <v>5.4893085717924506E-2</v>
      </c>
      <c r="M96" s="870"/>
      <c r="N96" s="870"/>
      <c r="O96" s="48">
        <f>IF(t&lt;Tnet,'2024'!Resal+('2024'!Salim-'2024'!Resal)*(1-EXP(('2024'!Tnet-t)/('2024'!Tau_j))),Resal+(Salim-Resal)*(1-EXP((Tnet-t)/(Tau_j))))*Salcycl</f>
        <v>9.4127923429788873E-2</v>
      </c>
      <c r="P96" s="171">
        <f>(INDEX(Models!$BJ96:$BT96,,T96)*(1-R96)+INDEX(Models!$BJ96:$BT96,,T96+1)*R96-ERP_i)*Q96*Ramure*Pc/MaxiM</f>
        <v>2.2126079006172177E-2</v>
      </c>
      <c r="Q96" s="307">
        <f t="shared" si="28"/>
        <v>1</v>
      </c>
      <c r="R96" s="179">
        <f t="shared" si="29"/>
        <v>0.12506083535080936</v>
      </c>
      <c r="S96" s="837">
        <f t="shared" si="30"/>
        <v>2</v>
      </c>
      <c r="T96" s="178">
        <f t="shared" si="31"/>
        <v>8</v>
      </c>
      <c r="U96" s="253">
        <f t="shared" si="32"/>
        <v>2.1250608353508094</v>
      </c>
      <c r="V96" s="385">
        <f t="shared" si="33"/>
        <v>40.15537198962452</v>
      </c>
      <c r="W96" s="404">
        <f t="shared" si="34"/>
        <v>41.028072668365738</v>
      </c>
      <c r="X96" s="157">
        <f t="shared" si="35"/>
        <v>45739</v>
      </c>
      <c r="Y96" s="387">
        <f t="shared" si="36"/>
        <v>39.214976566993208</v>
      </c>
      <c r="Z96" s="387">
        <f t="shared" si="37"/>
        <v>41.492635356267378</v>
      </c>
      <c r="AA96" s="388">
        <f t="shared" si="38"/>
        <v>47.921819923750725</v>
      </c>
      <c r="AB96" s="199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0.13415985823812487</v>
      </c>
      <c r="AD96" s="233">
        <f>(INDEX(Models!$BJ96:$BT96,,AH96)*(1-AF96)+INDEX(Models!$BJ96:$BT96,,AH96+1)*AF96-ERP_i)*AE96*Ramure*Pc/MaxiM</f>
        <v>2.2126079006172177E-2</v>
      </c>
      <c r="AE96" s="307">
        <f t="shared" si="40"/>
        <v>1</v>
      </c>
      <c r="AF96" s="179">
        <f t="shared" si="41"/>
        <v>0.12506083535080936</v>
      </c>
      <c r="AG96" s="837">
        <f t="shared" si="49"/>
        <v>2</v>
      </c>
      <c r="AH96" s="178">
        <f t="shared" si="42"/>
        <v>8</v>
      </c>
      <c r="AI96" s="227">
        <f t="shared" si="43"/>
        <v>2.1250608353508094</v>
      </c>
      <c r="AJ96" s="267" t="b">
        <f t="shared" si="44"/>
        <v>1</v>
      </c>
      <c r="AK96" s="267" t="b">
        <f t="shared" si="45"/>
        <v>1</v>
      </c>
      <c r="AL96" s="267"/>
      <c r="AM96" s="267"/>
      <c r="AN96" s="75"/>
    </row>
    <row r="97" spans="1:40" s="6" customFormat="1" ht="11.25" x14ac:dyDescent="0.2">
      <c r="A97" s="56">
        <f t="shared" si="46"/>
        <v>45740</v>
      </c>
      <c r="B97" s="1139">
        <f>IF(t&gt;Tmaj,'2024'!Wh/'2024'!Env_an*'2025'!Env_an,0.001*'[5]mon-tableau'!$B$231)</f>
        <v>40.468471051476442</v>
      </c>
      <c r="C97" s="866"/>
      <c r="D97" s="395">
        <f t="shared" si="25"/>
        <v>42.819930975297723</v>
      </c>
      <c r="E97" s="387">
        <f t="shared" si="47"/>
        <v>47.277923953713795</v>
      </c>
      <c r="F97" s="387">
        <f t="shared" si="26"/>
        <v>48.309037449297684</v>
      </c>
      <c r="G97" s="110">
        <f t="shared" si="48"/>
        <v>0.99757036498638674</v>
      </c>
      <c r="H97" s="414" t="b">
        <f>Wh_hp&gt;='2024'!Maxi_hp</f>
        <v>0</v>
      </c>
      <c r="I97" s="392">
        <f>IF(H97,Wh_hp,'2024'!Maxi_hp)</f>
        <v>48.311210366969917</v>
      </c>
      <c r="J97" s="85">
        <f>IF(H97,An,'2024'!An_max)</f>
        <v>2022</v>
      </c>
      <c r="K97" s="199">
        <f t="shared" si="27"/>
        <v>45740</v>
      </c>
      <c r="L97" s="147">
        <f>IF(t&lt;Tvie,1-EXP((T0-t)*PertePVj)+'2024'!Pspv,1-EXP((T0-t)*PertePVj)+Pspv)</f>
        <v>5.4915079736532202E-2</v>
      </c>
      <c r="M97" s="870"/>
      <c r="N97" s="870"/>
      <c r="O97" s="48">
        <f>IF(t&lt;Tnet,'2024'!Resal+('2024'!Salim-'2024'!Resal)*(1-EXP(('2024'!Tnet-t)/('2024'!Tau_j))),Resal+(Salim-Resal)*(1-EXP((Tnet-t)/(Tau_j))))*Salcycl</f>
        <v>9.4293331974148312E-2</v>
      </c>
      <c r="P97" s="171">
        <f>(INDEX(Models!$BJ97:$BT97,,T97)*(1-R97)+INDEX(Models!$BJ97:$BT97,,T97+1)*R97-ERP_i)*Q97*Ramure*Pc/MaxiM</f>
        <v>2.1416197206074721E-2</v>
      </c>
      <c r="Q97" s="307">
        <f t="shared" si="28"/>
        <v>1</v>
      </c>
      <c r="R97" s="179">
        <f t="shared" si="29"/>
        <v>0.1261195859843931</v>
      </c>
      <c r="S97" s="837">
        <f t="shared" si="30"/>
        <v>2</v>
      </c>
      <c r="T97" s="178">
        <f t="shared" si="31"/>
        <v>8</v>
      </c>
      <c r="U97" s="253">
        <f t="shared" si="32"/>
        <v>2.1261195859843931</v>
      </c>
      <c r="V97" s="385">
        <f t="shared" si="33"/>
        <v>40.564046068625785</v>
      </c>
      <c r="W97" s="404">
        <f t="shared" si="34"/>
        <v>40.468471051476442</v>
      </c>
      <c r="X97" s="157">
        <f t="shared" si="35"/>
        <v>45740</v>
      </c>
      <c r="Y97" s="387">
        <f t="shared" si="36"/>
        <v>38.68293824333886</v>
      </c>
      <c r="Z97" s="387">
        <f t="shared" si="37"/>
        <v>40.930648044362989</v>
      </c>
      <c r="AA97" s="388">
        <f t="shared" si="38"/>
        <v>47.277923953713795</v>
      </c>
      <c r="AB97" s="199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0.13425453950907273</v>
      </c>
      <c r="AD97" s="233">
        <f>(INDEX(Models!$BJ97:$BT97,,AH97)*(1-AF97)+INDEX(Models!$BJ97:$BT97,,AH97+1)*AF97-ERP_i)*AE97*Ramure*Pc/MaxiM</f>
        <v>2.1416197206074721E-2</v>
      </c>
      <c r="AE97" s="307">
        <f t="shared" si="40"/>
        <v>1</v>
      </c>
      <c r="AF97" s="179">
        <f t="shared" si="41"/>
        <v>0.1261195859843931</v>
      </c>
      <c r="AG97" s="837">
        <f t="shared" si="49"/>
        <v>2</v>
      </c>
      <c r="AH97" s="178">
        <f t="shared" si="42"/>
        <v>8</v>
      </c>
      <c r="AI97" s="227">
        <f t="shared" si="43"/>
        <v>2.1261195859843931</v>
      </c>
      <c r="AJ97" s="267" t="b">
        <f t="shared" si="44"/>
        <v>1</v>
      </c>
      <c r="AK97" s="267" t="b">
        <f t="shared" si="45"/>
        <v>1</v>
      </c>
      <c r="AL97" s="267"/>
      <c r="AM97" s="267"/>
      <c r="AN97" s="75"/>
    </row>
    <row r="98" spans="1:40" s="6" customFormat="1" ht="11.25" x14ac:dyDescent="0.2">
      <c r="A98" s="56">
        <f t="shared" si="46"/>
        <v>45741</v>
      </c>
      <c r="B98" s="1139">
        <f>IF(t&gt;Tmaj,'2024'!Wh/'2024'!Env_an*'2025'!Env_an,0.001*'[5]mon-tableau'!$B$232)</f>
        <v>37.061635929548451</v>
      </c>
      <c r="C98" s="866"/>
      <c r="D98" s="395">
        <f t="shared" si="25"/>
        <v>39.216050995395769</v>
      </c>
      <c r="E98" s="387">
        <f t="shared" si="47"/>
        <v>43.306799699203374</v>
      </c>
      <c r="F98" s="387">
        <f t="shared" si="26"/>
        <v>44.098323619603455</v>
      </c>
      <c r="G98" s="110">
        <f t="shared" si="48"/>
        <v>0.90202196027733428</v>
      </c>
      <c r="H98" s="414" t="b">
        <f>Wh_hp&gt;='2024'!Maxi_hp</f>
        <v>0</v>
      </c>
      <c r="I98" s="392">
        <f>IF(H98,Wh_hp,'2024'!Maxi_hp)</f>
        <v>46.669924770661282</v>
      </c>
      <c r="J98" s="85">
        <f>IF(H98,An,'2024'!An_max)</f>
        <v>2020</v>
      </c>
      <c r="K98" s="199">
        <f t="shared" si="27"/>
        <v>45741</v>
      </c>
      <c r="L98" s="147">
        <f>IF(t&lt;Tvie,1-EXP((T0-t)*PertePVj)+'2024'!Pspv,1-EXP((T0-t)*PertePVj)+Pspv)</f>
        <v>5.4937073243306989E-2</v>
      </c>
      <c r="M98" s="870"/>
      <c r="N98" s="870"/>
      <c r="O98" s="48">
        <f>IF(t&lt;Tnet,'2024'!Resal+('2024'!Salim-'2024'!Resal)*(1-EXP(('2024'!Tnet-t)/('2024'!Tau_j))),Resal+(Salim-Resal)*(1-EXP((Tnet-t)/(Tau_j))))*Salcycl</f>
        <v>9.4459732241143984E-2</v>
      </c>
      <c r="P98" s="171">
        <f>(INDEX(Models!$BJ98:$BT98,,T98)*(1-R98)+INDEX(Models!$BJ98:$BT98,,T98+1)*R98-ERP_i)*Q98*Ramure*Pc/MaxiM</f>
        <v>2.0780230820114477E-2</v>
      </c>
      <c r="Q98" s="307">
        <f t="shared" si="28"/>
        <v>1</v>
      </c>
      <c r="R98" s="179">
        <f t="shared" si="29"/>
        <v>0.12721922555373943</v>
      </c>
      <c r="S98" s="837">
        <f t="shared" si="30"/>
        <v>2</v>
      </c>
      <c r="T98" s="178">
        <f t="shared" si="31"/>
        <v>8</v>
      </c>
      <c r="U98" s="253">
        <f t="shared" si="32"/>
        <v>2.1272192255537394</v>
      </c>
      <c r="V98" s="385">
        <f t="shared" si="33"/>
        <v>40.968837071021859</v>
      </c>
      <c r="W98" s="404">
        <f t="shared" si="34"/>
        <v>37.061635929548451</v>
      </c>
      <c r="X98" s="157">
        <f t="shared" si="35"/>
        <v>45741</v>
      </c>
      <c r="Y98" s="387">
        <f t="shared" si="36"/>
        <v>35.428985794415318</v>
      </c>
      <c r="Z98" s="387">
        <f t="shared" si="37"/>
        <v>37.488493931300439</v>
      </c>
      <c r="AA98" s="388">
        <f t="shared" si="38"/>
        <v>43.306799699203374</v>
      </c>
      <c r="AB98" s="199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0.13435085964133156</v>
      </c>
      <c r="AD98" s="233">
        <f>(INDEX(Models!$BJ98:$BT98,,AH98)*(1-AF98)+INDEX(Models!$BJ98:$BT98,,AH98+1)*AF98-ERP_i)*AE98*Ramure*Pc/MaxiM</f>
        <v>2.0780230820114477E-2</v>
      </c>
      <c r="AE98" s="307">
        <f t="shared" si="40"/>
        <v>1</v>
      </c>
      <c r="AF98" s="179">
        <f t="shared" si="41"/>
        <v>0.12721922555373943</v>
      </c>
      <c r="AG98" s="837">
        <f t="shared" si="49"/>
        <v>2</v>
      </c>
      <c r="AH98" s="178">
        <f t="shared" si="42"/>
        <v>8</v>
      </c>
      <c r="AI98" s="227">
        <f t="shared" si="43"/>
        <v>2.1272192255537394</v>
      </c>
      <c r="AJ98" s="267" t="b">
        <f t="shared" si="44"/>
        <v>1</v>
      </c>
      <c r="AK98" s="267" t="b">
        <f t="shared" si="45"/>
        <v>1</v>
      </c>
      <c r="AL98" s="267"/>
      <c r="AM98" s="267"/>
      <c r="AN98" s="75"/>
    </row>
    <row r="99" spans="1:40" s="6" customFormat="1" ht="11.25" x14ac:dyDescent="0.2">
      <c r="A99" s="56">
        <f t="shared" si="46"/>
        <v>45742</v>
      </c>
      <c r="B99" s="1139">
        <f>IF(t&gt;Tmaj,'2024'!Wh/'2024'!Env_an*'2025'!Env_an,0.001*'[5]mon-tableau'!$B$233)</f>
        <v>40.040681885118737</v>
      </c>
      <c r="C99" s="866"/>
      <c r="D99" s="395">
        <f t="shared" si="25"/>
        <v>42.369256668847811</v>
      </c>
      <c r="E99" s="387">
        <f t="shared" si="47"/>
        <v>46.797580864682324</v>
      </c>
      <c r="F99" s="387">
        <f t="shared" si="26"/>
        <v>47.718014039418939</v>
      </c>
      <c r="G99" s="110">
        <f t="shared" si="48"/>
        <v>0.96697642216683333</v>
      </c>
      <c r="H99" s="414" t="b">
        <f>Wh_hp&gt;='2024'!Maxi_hp</f>
        <v>0</v>
      </c>
      <c r="I99" s="392">
        <f>IF(H99,Wh_hp,'2024'!Maxi_hp)</f>
        <v>49.897175948996292</v>
      </c>
      <c r="J99" s="85">
        <f>IF(H99,An,'2024'!An_max)</f>
        <v>2019</v>
      </c>
      <c r="K99" s="199">
        <f t="shared" si="27"/>
        <v>45742</v>
      </c>
      <c r="L99" s="147">
        <f>IF(t&lt;Tvie,1-EXP((T0-t)*PertePVj)+'2024'!Pspv,1-EXP((T0-t)*PertePVj)+Pspv)</f>
        <v>5.4959066238260634E-2</v>
      </c>
      <c r="M99" s="870"/>
      <c r="N99" s="870"/>
      <c r="O99" s="48">
        <f>IF(t&lt;Tnet,'2024'!Resal+('2024'!Salim-'2024'!Resal)*(1-EXP(('2024'!Tnet-t)/('2024'!Tau_j))),Resal+(Salim-Resal)*(1-EXP((Tnet-t)/(Tau_j))))*Salcycl</f>
        <v>9.4627203244527613E-2</v>
      </c>
      <c r="P99" s="171">
        <f>(INDEX(Models!$BJ99:$BT99,,T99)*(1-R99)+INDEX(Models!$BJ99:$BT99,,T99+1)*R99-ERP_i)*Q99*Ramure*Pc/MaxiM</f>
        <v>2.0216313218142257E-2</v>
      </c>
      <c r="Q99" s="307">
        <f t="shared" si="28"/>
        <v>1</v>
      </c>
      <c r="R99" s="179">
        <f t="shared" si="29"/>
        <v>0.12836118595570456</v>
      </c>
      <c r="S99" s="837">
        <f t="shared" si="30"/>
        <v>2</v>
      </c>
      <c r="T99" s="178">
        <f t="shared" si="31"/>
        <v>8</v>
      </c>
      <c r="U99" s="253">
        <f t="shared" si="32"/>
        <v>2.1283611859557046</v>
      </c>
      <c r="V99" s="385">
        <f t="shared" si="33"/>
        <v>41.368973189036858</v>
      </c>
      <c r="W99" s="404">
        <f t="shared" si="34"/>
        <v>40.040681885118737</v>
      </c>
      <c r="X99" s="157">
        <f t="shared" si="35"/>
        <v>45742</v>
      </c>
      <c r="Y99" s="387">
        <f t="shared" si="36"/>
        <v>38.279541171943521</v>
      </c>
      <c r="Z99" s="387">
        <f t="shared" si="37"/>
        <v>40.505696424779877</v>
      </c>
      <c r="AA99" s="388">
        <f t="shared" si="38"/>
        <v>46.797580864682324</v>
      </c>
      <c r="AB99" s="199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0.13444892500096886</v>
      </c>
      <c r="AD99" s="233">
        <f>(INDEX(Models!$BJ99:$BT99,,AH99)*(1-AF99)+INDEX(Models!$BJ99:$BT99,,AH99+1)*AF99-ERP_i)*AE99*Ramure*Pc/MaxiM</f>
        <v>2.0216313218142257E-2</v>
      </c>
      <c r="AE99" s="307">
        <f t="shared" si="40"/>
        <v>1</v>
      </c>
      <c r="AF99" s="179">
        <f t="shared" si="41"/>
        <v>0.12836118595570456</v>
      </c>
      <c r="AG99" s="837">
        <f t="shared" si="49"/>
        <v>2</v>
      </c>
      <c r="AH99" s="178">
        <f t="shared" si="42"/>
        <v>8</v>
      </c>
      <c r="AI99" s="227">
        <f t="shared" si="43"/>
        <v>2.1283611859557046</v>
      </c>
      <c r="AJ99" s="267" t="b">
        <f t="shared" si="44"/>
        <v>1</v>
      </c>
      <c r="AK99" s="267" t="b">
        <f t="shared" si="45"/>
        <v>1</v>
      </c>
      <c r="AL99" s="267"/>
      <c r="AM99" s="267"/>
      <c r="AN99" s="75"/>
    </row>
    <row r="100" spans="1:40" s="6" customFormat="1" ht="11.25" x14ac:dyDescent="0.2">
      <c r="A100" s="56">
        <f t="shared" si="46"/>
        <v>45743</v>
      </c>
      <c r="B100" s="1139">
        <f>IF(t&gt;Tmaj,'2024'!Wh/'2024'!Env_an*'2025'!Env_an,0.001*'[5]mon-tableau'!$B$234)</f>
        <v>39.542367363786823</v>
      </c>
      <c r="C100" s="866"/>
      <c r="D100" s="395">
        <f t="shared" si="25"/>
        <v>41.842936301664665</v>
      </c>
      <c r="E100" s="387">
        <f t="shared" si="47"/>
        <v>46.224860002918255</v>
      </c>
      <c r="F100" s="387">
        <f t="shared" si="26"/>
        <v>47.082858458161034</v>
      </c>
      <c r="G100" s="110">
        <f t="shared" si="48"/>
        <v>0.94536620182810671</v>
      </c>
      <c r="H100" s="414" t="b">
        <f>Wh_hp&gt;='2024'!Maxi_hp</f>
        <v>0</v>
      </c>
      <c r="I100" s="392">
        <f>IF(H100,Wh_hp,'2024'!Maxi_hp)</f>
        <v>49.221953168491268</v>
      </c>
      <c r="J100" s="85">
        <f>IF(H100,An,'2024'!An_max)</f>
        <v>2019</v>
      </c>
      <c r="K100" s="199">
        <f t="shared" si="27"/>
        <v>45743</v>
      </c>
      <c r="L100" s="147">
        <f>IF(t&lt;Tvie,1-EXP((T0-t)*PertePVj)+'2024'!Pspv,1-EXP((T0-t)*PertePVj)+Pspv)</f>
        <v>5.498105872140524E-2</v>
      </c>
      <c r="M100" s="870"/>
      <c r="N100" s="870"/>
      <c r="O100" s="48">
        <f>IF(t&lt;Tnet,'2024'!Resal+('2024'!Salim-'2024'!Resal)*(1-EXP(('2024'!Tnet-t)/('2024'!Tau_j))),Resal+(Salim-Resal)*(1-EXP((Tnet-t)/(Tau_j))))*Salcycl</f>
        <v>9.479582417290075E-2</v>
      </c>
      <c r="P100" s="171">
        <f>(INDEX(Models!$BJ100:$BT100,,T100)*(1-R100)+INDEX(Models!$BJ100:$BT100,,T100+1)*R100-ERP_i)*Q100*Ramure*Pc/MaxiM</f>
        <v>1.9721688053168606E-2</v>
      </c>
      <c r="Q100" s="307">
        <f t="shared" si="28"/>
        <v>1</v>
      </c>
      <c r="R100" s="179">
        <f t="shared" si="29"/>
        <v>0.12954693719085508</v>
      </c>
      <c r="S100" s="837">
        <f t="shared" si="30"/>
        <v>2</v>
      </c>
      <c r="T100" s="178">
        <f t="shared" si="31"/>
        <v>8</v>
      </c>
      <c r="U100" s="253">
        <f t="shared" si="32"/>
        <v>2.1295469371908551</v>
      </c>
      <c r="V100" s="385">
        <f t="shared" si="33"/>
        <v>41.763722958830172</v>
      </c>
      <c r="W100" s="404">
        <f t="shared" si="34"/>
        <v>39.542367363786823</v>
      </c>
      <c r="X100" s="157">
        <f t="shared" si="35"/>
        <v>45743</v>
      </c>
      <c r="Y100" s="387">
        <f t="shared" si="36"/>
        <v>37.805821655488607</v>
      </c>
      <c r="Z100" s="387">
        <f t="shared" si="37"/>
        <v>40.0053586273498</v>
      </c>
      <c r="AA100" s="388">
        <f t="shared" si="38"/>
        <v>46.224860002918255</v>
      </c>
      <c r="AB100" s="199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0.13454884179586063</v>
      </c>
      <c r="AD100" s="233">
        <f>(INDEX(Models!$BJ100:$BT100,,AH100)*(1-AF100)+INDEX(Models!$BJ100:$BT100,,AH100+1)*AF100-ERP_i)*AE100*Ramure*Pc/MaxiM</f>
        <v>1.9721688053168606E-2</v>
      </c>
      <c r="AE100" s="307">
        <f t="shared" si="40"/>
        <v>1</v>
      </c>
      <c r="AF100" s="179">
        <f t="shared" si="41"/>
        <v>0.12954693719085508</v>
      </c>
      <c r="AG100" s="837">
        <f t="shared" si="49"/>
        <v>2</v>
      </c>
      <c r="AH100" s="178">
        <f t="shared" si="42"/>
        <v>8</v>
      </c>
      <c r="AI100" s="227">
        <f t="shared" si="43"/>
        <v>2.1295469371908551</v>
      </c>
      <c r="AJ100" s="267" t="b">
        <f t="shared" si="44"/>
        <v>1</v>
      </c>
      <c r="AK100" s="267" t="b">
        <f t="shared" si="45"/>
        <v>1</v>
      </c>
      <c r="AL100" s="267"/>
      <c r="AM100" s="267"/>
      <c r="AN100" s="75"/>
    </row>
    <row r="101" spans="1:40" s="6" customFormat="1" ht="11.25" x14ac:dyDescent="0.2">
      <c r="A101" s="56">
        <f t="shared" si="46"/>
        <v>45744</v>
      </c>
      <c r="B101" s="1139">
        <f>IF(t&gt;Tmaj,'2024'!Wh/'2024'!Env_an*'2025'!Env_an,0.001*'[5]mon-tableau'!$B$235)</f>
        <v>30.764999288910513</v>
      </c>
      <c r="C101" s="866"/>
      <c r="D101" s="395">
        <f t="shared" si="25"/>
        <v>32.555659900768497</v>
      </c>
      <c r="E101" s="387">
        <f t="shared" si="47"/>
        <v>35.971740487912342</v>
      </c>
      <c r="F101" s="387">
        <f t="shared" si="26"/>
        <v>36.402219783070244</v>
      </c>
      <c r="G101" s="110">
        <f t="shared" si="48"/>
        <v>0.72433663048718744</v>
      </c>
      <c r="H101" s="414" t="b">
        <f>Wh_hp&gt;='2024'!Maxi_hp</f>
        <v>0</v>
      </c>
      <c r="I101" s="392">
        <f>IF(H101,Wh_hp,'2024'!Maxi_hp)</f>
        <v>48.35240667023605</v>
      </c>
      <c r="J101" s="85">
        <f>IF(H101,An,'2024'!An_max)</f>
        <v>2021</v>
      </c>
      <c r="K101" s="199">
        <f t="shared" si="27"/>
        <v>45744</v>
      </c>
      <c r="L101" s="147">
        <f>IF(t&lt;Tvie,1-EXP((T0-t)*PertePVj)+'2024'!Pspv,1-EXP((T0-t)*PertePVj)+Pspv)</f>
        <v>5.5003050692752686E-2</v>
      </c>
      <c r="M101" s="870"/>
      <c r="N101" s="870"/>
      <c r="O101" s="48">
        <f>IF(t&lt;Tnet,'2024'!Resal+('2024'!Salim-'2024'!Resal)*(1-EXP(('2024'!Tnet-t)/('2024'!Tau_j))),Resal+(Salim-Resal)*(1-EXP((Tnet-t)/(Tau_j))))*Salcycl</f>
        <v>9.4965674187818636E-2</v>
      </c>
      <c r="P101" s="171">
        <f>(INDEX(Models!$BJ101:$BT101,,T101)*(1-R101)+INDEX(Models!$BJ101:$BT101,,T101+1)*R101-ERP_i)*Q101*Ramure*Pc/MaxiM</f>
        <v>1.9258802442428766E-2</v>
      </c>
      <c r="Q101" s="307">
        <f t="shared" si="28"/>
        <v>1</v>
      </c>
      <c r="R101" s="179">
        <f t="shared" si="29"/>
        <v>0.13077798736038471</v>
      </c>
      <c r="S101" s="837">
        <f t="shared" si="30"/>
        <v>2</v>
      </c>
      <c r="T101" s="178">
        <f t="shared" si="31"/>
        <v>8</v>
      </c>
      <c r="U101" s="253">
        <f t="shared" si="32"/>
        <v>2.1307779873603847</v>
      </c>
      <c r="V101" s="385">
        <f t="shared" si="33"/>
        <v>42.153854835557453</v>
      </c>
      <c r="W101" s="404">
        <f t="shared" si="34"/>
        <v>30.764999288910513</v>
      </c>
      <c r="X101" s="157">
        <f t="shared" si="35"/>
        <v>45744</v>
      </c>
      <c r="Y101" s="387">
        <f t="shared" si="36"/>
        <v>29.415978326994249</v>
      </c>
      <c r="Z101" s="387">
        <f t="shared" si="37"/>
        <v>31.128119882882519</v>
      </c>
      <c r="AA101" s="388">
        <f t="shared" si="38"/>
        <v>35.971740487912342</v>
      </c>
      <c r="AB101" s="199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0.13465071579334437</v>
      </c>
      <c r="AD101" s="233">
        <f>(INDEX(Models!$BJ101:$BT101,,AH101)*(1-AF101)+INDEX(Models!$BJ101:$BT101,,AH101+1)*AF101-ERP_i)*AE101*Ramure*Pc/MaxiM</f>
        <v>1.9258802442428766E-2</v>
      </c>
      <c r="AE101" s="307">
        <f t="shared" si="40"/>
        <v>1</v>
      </c>
      <c r="AF101" s="179">
        <f t="shared" si="41"/>
        <v>0.13077798736038471</v>
      </c>
      <c r="AG101" s="837">
        <f t="shared" si="49"/>
        <v>2</v>
      </c>
      <c r="AH101" s="178">
        <f t="shared" si="42"/>
        <v>8</v>
      </c>
      <c r="AI101" s="227">
        <f t="shared" si="43"/>
        <v>2.1307779873603847</v>
      </c>
      <c r="AJ101" s="267" t="b">
        <f t="shared" si="44"/>
        <v>1</v>
      </c>
      <c r="AK101" s="267" t="b">
        <f t="shared" si="45"/>
        <v>1</v>
      </c>
      <c r="AL101" s="267"/>
      <c r="AM101" s="267"/>
      <c r="AN101" s="75"/>
    </row>
    <row r="102" spans="1:40" s="6" customFormat="1" ht="11.25" x14ac:dyDescent="0.2">
      <c r="A102" s="56">
        <f t="shared" si="46"/>
        <v>45745</v>
      </c>
      <c r="B102" s="1139">
        <f>IF(t&gt;Tmaj,'2024'!Wh/'2024'!Env_an*'2025'!Env_an,0.001*'[5]mon-tableau'!$B$236)</f>
        <v>25.410261606359718</v>
      </c>
      <c r="C102" s="866"/>
      <c r="D102" s="395">
        <f t="shared" si="25"/>
        <v>26.889878292896988</v>
      </c>
      <c r="E102" s="387">
        <f t="shared" si="47"/>
        <v>29.717065795827065</v>
      </c>
      <c r="F102" s="387">
        <f t="shared" si="26"/>
        <v>29.956640559868116</v>
      </c>
      <c r="G102" s="110">
        <f t="shared" si="48"/>
        <v>0.59082487639391246</v>
      </c>
      <c r="H102" s="414" t="b">
        <f>Wh_hp&gt;='2024'!Maxi_hp</f>
        <v>0</v>
      </c>
      <c r="I102" s="392">
        <f>IF(H102,Wh_hp,'2024'!Maxi_hp)</f>
        <v>50.374159928114452</v>
      </c>
      <c r="J102" s="85">
        <f>IF(H102,An,'2024'!An_max)</f>
        <v>2021</v>
      </c>
      <c r="K102" s="199">
        <f t="shared" si="27"/>
        <v>45745</v>
      </c>
      <c r="L102" s="147">
        <f>IF(t&lt;Tvie,1-EXP((T0-t)*PertePVj)+'2024'!Pspv,1-EXP((T0-t)*PertePVj)+Pspv)</f>
        <v>5.502504215231474E-2</v>
      </c>
      <c r="M102" s="870"/>
      <c r="N102" s="870"/>
      <c r="O102" s="48">
        <f>IF(t&lt;Tnet,'2024'!Resal+('2024'!Salim-'2024'!Resal)*(1-EXP(('2024'!Tnet-t)/('2024'!Tau_j))),Resal+(Salim-Resal)*(1-EXP((Tnet-t)/(Tau_j))))*Salcycl</f>
        <v>9.5136832228135959E-2</v>
      </c>
      <c r="P102" s="171">
        <f>(INDEX(Models!$BJ102:$BT102,,T102)*(1-R102)+INDEX(Models!$BJ102:$BT102,,T102+1)*R102-ERP_i)*Q102*Ramure*Pc/MaxiM</f>
        <v>1.8827112454138137E-2</v>
      </c>
      <c r="Q102" s="307">
        <f t="shared" si="28"/>
        <v>1</v>
      </c>
      <c r="R102" s="179">
        <f t="shared" si="29"/>
        <v>0.13205588255852563</v>
      </c>
      <c r="S102" s="837">
        <f t="shared" si="30"/>
        <v>2</v>
      </c>
      <c r="T102" s="178">
        <f t="shared" si="31"/>
        <v>8</v>
      </c>
      <c r="U102" s="253">
        <f t="shared" si="32"/>
        <v>2.1320558825585256</v>
      </c>
      <c r="V102" s="385">
        <f t="shared" si="33"/>
        <v>42.538589470922716</v>
      </c>
      <c r="W102" s="404">
        <f t="shared" si="34"/>
        <v>25.410261606359718</v>
      </c>
      <c r="X102" s="157">
        <f t="shared" si="35"/>
        <v>45745</v>
      </c>
      <c r="Y102" s="387">
        <f t="shared" si="36"/>
        <v>24.297718625539716</v>
      </c>
      <c r="Z102" s="387">
        <f t="shared" si="37"/>
        <v>25.712552934610269</v>
      </c>
      <c r="AA102" s="388">
        <f t="shared" si="38"/>
        <v>29.717065795827065</v>
      </c>
      <c r="AB102" s="199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0.13475465204842399</v>
      </c>
      <c r="AD102" s="233">
        <f>(INDEX(Models!$BJ102:$BT102,,AH102)*(1-AF102)+INDEX(Models!$BJ102:$BT102,,AH102+1)*AF102-ERP_i)*AE102*Ramure*Pc/MaxiM</f>
        <v>1.8827112454138137E-2</v>
      </c>
      <c r="AE102" s="307">
        <f t="shared" si="40"/>
        <v>1</v>
      </c>
      <c r="AF102" s="179">
        <f t="shared" si="41"/>
        <v>0.13205588255852563</v>
      </c>
      <c r="AG102" s="837">
        <f t="shared" si="49"/>
        <v>2</v>
      </c>
      <c r="AH102" s="178">
        <f t="shared" si="42"/>
        <v>8</v>
      </c>
      <c r="AI102" s="227">
        <f t="shared" si="43"/>
        <v>2.1320558825585256</v>
      </c>
      <c r="AJ102" s="267" t="b">
        <f t="shared" si="44"/>
        <v>1</v>
      </c>
      <c r="AK102" s="267" t="b">
        <f t="shared" si="45"/>
        <v>1</v>
      </c>
      <c r="AL102" s="267"/>
      <c r="AM102" s="267"/>
      <c r="AN102" s="75"/>
    </row>
    <row r="103" spans="1:40" s="6" customFormat="1" ht="11.25" x14ac:dyDescent="0.2">
      <c r="A103" s="56">
        <f t="shared" si="46"/>
        <v>45746</v>
      </c>
      <c r="B103" s="1139">
        <f>IF(t&gt;Tmaj,'2024'!Wh/'2024'!Env_an*'2025'!Env_an,0.001*'[5]mon-tableau'!$B$237)</f>
        <v>7.1636538164743815</v>
      </c>
      <c r="C103" s="866"/>
      <c r="D103" s="395">
        <f t="shared" si="25"/>
        <v>7.580963357336346</v>
      </c>
      <c r="E103" s="387">
        <f t="shared" si="47"/>
        <v>8.3796196877746532</v>
      </c>
      <c r="F103" s="387">
        <f t="shared" si="26"/>
        <v>8.3796196877746532</v>
      </c>
      <c r="G103" s="110">
        <f t="shared" si="48"/>
        <v>0.16384256806849196</v>
      </c>
      <c r="H103" s="414" t="b">
        <f>Wh_hp&gt;='2024'!Maxi_hp</f>
        <v>0</v>
      </c>
      <c r="I103" s="392">
        <f>IF(H103,Wh_hp,'2024'!Maxi_hp)</f>
        <v>50.454310720909646</v>
      </c>
      <c r="J103" s="85">
        <f>IF(H103,An,'2024'!An_max)</f>
        <v>2019</v>
      </c>
      <c r="K103" s="199">
        <f t="shared" si="27"/>
        <v>45746</v>
      </c>
      <c r="L103" s="147">
        <f>IF(t&lt;Tvie,1-EXP((T0-t)*PertePVj)+'2024'!Pspv,1-EXP((T0-t)*PertePVj)+Pspv)</f>
        <v>5.5047033100103393E-2</v>
      </c>
      <c r="M103" s="870"/>
      <c r="N103" s="870"/>
      <c r="O103" s="48">
        <f>IF(t&lt;Tnet,'2024'!Resal+('2024'!Salim-'2024'!Resal)*(1-EXP(('2024'!Tnet-t)/('2024'!Tau_j))),Resal+(Salim-Resal)*(1-EXP((Tnet-t)/(Tau_j))))*Salcycl</f>
        <v>9.530937682094294E-2</v>
      </c>
      <c r="P103" s="171">
        <f>(INDEX(Models!$BJ103:$BT103,,T103)*(1-R103)+INDEX(Models!$BJ103:$BT103,,T103+1)*R103-ERP_i)*Q103*Ramure*Pc/MaxiM</f>
        <v>1.8426088240796071E-2</v>
      </c>
      <c r="Q103" s="307">
        <f t="shared" si="28"/>
        <v>1</v>
      </c>
      <c r="R103" s="179">
        <f t="shared" si="29"/>
        <v>0.13338220665079126</v>
      </c>
      <c r="S103" s="837">
        <f t="shared" si="30"/>
        <v>2</v>
      </c>
      <c r="T103" s="178">
        <f t="shared" si="31"/>
        <v>8</v>
      </c>
      <c r="U103" s="253">
        <f t="shared" si="32"/>
        <v>2.1333822066507913</v>
      </c>
      <c r="V103" s="385">
        <f t="shared" si="33"/>
        <v>42.917147735294463</v>
      </c>
      <c r="W103" s="404">
        <f t="shared" si="34"/>
        <v>7.1636538164743815</v>
      </c>
      <c r="X103" s="157">
        <f t="shared" si="35"/>
        <v>45746</v>
      </c>
      <c r="Y103" s="387">
        <f t="shared" si="36"/>
        <v>6.8504723029027623</v>
      </c>
      <c r="Z103" s="387">
        <f t="shared" si="37"/>
        <v>7.2495378530606445</v>
      </c>
      <c r="AA103" s="388">
        <f t="shared" si="38"/>
        <v>8.3796196877746532</v>
      </c>
      <c r="AB103" s="199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0.13486075464292593</v>
      </c>
      <c r="AD103" s="233">
        <f>(INDEX(Models!$BJ103:$BT103,,AH103)*(1-AF103)+INDEX(Models!$BJ103:$BT103,,AH103+1)*AF103-ERP_i)*AE103*Ramure*Pc/MaxiM</f>
        <v>1.8426088240796071E-2</v>
      </c>
      <c r="AE103" s="307">
        <f t="shared" si="40"/>
        <v>1</v>
      </c>
      <c r="AF103" s="179">
        <f t="shared" si="41"/>
        <v>0.13338220665079126</v>
      </c>
      <c r="AG103" s="837">
        <f t="shared" si="49"/>
        <v>2</v>
      </c>
      <c r="AH103" s="178">
        <f t="shared" si="42"/>
        <v>8</v>
      </c>
      <c r="AI103" s="227">
        <f t="shared" si="43"/>
        <v>2.1333822066507913</v>
      </c>
      <c r="AJ103" s="267" t="b">
        <f t="shared" si="44"/>
        <v>1</v>
      </c>
      <c r="AK103" s="267" t="b">
        <f t="shared" si="45"/>
        <v>1</v>
      </c>
      <c r="AL103" s="267"/>
      <c r="AM103" s="267"/>
      <c r="AN103" s="75"/>
    </row>
    <row r="104" spans="1:40" s="6" customFormat="1" ht="11.25" x14ac:dyDescent="0.2">
      <c r="A104" s="56">
        <f t="shared" si="46"/>
        <v>45747</v>
      </c>
      <c r="B104" s="1139">
        <f>IF(t&gt;Tmaj,'2024'!Wh/'2024'!Env_an*'2025'!Env_an,0.001*'[5]mon-tableau'!$B$238)</f>
        <v>25.48160013474833</v>
      </c>
      <c r="C104" s="866"/>
      <c r="D104" s="395">
        <f t="shared" si="25"/>
        <v>26.966625890608263</v>
      </c>
      <c r="E104" s="387">
        <f t="shared" si="47"/>
        <v>29.813300795384823</v>
      </c>
      <c r="F104" s="387">
        <f t="shared" si="26"/>
        <v>29.813300795384823</v>
      </c>
      <c r="G104" s="110">
        <f t="shared" si="48"/>
        <v>0.57801446925268385</v>
      </c>
      <c r="H104" s="414" t="b">
        <f>Wh_hp&gt;='2024'!Maxi_hp</f>
        <v>0</v>
      </c>
      <c r="I104" s="392">
        <f>IF(H104,Wh_hp,'2024'!Maxi_hp)</f>
        <v>45.640923003520236</v>
      </c>
      <c r="J104" s="85">
        <f>IF(H104,An,'2024'!An_max)</f>
        <v>2021</v>
      </c>
      <c r="K104" s="199">
        <f t="shared" si="27"/>
        <v>45747</v>
      </c>
      <c r="L104" s="147">
        <f>IF(t&lt;Tvie,1-EXP((T0-t)*PertePVj)+'2024'!Pspv,1-EXP((T0-t)*PertePVj)+Pspv)</f>
        <v>5.5069023536130524E-2</v>
      </c>
      <c r="M104" s="870"/>
      <c r="N104" s="870"/>
      <c r="O104" s="48">
        <f>IF(t&lt;Tnet,'2024'!Resal+('2024'!Salim-'2024'!Resal)*(1-EXP(('2024'!Tnet-t)/('2024'!Tau_j))),Resal+(Salim-Resal)*(1-EXP((Tnet-t)/(Tau_j))))*Salcycl</f>
        <v>9.5483385899263806E-2</v>
      </c>
      <c r="P104" s="171">
        <f>(INDEX(Models!$BJ104:$BT104,,T104)*(1-R104)+INDEX(Models!$BJ104:$BT104,,T104+1)*R104-ERP_i)*Q104*Ramure*Pc/MaxiM</f>
        <v>0</v>
      </c>
      <c r="Q104" s="307">
        <f t="shared" si="28"/>
        <v>1</v>
      </c>
      <c r="R104" s="179">
        <f t="shared" si="29"/>
        <v>0.19977598800435103</v>
      </c>
      <c r="S104" s="837">
        <f t="shared" si="30"/>
        <v>-3</v>
      </c>
      <c r="T104" s="178">
        <f t="shared" si="31"/>
        <v>3</v>
      </c>
      <c r="U104" s="253">
        <f t="shared" si="32"/>
        <v>-2.800224011995649</v>
      </c>
      <c r="V104" s="385">
        <f t="shared" si="33"/>
        <v>44.084709795748793</v>
      </c>
      <c r="W104" s="404">
        <f t="shared" si="34"/>
        <v>25.48160013474833</v>
      </c>
      <c r="X104" s="157">
        <f t="shared" si="35"/>
        <v>45747</v>
      </c>
      <c r="Y104" s="387">
        <f t="shared" si="36"/>
        <v>24.194478477380873</v>
      </c>
      <c r="Z104" s="387">
        <f t="shared" si="37"/>
        <v>25.604492899493781</v>
      </c>
      <c r="AA104" s="388">
        <f t="shared" si="38"/>
        <v>29.599513360712589</v>
      </c>
      <c r="AB104" s="199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0.13496912643575398</v>
      </c>
      <c r="AD104" s="233">
        <f>(INDEX(Models!$BJ104:$BT104,,AH104)*(1-AF104)+INDEX(Models!$BJ104:$BT104,,AH104+1)*AF104-ERP_i)*AE104*Ramure*Pc/MaxiM</f>
        <v>1.8055218763102513E-2</v>
      </c>
      <c r="AE104" s="307">
        <f t="shared" si="40"/>
        <v>1</v>
      </c>
      <c r="AF104" s="179">
        <f t="shared" si="41"/>
        <v>0.13475858092792148</v>
      </c>
      <c r="AG104" s="837">
        <f t="shared" si="49"/>
        <v>2</v>
      </c>
      <c r="AH104" s="178">
        <f t="shared" si="42"/>
        <v>8</v>
      </c>
      <c r="AI104" s="227">
        <f t="shared" si="43"/>
        <v>2.1347585809279215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45748</v>
      </c>
      <c r="B105" s="1139">
        <f>IF(t&gt;Tmaj,'2024'!Wh/'2024'!Env_an*'2025'!Env_an,0.001*'[6]mon-tableau'!$B$202)</f>
        <v>27.771971724589264</v>
      </c>
      <c r="C105" s="866"/>
      <c r="D105" s="395">
        <f t="shared" si="25"/>
        <v>29.391160545836989</v>
      </c>
      <c r="E105" s="387">
        <f t="shared" si="47"/>
        <v>32.500084023828947</v>
      </c>
      <c r="F105" s="387">
        <f t="shared" si="26"/>
        <v>32.500124507455993</v>
      </c>
      <c r="G105" s="110">
        <f t="shared" si="48"/>
        <v>0.62493506038354218</v>
      </c>
      <c r="H105" s="414" t="b">
        <f>Wh_hp&gt;='2024'!Maxi_hp</f>
        <v>0</v>
      </c>
      <c r="I105" s="392">
        <f>IF(H105,Wh_hp,'2024'!Maxi_hp)</f>
        <v>47.789967168011586</v>
      </c>
      <c r="J105" s="85">
        <f>IF(H105,An,'2024'!An_max)</f>
        <v>2020</v>
      </c>
      <c r="K105" s="199">
        <f t="shared" si="27"/>
        <v>45748</v>
      </c>
      <c r="L105" s="147">
        <f>IF(t&lt;Tvie,1-EXP((T0-t)*PertePVj)+'2024'!Pspv,1-EXP((T0-t)*PertePVj)+Pspv)</f>
        <v>5.5091013460408234E-2</v>
      </c>
      <c r="M105" s="870"/>
      <c r="N105" s="870"/>
      <c r="O105" s="48">
        <f>IF(t&lt;Tnet,'2024'!Resal+('2024'!Salim-'2024'!Resal)*(1-EXP(('2024'!Tnet-t)/('2024'!Tau_j))),Resal+(Salim-Resal)*(1-EXP((Tnet-t)/(Tau_j))))*Salcycl</f>
        <v>9.5658936626517962E-2</v>
      </c>
      <c r="P105" s="171">
        <f>(INDEX(Models!$BJ105:$BT105,,T105)*(1-R105)+INDEX(Models!$BJ105:$BT105,,T105+1)*R105-ERP_i)*Q105*Ramure*Pc/MaxiM</f>
        <v>2.6834570923382495E-6</v>
      </c>
      <c r="Q105" s="307">
        <f t="shared" si="28"/>
        <v>1</v>
      </c>
      <c r="R105" s="179">
        <f t="shared" si="29"/>
        <v>0.20120407070135027</v>
      </c>
      <c r="S105" s="837">
        <f t="shared" si="30"/>
        <v>-3</v>
      </c>
      <c r="T105" s="178">
        <f t="shared" si="31"/>
        <v>3</v>
      </c>
      <c r="U105" s="253">
        <f t="shared" si="32"/>
        <v>-2.7987959292986497</v>
      </c>
      <c r="V105" s="385">
        <f t="shared" si="33"/>
        <v>44.439708306053952</v>
      </c>
      <c r="W105" s="404">
        <f t="shared" si="34"/>
        <v>27.771971724589264</v>
      </c>
      <c r="X105" s="157">
        <f t="shared" si="35"/>
        <v>45748</v>
      </c>
      <c r="Y105" s="387">
        <f t="shared" si="36"/>
        <v>26.342995288263801</v>
      </c>
      <c r="Z105" s="387">
        <f t="shared" si="37"/>
        <v>27.878870519303742</v>
      </c>
      <c r="AA105" s="388">
        <f t="shared" si="38"/>
        <v>32.232884302742114</v>
      </c>
      <c r="AB105" s="199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0.13507986882414888</v>
      </c>
      <c r="AD105" s="233">
        <f>(INDEX(Models!$BJ105:$BT105,,AH105)*(1-AF105)+INDEX(Models!$BJ105:$BT105,,AH105+1)*AF105-ERP_i)*AE105*Ramure*Pc/MaxiM</f>
        <v>1.771401613683805E-2</v>
      </c>
      <c r="AE105" s="307">
        <f t="shared" si="40"/>
        <v>1</v>
      </c>
      <c r="AF105" s="179">
        <f t="shared" si="41"/>
        <v>0.13618666362492071</v>
      </c>
      <c r="AG105" s="837">
        <f t="shared" si="49"/>
        <v>2</v>
      </c>
      <c r="AH105" s="178">
        <f t="shared" si="42"/>
        <v>8</v>
      </c>
      <c r="AI105" s="227">
        <f t="shared" si="43"/>
        <v>2.1361866636249207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45749</v>
      </c>
      <c r="B106" s="1139">
        <f>IF(t&gt;Tmaj,'2024'!Wh/'2024'!Env_an*'2025'!Env_an,0.001*'[6]mon-tableau'!$B$203)</f>
        <v>18.813313905280879</v>
      </c>
      <c r="C106" s="866"/>
      <c r="D106" s="395">
        <f t="shared" si="25"/>
        <v>19.910649593531442</v>
      </c>
      <c r="E106" s="387">
        <f t="shared" si="47"/>
        <v>22.021062451894245</v>
      </c>
      <c r="F106" s="387">
        <f t="shared" si="26"/>
        <v>22.021082614712583</v>
      </c>
      <c r="G106" s="110">
        <f t="shared" si="48"/>
        <v>0.42005887812015164</v>
      </c>
      <c r="H106" s="414" t="b">
        <f>Wh_hp&gt;='2024'!Maxi_hp</f>
        <v>0</v>
      </c>
      <c r="I106" s="392">
        <f>IF(H106,Wh_hp,'2024'!Maxi_hp)</f>
        <v>42.365894595773121</v>
      </c>
      <c r="J106" s="85">
        <f>IF(H106,An,'2024'!An_max)</f>
        <v>2020</v>
      </c>
      <c r="K106" s="199">
        <f t="shared" si="27"/>
        <v>45749</v>
      </c>
      <c r="L106" s="147">
        <f>IF(t&lt;Tvie,1-EXP((T0-t)*PertePVj)+'2024'!Pspv,1-EXP((T0-t)*PertePVj)+Pspv)</f>
        <v>5.511300287294818E-2</v>
      </c>
      <c r="M106" s="870"/>
      <c r="N106" s="870"/>
      <c r="O106" s="48">
        <f>IF(t&lt;Tnet,'2024'!Resal+('2024'!Salim-'2024'!Resal)*(1-EXP(('2024'!Tnet-t)/('2024'!Tau_j))),Resal+(Salim-Resal)*(1-EXP((Tnet-t)/(Tau_j))))*Salcycl</f>
        <v>9.5836105227577989E-2</v>
      </c>
      <c r="P106" s="171">
        <f>(INDEX(Models!$BJ106:$BT106,,T106)*(1-R106)+INDEX(Models!$BJ106:$BT106,,T106+1)*R106-ERP_i)*Q106*Ramure*Pc/MaxiM</f>
        <v>5.3383815372319827E-6</v>
      </c>
      <c r="Q106" s="307">
        <f t="shared" si="28"/>
        <v>1</v>
      </c>
      <c r="R106" s="179">
        <f t="shared" si="29"/>
        <v>0.2026855563705654</v>
      </c>
      <c r="S106" s="837">
        <f t="shared" si="30"/>
        <v>-3</v>
      </c>
      <c r="T106" s="178">
        <f t="shared" si="31"/>
        <v>3</v>
      </c>
      <c r="U106" s="253">
        <f t="shared" si="32"/>
        <v>-2.7973144436294346</v>
      </c>
      <c r="V106" s="385">
        <f t="shared" si="33"/>
        <v>44.787127896188032</v>
      </c>
      <c r="W106" s="404">
        <f t="shared" si="34"/>
        <v>18.813313905280879</v>
      </c>
      <c r="X106" s="157">
        <f t="shared" si="35"/>
        <v>45749</v>
      </c>
      <c r="Y106" s="387">
        <f t="shared" si="36"/>
        <v>17.940705255378216</v>
      </c>
      <c r="Z106" s="387">
        <f t="shared" si="37"/>
        <v>18.987143764203864</v>
      </c>
      <c r="AA106" s="388">
        <f t="shared" si="38"/>
        <v>21.955355997243785</v>
      </c>
      <c r="AB106" s="199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0.13519308151562395</v>
      </c>
      <c r="AD106" s="233">
        <f>(INDEX(Models!$BJ106:$BT106,,AH106)*(1-AF106)+INDEX(Models!$BJ106:$BT106,,AH106+1)*AF106-ERP_i)*AE106*Ramure*Pc/MaxiM</f>
        <v>1.7402019664732728E-2</v>
      </c>
      <c r="AE106" s="307">
        <f t="shared" si="40"/>
        <v>1</v>
      </c>
      <c r="AF106" s="179">
        <f t="shared" si="41"/>
        <v>0.13766814929413584</v>
      </c>
      <c r="AG106" s="837">
        <f t="shared" si="49"/>
        <v>2</v>
      </c>
      <c r="AH106" s="178">
        <f t="shared" si="42"/>
        <v>8</v>
      </c>
      <c r="AI106" s="227">
        <f t="shared" si="43"/>
        <v>2.1376681492941358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45750</v>
      </c>
      <c r="B107" s="1139">
        <f>IF(t&gt;Tmaj,'2024'!Wh/'2024'!Env_an*'2025'!Env_an,0.001*'[6]mon-tableau'!$B$204)</f>
        <v>23.289767398170991</v>
      </c>
      <c r="C107" s="866"/>
      <c r="D107" s="395">
        <f t="shared" si="25"/>
        <v>24.648777545368162</v>
      </c>
      <c r="E107" s="387">
        <f t="shared" si="47"/>
        <v>27.26679827742953</v>
      </c>
      <c r="F107" s="387">
        <f t="shared" si="26"/>
        <v>27.266865248765924</v>
      </c>
      <c r="G107" s="110">
        <f t="shared" si="48"/>
        <v>0.5160709517561366</v>
      </c>
      <c r="H107" s="414" t="b">
        <f>Wh_hp&gt;='2024'!Maxi_hp</f>
        <v>0</v>
      </c>
      <c r="I107" s="392">
        <f>IF(H107,Wh_hp,'2024'!Maxi_hp)</f>
        <v>48.937909271344878</v>
      </c>
      <c r="J107" s="85">
        <f>IF(H107,An,'2024'!An_max)</f>
        <v>2021</v>
      </c>
      <c r="K107" s="199">
        <f t="shared" si="27"/>
        <v>45750</v>
      </c>
      <c r="L107" s="147">
        <f>IF(t&lt;Tvie,1-EXP((T0-t)*PertePVj)+'2024'!Pspv,1-EXP((T0-t)*PertePVj)+Pspv)</f>
        <v>5.5134991773762354E-2</v>
      </c>
      <c r="M107" s="870"/>
      <c r="N107" s="870"/>
      <c r="O107" s="48">
        <f>IF(t&lt;Tnet,'2024'!Resal+('2024'!Salim-'2024'!Resal)*(1-EXP(('2024'!Tnet-t)/('2024'!Tau_j))),Resal+(Salim-Resal)*(1-EXP((Tnet-t)/(Tau_j))))*Salcycl</f>
        <v>9.6014966826100306E-2</v>
      </c>
      <c r="P107" s="171">
        <f>(INDEX(Models!$BJ107:$BT107,,T107)*(1-R107)+INDEX(Models!$BJ107:$BT107,,T107+1)*R107-ERP_i)*Q107*Ramure*Pc/MaxiM</f>
        <v>7.957006310455971E-6</v>
      </c>
      <c r="Q107" s="307">
        <f t="shared" si="28"/>
        <v>1</v>
      </c>
      <c r="R107" s="179">
        <f t="shared" si="29"/>
        <v>0.20422217509730434</v>
      </c>
      <c r="S107" s="837">
        <f t="shared" si="30"/>
        <v>-3</v>
      </c>
      <c r="T107" s="178">
        <f t="shared" si="31"/>
        <v>3</v>
      </c>
      <c r="U107" s="253">
        <f t="shared" si="32"/>
        <v>-2.7957778249026957</v>
      </c>
      <c r="V107" s="385">
        <f t="shared" si="33"/>
        <v>45.128754495464044</v>
      </c>
      <c r="W107" s="404">
        <f t="shared" si="34"/>
        <v>23.289767398170991</v>
      </c>
      <c r="X107" s="157">
        <f t="shared" si="35"/>
        <v>45750</v>
      </c>
      <c r="Y107" s="387">
        <f t="shared" si="36"/>
        <v>22.159764602994521</v>
      </c>
      <c r="Z107" s="387">
        <f t="shared" si="37"/>
        <v>23.45283655343982</v>
      </c>
      <c r="AA107" s="388">
        <f t="shared" si="38"/>
        <v>27.122790475330095</v>
      </c>
      <c r="AB107" s="199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0.13530886231003156</v>
      </c>
      <c r="AD107" s="233">
        <f>(INDEX(Models!$BJ107:$BT107,,AH107)*(1-AF107)+INDEX(Models!$BJ107:$BT107,,AH107+1)*AF107-ERP_i)*AE107*Ramure*Pc/MaxiM</f>
        <v>1.7117828956566189E-2</v>
      </c>
      <c r="AE107" s="307">
        <f t="shared" si="40"/>
        <v>1</v>
      </c>
      <c r="AF107" s="179">
        <f t="shared" si="41"/>
        <v>0.13920476802087478</v>
      </c>
      <c r="AG107" s="837">
        <f t="shared" si="49"/>
        <v>2</v>
      </c>
      <c r="AH107" s="178">
        <f t="shared" si="42"/>
        <v>8</v>
      </c>
      <c r="AI107" s="227">
        <f t="shared" si="43"/>
        <v>2.1392047680208748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45751</v>
      </c>
      <c r="B108" s="1139">
        <f>IF(t&gt;Tmaj,'2024'!Wh/'2024'!Env_an*'2025'!Env_an,0.001*'[6]mon-tableau'!$B$205)</f>
        <v>40.330392693081592</v>
      </c>
      <c r="C108" s="866"/>
      <c r="D108" s="395">
        <f t="shared" si="25"/>
        <v>42.684754870743873</v>
      </c>
      <c r="E108" s="387">
        <f t="shared" si="47"/>
        <v>47.22786772026123</v>
      </c>
      <c r="F108" s="387">
        <f t="shared" si="26"/>
        <v>47.228284654510603</v>
      </c>
      <c r="G108" s="110">
        <f t="shared" si="48"/>
        <v>0.88703004840640576</v>
      </c>
      <c r="H108" s="414" t="b">
        <f>Wh_hp&gt;='2024'!Maxi_hp</f>
        <v>0</v>
      </c>
      <c r="I108" s="392">
        <f>IF(H108,Wh_hp,'2024'!Maxi_hp)</f>
        <v>53.242583375883534</v>
      </c>
      <c r="J108" s="85">
        <f>IF(H108,An,'2024'!An_max)</f>
        <v>2020</v>
      </c>
      <c r="K108" s="199">
        <f t="shared" si="27"/>
        <v>45751</v>
      </c>
      <c r="L108" s="147">
        <f>IF(t&lt;Tvie,1-EXP((T0-t)*PertePVj)+'2024'!Pspv,1-EXP((T0-t)*PertePVj)+Pspv)</f>
        <v>5.5156980162862745E-2</v>
      </c>
      <c r="M108" s="870"/>
      <c r="N108" s="870"/>
      <c r="O108" s="48">
        <f>IF(t&lt;Tnet,'2024'!Resal+('2024'!Salim-'2024'!Resal)*(1-EXP(('2024'!Tnet-t)/('2024'!Tau_j))),Resal+(Salim-Resal)*(1-EXP((Tnet-t)/(Tau_j))))*Salcycl</f>
        <v>9.6195595287659294E-2</v>
      </c>
      <c r="P108" s="171">
        <f>(INDEX(Models!$BJ108:$BT108,,T108)*(1-R108)+INDEX(Models!$BJ108:$BT108,,T108+1)*R108-ERP_i)*Q108*Ramure*Pc/MaxiM</f>
        <v>1.0526936249849699E-5</v>
      </c>
      <c r="Q108" s="307">
        <f t="shared" si="28"/>
        <v>1</v>
      </c>
      <c r="R108" s="179">
        <f t="shared" si="29"/>
        <v>0.20581569154609802</v>
      </c>
      <c r="S108" s="837">
        <f t="shared" si="30"/>
        <v>-3</v>
      </c>
      <c r="T108" s="178">
        <f t="shared" si="31"/>
        <v>3</v>
      </c>
      <c r="U108" s="253">
        <f t="shared" si="32"/>
        <v>-2.794184308453902</v>
      </c>
      <c r="V108" s="385">
        <f t="shared" si="33"/>
        <v>45.466694447034001</v>
      </c>
      <c r="W108" s="404">
        <f t="shared" si="34"/>
        <v>40.330392693081592</v>
      </c>
      <c r="X108" s="157">
        <f t="shared" si="35"/>
        <v>45751</v>
      </c>
      <c r="Y108" s="387">
        <f t="shared" si="36"/>
        <v>38.034728933408012</v>
      </c>
      <c r="Z108" s="387">
        <f t="shared" si="37"/>
        <v>40.255077441291853</v>
      </c>
      <c r="AA108" s="388">
        <f t="shared" si="38"/>
        <v>46.560662581807208</v>
      </c>
      <c r="AB108" s="199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0.13542730689101384</v>
      </c>
      <c r="AD108" s="233">
        <f>(INDEX(Models!$BJ108:$BT108,,AH108)*(1-AF108)+INDEX(Models!$BJ108:$BT108,,AH108+1)*AF108-ERP_i)*AE108*Ramure*Pc/MaxiM</f>
        <v>1.6856410834160514E-2</v>
      </c>
      <c r="AE108" s="307">
        <f t="shared" si="40"/>
        <v>1</v>
      </c>
      <c r="AF108" s="179">
        <f t="shared" si="41"/>
        <v>0.14079828446966847</v>
      </c>
      <c r="AG108" s="837">
        <f t="shared" si="49"/>
        <v>2</v>
      </c>
      <c r="AH108" s="178">
        <f t="shared" si="42"/>
        <v>8</v>
      </c>
      <c r="AI108" s="227">
        <f t="shared" si="43"/>
        <v>2.1407982844696685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45752</v>
      </c>
      <c r="B109" s="1139">
        <f>IF(t&gt;Tmaj,'2024'!Wh/'2024'!Env_an*'2025'!Env_an,0.001*'[6]mon-tableau'!$B$206)</f>
        <v>46.664642374917548</v>
      </c>
      <c r="C109" s="866"/>
      <c r="D109" s="395">
        <f t="shared" si="25"/>
        <v>49.38992761213855</v>
      </c>
      <c r="E109" s="387">
        <f t="shared" si="47"/>
        <v>54.657734162400821</v>
      </c>
      <c r="F109" s="387">
        <f t="shared" si="26"/>
        <v>54.658447129725694</v>
      </c>
      <c r="G109" s="110">
        <f t="shared" si="48"/>
        <v>1.018864081474923</v>
      </c>
      <c r="H109" s="414" t="b">
        <f>Wh_hp&gt;='2024'!Maxi_hp</f>
        <v>0</v>
      </c>
      <c r="I109" s="392">
        <f>IF(H109,Wh_hp,'2024'!Maxi_hp)</f>
        <v>55.141802022819732</v>
      </c>
      <c r="J109" s="85">
        <f>IF(H109,An,'2024'!An_max)</f>
        <v>2020</v>
      </c>
      <c r="K109" s="199">
        <f t="shared" si="27"/>
        <v>45752</v>
      </c>
      <c r="L109" s="147">
        <f>IF(t&lt;Tvie,1-EXP((T0-t)*PertePVj)+'2024'!Pspv,1-EXP((T0-t)*PertePVj)+Pspv)</f>
        <v>5.5178968040261123E-2</v>
      </c>
      <c r="M109" s="870"/>
      <c r="N109" s="870"/>
      <c r="O109" s="48">
        <f>IF(t&lt;Tnet,'2024'!Resal+('2024'!Salim-'2024'!Resal)*(1-EXP(('2024'!Tnet-t)/('2024'!Tau_j))),Resal+(Salim-Resal)*(1-EXP((Tnet-t)/(Tau_j))))*Salcycl</f>
        <v>9.637806306808093E-2</v>
      </c>
      <c r="P109" s="171">
        <f>(INDEX(Models!$BJ109:$BT109,,T109)*(1-R109)+INDEX(Models!$BJ109:$BT109,,T109+1)*R109-ERP_i)*Q109*Ramure*Pc/MaxiM</f>
        <v>1.3044046479745783E-5</v>
      </c>
      <c r="Q109" s="307">
        <f t="shared" si="28"/>
        <v>1</v>
      </c>
      <c r="R109" s="179">
        <f t="shared" si="29"/>
        <v>0.20746790382532421</v>
      </c>
      <c r="S109" s="837">
        <f t="shared" si="30"/>
        <v>-3</v>
      </c>
      <c r="T109" s="178">
        <f t="shared" si="31"/>
        <v>3</v>
      </c>
      <c r="U109" s="253">
        <f t="shared" si="32"/>
        <v>-2.7925320961746758</v>
      </c>
      <c r="V109" s="385">
        <f t="shared" si="33"/>
        <v>45.80065508577465</v>
      </c>
      <c r="W109" s="404">
        <f t="shared" si="34"/>
        <v>46.664642374917548</v>
      </c>
      <c r="X109" s="157">
        <f t="shared" si="35"/>
        <v>45752</v>
      </c>
      <c r="Y109" s="387">
        <f t="shared" si="36"/>
        <v>43.901522370829618</v>
      </c>
      <c r="Z109" s="387">
        <f t="shared" si="37"/>
        <v>46.465437247697054</v>
      </c>
      <c r="AA109" s="388">
        <f t="shared" si="38"/>
        <v>53.751352980880249</v>
      </c>
      <c r="AB109" s="199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0.13554850862591028</v>
      </c>
      <c r="AD109" s="233">
        <f>(INDEX(Models!$BJ109:$BT109,,AH109)*(1-AF109)+INDEX(Models!$BJ109:$BT109,,AH109+1)*AF109-ERP_i)*AE109*Ramure*Pc/MaxiM</f>
        <v>1.6595680932767042E-2</v>
      </c>
      <c r="AE109" s="307">
        <f t="shared" si="40"/>
        <v>1</v>
      </c>
      <c r="AF109" s="179">
        <f t="shared" si="41"/>
        <v>0.14245049674889465</v>
      </c>
      <c r="AG109" s="837">
        <f t="shared" si="49"/>
        <v>2</v>
      </c>
      <c r="AH109" s="178">
        <f t="shared" si="42"/>
        <v>8</v>
      </c>
      <c r="AI109" s="227">
        <f t="shared" si="43"/>
        <v>2.1424504967488947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45753</v>
      </c>
      <c r="B110" s="1139">
        <f>IF(t&gt;Tmaj,'2024'!Wh/'2024'!Env_an*'2025'!Env_an,0.001*'[6]mon-tableau'!$B$207)</f>
        <v>11.853632095907836</v>
      </c>
      <c r="C110" s="866"/>
      <c r="D110" s="395">
        <f t="shared" si="25"/>
        <v>12.546193990914977</v>
      </c>
      <c r="E110" s="387">
        <f t="shared" si="47"/>
        <v>13.887173349005156</v>
      </c>
      <c r="F110" s="387">
        <f t="shared" si="26"/>
        <v>13.887173349005156</v>
      </c>
      <c r="G110" s="110">
        <f t="shared" si="48"/>
        <v>0.256955558528566</v>
      </c>
      <c r="H110" s="414" t="b">
        <f>Wh_hp&gt;='2024'!Maxi_hp</f>
        <v>0</v>
      </c>
      <c r="I110" s="392">
        <f>IF(H110,Wh_hp,'2024'!Maxi_hp)</f>
        <v>55.305797154452193</v>
      </c>
      <c r="J110" s="85">
        <f>IF(H110,An,'2024'!An_max)</f>
        <v>2020</v>
      </c>
      <c r="K110" s="199">
        <f t="shared" si="27"/>
        <v>45753</v>
      </c>
      <c r="L110" s="147">
        <f>IF(t&lt;Tvie,1-EXP((T0-t)*PertePVj)+'2024'!Pspv,1-EXP((T0-t)*PertePVj)+Pspv)</f>
        <v>5.5200955405969587E-2</v>
      </c>
      <c r="M110" s="870"/>
      <c r="N110" s="870"/>
      <c r="O110" s="48">
        <f>IF(t&lt;Tnet,'2024'!Resal+('2024'!Salim-'2024'!Resal)*(1-EXP(('2024'!Tnet-t)/('2024'!Tau_j))),Resal+(Salim-Resal)*(1-EXP((Tnet-t)/(Tau_j))))*Salcycl</f>
        <v>9.6562441066255167E-2</v>
      </c>
      <c r="P110" s="171">
        <f>(INDEX(Models!$BJ110:$BT110,,T110)*(1-R110)+INDEX(Models!$BJ110:$BT110,,T110+1)*R110-ERP_i)*Q110*Ramure*Pc/MaxiM</f>
        <v>1.5500792561951233E-5</v>
      </c>
      <c r="Q110" s="307">
        <f t="shared" si="28"/>
        <v>1</v>
      </c>
      <c r="R110" s="179">
        <f t="shared" si="29"/>
        <v>0.20918064215758081</v>
      </c>
      <c r="S110" s="837">
        <f t="shared" si="30"/>
        <v>-3</v>
      </c>
      <c r="T110" s="178">
        <f t="shared" si="31"/>
        <v>3</v>
      </c>
      <c r="U110" s="253">
        <f t="shared" si="32"/>
        <v>-2.7908193578424192</v>
      </c>
      <c r="V110" s="385">
        <f t="shared" si="33"/>
        <v>46.130344185171047</v>
      </c>
      <c r="W110" s="404">
        <f t="shared" si="34"/>
        <v>11.853632095907836</v>
      </c>
      <c r="X110" s="157">
        <f t="shared" si="35"/>
        <v>45753</v>
      </c>
      <c r="Y110" s="387">
        <f t="shared" si="36"/>
        <v>11.340484355703685</v>
      </c>
      <c r="Z110" s="387">
        <f t="shared" si="37"/>
        <v>12.003065012175753</v>
      </c>
      <c r="AA110" s="388">
        <f t="shared" si="38"/>
        <v>13.887173349005156</v>
      </c>
      <c r="AB110" s="199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0.13567255837303821</v>
      </c>
      <c r="AD110" s="233">
        <f>(INDEX(Models!$BJ110:$BT110,,AH110)*(1-AF110)+INDEX(Models!$BJ110:$BT110,,AH110+1)*AF110-ERP_i)*AE110*Ramure*Pc/MaxiM</f>
        <v>1.6335787521402335E-2</v>
      </c>
      <c r="AE110" s="307">
        <f t="shared" si="40"/>
        <v>1</v>
      </c>
      <c r="AF110" s="179">
        <f t="shared" si="41"/>
        <v>0.14416323508115125</v>
      </c>
      <c r="AG110" s="837">
        <f t="shared" si="49"/>
        <v>2</v>
      </c>
      <c r="AH110" s="178">
        <f t="shared" si="42"/>
        <v>8</v>
      </c>
      <c r="AI110" s="227">
        <f t="shared" si="43"/>
        <v>2.1441632350811513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45754</v>
      </c>
      <c r="B111" s="1139">
        <f>IF(t&gt;Tmaj,'2024'!Wh/'2024'!Env_an*'2025'!Env_an,0.001*'[6]mon-tableau'!$B$208)</f>
        <v>35.855521213148492</v>
      </c>
      <c r="C111" s="866"/>
      <c r="D111" s="395">
        <f t="shared" si="25"/>
        <v>37.951303875771956</v>
      </c>
      <c r="E111" s="387">
        <f t="shared" si="47"/>
        <v>42.016333675430012</v>
      </c>
      <c r="F111" s="387">
        <f t="shared" si="26"/>
        <v>42.01684031376157</v>
      </c>
      <c r="G111" s="110">
        <f t="shared" si="48"/>
        <v>0.77182110637453449</v>
      </c>
      <c r="H111" s="414" t="b">
        <f>Wh_hp&gt;='2024'!Maxi_hp</f>
        <v>0</v>
      </c>
      <c r="I111" s="392">
        <f>IF(H111,Wh_hp,'2024'!Maxi_hp)</f>
        <v>54.130419749791777</v>
      </c>
      <c r="J111" s="85">
        <f>IF(H111,An,'2024'!An_max)</f>
        <v>2021</v>
      </c>
      <c r="K111" s="199">
        <f t="shared" si="27"/>
        <v>45754</v>
      </c>
      <c r="L111" s="147">
        <f>IF(t&lt;Tvie,1-EXP((T0-t)*PertePVj)+'2024'!Pspv,1-EXP((T0-t)*PertePVj)+Pspv)</f>
        <v>5.5222942259999797E-2</v>
      </c>
      <c r="M111" s="870"/>
      <c r="N111" s="870"/>
      <c r="O111" s="48">
        <f>IF(t&lt;Tnet,'2024'!Resal+('2024'!Salim-'2024'!Resal)*(1-EXP(('2024'!Tnet-t)/('2024'!Tau_j))),Resal+(Salim-Resal)*(1-EXP((Tnet-t)/(Tau_j))))*Salcycl</f>
        <v>9.6748798480605455E-2</v>
      </c>
      <c r="P111" s="171">
        <f>(INDEX(Models!$BJ111:$BT111,,T111)*(1-R111)+INDEX(Models!$BJ111:$BT111,,T111+1)*R111-ERP_i)*Q111*Ramure*Pc/MaxiM</f>
        <v>1.7889211031436545E-5</v>
      </c>
      <c r="Q111" s="307">
        <f t="shared" si="28"/>
        <v>1</v>
      </c>
      <c r="R111" s="179">
        <f t="shared" si="29"/>
        <v>0.21095576734290944</v>
      </c>
      <c r="S111" s="837">
        <f t="shared" si="30"/>
        <v>-3</v>
      </c>
      <c r="T111" s="178">
        <f t="shared" si="31"/>
        <v>3</v>
      </c>
      <c r="U111" s="253">
        <f t="shared" si="32"/>
        <v>-2.7890442326570906</v>
      </c>
      <c r="V111" s="385">
        <f t="shared" si="33"/>
        <v>46.455469839788613</v>
      </c>
      <c r="W111" s="404">
        <f t="shared" si="34"/>
        <v>35.855521213148492</v>
      </c>
      <c r="X111" s="157">
        <f t="shared" si="35"/>
        <v>45754</v>
      </c>
      <c r="Y111" s="387">
        <f t="shared" si="36"/>
        <v>33.934022570708073</v>
      </c>
      <c r="Z111" s="387">
        <f t="shared" si="37"/>
        <v>35.917492166756887</v>
      </c>
      <c r="AA111" s="388">
        <f t="shared" si="38"/>
        <v>41.56152884397801</v>
      </c>
      <c r="AB111" s="199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0.13579954429513016</v>
      </c>
      <c r="AD111" s="233">
        <f>(INDEX(Models!$BJ111:$BT111,,AH111)*(1-AF111)+INDEX(Models!$BJ111:$BT111,,AH111+1)*AF111-ERP_i)*AE111*Ramure*Pc/MaxiM</f>
        <v>1.6076878634343442E-2</v>
      </c>
      <c r="AE111" s="307">
        <f t="shared" si="40"/>
        <v>1</v>
      </c>
      <c r="AF111" s="179">
        <f t="shared" si="41"/>
        <v>0.14593836026647988</v>
      </c>
      <c r="AG111" s="837">
        <f t="shared" si="49"/>
        <v>2</v>
      </c>
      <c r="AH111" s="178">
        <f t="shared" si="42"/>
        <v>8</v>
      </c>
      <c r="AI111" s="227">
        <f t="shared" si="43"/>
        <v>2.1459383602664799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45755</v>
      </c>
      <c r="B112" s="1139">
        <f>IF(t&gt;Tmaj,'2024'!Wh/'2024'!Env_an*'2025'!Env_an,0.001*'[6]mon-tableau'!$B$209)</f>
        <v>28.004473258927689</v>
      </c>
      <c r="C112" s="866"/>
      <c r="D112" s="395">
        <f t="shared" si="25"/>
        <v>29.642045972295119</v>
      </c>
      <c r="E112" s="387">
        <f t="shared" si="47"/>
        <v>32.823903343022785</v>
      </c>
      <c r="F112" s="387">
        <f t="shared" si="26"/>
        <v>32.82418628452411</v>
      </c>
      <c r="G112" s="110">
        <f t="shared" si="48"/>
        <v>0.59868959083095152</v>
      </c>
      <c r="H112" s="414" t="b">
        <f>Wh_hp&gt;='2024'!Maxi_hp</f>
        <v>0</v>
      </c>
      <c r="I112" s="392">
        <f>IF(H112,Wh_hp,'2024'!Maxi_hp)</f>
        <v>52.014022850554703</v>
      </c>
      <c r="J112" s="85">
        <f>IF(H112,An,'2024'!An_max)</f>
        <v>2021</v>
      </c>
      <c r="K112" s="199">
        <f t="shared" si="27"/>
        <v>45755</v>
      </c>
      <c r="L112" s="147">
        <f>IF(t&lt;Tvie,1-EXP((T0-t)*PertePVj)+'2024'!Pspv,1-EXP((T0-t)*PertePVj)+Pspv)</f>
        <v>5.5244928602363852E-2</v>
      </c>
      <c r="M112" s="870"/>
      <c r="N112" s="870"/>
      <c r="O112" s="48">
        <f>IF(t&lt;Tnet,'2024'!Resal+('2024'!Salim-'2024'!Resal)*(1-EXP(('2024'!Tnet-t)/('2024'!Tau_j))),Resal+(Salim-Resal)*(1-EXP((Tnet-t)/(Tau_j))))*Salcycl</f>
        <v>9.6937202668311462E-2</v>
      </c>
      <c r="P112" s="171">
        <f>(INDEX(Models!$BJ112:$BT112,,T112)*(1-R112)+INDEX(Models!$BJ112:$BT112,,T112+1)*R112-ERP_i)*Q112*Ramure*Pc/MaxiM</f>
        <v>2.0200892417003454E-5</v>
      </c>
      <c r="Q112" s="307">
        <f t="shared" si="28"/>
        <v>1</v>
      </c>
      <c r="R112" s="179">
        <f t="shared" si="29"/>
        <v>0.21279516900175022</v>
      </c>
      <c r="S112" s="837">
        <f t="shared" si="30"/>
        <v>-3</v>
      </c>
      <c r="T112" s="178">
        <f t="shared" si="31"/>
        <v>3</v>
      </c>
      <c r="U112" s="253">
        <f t="shared" si="32"/>
        <v>-2.7872048309982498</v>
      </c>
      <c r="V112" s="385">
        <f t="shared" si="33"/>
        <v>46.775740493375622</v>
      </c>
      <c r="W112" s="404">
        <f t="shared" si="34"/>
        <v>28.004473258927689</v>
      </c>
      <c r="X112" s="157">
        <f t="shared" si="35"/>
        <v>45755</v>
      </c>
      <c r="Y112" s="387">
        <f t="shared" si="36"/>
        <v>26.614656000657881</v>
      </c>
      <c r="Z112" s="387">
        <f t="shared" si="37"/>
        <v>28.170958597009836</v>
      </c>
      <c r="AA112" s="388">
        <f t="shared" si="38"/>
        <v>32.602617820924486</v>
      </c>
      <c r="AB112" s="199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0.13592955167760773</v>
      </c>
      <c r="AD112" s="233">
        <f>(INDEX(Models!$BJ112:$BT112,,AH112)*(1-AF112)+INDEX(Models!$BJ112:$BT112,,AH112+1)*AF112-ERP_i)*AE112*Ramure*Pc/MaxiM</f>
        <v>1.581910280120407E-2</v>
      </c>
      <c r="AE112" s="307">
        <f t="shared" si="40"/>
        <v>1</v>
      </c>
      <c r="AF112" s="179">
        <f t="shared" si="41"/>
        <v>0.14777776192532066</v>
      </c>
      <c r="AG112" s="837">
        <f t="shared" si="49"/>
        <v>2</v>
      </c>
      <c r="AH112" s="178">
        <f t="shared" si="42"/>
        <v>8</v>
      </c>
      <c r="AI112" s="227">
        <f t="shared" si="43"/>
        <v>2.1477777619253207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45756</v>
      </c>
      <c r="B113" s="1139">
        <f>IF(t&gt;Tmaj,'2024'!Wh/'2024'!Env_an*'2025'!Env_an,0.001*'[6]mon-tableau'!$B$210)</f>
        <v>33.979000230694325</v>
      </c>
      <c r="C113" s="866"/>
      <c r="D113" s="395">
        <f t="shared" si="25"/>
        <v>35.966772784615472</v>
      </c>
      <c r="E113" s="387">
        <f t="shared" si="47"/>
        <v>39.835947499718692</v>
      </c>
      <c r="F113" s="387">
        <f t="shared" si="26"/>
        <v>39.836485540488262</v>
      </c>
      <c r="G113" s="110">
        <f t="shared" si="48"/>
        <v>0.72155602033632837</v>
      </c>
      <c r="H113" s="414" t="b">
        <f>Wh_hp&gt;='2024'!Maxi_hp</f>
        <v>0</v>
      </c>
      <c r="I113" s="392">
        <f>IF(H113,Wh_hp,'2024'!Maxi_hp)</f>
        <v>51.39394262397834</v>
      </c>
      <c r="J113" s="85">
        <f>IF(H113,An,'2024'!An_max)</f>
        <v>2020</v>
      </c>
      <c r="K113" s="199">
        <f t="shared" si="27"/>
        <v>45756</v>
      </c>
      <c r="L113" s="147">
        <f>IF(t&lt;Tvie,1-EXP((T0-t)*PertePVj)+'2024'!Pspv,1-EXP((T0-t)*PertePVj)+Pspv)</f>
        <v>5.5266914433073633E-2</v>
      </c>
      <c r="M113" s="870"/>
      <c r="N113" s="870"/>
      <c r="O113" s="48">
        <f>IF(t&lt;Tnet,'2024'!Resal+('2024'!Salim-'2024'!Resal)*(1-EXP(('2024'!Tnet-t)/('2024'!Tau_j))),Resal+(Salim-Resal)*(1-EXP((Tnet-t)/(Tau_j))))*Salcycl</f>
        <v>9.7127719006320667E-2</v>
      </c>
      <c r="P113" s="171">
        <f>(INDEX(Models!$BJ113:$BT113,,T113)*(1-R113)+INDEX(Models!$BJ113:$BT113,,T113+1)*R113-ERP_i)*Q113*Ramure*Pc/MaxiM</f>
        <v>2.2426953408295324E-5</v>
      </c>
      <c r="Q113" s="307">
        <f t="shared" si="28"/>
        <v>1</v>
      </c>
      <c r="R113" s="179">
        <f t="shared" si="29"/>
        <v>0.21470076358434298</v>
      </c>
      <c r="S113" s="837">
        <f t="shared" si="30"/>
        <v>-3</v>
      </c>
      <c r="T113" s="178">
        <f t="shared" si="31"/>
        <v>3</v>
      </c>
      <c r="U113" s="253">
        <f t="shared" si="32"/>
        <v>-2.785299236415657</v>
      </c>
      <c r="V113" s="385">
        <f t="shared" si="33"/>
        <v>47.090864952561972</v>
      </c>
      <c r="W113" s="404">
        <f t="shared" si="34"/>
        <v>33.979000230694325</v>
      </c>
      <c r="X113" s="157">
        <f t="shared" si="35"/>
        <v>45756</v>
      </c>
      <c r="Y113" s="387">
        <f t="shared" si="36"/>
        <v>32.209416108675789</v>
      </c>
      <c r="Z113" s="387">
        <f t="shared" si="37"/>
        <v>34.09366793727478</v>
      </c>
      <c r="AA113" s="388">
        <f t="shared" si="38"/>
        <v>39.463125932038146</v>
      </c>
      <c r="AB113" s="199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0.13606266275029585</v>
      </c>
      <c r="AD113" s="233">
        <f>(INDEX(Models!$BJ113:$BT113,,AH113)*(1-AF113)+INDEX(Models!$BJ113:$BT113,,AH113+1)*AF113-ERP_i)*AE113*Ramure*Pc/MaxiM</f>
        <v>1.5562609781234535E-2</v>
      </c>
      <c r="AE113" s="307">
        <f t="shared" si="40"/>
        <v>1</v>
      </c>
      <c r="AF113" s="179">
        <f t="shared" si="41"/>
        <v>0.14968335650791342</v>
      </c>
      <c r="AG113" s="837">
        <f t="shared" si="49"/>
        <v>2</v>
      </c>
      <c r="AH113" s="178">
        <f t="shared" si="42"/>
        <v>8</v>
      </c>
      <c r="AI113" s="227">
        <f t="shared" si="43"/>
        <v>2.1496833565079134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45757</v>
      </c>
      <c r="B114" s="1139">
        <f>IF(t&gt;Tmaj,'2024'!Wh/'2024'!Env_an*'2025'!Env_an,0.001*'[6]mon-tableau'!$B$211)</f>
        <v>48.110052783502582</v>
      </c>
      <c r="C114" s="866"/>
      <c r="D114" s="395">
        <f t="shared" si="25"/>
        <v>50.925677459363179</v>
      </c>
      <c r="E114" s="387">
        <f t="shared" si="47"/>
        <v>56.41611715387576</v>
      </c>
      <c r="F114" s="387">
        <f t="shared" si="26"/>
        <v>56.417502682718592</v>
      </c>
      <c r="G114" s="110">
        <f t="shared" si="48"/>
        <v>1.0149681881709371</v>
      </c>
      <c r="H114" s="414" t="b">
        <f>Wh_hp&gt;='2024'!Maxi_hp</f>
        <v>1</v>
      </c>
      <c r="I114" s="392">
        <f>IF(H114,Wh_hp,'2024'!Maxi_hp)</f>
        <v>56.417502682718592</v>
      </c>
      <c r="J114" s="85">
        <f>IF(H114,An,'2024'!An_max)</f>
        <v>2025</v>
      </c>
      <c r="K114" s="199">
        <f t="shared" si="27"/>
        <v>45757</v>
      </c>
      <c r="L114" s="147">
        <f>IF(t&lt;Tvie,1-EXP((T0-t)*PertePVj)+'2024'!Pspv,1-EXP((T0-t)*PertePVj)+Pspv)</f>
        <v>5.5288899752141019E-2</v>
      </c>
      <c r="M114" s="870"/>
      <c r="N114" s="870"/>
      <c r="O114" s="48">
        <f>IF(t&lt;Tnet,'2024'!Resal+('2024'!Salim-'2024'!Resal)*(1-EXP(('2024'!Tnet-t)/('2024'!Tau_j))),Resal+(Salim-Resal)*(1-EXP((Tnet-t)/(Tau_j))))*Salcycl</f>
        <v>9.7320410753142281E-2</v>
      </c>
      <c r="P114" s="171">
        <f>(INDEX(Models!$BJ114:$BT114,,T114)*(1-R114)+INDEX(Models!$BJ114:$BT114,,T114+1)*R114-ERP_i)*Q114*Ramure*Pc/MaxiM</f>
        <v>2.4558492966709443E-5</v>
      </c>
      <c r="Q114" s="307">
        <f t="shared" si="28"/>
        <v>1</v>
      </c>
      <c r="R114" s="179">
        <f t="shared" si="29"/>
        <v>0.21667449213322243</v>
      </c>
      <c r="S114" s="837">
        <f t="shared" si="30"/>
        <v>-3</v>
      </c>
      <c r="T114" s="178">
        <f t="shared" si="31"/>
        <v>3</v>
      </c>
      <c r="U114" s="253">
        <f t="shared" si="32"/>
        <v>-2.7833255078667776</v>
      </c>
      <c r="V114" s="385">
        <f t="shared" si="33"/>
        <v>47.400552395835355</v>
      </c>
      <c r="W114" s="404">
        <f t="shared" si="34"/>
        <v>48.110052783502582</v>
      </c>
      <c r="X114" s="157">
        <f t="shared" si="35"/>
        <v>45757</v>
      </c>
      <c r="Y114" s="387">
        <f t="shared" si="36"/>
        <v>45.334676531716347</v>
      </c>
      <c r="Z114" s="387">
        <f t="shared" si="37"/>
        <v>47.987873244870443</v>
      </c>
      <c r="AA114" s="388">
        <f t="shared" si="38"/>
        <v>55.554312658675514</v>
      </c>
      <c r="AB114" s="199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0.13619895651113734</v>
      </c>
      <c r="AD114" s="233">
        <f>(INDEX(Models!$BJ114:$BT114,,AH114)*(1-AF114)+INDEX(Models!$BJ114:$BT114,,AH114+1)*AF114-ERP_i)*AE114*Ramure*Pc/MaxiM</f>
        <v>1.5300039579871142E-2</v>
      </c>
      <c r="AE114" s="307">
        <f t="shared" si="40"/>
        <v>1</v>
      </c>
      <c r="AF114" s="179">
        <f t="shared" si="41"/>
        <v>0.15165708505679287</v>
      </c>
      <c r="AG114" s="837">
        <f t="shared" si="49"/>
        <v>2</v>
      </c>
      <c r="AH114" s="178">
        <f t="shared" si="42"/>
        <v>8</v>
      </c>
      <c r="AI114" s="227">
        <f t="shared" si="43"/>
        <v>2.1516570850567929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45758</v>
      </c>
      <c r="B115" s="1139">
        <f>IF(t&gt;Tmaj,'2024'!Wh/'2024'!Env_an*'2025'!Env_an,0.001*'[6]mon-tableau'!$B$212)</f>
        <v>36.807548779998172</v>
      </c>
      <c r="C115" s="866"/>
      <c r="D115" s="395">
        <f t="shared" si="25"/>
        <v>38.962604923036693</v>
      </c>
      <c r="E115" s="387">
        <f t="shared" si="47"/>
        <v>43.172595172970439</v>
      </c>
      <c r="F115" s="387">
        <f t="shared" si="26"/>
        <v>43.173368798484077</v>
      </c>
      <c r="G115" s="110">
        <f t="shared" si="48"/>
        <v>0.77156704683367727</v>
      </c>
      <c r="H115" s="414" t="b">
        <f>Wh_hp&gt;='2024'!Maxi_hp</f>
        <v>0</v>
      </c>
      <c r="I115" s="392">
        <f>IF(H115,Wh_hp,'2024'!Maxi_hp)</f>
        <v>55.108352473035232</v>
      </c>
      <c r="J115" s="85">
        <f>IF(H115,An,'2024'!An_max)</f>
        <v>2020</v>
      </c>
      <c r="K115" s="199">
        <f t="shared" si="27"/>
        <v>45758</v>
      </c>
      <c r="L115" s="147">
        <f>IF(t&lt;Tvie,1-EXP((T0-t)*PertePVj)+'2024'!Pspv,1-EXP((T0-t)*PertePVj)+Pspv)</f>
        <v>5.5310884559577889E-2</v>
      </c>
      <c r="M115" s="870"/>
      <c r="N115" s="870"/>
      <c r="O115" s="48">
        <f>IF(t&lt;Tnet,'2024'!Resal+('2024'!Salim-'2024'!Resal)*(1-EXP(('2024'!Tnet-t)/('2024'!Tau_j))),Resal+(Salim-Resal)*(1-EXP((Tnet-t)/(Tau_j))))*Salcycl</f>
        <v>9.7515338910400887E-2</v>
      </c>
      <c r="P115" s="171">
        <f>(INDEX(Models!$BJ115:$BT115,,T115)*(1-R115)+INDEX(Models!$BJ115:$BT115,,T115+1)*R115-ERP_i)*Q115*Ramure*Pc/MaxiM</f>
        <v>2.6598875059271424E-5</v>
      </c>
      <c r="Q115" s="307">
        <f t="shared" si="28"/>
        <v>1</v>
      </c>
      <c r="R115" s="179">
        <f t="shared" si="29"/>
        <v>0.21871831778547834</v>
      </c>
      <c r="S115" s="837">
        <f t="shared" si="30"/>
        <v>-3</v>
      </c>
      <c r="T115" s="178">
        <f t="shared" si="31"/>
        <v>3</v>
      </c>
      <c r="U115" s="253">
        <f t="shared" si="32"/>
        <v>-2.7812816822145217</v>
      </c>
      <c r="V115" s="385">
        <f t="shared" si="33"/>
        <v>47.704511801057045</v>
      </c>
      <c r="W115" s="404">
        <f t="shared" si="34"/>
        <v>36.807548779998172</v>
      </c>
      <c r="X115" s="157">
        <f t="shared" si="35"/>
        <v>45758</v>
      </c>
      <c r="Y115" s="387">
        <f t="shared" si="36"/>
        <v>34.868079459293618</v>
      </c>
      <c r="Z115" s="387">
        <f t="shared" si="37"/>
        <v>36.909581035066573</v>
      </c>
      <c r="AA115" s="388">
        <f t="shared" si="38"/>
        <v>42.736166195297734</v>
      </c>
      <c r="AB115" s="199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0.13633850855045263</v>
      </c>
      <c r="AD115" s="233">
        <f>(INDEX(Models!$BJ115:$BT115,,AH115)*(1-AF115)+INDEX(Models!$BJ115:$BT115,,AH115+1)*AF115-ERP_i)*AE115*Ramure*Pc/MaxiM</f>
        <v>1.5031946610791786E-2</v>
      </c>
      <c r="AE115" s="307">
        <f t="shared" si="40"/>
        <v>1</v>
      </c>
      <c r="AF115" s="179">
        <f t="shared" si="41"/>
        <v>0.15370091070904879</v>
      </c>
      <c r="AG115" s="837">
        <f t="shared" si="49"/>
        <v>2</v>
      </c>
      <c r="AH115" s="178">
        <f t="shared" si="42"/>
        <v>8</v>
      </c>
      <c r="AI115" s="227">
        <f t="shared" si="43"/>
        <v>2.1537009107090488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45759</v>
      </c>
      <c r="B116" s="1139">
        <f>IF(t&gt;Tmaj,'2024'!Wh/'2024'!Env_an*'2025'!Env_an,0.001*'[6]mon-tableau'!$B$213)</f>
        <v>33.812253163824266</v>
      </c>
      <c r="C116" s="866"/>
      <c r="D116" s="395">
        <f t="shared" si="25"/>
        <v>35.792769801205765</v>
      </c>
      <c r="E116" s="387">
        <f t="shared" si="47"/>
        <v>39.668921783773548</v>
      </c>
      <c r="F116" s="387">
        <f t="shared" si="26"/>
        <v>39.669575875199698</v>
      </c>
      <c r="G116" s="110">
        <f t="shared" si="48"/>
        <v>0.70437745352018444</v>
      </c>
      <c r="H116" s="414" t="b">
        <f>Wh_hp&gt;='2024'!Maxi_hp</f>
        <v>0</v>
      </c>
      <c r="I116" s="392">
        <f>IF(H116,Wh_hp,'2024'!Maxi_hp)</f>
        <v>55.432889188888424</v>
      </c>
      <c r="J116" s="85">
        <f>IF(H116,An,'2024'!An_max)</f>
        <v>2019</v>
      </c>
      <c r="K116" s="199">
        <f t="shared" si="27"/>
        <v>45759</v>
      </c>
      <c r="L116" s="147">
        <f>IF(t&lt;Tvie,1-EXP((T0-t)*PertePVj)+'2024'!Pspv,1-EXP((T0-t)*PertePVj)+Pspv)</f>
        <v>5.5332868855396122E-2</v>
      </c>
      <c r="M116" s="870"/>
      <c r="N116" s="870"/>
      <c r="O116" s="48">
        <f>IF(t&lt;Tnet,'2024'!Resal+('2024'!Salim-'2024'!Resal)*(1-EXP(('2024'!Tnet-t)/('2024'!Tau_j))),Resal+(Salim-Resal)*(1-EXP((Tnet-t)/(Tau_j))))*Salcycl</f>
        <v>9.7712562083129562E-2</v>
      </c>
      <c r="P116" s="171">
        <f>(INDEX(Models!$BJ116:$BT116,,T116)*(1-R116)+INDEX(Models!$BJ116:$BT116,,T116+1)*R116-ERP_i)*Q116*Ramure*Pc/MaxiM</f>
        <v>2.8541900490821927E-5</v>
      </c>
      <c r="Q116" s="307">
        <f t="shared" si="28"/>
        <v>1</v>
      </c>
      <c r="R116" s="179">
        <f t="shared" si="29"/>
        <v>0.22083422300155808</v>
      </c>
      <c r="S116" s="837">
        <f t="shared" si="30"/>
        <v>-3</v>
      </c>
      <c r="T116" s="178">
        <f t="shared" si="31"/>
        <v>3</v>
      </c>
      <c r="U116" s="253">
        <f t="shared" si="32"/>
        <v>-2.7791657769984419</v>
      </c>
      <c r="V116" s="385">
        <f t="shared" si="33"/>
        <v>48.002452996156606</v>
      </c>
      <c r="W116" s="404">
        <f t="shared" si="34"/>
        <v>33.812253163824266</v>
      </c>
      <c r="X116" s="157">
        <f t="shared" si="35"/>
        <v>45759</v>
      </c>
      <c r="Y116" s="387">
        <f t="shared" si="36"/>
        <v>32.084069244197039</v>
      </c>
      <c r="Z116" s="387">
        <f t="shared" si="37"/>
        <v>33.963359353174958</v>
      </c>
      <c r="AA116" s="388">
        <f t="shared" si="38"/>
        <v>39.331357766062141</v>
      </c>
      <c r="AB116" s="199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0.13648139087430811</v>
      </c>
      <c r="AD116" s="233">
        <f>(INDEX(Models!$BJ116:$BT116,,AH116)*(1-AF116)+INDEX(Models!$BJ116:$BT116,,AH116+1)*AF116-ERP_i)*AE116*Ramure*Pc/MaxiM</f>
        <v>1.4758468356664367E-2</v>
      </c>
      <c r="AE116" s="307">
        <f t="shared" si="40"/>
        <v>1</v>
      </c>
      <c r="AF116" s="179">
        <f t="shared" si="41"/>
        <v>0.15581681592512853</v>
      </c>
      <c r="AG116" s="837">
        <f t="shared" si="49"/>
        <v>2</v>
      </c>
      <c r="AH116" s="178">
        <f t="shared" si="42"/>
        <v>8</v>
      </c>
      <c r="AI116" s="227">
        <f t="shared" si="43"/>
        <v>2.1558168159251285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45760</v>
      </c>
      <c r="B117" s="1139">
        <f>IF(t&gt;Tmaj,'2024'!Wh/'2024'!Env_an*'2025'!Env_an,0.001*'[6]mon-tableau'!$B$214)</f>
        <v>7.4509549238765542</v>
      </c>
      <c r="C117" s="866"/>
      <c r="D117" s="395">
        <f t="shared" si="25"/>
        <v>7.8875702105670529</v>
      </c>
      <c r="E117" s="387">
        <f t="shared" si="47"/>
        <v>8.7436828808959177</v>
      </c>
      <c r="F117" s="387">
        <f t="shared" si="26"/>
        <v>8.7436828808959177</v>
      </c>
      <c r="G117" s="110">
        <f t="shared" si="48"/>
        <v>0.1542782798790833</v>
      </c>
      <c r="H117" s="414" t="b">
        <f>Wh_hp&gt;='2024'!Maxi_hp</f>
        <v>0</v>
      </c>
      <c r="I117" s="392">
        <f>IF(H117,Wh_hp,'2024'!Maxi_hp)</f>
        <v>56.418752922877168</v>
      </c>
      <c r="J117" s="85">
        <f>IF(H117,An,'2024'!An_max)</f>
        <v>2019</v>
      </c>
      <c r="K117" s="199">
        <f t="shared" si="27"/>
        <v>45760</v>
      </c>
      <c r="L117" s="147">
        <f>IF(t&lt;Tvie,1-EXP((T0-t)*PertePVj)+'2024'!Pspv,1-EXP((T0-t)*PertePVj)+Pspv)</f>
        <v>5.535485263960771E-2</v>
      </c>
      <c r="M117" s="870"/>
      <c r="N117" s="870"/>
      <c r="O117" s="48">
        <f>IF(t&lt;Tnet,'2024'!Resal+('2024'!Salim-'2024'!Resal)*(1-EXP(('2024'!Tnet-t)/('2024'!Tau_j))),Resal+(Salim-Resal)*(1-EXP((Tnet-t)/(Tau_j))))*Salcycl</f>
        <v>9.7912136337811012E-2</v>
      </c>
      <c r="P117" s="171">
        <f>(INDEX(Models!$BJ117:$BT117,,T117)*(1-R117)+INDEX(Models!$BJ117:$BT117,,T117+1)*R117-ERP_i)*Q117*Ramure*Pc/MaxiM</f>
        <v>3.0380992502109995E-5</v>
      </c>
      <c r="Q117" s="307">
        <f t="shared" si="28"/>
        <v>1</v>
      </c>
      <c r="R117" s="179">
        <f t="shared" si="29"/>
        <v>0.22302420650764798</v>
      </c>
      <c r="S117" s="837">
        <f t="shared" si="30"/>
        <v>-3</v>
      </c>
      <c r="T117" s="178">
        <f t="shared" si="31"/>
        <v>3</v>
      </c>
      <c r="U117" s="253">
        <f t="shared" si="32"/>
        <v>-2.776975793492352</v>
      </c>
      <c r="V117" s="385">
        <f t="shared" si="33"/>
        <v>48.29408625965003</v>
      </c>
      <c r="W117" s="404">
        <f t="shared" si="34"/>
        <v>7.4509549238765542</v>
      </c>
      <c r="X117" s="157">
        <f t="shared" si="35"/>
        <v>45760</v>
      </c>
      <c r="Y117" s="387">
        <f t="shared" si="36"/>
        <v>7.1311770833266133</v>
      </c>
      <c r="Z117" s="387">
        <f t="shared" si="37"/>
        <v>7.5490538465720745</v>
      </c>
      <c r="AA117" s="388">
        <f t="shared" si="38"/>
        <v>8.7436828808959177</v>
      </c>
      <c r="AB117" s="199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0.13662767172560536</v>
      </c>
      <c r="AD117" s="233">
        <f>(INDEX(Models!$BJ117:$BT117,,AH117)*(1-AF117)+INDEX(Models!$BJ117:$BT117,,AH117+1)*AF117-ERP_i)*AE117*Ramure*Pc/MaxiM</f>
        <v>1.447973086135392E-2</v>
      </c>
      <c r="AE117" s="307">
        <f t="shared" si="40"/>
        <v>1</v>
      </c>
      <c r="AF117" s="179">
        <f t="shared" si="41"/>
        <v>0.15800679943121843</v>
      </c>
      <c r="AG117" s="837">
        <f t="shared" si="49"/>
        <v>2</v>
      </c>
      <c r="AH117" s="178">
        <f t="shared" si="42"/>
        <v>8</v>
      </c>
      <c r="AI117" s="227">
        <f t="shared" si="43"/>
        <v>2.1580067994312184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45761</v>
      </c>
      <c r="B118" s="1139">
        <f>IF(t&gt;Tmaj,'2024'!Wh/'2024'!Env_an*'2025'!Env_an,0.001*'[6]mon-tableau'!$B$215)</f>
        <v>36.423585439743597</v>
      </c>
      <c r="C118" s="866"/>
      <c r="D118" s="395">
        <f t="shared" si="25"/>
        <v>38.558852698597462</v>
      </c>
      <c r="E118" s="387">
        <f t="shared" si="47"/>
        <v>42.753582623198511</v>
      </c>
      <c r="F118" s="387">
        <f t="shared" si="26"/>
        <v>42.754464710137292</v>
      </c>
      <c r="G118" s="110">
        <f t="shared" si="48"/>
        <v>0.74976997570774551</v>
      </c>
      <c r="H118" s="414" t="b">
        <f>Wh_hp&gt;='2024'!Maxi_hp</f>
        <v>0</v>
      </c>
      <c r="I118" s="392">
        <f>IF(H118,Wh_hp,'2024'!Maxi_hp)</f>
        <v>56.195003771164046</v>
      </c>
      <c r="J118" s="85">
        <f>IF(H118,An,'2024'!An_max)</f>
        <v>2021</v>
      </c>
      <c r="K118" s="199">
        <f t="shared" si="27"/>
        <v>45761</v>
      </c>
      <c r="L118" s="147">
        <f>IF(t&lt;Tvie,1-EXP((T0-t)*PertePVj)+'2024'!Pspv,1-EXP((T0-t)*PertePVj)+Pspv)</f>
        <v>5.5376835912224531E-2</v>
      </c>
      <c r="M118" s="870"/>
      <c r="N118" s="870"/>
      <c r="O118" s="48">
        <f>IF(t&lt;Tnet,'2024'!Resal+('2024'!Salim-'2024'!Resal)*(1-EXP(('2024'!Tnet-t)/('2024'!Tau_j))),Resal+(Salim-Resal)*(1-EXP((Tnet-t)/(Tau_j))))*Salcycl</f>
        <v>9.8114115057224366E-2</v>
      </c>
      <c r="P118" s="171">
        <f>(INDEX(Models!$BJ118:$BT118,,T118)*(1-R118)+INDEX(Models!$BJ118:$BT118,,T118+1)*R118-ERP_i)*Q118*Ramure*Pc/MaxiM</f>
        <v>3.2109177984438657E-5</v>
      </c>
      <c r="Q118" s="307">
        <f t="shared" si="28"/>
        <v>1</v>
      </c>
      <c r="R118" s="179">
        <f t="shared" si="29"/>
        <v>0.22529027993903705</v>
      </c>
      <c r="S118" s="837">
        <f t="shared" si="30"/>
        <v>-3</v>
      </c>
      <c r="T118" s="178">
        <f t="shared" si="31"/>
        <v>3</v>
      </c>
      <c r="U118" s="253">
        <f t="shared" si="32"/>
        <v>-2.7747097200609629</v>
      </c>
      <c r="V118" s="385">
        <f t="shared" si="33"/>
        <v>48.579122332844143</v>
      </c>
      <c r="W118" s="404">
        <f t="shared" si="34"/>
        <v>36.423585439743597</v>
      </c>
      <c r="X118" s="157">
        <f t="shared" si="35"/>
        <v>45761</v>
      </c>
      <c r="Y118" s="387">
        <f t="shared" si="36"/>
        <v>34.544849296618203</v>
      </c>
      <c r="Z118" s="387">
        <f t="shared" si="37"/>
        <v>36.569979024363896</v>
      </c>
      <c r="AA118" s="388">
        <f t="shared" si="38"/>
        <v>42.364483595360049</v>
      </c>
      <c r="AB118" s="199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0.136777415401584</v>
      </c>
      <c r="AD118" s="233">
        <f>(INDEX(Models!$BJ118:$BT118,,AH118)*(1-AF118)+INDEX(Models!$BJ118:$BT118,,AH118+1)*AF118-ERP_i)*AE118*Ramure*Pc/MaxiM</f>
        <v>1.419584904209357E-2</v>
      </c>
      <c r="AE118" s="307">
        <f t="shared" si="40"/>
        <v>1</v>
      </c>
      <c r="AF118" s="179">
        <f t="shared" si="41"/>
        <v>0.1602728728626075</v>
      </c>
      <c r="AG118" s="837">
        <f t="shared" si="49"/>
        <v>2</v>
      </c>
      <c r="AH118" s="178">
        <f t="shared" si="42"/>
        <v>8</v>
      </c>
      <c r="AI118" s="227">
        <f t="shared" si="43"/>
        <v>2.1602728728626075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45762</v>
      </c>
      <c r="B119" s="1139">
        <f>IF(t&gt;Tmaj,'2024'!Wh/'2024'!Env_an*'2025'!Env_an,0.001*'[6]mon-tableau'!$B$216)</f>
        <v>40.436203446937562</v>
      </c>
      <c r="C119" s="866"/>
      <c r="D119" s="395">
        <f t="shared" si="25"/>
        <v>42.807699425214359</v>
      </c>
      <c r="E119" s="387">
        <f t="shared" si="47"/>
        <v>47.475413149319387</v>
      </c>
      <c r="F119" s="387">
        <f t="shared" si="26"/>
        <v>47.476619836034025</v>
      </c>
      <c r="G119" s="110">
        <f t="shared" si="48"/>
        <v>0.82763252384685859</v>
      </c>
      <c r="H119" s="414" t="b">
        <f>Wh_hp&gt;='2024'!Maxi_hp</f>
        <v>0</v>
      </c>
      <c r="I119" s="392">
        <f>IF(H119,Wh_hp,'2024'!Maxi_hp)</f>
        <v>56.145689401906232</v>
      </c>
      <c r="J119" s="85">
        <f>IF(H119,An,'2024'!An_max)</f>
        <v>2021</v>
      </c>
      <c r="K119" s="199">
        <f t="shared" si="27"/>
        <v>45762</v>
      </c>
      <c r="L119" s="147">
        <f>IF(t&lt;Tvie,1-EXP((T0-t)*PertePVj)+'2024'!Pspv,1-EXP((T0-t)*PertePVj)+Pspv)</f>
        <v>5.5398818673258465E-2</v>
      </c>
      <c r="M119" s="870"/>
      <c r="N119" s="870"/>
      <c r="O119" s="48">
        <f>IF(t&lt;Tnet,'2024'!Resal+('2024'!Salim-'2024'!Resal)*(1-EXP(('2024'!Tnet-t)/('2024'!Tau_j))),Resal+(Salim-Resal)*(1-EXP((Tnet-t)/(Tau_j))))*Salcycl</f>
        <v>9.8318548791227173E-2</v>
      </c>
      <c r="P119" s="171">
        <f>(INDEX(Models!$BJ119:$BT119,,T119)*(1-R119)+INDEX(Models!$BJ119:$BT119,,T119+1)*R119-ERP_i)*Q119*Ramure*Pc/MaxiM</f>
        <v>3.3719068291258235E-5</v>
      </c>
      <c r="Q119" s="307">
        <f t="shared" si="28"/>
        <v>1</v>
      </c>
      <c r="R119" s="179">
        <f t="shared" si="29"/>
        <v>0.22763446417238109</v>
      </c>
      <c r="S119" s="837">
        <f t="shared" si="30"/>
        <v>-3</v>
      </c>
      <c r="T119" s="178">
        <f t="shared" si="31"/>
        <v>3</v>
      </c>
      <c r="U119" s="253">
        <f t="shared" si="32"/>
        <v>-2.7723655358276189</v>
      </c>
      <c r="V119" s="385">
        <f t="shared" si="33"/>
        <v>48.857272456787477</v>
      </c>
      <c r="W119" s="404">
        <f t="shared" si="34"/>
        <v>40.436203446937562</v>
      </c>
      <c r="X119" s="157">
        <f t="shared" si="35"/>
        <v>45762</v>
      </c>
      <c r="Y119" s="387">
        <f t="shared" si="36"/>
        <v>38.299876586715349</v>
      </c>
      <c r="Z119" s="387">
        <f t="shared" si="37"/>
        <v>40.546081609723565</v>
      </c>
      <c r="AA119" s="388">
        <f t="shared" si="38"/>
        <v>46.978939891882007</v>
      </c>
      <c r="AB119" s="199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0.13693068206654113</v>
      </c>
      <c r="AD119" s="233">
        <f>(INDEX(Models!$BJ119:$BT119,,AH119)*(1-AF119)+INDEX(Models!$BJ119:$BT119,,AH119+1)*AF119-ERP_i)*AE119*Ramure*Pc/MaxiM</f>
        <v>1.3906926976541927E-2</v>
      </c>
      <c r="AE119" s="307">
        <f t="shared" si="40"/>
        <v>1</v>
      </c>
      <c r="AF119" s="179">
        <f t="shared" si="41"/>
        <v>0.16261705709595153</v>
      </c>
      <c r="AG119" s="837">
        <f t="shared" si="49"/>
        <v>2</v>
      </c>
      <c r="AH119" s="178">
        <f t="shared" si="42"/>
        <v>8</v>
      </c>
      <c r="AI119" s="227">
        <f t="shared" si="43"/>
        <v>2.1626170570959515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45763</v>
      </c>
      <c r="B120" s="1139">
        <f>IF(t&gt;Tmaj,'2024'!Wh/'2024'!Env_an*'2025'!Env_an,0.001*'[6]mon-tableau'!$B$217)</f>
        <v>43.353487650662522</v>
      </c>
      <c r="C120" s="866"/>
      <c r="D120" s="395">
        <f t="shared" si="25"/>
        <v>45.897144138906306</v>
      </c>
      <c r="E120" s="387">
        <f t="shared" si="47"/>
        <v>50.913412836895283</v>
      </c>
      <c r="F120" s="387">
        <f t="shared" si="26"/>
        <v>50.914904213267242</v>
      </c>
      <c r="G120" s="110">
        <f t="shared" si="48"/>
        <v>0.88245017459551334</v>
      </c>
      <c r="H120" s="414" t="b">
        <f>Wh_hp&gt;='2024'!Maxi_hp</f>
        <v>1</v>
      </c>
      <c r="I120" s="392">
        <f>IF(H120,Wh_hp,'2024'!Maxi_hp)</f>
        <v>50.914904213267242</v>
      </c>
      <c r="J120" s="85">
        <f>IF(H120,An,'2024'!An_max)</f>
        <v>2025</v>
      </c>
      <c r="K120" s="199">
        <f t="shared" si="27"/>
        <v>45763</v>
      </c>
      <c r="L120" s="147">
        <f>IF(t&lt;Tvie,1-EXP((T0-t)*PertePVj)+'2024'!Pspv,1-EXP((T0-t)*PertePVj)+Pspv)</f>
        <v>5.5420800922721503E-2</v>
      </c>
      <c r="M120" s="870"/>
      <c r="N120" s="870"/>
      <c r="O120" s="48">
        <f>IF(t&lt;Tnet,'2024'!Resal+('2024'!Salim-'2024'!Resal)*(1-EXP(('2024'!Tnet-t)/('2024'!Tau_j))),Resal+(Salim-Resal)*(1-EXP((Tnet-t)/(Tau_j))))*Salcycl</f>
        <v>9.8525485102696736E-2</v>
      </c>
      <c r="P120" s="171">
        <f>(INDEX(Models!$BJ120:$BT120,,T120)*(1-R120)+INDEX(Models!$BJ120:$BT120,,T120+1)*R120-ERP_i)*Q120*Ramure*Pc/MaxiM</f>
        <v>3.5202839676430796E-5</v>
      </c>
      <c r="Q120" s="307">
        <f t="shared" si="28"/>
        <v>1</v>
      </c>
      <c r="R120" s="179">
        <f t="shared" si="29"/>
        <v>0.23005878533548074</v>
      </c>
      <c r="S120" s="837">
        <f t="shared" si="30"/>
        <v>-3</v>
      </c>
      <c r="T120" s="178">
        <f t="shared" si="31"/>
        <v>3</v>
      </c>
      <c r="U120" s="253">
        <f t="shared" si="32"/>
        <v>-2.7699412146645193</v>
      </c>
      <c r="V120" s="385">
        <f t="shared" si="33"/>
        <v>49.128248388557743</v>
      </c>
      <c r="W120" s="404">
        <f t="shared" si="34"/>
        <v>43.353487650662522</v>
      </c>
      <c r="X120" s="157">
        <f t="shared" si="35"/>
        <v>45763</v>
      </c>
      <c r="Y120" s="387">
        <f t="shared" si="36"/>
        <v>41.030108626048957</v>
      </c>
      <c r="Z120" s="387">
        <f t="shared" si="37"/>
        <v>43.437446712916845</v>
      </c>
      <c r="AA120" s="388">
        <f t="shared" si="38"/>
        <v>50.338183883270027</v>
      </c>
      <c r="AB120" s="199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0.13708752755870984</v>
      </c>
      <c r="AD120" s="233">
        <f>(INDEX(Models!$BJ120:$BT120,,AH120)*(1-AF120)+INDEX(Models!$BJ120:$BT120,,AH120+1)*AF120-ERP_i)*AE120*Ramure*Pc/MaxiM</f>
        <v>1.3613058176851033E-2</v>
      </c>
      <c r="AE120" s="307">
        <f t="shared" si="40"/>
        <v>1</v>
      </c>
      <c r="AF120" s="179">
        <f t="shared" si="41"/>
        <v>0.16504137825905119</v>
      </c>
      <c r="AG120" s="837">
        <f t="shared" si="49"/>
        <v>2</v>
      </c>
      <c r="AH120" s="178">
        <f t="shared" si="42"/>
        <v>8</v>
      </c>
      <c r="AI120" s="227">
        <f t="shared" si="43"/>
        <v>2.1650413782590512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45764</v>
      </c>
      <c r="B121" s="1139">
        <f>IF(t&gt;Tmaj,'2024'!Wh/'2024'!Env_an*'2025'!Env_an,0.001*'[6]mon-tableau'!$B$218)</f>
        <v>49.201962545116672</v>
      </c>
      <c r="C121" s="866"/>
      <c r="D121" s="395">
        <f t="shared" si="25"/>
        <v>52.089975749387193</v>
      </c>
      <c r="E121" s="387">
        <f t="shared" si="47"/>
        <v>57.796512594495461</v>
      </c>
      <c r="F121" s="387">
        <f t="shared" si="26"/>
        <v>57.798613524662201</v>
      </c>
      <c r="G121" s="110">
        <f t="shared" si="48"/>
        <v>0.99612988254393819</v>
      </c>
      <c r="H121" s="414" t="b">
        <f>Wh_hp&gt;='2024'!Maxi_hp</f>
        <v>1</v>
      </c>
      <c r="I121" s="392">
        <f>IF(H121,Wh_hp,'2024'!Maxi_hp)</f>
        <v>57.798613524662201</v>
      </c>
      <c r="J121" s="85">
        <f>IF(H121,An,'2024'!An_max)</f>
        <v>2025</v>
      </c>
      <c r="K121" s="199">
        <f t="shared" si="27"/>
        <v>45764</v>
      </c>
      <c r="L121" s="147">
        <f>IF(t&lt;Tvie,1-EXP((T0-t)*PertePVj)+'2024'!Pspv,1-EXP((T0-t)*PertePVj)+Pspv)</f>
        <v>5.5442782660625411E-2</v>
      </c>
      <c r="M121" s="870"/>
      <c r="N121" s="870"/>
      <c r="O121" s="48">
        <f>IF(t&lt;Tnet,'2024'!Resal+('2024'!Salim-'2024'!Resal)*(1-EXP(('2024'!Tnet-t)/('2024'!Tau_j))),Resal+(Salim-Resal)*(1-EXP((Tnet-t)/(Tau_j))))*Salcycl</f>
        <v>9.8734968407968637E-2</v>
      </c>
      <c r="P121" s="171">
        <f>(INDEX(Models!$BJ121:$BT121,,T121)*(1-R121)+INDEX(Models!$BJ121:$BT121,,T121+1)*R121-ERP_i)*Q121*Ramure*Pc/MaxiM</f>
        <v>3.6551216337188801E-5</v>
      </c>
      <c r="Q121" s="307">
        <f t="shared" si="28"/>
        <v>1</v>
      </c>
      <c r="R121" s="179">
        <f t="shared" si="29"/>
        <v>0.2325652704840282</v>
      </c>
      <c r="S121" s="837">
        <f t="shared" si="30"/>
        <v>-3</v>
      </c>
      <c r="T121" s="178">
        <f t="shared" si="31"/>
        <v>3</v>
      </c>
      <c r="U121" s="253">
        <f t="shared" si="32"/>
        <v>-2.7674347295159718</v>
      </c>
      <c r="V121" s="385">
        <f t="shared" si="33"/>
        <v>49.393109738643069</v>
      </c>
      <c r="W121" s="404">
        <f t="shared" si="34"/>
        <v>49.201962545116672</v>
      </c>
      <c r="X121" s="157">
        <f t="shared" si="35"/>
        <v>45764</v>
      </c>
      <c r="Y121" s="387">
        <f t="shared" si="36"/>
        <v>46.477530415697267</v>
      </c>
      <c r="Z121" s="387">
        <f t="shared" si="37"/>
        <v>49.205627316696606</v>
      </c>
      <c r="AA121" s="388">
        <f t="shared" si="38"/>
        <v>57.03333924309203</v>
      </c>
      <c r="AB121" s="199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0.13724800319040636</v>
      </c>
      <c r="AD121" s="233">
        <f>(INDEX(Models!$BJ121:$BT121,,AH121)*(1-AF121)+INDEX(Models!$BJ121:$BT121,,AH121+1)*AF121-ERP_i)*AE121*Ramure*Pc/MaxiM</f>
        <v>1.3313962675099822E-2</v>
      </c>
      <c r="AE121" s="307">
        <f t="shared" si="40"/>
        <v>1</v>
      </c>
      <c r="AF121" s="179">
        <f t="shared" si="41"/>
        <v>0.16754786340759864</v>
      </c>
      <c r="AG121" s="837">
        <f t="shared" si="49"/>
        <v>2</v>
      </c>
      <c r="AH121" s="178">
        <f t="shared" si="42"/>
        <v>8</v>
      </c>
      <c r="AI121" s="227">
        <f t="shared" si="43"/>
        <v>2.1675478634075986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45765</v>
      </c>
      <c r="B122" s="1139">
        <f>IF(t&gt;Tmaj,'2024'!Wh/'2024'!Env_an*'2025'!Env_an,0.001*'[6]mon-tableau'!$B$219)</f>
        <v>39.528348536334008</v>
      </c>
      <c r="C122" s="866"/>
      <c r="D122" s="395">
        <f t="shared" si="25"/>
        <v>41.849522415915743</v>
      </c>
      <c r="E122" s="387">
        <f t="shared" si="47"/>
        <v>46.445130602699464</v>
      </c>
      <c r="F122" s="387">
        <f t="shared" si="26"/>
        <v>46.446373064358802</v>
      </c>
      <c r="G122" s="110">
        <f t="shared" si="48"/>
        <v>0.79608444594547356</v>
      </c>
      <c r="H122" s="414" t="b">
        <f>Wh_hp&gt;='2024'!Maxi_hp</f>
        <v>1</v>
      </c>
      <c r="I122" s="392">
        <f>IF(H122,Wh_hp,'2024'!Maxi_hp)</f>
        <v>46.446373064358802</v>
      </c>
      <c r="J122" s="85">
        <f>IF(H122,An,'2024'!An_max)</f>
        <v>2025</v>
      </c>
      <c r="K122" s="199">
        <f t="shared" si="27"/>
        <v>45765</v>
      </c>
      <c r="L122" s="147">
        <f>IF(t&lt;Tvie,1-EXP((T0-t)*PertePVj)+'2024'!Pspv,1-EXP((T0-t)*PertePVj)+Pspv)</f>
        <v>5.5464763886982182E-2</v>
      </c>
      <c r="M122" s="870"/>
      <c r="N122" s="870"/>
      <c r="O122" s="48">
        <f>IF(t&lt;Tnet,'2024'!Resal+('2024'!Salim-'2024'!Resal)*(1-EXP(('2024'!Tnet-t)/('2024'!Tau_j))),Resal+(Salim-Resal)*(1-EXP((Tnet-t)/(Tau_j))))*Salcycl</f>
        <v>9.8947039811243739E-2</v>
      </c>
      <c r="P122" s="171">
        <f>(INDEX(Models!$BJ122:$BT122,,T122)*(1-R122)+INDEX(Models!$BJ122:$BT122,,T122+1)*R122-ERP_i)*Q122*Ramure*Pc/MaxiM</f>
        <v>3.7745567225533435E-5</v>
      </c>
      <c r="Q122" s="307">
        <f t="shared" si="28"/>
        <v>1</v>
      </c>
      <c r="R122" s="179">
        <f t="shared" si="29"/>
        <v>0.2351559429358403</v>
      </c>
      <c r="S122" s="837">
        <f t="shared" si="30"/>
        <v>-3</v>
      </c>
      <c r="T122" s="178">
        <f t="shared" si="31"/>
        <v>3</v>
      </c>
      <c r="U122" s="253">
        <f t="shared" si="32"/>
        <v>-2.7648440570641597</v>
      </c>
      <c r="V122" s="385">
        <f t="shared" si="33"/>
        <v>49.652915727016229</v>
      </c>
      <c r="W122" s="404">
        <f t="shared" si="34"/>
        <v>39.528348536334008</v>
      </c>
      <c r="X122" s="157">
        <f t="shared" si="35"/>
        <v>45765</v>
      </c>
      <c r="Y122" s="387">
        <f t="shared" si="36"/>
        <v>37.493216102512115</v>
      </c>
      <c r="Z122" s="387">
        <f t="shared" si="37"/>
        <v>39.694883440034928</v>
      </c>
      <c r="AA122" s="388">
        <f t="shared" si="38"/>
        <v>46.018366355393269</v>
      </c>
      <c r="AB122" s="199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0.13741215554074609</v>
      </c>
      <c r="AD122" s="233">
        <f>(INDEX(Models!$BJ122:$BT122,,AH122)*(1-AF122)+INDEX(Models!$BJ122:$BT122,,AH122+1)*AF122-ERP_i)*AE122*Ramure*Pc/MaxiM</f>
        <v>1.3002699829685906E-2</v>
      </c>
      <c r="AE122" s="307">
        <f t="shared" si="40"/>
        <v>1</v>
      </c>
      <c r="AF122" s="179">
        <f t="shared" si="41"/>
        <v>0.17013853585941074</v>
      </c>
      <c r="AG122" s="837">
        <f t="shared" si="49"/>
        <v>2</v>
      </c>
      <c r="AH122" s="178">
        <f t="shared" si="42"/>
        <v>8</v>
      </c>
      <c r="AI122" s="227">
        <f t="shared" si="43"/>
        <v>2.1701385358594107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45766</v>
      </c>
      <c r="B123" s="1139">
        <f>IF(t&gt;Tmaj,'2024'!Wh/'2024'!Env_an*'2025'!Env_an,0.001*'[6]mon-tableau'!$B$220)</f>
        <v>10.798608025927258</v>
      </c>
      <c r="C123" s="866"/>
      <c r="D123" s="395">
        <f t="shared" si="25"/>
        <v>11.432987270649457</v>
      </c>
      <c r="E123" s="387">
        <f t="shared" si="47"/>
        <v>12.691498284852351</v>
      </c>
      <c r="F123" s="387">
        <f t="shared" si="26"/>
        <v>12.691498284852351</v>
      </c>
      <c r="G123" s="110">
        <f t="shared" si="48"/>
        <v>0.21636458956027999</v>
      </c>
      <c r="H123" s="414" t="b">
        <f>Wh_hp&gt;='2024'!Maxi_hp</f>
        <v>0</v>
      </c>
      <c r="I123" s="392">
        <f>IF(H123,Wh_hp,'2024'!Maxi_hp)</f>
        <v>56.526054792556174</v>
      </c>
      <c r="J123" s="85">
        <f>IF(H123,An,'2024'!An_max)</f>
        <v>2021</v>
      </c>
      <c r="K123" s="199">
        <f t="shared" si="27"/>
        <v>45766</v>
      </c>
      <c r="L123" s="147">
        <f>IF(t&lt;Tvie,1-EXP((T0-t)*PertePVj)+'2024'!Pspv,1-EXP((T0-t)*PertePVj)+Pspv)</f>
        <v>5.5486744601803695E-2</v>
      </c>
      <c r="M123" s="870"/>
      <c r="N123" s="870"/>
      <c r="O123" s="48">
        <f>IF(t&lt;Tnet,'2024'!Resal+('2024'!Salim-'2024'!Resal)*(1-EXP(('2024'!Tnet-t)/('2024'!Tau_j))),Resal+(Salim-Resal)*(1-EXP((Tnet-t)/(Tau_j))))*Salcycl</f>
        <v>9.9161736932585925E-2</v>
      </c>
      <c r="P123" s="171">
        <f>(INDEX(Models!$BJ123:$BT123,,T123)*(1-R123)+INDEX(Models!$BJ123:$BT123,,T123+1)*R123-ERP_i)*Q123*Ramure*Pc/MaxiM</f>
        <v>3.8795408083023073E-5</v>
      </c>
      <c r="Q123" s="307">
        <f t="shared" si="28"/>
        <v>1</v>
      </c>
      <c r="R123" s="179">
        <f t="shared" si="29"/>
        <v>0.23783281725433181</v>
      </c>
      <c r="S123" s="837">
        <f t="shared" si="30"/>
        <v>-3</v>
      </c>
      <c r="T123" s="178">
        <f t="shared" si="31"/>
        <v>3</v>
      </c>
      <c r="U123" s="253">
        <f t="shared" si="32"/>
        <v>-2.7621671827456682</v>
      </c>
      <c r="V123" s="385">
        <f t="shared" si="33"/>
        <v>49.907376763764503</v>
      </c>
      <c r="W123" s="404">
        <f t="shared" si="34"/>
        <v>10.798608025927258</v>
      </c>
      <c r="X123" s="157">
        <f t="shared" si="35"/>
        <v>45766</v>
      </c>
      <c r="Y123" s="387">
        <f t="shared" si="36"/>
        <v>10.338076913661229</v>
      </c>
      <c r="Z123" s="387">
        <f t="shared" si="37"/>
        <v>10.945401617791813</v>
      </c>
      <c r="AA123" s="388">
        <f t="shared" si="38"/>
        <v>12.691498284852351</v>
      </c>
      <c r="AB123" s="199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0.13758002624044416</v>
      </c>
      <c r="AD123" s="233">
        <f>(INDEX(Models!$BJ123:$BT123,,AH123)*(1-AF123)+INDEX(Models!$BJ123:$BT123,,AH123+1)*AF123-ERP_i)*AE123*Ramure*Pc/MaxiM</f>
        <v>1.2682564000422742E-2</v>
      </c>
      <c r="AE123" s="307">
        <f t="shared" si="40"/>
        <v>1</v>
      </c>
      <c r="AF123" s="179">
        <f t="shared" si="41"/>
        <v>0.17281541017790225</v>
      </c>
      <c r="AG123" s="837">
        <f t="shared" si="49"/>
        <v>2</v>
      </c>
      <c r="AH123" s="178">
        <f t="shared" si="42"/>
        <v>8</v>
      </c>
      <c r="AI123" s="227">
        <f t="shared" si="43"/>
        <v>2.1728154101779023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45767</v>
      </c>
      <c r="B124" s="1139">
        <f>IF(t&gt;Tmaj,'2024'!Wh/'2024'!Env_an*'2025'!Env_an,0.001*'[6]mon-tableau'!$B$221)</f>
        <v>10.192344315905441</v>
      </c>
      <c r="C124" s="866"/>
      <c r="D124" s="395">
        <f t="shared" si="25"/>
        <v>10.791358886615681</v>
      </c>
      <c r="E124" s="387">
        <f t="shared" si="47"/>
        <v>11.982132339455289</v>
      </c>
      <c r="F124" s="387">
        <f t="shared" si="26"/>
        <v>11.982132339455289</v>
      </c>
      <c r="G124" s="110">
        <f t="shared" si="48"/>
        <v>0.20320396689159601</v>
      </c>
      <c r="H124" s="414" t="b">
        <f>Wh_hp&gt;='2024'!Maxi_hp</f>
        <v>0</v>
      </c>
      <c r="I124" s="392">
        <f>IF(H124,Wh_hp,'2024'!Maxi_hp)</f>
        <v>48.602789768147602</v>
      </c>
      <c r="J124" s="85">
        <f>IF(H124,An,'2024'!An_max)</f>
        <v>2019</v>
      </c>
      <c r="K124" s="199">
        <f t="shared" si="27"/>
        <v>45767</v>
      </c>
      <c r="L124" s="147">
        <f>IF(t&lt;Tvie,1-EXP((T0-t)*PertePVj)+'2024'!Pspv,1-EXP((T0-t)*PertePVj)+Pspv)</f>
        <v>5.5508724805101828E-2</v>
      </c>
      <c r="M124" s="870"/>
      <c r="N124" s="870"/>
      <c r="O124" s="48">
        <f>IF(t&lt;Tnet,'2024'!Resal+('2024'!Salim-'2024'!Resal)*(1-EXP(('2024'!Tnet-t)/('2024'!Tau_j))),Resal+(Salim-Resal)*(1-EXP((Tnet-t)/(Tau_j))))*Salcycl</f>
        <v>9.9379093729300302E-2</v>
      </c>
      <c r="P124" s="171">
        <f>(INDEX(Models!$BJ124:$BT124,,T124)*(1-R124)+INDEX(Models!$BJ124:$BT124,,T124+1)*R124-ERP_i)*Q124*Ramure*Pc/MaxiM</f>
        <v>3.9693128577051601E-5</v>
      </c>
      <c r="Q124" s="307">
        <f t="shared" si="28"/>
        <v>1</v>
      </c>
      <c r="R124" s="179">
        <f t="shared" si="29"/>
        <v>0.24059789387446884</v>
      </c>
      <c r="S124" s="837">
        <f t="shared" si="30"/>
        <v>-3</v>
      </c>
      <c r="T124" s="178">
        <f t="shared" si="31"/>
        <v>3</v>
      </c>
      <c r="U124" s="253">
        <f t="shared" si="32"/>
        <v>-2.7594021061255312</v>
      </c>
      <c r="V124" s="385">
        <f t="shared" si="33"/>
        <v>50.156204653766139</v>
      </c>
      <c r="W124" s="404">
        <f t="shared" si="34"/>
        <v>10.192344315905441</v>
      </c>
      <c r="X124" s="157">
        <f t="shared" si="35"/>
        <v>45767</v>
      </c>
      <c r="Y124" s="387">
        <f t="shared" si="36"/>
        <v>9.758081330347256</v>
      </c>
      <c r="Z124" s="387">
        <f t="shared" si="37"/>
        <v>10.331573818226802</v>
      </c>
      <c r="AA124" s="388">
        <f t="shared" si="38"/>
        <v>11.982132339455289</v>
      </c>
      <c r="AB124" s="199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0.13775165174845005</v>
      </c>
      <c r="AD124" s="233">
        <f>(INDEX(Models!$BJ124:$BT124,,AH124)*(1-AF124)+INDEX(Models!$BJ124:$BT124,,AH124+1)*AF124-ERP_i)*AE124*Ramure*Pc/MaxiM</f>
        <v>1.2353636813937193E-2</v>
      </c>
      <c r="AE124" s="307">
        <f t="shared" si="40"/>
        <v>1</v>
      </c>
      <c r="AF124" s="179">
        <f t="shared" si="41"/>
        <v>0.17558048679803928</v>
      </c>
      <c r="AG124" s="837">
        <f t="shared" si="49"/>
        <v>2</v>
      </c>
      <c r="AH124" s="178">
        <f t="shared" si="42"/>
        <v>8</v>
      </c>
      <c r="AI124" s="227">
        <f t="shared" si="43"/>
        <v>2.1755804867980393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45768</v>
      </c>
      <c r="B125" s="1139">
        <f>IF(t&gt;Tmaj,'2024'!Wh/'2024'!Env_an*'2025'!Env_an,0.001*'[6]mon-tableau'!$B$222)</f>
        <v>9.7240355742060665</v>
      </c>
      <c r="C125" s="866"/>
      <c r="D125" s="395">
        <f t="shared" si="25"/>
        <v>10.295766755473135</v>
      </c>
      <c r="E125" s="387">
        <f t="shared" si="47"/>
        <v>11.434647851208663</v>
      </c>
      <c r="F125" s="387">
        <f t="shared" si="26"/>
        <v>11.434647851208663</v>
      </c>
      <c r="G125" s="110">
        <f t="shared" si="48"/>
        <v>0.1929328132605331</v>
      </c>
      <c r="H125" s="414" t="b">
        <f>Wh_hp&gt;='2024'!Maxi_hp</f>
        <v>0</v>
      </c>
      <c r="I125" s="392">
        <f>IF(H125,Wh_hp,'2024'!Maxi_hp)</f>
        <v>55.33124831385225</v>
      </c>
      <c r="J125" s="85">
        <f>IF(H125,An,'2024'!An_max)</f>
        <v>2021</v>
      </c>
      <c r="K125" s="199">
        <f t="shared" si="27"/>
        <v>45768</v>
      </c>
      <c r="L125" s="147">
        <f>IF(t&lt;Tvie,1-EXP((T0-t)*PertePVj)+'2024'!Pspv,1-EXP((T0-t)*PertePVj)+Pspv)</f>
        <v>5.5530704496888572E-2</v>
      </c>
      <c r="M125" s="870"/>
      <c r="N125" s="870"/>
      <c r="O125" s="48">
        <f>IF(t&lt;Tnet,'2024'!Resal+('2024'!Salim-'2024'!Resal)*(1-EXP(('2024'!Tnet-t)/('2024'!Tau_j))),Resal+(Salim-Resal)*(1-EXP((Tnet-t)/(Tau_j))))*Salcycl</f>
        <v>9.9599140310660902E-2</v>
      </c>
      <c r="P125" s="171">
        <f>(INDEX(Models!$BJ125:$BT125,,T125)*(1-R125)+INDEX(Models!$BJ125:$BT125,,T125+1)*R125-ERP_i)*Q125*Ramure*Pc/MaxiM</f>
        <v>4.0430869909447825E-5</v>
      </c>
      <c r="Q125" s="307">
        <f t="shared" si="28"/>
        <v>1</v>
      </c>
      <c r="R125" s="179">
        <f t="shared" si="29"/>
        <v>0.24345315336613105</v>
      </c>
      <c r="S125" s="837">
        <f t="shared" si="30"/>
        <v>-3</v>
      </c>
      <c r="T125" s="178">
        <f t="shared" si="31"/>
        <v>3</v>
      </c>
      <c r="U125" s="253">
        <f t="shared" si="32"/>
        <v>-2.756546846633869</v>
      </c>
      <c r="V125" s="385">
        <f t="shared" si="33"/>
        <v>50.39911178747046</v>
      </c>
      <c r="W125" s="404">
        <f t="shared" si="34"/>
        <v>9.7240355742060665</v>
      </c>
      <c r="X125" s="157">
        <f t="shared" si="35"/>
        <v>45768</v>
      </c>
      <c r="Y125" s="387">
        <f t="shared" si="36"/>
        <v>9.310106510415423</v>
      </c>
      <c r="Z125" s="387">
        <f t="shared" si="37"/>
        <v>9.8575004552752574</v>
      </c>
      <c r="AA125" s="388">
        <f t="shared" si="38"/>
        <v>11.434647851208663</v>
      </c>
      <c r="AB125" s="199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0.13792706312041755</v>
      </c>
      <c r="AD125" s="233">
        <f>(INDEX(Models!$BJ125:$BT125,,AH125)*(1-AF125)+INDEX(Models!$BJ125:$BT125,,AH125+1)*AF125-ERP_i)*AE125*Ramure*Pc/MaxiM</f>
        <v>1.2016017130880361E-2</v>
      </c>
      <c r="AE125" s="307">
        <f t="shared" si="40"/>
        <v>1</v>
      </c>
      <c r="AF125" s="179">
        <f t="shared" si="41"/>
        <v>0.17843574628970149</v>
      </c>
      <c r="AG125" s="837">
        <f t="shared" si="49"/>
        <v>2</v>
      </c>
      <c r="AH125" s="178">
        <f t="shared" si="42"/>
        <v>8</v>
      </c>
      <c r="AI125" s="227">
        <f t="shared" si="43"/>
        <v>2.1784357462897015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45769</v>
      </c>
      <c r="B126" s="1139">
        <f>IF(t&gt;Tmaj,'2024'!Wh/'2024'!Env_an*'2025'!Env_an,0.001*'[6]mon-tableau'!$B$223)</f>
        <v>29.4034289987482</v>
      </c>
      <c r="C126" s="866"/>
      <c r="D126" s="395">
        <f t="shared" si="25"/>
        <v>31.132947799809017</v>
      </c>
      <c r="E126" s="387">
        <f t="shared" si="47"/>
        <v>34.585320276937956</v>
      </c>
      <c r="F126" s="387">
        <f t="shared" si="26"/>
        <v>34.585888877718368</v>
      </c>
      <c r="G126" s="110">
        <f t="shared" si="48"/>
        <v>0.58067020450042584</v>
      </c>
      <c r="H126" s="414" t="b">
        <f>Wh_hp&gt;='2024'!Maxi_hp</f>
        <v>0</v>
      </c>
      <c r="I126" s="392">
        <f>IF(H126,Wh_hp,'2024'!Maxi_hp)</f>
        <v>59.287065717944621</v>
      </c>
      <c r="J126" s="85">
        <f>IF(H126,An,'2024'!An_max)</f>
        <v>2021</v>
      </c>
      <c r="K126" s="199">
        <f t="shared" si="27"/>
        <v>45769</v>
      </c>
      <c r="L126" s="147">
        <f>IF(t&lt;Tvie,1-EXP((T0-t)*PertePVj)+'2024'!Pspv,1-EXP((T0-t)*PertePVj)+Pspv)</f>
        <v>5.5552683677175807E-2</v>
      </c>
      <c r="M126" s="870"/>
      <c r="N126" s="870"/>
      <c r="O126" s="48">
        <f>IF(t&lt;Tnet,'2024'!Resal+('2024'!Salim-'2024'!Resal)*(1-EXP(('2024'!Tnet-t)/('2024'!Tau_j))),Resal+(Salim-Resal)*(1-EXP((Tnet-t)/(Tau_j))))*Salcycl</f>
        <v>9.9821902746149785E-2</v>
      </c>
      <c r="P126" s="171">
        <f>(INDEX(Models!$BJ126:$BT126,,T126)*(1-R126)+INDEX(Models!$BJ126:$BT126,,T126+1)*R126-ERP_i)*Q126*Ramure*Pc/MaxiM</f>
        <v>4.1000407293269973E-5</v>
      </c>
      <c r="Q126" s="307">
        <f t="shared" si="28"/>
        <v>1</v>
      </c>
      <c r="R126" s="179">
        <f t="shared" si="29"/>
        <v>0.24640055033176633</v>
      </c>
      <c r="S126" s="837">
        <f t="shared" si="30"/>
        <v>-3</v>
      </c>
      <c r="T126" s="178">
        <f t="shared" si="31"/>
        <v>3</v>
      </c>
      <c r="U126" s="253">
        <f t="shared" si="32"/>
        <v>-2.7535994496682337</v>
      </c>
      <c r="V126" s="385">
        <f t="shared" si="33"/>
        <v>50.635811182069332</v>
      </c>
      <c r="W126" s="404">
        <f t="shared" si="34"/>
        <v>29.4034289987482</v>
      </c>
      <c r="X126" s="157">
        <f t="shared" si="35"/>
        <v>45769</v>
      </c>
      <c r="Y126" s="387">
        <f t="shared" si="36"/>
        <v>28.021631516740971</v>
      </c>
      <c r="Z126" s="387">
        <f t="shared" si="37"/>
        <v>29.669872561915163</v>
      </c>
      <c r="AA126" s="388">
        <f t="shared" si="38"/>
        <v>34.424050288377742</v>
      </c>
      <c r="AB126" s="199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0.13810628576927461</v>
      </c>
      <c r="AD126" s="233">
        <f>(INDEX(Models!$BJ126:$BT126,,AH126)*(1-AF126)+INDEX(Models!$BJ126:$BT126,,AH126+1)*AF126-ERP_i)*AE126*Ramure*Pc/MaxiM</f>
        <v>1.1669783629089964E-2</v>
      </c>
      <c r="AE126" s="307">
        <f t="shared" si="40"/>
        <v>1</v>
      </c>
      <c r="AF126" s="179">
        <f t="shared" si="41"/>
        <v>0.18138314325533678</v>
      </c>
      <c r="AG126" s="837">
        <f t="shared" si="49"/>
        <v>2</v>
      </c>
      <c r="AH126" s="178">
        <f t="shared" si="42"/>
        <v>8</v>
      </c>
      <c r="AI126" s="227">
        <f t="shared" si="43"/>
        <v>2.1813831432553368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45770</v>
      </c>
      <c r="B127" s="1139">
        <f>IF(t&gt;Tmaj,'2024'!Wh/'2024'!Env_an*'2025'!Env_an,0.001*'[6]mon-tableau'!$B$224)</f>
        <v>8.5033697203591494</v>
      </c>
      <c r="C127" s="866"/>
      <c r="D127" s="395">
        <f t="shared" si="25"/>
        <v>9.0037500915442656</v>
      </c>
      <c r="E127" s="387">
        <f t="shared" si="47"/>
        <v>10.004693714128296</v>
      </c>
      <c r="F127" s="387">
        <f t="shared" si="26"/>
        <v>10.004693714128296</v>
      </c>
      <c r="G127" s="110">
        <f t="shared" si="48"/>
        <v>0.16716500177930613</v>
      </c>
      <c r="H127" s="414" t="b">
        <f>Wh_hp&gt;='2024'!Maxi_hp</f>
        <v>0</v>
      </c>
      <c r="I127" s="392">
        <f>IF(H127,Wh_hp,'2024'!Maxi_hp)</f>
        <v>58.481630214798564</v>
      </c>
      <c r="J127" s="85">
        <f>IF(H127,An,'2024'!An_max)</f>
        <v>2021</v>
      </c>
      <c r="K127" s="199">
        <f t="shared" si="27"/>
        <v>45770</v>
      </c>
      <c r="L127" s="147">
        <f>IF(t&lt;Tvie,1-EXP((T0-t)*PertePVj)+'2024'!Pspv,1-EXP((T0-t)*PertePVj)+Pspv)</f>
        <v>5.5574662345975301E-2</v>
      </c>
      <c r="M127" s="870"/>
      <c r="N127" s="870"/>
      <c r="O127" s="48">
        <f>IF(t&lt;Tnet,'2024'!Resal+('2024'!Salim-'2024'!Resal)*(1-EXP(('2024'!Tnet-t)/('2024'!Tau_j))),Resal+(Salim-Resal)*(1-EXP((Tnet-t)/(Tau_j))))*Salcycl</f>
        <v>0.10004740286756914</v>
      </c>
      <c r="P127" s="171">
        <f>(INDEX(Models!$BJ127:$BT127,,T127)*(1-R127)+INDEX(Models!$BJ127:$BT127,,T127+1)*R127-ERP_i)*Q127*Ramure*Pc/MaxiM</f>
        <v>4.1393014184306577E-5</v>
      </c>
      <c r="Q127" s="307">
        <f t="shared" si="28"/>
        <v>1</v>
      </c>
      <c r="R127" s="179">
        <f t="shared" si="29"/>
        <v>0.24944200693741303</v>
      </c>
      <c r="S127" s="837">
        <f t="shared" si="30"/>
        <v>-3</v>
      </c>
      <c r="T127" s="178">
        <f t="shared" si="31"/>
        <v>3</v>
      </c>
      <c r="U127" s="253">
        <f t="shared" si="32"/>
        <v>-2.750557993062587</v>
      </c>
      <c r="V127" s="385">
        <f t="shared" si="33"/>
        <v>50.866016509134596</v>
      </c>
      <c r="W127" s="404">
        <f t="shared" si="34"/>
        <v>8.5033697203591494</v>
      </c>
      <c r="X127" s="157">
        <f t="shared" si="35"/>
        <v>45770</v>
      </c>
      <c r="Y127" s="387">
        <f t="shared" si="36"/>
        <v>8.1420336626045415</v>
      </c>
      <c r="Z127" s="387">
        <f t="shared" si="37"/>
        <v>8.6211512313186649</v>
      </c>
      <c r="AA127" s="388">
        <f t="shared" si="38"/>
        <v>10.004693714128296</v>
      </c>
      <c r="AB127" s="199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0.13828933921843475</v>
      </c>
      <c r="AD127" s="233">
        <f>(INDEX(Models!$BJ127:$BT127,,AH127)*(1-AF127)+INDEX(Models!$BJ127:$BT127,,AH127+1)*AF127-ERP_i)*AE127*Ramure*Pc/MaxiM</f>
        <v>1.1314961719100458E-2</v>
      </c>
      <c r="AE127" s="307">
        <f t="shared" si="40"/>
        <v>1</v>
      </c>
      <c r="AF127" s="179">
        <f t="shared" si="41"/>
        <v>0.18442459986098347</v>
      </c>
      <c r="AG127" s="837">
        <f t="shared" si="49"/>
        <v>2</v>
      </c>
      <c r="AH127" s="178">
        <f t="shared" si="42"/>
        <v>8</v>
      </c>
      <c r="AI127" s="227">
        <f t="shared" si="43"/>
        <v>2.1844245998609835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45771</v>
      </c>
      <c r="B128" s="1139">
        <f>IF(t&gt;Tmaj,'2024'!Wh/'2024'!Env_an*'2025'!Env_an,0.001*'[6]mon-tableau'!$B$225)</f>
        <v>36.343469114472249</v>
      </c>
      <c r="C128" s="866"/>
      <c r="D128" s="395">
        <f t="shared" si="25"/>
        <v>38.482994314887556</v>
      </c>
      <c r="E128" s="387">
        <f t="shared" si="47"/>
        <v>42.771983063333835</v>
      </c>
      <c r="F128" s="387">
        <f t="shared" si="26"/>
        <v>42.773029461365525</v>
      </c>
      <c r="G128" s="110">
        <f t="shared" si="48"/>
        <v>0.7113572751567987</v>
      </c>
      <c r="H128" s="414" t="b">
        <f>Wh_hp&gt;='2024'!Maxi_hp</f>
        <v>0</v>
      </c>
      <c r="I128" s="392">
        <f>IF(H128,Wh_hp,'2024'!Maxi_hp)</f>
        <v>54.722101062954692</v>
      </c>
      <c r="J128" s="85">
        <f>IF(H128,An,'2024'!An_max)</f>
        <v>2021</v>
      </c>
      <c r="K128" s="199">
        <f t="shared" si="27"/>
        <v>45771</v>
      </c>
      <c r="L128" s="147">
        <f>IF(t&lt;Tvie,1-EXP((T0-t)*PertePVj)+'2024'!Pspv,1-EXP((T0-t)*PertePVj)+Pspv)</f>
        <v>5.5596640503299155E-2</v>
      </c>
      <c r="M128" s="870"/>
      <c r="N128" s="870"/>
      <c r="O128" s="48">
        <f>IF(t&lt;Tnet,'2024'!Resal+('2024'!Salim-'2024'!Resal)*(1-EXP(('2024'!Tnet-t)/('2024'!Tau_j))),Resal+(Salim-Resal)*(1-EXP((Tnet-t)/(Tau_j))))*Salcycl</f>
        <v>0.10027565806559494</v>
      </c>
      <c r="P128" s="171">
        <f>(INDEX(Models!$BJ128:$BT128,,T128)*(1-R128)+INDEX(Models!$BJ128:$BT128,,T128+1)*R128-ERP_i)*Q128*Ramure*Pc/MaxiM</f>
        <v>4.1628701961938617E-5</v>
      </c>
      <c r="Q128" s="307">
        <f t="shared" si="28"/>
        <v>1</v>
      </c>
      <c r="R128" s="179">
        <f t="shared" si="29"/>
        <v>0.25257940607862706</v>
      </c>
      <c r="S128" s="837">
        <f t="shared" si="30"/>
        <v>-3</v>
      </c>
      <c r="T128" s="178">
        <f t="shared" si="31"/>
        <v>3</v>
      </c>
      <c r="U128" s="253">
        <f t="shared" si="32"/>
        <v>-2.7474205939213729</v>
      </c>
      <c r="V128" s="385">
        <f t="shared" si="33"/>
        <v>51.089440626340377</v>
      </c>
      <c r="W128" s="404">
        <f t="shared" si="34"/>
        <v>36.343469114472249</v>
      </c>
      <c r="X128" s="157">
        <f t="shared" si="35"/>
        <v>45771</v>
      </c>
      <c r="Y128" s="387">
        <f t="shared" si="36"/>
        <v>34.577303180093146</v>
      </c>
      <c r="Z128" s="387">
        <f t="shared" si="37"/>
        <v>36.612854912460669</v>
      </c>
      <c r="AA128" s="388">
        <f t="shared" si="38"/>
        <v>42.497788776629477</v>
      </c>
      <c r="AB128" s="199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0.1384762368484703</v>
      </c>
      <c r="AD128" s="233">
        <f>(INDEX(Models!$BJ128:$BT128,,AH128)*(1-AF128)+INDEX(Models!$BJ128:$BT128,,AH128+1)*AF128-ERP_i)*AE128*Ramure*Pc/MaxiM</f>
        <v>1.0949860460059186E-2</v>
      </c>
      <c r="AE128" s="307">
        <f t="shared" si="40"/>
        <v>1</v>
      </c>
      <c r="AF128" s="179">
        <f t="shared" si="41"/>
        <v>0.1875619990021975</v>
      </c>
      <c r="AG128" s="837">
        <f t="shared" si="49"/>
        <v>2</v>
      </c>
      <c r="AH128" s="178">
        <f t="shared" si="42"/>
        <v>8</v>
      </c>
      <c r="AI128" s="227">
        <f t="shared" si="43"/>
        <v>2.1875619990021975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45772</v>
      </c>
      <c r="B129" s="1139">
        <f>IF(t&gt;Tmaj,'2024'!Wh/'2024'!Env_an*'2025'!Env_an,0.001*'[6]mon-tableau'!$B$226)</f>
        <v>45.337325803720994</v>
      </c>
      <c r="C129" s="866"/>
      <c r="D129" s="395">
        <f t="shared" si="25"/>
        <v>48.007432881477264</v>
      </c>
      <c r="E129" s="387">
        <f t="shared" si="47"/>
        <v>53.371639201502283</v>
      </c>
      <c r="F129" s="387">
        <f t="shared" si="26"/>
        <v>53.373495057451443</v>
      </c>
      <c r="G129" s="110">
        <f t="shared" si="48"/>
        <v>0.88366252958893343</v>
      </c>
      <c r="H129" s="414" t="b">
        <f>Wh_hp&gt;='2024'!Maxi_hp</f>
        <v>0</v>
      </c>
      <c r="I129" s="392">
        <f>IF(H129,Wh_hp,'2024'!Maxi_hp)</f>
        <v>56.337889785916616</v>
      </c>
      <c r="J129" s="85">
        <f>IF(H129,An,'2024'!An_max)</f>
        <v>2020</v>
      </c>
      <c r="K129" s="199">
        <f t="shared" si="27"/>
        <v>45772</v>
      </c>
      <c r="L129" s="147">
        <f>IF(t&lt;Tvie,1-EXP((T0-t)*PertePVj)+'2024'!Pspv,1-EXP((T0-t)*PertePVj)+Pspv)</f>
        <v>5.5618618149159138E-2</v>
      </c>
      <c r="M129" s="870"/>
      <c r="N129" s="870"/>
      <c r="O129" s="48">
        <f>IF(t&lt;Tnet,'2024'!Resal+('2024'!Salim-'2024'!Resal)*(1-EXP(('2024'!Tnet-t)/('2024'!Tau_j))),Resal+(Salim-Resal)*(1-EXP((Tnet-t)/(Tau_j))))*Salcycl</f>
        <v>0.10050668108155143</v>
      </c>
      <c r="P129" s="171">
        <f>(INDEX(Models!$BJ129:$BT129,,T129)*(1-R129)+INDEX(Models!$BJ129:$BT129,,T129+1)*R129-ERP_i)*Q129*Ramure*Pc/MaxiM</f>
        <v>4.1701366915154902E-5</v>
      </c>
      <c r="Q129" s="307">
        <f t="shared" si="28"/>
        <v>1</v>
      </c>
      <c r="R129" s="179">
        <f t="shared" si="29"/>
        <v>0.25581458418557945</v>
      </c>
      <c r="S129" s="837">
        <f t="shared" si="30"/>
        <v>-3</v>
      </c>
      <c r="T129" s="178">
        <f t="shared" si="31"/>
        <v>3</v>
      </c>
      <c r="U129" s="253">
        <f t="shared" si="32"/>
        <v>-2.7441854158144205</v>
      </c>
      <c r="V129" s="385">
        <f t="shared" si="33"/>
        <v>51.305798396599485</v>
      </c>
      <c r="W129" s="404">
        <f t="shared" si="34"/>
        <v>45.337325803720994</v>
      </c>
      <c r="X129" s="157">
        <f t="shared" si="35"/>
        <v>45772</v>
      </c>
      <c r="Y129" s="387">
        <f t="shared" si="36"/>
        <v>43.032383856132896</v>
      </c>
      <c r="Z129" s="387">
        <f t="shared" si="37"/>
        <v>45.566743143322142</v>
      </c>
      <c r="AA129" s="388">
        <f t="shared" si="38"/>
        <v>52.902585159925209</v>
      </c>
      <c r="AB129" s="199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0.1386669856383525</v>
      </c>
      <c r="AD129" s="233">
        <f>(INDEX(Models!$BJ129:$BT129,,AH129)*(1-AF129)+INDEX(Models!$BJ129:$BT129,,AH129+1)*AF129-ERP_i)*AE129*Ramure*Pc/MaxiM</f>
        <v>1.0581417393756941E-2</v>
      </c>
      <c r="AE129" s="307">
        <f t="shared" si="40"/>
        <v>1</v>
      </c>
      <c r="AF129" s="179">
        <f t="shared" si="41"/>
        <v>0.1907971771091499</v>
      </c>
      <c r="AG129" s="837">
        <f t="shared" si="49"/>
        <v>2</v>
      </c>
      <c r="AH129" s="178">
        <f t="shared" si="42"/>
        <v>8</v>
      </c>
      <c r="AI129" s="227">
        <f t="shared" si="43"/>
        <v>2.1907971771091499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45773</v>
      </c>
      <c r="B130" s="1139">
        <f>IF(t&gt;Tmaj,'2024'!Wh/'2024'!Env_an*'2025'!Env_an,0.001*'[6]mon-tableau'!$B$227)</f>
        <v>50.271201504451767</v>
      </c>
      <c r="C130" s="866"/>
      <c r="D130" s="395">
        <f t="shared" si="25"/>
        <v>53.233124225142795</v>
      </c>
      <c r="E130" s="387">
        <f t="shared" si="47"/>
        <v>59.196620140347108</v>
      </c>
      <c r="F130" s="387">
        <f t="shared" si="26"/>
        <v>59.198998230251505</v>
      </c>
      <c r="G130" s="110">
        <f t="shared" si="48"/>
        <v>0.9758578926410636</v>
      </c>
      <c r="H130" s="414" t="b">
        <f>Wh_hp&gt;='2024'!Maxi_hp</f>
        <v>1</v>
      </c>
      <c r="I130" s="392">
        <f>IF(H130,Wh_hp,'2024'!Maxi_hp)</f>
        <v>59.198998230251505</v>
      </c>
      <c r="J130" s="85">
        <f>IF(H130,An,'2024'!An_max)</f>
        <v>2025</v>
      </c>
      <c r="K130" s="199">
        <f t="shared" si="27"/>
        <v>45773</v>
      </c>
      <c r="L130" s="147">
        <f>IF(t&lt;Tvie,1-EXP((T0-t)*PertePVj)+'2024'!Pspv,1-EXP((T0-t)*PertePVj)+Pspv)</f>
        <v>5.564059528356724E-2</v>
      </c>
      <c r="M130" s="870"/>
      <c r="N130" s="870"/>
      <c r="O130" s="48">
        <f>IF(t&lt;Tnet,'2024'!Resal+('2024'!Salim-'2024'!Resal)*(1-EXP(('2024'!Tnet-t)/('2024'!Tau_j))),Resal+(Salim-Resal)*(1-EXP((Tnet-t)/(Tau_j))))*Salcycl</f>
        <v>0.10074047979539502</v>
      </c>
      <c r="P130" s="171">
        <f>(INDEX(Models!$BJ130:$BT130,,T130)*(1-R130)+INDEX(Models!$BJ130:$BT130,,T130+1)*R130-ERP_i)*Q130*Ramure*Pc/MaxiM</f>
        <v>4.1605970996898492E-5</v>
      </c>
      <c r="Q130" s="307">
        <f t="shared" si="28"/>
        <v>1</v>
      </c>
      <c r="R130" s="179">
        <f t="shared" si="29"/>
        <v>0.2591493236745821</v>
      </c>
      <c r="S130" s="837">
        <f t="shared" si="30"/>
        <v>-3</v>
      </c>
      <c r="T130" s="178">
        <f t="shared" si="31"/>
        <v>3</v>
      </c>
      <c r="U130" s="253">
        <f t="shared" si="32"/>
        <v>-2.7408506763254179</v>
      </c>
      <c r="V130" s="385">
        <f t="shared" si="33"/>
        <v>51.514805330602918</v>
      </c>
      <c r="W130" s="404">
        <f t="shared" si="34"/>
        <v>50.271201504451767</v>
      </c>
      <c r="X130" s="157">
        <f t="shared" si="35"/>
        <v>45773</v>
      </c>
      <c r="Y130" s="387">
        <f t="shared" si="36"/>
        <v>47.667498872353391</v>
      </c>
      <c r="Z130" s="387">
        <f t="shared" si="37"/>
        <v>50.476014358820024</v>
      </c>
      <c r="AA130" s="388">
        <f t="shared" si="38"/>
        <v>58.615448495267692</v>
      </c>
      <c r="AB130" s="199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0.13886158590264489</v>
      </c>
      <c r="AD130" s="233">
        <f>(INDEX(Models!$BJ130:$BT130,,AH130)*(1-AF130)+INDEX(Models!$BJ130:$BT130,,AH130+1)*AF130-ERP_i)*AE130*Ramure*Pc/MaxiM</f>
        <v>1.0209518699910783E-2</v>
      </c>
      <c r="AE130" s="307">
        <f t="shared" si="40"/>
        <v>1</v>
      </c>
      <c r="AF130" s="179">
        <f t="shared" si="41"/>
        <v>0.19413191659815254</v>
      </c>
      <c r="AG130" s="837">
        <f t="shared" si="49"/>
        <v>2</v>
      </c>
      <c r="AH130" s="178">
        <f t="shared" si="42"/>
        <v>8</v>
      </c>
      <c r="AI130" s="227">
        <f t="shared" si="43"/>
        <v>2.1941319165981525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45774</v>
      </c>
      <c r="B131" s="1139">
        <f>IF(t&gt;Tmaj,'2024'!Wh/'2024'!Env_an*'2025'!Env_an,0.001*'[6]mon-tableau'!$B$228)</f>
        <v>35.855432878333609</v>
      </c>
      <c r="C131" s="866"/>
      <c r="D131" s="395">
        <f t="shared" si="25"/>
        <v>37.968878296736172</v>
      </c>
      <c r="E131" s="387">
        <f t="shared" si="47"/>
        <v>42.233492029140784</v>
      </c>
      <c r="F131" s="387">
        <f t="shared" si="26"/>
        <v>42.234472981706269</v>
      </c>
      <c r="G131" s="110">
        <f t="shared" si="48"/>
        <v>0.69329917810036845</v>
      </c>
      <c r="H131" s="414" t="b">
        <f>Wh_hp&gt;='2024'!Maxi_hp</f>
        <v>1</v>
      </c>
      <c r="I131" s="392">
        <f>IF(H131,Wh_hp,'2024'!Maxi_hp)</f>
        <v>42.234472981706269</v>
      </c>
      <c r="J131" s="85">
        <f>IF(H131,An,'2024'!An_max)</f>
        <v>2025</v>
      </c>
      <c r="K131" s="199">
        <f t="shared" si="27"/>
        <v>45774</v>
      </c>
      <c r="L131" s="147">
        <f>IF(t&lt;Tvie,1-EXP((T0-t)*PertePVj)+'2024'!Pspv,1-EXP((T0-t)*PertePVj)+Pspv)</f>
        <v>5.566257190653523E-2</v>
      </c>
      <c r="M131" s="870"/>
      <c r="N131" s="870"/>
      <c r="O131" s="48">
        <f>IF(t&lt;Tnet,'2024'!Resal+('2024'!Salim-'2024'!Resal)*(1-EXP(('2024'!Tnet-t)/('2024'!Tau_j))),Resal+(Salim-Resal)*(1-EXP((Tnet-t)/(Tau_j))))*Salcycl</f>
        <v>0.10097705701110533</v>
      </c>
      <c r="P131" s="171">
        <f>(INDEX(Models!$BJ131:$BT131,,T131)*(1-R131)+INDEX(Models!$BJ131:$BT131,,T131+1)*R131-ERP_i)*Q131*Ramure*Pc/MaxiM</f>
        <v>4.1337295915797292E-5</v>
      </c>
      <c r="Q131" s="307">
        <f t="shared" si="28"/>
        <v>1</v>
      </c>
      <c r="R131" s="179">
        <f t="shared" si="29"/>
        <v>0.26258534505657094</v>
      </c>
      <c r="S131" s="837">
        <f t="shared" si="30"/>
        <v>-3</v>
      </c>
      <c r="T131" s="178">
        <f t="shared" si="31"/>
        <v>3</v>
      </c>
      <c r="U131" s="253">
        <f t="shared" si="32"/>
        <v>-2.7374146549434291</v>
      </c>
      <c r="V131" s="385">
        <f t="shared" si="33"/>
        <v>51.716177690580288</v>
      </c>
      <c r="W131" s="404">
        <f t="shared" si="34"/>
        <v>35.855432878333609</v>
      </c>
      <c r="X131" s="157">
        <f t="shared" si="35"/>
        <v>45774</v>
      </c>
      <c r="Y131" s="387">
        <f t="shared" si="36"/>
        <v>34.147649016995764</v>
      </c>
      <c r="Z131" s="387">
        <f t="shared" si="37"/>
        <v>36.160431643524817</v>
      </c>
      <c r="AA131" s="388">
        <f t="shared" si="38"/>
        <v>42.001106867684463</v>
      </c>
      <c r="AB131" s="199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0.13906003102631198</v>
      </c>
      <c r="AD131" s="233">
        <f>(INDEX(Models!$BJ131:$BT131,,AH131)*(1-AF131)+INDEX(Models!$BJ131:$BT131,,AH131+1)*AF131-ERP_i)*AE131*Ramure*Pc/MaxiM</f>
        <v>9.8340372933997666E-3</v>
      </c>
      <c r="AE131" s="307">
        <f t="shared" si="40"/>
        <v>1</v>
      </c>
      <c r="AF131" s="179">
        <f t="shared" si="41"/>
        <v>0.19756793798014138</v>
      </c>
      <c r="AG131" s="837">
        <f t="shared" si="49"/>
        <v>2</v>
      </c>
      <c r="AH131" s="178">
        <f t="shared" si="42"/>
        <v>8</v>
      </c>
      <c r="AI131" s="227">
        <f t="shared" si="43"/>
        <v>2.1975679379801414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45775</v>
      </c>
      <c r="B132" s="1139">
        <f>IF(t&gt;Tmaj,'2024'!Wh/'2024'!Env_an*'2025'!Env_an,0.001*'[6]mon-tableau'!$B$229)</f>
        <v>21.96164499189593</v>
      </c>
      <c r="C132" s="866"/>
      <c r="D132" s="395">
        <f t="shared" si="25"/>
        <v>23.256682865670506</v>
      </c>
      <c r="E132" s="387">
        <f t="shared" si="47"/>
        <v>25.875731522761267</v>
      </c>
      <c r="F132" s="387">
        <f t="shared" si="26"/>
        <v>25.875917552564779</v>
      </c>
      <c r="G132" s="110">
        <f t="shared" si="48"/>
        <v>0.42306030315447202</v>
      </c>
      <c r="H132" s="414" t="b">
        <f>Wh_hp&gt;='2024'!Maxi_hp</f>
        <v>0</v>
      </c>
      <c r="I132" s="392">
        <f>IF(H132,Wh_hp,'2024'!Maxi_hp)</f>
        <v>48.071799484183821</v>
      </c>
      <c r="J132" s="85">
        <f>IF(H132,An,'2024'!An_max)</f>
        <v>2019</v>
      </c>
      <c r="K132" s="199">
        <f t="shared" si="27"/>
        <v>45775</v>
      </c>
      <c r="L132" s="147">
        <f>IF(t&lt;Tvie,1-EXP((T0-t)*PertePVj)+'2024'!Pspv,1-EXP((T0-t)*PertePVj)+Pspv)</f>
        <v>5.5684548018075208E-2</v>
      </c>
      <c r="M132" s="870"/>
      <c r="N132" s="870"/>
      <c r="O132" s="48">
        <f>IF(t&lt;Tnet,'2024'!Resal+('2024'!Salim-'2024'!Resal)*(1-EXP(('2024'!Tnet-t)/('2024'!Tau_j))),Resal+(Salim-Resal)*(1-EXP((Tnet-t)/(Tau_j))))*Salcycl</f>
        <v>0.10121641024088338</v>
      </c>
      <c r="P132" s="171">
        <f>(INDEX(Models!$BJ132:$BT132,,T132)*(1-R132)+INDEX(Models!$BJ132:$BT132,,T132+1)*R132-ERP_i)*Q132*Ramure*Pc/MaxiM</f>
        <v>4.0889943723360981E-5</v>
      </c>
      <c r="Q132" s="307">
        <f t="shared" si="28"/>
        <v>1</v>
      </c>
      <c r="R132" s="179">
        <f t="shared" si="29"/>
        <v>0.26612429871659904</v>
      </c>
      <c r="S132" s="837">
        <f t="shared" si="30"/>
        <v>-3</v>
      </c>
      <c r="T132" s="178">
        <f t="shared" si="31"/>
        <v>3</v>
      </c>
      <c r="U132" s="253">
        <f t="shared" si="32"/>
        <v>-2.733875701283401</v>
      </c>
      <c r="V132" s="385">
        <f t="shared" si="33"/>
        <v>51.90963250702783</v>
      </c>
      <c r="W132" s="404">
        <f t="shared" si="34"/>
        <v>21.96164499189593</v>
      </c>
      <c r="X132" s="157">
        <f t="shared" si="35"/>
        <v>45775</v>
      </c>
      <c r="Y132" s="387">
        <f t="shared" si="36"/>
        <v>20.997187368260057</v>
      </c>
      <c r="Z132" s="387">
        <f t="shared" si="37"/>
        <v>22.235352947144158</v>
      </c>
      <c r="AA132" s="388">
        <f t="shared" si="38"/>
        <v>25.832902559185101</v>
      </c>
      <c r="AB132" s="199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0.13926230719907251</v>
      </c>
      <c r="AD132" s="233">
        <f>(INDEX(Models!$BJ132:$BT132,,AH132)*(1-AF132)+INDEX(Models!$BJ132:$BT132,,AH132+1)*AF132-ERP_i)*AE132*Ramure*Pc/MaxiM</f>
        <v>9.454832641565835E-3</v>
      </c>
      <c r="AE132" s="307">
        <f t="shared" si="40"/>
        <v>1</v>
      </c>
      <c r="AF132" s="179">
        <f t="shared" si="41"/>
        <v>0.20110689164016948</v>
      </c>
      <c r="AG132" s="837">
        <f t="shared" si="49"/>
        <v>2</v>
      </c>
      <c r="AH132" s="178">
        <f t="shared" si="42"/>
        <v>8</v>
      </c>
      <c r="AI132" s="227">
        <f t="shared" si="43"/>
        <v>2.2011068916401695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45776</v>
      </c>
      <c r="B133" s="1139">
        <f>IF(t&gt;Tmaj,'2024'!Wh/'2024'!Env_an*'2025'!Env_an,0.001*'[6]mon-tableau'!$B$230)</f>
        <v>41.257171944971425</v>
      </c>
      <c r="C133" s="866"/>
      <c r="D133" s="395">
        <f t="shared" si="25"/>
        <v>43.691048362479776</v>
      </c>
      <c r="E133" s="387">
        <f t="shared" si="47"/>
        <v>48.624409549976626</v>
      </c>
      <c r="F133" s="387">
        <f t="shared" si="26"/>
        <v>48.625785352168343</v>
      </c>
      <c r="G133" s="110">
        <f t="shared" si="48"/>
        <v>0.79195253494326634</v>
      </c>
      <c r="H133" s="414" t="b">
        <f>Wh_hp&gt;='2024'!Maxi_hp</f>
        <v>0</v>
      </c>
      <c r="I133" s="392">
        <f>IF(H133,Wh_hp,'2024'!Maxi_hp)</f>
        <v>54.803359565450826</v>
      </c>
      <c r="J133" s="85">
        <f>IF(H133,An,'2024'!An_max)</f>
        <v>2019</v>
      </c>
      <c r="K133" s="199">
        <f t="shared" si="27"/>
        <v>45776</v>
      </c>
      <c r="L133" s="147">
        <f>IF(t&lt;Tvie,1-EXP((T0-t)*PertePVj)+'2024'!Pspv,1-EXP((T0-t)*PertePVj)+Pspv)</f>
        <v>5.5706523618198944E-2</v>
      </c>
      <c r="M133" s="870"/>
      <c r="N133" s="870"/>
      <c r="O133" s="48">
        <f>IF(t&lt;Tnet,'2024'!Resal+('2024'!Salim-'2024'!Resal)*(1-EXP(('2024'!Tnet-t)/('2024'!Tau_j))),Resal+(Salim-Resal)*(1-EXP((Tnet-t)/(Tau_j))))*Salcycl</f>
        <v>0.10145853148975088</v>
      </c>
      <c r="P133" s="171">
        <f>(INDEX(Models!$BJ133:$BT133,,T133)*(1-R133)+INDEX(Models!$BJ133:$BT133,,T133+1)*R133-ERP_i)*Q133*Ramure*Pc/MaxiM</f>
        <v>4.0258337873407542E-5</v>
      </c>
      <c r="Q133" s="307">
        <f t="shared" si="28"/>
        <v>1</v>
      </c>
      <c r="R133" s="179">
        <f t="shared" si="29"/>
        <v>0.26976775638218387</v>
      </c>
      <c r="S133" s="837">
        <f t="shared" si="30"/>
        <v>-3</v>
      </c>
      <c r="T133" s="178">
        <f t="shared" si="31"/>
        <v>3</v>
      </c>
      <c r="U133" s="253">
        <f t="shared" si="32"/>
        <v>-2.7302322436178161</v>
      </c>
      <c r="V133" s="385">
        <f t="shared" si="33"/>
        <v>52.094887613216912</v>
      </c>
      <c r="W133" s="404">
        <f t="shared" si="34"/>
        <v>41.257171944971425</v>
      </c>
      <c r="X133" s="157">
        <f t="shared" si="35"/>
        <v>45776</v>
      </c>
      <c r="Y133" s="387">
        <f t="shared" si="36"/>
        <v>39.261118618800303</v>
      </c>
      <c r="Z133" s="387">
        <f t="shared" si="37"/>
        <v>41.577242245954125</v>
      </c>
      <c r="AA133" s="388">
        <f t="shared" si="38"/>
        <v>48.315764249752831</v>
      </c>
      <c r="AB133" s="199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0.13946839315147902</v>
      </c>
      <c r="AD133" s="233">
        <f>(INDEX(Models!$BJ133:$BT133,,AH133)*(1-AF133)+INDEX(Models!$BJ133:$BT133,,AH133+1)*AF133-ERP_i)*AE133*Ramure*Pc/MaxiM</f>
        <v>9.0717505496565494E-3</v>
      </c>
      <c r="AE133" s="307">
        <f t="shared" si="40"/>
        <v>1</v>
      </c>
      <c r="AF133" s="179">
        <f t="shared" si="41"/>
        <v>0.20475034930575431</v>
      </c>
      <c r="AG133" s="837">
        <f t="shared" si="49"/>
        <v>2</v>
      </c>
      <c r="AH133" s="178">
        <f t="shared" si="42"/>
        <v>8</v>
      </c>
      <c r="AI133" s="227">
        <f t="shared" si="43"/>
        <v>2.2047503493057543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45777</v>
      </c>
      <c r="B134" s="1139">
        <f>IF(t&gt;Tmaj,'2024'!Wh/'2024'!Env_an*'2025'!Env_an,0.001*'[6]mon-tableau'!$B$231)</f>
        <v>46.731265671356098</v>
      </c>
      <c r="C134" s="866"/>
      <c r="D134" s="395">
        <f t="shared" si="25"/>
        <v>49.489225934874121</v>
      </c>
      <c r="E134" s="387">
        <f t="shared" si="47"/>
        <v>50.786995630180343</v>
      </c>
      <c r="F134" s="387">
        <f t="shared" si="26"/>
        <v>50.788495378459629</v>
      </c>
      <c r="G134" s="110">
        <f t="shared" si="48"/>
        <v>0.824135360491698</v>
      </c>
      <c r="H134" s="414" t="b">
        <f>Wh_hp&gt;='2024'!Maxi_hp</f>
        <v>0</v>
      </c>
      <c r="I134" s="392">
        <f>IF(H134,Wh_hp,'2024'!Maxi_hp)</f>
        <v>60.871126204254288</v>
      </c>
      <c r="J134" s="85">
        <f>IF(H134,An,'2024'!An_max)</f>
        <v>2019</v>
      </c>
      <c r="K134" s="199">
        <f t="shared" si="27"/>
        <v>45777</v>
      </c>
      <c r="L134" s="147">
        <f>IF(t&lt;Tvie,1-EXP((T0-t)*PertePVj)+'2024'!Pspv,1-EXP((T0-t)*PertePVj)+Pspv)</f>
        <v>5.5728498706918317E-2</v>
      </c>
      <c r="M134" s="870"/>
      <c r="N134" s="870"/>
      <c r="O134" s="48">
        <f>IF(t&lt;Tnet,'2024'!Resal+('2024'!Salim-'2024'!Resal)*(1-EXP(('2024'!Tnet-t)/('2024'!Tau_j))),Resal+(Salim-Resal)*(1-EXP((Tnet-t)/(Tau_j))))*Salcycl</f>
        <v>2.5553188945380768E-2</v>
      </c>
      <c r="P134" s="171">
        <f>(INDEX(Models!$BJ134:$BT134,,T134)*(1-R134)+INDEX(Models!$BJ134:$BT134,,T134+1)*R134-ERP_i)*Q134*Ramure*Pc/MaxiM</f>
        <v>3.9436724775480686E-5</v>
      </c>
      <c r="Q134" s="307">
        <f t="shared" si="28"/>
        <v>1</v>
      </c>
      <c r="R134" s="179">
        <f t="shared" si="29"/>
        <v>0.27351720230237486</v>
      </c>
      <c r="S134" s="837">
        <f t="shared" si="30"/>
        <v>-3</v>
      </c>
      <c r="T134" s="178">
        <f t="shared" si="31"/>
        <v>3</v>
      </c>
      <c r="U134" s="253">
        <f t="shared" si="32"/>
        <v>-2.7264827976976251</v>
      </c>
      <c r="V134" s="385">
        <f t="shared" si="33"/>
        <v>56.702824452164862</v>
      </c>
      <c r="W134" s="404">
        <f t="shared" si="34"/>
        <v>46.731265671356098</v>
      </c>
      <c r="X134" s="157">
        <f t="shared" si="35"/>
        <v>45777</v>
      </c>
      <c r="Y134" s="387">
        <f t="shared" si="36"/>
        <v>42.800477230196577</v>
      </c>
      <c r="Z134" s="387">
        <f t="shared" si="37"/>
        <v>45.326452372634115</v>
      </c>
      <c r="AA134" s="388">
        <f t="shared" si="38"/>
        <v>50.458225855444084</v>
      </c>
      <c r="AB134" s="199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0.10170340704232843</v>
      </c>
      <c r="AD134" s="233">
        <f>(INDEX(Models!$BJ134:$BT134,,AH134)*(1-AF134)+INDEX(Models!$BJ134:$BT134,,AH134+1)*AF134-ERP_i)*AE134*Ramure*Pc/MaxiM</f>
        <v>8.6846229202364664E-3</v>
      </c>
      <c r="AE134" s="307">
        <f t="shared" si="40"/>
        <v>1</v>
      </c>
      <c r="AF134" s="179">
        <f t="shared" si="41"/>
        <v>0.20849979522594531</v>
      </c>
      <c r="AG134" s="837">
        <f t="shared" si="49"/>
        <v>2</v>
      </c>
      <c r="AH134" s="178">
        <f t="shared" si="42"/>
        <v>8</v>
      </c>
      <c r="AI134" s="227">
        <f t="shared" si="43"/>
        <v>2.2084997952259453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45778</v>
      </c>
      <c r="B135" s="1139">
        <f>IF(t&gt;Tmaj,'2024'!Wh/'2024'!Env_an*'2025'!Env_an,0.001*[7]mois!$B$208)</f>
        <v>46.082723350550253</v>
      </c>
      <c r="C135" s="866"/>
      <c r="D135" s="395">
        <f t="shared" si="25"/>
        <v>48.803544028063286</v>
      </c>
      <c r="E135" s="387">
        <f t="shared" si="47"/>
        <v>50.099568665329159</v>
      </c>
      <c r="F135" s="387">
        <f t="shared" si="26"/>
        <v>50.100971443765367</v>
      </c>
      <c r="G135" s="110">
        <f t="shared" si="48"/>
        <v>0.81013464315057904</v>
      </c>
      <c r="H135" s="414" t="b">
        <f>Wh_hp&gt;='2024'!Maxi_hp</f>
        <v>0</v>
      </c>
      <c r="I135" s="392">
        <f>IF(H135,Wh_hp,'2024'!Maxi_hp)</f>
        <v>56.86994403885685</v>
      </c>
      <c r="J135" s="85">
        <f>IF(H135,An,'2024'!An_max)</f>
        <v>2019</v>
      </c>
      <c r="K135" s="199">
        <f t="shared" si="27"/>
        <v>45778</v>
      </c>
      <c r="L135" s="147">
        <f>IF(t&lt;Tvie,1-EXP((T0-t)*PertePVj)+'2024'!Pspv,1-EXP((T0-t)*PertePVj)+Pspv)</f>
        <v>5.5750473284245317E-2</v>
      </c>
      <c r="M135" s="870"/>
      <c r="N135" s="870"/>
      <c r="O135" s="48">
        <f>IF(t&lt;Tnet,'2024'!Resal+('2024'!Salim-'2024'!Resal)*(1-EXP(('2024'!Tnet-t)/('2024'!Tau_j))),Resal+(Salim-Resal)*(1-EXP((Tnet-t)/(Tau_j))))*Salcycl</f>
        <v>2.5868977953152919E-2</v>
      </c>
      <c r="P135" s="171">
        <f>(INDEX(Models!$BJ135:$BT135,,T135)*(1-R135)+INDEX(Models!$BJ135:$BT135,,T135+1)*R135-ERP_i)*Q135*Ramure*Pc/MaxiM</f>
        <v>3.8419257739478807E-5</v>
      </c>
      <c r="Q135" s="307">
        <f t="shared" si="28"/>
        <v>1</v>
      </c>
      <c r="R135" s="179">
        <f t="shared" si="29"/>
        <v>0.27737402416365864</v>
      </c>
      <c r="S135" s="837">
        <f t="shared" si="30"/>
        <v>-3</v>
      </c>
      <c r="T135" s="178">
        <f t="shared" si="31"/>
        <v>3</v>
      </c>
      <c r="U135" s="253">
        <f t="shared" si="32"/>
        <v>-2.7226259758363414</v>
      </c>
      <c r="V135" s="385">
        <f t="shared" si="33"/>
        <v>56.882202895642095</v>
      </c>
      <c r="W135" s="404">
        <f t="shared" si="34"/>
        <v>46.082723350550253</v>
      </c>
      <c r="X135" s="157">
        <f t="shared" si="35"/>
        <v>45778</v>
      </c>
      <c r="Y135" s="387">
        <f t="shared" si="36"/>
        <v>42.227962888925042</v>
      </c>
      <c r="Z135" s="387">
        <f t="shared" si="37"/>
        <v>44.721190420714748</v>
      </c>
      <c r="AA135" s="388">
        <f t="shared" si="38"/>
        <v>49.798163886290389</v>
      </c>
      <c r="AB135" s="199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0.10195101725373752</v>
      </c>
      <c r="AD135" s="233">
        <f>(INDEX(Models!$BJ135:$BT135,,AH135)*(1-AF135)+INDEX(Models!$BJ135:$BT135,,AH135+1)*AF135-ERP_i)*AE135*Ramure*Pc/MaxiM</f>
        <v>8.2932851659436972E-3</v>
      </c>
      <c r="AE135" s="307">
        <f t="shared" si="40"/>
        <v>1</v>
      </c>
      <c r="AF135" s="179">
        <f t="shared" si="41"/>
        <v>0.21235661708722908</v>
      </c>
      <c r="AG135" s="837">
        <f t="shared" si="49"/>
        <v>2</v>
      </c>
      <c r="AH135" s="178">
        <f t="shared" si="42"/>
        <v>8</v>
      </c>
      <c r="AI135" s="227">
        <f t="shared" si="43"/>
        <v>2.2123566170872291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45779</v>
      </c>
      <c r="B136" s="1139">
        <f>IF(t&gt;Tmaj,'2024'!Wh/'2024'!Env_an*'2025'!Env_an,0.001*[7]mois!$B$209)</f>
        <v>28.164160832312355</v>
      </c>
      <c r="C136" s="866"/>
      <c r="D136" s="395">
        <f t="shared" si="25"/>
        <v>29.827726116733832</v>
      </c>
      <c r="E136" s="387">
        <f t="shared" si="47"/>
        <v>30.629781999734828</v>
      </c>
      <c r="F136" s="387">
        <f t="shared" si="26"/>
        <v>30.630098105068157</v>
      </c>
      <c r="G136" s="110">
        <f t="shared" si="48"/>
        <v>0.49364335471779569</v>
      </c>
      <c r="H136" s="414" t="b">
        <f>Wh_hp&gt;='2024'!Maxi_hp</f>
        <v>0</v>
      </c>
      <c r="I136" s="392">
        <f>IF(H136,Wh_hp,'2024'!Maxi_hp)</f>
        <v>39.790318251802034</v>
      </c>
      <c r="J136" s="85">
        <f>IF(H136,An,'2024'!An_max)</f>
        <v>2021</v>
      </c>
      <c r="K136" s="199">
        <f t="shared" si="27"/>
        <v>45779</v>
      </c>
      <c r="L136" s="147">
        <f>IF(t&lt;Tvie,1-EXP((T0-t)*PertePVj)+'2024'!Pspv,1-EXP((T0-t)*PertePVj)+Pspv)</f>
        <v>5.5772447350191712E-2</v>
      </c>
      <c r="M136" s="870"/>
      <c r="N136" s="870"/>
      <c r="O136" s="48">
        <f>IF(t&lt;Tnet,'2024'!Resal+('2024'!Salim-'2024'!Resal)*(1-EXP(('2024'!Tnet-t)/('2024'!Tau_j))),Resal+(Salim-Resal)*(1-EXP((Tnet-t)/(Tau_j))))*Salcycl</f>
        <v>2.6185491069049702E-2</v>
      </c>
      <c r="P136" s="171">
        <f>(INDEX(Models!$BJ136:$BT136,,T136)*(1-R136)+INDEX(Models!$BJ136:$BT136,,T136+1)*R136-ERP_i)*Q136*Ramure*Pc/MaxiM</f>
        <v>3.730345038420584E-5</v>
      </c>
      <c r="Q136" s="307">
        <f t="shared" si="28"/>
        <v>1</v>
      </c>
      <c r="R136" s="179">
        <f t="shared" si="29"/>
        <v>0.281339503773268</v>
      </c>
      <c r="S136" s="837">
        <f t="shared" si="30"/>
        <v>-3</v>
      </c>
      <c r="T136" s="178">
        <f t="shared" si="31"/>
        <v>3</v>
      </c>
      <c r="U136" s="253">
        <f t="shared" si="32"/>
        <v>-2.718660496226732</v>
      </c>
      <c r="V136" s="385">
        <f t="shared" si="33"/>
        <v>57.052121924815815</v>
      </c>
      <c r="W136" s="404">
        <f t="shared" si="34"/>
        <v>28.164160832312355</v>
      </c>
      <c r="X136" s="157">
        <f t="shared" si="35"/>
        <v>45779</v>
      </c>
      <c r="Y136" s="387">
        <f t="shared" si="36"/>
        <v>25.909187838517866</v>
      </c>
      <c r="Z136" s="387">
        <f t="shared" si="37"/>
        <v>27.439559209862384</v>
      </c>
      <c r="AA136" s="388">
        <f t="shared" si="38"/>
        <v>30.563154436214894</v>
      </c>
      <c r="AB136" s="199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0.10220133634672535</v>
      </c>
      <c r="AD136" s="233">
        <f>(INDEX(Models!$BJ136:$BT136,,AH136)*(1-AF136)+INDEX(Models!$BJ136:$BT136,,AH136+1)*AF136-ERP_i)*AE136*Ramure*Pc/MaxiM</f>
        <v>7.8999927122517539E-3</v>
      </c>
      <c r="AE136" s="307">
        <f t="shared" si="40"/>
        <v>1</v>
      </c>
      <c r="AF136" s="179">
        <f t="shared" si="41"/>
        <v>0.21632209669683844</v>
      </c>
      <c r="AG136" s="837">
        <f t="shared" si="49"/>
        <v>2</v>
      </c>
      <c r="AH136" s="178">
        <f t="shared" si="42"/>
        <v>8</v>
      </c>
      <c r="AI136" s="227">
        <f t="shared" si="43"/>
        <v>2.2163220966968384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45780</v>
      </c>
      <c r="B137" s="1139">
        <f>IF(t&gt;Tmaj,'2024'!Wh/'2024'!Env_an*'2025'!Env_an,0.001*[7]mois!$B$210)</f>
        <v>33.276615652159236</v>
      </c>
      <c r="C137" s="866"/>
      <c r="D137" s="395">
        <f t="shared" si="25"/>
        <v>35.242977153392815</v>
      </c>
      <c r="E137" s="387">
        <f t="shared" si="47"/>
        <v>36.202441010913617</v>
      </c>
      <c r="F137" s="387">
        <f t="shared" si="26"/>
        <v>36.202967064870947</v>
      </c>
      <c r="G137" s="110">
        <f t="shared" si="48"/>
        <v>0.58161422853020939</v>
      </c>
      <c r="H137" s="414" t="b">
        <f>Wh_hp&gt;='2024'!Maxi_hp</f>
        <v>0</v>
      </c>
      <c r="I137" s="392">
        <f>IF(H137,Wh_hp,'2024'!Maxi_hp)</f>
        <v>59.817954676163886</v>
      </c>
      <c r="J137" s="85">
        <f>IF(H137,An,'2024'!An_max)</f>
        <v>2021</v>
      </c>
      <c r="K137" s="199">
        <f t="shared" si="27"/>
        <v>45780</v>
      </c>
      <c r="L137" s="147">
        <f>IF(t&lt;Tvie,1-EXP((T0-t)*PertePVj)+'2024'!Pspv,1-EXP((T0-t)*PertePVj)+Pspv)</f>
        <v>5.5794420904769604E-2</v>
      </c>
      <c r="M137" s="870"/>
      <c r="N137" s="870"/>
      <c r="O137" s="48">
        <f>IF(t&lt;Tnet,'2024'!Resal+('2024'!Salim-'2024'!Resal)*(1-EXP(('2024'!Tnet-t)/('2024'!Tau_j))),Resal+(Salim-Resal)*(1-EXP((Tnet-t)/(Tau_j))))*Salcycl</f>
        <v>2.6502739338255209E-2</v>
      </c>
      <c r="P137" s="171">
        <f>(INDEX(Models!$BJ137:$BT137,,T137)*(1-R137)+INDEX(Models!$BJ137:$BT137,,T137+1)*R137-ERP_i)*Q137*Ramure*Pc/MaxiM</f>
        <v>3.6116878756423285E-5</v>
      </c>
      <c r="Q137" s="307">
        <f t="shared" si="28"/>
        <v>1</v>
      </c>
      <c r="R137" s="179">
        <f t="shared" si="29"/>
        <v>0.28541480754505733</v>
      </c>
      <c r="S137" s="837">
        <f t="shared" si="30"/>
        <v>-3</v>
      </c>
      <c r="T137" s="178">
        <f t="shared" si="31"/>
        <v>3</v>
      </c>
      <c r="U137" s="253">
        <f t="shared" si="32"/>
        <v>-2.7145851924549427</v>
      </c>
      <c r="V137" s="385">
        <f t="shared" si="33"/>
        <v>57.21300424575692</v>
      </c>
      <c r="W137" s="404">
        <f t="shared" si="34"/>
        <v>33.276615652159236</v>
      </c>
      <c r="X137" s="157">
        <f t="shared" si="35"/>
        <v>45780</v>
      </c>
      <c r="Y137" s="387">
        <f t="shared" si="36"/>
        <v>30.588131354722599</v>
      </c>
      <c r="Z137" s="387">
        <f t="shared" si="37"/>
        <v>32.395626579577275</v>
      </c>
      <c r="AA137" s="388">
        <f t="shared" si="38"/>
        <v>36.093569098946759</v>
      </c>
      <c r="AB137" s="199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0.10245433221724227</v>
      </c>
      <c r="AD137" s="233">
        <f>(INDEX(Models!$BJ137:$BT137,,AH137)*(1-AF137)+INDEX(Models!$BJ137:$BT137,,AH137+1)*AF137-ERP_i)*AE137*Ramure*Pc/MaxiM</f>
        <v>7.5108513421785318E-3</v>
      </c>
      <c r="AE137" s="307">
        <f t="shared" si="40"/>
        <v>1</v>
      </c>
      <c r="AF137" s="179">
        <f t="shared" si="41"/>
        <v>0.22039740046862777</v>
      </c>
      <c r="AG137" s="837">
        <f t="shared" si="49"/>
        <v>2</v>
      </c>
      <c r="AH137" s="178">
        <f t="shared" si="42"/>
        <v>8</v>
      </c>
      <c r="AI137" s="227">
        <f t="shared" si="43"/>
        <v>2.2203974004686278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45781</v>
      </c>
      <c r="B138" s="1139">
        <f>IF(t&gt;Tmaj,'2024'!Wh/'2024'!Env_an*'2025'!Env_an,0.001*[7]mois!$B$211)</f>
        <v>0.84461590996931668</v>
      </c>
      <c r="C138" s="866"/>
      <c r="D138" s="395">
        <f t="shared" si="25"/>
        <v>0.89454625621067174</v>
      </c>
      <c r="E138" s="387">
        <f t="shared" si="47"/>
        <v>0.91919986919710472</v>
      </c>
      <c r="F138" s="387">
        <f t="shared" si="26"/>
        <v>0.91919986919710472</v>
      </c>
      <c r="G138" s="110">
        <f t="shared" si="48"/>
        <v>1.4722957154536269E-2</v>
      </c>
      <c r="H138" s="414" t="b">
        <f>Wh_hp&gt;='2024'!Maxi_hp</f>
        <v>0</v>
      </c>
      <c r="I138" s="392">
        <f>IF(H138,Wh_hp,'2024'!Maxi_hp)</f>
        <v>56.704587051571465</v>
      </c>
      <c r="J138" s="85">
        <f>IF(H138,An,'2024'!An_max)</f>
        <v>2020</v>
      </c>
      <c r="K138" s="199">
        <f t="shared" si="27"/>
        <v>45781</v>
      </c>
      <c r="L138" s="147">
        <f>IF(t&lt;Tvie,1-EXP((T0-t)*PertePVj)+'2024'!Pspv,1-EXP((T0-t)*PertePVj)+Pspv)</f>
        <v>5.581639394799065E-2</v>
      </c>
      <c r="M138" s="870"/>
      <c r="N138" s="870"/>
      <c r="O138" s="48">
        <f>IF(t&lt;Tnet,'2024'!Resal+('2024'!Salim-'2024'!Resal)*(1-EXP(('2024'!Tnet-t)/('2024'!Tau_j))),Resal+(Salim-Resal)*(1-EXP((Tnet-t)/(Tau_j))))*Salcycl</f>
        <v>2.6820731608640559E-2</v>
      </c>
      <c r="P138" s="171">
        <f>(INDEX(Models!$BJ138:$BT138,,T138)*(1-R138)+INDEX(Models!$BJ138:$BT138,,T138+1)*R138-ERP_i)*Q138*Ramure*Pc/MaxiM</f>
        <v>3.487065575358553E-5</v>
      </c>
      <c r="Q138" s="307">
        <f t="shared" si="28"/>
        <v>1</v>
      </c>
      <c r="R138" s="179">
        <f t="shared" si="29"/>
        <v>0.28960097682786357</v>
      </c>
      <c r="S138" s="837">
        <f t="shared" si="30"/>
        <v>-3</v>
      </c>
      <c r="T138" s="178">
        <f t="shared" si="31"/>
        <v>3</v>
      </c>
      <c r="U138" s="253">
        <f t="shared" si="32"/>
        <v>-2.7103990231721364</v>
      </c>
      <c r="V138" s="385">
        <f t="shared" si="33"/>
        <v>57.365273076166751</v>
      </c>
      <c r="W138" s="404">
        <f t="shared" si="34"/>
        <v>0.84461590996931668</v>
      </c>
      <c r="X138" s="157">
        <f t="shared" si="35"/>
        <v>45781</v>
      </c>
      <c r="Y138" s="387">
        <f t="shared" si="36"/>
        <v>0.77875214051178931</v>
      </c>
      <c r="Z138" s="387">
        <f t="shared" si="37"/>
        <v>0.82478888165411823</v>
      </c>
      <c r="AA138" s="388">
        <f t="shared" si="38"/>
        <v>0.91919986919710472</v>
      </c>
      <c r="AB138" s="199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0.10270996625081319</v>
      </c>
      <c r="AD138" s="233">
        <f>(INDEX(Models!$BJ138:$BT138,,AH138)*(1-AF138)+INDEX(Models!$BJ138:$BT138,,AH138+1)*AF138-ERP_i)*AE138*Ramure*Pc/MaxiM</f>
        <v>7.1255076739602363E-3</v>
      </c>
      <c r="AE138" s="307">
        <f t="shared" si="40"/>
        <v>1</v>
      </c>
      <c r="AF138" s="179">
        <f t="shared" si="41"/>
        <v>0.22458356975143401</v>
      </c>
      <c r="AG138" s="837">
        <f t="shared" si="49"/>
        <v>2</v>
      </c>
      <c r="AH138" s="178">
        <f t="shared" si="42"/>
        <v>8</v>
      </c>
      <c r="AI138" s="227">
        <f t="shared" si="43"/>
        <v>2.224583569751434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45782</v>
      </c>
      <c r="B139" s="1139">
        <f>IF(t&gt;Tmaj,'2024'!Wh/'2024'!Env_an*'2025'!Env_an,0.001*[7]mois!$B$212)</f>
        <v>38.806834127450955</v>
      </c>
      <c r="C139" s="866"/>
      <c r="D139" s="395">
        <f t="shared" si="25"/>
        <v>41.101896910136887</v>
      </c>
      <c r="E139" s="387">
        <f t="shared" si="47"/>
        <v>42.248498966796994</v>
      </c>
      <c r="F139" s="387">
        <f t="shared" si="26"/>
        <v>42.249258504851682</v>
      </c>
      <c r="G139" s="110">
        <f t="shared" si="48"/>
        <v>0.67478119608134646</v>
      </c>
      <c r="H139" s="414" t="b">
        <f>Wh_hp&gt;='2024'!Maxi_hp</f>
        <v>0</v>
      </c>
      <c r="I139" s="392">
        <f>IF(H139,Wh_hp,'2024'!Maxi_hp)</f>
        <v>59.050028688885625</v>
      </c>
      <c r="J139" s="85">
        <f>IF(H139,An,'2024'!An_max)</f>
        <v>2020</v>
      </c>
      <c r="K139" s="199">
        <f t="shared" si="27"/>
        <v>45782</v>
      </c>
      <c r="L139" s="147">
        <f>IF(t&lt;Tvie,1-EXP((T0-t)*PertePVj)+'2024'!Pspv,1-EXP((T0-t)*PertePVj)+Pspv)</f>
        <v>5.5838366479866952E-2</v>
      </c>
      <c r="M139" s="870"/>
      <c r="N139" s="870"/>
      <c r="O139" s="48">
        <f>IF(t&lt;Tnet,'2024'!Resal+('2024'!Salim-'2024'!Resal)*(1-EXP(('2024'!Tnet-t)/('2024'!Tau_j))),Resal+(Salim-Resal)*(1-EXP((Tnet-t)/(Tau_j))))*Salcycl</f>
        <v>2.7139474412125712E-2</v>
      </c>
      <c r="P139" s="171">
        <f>(INDEX(Models!$BJ139:$BT139,,T139)*(1-R139)+INDEX(Models!$BJ139:$BT139,,T139+1)*R139-ERP_i)*Q139*Ramure*Pc/MaxiM</f>
        <v>3.3576737548709442E-5</v>
      </c>
      <c r="Q139" s="307">
        <f t="shared" si="28"/>
        <v>1</v>
      </c>
      <c r="R139" s="179">
        <f t="shared" si="29"/>
        <v>0.29389891812107072</v>
      </c>
      <c r="S139" s="837">
        <f t="shared" si="30"/>
        <v>-3</v>
      </c>
      <c r="T139" s="178">
        <f t="shared" si="31"/>
        <v>3</v>
      </c>
      <c r="U139" s="253">
        <f t="shared" si="32"/>
        <v>-2.7061010818789293</v>
      </c>
      <c r="V139" s="385">
        <f t="shared" si="33"/>
        <v>57.509351159678523</v>
      </c>
      <c r="W139" s="404">
        <f t="shared" si="34"/>
        <v>38.806834127450955</v>
      </c>
      <c r="X139" s="157">
        <f t="shared" si="35"/>
        <v>45782</v>
      </c>
      <c r="Y139" s="387">
        <f t="shared" si="36"/>
        <v>35.653515598130653</v>
      </c>
      <c r="Z139" s="387">
        <f t="shared" si="37"/>
        <v>37.762088960555488</v>
      </c>
      <c r="AA139" s="388">
        <f t="shared" si="38"/>
        <v>42.096711256259496</v>
      </c>
      <c r="AB139" s="199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0.10296819315213088</v>
      </c>
      <c r="AD139" s="233">
        <f>(INDEX(Models!$BJ139:$BT139,,AH139)*(1-AF139)+INDEX(Models!$BJ139:$BT139,,AH139+1)*AF139-ERP_i)*AE139*Ramure*Pc/MaxiM</f>
        <v>6.7436238357653474E-3</v>
      </c>
      <c r="AE139" s="307">
        <f t="shared" si="40"/>
        <v>1</v>
      </c>
      <c r="AF139" s="179">
        <f t="shared" si="41"/>
        <v>0.22888151104464116</v>
      </c>
      <c r="AG139" s="837">
        <f t="shared" si="49"/>
        <v>2</v>
      </c>
      <c r="AH139" s="178">
        <f t="shared" si="42"/>
        <v>8</v>
      </c>
      <c r="AI139" s="227">
        <f t="shared" si="43"/>
        <v>2.2288815110446412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45783</v>
      </c>
      <c r="B140" s="1139">
        <f>IF(t&gt;Tmaj,'2024'!Wh/'2024'!Env_an*'2025'!Env_an,0.001*[7]mois!$B$213)</f>
        <v>35.965330636022834</v>
      </c>
      <c r="C140" s="866"/>
      <c r="D140" s="395">
        <f t="shared" si="25"/>
        <v>38.093231438766821</v>
      </c>
      <c r="E140" s="387">
        <f t="shared" si="47"/>
        <v>39.168765467078757</v>
      </c>
      <c r="F140" s="387">
        <f t="shared" si="26"/>
        <v>39.169349942558313</v>
      </c>
      <c r="G140" s="110">
        <f t="shared" si="48"/>
        <v>0.62389270930936647</v>
      </c>
      <c r="H140" s="414" t="b">
        <f>Wh_hp&gt;='2024'!Maxi_hp</f>
        <v>0</v>
      </c>
      <c r="I140" s="392">
        <f>IF(H140,Wh_hp,'2024'!Maxi_hp)</f>
        <v>64.356840251433624</v>
      </c>
      <c r="J140" s="85">
        <f>IF(H140,An,'2024'!An_max)</f>
        <v>2019</v>
      </c>
      <c r="K140" s="199">
        <f t="shared" si="27"/>
        <v>45783</v>
      </c>
      <c r="L140" s="147">
        <f>IF(t&lt;Tvie,1-EXP((T0-t)*PertePVj)+'2024'!Pspv,1-EXP((T0-t)*PertePVj)+Pspv)</f>
        <v>5.5860338500410389E-2</v>
      </c>
      <c r="M140" s="870"/>
      <c r="N140" s="870"/>
      <c r="O140" s="48">
        <f>IF(t&lt;Tnet,'2024'!Resal+('2024'!Salim-'2024'!Resal)*(1-EXP(('2024'!Tnet-t)/('2024'!Tau_j))),Resal+(Salim-Resal)*(1-EXP((Tnet-t)/(Tau_j))))*Salcycl</f>
        <v>2.7458971848778744E-2</v>
      </c>
      <c r="P140" s="171">
        <f>(INDEX(Models!$BJ140:$BT140,,T140)*(1-R140)+INDEX(Models!$BJ140:$BT140,,T140+1)*R140-ERP_i)*Q140*Ramure*Pc/MaxiM</f>
        <v>3.2247964356407234E-5</v>
      </c>
      <c r="Q140" s="307">
        <f t="shared" si="28"/>
        <v>1</v>
      </c>
      <c r="R140" s="179">
        <f t="shared" si="29"/>
        <v>0.29830939322694849</v>
      </c>
      <c r="S140" s="837">
        <f t="shared" si="30"/>
        <v>-3</v>
      </c>
      <c r="T140" s="178">
        <f t="shared" si="31"/>
        <v>3</v>
      </c>
      <c r="U140" s="253">
        <f t="shared" si="32"/>
        <v>-2.7016906067730515</v>
      </c>
      <c r="V140" s="385">
        <f t="shared" si="33"/>
        <v>57.645660779914245</v>
      </c>
      <c r="W140" s="404">
        <f t="shared" si="34"/>
        <v>35.965330636022834</v>
      </c>
      <c r="X140" s="157">
        <f t="shared" si="35"/>
        <v>45783</v>
      </c>
      <c r="Y140" s="387">
        <f t="shared" si="36"/>
        <v>33.066119445568312</v>
      </c>
      <c r="Z140" s="387">
        <f t="shared" si="37"/>
        <v>35.022487449631079</v>
      </c>
      <c r="AA140" s="388">
        <f t="shared" si="38"/>
        <v>39.053990281061942</v>
      </c>
      <c r="AB140" s="199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0.10322896079036042</v>
      </c>
      <c r="AD140" s="233">
        <f>(INDEX(Models!$BJ140:$BT140,,AH140)*(1-AF140)+INDEX(Models!$BJ140:$BT140,,AH140+1)*AF140-ERP_i)*AE140*Ramure*Pc/MaxiM</f>
        <v>6.3648765127403894E-3</v>
      </c>
      <c r="AE140" s="307">
        <f t="shared" si="40"/>
        <v>1</v>
      </c>
      <c r="AF140" s="179">
        <f t="shared" si="41"/>
        <v>0.23329198615051894</v>
      </c>
      <c r="AG140" s="837">
        <f t="shared" si="49"/>
        <v>2</v>
      </c>
      <c r="AH140" s="178">
        <f t="shared" si="42"/>
        <v>8</v>
      </c>
      <c r="AI140" s="227">
        <f t="shared" si="43"/>
        <v>2.2332919861505189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45784</v>
      </c>
      <c r="B141" s="1139">
        <f>IF(t&gt;Tmaj,'2024'!Wh/'2024'!Env_an*'2025'!Env_an,0.001*[7]mois!$B$214)</f>
        <v>49.395913553421614</v>
      </c>
      <c r="C141" s="866"/>
      <c r="D141" s="395">
        <f t="shared" si="25"/>
        <v>52.319656836348017</v>
      </c>
      <c r="E141" s="387">
        <f t="shared" si="47"/>
        <v>53.814584307653249</v>
      </c>
      <c r="F141" s="387">
        <f t="shared" si="26"/>
        <v>53.815902620544534</v>
      </c>
      <c r="G141" s="110">
        <f t="shared" si="48"/>
        <v>0.85497047206256127</v>
      </c>
      <c r="H141" s="414" t="b">
        <f>Wh_hp&gt;='2024'!Maxi_hp</f>
        <v>0</v>
      </c>
      <c r="I141" s="392">
        <f>IF(H141,Wh_hp,'2024'!Maxi_hp)</f>
        <v>59.662433655928183</v>
      </c>
      <c r="J141" s="85">
        <f>IF(H141,An,'2024'!An_max)</f>
        <v>2020</v>
      </c>
      <c r="K141" s="199">
        <f t="shared" si="27"/>
        <v>45784</v>
      </c>
      <c r="L141" s="147">
        <f>IF(t&lt;Tvie,1-EXP((T0-t)*PertePVj)+'2024'!Pspv,1-EXP((T0-t)*PertePVj)+Pspv)</f>
        <v>5.588231000963273E-2</v>
      </c>
      <c r="M141" s="870"/>
      <c r="N141" s="870"/>
      <c r="O141" s="48">
        <f>IF(t&lt;Tnet,'2024'!Resal+('2024'!Salim-'2024'!Resal)*(1-EXP(('2024'!Tnet-t)/('2024'!Tau_j))),Resal+(Salim-Resal)*(1-EXP((Tnet-t)/(Tau_j))))*Salcycl</f>
        <v>2.7779225474619751E-2</v>
      </c>
      <c r="P141" s="171">
        <f>(INDEX(Models!$BJ141:$BT141,,T141)*(1-R141)+INDEX(Models!$BJ141:$BT141,,T141+1)*R141-ERP_i)*Q141*Ramure*Pc/MaxiM</f>
        <v>3.0898098301843128E-5</v>
      </c>
      <c r="Q141" s="307">
        <f t="shared" si="28"/>
        <v>1</v>
      </c>
      <c r="R141" s="179">
        <f t="shared" si="29"/>
        <v>0.30283300939416202</v>
      </c>
      <c r="S141" s="837">
        <f t="shared" si="30"/>
        <v>-3</v>
      </c>
      <c r="T141" s="178">
        <f t="shared" si="31"/>
        <v>3</v>
      </c>
      <c r="U141" s="253">
        <f t="shared" si="32"/>
        <v>-2.697166990605838</v>
      </c>
      <c r="V141" s="385">
        <f t="shared" si="33"/>
        <v>57.774623753254097</v>
      </c>
      <c r="W141" s="404">
        <f t="shared" si="34"/>
        <v>49.395913553421614</v>
      </c>
      <c r="X141" s="157">
        <f t="shared" si="35"/>
        <v>45784</v>
      </c>
      <c r="Y141" s="387">
        <f t="shared" si="36"/>
        <v>45.333976128955918</v>
      </c>
      <c r="Z141" s="387">
        <f t="shared" si="37"/>
        <v>48.01729340482801</v>
      </c>
      <c r="AA141" s="388">
        <f t="shared" si="38"/>
        <v>53.56037498367418</v>
      </c>
      <c r="AB141" s="199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0.1034922100626773</v>
      </c>
      <c r="AD141" s="233">
        <f>(INDEX(Models!$BJ141:$BT141,,AH141)*(1-AF141)+INDEX(Models!$BJ141:$BT141,,AH141+1)*AF141-ERP_i)*AE141*Ramure*Pc/MaxiM</f>
        <v>5.9889561082370072E-3</v>
      </c>
      <c r="AE141" s="307">
        <f t="shared" si="40"/>
        <v>1</v>
      </c>
      <c r="AF141" s="179">
        <f t="shared" si="41"/>
        <v>0.23781560231773247</v>
      </c>
      <c r="AG141" s="837">
        <f t="shared" si="49"/>
        <v>2</v>
      </c>
      <c r="AH141" s="178">
        <f t="shared" si="42"/>
        <v>8</v>
      </c>
      <c r="AI141" s="227">
        <f t="shared" si="43"/>
        <v>2.2378156023177325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45785</v>
      </c>
      <c r="B142" s="1139">
        <f>IF(t&gt;Tmaj,'2024'!Wh/'2024'!Env_an*'2025'!Env_an,0.001*[7]mois!$B$215)</f>
        <v>50.237749855545552</v>
      </c>
      <c r="C142" s="866"/>
      <c r="D142" s="395">
        <f t="shared" si="25"/>
        <v>53.212559748877638</v>
      </c>
      <c r="E142" s="387">
        <f t="shared" si="47"/>
        <v>54.751077859100043</v>
      </c>
      <c r="F142" s="387">
        <f t="shared" si="26"/>
        <v>54.75239180868369</v>
      </c>
      <c r="G142" s="110">
        <f t="shared" si="48"/>
        <v>0.86770929589711865</v>
      </c>
      <c r="H142" s="414" t="b">
        <f>Wh_hp&gt;='2024'!Maxi_hp</f>
        <v>0</v>
      </c>
      <c r="I142" s="392">
        <f>IF(H142,Wh_hp,'2024'!Maxi_hp)</f>
        <v>57.592377924413015</v>
      </c>
      <c r="J142" s="85">
        <f>IF(H142,An,'2024'!An_max)</f>
        <v>2021</v>
      </c>
      <c r="K142" s="199">
        <f t="shared" si="27"/>
        <v>45785</v>
      </c>
      <c r="L142" s="147">
        <f>IF(t&lt;Tvie,1-EXP((T0-t)*PertePVj)+'2024'!Pspv,1-EXP((T0-t)*PertePVj)+Pspv)</f>
        <v>5.5904281007545964E-2</v>
      </c>
      <c r="M142" s="870"/>
      <c r="N142" s="870"/>
      <c r="O142" s="48">
        <f>IF(t&lt;Tnet,'2024'!Resal+('2024'!Salim-'2024'!Resal)*(1-EXP(('2024'!Tnet-t)/('2024'!Tau_j))),Resal+(Salim-Resal)*(1-EXP((Tnet-t)/(Tau_j))))*Salcycl</f>
        <v>2.8100234194141906E-2</v>
      </c>
      <c r="P142" s="171">
        <f>(INDEX(Models!$BJ142:$BT142,,T142)*(1-R142)+INDEX(Models!$BJ142:$BT142,,T142+1)*R142-ERP_i)*Q142*Ramure*Pc/MaxiM</f>
        <v>2.9589929362324319E-5</v>
      </c>
      <c r="Q142" s="307">
        <f t="shared" si="28"/>
        <v>1</v>
      </c>
      <c r="R142" s="179">
        <f t="shared" si="29"/>
        <v>0.30747020951154802</v>
      </c>
      <c r="S142" s="837">
        <f t="shared" si="30"/>
        <v>-3</v>
      </c>
      <c r="T142" s="178">
        <f t="shared" si="31"/>
        <v>3</v>
      </c>
      <c r="U142" s="253">
        <f t="shared" si="32"/>
        <v>-2.692529790488452</v>
      </c>
      <c r="V142" s="385">
        <f t="shared" si="33"/>
        <v>57.896658664306628</v>
      </c>
      <c r="W142" s="404">
        <f t="shared" si="34"/>
        <v>50.237749855545552</v>
      </c>
      <c r="X142" s="157">
        <f t="shared" si="35"/>
        <v>45785</v>
      </c>
      <c r="Y142" s="387">
        <f t="shared" si="36"/>
        <v>46.116707239661721</v>
      </c>
      <c r="Z142" s="387">
        <f t="shared" si="37"/>
        <v>48.847491109140726</v>
      </c>
      <c r="AA142" s="388">
        <f t="shared" si="38"/>
        <v>54.502561009472757</v>
      </c>
      <c r="AB142" s="199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0.10375787477856602</v>
      </c>
      <c r="AD142" s="233">
        <f>(INDEX(Models!$BJ142:$BT142,,AH142)*(1-AF142)+INDEX(Models!$BJ142:$BT142,,AH142+1)*AF142-ERP_i)*AE142*Ramure*Pc/MaxiM</f>
        <v>5.626148669009485E-3</v>
      </c>
      <c r="AE142" s="307">
        <f t="shared" si="40"/>
        <v>1</v>
      </c>
      <c r="AF142" s="179">
        <f t="shared" si="41"/>
        <v>0.24245280243511846</v>
      </c>
      <c r="AG142" s="837">
        <f t="shared" si="49"/>
        <v>2</v>
      </c>
      <c r="AH142" s="178">
        <f t="shared" si="42"/>
        <v>8</v>
      </c>
      <c r="AI142" s="227">
        <f t="shared" si="43"/>
        <v>2.2424528024351185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45786</v>
      </c>
      <c r="B143" s="1139">
        <f>IF(t&gt;Tmaj,'2024'!Wh/'2024'!Env_an*'2025'!Env_an,0.001*[7]mois!$B$216)</f>
        <v>55.771896147643361</v>
      </c>
      <c r="C143" s="866"/>
      <c r="D143" s="395">
        <f t="shared" ref="D143:D206" si="50">Wh/(1-Ppv)</f>
        <v>59.07578325942454</v>
      </c>
      <c r="E143" s="387">
        <f t="shared" si="47"/>
        <v>60.803952852209633</v>
      </c>
      <c r="F143" s="387">
        <f t="shared" ref="F143:F206" si="51">Wh_sa/(1-Pvg*MEDIAN((-Sdif+Wh/Env_an)/Csdif,0,1))</f>
        <v>60.805577933085594</v>
      </c>
      <c r="G143" s="110">
        <f t="shared" si="48"/>
        <v>0.96138086879467732</v>
      </c>
      <c r="H143" s="414" t="b">
        <f>Wh_hp&gt;='2024'!Maxi_hp</f>
        <v>1</v>
      </c>
      <c r="I143" s="392">
        <f>IF(H143,Wh_hp,'2024'!Maxi_hp)</f>
        <v>60.805577933085594</v>
      </c>
      <c r="J143" s="85">
        <f>IF(H143,An,'2024'!An_max)</f>
        <v>2025</v>
      </c>
      <c r="K143" s="199">
        <f t="shared" ref="K143:K206" si="52">t</f>
        <v>45786</v>
      </c>
      <c r="L143" s="147">
        <f>IF(t&lt;Tvie,1-EXP((T0-t)*PertePVj)+'2024'!Pspv,1-EXP((T0-t)*PertePVj)+Pspv)</f>
        <v>5.5926251494161972E-2</v>
      </c>
      <c r="M143" s="870"/>
      <c r="N143" s="870"/>
      <c r="O143" s="48">
        <f>IF(t&lt;Tnet,'2024'!Resal+('2024'!Salim-'2024'!Resal)*(1-EXP(('2024'!Tnet-t)/('2024'!Tau_j))),Resal+(Salim-Resal)*(1-EXP((Tnet-t)/(Tau_j))))*Salcycl</f>
        <v>2.8421994158596683E-2</v>
      </c>
      <c r="P143" s="171">
        <f>(INDEX(Models!$BJ143:$BT143,,T143)*(1-R143)+INDEX(Models!$BJ143:$BT143,,T143+1)*R143-ERP_i)*Q143*Ramure*Pc/MaxiM</f>
        <v>2.8286354864053754E-5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0.31222126241583137</v>
      </c>
      <c r="S143" s="837">
        <f t="shared" ref="S143:S206" si="55">INDEX(Echel_vg,T143)</f>
        <v>-3</v>
      </c>
      <c r="T143" s="178">
        <f t="shared" ref="T143:T206" si="56">MIN(MATCH(Hp_vg,Echel_vg),10)</f>
        <v>3</v>
      </c>
      <c r="U143" s="253">
        <f t="shared" ref="U143:U206" si="57">IF(OR(t&lt;Ttai,Notai),Hdd+PousH*Croivg,Hdtf+PousH*(Croivg-Croi_tai))</f>
        <v>-2.6877787375841686</v>
      </c>
      <c r="V143" s="385">
        <f t="shared" ref="V143:V206" si="58">MaxiM*(1-Ppv)*(1-Pvg)*(1-Psa)</f>
        <v>58.012189469753466</v>
      </c>
      <c r="W143" s="404">
        <f t="shared" ref="W143:W206" si="59">Wh*(A143&gt;Tmaj)</f>
        <v>55.771896147643361</v>
      </c>
      <c r="X143" s="157">
        <f t="shared" ref="X143:X206" si="60">t</f>
        <v>45786</v>
      </c>
      <c r="Y143" s="387">
        <f t="shared" ref="Y143:Y206" si="61">Wh_pvt_s*(1-Ppv)</f>
        <v>51.176865968894518</v>
      </c>
      <c r="Z143" s="387">
        <f t="shared" ref="Z143:Z206" si="62">Wh_sa_s*(1-Psa_s)</f>
        <v>54.208546789793559</v>
      </c>
      <c r="AA143" s="388">
        <f t="shared" ref="AA143:AA206" si="63">Wh_hp*(1-Pvg_s*MEDIAN((-Sdif+Wh/Env_an)/Csdif,0,1))</f>
        <v>60.50235790808766</v>
      </c>
      <c r="AB143" s="199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0.10402588156738228</v>
      </c>
      <c r="AD143" s="233">
        <f>(INDEX(Models!$BJ143:$BT143,,AH143)*(1-AF143)+INDEX(Models!$BJ143:$BT143,,AH143+1)*AF143-ERP_i)*AE143*Ramure*Pc/MaxiM</f>
        <v>5.2778845384597378E-3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0.24720385533940181</v>
      </c>
      <c r="AG143" s="837">
        <f t="shared" si="49"/>
        <v>2</v>
      </c>
      <c r="AH143" s="178">
        <f t="shared" ref="AH143:AH206" si="67">MIN(MATCH(Hp_vg_s,Echel_vg),10)</f>
        <v>8</v>
      </c>
      <c r="AI143" s="227">
        <f t="shared" ref="AI143:AI206" si="68">IF(OR(t&lt;Ttai,Notai),Hdd_s+PousH*Croivg,Hdtai_s+PousH*(Croivg-Croi_tai))</f>
        <v>2.2472038553394018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45787</v>
      </c>
      <c r="B144" s="1139">
        <f>IF(t&gt;Tmaj,'2024'!Wh/'2024'!Env_an*'2025'!Env_an,0.001*[7]mois!$B$217)</f>
        <v>51.188085384180624</v>
      </c>
      <c r="C144" s="866"/>
      <c r="D144" s="395">
        <f t="shared" si="50"/>
        <v>54.221692653192186</v>
      </c>
      <c r="E144" s="387">
        <f t="shared" ref="E144:E169" si="72">Wh_pvt/(1-Psa)</f>
        <v>55.826394372032304</v>
      </c>
      <c r="F144" s="387">
        <f t="shared" si="51"/>
        <v>55.827644983592869</v>
      </c>
      <c r="G144" s="110">
        <f t="shared" ref="G144:G169" si="73">+Wh_hp/MaxiM</f>
        <v>0.88070214010582692</v>
      </c>
      <c r="H144" s="414" t="b">
        <f>Wh_hp&gt;='2024'!Maxi_hp</f>
        <v>1</v>
      </c>
      <c r="I144" s="392">
        <f>IF(H144,Wh_hp,'2024'!Maxi_hp)</f>
        <v>55.827644983592869</v>
      </c>
      <c r="J144" s="85">
        <f>IF(H144,An,'2024'!An_max)</f>
        <v>2025</v>
      </c>
      <c r="K144" s="199">
        <f t="shared" si="52"/>
        <v>45787</v>
      </c>
      <c r="L144" s="147">
        <f>IF(t&lt;Tvie,1-EXP((T0-t)*PertePVj)+'2024'!Pspv,1-EXP((T0-t)*PertePVj)+Pspv)</f>
        <v>5.5948221469492743E-2</v>
      </c>
      <c r="M144" s="870"/>
      <c r="N144" s="870"/>
      <c r="O144" s="48">
        <f>IF(t&lt;Tnet,'2024'!Resal+('2024'!Salim-'2024'!Resal)*(1-EXP(('2024'!Tnet-t)/('2024'!Tau_j))),Resal+(Salim-Resal)*(1-EXP((Tnet-t)/(Tau_j))))*Salcycl</f>
        <v>2.8744498671116742E-2</v>
      </c>
      <c r="P144" s="171">
        <f>(INDEX(Models!$BJ144:$BT144,,T144)*(1-R144)+INDEX(Models!$BJ144:$BT144,,T144+1)*R144-ERP_i)*Q144*Ramure*Pc/MaxiM</f>
        <v>2.7003167675357816E-5</v>
      </c>
      <c r="Q144" s="307">
        <f t="shared" si="53"/>
        <v>1</v>
      </c>
      <c r="R144" s="179">
        <f t="shared" si="54"/>
        <v>0.31708625338123708</v>
      </c>
      <c r="S144" s="837">
        <f t="shared" si="55"/>
        <v>-3</v>
      </c>
      <c r="T144" s="178">
        <f t="shared" si="56"/>
        <v>3</v>
      </c>
      <c r="U144" s="253">
        <f t="shared" si="57"/>
        <v>-2.6829137466187629</v>
      </c>
      <c r="V144" s="385">
        <f t="shared" si="58"/>
        <v>58.121636688331591</v>
      </c>
      <c r="W144" s="404">
        <f t="shared" si="59"/>
        <v>51.188085384180624</v>
      </c>
      <c r="X144" s="157">
        <f t="shared" si="60"/>
        <v>45787</v>
      </c>
      <c r="Y144" s="387">
        <f t="shared" si="61"/>
        <v>47.013730091002898</v>
      </c>
      <c r="Z144" s="387">
        <f t="shared" si="62"/>
        <v>49.799948647079042</v>
      </c>
      <c r="AA144" s="388">
        <f t="shared" si="63"/>
        <v>55.598676545384507</v>
      </c>
      <c r="AB144" s="199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0.1042961498116243</v>
      </c>
      <c r="AD144" s="233">
        <f>(INDEX(Models!$BJ144:$BT144,,AH144)*(1-AF144)+INDEX(Models!$BJ144:$BT144,,AH144+1)*AF144-ERP_i)*AE144*Ramure*Pc/MaxiM</f>
        <v>4.9438797179567773E-3</v>
      </c>
      <c r="AE144" s="307">
        <f t="shared" si="65"/>
        <v>1</v>
      </c>
      <c r="AF144" s="179">
        <f t="shared" si="66"/>
        <v>0.25206884630480753</v>
      </c>
      <c r="AG144" s="837">
        <f t="shared" ref="AG144:AG207" si="74">INDEX(Echel_vg,AH144)</f>
        <v>2</v>
      </c>
      <c r="AH144" s="178">
        <f t="shared" si="67"/>
        <v>8</v>
      </c>
      <c r="AI144" s="227">
        <f t="shared" si="68"/>
        <v>2.2520688463048075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45788</v>
      </c>
      <c r="B145" s="1139">
        <f>IF(t&gt;Tmaj,'2024'!Wh/'2024'!Env_an*'2025'!Env_an,0.001*[7]mois!$B$218)</f>
        <v>56.086742242970267</v>
      </c>
      <c r="C145" s="866"/>
      <c r="D145" s="395">
        <f t="shared" si="50"/>
        <v>59.412045789565042</v>
      </c>
      <c r="E145" s="387">
        <f t="shared" si="72"/>
        <v>61.190721660940852</v>
      </c>
      <c r="F145" s="387">
        <f t="shared" si="51"/>
        <v>61.192215093499776</v>
      </c>
      <c r="G145" s="110">
        <f t="shared" si="73"/>
        <v>0.96326769403572976</v>
      </c>
      <c r="H145" s="414" t="b">
        <f>Wh_hp&gt;='2024'!Maxi_hp</f>
        <v>1</v>
      </c>
      <c r="I145" s="392">
        <f>IF(H145,Wh_hp,'2024'!Maxi_hp)</f>
        <v>61.192215093499776</v>
      </c>
      <c r="J145" s="85">
        <f>IF(H145,An,'2024'!An_max)</f>
        <v>2025</v>
      </c>
      <c r="K145" s="199">
        <f t="shared" si="52"/>
        <v>45788</v>
      </c>
      <c r="L145" s="147">
        <f>IF(t&lt;Tvie,1-EXP((T0-t)*PertePVj)+'2024'!Pspv,1-EXP((T0-t)*PertePVj)+Pspv)</f>
        <v>5.5970190933550046E-2</v>
      </c>
      <c r="M145" s="870"/>
      <c r="N145" s="870"/>
      <c r="O145" s="48">
        <f>IF(t&lt;Tnet,'2024'!Resal+('2024'!Salim-'2024'!Resal)*(1-EXP(('2024'!Tnet-t)/('2024'!Tau_j))),Resal+(Salim-Resal)*(1-EXP((Tnet-t)/(Tau_j))))*Salcycl</f>
        <v>2.9067738099764411E-2</v>
      </c>
      <c r="P145" s="171">
        <f>(INDEX(Models!$BJ145:$BT145,,T145)*(1-R145)+INDEX(Models!$BJ145:$BT145,,T145+1)*R145-ERP_i)*Q145*Ramure*Pc/MaxiM</f>
        <v>2.5757148619165505E-5</v>
      </c>
      <c r="Q145" s="307">
        <f t="shared" si="53"/>
        <v>1</v>
      </c>
      <c r="R145" s="179">
        <f t="shared" si="54"/>
        <v>0.32206507486294722</v>
      </c>
      <c r="S145" s="837">
        <f t="shared" si="55"/>
        <v>-3</v>
      </c>
      <c r="T145" s="178">
        <f t="shared" si="56"/>
        <v>3</v>
      </c>
      <c r="U145" s="253">
        <f t="shared" si="57"/>
        <v>-2.6779349251370528</v>
      </c>
      <c r="V145" s="385">
        <f t="shared" si="58"/>
        <v>58.225420393813017</v>
      </c>
      <c r="W145" s="404">
        <f t="shared" si="59"/>
        <v>56.086742242970267</v>
      </c>
      <c r="X145" s="157">
        <f t="shared" si="60"/>
        <v>45788</v>
      </c>
      <c r="Y145" s="387">
        <f t="shared" si="61"/>
        <v>51.500005555836246</v>
      </c>
      <c r="Z145" s="387">
        <f t="shared" si="62"/>
        <v>54.553367977611373</v>
      </c>
      <c r="AA145" s="388">
        <f t="shared" si="63"/>
        <v>60.924117097471559</v>
      </c>
      <c r="AB145" s="199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0.10456859160827432</v>
      </c>
      <c r="AD145" s="233">
        <f>(INDEX(Models!$BJ145:$BT145,,AH145)*(1-AF145)+INDEX(Models!$BJ145:$BT145,,AH145+1)*AF145-ERP_i)*AE145*Ramure*Pc/MaxiM</f>
        <v>4.6238712869397782E-3</v>
      </c>
      <c r="AE145" s="307">
        <f t="shared" si="65"/>
        <v>1</v>
      </c>
      <c r="AF145" s="179">
        <f t="shared" si="66"/>
        <v>0.25704766778651766</v>
      </c>
      <c r="AG145" s="837">
        <f t="shared" si="74"/>
        <v>2</v>
      </c>
      <c r="AH145" s="178">
        <f t="shared" si="67"/>
        <v>8</v>
      </c>
      <c r="AI145" s="227">
        <f t="shared" si="68"/>
        <v>2.2570476677865177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45789</v>
      </c>
      <c r="B146" s="1139">
        <f>IF(t&gt;Tmaj,'2024'!Wh/'2024'!Env_an*'2025'!Env_an,0.001*[7]mois!$B$219)</f>
        <v>43.739401876982001</v>
      </c>
      <c r="C146" s="866"/>
      <c r="D146" s="395">
        <f t="shared" si="50"/>
        <v>46.333727346709296</v>
      </c>
      <c r="E146" s="387">
        <f t="shared" si="72"/>
        <v>47.736792830993444</v>
      </c>
      <c r="F146" s="387">
        <f t="shared" si="51"/>
        <v>47.73754662283919</v>
      </c>
      <c r="G146" s="110">
        <f t="shared" si="73"/>
        <v>0.74993223815315602</v>
      </c>
      <c r="H146" s="414" t="b">
        <f>Wh_hp&gt;='2024'!Maxi_hp</f>
        <v>0</v>
      </c>
      <c r="I146" s="392">
        <f>IF(H146,Wh_hp,'2024'!Maxi_hp)</f>
        <v>58.723826865317584</v>
      </c>
      <c r="J146" s="85">
        <f>IF(H146,An,'2024'!An_max)</f>
        <v>2019</v>
      </c>
      <c r="K146" s="199">
        <f t="shared" si="52"/>
        <v>45789</v>
      </c>
      <c r="L146" s="147">
        <f>IF(t&lt;Tvie,1-EXP((T0-t)*PertePVj)+'2024'!Pspv,1-EXP((T0-t)*PertePVj)+Pspv)</f>
        <v>5.599215988634576E-2</v>
      </c>
      <c r="M146" s="870"/>
      <c r="N146" s="870"/>
      <c r="O146" s="48">
        <f>IF(t&lt;Tnet,'2024'!Resal+('2024'!Salim-'2024'!Resal)*(1-EXP(('2024'!Tnet-t)/('2024'!Tau_j))),Resal+(Salim-Resal)*(1-EXP((Tnet-t)/(Tau_j))))*Salcycl</f>
        <v>2.9391699799597729E-2</v>
      </c>
      <c r="P146" s="171">
        <f>(INDEX(Models!$BJ146:$BT146,,T146)*(1-R146)+INDEX(Models!$BJ146:$BT146,,T146+1)*R146-ERP_i)*Q146*Ramure*Pc/MaxiM</f>
        <v>2.4566083009837189E-5</v>
      </c>
      <c r="Q146" s="307">
        <f t="shared" si="53"/>
        <v>1</v>
      </c>
      <c r="R146" s="179">
        <f t="shared" si="54"/>
        <v>0.32715741756990724</v>
      </c>
      <c r="S146" s="837">
        <f t="shared" si="55"/>
        <v>-3</v>
      </c>
      <c r="T146" s="178">
        <f t="shared" si="56"/>
        <v>3</v>
      </c>
      <c r="U146" s="253">
        <f t="shared" si="57"/>
        <v>-2.6728425824300928</v>
      </c>
      <c r="V146" s="385">
        <f t="shared" si="58"/>
        <v>58.323960218939582</v>
      </c>
      <c r="W146" s="404">
        <f t="shared" si="59"/>
        <v>43.739401876982001</v>
      </c>
      <c r="X146" s="157">
        <f t="shared" si="60"/>
        <v>45789</v>
      </c>
      <c r="Y146" s="387">
        <f t="shared" si="61"/>
        <v>40.227950841140768</v>
      </c>
      <c r="Z146" s="387">
        <f t="shared" si="62"/>
        <v>42.614000786579808</v>
      </c>
      <c r="AA146" s="388">
        <f t="shared" si="63"/>
        <v>47.605063812206431</v>
      </c>
      <c r="AB146" s="199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0.10484311176045234</v>
      </c>
      <c r="AD146" s="233">
        <f>(INDEX(Models!$BJ146:$BT146,,AH146)*(1-AF146)+INDEX(Models!$BJ146:$BT146,,AH146+1)*AF146-ERP_i)*AE146*Ramure*Pc/MaxiM</f>
        <v>4.3176159860833889E-3</v>
      </c>
      <c r="AE146" s="307">
        <f t="shared" si="65"/>
        <v>1</v>
      </c>
      <c r="AF146" s="179">
        <f t="shared" si="66"/>
        <v>0.26214001049347768</v>
      </c>
      <c r="AG146" s="837">
        <f t="shared" si="74"/>
        <v>2</v>
      </c>
      <c r="AH146" s="178">
        <f t="shared" si="67"/>
        <v>8</v>
      </c>
      <c r="AI146" s="227">
        <f t="shared" si="68"/>
        <v>2.2621400104934777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45790</v>
      </c>
      <c r="B147" s="1139">
        <f>IF(t&gt;Tmaj,'2024'!Wh/'2024'!Env_an*'2025'!Env_an,0.001*[7]mois!$B$220)</f>
        <v>46.668684254676521</v>
      </c>
      <c r="C147" s="866"/>
      <c r="D147" s="395">
        <f t="shared" si="50"/>
        <v>49.437905433913961</v>
      </c>
      <c r="E147" s="387">
        <f t="shared" si="72"/>
        <v>50.952014241747548</v>
      </c>
      <c r="F147" s="387">
        <f t="shared" si="51"/>
        <v>50.952865745070625</v>
      </c>
      <c r="G147" s="110">
        <f t="shared" si="73"/>
        <v>0.79887413439884813</v>
      </c>
      <c r="H147" s="414" t="b">
        <f>Wh_hp&gt;='2024'!Maxi_hp</f>
        <v>0</v>
      </c>
      <c r="I147" s="392">
        <f>IF(H147,Wh_hp,'2024'!Maxi_hp)</f>
        <v>65.24369285904416</v>
      </c>
      <c r="J147" s="85">
        <f>IF(H147,An,'2024'!An_max)</f>
        <v>2019</v>
      </c>
      <c r="K147" s="199">
        <f t="shared" si="52"/>
        <v>45790</v>
      </c>
      <c r="L147" s="147">
        <f>IF(t&lt;Tvie,1-EXP((T0-t)*PertePVj)+'2024'!Pspv,1-EXP((T0-t)*PertePVj)+Pspv)</f>
        <v>5.6014128327891877E-2</v>
      </c>
      <c r="M147" s="870"/>
      <c r="N147" s="870"/>
      <c r="O147" s="48">
        <f>IF(t&lt;Tnet,'2024'!Resal+('2024'!Salim-'2024'!Resal)*(1-EXP(('2024'!Tnet-t)/('2024'!Tau_j))),Resal+(Salim-Resal)*(1-EXP((Tnet-t)/(Tau_j))))*Salcycl</f>
        <v>2.9716368044837745E-2</v>
      </c>
      <c r="P147" s="171">
        <f>(INDEX(Models!$BJ147:$BT147,,T147)*(1-R147)+INDEX(Models!$BJ147:$BT147,,T147+1)*R147-ERP_i)*Q147*Ramure*Pc/MaxiM</f>
        <v>2.344877175587626E-5</v>
      </c>
      <c r="Q147" s="307">
        <f t="shared" si="53"/>
        <v>1</v>
      </c>
      <c r="R147" s="179">
        <f t="shared" si="54"/>
        <v>0.33236276194554026</v>
      </c>
      <c r="S147" s="837">
        <f t="shared" si="55"/>
        <v>-3</v>
      </c>
      <c r="T147" s="178">
        <f t="shared" si="56"/>
        <v>3</v>
      </c>
      <c r="U147" s="253">
        <f t="shared" si="57"/>
        <v>-2.6676372380544597</v>
      </c>
      <c r="V147" s="385">
        <f t="shared" si="58"/>
        <v>58.417675356406221</v>
      </c>
      <c r="W147" s="404">
        <f t="shared" si="59"/>
        <v>46.668684254676521</v>
      </c>
      <c r="X147" s="157">
        <f t="shared" si="60"/>
        <v>45790</v>
      </c>
      <c r="Y147" s="387">
        <f t="shared" si="61"/>
        <v>42.919193004732293</v>
      </c>
      <c r="Z147" s="387">
        <f t="shared" si="62"/>
        <v>45.465927290530679</v>
      </c>
      <c r="AA147" s="388">
        <f t="shared" si="63"/>
        <v>50.806708568986522</v>
      </c>
      <c r="AB147" s="199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0.10511960780147778</v>
      </c>
      <c r="AD147" s="233">
        <f>(INDEX(Models!$BJ147:$BT147,,AH147)*(1-AF147)+INDEX(Models!$BJ147:$BT147,,AH147+1)*AF147-ERP_i)*AE147*Ramure*Pc/MaxiM</f>
        <v>4.0248888872132463E-3</v>
      </c>
      <c r="AE147" s="307">
        <f t="shared" si="65"/>
        <v>1</v>
      </c>
      <c r="AF147" s="179">
        <f t="shared" si="66"/>
        <v>0.26734535486911071</v>
      </c>
      <c r="AG147" s="837">
        <f t="shared" si="74"/>
        <v>2</v>
      </c>
      <c r="AH147" s="178">
        <f t="shared" si="67"/>
        <v>8</v>
      </c>
      <c r="AI147" s="227">
        <f t="shared" si="68"/>
        <v>2.2673453548691107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45791</v>
      </c>
      <c r="B148" s="1139">
        <f>IF(t&gt;Tmaj,'2024'!Wh/'2024'!Env_an*'2025'!Env_an,0.001*[7]mois!$B$221)</f>
        <v>48.096557674611233</v>
      </c>
      <c r="C148" s="866"/>
      <c r="D148" s="395">
        <f t="shared" si="50"/>
        <v>50.95169156782395</v>
      </c>
      <c r="E148" s="387">
        <f t="shared" si="72"/>
        <v>52.529776617281669</v>
      </c>
      <c r="F148" s="387">
        <f t="shared" si="51"/>
        <v>52.530655179870216</v>
      </c>
      <c r="G148" s="110">
        <f t="shared" si="73"/>
        <v>0.82206054315601285</v>
      </c>
      <c r="H148" s="414" t="b">
        <f>Wh_hp&gt;='2024'!Maxi_hp</f>
        <v>0</v>
      </c>
      <c r="I148" s="392">
        <f>IF(H148,Wh_hp,'2024'!Maxi_hp)</f>
        <v>63.602775441610461</v>
      </c>
      <c r="J148" s="85">
        <f>IF(H148,An,'2024'!An_max)</f>
        <v>2019</v>
      </c>
      <c r="K148" s="199">
        <f t="shared" si="52"/>
        <v>45791</v>
      </c>
      <c r="L148" s="147">
        <f>IF(t&lt;Tvie,1-EXP((T0-t)*PertePVj)+'2024'!Pspv,1-EXP((T0-t)*PertePVj)+Pspv)</f>
        <v>5.6036096258200385E-2</v>
      </c>
      <c r="M148" s="870"/>
      <c r="N148" s="870"/>
      <c r="O148" s="48">
        <f>IF(t&lt;Tnet,'2024'!Resal+('2024'!Salim-'2024'!Resal)*(1-EXP(('2024'!Tnet-t)/('2024'!Tau_j))),Resal+(Salim-Resal)*(1-EXP((Tnet-t)/(Tau_j))))*Salcycl</f>
        <v>3.0041723972200306E-2</v>
      </c>
      <c r="P148" s="171">
        <f>(INDEX(Models!$BJ148:$BT148,,T148)*(1-R148)+INDEX(Models!$BJ148:$BT148,,T148+1)*R148-ERP_i)*Q148*Ramure*Pc/MaxiM</f>
        <v>2.2425036537241561E-5</v>
      </c>
      <c r="Q148" s="307">
        <f t="shared" si="53"/>
        <v>1</v>
      </c>
      <c r="R148" s="179">
        <f t="shared" si="54"/>
        <v>0.33768037013738361</v>
      </c>
      <c r="S148" s="837">
        <f t="shared" si="55"/>
        <v>-3</v>
      </c>
      <c r="T148" s="178">
        <f t="shared" si="56"/>
        <v>3</v>
      </c>
      <c r="U148" s="253">
        <f t="shared" si="57"/>
        <v>-2.6623196298626164</v>
      </c>
      <c r="V148" s="385">
        <f t="shared" si="58"/>
        <v>58.506984560634478</v>
      </c>
      <c r="W148" s="404">
        <f t="shared" si="59"/>
        <v>48.096557674611233</v>
      </c>
      <c r="X148" s="157">
        <f t="shared" si="60"/>
        <v>45791</v>
      </c>
      <c r="Y148" s="387">
        <f t="shared" si="61"/>
        <v>44.236751255438037</v>
      </c>
      <c r="Z148" s="387">
        <f t="shared" si="62"/>
        <v>46.86275723053285</v>
      </c>
      <c r="AA148" s="388">
        <f t="shared" si="63"/>
        <v>52.383915598003519</v>
      </c>
      <c r="AB148" s="199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0.10539797005325616</v>
      </c>
      <c r="AD148" s="233">
        <f>(INDEX(Models!$BJ148:$BT148,,AH148)*(1-AF148)+INDEX(Models!$BJ148:$BT148,,AH148+1)*AF148-ERP_i)*AE148*Ramure*Pc/MaxiM</f>
        <v>3.7454821406150817E-3</v>
      </c>
      <c r="AE148" s="307">
        <f t="shared" si="65"/>
        <v>1</v>
      </c>
      <c r="AF148" s="179">
        <f t="shared" si="66"/>
        <v>0.27266296306095406</v>
      </c>
      <c r="AG148" s="837">
        <f t="shared" si="74"/>
        <v>2</v>
      </c>
      <c r="AH148" s="178">
        <f t="shared" si="67"/>
        <v>8</v>
      </c>
      <c r="AI148" s="227">
        <f t="shared" si="68"/>
        <v>2.2726629630609541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45792</v>
      </c>
      <c r="B149" s="1139">
        <f>IF(t&gt;Tmaj,'2024'!Wh/'2024'!Env_an*'2025'!Env_an,0.001*[7]mois!$B$222)</f>
        <v>52.025824658885419</v>
      </c>
      <c r="C149" s="866"/>
      <c r="D149" s="395">
        <f t="shared" si="50"/>
        <v>55.115492443910988</v>
      </c>
      <c r="E149" s="387">
        <f t="shared" si="72"/>
        <v>56.841645056869645</v>
      </c>
      <c r="F149" s="387">
        <f t="shared" si="51"/>
        <v>56.842672337650022</v>
      </c>
      <c r="G149" s="110">
        <f t="shared" si="73"/>
        <v>0.88795210229230392</v>
      </c>
      <c r="H149" s="414" t="b">
        <f>Wh_hp&gt;='2024'!Maxi_hp</f>
        <v>0</v>
      </c>
      <c r="I149" s="392">
        <f>IF(H149,Wh_hp,'2024'!Maxi_hp)</f>
        <v>64.554726690936292</v>
      </c>
      <c r="J149" s="85">
        <f>IF(H149,An,'2024'!An_max)</f>
        <v>2019</v>
      </c>
      <c r="K149" s="199">
        <f t="shared" si="52"/>
        <v>45792</v>
      </c>
      <c r="L149" s="147">
        <f>IF(t&lt;Tvie,1-EXP((T0-t)*PertePVj)+'2024'!Pspv,1-EXP((T0-t)*PertePVj)+Pspv)</f>
        <v>5.6058063677282943E-2</v>
      </c>
      <c r="M149" s="870"/>
      <c r="N149" s="870"/>
      <c r="O149" s="48">
        <f>IF(t&lt;Tnet,'2024'!Resal+('2024'!Salim-'2024'!Resal)*(1-EXP(('2024'!Tnet-t)/('2024'!Tau_j))),Resal+(Salim-Resal)*(1-EXP((Tnet-t)/(Tau_j))))*Salcycl</f>
        <v>3.0367745536422353E-2</v>
      </c>
      <c r="P149" s="171">
        <f>(INDEX(Models!$BJ149:$BT149,,T149)*(1-R149)+INDEX(Models!$BJ149:$BT149,,T149+1)*R149-ERP_i)*Q149*Ramure*Pc/MaxiM</f>
        <v>2.1516345492231502E-5</v>
      </c>
      <c r="Q149" s="307">
        <f t="shared" si="53"/>
        <v>1</v>
      </c>
      <c r="R149" s="179">
        <f t="shared" si="54"/>
        <v>0.34310927853843909</v>
      </c>
      <c r="S149" s="837">
        <f t="shared" si="55"/>
        <v>-3</v>
      </c>
      <c r="T149" s="178">
        <f t="shared" si="56"/>
        <v>3</v>
      </c>
      <c r="U149" s="253">
        <f t="shared" si="57"/>
        <v>-2.6568907214615609</v>
      </c>
      <c r="V149" s="385">
        <f t="shared" si="58"/>
        <v>58.590598912639209</v>
      </c>
      <c r="W149" s="404">
        <f t="shared" si="59"/>
        <v>52.025824658885419</v>
      </c>
      <c r="X149" s="157">
        <f t="shared" si="60"/>
        <v>45792</v>
      </c>
      <c r="Y149" s="387">
        <f t="shared" si="61"/>
        <v>47.845666105500541</v>
      </c>
      <c r="Z149" s="387">
        <f t="shared" si="62"/>
        <v>50.687086000110661</v>
      </c>
      <c r="AA149" s="388">
        <f t="shared" si="63"/>
        <v>56.676555683253447</v>
      </c>
      <c r="AB149" s="199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0.10567808172070221</v>
      </c>
      <c r="AD149" s="233">
        <f>(INDEX(Models!$BJ149:$BT149,,AH149)*(1-AF149)+INDEX(Models!$BJ149:$BT149,,AH149+1)*AF149-ERP_i)*AE149*Ramure*Pc/MaxiM</f>
        <v>3.479305167861239E-3</v>
      </c>
      <c r="AE149" s="307">
        <f t="shared" si="65"/>
        <v>1</v>
      </c>
      <c r="AF149" s="179">
        <f t="shared" si="66"/>
        <v>0.27809187146200953</v>
      </c>
      <c r="AG149" s="837">
        <f t="shared" si="74"/>
        <v>2</v>
      </c>
      <c r="AH149" s="178">
        <f t="shared" si="67"/>
        <v>8</v>
      </c>
      <c r="AI149" s="227">
        <f t="shared" si="68"/>
        <v>2.2780918714620095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45793</v>
      </c>
      <c r="B150" s="1139">
        <f>IF(t&gt;Tmaj,'2024'!Wh/'2024'!Env_an*'2025'!Env_an,0.001*[7]mois!$B$223)</f>
        <v>50.708304374621036</v>
      </c>
      <c r="C150" s="866"/>
      <c r="D150" s="395">
        <f t="shared" si="50"/>
        <v>53.720978491487948</v>
      </c>
      <c r="E150" s="387">
        <f t="shared" si="72"/>
        <v>55.422127867607742</v>
      </c>
      <c r="F150" s="387">
        <f t="shared" si="51"/>
        <v>55.423055868709312</v>
      </c>
      <c r="G150" s="110">
        <f t="shared" si="73"/>
        <v>0.86433533291660358</v>
      </c>
      <c r="H150" s="414" t="b">
        <f>Wh_hp&gt;='2024'!Maxi_hp</f>
        <v>1</v>
      </c>
      <c r="I150" s="392">
        <f>IF(H150,Wh_hp,'2024'!Maxi_hp)</f>
        <v>55.423055868709312</v>
      </c>
      <c r="J150" s="85">
        <f>IF(H150,An,'2024'!An_max)</f>
        <v>2025</v>
      </c>
      <c r="K150" s="199">
        <f t="shared" si="52"/>
        <v>45793</v>
      </c>
      <c r="L150" s="147">
        <f>IF(t&lt;Tvie,1-EXP((T0-t)*PertePVj)+'2024'!Pspv,1-EXP((T0-t)*PertePVj)+Pspv)</f>
        <v>5.6080030585151541E-2</v>
      </c>
      <c r="M150" s="870"/>
      <c r="N150" s="870"/>
      <c r="O150" s="48">
        <f>IF(t&lt;Tnet,'2024'!Resal+('2024'!Salim-'2024'!Resal)*(1-EXP(('2024'!Tnet-t)/('2024'!Tau_j))),Resal+(Salim-Resal)*(1-EXP((Tnet-t)/(Tau_j))))*Salcycl</f>
        <v>3.0694407478967557E-2</v>
      </c>
      <c r="P150" s="171">
        <f>(INDEX(Models!$BJ150:$BT150,,T150)*(1-R150)+INDEX(Models!$BJ150:$BT150,,T150+1)*R150-ERP_i)*Q150*Ramure*Pc/MaxiM</f>
        <v>2.0769026683560242E-5</v>
      </c>
      <c r="Q150" s="307">
        <f t="shared" si="53"/>
        <v>1</v>
      </c>
      <c r="R150" s="179">
        <f t="shared" si="54"/>
        <v>0.3486482909840154</v>
      </c>
      <c r="S150" s="837">
        <f t="shared" si="55"/>
        <v>-3</v>
      </c>
      <c r="T150" s="178">
        <f t="shared" si="56"/>
        <v>3</v>
      </c>
      <c r="U150" s="253">
        <f t="shared" si="57"/>
        <v>-2.6513517090159846</v>
      </c>
      <c r="V150" s="385">
        <f t="shared" si="58"/>
        <v>58.667161153168529</v>
      </c>
      <c r="W150" s="404">
        <f t="shared" si="59"/>
        <v>50.708304374621036</v>
      </c>
      <c r="X150" s="157">
        <f t="shared" si="60"/>
        <v>45793</v>
      </c>
      <c r="Y150" s="387">
        <f t="shared" si="61"/>
        <v>46.64972334327674</v>
      </c>
      <c r="Z150" s="387">
        <f t="shared" si="62"/>
        <v>49.421269657210104</v>
      </c>
      <c r="AA150" s="388">
        <f t="shared" si="63"/>
        <v>55.278577751662581</v>
      </c>
      <c r="AB150" s="199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0.10595981902367797</v>
      </c>
      <c r="AD150" s="233">
        <f>(INDEX(Models!$BJ150:$BT150,,AH150)*(1-AF150)+INDEX(Models!$BJ150:$BT150,,AH150+1)*AF150-ERP_i)*AE150*Ramure*Pc/MaxiM</f>
        <v>3.2334766230963244E-3</v>
      </c>
      <c r="AE150" s="307">
        <f t="shared" si="65"/>
        <v>1</v>
      </c>
      <c r="AF150" s="179">
        <f t="shared" si="66"/>
        <v>0.28363088390758584</v>
      </c>
      <c r="AG150" s="837">
        <f t="shared" si="74"/>
        <v>2</v>
      </c>
      <c r="AH150" s="178">
        <f t="shared" si="67"/>
        <v>8</v>
      </c>
      <c r="AI150" s="227">
        <f t="shared" si="68"/>
        <v>2.2836308839075858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45794</v>
      </c>
      <c r="B151" s="1139">
        <f>IF(t&gt;Tmaj,'2024'!Wh/'2024'!Env_an*'2025'!Env_an,0.001*[7]mois!$B$224)</f>
        <v>54.668021299160166</v>
      </c>
      <c r="C151" s="866"/>
      <c r="D151" s="395">
        <f t="shared" si="50"/>
        <v>57.917297339707503</v>
      </c>
      <c r="E151" s="387">
        <f t="shared" si="72"/>
        <v>59.771510076776735</v>
      </c>
      <c r="F151" s="387">
        <f t="shared" si="51"/>
        <v>59.772588258462029</v>
      </c>
      <c r="G151" s="110">
        <f t="shared" si="73"/>
        <v>0.93072361424899486</v>
      </c>
      <c r="H151" s="414" t="b">
        <f>Wh_hp&gt;='2024'!Maxi_hp</f>
        <v>1</v>
      </c>
      <c r="I151" s="392">
        <f>IF(H151,Wh_hp,'2024'!Maxi_hp)</f>
        <v>59.772588258462029</v>
      </c>
      <c r="J151" s="85">
        <f>IF(H151,An,'2024'!An_max)</f>
        <v>2025</v>
      </c>
      <c r="K151" s="199">
        <f t="shared" si="52"/>
        <v>45794</v>
      </c>
      <c r="L151" s="147">
        <f>IF(t&lt;Tvie,1-EXP((T0-t)*PertePVj)+'2024'!Pspv,1-EXP((T0-t)*PertePVj)+Pspv)</f>
        <v>5.610199698181817E-2</v>
      </c>
      <c r="M151" s="870"/>
      <c r="N151" s="870"/>
      <c r="O151" s="48">
        <f>IF(t&lt;Tnet,'2024'!Resal+('2024'!Salim-'2024'!Resal)*(1-EXP(('2024'!Tnet-t)/('2024'!Tau_j))),Resal+(Salim-Resal)*(1-EXP((Tnet-t)/(Tau_j))))*Salcycl</f>
        <v>3.1021681310836751E-2</v>
      </c>
      <c r="P151" s="171">
        <f>(INDEX(Models!$BJ151:$BT151,,T151)*(1-R151)+INDEX(Models!$BJ151:$BT151,,T151+1)*R151-ERP_i)*Q151*Ramure*Pc/MaxiM</f>
        <v>2.0019239139480451E-5</v>
      </c>
      <c r="Q151" s="307">
        <f t="shared" si="53"/>
        <v>1</v>
      </c>
      <c r="R151" s="179">
        <f t="shared" si="54"/>
        <v>0.35429597268797908</v>
      </c>
      <c r="S151" s="837">
        <f t="shared" si="55"/>
        <v>-3</v>
      </c>
      <c r="T151" s="178">
        <f t="shared" si="56"/>
        <v>3</v>
      </c>
      <c r="U151" s="253">
        <f t="shared" si="57"/>
        <v>-2.6457040273120209</v>
      </c>
      <c r="V151" s="385">
        <f t="shared" si="58"/>
        <v>58.737000064529177</v>
      </c>
      <c r="W151" s="404">
        <f t="shared" si="59"/>
        <v>54.668021299160166</v>
      </c>
      <c r="X151" s="157">
        <f t="shared" si="60"/>
        <v>45794</v>
      </c>
      <c r="Y151" s="387">
        <f t="shared" si="61"/>
        <v>50.288519045782799</v>
      </c>
      <c r="Z151" s="387">
        <f t="shared" si="62"/>
        <v>53.277492785217937</v>
      </c>
      <c r="AA151" s="388">
        <f t="shared" si="63"/>
        <v>59.610717283647858</v>
      </c>
      <c r="AB151" s="199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0.10624305136766442</v>
      </c>
      <c r="AD151" s="233">
        <f>(INDEX(Models!$BJ151:$BT151,,AH151)*(1-AF151)+INDEX(Models!$BJ151:$BT151,,AH151+1)*AF151-ERP_i)*AE151*Ramure*Pc/MaxiM</f>
        <v>3.0055544429411405E-3</v>
      </c>
      <c r="AE151" s="307">
        <f t="shared" si="65"/>
        <v>1</v>
      </c>
      <c r="AF151" s="179">
        <f t="shared" si="66"/>
        <v>0.28927856561154952</v>
      </c>
      <c r="AG151" s="837">
        <f t="shared" si="74"/>
        <v>2</v>
      </c>
      <c r="AH151" s="178">
        <f t="shared" si="67"/>
        <v>8</v>
      </c>
      <c r="AI151" s="227">
        <f t="shared" si="68"/>
        <v>2.2892785656115495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45795</v>
      </c>
      <c r="B152" s="1139">
        <f>IF(t&gt;Tmaj,'2024'!Wh/'2024'!Env_an*'2025'!Env_an,0.001*[7]mois!$B$225)</f>
        <v>53.193435693653079</v>
      </c>
      <c r="C152" s="866"/>
      <c r="D152" s="395">
        <f t="shared" si="50"/>
        <v>56.356379016934703</v>
      </c>
      <c r="E152" s="387">
        <f t="shared" si="72"/>
        <v>58.180304528104749</v>
      </c>
      <c r="F152" s="387">
        <f t="shared" si="51"/>
        <v>58.181273125687255</v>
      </c>
      <c r="G152" s="110">
        <f t="shared" si="73"/>
        <v>0.90464121085318372</v>
      </c>
      <c r="H152" s="414" t="b">
        <f>Wh_hp&gt;='2024'!Maxi_hp</f>
        <v>0</v>
      </c>
      <c r="I152" s="392">
        <f>IF(H152,Wh_hp,'2024'!Maxi_hp)</f>
        <v>64.833198802654493</v>
      </c>
      <c r="J152" s="85">
        <f>IF(H152,An,'2024'!An_max)</f>
        <v>2020</v>
      </c>
      <c r="K152" s="199">
        <f t="shared" si="52"/>
        <v>45795</v>
      </c>
      <c r="L152" s="147">
        <f>IF(t&lt;Tvie,1-EXP((T0-t)*PertePVj)+'2024'!Pspv,1-EXP((T0-t)*PertePVj)+Pspv)</f>
        <v>5.6123962867294597E-2</v>
      </c>
      <c r="M152" s="870"/>
      <c r="N152" s="870"/>
      <c r="O152" s="48">
        <f>IF(t&lt;Tnet,'2024'!Resal+('2024'!Salim-'2024'!Resal)*(1-EXP(('2024'!Tnet-t)/('2024'!Tau_j))),Resal+(Salim-Resal)*(1-EXP((Tnet-t)/(Tau_j))))*Salcycl</f>
        <v>3.1349535310338156E-2</v>
      </c>
      <c r="P152" s="171">
        <f>(INDEX(Models!$BJ152:$BT152,,T152)*(1-R152)+INDEX(Models!$BJ152:$BT152,,T152+1)*R152-ERP_i)*Q152*Ramure*Pc/MaxiM</f>
        <v>1.927341843357621E-5</v>
      </c>
      <c r="Q152" s="307">
        <f t="shared" si="53"/>
        <v>1</v>
      </c>
      <c r="R152" s="179">
        <f t="shared" si="54"/>
        <v>0.36005064500151862</v>
      </c>
      <c r="S152" s="837">
        <f t="shared" si="55"/>
        <v>-3</v>
      </c>
      <c r="T152" s="178">
        <f t="shared" si="56"/>
        <v>3</v>
      </c>
      <c r="U152" s="253">
        <f t="shared" si="57"/>
        <v>-2.6399493549984814</v>
      </c>
      <c r="V152" s="385">
        <f t="shared" si="58"/>
        <v>58.800434243146952</v>
      </c>
      <c r="W152" s="404">
        <f t="shared" si="59"/>
        <v>53.193435693653079</v>
      </c>
      <c r="X152" s="157">
        <f t="shared" si="60"/>
        <v>45795</v>
      </c>
      <c r="Y152" s="387">
        <f t="shared" si="61"/>
        <v>48.947370789529025</v>
      </c>
      <c r="Z152" s="387">
        <f t="shared" si="62"/>
        <v>51.857838173560083</v>
      </c>
      <c r="AA152" s="388">
        <f t="shared" si="63"/>
        <v>58.040786246327215</v>
      </c>
      <c r="AB152" s="199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0.1065276415541043</v>
      </c>
      <c r="AD152" s="233">
        <f>(INDEX(Models!$BJ152:$BT152,,AH152)*(1-AF152)+INDEX(Models!$BJ152:$BT152,,AH152+1)*AF152-ERP_i)*AE152*Ramure*Pc/MaxiM</f>
        <v>2.7954461783240171E-3</v>
      </c>
      <c r="AE152" s="307">
        <f t="shared" si="65"/>
        <v>1</v>
      </c>
      <c r="AF152" s="179">
        <f t="shared" si="66"/>
        <v>0.29503323792508906</v>
      </c>
      <c r="AG152" s="837">
        <f t="shared" si="74"/>
        <v>2</v>
      </c>
      <c r="AH152" s="178">
        <f t="shared" si="67"/>
        <v>8</v>
      </c>
      <c r="AI152" s="227">
        <f t="shared" si="68"/>
        <v>2.2950332379250891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45796</v>
      </c>
      <c r="B153" s="1139">
        <f>IF(t&gt;Tmaj,'2024'!Wh/'2024'!Env_an*'2025'!Env_an,0.001*[7]mois!$B$226)</f>
        <v>55.127360271221676</v>
      </c>
      <c r="C153" s="866"/>
      <c r="D153" s="395">
        <f t="shared" si="50"/>
        <v>58.406656199002235</v>
      </c>
      <c r="E153" s="387">
        <f t="shared" si="72"/>
        <v>60.317386417349169</v>
      </c>
      <c r="F153" s="387">
        <f t="shared" si="51"/>
        <v>60.318403377308172</v>
      </c>
      <c r="G153" s="110">
        <f t="shared" si="73"/>
        <v>0.93661816364034434</v>
      </c>
      <c r="H153" s="414" t="b">
        <f>Wh_hp&gt;='2024'!Maxi_hp</f>
        <v>0</v>
      </c>
      <c r="I153" s="392">
        <f>IF(H153,Wh_hp,'2024'!Maxi_hp)</f>
        <v>63.754093188120109</v>
      </c>
      <c r="J153" s="85">
        <f>IF(H153,An,'2024'!An_max)</f>
        <v>2020</v>
      </c>
      <c r="K153" s="199">
        <f t="shared" si="52"/>
        <v>45796</v>
      </c>
      <c r="L153" s="147">
        <f>IF(t&lt;Tvie,1-EXP((T0-t)*PertePVj)+'2024'!Pspv,1-EXP((T0-t)*PertePVj)+Pspv)</f>
        <v>5.6145928241592813E-2</v>
      </c>
      <c r="M153" s="870"/>
      <c r="N153" s="870"/>
      <c r="O153" s="48">
        <f>IF(t&lt;Tnet,'2024'!Resal+('2024'!Salim-'2024'!Resal)*(1-EXP(('2024'!Tnet-t)/('2024'!Tau_j))),Resal+(Salim-Resal)*(1-EXP((Tnet-t)/(Tau_j))))*Salcycl</f>
        <v>3.1677934536589104E-2</v>
      </c>
      <c r="P153" s="171">
        <f>(INDEX(Models!$BJ153:$BT153,,T153)*(1-R153)+INDEX(Models!$BJ153:$BT153,,T153+1)*R153-ERP_i)*Q153*Ramure*Pc/MaxiM</f>
        <v>1.8538387611007589E-5</v>
      </c>
      <c r="Q153" s="307">
        <f t="shared" si="53"/>
        <v>1</v>
      </c>
      <c r="R153" s="179">
        <f t="shared" si="54"/>
        <v>0.36591038107573404</v>
      </c>
      <c r="S153" s="837">
        <f t="shared" si="55"/>
        <v>-3</v>
      </c>
      <c r="T153" s="178">
        <f t="shared" si="56"/>
        <v>3</v>
      </c>
      <c r="U153" s="253">
        <f t="shared" si="57"/>
        <v>-2.634089618924266</v>
      </c>
      <c r="V153" s="385">
        <f t="shared" si="58"/>
        <v>58.857782047184216</v>
      </c>
      <c r="W153" s="404">
        <f t="shared" si="59"/>
        <v>55.127360271221676</v>
      </c>
      <c r="X153" s="157">
        <f t="shared" si="60"/>
        <v>45796</v>
      </c>
      <c r="Y153" s="387">
        <f t="shared" si="61"/>
        <v>50.730308645148561</v>
      </c>
      <c r="Z153" s="387">
        <f t="shared" si="62"/>
        <v>53.748042375488851</v>
      </c>
      <c r="AA153" s="388">
        <f t="shared" si="63"/>
        <v>60.17560624558768</v>
      </c>
      <c r="AB153" s="199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0.10681344603105057</v>
      </c>
      <c r="AD153" s="233">
        <f>(INDEX(Models!$BJ153:$BT153,,AH153)*(1-AF153)+INDEX(Models!$BJ153:$BT153,,AH153+1)*AF153-ERP_i)*AE153*Ramure*Pc/MaxiM</f>
        <v>2.6030804400338191E-3</v>
      </c>
      <c r="AE153" s="307">
        <f t="shared" si="65"/>
        <v>1</v>
      </c>
      <c r="AF153" s="179">
        <f t="shared" si="66"/>
        <v>0.30089297399930448</v>
      </c>
      <c r="AG153" s="837">
        <f t="shared" si="74"/>
        <v>2</v>
      </c>
      <c r="AH153" s="178">
        <f t="shared" si="67"/>
        <v>8</v>
      </c>
      <c r="AI153" s="227">
        <f t="shared" si="68"/>
        <v>2.3008929739993045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45797</v>
      </c>
      <c r="B154" s="1139">
        <f>IF(t&gt;Tmaj,'2024'!Wh/'2024'!Env_an*'2025'!Env_an,0.001*[7]mois!$B$227)</f>
        <v>48.008994443513494</v>
      </c>
      <c r="C154" s="866"/>
      <c r="D154" s="395">
        <f t="shared" si="50"/>
        <v>50.866032308901339</v>
      </c>
      <c r="E154" s="387">
        <f t="shared" si="72"/>
        <v>52.54792539449592</v>
      </c>
      <c r="F154" s="387">
        <f t="shared" si="51"/>
        <v>52.548614333398852</v>
      </c>
      <c r="G154" s="110">
        <f t="shared" si="73"/>
        <v>0.81495991443502303</v>
      </c>
      <c r="H154" s="414" t="b">
        <f>Wh_hp&gt;='2024'!Maxi_hp</f>
        <v>0</v>
      </c>
      <c r="I154" s="392">
        <f>IF(H154,Wh_hp,'2024'!Maxi_hp)</f>
        <v>63.57811157089013</v>
      </c>
      <c r="J154" s="85">
        <f>IF(H154,An,'2024'!An_max)</f>
        <v>2021</v>
      </c>
      <c r="K154" s="199">
        <f t="shared" si="52"/>
        <v>45797</v>
      </c>
      <c r="L154" s="147">
        <f>IF(t&lt;Tvie,1-EXP((T0-t)*PertePVj)+'2024'!Pspv,1-EXP((T0-t)*PertePVj)+Pspv)</f>
        <v>5.6167893104724698E-2</v>
      </c>
      <c r="M154" s="870"/>
      <c r="N154" s="870"/>
      <c r="O154" s="48">
        <f>IF(t&lt;Tnet,'2024'!Resal+('2024'!Salim-'2024'!Resal)*(1-EXP(('2024'!Tnet-t)/('2024'!Tau_j))),Resal+(Salim-Resal)*(1-EXP((Tnet-t)/(Tau_j))))*Salcycl</f>
        <v>3.2006840859425123E-2</v>
      </c>
      <c r="P154" s="171">
        <f>(INDEX(Models!$BJ154:$BT154,,T154)*(1-R154)+INDEX(Models!$BJ154:$BT154,,T154+1)*R154-ERP_i)*Q154*Ramure*Pc/MaxiM</f>
        <v>1.7821358999952407E-5</v>
      </c>
      <c r="Q154" s="307">
        <f t="shared" si="53"/>
        <v>1</v>
      </c>
      <c r="R154" s="179">
        <f t="shared" si="54"/>
        <v>0.37187300250645894</v>
      </c>
      <c r="S154" s="837">
        <f t="shared" si="55"/>
        <v>-3</v>
      </c>
      <c r="T154" s="178">
        <f t="shared" si="56"/>
        <v>3</v>
      </c>
      <c r="U154" s="253">
        <f t="shared" si="57"/>
        <v>-2.6281269974935411</v>
      </c>
      <c r="V154" s="385">
        <f t="shared" si="58"/>
        <v>58.909361585589728</v>
      </c>
      <c r="W154" s="404">
        <f t="shared" si="59"/>
        <v>48.008994443513494</v>
      </c>
      <c r="X154" s="157">
        <f t="shared" si="60"/>
        <v>45797</v>
      </c>
      <c r="Y154" s="387">
        <f t="shared" si="61"/>
        <v>44.206092670808474</v>
      </c>
      <c r="Z154" s="387">
        <f t="shared" si="62"/>
        <v>46.836818061025596</v>
      </c>
      <c r="AA154" s="388">
        <f t="shared" si="63"/>
        <v>52.454736917843114</v>
      </c>
      <c r="AB154" s="199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0.10710031518443318</v>
      </c>
      <c r="AD154" s="233">
        <f>(INDEX(Models!$BJ154:$BT154,,AH154)*(1-AF154)+INDEX(Models!$BJ154:$BT154,,AH154+1)*AF154-ERP_i)*AE154*Ramure*Pc/MaxiM</f>
        <v>2.4284056503068754E-3</v>
      </c>
      <c r="AE154" s="307">
        <f t="shared" si="65"/>
        <v>1</v>
      </c>
      <c r="AF154" s="179">
        <f t="shared" si="66"/>
        <v>0.30685559543002938</v>
      </c>
      <c r="AG154" s="837">
        <f t="shared" si="74"/>
        <v>2</v>
      </c>
      <c r="AH154" s="178">
        <f t="shared" si="67"/>
        <v>8</v>
      </c>
      <c r="AI154" s="227">
        <f t="shared" si="68"/>
        <v>2.3068555954300294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45798</v>
      </c>
      <c r="B155" s="1139">
        <f>IF(t&gt;Tmaj,'2024'!Wh/'2024'!Env_an*'2025'!Env_an,0.001*[7]mois!$B$228)</f>
        <v>48.704635681560525</v>
      </c>
      <c r="C155" s="866"/>
      <c r="D155" s="395">
        <f t="shared" si="50"/>
        <v>51.604272391389529</v>
      </c>
      <c r="E155" s="387">
        <f t="shared" si="72"/>
        <v>53.328721282121109</v>
      </c>
      <c r="F155" s="387">
        <f t="shared" si="51"/>
        <v>53.329407897897688</v>
      </c>
      <c r="G155" s="110">
        <f t="shared" si="73"/>
        <v>0.826122009222236</v>
      </c>
      <c r="H155" s="414" t="b">
        <f>Wh_hp&gt;='2024'!Maxi_hp</f>
        <v>0</v>
      </c>
      <c r="I155" s="392">
        <f>IF(H155,Wh_hp,'2024'!Maxi_hp)</f>
        <v>62.178708912121074</v>
      </c>
      <c r="J155" s="85">
        <f>IF(H155,An,'2024'!An_max)</f>
        <v>2020</v>
      </c>
      <c r="K155" s="199">
        <f t="shared" si="52"/>
        <v>45798</v>
      </c>
      <c r="L155" s="147">
        <f>IF(t&lt;Tvie,1-EXP((T0-t)*PertePVj)+'2024'!Pspv,1-EXP((T0-t)*PertePVj)+Pspv)</f>
        <v>5.618985745670213E-2</v>
      </c>
      <c r="M155" s="870"/>
      <c r="N155" s="870"/>
      <c r="O155" s="48">
        <f>IF(t&lt;Tnet,'2024'!Resal+('2024'!Salim-'2024'!Resal)*(1-EXP(('2024'!Tnet-t)/('2024'!Tau_j))),Resal+(Salim-Resal)*(1-EXP((Tnet-t)/(Tau_j))))*Salcycl</f>
        <v>3.2336213006286973E-2</v>
      </c>
      <c r="P155" s="171">
        <f>(INDEX(Models!$BJ155:$BT155,,T155)*(1-R155)+INDEX(Models!$BJ155:$BT155,,T155+1)*R155-ERP_i)*Q155*Ramure*Pc/MaxiM</f>
        <v>1.7129933802606696E-5</v>
      </c>
      <c r="Q155" s="307">
        <f t="shared" si="53"/>
        <v>1</v>
      </c>
      <c r="R155" s="179">
        <f t="shared" si="54"/>
        <v>0.37793607703577869</v>
      </c>
      <c r="S155" s="837">
        <f t="shared" si="55"/>
        <v>-3</v>
      </c>
      <c r="T155" s="178">
        <f t="shared" si="56"/>
        <v>3</v>
      </c>
      <c r="U155" s="253">
        <f t="shared" si="57"/>
        <v>-2.6220639229642213</v>
      </c>
      <c r="V155" s="385">
        <f t="shared" si="58"/>
        <v>58.955490714289702</v>
      </c>
      <c r="W155" s="404">
        <f t="shared" si="59"/>
        <v>48.704635681560525</v>
      </c>
      <c r="X155" s="157">
        <f t="shared" si="60"/>
        <v>45798</v>
      </c>
      <c r="Y155" s="387">
        <f t="shared" si="61"/>
        <v>44.850988485523196</v>
      </c>
      <c r="Z155" s="387">
        <f t="shared" si="62"/>
        <v>47.521197817034086</v>
      </c>
      <c r="AA155" s="388">
        <f t="shared" si="63"/>
        <v>53.238364265624341</v>
      </c>
      <c r="AB155" s="199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0.10738809366992123</v>
      </c>
      <c r="AD155" s="233">
        <f>(INDEX(Models!$BJ155:$BT155,,AH155)*(1-AF155)+INDEX(Models!$BJ155:$BT155,,AH155+1)*AF155-ERP_i)*AE155*Ramure*Pc/MaxiM</f>
        <v>2.2713888133461114E-3</v>
      </c>
      <c r="AE155" s="307">
        <f t="shared" si="65"/>
        <v>1</v>
      </c>
      <c r="AF155" s="179">
        <f t="shared" si="66"/>
        <v>0.31291866995934914</v>
      </c>
      <c r="AG155" s="837">
        <f t="shared" si="74"/>
        <v>2</v>
      </c>
      <c r="AH155" s="178">
        <f t="shared" si="67"/>
        <v>8</v>
      </c>
      <c r="AI155" s="227">
        <f t="shared" si="68"/>
        <v>2.3129186699593491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45799</v>
      </c>
      <c r="B156" s="1139">
        <f>IF(t&gt;Tmaj,'2024'!Wh/'2024'!Env_an*'2025'!Env_an,0.001*[7]mois!$B$229)</f>
        <v>34.607063787568798</v>
      </c>
      <c r="C156" s="866"/>
      <c r="D156" s="395">
        <f t="shared" si="50"/>
        <v>36.668253076815617</v>
      </c>
      <c r="E156" s="387">
        <f t="shared" si="72"/>
        <v>37.906507295313254</v>
      </c>
      <c r="F156" s="387">
        <f t="shared" si="51"/>
        <v>37.906763631226262</v>
      </c>
      <c r="G156" s="110">
        <f t="shared" si="73"/>
        <v>0.58658963432937972</v>
      </c>
      <c r="H156" s="414" t="b">
        <f>Wh_hp&gt;='2024'!Maxi_hp</f>
        <v>0</v>
      </c>
      <c r="I156" s="392">
        <f>IF(H156,Wh_hp,'2024'!Maxi_hp)</f>
        <v>63.08837322256813</v>
      </c>
      <c r="J156" s="85">
        <f>IF(H156,An,'2024'!An_max)</f>
        <v>2019</v>
      </c>
      <c r="K156" s="199">
        <f t="shared" si="52"/>
        <v>45799</v>
      </c>
      <c r="L156" s="147">
        <f>IF(t&lt;Tvie,1-EXP((T0-t)*PertePVj)+'2024'!Pspv,1-EXP((T0-t)*PertePVj)+Pspv)</f>
        <v>5.621182129753699E-2</v>
      </c>
      <c r="M156" s="870"/>
      <c r="N156" s="870"/>
      <c r="O156" s="48">
        <f>IF(t&lt;Tnet,'2024'!Resal+('2024'!Salim-'2024'!Resal)*(1-EXP(('2024'!Tnet-t)/('2024'!Tau_j))),Resal+(Salim-Resal)*(1-EXP((Tnet-t)/(Tau_j))))*Salcycl</f>
        <v>3.2666006626538575E-2</v>
      </c>
      <c r="P156" s="171">
        <f>(INDEX(Models!$BJ156:$BT156,,T156)*(1-R156)+INDEX(Models!$BJ156:$BT156,,T156+1)*R156-ERP_i)*Q156*Ramure*Pc/MaxiM</f>
        <v>1.6516637582288617E-5</v>
      </c>
      <c r="Q156" s="307">
        <f t="shared" si="53"/>
        <v>1</v>
      </c>
      <c r="R156" s="179">
        <f t="shared" si="54"/>
        <v>0.38409691737955676</v>
      </c>
      <c r="S156" s="837">
        <f t="shared" si="55"/>
        <v>-3</v>
      </c>
      <c r="T156" s="178">
        <f t="shared" si="56"/>
        <v>3</v>
      </c>
      <c r="U156" s="253">
        <f t="shared" si="57"/>
        <v>-2.6159030826204432</v>
      </c>
      <c r="V156" s="385">
        <f t="shared" si="58"/>
        <v>58.996484407637467</v>
      </c>
      <c r="W156" s="404">
        <f t="shared" si="59"/>
        <v>34.607063787568798</v>
      </c>
      <c r="X156" s="157">
        <f t="shared" si="60"/>
        <v>45799</v>
      </c>
      <c r="Y156" s="387">
        <f t="shared" si="61"/>
        <v>31.895843986903976</v>
      </c>
      <c r="Z156" s="387">
        <f t="shared" si="62"/>
        <v>33.795553606906751</v>
      </c>
      <c r="AA156" s="388">
        <f t="shared" si="63"/>
        <v>37.873661493255852</v>
      </c>
      <c r="AB156" s="199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0.10767662078500881</v>
      </c>
      <c r="AD156" s="233">
        <f>(INDEX(Models!$BJ156:$BT156,,AH156)*(1-AF156)+INDEX(Models!$BJ156:$BT156,,AH156+1)*AF156-ERP_i)*AE156*Ramure*Pc/MaxiM</f>
        <v>2.1328888708289744E-3</v>
      </c>
      <c r="AE156" s="307">
        <f t="shared" si="65"/>
        <v>1</v>
      </c>
      <c r="AF156" s="179">
        <f t="shared" si="66"/>
        <v>0.3190795103031272</v>
      </c>
      <c r="AG156" s="837">
        <f t="shared" si="74"/>
        <v>2</v>
      </c>
      <c r="AH156" s="178">
        <f t="shared" si="67"/>
        <v>8</v>
      </c>
      <c r="AI156" s="227">
        <f t="shared" si="68"/>
        <v>2.3190795103031272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45800</v>
      </c>
      <c r="B157" s="1139">
        <f>IF(t&gt;Tmaj,'2024'!Wh/'2024'!Env_an*'2025'!Env_an,0.001*[7]mois!$B$230)</f>
        <v>17.858185396592248</v>
      </c>
      <c r="C157" s="866"/>
      <c r="D157" s="395">
        <f t="shared" si="50"/>
        <v>18.922255433289493</v>
      </c>
      <c r="E157" s="387">
        <f t="shared" si="72"/>
        <v>19.567921999720156</v>
      </c>
      <c r="F157" s="387">
        <f t="shared" si="51"/>
        <v>19.567923117767684</v>
      </c>
      <c r="G157" s="110">
        <f t="shared" si="73"/>
        <v>0.30250882934435358</v>
      </c>
      <c r="H157" s="414" t="b">
        <f>Wh_hp&gt;='2024'!Maxi_hp</f>
        <v>0</v>
      </c>
      <c r="I157" s="392">
        <f>IF(H157,Wh_hp,'2024'!Maxi_hp)</f>
        <v>57.176818430303342</v>
      </c>
      <c r="J157" s="85">
        <f>IF(H157,An,'2024'!An_max)</f>
        <v>2020</v>
      </c>
      <c r="K157" s="199">
        <f t="shared" si="52"/>
        <v>45800</v>
      </c>
      <c r="L157" s="147">
        <f>IF(t&lt;Tvie,1-EXP((T0-t)*PertePVj)+'2024'!Pspv,1-EXP((T0-t)*PertePVj)+Pspv)</f>
        <v>5.6233784627241157E-2</v>
      </c>
      <c r="M157" s="870"/>
      <c r="N157" s="870"/>
      <c r="O157" s="48">
        <f>IF(t&lt;Tnet,'2024'!Resal+('2024'!Salim-'2024'!Resal)*(1-EXP(('2024'!Tnet-t)/('2024'!Tau_j))),Resal+(Salim-Resal)*(1-EXP((Tnet-t)/(Tau_j))))*Salcycl</f>
        <v>3.2996174373543352E-2</v>
      </c>
      <c r="P157" s="171">
        <f>(INDEX(Models!$BJ157:$BT157,,T157)*(1-R157)+INDEX(Models!$BJ157:$BT157,,T157+1)*R157-ERP_i)*Q157*Ramure*Pc/MaxiM</f>
        <v>1.5911568538863063E-5</v>
      </c>
      <c r="Q157" s="307">
        <f t="shared" si="53"/>
        <v>1</v>
      </c>
      <c r="R157" s="179">
        <f t="shared" si="54"/>
        <v>0.39035258124403782</v>
      </c>
      <c r="S157" s="837">
        <f t="shared" si="55"/>
        <v>-3</v>
      </c>
      <c r="T157" s="178">
        <f t="shared" si="56"/>
        <v>3</v>
      </c>
      <c r="U157" s="253">
        <f t="shared" si="57"/>
        <v>-2.6096474187559622</v>
      </c>
      <c r="V157" s="385">
        <f t="shared" si="58"/>
        <v>59.032664613123458</v>
      </c>
      <c r="W157" s="404">
        <f t="shared" si="59"/>
        <v>17.858185396592248</v>
      </c>
      <c r="X157" s="157">
        <f t="shared" si="60"/>
        <v>45800</v>
      </c>
      <c r="Y157" s="387">
        <f t="shared" si="61"/>
        <v>16.473564325600112</v>
      </c>
      <c r="Z157" s="387">
        <f t="shared" si="62"/>
        <v>17.455132486485073</v>
      </c>
      <c r="AA157" s="388">
        <f t="shared" si="63"/>
        <v>19.567782416830671</v>
      </c>
      <c r="AB157" s="199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0.10796573088059587</v>
      </c>
      <c r="AD157" s="233">
        <f>(INDEX(Models!$BJ157:$BT157,,AH157)*(1-AF157)+INDEX(Models!$BJ157:$BT157,,AH157+1)*AF157-ERP_i)*AE157*Ramure*Pc/MaxiM</f>
        <v>2.0023948437776452E-3</v>
      </c>
      <c r="AE157" s="307">
        <f t="shared" si="65"/>
        <v>1</v>
      </c>
      <c r="AF157" s="179">
        <f t="shared" si="66"/>
        <v>0.32533517416760827</v>
      </c>
      <c r="AG157" s="837">
        <f t="shared" si="74"/>
        <v>2</v>
      </c>
      <c r="AH157" s="178">
        <f t="shared" si="67"/>
        <v>8</v>
      </c>
      <c r="AI157" s="227">
        <f t="shared" si="68"/>
        <v>2.3253351741676083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45801</v>
      </c>
      <c r="B158" s="1139">
        <f>IF(t&gt;Tmaj,'2024'!Wh/'2024'!Env_an*'2025'!Env_an,0.001*[7]mois!$B$231)</f>
        <v>14.878257071347313</v>
      </c>
      <c r="C158" s="866"/>
      <c r="D158" s="395">
        <f t="shared" si="50"/>
        <v>15.765136615222207</v>
      </c>
      <c r="E158" s="387">
        <f t="shared" si="72"/>
        <v>16.30864953113387</v>
      </c>
      <c r="F158" s="387">
        <f t="shared" si="51"/>
        <v>16.30864953113387</v>
      </c>
      <c r="G158" s="110">
        <f t="shared" si="73"/>
        <v>0.25189525473829005</v>
      </c>
      <c r="H158" s="414" t="b">
        <f>Wh_hp&gt;='2024'!Maxi_hp</f>
        <v>0</v>
      </c>
      <c r="I158" s="392">
        <f>IF(H158,Wh_hp,'2024'!Maxi_hp)</f>
        <v>28.621272020184886</v>
      </c>
      <c r="J158" s="85">
        <f>IF(H158,An,'2024'!An_max)</f>
        <v>2021</v>
      </c>
      <c r="K158" s="199">
        <f t="shared" si="52"/>
        <v>45801</v>
      </c>
      <c r="L158" s="147">
        <f>IF(t&lt;Tvie,1-EXP((T0-t)*PertePVj)+'2024'!Pspv,1-EXP((T0-t)*PertePVj)+Pspv)</f>
        <v>5.625574744582662E-2</v>
      </c>
      <c r="M158" s="870"/>
      <c r="N158" s="870"/>
      <c r="O158" s="48">
        <f>IF(t&lt;Tnet,'2024'!Resal+('2024'!Salim-'2024'!Resal)*(1-EXP(('2024'!Tnet-t)/('2024'!Tau_j))),Resal+(Salim-Resal)*(1-EXP((Tnet-t)/(Tau_j))))*Salcycl</f>
        <v>3.3326666004691238E-2</v>
      </c>
      <c r="P158" s="171">
        <f>(INDEX(Models!$BJ158:$BT158,,T158)*(1-R158)+INDEX(Models!$BJ158:$BT158,,T158+1)*R158-ERP_i)*Q158*Ramure*Pc/MaxiM</f>
        <v>1.5319974940106752E-5</v>
      </c>
      <c r="Q158" s="307">
        <f t="shared" si="53"/>
        <v>1</v>
      </c>
      <c r="R158" s="179">
        <f t="shared" si="54"/>
        <v>0.3966998725871993</v>
      </c>
      <c r="S158" s="837">
        <f t="shared" si="55"/>
        <v>-3</v>
      </c>
      <c r="T158" s="178">
        <f t="shared" si="56"/>
        <v>3</v>
      </c>
      <c r="U158" s="253">
        <f t="shared" si="57"/>
        <v>-2.6033001274128007</v>
      </c>
      <c r="V158" s="385">
        <f t="shared" si="58"/>
        <v>59.064348601086408</v>
      </c>
      <c r="W158" s="404">
        <f t="shared" si="59"/>
        <v>14.878257071347313</v>
      </c>
      <c r="X158" s="157">
        <f t="shared" si="60"/>
        <v>45801</v>
      </c>
      <c r="Y158" s="387">
        <f t="shared" si="61"/>
        <v>13.72501662064891</v>
      </c>
      <c r="Z158" s="387">
        <f t="shared" si="62"/>
        <v>14.543152536826769</v>
      </c>
      <c r="AA158" s="388">
        <f t="shared" si="63"/>
        <v>16.30864953113387</v>
      </c>
      <c r="AB158" s="199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0.10825525381097292</v>
      </c>
      <c r="AD158" s="233">
        <f>(INDEX(Models!$BJ158:$BT158,,AH158)*(1-AF158)+INDEX(Models!$BJ158:$BT158,,AH158+1)*AF158-ERP_i)*AE158*Ramure*Pc/MaxiM</f>
        <v>1.8799051141173465E-3</v>
      </c>
      <c r="AE158" s="307">
        <f t="shared" si="65"/>
        <v>1</v>
      </c>
      <c r="AF158" s="179">
        <f t="shared" si="66"/>
        <v>0.33168246551076974</v>
      </c>
      <c r="AG158" s="837">
        <f t="shared" si="74"/>
        <v>2</v>
      </c>
      <c r="AH158" s="178">
        <f t="shared" si="67"/>
        <v>8</v>
      </c>
      <c r="AI158" s="227">
        <f t="shared" si="68"/>
        <v>2.3316824655107697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45802</v>
      </c>
      <c r="B159" s="1139">
        <f>IF(t&gt;Tmaj,'2024'!Wh/'2024'!Env_an*'2025'!Env_an,0.001*[7]mois!$B$232)</f>
        <v>41.3901094519113</v>
      </c>
      <c r="C159" s="866"/>
      <c r="D159" s="395">
        <f t="shared" si="50"/>
        <v>43.858357357535411</v>
      </c>
      <c r="E159" s="387">
        <f t="shared" si="72"/>
        <v>45.385931088010047</v>
      </c>
      <c r="F159" s="387">
        <f t="shared" si="51"/>
        <v>45.386313981780603</v>
      </c>
      <c r="G159" s="110">
        <f t="shared" si="73"/>
        <v>0.70043239258204448</v>
      </c>
      <c r="H159" s="414" t="b">
        <f>Wh_hp&gt;='2024'!Maxi_hp</f>
        <v>0</v>
      </c>
      <c r="I159" s="392">
        <f>IF(H159,Wh_hp,'2024'!Maxi_hp)</f>
        <v>59.3893737120083</v>
      </c>
      <c r="J159" s="85">
        <f>IF(H159,An,'2024'!An_max)</f>
        <v>2020</v>
      </c>
      <c r="K159" s="199">
        <f t="shared" si="52"/>
        <v>45802</v>
      </c>
      <c r="L159" s="147">
        <f>IF(t&lt;Tvie,1-EXP((T0-t)*PertePVj)+'2024'!Pspv,1-EXP((T0-t)*PertePVj)+Pspv)</f>
        <v>5.627770975330515E-2</v>
      </c>
      <c r="M159" s="870"/>
      <c r="N159" s="870"/>
      <c r="O159" s="48">
        <f>IF(t&lt;Tnet,'2024'!Resal+('2024'!Salim-'2024'!Resal)*(1-EXP(('2024'!Tnet-t)/('2024'!Tau_j))),Resal+(Salim-Resal)*(1-EXP((Tnet-t)/(Tau_j))))*Salcycl</f>
        <v>3.3657428499427412E-2</v>
      </c>
      <c r="P159" s="171">
        <f>(INDEX(Models!$BJ159:$BT159,,T159)*(1-R159)+INDEX(Models!$BJ159:$BT159,,T159+1)*R159-ERP_i)*Q159*Ramure*Pc/MaxiM</f>
        <v>1.4747466932167071E-5</v>
      </c>
      <c r="Q159" s="307">
        <f t="shared" si="53"/>
        <v>1</v>
      </c>
      <c r="R159" s="179">
        <f t="shared" si="54"/>
        <v>0.40313534417200314</v>
      </c>
      <c r="S159" s="837">
        <f t="shared" si="55"/>
        <v>-3</v>
      </c>
      <c r="T159" s="178">
        <f t="shared" si="56"/>
        <v>3</v>
      </c>
      <c r="U159" s="253">
        <f t="shared" si="57"/>
        <v>-2.5968646558279969</v>
      </c>
      <c r="V159" s="385">
        <f t="shared" si="58"/>
        <v>59.091853359812568</v>
      </c>
      <c r="W159" s="404">
        <f t="shared" si="59"/>
        <v>41.3901094519113</v>
      </c>
      <c r="X159" s="157">
        <f t="shared" si="60"/>
        <v>45802</v>
      </c>
      <c r="Y159" s="387">
        <f t="shared" si="61"/>
        <v>38.144306002617704</v>
      </c>
      <c r="Z159" s="387">
        <f t="shared" si="62"/>
        <v>40.418994440246344</v>
      </c>
      <c r="AA159" s="388">
        <f t="shared" si="63"/>
        <v>45.340477241622665</v>
      </c>
      <c r="AB159" s="199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0.10854501542075502</v>
      </c>
      <c r="AD159" s="233">
        <f>(INDEX(Models!$BJ159:$BT159,,AH159)*(1-AF159)+INDEX(Models!$BJ159:$BT159,,AH159+1)*AF159-ERP_i)*AE159*Ramure*Pc/MaxiM</f>
        <v>1.7654395598256959E-3</v>
      </c>
      <c r="AE159" s="307">
        <f t="shared" si="65"/>
        <v>1</v>
      </c>
      <c r="AF159" s="179">
        <f t="shared" si="66"/>
        <v>0.33811793709557358</v>
      </c>
      <c r="AG159" s="837">
        <f t="shared" si="74"/>
        <v>2</v>
      </c>
      <c r="AH159" s="178">
        <f t="shared" si="67"/>
        <v>8</v>
      </c>
      <c r="AI159" s="227">
        <f t="shared" si="68"/>
        <v>2.3381179370955736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45803</v>
      </c>
      <c r="B160" s="1139">
        <f>IF(t&gt;Tmaj,'2024'!Wh/'2024'!Env_an*'2025'!Env_an,0.001*[7]mois!$B$233)</f>
        <v>21.736391104599353</v>
      </c>
      <c r="C160" s="866"/>
      <c r="D160" s="395">
        <f t="shared" si="50"/>
        <v>23.033149877454811</v>
      </c>
      <c r="E160" s="387">
        <f t="shared" si="72"/>
        <v>23.843554285652523</v>
      </c>
      <c r="F160" s="387">
        <f t="shared" si="51"/>
        <v>23.843587027777144</v>
      </c>
      <c r="G160" s="110">
        <f t="shared" si="73"/>
        <v>0.36768891272171705</v>
      </c>
      <c r="H160" s="414" t="b">
        <f>Wh_hp&gt;='2024'!Maxi_hp</f>
        <v>0</v>
      </c>
      <c r="I160" s="392">
        <f>IF(H160,Wh_hp,'2024'!Maxi_hp)</f>
        <v>63.356163340026761</v>
      </c>
      <c r="J160" s="85">
        <f>IF(H160,An,'2024'!An_max)</f>
        <v>2020</v>
      </c>
      <c r="K160" s="199">
        <f t="shared" si="52"/>
        <v>45803</v>
      </c>
      <c r="L160" s="147">
        <f>IF(t&lt;Tvie,1-EXP((T0-t)*PertePVj)+'2024'!Pspv,1-EXP((T0-t)*PertePVj)+Pspv)</f>
        <v>5.6299671549688735E-2</v>
      </c>
      <c r="M160" s="870"/>
      <c r="N160" s="870"/>
      <c r="O160" s="48">
        <f>IF(t&lt;Tnet,'2024'!Resal+('2024'!Salim-'2024'!Resal)*(1-EXP(('2024'!Tnet-t)/('2024'!Tau_j))),Resal+(Salim-Resal)*(1-EXP((Tnet-t)/(Tau_j))))*Salcycl</f>
        <v>3.3988406195185422E-2</v>
      </c>
      <c r="P160" s="171">
        <f>(INDEX(Models!$BJ160:$BT160,,T160)*(1-R160)+INDEX(Models!$BJ160:$BT160,,T160+1)*R160-ERP_i)*Q160*Ramure*Pc/MaxiM</f>
        <v>1.4199907289887719E-5</v>
      </c>
      <c r="Q160" s="307">
        <f t="shared" si="53"/>
        <v>1</v>
      </c>
      <c r="R160" s="179">
        <f t="shared" si="54"/>
        <v>0.40965530144916862</v>
      </c>
      <c r="S160" s="837">
        <f t="shared" si="55"/>
        <v>-3</v>
      </c>
      <c r="T160" s="178">
        <f t="shared" si="56"/>
        <v>3</v>
      </c>
      <c r="U160" s="253">
        <f t="shared" si="57"/>
        <v>-2.5903446985508314</v>
      </c>
      <c r="V160" s="385">
        <f t="shared" si="58"/>
        <v>59.115495588636911</v>
      </c>
      <c r="W160" s="404">
        <f t="shared" si="59"/>
        <v>21.736391104599353</v>
      </c>
      <c r="X160" s="157">
        <f t="shared" si="60"/>
        <v>45803</v>
      </c>
      <c r="Y160" s="387">
        <f t="shared" si="61"/>
        <v>20.049069236441344</v>
      </c>
      <c r="Z160" s="387">
        <f t="shared" si="62"/>
        <v>21.245165050821523</v>
      </c>
      <c r="AA160" s="388">
        <f t="shared" si="63"/>
        <v>23.839761649499458</v>
      </c>
      <c r="AB160" s="199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0.10883483806694909</v>
      </c>
      <c r="AD160" s="233">
        <f>(INDEX(Models!$BJ160:$BT160,,AH160)*(1-AF160)+INDEX(Models!$BJ160:$BT160,,AH160+1)*AF160-ERP_i)*AE160*Ramure*Pc/MaxiM</f>
        <v>1.6590254150616417E-3</v>
      </c>
      <c r="AE160" s="307">
        <f t="shared" si="65"/>
        <v>1</v>
      </c>
      <c r="AF160" s="179">
        <f t="shared" si="66"/>
        <v>0.34463789437273906</v>
      </c>
      <c r="AG160" s="837">
        <f t="shared" si="74"/>
        <v>2</v>
      </c>
      <c r="AH160" s="178">
        <f t="shared" si="67"/>
        <v>8</v>
      </c>
      <c r="AI160" s="227">
        <f t="shared" si="68"/>
        <v>2.3446378943727391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45804</v>
      </c>
      <c r="B161" s="1139">
        <f>IF(t&gt;Tmaj,'2024'!Wh/'2024'!Env_an*'2025'!Env_an,0.001*[7]mois!$B$234)</f>
        <v>41.199759436449042</v>
      </c>
      <c r="C161" s="866"/>
      <c r="D161" s="395">
        <f t="shared" si="50"/>
        <v>43.658688033954782</v>
      </c>
      <c r="E161" s="387">
        <f t="shared" si="72"/>
        <v>45.21028423470073</v>
      </c>
      <c r="F161" s="387">
        <f t="shared" si="51"/>
        <v>45.210634824089453</v>
      </c>
      <c r="G161" s="110">
        <f t="shared" si="73"/>
        <v>0.69669574602661566</v>
      </c>
      <c r="H161" s="414" t="b">
        <f>Wh_hp&gt;='2024'!Maxi_hp</f>
        <v>0</v>
      </c>
      <c r="I161" s="392">
        <f>IF(H161,Wh_hp,'2024'!Maxi_hp)</f>
        <v>62.931716158042121</v>
      </c>
      <c r="J161" s="85">
        <f>IF(H161,An,'2024'!An_max)</f>
        <v>2021</v>
      </c>
      <c r="K161" s="199">
        <f t="shared" si="52"/>
        <v>45804</v>
      </c>
      <c r="L161" s="147">
        <f>IF(t&lt;Tvie,1-EXP((T0-t)*PertePVj)+'2024'!Pspv,1-EXP((T0-t)*PertePVj)+Pspv)</f>
        <v>5.6321632834989255E-2</v>
      </c>
      <c r="M161" s="870"/>
      <c r="N161" s="870"/>
      <c r="O161" s="48">
        <f>IF(t&lt;Tnet,'2024'!Resal+('2024'!Salim-'2024'!Resal)*(1-EXP(('2024'!Tnet-t)/('2024'!Tau_j))),Resal+(Salim-Resal)*(1-EXP((Tnet-t)/(Tau_j))))*Salcycl</f>
        <v>3.4319540940975432E-2</v>
      </c>
      <c r="P161" s="171">
        <f>(INDEX(Models!$BJ161:$BT161,,T161)*(1-R161)+INDEX(Models!$BJ161:$BT161,,T161+1)*R161-ERP_i)*Q161*Ramure*Pc/MaxiM</f>
        <v>1.3683403587550196E-5</v>
      </c>
      <c r="Q161" s="307">
        <f t="shared" si="53"/>
        <v>1</v>
      </c>
      <c r="R161" s="179">
        <f t="shared" si="54"/>
        <v>0.41625580779653459</v>
      </c>
      <c r="S161" s="837">
        <f t="shared" si="55"/>
        <v>-3</v>
      </c>
      <c r="T161" s="178">
        <f t="shared" si="56"/>
        <v>3</v>
      </c>
      <c r="U161" s="253">
        <f t="shared" si="57"/>
        <v>-2.5837441922034654</v>
      </c>
      <c r="V161" s="385">
        <f t="shared" si="58"/>
        <v>59.135591688811608</v>
      </c>
      <c r="W161" s="404">
        <f t="shared" si="59"/>
        <v>41.199759436449042</v>
      </c>
      <c r="X161" s="157">
        <f t="shared" si="60"/>
        <v>45804</v>
      </c>
      <c r="Y161" s="387">
        <f t="shared" si="61"/>
        <v>37.974958696836538</v>
      </c>
      <c r="Z161" s="387">
        <f t="shared" si="62"/>
        <v>40.241421249191646</v>
      </c>
      <c r="AA161" s="388">
        <f t="shared" si="63"/>
        <v>45.17064742385115</v>
      </c>
      <c r="AB161" s="199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0.10912454117398281</v>
      </c>
      <c r="AD161" s="233">
        <f>(INDEX(Models!$BJ161:$BT161,,AH161)*(1-AF161)+INDEX(Models!$BJ161:$BT161,,AH161+1)*AF161-ERP_i)*AE161*Ramure*Pc/MaxiM</f>
        <v>1.5606967965307536E-3</v>
      </c>
      <c r="AE161" s="307">
        <f t="shared" si="65"/>
        <v>1</v>
      </c>
      <c r="AF161" s="179">
        <f t="shared" si="66"/>
        <v>0.35123840072010504</v>
      </c>
      <c r="AG161" s="837">
        <f t="shared" si="74"/>
        <v>2</v>
      </c>
      <c r="AH161" s="178">
        <f t="shared" si="67"/>
        <v>8</v>
      </c>
      <c r="AI161" s="227">
        <f t="shared" si="68"/>
        <v>2.351238400720105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45805</v>
      </c>
      <c r="B162" s="1139">
        <f>IF(t&gt;Tmaj,'2024'!Wh/'2024'!Env_an*'2025'!Env_an,0.001*[7]mois!$B$235)</f>
        <v>55.006119820164947</v>
      </c>
      <c r="C162" s="866"/>
      <c r="D162" s="395">
        <f t="shared" si="50"/>
        <v>58.290411051780779</v>
      </c>
      <c r="E162" s="387">
        <f t="shared" si="72"/>
        <v>60.382718893081019</v>
      </c>
      <c r="F162" s="387">
        <f t="shared" si="51"/>
        <v>60.383436372812618</v>
      </c>
      <c r="G162" s="110">
        <f t="shared" si="73"/>
        <v>0.92990298593516552</v>
      </c>
      <c r="H162" s="414" t="b">
        <f>Wh_hp&gt;='2024'!Maxi_hp</f>
        <v>0</v>
      </c>
      <c r="I162" s="392">
        <f>IF(H162,Wh_hp,'2024'!Maxi_hp)</f>
        <v>62.080985179253567</v>
      </c>
      <c r="J162" s="85">
        <f>IF(H162,An,'2024'!An_max)</f>
        <v>2020</v>
      </c>
      <c r="K162" s="199">
        <f t="shared" si="52"/>
        <v>45805</v>
      </c>
      <c r="L162" s="147">
        <f>IF(t&lt;Tvie,1-EXP((T0-t)*PertePVj)+'2024'!Pspv,1-EXP((T0-t)*PertePVj)+Pspv)</f>
        <v>5.6343593609218479E-2</v>
      </c>
      <c r="M162" s="870"/>
      <c r="N162" s="870"/>
      <c r="O162" s="48">
        <f>IF(t&lt;Tnet,'2024'!Resal+('2024'!Salim-'2024'!Resal)*(1-EXP(('2024'!Tnet-t)/('2024'!Tau_j))),Resal+(Salim-Resal)*(1-EXP((Tnet-t)/(Tau_j))))*Salcycl</f>
        <v>3.465077226822242E-2</v>
      </c>
      <c r="P162" s="171">
        <f>(INDEX(Models!$BJ162:$BT162,,T162)*(1-R162)+INDEX(Models!$BJ162:$BT162,,T162+1)*R162-ERP_i)*Q162*Ramure*Pc/MaxiM</f>
        <v>1.3204298619749004E-5</v>
      </c>
      <c r="Q162" s="307">
        <f t="shared" si="53"/>
        <v>1</v>
      </c>
      <c r="R162" s="179">
        <f t="shared" si="54"/>
        <v>0.42293269113069387</v>
      </c>
      <c r="S162" s="837">
        <f t="shared" si="55"/>
        <v>-3</v>
      </c>
      <c r="T162" s="178">
        <f t="shared" si="56"/>
        <v>3</v>
      </c>
      <c r="U162" s="253">
        <f t="shared" si="57"/>
        <v>-2.5770673088693061</v>
      </c>
      <c r="V162" s="385">
        <f t="shared" si="58"/>
        <v>59.152457751143352</v>
      </c>
      <c r="W162" s="404">
        <f t="shared" si="59"/>
        <v>55.006119820164947</v>
      </c>
      <c r="X162" s="157">
        <f t="shared" si="60"/>
        <v>45805</v>
      </c>
      <c r="Y162" s="387">
        <f t="shared" si="61"/>
        <v>50.679526843485192</v>
      </c>
      <c r="Z162" s="387">
        <f t="shared" si="62"/>
        <v>53.705486976260808</v>
      </c>
      <c r="AA162" s="388">
        <f t="shared" si="63"/>
        <v>60.303534378208994</v>
      </c>
      <c r="AB162" s="199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0.10941394181917846</v>
      </c>
      <c r="AD162" s="233">
        <f>(INDEX(Models!$BJ162:$BT162,,AH162)*(1-AF162)+INDEX(Models!$BJ162:$BT162,,AH162+1)*AF162-ERP_i)*AE162*Ramure*Pc/MaxiM</f>
        <v>1.4704942183073695E-3</v>
      </c>
      <c r="AE162" s="307">
        <f t="shared" si="65"/>
        <v>1</v>
      </c>
      <c r="AF162" s="179">
        <f t="shared" si="66"/>
        <v>0.35791528405426432</v>
      </c>
      <c r="AG162" s="837">
        <f t="shared" si="74"/>
        <v>2</v>
      </c>
      <c r="AH162" s="178">
        <f t="shared" si="67"/>
        <v>8</v>
      </c>
      <c r="AI162" s="227">
        <f t="shared" si="68"/>
        <v>2.3579152840542643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45806</v>
      </c>
      <c r="B163" s="1139">
        <f>IF(t&gt;Tmaj,'2024'!Wh/'2024'!Env_an*'2025'!Env_an,0.001*[7]mois!$B$236)</f>
        <v>60.032552606641133</v>
      </c>
      <c r="C163" s="866"/>
      <c r="D163" s="395">
        <f t="shared" si="50"/>
        <v>63.618441286237967</v>
      </c>
      <c r="E163" s="387">
        <f t="shared" si="72"/>
        <v>65.924618777652427</v>
      </c>
      <c r="F163" s="387">
        <f t="shared" si="51"/>
        <v>65.925460607676627</v>
      </c>
      <c r="G163" s="110">
        <f t="shared" si="73"/>
        <v>1.014659991825851</v>
      </c>
      <c r="H163" s="414" t="b">
        <f>Wh_hp&gt;='2024'!Maxi_hp</f>
        <v>1</v>
      </c>
      <c r="I163" s="392">
        <f>IF(H163,Wh_hp,'2024'!Maxi_hp)</f>
        <v>65.925460607676627</v>
      </c>
      <c r="J163" s="85">
        <f>IF(H163,An,'2024'!An_max)</f>
        <v>2025</v>
      </c>
      <c r="K163" s="199">
        <f t="shared" si="52"/>
        <v>45806</v>
      </c>
      <c r="L163" s="147">
        <f>IF(t&lt;Tvie,1-EXP((T0-t)*PertePVj)+'2024'!Pspv,1-EXP((T0-t)*PertePVj)+Pspv)</f>
        <v>5.6365553872388507E-2</v>
      </c>
      <c r="M163" s="870"/>
      <c r="N163" s="870"/>
      <c r="O163" s="48">
        <f>IF(t&lt;Tnet,'2024'!Resal+('2024'!Salim-'2024'!Resal)*(1-EXP(('2024'!Tnet-t)/('2024'!Tau_j))),Resal+(Salim-Resal)*(1-EXP((Tnet-t)/(Tau_j))))*Salcycl</f>
        <v>3.4982037578292643E-2</v>
      </c>
      <c r="P163" s="171">
        <f>(INDEX(Models!$BJ163:$BT163,,T163)*(1-R163)+INDEX(Models!$BJ163:$BT163,,T163+1)*R163-ERP_i)*Q163*Ramure*Pc/MaxiM</f>
        <v>1.2769421956948934E-5</v>
      </c>
      <c r="Q163" s="307">
        <f t="shared" si="53"/>
        <v>1</v>
      </c>
      <c r="R163" s="179">
        <f t="shared" si="54"/>
        <v>0.42968155189440482</v>
      </c>
      <c r="S163" s="837">
        <f t="shared" si="55"/>
        <v>-3</v>
      </c>
      <c r="T163" s="178">
        <f t="shared" si="56"/>
        <v>3</v>
      </c>
      <c r="U163" s="253">
        <f t="shared" si="57"/>
        <v>-2.5703184481055952</v>
      </c>
      <c r="V163" s="385">
        <f t="shared" si="58"/>
        <v>59.165191384568452</v>
      </c>
      <c r="W163" s="404">
        <f t="shared" si="59"/>
        <v>60.032552606641133</v>
      </c>
      <c r="X163" s="157">
        <f t="shared" si="60"/>
        <v>45806</v>
      </c>
      <c r="Y163" s="387">
        <f t="shared" si="61"/>
        <v>55.308070203462009</v>
      </c>
      <c r="Z163" s="387">
        <f t="shared" si="62"/>
        <v>58.611754191921982</v>
      </c>
      <c r="AA163" s="388">
        <f t="shared" si="63"/>
        <v>65.833923588162079</v>
      </c>
      <c r="AB163" s="199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0.10970285534582275</v>
      </c>
      <c r="AD163" s="233">
        <f>(INDEX(Models!$BJ163:$BT163,,AH163)*(1-AF163)+INDEX(Models!$BJ163:$BT163,,AH163+1)*AF163-ERP_i)*AE163*Ramure*Pc/MaxiM</f>
        <v>1.3884926805332908E-3</v>
      </c>
      <c r="AE163" s="307">
        <f t="shared" si="65"/>
        <v>1</v>
      </c>
      <c r="AF163" s="179">
        <f t="shared" si="66"/>
        <v>0.36466414481797527</v>
      </c>
      <c r="AG163" s="837">
        <f t="shared" si="74"/>
        <v>2</v>
      </c>
      <c r="AH163" s="178">
        <f t="shared" si="67"/>
        <v>8</v>
      </c>
      <c r="AI163" s="227">
        <f t="shared" si="68"/>
        <v>2.3646641448179753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45807</v>
      </c>
      <c r="B164" s="1139">
        <f>IF(t&gt;Tmaj,'2024'!Wh/'2024'!Env_an*'2025'!Env_an,0.001*[7]mois!$B$237)</f>
        <v>51.324851956035474</v>
      </c>
      <c r="C164" s="866"/>
      <c r="D164" s="395">
        <f t="shared" si="50"/>
        <v>54.391874521689964</v>
      </c>
      <c r="E164" s="387">
        <f t="shared" si="72"/>
        <v>56.382940660916667</v>
      </c>
      <c r="F164" s="387">
        <f t="shared" si="51"/>
        <v>56.383507922475694</v>
      </c>
      <c r="G164" s="110">
        <f t="shared" si="73"/>
        <v>0.86737001858524532</v>
      </c>
      <c r="H164" s="414" t="b">
        <f>Wh_hp&gt;='2024'!Maxi_hp</f>
        <v>0</v>
      </c>
      <c r="I164" s="392">
        <f>IF(H164,Wh_hp,'2024'!Maxi_hp)</f>
        <v>63.686724886206711</v>
      </c>
      <c r="J164" s="85">
        <f>IF(H164,An,'2024'!An_max)</f>
        <v>2019</v>
      </c>
      <c r="K164" s="199">
        <f t="shared" si="52"/>
        <v>45807</v>
      </c>
      <c r="L164" s="147">
        <f>IF(t&lt;Tvie,1-EXP((T0-t)*PertePVj)+'2024'!Pspv,1-EXP((T0-t)*PertePVj)+Pspv)</f>
        <v>5.638751362451111E-2</v>
      </c>
      <c r="M164" s="870"/>
      <c r="N164" s="870"/>
      <c r="O164" s="48">
        <f>IF(t&lt;Tnet,'2024'!Resal+('2024'!Salim-'2024'!Resal)*(1-EXP(('2024'!Tnet-t)/('2024'!Tau_j))),Resal+(Salim-Resal)*(1-EXP((Tnet-t)/(Tau_j))))*Salcycl</f>
        <v>3.5313272345989299E-2</v>
      </c>
      <c r="P164" s="171">
        <f>(INDEX(Models!$BJ164:$BT164,,T164)*(1-R164)+INDEX(Models!$BJ164:$BT164,,T164+1)*R164-ERP_i)*Q164*Ramure*Pc/MaxiM</f>
        <v>1.24125599163412E-5</v>
      </c>
      <c r="Q164" s="307">
        <f t="shared" si="53"/>
        <v>1</v>
      </c>
      <c r="R164" s="179">
        <f t="shared" si="54"/>
        <v>0.43649777241052723</v>
      </c>
      <c r="S164" s="837">
        <f t="shared" si="55"/>
        <v>-3</v>
      </c>
      <c r="T164" s="178">
        <f t="shared" si="56"/>
        <v>3</v>
      </c>
      <c r="U164" s="253">
        <f t="shared" si="57"/>
        <v>-2.5635022275894728</v>
      </c>
      <c r="V164" s="385">
        <f t="shared" si="58"/>
        <v>59.172821460114555</v>
      </c>
      <c r="W164" s="404">
        <f t="shared" si="59"/>
        <v>51.324851956035474</v>
      </c>
      <c r="X164" s="157">
        <f t="shared" si="60"/>
        <v>45807</v>
      </c>
      <c r="Y164" s="387">
        <f t="shared" si="61"/>
        <v>47.301663254002356</v>
      </c>
      <c r="Z164" s="387">
        <f t="shared" si="62"/>
        <v>50.128271866868609</v>
      </c>
      <c r="AA164" s="388">
        <f t="shared" si="63"/>
        <v>56.323337487538552</v>
      </c>
      <c r="AB164" s="199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0.10999109600066927</v>
      </c>
      <c r="AD164" s="233">
        <f>(INDEX(Models!$BJ164:$BT164,,AH164)*(1-AF164)+INDEX(Models!$BJ164:$BT164,,AH164+1)*AF164-ERP_i)*AE164*Ramure*Pc/MaxiM</f>
        <v>1.3166221418687424E-3</v>
      </c>
      <c r="AE164" s="307">
        <f t="shared" si="65"/>
        <v>1</v>
      </c>
      <c r="AF164" s="179">
        <f t="shared" si="66"/>
        <v>0.37148036533409767</v>
      </c>
      <c r="AG164" s="837">
        <f t="shared" si="74"/>
        <v>2</v>
      </c>
      <c r="AH164" s="178">
        <f t="shared" si="67"/>
        <v>8</v>
      </c>
      <c r="AI164" s="227">
        <f t="shared" si="68"/>
        <v>2.3714803653340977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45808</v>
      </c>
      <c r="B165" s="1139">
        <f>IF(t&gt;Tmaj,'2024'!Wh/'2024'!Env_an*'2025'!Env_an,0.001*[7]mois!$B$238)</f>
        <v>55.013973446025936</v>
      </c>
      <c r="C165" s="866"/>
      <c r="D165" s="395">
        <f t="shared" si="50"/>
        <v>58.302803879452185</v>
      </c>
      <c r="E165" s="387">
        <f t="shared" si="72"/>
        <v>60.457786012206959</v>
      </c>
      <c r="F165" s="387">
        <f t="shared" si="51"/>
        <v>60.458444314154939</v>
      </c>
      <c r="G165" s="110">
        <f t="shared" si="73"/>
        <v>0.92967268619211374</v>
      </c>
      <c r="H165" s="414" t="b">
        <f>Wh_hp&gt;='2024'!Maxi_hp</f>
        <v>0</v>
      </c>
      <c r="I165" s="392">
        <f>IF(H165,Wh_hp,'2024'!Maxi_hp)</f>
        <v>64.708611084195553</v>
      </c>
      <c r="J165" s="85">
        <f>IF(H165,An,'2024'!An_max)</f>
        <v>2019</v>
      </c>
      <c r="K165" s="199">
        <f t="shared" si="52"/>
        <v>45808</v>
      </c>
      <c r="L165" s="147">
        <f>IF(t&lt;Tvie,1-EXP((T0-t)*PertePVj)+'2024'!Pspv,1-EXP((T0-t)*PertePVj)+Pspv)</f>
        <v>5.6409472865598165E-2</v>
      </c>
      <c r="M165" s="870"/>
      <c r="N165" s="870"/>
      <c r="O165" s="48">
        <f>IF(t&lt;Tnet,'2024'!Resal+('2024'!Salim-'2024'!Resal)*(1-EXP(('2024'!Tnet-t)/('2024'!Tau_j))),Resal+(Salim-Resal)*(1-EXP((Tnet-t)/(Tau_j))))*Salcycl</f>
        <v>3.5644410338143487E-2</v>
      </c>
      <c r="P165" s="171">
        <f>(INDEX(Models!$BJ165:$BT165,,T165)*(1-R165)+INDEX(Models!$BJ165:$BT165,,T165+1)*R165-ERP_i)*Q165*Ramure*Pc/MaxiM</f>
        <v>1.2104603759937371E-5</v>
      </c>
      <c r="Q165" s="307">
        <f t="shared" si="53"/>
        <v>1</v>
      </c>
      <c r="R165" s="179">
        <f t="shared" si="54"/>
        <v>0.44337652758000479</v>
      </c>
      <c r="S165" s="837">
        <f t="shared" si="55"/>
        <v>-3</v>
      </c>
      <c r="T165" s="178">
        <f t="shared" si="56"/>
        <v>3</v>
      </c>
      <c r="U165" s="253">
        <f t="shared" si="57"/>
        <v>-2.5566234724199952</v>
      </c>
      <c r="V165" s="385">
        <f t="shared" si="58"/>
        <v>59.175565077739826</v>
      </c>
      <c r="W165" s="404">
        <f t="shared" si="59"/>
        <v>55.013973446025936</v>
      </c>
      <c r="X165" s="157">
        <f t="shared" si="60"/>
        <v>45808</v>
      </c>
      <c r="Y165" s="387">
        <f t="shared" si="61"/>
        <v>50.699894756536715</v>
      </c>
      <c r="Z165" s="387">
        <f t="shared" si="62"/>
        <v>53.730822108301211</v>
      </c>
      <c r="AA165" s="388">
        <f t="shared" si="63"/>
        <v>60.390606223513387</v>
      </c>
      <c r="AB165" s="199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0.11027847759241656</v>
      </c>
      <c r="AD165" s="233">
        <f>(INDEX(Models!$BJ165:$BT165,,AH165)*(1-AF165)+INDEX(Models!$BJ165:$BT165,,AH165+1)*AF165-ERP_i)*AE165*Ramure*Pc/MaxiM</f>
        <v>1.247380794726484E-3</v>
      </c>
      <c r="AE165" s="307">
        <f t="shared" si="65"/>
        <v>1</v>
      </c>
      <c r="AF165" s="179">
        <f t="shared" si="66"/>
        <v>0.37835912050357523</v>
      </c>
      <c r="AG165" s="837">
        <f t="shared" si="74"/>
        <v>2</v>
      </c>
      <c r="AH165" s="178">
        <f t="shared" si="67"/>
        <v>8</v>
      </c>
      <c r="AI165" s="227">
        <f t="shared" si="68"/>
        <v>2.3783591205035752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45809</v>
      </c>
      <c r="B166" s="1139">
        <f>IF(t&gt;Tmaj,'2024'!Wh/'2024'!Env_an*'2025'!Env_an,0.001*'[8]mon-tableau'!$B$202)</f>
        <v>56.578092896910924</v>
      </c>
      <c r="C166" s="866"/>
      <c r="D166" s="395">
        <f t="shared" si="50"/>
        <v>59.961824494206823</v>
      </c>
      <c r="E166" s="387">
        <f t="shared" si="72"/>
        <v>62.199474463051658</v>
      </c>
      <c r="F166" s="387">
        <f t="shared" si="51"/>
        <v>62.200165455707889</v>
      </c>
      <c r="G166" s="110">
        <f t="shared" si="73"/>
        <v>0.95613610570919161</v>
      </c>
      <c r="H166" s="414" t="b">
        <f>Wh_hp&gt;='2024'!Maxi_hp</f>
        <v>0</v>
      </c>
      <c r="I166" s="392">
        <f>IF(H166,Wh_hp,'2024'!Maxi_hp)</f>
        <v>65.140726705313512</v>
      </c>
      <c r="J166" s="85">
        <f>IF(H166,An,'2024'!An_max)</f>
        <v>2019</v>
      </c>
      <c r="K166" s="199">
        <f t="shared" si="52"/>
        <v>45809</v>
      </c>
      <c r="L166" s="147">
        <f>IF(t&lt;Tvie,1-EXP((T0-t)*PertePVj)+'2024'!Pspv,1-EXP((T0-t)*PertePVj)+Pspv)</f>
        <v>5.6431431595661663E-2</v>
      </c>
      <c r="M166" s="870"/>
      <c r="N166" s="870"/>
      <c r="O166" s="48">
        <f>IF(t&lt;Tnet,'2024'!Resal+('2024'!Salim-'2024'!Resal)*(1-EXP(('2024'!Tnet-t)/('2024'!Tau_j))),Resal+(Salim-Resal)*(1-EXP((Tnet-t)/(Tau_j))))*Salcycl</f>
        <v>3.5975383846274543E-2</v>
      </c>
      <c r="P166" s="171">
        <f>(INDEX(Models!$BJ166:$BT166,,T166)*(1-R166)+INDEX(Models!$BJ166:$BT166,,T166+1)*R166-ERP_i)*Q166*Ramure*Pc/MaxiM</f>
        <v>1.1851833049600543E-5</v>
      </c>
      <c r="Q166" s="307">
        <f t="shared" si="53"/>
        <v>1</v>
      </c>
      <c r="R166" s="179">
        <f t="shared" si="54"/>
        <v>0.45031279688791992</v>
      </c>
      <c r="S166" s="837">
        <f t="shared" si="55"/>
        <v>-3</v>
      </c>
      <c r="T166" s="178">
        <f t="shared" si="56"/>
        <v>3</v>
      </c>
      <c r="U166" s="253">
        <f t="shared" si="57"/>
        <v>-2.5496872031120801</v>
      </c>
      <c r="V166" s="385">
        <f t="shared" si="58"/>
        <v>59.173637038237018</v>
      </c>
      <c r="W166" s="404">
        <f t="shared" si="59"/>
        <v>56.578092896910924</v>
      </c>
      <c r="X166" s="157">
        <f t="shared" si="60"/>
        <v>45809</v>
      </c>
      <c r="Y166" s="387">
        <f t="shared" si="61"/>
        <v>52.143285651220843</v>
      </c>
      <c r="Z166" s="387">
        <f t="shared" si="62"/>
        <v>55.261787428337037</v>
      </c>
      <c r="AA166" s="388">
        <f t="shared" si="63"/>
        <v>62.131325934231747</v>
      </c>
      <c r="AB166" s="199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0.11056481416743567</v>
      </c>
      <c r="AD166" s="233">
        <f>(INDEX(Models!$BJ166:$BT166,,AH166)*(1-AF166)+INDEX(Models!$BJ166:$BT166,,AH166+1)*AF166-ERP_i)*AE166*Ramure*Pc/MaxiM</f>
        <v>1.1807282007866822E-3</v>
      </c>
      <c r="AE166" s="307">
        <f t="shared" si="65"/>
        <v>1</v>
      </c>
      <c r="AF166" s="179">
        <f t="shared" si="66"/>
        <v>0.38529538981149036</v>
      </c>
      <c r="AG166" s="837">
        <f t="shared" si="74"/>
        <v>2</v>
      </c>
      <c r="AH166" s="178">
        <f t="shared" si="67"/>
        <v>8</v>
      </c>
      <c r="AI166" s="227">
        <f t="shared" si="68"/>
        <v>2.3852953898114904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45810</v>
      </c>
      <c r="B167" s="1139">
        <f>IF(t&gt;Tmaj,'2024'!Wh/'2024'!Env_an*'2025'!Env_an,0.001*'[8]mon-tableau'!$B$203)</f>
        <v>44.433022450754791</v>
      </c>
      <c r="C167" s="866"/>
      <c r="D167" s="395">
        <f t="shared" si="50"/>
        <v>47.091497093110604</v>
      </c>
      <c r="E167" s="387">
        <f t="shared" si="72"/>
        <v>48.865618286646601</v>
      </c>
      <c r="F167" s="387">
        <f t="shared" si="51"/>
        <v>48.86598538604845</v>
      </c>
      <c r="G167" s="110">
        <f t="shared" si="73"/>
        <v>0.75097011764303423</v>
      </c>
      <c r="H167" s="414" t="b">
        <f>Wh_hp&gt;='2024'!Maxi_hp</f>
        <v>0</v>
      </c>
      <c r="I167" s="392">
        <f>IF(H167,Wh_hp,'2024'!Maxi_hp)</f>
        <v>63.901540527508928</v>
      </c>
      <c r="J167" s="85">
        <f>IF(H167,An,'2024'!An_max)</f>
        <v>2019</v>
      </c>
      <c r="K167" s="199">
        <f t="shared" si="52"/>
        <v>45810</v>
      </c>
      <c r="L167" s="147">
        <f>IF(t&lt;Tvie,1-EXP((T0-t)*PertePVj)+'2024'!Pspv,1-EXP((T0-t)*PertePVj)+Pspv)</f>
        <v>5.6453389814713373E-2</v>
      </c>
      <c r="M167" s="870"/>
      <c r="N167" s="870"/>
      <c r="O167" s="48">
        <f>IF(t&lt;Tnet,'2024'!Resal+('2024'!Salim-'2024'!Resal)*(1-EXP(('2024'!Tnet-t)/('2024'!Tau_j))),Resal+(Salim-Resal)*(1-EXP((Tnet-t)/(Tau_j))))*Salcycl</f>
        <v>3.6306123932147348E-2</v>
      </c>
      <c r="P167" s="171">
        <f>(INDEX(Models!$BJ167:$BT167,,T167)*(1-R167)+INDEX(Models!$BJ167:$BT167,,T167+1)*R167-ERP_i)*Q167*Ramure*Pc/MaxiM</f>
        <v>1.1660691095506406E-5</v>
      </c>
      <c r="Q167" s="307">
        <f t="shared" si="53"/>
        <v>1</v>
      </c>
      <c r="R167" s="179">
        <f t="shared" si="54"/>
        <v>0.45730137766809742</v>
      </c>
      <c r="S167" s="837">
        <f t="shared" si="55"/>
        <v>-3</v>
      </c>
      <c r="T167" s="178">
        <f t="shared" si="56"/>
        <v>3</v>
      </c>
      <c r="U167" s="253">
        <f t="shared" si="57"/>
        <v>-2.5426986223319026</v>
      </c>
      <c r="V167" s="385">
        <f t="shared" si="58"/>
        <v>59.167251909325707</v>
      </c>
      <c r="W167" s="404">
        <f t="shared" si="59"/>
        <v>44.433022450754791</v>
      </c>
      <c r="X167" s="157">
        <f t="shared" si="60"/>
        <v>45810</v>
      </c>
      <c r="Y167" s="387">
        <f t="shared" si="61"/>
        <v>40.966848360703025</v>
      </c>
      <c r="Z167" s="387">
        <f t="shared" si="62"/>
        <v>43.417938147918591</v>
      </c>
      <c r="AA167" s="388">
        <f t="shared" si="63"/>
        <v>48.830832003119781</v>
      </c>
      <c r="AB167" s="199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0.11084992069877816</v>
      </c>
      <c r="AD167" s="233">
        <f>(INDEX(Models!$BJ167:$BT167,,AH167)*(1-AF167)+INDEX(Models!$BJ167:$BT167,,AH167+1)*AF167-ERP_i)*AE167*Ramure*Pc/MaxiM</f>
        <v>1.1166260071027926E-3</v>
      </c>
      <c r="AE167" s="307">
        <f t="shared" si="65"/>
        <v>1</v>
      </c>
      <c r="AF167" s="179">
        <f t="shared" si="66"/>
        <v>0.39228397059166786</v>
      </c>
      <c r="AG167" s="837">
        <f t="shared" si="74"/>
        <v>2</v>
      </c>
      <c r="AH167" s="178">
        <f t="shared" si="67"/>
        <v>8</v>
      </c>
      <c r="AI167" s="227">
        <f t="shared" si="68"/>
        <v>2.3922839705916679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45811</v>
      </c>
      <c r="B168" s="1139">
        <f>IF(t&gt;Tmaj,'2024'!Wh/'2024'!Env_an*'2025'!Env_an,0.001*'[8]mon-tableau'!$B$204)</f>
        <v>53.846776147667121</v>
      </c>
      <c r="C168" s="866"/>
      <c r="D168" s="395">
        <f t="shared" si="50"/>
        <v>57.069813709998776</v>
      </c>
      <c r="E168" s="387">
        <f t="shared" si="72"/>
        <v>59.240169785323374</v>
      </c>
      <c r="F168" s="387">
        <f t="shared" si="51"/>
        <v>59.240765647538275</v>
      </c>
      <c r="G168" s="110">
        <f t="shared" si="73"/>
        <v>0.91023951057028485</v>
      </c>
      <c r="H168" s="414" t="b">
        <f>Wh_hp&gt;='2024'!Maxi_hp</f>
        <v>0</v>
      </c>
      <c r="I168" s="392">
        <f>IF(H168,Wh_hp,'2024'!Maxi_hp)</f>
        <v>59.942123507520741</v>
      </c>
      <c r="J168" s="85">
        <f>IF(H168,An,'2024'!An_max)</f>
        <v>2020</v>
      </c>
      <c r="K168" s="199">
        <f t="shared" si="52"/>
        <v>45811</v>
      </c>
      <c r="L168" s="147">
        <f>IF(t&lt;Tvie,1-EXP((T0-t)*PertePVj)+'2024'!Pspv,1-EXP((T0-t)*PertePVj)+Pspv)</f>
        <v>5.6475347522765285E-2</v>
      </c>
      <c r="M168" s="870"/>
      <c r="N168" s="870"/>
      <c r="O168" s="48">
        <f>IF(t&lt;Tnet,'2024'!Resal+('2024'!Salim-'2024'!Resal)*(1-EXP(('2024'!Tnet-t)/('2024'!Tau_j))),Resal+(Salim-Resal)*(1-EXP((Tnet-t)/(Tau_j))))*Salcycl</f>
        <v>3.663656068491386E-2</v>
      </c>
      <c r="P168" s="171">
        <f>(INDEX(Models!$BJ168:$BT168,,T168)*(1-R168)+INDEX(Models!$BJ168:$BT168,,T168+1)*R168-ERP_i)*Q168*Ramure*Pc/MaxiM</f>
        <v>1.1537771728616656E-5</v>
      </c>
      <c r="Q168" s="307">
        <f t="shared" si="53"/>
        <v>1</v>
      </c>
      <c r="R168" s="179">
        <f t="shared" si="54"/>
        <v>0.46433689956327795</v>
      </c>
      <c r="S168" s="837">
        <f t="shared" si="55"/>
        <v>-3</v>
      </c>
      <c r="T168" s="178">
        <f t="shared" si="56"/>
        <v>3</v>
      </c>
      <c r="U168" s="253">
        <f t="shared" si="57"/>
        <v>-2.5356631004367221</v>
      </c>
      <c r="V168" s="385">
        <f t="shared" si="58"/>
        <v>59.156624006678953</v>
      </c>
      <c r="W168" s="404">
        <f t="shared" si="59"/>
        <v>53.846776147667121</v>
      </c>
      <c r="X168" s="157">
        <f t="shared" si="60"/>
        <v>45811</v>
      </c>
      <c r="Y168" s="387">
        <f t="shared" si="61"/>
        <v>49.637599457974169</v>
      </c>
      <c r="Z168" s="387">
        <f t="shared" si="62"/>
        <v>52.608693718441891</v>
      </c>
      <c r="AA168" s="388">
        <f t="shared" si="63"/>
        <v>59.18627876392047</v>
      </c>
      <c r="AB168" s="199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0.11113361378428523</v>
      </c>
      <c r="AD168" s="233">
        <f>(INDEX(Models!$BJ168:$BT168,,AH168)*(1-AF168)+INDEX(Models!$BJ168:$BT168,,AH168+1)*AF168-ERP_i)*AE168*Ramure*Pc/MaxiM</f>
        <v>1.0550379092117907E-3</v>
      </c>
      <c r="AE168" s="307">
        <f t="shared" si="65"/>
        <v>1</v>
      </c>
      <c r="AF168" s="179">
        <f t="shared" si="66"/>
        <v>0.39931949248684839</v>
      </c>
      <c r="AG168" s="837">
        <f t="shared" si="74"/>
        <v>2</v>
      </c>
      <c r="AH168" s="178">
        <f t="shared" si="67"/>
        <v>8</v>
      </c>
      <c r="AI168" s="227">
        <f t="shared" si="68"/>
        <v>2.3993194924868484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45812</v>
      </c>
      <c r="B169" s="1139">
        <f>IF(t&gt;Tmaj,'2024'!Wh/'2024'!Env_an*'2025'!Env_an,0.001*'[8]mon-tableau'!$B$205)</f>
        <v>30.575840014930854</v>
      </c>
      <c r="C169" s="866"/>
      <c r="D169" s="395">
        <f t="shared" si="50"/>
        <v>32.406733089248291</v>
      </c>
      <c r="E169" s="387">
        <f t="shared" si="72"/>
        <v>33.650685302969634</v>
      </c>
      <c r="F169" s="387">
        <f t="shared" si="51"/>
        <v>33.65080515653532</v>
      </c>
      <c r="G169" s="110">
        <f t="shared" si="73"/>
        <v>0.51698648118829749</v>
      </c>
      <c r="H169" s="414" t="b">
        <f>Wh_hp&gt;='2024'!Maxi_hp</f>
        <v>0</v>
      </c>
      <c r="I169" s="392">
        <f>IF(H169,Wh_hp,'2024'!Maxi_hp)</f>
        <v>57.961791725127831</v>
      </c>
      <c r="J169" s="85">
        <f>IF(H169,An,'2024'!An_max)</f>
        <v>2019</v>
      </c>
      <c r="K169" s="199">
        <f t="shared" si="52"/>
        <v>45812</v>
      </c>
      <c r="L169" s="147">
        <f>IF(t&lt;Tvie,1-EXP((T0-t)*PertePVj)+'2024'!Pspv,1-EXP((T0-t)*PertePVj)+Pspv)</f>
        <v>5.6497304719829278E-2</v>
      </c>
      <c r="M169" s="870"/>
      <c r="N169" s="870"/>
      <c r="O169" s="48">
        <f>IF(t&lt;Tnet,'2024'!Resal+('2024'!Salim-'2024'!Resal)*(1-EXP(('2024'!Tnet-t)/('2024'!Tau_j))),Resal+(Salim-Resal)*(1-EXP((Tnet-t)/(Tau_j))))*Salcycl</f>
        <v>3.6966623488394981E-2</v>
      </c>
      <c r="P169" s="171">
        <f>(INDEX(Models!$BJ169:$BT169,,T169)*(1-R169)+INDEX(Models!$BJ169:$BT169,,T169+1)*R169-ERP_i)*Q169*Ramure*Pc/MaxiM</f>
        <v>1.1489805008808302E-5</v>
      </c>
      <c r="Q169" s="307">
        <f t="shared" si="53"/>
        <v>1</v>
      </c>
      <c r="R169" s="179">
        <f t="shared" si="54"/>
        <v>0.47141384010480181</v>
      </c>
      <c r="S169" s="837">
        <f t="shared" si="55"/>
        <v>-3</v>
      </c>
      <c r="T169" s="178">
        <f t="shared" si="56"/>
        <v>3</v>
      </c>
      <c r="U169" s="253">
        <f t="shared" si="57"/>
        <v>-2.5285861598951982</v>
      </c>
      <c r="V169" s="385">
        <f t="shared" si="58"/>
        <v>59.141967377673282</v>
      </c>
      <c r="W169" s="404">
        <f t="shared" si="59"/>
        <v>30.575840014930854</v>
      </c>
      <c r="X169" s="157">
        <f t="shared" si="60"/>
        <v>45812</v>
      </c>
      <c r="Y169" s="387">
        <f t="shared" si="61"/>
        <v>28.203508425991412</v>
      </c>
      <c r="Z169" s="387">
        <f t="shared" si="62"/>
        <v>29.892345371219584</v>
      </c>
      <c r="AA169" s="388">
        <f t="shared" si="63"/>
        <v>33.64041631914931</v>
      </c>
      <c r="AB169" s="199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0.11141571234943935</v>
      </c>
      <c r="AD169" s="233">
        <f>(INDEX(Models!$BJ169:$BT169,,AH169)*(1-AF169)+INDEX(Models!$BJ169:$BT169,,AH169+1)*AF169-ERP_i)*AE169*Ramure*Pc/MaxiM</f>
        <v>9.9592961755309308E-4</v>
      </c>
      <c r="AE169" s="307">
        <f t="shared" si="65"/>
        <v>1</v>
      </c>
      <c r="AF169" s="179">
        <f t="shared" si="66"/>
        <v>0.40639643302837225</v>
      </c>
      <c r="AG169" s="837">
        <f t="shared" si="74"/>
        <v>2</v>
      </c>
      <c r="AH169" s="178">
        <f t="shared" si="67"/>
        <v>8</v>
      </c>
      <c r="AI169" s="227">
        <f t="shared" si="68"/>
        <v>2.4063964330283723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45813</v>
      </c>
      <c r="B170" s="1139">
        <f>IF(t&gt;Tmaj,'2024'!Wh/'2024'!Env_an*'2025'!Env_an,0.001*'[8]mon-tableau'!$B$206)</f>
        <v>31.938360267466319</v>
      </c>
      <c r="C170" s="866"/>
      <c r="D170" s="395">
        <f t="shared" si="50"/>
        <v>33.851629356057551</v>
      </c>
      <c r="E170" s="387">
        <f t="shared" ref="E170:E232" si="75">Wh_pvt/(1-Psa)</f>
        <v>35.163080075289031</v>
      </c>
      <c r="F170" s="387">
        <f t="shared" si="51"/>
        <v>35.163219252600683</v>
      </c>
      <c r="G170" s="110">
        <f t="shared" ref="G170:G232" si="76">+Wh_hp/MaxiM</f>
        <v>0.54019333955436077</v>
      </c>
      <c r="H170" s="414" t="b">
        <f>Wh_hp&gt;='2024'!Maxi_hp</f>
        <v>0</v>
      </c>
      <c r="I170" s="392">
        <f>IF(H170,Wh_hp,'2024'!Maxi_hp)</f>
        <v>47.729541453271779</v>
      </c>
      <c r="J170" s="85">
        <f>IF(H170,An,'2024'!An_max)</f>
        <v>2021</v>
      </c>
      <c r="K170" s="199">
        <f t="shared" si="52"/>
        <v>45813</v>
      </c>
      <c r="L170" s="147">
        <f>IF(t&lt;Tvie,1-EXP((T0-t)*PertePVj)+'2024'!Pspv,1-EXP((T0-t)*PertePVj)+Pspv)</f>
        <v>5.6519261405917121E-2</v>
      </c>
      <c r="M170" s="870"/>
      <c r="N170" s="870"/>
      <c r="O170" s="48">
        <f>IF(t&lt;Tnet,'2024'!Resal+('2024'!Salim-'2024'!Resal)*(1-EXP(('2024'!Tnet-t)/('2024'!Tau_j))),Resal+(Salim-Resal)*(1-EXP((Tnet-t)/(Tau_j))))*Salcycl</f>
        <v>3.7296241296936421E-2</v>
      </c>
      <c r="P170" s="171">
        <f>(INDEX(Models!$BJ170:$BT170,,T170)*(1-R170)+INDEX(Models!$BJ170:$BT170,,T170+1)*R170-ERP_i)*Q170*Ramure*Pc/MaxiM</f>
        <v>1.1534784732521014E-5</v>
      </c>
      <c r="Q170" s="307">
        <f t="shared" si="53"/>
        <v>1</v>
      </c>
      <c r="R170" s="179">
        <f t="shared" si="54"/>
        <v>0.47852654132318273</v>
      </c>
      <c r="S170" s="837">
        <f t="shared" si="55"/>
        <v>-3</v>
      </c>
      <c r="T170" s="178">
        <f t="shared" si="56"/>
        <v>3</v>
      </c>
      <c r="U170" s="253">
        <f t="shared" si="57"/>
        <v>-2.5214734586768173</v>
      </c>
      <c r="V170" s="385">
        <f t="shared" si="58"/>
        <v>59.123495124814696</v>
      </c>
      <c r="W170" s="404">
        <f t="shared" si="59"/>
        <v>31.938360267466319</v>
      </c>
      <c r="X170" s="157">
        <f t="shared" si="60"/>
        <v>45813</v>
      </c>
      <c r="Y170" s="387">
        <f t="shared" si="61"/>
        <v>29.460695596157549</v>
      </c>
      <c r="Z170" s="387">
        <f t="shared" si="62"/>
        <v>31.225540057190855</v>
      </c>
      <c r="AA170" s="388">
        <f t="shared" si="63"/>
        <v>35.151864007457931</v>
      </c>
      <c r="AB170" s="199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0.1116960383504572</v>
      </c>
      <c r="AD170" s="233">
        <f>(INDEX(Models!$BJ170:$BT170,,AH170)*(1-AF170)+INDEX(Models!$BJ170:$BT170,,AH170+1)*AF170-ERP_i)*AE170*Ramure*Pc/MaxiM</f>
        <v>9.4110388215975485E-4</v>
      </c>
      <c r="AE170" s="307">
        <f t="shared" si="65"/>
        <v>1</v>
      </c>
      <c r="AF170" s="179">
        <f t="shared" si="66"/>
        <v>0.41350913424675317</v>
      </c>
      <c r="AG170" s="837">
        <f t="shared" si="74"/>
        <v>2</v>
      </c>
      <c r="AH170" s="178">
        <f t="shared" si="67"/>
        <v>8</v>
      </c>
      <c r="AI170" s="227">
        <f t="shared" si="68"/>
        <v>2.4135091342467532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45814</v>
      </c>
      <c r="B171" s="1139">
        <f>IF(t&gt;Tmaj,'2024'!Wh/'2024'!Env_an*'2025'!Env_an,0.001*'[8]mon-tableau'!$B$207)</f>
        <v>42.612796408924737</v>
      </c>
      <c r="C171" s="866"/>
      <c r="D171" s="395">
        <f t="shared" si="50"/>
        <v>45.16656922697635</v>
      </c>
      <c r="E171" s="387">
        <f t="shared" si="75"/>
        <v>46.932417530541365</v>
      </c>
      <c r="F171" s="387">
        <f t="shared" si="51"/>
        <v>46.932745321669366</v>
      </c>
      <c r="G171" s="110">
        <f t="shared" si="76"/>
        <v>0.72100798622322848</v>
      </c>
      <c r="H171" s="414" t="b">
        <f>Wh_hp&gt;='2024'!Maxi_hp</f>
        <v>0</v>
      </c>
      <c r="I171" s="392">
        <f>IF(H171,Wh_hp,'2024'!Maxi_hp)</f>
        <v>63.713317790939129</v>
      </c>
      <c r="J171" s="85">
        <f>IF(H171,An,'2024'!An_max)</f>
        <v>2019</v>
      </c>
      <c r="K171" s="199">
        <f t="shared" si="52"/>
        <v>45814</v>
      </c>
      <c r="L171" s="147">
        <f>IF(t&lt;Tvie,1-EXP((T0-t)*PertePVj)+'2024'!Pspv,1-EXP((T0-t)*PertePVj)+Pspv)</f>
        <v>5.6541217581040804E-2</v>
      </c>
      <c r="M171" s="870"/>
      <c r="N171" s="870"/>
      <c r="O171" s="48">
        <f>IF(t&lt;Tnet,'2024'!Resal+('2024'!Salim-'2024'!Resal)*(1-EXP(('2024'!Tnet-t)/('2024'!Tau_j))),Resal+(Salim-Resal)*(1-EXP((Tnet-t)/(Tau_j))))*Salcycl</f>
        <v>3.7625342918162781E-2</v>
      </c>
      <c r="P171" s="171">
        <f>(INDEX(Models!$BJ171:$BT171,,T171)*(1-R171)+INDEX(Models!$BJ171:$BT171,,T171+1)*R171-ERP_i)*Q171*Ramure*Pc/MaxiM</f>
        <v>1.1612493913509658E-5</v>
      </c>
      <c r="Q171" s="307">
        <f t="shared" si="53"/>
        <v>1</v>
      </c>
      <c r="R171" s="179">
        <f t="shared" si="54"/>
        <v>0.48566922728917827</v>
      </c>
      <c r="S171" s="837">
        <f t="shared" si="55"/>
        <v>-3</v>
      </c>
      <c r="T171" s="178">
        <f t="shared" si="56"/>
        <v>3</v>
      </c>
      <c r="U171" s="253">
        <f t="shared" si="57"/>
        <v>-2.5143307727108217</v>
      </c>
      <c r="V171" s="385">
        <f t="shared" si="58"/>
        <v>59.10142467262304</v>
      </c>
      <c r="W171" s="404">
        <f t="shared" si="59"/>
        <v>42.612796408924737</v>
      </c>
      <c r="X171" s="157">
        <f t="shared" si="60"/>
        <v>45814</v>
      </c>
      <c r="Y171" s="387">
        <f t="shared" si="61"/>
        <v>39.299942880769358</v>
      </c>
      <c r="Z171" s="387">
        <f t="shared" si="62"/>
        <v>41.655177325295739</v>
      </c>
      <c r="AA171" s="388">
        <f t="shared" si="63"/>
        <v>46.90763210532851</v>
      </c>
      <c r="AB171" s="199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0.11197441747301755</v>
      </c>
      <c r="AD171" s="233">
        <f>(INDEX(Models!$BJ171:$BT171,,AH171)*(1-AF171)+INDEX(Models!$BJ171:$BT171,,AH171+1)*AF171-ERP_i)*AE171*Ramure*Pc/MaxiM</f>
        <v>8.8967347494018387E-4</v>
      </c>
      <c r="AE171" s="307">
        <f t="shared" si="65"/>
        <v>1</v>
      </c>
      <c r="AF171" s="179">
        <f t="shared" si="66"/>
        <v>0.42065182021274872</v>
      </c>
      <c r="AG171" s="837">
        <f t="shared" si="74"/>
        <v>2</v>
      </c>
      <c r="AH171" s="178">
        <f t="shared" si="67"/>
        <v>8</v>
      </c>
      <c r="AI171" s="227">
        <f t="shared" si="68"/>
        <v>2.4206518202127487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45815</v>
      </c>
      <c r="B172" s="1139">
        <f>IF(t&gt;Tmaj,'2024'!Wh/'2024'!Env_an*'2025'!Env_an,0.001*'[8]mon-tableau'!$B$208)</f>
        <v>32.06823376997783</v>
      </c>
      <c r="C172" s="866"/>
      <c r="D172" s="395">
        <f t="shared" si="50"/>
        <v>33.990864953073121</v>
      </c>
      <c r="E172" s="387">
        <f t="shared" si="75"/>
        <v>35.331844746767935</v>
      </c>
      <c r="F172" s="387">
        <f t="shared" si="51"/>
        <v>35.331988466526553</v>
      </c>
      <c r="G172" s="110">
        <f t="shared" si="76"/>
        <v>0.54282627123672034</v>
      </c>
      <c r="H172" s="414" t="b">
        <f>Wh_hp&gt;='2024'!Maxi_hp</f>
        <v>0</v>
      </c>
      <c r="I172" s="392">
        <f>IF(H172,Wh_hp,'2024'!Maxi_hp)</f>
        <v>57.56714176960822</v>
      </c>
      <c r="J172" s="85">
        <f>IF(H172,An,'2024'!An_max)</f>
        <v>2021</v>
      </c>
      <c r="K172" s="199">
        <f t="shared" si="52"/>
        <v>45815</v>
      </c>
      <c r="L172" s="147">
        <f>IF(t&lt;Tvie,1-EXP((T0-t)*PertePVj)+'2024'!Pspv,1-EXP((T0-t)*PertePVj)+Pspv)</f>
        <v>5.6563173245212317E-2</v>
      </c>
      <c r="M172" s="870"/>
      <c r="N172" s="870"/>
      <c r="O172" s="48">
        <f>IF(t&lt;Tnet,'2024'!Resal+('2024'!Salim-'2024'!Resal)*(1-EXP(('2024'!Tnet-t)/('2024'!Tau_j))),Resal+(Salim-Resal)*(1-EXP((Tnet-t)/(Tau_j))))*Salcycl</f>
        <v>3.7953857300855529E-2</v>
      </c>
      <c r="P172" s="171">
        <f>(INDEX(Models!$BJ172:$BT172,,T172)*(1-R172)+INDEX(Models!$BJ172:$BT172,,T172+1)*R172-ERP_i)*Q172*Ramure*Pc/MaxiM</f>
        <v>1.1725822972173328E-5</v>
      </c>
      <c r="Q172" s="307">
        <f t="shared" si="53"/>
        <v>1</v>
      </c>
      <c r="R172" s="179">
        <f t="shared" si="54"/>
        <v>0.49283602247413505</v>
      </c>
      <c r="S172" s="837">
        <f t="shared" si="55"/>
        <v>-3</v>
      </c>
      <c r="T172" s="178">
        <f t="shared" si="56"/>
        <v>3</v>
      </c>
      <c r="U172" s="253">
        <f t="shared" si="57"/>
        <v>-2.507163977525865</v>
      </c>
      <c r="V172" s="385">
        <f t="shared" si="58"/>
        <v>59.075969394932983</v>
      </c>
      <c r="W172" s="404">
        <f t="shared" si="59"/>
        <v>32.06823376997783</v>
      </c>
      <c r="X172" s="157">
        <f t="shared" si="60"/>
        <v>45815</v>
      </c>
      <c r="Y172" s="387">
        <f t="shared" si="61"/>
        <v>29.58315145190948</v>
      </c>
      <c r="Z172" s="387">
        <f t="shared" si="62"/>
        <v>31.35679105687333</v>
      </c>
      <c r="AA172" s="388">
        <f t="shared" si="63"/>
        <v>35.321672846321476</v>
      </c>
      <c r="AB172" s="199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0.11225067982195135</v>
      </c>
      <c r="AD172" s="233">
        <f>(INDEX(Models!$BJ172:$BT172,,AH172)*(1-AF172)+INDEX(Models!$BJ172:$BT172,,AH172+1)*AF172-ERP_i)*AE172*Ramure*Pc/MaxiM</f>
        <v>8.4163191991132378E-4</v>
      </c>
      <c r="AE172" s="307">
        <f t="shared" si="65"/>
        <v>1</v>
      </c>
      <c r="AF172" s="179">
        <f t="shared" si="66"/>
        <v>0.42781861539770549</v>
      </c>
      <c r="AG172" s="837">
        <f t="shared" si="74"/>
        <v>2</v>
      </c>
      <c r="AH172" s="178">
        <f t="shared" si="67"/>
        <v>8</v>
      </c>
      <c r="AI172" s="227">
        <f t="shared" si="68"/>
        <v>2.4278186153977055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45816</v>
      </c>
      <c r="B173" s="1139">
        <f>IF(t&gt;Tmaj,'2024'!Wh/'2024'!Env_an*'2025'!Env_an,0.001*'[8]mon-tableau'!$B$209)</f>
        <v>22.559266140624398</v>
      </c>
      <c r="C173" s="866"/>
      <c r="D173" s="395">
        <f t="shared" si="50"/>
        <v>23.912349507833618</v>
      </c>
      <c r="E173" s="387">
        <f t="shared" si="75"/>
        <v>24.864193445844158</v>
      </c>
      <c r="F173" s="387">
        <f t="shared" si="51"/>
        <v>24.864228064358773</v>
      </c>
      <c r="G173" s="110">
        <f t="shared" si="76"/>
        <v>0.38204987236090188</v>
      </c>
      <c r="H173" s="414" t="b">
        <f>Wh_hp&gt;='2024'!Maxi_hp</f>
        <v>0</v>
      </c>
      <c r="I173" s="392">
        <f>IF(H173,Wh_hp,'2024'!Maxi_hp)</f>
        <v>66.080309605009333</v>
      </c>
      <c r="J173" s="85">
        <f>IF(H173,An,'2024'!An_max)</f>
        <v>2019</v>
      </c>
      <c r="K173" s="199">
        <f t="shared" si="52"/>
        <v>45816</v>
      </c>
      <c r="L173" s="147">
        <f>IF(t&lt;Tvie,1-EXP((T0-t)*PertePVj)+'2024'!Pspv,1-EXP((T0-t)*PertePVj)+Pspv)</f>
        <v>5.6585128398443429E-2</v>
      </c>
      <c r="M173" s="870"/>
      <c r="N173" s="870"/>
      <c r="O173" s="48">
        <f>IF(t&lt;Tnet,'2024'!Resal+('2024'!Salim-'2024'!Resal)*(1-EXP(('2024'!Tnet-t)/('2024'!Tau_j))),Resal+(Salim-Resal)*(1-EXP((Tnet-t)/(Tau_j))))*Salcycl</f>
        <v>3.8281713826097692E-2</v>
      </c>
      <c r="P173" s="171">
        <f>(INDEX(Models!$BJ173:$BT173,,T173)*(1-R173)+INDEX(Models!$BJ173:$BT173,,T173+1)*R173-ERP_i)*Q173*Ramure*Pc/MaxiM</f>
        <v>1.1877700650057146E-5</v>
      </c>
      <c r="Q173" s="307">
        <f t="shared" si="53"/>
        <v>1</v>
      </c>
      <c r="R173" s="179">
        <f t="shared" si="54"/>
        <v>0.50002097080870822</v>
      </c>
      <c r="S173" s="837">
        <f t="shared" si="55"/>
        <v>-3</v>
      </c>
      <c r="T173" s="178">
        <f t="shared" si="56"/>
        <v>3</v>
      </c>
      <c r="U173" s="253">
        <f t="shared" si="57"/>
        <v>-2.4999790291912918</v>
      </c>
      <c r="V173" s="385">
        <f t="shared" si="58"/>
        <v>59.047342322067735</v>
      </c>
      <c r="W173" s="404">
        <f t="shared" si="59"/>
        <v>22.559266140624398</v>
      </c>
      <c r="X173" s="157">
        <f t="shared" si="60"/>
        <v>45816</v>
      </c>
      <c r="Y173" s="387">
        <f t="shared" si="61"/>
        <v>20.815814950424077</v>
      </c>
      <c r="Z173" s="387">
        <f t="shared" si="62"/>
        <v>22.064327770333755</v>
      </c>
      <c r="AA173" s="388">
        <f t="shared" si="63"/>
        <v>24.861905216635297</v>
      </c>
      <c r="AB173" s="199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0.11252466059719587</v>
      </c>
      <c r="AD173" s="233">
        <f>(INDEX(Models!$BJ173:$BT173,,AH173)*(1-AF173)+INDEX(Models!$BJ173:$BT173,,AH173+1)*AF173-ERP_i)*AE173*Ramure*Pc/MaxiM</f>
        <v>7.9697497778036209E-4</v>
      </c>
      <c r="AE173" s="307">
        <f t="shared" si="65"/>
        <v>1</v>
      </c>
      <c r="AF173" s="179">
        <f t="shared" si="66"/>
        <v>0.43500356373227866</v>
      </c>
      <c r="AG173" s="837">
        <f t="shared" si="74"/>
        <v>2</v>
      </c>
      <c r="AH173" s="178">
        <f t="shared" si="67"/>
        <v>8</v>
      </c>
      <c r="AI173" s="227">
        <f t="shared" si="68"/>
        <v>2.4350035637322787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45817</v>
      </c>
      <c r="B174" s="1139">
        <f>IF(t&gt;Tmaj,'2024'!Wh/'2024'!Env_an*'2025'!Env_an,0.001*'[8]mon-tableau'!$B$210)</f>
        <v>44.869651812056361</v>
      </c>
      <c r="C174" s="866"/>
      <c r="D174" s="395">
        <f t="shared" si="50"/>
        <v>47.561997769370919</v>
      </c>
      <c r="E174" s="387">
        <f t="shared" si="75"/>
        <v>49.472056616358287</v>
      </c>
      <c r="F174" s="387">
        <f t="shared" si="51"/>
        <v>49.472449308557216</v>
      </c>
      <c r="G174" s="110">
        <f t="shared" si="76"/>
        <v>0.76029639010471284</v>
      </c>
      <c r="H174" s="414" t="b">
        <f>Wh_hp&gt;='2024'!Maxi_hp</f>
        <v>0</v>
      </c>
      <c r="I174" s="392">
        <f>IF(H174,Wh_hp,'2024'!Maxi_hp)</f>
        <v>60.192808761372696</v>
      </c>
      <c r="J174" s="85">
        <f>IF(H174,An,'2024'!An_max)</f>
        <v>2021</v>
      </c>
      <c r="K174" s="199">
        <f t="shared" si="52"/>
        <v>45817</v>
      </c>
      <c r="L174" s="147">
        <f>IF(t&lt;Tvie,1-EXP((T0-t)*PertePVj)+'2024'!Pspv,1-EXP((T0-t)*PertePVj)+Pspv)</f>
        <v>5.660708304074602E-2</v>
      </c>
      <c r="M174" s="870"/>
      <c r="N174" s="870"/>
      <c r="O174" s="48">
        <f>IF(t&lt;Tnet,'2024'!Resal+('2024'!Salim-'2024'!Resal)*(1-EXP(('2024'!Tnet-t)/('2024'!Tau_j))),Resal+(Salim-Resal)*(1-EXP((Tnet-t)/(Tau_j))))*Salcycl</f>
        <v>3.8608842599759455E-2</v>
      </c>
      <c r="P174" s="171">
        <f>(INDEX(Models!$BJ174:$BT174,,T174)*(1-R174)+INDEX(Models!$BJ174:$BT174,,T174+1)*R174-ERP_i)*Q174*Ramure*Pc/MaxiM</f>
        <v>1.2071086653241283E-5</v>
      </c>
      <c r="Q174" s="307">
        <f t="shared" si="53"/>
        <v>1</v>
      </c>
      <c r="R174" s="179">
        <f t="shared" si="54"/>
        <v>0.50721805531073638</v>
      </c>
      <c r="S174" s="837">
        <f t="shared" si="55"/>
        <v>-3</v>
      </c>
      <c r="T174" s="178">
        <f t="shared" si="56"/>
        <v>3</v>
      </c>
      <c r="U174" s="253">
        <f t="shared" si="57"/>
        <v>-2.4927819446892636</v>
      </c>
      <c r="V174" s="385">
        <f t="shared" si="58"/>
        <v>59.015756126386648</v>
      </c>
      <c r="W174" s="404">
        <f t="shared" si="59"/>
        <v>44.869651812056361</v>
      </c>
      <c r="X174" s="157">
        <f t="shared" si="60"/>
        <v>45817</v>
      </c>
      <c r="Y174" s="387">
        <f t="shared" si="61"/>
        <v>41.386962182018692</v>
      </c>
      <c r="Z174" s="387">
        <f t="shared" si="62"/>
        <v>43.870333811088209</v>
      </c>
      <c r="AA174" s="388">
        <f t="shared" si="63"/>
        <v>49.447865133399944</v>
      </c>
      <c r="AB174" s="199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0.1127962007513312</v>
      </c>
      <c r="AD174" s="233">
        <f>(INDEX(Models!$BJ174:$BT174,,AH174)*(1-AF174)+INDEX(Models!$BJ174:$BT174,,AH174+1)*AF174-ERP_i)*AE174*Ramure*Pc/MaxiM</f>
        <v>7.5570054468397868E-4</v>
      </c>
      <c r="AE174" s="307">
        <f t="shared" si="65"/>
        <v>1</v>
      </c>
      <c r="AF174" s="179">
        <f t="shared" si="66"/>
        <v>0.44220064823430683</v>
      </c>
      <c r="AG174" s="837">
        <f t="shared" si="74"/>
        <v>2</v>
      </c>
      <c r="AH174" s="178">
        <f t="shared" si="67"/>
        <v>8</v>
      </c>
      <c r="AI174" s="227">
        <f t="shared" si="68"/>
        <v>2.4422006482343068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45818</v>
      </c>
      <c r="B175" s="1139">
        <f>IF(t&gt;Tmaj,'2024'!Wh/'2024'!Env_an*'2025'!Env_an,0.001*'[8]mon-tableau'!$B$211)</f>
        <v>58.935315888818913</v>
      </c>
      <c r="C175" s="866"/>
      <c r="D175" s="395">
        <f t="shared" si="50"/>
        <v>62.473107834645674</v>
      </c>
      <c r="E175" s="387">
        <f t="shared" si="75"/>
        <v>65.004051956669201</v>
      </c>
      <c r="F175" s="387">
        <f t="shared" si="51"/>
        <v>65.004851205487213</v>
      </c>
      <c r="G175" s="110">
        <f t="shared" si="76"/>
        <v>0.99921826197864017</v>
      </c>
      <c r="H175" s="414" t="b">
        <f>Wh_hp&gt;='2024'!Maxi_hp</f>
        <v>1</v>
      </c>
      <c r="I175" s="392">
        <f>IF(H175,Wh_hp,'2024'!Maxi_hp)</f>
        <v>65.004851205487213</v>
      </c>
      <c r="J175" s="85">
        <f>IF(H175,An,'2024'!An_max)</f>
        <v>2025</v>
      </c>
      <c r="K175" s="199">
        <f t="shared" si="52"/>
        <v>45818</v>
      </c>
      <c r="L175" s="147">
        <f>IF(t&lt;Tvie,1-EXP((T0-t)*PertePVj)+'2024'!Pspv,1-EXP((T0-t)*PertePVj)+Pspv)</f>
        <v>5.6629037172131969E-2</v>
      </c>
      <c r="M175" s="870"/>
      <c r="N175" s="870"/>
      <c r="O175" s="48">
        <f>IF(t&lt;Tnet,'2024'!Resal+('2024'!Salim-'2024'!Resal)*(1-EXP(('2024'!Tnet-t)/('2024'!Tau_j))),Resal+(Salim-Resal)*(1-EXP((Tnet-t)/(Tau_j))))*Salcycl</f>
        <v>3.8935174744347052E-2</v>
      </c>
      <c r="P175" s="171">
        <f>(INDEX(Models!$BJ175:$BT175,,T175)*(1-R175)+INDEX(Models!$BJ175:$BT175,,T175+1)*R175-ERP_i)*Q175*Ramure*Pc/MaxiM</f>
        <v>1.2308964044395751E-5</v>
      </c>
      <c r="Q175" s="307">
        <f t="shared" si="53"/>
        <v>1</v>
      </c>
      <c r="R175" s="179">
        <f t="shared" si="54"/>
        <v>0.51442121814615227</v>
      </c>
      <c r="S175" s="837">
        <f t="shared" si="55"/>
        <v>-3</v>
      </c>
      <c r="T175" s="178">
        <f t="shared" si="56"/>
        <v>3</v>
      </c>
      <c r="U175" s="253">
        <f t="shared" si="57"/>
        <v>-2.4855787818538477</v>
      </c>
      <c r="V175" s="385">
        <f t="shared" si="58"/>
        <v>58.981423099673663</v>
      </c>
      <c r="W175" s="404">
        <f t="shared" si="59"/>
        <v>58.935315888818913</v>
      </c>
      <c r="X175" s="157">
        <f t="shared" si="60"/>
        <v>45818</v>
      </c>
      <c r="Y175" s="387">
        <f t="shared" si="61"/>
        <v>54.351119021311625</v>
      </c>
      <c r="Z175" s="387">
        <f t="shared" si="62"/>
        <v>57.613729023827069</v>
      </c>
      <c r="AA175" s="388">
        <f t="shared" si="63"/>
        <v>64.958242276184265</v>
      </c>
      <c r="AB175" s="199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0.11306514762407487</v>
      </c>
      <c r="AD175" s="233">
        <f>(INDEX(Models!$BJ175:$BT175,,AH175)*(1-AF175)+INDEX(Models!$BJ175:$BT175,,AH175+1)*AF175-ERP_i)*AE175*Ramure*Pc/MaxiM</f>
        <v>7.1780854973427601E-4</v>
      </c>
      <c r="AE175" s="307">
        <f t="shared" si="65"/>
        <v>1</v>
      </c>
      <c r="AF175" s="179">
        <f t="shared" si="66"/>
        <v>0.44940381106972271</v>
      </c>
      <c r="AG175" s="837">
        <f t="shared" si="74"/>
        <v>2</v>
      </c>
      <c r="AH175" s="178">
        <f t="shared" si="67"/>
        <v>8</v>
      </c>
      <c r="AI175" s="227">
        <f t="shared" si="68"/>
        <v>2.4494038110697227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45819</v>
      </c>
      <c r="B176" s="1139">
        <f>IF(t&gt;Tmaj,'2024'!Wh/'2024'!Env_an*'2025'!Env_an,0.001*'[8]mon-tableau'!$B$212)</f>
        <v>55.289795638991748</v>
      </c>
      <c r="C176" s="866"/>
      <c r="D176" s="395">
        <f t="shared" si="50"/>
        <v>58.610116827754879</v>
      </c>
      <c r="E176" s="387">
        <f t="shared" si="75"/>
        <v>61.00522101202268</v>
      </c>
      <c r="F176" s="387">
        <f t="shared" si="51"/>
        <v>61.005921285165762</v>
      </c>
      <c r="G176" s="110">
        <f t="shared" si="76"/>
        <v>0.93799561007111709</v>
      </c>
      <c r="H176" s="414" t="b">
        <f>Wh_hp&gt;='2024'!Maxi_hp</f>
        <v>1</v>
      </c>
      <c r="I176" s="392">
        <f>IF(H176,Wh_hp,'2024'!Maxi_hp)</f>
        <v>61.005921285165762</v>
      </c>
      <c r="J176" s="85">
        <f>IF(H176,An,'2024'!An_max)</f>
        <v>2025</v>
      </c>
      <c r="K176" s="199">
        <f t="shared" si="52"/>
        <v>45819</v>
      </c>
      <c r="L176" s="147">
        <f>IF(t&lt;Tvie,1-EXP((T0-t)*PertePVj)+'2024'!Pspv,1-EXP((T0-t)*PertePVj)+Pspv)</f>
        <v>5.6650990792613265E-2</v>
      </c>
      <c r="M176" s="870"/>
      <c r="N176" s="870"/>
      <c r="O176" s="48">
        <f>IF(t&lt;Tnet,'2024'!Resal+('2024'!Salim-'2024'!Resal)*(1-EXP(('2024'!Tnet-t)/('2024'!Tau_j))),Resal+(Salim-Resal)*(1-EXP((Tnet-t)/(Tau_j))))*Salcycl</f>
        <v>3.9260642688201737E-2</v>
      </c>
      <c r="P176" s="171">
        <f>(INDEX(Models!$BJ176:$BT176,,T176)*(1-R176)+INDEX(Models!$BJ176:$BT176,,T176+1)*R176-ERP_i)*Q176*Ramure*Pc/MaxiM</f>
        <v>1.259433142684677E-5</v>
      </c>
      <c r="Q176" s="307">
        <f t="shared" si="53"/>
        <v>1</v>
      </c>
      <c r="R176" s="179">
        <f t="shared" si="54"/>
        <v>0.5216243809815686</v>
      </c>
      <c r="S176" s="837">
        <f t="shared" si="55"/>
        <v>-3</v>
      </c>
      <c r="T176" s="178">
        <f t="shared" si="56"/>
        <v>3</v>
      </c>
      <c r="U176" s="253">
        <f t="shared" si="57"/>
        <v>-2.4783756190184314</v>
      </c>
      <c r="V176" s="385">
        <f t="shared" si="58"/>
        <v>58.944555140416227</v>
      </c>
      <c r="W176" s="404">
        <f t="shared" si="59"/>
        <v>55.289795638991748</v>
      </c>
      <c r="X176" s="157">
        <f t="shared" si="60"/>
        <v>45819</v>
      </c>
      <c r="Y176" s="387">
        <f t="shared" si="61"/>
        <v>50.995891167733845</v>
      </c>
      <c r="Z176" s="387">
        <f t="shared" si="62"/>
        <v>54.058350271212149</v>
      </c>
      <c r="AA176" s="388">
        <f t="shared" si="63"/>
        <v>60.967928221592153</v>
      </c>
      <c r="AB176" s="199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0.11333135554921052</v>
      </c>
      <c r="AD176" s="233">
        <f>(INDEX(Models!$BJ176:$BT176,,AH176)*(1-AF176)+INDEX(Models!$BJ176:$BT176,,AH176+1)*AF176-ERP_i)*AE176*Ramure*Pc/MaxiM</f>
        <v>6.8330085095688316E-4</v>
      </c>
      <c r="AE176" s="307">
        <f t="shared" si="65"/>
        <v>1</v>
      </c>
      <c r="AF176" s="179">
        <f t="shared" si="66"/>
        <v>0.45660697390513905</v>
      </c>
      <c r="AG176" s="837">
        <f t="shared" si="74"/>
        <v>2</v>
      </c>
      <c r="AH176" s="178">
        <f t="shared" si="67"/>
        <v>8</v>
      </c>
      <c r="AI176" s="227">
        <f t="shared" si="68"/>
        <v>2.456606973905139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45820</v>
      </c>
      <c r="B177" s="1139">
        <f>IF(t&gt;Tmaj,'2024'!Wh/'2024'!Env_an*'2025'!Env_an,0.001*'[8]mon-tableau'!$B$213)</f>
        <v>43.631781821194707</v>
      </c>
      <c r="C177" s="866"/>
      <c r="D177" s="395">
        <f t="shared" si="50"/>
        <v>46.253080031101362</v>
      </c>
      <c r="E177" s="387">
        <f t="shared" si="75"/>
        <v>48.159481808885516</v>
      </c>
      <c r="F177" s="387">
        <f t="shared" si="51"/>
        <v>48.159873879237544</v>
      </c>
      <c r="G177" s="110">
        <f t="shared" si="76"/>
        <v>0.74071830039624587</v>
      </c>
      <c r="H177" s="414" t="b">
        <f>Wh_hp&gt;='2024'!Maxi_hp</f>
        <v>0</v>
      </c>
      <c r="I177" s="392">
        <f>IF(H177,Wh_hp,'2024'!Maxi_hp)</f>
        <v>60.932539305572888</v>
      </c>
      <c r="J177" s="85">
        <f>IF(H177,An,'2024'!An_max)</f>
        <v>2019</v>
      </c>
      <c r="K177" s="199">
        <f t="shared" si="52"/>
        <v>45820</v>
      </c>
      <c r="L177" s="147">
        <f>IF(t&lt;Tvie,1-EXP((T0-t)*PertePVj)+'2024'!Pspv,1-EXP((T0-t)*PertePVj)+Pspv)</f>
        <v>5.6672943902201678E-2</v>
      </c>
      <c r="M177" s="870"/>
      <c r="N177" s="870"/>
      <c r="O177" s="48">
        <f>IF(t&lt;Tnet,'2024'!Resal+('2024'!Salim-'2024'!Resal)*(1-EXP(('2024'!Tnet-t)/('2024'!Tau_j))),Resal+(Salim-Resal)*(1-EXP((Tnet-t)/(Tau_j))))*Salcycl</f>
        <v>3.9585180450019283E-2</v>
      </c>
      <c r="P177" s="171">
        <f>(INDEX(Models!$BJ177:$BT177,,T177)*(1-R177)+INDEX(Models!$BJ177:$BT177,,T177+1)*R177-ERP_i)*Q177*Ramure*Pc/MaxiM</f>
        <v>1.2930404803667137E-5</v>
      </c>
      <c r="Q177" s="307">
        <f t="shared" si="53"/>
        <v>1</v>
      </c>
      <c r="R177" s="179">
        <f t="shared" si="54"/>
        <v>0.52882146548359676</v>
      </c>
      <c r="S177" s="837">
        <f t="shared" si="55"/>
        <v>-3</v>
      </c>
      <c r="T177" s="178">
        <f t="shared" si="56"/>
        <v>3</v>
      </c>
      <c r="U177" s="253">
        <f t="shared" si="57"/>
        <v>-2.4711785345164032</v>
      </c>
      <c r="V177" s="385">
        <f t="shared" si="58"/>
        <v>58.904407824984474</v>
      </c>
      <c r="W177" s="404">
        <f t="shared" si="59"/>
        <v>43.631781821194707</v>
      </c>
      <c r="X177" s="157">
        <f t="shared" si="60"/>
        <v>45820</v>
      </c>
      <c r="Y177" s="387">
        <f t="shared" si="61"/>
        <v>40.253311607945129</v>
      </c>
      <c r="Z177" s="387">
        <f t="shared" si="62"/>
        <v>42.67163901188043</v>
      </c>
      <c r="AA177" s="388">
        <f t="shared" si="63"/>
        <v>48.140098393588737</v>
      </c>
      <c r="AB177" s="199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0.11359468642956892</v>
      </c>
      <c r="AD177" s="233">
        <f>(INDEX(Models!$BJ177:$BT177,,AH177)*(1-AF177)+INDEX(Models!$BJ177:$BT177,,AH177+1)*AF177-ERP_i)*AE177*Ramure*Pc/MaxiM</f>
        <v>6.5219171331504689E-4</v>
      </c>
      <c r="AE177" s="307">
        <f t="shared" si="65"/>
        <v>1</v>
      </c>
      <c r="AF177" s="179">
        <f t="shared" si="66"/>
        <v>0.46380405840716721</v>
      </c>
      <c r="AG177" s="837">
        <f t="shared" si="74"/>
        <v>2</v>
      </c>
      <c r="AH177" s="178">
        <f t="shared" si="67"/>
        <v>8</v>
      </c>
      <c r="AI177" s="227">
        <f t="shared" si="68"/>
        <v>2.4638040584071672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45821</v>
      </c>
      <c r="B178" s="1139">
        <f>IF(t&gt;Tmaj,'2024'!Wh/'2024'!Env_an*'2025'!Env_an,0.001*'[8]mon-tableau'!$B$214)</f>
        <v>53.600657307722201</v>
      </c>
      <c r="C178" s="866"/>
      <c r="D178" s="395">
        <f t="shared" si="50"/>
        <v>56.822185217588896</v>
      </c>
      <c r="E178" s="387">
        <f t="shared" si="75"/>
        <v>59.184149083609135</v>
      </c>
      <c r="F178" s="387">
        <f t="shared" si="51"/>
        <v>59.184836155525709</v>
      </c>
      <c r="G178" s="110">
        <f t="shared" si="76"/>
        <v>0.91064133752566689</v>
      </c>
      <c r="H178" s="414" t="b">
        <f>Wh_hp&gt;='2024'!Maxi_hp</f>
        <v>0</v>
      </c>
      <c r="I178" s="392">
        <f>IF(H178,Wh_hp,'2024'!Maxi_hp)</f>
        <v>63.578698622220735</v>
      </c>
      <c r="J178" s="85">
        <f>IF(H178,An,'2024'!An_max)</f>
        <v>2019</v>
      </c>
      <c r="K178" s="199">
        <f t="shared" si="52"/>
        <v>45821</v>
      </c>
      <c r="L178" s="147">
        <f>IF(t&lt;Tvie,1-EXP((T0-t)*PertePVj)+'2024'!Pspv,1-EXP((T0-t)*PertePVj)+Pspv)</f>
        <v>5.6694896500909198E-2</v>
      </c>
      <c r="M178" s="870"/>
      <c r="N178" s="870"/>
      <c r="O178" s="48">
        <f>IF(t&lt;Tnet,'2024'!Resal+('2024'!Salim-'2024'!Resal)*(1-EXP(('2024'!Tnet-t)/('2024'!Tau_j))),Resal+(Salim-Resal)*(1-EXP((Tnet-t)/(Tau_j))))*Salcycl</f>
        <v>3.9908723916660727E-2</v>
      </c>
      <c r="P178" s="171">
        <f>(INDEX(Models!$BJ178:$BT178,,T178)*(1-R178)+INDEX(Models!$BJ178:$BT178,,T178+1)*R178-ERP_i)*Q178*Ramure*Pc/MaxiM</f>
        <v>1.3307684223478778E-5</v>
      </c>
      <c r="Q178" s="307">
        <f t="shared" si="53"/>
        <v>1</v>
      </c>
      <c r="R178" s="179">
        <f t="shared" si="54"/>
        <v>0.53600641381816994</v>
      </c>
      <c r="S178" s="837">
        <f t="shared" si="55"/>
        <v>-3</v>
      </c>
      <c r="T178" s="178">
        <f t="shared" si="56"/>
        <v>3</v>
      </c>
      <c r="U178" s="253">
        <f t="shared" si="57"/>
        <v>-2.4639935861818301</v>
      </c>
      <c r="V178" s="385">
        <f t="shared" si="58"/>
        <v>58.86023843077993</v>
      </c>
      <c r="W178" s="404">
        <f t="shared" si="59"/>
        <v>53.600657307722201</v>
      </c>
      <c r="X178" s="157">
        <f t="shared" si="60"/>
        <v>45821</v>
      </c>
      <c r="Y178" s="387">
        <f t="shared" si="61"/>
        <v>49.445899461494292</v>
      </c>
      <c r="Z178" s="387">
        <f t="shared" si="62"/>
        <v>52.417716471669607</v>
      </c>
      <c r="AA178" s="388">
        <f t="shared" si="63"/>
        <v>59.152528174861693</v>
      </c>
      <c r="AB178" s="199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0.11385501027586188</v>
      </c>
      <c r="AD178" s="233">
        <f>(INDEX(Models!$BJ178:$BT178,,AH178)*(1-AF178)+INDEX(Models!$BJ178:$BT178,,AH178+1)*AF178-ERP_i)*AE178*Ramure*Pc/MaxiM</f>
        <v>6.2576332142954215E-4</v>
      </c>
      <c r="AE178" s="307">
        <f t="shared" si="65"/>
        <v>1</v>
      </c>
      <c r="AF178" s="179">
        <f t="shared" si="66"/>
        <v>0.47098900674174038</v>
      </c>
      <c r="AG178" s="837">
        <f t="shared" si="74"/>
        <v>2</v>
      </c>
      <c r="AH178" s="178">
        <f t="shared" si="67"/>
        <v>8</v>
      </c>
      <c r="AI178" s="227">
        <f t="shared" si="68"/>
        <v>2.4709890067417404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45822</v>
      </c>
      <c r="B179" s="1139">
        <f>IF(t&gt;Tmaj,'2024'!Wh/'2024'!Env_an*'2025'!Env_an,0.001*'[8]mon-tableau'!$B$215)</f>
        <v>46.032924558879721</v>
      </c>
      <c r="C179" s="866"/>
      <c r="D179" s="395">
        <f t="shared" si="50"/>
        <v>48.800749266017895</v>
      </c>
      <c r="E179" s="387">
        <f t="shared" si="75"/>
        <v>50.846359905672188</v>
      </c>
      <c r="F179" s="387">
        <f t="shared" si="51"/>
        <v>50.846839918304788</v>
      </c>
      <c r="G179" s="110">
        <f t="shared" si="76"/>
        <v>0.78270631711198291</v>
      </c>
      <c r="H179" s="414" t="b">
        <f>Wh_hp&gt;='2024'!Maxi_hp</f>
        <v>0</v>
      </c>
      <c r="I179" s="392">
        <f>IF(H179,Wh_hp,'2024'!Maxi_hp)</f>
        <v>54.737043912408573</v>
      </c>
      <c r="J179" s="85">
        <f>IF(H179,An,'2024'!An_max)</f>
        <v>2021</v>
      </c>
      <c r="K179" s="199">
        <f t="shared" si="52"/>
        <v>45822</v>
      </c>
      <c r="L179" s="147">
        <f>IF(t&lt;Tvie,1-EXP((T0-t)*PertePVj)+'2024'!Pspv,1-EXP((T0-t)*PertePVj)+Pspv)</f>
        <v>5.6716848588747704E-2</v>
      </c>
      <c r="M179" s="870"/>
      <c r="N179" s="870"/>
      <c r="O179" s="48">
        <f>IF(t&lt;Tnet,'2024'!Resal+('2024'!Salim-'2024'!Resal)*(1-EXP(('2024'!Tnet-t)/('2024'!Tau_j))),Resal+(Salim-Resal)*(1-EXP((Tnet-t)/(Tau_j))))*Salcycl</f>
        <v>4.0231211112244987E-2</v>
      </c>
      <c r="P179" s="171">
        <f>(INDEX(Models!$BJ179:$BT179,,T179)*(1-R179)+INDEX(Models!$BJ179:$BT179,,T179+1)*R179-ERP_i)*Q179*Ramure*Pc/MaxiM</f>
        <v>1.368991541662995E-5</v>
      </c>
      <c r="Q179" s="307">
        <f t="shared" si="53"/>
        <v>1</v>
      </c>
      <c r="R179" s="179">
        <f t="shared" si="54"/>
        <v>0.54317320900312627</v>
      </c>
      <c r="S179" s="837">
        <f t="shared" si="55"/>
        <v>-3</v>
      </c>
      <c r="T179" s="178">
        <f t="shared" si="56"/>
        <v>3</v>
      </c>
      <c r="U179" s="253">
        <f t="shared" si="57"/>
        <v>-2.4568267909968737</v>
      </c>
      <c r="V179" s="385">
        <f t="shared" si="58"/>
        <v>58.812261931861961</v>
      </c>
      <c r="W179" s="404">
        <f t="shared" si="59"/>
        <v>46.032924558879721</v>
      </c>
      <c r="X179" s="157">
        <f t="shared" si="60"/>
        <v>45822</v>
      </c>
      <c r="Y179" s="387">
        <f t="shared" si="61"/>
        <v>42.472160974874114</v>
      </c>
      <c r="Z179" s="387">
        <f t="shared" si="62"/>
        <v>45.025887413902417</v>
      </c>
      <c r="AA179" s="388">
        <f t="shared" si="63"/>
        <v>50.825722742635229</v>
      </c>
      <c r="AB179" s="199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0.11411220570539198</v>
      </c>
      <c r="AD179" s="233">
        <f>(INDEX(Models!$BJ179:$BT179,,AH179)*(1-AF179)+INDEX(Models!$BJ179:$BT179,,AH179+1)*AF179-ERP_i)*AE179*Ramure*Pc/MaxiM</f>
        <v>6.0225987634467007E-4</v>
      </c>
      <c r="AE179" s="307">
        <f t="shared" si="65"/>
        <v>1</v>
      </c>
      <c r="AF179" s="179">
        <f t="shared" si="66"/>
        <v>0.47815580192669671</v>
      </c>
      <c r="AG179" s="837">
        <f t="shared" si="74"/>
        <v>2</v>
      </c>
      <c r="AH179" s="178">
        <f t="shared" si="67"/>
        <v>8</v>
      </c>
      <c r="AI179" s="227">
        <f t="shared" si="68"/>
        <v>2.4781558019266967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45823</v>
      </c>
      <c r="B180" s="1139">
        <f>IF(t&gt;Tmaj,'2024'!Wh/'2024'!Env_an*'2025'!Env_an,0.001*'[8]mon-tableau'!$B$216)</f>
        <v>54.368560032321895</v>
      </c>
      <c r="C180" s="866"/>
      <c r="D180" s="395">
        <f t="shared" si="50"/>
        <v>57.638923388213506</v>
      </c>
      <c r="E180" s="387">
        <f t="shared" si="75"/>
        <v>60.075124841954569</v>
      </c>
      <c r="F180" s="387">
        <f t="shared" si="51"/>
        <v>60.075880224135837</v>
      </c>
      <c r="G180" s="110">
        <f t="shared" si="76"/>
        <v>0.92525253967193999</v>
      </c>
      <c r="H180" s="414" t="b">
        <f>Wh_hp&gt;='2024'!Maxi_hp</f>
        <v>1</v>
      </c>
      <c r="I180" s="392">
        <f>IF(H180,Wh_hp,'2024'!Maxi_hp)</f>
        <v>60.075880224135837</v>
      </c>
      <c r="J180" s="85">
        <f>IF(H180,An,'2024'!An_max)</f>
        <v>2025</v>
      </c>
      <c r="K180" s="199">
        <f t="shared" si="52"/>
        <v>45823</v>
      </c>
      <c r="L180" s="147">
        <f>IF(t&lt;Tvie,1-EXP((T0-t)*PertePVj)+'2024'!Pspv,1-EXP((T0-t)*PertePVj)+Pspv)</f>
        <v>5.6738800165729075E-2</v>
      </c>
      <c r="M180" s="870"/>
      <c r="N180" s="870"/>
      <c r="O180" s="48">
        <f>IF(t&lt;Tnet,'2024'!Resal+('2024'!Salim-'2024'!Resal)*(1-EXP(('2024'!Tnet-t)/('2024'!Tau_j))),Resal+(Salim-Resal)*(1-EXP((Tnet-t)/(Tau_j))))*Salcycl</f>
        <v>4.0552582456552834E-2</v>
      </c>
      <c r="P180" s="171">
        <f>(INDEX(Models!$BJ180:$BT180,,T180)*(1-R180)+INDEX(Models!$BJ180:$BT180,,T180+1)*R180-ERP_i)*Q180*Ramure*Pc/MaxiM</f>
        <v>1.4076938161910249E-5</v>
      </c>
      <c r="Q180" s="307">
        <f t="shared" si="53"/>
        <v>1</v>
      </c>
      <c r="R180" s="179">
        <f t="shared" si="54"/>
        <v>0.55031589496912225</v>
      </c>
      <c r="S180" s="837">
        <f t="shared" si="55"/>
        <v>-3</v>
      </c>
      <c r="T180" s="178">
        <f t="shared" si="56"/>
        <v>3</v>
      </c>
      <c r="U180" s="253">
        <f t="shared" si="57"/>
        <v>-2.4496841050308777</v>
      </c>
      <c r="V180" s="385">
        <f t="shared" si="58"/>
        <v>58.760690705247882</v>
      </c>
      <c r="W180" s="404">
        <f t="shared" si="59"/>
        <v>54.368560032321895</v>
      </c>
      <c r="X180" s="157">
        <f t="shared" si="60"/>
        <v>45823</v>
      </c>
      <c r="Y180" s="387">
        <f t="shared" si="61"/>
        <v>50.160354288485948</v>
      </c>
      <c r="Z180" s="387">
        <f t="shared" si="62"/>
        <v>53.177586756774282</v>
      </c>
      <c r="AA180" s="388">
        <f t="shared" si="63"/>
        <v>60.044664486405985</v>
      </c>
      <c r="AB180" s="199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0.11436616039692249</v>
      </c>
      <c r="AD180" s="233">
        <f>(INDEX(Models!$BJ180:$BT180,,AH180)*(1-AF180)+INDEX(Models!$BJ180:$BT180,,AH180+1)*AF180-ERP_i)*AE180*Ramure*Pc/MaxiM</f>
        <v>5.817214392896641E-4</v>
      </c>
      <c r="AE180" s="307">
        <f t="shared" si="65"/>
        <v>1</v>
      </c>
      <c r="AF180" s="179">
        <f t="shared" si="66"/>
        <v>0.4852984878926927</v>
      </c>
      <c r="AG180" s="837">
        <f t="shared" si="74"/>
        <v>2</v>
      </c>
      <c r="AH180" s="178">
        <f t="shared" si="67"/>
        <v>8</v>
      </c>
      <c r="AI180" s="227">
        <f t="shared" si="68"/>
        <v>2.4852984878926927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45824</v>
      </c>
      <c r="B181" s="1139">
        <f>IF(t&gt;Tmaj,'2024'!Wh/'2024'!Env_an*'2025'!Env_an,0.001*'[8]mon-tableau'!$B$217)</f>
        <v>50.469083042240882</v>
      </c>
      <c r="C181" s="866"/>
      <c r="D181" s="395">
        <f t="shared" si="50"/>
        <v>53.506131247351313</v>
      </c>
      <c r="E181" s="387">
        <f t="shared" si="75"/>
        <v>55.786271297504861</v>
      </c>
      <c r="F181" s="387">
        <f t="shared" si="51"/>
        <v>55.786916673183782</v>
      </c>
      <c r="G181" s="110">
        <f t="shared" si="76"/>
        <v>0.85969344008608806</v>
      </c>
      <c r="H181" s="414" t="b">
        <f>Wh_hp&gt;='2024'!Maxi_hp</f>
        <v>0</v>
      </c>
      <c r="I181" s="392">
        <f>IF(H181,Wh_hp,'2024'!Maxi_hp)</f>
        <v>65.146942528286331</v>
      </c>
      <c r="J181" s="85">
        <f>IF(H181,An,'2024'!An_max)</f>
        <v>2019</v>
      </c>
      <c r="K181" s="199">
        <f t="shared" si="52"/>
        <v>45824</v>
      </c>
      <c r="L181" s="147">
        <f>IF(t&lt;Tvie,1-EXP((T0-t)*PertePVj)+'2024'!Pspv,1-EXP((T0-t)*PertePVj)+Pspv)</f>
        <v>5.6760751231865081E-2</v>
      </c>
      <c r="M181" s="870"/>
      <c r="N181" s="870"/>
      <c r="O181" s="48">
        <f>IF(t&lt;Tnet,'2024'!Resal+('2024'!Salim-'2024'!Resal)*(1-EXP(('2024'!Tnet-t)/('2024'!Tau_j))),Resal+(Salim-Resal)*(1-EXP((Tnet-t)/(Tau_j))))*Salcycl</f>
        <v>4.0872781010827759E-2</v>
      </c>
      <c r="P181" s="171">
        <f>(INDEX(Models!$BJ181:$BT181,,T181)*(1-R181)+INDEX(Models!$BJ181:$BT181,,T181+1)*R181-ERP_i)*Q181*Ramure*Pc/MaxiM</f>
        <v>1.4468587160435698E-5</v>
      </c>
      <c r="Q181" s="307">
        <f t="shared" si="53"/>
        <v>1</v>
      </c>
      <c r="R181" s="179">
        <f t="shared" si="54"/>
        <v>0.55742859618750273</v>
      </c>
      <c r="S181" s="837">
        <f t="shared" si="55"/>
        <v>-3</v>
      </c>
      <c r="T181" s="178">
        <f t="shared" si="56"/>
        <v>3</v>
      </c>
      <c r="U181" s="253">
        <f t="shared" si="57"/>
        <v>-2.4425714038124973</v>
      </c>
      <c r="V181" s="385">
        <f t="shared" si="58"/>
        <v>58.705736634487145</v>
      </c>
      <c r="W181" s="404">
        <f t="shared" si="59"/>
        <v>50.469083042240882</v>
      </c>
      <c r="X181" s="157">
        <f t="shared" si="60"/>
        <v>45824</v>
      </c>
      <c r="Y181" s="387">
        <f t="shared" si="61"/>
        <v>46.568211227535478</v>
      </c>
      <c r="Z181" s="387">
        <f t="shared" si="62"/>
        <v>49.370518973159037</v>
      </c>
      <c r="AA181" s="388">
        <f t="shared" si="63"/>
        <v>55.761750825917694</v>
      </c>
      <c r="AB181" s="199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0.11461677149828757</v>
      </c>
      <c r="AD181" s="233">
        <f>(INDEX(Models!$BJ181:$BT181,,AH181)*(1-AF181)+INDEX(Models!$BJ181:$BT181,,AH181+1)*AF181-ERP_i)*AE181*Ramure*Pc/MaxiM</f>
        <v>5.6418961316230889E-4</v>
      </c>
      <c r="AE181" s="307">
        <f t="shared" si="65"/>
        <v>1</v>
      </c>
      <c r="AF181" s="179">
        <f t="shared" si="66"/>
        <v>0.49241118911107318</v>
      </c>
      <c r="AG181" s="837">
        <f t="shared" si="74"/>
        <v>2</v>
      </c>
      <c r="AH181" s="178">
        <f t="shared" si="67"/>
        <v>8</v>
      </c>
      <c r="AI181" s="227">
        <f t="shared" si="68"/>
        <v>2.4924111891110732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45825</v>
      </c>
      <c r="B182" s="1139">
        <f>IF(t&gt;Tmaj,'2024'!Wh/'2024'!Env_an*'2025'!Env_an,0.001*'[8]mon-tableau'!$B$218)</f>
        <v>52.062837342155007</v>
      </c>
      <c r="C182" s="866"/>
      <c r="D182" s="395">
        <f t="shared" si="50"/>
        <v>55.197076475167968</v>
      </c>
      <c r="E182" s="387">
        <f t="shared" si="75"/>
        <v>57.568420621254191</v>
      </c>
      <c r="F182" s="387">
        <f t="shared" si="51"/>
        <v>57.56913911065373</v>
      </c>
      <c r="G182" s="110">
        <f t="shared" si="76"/>
        <v>0.88772095282121188</v>
      </c>
      <c r="H182" s="414" t="b">
        <f>Wh_hp&gt;='2024'!Maxi_hp</f>
        <v>0</v>
      </c>
      <c r="I182" s="392">
        <f>IF(H182,Wh_hp,'2024'!Maxi_hp)</f>
        <v>64.280395132327001</v>
      </c>
      <c r="J182" s="85">
        <f>IF(H182,An,'2024'!An_max)</f>
        <v>2019</v>
      </c>
      <c r="K182" s="199">
        <f t="shared" si="52"/>
        <v>45825</v>
      </c>
      <c r="L182" s="147">
        <f>IF(t&lt;Tvie,1-EXP((T0-t)*PertePVj)+'2024'!Pspv,1-EXP((T0-t)*PertePVj)+Pspv)</f>
        <v>5.6782701787167822E-2</v>
      </c>
      <c r="M182" s="870"/>
      <c r="N182" s="870"/>
      <c r="O182" s="48">
        <f>IF(t&lt;Tnet,'2024'!Resal+('2024'!Salim-'2024'!Resal)*(1-EXP(('2024'!Tnet-t)/('2024'!Tau_j))),Resal+(Salim-Resal)*(1-EXP((Tnet-t)/(Tau_j))))*Salcycl</f>
        <v>4.1191752709135901E-2</v>
      </c>
      <c r="P182" s="171">
        <f>(INDEX(Models!$BJ182:$BT182,,T182)*(1-R182)+INDEX(Models!$BJ182:$BT182,,T182+1)*R182-ERP_i)*Q182*Ramure*Pc/MaxiM</f>
        <v>1.4864692581448342E-5</v>
      </c>
      <c r="Q182" s="307">
        <f t="shared" si="53"/>
        <v>1</v>
      </c>
      <c r="R182" s="179">
        <f t="shared" si="54"/>
        <v>0.56450553672902659</v>
      </c>
      <c r="S182" s="837">
        <f t="shared" si="55"/>
        <v>-3</v>
      </c>
      <c r="T182" s="178">
        <f t="shared" si="56"/>
        <v>3</v>
      </c>
      <c r="U182" s="253">
        <f t="shared" si="57"/>
        <v>-2.4354944632709734</v>
      </c>
      <c r="V182" s="385">
        <f t="shared" si="58"/>
        <v>58.647611104921104</v>
      </c>
      <c r="W182" s="404">
        <f t="shared" si="59"/>
        <v>52.062837342155007</v>
      </c>
      <c r="X182" s="157">
        <f t="shared" si="60"/>
        <v>45825</v>
      </c>
      <c r="Y182" s="387">
        <f t="shared" si="61"/>
        <v>48.040888838036388</v>
      </c>
      <c r="Z182" s="387">
        <f t="shared" si="62"/>
        <v>50.933002319891941</v>
      </c>
      <c r="AA182" s="388">
        <f t="shared" si="63"/>
        <v>57.542568838746391</v>
      </c>
      <c r="AB182" s="199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0.11486394598365393</v>
      </c>
      <c r="AD182" s="233">
        <f>(INDEX(Models!$BJ182:$BT182,,AH182)*(1-AF182)+INDEX(Models!$BJ182:$BT182,,AH182+1)*AF182-ERP_i)*AE182*Ramure*Pc/MaxiM</f>
        <v>5.4970737767484309E-4</v>
      </c>
      <c r="AE182" s="307">
        <f t="shared" si="65"/>
        <v>1</v>
      </c>
      <c r="AF182" s="179">
        <f t="shared" si="66"/>
        <v>0.49948812965259703</v>
      </c>
      <c r="AG182" s="837">
        <f t="shared" si="74"/>
        <v>2</v>
      </c>
      <c r="AH182" s="178">
        <f t="shared" si="67"/>
        <v>8</v>
      </c>
      <c r="AI182" s="227">
        <f t="shared" si="68"/>
        <v>2.499488129652597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45826</v>
      </c>
      <c r="B183" s="1139">
        <f>IF(t&gt;Tmaj,'2024'!Wh/'2024'!Env_an*'2025'!Env_an,0.001*'[8]mon-tableau'!$B$219)</f>
        <v>54.120962457103765</v>
      </c>
      <c r="C183" s="866"/>
      <c r="D183" s="395">
        <f t="shared" si="50"/>
        <v>57.380438275278387</v>
      </c>
      <c r="E183" s="387">
        <f t="shared" si="75"/>
        <v>59.86541867330034</v>
      </c>
      <c r="F183" s="387">
        <f t="shared" si="51"/>
        <v>59.866233027387487</v>
      </c>
      <c r="G183" s="110">
        <f t="shared" si="76"/>
        <v>0.9237767986983445</v>
      </c>
      <c r="H183" s="414" t="b">
        <f>Wh_hp&gt;='2024'!Maxi_hp</f>
        <v>0</v>
      </c>
      <c r="I183" s="392">
        <f>IF(H183,Wh_hp,'2024'!Maxi_hp)</f>
        <v>62.624362697411456</v>
      </c>
      <c r="J183" s="85">
        <f>IF(H183,An,'2024'!An_max)</f>
        <v>2019</v>
      </c>
      <c r="K183" s="199">
        <f t="shared" si="52"/>
        <v>45826</v>
      </c>
      <c r="L183" s="147">
        <f>IF(t&lt;Tvie,1-EXP((T0-t)*PertePVj)+'2024'!Pspv,1-EXP((T0-t)*PertePVj)+Pspv)</f>
        <v>5.6804651831649067E-2</v>
      </c>
      <c r="M183" s="870"/>
      <c r="N183" s="870"/>
      <c r="O183" s="48">
        <f>IF(t&lt;Tnet,'2024'!Resal+('2024'!Salim-'2024'!Resal)*(1-EXP(('2024'!Tnet-t)/('2024'!Tau_j))),Resal+(Salim-Resal)*(1-EXP((Tnet-t)/(Tau_j))))*Salcycl</f>
        <v>4.1509446573539853E-2</v>
      </c>
      <c r="P183" s="171">
        <f>(INDEX(Models!$BJ183:$BT183,,T183)*(1-R183)+INDEX(Models!$BJ183:$BT183,,T183+1)*R183-ERP_i)*Q183*Ramure*Pc/MaxiM</f>
        <v>1.5265080620686837E-5</v>
      </c>
      <c r="Q183" s="307">
        <f t="shared" si="53"/>
        <v>1</v>
      </c>
      <c r="R183" s="179">
        <f t="shared" si="54"/>
        <v>0.57154105862420712</v>
      </c>
      <c r="S183" s="837">
        <f t="shared" si="55"/>
        <v>-3</v>
      </c>
      <c r="T183" s="178">
        <f t="shared" si="56"/>
        <v>3</v>
      </c>
      <c r="U183" s="253">
        <f t="shared" si="57"/>
        <v>-2.4284589413757929</v>
      </c>
      <c r="V183" s="385">
        <f t="shared" si="58"/>
        <v>58.58652498423718</v>
      </c>
      <c r="W183" s="404">
        <f t="shared" si="59"/>
        <v>54.120962457103765</v>
      </c>
      <c r="X183" s="157">
        <f t="shared" si="60"/>
        <v>45826</v>
      </c>
      <c r="Y183" s="387">
        <f t="shared" si="61"/>
        <v>49.941969437659687</v>
      </c>
      <c r="Z183" s="387">
        <f t="shared" si="62"/>
        <v>52.949762246649193</v>
      </c>
      <c r="AA183" s="388">
        <f t="shared" si="63"/>
        <v>59.837515051497725</v>
      </c>
      <c r="AB183" s="199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0.11510760095770615</v>
      </c>
      <c r="AD183" s="233">
        <f>(INDEX(Models!$BJ183:$BT183,,AH183)*(1-AF183)+INDEX(Models!$BJ183:$BT183,,AH183+1)*AF183-ERP_i)*AE183*Ramure*Pc/MaxiM</f>
        <v>5.3831892556198294E-4</v>
      </c>
      <c r="AE183" s="307">
        <f t="shared" si="65"/>
        <v>1</v>
      </c>
      <c r="AF183" s="179">
        <f t="shared" si="66"/>
        <v>0.50652365154777756</v>
      </c>
      <c r="AG183" s="837">
        <f t="shared" si="74"/>
        <v>2</v>
      </c>
      <c r="AH183" s="178">
        <f t="shared" si="67"/>
        <v>8</v>
      </c>
      <c r="AI183" s="227">
        <f t="shared" si="68"/>
        <v>2.5065236515477776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45827</v>
      </c>
      <c r="B184" s="1139">
        <f>IF(t&gt;Tmaj,'2024'!Wh/'2024'!Env_an*'2025'!Env_an,0.001*'[8]mon-tableau'!$B$220)</f>
        <v>55.461067970709301</v>
      </c>
      <c r="C184" s="866"/>
      <c r="D184" s="395">
        <f t="shared" si="50"/>
        <v>58.802621077941481</v>
      </c>
      <c r="E184" s="387">
        <f t="shared" si="75"/>
        <v>61.369448262173059</v>
      </c>
      <c r="F184" s="387">
        <f t="shared" si="51"/>
        <v>61.370337224639151</v>
      </c>
      <c r="G184" s="110">
        <f t="shared" si="76"/>
        <v>0.94768377174668172</v>
      </c>
      <c r="H184" s="414" t="b">
        <f>Wh_hp&gt;='2024'!Maxi_hp</f>
        <v>1</v>
      </c>
      <c r="I184" s="392">
        <f>IF(H184,Wh_hp,'2024'!Maxi_hp)</f>
        <v>61.370337224639151</v>
      </c>
      <c r="J184" s="85">
        <f>IF(H184,An,'2024'!An_max)</f>
        <v>2025</v>
      </c>
      <c r="K184" s="199">
        <f t="shared" si="52"/>
        <v>45827</v>
      </c>
      <c r="L184" s="147">
        <f>IF(t&lt;Tvie,1-EXP((T0-t)*PertePVj)+'2024'!Pspv,1-EXP((T0-t)*PertePVj)+Pspv)</f>
        <v>5.6826601365320584E-2</v>
      </c>
      <c r="M184" s="870"/>
      <c r="N184" s="870"/>
      <c r="O184" s="48">
        <f>IF(t&lt;Tnet,'2024'!Resal+('2024'!Salim-'2024'!Resal)*(1-EXP(('2024'!Tnet-t)/('2024'!Tau_j))),Resal+(Salim-Resal)*(1-EXP((Tnet-t)/(Tau_j))))*Salcycl</f>
        <v>4.1825814911451986E-2</v>
      </c>
      <c r="P184" s="171">
        <f>(INDEX(Models!$BJ184:$BT184,,T184)*(1-R184)+INDEX(Models!$BJ184:$BT184,,T184+1)*R184-ERP_i)*Q184*Ramure*Pc/MaxiM</f>
        <v>1.565522074574467E-5</v>
      </c>
      <c r="Q184" s="307">
        <f t="shared" si="53"/>
        <v>1</v>
      </c>
      <c r="R184" s="179">
        <f t="shared" si="54"/>
        <v>0.57852963940438462</v>
      </c>
      <c r="S184" s="837">
        <f t="shared" si="55"/>
        <v>-3</v>
      </c>
      <c r="T184" s="178">
        <f t="shared" si="56"/>
        <v>3</v>
      </c>
      <c r="U184" s="253">
        <f t="shared" si="57"/>
        <v>-2.4214703605956154</v>
      </c>
      <c r="V184" s="385">
        <f t="shared" si="58"/>
        <v>58.522689459716617</v>
      </c>
      <c r="W184" s="404">
        <f t="shared" si="59"/>
        <v>55.461067970709301</v>
      </c>
      <c r="X184" s="157">
        <f t="shared" si="60"/>
        <v>45827</v>
      </c>
      <c r="Y184" s="387">
        <f t="shared" si="61"/>
        <v>51.181039359480948</v>
      </c>
      <c r="Z184" s="387">
        <f t="shared" si="62"/>
        <v>54.264718909131325</v>
      </c>
      <c r="AA184" s="388">
        <f t="shared" si="63"/>
        <v>61.340163468768843</v>
      </c>
      <c r="AB184" s="199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0.11534766390441656</v>
      </c>
      <c r="AD184" s="233">
        <f>(INDEX(Models!$BJ184:$BT184,,AH184)*(1-AF184)+INDEX(Models!$BJ184:$BT184,,AH184+1)*AF184-ERP_i)*AE184*Ramure*Pc/MaxiM</f>
        <v>5.3137992535469392E-4</v>
      </c>
      <c r="AE184" s="307">
        <f t="shared" si="65"/>
        <v>1</v>
      </c>
      <c r="AF184" s="179">
        <f t="shared" si="66"/>
        <v>0.51351223232795506</v>
      </c>
      <c r="AG184" s="837">
        <f t="shared" si="74"/>
        <v>2</v>
      </c>
      <c r="AH184" s="178">
        <f t="shared" si="67"/>
        <v>8</v>
      </c>
      <c r="AI184" s="227">
        <f t="shared" si="68"/>
        <v>2.5135122323279551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45828</v>
      </c>
      <c r="B185" s="1139">
        <f>IF(t&gt;Tmaj,'2024'!Wh/'2024'!Env_an*'2025'!Env_an,0.001*'[8]mon-tableau'!$B$221)</f>
        <v>32.933429541246667</v>
      </c>
      <c r="C185" s="866"/>
      <c r="D185" s="395">
        <f t="shared" si="50"/>
        <v>34.91849538565819</v>
      </c>
      <c r="E185" s="387">
        <f t="shared" si="75"/>
        <v>36.454727247559866</v>
      </c>
      <c r="F185" s="387">
        <f t="shared" si="51"/>
        <v>36.45494697233736</v>
      </c>
      <c r="G185" s="110">
        <f t="shared" si="76"/>
        <v>0.56337968493337642</v>
      </c>
      <c r="H185" s="414" t="b">
        <f>Wh_hp&gt;='2024'!Maxi_hp</f>
        <v>0</v>
      </c>
      <c r="I185" s="392">
        <f>IF(H185,Wh_hp,'2024'!Maxi_hp)</f>
        <v>61.978111723562009</v>
      </c>
      <c r="J185" s="85">
        <f>IF(H185,An,'2024'!An_max)</f>
        <v>2020</v>
      </c>
      <c r="K185" s="199">
        <f t="shared" si="52"/>
        <v>45828</v>
      </c>
      <c r="L185" s="147">
        <f>IF(t&lt;Tvie,1-EXP((T0-t)*PertePVj)+'2024'!Pspv,1-EXP((T0-t)*PertePVj)+Pspv)</f>
        <v>5.6848550388194474E-2</v>
      </c>
      <c r="M185" s="870"/>
      <c r="N185" s="870"/>
      <c r="O185" s="48">
        <f>IF(t&lt;Tnet,'2024'!Resal+('2024'!Salim-'2024'!Resal)*(1-EXP(('2024'!Tnet-t)/('2024'!Tau_j))),Resal+(Salim-Resal)*(1-EXP((Tnet-t)/(Tau_j))))*Salcycl</f>
        <v>4.2140813493660223E-2</v>
      </c>
      <c r="P185" s="171">
        <f>(INDEX(Models!$BJ185:$BT185,,T185)*(1-R185)+INDEX(Models!$BJ185:$BT185,,T185+1)*R185-ERP_i)*Q185*Ramure*Pc/MaxiM</f>
        <v>1.6018765614310666E-5</v>
      </c>
      <c r="Q185" s="307">
        <f t="shared" si="53"/>
        <v>1</v>
      </c>
      <c r="R185" s="179">
        <f t="shared" si="54"/>
        <v>0.5854659087123002</v>
      </c>
      <c r="S185" s="837">
        <f t="shared" si="55"/>
        <v>-3</v>
      </c>
      <c r="T185" s="178">
        <f t="shared" si="56"/>
        <v>3</v>
      </c>
      <c r="U185" s="253">
        <f t="shared" si="57"/>
        <v>-2.4145340912876998</v>
      </c>
      <c r="V185" s="385">
        <f t="shared" si="58"/>
        <v>58.456315281969601</v>
      </c>
      <c r="W185" s="404">
        <f t="shared" si="59"/>
        <v>32.933429541246667</v>
      </c>
      <c r="X185" s="157">
        <f t="shared" si="60"/>
        <v>45828</v>
      </c>
      <c r="Y185" s="387">
        <f t="shared" si="61"/>
        <v>30.402432867108935</v>
      </c>
      <c r="Z185" s="387">
        <f t="shared" si="62"/>
        <v>32.234942627318617</v>
      </c>
      <c r="AA185" s="388">
        <f t="shared" si="63"/>
        <v>36.447718362821028</v>
      </c>
      <c r="AB185" s="199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0.11558407287847441</v>
      </c>
      <c r="AD185" s="233">
        <f>(INDEX(Models!$BJ185:$BT185,,AH185)*(1-AF185)+INDEX(Models!$BJ185:$BT185,,AH185+1)*AF185-ERP_i)*AE185*Ramure*Pc/MaxiM</f>
        <v>5.2699291759487367E-4</v>
      </c>
      <c r="AE185" s="307">
        <f t="shared" si="65"/>
        <v>1</v>
      </c>
      <c r="AF185" s="179">
        <f t="shared" si="66"/>
        <v>0.52044850163587064</v>
      </c>
      <c r="AG185" s="837">
        <f t="shared" si="74"/>
        <v>2</v>
      </c>
      <c r="AH185" s="178">
        <f t="shared" si="67"/>
        <v>8</v>
      </c>
      <c r="AI185" s="227">
        <f t="shared" si="68"/>
        <v>2.5204485016358706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45829</v>
      </c>
      <c r="B186" s="1139">
        <f>IF(t&gt;Tmaj,'2024'!Wh/'2024'!Env_an*'2025'!Env_an,0.001*'[8]mon-tableau'!$B$222)</f>
        <v>19.551957170519788</v>
      </c>
      <c r="C186" s="866"/>
      <c r="D186" s="395">
        <f t="shared" si="50"/>
        <v>20.730935834073279</v>
      </c>
      <c r="E186" s="387">
        <f t="shared" si="75"/>
        <v>21.650076895691324</v>
      </c>
      <c r="F186" s="387">
        <f t="shared" si="51"/>
        <v>21.650094530496464</v>
      </c>
      <c r="G186" s="110">
        <f t="shared" si="76"/>
        <v>0.33485961727662555</v>
      </c>
      <c r="H186" s="414" t="b">
        <f>Wh_hp&gt;='2024'!Maxi_hp</f>
        <v>0</v>
      </c>
      <c r="I186" s="392">
        <f>IF(H186,Wh_hp,'2024'!Maxi_hp)</f>
        <v>55.551816026089647</v>
      </c>
      <c r="J186" s="85">
        <f>IF(H186,An,'2024'!An_max)</f>
        <v>2020</v>
      </c>
      <c r="K186" s="199">
        <f t="shared" si="52"/>
        <v>45829</v>
      </c>
      <c r="L186" s="147">
        <f>IF(t&lt;Tvie,1-EXP((T0-t)*PertePVj)+'2024'!Pspv,1-EXP((T0-t)*PertePVj)+Pspv)</f>
        <v>5.6870498900282507E-2</v>
      </c>
      <c r="M186" s="870"/>
      <c r="N186" s="870"/>
      <c r="O186" s="48">
        <f>IF(t&lt;Tnet,'2024'!Resal+('2024'!Salim-'2024'!Resal)*(1-EXP(('2024'!Tnet-t)/('2024'!Tau_j))),Resal+(Salim-Resal)*(1-EXP((Tnet-t)/(Tau_j))))*Salcycl</f>
        <v>4.2454401711661711E-2</v>
      </c>
      <c r="P186" s="171">
        <f>(INDEX(Models!$BJ186:$BT186,,T186)*(1-R186)+INDEX(Models!$BJ186:$BT186,,T186+1)*R186-ERP_i)*Q186*Ramure*Pc/MaxiM</f>
        <v>1.6353904979932644E-5</v>
      </c>
      <c r="Q186" s="307">
        <f t="shared" si="53"/>
        <v>1</v>
      </c>
      <c r="R186" s="179">
        <f t="shared" si="54"/>
        <v>0.59234466388177731</v>
      </c>
      <c r="S186" s="837">
        <f t="shared" si="55"/>
        <v>-3</v>
      </c>
      <c r="T186" s="178">
        <f t="shared" si="56"/>
        <v>3</v>
      </c>
      <c r="U186" s="253">
        <f t="shared" si="57"/>
        <v>-2.4076553361182227</v>
      </c>
      <c r="V186" s="385">
        <f t="shared" si="58"/>
        <v>58.38761181246138</v>
      </c>
      <c r="W186" s="404">
        <f t="shared" si="59"/>
        <v>19.551957170519788</v>
      </c>
      <c r="X186" s="157">
        <f t="shared" si="60"/>
        <v>45829</v>
      </c>
      <c r="Y186" s="387">
        <f t="shared" si="61"/>
        <v>18.053526025740286</v>
      </c>
      <c r="Z186" s="387">
        <f t="shared" si="62"/>
        <v>19.142149624934145</v>
      </c>
      <c r="AA186" s="388">
        <f t="shared" si="63"/>
        <v>21.649528196368507</v>
      </c>
      <c r="AB186" s="199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0.11581677663788298</v>
      </c>
      <c r="AD186" s="233">
        <f>(INDEX(Models!$BJ186:$BT186,,AH186)*(1-AF186)+INDEX(Models!$BJ186:$BT186,,AH186+1)*AF186-ERP_i)*AE186*Ramure*Pc/MaxiM</f>
        <v>5.2519857417710175E-4</v>
      </c>
      <c r="AE186" s="307">
        <f t="shared" si="65"/>
        <v>1</v>
      </c>
      <c r="AF186" s="179">
        <f t="shared" si="66"/>
        <v>0.52732725680534775</v>
      </c>
      <c r="AG186" s="837">
        <f t="shared" si="74"/>
        <v>2</v>
      </c>
      <c r="AH186" s="178">
        <f t="shared" si="67"/>
        <v>8</v>
      </c>
      <c r="AI186" s="227">
        <f t="shared" si="68"/>
        <v>2.5273272568053478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45830</v>
      </c>
      <c r="B187" s="1139">
        <f>IF(t&gt;Tmaj,'2024'!Wh/'2024'!Env_an*'2025'!Env_an,0.001*'[8]mon-tableau'!$B$223)</f>
        <v>47.217599803059521</v>
      </c>
      <c r="C187" s="866"/>
      <c r="D187" s="395">
        <f t="shared" si="50"/>
        <v>50.065975665166647</v>
      </c>
      <c r="E187" s="387">
        <f t="shared" si="75"/>
        <v>52.302784951822638</v>
      </c>
      <c r="F187" s="387">
        <f t="shared" si="51"/>
        <v>52.303419361176211</v>
      </c>
      <c r="G187" s="110">
        <f t="shared" si="76"/>
        <v>0.80967055394026799</v>
      </c>
      <c r="H187" s="414" t="b">
        <f>Wh_hp&gt;='2024'!Maxi_hp</f>
        <v>0</v>
      </c>
      <c r="I187" s="392">
        <f>IF(H187,Wh_hp,'2024'!Maxi_hp)</f>
        <v>63.856670121040153</v>
      </c>
      <c r="J187" s="85">
        <f>IF(H187,An,'2024'!An_max)</f>
        <v>2020</v>
      </c>
      <c r="K187" s="199">
        <f t="shared" si="52"/>
        <v>45830</v>
      </c>
      <c r="L187" s="147">
        <f>IF(t&lt;Tvie,1-EXP((T0-t)*PertePVj)+'2024'!Pspv,1-EXP((T0-t)*PertePVj)+Pspv)</f>
        <v>5.6892446901596672E-2</v>
      </c>
      <c r="M187" s="870"/>
      <c r="N187" s="870"/>
      <c r="O187" s="48">
        <f>IF(t&lt;Tnet,'2024'!Resal+('2024'!Salim-'2024'!Resal)*(1-EXP(('2024'!Tnet-t)/('2024'!Tau_j))),Resal+(Salim-Resal)*(1-EXP((Tnet-t)/(Tau_j))))*Salcycl</f>
        <v>4.2766542713095899E-2</v>
      </c>
      <c r="P187" s="171">
        <f>(INDEX(Models!$BJ187:$BT187,,T187)*(1-R187)+INDEX(Models!$BJ187:$BT187,,T187+1)*R187-ERP_i)*Q187*Ramure*Pc/MaxiM</f>
        <v>1.6658844233247013E-5</v>
      </c>
      <c r="Q187" s="307">
        <f t="shared" si="53"/>
        <v>1</v>
      </c>
      <c r="R187" s="179">
        <f t="shared" si="54"/>
        <v>0.59916088439790016</v>
      </c>
      <c r="S187" s="837">
        <f t="shared" si="55"/>
        <v>-3</v>
      </c>
      <c r="T187" s="178">
        <f t="shared" si="56"/>
        <v>3</v>
      </c>
      <c r="U187" s="253">
        <f t="shared" si="57"/>
        <v>-2.4008391156020998</v>
      </c>
      <c r="V187" s="385">
        <f t="shared" si="58"/>
        <v>58.316787860729384</v>
      </c>
      <c r="W187" s="404">
        <f t="shared" si="59"/>
        <v>47.217599803059521</v>
      </c>
      <c r="X187" s="157">
        <f t="shared" si="60"/>
        <v>45830</v>
      </c>
      <c r="Y187" s="387">
        <f t="shared" si="61"/>
        <v>43.586774249407824</v>
      </c>
      <c r="Z187" s="387">
        <f t="shared" si="62"/>
        <v>46.216122547435482</v>
      </c>
      <c r="AA187" s="388">
        <f t="shared" si="63"/>
        <v>52.283386553514404</v>
      </c>
      <c r="AB187" s="199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0.11604573471668297</v>
      </c>
      <c r="AD187" s="233">
        <f>(INDEX(Models!$BJ187:$BT187,,AH187)*(1-AF187)+INDEX(Models!$BJ187:$BT187,,AH187+1)*AF187-ERP_i)*AE187*Ramure*Pc/MaxiM</f>
        <v>5.2603799189628508E-4</v>
      </c>
      <c r="AE187" s="307">
        <f t="shared" si="65"/>
        <v>1</v>
      </c>
      <c r="AF187" s="179">
        <f t="shared" si="66"/>
        <v>0.53414347732147061</v>
      </c>
      <c r="AG187" s="837">
        <f t="shared" si="74"/>
        <v>2</v>
      </c>
      <c r="AH187" s="178">
        <f t="shared" si="67"/>
        <v>8</v>
      </c>
      <c r="AI187" s="227">
        <f t="shared" si="68"/>
        <v>2.5341434773214706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45831</v>
      </c>
      <c r="B188" s="1139">
        <f>IF(t&gt;Tmaj,'2024'!Wh/'2024'!Env_an*'2025'!Env_an,0.001*'[8]mon-tableau'!$B$224)</f>
        <v>41.842699536082108</v>
      </c>
      <c r="C188" s="866"/>
      <c r="D188" s="395">
        <f t="shared" si="50"/>
        <v>44.367869986853464</v>
      </c>
      <c r="E188" s="387">
        <f t="shared" si="75"/>
        <v>46.365151033909612</v>
      </c>
      <c r="F188" s="387">
        <f t="shared" si="51"/>
        <v>46.365620270309712</v>
      </c>
      <c r="G188" s="110">
        <f t="shared" si="76"/>
        <v>0.71839807347957629</v>
      </c>
      <c r="H188" s="414" t="b">
        <f>Wh_hp&gt;='2024'!Maxi_hp</f>
        <v>0</v>
      </c>
      <c r="I188" s="392">
        <f>IF(H188,Wh_hp,'2024'!Maxi_hp)</f>
        <v>56.926407326668489</v>
      </c>
      <c r="J188" s="85">
        <f>IF(H188,An,'2024'!An_max)</f>
        <v>2020</v>
      </c>
      <c r="K188" s="199">
        <f t="shared" si="52"/>
        <v>45831</v>
      </c>
      <c r="L188" s="147">
        <f>IF(t&lt;Tvie,1-EXP((T0-t)*PertePVj)+'2024'!Pspv,1-EXP((T0-t)*PertePVj)+Pspv)</f>
        <v>5.6914394392148737E-2</v>
      </c>
      <c r="M188" s="870"/>
      <c r="N188" s="870"/>
      <c r="O188" s="48">
        <f>IF(t&lt;Tnet,'2024'!Resal+('2024'!Salim-'2024'!Resal)*(1-EXP(('2024'!Tnet-t)/('2024'!Tau_j))),Resal+(Salim-Resal)*(1-EXP((Tnet-t)/(Tau_j))))*Salcycl</f>
        <v>4.307720351423884E-2</v>
      </c>
      <c r="P188" s="171">
        <f>(INDEX(Models!$BJ188:$BT188,,T188)*(1-R188)+INDEX(Models!$BJ188:$BT188,,T188+1)*R188-ERP_i)*Q188*Ramure*Pc/MaxiM</f>
        <v>1.6931635281596186E-5</v>
      </c>
      <c r="Q188" s="307">
        <f t="shared" si="53"/>
        <v>1</v>
      </c>
      <c r="R188" s="179">
        <f t="shared" si="54"/>
        <v>0.60590974516161067</v>
      </c>
      <c r="S188" s="837">
        <f t="shared" si="55"/>
        <v>-3</v>
      </c>
      <c r="T188" s="178">
        <f t="shared" si="56"/>
        <v>3</v>
      </c>
      <c r="U188" s="253">
        <f t="shared" si="57"/>
        <v>-2.3940902548383893</v>
      </c>
      <c r="V188" s="385">
        <f t="shared" si="58"/>
        <v>58.244051696930889</v>
      </c>
      <c r="W188" s="404">
        <f t="shared" si="59"/>
        <v>41.842699536082108</v>
      </c>
      <c r="X188" s="157">
        <f t="shared" si="60"/>
        <v>45831</v>
      </c>
      <c r="Y188" s="387">
        <f t="shared" si="61"/>
        <v>38.630368679743256</v>
      </c>
      <c r="Z188" s="387">
        <f t="shared" si="62"/>
        <v>40.96167776290536</v>
      </c>
      <c r="AA188" s="388">
        <f t="shared" si="63"/>
        <v>46.350944617685663</v>
      </c>
      <c r="AB188" s="199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0.11627091743722473</v>
      </c>
      <c r="AD188" s="233">
        <f>(INDEX(Models!$BJ188:$BT188,,AH188)*(1-AF188)+INDEX(Models!$BJ188:$BT188,,AH188+1)*AF188-ERP_i)*AE188*Ramure*Pc/MaxiM</f>
        <v>5.2954714872543236E-4</v>
      </c>
      <c r="AE188" s="307">
        <f t="shared" si="65"/>
        <v>1</v>
      </c>
      <c r="AF188" s="179">
        <f t="shared" si="66"/>
        <v>0.54089233808518111</v>
      </c>
      <c r="AG188" s="837">
        <f t="shared" si="74"/>
        <v>2</v>
      </c>
      <c r="AH188" s="178">
        <f t="shared" si="67"/>
        <v>8</v>
      </c>
      <c r="AI188" s="227">
        <f t="shared" si="68"/>
        <v>2.5408923380851811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45832</v>
      </c>
      <c r="B189" s="1139">
        <f>IF(t&gt;Tmaj,'2024'!Wh/'2024'!Env_an*'2025'!Env_an,0.001*'[8]mon-tableau'!$B$225)</f>
        <v>44.245917946867422</v>
      </c>
      <c r="C189" s="866"/>
      <c r="D189" s="395">
        <f t="shared" si="50"/>
        <v>46.917212366379928</v>
      </c>
      <c r="E189" s="387">
        <f t="shared" si="75"/>
        <v>49.045100512579715</v>
      </c>
      <c r="F189" s="387">
        <f t="shared" si="51"/>
        <v>49.045654677989504</v>
      </c>
      <c r="G189" s="110">
        <f t="shared" si="76"/>
        <v>0.76063183801964318</v>
      </c>
      <c r="H189" s="414" t="b">
        <f>Wh_hp&gt;='2024'!Maxi_hp</f>
        <v>0</v>
      </c>
      <c r="I189" s="392">
        <f>IF(H189,Wh_hp,'2024'!Maxi_hp)</f>
        <v>63.0959882762929</v>
      </c>
      <c r="J189" s="85">
        <f>IF(H189,An,'2024'!An_max)</f>
        <v>2020</v>
      </c>
      <c r="K189" s="199">
        <f t="shared" si="52"/>
        <v>45832</v>
      </c>
      <c r="L189" s="147">
        <f>IF(t&lt;Tvie,1-EXP((T0-t)*PertePVj)+'2024'!Pspv,1-EXP((T0-t)*PertePVj)+Pspv)</f>
        <v>5.6936341371950583E-2</v>
      </c>
      <c r="M189" s="870"/>
      <c r="N189" s="870"/>
      <c r="O189" s="48">
        <f>IF(t&lt;Tnet,'2024'!Resal+('2024'!Salim-'2024'!Resal)*(1-EXP(('2024'!Tnet-t)/('2024'!Tau_j))),Resal+(Salim-Resal)*(1-EXP((Tnet-t)/(Tau_j))))*Salcycl</f>
        <v>4.3386355088700403E-2</v>
      </c>
      <c r="P189" s="171">
        <f>(INDEX(Models!$BJ189:$BT189,,T189)*(1-R189)+INDEX(Models!$BJ189:$BT189,,T189+1)*R189-ERP_i)*Q189*Ramure*Pc/MaxiM</f>
        <v>1.717033447812669E-5</v>
      </c>
      <c r="Q189" s="307">
        <f t="shared" si="53"/>
        <v>1</v>
      </c>
      <c r="R189" s="179">
        <f t="shared" si="54"/>
        <v>0.61258662849576995</v>
      </c>
      <c r="S189" s="837">
        <f t="shared" si="55"/>
        <v>-3</v>
      </c>
      <c r="T189" s="178">
        <f t="shared" si="56"/>
        <v>3</v>
      </c>
      <c r="U189" s="253">
        <f t="shared" si="57"/>
        <v>-2.3874133715042301</v>
      </c>
      <c r="V189" s="385">
        <f t="shared" si="58"/>
        <v>58.169611037113391</v>
      </c>
      <c r="W189" s="404">
        <f t="shared" si="59"/>
        <v>44.245917946867422</v>
      </c>
      <c r="X189" s="157">
        <f t="shared" si="60"/>
        <v>45832</v>
      </c>
      <c r="Y189" s="387">
        <f t="shared" si="61"/>
        <v>40.850628250699934</v>
      </c>
      <c r="Z189" s="387">
        <f t="shared" si="62"/>
        <v>43.316936112381455</v>
      </c>
      <c r="AA189" s="388">
        <f t="shared" si="63"/>
        <v>49.028363193416389</v>
      </c>
      <c r="AB189" s="199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0.11649230586188263</v>
      </c>
      <c r="AD189" s="233">
        <f>(INDEX(Models!$BJ189:$BT189,,AH189)*(1-AF189)+INDEX(Models!$BJ189:$BT189,,AH189+1)*AF189-ERP_i)*AE189*Ramure*Pc/MaxiM</f>
        <v>5.3576164895982484E-4</v>
      </c>
      <c r="AE189" s="307">
        <f t="shared" si="65"/>
        <v>1</v>
      </c>
      <c r="AF189" s="179">
        <f t="shared" si="66"/>
        <v>0.54756922141934039</v>
      </c>
      <c r="AG189" s="837">
        <f t="shared" si="74"/>
        <v>2</v>
      </c>
      <c r="AH189" s="178">
        <f t="shared" si="67"/>
        <v>8</v>
      </c>
      <c r="AI189" s="227">
        <f t="shared" si="68"/>
        <v>2.5475692214193404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45833</v>
      </c>
      <c r="B190" s="1139">
        <f>IF(t&gt;Tmaj,'2024'!Wh/'2024'!Env_an*'2025'!Env_an,0.001*'[8]mon-tableau'!$B$226)</f>
        <v>30.989476422456814</v>
      </c>
      <c r="C190" s="866"/>
      <c r="D190" s="395">
        <f t="shared" si="50"/>
        <v>32.861193755162709</v>
      </c>
      <c r="E190" s="387">
        <f t="shared" si="75"/>
        <v>34.362633725859524</v>
      </c>
      <c r="F190" s="387">
        <f t="shared" si="51"/>
        <v>34.362832814007305</v>
      </c>
      <c r="G190" s="110">
        <f t="shared" si="76"/>
        <v>0.53343360748372781</v>
      </c>
      <c r="H190" s="414" t="b">
        <f>Wh_hp&gt;='2024'!Maxi_hp</f>
        <v>0</v>
      </c>
      <c r="I190" s="392">
        <f>IF(H190,Wh_hp,'2024'!Maxi_hp)</f>
        <v>58.333269226080525</v>
      </c>
      <c r="J190" s="85">
        <f>IF(H190,An,'2024'!An_max)</f>
        <v>2021</v>
      </c>
      <c r="K190" s="199">
        <f t="shared" si="52"/>
        <v>45833</v>
      </c>
      <c r="L190" s="147">
        <f>IF(t&lt;Tvie,1-EXP((T0-t)*PertePVj)+'2024'!Pspv,1-EXP((T0-t)*PertePVj)+Pspv)</f>
        <v>5.6958287841014199E-2</v>
      </c>
      <c r="M190" s="870"/>
      <c r="N190" s="870"/>
      <c r="O190" s="48">
        <f>IF(t&lt;Tnet,'2024'!Resal+('2024'!Salim-'2024'!Resal)*(1-EXP(('2024'!Tnet-t)/('2024'!Tau_j))),Resal+(Salim-Resal)*(1-EXP((Tnet-t)/(Tau_j))))*Salcycl</f>
        <v>4.3693972431656368E-2</v>
      </c>
      <c r="P190" s="171">
        <f>(INDEX(Models!$BJ190:$BT190,,T190)*(1-R190)+INDEX(Models!$BJ190:$BT190,,T190+1)*R190-ERP_i)*Q190*Ramure*Pc/MaxiM</f>
        <v>1.7373191766054511E-5</v>
      </c>
      <c r="Q190" s="307">
        <f t="shared" si="53"/>
        <v>1</v>
      </c>
      <c r="R190" s="179">
        <f t="shared" si="54"/>
        <v>0.61918713484313637</v>
      </c>
      <c r="S190" s="837">
        <f t="shared" si="55"/>
        <v>-3</v>
      </c>
      <c r="T190" s="178">
        <f t="shared" si="56"/>
        <v>3</v>
      </c>
      <c r="U190" s="253">
        <f t="shared" si="57"/>
        <v>-2.3808128651568636</v>
      </c>
      <c r="V190" s="385">
        <f t="shared" si="58"/>
        <v>58.09367303337627</v>
      </c>
      <c r="W190" s="404">
        <f t="shared" si="59"/>
        <v>30.989476422456814</v>
      </c>
      <c r="X190" s="157">
        <f t="shared" si="60"/>
        <v>45833</v>
      </c>
      <c r="Y190" s="387">
        <f t="shared" si="61"/>
        <v>28.618332751718711</v>
      </c>
      <c r="Z190" s="387">
        <f t="shared" si="62"/>
        <v>30.34683660619881</v>
      </c>
      <c r="AA190" s="388">
        <f t="shared" si="63"/>
        <v>34.356590570311269</v>
      </c>
      <c r="AB190" s="199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0.1167098916845791</v>
      </c>
      <c r="AD190" s="233">
        <f>(INDEX(Models!$BJ190:$BT190,,AH190)*(1-AF190)+INDEX(Models!$BJ190:$BT190,,AH190+1)*AF190-ERP_i)*AE190*Ramure*Pc/MaxiM</f>
        <v>5.4472201378880005E-4</v>
      </c>
      <c r="AE190" s="307">
        <f t="shared" si="65"/>
        <v>1</v>
      </c>
      <c r="AF190" s="179">
        <f t="shared" si="66"/>
        <v>0.55416972776670681</v>
      </c>
      <c r="AG190" s="837">
        <f t="shared" si="74"/>
        <v>2</v>
      </c>
      <c r="AH190" s="178">
        <f t="shared" si="67"/>
        <v>8</v>
      </c>
      <c r="AI190" s="227">
        <f t="shared" si="68"/>
        <v>2.5541697277667068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45834</v>
      </c>
      <c r="B191" s="1139">
        <f>IF(t&gt;Tmaj,'2024'!Wh/'2024'!Env_an*'2025'!Env_an,0.001*'[8]mon-tableau'!$B$227)</f>
        <v>11.841386082942174</v>
      </c>
      <c r="C191" s="866"/>
      <c r="D191" s="395">
        <f t="shared" si="50"/>
        <v>12.556880043617934</v>
      </c>
      <c r="E191" s="387">
        <f t="shared" si="75"/>
        <v>13.134812236476169</v>
      </c>
      <c r="F191" s="387">
        <f t="shared" si="51"/>
        <v>13.134812236476169</v>
      </c>
      <c r="G191" s="110">
        <f t="shared" si="76"/>
        <v>0.20410062036710935</v>
      </c>
      <c r="H191" s="414" t="b">
        <f>Wh_hp&gt;='2024'!Maxi_hp</f>
        <v>0</v>
      </c>
      <c r="I191" s="392">
        <f>IF(H191,Wh_hp,'2024'!Maxi_hp)</f>
        <v>61.173275923851143</v>
      </c>
      <c r="J191" s="85">
        <f>IF(H191,An,'2024'!An_max)</f>
        <v>2019</v>
      </c>
      <c r="K191" s="199">
        <f t="shared" si="52"/>
        <v>45834</v>
      </c>
      <c r="L191" s="147">
        <f>IF(t&lt;Tvie,1-EXP((T0-t)*PertePVj)+'2024'!Pspv,1-EXP((T0-t)*PertePVj)+Pspv)</f>
        <v>5.6980233799351465E-2</v>
      </c>
      <c r="M191" s="870"/>
      <c r="N191" s="870"/>
      <c r="O191" s="48">
        <f>IF(t&lt;Tnet,'2024'!Resal+('2024'!Salim-'2024'!Resal)*(1-EXP(('2024'!Tnet-t)/('2024'!Tau_j))),Resal+(Salim-Resal)*(1-EXP((Tnet-t)/(Tau_j))))*Salcycl</f>
        <v>4.4000034599145831E-2</v>
      </c>
      <c r="P191" s="171">
        <f>(INDEX(Models!$BJ191:$BT191,,T191)*(1-R191)+INDEX(Models!$BJ191:$BT191,,T191+1)*R191-ERP_i)*Q191*Ramure*Pc/MaxiM</f>
        <v>1.7538512545651572E-5</v>
      </c>
      <c r="Q191" s="307">
        <f t="shared" si="53"/>
        <v>1</v>
      </c>
      <c r="R191" s="179">
        <f t="shared" si="54"/>
        <v>0.6257070921203014</v>
      </c>
      <c r="S191" s="837">
        <f t="shared" si="55"/>
        <v>-3</v>
      </c>
      <c r="T191" s="178">
        <f t="shared" si="56"/>
        <v>3</v>
      </c>
      <c r="U191" s="253">
        <f t="shared" si="57"/>
        <v>-2.3742929078796986</v>
      </c>
      <c r="V191" s="385">
        <f t="shared" si="58"/>
        <v>58.016376340970673</v>
      </c>
      <c r="W191" s="404">
        <f t="shared" si="59"/>
        <v>11.841386082942174</v>
      </c>
      <c r="X191" s="157">
        <f t="shared" si="60"/>
        <v>45834</v>
      </c>
      <c r="Y191" s="387">
        <f t="shared" si="61"/>
        <v>10.938125584782632</v>
      </c>
      <c r="Z191" s="387">
        <f t="shared" si="62"/>
        <v>11.599041692255792</v>
      </c>
      <c r="AA191" s="388">
        <f t="shared" si="63"/>
        <v>13.134812236476169</v>
      </c>
      <c r="AB191" s="199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0.11692367706296163</v>
      </c>
      <c r="AD191" s="233">
        <f>(INDEX(Models!$BJ191:$BT191,,AH191)*(1-AF191)+INDEX(Models!$BJ191:$BT191,,AH191+1)*AF191-ERP_i)*AE191*Ramure*Pc/MaxiM</f>
        <v>5.5646895566845763E-4</v>
      </c>
      <c r="AE191" s="307">
        <f t="shared" si="65"/>
        <v>1</v>
      </c>
      <c r="AF191" s="179">
        <f t="shared" si="66"/>
        <v>0.56068968504387184</v>
      </c>
      <c r="AG191" s="837">
        <f t="shared" si="74"/>
        <v>2</v>
      </c>
      <c r="AH191" s="178">
        <f t="shared" si="67"/>
        <v>8</v>
      </c>
      <c r="AI191" s="227">
        <f t="shared" si="68"/>
        <v>2.5606896850438718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45835</v>
      </c>
      <c r="B192" s="1139">
        <f>IF(t&gt;Tmaj,'2024'!Wh/'2024'!Env_an*'2025'!Env_an,0.001*'[8]mon-tableau'!$B$228)</f>
        <v>17.580515569889069</v>
      </c>
      <c r="C192" s="866"/>
      <c r="D192" s="395">
        <f t="shared" si="50"/>
        <v>18.643219722236733</v>
      </c>
      <c r="E192" s="387">
        <f t="shared" si="75"/>
        <v>19.507489785715389</v>
      </c>
      <c r="F192" s="387">
        <f t="shared" si="51"/>
        <v>19.507491480248937</v>
      </c>
      <c r="G192" s="110">
        <f t="shared" si="76"/>
        <v>0.30343352747005381</v>
      </c>
      <c r="H192" s="414" t="b">
        <f>Wh_hp&gt;='2024'!Maxi_hp</f>
        <v>0</v>
      </c>
      <c r="I192" s="392">
        <f>IF(H192,Wh_hp,'2024'!Maxi_hp)</f>
        <v>60.985394415911713</v>
      </c>
      <c r="J192" s="85">
        <f>IF(H192,An,'2024'!An_max)</f>
        <v>2019</v>
      </c>
      <c r="K192" s="199">
        <f t="shared" si="52"/>
        <v>45835</v>
      </c>
      <c r="L192" s="147">
        <f>IF(t&lt;Tvie,1-EXP((T0-t)*PertePVj)+'2024'!Pspv,1-EXP((T0-t)*PertePVj)+Pspv)</f>
        <v>5.700217924697415E-2</v>
      </c>
      <c r="M192" s="870"/>
      <c r="N192" s="870"/>
      <c r="O192" s="48">
        <f>IF(t&lt;Tnet,'2024'!Resal+('2024'!Salim-'2024'!Resal)*(1-EXP(('2024'!Tnet-t)/('2024'!Tau_j))),Resal+(Salim-Resal)*(1-EXP((Tnet-t)/(Tau_j))))*Salcycl</f>
        <v>4.4304524722167553E-2</v>
      </c>
      <c r="P192" s="171">
        <f>(INDEX(Models!$BJ192:$BT192,,T192)*(1-R192)+INDEX(Models!$BJ192:$BT192,,T192+1)*R192-ERP_i)*Q192*Ramure*Pc/MaxiM</f>
        <v>1.7682003261237059E-5</v>
      </c>
      <c r="Q192" s="307">
        <f t="shared" si="53"/>
        <v>1</v>
      </c>
      <c r="R192" s="179">
        <f t="shared" si="54"/>
        <v>0.63214256370510524</v>
      </c>
      <c r="S192" s="837">
        <f t="shared" si="55"/>
        <v>-3</v>
      </c>
      <c r="T192" s="178">
        <f t="shared" si="56"/>
        <v>3</v>
      </c>
      <c r="U192" s="253">
        <f t="shared" si="57"/>
        <v>-2.3678574362948948</v>
      </c>
      <c r="V192" s="385">
        <f t="shared" si="58"/>
        <v>57.93758647850423</v>
      </c>
      <c r="W192" s="404">
        <f t="shared" si="59"/>
        <v>17.580515569889069</v>
      </c>
      <c r="X192" s="157">
        <f t="shared" si="60"/>
        <v>45835</v>
      </c>
      <c r="Y192" s="387">
        <f t="shared" si="61"/>
        <v>16.240741152179488</v>
      </c>
      <c r="Z192" s="387">
        <f t="shared" si="62"/>
        <v>17.222458837932979</v>
      </c>
      <c r="AA192" s="388">
        <f t="shared" si="63"/>
        <v>19.507436560209786</v>
      </c>
      <c r="AB192" s="199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0.1171336743925432</v>
      </c>
      <c r="AD192" s="233">
        <f>(INDEX(Models!$BJ192:$BT192,,AH192)*(1-AF192)+INDEX(Models!$BJ192:$BT192,,AH192+1)*AF192-ERP_i)*AE192*Ramure*Pc/MaxiM</f>
        <v>5.7307588455634282E-4</v>
      </c>
      <c r="AE192" s="307">
        <f t="shared" si="65"/>
        <v>1</v>
      </c>
      <c r="AF192" s="179">
        <f t="shared" si="66"/>
        <v>0.56712515662867569</v>
      </c>
      <c r="AG192" s="837">
        <f t="shared" si="74"/>
        <v>2</v>
      </c>
      <c r="AH192" s="178">
        <f t="shared" si="67"/>
        <v>8</v>
      </c>
      <c r="AI192" s="227">
        <f t="shared" si="68"/>
        <v>2.5671251566286757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45836</v>
      </c>
      <c r="B193" s="1139">
        <f>IF(t&gt;Tmaj,'2024'!Wh/'2024'!Env_an*'2025'!Env_an,0.001*'[8]mon-tableau'!$B$229)</f>
        <v>59.981592943704193</v>
      </c>
      <c r="C193" s="866"/>
      <c r="D193" s="395">
        <f t="shared" si="50"/>
        <v>63.608830811066781</v>
      </c>
      <c r="E193" s="387">
        <f t="shared" si="75"/>
        <v>66.578737168500552</v>
      </c>
      <c r="F193" s="387">
        <f t="shared" si="51"/>
        <v>66.57992359839362</v>
      </c>
      <c r="G193" s="110">
        <f t="shared" si="76"/>
        <v>1.036719640791316</v>
      </c>
      <c r="H193" s="414" t="b">
        <f>Wh_hp&gt;='2024'!Maxi_hp</f>
        <v>1</v>
      </c>
      <c r="I193" s="392">
        <f>IF(H193,Wh_hp,'2024'!Maxi_hp)</f>
        <v>66.57992359839362</v>
      </c>
      <c r="J193" s="85">
        <f>IF(H193,An,'2024'!An_max)</f>
        <v>2025</v>
      </c>
      <c r="K193" s="199">
        <f t="shared" si="52"/>
        <v>45836</v>
      </c>
      <c r="L193" s="147">
        <f>IF(t&lt;Tvie,1-EXP((T0-t)*PertePVj)+'2024'!Pspv,1-EXP((T0-t)*PertePVj)+Pspv)</f>
        <v>5.7024124183894243E-2</v>
      </c>
      <c r="M193" s="870"/>
      <c r="N193" s="870"/>
      <c r="O193" s="48">
        <f>IF(t&lt;Tnet,'2024'!Resal+('2024'!Salim-'2024'!Resal)*(1-EXP(('2024'!Tnet-t)/('2024'!Tau_j))),Resal+(Salim-Resal)*(1-EXP((Tnet-t)/(Tau_j))))*Salcycl</f>
        <v>4.4607429995516361E-2</v>
      </c>
      <c r="P193" s="171">
        <f>(INDEX(Models!$BJ193:$BT193,,T193)*(1-R193)+INDEX(Models!$BJ193:$BT193,,T193+1)*R193-ERP_i)*Q193*Ramure*Pc/MaxiM</f>
        <v>1.7819634342430441E-5</v>
      </c>
      <c r="Q193" s="307">
        <f t="shared" si="53"/>
        <v>1</v>
      </c>
      <c r="R193" s="179">
        <f t="shared" si="54"/>
        <v>0.63848985504826672</v>
      </c>
      <c r="S193" s="837">
        <f t="shared" si="55"/>
        <v>-3</v>
      </c>
      <c r="T193" s="178">
        <f t="shared" si="56"/>
        <v>3</v>
      </c>
      <c r="U193" s="253">
        <f t="shared" si="57"/>
        <v>-2.3615101449517333</v>
      </c>
      <c r="V193" s="385">
        <f t="shared" si="58"/>
        <v>57.85710097854512</v>
      </c>
      <c r="W193" s="404">
        <f t="shared" si="59"/>
        <v>59.981592943704193</v>
      </c>
      <c r="X193" s="157">
        <f t="shared" si="60"/>
        <v>45836</v>
      </c>
      <c r="Y193" s="387">
        <f t="shared" si="61"/>
        <v>55.383404663144184</v>
      </c>
      <c r="Z193" s="387">
        <f t="shared" si="62"/>
        <v>58.732578513964832</v>
      </c>
      <c r="AA193" s="388">
        <f t="shared" si="63"/>
        <v>66.540425827385576</v>
      </c>
      <c r="AB193" s="199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0.11733990602457682</v>
      </c>
      <c r="AD193" s="233">
        <f>(INDEX(Models!$BJ193:$BT193,,AH193)*(1-AF193)+INDEX(Models!$BJ193:$BT193,,AH193+1)*AF193-ERP_i)*AE193*Ramure*Pc/MaxiM</f>
        <v>5.9323845497761228E-4</v>
      </c>
      <c r="AE193" s="307">
        <f t="shared" si="65"/>
        <v>1</v>
      </c>
      <c r="AF193" s="179">
        <f t="shared" si="66"/>
        <v>0.57347244797183716</v>
      </c>
      <c r="AG193" s="837">
        <f t="shared" si="74"/>
        <v>2</v>
      </c>
      <c r="AH193" s="178">
        <f t="shared" si="67"/>
        <v>8</v>
      </c>
      <c r="AI193" s="227">
        <f t="shared" si="68"/>
        <v>2.5734724479718372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45837</v>
      </c>
      <c r="B194" s="1139">
        <f>IF(t&gt;Tmaj,'2024'!Wh/'2024'!Env_an*'2025'!Env_an,0.001*'[8]mon-tableau'!$B$230)</f>
        <v>55.69535039095836</v>
      </c>
      <c r="C194" s="866"/>
      <c r="D194" s="395">
        <f t="shared" si="50"/>
        <v>59.064762908263859</v>
      </c>
      <c r="E194" s="387">
        <f t="shared" si="75"/>
        <v>61.842009746564123</v>
      </c>
      <c r="F194" s="387">
        <f t="shared" si="51"/>
        <v>61.843062839684734</v>
      </c>
      <c r="G194" s="110">
        <f t="shared" si="76"/>
        <v>0.96400814429368697</v>
      </c>
      <c r="H194" s="414" t="b">
        <f>Wh_hp&gt;='2024'!Maxi_hp</f>
        <v>1</v>
      </c>
      <c r="I194" s="392">
        <f>IF(H194,Wh_hp,'2024'!Maxi_hp)</f>
        <v>61.843062839684734</v>
      </c>
      <c r="J194" s="85">
        <f>IF(H194,An,'2024'!An_max)</f>
        <v>2025</v>
      </c>
      <c r="K194" s="199">
        <f t="shared" si="52"/>
        <v>45837</v>
      </c>
      <c r="L194" s="147">
        <f>IF(t&lt;Tvie,1-EXP((T0-t)*PertePVj)+'2024'!Pspv,1-EXP((T0-t)*PertePVj)+Pspv)</f>
        <v>5.7046068610123513E-2</v>
      </c>
      <c r="M194" s="870"/>
      <c r="N194" s="870"/>
      <c r="O194" s="48">
        <f>IF(t&lt;Tnet,'2024'!Resal+('2024'!Salim-'2024'!Resal)*(1-EXP(('2024'!Tnet-t)/('2024'!Tau_j))),Resal+(Salim-Resal)*(1-EXP((Tnet-t)/(Tau_j))))*Salcycl</f>
        <v>4.4908741641511138E-2</v>
      </c>
      <c r="P194" s="171">
        <f>(INDEX(Models!$BJ194:$BT194,,T194)*(1-R194)+INDEX(Models!$BJ194:$BT194,,T194+1)*R194-ERP_i)*Q194*Ramure*Pc/MaxiM</f>
        <v>1.7951462545400014E-5</v>
      </c>
      <c r="Q194" s="307">
        <f t="shared" si="53"/>
        <v>1</v>
      </c>
      <c r="R194" s="179">
        <f t="shared" si="54"/>
        <v>0.64474551891274778</v>
      </c>
      <c r="S194" s="837">
        <f t="shared" si="55"/>
        <v>-3</v>
      </c>
      <c r="T194" s="178">
        <f t="shared" si="56"/>
        <v>3</v>
      </c>
      <c r="U194" s="253">
        <f t="shared" si="57"/>
        <v>-2.3552544810872522</v>
      </c>
      <c r="V194" s="385">
        <f t="shared" si="58"/>
        <v>57.774718308878313</v>
      </c>
      <c r="W194" s="404">
        <f t="shared" si="59"/>
        <v>55.69535039095836</v>
      </c>
      <c r="X194" s="157">
        <f t="shared" si="60"/>
        <v>45837</v>
      </c>
      <c r="Y194" s="387">
        <f t="shared" si="61"/>
        <v>51.430536223924506</v>
      </c>
      <c r="Z194" s="387">
        <f t="shared" si="62"/>
        <v>54.54193944355049</v>
      </c>
      <c r="AA194" s="388">
        <f t="shared" si="63"/>
        <v>61.806867192762567</v>
      </c>
      <c r="AB194" s="199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0.11754240392987886</v>
      </c>
      <c r="AD194" s="233">
        <f>(INDEX(Models!$BJ194:$BT194,,AH194)*(1-AF194)+INDEX(Models!$BJ194:$BT194,,AH194+1)*AF194-ERP_i)*AE194*Ramure*Pc/MaxiM</f>
        <v>6.1700602474072891E-4</v>
      </c>
      <c r="AE194" s="307">
        <f t="shared" si="65"/>
        <v>1</v>
      </c>
      <c r="AF194" s="179">
        <f t="shared" si="66"/>
        <v>0.57972811183631823</v>
      </c>
      <c r="AG194" s="837">
        <f t="shared" si="74"/>
        <v>2</v>
      </c>
      <c r="AH194" s="178">
        <f t="shared" si="67"/>
        <v>8</v>
      </c>
      <c r="AI194" s="227">
        <f t="shared" si="68"/>
        <v>2.5797281118363182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45838</v>
      </c>
      <c r="B195" s="1139">
        <f>IF(t&gt;Tmaj,'2024'!Wh/'2024'!Env_an*'2025'!Env_an,0.001*'[8]mon-tableau'!$B$231)</f>
        <v>13.489473160512619</v>
      </c>
      <c r="C195" s="866"/>
      <c r="D195" s="395">
        <f t="shared" si="50"/>
        <v>14.305881378194213</v>
      </c>
      <c r="E195" s="387">
        <f t="shared" si="75"/>
        <v>14.983251004732507</v>
      </c>
      <c r="F195" s="387">
        <f t="shared" si="51"/>
        <v>14.983251004732507</v>
      </c>
      <c r="G195" s="110">
        <f t="shared" si="76"/>
        <v>0.23382170045261785</v>
      </c>
      <c r="H195" s="414" t="b">
        <f>Wh_hp&gt;='2024'!Maxi_hp</f>
        <v>0</v>
      </c>
      <c r="I195" s="392">
        <f>IF(H195,Wh_hp,'2024'!Maxi_hp)</f>
        <v>57.491267700625883</v>
      </c>
      <c r="J195" s="85">
        <f>IF(H195,An,'2024'!An_max)</f>
        <v>2019</v>
      </c>
      <c r="K195" s="199">
        <f t="shared" si="52"/>
        <v>45838</v>
      </c>
      <c r="L195" s="147">
        <f>IF(t&lt;Tvie,1-EXP((T0-t)*PertePVj)+'2024'!Pspv,1-EXP((T0-t)*PertePVj)+Pspv)</f>
        <v>5.7068012525674061E-2</v>
      </c>
      <c r="M195" s="870"/>
      <c r="N195" s="870"/>
      <c r="O195" s="48">
        <f>IF(t&lt;Tnet,'2024'!Resal+('2024'!Salim-'2024'!Resal)*(1-EXP(('2024'!Tnet-t)/('2024'!Tau_j))),Resal+(Salim-Resal)*(1-EXP((Tnet-t)/(Tau_j))))*Salcycl</f>
        <v>4.5208454848973977E-2</v>
      </c>
      <c r="P195" s="171">
        <f>(INDEX(Models!$BJ195:$BT195,,T195)*(1-R195)+INDEX(Models!$BJ195:$BT195,,T195+1)*R195-ERP_i)*Q195*Ramure*Pc/MaxiM</f>
        <v>1.8077558901226925E-5</v>
      </c>
      <c r="Q195" s="307">
        <f t="shared" si="53"/>
        <v>1</v>
      </c>
      <c r="R195" s="179">
        <f t="shared" si="54"/>
        <v>0.65090635925652585</v>
      </c>
      <c r="S195" s="837">
        <f t="shared" si="55"/>
        <v>-3</v>
      </c>
      <c r="T195" s="178">
        <f t="shared" si="56"/>
        <v>3</v>
      </c>
      <c r="U195" s="253">
        <f t="shared" si="57"/>
        <v>-2.3490936407434742</v>
      </c>
      <c r="V195" s="385">
        <f t="shared" si="58"/>
        <v>57.690236952581316</v>
      </c>
      <c r="W195" s="404">
        <f t="shared" si="59"/>
        <v>13.489473160512619</v>
      </c>
      <c r="X195" s="157">
        <f t="shared" si="60"/>
        <v>45838</v>
      </c>
      <c r="Y195" s="387">
        <f t="shared" si="61"/>
        <v>12.46471686732397</v>
      </c>
      <c r="Z195" s="387">
        <f t="shared" si="62"/>
        <v>13.219104912021407</v>
      </c>
      <c r="AA195" s="388">
        <f t="shared" si="63"/>
        <v>14.983251004732507</v>
      </c>
      <c r="AB195" s="199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0.11774120931124291</v>
      </c>
      <c r="AD195" s="233">
        <f>(INDEX(Models!$BJ195:$BT195,,AH195)*(1-AF195)+INDEX(Models!$BJ195:$BT195,,AH195+1)*AF195-ERP_i)*AE195*Ramure*Pc/MaxiM</f>
        <v>6.4442791562767398E-4</v>
      </c>
      <c r="AE195" s="307">
        <f t="shared" si="65"/>
        <v>1</v>
      </c>
      <c r="AF195" s="179">
        <f t="shared" si="66"/>
        <v>0.58588895218009629</v>
      </c>
      <c r="AG195" s="837">
        <f t="shared" si="74"/>
        <v>2</v>
      </c>
      <c r="AH195" s="178">
        <f t="shared" si="67"/>
        <v>8</v>
      </c>
      <c r="AI195" s="227">
        <f t="shared" si="68"/>
        <v>2.5858889521800963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45839</v>
      </c>
      <c r="B196" s="1139">
        <f>IF(t&gt;Tmaj,'2024'!Wh/'2024'!Env_an*'2025'!Env_an,0.001*[9]mois!$B$208)</f>
        <v>55.022368429674714</v>
      </c>
      <c r="C196" s="866"/>
      <c r="D196" s="395">
        <f t="shared" si="50"/>
        <v>58.353783349477695</v>
      </c>
      <c r="E196" s="387">
        <f t="shared" si="75"/>
        <v>61.135866874713976</v>
      </c>
      <c r="F196" s="387">
        <f t="shared" si="51"/>
        <v>61.13690822771806</v>
      </c>
      <c r="G196" s="110">
        <f t="shared" si="76"/>
        <v>0.95519103747743284</v>
      </c>
      <c r="H196" s="414" t="b">
        <f>Wh_hp&gt;='2024'!Maxi_hp</f>
        <v>1</v>
      </c>
      <c r="I196" s="392">
        <f>IF(H196,Wh_hp,'2024'!Maxi_hp)</f>
        <v>61.13690822771806</v>
      </c>
      <c r="J196" s="85">
        <f>IF(H196,An,'2024'!An_max)</f>
        <v>2025</v>
      </c>
      <c r="K196" s="199">
        <f t="shared" si="52"/>
        <v>45839</v>
      </c>
      <c r="L196" s="147">
        <f>IF(t&lt;Tvie,1-EXP((T0-t)*PertePVj)+'2024'!Pspv,1-EXP((T0-t)*PertePVj)+Pspv)</f>
        <v>5.7089955930557545E-2</v>
      </c>
      <c r="M196" s="870"/>
      <c r="N196" s="870"/>
      <c r="O196" s="48">
        <f>IF(t&lt;Tnet,'2024'!Resal+('2024'!Salim-'2024'!Resal)*(1-EXP(('2024'!Tnet-t)/('2024'!Tau_j))),Resal+(Salim-Resal)*(1-EXP((Tnet-t)/(Tau_j))))*Salcycl</f>
        <v>4.5506568688027646E-2</v>
      </c>
      <c r="P196" s="171">
        <f>(INDEX(Models!$BJ196:$BT196,,T196)*(1-R196)+INDEX(Models!$BJ196:$BT196,,T196+1)*R196-ERP_i)*Q196*Ramure*Pc/MaxiM</f>
        <v>1.819800820852995E-5</v>
      </c>
      <c r="Q196" s="307">
        <f t="shared" si="53"/>
        <v>1</v>
      </c>
      <c r="R196" s="179">
        <f t="shared" si="54"/>
        <v>0.6569694337858456</v>
      </c>
      <c r="S196" s="837">
        <f t="shared" si="55"/>
        <v>-3</v>
      </c>
      <c r="T196" s="178">
        <f t="shared" si="56"/>
        <v>3</v>
      </c>
      <c r="U196" s="253">
        <f t="shared" si="57"/>
        <v>-2.3430305662141544</v>
      </c>
      <c r="V196" s="385">
        <f t="shared" si="58"/>
        <v>57.603455408901425</v>
      </c>
      <c r="W196" s="404">
        <f t="shared" si="59"/>
        <v>55.022368429674714</v>
      </c>
      <c r="X196" s="157">
        <f t="shared" si="60"/>
        <v>45839</v>
      </c>
      <c r="Y196" s="387">
        <f t="shared" si="61"/>
        <v>50.815821680676223</v>
      </c>
      <c r="Z196" s="387">
        <f t="shared" si="62"/>
        <v>53.892544681530396</v>
      </c>
      <c r="AA196" s="388">
        <f t="shared" si="63"/>
        <v>61.09825071685605</v>
      </c>
      <c r="AB196" s="199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0.1179363721674884</v>
      </c>
      <c r="AD196" s="233">
        <f>(INDEX(Models!$BJ196:$BT196,,AH196)*(1-AF196)+INDEX(Models!$BJ196:$BT196,,AH196+1)*AF196-ERP_i)*AE196*Ramure*Pc/MaxiM</f>
        <v>6.7555353202270905E-4</v>
      </c>
      <c r="AE196" s="307">
        <f t="shared" si="65"/>
        <v>1</v>
      </c>
      <c r="AF196" s="179">
        <f t="shared" si="66"/>
        <v>0.59195202670941605</v>
      </c>
      <c r="AG196" s="837">
        <f t="shared" si="74"/>
        <v>2</v>
      </c>
      <c r="AH196" s="178">
        <f t="shared" si="67"/>
        <v>8</v>
      </c>
      <c r="AI196" s="227">
        <f t="shared" si="68"/>
        <v>2.591952026709416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45840</v>
      </c>
      <c r="B197" s="1139">
        <f>IF(t&gt;Tmaj,'2024'!Wh/'2024'!Env_an*'2025'!Env_an,0.001*[9]mois!$B$209)</f>
        <v>51.232930366316374</v>
      </c>
      <c r="C197" s="866"/>
      <c r="D197" s="395">
        <f t="shared" si="50"/>
        <v>54.336172343738077</v>
      </c>
      <c r="E197" s="387">
        <f t="shared" si="75"/>
        <v>56.944401670767064</v>
      </c>
      <c r="F197" s="387">
        <f t="shared" si="51"/>
        <v>56.945281804456847</v>
      </c>
      <c r="G197" s="110">
        <f t="shared" si="76"/>
        <v>0.89078538433900267</v>
      </c>
      <c r="H197" s="414" t="b">
        <f>Wh_hp&gt;='2024'!Maxi_hp</f>
        <v>0</v>
      </c>
      <c r="I197" s="392">
        <f>IF(H197,Wh_hp,'2024'!Maxi_hp)</f>
        <v>57.066664805016352</v>
      </c>
      <c r="J197" s="85">
        <f>IF(H197,An,'2024'!An_max)</f>
        <v>2021</v>
      </c>
      <c r="K197" s="199">
        <f t="shared" si="52"/>
        <v>45840</v>
      </c>
      <c r="L197" s="147">
        <f>IF(t&lt;Tvie,1-EXP((T0-t)*PertePVj)+'2024'!Pspv,1-EXP((T0-t)*PertePVj)+Pspv)</f>
        <v>5.7111898824785956E-2</v>
      </c>
      <c r="M197" s="870"/>
      <c r="N197" s="870"/>
      <c r="O197" s="48">
        <f>IF(t&lt;Tnet,'2024'!Resal+('2024'!Salim-'2024'!Resal)*(1-EXP(('2024'!Tnet-t)/('2024'!Tau_j))),Resal+(Salim-Resal)*(1-EXP((Tnet-t)/(Tau_j))))*Salcycl</f>
        <v>4.5803086001480413E-2</v>
      </c>
      <c r="P197" s="171">
        <f>(INDEX(Models!$BJ197:$BT197,,T197)*(1-R197)+INDEX(Models!$BJ197:$BT197,,T197+1)*R197-ERP_i)*Q197*Ramure*Pc/MaxiM</f>
        <v>1.8312908489555642E-5</v>
      </c>
      <c r="Q197" s="307">
        <f t="shared" si="53"/>
        <v>1</v>
      </c>
      <c r="R197" s="179">
        <f t="shared" si="54"/>
        <v>0.6629320552165705</v>
      </c>
      <c r="S197" s="837">
        <f t="shared" si="55"/>
        <v>-3</v>
      </c>
      <c r="T197" s="178">
        <f t="shared" si="56"/>
        <v>3</v>
      </c>
      <c r="U197" s="253">
        <f t="shared" si="57"/>
        <v>-2.3370679447834295</v>
      </c>
      <c r="V197" s="385">
        <f t="shared" si="58"/>
        <v>57.514172196430536</v>
      </c>
      <c r="W197" s="404">
        <f t="shared" si="59"/>
        <v>51.232930366316374</v>
      </c>
      <c r="X197" s="157">
        <f t="shared" si="60"/>
        <v>45840</v>
      </c>
      <c r="Y197" s="387">
        <f t="shared" si="61"/>
        <v>47.321990239950843</v>
      </c>
      <c r="Z197" s="387">
        <f t="shared" si="62"/>
        <v>50.188341735322354</v>
      </c>
      <c r="AA197" s="388">
        <f t="shared" si="63"/>
        <v>56.911137825001227</v>
      </c>
      <c r="AB197" s="199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0.11812795081256532</v>
      </c>
      <c r="AD197" s="233">
        <f>(INDEX(Models!$BJ197:$BT197,,AH197)*(1-AF197)+INDEX(Models!$BJ197:$BT197,,AH197+1)*AF197-ERP_i)*AE197*Ramure*Pc/MaxiM</f>
        <v>7.104324928105261E-4</v>
      </c>
      <c r="AE197" s="307">
        <f t="shared" si="65"/>
        <v>1</v>
      </c>
      <c r="AF197" s="179">
        <f t="shared" si="66"/>
        <v>0.59791464814014095</v>
      </c>
      <c r="AG197" s="837">
        <f t="shared" si="74"/>
        <v>2</v>
      </c>
      <c r="AH197" s="178">
        <f t="shared" si="67"/>
        <v>8</v>
      </c>
      <c r="AI197" s="227">
        <f t="shared" si="68"/>
        <v>2.5979146481401409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45841</v>
      </c>
      <c r="B198" s="1139">
        <f>IF(t&gt;Tmaj,'2024'!Wh/'2024'!Env_an*'2025'!Env_an,0.001*[9]mois!$B$210)</f>
        <v>43.348045768594723</v>
      </c>
      <c r="C198" s="866"/>
      <c r="D198" s="395">
        <f t="shared" si="50"/>
        <v>45.974760430631321</v>
      </c>
      <c r="E198" s="387">
        <f t="shared" si="75"/>
        <v>48.196524454693034</v>
      </c>
      <c r="F198" s="387">
        <f t="shared" si="51"/>
        <v>48.197103125577243</v>
      </c>
      <c r="G198" s="110">
        <f t="shared" si="76"/>
        <v>0.75489581234985159</v>
      </c>
      <c r="H198" s="414" t="b">
        <f>Wh_hp&gt;='2024'!Maxi_hp</f>
        <v>0</v>
      </c>
      <c r="I198" s="392">
        <f>IF(H198,Wh_hp,'2024'!Maxi_hp)</f>
        <v>51.612823612045531</v>
      </c>
      <c r="J198" s="85">
        <f>IF(H198,An,'2024'!An_max)</f>
        <v>2019</v>
      </c>
      <c r="K198" s="199">
        <f t="shared" si="52"/>
        <v>45841</v>
      </c>
      <c r="L198" s="147">
        <f>IF(t&lt;Tvie,1-EXP((T0-t)*PertePVj)+'2024'!Pspv,1-EXP((T0-t)*PertePVj)+Pspv)</f>
        <v>5.7133841208371172E-2</v>
      </c>
      <c r="M198" s="870"/>
      <c r="N198" s="870"/>
      <c r="O198" s="48">
        <f>IF(t&lt;Tnet,'2024'!Resal+('2024'!Salim-'2024'!Resal)*(1-EXP(('2024'!Tnet-t)/('2024'!Tau_j))),Resal+(Salim-Resal)*(1-EXP((Tnet-t)/(Tau_j))))*Salcycl</f>
        <v>4.6098013273763665E-2</v>
      </c>
      <c r="P198" s="171">
        <f>(INDEX(Models!$BJ198:$BT198,,T198)*(1-R198)+INDEX(Models!$BJ198:$BT198,,T198+1)*R198-ERP_i)*Q198*Ramure*Pc/MaxiM</f>
        <v>1.8475327024068922E-5</v>
      </c>
      <c r="Q198" s="307">
        <f t="shared" si="53"/>
        <v>1</v>
      </c>
      <c r="R198" s="179">
        <f t="shared" si="54"/>
        <v>0.66879179129078592</v>
      </c>
      <c r="S198" s="837">
        <f t="shared" si="55"/>
        <v>-3</v>
      </c>
      <c r="T198" s="178">
        <f t="shared" si="56"/>
        <v>3</v>
      </c>
      <c r="U198" s="253">
        <f t="shared" si="57"/>
        <v>-2.3312082087092141</v>
      </c>
      <c r="V198" s="385">
        <f t="shared" si="58"/>
        <v>57.422182820723307</v>
      </c>
      <c r="W198" s="404">
        <f t="shared" si="59"/>
        <v>43.348045768594723</v>
      </c>
      <c r="X198" s="157">
        <f t="shared" si="60"/>
        <v>45841</v>
      </c>
      <c r="Y198" s="387">
        <f t="shared" si="61"/>
        <v>40.047183396068831</v>
      </c>
      <c r="Z198" s="387">
        <f t="shared" si="62"/>
        <v>42.47387926977148</v>
      </c>
      <c r="AA198" s="388">
        <f t="shared" si="63"/>
        <v>48.173585793446946</v>
      </c>
      <c r="AB198" s="199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0.11831601135348327</v>
      </c>
      <c r="AD198" s="233">
        <f>(INDEX(Models!$BJ198:$BT198,,AH198)*(1-AF198)+INDEX(Models!$BJ198:$BT198,,AH198+1)*AF198-ERP_i)*AE198*Ramure*Pc/MaxiM</f>
        <v>7.508419961982963E-4</v>
      </c>
      <c r="AE198" s="307">
        <f t="shared" si="65"/>
        <v>1</v>
      </c>
      <c r="AF198" s="179">
        <f t="shared" si="66"/>
        <v>0.60377438421435636</v>
      </c>
      <c r="AG198" s="837">
        <f t="shared" si="74"/>
        <v>2</v>
      </c>
      <c r="AH198" s="178">
        <f t="shared" si="67"/>
        <v>8</v>
      </c>
      <c r="AI198" s="227">
        <f t="shared" si="68"/>
        <v>2.6037743842143564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45842</v>
      </c>
      <c r="B199" s="1139">
        <f>IF(t&gt;Tmaj,'2024'!Wh/'2024'!Env_an*'2025'!Env_an,0.001*[9]mois!$B$211)</f>
        <v>45.483232544834479</v>
      </c>
      <c r="C199" s="866"/>
      <c r="D199" s="395">
        <f t="shared" si="50"/>
        <v>48.240453437238017</v>
      </c>
      <c r="E199" s="387">
        <f t="shared" si="75"/>
        <v>50.587265506998506</v>
      </c>
      <c r="F199" s="387">
        <f t="shared" si="51"/>
        <v>50.587932492267043</v>
      </c>
      <c r="G199" s="110">
        <f t="shared" si="76"/>
        <v>0.7933915177572971</v>
      </c>
      <c r="H199" s="414" t="b">
        <f>Wh_hp&gt;='2024'!Maxi_hp</f>
        <v>0</v>
      </c>
      <c r="I199" s="392">
        <f>IF(H199,Wh_hp,'2024'!Maxi_hp)</f>
        <v>59.307857255602293</v>
      </c>
      <c r="J199" s="85">
        <f>IF(H199,An,'2024'!An_max)</f>
        <v>2019</v>
      </c>
      <c r="K199" s="199">
        <f t="shared" si="52"/>
        <v>45842</v>
      </c>
      <c r="L199" s="147">
        <f>IF(t&lt;Tvie,1-EXP((T0-t)*PertePVj)+'2024'!Pspv,1-EXP((T0-t)*PertePVj)+Pspv)</f>
        <v>5.7155783081325073E-2</v>
      </c>
      <c r="M199" s="870"/>
      <c r="N199" s="870"/>
      <c r="O199" s="48">
        <f>IF(t&lt;Tnet,'2024'!Resal+('2024'!Salim-'2024'!Resal)*(1-EXP(('2024'!Tnet-t)/('2024'!Tau_j))),Resal+(Salim-Resal)*(1-EXP((Tnet-t)/(Tau_j))))*Salcycl</f>
        <v>4.6391360478573861E-2</v>
      </c>
      <c r="P199" s="171">
        <f>(INDEX(Models!$BJ199:$BT199,,T199)*(1-R199)+INDEX(Models!$BJ199:$BT199,,T199+1)*R199-ERP_i)*Q199*Ramure*Pc/MaxiM</f>
        <v>1.8705607486272174E-5</v>
      </c>
      <c r="Q199" s="307">
        <f t="shared" si="53"/>
        <v>1</v>
      </c>
      <c r="R199" s="179">
        <f t="shared" si="54"/>
        <v>0.67454646360432591</v>
      </c>
      <c r="S199" s="837">
        <f t="shared" si="55"/>
        <v>-3</v>
      </c>
      <c r="T199" s="178">
        <f t="shared" si="56"/>
        <v>3</v>
      </c>
      <c r="U199" s="253">
        <f t="shared" si="57"/>
        <v>-2.3254535363956741</v>
      </c>
      <c r="V199" s="385">
        <f t="shared" si="58"/>
        <v>57.327284718235276</v>
      </c>
      <c r="W199" s="404">
        <f t="shared" si="59"/>
        <v>45.483232544834479</v>
      </c>
      <c r="X199" s="157">
        <f t="shared" si="60"/>
        <v>45842</v>
      </c>
      <c r="Y199" s="387">
        <f t="shared" si="61"/>
        <v>42.020897677940496</v>
      </c>
      <c r="Z199" s="387">
        <f t="shared" si="62"/>
        <v>44.568229749841073</v>
      </c>
      <c r="AA199" s="388">
        <f t="shared" si="63"/>
        <v>50.559570569849591</v>
      </c>
      <c r="AB199" s="199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0.11850062713114412</v>
      </c>
      <c r="AD199" s="233">
        <f>(INDEX(Models!$BJ199:$BT199,,AH199)*(1-AF199)+INDEX(Models!$BJ199:$BT199,,AH199+1)*AF199-ERP_i)*AE199*Ramure*Pc/MaxiM</f>
        <v>7.9541035360115712E-4</v>
      </c>
      <c r="AE199" s="307">
        <f t="shared" si="65"/>
        <v>1</v>
      </c>
      <c r="AF199" s="179">
        <f t="shared" si="66"/>
        <v>0.60952905652789635</v>
      </c>
      <c r="AG199" s="837">
        <f t="shared" si="74"/>
        <v>2</v>
      </c>
      <c r="AH199" s="178">
        <f t="shared" si="67"/>
        <v>8</v>
      </c>
      <c r="AI199" s="227">
        <f t="shared" si="68"/>
        <v>2.6095290565278964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45843</v>
      </c>
      <c r="B200" s="1139">
        <f>IF(t&gt;Tmaj,'2024'!Wh/'2024'!Env_an*'2025'!Env_an,0.001*[9]mois!$B$212)</f>
        <v>54.828332408577772</v>
      </c>
      <c r="C200" s="866"/>
      <c r="D200" s="395">
        <f t="shared" si="50"/>
        <v>58.153412186007884</v>
      </c>
      <c r="E200" s="387">
        <f t="shared" si="75"/>
        <v>61.001136853184754</v>
      </c>
      <c r="F200" s="387">
        <f t="shared" si="51"/>
        <v>61.002226810393722</v>
      </c>
      <c r="G200" s="110">
        <f t="shared" si="76"/>
        <v>0.9580458363992308</v>
      </c>
      <c r="H200" s="414" t="b">
        <f>Wh_hp&gt;='2024'!Maxi_hp</f>
        <v>0</v>
      </c>
      <c r="I200" s="392">
        <f>IF(H200,Wh_hp,'2024'!Maxi_hp)</f>
        <v>62.396203571574965</v>
      </c>
      <c r="J200" s="85">
        <f>IF(H200,An,'2024'!An_max)</f>
        <v>2021</v>
      </c>
      <c r="K200" s="199">
        <f t="shared" si="52"/>
        <v>45843</v>
      </c>
      <c r="L200" s="147">
        <f>IF(t&lt;Tvie,1-EXP((T0-t)*PertePVj)+'2024'!Pspv,1-EXP((T0-t)*PertePVj)+Pspv)</f>
        <v>5.7177724443659539E-2</v>
      </c>
      <c r="M200" s="870"/>
      <c r="N200" s="870"/>
      <c r="O200" s="48">
        <f>IF(t&lt;Tnet,'2024'!Resal+('2024'!Salim-'2024'!Resal)*(1-EXP(('2024'!Tnet-t)/('2024'!Tau_j))),Resal+(Salim-Resal)*(1-EXP((Tnet-t)/(Tau_j))))*Salcycl</f>
        <v>4.6683140906548452E-2</v>
      </c>
      <c r="P200" s="171">
        <f>(INDEX(Models!$BJ200:$BT200,,T200)*(1-R200)+INDEX(Models!$BJ200:$BT200,,T200+1)*R200-ERP_i)*Q200*Ramure*Pc/MaxiM</f>
        <v>1.9006621824417584E-5</v>
      </c>
      <c r="Q200" s="307">
        <f t="shared" si="53"/>
        <v>1</v>
      </c>
      <c r="R200" s="179">
        <f t="shared" si="54"/>
        <v>0.68019414530828914</v>
      </c>
      <c r="S200" s="837">
        <f t="shared" si="55"/>
        <v>-3</v>
      </c>
      <c r="T200" s="178">
        <f t="shared" si="56"/>
        <v>3</v>
      </c>
      <c r="U200" s="253">
        <f t="shared" si="57"/>
        <v>-2.3198058546917109</v>
      </c>
      <c r="V200" s="385">
        <f t="shared" si="58"/>
        <v>57.229276375032924</v>
      </c>
      <c r="W200" s="404">
        <f t="shared" si="59"/>
        <v>54.828332408577772</v>
      </c>
      <c r="X200" s="157">
        <f t="shared" si="60"/>
        <v>45843</v>
      </c>
      <c r="Y200" s="387">
        <f t="shared" si="61"/>
        <v>50.64813330496407</v>
      </c>
      <c r="Z200" s="387">
        <f t="shared" si="62"/>
        <v>53.719703721549884</v>
      </c>
      <c r="AA200" s="388">
        <f t="shared" si="63"/>
        <v>60.95381722943678</v>
      </c>
      <c r="AB200" s="199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0.11868187812843471</v>
      </c>
      <c r="AD200" s="233">
        <f>(INDEX(Models!$BJ200:$BT200,,AH200)*(1-AF200)+INDEX(Models!$BJ200:$BT200,,AH200+1)*AF200-ERP_i)*AE200*Ramure*Pc/MaxiM</f>
        <v>8.4416396382580366E-4</v>
      </c>
      <c r="AE200" s="307">
        <f t="shared" si="65"/>
        <v>1</v>
      </c>
      <c r="AF200" s="179">
        <f t="shared" si="66"/>
        <v>0.61517673823185959</v>
      </c>
      <c r="AG200" s="837">
        <f t="shared" si="74"/>
        <v>2</v>
      </c>
      <c r="AH200" s="178">
        <f t="shared" si="67"/>
        <v>8</v>
      </c>
      <c r="AI200" s="227">
        <f t="shared" si="68"/>
        <v>2.6151767382318596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45844</v>
      </c>
      <c r="B201" s="1139">
        <f>IF(t&gt;Tmaj,'2024'!Wh/'2024'!Env_an*'2025'!Env_an,0.001*[9]mois!$B$213)</f>
        <v>42.475249380740124</v>
      </c>
      <c r="C201" s="866"/>
      <c r="D201" s="395">
        <f t="shared" si="50"/>
        <v>45.052221363548767</v>
      </c>
      <c r="E201" s="387">
        <f t="shared" si="75"/>
        <v>47.272783352984177</v>
      </c>
      <c r="F201" s="387">
        <f t="shared" si="51"/>
        <v>47.273363854233565</v>
      </c>
      <c r="G201" s="110">
        <f t="shared" si="76"/>
        <v>0.74350546491376135</v>
      </c>
      <c r="H201" s="414" t="b">
        <f>Wh_hp&gt;='2024'!Maxi_hp</f>
        <v>0</v>
      </c>
      <c r="I201" s="392">
        <f>IF(H201,Wh_hp,'2024'!Maxi_hp)</f>
        <v>61.545383485754634</v>
      </c>
      <c r="J201" s="85">
        <f>IF(H201,An,'2024'!An_max)</f>
        <v>2020</v>
      </c>
      <c r="K201" s="199">
        <f t="shared" si="52"/>
        <v>45844</v>
      </c>
      <c r="L201" s="147">
        <f>IF(t&lt;Tvie,1-EXP((T0-t)*PertePVj)+'2024'!Pspv,1-EXP((T0-t)*PertePVj)+Pspv)</f>
        <v>5.7199665295386337E-2</v>
      </c>
      <c r="M201" s="870"/>
      <c r="N201" s="870"/>
      <c r="O201" s="48">
        <f>IF(t&lt;Tnet,'2024'!Resal+('2024'!Salim-'2024'!Resal)*(1-EXP(('2024'!Tnet-t)/('2024'!Tau_j))),Resal+(Salim-Resal)*(1-EXP((Tnet-t)/(Tau_j))))*Salcycl</f>
        <v>4.697337097446859E-2</v>
      </c>
      <c r="P201" s="171">
        <f>(INDEX(Models!$BJ201:$BT201,,T201)*(1-R201)+INDEX(Models!$BJ201:$BT201,,T201+1)*R201-ERP_i)*Q201*Ramure*Pc/MaxiM</f>
        <v>1.938119477246531E-5</v>
      </c>
      <c r="Q201" s="307">
        <f t="shared" si="53"/>
        <v>1</v>
      </c>
      <c r="R201" s="179">
        <f t="shared" si="54"/>
        <v>0.6857331577538659</v>
      </c>
      <c r="S201" s="837">
        <f t="shared" si="55"/>
        <v>-3</v>
      </c>
      <c r="T201" s="178">
        <f t="shared" si="56"/>
        <v>3</v>
      </c>
      <c r="U201" s="253">
        <f t="shared" si="57"/>
        <v>-2.3142668422461341</v>
      </c>
      <c r="V201" s="385">
        <f t="shared" si="58"/>
        <v>57.127956339735043</v>
      </c>
      <c r="W201" s="404">
        <f t="shared" si="59"/>
        <v>42.475249380740124</v>
      </c>
      <c r="X201" s="157">
        <f t="shared" si="60"/>
        <v>45844</v>
      </c>
      <c r="Y201" s="387">
        <f t="shared" si="61"/>
        <v>39.249515270892417</v>
      </c>
      <c r="Z201" s="387">
        <f t="shared" si="62"/>
        <v>41.630782071359342</v>
      </c>
      <c r="AA201" s="388">
        <f t="shared" si="63"/>
        <v>47.246493180345553</v>
      </c>
      <c r="AB201" s="199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0.11885985035017026</v>
      </c>
      <c r="AD201" s="233">
        <f>(INDEX(Models!$BJ201:$BT201,,AH201)*(1-AF201)+INDEX(Models!$BJ201:$BT201,,AH201+1)*AF201-ERP_i)*AE201*Ramure*Pc/MaxiM</f>
        <v>8.9713116869236738E-4</v>
      </c>
      <c r="AE201" s="307">
        <f t="shared" si="65"/>
        <v>1</v>
      </c>
      <c r="AF201" s="179">
        <f t="shared" si="66"/>
        <v>0.62071575067743634</v>
      </c>
      <c r="AG201" s="837">
        <f t="shared" si="74"/>
        <v>2</v>
      </c>
      <c r="AH201" s="178">
        <f t="shared" si="67"/>
        <v>8</v>
      </c>
      <c r="AI201" s="227">
        <f t="shared" si="68"/>
        <v>2.6207157506774363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45845</v>
      </c>
      <c r="B202" s="1139">
        <f>IF(t&gt;Tmaj,'2024'!Wh/'2024'!Env_an*'2025'!Env_an,0.001*[9]mois!$B$214)</f>
        <v>52.743332782785295</v>
      </c>
      <c r="C202" s="866"/>
      <c r="D202" s="395">
        <f t="shared" si="50"/>
        <v>55.944570959748177</v>
      </c>
      <c r="E202" s="387">
        <f t="shared" si="75"/>
        <v>58.71978977554042</v>
      </c>
      <c r="F202" s="387">
        <f t="shared" si="51"/>
        <v>58.72082947004634</v>
      </c>
      <c r="G202" s="110">
        <f t="shared" si="76"/>
        <v>0.92494443732421783</v>
      </c>
      <c r="H202" s="414" t="b">
        <f>Wh_hp&gt;='2024'!Maxi_hp</f>
        <v>1</v>
      </c>
      <c r="I202" s="392">
        <f>IF(H202,Wh_hp,'2024'!Maxi_hp)</f>
        <v>58.72082947004634</v>
      </c>
      <c r="J202" s="85">
        <f>IF(H202,An,'2024'!An_max)</f>
        <v>2025</v>
      </c>
      <c r="K202" s="199">
        <f t="shared" si="52"/>
        <v>45845</v>
      </c>
      <c r="L202" s="147">
        <f>IF(t&lt;Tvie,1-EXP((T0-t)*PertePVj)+'2024'!Pspv,1-EXP((T0-t)*PertePVj)+Pspv)</f>
        <v>5.722160563651757E-2</v>
      </c>
      <c r="M202" s="870"/>
      <c r="N202" s="870"/>
      <c r="O202" s="48">
        <f>IF(t&lt;Tnet,'2024'!Resal+('2024'!Salim-'2024'!Resal)*(1-EXP(('2024'!Tnet-t)/('2024'!Tau_j))),Resal+(Salim-Resal)*(1-EXP((Tnet-t)/(Tau_j))))*Salcycl</f>
        <v>4.7262070017632357E-2</v>
      </c>
      <c r="P202" s="171">
        <f>(INDEX(Models!$BJ202:$BT202,,T202)*(1-R202)+INDEX(Models!$BJ202:$BT202,,T202+1)*R202-ERP_i)*Q202*Ramure*Pc/MaxiM</f>
        <v>1.9832105947211534E-5</v>
      </c>
      <c r="Q202" s="307">
        <f t="shared" si="53"/>
        <v>1</v>
      </c>
      <c r="R202" s="179">
        <f t="shared" si="54"/>
        <v>0.69116206615492093</v>
      </c>
      <c r="S202" s="837">
        <f t="shared" si="55"/>
        <v>-3</v>
      </c>
      <c r="T202" s="178">
        <f t="shared" si="56"/>
        <v>3</v>
      </c>
      <c r="U202" s="253">
        <f t="shared" si="57"/>
        <v>-2.3088379338450791</v>
      </c>
      <c r="V202" s="385">
        <f t="shared" si="58"/>
        <v>57.023123227430254</v>
      </c>
      <c r="W202" s="404">
        <f t="shared" si="59"/>
        <v>52.743332782785295</v>
      </c>
      <c r="X202" s="157">
        <f t="shared" si="60"/>
        <v>45845</v>
      </c>
      <c r="Y202" s="387">
        <f t="shared" si="61"/>
        <v>48.729331412426134</v>
      </c>
      <c r="Z202" s="387">
        <f t="shared" si="62"/>
        <v>51.686941177015179</v>
      </c>
      <c r="AA202" s="388">
        <f t="shared" si="63"/>
        <v>58.670798241377874</v>
      </c>
      <c r="AB202" s="199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0.11903463517967443</v>
      </c>
      <c r="AD202" s="233">
        <f>(INDEX(Models!$BJ202:$BT202,,AH202)*(1-AF202)+INDEX(Models!$BJ202:$BT202,,AH202+1)*AF202-ERP_i)*AE202*Ramure*Pc/MaxiM</f>
        <v>9.5434247461658015E-4</v>
      </c>
      <c r="AE202" s="307">
        <f t="shared" si="65"/>
        <v>1</v>
      </c>
      <c r="AF202" s="179">
        <f t="shared" si="66"/>
        <v>0.62614465907849137</v>
      </c>
      <c r="AG202" s="837">
        <f t="shared" si="74"/>
        <v>2</v>
      </c>
      <c r="AH202" s="178">
        <f t="shared" si="67"/>
        <v>8</v>
      </c>
      <c r="AI202" s="227">
        <f t="shared" si="68"/>
        <v>2.6261446590784914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45846</v>
      </c>
      <c r="B203" s="1139">
        <f>IF(t&gt;Tmaj,'2024'!Wh/'2024'!Env_an*'2025'!Env_an,0.001*[9]mois!$B$215)</f>
        <v>57.882221754104378</v>
      </c>
      <c r="C203" s="866"/>
      <c r="D203" s="395">
        <f t="shared" si="50"/>
        <v>61.396791796859851</v>
      </c>
      <c r="E203" s="387">
        <f t="shared" si="75"/>
        <v>64.461907816030646</v>
      </c>
      <c r="F203" s="387">
        <f t="shared" si="51"/>
        <v>64.463220422098431</v>
      </c>
      <c r="G203" s="110">
        <f t="shared" si="76"/>
        <v>1.017001725951227</v>
      </c>
      <c r="H203" s="414" t="b">
        <f>Wh_hp&gt;='2024'!Maxi_hp</f>
        <v>1</v>
      </c>
      <c r="I203" s="392">
        <f>IF(H203,Wh_hp,'2024'!Maxi_hp)</f>
        <v>64.463220422098431</v>
      </c>
      <c r="J203" s="85">
        <f>IF(H203,An,'2024'!An_max)</f>
        <v>2025</v>
      </c>
      <c r="K203" s="199">
        <f t="shared" si="52"/>
        <v>45846</v>
      </c>
      <c r="L203" s="147">
        <f>IF(t&lt;Tvie,1-EXP((T0-t)*PertePVj)+'2024'!Pspv,1-EXP((T0-t)*PertePVj)+Pspv)</f>
        <v>5.7243545467065005E-2</v>
      </c>
      <c r="M203" s="870"/>
      <c r="N203" s="870"/>
      <c r="O203" s="48">
        <f>IF(t&lt;Tnet,'2024'!Resal+('2024'!Salim-'2024'!Resal)*(1-EXP(('2024'!Tnet-t)/('2024'!Tau_j))),Resal+(Salim-Resal)*(1-EXP((Tnet-t)/(Tau_j))))*Salcycl</f>
        <v>4.7549260067176392E-2</v>
      </c>
      <c r="P203" s="171">
        <f>(INDEX(Models!$BJ203:$BT203,,T203)*(1-R203)+INDEX(Models!$BJ203:$BT203,,T203+1)*R203-ERP_i)*Q203*Ramure*Pc/MaxiM</f>
        <v>2.0362092665995749E-5</v>
      </c>
      <c r="Q203" s="307">
        <f t="shared" si="53"/>
        <v>1</v>
      </c>
      <c r="R203" s="179">
        <f t="shared" si="54"/>
        <v>0.69647967434676428</v>
      </c>
      <c r="S203" s="837">
        <f t="shared" si="55"/>
        <v>-3</v>
      </c>
      <c r="T203" s="178">
        <f t="shared" si="56"/>
        <v>3</v>
      </c>
      <c r="U203" s="253">
        <f t="shared" si="57"/>
        <v>-2.3035203256532357</v>
      </c>
      <c r="V203" s="385">
        <f t="shared" si="58"/>
        <v>56.914575734830443</v>
      </c>
      <c r="W203" s="404">
        <f t="shared" si="59"/>
        <v>57.882221754104378</v>
      </c>
      <c r="X203" s="157">
        <f t="shared" si="60"/>
        <v>45846</v>
      </c>
      <c r="Y203" s="387">
        <f t="shared" si="61"/>
        <v>53.474200978651844</v>
      </c>
      <c r="Z203" s="387">
        <f t="shared" si="62"/>
        <v>56.721118929007275</v>
      </c>
      <c r="AA203" s="388">
        <f t="shared" si="63"/>
        <v>64.397736698517036</v>
      </c>
      <c r="AB203" s="199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0.11920632871693046</v>
      </c>
      <c r="AD203" s="233">
        <f>(INDEX(Models!$BJ203:$BT203,,AH203)*(1-AF203)+INDEX(Models!$BJ203:$BT203,,AH203+1)*AF203-ERP_i)*AE203*Ramure*Pc/MaxiM</f>
        <v>1.0158307815312231E-3</v>
      </c>
      <c r="AE203" s="307">
        <f t="shared" si="65"/>
        <v>1</v>
      </c>
      <c r="AF203" s="179">
        <f t="shared" si="66"/>
        <v>0.63146226727033472</v>
      </c>
      <c r="AG203" s="837">
        <f t="shared" si="74"/>
        <v>2</v>
      </c>
      <c r="AH203" s="178">
        <f t="shared" si="67"/>
        <v>8</v>
      </c>
      <c r="AI203" s="227">
        <f t="shared" si="68"/>
        <v>2.6314622672703347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45847</v>
      </c>
      <c r="B204" s="1139">
        <f>IF(t&gt;Tmaj,'2024'!Wh/'2024'!Env_an*'2025'!Env_an,0.001*[9]mois!$B$216)</f>
        <v>56.853035913844437</v>
      </c>
      <c r="C204" s="866"/>
      <c r="D204" s="395">
        <f t="shared" si="50"/>
        <v>60.306517897036571</v>
      </c>
      <c r="E204" s="387">
        <f t="shared" si="75"/>
        <v>63.336202989159602</v>
      </c>
      <c r="F204" s="387">
        <f t="shared" si="51"/>
        <v>63.337531421263037</v>
      </c>
      <c r="G204" s="110">
        <f t="shared" si="76"/>
        <v>1.0008965028877421</v>
      </c>
      <c r="H204" s="414" t="b">
        <f>Wh_hp&gt;='2024'!Maxi_hp</f>
        <v>1</v>
      </c>
      <c r="I204" s="392">
        <f>IF(H204,Wh_hp,'2024'!Maxi_hp)</f>
        <v>63.337531421263037</v>
      </c>
      <c r="J204" s="85">
        <f>IF(H204,An,'2024'!An_max)</f>
        <v>2025</v>
      </c>
      <c r="K204" s="199">
        <f t="shared" si="52"/>
        <v>45847</v>
      </c>
      <c r="L204" s="147">
        <f>IF(t&lt;Tvie,1-EXP((T0-t)*PertePVj)+'2024'!Pspv,1-EXP((T0-t)*PertePVj)+Pspv)</f>
        <v>5.7265484787040521E-2</v>
      </c>
      <c r="M204" s="870"/>
      <c r="N204" s="870"/>
      <c r="O204" s="48">
        <f>IF(t&lt;Tnet,'2024'!Resal+('2024'!Salim-'2024'!Resal)*(1-EXP(('2024'!Tnet-t)/('2024'!Tau_j))),Resal+(Salim-Resal)*(1-EXP((Tnet-t)/(Tau_j))))*Salcycl</f>
        <v>4.7834965614240992E-2</v>
      </c>
      <c r="P204" s="171">
        <f>(INDEX(Models!$BJ204:$BT204,,T204)*(1-R204)+INDEX(Models!$BJ204:$BT204,,T204+1)*R204-ERP_i)*Q204*Ramure*Pc/MaxiM</f>
        <v>2.0973853473978459E-5</v>
      </c>
      <c r="Q204" s="307">
        <f t="shared" si="53"/>
        <v>1</v>
      </c>
      <c r="R204" s="179">
        <f t="shared" si="54"/>
        <v>0.7016850187223973</v>
      </c>
      <c r="S204" s="837">
        <f t="shared" si="55"/>
        <v>-3</v>
      </c>
      <c r="T204" s="178">
        <f t="shared" si="56"/>
        <v>3</v>
      </c>
      <c r="U204" s="253">
        <f t="shared" si="57"/>
        <v>-2.2983149812776027</v>
      </c>
      <c r="V204" s="385">
        <f t="shared" si="58"/>
        <v>56.80211265581864</v>
      </c>
      <c r="W204" s="404">
        <f t="shared" si="59"/>
        <v>56.853035913844437</v>
      </c>
      <c r="X204" s="157">
        <f t="shared" si="60"/>
        <v>45847</v>
      </c>
      <c r="Y204" s="387">
        <f t="shared" si="61"/>
        <v>52.525661998031453</v>
      </c>
      <c r="Z204" s="387">
        <f t="shared" si="62"/>
        <v>55.716281891054074</v>
      </c>
      <c r="AA204" s="388">
        <f t="shared" si="63"/>
        <v>63.269023544564583</v>
      </c>
      <c r="AB204" s="199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0.1193750311033426</v>
      </c>
      <c r="AD204" s="233">
        <f>(INDEX(Models!$BJ204:$BT204,,AH204)*(1-AF204)+INDEX(Models!$BJ204:$BT204,,AH204+1)*AF204-ERP_i)*AE204*Ramure*Pc/MaxiM</f>
        <v>1.0816316196916348E-3</v>
      </c>
      <c r="AE204" s="307">
        <f t="shared" si="65"/>
        <v>1</v>
      </c>
      <c r="AF204" s="179">
        <f t="shared" si="66"/>
        <v>0.63666761164596775</v>
      </c>
      <c r="AG204" s="837">
        <f t="shared" si="74"/>
        <v>2</v>
      </c>
      <c r="AH204" s="178">
        <f t="shared" si="67"/>
        <v>8</v>
      </c>
      <c r="AI204" s="227">
        <f t="shared" si="68"/>
        <v>2.6366676116459677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45848</v>
      </c>
      <c r="B205" s="1139">
        <f>IF(t&gt;Tmaj,'2024'!Wh/'2024'!Env_an*'2025'!Env_an,0.001*[9]mois!$B$217)</f>
        <v>56.278100299771232</v>
      </c>
      <c r="C205" s="866"/>
      <c r="D205" s="395">
        <f t="shared" si="50"/>
        <v>59.698047642975801</v>
      </c>
      <c r="E205" s="387">
        <f t="shared" si="75"/>
        <v>62.715886780200371</v>
      </c>
      <c r="F205" s="387">
        <f t="shared" si="51"/>
        <v>62.717231906915849</v>
      </c>
      <c r="G205" s="110">
        <f t="shared" si="76"/>
        <v>0.99281100072525952</v>
      </c>
      <c r="H205" s="414" t="b">
        <f>Wh_hp&gt;='2024'!Maxi_hp</f>
        <v>0</v>
      </c>
      <c r="I205" s="392">
        <f>IF(H205,Wh_hp,'2024'!Maxi_hp)</f>
        <v>63.097862001735528</v>
      </c>
      <c r="J205" s="85">
        <f>IF(H205,An,'2024'!An_max)</f>
        <v>2019</v>
      </c>
      <c r="K205" s="199">
        <f t="shared" si="52"/>
        <v>45848</v>
      </c>
      <c r="L205" s="147">
        <f>IF(t&lt;Tvie,1-EXP((T0-t)*PertePVj)+'2024'!Pspv,1-EXP((T0-t)*PertePVj)+Pspv)</f>
        <v>5.7287423596456E-2</v>
      </c>
      <c r="M205" s="870"/>
      <c r="N205" s="870"/>
      <c r="O205" s="48">
        <f>IF(t&lt;Tnet,'2024'!Resal+('2024'!Salim-'2024'!Resal)*(1-EXP(('2024'!Tnet-t)/('2024'!Tau_j))),Resal+(Salim-Resal)*(1-EXP((Tnet-t)/(Tau_j))))*Salcycl</f>
        <v>4.8119213362973784E-2</v>
      </c>
      <c r="P205" s="171">
        <f>(INDEX(Models!$BJ205:$BT205,,T205)*(1-R205)+INDEX(Models!$BJ205:$BT205,,T205+1)*R205-ERP_i)*Q205*Ramure*Pc/MaxiM</f>
        <v>2.1670026518260042E-5</v>
      </c>
      <c r="Q205" s="307">
        <f t="shared" si="53"/>
        <v>1</v>
      </c>
      <c r="R205" s="179">
        <f t="shared" si="54"/>
        <v>0.70677736142935732</v>
      </c>
      <c r="S205" s="837">
        <f t="shared" si="55"/>
        <v>-3</v>
      </c>
      <c r="T205" s="178">
        <f t="shared" si="56"/>
        <v>3</v>
      </c>
      <c r="U205" s="253">
        <f t="shared" si="57"/>
        <v>-2.2932226385706427</v>
      </c>
      <c r="V205" s="385">
        <f t="shared" si="58"/>
        <v>56.685600516130314</v>
      </c>
      <c r="W205" s="404">
        <f t="shared" si="59"/>
        <v>56.278100299771232</v>
      </c>
      <c r="X205" s="157">
        <f t="shared" si="60"/>
        <v>45848</v>
      </c>
      <c r="Y205" s="387">
        <f t="shared" si="61"/>
        <v>51.99720960919813</v>
      </c>
      <c r="Z205" s="387">
        <f t="shared" si="62"/>
        <v>55.15701276370779</v>
      </c>
      <c r="AA205" s="388">
        <f t="shared" si="63"/>
        <v>62.645737173597588</v>
      </c>
      <c r="AB205" s="199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0.11954084583820605</v>
      </c>
      <c r="AD205" s="233">
        <f>(INDEX(Models!$BJ205:$BT205,,AH205)*(1-AF205)+INDEX(Models!$BJ205:$BT205,,AH205+1)*AF205-ERP_i)*AE205*Ramure*Pc/MaxiM</f>
        <v>1.1517820210493925E-3</v>
      </c>
      <c r="AE205" s="307">
        <f t="shared" si="65"/>
        <v>1</v>
      </c>
      <c r="AF205" s="179">
        <f t="shared" si="66"/>
        <v>0.64175995435292776</v>
      </c>
      <c r="AG205" s="837">
        <f t="shared" si="74"/>
        <v>2</v>
      </c>
      <c r="AH205" s="178">
        <f t="shared" si="67"/>
        <v>8</v>
      </c>
      <c r="AI205" s="227">
        <f t="shared" si="68"/>
        <v>2.6417599543529278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45849</v>
      </c>
      <c r="B206" s="1139">
        <f>IF(t&gt;Tmaj,'2024'!Wh/'2024'!Env_an*'2025'!Env_an,0.001*[9]mois!$B$218)</f>
        <v>54.336894418906276</v>
      </c>
      <c r="C206" s="866"/>
      <c r="D206" s="395">
        <f t="shared" si="50"/>
        <v>57.640218564335306</v>
      </c>
      <c r="E206" s="387">
        <f t="shared" si="75"/>
        <v>60.572027790193182</v>
      </c>
      <c r="F206" s="387">
        <f t="shared" si="51"/>
        <v>60.573318364993028</v>
      </c>
      <c r="G206" s="110">
        <f t="shared" si="76"/>
        <v>0.96060572304351155</v>
      </c>
      <c r="H206" s="414" t="b">
        <f>Wh_hp&gt;='2024'!Maxi_hp</f>
        <v>0</v>
      </c>
      <c r="I206" s="392">
        <f>IF(H206,Wh_hp,'2024'!Maxi_hp)</f>
        <v>62.66471285413887</v>
      </c>
      <c r="J206" s="85">
        <f>IF(H206,An,'2024'!An_max)</f>
        <v>2019</v>
      </c>
      <c r="K206" s="199">
        <f t="shared" si="52"/>
        <v>45849</v>
      </c>
      <c r="L206" s="147">
        <f>IF(t&lt;Tvie,1-EXP((T0-t)*PertePVj)+'2024'!Pspv,1-EXP((T0-t)*PertePVj)+Pspv)</f>
        <v>5.730936189532343E-2</v>
      </c>
      <c r="M206" s="870"/>
      <c r="N206" s="870"/>
      <c r="O206" s="48">
        <f>IF(t&lt;Tnet,'2024'!Resal+('2024'!Salim-'2024'!Resal)*(1-EXP(('2024'!Tnet-t)/('2024'!Tau_j))),Resal+(Salim-Resal)*(1-EXP((Tnet-t)/(Tau_j))))*Salcycl</f>
        <v>4.8402031974444586E-2</v>
      </c>
      <c r="P206" s="171">
        <f>(INDEX(Models!$BJ206:$BT206,,T206)*(1-R206)+INDEX(Models!$BJ206:$BT206,,T206+1)*R206-ERP_i)*Q206*Ramure*Pc/MaxiM</f>
        <v>2.2576505490489004E-5</v>
      </c>
      <c r="Q206" s="307">
        <f t="shared" si="53"/>
        <v>1</v>
      </c>
      <c r="R206" s="179">
        <f t="shared" si="54"/>
        <v>0.71175618291106746</v>
      </c>
      <c r="S206" s="837">
        <f t="shared" si="55"/>
        <v>-3</v>
      </c>
      <c r="T206" s="178">
        <f t="shared" si="56"/>
        <v>3</v>
      </c>
      <c r="U206" s="253">
        <f t="shared" si="57"/>
        <v>-2.2882438170889325</v>
      </c>
      <c r="V206" s="385">
        <f t="shared" si="58"/>
        <v>56.56516932843973</v>
      </c>
      <c r="W206" s="404">
        <f t="shared" si="59"/>
        <v>54.336894418906276</v>
      </c>
      <c r="X206" s="157">
        <f t="shared" si="60"/>
        <v>45849</v>
      </c>
      <c r="Y206" s="387">
        <f t="shared" si="61"/>
        <v>50.208363022483752</v>
      </c>
      <c r="Z206" s="387">
        <f t="shared" si="62"/>
        <v>53.260699738601417</v>
      </c>
      <c r="AA206" s="388">
        <f t="shared" si="63"/>
        <v>60.503163053432573</v>
      </c>
      <c r="AB206" s="199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0.11970387909199182</v>
      </c>
      <c r="AD206" s="233">
        <f>(INDEX(Models!$BJ206:$BT206,,AH206)*(1-AF206)+INDEX(Models!$BJ206:$BT206,,AH206+1)*AF206-ERP_i)*AE206*Ramure*Pc/MaxiM</f>
        <v>1.2272529858953377E-3</v>
      </c>
      <c r="AE206" s="307">
        <f t="shared" si="65"/>
        <v>1</v>
      </c>
      <c r="AF206" s="179">
        <f t="shared" si="66"/>
        <v>0.6467387758346379</v>
      </c>
      <c r="AG206" s="837">
        <f t="shared" si="74"/>
        <v>2</v>
      </c>
      <c r="AH206" s="178">
        <f t="shared" si="67"/>
        <v>8</v>
      </c>
      <c r="AI206" s="227">
        <f t="shared" si="68"/>
        <v>2.6467387758346379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45850</v>
      </c>
      <c r="B207" s="1139">
        <f>IF(t&gt;Tmaj,'2024'!Wh/'2024'!Env_an*'2025'!Env_an,0.001*[9]mois!$B$219)</f>
        <v>54.442799732713901</v>
      </c>
      <c r="C207" s="866"/>
      <c r="D207" s="395">
        <f t="shared" ref="D207:D270" si="77">Wh/(1-Ppv)</f>
        <v>57.753906239216079</v>
      </c>
      <c r="E207" s="387">
        <f t="shared" si="75"/>
        <v>60.709451915571073</v>
      </c>
      <c r="F207" s="387">
        <f t="shared" ref="F207:F270" si="78">Wh_sa/(1-Pvg*MEDIAN((-Sdif+Wh/Env_an)/Csdif,0,1))</f>
        <v>60.710816769285039</v>
      </c>
      <c r="G207" s="110">
        <f t="shared" si="76"/>
        <v>0.96459508194027932</v>
      </c>
      <c r="H207" s="414" t="b">
        <f>Wh_hp&gt;='2024'!Maxi_hp</f>
        <v>0</v>
      </c>
      <c r="I207" s="392">
        <f>IF(H207,Wh_hp,'2024'!Maxi_hp)</f>
        <v>63.499999412795624</v>
      </c>
      <c r="J207" s="85">
        <f>IF(H207,An,'2024'!An_max)</f>
        <v>2019</v>
      </c>
      <c r="K207" s="199">
        <f t="shared" ref="K207:K270" si="79">t</f>
        <v>45850</v>
      </c>
      <c r="L207" s="147">
        <f>IF(t&lt;Tvie,1-EXP((T0-t)*PertePVj)+'2024'!Pspv,1-EXP((T0-t)*PertePVj)+Pspv)</f>
        <v>5.7331299683654469E-2</v>
      </c>
      <c r="M207" s="870"/>
      <c r="N207" s="870"/>
      <c r="O207" s="48">
        <f>IF(t&lt;Tnet,'2024'!Resal+('2024'!Salim-'2024'!Resal)*(1-EXP(('2024'!Tnet-t)/('2024'!Tau_j))),Resal+(Salim-Resal)*(1-EXP((Tnet-t)/(Tau_j))))*Salcycl</f>
        <v>4.868345180360522E-2</v>
      </c>
      <c r="P207" s="171">
        <f>(INDEX(Models!$BJ207:$BT207,,T207)*(1-R207)+INDEX(Models!$BJ207:$BT207,,T207+1)*R207-ERP_i)*Q207*Ramure*Pc/MaxiM</f>
        <v>2.3678827416175197E-5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0.71662117387647317</v>
      </c>
      <c r="S207" s="837">
        <f t="shared" ref="S207:S270" si="82">INDEX(Echel_vg,T207)</f>
        <v>-3</v>
      </c>
      <c r="T207" s="178">
        <f t="shared" ref="T207:T270" si="83">MIN(MATCH(Hp_vg,Echel_vg),10)</f>
        <v>3</v>
      </c>
      <c r="U207" s="253">
        <f t="shared" ref="U207:U270" si="84">IF(OR(t&lt;Ttai,Notai),Hdd+PousH*Croivg,Hdtf+PousH*(Croivg-Croi_tai))</f>
        <v>-2.2833788261235268</v>
      </c>
      <c r="V207" s="385">
        <f t="shared" ref="V207:V270" si="85">MaxiM*(1-Ppv)*(1-Pvg)*(1-Psa)</f>
        <v>56.441024373742039</v>
      </c>
      <c r="W207" s="404">
        <f t="shared" ref="W207:W270" si="86">Wh*(A207&gt;Tmaj)</f>
        <v>54.442799732713901</v>
      </c>
      <c r="X207" s="157">
        <f t="shared" ref="X207:X270" si="87">t</f>
        <v>45850</v>
      </c>
      <c r="Y207" s="387">
        <f t="shared" ref="Y207:Y270" si="88">Wh_pvt_s*(1-Ppv)</f>
        <v>50.307881429351227</v>
      </c>
      <c r="Z207" s="387">
        <f t="shared" ref="Z207:Z270" si="89">Wh_sa_s*(1-Psa_s)</f>
        <v>53.367510146956882</v>
      </c>
      <c r="AA207" s="388">
        <f t="shared" ref="AA207:AA270" si="90">Wh_hp*(1-Pvg_s*MEDIAN((-Sdif+Wh/Env_an)/Csdif,0,1))</f>
        <v>60.635543416195461</v>
      </c>
      <c r="AB207" s="199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0.11986423902151951</v>
      </c>
      <c r="AD207" s="233">
        <f>(INDEX(Models!$BJ207:$BT207,,AH207)*(1-AF207)+INDEX(Models!$BJ207:$BT207,,AH207+1)*AF207-ERP_i)*AE207*Ramure*Pc/MaxiM</f>
        <v>1.3059163180659228E-3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0.65160376680004362</v>
      </c>
      <c r="AG207" s="837">
        <f t="shared" si="74"/>
        <v>2</v>
      </c>
      <c r="AH207" s="178">
        <f t="shared" ref="AH207:AH270" si="94">MIN(MATCH(Hp_vg_s,Echel_vg),10)</f>
        <v>8</v>
      </c>
      <c r="AI207" s="227">
        <f t="shared" ref="AI207:AI270" si="95">IF(OR(t&lt;Ttai,Notai),Hdd_s+PousH*Croivg,Hdtai_s+PousH*(Croivg-Croi_tai))</f>
        <v>2.6516037668000436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45851</v>
      </c>
      <c r="B208" s="1139">
        <f>IF(t&gt;Tmaj,'2024'!Wh/'2024'!Env_an*'2025'!Env_an,0.001*[9]mois!$B$220)</f>
        <v>54.105599787743422</v>
      </c>
      <c r="C208" s="866"/>
      <c r="D208" s="395">
        <f t="shared" si="77"/>
        <v>57.397534165755566</v>
      </c>
      <c r="E208" s="387">
        <f t="shared" si="75"/>
        <v>60.352609437467997</v>
      </c>
      <c r="F208" s="387">
        <f t="shared" si="78"/>
        <v>60.354032794352193</v>
      </c>
      <c r="G208" s="110">
        <f t="shared" si="76"/>
        <v>0.96079358470437981</v>
      </c>
      <c r="H208" s="414" t="b">
        <f>Wh_hp&gt;='2024'!Maxi_hp</f>
        <v>1</v>
      </c>
      <c r="I208" s="392">
        <f>IF(H208,Wh_hp,'2024'!Maxi_hp)</f>
        <v>60.354032794352193</v>
      </c>
      <c r="J208" s="85">
        <f>IF(H208,An,'2024'!An_max)</f>
        <v>2025</v>
      </c>
      <c r="K208" s="199">
        <f t="shared" si="79"/>
        <v>45851</v>
      </c>
      <c r="L208" s="147">
        <f>IF(t&lt;Tvie,1-EXP((T0-t)*PertePVj)+'2024'!Pspv,1-EXP((T0-t)*PertePVj)+Pspv)</f>
        <v>5.7353236961461218E-2</v>
      </c>
      <c r="M208" s="870"/>
      <c r="N208" s="870"/>
      <c r="O208" s="48">
        <f>IF(t&lt;Tnet,'2024'!Resal+('2024'!Salim-'2024'!Resal)*(1-EXP(('2024'!Tnet-t)/('2024'!Tau_j))),Resal+(Salim-Resal)*(1-EXP((Tnet-t)/(Tau_j))))*Salcycl</f>
        <v>4.8963504631464469E-2</v>
      </c>
      <c r="P208" s="171">
        <f>(INDEX(Models!$BJ208:$BT208,,T208)*(1-R208)+INDEX(Models!$BJ208:$BT208,,T208+1)*R208-ERP_i)*Q208*Ramure*Pc/MaxiM</f>
        <v>2.4982669930363821E-5</v>
      </c>
      <c r="Q208" s="307">
        <f t="shared" si="80"/>
        <v>1</v>
      </c>
      <c r="R208" s="179">
        <f t="shared" si="81"/>
        <v>0.72137222678075652</v>
      </c>
      <c r="S208" s="837">
        <f t="shared" si="82"/>
        <v>-3</v>
      </c>
      <c r="T208" s="178">
        <f t="shared" si="83"/>
        <v>3</v>
      </c>
      <c r="U208" s="253">
        <f t="shared" si="84"/>
        <v>-2.2786277732192435</v>
      </c>
      <c r="V208" s="385">
        <f t="shared" si="85"/>
        <v>56.313369429378866</v>
      </c>
      <c r="W208" s="404">
        <f t="shared" si="86"/>
        <v>54.105599787743422</v>
      </c>
      <c r="X208" s="157">
        <f t="shared" si="87"/>
        <v>45851</v>
      </c>
      <c r="Y208" s="387">
        <f t="shared" si="88"/>
        <v>49.998588927462997</v>
      </c>
      <c r="Z208" s="387">
        <f t="shared" si="89"/>
        <v>53.040641402402898</v>
      </c>
      <c r="AA208" s="388">
        <f t="shared" si="90"/>
        <v>60.27496541683125</v>
      </c>
      <c r="AB208" s="199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0.12002203509200568</v>
      </c>
      <c r="AD208" s="233">
        <f>(INDEX(Models!$BJ208:$BT208,,AH208)*(1-AF208)+INDEX(Models!$BJ208:$BT208,,AH208+1)*AF208-ERP_i)*AE208*Ramure*Pc/MaxiM</f>
        <v>1.3877856051386311E-3</v>
      </c>
      <c r="AE208" s="307">
        <f t="shared" si="92"/>
        <v>1</v>
      </c>
      <c r="AF208" s="179">
        <f t="shared" si="93"/>
        <v>0.65635481970432696</v>
      </c>
      <c r="AG208" s="837">
        <f t="shared" ref="AG208:AG271" si="99">INDEX(Echel_vg,AH208)</f>
        <v>2</v>
      </c>
      <c r="AH208" s="178">
        <f t="shared" si="94"/>
        <v>8</v>
      </c>
      <c r="AI208" s="227">
        <f t="shared" si="95"/>
        <v>2.656354819704327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45852</v>
      </c>
      <c r="B209" s="1139">
        <f>IF(t&gt;Tmaj,'2024'!Wh/'2024'!Env_an*'2025'!Env_an,0.001*[9]mois!$B$221)</f>
        <v>53.419684210508279</v>
      </c>
      <c r="C209" s="866"/>
      <c r="D209" s="395">
        <f t="shared" si="77"/>
        <v>56.671204408885913</v>
      </c>
      <c r="E209" s="387">
        <f t="shared" si="75"/>
        <v>59.606353798366555</v>
      </c>
      <c r="F209" s="387">
        <f t="shared" si="78"/>
        <v>59.607822084774789</v>
      </c>
      <c r="G209" s="110">
        <f t="shared" si="76"/>
        <v>0.95082405223449551</v>
      </c>
      <c r="H209" s="414" t="b">
        <f>Wh_hp&gt;='2024'!Maxi_hp</f>
        <v>0</v>
      </c>
      <c r="I209" s="392">
        <f>IF(H209,Wh_hp,'2024'!Maxi_hp)</f>
        <v>62.42092802890074</v>
      </c>
      <c r="J209" s="85">
        <f>IF(H209,An,'2024'!An_max)</f>
        <v>2019</v>
      </c>
      <c r="K209" s="199">
        <f t="shared" si="79"/>
        <v>45852</v>
      </c>
      <c r="L209" s="147">
        <f>IF(t&lt;Tvie,1-EXP((T0-t)*PertePVj)+'2024'!Pspv,1-EXP((T0-t)*PertePVj)+Pspv)</f>
        <v>5.7375173728755335E-2</v>
      </c>
      <c r="M209" s="870"/>
      <c r="N209" s="870"/>
      <c r="O209" s="48">
        <f>IF(t&lt;Tnet,'2024'!Resal+('2024'!Salim-'2024'!Resal)*(1-EXP(('2024'!Tnet-t)/('2024'!Tau_j))),Resal+(Salim-Resal)*(1-EXP((Tnet-t)/(Tau_j))))*Salcycl</f>
        <v>4.9242223394665649E-2</v>
      </c>
      <c r="P209" s="171">
        <f>(INDEX(Models!$BJ209:$BT209,,T209)*(1-R209)+INDEX(Models!$BJ209:$BT209,,T209+1)*R209-ERP_i)*Q209*Ramure*Pc/MaxiM</f>
        <v>2.6493588648958864E-5</v>
      </c>
      <c r="Q209" s="307">
        <f t="shared" si="80"/>
        <v>1</v>
      </c>
      <c r="R209" s="179">
        <f t="shared" si="81"/>
        <v>0.72600942689814296</v>
      </c>
      <c r="S209" s="837">
        <f t="shared" si="82"/>
        <v>-3</v>
      </c>
      <c r="T209" s="178">
        <f t="shared" si="83"/>
        <v>3</v>
      </c>
      <c r="U209" s="253">
        <f t="shared" si="84"/>
        <v>-2.273990573101857</v>
      </c>
      <c r="V209" s="385">
        <f t="shared" si="85"/>
        <v>56.182407944794932</v>
      </c>
      <c r="W209" s="404">
        <f t="shared" si="86"/>
        <v>53.419684210508279</v>
      </c>
      <c r="X209" s="157">
        <f t="shared" si="87"/>
        <v>45852</v>
      </c>
      <c r="Y209" s="387">
        <f t="shared" si="88"/>
        <v>49.367611846694622</v>
      </c>
      <c r="Z209" s="387">
        <f t="shared" si="89"/>
        <v>52.37249271481511</v>
      </c>
      <c r="AA209" s="388">
        <f t="shared" si="90"/>
        <v>59.526194678528164</v>
      </c>
      <c r="AB209" s="199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0.12017737741084733</v>
      </c>
      <c r="AD209" s="233">
        <f>(INDEX(Models!$BJ209:$BT209,,AH209)*(1-AF209)+INDEX(Models!$BJ209:$BT209,,AH209+1)*AF209-ERP_i)*AE209*Ramure*Pc/MaxiM</f>
        <v>1.4728753950541426E-3</v>
      </c>
      <c r="AE209" s="307">
        <f t="shared" si="92"/>
        <v>1</v>
      </c>
      <c r="AF209" s="179">
        <f t="shared" si="93"/>
        <v>0.66099201982171341</v>
      </c>
      <c r="AG209" s="837">
        <f t="shared" si="99"/>
        <v>2</v>
      </c>
      <c r="AH209" s="178">
        <f t="shared" si="94"/>
        <v>8</v>
      </c>
      <c r="AI209" s="227">
        <f t="shared" si="95"/>
        <v>2.6609920198217134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45853</v>
      </c>
      <c r="B210" s="1139">
        <f>IF(t&gt;Tmaj,'2024'!Wh/'2024'!Env_an*'2025'!Env_an,0.001*[9]mois!$B$222)</f>
        <v>51.611803884776421</v>
      </c>
      <c r="C210" s="866"/>
      <c r="D210" s="395">
        <f t="shared" si="77"/>
        <v>54.754557228214267</v>
      </c>
      <c r="E210" s="387">
        <f t="shared" si="75"/>
        <v>57.607247495899799</v>
      </c>
      <c r="F210" s="387">
        <f t="shared" si="78"/>
        <v>57.608689225515484</v>
      </c>
      <c r="G210" s="110">
        <f t="shared" si="76"/>
        <v>0.92084148045061276</v>
      </c>
      <c r="H210" s="414" t="b">
        <f>Wh_hp&gt;='2024'!Maxi_hp</f>
        <v>0</v>
      </c>
      <c r="I210" s="392">
        <f>IF(H210,Wh_hp,'2024'!Maxi_hp)</f>
        <v>64.059383068495961</v>
      </c>
      <c r="J210" s="85">
        <f>IF(H210,An,'2024'!An_max)</f>
        <v>2019</v>
      </c>
      <c r="K210" s="199">
        <f t="shared" si="79"/>
        <v>45853</v>
      </c>
      <c r="L210" s="147">
        <f>IF(t&lt;Tvie,1-EXP((T0-t)*PertePVj)+'2024'!Pspv,1-EXP((T0-t)*PertePVj)+Pspv)</f>
        <v>5.7397109985548922E-2</v>
      </c>
      <c r="M210" s="870"/>
      <c r="N210" s="870"/>
      <c r="O210" s="48">
        <f>IF(t&lt;Tnet,'2024'!Resal+('2024'!Salim-'2024'!Resal)*(1-EXP(('2024'!Tnet-t)/('2024'!Tau_j))),Resal+(Salim-Resal)*(1-EXP((Tnet-t)/(Tau_j))))*Salcycl</f>
        <v>4.9519641914649158E-2</v>
      </c>
      <c r="P210" s="171">
        <f>(INDEX(Models!$BJ210:$BT210,,T210)*(1-R210)+INDEX(Models!$BJ210:$BT210,,T210+1)*R210-ERP_i)*Q210*Ramure*Pc/MaxiM</f>
        <v>2.8217016017082142E-5</v>
      </c>
      <c r="Q210" s="307">
        <f t="shared" si="80"/>
        <v>1</v>
      </c>
      <c r="R210" s="179">
        <f t="shared" si="81"/>
        <v>0.73053304306535605</v>
      </c>
      <c r="S210" s="837">
        <f t="shared" si="82"/>
        <v>-3</v>
      </c>
      <c r="T210" s="178">
        <f t="shared" si="83"/>
        <v>3</v>
      </c>
      <c r="U210" s="253">
        <f t="shared" si="84"/>
        <v>-2.269466956934644</v>
      </c>
      <c r="V210" s="385">
        <f t="shared" si="85"/>
        <v>56.04834305938256</v>
      </c>
      <c r="W210" s="404">
        <f t="shared" si="86"/>
        <v>51.611803884776421</v>
      </c>
      <c r="X210" s="157">
        <f t="shared" si="87"/>
        <v>45853</v>
      </c>
      <c r="Y210" s="387">
        <f t="shared" si="88"/>
        <v>47.701780398080082</v>
      </c>
      <c r="Z210" s="387">
        <f t="shared" si="89"/>
        <v>50.606444032172192</v>
      </c>
      <c r="AA210" s="388">
        <f t="shared" si="90"/>
        <v>57.528920694719226</v>
      </c>
      <c r="AB210" s="199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0.12033037607782666</v>
      </c>
      <c r="AD210" s="233">
        <f>(INDEX(Models!$BJ210:$BT210,,AH210)*(1-AF210)+INDEX(Models!$BJ210:$BT210,,AH210+1)*AF210-ERP_i)*AE210*Ramure*Pc/MaxiM</f>
        <v>1.5612011341438643E-3</v>
      </c>
      <c r="AE210" s="307">
        <f t="shared" si="92"/>
        <v>1</v>
      </c>
      <c r="AF210" s="179">
        <f t="shared" si="93"/>
        <v>0.66551563598892649</v>
      </c>
      <c r="AG210" s="837">
        <f t="shared" si="99"/>
        <v>2</v>
      </c>
      <c r="AH210" s="178">
        <f t="shared" si="94"/>
        <v>8</v>
      </c>
      <c r="AI210" s="227">
        <f t="shared" si="95"/>
        <v>2.6655156359889265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45854</v>
      </c>
      <c r="B211" s="1139">
        <f>IF(t&gt;Tmaj,'2024'!Wh/'2024'!Env_an*'2025'!Env_an,0.001*[9]mois!$B$223)</f>
        <v>53.149820181446906</v>
      </c>
      <c r="C211" s="866"/>
      <c r="D211" s="395">
        <f t="shared" si="77"/>
        <v>56.387538853587742</v>
      </c>
      <c r="E211" s="387">
        <f t="shared" si="75"/>
        <v>59.342548196306112</v>
      </c>
      <c r="F211" s="387">
        <f t="shared" si="78"/>
        <v>59.344211632775568</v>
      </c>
      <c r="G211" s="110">
        <f t="shared" si="76"/>
        <v>0.95060628698672633</v>
      </c>
      <c r="H211" s="414" t="b">
        <f>Wh_hp&gt;='2024'!Maxi_hp</f>
        <v>0</v>
      </c>
      <c r="I211" s="392">
        <f>IF(H211,Wh_hp,'2024'!Maxi_hp)</f>
        <v>61.939106503544039</v>
      </c>
      <c r="J211" s="85">
        <f>IF(H211,An,'2024'!An_max)</f>
        <v>2019</v>
      </c>
      <c r="K211" s="199">
        <f t="shared" si="79"/>
        <v>45854</v>
      </c>
      <c r="L211" s="147">
        <f>IF(t&lt;Tvie,1-EXP((T0-t)*PertePVj)+'2024'!Pspv,1-EXP((T0-t)*PertePVj)+Pspv)</f>
        <v>5.7419045731853746E-2</v>
      </c>
      <c r="M211" s="870"/>
      <c r="N211" s="870"/>
      <c r="O211" s="48">
        <f>IF(t&lt;Tnet,'2024'!Resal+('2024'!Salim-'2024'!Resal)*(1-EXP(('2024'!Tnet-t)/('2024'!Tau_j))),Resal+(Salim-Resal)*(1-EXP((Tnet-t)/(Tau_j))))*Salcycl</f>
        <v>4.9795794628554803E-2</v>
      </c>
      <c r="P211" s="171">
        <f>(INDEX(Models!$BJ211:$BT211,,T211)*(1-R211)+INDEX(Models!$BJ211:$BT211,,T211+1)*R211-ERP_i)*Q211*Ramure*Pc/MaxiM</f>
        <v>3.0158260487145991E-5</v>
      </c>
      <c r="Q211" s="307">
        <f t="shared" si="80"/>
        <v>1</v>
      </c>
      <c r="R211" s="179">
        <f t="shared" si="81"/>
        <v>0.73494351817123427</v>
      </c>
      <c r="S211" s="837">
        <f t="shared" si="82"/>
        <v>-3</v>
      </c>
      <c r="T211" s="178">
        <f t="shared" si="83"/>
        <v>3</v>
      </c>
      <c r="U211" s="253">
        <f t="shared" si="84"/>
        <v>-2.2650564818287657</v>
      </c>
      <c r="V211" s="385">
        <f t="shared" si="85"/>
        <v>55.911377618179358</v>
      </c>
      <c r="W211" s="404">
        <f t="shared" si="86"/>
        <v>53.149820181446906</v>
      </c>
      <c r="X211" s="157">
        <f t="shared" si="87"/>
        <v>45854</v>
      </c>
      <c r="Y211" s="387">
        <f t="shared" si="88"/>
        <v>49.121828298712416</v>
      </c>
      <c r="Z211" s="387">
        <f t="shared" si="89"/>
        <v>52.114174465632367</v>
      </c>
      <c r="AA211" s="388">
        <f t="shared" si="90"/>
        <v>59.253049444089562</v>
      </c>
      <c r="AB211" s="199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0.12048114055620629</v>
      </c>
      <c r="AD211" s="233">
        <f>(INDEX(Models!$BJ211:$BT211,,AH211)*(1-AF211)+INDEX(Models!$BJ211:$BT211,,AH211+1)*AF211-ERP_i)*AE211*Ramure*Pc/MaxiM</f>
        <v>1.6527791012466186E-3</v>
      </c>
      <c r="AE211" s="307">
        <f t="shared" si="92"/>
        <v>1</v>
      </c>
      <c r="AF211" s="179">
        <f t="shared" si="93"/>
        <v>0.66992611109480471</v>
      </c>
      <c r="AG211" s="837">
        <f t="shared" si="99"/>
        <v>2</v>
      </c>
      <c r="AH211" s="178">
        <f t="shared" si="94"/>
        <v>8</v>
      </c>
      <c r="AI211" s="227">
        <f t="shared" si="95"/>
        <v>2.6699261110948047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45855</v>
      </c>
      <c r="B212" s="1139">
        <f>IF(t&gt;Tmaj,'2024'!Wh/'2024'!Env_an*'2025'!Env_an,0.001*[9]mois!$B$224)</f>
        <v>52.241315384697117</v>
      </c>
      <c r="C212" s="866"/>
      <c r="D212" s="395">
        <f t="shared" si="77"/>
        <v>55.424980642942501</v>
      </c>
      <c r="E212" s="387">
        <f t="shared" si="75"/>
        <v>58.346428092477957</v>
      </c>
      <c r="F212" s="387">
        <f t="shared" si="78"/>
        <v>58.348148090948953</v>
      </c>
      <c r="G212" s="110">
        <f t="shared" si="76"/>
        <v>0.93669645157824444</v>
      </c>
      <c r="H212" s="414" t="b">
        <f>Wh_hp&gt;='2024'!Maxi_hp</f>
        <v>0</v>
      </c>
      <c r="I212" s="392">
        <f>IF(H212,Wh_hp,'2024'!Maxi_hp)</f>
        <v>61.436079600146336</v>
      </c>
      <c r="J212" s="85">
        <f>IF(H212,An,'2024'!An_max)</f>
        <v>2021</v>
      </c>
      <c r="K212" s="199">
        <f t="shared" si="79"/>
        <v>45855</v>
      </c>
      <c r="L212" s="147">
        <f>IF(t&lt;Tvie,1-EXP((T0-t)*PertePVj)+'2024'!Pspv,1-EXP((T0-t)*PertePVj)+Pspv)</f>
        <v>5.7440980967681687E-2</v>
      </c>
      <c r="M212" s="870"/>
      <c r="N212" s="870"/>
      <c r="O212" s="48">
        <f>IF(t&lt;Tnet,'2024'!Resal+('2024'!Salim-'2024'!Resal)*(1-EXP(('2024'!Tnet-t)/('2024'!Tau_j))),Resal+(Salim-Resal)*(1-EXP((Tnet-t)/(Tau_j))))*Salcycl</f>
        <v>5.0070716323971344E-2</v>
      </c>
      <c r="P212" s="171">
        <f>(INDEX(Models!$BJ212:$BT212,,T212)*(1-R212)+INDEX(Models!$BJ212:$BT212,,T212+1)*R212-ERP_i)*Q212*Ramure*Pc/MaxiM</f>
        <v>3.2408932199681121E-5</v>
      </c>
      <c r="Q212" s="307">
        <f t="shared" si="80"/>
        <v>1</v>
      </c>
      <c r="R212" s="179">
        <f t="shared" si="81"/>
        <v>0.73924145946444098</v>
      </c>
      <c r="S212" s="837">
        <f t="shared" si="82"/>
        <v>-3</v>
      </c>
      <c r="T212" s="178">
        <f t="shared" si="83"/>
        <v>3</v>
      </c>
      <c r="U212" s="253">
        <f t="shared" si="84"/>
        <v>-2.260758540535559</v>
      </c>
      <c r="V212" s="385">
        <f t="shared" si="85"/>
        <v>55.771709380279489</v>
      </c>
      <c r="W212" s="404">
        <f t="shared" si="86"/>
        <v>52.241315384697117</v>
      </c>
      <c r="X212" s="157">
        <f t="shared" si="87"/>
        <v>45855</v>
      </c>
      <c r="Y212" s="387">
        <f t="shared" si="88"/>
        <v>48.28506947106294</v>
      </c>
      <c r="Z212" s="387">
        <f t="shared" si="89"/>
        <v>51.227635082877867</v>
      </c>
      <c r="AA212" s="388">
        <f t="shared" si="90"/>
        <v>58.254912281016672</v>
      </c>
      <c r="AB212" s="199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0.12062977906892768</v>
      </c>
      <c r="AD212" s="233">
        <f>(INDEX(Models!$BJ212:$BT212,,AH212)*(1-AF212)+INDEX(Models!$BJ212:$BT212,,AH212+1)*AF212-ERP_i)*AE212*Ramure*Pc/MaxiM</f>
        <v>1.7567882144261038E-3</v>
      </c>
      <c r="AE212" s="307">
        <f t="shared" si="92"/>
        <v>1</v>
      </c>
      <c r="AF212" s="179">
        <f t="shared" si="93"/>
        <v>0.67422405238801142</v>
      </c>
      <c r="AG212" s="837">
        <f t="shared" si="99"/>
        <v>2</v>
      </c>
      <c r="AH212" s="178">
        <f t="shared" si="94"/>
        <v>8</v>
      </c>
      <c r="AI212" s="227">
        <f t="shared" si="95"/>
        <v>2.6742240523880114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45856</v>
      </c>
      <c r="B213" s="1139">
        <f>IF(t&gt;Tmaj,'2024'!Wh/'2024'!Env_an*'2025'!Env_an,0.001*[9]mois!$B$225)</f>
        <v>52.523054464894074</v>
      </c>
      <c r="C213" s="866"/>
      <c r="D213" s="395">
        <f t="shared" si="77"/>
        <v>55.725186137916388</v>
      </c>
      <c r="E213" s="387">
        <f t="shared" si="75"/>
        <v>58.679366072693149</v>
      </c>
      <c r="F213" s="387">
        <f t="shared" si="78"/>
        <v>58.681251423823511</v>
      </c>
      <c r="G213" s="110">
        <f t="shared" si="76"/>
        <v>0.94415492816473046</v>
      </c>
      <c r="H213" s="414" t="b">
        <f>Wh_hp&gt;='2024'!Maxi_hp</f>
        <v>1</v>
      </c>
      <c r="I213" s="392">
        <f>IF(H213,Wh_hp,'2024'!Maxi_hp)</f>
        <v>58.681251423823511</v>
      </c>
      <c r="J213" s="85">
        <f>IF(H213,An,'2024'!An_max)</f>
        <v>2025</v>
      </c>
      <c r="K213" s="199">
        <f t="shared" si="79"/>
        <v>45856</v>
      </c>
      <c r="L213" s="147">
        <f>IF(t&lt;Tvie,1-EXP((T0-t)*PertePVj)+'2024'!Pspv,1-EXP((T0-t)*PertePVj)+Pspv)</f>
        <v>5.7462915693044736E-2</v>
      </c>
      <c r="M213" s="870"/>
      <c r="N213" s="870"/>
      <c r="O213" s="48">
        <f>IF(t&lt;Tnet,'2024'!Resal+('2024'!Salim-'2024'!Resal)*(1-EXP(('2024'!Tnet-t)/('2024'!Tau_j))),Resal+(Salim-Resal)*(1-EXP((Tnet-t)/(Tau_j))))*Salcycl</f>
        <v>5.034444187957085E-2</v>
      </c>
      <c r="P213" s="171">
        <f>(INDEX(Models!$BJ213:$BT213,,T213)*(1-R213)+INDEX(Models!$BJ213:$BT213,,T213+1)*R213-ERP_i)*Q213*Ramure*Pc/MaxiM</f>
        <v>3.4913936038643618E-5</v>
      </c>
      <c r="Q213" s="307">
        <f t="shared" si="80"/>
        <v>1</v>
      </c>
      <c r="R213" s="179">
        <f t="shared" si="81"/>
        <v>0.74342762874724766</v>
      </c>
      <c r="S213" s="837">
        <f t="shared" si="82"/>
        <v>-3</v>
      </c>
      <c r="T213" s="178">
        <f t="shared" si="83"/>
        <v>3</v>
      </c>
      <c r="U213" s="253">
        <f t="shared" si="84"/>
        <v>-2.2565723712527523</v>
      </c>
      <c r="V213" s="385">
        <f t="shared" si="85"/>
        <v>55.629544053874426</v>
      </c>
      <c r="W213" s="404">
        <f t="shared" si="86"/>
        <v>52.523054464894074</v>
      </c>
      <c r="X213" s="157">
        <f t="shared" si="87"/>
        <v>45856</v>
      </c>
      <c r="Y213" s="387">
        <f t="shared" si="88"/>
        <v>48.545447443646516</v>
      </c>
      <c r="Z213" s="387">
        <f t="shared" si="89"/>
        <v>51.505079483786936</v>
      </c>
      <c r="AA213" s="388">
        <f t="shared" si="90"/>
        <v>58.58018297964545</v>
      </c>
      <c r="AB213" s="199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0.12077639802383111</v>
      </c>
      <c r="AD213" s="233">
        <f>(INDEX(Models!$BJ213:$BT213,,AH213)*(1-AF213)+INDEX(Models!$BJ213:$BT213,,AH213+1)*AF213-ERP_i)*AE213*Ramure*Pc/MaxiM</f>
        <v>1.8716392605722971E-3</v>
      </c>
      <c r="AE213" s="307">
        <f t="shared" si="92"/>
        <v>1</v>
      </c>
      <c r="AF213" s="179">
        <f t="shared" si="93"/>
        <v>0.6784102216708181</v>
      </c>
      <c r="AG213" s="837">
        <f t="shared" si="99"/>
        <v>2</v>
      </c>
      <c r="AH213" s="178">
        <f t="shared" si="94"/>
        <v>8</v>
      </c>
      <c r="AI213" s="227">
        <f t="shared" si="95"/>
        <v>2.6784102216708181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45857</v>
      </c>
      <c r="B214" s="1139">
        <f>IF(t&gt;Tmaj,'2024'!Wh/'2024'!Env_an*'2025'!Env_an,0.001*[9]mois!$B$226)</f>
        <v>42.476833242657257</v>
      </c>
      <c r="C214" s="866"/>
      <c r="D214" s="395">
        <f t="shared" si="77"/>
        <v>45.067533650264394</v>
      </c>
      <c r="E214" s="387">
        <f t="shared" si="75"/>
        <v>47.470340142735751</v>
      </c>
      <c r="F214" s="387">
        <f t="shared" si="78"/>
        <v>47.471529749134689</v>
      </c>
      <c r="G214" s="110">
        <f t="shared" si="76"/>
        <v>0.76554443743926426</v>
      </c>
      <c r="H214" s="414" t="b">
        <f>Wh_hp&gt;='2024'!Maxi_hp</f>
        <v>0</v>
      </c>
      <c r="I214" s="392">
        <f>IF(H214,Wh_hp,'2024'!Maxi_hp)</f>
        <v>60.900356316381583</v>
      </c>
      <c r="J214" s="85">
        <f>IF(H214,An,'2024'!An_max)</f>
        <v>2020</v>
      </c>
      <c r="K214" s="199">
        <f t="shared" si="79"/>
        <v>45857</v>
      </c>
      <c r="L214" s="147">
        <f>IF(t&lt;Tvie,1-EXP((T0-t)*PertePVj)+'2024'!Pspv,1-EXP((T0-t)*PertePVj)+Pspv)</f>
        <v>5.7484849907954549E-2</v>
      </c>
      <c r="M214" s="870"/>
      <c r="N214" s="870"/>
      <c r="O214" s="48">
        <f>IF(t&lt;Tnet,'2024'!Resal+('2024'!Salim-'2024'!Resal)*(1-EXP(('2024'!Tnet-t)/('2024'!Tau_j))),Resal+(Salim-Resal)*(1-EXP((Tnet-t)/(Tau_j))))*Salcycl</f>
        <v>5.0617006013576132E-2</v>
      </c>
      <c r="P214" s="171">
        <f>(INDEX(Models!$BJ214:$BT214,,T214)*(1-R214)+INDEX(Models!$BJ214:$BT214,,T214+1)*R214-ERP_i)*Q214*Ramure*Pc/MaxiM</f>
        <v>3.7678876995023187E-5</v>
      </c>
      <c r="Q214" s="307">
        <f t="shared" si="80"/>
        <v>1</v>
      </c>
      <c r="R214" s="179">
        <f t="shared" si="81"/>
        <v>0.74750293251903699</v>
      </c>
      <c r="S214" s="837">
        <f t="shared" si="82"/>
        <v>-3</v>
      </c>
      <c r="T214" s="178">
        <f t="shared" si="83"/>
        <v>3</v>
      </c>
      <c r="U214" s="253">
        <f t="shared" si="84"/>
        <v>-2.252497067480963</v>
      </c>
      <c r="V214" s="385">
        <f t="shared" si="85"/>
        <v>55.485083706449771</v>
      </c>
      <c r="W214" s="404">
        <f t="shared" si="86"/>
        <v>42.476833242657257</v>
      </c>
      <c r="X214" s="157">
        <f t="shared" si="87"/>
        <v>45857</v>
      </c>
      <c r="Y214" s="387">
        <f t="shared" si="88"/>
        <v>39.280055467544145</v>
      </c>
      <c r="Z214" s="387">
        <f t="shared" si="89"/>
        <v>41.675781512592216</v>
      </c>
      <c r="AA214" s="388">
        <f t="shared" si="90"/>
        <v>47.408465363408311</v>
      </c>
      <c r="AB214" s="199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0.12092110147148534</v>
      </c>
      <c r="AD214" s="233">
        <f>(INDEX(Models!$BJ214:$BT214,,AH214)*(1-AF214)+INDEX(Models!$BJ214:$BT214,,AH214+1)*AF214-ERP_i)*AE214*Ramure*Pc/MaxiM</f>
        <v>1.9974633918182654E-3</v>
      </c>
      <c r="AE214" s="307">
        <f t="shared" si="92"/>
        <v>1</v>
      </c>
      <c r="AF214" s="179">
        <f t="shared" si="93"/>
        <v>0.68248552544260743</v>
      </c>
      <c r="AG214" s="837">
        <f t="shared" si="99"/>
        <v>2</v>
      </c>
      <c r="AH214" s="178">
        <f t="shared" si="94"/>
        <v>8</v>
      </c>
      <c r="AI214" s="227">
        <f t="shared" si="95"/>
        <v>2.6824855254426074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45858</v>
      </c>
      <c r="B215" s="1139">
        <f>IF(t&gt;Tmaj,'2024'!Wh/'2024'!Env_an*'2025'!Env_an,0.001*[9]mois!$B$227)</f>
        <v>40.74161255013572</v>
      </c>
      <c r="C215" s="866"/>
      <c r="D215" s="395">
        <f t="shared" si="77"/>
        <v>43.227486247902874</v>
      </c>
      <c r="E215" s="387">
        <f t="shared" si="75"/>
        <v>45.545211130340562</v>
      </c>
      <c r="F215" s="387">
        <f t="shared" si="78"/>
        <v>45.546366601407776</v>
      </c>
      <c r="G215" s="110">
        <f t="shared" si="76"/>
        <v>0.73621376306790964</v>
      </c>
      <c r="H215" s="414" t="b">
        <f>Wh_hp&gt;='2024'!Maxi_hp</f>
        <v>0</v>
      </c>
      <c r="I215" s="392">
        <f>IF(H215,Wh_hp,'2024'!Maxi_hp)</f>
        <v>59.452822712934505</v>
      </c>
      <c r="J215" s="85">
        <f>IF(H215,An,'2024'!An_max)</f>
        <v>2020</v>
      </c>
      <c r="K215" s="199">
        <f t="shared" si="79"/>
        <v>45858</v>
      </c>
      <c r="L215" s="147">
        <f>IF(t&lt;Tvie,1-EXP((T0-t)*PertePVj)+'2024'!Pspv,1-EXP((T0-t)*PertePVj)+Pspv)</f>
        <v>5.7506783612423229E-2</v>
      </c>
      <c r="M215" s="870"/>
      <c r="N215" s="870"/>
      <c r="O215" s="48">
        <f>IF(t&lt;Tnet,'2024'!Resal+('2024'!Salim-'2024'!Resal)*(1-EXP(('2024'!Tnet-t)/('2024'!Tau_j))),Resal+(Salim-Resal)*(1-EXP((Tnet-t)/(Tau_j))))*Salcycl</f>
        <v>5.0888443041900919E-2</v>
      </c>
      <c r="P215" s="171">
        <f>(INDEX(Models!$BJ215:$BT215,,T215)*(1-R215)+INDEX(Models!$BJ215:$BT215,,T215+1)*R215-ERP_i)*Q215*Ramure*Pc/MaxiM</f>
        <v>4.0709218914412483E-5</v>
      </c>
      <c r="Q215" s="307">
        <f t="shared" si="80"/>
        <v>1</v>
      </c>
      <c r="R215" s="179">
        <f t="shared" si="81"/>
        <v>0.7514684121286459</v>
      </c>
      <c r="S215" s="837">
        <f t="shared" si="82"/>
        <v>-3</v>
      </c>
      <c r="T215" s="178">
        <f t="shared" si="83"/>
        <v>3</v>
      </c>
      <c r="U215" s="253">
        <f t="shared" si="84"/>
        <v>-2.2485315878713541</v>
      </c>
      <c r="V215" s="385">
        <f t="shared" si="85"/>
        <v>55.3385301899079</v>
      </c>
      <c r="W215" s="404">
        <f t="shared" si="86"/>
        <v>40.74161255013572</v>
      </c>
      <c r="X215" s="157">
        <f t="shared" si="87"/>
        <v>45858</v>
      </c>
      <c r="Y215" s="387">
        <f t="shared" si="88"/>
        <v>37.680025254757766</v>
      </c>
      <c r="Z215" s="387">
        <f t="shared" si="89"/>
        <v>39.97909438455077</v>
      </c>
      <c r="AA215" s="388">
        <f t="shared" si="90"/>
        <v>45.485785036603701</v>
      </c>
      <c r="AB215" s="199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0.12106399059885493</v>
      </c>
      <c r="AD215" s="233">
        <f>(INDEX(Models!$BJ215:$BT215,,AH215)*(1-AF215)+INDEX(Models!$BJ215:$BT215,,AH215+1)*AF215-ERP_i)*AE215*Ramure*Pc/MaxiM</f>
        <v>2.1343919841606738E-3</v>
      </c>
      <c r="AE215" s="307">
        <f t="shared" si="92"/>
        <v>1</v>
      </c>
      <c r="AF215" s="179">
        <f t="shared" si="93"/>
        <v>0.68645100505221635</v>
      </c>
      <c r="AG215" s="837">
        <f t="shared" si="99"/>
        <v>2</v>
      </c>
      <c r="AH215" s="178">
        <f t="shared" si="94"/>
        <v>8</v>
      </c>
      <c r="AI215" s="227">
        <f t="shared" si="95"/>
        <v>2.6864510050522163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45859</v>
      </c>
      <c r="B216" s="1139">
        <f>IF(t&gt;Tmaj,'2024'!Wh/'2024'!Env_an*'2025'!Env_an,0.001*[9]mois!$B$228)</f>
        <v>51.533463794569947</v>
      </c>
      <c r="C216" s="866"/>
      <c r="D216" s="395">
        <f t="shared" si="77"/>
        <v>54.6790811704631</v>
      </c>
      <c r="E216" s="387">
        <f t="shared" si="75"/>
        <v>57.627219814027661</v>
      </c>
      <c r="F216" s="387">
        <f t="shared" si="78"/>
        <v>57.629516045291702</v>
      </c>
      <c r="G216" s="110">
        <f t="shared" si="76"/>
        <v>0.93374106913970623</v>
      </c>
      <c r="H216" s="414" t="b">
        <f>Wh_hp&gt;='2024'!Maxi_hp</f>
        <v>1</v>
      </c>
      <c r="I216" s="392">
        <f>IF(H216,Wh_hp,'2024'!Maxi_hp)</f>
        <v>57.629516045291702</v>
      </c>
      <c r="J216" s="85">
        <f>IF(H216,An,'2024'!An_max)</f>
        <v>2025</v>
      </c>
      <c r="K216" s="199">
        <f t="shared" si="79"/>
        <v>45859</v>
      </c>
      <c r="L216" s="147">
        <f>IF(t&lt;Tvie,1-EXP((T0-t)*PertePVj)+'2024'!Pspv,1-EXP((T0-t)*PertePVj)+Pspv)</f>
        <v>5.7528716806462543E-2</v>
      </c>
      <c r="M216" s="870"/>
      <c r="N216" s="870"/>
      <c r="O216" s="48">
        <f>IF(t&lt;Tnet,'2024'!Resal+('2024'!Salim-'2024'!Resal)*(1-EXP(('2024'!Tnet-t)/('2024'!Tau_j))),Resal+(Salim-Resal)*(1-EXP((Tnet-t)/(Tau_j))))*Salcycl</f>
        <v>5.1158786647675973E-2</v>
      </c>
      <c r="P216" s="171">
        <f>(INDEX(Models!$BJ216:$BT216,,T216)*(1-R216)+INDEX(Models!$BJ216:$BT216,,T216+1)*R216-ERP_i)*Q216*Ramure*Pc/MaxiM</f>
        <v>4.4010284442203312E-5</v>
      </c>
      <c r="Q216" s="307">
        <f t="shared" si="80"/>
        <v>1</v>
      </c>
      <c r="R216" s="179">
        <f t="shared" si="81"/>
        <v>0.75532523398992968</v>
      </c>
      <c r="S216" s="837">
        <f t="shared" si="82"/>
        <v>-3</v>
      </c>
      <c r="T216" s="178">
        <f t="shared" si="83"/>
        <v>3</v>
      </c>
      <c r="U216" s="253">
        <f t="shared" si="84"/>
        <v>-2.2446747660100703</v>
      </c>
      <c r="V216" s="385">
        <f t="shared" si="85"/>
        <v>55.190085155979681</v>
      </c>
      <c r="W216" s="404">
        <f t="shared" si="86"/>
        <v>51.533463794569947</v>
      </c>
      <c r="X216" s="157">
        <f t="shared" si="87"/>
        <v>45859</v>
      </c>
      <c r="Y216" s="387">
        <f t="shared" si="88"/>
        <v>47.632370115046875</v>
      </c>
      <c r="Z216" s="387">
        <f t="shared" si="89"/>
        <v>50.539863616476381</v>
      </c>
      <c r="AA216" s="388">
        <f t="shared" si="90"/>
        <v>57.510423939283676</v>
      </c>
      <c r="AB216" s="199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0.12120516326164503</v>
      </c>
      <c r="AD216" s="233">
        <f>(INDEX(Models!$BJ216:$BT216,,AH216)*(1-AF216)+INDEX(Models!$BJ216:$BT216,,AH216+1)*AF216-ERP_i)*AE216*Ramure*Pc/MaxiM</f>
        <v>2.2825564403309317E-3</v>
      </c>
      <c r="AE216" s="307">
        <f t="shared" si="92"/>
        <v>1</v>
      </c>
      <c r="AF216" s="179">
        <f t="shared" si="93"/>
        <v>0.69030782691350012</v>
      </c>
      <c r="AG216" s="837">
        <f t="shared" si="99"/>
        <v>2</v>
      </c>
      <c r="AH216" s="178">
        <f t="shared" si="94"/>
        <v>8</v>
      </c>
      <c r="AI216" s="227">
        <f t="shared" si="95"/>
        <v>2.6903078269135001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45860</v>
      </c>
      <c r="B217" s="1139">
        <f>IF(t&gt;Tmaj,'2024'!Wh/'2024'!Env_an*'2025'!Env_an,0.001*[9]mois!$B$229)</f>
        <v>38.813670722731445</v>
      </c>
      <c r="C217" s="866"/>
      <c r="D217" s="395">
        <f t="shared" si="77"/>
        <v>41.183826697669396</v>
      </c>
      <c r="E217" s="387">
        <f t="shared" si="75"/>
        <v>43.416661805573</v>
      </c>
      <c r="F217" s="387">
        <f t="shared" si="78"/>
        <v>43.417857776616891</v>
      </c>
      <c r="G217" s="110">
        <f t="shared" si="76"/>
        <v>0.70517674453048129</v>
      </c>
      <c r="H217" s="414" t="b">
        <f>Wh_hp&gt;='2024'!Maxi_hp</f>
        <v>0</v>
      </c>
      <c r="I217" s="392">
        <f>IF(H217,Wh_hp,'2024'!Maxi_hp)</f>
        <v>56.185831469090324</v>
      </c>
      <c r="J217" s="85">
        <f>IF(H217,An,'2024'!An_max)</f>
        <v>2021</v>
      </c>
      <c r="K217" s="199">
        <f t="shared" si="79"/>
        <v>45860</v>
      </c>
      <c r="L217" s="147">
        <f>IF(t&lt;Tvie,1-EXP((T0-t)*PertePVj)+'2024'!Pspv,1-EXP((T0-t)*PertePVj)+Pspv)</f>
        <v>5.7550649490084371E-2</v>
      </c>
      <c r="M217" s="870"/>
      <c r="N217" s="870"/>
      <c r="O217" s="48">
        <f>IF(t&lt;Tnet,'2024'!Resal+('2024'!Salim-'2024'!Resal)*(1-EXP(('2024'!Tnet-t)/('2024'!Tau_j))),Resal+(Salim-Resal)*(1-EXP((Tnet-t)/(Tau_j))))*Salcycl</f>
        <v>5.1428069663729745E-2</v>
      </c>
      <c r="P217" s="171">
        <f>(INDEX(Models!$BJ217:$BT217,,T217)*(1-R217)+INDEX(Models!$BJ217:$BT217,,T217+1)*R217-ERP_i)*Q217*Ramure*Pc/MaxiM</f>
        <v>4.758725495931171E-5</v>
      </c>
      <c r="Q217" s="307">
        <f t="shared" si="80"/>
        <v>1</v>
      </c>
      <c r="R217" s="179">
        <f t="shared" si="81"/>
        <v>0.75907467991012068</v>
      </c>
      <c r="S217" s="837">
        <f t="shared" si="82"/>
        <v>-3</v>
      </c>
      <c r="T217" s="178">
        <f t="shared" si="83"/>
        <v>3</v>
      </c>
      <c r="U217" s="253">
        <f t="shared" si="84"/>
        <v>-2.2409253200898793</v>
      </c>
      <c r="V217" s="385">
        <f t="shared" si="85"/>
        <v>55.03995007243099</v>
      </c>
      <c r="W217" s="404">
        <f t="shared" si="86"/>
        <v>38.813670722731445</v>
      </c>
      <c r="X217" s="157">
        <f t="shared" si="87"/>
        <v>45860</v>
      </c>
      <c r="Y217" s="387">
        <f t="shared" si="88"/>
        <v>35.902987641698338</v>
      </c>
      <c r="Z217" s="387">
        <f t="shared" si="89"/>
        <v>38.095402816366629</v>
      </c>
      <c r="AA217" s="388">
        <f t="shared" si="90"/>
        <v>43.356482802963782</v>
      </c>
      <c r="AB217" s="199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0.12134471355774995</v>
      </c>
      <c r="AD217" s="233">
        <f>(INDEX(Models!$BJ217:$BT217,,AH217)*(1-AF217)+INDEX(Models!$BJ217:$BT217,,AH217+1)*AF217-ERP_i)*AE217*Ramure*Pc/MaxiM</f>
        <v>2.4420879872234318E-3</v>
      </c>
      <c r="AE217" s="307">
        <f t="shared" si="92"/>
        <v>1</v>
      </c>
      <c r="AF217" s="179">
        <f t="shared" si="93"/>
        <v>0.69405727283369112</v>
      </c>
      <c r="AG217" s="837">
        <f t="shared" si="99"/>
        <v>2</v>
      </c>
      <c r="AH217" s="178">
        <f t="shared" si="94"/>
        <v>8</v>
      </c>
      <c r="AI217" s="227">
        <f t="shared" si="95"/>
        <v>2.6940572728336911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45861</v>
      </c>
      <c r="B218" s="1139">
        <f>IF(t&gt;Tmaj,'2024'!Wh/'2024'!Env_an*'2025'!Env_an,0.001*[9]mois!$B$230)</f>
        <v>48.467388021965128</v>
      </c>
      <c r="C218" s="866"/>
      <c r="D218" s="395">
        <f t="shared" si="77"/>
        <v>51.428244848293744</v>
      </c>
      <c r="E218" s="387">
        <f t="shared" si="75"/>
        <v>54.231831155754122</v>
      </c>
      <c r="F218" s="387">
        <f t="shared" si="78"/>
        <v>54.234154970587753</v>
      </c>
      <c r="G218" s="110">
        <f t="shared" si="76"/>
        <v>0.88301055316284027</v>
      </c>
      <c r="H218" s="414" t="b">
        <f>Wh_hp&gt;='2024'!Maxi_hp</f>
        <v>0</v>
      </c>
      <c r="I218" s="392">
        <f>IF(H218,Wh_hp,'2024'!Maxi_hp)</f>
        <v>56.993648476218958</v>
      </c>
      <c r="J218" s="85">
        <f>IF(H218,An,'2024'!An_max)</f>
        <v>2019</v>
      </c>
      <c r="K218" s="199">
        <f t="shared" si="79"/>
        <v>45861</v>
      </c>
      <c r="L218" s="147">
        <f>IF(t&lt;Tvie,1-EXP((T0-t)*PertePVj)+'2024'!Pspv,1-EXP((T0-t)*PertePVj)+Pspv)</f>
        <v>5.7572581663300704E-2</v>
      </c>
      <c r="M218" s="870"/>
      <c r="N218" s="870"/>
      <c r="O218" s="48">
        <f>IF(t&lt;Tnet,'2024'!Resal+('2024'!Salim-'2024'!Resal)*(1-EXP(('2024'!Tnet-t)/('2024'!Tau_j))),Resal+(Salim-Resal)*(1-EXP((Tnet-t)/(Tau_j))))*Salcycl</f>
        <v>5.1696323869434908E-2</v>
      </c>
      <c r="P218" s="171">
        <f>(INDEX(Models!$BJ218:$BT218,,T218)*(1-R218)+INDEX(Models!$BJ218:$BT218,,T218+1)*R218-ERP_i)*Q218*Ramure*Pc/MaxiM</f>
        <v>5.1445170450679958E-5</v>
      </c>
      <c r="Q218" s="307">
        <f t="shared" si="80"/>
        <v>1</v>
      </c>
      <c r="R218" s="179">
        <f t="shared" si="81"/>
        <v>0.7627181375757055</v>
      </c>
      <c r="S218" s="837">
        <f t="shared" si="82"/>
        <v>-3</v>
      </c>
      <c r="T218" s="178">
        <f t="shared" si="83"/>
        <v>3</v>
      </c>
      <c r="U218" s="253">
        <f t="shared" si="84"/>
        <v>-2.2372818624242945</v>
      </c>
      <c r="V218" s="385">
        <f t="shared" si="85"/>
        <v>54.888326236828135</v>
      </c>
      <c r="W218" s="404">
        <f t="shared" si="86"/>
        <v>48.467388021965128</v>
      </c>
      <c r="X218" s="157">
        <f t="shared" si="87"/>
        <v>45861</v>
      </c>
      <c r="Y218" s="387">
        <f t="shared" si="88"/>
        <v>44.804832204990291</v>
      </c>
      <c r="Z218" s="387">
        <f t="shared" si="89"/>
        <v>47.541944698581503</v>
      </c>
      <c r="AA218" s="388">
        <f t="shared" si="90"/>
        <v>54.116118601418663</v>
      </c>
      <c r="AB218" s="199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0.12148273144380346</v>
      </c>
      <c r="AD218" s="233">
        <f>(INDEX(Models!$BJ218:$BT218,,AH218)*(1-AF218)+INDEX(Models!$BJ218:$BT218,,AH218+1)*AF218-ERP_i)*AE218*Ramure*Pc/MaxiM</f>
        <v>2.6131174667584534E-3</v>
      </c>
      <c r="AE218" s="307">
        <f t="shared" si="92"/>
        <v>1</v>
      </c>
      <c r="AF218" s="179">
        <f t="shared" si="93"/>
        <v>0.69770073049927595</v>
      </c>
      <c r="AG218" s="837">
        <f t="shared" si="99"/>
        <v>2</v>
      </c>
      <c r="AH218" s="178">
        <f t="shared" si="94"/>
        <v>8</v>
      </c>
      <c r="AI218" s="227">
        <f t="shared" si="95"/>
        <v>2.6977007304992759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45862</v>
      </c>
      <c r="B219" s="1139">
        <f>IF(t&gt;Tmaj,'2024'!Wh/'2024'!Env_an*'2025'!Env_an,0.001*[9]mois!$B$231)</f>
        <v>51.07430250906863</v>
      </c>
      <c r="C219" s="866"/>
      <c r="D219" s="395">
        <f t="shared" si="77"/>
        <v>54.195676098332285</v>
      </c>
      <c r="E219" s="387">
        <f t="shared" si="75"/>
        <v>57.166238494381489</v>
      </c>
      <c r="F219" s="387">
        <f t="shared" si="78"/>
        <v>57.169112802122442</v>
      </c>
      <c r="G219" s="110">
        <f t="shared" si="76"/>
        <v>0.93310874193845617</v>
      </c>
      <c r="H219" s="414" t="b">
        <f>Wh_hp&gt;='2024'!Maxi_hp</f>
        <v>0</v>
      </c>
      <c r="I219" s="392">
        <f>IF(H219,Wh_hp,'2024'!Maxi_hp)</f>
        <v>57.250617661501515</v>
      </c>
      <c r="J219" s="85">
        <f>IF(H219,An,'2024'!An_max)</f>
        <v>2019</v>
      </c>
      <c r="K219" s="199">
        <f t="shared" si="79"/>
        <v>45862</v>
      </c>
      <c r="L219" s="147">
        <f>IF(t&lt;Tvie,1-EXP((T0-t)*PertePVj)+'2024'!Pspv,1-EXP((T0-t)*PertePVj)+Pspv)</f>
        <v>5.7594513326123198E-2</v>
      </c>
      <c r="M219" s="870"/>
      <c r="N219" s="870"/>
      <c r="O219" s="48">
        <f>IF(t&lt;Tnet,'2024'!Resal+('2024'!Salim-'2024'!Resal)*(1-EXP(('2024'!Tnet-t)/('2024'!Tau_j))),Resal+(Salim-Resal)*(1-EXP((Tnet-t)/(Tau_j))))*Salcycl</f>
        <v>5.1963579803158758E-2</v>
      </c>
      <c r="P219" s="171">
        <f>(INDEX(Models!$BJ219:$BT219,,T219)*(1-R219)+INDEX(Models!$BJ219:$BT219,,T219+1)*R219-ERP_i)*Q219*Ramure*Pc/MaxiM</f>
        <v>5.5588907858473989E-5</v>
      </c>
      <c r="Q219" s="307">
        <f t="shared" si="80"/>
        <v>1</v>
      </c>
      <c r="R219" s="179">
        <f t="shared" si="81"/>
        <v>0.76625709123573404</v>
      </c>
      <c r="S219" s="837">
        <f t="shared" si="82"/>
        <v>-3</v>
      </c>
      <c r="T219" s="178">
        <f t="shared" si="83"/>
        <v>3</v>
      </c>
      <c r="U219" s="253">
        <f t="shared" si="84"/>
        <v>-2.233742908764266</v>
      </c>
      <c r="V219" s="385">
        <f t="shared" si="85"/>
        <v>54.735347459997961</v>
      </c>
      <c r="W219" s="404">
        <f t="shared" si="86"/>
        <v>51.07430250906863</v>
      </c>
      <c r="X219" s="157">
        <f t="shared" si="87"/>
        <v>45862</v>
      </c>
      <c r="Y219" s="387">
        <f t="shared" si="88"/>
        <v>47.204399806890414</v>
      </c>
      <c r="Z219" s="387">
        <f t="shared" si="89"/>
        <v>50.089266748110184</v>
      </c>
      <c r="AA219" s="388">
        <f t="shared" si="90"/>
        <v>57.02455311775708</v>
      </c>
      <c r="AB219" s="199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0.12161930239637932</v>
      </c>
      <c r="AD219" s="233">
        <f>(INDEX(Models!$BJ219:$BT219,,AH219)*(1-AF219)+INDEX(Models!$BJ219:$BT219,,AH219+1)*AF219-ERP_i)*AE219*Ramure*Pc/MaxiM</f>
        <v>2.7957740431710956E-3</v>
      </c>
      <c r="AE219" s="307">
        <f t="shared" si="92"/>
        <v>1</v>
      </c>
      <c r="AF219" s="179">
        <f t="shared" si="93"/>
        <v>0.70123968415930449</v>
      </c>
      <c r="AG219" s="837">
        <f t="shared" si="99"/>
        <v>2</v>
      </c>
      <c r="AH219" s="178">
        <f t="shared" si="94"/>
        <v>8</v>
      </c>
      <c r="AI219" s="227">
        <f t="shared" si="95"/>
        <v>2.7012396841593045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45863</v>
      </c>
      <c r="B220" s="1139">
        <f>IF(t&gt;Tmaj,'2024'!Wh/'2024'!Env_an*'2025'!Env_an,0.001*[9]mois!$B$232)</f>
        <v>30.856214988793671</v>
      </c>
      <c r="C220" s="866"/>
      <c r="D220" s="395">
        <f t="shared" si="77"/>
        <v>32.742734959674067</v>
      </c>
      <c r="E220" s="387">
        <f t="shared" si="75"/>
        <v>34.547126782646941</v>
      </c>
      <c r="F220" s="387">
        <f t="shared" si="78"/>
        <v>34.547916114435182</v>
      </c>
      <c r="G220" s="110">
        <f t="shared" si="76"/>
        <v>0.5653091127758193</v>
      </c>
      <c r="H220" s="414" t="b">
        <f>Wh_hp&gt;='2024'!Maxi_hp</f>
        <v>0</v>
      </c>
      <c r="I220" s="392">
        <f>IF(H220,Wh_hp,'2024'!Maxi_hp)</f>
        <v>58.935772550617891</v>
      </c>
      <c r="J220" s="85">
        <f>IF(H220,An,'2024'!An_max)</f>
        <v>2020</v>
      </c>
      <c r="K220" s="199">
        <f t="shared" si="79"/>
        <v>45863</v>
      </c>
      <c r="L220" s="147">
        <f>IF(t&lt;Tvie,1-EXP((T0-t)*PertePVj)+'2024'!Pspv,1-EXP((T0-t)*PertePVj)+Pspv)</f>
        <v>5.7616444478563955E-2</v>
      </c>
      <c r="M220" s="870"/>
      <c r="N220" s="870"/>
      <c r="O220" s="48">
        <f>IF(t&lt;Tnet,'2024'!Resal+('2024'!Salim-'2024'!Resal)*(1-EXP(('2024'!Tnet-t)/('2024'!Tau_j))),Resal+(Salim-Resal)*(1-EXP((Tnet-t)/(Tau_j))))*Salcycl</f>
        <v>5.2229866591372284E-2</v>
      </c>
      <c r="P220" s="171">
        <f>(INDEX(Models!$BJ220:$BT220,,T220)*(1-R220)+INDEX(Models!$BJ220:$BT220,,T220+1)*R220-ERP_i)*Q220*Ramure*Pc/MaxiM</f>
        <v>6.0276631299769679E-5</v>
      </c>
      <c r="Q220" s="307">
        <f t="shared" si="80"/>
        <v>1</v>
      </c>
      <c r="R220" s="179">
        <f t="shared" si="81"/>
        <v>0.76969311261772289</v>
      </c>
      <c r="S220" s="837">
        <f t="shared" si="82"/>
        <v>-3</v>
      </c>
      <c r="T220" s="178">
        <f t="shared" si="83"/>
        <v>3</v>
      </c>
      <c r="U220" s="253">
        <f t="shared" si="84"/>
        <v>-2.2303068873822771</v>
      </c>
      <c r="V220" s="385">
        <f t="shared" si="85"/>
        <v>54.58086441953207</v>
      </c>
      <c r="W220" s="404">
        <f t="shared" si="86"/>
        <v>30.856214988793671</v>
      </c>
      <c r="X220" s="157">
        <f t="shared" si="87"/>
        <v>45863</v>
      </c>
      <c r="Y220" s="387">
        <f t="shared" si="88"/>
        <v>28.560842442305269</v>
      </c>
      <c r="Z220" s="387">
        <f t="shared" si="89"/>
        <v>30.307025493990174</v>
      </c>
      <c r="AA220" s="388">
        <f t="shared" si="90"/>
        <v>34.508603505118749</v>
      </c>
      <c r="AB220" s="199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0.12175450711893757</v>
      </c>
      <c r="AD220" s="233">
        <f>(INDEX(Models!$BJ220:$BT220,,AH220)*(1-AF220)+INDEX(Models!$BJ220:$BT220,,AH220+1)*AF220-ERP_i)*AE220*Ramure*Pc/MaxiM</f>
        <v>3.0020730097263422E-3</v>
      </c>
      <c r="AE220" s="307">
        <f t="shared" si="92"/>
        <v>1</v>
      </c>
      <c r="AF220" s="179">
        <f t="shared" si="93"/>
        <v>0.70467570554129333</v>
      </c>
      <c r="AG220" s="837">
        <f t="shared" si="99"/>
        <v>2</v>
      </c>
      <c r="AH220" s="178">
        <f t="shared" si="94"/>
        <v>8</v>
      </c>
      <c r="AI220" s="227">
        <f t="shared" si="95"/>
        <v>2.7046757055412933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45864</v>
      </c>
      <c r="B221" s="1139">
        <f>IF(t&gt;Tmaj,'2024'!Wh/'2024'!Env_an*'2025'!Env_an,0.001*[9]mois!$B$233)</f>
        <v>52.21707670050791</v>
      </c>
      <c r="C221" s="866"/>
      <c r="D221" s="395">
        <f t="shared" si="77"/>
        <v>55.410869163090531</v>
      </c>
      <c r="E221" s="387">
        <f t="shared" si="75"/>
        <v>58.480832870596849</v>
      </c>
      <c r="F221" s="387">
        <f t="shared" si="78"/>
        <v>58.484434870180216</v>
      </c>
      <c r="G221" s="110">
        <f t="shared" si="76"/>
        <v>0.95943378711921679</v>
      </c>
      <c r="H221" s="414" t="b">
        <f>Wh_hp&gt;='2024'!Maxi_hp</f>
        <v>1</v>
      </c>
      <c r="I221" s="392">
        <f>IF(H221,Wh_hp,'2024'!Maxi_hp)</f>
        <v>58.484434870180216</v>
      </c>
      <c r="J221" s="85">
        <f>IF(H221,An,'2024'!An_max)</f>
        <v>2025</v>
      </c>
      <c r="K221" s="199">
        <f t="shared" si="79"/>
        <v>45864</v>
      </c>
      <c r="L221" s="147">
        <f>IF(t&lt;Tvie,1-EXP((T0-t)*PertePVj)+'2024'!Pspv,1-EXP((T0-t)*PertePVj)+Pspv)</f>
        <v>5.7638375120634633E-2</v>
      </c>
      <c r="M221" s="870"/>
      <c r="N221" s="870"/>
      <c r="O221" s="48">
        <f>IF(t&lt;Tnet,'2024'!Resal+('2024'!Salim-'2024'!Resal)*(1-EXP(('2024'!Tnet-t)/('2024'!Tau_j))),Resal+(Salim-Resal)*(1-EXP((Tnet-t)/(Tau_j))))*Salcycl</f>
        <v>5.2495211795279384E-2</v>
      </c>
      <c r="P221" s="171">
        <f>(INDEX(Models!$BJ221:$BT221,,T221)*(1-R221)+INDEX(Models!$BJ221:$BT221,,T221+1)*R221-ERP_i)*Q221*Ramure*Pc/MaxiM</f>
        <v>6.5377425049402191E-5</v>
      </c>
      <c r="Q221" s="307">
        <f t="shared" si="80"/>
        <v>1</v>
      </c>
      <c r="R221" s="179">
        <f t="shared" si="81"/>
        <v>0.77302785210672509</v>
      </c>
      <c r="S221" s="837">
        <f t="shared" si="82"/>
        <v>-3</v>
      </c>
      <c r="T221" s="178">
        <f t="shared" si="83"/>
        <v>3</v>
      </c>
      <c r="U221" s="253">
        <f t="shared" si="84"/>
        <v>-2.2269721478932749</v>
      </c>
      <c r="V221" s="385">
        <f t="shared" si="85"/>
        <v>54.424682109817503</v>
      </c>
      <c r="W221" s="404">
        <f t="shared" si="86"/>
        <v>52.21707670050791</v>
      </c>
      <c r="X221" s="157">
        <f t="shared" si="87"/>
        <v>45864</v>
      </c>
      <c r="Y221" s="387">
        <f t="shared" si="88"/>
        <v>48.248471519199825</v>
      </c>
      <c r="Z221" s="387">
        <f t="shared" si="89"/>
        <v>51.199529188570537</v>
      </c>
      <c r="AA221" s="388">
        <f t="shared" si="90"/>
        <v>58.306404823958701</v>
      </c>
      <c r="AB221" s="199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0.12188842129514869</v>
      </c>
      <c r="AD221" s="233">
        <f>(INDEX(Models!$BJ221:$BT221,,AH221)*(1-AF221)+INDEX(Models!$BJ221:$BT221,,AH221+1)*AF221-ERP_i)*AE221*Ramure*Pc/MaxiM</f>
        <v>3.2313013186206583E-3</v>
      </c>
      <c r="AE221" s="307">
        <f t="shared" si="92"/>
        <v>1</v>
      </c>
      <c r="AF221" s="179">
        <f t="shared" si="93"/>
        <v>0.70801044503029553</v>
      </c>
      <c r="AG221" s="837">
        <f t="shared" si="99"/>
        <v>2</v>
      </c>
      <c r="AH221" s="178">
        <f t="shared" si="94"/>
        <v>8</v>
      </c>
      <c r="AI221" s="227">
        <f t="shared" si="95"/>
        <v>2.7080104450302955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45865</v>
      </c>
      <c r="B222" s="1139">
        <f>IF(t&gt;Tmaj,'2024'!Wh/'2024'!Env_an*'2025'!Env_an,0.001*[9]mois!$B$234)</f>
        <v>54.954753895178477</v>
      </c>
      <c r="C222" s="866"/>
      <c r="D222" s="395">
        <f t="shared" si="77"/>
        <v>58.317350103663735</v>
      </c>
      <c r="E222" s="387">
        <f t="shared" si="75"/>
        <v>61.565525124160018</v>
      </c>
      <c r="F222" s="387">
        <f t="shared" si="78"/>
        <v>61.569890370672333</v>
      </c>
      <c r="G222" s="110">
        <f t="shared" si="76"/>
        <v>1.0126810163838371</v>
      </c>
      <c r="H222" s="414" t="b">
        <f>Wh_hp&gt;='2024'!Maxi_hp</f>
        <v>1</v>
      </c>
      <c r="I222" s="392">
        <f>IF(H222,Wh_hp,'2024'!Maxi_hp)</f>
        <v>61.569890370672333</v>
      </c>
      <c r="J222" s="85">
        <f>IF(H222,An,'2024'!An_max)</f>
        <v>2025</v>
      </c>
      <c r="K222" s="199">
        <f t="shared" si="79"/>
        <v>45865</v>
      </c>
      <c r="L222" s="147">
        <f>IF(t&lt;Tvie,1-EXP((T0-t)*PertePVj)+'2024'!Pspv,1-EXP((T0-t)*PertePVj)+Pspv)</f>
        <v>5.7660305252347333E-2</v>
      </c>
      <c r="M222" s="870"/>
      <c r="N222" s="870"/>
      <c r="O222" s="48">
        <f>IF(t&lt;Tnet,'2024'!Resal+('2024'!Salim-'2024'!Resal)*(1-EXP(('2024'!Tnet-t)/('2024'!Tau_j))),Resal+(Salim-Resal)*(1-EXP((Tnet-t)/(Tau_j))))*Salcycl</f>
        <v>5.27596412756271E-2</v>
      </c>
      <c r="P222" s="171">
        <f>(INDEX(Models!$BJ222:$BT222,,T222)*(1-R222)+INDEX(Models!$BJ222:$BT222,,T222+1)*R222-ERP_i)*Q222*Ramure*Pc/MaxiM</f>
        <v>7.0899046368835895E-5</v>
      </c>
      <c r="Q222" s="307">
        <f t="shared" si="80"/>
        <v>1</v>
      </c>
      <c r="R222" s="179">
        <f t="shared" si="81"/>
        <v>0.77626303021367749</v>
      </c>
      <c r="S222" s="837">
        <f t="shared" si="82"/>
        <v>-3</v>
      </c>
      <c r="T222" s="178">
        <f t="shared" si="83"/>
        <v>3</v>
      </c>
      <c r="U222" s="253">
        <f t="shared" si="84"/>
        <v>-2.2237369697863225</v>
      </c>
      <c r="V222" s="385">
        <f t="shared" si="85"/>
        <v>54.266598273378655</v>
      </c>
      <c r="W222" s="404">
        <f t="shared" si="86"/>
        <v>54.954753895178477</v>
      </c>
      <c r="X222" s="157">
        <f t="shared" si="87"/>
        <v>45865</v>
      </c>
      <c r="Y222" s="387">
        <f t="shared" si="88"/>
        <v>50.762655672109538</v>
      </c>
      <c r="Z222" s="387">
        <f t="shared" si="89"/>
        <v>53.868743888267566</v>
      </c>
      <c r="AA222" s="388">
        <f t="shared" si="90"/>
        <v>61.35539798559109</v>
      </c>
      <c r="AB222" s="199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0.12202111538876677</v>
      </c>
      <c r="AD222" s="233">
        <f>(INDEX(Models!$BJ222:$BT222,,AH222)*(1-AF222)+INDEX(Models!$BJ222:$BT222,,AH222+1)*AF222-ERP_i)*AE222*Ramure*Pc/MaxiM</f>
        <v>3.4837220561855817E-3</v>
      </c>
      <c r="AE222" s="307">
        <f t="shared" si="92"/>
        <v>1</v>
      </c>
      <c r="AF222" s="179">
        <f t="shared" si="93"/>
        <v>0.71124562313724793</v>
      </c>
      <c r="AG222" s="837">
        <f t="shared" si="99"/>
        <v>2</v>
      </c>
      <c r="AH222" s="178">
        <f t="shared" si="94"/>
        <v>8</v>
      </c>
      <c r="AI222" s="227">
        <f t="shared" si="95"/>
        <v>2.7112456231372479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45866</v>
      </c>
      <c r="B223" s="1139">
        <f>IF(t&gt;Tmaj,'2024'!Wh/'2024'!Env_an*'2025'!Env_an,0.001*[9]mois!$B$235)</f>
        <v>46.854250713687456</v>
      </c>
      <c r="C223" s="866"/>
      <c r="D223" s="395">
        <f t="shared" si="77"/>
        <v>49.722346800294282</v>
      </c>
      <c r="E223" s="387">
        <f t="shared" si="75"/>
        <v>52.506403220921861</v>
      </c>
      <c r="F223" s="387">
        <f t="shared" si="78"/>
        <v>52.509665868771556</v>
      </c>
      <c r="G223" s="110">
        <f t="shared" si="76"/>
        <v>0.86595211782014103</v>
      </c>
      <c r="H223" s="414" t="b">
        <f>Wh_hp&gt;='2024'!Maxi_hp</f>
        <v>0</v>
      </c>
      <c r="I223" s="392">
        <f>IF(H223,Wh_hp,'2024'!Maxi_hp)</f>
        <v>61.483978261170357</v>
      </c>
      <c r="J223" s="85">
        <f>IF(H223,An,'2024'!An_max)</f>
        <v>2019</v>
      </c>
      <c r="K223" s="199">
        <f t="shared" si="79"/>
        <v>45866</v>
      </c>
      <c r="L223" s="147">
        <f>IF(t&lt;Tvie,1-EXP((T0-t)*PertePVj)+'2024'!Pspv,1-EXP((T0-t)*PertePVj)+Pspv)</f>
        <v>5.7682234873713822E-2</v>
      </c>
      <c r="M223" s="870"/>
      <c r="N223" s="870"/>
      <c r="O223" s="48">
        <f>IF(t&lt;Tnet,'2024'!Resal+('2024'!Salim-'2024'!Resal)*(1-EXP(('2024'!Tnet-t)/('2024'!Tau_j))),Resal+(Salim-Resal)*(1-EXP((Tnet-t)/(Tau_j))))*Salcycl</f>
        <v>5.3023179076151873E-2</v>
      </c>
      <c r="P223" s="171">
        <f>(INDEX(Models!$BJ223:$BT223,,T223)*(1-R223)+INDEX(Models!$BJ223:$BT223,,T223+1)*R223-ERP_i)*Q223*Ramure*Pc/MaxiM</f>
        <v>7.6849229613835075E-5</v>
      </c>
      <c r="Q223" s="307">
        <f t="shared" si="80"/>
        <v>1</v>
      </c>
      <c r="R223" s="179">
        <f t="shared" si="81"/>
        <v>0.77940042935489151</v>
      </c>
      <c r="S223" s="837">
        <f t="shared" si="82"/>
        <v>-3</v>
      </c>
      <c r="T223" s="178">
        <f t="shared" si="83"/>
        <v>3</v>
      </c>
      <c r="U223" s="253">
        <f t="shared" si="84"/>
        <v>-2.2205995706451085</v>
      </c>
      <c r="V223" s="385">
        <f t="shared" si="85"/>
        <v>54.106411020370807</v>
      </c>
      <c r="W223" s="404">
        <f t="shared" si="86"/>
        <v>46.854250713687456</v>
      </c>
      <c r="X223" s="157">
        <f t="shared" si="87"/>
        <v>45866</v>
      </c>
      <c r="Y223" s="387">
        <f t="shared" si="88"/>
        <v>43.304545882196528</v>
      </c>
      <c r="Z223" s="387">
        <f t="shared" si="89"/>
        <v>45.955353368927518</v>
      </c>
      <c r="AA223" s="388">
        <f t="shared" si="90"/>
        <v>52.350051069775333</v>
      </c>
      <c r="AB223" s="199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0.12215265448976483</v>
      </c>
      <c r="AD223" s="233">
        <f>(INDEX(Models!$BJ223:$BT223,,AH223)*(1-AF223)+INDEX(Models!$BJ223:$BT223,,AH223+1)*AF223-ERP_i)*AE223*Ramure*Pc/MaxiM</f>
        <v>3.7596071972542506E-3</v>
      </c>
      <c r="AE223" s="307">
        <f t="shared" si="92"/>
        <v>1</v>
      </c>
      <c r="AF223" s="179">
        <f t="shared" si="93"/>
        <v>0.71438302227846195</v>
      </c>
      <c r="AG223" s="837">
        <f t="shared" si="99"/>
        <v>2</v>
      </c>
      <c r="AH223" s="178">
        <f t="shared" si="94"/>
        <v>8</v>
      </c>
      <c r="AI223" s="227">
        <f t="shared" si="95"/>
        <v>2.714383022278462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45867</v>
      </c>
      <c r="B224" s="1139">
        <f>IF(t&gt;Tmaj,'2024'!Wh/'2024'!Env_an*'2025'!Env_an,0.001*[9]mois!$B$236)</f>
        <v>27.149661920661018</v>
      </c>
      <c r="C224" s="866"/>
      <c r="D224" s="395">
        <f t="shared" si="77"/>
        <v>28.812248641011202</v>
      </c>
      <c r="E224" s="387">
        <f t="shared" si="75"/>
        <v>30.433947310947051</v>
      </c>
      <c r="F224" s="387">
        <f t="shared" si="78"/>
        <v>30.434683018938301</v>
      </c>
      <c r="G224" s="110">
        <f t="shared" si="76"/>
        <v>0.50326448182632688</v>
      </c>
      <c r="H224" s="414" t="b">
        <f>Wh_hp&gt;='2024'!Maxi_hp</f>
        <v>0</v>
      </c>
      <c r="I224" s="392">
        <f>IF(H224,Wh_hp,'2024'!Maxi_hp)</f>
        <v>60.214404913663586</v>
      </c>
      <c r="J224" s="85">
        <f>IF(H224,An,'2024'!An_max)</f>
        <v>2019</v>
      </c>
      <c r="K224" s="199">
        <f t="shared" si="79"/>
        <v>45867</v>
      </c>
      <c r="L224" s="147">
        <f>IF(t&lt;Tvie,1-EXP((T0-t)*PertePVj)+'2024'!Pspv,1-EXP((T0-t)*PertePVj)+Pspv)</f>
        <v>5.7704163984745982E-2</v>
      </c>
      <c r="M224" s="870"/>
      <c r="N224" s="870"/>
      <c r="O224" s="48">
        <f>IF(t&lt;Tnet,'2024'!Resal+('2024'!Salim-'2024'!Resal)*(1-EXP(('2024'!Tnet-t)/('2024'!Tau_j))),Resal+(Salim-Resal)*(1-EXP((Tnet-t)/(Tau_j))))*Salcycl</f>
        <v>5.3285847325907965E-2</v>
      </c>
      <c r="P224" s="171">
        <f>(INDEX(Models!$BJ224:$BT224,,T224)*(1-R224)+INDEX(Models!$BJ224:$BT224,,T224+1)*R224-ERP_i)*Q224*Ramure*Pc/MaxiM</f>
        <v>8.3235716900730578E-5</v>
      </c>
      <c r="Q224" s="307">
        <f t="shared" si="80"/>
        <v>1</v>
      </c>
      <c r="R224" s="179">
        <f t="shared" si="81"/>
        <v>0.78244188596053821</v>
      </c>
      <c r="S224" s="837">
        <f t="shared" si="82"/>
        <v>-3</v>
      </c>
      <c r="T224" s="178">
        <f t="shared" si="83"/>
        <v>3</v>
      </c>
      <c r="U224" s="253">
        <f t="shared" si="84"/>
        <v>-2.2175581140394618</v>
      </c>
      <c r="V224" s="385">
        <f t="shared" si="85"/>
        <v>53.943918831423588</v>
      </c>
      <c r="W224" s="404">
        <f t="shared" si="86"/>
        <v>27.149661920661018</v>
      </c>
      <c r="X224" s="157">
        <f t="shared" si="87"/>
        <v>45867</v>
      </c>
      <c r="Y224" s="387">
        <f t="shared" si="88"/>
        <v>25.141907885299997</v>
      </c>
      <c r="Z224" s="387">
        <f t="shared" si="89"/>
        <v>26.681544080274378</v>
      </c>
      <c r="AA224" s="388">
        <f t="shared" si="90"/>
        <v>30.398804017262101</v>
      </c>
      <c r="AB224" s="199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0.12228309820599714</v>
      </c>
      <c r="AD224" s="233">
        <f>(INDEX(Models!$BJ224:$BT224,,AH224)*(1-AF224)+INDEX(Models!$BJ224:$BT224,,AH224+1)*AF224-ERP_i)*AE224*Ramure*Pc/MaxiM</f>
        <v>4.0592388036095415E-3</v>
      </c>
      <c r="AE224" s="307">
        <f t="shared" si="92"/>
        <v>1</v>
      </c>
      <c r="AF224" s="179">
        <f t="shared" si="93"/>
        <v>0.71742447888410865</v>
      </c>
      <c r="AG224" s="837">
        <f t="shared" si="99"/>
        <v>2</v>
      </c>
      <c r="AH224" s="178">
        <f t="shared" si="94"/>
        <v>8</v>
      </c>
      <c r="AI224" s="227">
        <f t="shared" si="95"/>
        <v>2.7174244788841087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45868</v>
      </c>
      <c r="B225" s="1139">
        <f>IF(t&gt;Tmaj,'2024'!Wh/'2024'!Env_an*'2025'!Env_an,0.001*[9]mois!$B$237)</f>
        <v>46.07065943060563</v>
      </c>
      <c r="C225" s="866"/>
      <c r="D225" s="395">
        <f t="shared" si="77"/>
        <v>48.893065029272094</v>
      </c>
      <c r="E225" s="387">
        <f t="shared" si="75"/>
        <v>51.659299978612793</v>
      </c>
      <c r="F225" s="387">
        <f t="shared" si="78"/>
        <v>51.663000303109818</v>
      </c>
      <c r="G225" s="110">
        <f t="shared" si="76"/>
        <v>0.85665181187546591</v>
      </c>
      <c r="H225" s="414" t="b">
        <f>Wh_hp&gt;='2024'!Maxi_hp</f>
        <v>0</v>
      </c>
      <c r="I225" s="392">
        <f>IF(H225,Wh_hp,'2024'!Maxi_hp)</f>
        <v>52.174946254120343</v>
      </c>
      <c r="J225" s="85">
        <f>IF(H225,An,'2024'!An_max)</f>
        <v>2020</v>
      </c>
      <c r="K225" s="199">
        <f t="shared" si="79"/>
        <v>45868</v>
      </c>
      <c r="L225" s="147">
        <f>IF(t&lt;Tvie,1-EXP((T0-t)*PertePVj)+'2024'!Pspv,1-EXP((T0-t)*PertePVj)+Pspv)</f>
        <v>5.7726092585455691E-2</v>
      </c>
      <c r="M225" s="870"/>
      <c r="N225" s="870"/>
      <c r="O225" s="48">
        <f>IF(t&lt;Tnet,'2024'!Resal+('2024'!Salim-'2024'!Resal)*(1-EXP(('2024'!Tnet-t)/('2024'!Tau_j))),Resal+(Salim-Resal)*(1-EXP((Tnet-t)/(Tau_j))))*Salcycl</f>
        <v>5.3547666160515713E-2</v>
      </c>
      <c r="P225" s="171">
        <f>(INDEX(Models!$BJ225:$BT225,,T225)*(1-R225)+INDEX(Models!$BJ225:$BT225,,T225+1)*R225-ERP_i)*Q225*Ramure*Pc/MaxiM</f>
        <v>9.0066289884550962E-5</v>
      </c>
      <c r="Q225" s="307">
        <f t="shared" si="80"/>
        <v>1</v>
      </c>
      <c r="R225" s="179">
        <f t="shared" si="81"/>
        <v>0.78538928292617349</v>
      </c>
      <c r="S225" s="837">
        <f t="shared" si="82"/>
        <v>-3</v>
      </c>
      <c r="T225" s="178">
        <f t="shared" si="83"/>
        <v>3</v>
      </c>
      <c r="U225" s="253">
        <f t="shared" si="84"/>
        <v>-2.2146107170738265</v>
      </c>
      <c r="V225" s="385">
        <f t="shared" si="85"/>
        <v>53.778920554318631</v>
      </c>
      <c r="W225" s="404">
        <f t="shared" si="86"/>
        <v>46.07065943060563</v>
      </c>
      <c r="X225" s="157">
        <f t="shared" si="87"/>
        <v>45868</v>
      </c>
      <c r="Y225" s="387">
        <f t="shared" si="88"/>
        <v>42.572666831884376</v>
      </c>
      <c r="Z225" s="387">
        <f t="shared" si="89"/>
        <v>45.180776520382778</v>
      </c>
      <c r="AA225" s="388">
        <f t="shared" si="90"/>
        <v>51.482930820268429</v>
      </c>
      <c r="AB225" s="199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0.12241250059921885</v>
      </c>
      <c r="AD225" s="233">
        <f>(INDEX(Models!$BJ225:$BT225,,AH225)*(1-AF225)+INDEX(Models!$BJ225:$BT225,,AH225+1)*AF225-ERP_i)*AE225*Ramure*Pc/MaxiM</f>
        <v>4.3829102701668865E-3</v>
      </c>
      <c r="AE225" s="307">
        <f t="shared" si="92"/>
        <v>1</v>
      </c>
      <c r="AF225" s="179">
        <f t="shared" si="93"/>
        <v>0.72037187584974394</v>
      </c>
      <c r="AG225" s="837">
        <f t="shared" si="99"/>
        <v>2</v>
      </c>
      <c r="AH225" s="178">
        <f t="shared" si="94"/>
        <v>8</v>
      </c>
      <c r="AI225" s="227">
        <f t="shared" si="95"/>
        <v>2.7203718758497439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45869</v>
      </c>
      <c r="B226" s="1139">
        <f>IF(t&gt;Tmaj,'2024'!Wh/'2024'!Env_an*'2025'!Env_an,0.001*[9]mois!$B$238)</f>
        <v>50.857994658001772</v>
      </c>
      <c r="C226" s="866"/>
      <c r="D226" s="395">
        <f t="shared" si="77"/>
        <v>53.974940646429836</v>
      </c>
      <c r="E226" s="387">
        <f t="shared" si="75"/>
        <v>57.044424317909474</v>
      </c>
      <c r="F226" s="387">
        <f t="shared" si="78"/>
        <v>57.049609874150576</v>
      </c>
      <c r="G226" s="110">
        <f t="shared" si="76"/>
        <v>0.94863856453236195</v>
      </c>
      <c r="H226" s="414" t="b">
        <f>Wh_hp&gt;='2024'!Maxi_hp</f>
        <v>1</v>
      </c>
      <c r="I226" s="392">
        <f>IF(H226,Wh_hp,'2024'!Maxi_hp)</f>
        <v>57.049609874150576</v>
      </c>
      <c r="J226" s="85">
        <f>IF(H226,An,'2024'!An_max)</f>
        <v>2025</v>
      </c>
      <c r="K226" s="199">
        <f t="shared" si="79"/>
        <v>45869</v>
      </c>
      <c r="L226" s="147">
        <f>IF(t&lt;Tvie,1-EXP((T0-t)*PertePVj)+'2024'!Pspv,1-EXP((T0-t)*PertePVj)+Pspv)</f>
        <v>5.7748020675854717E-2</v>
      </c>
      <c r="M226" s="870"/>
      <c r="N226" s="870"/>
      <c r="O226" s="48">
        <f>IF(t&lt;Tnet,'2024'!Resal+('2024'!Salim-'2024'!Resal)*(1-EXP(('2024'!Tnet-t)/('2024'!Tau_j))),Resal+(Salim-Resal)*(1-EXP((Tnet-t)/(Tau_j))))*Salcycl</f>
        <v>5.3808653662159103E-2</v>
      </c>
      <c r="P226" s="171">
        <f>(INDEX(Models!$BJ226:$BT226,,T226)*(1-R226)+INDEX(Models!$BJ226:$BT226,,T226+1)*R226-ERP_i)*Q226*Ramure*Pc/MaxiM</f>
        <v>9.8091951062692406E-5</v>
      </c>
      <c r="Q226" s="307">
        <f t="shared" si="80"/>
        <v>1</v>
      </c>
      <c r="R226" s="179">
        <f t="shared" si="81"/>
        <v>0.78824454241783615</v>
      </c>
      <c r="S226" s="837">
        <f t="shared" si="82"/>
        <v>-3</v>
      </c>
      <c r="T226" s="178">
        <f t="shared" si="83"/>
        <v>3</v>
      </c>
      <c r="U226" s="253">
        <f t="shared" si="84"/>
        <v>-2.2117554575821639</v>
      </c>
      <c r="V226" s="385">
        <f t="shared" si="85"/>
        <v>53.611175564834127</v>
      </c>
      <c r="W226" s="404">
        <f t="shared" si="86"/>
        <v>50.857994658001772</v>
      </c>
      <c r="X226" s="157">
        <f t="shared" si="87"/>
        <v>45869</v>
      </c>
      <c r="Y226" s="387">
        <f t="shared" si="88"/>
        <v>46.961061294683155</v>
      </c>
      <c r="Z226" s="387">
        <f t="shared" si="89"/>
        <v>49.839175003237663</v>
      </c>
      <c r="AA226" s="388">
        <f t="shared" si="90"/>
        <v>56.799428691935624</v>
      </c>
      <c r="AB226" s="199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0.12254091016387594</v>
      </c>
      <c r="AD226" s="233">
        <f>(INDEX(Models!$BJ226:$BT226,,AH226)*(1-AF226)+INDEX(Models!$BJ226:$BT226,,AH226+1)*AF226-ERP_i)*AE226*Ramure*Pc/MaxiM</f>
        <v>4.7325222486475577E-3</v>
      </c>
      <c r="AE226" s="307">
        <f t="shared" si="92"/>
        <v>1</v>
      </c>
      <c r="AF226" s="179">
        <f t="shared" si="93"/>
        <v>0.72322713534140659</v>
      </c>
      <c r="AG226" s="837">
        <f t="shared" si="99"/>
        <v>2</v>
      </c>
      <c r="AH226" s="178">
        <f t="shared" si="94"/>
        <v>8</v>
      </c>
      <c r="AI226" s="227">
        <f t="shared" si="95"/>
        <v>2.7232271353414066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45870</v>
      </c>
      <c r="B227" s="1139">
        <f>IF(t&gt;Tmaj,'2024'!Wh/'2024'!Env_an*'2025'!Env_an,0.001*'[10]mon-tableau (1)'!$B$208)</f>
        <v>52.799551860940333</v>
      </c>
      <c r="C227" s="866"/>
      <c r="D227" s="395">
        <f t="shared" si="77"/>
        <v>56.036794584517494</v>
      </c>
      <c r="E227" s="387">
        <f t="shared" si="75"/>
        <v>59.239822213252758</v>
      </c>
      <c r="F227" s="387">
        <f t="shared" si="78"/>
        <v>59.246066858505245</v>
      </c>
      <c r="G227" s="110">
        <f t="shared" si="76"/>
        <v>0.98800472512817872</v>
      </c>
      <c r="H227" s="414" t="b">
        <f>Wh_hp&gt;='2024'!Maxi_hp</f>
        <v>1</v>
      </c>
      <c r="I227" s="392">
        <f>IF(H227,Wh_hp,'2024'!Maxi_hp)</f>
        <v>59.246066858505245</v>
      </c>
      <c r="J227" s="85">
        <f>IF(H227,An,'2024'!An_max)</f>
        <v>2025</v>
      </c>
      <c r="K227" s="199">
        <f t="shared" si="79"/>
        <v>45870</v>
      </c>
      <c r="L227" s="147">
        <f>IF(t&lt;Tvie,1-EXP((T0-t)*PertePVj)+'2024'!Pspv,1-EXP((T0-t)*PertePVj)+Pspv)</f>
        <v>5.7769948255955161E-2</v>
      </c>
      <c r="M227" s="870"/>
      <c r="N227" s="870"/>
      <c r="O227" s="48">
        <f>IF(t&lt;Tnet,'2024'!Resal+('2024'!Salim-'2024'!Resal)*(1-EXP(('2024'!Tnet-t)/('2024'!Tau_j))),Resal+(Salim-Resal)*(1-EXP((Tnet-t)/(Tau_j))))*Salcycl</f>
        <v>5.4068825817959722E-2</v>
      </c>
      <c r="P227" s="171">
        <f>(INDEX(Models!$BJ227:$BT227,,T227)*(1-R227)+INDEX(Models!$BJ227:$BT227,,T227+1)*R227-ERP_i)*Q227*Ramure*Pc/MaxiM</f>
        <v>1.072392383013015E-4</v>
      </c>
      <c r="Q227" s="307">
        <f t="shared" si="80"/>
        <v>1</v>
      </c>
      <c r="R227" s="179">
        <f t="shared" si="81"/>
        <v>0.79100961903797273</v>
      </c>
      <c r="S227" s="837">
        <f t="shared" si="82"/>
        <v>-3</v>
      </c>
      <c r="T227" s="178">
        <f t="shared" si="83"/>
        <v>3</v>
      </c>
      <c r="U227" s="253">
        <f t="shared" si="84"/>
        <v>-2.2089903809620273</v>
      </c>
      <c r="V227" s="385">
        <f t="shared" si="85"/>
        <v>53.440488182648757</v>
      </c>
      <c r="W227" s="404">
        <f t="shared" si="86"/>
        <v>52.799551860940333</v>
      </c>
      <c r="X227" s="157">
        <f t="shared" si="87"/>
        <v>45870</v>
      </c>
      <c r="Y227" s="387">
        <f t="shared" si="88"/>
        <v>48.730225278603015</v>
      </c>
      <c r="Z227" s="387">
        <f t="shared" si="89"/>
        <v>51.717969712815417</v>
      </c>
      <c r="AA227" s="388">
        <f t="shared" si="90"/>
        <v>58.949168062911099</v>
      </c>
      <c r="AB227" s="199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0.12266836984668678</v>
      </c>
      <c r="AD227" s="233">
        <f>(INDEX(Models!$BJ227:$BT227,,AH227)*(1-AF227)+INDEX(Models!$BJ227:$BT227,,AH227+1)*AF227-ERP_i)*AE227*Ramure*Pc/MaxiM</f>
        <v>5.0986404198678191E-3</v>
      </c>
      <c r="AE227" s="307">
        <f t="shared" si="92"/>
        <v>1</v>
      </c>
      <c r="AF227" s="179">
        <f t="shared" si="93"/>
        <v>0.72599221196154318</v>
      </c>
      <c r="AG227" s="837">
        <f t="shared" si="99"/>
        <v>2</v>
      </c>
      <c r="AH227" s="178">
        <f t="shared" si="94"/>
        <v>8</v>
      </c>
      <c r="AI227" s="227">
        <f t="shared" si="95"/>
        <v>2.7259922119615432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45871</v>
      </c>
      <c r="B228" s="1139">
        <f>IF(t&gt;Tmaj,'2024'!Wh/'2024'!Env_an*'2025'!Env_an,0.001*'[10]mon-tableau (1)'!$B$209)</f>
        <v>50.925557836761975</v>
      </c>
      <c r="C228" s="866"/>
      <c r="D228" s="395">
        <f t="shared" si="77"/>
        <v>54.049160162325606</v>
      </c>
      <c r="E228" s="387">
        <f t="shared" si="75"/>
        <v>57.154247342541154</v>
      </c>
      <c r="F228" s="387">
        <f t="shared" si="78"/>
        <v>57.160543646014055</v>
      </c>
      <c r="G228" s="110">
        <f t="shared" si="76"/>
        <v>0.95604237164179129</v>
      </c>
      <c r="H228" s="414" t="b">
        <f>Wh_hp&gt;='2024'!Maxi_hp</f>
        <v>1</v>
      </c>
      <c r="I228" s="392">
        <f>IF(H228,Wh_hp,'2024'!Maxi_hp)</f>
        <v>57.160543646014055</v>
      </c>
      <c r="J228" s="85">
        <f>IF(H228,An,'2024'!An_max)</f>
        <v>2025</v>
      </c>
      <c r="K228" s="199">
        <f t="shared" si="79"/>
        <v>45871</v>
      </c>
      <c r="L228" s="147">
        <f>IF(t&lt;Tvie,1-EXP((T0-t)*PertePVj)+'2024'!Pspv,1-EXP((T0-t)*PertePVj)+Pspv)</f>
        <v>5.7791875325768793E-2</v>
      </c>
      <c r="M228" s="870"/>
      <c r="N228" s="870"/>
      <c r="O228" s="48">
        <f>IF(t&lt;Tnet,'2024'!Resal+('2024'!Salim-'2024'!Resal)*(1-EXP(('2024'!Tnet-t)/('2024'!Tau_j))),Resal+(Salim-Resal)*(1-EXP((Tnet-t)/(Tau_j))))*Salcycl</f>
        <v>5.4328196496157333E-2</v>
      </c>
      <c r="P228" s="171">
        <f>(INDEX(Models!$BJ228:$BT228,,T228)*(1-R228)+INDEX(Models!$BJ228:$BT228,,T228+1)*R228-ERP_i)*Q228*Ramure*Pc/MaxiM</f>
        <v>1.1753055332964782E-4</v>
      </c>
      <c r="Q228" s="307">
        <f t="shared" si="80"/>
        <v>1</v>
      </c>
      <c r="R228" s="179">
        <f t="shared" si="81"/>
        <v>0.79368649335646424</v>
      </c>
      <c r="S228" s="837">
        <f t="shared" si="82"/>
        <v>-3</v>
      </c>
      <c r="T228" s="178">
        <f t="shared" si="83"/>
        <v>3</v>
      </c>
      <c r="U228" s="253">
        <f t="shared" si="84"/>
        <v>-2.2063135066435358</v>
      </c>
      <c r="V228" s="385">
        <f t="shared" si="85"/>
        <v>53.266657952737219</v>
      </c>
      <c r="W228" s="404">
        <f t="shared" si="86"/>
        <v>50.925557836761975</v>
      </c>
      <c r="X228" s="157">
        <f t="shared" si="87"/>
        <v>45871</v>
      </c>
      <c r="Y228" s="387">
        <f t="shared" si="88"/>
        <v>47.001041076944823</v>
      </c>
      <c r="Z228" s="387">
        <f t="shared" si="89"/>
        <v>49.883926752590305</v>
      </c>
      <c r="AA228" s="388">
        <f t="shared" si="90"/>
        <v>56.866892047571987</v>
      </c>
      <c r="AB228" s="199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0.12279491710466757</v>
      </c>
      <c r="AD228" s="233">
        <f>(INDEX(Models!$BJ228:$BT228,,AH228)*(1-AF228)+INDEX(Models!$BJ228:$BT228,,AH228+1)*AF228-ERP_i)*AE228*Ramure*Pc/MaxiM</f>
        <v>5.4814757578909978E-3</v>
      </c>
      <c r="AE228" s="307">
        <f t="shared" si="92"/>
        <v>1</v>
      </c>
      <c r="AF228" s="179">
        <f t="shared" si="93"/>
        <v>0.72866908628003468</v>
      </c>
      <c r="AG228" s="837">
        <f t="shared" si="99"/>
        <v>2</v>
      </c>
      <c r="AH228" s="178">
        <f t="shared" si="94"/>
        <v>8</v>
      </c>
      <c r="AI228" s="227">
        <f t="shared" si="95"/>
        <v>2.7286690862800347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45872</v>
      </c>
      <c r="B229" s="1139">
        <f>IF(t&gt;Tmaj,'2024'!Wh/'2024'!Env_an*'2025'!Env_an,0.001*'[10]mon-tableau (1)'!$B$210)</f>
        <v>49.047781268646261</v>
      </c>
      <c r="C229" s="866"/>
      <c r="D229" s="395">
        <f t="shared" si="77"/>
        <v>52.057418551439724</v>
      </c>
      <c r="E229" s="387">
        <f t="shared" si="75"/>
        <v>55.063137799619213</v>
      </c>
      <c r="F229" s="387">
        <f t="shared" si="78"/>
        <v>55.069468584711643</v>
      </c>
      <c r="G229" s="110">
        <f t="shared" si="76"/>
        <v>0.92385701808452159</v>
      </c>
      <c r="H229" s="414" t="b">
        <f>Wh_hp&gt;='2024'!Maxi_hp</f>
        <v>0</v>
      </c>
      <c r="I229" s="392">
        <f>IF(H229,Wh_hp,'2024'!Maxi_hp)</f>
        <v>57.449799256977776</v>
      </c>
      <c r="J229" s="85">
        <f>IF(H229,An,'2024'!An_max)</f>
        <v>2019</v>
      </c>
      <c r="K229" s="199">
        <f t="shared" si="79"/>
        <v>45872</v>
      </c>
      <c r="L229" s="147">
        <f>IF(t&lt;Tvie,1-EXP((T0-t)*PertePVj)+'2024'!Pspv,1-EXP((T0-t)*PertePVj)+Pspv)</f>
        <v>5.7813801885307381E-2</v>
      </c>
      <c r="M229" s="870"/>
      <c r="N229" s="870"/>
      <c r="O229" s="48">
        <f>IF(t&lt;Tnet,'2024'!Resal+('2024'!Salim-'2024'!Resal)*(1-EXP(('2024'!Tnet-t)/('2024'!Tau_j))),Resal+(Salim-Resal)*(1-EXP((Tnet-t)/(Tau_j))))*Salcycl</f>
        <v>5.4586777439339394E-2</v>
      </c>
      <c r="P229" s="171">
        <f>(INDEX(Models!$BJ229:$BT229,,T229)*(1-R229)+INDEX(Models!$BJ229:$BT229,,T229+1)*R229-ERP_i)*Q229*Ramure*Pc/MaxiM</f>
        <v>1.2898839447925532E-4</v>
      </c>
      <c r="Q229" s="307">
        <f t="shared" si="80"/>
        <v>1</v>
      </c>
      <c r="R229" s="179">
        <f t="shared" si="81"/>
        <v>0.79627716580827634</v>
      </c>
      <c r="S229" s="837">
        <f t="shared" si="82"/>
        <v>-3</v>
      </c>
      <c r="T229" s="178">
        <f t="shared" si="83"/>
        <v>3</v>
      </c>
      <c r="U229" s="253">
        <f t="shared" si="84"/>
        <v>-2.2037228341917237</v>
      </c>
      <c r="V229" s="385">
        <f t="shared" si="85"/>
        <v>53.089484808699446</v>
      </c>
      <c r="W229" s="404">
        <f t="shared" si="86"/>
        <v>49.047781268646261</v>
      </c>
      <c r="X229" s="157">
        <f t="shared" si="87"/>
        <v>45872</v>
      </c>
      <c r="Y229" s="387">
        <f t="shared" si="88"/>
        <v>45.269338275488074</v>
      </c>
      <c r="Z229" s="387">
        <f t="shared" si="89"/>
        <v>48.047125256209092</v>
      </c>
      <c r="AA229" s="388">
        <f t="shared" si="90"/>
        <v>54.780815031862424</v>
      </c>
      <c r="AB229" s="199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0.12292058399891978</v>
      </c>
      <c r="AD229" s="233">
        <f>(INDEX(Models!$BJ229:$BT229,,AH229)*(1-AF229)+INDEX(Models!$BJ229:$BT229,,AH229+1)*AF229-ERP_i)*AE229*Ramure*Pc/MaxiM</f>
        <v>5.8812545046378131E-3</v>
      </c>
      <c r="AE229" s="307">
        <f t="shared" si="92"/>
        <v>1</v>
      </c>
      <c r="AF229" s="179">
        <f t="shared" si="93"/>
        <v>0.73125975873184679</v>
      </c>
      <c r="AG229" s="837">
        <f t="shared" si="99"/>
        <v>2</v>
      </c>
      <c r="AH229" s="178">
        <f t="shared" si="94"/>
        <v>8</v>
      </c>
      <c r="AI229" s="227">
        <f t="shared" si="95"/>
        <v>2.7312597587318468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45873</v>
      </c>
      <c r="B230" s="1139">
        <f>IF(t&gt;Tmaj,'2024'!Wh/'2024'!Env_an*'2025'!Env_an,0.001*'[10]mon-tableau (1)'!$B$211)</f>
        <v>45.557924297728107</v>
      </c>
      <c r="C230" s="866"/>
      <c r="D230" s="395">
        <f t="shared" si="77"/>
        <v>48.354544582608519</v>
      </c>
      <c r="E230" s="387">
        <f t="shared" si="75"/>
        <v>51.160416023742059</v>
      </c>
      <c r="F230" s="387">
        <f t="shared" si="78"/>
        <v>51.166224617294091</v>
      </c>
      <c r="G230" s="110">
        <f t="shared" si="76"/>
        <v>0.86104145400816279</v>
      </c>
      <c r="H230" s="414" t="b">
        <f>Wh_hp&gt;='2024'!Maxi_hp</f>
        <v>0</v>
      </c>
      <c r="I230" s="392">
        <f>IF(H230,Wh_hp,'2024'!Maxi_hp)</f>
        <v>53.047340954372693</v>
      </c>
      <c r="J230" s="85">
        <f>IF(H230,An,'2024'!An_max)</f>
        <v>2019</v>
      </c>
      <c r="K230" s="199">
        <f t="shared" si="79"/>
        <v>45873</v>
      </c>
      <c r="L230" s="147">
        <f>IF(t&lt;Tvie,1-EXP((T0-t)*PertePVj)+'2024'!Pspv,1-EXP((T0-t)*PertePVj)+Pspv)</f>
        <v>5.7835727934583026E-2</v>
      </c>
      <c r="M230" s="870"/>
      <c r="N230" s="870"/>
      <c r="O230" s="48">
        <f>IF(t&lt;Tnet,'2024'!Resal+('2024'!Salim-'2024'!Resal)*(1-EXP(('2024'!Tnet-t)/('2024'!Tau_j))),Resal+(Salim-Resal)*(1-EXP((Tnet-t)/(Tau_j))))*Salcycl</f>
        <v>5.4844578273785263E-2</v>
      </c>
      <c r="P230" s="171">
        <f>(INDEX(Models!$BJ230:$BT230,,T230)*(1-R230)+INDEX(Models!$BJ230:$BT230,,T230+1)*R230-ERP_i)*Q230*Ramure*Pc/MaxiM</f>
        <v>1.4163544939203089E-4</v>
      </c>
      <c r="Q230" s="307">
        <f t="shared" si="80"/>
        <v>1</v>
      </c>
      <c r="R230" s="179">
        <f t="shared" si="81"/>
        <v>0.79878365095682424</v>
      </c>
      <c r="S230" s="837">
        <f t="shared" si="82"/>
        <v>-3</v>
      </c>
      <c r="T230" s="178">
        <f t="shared" si="83"/>
        <v>3</v>
      </c>
      <c r="U230" s="253">
        <f t="shared" si="84"/>
        <v>-2.2012163490431758</v>
      </c>
      <c r="V230" s="385">
        <f t="shared" si="85"/>
        <v>52.90876907278021</v>
      </c>
      <c r="W230" s="404">
        <f t="shared" si="86"/>
        <v>45.557924297728107</v>
      </c>
      <c r="X230" s="157">
        <f t="shared" si="87"/>
        <v>45873</v>
      </c>
      <c r="Y230" s="387">
        <f t="shared" si="88"/>
        <v>42.061927848933841</v>
      </c>
      <c r="Z230" s="387">
        <f t="shared" si="89"/>
        <v>44.643942777330629</v>
      </c>
      <c r="AA230" s="388">
        <f t="shared" si="90"/>
        <v>50.907929145885277</v>
      </c>
      <c r="AB230" s="199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0.12304539732119407</v>
      </c>
      <c r="AD230" s="233">
        <f>(INDEX(Models!$BJ230:$BT230,,AH230)*(1-AF230)+INDEX(Models!$BJ230:$BT230,,AH230+1)*AF230-ERP_i)*AE230*Ramure*Pc/MaxiM</f>
        <v>6.2982191542887665E-3</v>
      </c>
      <c r="AE230" s="307">
        <f t="shared" si="92"/>
        <v>1</v>
      </c>
      <c r="AF230" s="179">
        <f t="shared" si="93"/>
        <v>0.73376624388039469</v>
      </c>
      <c r="AG230" s="837">
        <f t="shared" si="99"/>
        <v>2</v>
      </c>
      <c r="AH230" s="178">
        <f t="shared" si="94"/>
        <v>8</v>
      </c>
      <c r="AI230" s="227">
        <f t="shared" si="95"/>
        <v>2.7337662438803947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45874</v>
      </c>
      <c r="B231" s="1139">
        <f>IF(t&gt;Tmaj,'2024'!Wh/'2024'!Env_an*'2025'!Env_an,0.001*'[10]mon-tableau (1)'!$B$212)</f>
        <v>44.588534226286527</v>
      </c>
      <c r="C231" s="866"/>
      <c r="D231" s="395">
        <f t="shared" si="77"/>
        <v>47.326748861975126</v>
      </c>
      <c r="E231" s="387">
        <f t="shared" si="75"/>
        <v>50.086601045395255</v>
      </c>
      <c r="F231" s="387">
        <f t="shared" si="78"/>
        <v>50.092673152293308</v>
      </c>
      <c r="G231" s="110">
        <f t="shared" si="76"/>
        <v>0.8456631190701569</v>
      </c>
      <c r="H231" s="414" t="b">
        <f>Wh_hp&gt;='2024'!Maxi_hp</f>
        <v>0</v>
      </c>
      <c r="I231" s="392">
        <f>IF(H231,Wh_hp,'2024'!Maxi_hp)</f>
        <v>58.00298989323845</v>
      </c>
      <c r="J231" s="85">
        <f>IF(H231,An,'2024'!An_max)</f>
        <v>2020</v>
      </c>
      <c r="K231" s="199">
        <f t="shared" si="79"/>
        <v>45874</v>
      </c>
      <c r="L231" s="147">
        <f>IF(t&lt;Tvie,1-EXP((T0-t)*PertePVj)+'2024'!Pspv,1-EXP((T0-t)*PertePVj)+Pspv)</f>
        <v>5.7857653473607384E-2</v>
      </c>
      <c r="M231" s="870"/>
      <c r="N231" s="870"/>
      <c r="O231" s="48">
        <f>IF(t&lt;Tnet,'2024'!Resal+('2024'!Salim-'2024'!Resal)*(1-EXP(('2024'!Tnet-t)/('2024'!Tau_j))),Resal+(Salim-Resal)*(1-EXP((Tnet-t)/(Tau_j))))*Salcycl</f>
        <v>5.51016065338268E-2</v>
      </c>
      <c r="P231" s="171">
        <f>(INDEX(Models!$BJ231:$BT231,,T231)*(1-R231)+INDEX(Models!$BJ231:$BT231,,T231+1)*R231-ERP_i)*Q231*Ramure*Pc/MaxiM</f>
        <v>1.5549469098927177E-4</v>
      </c>
      <c r="Q231" s="307">
        <f t="shared" si="80"/>
        <v>1</v>
      </c>
      <c r="R231" s="179">
        <f t="shared" si="81"/>
        <v>0.80120797211992345</v>
      </c>
      <c r="S231" s="837">
        <f t="shared" si="82"/>
        <v>-3</v>
      </c>
      <c r="T231" s="178">
        <f t="shared" si="83"/>
        <v>3</v>
      </c>
      <c r="U231" s="253">
        <f t="shared" si="84"/>
        <v>-2.1987920278800765</v>
      </c>
      <c r="V231" s="385">
        <f t="shared" si="85"/>
        <v>52.724311447800396</v>
      </c>
      <c r="W231" s="404">
        <f t="shared" si="86"/>
        <v>44.588534226286527</v>
      </c>
      <c r="X231" s="157">
        <f t="shared" si="87"/>
        <v>45874</v>
      </c>
      <c r="Y231" s="387">
        <f t="shared" si="88"/>
        <v>41.164329690323882</v>
      </c>
      <c r="Z231" s="387">
        <f t="shared" si="89"/>
        <v>43.692261410490296</v>
      </c>
      <c r="AA231" s="388">
        <f t="shared" si="90"/>
        <v>49.829762272903061</v>
      </c>
      <c r="AB231" s="199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0.12316937874998213</v>
      </c>
      <c r="AD231" s="233">
        <f>(INDEX(Models!$BJ231:$BT231,,AH231)*(1-AF231)+INDEX(Models!$BJ231:$BT231,,AH231+1)*AF231-ERP_i)*AE231*Ramure*Pc/MaxiM</f>
        <v>6.7326294867433604E-3</v>
      </c>
      <c r="AE231" s="307">
        <f t="shared" si="92"/>
        <v>1</v>
      </c>
      <c r="AF231" s="179">
        <f t="shared" si="93"/>
        <v>0.73619056504349389</v>
      </c>
      <c r="AG231" s="837">
        <f t="shared" si="99"/>
        <v>2</v>
      </c>
      <c r="AH231" s="178">
        <f t="shared" si="94"/>
        <v>8</v>
      </c>
      <c r="AI231" s="227">
        <f t="shared" si="95"/>
        <v>2.7361905650434939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45875</v>
      </c>
      <c r="B232" s="1139">
        <f>IF(t&gt;Tmaj,'2024'!Wh/'2024'!Env_an*'2025'!Env_an,0.001*'[10]mon-tableau (1)'!$B$213)</f>
        <v>47.266501350831156</v>
      </c>
      <c r="C232" s="866"/>
      <c r="D232" s="395">
        <f t="shared" si="77"/>
        <v>50.170339451612435</v>
      </c>
      <c r="E232" s="387">
        <f t="shared" si="75"/>
        <v>53.110419000110973</v>
      </c>
      <c r="F232" s="387">
        <f t="shared" si="78"/>
        <v>53.118182018726365</v>
      </c>
      <c r="G232" s="110">
        <f t="shared" si="76"/>
        <v>0.89967687111617978</v>
      </c>
      <c r="H232" s="414" t="b">
        <f>Wh_hp&gt;='2024'!Maxi_hp</f>
        <v>0</v>
      </c>
      <c r="I232" s="392">
        <f>IF(H232,Wh_hp,'2024'!Maxi_hp)</f>
        <v>57.070736386069342</v>
      </c>
      <c r="J232" s="85">
        <f>IF(H232,An,'2024'!An_max)</f>
        <v>2020</v>
      </c>
      <c r="K232" s="199">
        <f t="shared" si="79"/>
        <v>45875</v>
      </c>
      <c r="L232" s="147">
        <f>IF(t&lt;Tvie,1-EXP((T0-t)*PertePVj)+'2024'!Pspv,1-EXP((T0-t)*PertePVj)+Pspv)</f>
        <v>5.7879578502392448E-2</v>
      </c>
      <c r="M232" s="870"/>
      <c r="N232" s="870"/>
      <c r="O232" s="48">
        <f>IF(t&lt;Tnet,'2024'!Resal+('2024'!Salim-'2024'!Resal)*(1-EXP(('2024'!Tnet-t)/('2024'!Tau_j))),Resal+(Salim-Resal)*(1-EXP((Tnet-t)/(Tau_j))))*Salcycl</f>
        <v>5.5357867699977949E-2</v>
      </c>
      <c r="P232" s="171">
        <f>(INDEX(Models!$BJ232:$BT232,,T232)*(1-R232)+INDEX(Models!$BJ232:$BT232,,T232+1)*R232-ERP_i)*Q232*Ramure*Pc/MaxiM</f>
        <v>1.7058947680743697E-4</v>
      </c>
      <c r="Q232" s="307">
        <f t="shared" si="80"/>
        <v>1</v>
      </c>
      <c r="R232" s="179">
        <f t="shared" si="81"/>
        <v>0.80355215635326749</v>
      </c>
      <c r="S232" s="837">
        <f t="shared" si="82"/>
        <v>-3</v>
      </c>
      <c r="T232" s="178">
        <f t="shared" si="83"/>
        <v>3</v>
      </c>
      <c r="U232" s="253">
        <f t="shared" si="84"/>
        <v>-2.1964478436467325</v>
      </c>
      <c r="V232" s="385">
        <f t="shared" si="85"/>
        <v>52.535913003416042</v>
      </c>
      <c r="W232" s="404">
        <f t="shared" si="86"/>
        <v>47.266501350831156</v>
      </c>
      <c r="X232" s="157">
        <f t="shared" si="87"/>
        <v>45875</v>
      </c>
      <c r="Y232" s="387">
        <f t="shared" si="88"/>
        <v>43.603651075844681</v>
      </c>
      <c r="Z232" s="387">
        <f t="shared" si="89"/>
        <v>46.282460374366707</v>
      </c>
      <c r="AA232" s="388">
        <f t="shared" si="90"/>
        <v>52.791224840321412</v>
      </c>
      <c r="AB232" s="199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0.12329254503266179</v>
      </c>
      <c r="AD232" s="233">
        <f>(INDEX(Models!$BJ232:$BT232,,AH232)*(1-AF232)+INDEX(Models!$BJ232:$BT232,,AH232+1)*AF232-ERP_i)*AE232*Ramure*Pc/MaxiM</f>
        <v>7.1847636552014671E-3</v>
      </c>
      <c r="AE232" s="307">
        <f t="shared" si="92"/>
        <v>1</v>
      </c>
      <c r="AF232" s="179">
        <f t="shared" si="93"/>
        <v>0.73853474927683793</v>
      </c>
      <c r="AG232" s="837">
        <f t="shared" si="99"/>
        <v>2</v>
      </c>
      <c r="AH232" s="178">
        <f t="shared" si="94"/>
        <v>8</v>
      </c>
      <c r="AI232" s="227">
        <f t="shared" si="95"/>
        <v>2.7385347492768379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45876</v>
      </c>
      <c r="B233" s="1139">
        <f>IF(t&gt;Tmaj,'2024'!Wh/'2024'!Env_an*'2025'!Env_an,0.001*'[10]mon-tableau (1)'!$B$214)</f>
        <v>50.327802093711753</v>
      </c>
      <c r="C233" s="866"/>
      <c r="D233" s="395">
        <f t="shared" si="77"/>
        <v>53.420955722882255</v>
      </c>
      <c r="E233" s="387">
        <f t="shared" ref="E233:E296" si="100">Wh_pvt/(1-Psa)</f>
        <v>56.566827353494986</v>
      </c>
      <c r="F233" s="387">
        <f t="shared" si="78"/>
        <v>56.576821568015099</v>
      </c>
      <c r="G233" s="110">
        <f t="shared" ref="G233:G296" si="101">+Wh_hp/MaxiM</f>
        <v>0.96145810922261188</v>
      </c>
      <c r="H233" s="414" t="b">
        <f>Wh_hp&gt;='2024'!Maxi_hp</f>
        <v>1</v>
      </c>
      <c r="I233" s="392">
        <f>IF(H233,Wh_hp,'2024'!Maxi_hp)</f>
        <v>56.576821568015099</v>
      </c>
      <c r="J233" s="85">
        <f>IF(H233,An,'2024'!An_max)</f>
        <v>2025</v>
      </c>
      <c r="K233" s="199">
        <f t="shared" si="79"/>
        <v>45876</v>
      </c>
      <c r="L233" s="147">
        <f>IF(t&lt;Tvie,1-EXP((T0-t)*PertePVj)+'2024'!Pspv,1-EXP((T0-t)*PertePVj)+Pspv)</f>
        <v>5.7901503020949985E-2</v>
      </c>
      <c r="M233" s="870"/>
      <c r="N233" s="870"/>
      <c r="O233" s="48">
        <f>IF(t&lt;Tnet,'2024'!Resal+('2024'!Salim-'2024'!Resal)*(1-EXP(('2024'!Tnet-t)/('2024'!Tau_j))),Resal+(Salim-Resal)*(1-EXP((Tnet-t)/(Tau_j))))*Salcycl</f>
        <v>5.5613365249454143E-2</v>
      </c>
      <c r="P233" s="171">
        <f>(INDEX(Models!$BJ233:$BT233,,T233)*(1-R233)+INDEX(Models!$BJ233:$BT233,,T233+1)*R233-ERP_i)*Q233*Ramure*Pc/MaxiM</f>
        <v>1.8693874357069196E-4</v>
      </c>
      <c r="Q233" s="307">
        <f t="shared" si="80"/>
        <v>1</v>
      </c>
      <c r="R233" s="179">
        <f t="shared" si="81"/>
        <v>0.80581822978465656</v>
      </c>
      <c r="S233" s="837">
        <f t="shared" si="82"/>
        <v>-3</v>
      </c>
      <c r="T233" s="178">
        <f t="shared" si="83"/>
        <v>3</v>
      </c>
      <c r="U233" s="253">
        <f t="shared" si="84"/>
        <v>-2.1941817702153434</v>
      </c>
      <c r="V233" s="385">
        <f t="shared" si="85"/>
        <v>52.344749747851502</v>
      </c>
      <c r="W233" s="404">
        <f t="shared" si="86"/>
        <v>50.327802093711753</v>
      </c>
      <c r="X233" s="157">
        <f t="shared" si="87"/>
        <v>45876</v>
      </c>
      <c r="Y233" s="387">
        <f t="shared" si="88"/>
        <v>46.384845281007941</v>
      </c>
      <c r="Z233" s="387">
        <f t="shared" si="89"/>
        <v>49.235664242907106</v>
      </c>
      <c r="AA233" s="388">
        <f t="shared" si="90"/>
        <v>56.167581108693085</v>
      </c>
      <c r="AB233" s="199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0.12341490819003993</v>
      </c>
      <c r="AD233" s="233">
        <f>(INDEX(Models!$BJ233:$BT233,,AH233)*(1-AF233)+INDEX(Models!$BJ233:$BT233,,AH233+1)*AF233-ERP_i)*AE233*Ramure*Pc/MaxiM</f>
        <v>7.6547183503037136E-3</v>
      </c>
      <c r="AE233" s="307">
        <f t="shared" si="92"/>
        <v>1</v>
      </c>
      <c r="AF233" s="179">
        <f t="shared" si="93"/>
        <v>0.740800822708227</v>
      </c>
      <c r="AG233" s="837">
        <f t="shared" si="99"/>
        <v>2</v>
      </c>
      <c r="AH233" s="178">
        <f t="shared" si="94"/>
        <v>8</v>
      </c>
      <c r="AI233" s="227">
        <f t="shared" si="95"/>
        <v>2.740800822708227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45877</v>
      </c>
      <c r="B234" s="1139">
        <f>IF(t&gt;Tmaj,'2024'!Wh/'2024'!Env_an*'2025'!Env_an,0.001*'[10]mon-tableau (1)'!$B$215)</f>
        <v>51.030811997922363</v>
      </c>
      <c r="C234" s="866"/>
      <c r="D234" s="395">
        <f t="shared" si="77"/>
        <v>54.16843329094128</v>
      </c>
      <c r="E234" s="387">
        <f t="shared" si="100"/>
        <v>57.373798440781421</v>
      </c>
      <c r="F234" s="387">
        <f t="shared" si="78"/>
        <v>57.385195071154868</v>
      </c>
      <c r="G234" s="110">
        <f t="shared" si="101"/>
        <v>0.97849828142295736</v>
      </c>
      <c r="H234" s="414" t="b">
        <f>Wh_hp&gt;='2024'!Maxi_hp</f>
        <v>1</v>
      </c>
      <c r="I234" s="392">
        <f>IF(H234,Wh_hp,'2024'!Maxi_hp)</f>
        <v>57.385195071154868</v>
      </c>
      <c r="J234" s="85">
        <f>IF(H234,An,'2024'!An_max)</f>
        <v>2025</v>
      </c>
      <c r="K234" s="199">
        <f t="shared" si="79"/>
        <v>45877</v>
      </c>
      <c r="L234" s="147">
        <f>IF(t&lt;Tvie,1-EXP((T0-t)*PertePVj)+'2024'!Pspv,1-EXP((T0-t)*PertePVj)+Pspv)</f>
        <v>5.7923427029292096E-2</v>
      </c>
      <c r="M234" s="870"/>
      <c r="N234" s="870"/>
      <c r="O234" s="48">
        <f>IF(t&lt;Tnet,'2024'!Resal+('2024'!Salim-'2024'!Resal)*(1-EXP(('2024'!Tnet-t)/('2024'!Tau_j))),Resal+(Salim-Resal)*(1-EXP((Tnet-t)/(Tau_j))))*Salcycl</f>
        <v>5.5868100717587514E-2</v>
      </c>
      <c r="P234" s="171">
        <f>(INDEX(Models!$BJ234:$BT234,,T234)*(1-R234)+INDEX(Models!$BJ234:$BT234,,T234+1)*R234-ERP_i)*Q234*Ramure*Pc/MaxiM</f>
        <v>2.0489055901345949E-4</v>
      </c>
      <c r="Q234" s="307">
        <f t="shared" si="80"/>
        <v>1</v>
      </c>
      <c r="R234" s="179">
        <f t="shared" si="81"/>
        <v>0.8080082132907469</v>
      </c>
      <c r="S234" s="837">
        <f t="shared" si="82"/>
        <v>-3</v>
      </c>
      <c r="T234" s="178">
        <f t="shared" si="83"/>
        <v>3</v>
      </c>
      <c r="U234" s="253">
        <f t="shared" si="84"/>
        <v>-2.1919917867092531</v>
      </c>
      <c r="V234" s="385">
        <f t="shared" si="85"/>
        <v>52.151845157984447</v>
      </c>
      <c r="W234" s="404">
        <f t="shared" si="86"/>
        <v>51.030811997922363</v>
      </c>
      <c r="X234" s="157">
        <f t="shared" si="87"/>
        <v>45877</v>
      </c>
      <c r="Y234" s="387">
        <f t="shared" si="88"/>
        <v>47.008884759185257</v>
      </c>
      <c r="Z234" s="387">
        <f t="shared" si="89"/>
        <v>49.8992185008372</v>
      </c>
      <c r="AA234" s="388">
        <f t="shared" si="90"/>
        <v>56.93245311370903</v>
      </c>
      <c r="AB234" s="199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0.12353647573949812</v>
      </c>
      <c r="AD234" s="233">
        <f>(INDEX(Models!$BJ234:$BT234,,AH234)*(1-AF234)+INDEX(Models!$BJ234:$BT234,,AH234+1)*AF234-ERP_i)*AE234*Ramure*Pc/MaxiM</f>
        <v>8.1394719061924654E-3</v>
      </c>
      <c r="AE234" s="307">
        <f t="shared" si="92"/>
        <v>1</v>
      </c>
      <c r="AF234" s="179">
        <f t="shared" si="93"/>
        <v>0.74299080621431735</v>
      </c>
      <c r="AG234" s="837">
        <f t="shared" si="99"/>
        <v>2</v>
      </c>
      <c r="AH234" s="178">
        <f t="shared" si="94"/>
        <v>8</v>
      </c>
      <c r="AI234" s="227">
        <f t="shared" si="95"/>
        <v>2.7429908062143173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45878</v>
      </c>
      <c r="B235" s="1139">
        <f>IF(t&gt;Tmaj,'2024'!Wh/'2024'!Env_an*'2025'!Env_an,0.001*'[10]mon-tableau (1)'!$B$216)</f>
        <v>49.077761543428288</v>
      </c>
      <c r="C235" s="866"/>
      <c r="D235" s="395">
        <f t="shared" si="77"/>
        <v>52.096512204366881</v>
      </c>
      <c r="E235" s="387">
        <f t="shared" si="100"/>
        <v>55.194120718945818</v>
      </c>
      <c r="F235" s="387">
        <f t="shared" si="78"/>
        <v>55.205517597844029</v>
      </c>
      <c r="G235" s="110">
        <f t="shared" si="101"/>
        <v>0.94457084501397781</v>
      </c>
      <c r="H235" s="414" t="b">
        <f>Wh_hp&gt;='2024'!Maxi_hp</f>
        <v>0</v>
      </c>
      <c r="I235" s="392">
        <f>IF(H235,Wh_hp,'2024'!Maxi_hp)</f>
        <v>56.476341657102651</v>
      </c>
      <c r="J235" s="85">
        <f>IF(H235,An,'2024'!An_max)</f>
        <v>2021</v>
      </c>
      <c r="K235" s="199">
        <f t="shared" si="79"/>
        <v>45878</v>
      </c>
      <c r="L235" s="147">
        <f>IF(t&lt;Tvie,1-EXP((T0-t)*PertePVj)+'2024'!Pspv,1-EXP((T0-t)*PertePVj)+Pspv)</f>
        <v>5.7945350527430328E-2</v>
      </c>
      <c r="M235" s="870"/>
      <c r="N235" s="870"/>
      <c r="O235" s="48">
        <f>IF(t&lt;Tnet,'2024'!Resal+('2024'!Salim-'2024'!Resal)*(1-EXP(('2024'!Tnet-t)/('2024'!Tau_j))),Resal+(Salim-Resal)*(1-EXP((Tnet-t)/(Tau_j))))*Salcycl</f>
        <v>5.612207376855001E-2</v>
      </c>
      <c r="P235" s="171">
        <f>(INDEX(Models!$BJ235:$BT235,,T235)*(1-R235)+INDEX(Models!$BJ235:$BT235,,T235+1)*R235-ERP_i)*Q235*Ramure*Pc/MaxiM</f>
        <v>2.2419170122947517E-4</v>
      </c>
      <c r="Q235" s="307">
        <f t="shared" si="80"/>
        <v>1</v>
      </c>
      <c r="R235" s="179">
        <f t="shared" si="81"/>
        <v>0.8101241185068262</v>
      </c>
      <c r="S235" s="837">
        <f t="shared" si="82"/>
        <v>-3</v>
      </c>
      <c r="T235" s="178">
        <f t="shared" si="83"/>
        <v>3</v>
      </c>
      <c r="U235" s="253">
        <f t="shared" si="84"/>
        <v>-2.1898758814931738</v>
      </c>
      <c r="V235" s="385">
        <f t="shared" si="85"/>
        <v>51.956812591420402</v>
      </c>
      <c r="W235" s="404">
        <f t="shared" si="86"/>
        <v>49.077761543428288</v>
      </c>
      <c r="X235" s="157">
        <f t="shared" si="87"/>
        <v>45878</v>
      </c>
      <c r="Y235" s="387">
        <f t="shared" si="88"/>
        <v>45.213573453853819</v>
      </c>
      <c r="Z235" s="387">
        <f t="shared" si="89"/>
        <v>47.994639673152349</v>
      </c>
      <c r="AA235" s="388">
        <f t="shared" si="90"/>
        <v>54.766972995716571</v>
      </c>
      <c r="AB235" s="199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0.12365725093285503</v>
      </c>
      <c r="AD235" s="233">
        <f>(INDEX(Models!$BJ235:$BT235,,AH235)*(1-AF235)+INDEX(Models!$BJ235:$BT235,,AH235+1)*AF235-ERP_i)*AE235*Ramure*Pc/MaxiM</f>
        <v>8.6267531044323074E-3</v>
      </c>
      <c r="AE235" s="307">
        <f t="shared" si="92"/>
        <v>1</v>
      </c>
      <c r="AF235" s="179">
        <f t="shared" si="93"/>
        <v>0.74510671143039664</v>
      </c>
      <c r="AG235" s="837">
        <f t="shared" si="99"/>
        <v>2</v>
      </c>
      <c r="AH235" s="178">
        <f t="shared" si="94"/>
        <v>8</v>
      </c>
      <c r="AI235" s="227">
        <f t="shared" si="95"/>
        <v>2.7451067114303966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45879</v>
      </c>
      <c r="B236" s="1139">
        <f>IF(t&gt;Tmaj,'2024'!Wh/'2024'!Env_an*'2025'!Env_an,0.001*'[10]mon-tableau (1)'!$B$217)</f>
        <v>47.259030808450042</v>
      </c>
      <c r="C236" s="866"/>
      <c r="D236" s="395">
        <f t="shared" si="77"/>
        <v>50.167079635127152</v>
      </c>
      <c r="E236" s="387">
        <f t="shared" si="100"/>
        <v>53.164227995222355</v>
      </c>
      <c r="F236" s="387">
        <f t="shared" si="78"/>
        <v>53.175631642322202</v>
      </c>
      <c r="G236" s="110">
        <f t="shared" si="101"/>
        <v>0.91302698254892756</v>
      </c>
      <c r="H236" s="414" t="b">
        <f>Wh_hp&gt;='2024'!Maxi_hp</f>
        <v>1</v>
      </c>
      <c r="I236" s="392">
        <f>IF(H236,Wh_hp,'2024'!Maxi_hp)</f>
        <v>53.175631642322202</v>
      </c>
      <c r="J236" s="85">
        <f>IF(H236,An,'2024'!An_max)</f>
        <v>2025</v>
      </c>
      <c r="K236" s="199">
        <f t="shared" si="79"/>
        <v>45879</v>
      </c>
      <c r="L236" s="147">
        <f>IF(t&lt;Tvie,1-EXP((T0-t)*PertePVj)+'2024'!Pspv,1-EXP((T0-t)*PertePVj)+Pspv)</f>
        <v>5.7967273515376894E-2</v>
      </c>
      <c r="M236" s="870"/>
      <c r="N236" s="870"/>
      <c r="O236" s="48">
        <f>IF(t&lt;Tnet,'2024'!Resal+('2024'!Salim-'2024'!Resal)*(1-EXP(('2024'!Tnet-t)/('2024'!Tau_j))),Resal+(Salim-Resal)*(1-EXP((Tnet-t)/(Tau_j))))*Salcycl</f>
        <v>5.6375282273722578E-2</v>
      </c>
      <c r="P236" s="171">
        <f>(INDEX(Models!$BJ236:$BT236,,T236)*(1-R236)+INDEX(Models!$BJ236:$BT236,,T236+1)*R236-ERP_i)*Q236*Ramure*Pc/MaxiM</f>
        <v>2.4486678775037496E-4</v>
      </c>
      <c r="Q236" s="307">
        <f t="shared" si="80"/>
        <v>1</v>
      </c>
      <c r="R236" s="179">
        <f t="shared" si="81"/>
        <v>0.81216794415908211</v>
      </c>
      <c r="S236" s="837">
        <f t="shared" si="82"/>
        <v>-3</v>
      </c>
      <c r="T236" s="178">
        <f t="shared" si="83"/>
        <v>3</v>
      </c>
      <c r="U236" s="253">
        <f t="shared" si="84"/>
        <v>-2.1878320558409179</v>
      </c>
      <c r="V236" s="385">
        <f t="shared" si="85"/>
        <v>51.759251428044699</v>
      </c>
      <c r="W236" s="404">
        <f t="shared" si="86"/>
        <v>47.259030808450042</v>
      </c>
      <c r="X236" s="157">
        <f t="shared" si="87"/>
        <v>45879</v>
      </c>
      <c r="Y236" s="387">
        <f t="shared" si="88"/>
        <v>43.542335275844977</v>
      </c>
      <c r="Z236" s="387">
        <f t="shared" si="89"/>
        <v>46.221680045375493</v>
      </c>
      <c r="AA236" s="388">
        <f t="shared" si="90"/>
        <v>52.751060331259232</v>
      </c>
      <c r="AB236" s="199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0.12377723300501237</v>
      </c>
      <c r="AD236" s="233">
        <f>(INDEX(Models!$BJ236:$BT236,,AH236)*(1-AF236)+INDEX(Models!$BJ236:$BT236,,AH236+1)*AF236-ERP_i)*AE236*Ramure*Pc/MaxiM</f>
        <v>9.1166810232477091E-3</v>
      </c>
      <c r="AE236" s="307">
        <f t="shared" si="92"/>
        <v>1</v>
      </c>
      <c r="AF236" s="179">
        <f t="shared" si="93"/>
        <v>0.74715053708265255</v>
      </c>
      <c r="AG236" s="837">
        <f t="shared" si="99"/>
        <v>2</v>
      </c>
      <c r="AH236" s="178">
        <f t="shared" si="94"/>
        <v>8</v>
      </c>
      <c r="AI236" s="227">
        <f t="shared" si="95"/>
        <v>2.7471505370826526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45880</v>
      </c>
      <c r="B237" s="1139">
        <f>IF(t&gt;Tmaj,'2024'!Wh/'2024'!Env_an*'2025'!Env_an,0.001*'[10]mon-tableau (1)'!$B$218)</f>
        <v>42.811981950953346</v>
      </c>
      <c r="C237" s="866"/>
      <c r="D237" s="395">
        <f t="shared" si="77"/>
        <v>45.44744260771953</v>
      </c>
      <c r="E237" s="387">
        <f t="shared" si="100"/>
        <v>48.175512135196392</v>
      </c>
      <c r="F237" s="387">
        <f t="shared" si="78"/>
        <v>48.185257477411973</v>
      </c>
      <c r="G237" s="110">
        <f t="shared" si="101"/>
        <v>0.83029945574232855</v>
      </c>
      <c r="H237" s="414" t="b">
        <f>Wh_hp&gt;='2024'!Maxi_hp</f>
        <v>0</v>
      </c>
      <c r="I237" s="392">
        <f>IF(H237,Wh_hp,'2024'!Maxi_hp)</f>
        <v>51.445554600155653</v>
      </c>
      <c r="J237" s="85">
        <f>IF(H237,An,'2024'!An_max)</f>
        <v>2021</v>
      </c>
      <c r="K237" s="199">
        <f t="shared" si="79"/>
        <v>45880</v>
      </c>
      <c r="L237" s="147">
        <f>IF(t&lt;Tvie,1-EXP((T0-t)*PertePVj)+'2024'!Pspv,1-EXP((T0-t)*PertePVj)+Pspv)</f>
        <v>5.798919599314345E-2</v>
      </c>
      <c r="M237" s="870"/>
      <c r="N237" s="870"/>
      <c r="O237" s="48">
        <f>IF(t&lt;Tnet,'2024'!Resal+('2024'!Salim-'2024'!Resal)*(1-EXP(('2024'!Tnet-t)/('2024'!Tau_j))),Resal+(Salim-Resal)*(1-EXP((Tnet-t)/(Tau_j))))*Salcycl</f>
        <v>5.6627722395996526E-2</v>
      </c>
      <c r="P237" s="171">
        <f>(INDEX(Models!$BJ237:$BT237,,T237)*(1-R237)+INDEX(Models!$BJ237:$BT237,,T237+1)*R237-ERP_i)*Q237*Ramure*Pc/MaxiM</f>
        <v>2.6694129850278811E-4</v>
      </c>
      <c r="Q237" s="307">
        <f t="shared" si="80"/>
        <v>1</v>
      </c>
      <c r="R237" s="179">
        <f t="shared" si="81"/>
        <v>0.81414167270796156</v>
      </c>
      <c r="S237" s="837">
        <f t="shared" si="82"/>
        <v>-3</v>
      </c>
      <c r="T237" s="178">
        <f t="shared" si="83"/>
        <v>3</v>
      </c>
      <c r="U237" s="253">
        <f t="shared" si="84"/>
        <v>-2.1858583272920384</v>
      </c>
      <c r="V237" s="385">
        <f t="shared" si="85"/>
        <v>51.558761624932906</v>
      </c>
      <c r="W237" s="404">
        <f t="shared" si="86"/>
        <v>42.811981950953346</v>
      </c>
      <c r="X237" s="157">
        <f t="shared" si="87"/>
        <v>45880</v>
      </c>
      <c r="Y237" s="387">
        <f t="shared" si="88"/>
        <v>39.477719996100632</v>
      </c>
      <c r="Z237" s="387">
        <f t="shared" si="89"/>
        <v>41.907926987866361</v>
      </c>
      <c r="AA237" s="388">
        <f t="shared" si="90"/>
        <v>47.834443120190947</v>
      </c>
      <c r="AB237" s="199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0.12389641742945272</v>
      </c>
      <c r="AD237" s="233">
        <f>(INDEX(Models!$BJ237:$BT237,,AH237)*(1-AF237)+INDEX(Models!$BJ237:$BT237,,AH237+1)*AF237-ERP_i)*AE237*Ramure*Pc/MaxiM</f>
        <v>9.6093947219488135E-3</v>
      </c>
      <c r="AE237" s="307">
        <f t="shared" si="92"/>
        <v>1</v>
      </c>
      <c r="AF237" s="179">
        <f t="shared" si="93"/>
        <v>0.749124265631532</v>
      </c>
      <c r="AG237" s="837">
        <f t="shared" si="99"/>
        <v>2</v>
      </c>
      <c r="AH237" s="178">
        <f t="shared" si="94"/>
        <v>8</v>
      </c>
      <c r="AI237" s="227">
        <f t="shared" si="95"/>
        <v>2.749124265631532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45881</v>
      </c>
      <c r="B238" s="1139">
        <f>IF(t&gt;Tmaj,'2024'!Wh/'2024'!Env_an*'2025'!Env_an,0.001*'[10]mon-tableau (1)'!$B$219)</f>
        <v>45.519426901434755</v>
      </c>
      <c r="C238" s="866"/>
      <c r="D238" s="395">
        <f t="shared" si="77"/>
        <v>48.322679565912011</v>
      </c>
      <c r="E238" s="387">
        <f t="shared" si="100"/>
        <v>51.237009334564519</v>
      </c>
      <c r="F238" s="387">
        <f t="shared" si="78"/>
        <v>51.249478040919371</v>
      </c>
      <c r="G238" s="110">
        <f t="shared" si="101"/>
        <v>0.88632713758606418</v>
      </c>
      <c r="H238" s="414" t="b">
        <f>Wh_hp&gt;='2024'!Maxi_hp</f>
        <v>1</v>
      </c>
      <c r="I238" s="392">
        <f>IF(H238,Wh_hp,'2024'!Maxi_hp)</f>
        <v>51.249478040919371</v>
      </c>
      <c r="J238" s="85">
        <f>IF(H238,An,'2024'!An_max)</f>
        <v>2025</v>
      </c>
      <c r="K238" s="199">
        <f t="shared" si="79"/>
        <v>45881</v>
      </c>
      <c r="L238" s="147">
        <f>IF(t&lt;Tvie,1-EXP((T0-t)*PertePVj)+'2024'!Pspv,1-EXP((T0-t)*PertePVj)+Pspv)</f>
        <v>5.8011117960741876E-2</v>
      </c>
      <c r="M238" s="870"/>
      <c r="N238" s="870"/>
      <c r="O238" s="48">
        <f>IF(t&lt;Tnet,'2024'!Resal+('2024'!Salim-'2024'!Resal)*(1-EXP(('2024'!Tnet-t)/('2024'!Tau_j))),Resal+(Salim-Resal)*(1-EXP((Tnet-t)/(Tau_j))))*Salcycl</f>
        <v>5.6879388678263462E-2</v>
      </c>
      <c r="P238" s="171">
        <f>(INDEX(Models!$BJ238:$BT238,,T238)*(1-R238)+INDEX(Models!$BJ238:$BT238,,T238+1)*R238-ERP_i)*Q238*Ramure*Pc/MaxiM</f>
        <v>2.9044174314339096E-4</v>
      </c>
      <c r="Q238" s="307">
        <f t="shared" si="80"/>
        <v>1</v>
      </c>
      <c r="R238" s="179">
        <f t="shared" si="81"/>
        <v>0.81604726729055432</v>
      </c>
      <c r="S238" s="837">
        <f t="shared" si="82"/>
        <v>-3</v>
      </c>
      <c r="T238" s="178">
        <f t="shared" si="83"/>
        <v>3</v>
      </c>
      <c r="U238" s="253">
        <f t="shared" si="84"/>
        <v>-2.1839527327094457</v>
      </c>
      <c r="V238" s="385">
        <f t="shared" si="85"/>
        <v>51.354943705053081</v>
      </c>
      <c r="W238" s="404">
        <f t="shared" si="86"/>
        <v>45.519426901434755</v>
      </c>
      <c r="X238" s="157">
        <f t="shared" si="87"/>
        <v>45881</v>
      </c>
      <c r="Y238" s="387">
        <f t="shared" si="88"/>
        <v>41.931478390225287</v>
      </c>
      <c r="Z238" s="387">
        <f t="shared" si="89"/>
        <v>44.513772072819179</v>
      </c>
      <c r="AA238" s="388">
        <f t="shared" si="90"/>
        <v>50.815666610047607</v>
      </c>
      <c r="AB238" s="199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0.12401479617670465</v>
      </c>
      <c r="AD238" s="233">
        <f>(INDEX(Models!$BJ238:$BT238,,AH238)*(1-AF238)+INDEX(Models!$BJ238:$BT238,,AH238+1)*AF238-ERP_i)*AE238*Ramure*Pc/MaxiM</f>
        <v>1.0105053771588724E-2</v>
      </c>
      <c r="AE238" s="307">
        <f t="shared" si="92"/>
        <v>1</v>
      </c>
      <c r="AF238" s="179">
        <f t="shared" si="93"/>
        <v>0.75102986021412477</v>
      </c>
      <c r="AG238" s="837">
        <f t="shared" si="99"/>
        <v>2</v>
      </c>
      <c r="AH238" s="178">
        <f t="shared" si="94"/>
        <v>8</v>
      </c>
      <c r="AI238" s="227">
        <f t="shared" si="95"/>
        <v>2.7510298602141248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45882</v>
      </c>
      <c r="B239" s="1139">
        <f>IF(t&gt;Tmaj,'2024'!Wh/'2024'!Env_an*'2025'!Env_an,0.001*'[10]mon-tableau (1)'!$B$220)</f>
        <v>30.703476588326694</v>
      </c>
      <c r="C239" s="866"/>
      <c r="D239" s="395">
        <f t="shared" si="77"/>
        <v>32.59506742079612</v>
      </c>
      <c r="E239" s="387">
        <f t="shared" si="100"/>
        <v>34.570064693582459</v>
      </c>
      <c r="F239" s="387">
        <f t="shared" si="78"/>
        <v>34.574742729236547</v>
      </c>
      <c r="G239" s="110">
        <f t="shared" si="101"/>
        <v>0.60018587636916321</v>
      </c>
      <c r="H239" s="414" t="b">
        <f>Wh_hp&gt;='2024'!Maxi_hp</f>
        <v>0</v>
      </c>
      <c r="I239" s="392">
        <f>IF(H239,Wh_hp,'2024'!Maxi_hp)</f>
        <v>52.158181392668176</v>
      </c>
      <c r="J239" s="85">
        <f>IF(H239,An,'2024'!An_max)</f>
        <v>2019</v>
      </c>
      <c r="K239" s="199">
        <f t="shared" si="79"/>
        <v>45882</v>
      </c>
      <c r="L239" s="147">
        <f>IF(t&lt;Tvie,1-EXP((T0-t)*PertePVj)+'2024'!Pspv,1-EXP((T0-t)*PertePVj)+Pspv)</f>
        <v>5.8033039418184051E-2</v>
      </c>
      <c r="M239" s="870"/>
      <c r="N239" s="870"/>
      <c r="O239" s="48">
        <f>IF(t&lt;Tnet,'2024'!Resal+('2024'!Salim-'2024'!Resal)*(1-EXP(('2024'!Tnet-t)/('2024'!Tau_j))),Resal+(Salim-Resal)*(1-EXP((Tnet-t)/(Tau_j))))*Salcycl</f>
        <v>5.713027413434317E-2</v>
      </c>
      <c r="P239" s="171">
        <f>(INDEX(Models!$BJ239:$BT239,,T239)*(1-R239)+INDEX(Models!$BJ239:$BT239,,T239+1)*R239-ERP_i)*Q239*Ramure*Pc/MaxiM</f>
        <v>3.153958359060803E-4</v>
      </c>
      <c r="Q239" s="307">
        <f t="shared" si="80"/>
        <v>1</v>
      </c>
      <c r="R239" s="179">
        <f t="shared" si="81"/>
        <v>0.81788666894939555</v>
      </c>
      <c r="S239" s="837">
        <f t="shared" si="82"/>
        <v>-3</v>
      </c>
      <c r="T239" s="178">
        <f t="shared" si="83"/>
        <v>3</v>
      </c>
      <c r="U239" s="253">
        <f t="shared" si="84"/>
        <v>-2.1821133310506045</v>
      </c>
      <c r="V239" s="385">
        <f t="shared" si="85"/>
        <v>51.147398739689997</v>
      </c>
      <c r="W239" s="404">
        <f t="shared" si="86"/>
        <v>30.703476588326694</v>
      </c>
      <c r="X239" s="157">
        <f t="shared" si="87"/>
        <v>45882</v>
      </c>
      <c r="Y239" s="387">
        <f t="shared" si="88"/>
        <v>28.395728555081106</v>
      </c>
      <c r="Z239" s="387">
        <f t="shared" si="89"/>
        <v>30.145142816412775</v>
      </c>
      <c r="AA239" s="388">
        <f t="shared" si="90"/>
        <v>34.417463746706751</v>
      </c>
      <c r="AB239" s="199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0.1241323579719838</v>
      </c>
      <c r="AD239" s="233">
        <f>(INDEX(Models!$BJ239:$BT239,,AH239)*(1-AF239)+INDEX(Models!$BJ239:$BT239,,AH239+1)*AF239-ERP_i)*AE239*Ramure*Pc/MaxiM</f>
        <v>1.0603838840363859E-2</v>
      </c>
      <c r="AE239" s="307">
        <f t="shared" si="92"/>
        <v>1</v>
      </c>
      <c r="AF239" s="179">
        <f t="shared" si="93"/>
        <v>0.75286926187296599</v>
      </c>
      <c r="AG239" s="837">
        <f t="shared" si="99"/>
        <v>2</v>
      </c>
      <c r="AH239" s="178">
        <f t="shared" si="94"/>
        <v>8</v>
      </c>
      <c r="AI239" s="227">
        <f t="shared" si="95"/>
        <v>2.752869261872966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45883</v>
      </c>
      <c r="B240" s="1139">
        <f>IF(t&gt;Tmaj,'2024'!Wh/'2024'!Env_an*'2025'!Env_an,0.001*'[10]mon-tableau (1)'!$B$221)</f>
        <v>33.0377456579088</v>
      </c>
      <c r="C240" s="866"/>
      <c r="D240" s="395">
        <f t="shared" si="77"/>
        <v>35.073963201428079</v>
      </c>
      <c r="E240" s="387">
        <f t="shared" si="100"/>
        <v>37.209031191194306</v>
      </c>
      <c r="F240" s="387">
        <f t="shared" si="78"/>
        <v>37.215363985162604</v>
      </c>
      <c r="G240" s="110">
        <f t="shared" si="101"/>
        <v>0.64850497462977541</v>
      </c>
      <c r="H240" s="414" t="b">
        <f>Wh_hp&gt;='2024'!Maxi_hp</f>
        <v>0</v>
      </c>
      <c r="I240" s="392">
        <f>IF(H240,Wh_hp,'2024'!Maxi_hp)</f>
        <v>56.516623137013951</v>
      </c>
      <c r="J240" s="85">
        <f>IF(H240,An,'2024'!An_max)</f>
        <v>2019</v>
      </c>
      <c r="K240" s="199">
        <f t="shared" si="79"/>
        <v>45883</v>
      </c>
      <c r="L240" s="147">
        <f>IF(t&lt;Tvie,1-EXP((T0-t)*PertePVj)+'2024'!Pspv,1-EXP((T0-t)*PertePVj)+Pspv)</f>
        <v>5.8054960365481967E-2</v>
      </c>
      <c r="M240" s="870"/>
      <c r="N240" s="870"/>
      <c r="O240" s="48">
        <f>IF(t&lt;Tnet,'2024'!Resal+('2024'!Salim-'2024'!Resal)*(1-EXP(('2024'!Tnet-t)/('2024'!Tau_j))),Resal+(Salim-Resal)*(1-EXP((Tnet-t)/(Tau_j))))*Salcycl</f>
        <v>5.7380370340615168E-2</v>
      </c>
      <c r="P240" s="171">
        <f>(INDEX(Models!$BJ240:$BT240,,T240)*(1-R240)+INDEX(Models!$BJ240:$BT240,,T240+1)*R240-ERP_i)*Q240*Ramure*Pc/MaxiM</f>
        <v>3.4168310938240755E-4</v>
      </c>
      <c r="Q240" s="307">
        <f t="shared" si="80"/>
        <v>1</v>
      </c>
      <c r="R240" s="179">
        <f t="shared" si="81"/>
        <v>0.81966179413472373</v>
      </c>
      <c r="S240" s="837">
        <f t="shared" si="82"/>
        <v>-3</v>
      </c>
      <c r="T240" s="178">
        <f t="shared" si="83"/>
        <v>3</v>
      </c>
      <c r="U240" s="253">
        <f t="shared" si="84"/>
        <v>-2.1803382058652763</v>
      </c>
      <c r="V240" s="385">
        <f t="shared" si="85"/>
        <v>50.93573596342501</v>
      </c>
      <c r="W240" s="404">
        <f t="shared" si="86"/>
        <v>33.0377456579088</v>
      </c>
      <c r="X240" s="157">
        <f t="shared" si="87"/>
        <v>45883</v>
      </c>
      <c r="Y240" s="387">
        <f t="shared" si="88"/>
        <v>30.529635867121314</v>
      </c>
      <c r="Z240" s="387">
        <f t="shared" si="89"/>
        <v>32.411270915516525</v>
      </c>
      <c r="AA240" s="388">
        <f t="shared" si="90"/>
        <v>37.009691330827962</v>
      </c>
      <c r="AB240" s="199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0.12424908854835794</v>
      </c>
      <c r="AD240" s="233">
        <f>(INDEX(Models!$BJ240:$BT240,,AH240)*(1-AF240)+INDEX(Models!$BJ240:$BT240,,AH240+1)*AF240-ERP_i)*AE240*Ramure*Pc/MaxiM</f>
        <v>1.1096977479423035E-2</v>
      </c>
      <c r="AE240" s="307">
        <f t="shared" si="92"/>
        <v>1</v>
      </c>
      <c r="AF240" s="179">
        <f t="shared" si="93"/>
        <v>0.75464438705829417</v>
      </c>
      <c r="AG240" s="837">
        <f t="shared" si="99"/>
        <v>2</v>
      </c>
      <c r="AH240" s="178">
        <f t="shared" si="94"/>
        <v>8</v>
      </c>
      <c r="AI240" s="227">
        <f t="shared" si="95"/>
        <v>2.7546443870582942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45884</v>
      </c>
      <c r="B241" s="1139">
        <f>IF(t&gt;Tmaj,'2024'!Wh/'2024'!Env_an*'2025'!Env_an,0.001*'[10]mon-tableau (1)'!$B$222)</f>
        <v>38.748962071679465</v>
      </c>
      <c r="C241" s="866"/>
      <c r="D241" s="395">
        <f t="shared" si="77"/>
        <v>41.138136735298403</v>
      </c>
      <c r="E241" s="387">
        <f t="shared" si="100"/>
        <v>43.653896263189203</v>
      </c>
      <c r="F241" s="387">
        <f t="shared" si="78"/>
        <v>43.664561704634671</v>
      </c>
      <c r="G241" s="110">
        <f t="shared" si="101"/>
        <v>0.76388904595877094</v>
      </c>
      <c r="H241" s="414" t="b">
        <f>Wh_hp&gt;='2024'!Maxi_hp</f>
        <v>0</v>
      </c>
      <c r="I241" s="392">
        <f>IF(H241,Wh_hp,'2024'!Maxi_hp)</f>
        <v>51.583884574540299</v>
      </c>
      <c r="J241" s="85">
        <f>IF(H241,An,'2024'!An_max)</f>
        <v>2020</v>
      </c>
      <c r="K241" s="199">
        <f t="shared" si="79"/>
        <v>45884</v>
      </c>
      <c r="L241" s="147">
        <f>IF(t&lt;Tvie,1-EXP((T0-t)*PertePVj)+'2024'!Pspv,1-EXP((T0-t)*PertePVj)+Pspv)</f>
        <v>5.807688080264739E-2</v>
      </c>
      <c r="M241" s="870"/>
      <c r="N241" s="870"/>
      <c r="O241" s="48">
        <f>IF(t&lt;Tnet,'2024'!Resal+('2024'!Salim-'2024'!Resal)*(1-EXP(('2024'!Tnet-t)/('2024'!Tau_j))),Resal+(Salim-Resal)*(1-EXP((Tnet-t)/(Tau_j))))*Salcycl</f>
        <v>5.7629667526657748E-2</v>
      </c>
      <c r="P241" s="171">
        <f>(INDEX(Models!$BJ241:$BT241,,T241)*(1-R241)+INDEX(Models!$BJ241:$BT241,,T241+1)*R241-ERP_i)*Q241*Ramure*Pc/MaxiM</f>
        <v>3.6850617791187468E-4</v>
      </c>
      <c r="Q241" s="307">
        <f t="shared" si="80"/>
        <v>1</v>
      </c>
      <c r="R241" s="179">
        <f t="shared" si="81"/>
        <v>0.82137453246698033</v>
      </c>
      <c r="S241" s="837">
        <f t="shared" si="82"/>
        <v>-3</v>
      </c>
      <c r="T241" s="178">
        <f t="shared" si="83"/>
        <v>3</v>
      </c>
      <c r="U241" s="253">
        <f t="shared" si="84"/>
        <v>-2.1786254675330197</v>
      </c>
      <c r="V241" s="385">
        <f t="shared" si="85"/>
        <v>50.719599440264901</v>
      </c>
      <c r="W241" s="404">
        <f t="shared" si="86"/>
        <v>38.748962071679465</v>
      </c>
      <c r="X241" s="157">
        <f t="shared" si="87"/>
        <v>45884</v>
      </c>
      <c r="Y241" s="387">
        <f t="shared" si="88"/>
        <v>35.737197599210752</v>
      </c>
      <c r="Z241" s="387">
        <f t="shared" si="89"/>
        <v>37.94067357605973</v>
      </c>
      <c r="AA241" s="388">
        <f t="shared" si="90"/>
        <v>43.329323650640063</v>
      </c>
      <c r="AB241" s="199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0.12436497089196391</v>
      </c>
      <c r="AD241" s="233">
        <f>(INDEX(Models!$BJ241:$BT241,,AH241)*(1-AF241)+INDEX(Models!$BJ241:$BT241,,AH241+1)*AF241-ERP_i)*AE241*Ramure*Pc/MaxiM</f>
        <v>1.1582951779334539E-2</v>
      </c>
      <c r="AE241" s="307">
        <f t="shared" si="92"/>
        <v>1</v>
      </c>
      <c r="AF241" s="179">
        <f t="shared" si="93"/>
        <v>0.75635712539055078</v>
      </c>
      <c r="AG241" s="837">
        <f t="shared" si="99"/>
        <v>2</v>
      </c>
      <c r="AH241" s="178">
        <f t="shared" si="94"/>
        <v>8</v>
      </c>
      <c r="AI241" s="227">
        <f t="shared" si="95"/>
        <v>2.7563571253905508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45885</v>
      </c>
      <c r="B242" s="1139">
        <f>IF(t&gt;Tmaj,'2024'!Wh/'2024'!Env_an*'2025'!Env_an,0.001*'[10]mon-tableau (1)'!$B$223)</f>
        <v>30.91658655889173</v>
      </c>
      <c r="C242" s="866"/>
      <c r="D242" s="395">
        <f t="shared" si="77"/>
        <v>32.82359825302575</v>
      </c>
      <c r="E242" s="387">
        <f t="shared" si="100"/>
        <v>34.840077656084624</v>
      </c>
      <c r="F242" s="387">
        <f t="shared" si="78"/>
        <v>34.846230684472836</v>
      </c>
      <c r="G242" s="110">
        <f t="shared" si="101"/>
        <v>0.61209241651704649</v>
      </c>
      <c r="H242" s="414" t="b">
        <f>Wh_hp&gt;='2024'!Maxi_hp</f>
        <v>0</v>
      </c>
      <c r="I242" s="392">
        <f>IF(H242,Wh_hp,'2024'!Maxi_hp)</f>
        <v>55.530808319610884</v>
      </c>
      <c r="J242" s="85">
        <f>IF(H242,An,'2024'!An_max)</f>
        <v>2019</v>
      </c>
      <c r="K242" s="199">
        <f t="shared" si="79"/>
        <v>45885</v>
      </c>
      <c r="L242" s="147">
        <f>IF(t&lt;Tvie,1-EXP((T0-t)*PertePVj)+'2024'!Pspv,1-EXP((T0-t)*PertePVj)+Pspv)</f>
        <v>5.8098800729692313E-2</v>
      </c>
      <c r="M242" s="870"/>
      <c r="N242" s="870"/>
      <c r="O242" s="48">
        <f>IF(t&lt;Tnet,'2024'!Resal+('2024'!Salim-'2024'!Resal)*(1-EXP(('2024'!Tnet-t)/('2024'!Tau_j))),Resal+(Salim-Resal)*(1-EXP((Tnet-t)/(Tau_j))))*Salcycl</f>
        <v>5.7878154663260649E-2</v>
      </c>
      <c r="P242" s="171">
        <f>(INDEX(Models!$BJ242:$BT242,,T242)*(1-R242)+INDEX(Models!$BJ242:$BT242,,T242+1)*R242-ERP_i)*Q242*Ramure*Pc/MaxiM</f>
        <v>3.9587776470307543E-4</v>
      </c>
      <c r="Q242" s="307">
        <f t="shared" si="80"/>
        <v>1</v>
      </c>
      <c r="R242" s="179">
        <f t="shared" si="81"/>
        <v>0.82302674474620652</v>
      </c>
      <c r="S242" s="837">
        <f t="shared" si="82"/>
        <v>-3</v>
      </c>
      <c r="T242" s="178">
        <f t="shared" si="83"/>
        <v>3</v>
      </c>
      <c r="U242" s="253">
        <f t="shared" si="84"/>
        <v>-2.1769732552537935</v>
      </c>
      <c r="V242" s="385">
        <f t="shared" si="85"/>
        <v>50.498592179003886</v>
      </c>
      <c r="W242" s="404">
        <f t="shared" si="86"/>
        <v>30.91658655889173</v>
      </c>
      <c r="X242" s="157">
        <f t="shared" si="87"/>
        <v>45885</v>
      </c>
      <c r="Y242" s="387">
        <f t="shared" si="88"/>
        <v>28.581459425333442</v>
      </c>
      <c r="Z242" s="387">
        <f t="shared" si="89"/>
        <v>30.34443468962089</v>
      </c>
      <c r="AA242" s="388">
        <f t="shared" si="90"/>
        <v>34.658756152044624</v>
      </c>
      <c r="AB242" s="199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0.1244799854760287</v>
      </c>
      <c r="AD242" s="233">
        <f>(INDEX(Models!$BJ242:$BT242,,AH242)*(1-AF242)+INDEX(Models!$BJ242:$BT242,,AH242+1)*AF242-ERP_i)*AE242*Ramure*Pc/MaxiM</f>
        <v>1.2061865174981526E-2</v>
      </c>
      <c r="AE242" s="307">
        <f t="shared" si="92"/>
        <v>1</v>
      </c>
      <c r="AF242" s="179">
        <f t="shared" si="93"/>
        <v>0.75800933766977696</v>
      </c>
      <c r="AG242" s="837">
        <f t="shared" si="99"/>
        <v>2</v>
      </c>
      <c r="AH242" s="178">
        <f t="shared" si="94"/>
        <v>8</v>
      </c>
      <c r="AI242" s="227">
        <f t="shared" si="95"/>
        <v>2.758009337669777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45886</v>
      </c>
      <c r="B243" s="1139">
        <f>IF(t&gt;Tmaj,'2024'!Wh/'2024'!Env_an*'2025'!Env_an,0.001*'[10]mon-tableau (1)'!$B$224)</f>
        <v>22.40485792243997</v>
      </c>
      <c r="C243" s="866"/>
      <c r="D243" s="395">
        <f t="shared" si="77"/>
        <v>23.787398663157639</v>
      </c>
      <c r="E243" s="387">
        <f t="shared" si="100"/>
        <v>25.255388837284229</v>
      </c>
      <c r="F243" s="387">
        <f t="shared" si="78"/>
        <v>25.257616438675289</v>
      </c>
      <c r="G243" s="110">
        <f t="shared" si="101"/>
        <v>0.44552029518236008</v>
      </c>
      <c r="H243" s="414" t="b">
        <f>Wh_hp&gt;='2024'!Maxi_hp</f>
        <v>0</v>
      </c>
      <c r="I243" s="392">
        <f>IF(H243,Wh_hp,'2024'!Maxi_hp)</f>
        <v>54.275394990879882</v>
      </c>
      <c r="J243" s="85">
        <f>IF(H243,An,'2024'!An_max)</f>
        <v>2019</v>
      </c>
      <c r="K243" s="199">
        <f t="shared" si="79"/>
        <v>45886</v>
      </c>
      <c r="L243" s="147">
        <f>IF(t&lt;Tvie,1-EXP((T0-t)*PertePVj)+'2024'!Pspv,1-EXP((T0-t)*PertePVj)+Pspv)</f>
        <v>5.8120720146628391E-2</v>
      </c>
      <c r="M243" s="870"/>
      <c r="N243" s="870"/>
      <c r="O243" s="48">
        <f>IF(t&lt;Tnet,'2024'!Resal+('2024'!Salim-'2024'!Resal)*(1-EXP(('2024'!Tnet-t)/('2024'!Tau_j))),Resal+(Salim-Resal)*(1-EXP((Tnet-t)/(Tau_j))))*Salcycl</f>
        <v>5.812581954625913E-2</v>
      </c>
      <c r="P243" s="171">
        <f>(INDEX(Models!$BJ243:$BT243,,T243)*(1-R243)+INDEX(Models!$BJ243:$BT243,,T243+1)*R243-ERP_i)*Q243*Ramure*Pc/MaxiM</f>
        <v>4.2381213342734169E-4</v>
      </c>
      <c r="Q243" s="307">
        <f t="shared" si="80"/>
        <v>1</v>
      </c>
      <c r="R243" s="179">
        <f t="shared" si="81"/>
        <v>0.8246202611950002</v>
      </c>
      <c r="S243" s="837">
        <f t="shared" si="82"/>
        <v>-3</v>
      </c>
      <c r="T243" s="178">
        <f t="shared" si="83"/>
        <v>3</v>
      </c>
      <c r="U243" s="253">
        <f t="shared" si="84"/>
        <v>-2.1753797388049998</v>
      </c>
      <c r="V243" s="385">
        <f t="shared" si="85"/>
        <v>50.272317675416559</v>
      </c>
      <c r="W243" s="404">
        <f t="shared" si="86"/>
        <v>22.40485792243997</v>
      </c>
      <c r="X243" s="157">
        <f t="shared" si="87"/>
        <v>45886</v>
      </c>
      <c r="Y243" s="387">
        <f t="shared" si="88"/>
        <v>20.771259213621068</v>
      </c>
      <c r="Z243" s="387">
        <f t="shared" si="89"/>
        <v>22.052995174556408</v>
      </c>
      <c r="AA243" s="388">
        <f t="shared" si="90"/>
        <v>25.19173727134304</v>
      </c>
      <c r="AB243" s="199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0.12459411048070601</v>
      </c>
      <c r="AD243" s="233">
        <f>(INDEX(Models!$BJ243:$BT243,,AH243)*(1-AF243)+INDEX(Models!$BJ243:$BT243,,AH243+1)*AF243-ERP_i)*AE243*Ramure*Pc/MaxiM</f>
        <v>1.2533835976010536E-2</v>
      </c>
      <c r="AE243" s="307">
        <f t="shared" si="92"/>
        <v>1</v>
      </c>
      <c r="AF243" s="179">
        <f t="shared" si="93"/>
        <v>0.75960285411857065</v>
      </c>
      <c r="AG243" s="837">
        <f t="shared" si="99"/>
        <v>2</v>
      </c>
      <c r="AH243" s="178">
        <f t="shared" si="94"/>
        <v>8</v>
      </c>
      <c r="AI243" s="227">
        <f t="shared" si="95"/>
        <v>2.7596028541185706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45887</v>
      </c>
      <c r="B244" s="1139">
        <f>IF(t&gt;Tmaj,'2024'!Wh/'2024'!Env_an*'2025'!Env_an,0.001*'[10]mon-tableau (1)'!$B$225)</f>
        <v>37.775395710470342</v>
      </c>
      <c r="C244" s="866"/>
      <c r="D244" s="395">
        <f t="shared" si="77"/>
        <v>40.107342445683543</v>
      </c>
      <c r="E244" s="387">
        <f t="shared" si="100"/>
        <v>42.593646411985311</v>
      </c>
      <c r="F244" s="387">
        <f t="shared" si="78"/>
        <v>42.606170309241634</v>
      </c>
      <c r="G244" s="110">
        <f t="shared" si="101"/>
        <v>0.75477866441040042</v>
      </c>
      <c r="H244" s="414" t="b">
        <f>Wh_hp&gt;='2024'!Maxi_hp</f>
        <v>0</v>
      </c>
      <c r="I244" s="392">
        <f>IF(H244,Wh_hp,'2024'!Maxi_hp)</f>
        <v>53.81892121253842</v>
      </c>
      <c r="J244" s="85">
        <f>IF(H244,An,'2024'!An_max)</f>
        <v>2021</v>
      </c>
      <c r="K244" s="199">
        <f t="shared" si="79"/>
        <v>45887</v>
      </c>
      <c r="L244" s="147">
        <f>IF(t&lt;Tvie,1-EXP((T0-t)*PertePVj)+'2024'!Pspv,1-EXP((T0-t)*PertePVj)+Pspv)</f>
        <v>5.8142639053467615E-2</v>
      </c>
      <c r="M244" s="870"/>
      <c r="N244" s="870"/>
      <c r="O244" s="48">
        <f>IF(t&lt;Tnet,'2024'!Resal+('2024'!Salim-'2024'!Resal)*(1-EXP(('2024'!Tnet-t)/('2024'!Tau_j))),Resal+(Salim-Resal)*(1-EXP((Tnet-t)/(Tau_j))))*Salcycl</f>
        <v>5.8372648874742881E-2</v>
      </c>
      <c r="P244" s="171">
        <f>(INDEX(Models!$BJ244:$BT244,,T244)*(1-R244)+INDEX(Models!$BJ244:$BT244,,T244+1)*R244-ERP_i)*Q244*Ramure*Pc/MaxiM</f>
        <v>4.5232517658638809E-4</v>
      </c>
      <c r="Q244" s="307">
        <f t="shared" si="80"/>
        <v>1</v>
      </c>
      <c r="R244" s="179">
        <f t="shared" si="81"/>
        <v>0.82615687992173914</v>
      </c>
      <c r="S244" s="837">
        <f t="shared" si="82"/>
        <v>-3</v>
      </c>
      <c r="T244" s="178">
        <f t="shared" si="83"/>
        <v>3</v>
      </c>
      <c r="U244" s="253">
        <f t="shared" si="84"/>
        <v>-2.1738431200782609</v>
      </c>
      <c r="V244" s="385">
        <f t="shared" si="85"/>
        <v>50.040379891366513</v>
      </c>
      <c r="W244" s="404">
        <f t="shared" si="86"/>
        <v>37.775395710470342</v>
      </c>
      <c r="X244" s="157">
        <f t="shared" si="87"/>
        <v>45887</v>
      </c>
      <c r="Y244" s="387">
        <f t="shared" si="88"/>
        <v>34.827849792941485</v>
      </c>
      <c r="Z244" s="387">
        <f t="shared" si="89"/>
        <v>36.977838935123643</v>
      </c>
      <c r="AA244" s="388">
        <f t="shared" si="90"/>
        <v>42.246256440130146</v>
      </c>
      <c r="AB244" s="199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0.12470732199603791</v>
      </c>
      <c r="AD244" s="233">
        <f>(INDEX(Models!$BJ244:$BT244,,AH244)*(1-AF244)+INDEX(Models!$BJ244:$BT244,,AH244+1)*AF244-ERP_i)*AE244*Ramure*Pc/MaxiM</f>
        <v>1.2998997122840526E-2</v>
      </c>
      <c r="AE244" s="307">
        <f t="shared" si="92"/>
        <v>1</v>
      </c>
      <c r="AF244" s="179">
        <f t="shared" si="93"/>
        <v>0.76113947284530958</v>
      </c>
      <c r="AG244" s="837">
        <f t="shared" si="99"/>
        <v>2</v>
      </c>
      <c r="AH244" s="178">
        <f t="shared" si="94"/>
        <v>8</v>
      </c>
      <c r="AI244" s="227">
        <f t="shared" si="95"/>
        <v>2.7611394728453096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45888</v>
      </c>
      <c r="B245" s="1139">
        <f>IF(t&gt;Tmaj,'2024'!Wh/'2024'!Env_an*'2025'!Env_an,0.001*'[10]mon-tableau (1)'!$B$226)</f>
        <v>39.111962515534245</v>
      </c>
      <c r="C245" s="866"/>
      <c r="D245" s="395">
        <f t="shared" si="77"/>
        <v>41.527384454389008</v>
      </c>
      <c r="E245" s="387">
        <f t="shared" si="100"/>
        <v>44.113242203190083</v>
      </c>
      <c r="F245" s="387">
        <f t="shared" si="78"/>
        <v>44.127972180888165</v>
      </c>
      <c r="G245" s="110">
        <f t="shared" si="101"/>
        <v>0.78522720825828973</v>
      </c>
      <c r="H245" s="414" t="b">
        <f>Wh_hp&gt;='2024'!Maxi_hp</f>
        <v>0</v>
      </c>
      <c r="I245" s="392">
        <f>IF(H245,Wh_hp,'2024'!Maxi_hp)</f>
        <v>48.769575691470848</v>
      </c>
      <c r="J245" s="85">
        <f>IF(H245,An,'2024'!An_max)</f>
        <v>2021</v>
      </c>
      <c r="K245" s="199">
        <f t="shared" si="79"/>
        <v>45888</v>
      </c>
      <c r="L245" s="147">
        <f>IF(t&lt;Tvie,1-EXP((T0-t)*PertePVj)+'2024'!Pspv,1-EXP((T0-t)*PertePVj)+Pspv)</f>
        <v>5.8164557450221865E-2</v>
      </c>
      <c r="M245" s="870"/>
      <c r="N245" s="870"/>
      <c r="O245" s="48">
        <f>IF(t&lt;Tnet,'2024'!Resal+('2024'!Salim-'2024'!Resal)*(1-EXP(('2024'!Tnet-t)/('2024'!Tau_j))),Resal+(Salim-Resal)*(1-EXP((Tnet-t)/(Tau_j))))*Salcycl</f>
        <v>5.8618628322315389E-2</v>
      </c>
      <c r="P245" s="171">
        <f>(INDEX(Models!$BJ245:$BT245,,T245)*(1-R245)+INDEX(Models!$BJ245:$BT245,,T245+1)*R245-ERP_i)*Q245*Ramure*Pc/MaxiM</f>
        <v>4.814345107225724E-4</v>
      </c>
      <c r="Q245" s="307">
        <f t="shared" si="80"/>
        <v>1</v>
      </c>
      <c r="R245" s="179">
        <f t="shared" si="81"/>
        <v>0.82763836559095427</v>
      </c>
      <c r="S245" s="837">
        <f t="shared" si="82"/>
        <v>-3</v>
      </c>
      <c r="T245" s="178">
        <f t="shared" si="83"/>
        <v>3</v>
      </c>
      <c r="U245" s="253">
        <f t="shared" si="84"/>
        <v>-2.1723616344090457</v>
      </c>
      <c r="V245" s="385">
        <f t="shared" si="85"/>
        <v>49.802383252150641</v>
      </c>
      <c r="W245" s="404">
        <f t="shared" si="86"/>
        <v>39.111962515534245</v>
      </c>
      <c r="X245" s="157">
        <f t="shared" si="87"/>
        <v>45888</v>
      </c>
      <c r="Y245" s="387">
        <f t="shared" si="88"/>
        <v>36.034232966804247</v>
      </c>
      <c r="Z245" s="387">
        <f t="shared" si="89"/>
        <v>38.259584783994534</v>
      </c>
      <c r="AA245" s="388">
        <f t="shared" si="90"/>
        <v>43.716226426789994</v>
      </c>
      <c r="AB245" s="199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0.12481959420567805</v>
      </c>
      <c r="AD245" s="233">
        <f>(INDEX(Models!$BJ245:$BT245,,AH245)*(1-AF245)+INDEX(Models!$BJ245:$BT245,,AH245+1)*AF245-ERP_i)*AE245*Ramure*Pc/MaxiM</f>
        <v>1.3457495980605633E-2</v>
      </c>
      <c r="AE245" s="307">
        <f t="shared" si="92"/>
        <v>1</v>
      </c>
      <c r="AF245" s="179">
        <f t="shared" si="93"/>
        <v>0.76262095851452472</v>
      </c>
      <c r="AG245" s="837">
        <f t="shared" si="99"/>
        <v>2</v>
      </c>
      <c r="AH245" s="178">
        <f t="shared" si="94"/>
        <v>8</v>
      </c>
      <c r="AI245" s="227">
        <f t="shared" si="95"/>
        <v>2.7626209585145247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45889</v>
      </c>
      <c r="B246" s="1139">
        <f>IF(t&gt;Tmaj,'2024'!Wh/'2024'!Env_an*'2025'!Env_an,0.001*'[10]mon-tableau (1)'!$B$227)</f>
        <v>46.100164947364028</v>
      </c>
      <c r="C246" s="866"/>
      <c r="D246" s="395">
        <f t="shared" si="77"/>
        <v>48.948293627291939</v>
      </c>
      <c r="E246" s="387">
        <f t="shared" si="100"/>
        <v>52.009784175703679</v>
      </c>
      <c r="F246" s="387">
        <f t="shared" si="78"/>
        <v>52.033730615875541</v>
      </c>
      <c r="G246" s="110">
        <f t="shared" si="101"/>
        <v>0.93018034902863</v>
      </c>
      <c r="H246" s="414" t="b">
        <f>Wh_hp&gt;='2024'!Maxi_hp</f>
        <v>0</v>
      </c>
      <c r="I246" s="392">
        <f>IF(H246,Wh_hp,'2024'!Maxi_hp)</f>
        <v>52.529091636366658</v>
      </c>
      <c r="J246" s="85">
        <f>IF(H246,An,'2024'!An_max)</f>
        <v>2021</v>
      </c>
      <c r="K246" s="199">
        <f t="shared" si="79"/>
        <v>45889</v>
      </c>
      <c r="L246" s="147">
        <f>IF(t&lt;Tvie,1-EXP((T0-t)*PertePVj)+'2024'!Pspv,1-EXP((T0-t)*PertePVj)+Pspv)</f>
        <v>5.8186475336903021E-2</v>
      </c>
      <c r="M246" s="870"/>
      <c r="N246" s="870"/>
      <c r="O246" s="48">
        <f>IF(t&lt;Tnet,'2024'!Resal+('2024'!Salim-'2024'!Resal)*(1-EXP(('2024'!Tnet-t)/('2024'!Tau_j))),Resal+(Salim-Resal)*(1-EXP((Tnet-t)/(Tau_j))))*Salcycl</f>
        <v>5.8863742600222452E-2</v>
      </c>
      <c r="P246" s="171">
        <f>(INDEX(Models!$BJ246:$BT246,,T246)*(1-R246)+INDEX(Models!$BJ246:$BT246,,T246+1)*R246-ERP_i)*Q246*Ramure*Pc/MaxiM</f>
        <v>5.1115957957673151E-4</v>
      </c>
      <c r="Q246" s="307">
        <f t="shared" si="80"/>
        <v>1</v>
      </c>
      <c r="R246" s="179">
        <f t="shared" si="81"/>
        <v>0.82906644828795351</v>
      </c>
      <c r="S246" s="837">
        <f t="shared" si="82"/>
        <v>-3</v>
      </c>
      <c r="T246" s="178">
        <f t="shared" si="83"/>
        <v>3</v>
      </c>
      <c r="U246" s="253">
        <f t="shared" si="84"/>
        <v>-2.1709335517120465</v>
      </c>
      <c r="V246" s="385">
        <f t="shared" si="85"/>
        <v>49.557932638971153</v>
      </c>
      <c r="W246" s="404">
        <f t="shared" si="86"/>
        <v>46.100164947364028</v>
      </c>
      <c r="X246" s="157">
        <f t="shared" si="87"/>
        <v>45889</v>
      </c>
      <c r="Y246" s="387">
        <f t="shared" si="88"/>
        <v>42.346663083044881</v>
      </c>
      <c r="Z246" s="387">
        <f t="shared" si="89"/>
        <v>44.962895492707027</v>
      </c>
      <c r="AA246" s="388">
        <f t="shared" si="90"/>
        <v>51.382108532403585</v>
      </c>
      <c r="AB246" s="199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0.12493089954937027</v>
      </c>
      <c r="AD246" s="233">
        <f>(INDEX(Models!$BJ246:$BT246,,AH246)*(1-AF246)+INDEX(Models!$BJ246:$BT246,,AH246+1)*AF246-ERP_i)*AE246*Ramure*Pc/MaxiM</f>
        <v>1.3909494181179682E-2</v>
      </c>
      <c r="AE246" s="307">
        <f t="shared" si="92"/>
        <v>1</v>
      </c>
      <c r="AF246" s="179">
        <f t="shared" si="93"/>
        <v>0.76404904121152395</v>
      </c>
      <c r="AG246" s="837">
        <f t="shared" si="99"/>
        <v>2</v>
      </c>
      <c r="AH246" s="178">
        <f t="shared" si="94"/>
        <v>8</v>
      </c>
      <c r="AI246" s="227">
        <f t="shared" si="95"/>
        <v>2.7640490412115239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45890</v>
      </c>
      <c r="B247" s="1139">
        <f>IF(t&gt;Tmaj,'2024'!Wh/'2024'!Env_an*'2025'!Env_an,0.001*'[10]mon-tableau (1)'!$B$228)</f>
        <v>30.270991660679563</v>
      </c>
      <c r="C247" s="866"/>
      <c r="D247" s="395">
        <f t="shared" si="77"/>
        <v>32.141921234462266</v>
      </c>
      <c r="E247" s="387">
        <f t="shared" si="100"/>
        <v>34.161115619966893</v>
      </c>
      <c r="F247" s="387">
        <f t="shared" si="78"/>
        <v>34.169413279741278</v>
      </c>
      <c r="G247" s="110">
        <f t="shared" si="101"/>
        <v>0.61373217421436033</v>
      </c>
      <c r="H247" s="414" t="b">
        <f>Wh_hp&gt;='2024'!Maxi_hp</f>
        <v>0</v>
      </c>
      <c r="I247" s="392">
        <f>IF(H247,Wh_hp,'2024'!Maxi_hp)</f>
        <v>51.419921349849517</v>
      </c>
      <c r="J247" s="85">
        <f>IF(H247,An,'2024'!An_max)</f>
        <v>2020</v>
      </c>
      <c r="K247" s="199">
        <f t="shared" si="79"/>
        <v>45890</v>
      </c>
      <c r="L247" s="147">
        <f>IF(t&lt;Tvie,1-EXP((T0-t)*PertePVj)+'2024'!Pspv,1-EXP((T0-t)*PertePVj)+Pspv)</f>
        <v>5.8208392713522961E-2</v>
      </c>
      <c r="M247" s="870"/>
      <c r="N247" s="870"/>
      <c r="O247" s="48">
        <f>IF(t&lt;Tnet,'2024'!Resal+('2024'!Salim-'2024'!Resal)*(1-EXP(('2024'!Tnet-t)/('2024'!Tau_j))),Resal+(Salim-Resal)*(1-EXP((Tnet-t)/(Tau_j))))*Salcycl</f>
        <v>5.9107975511327321E-2</v>
      </c>
      <c r="P247" s="171">
        <f>(INDEX(Models!$BJ247:$BT247,,T247)*(1-R247)+INDEX(Models!$BJ247:$BT247,,T247+1)*R247-ERP_i)*Q247*Ramure*Pc/MaxiM</f>
        <v>5.4150600604753723E-4</v>
      </c>
      <c r="Q247" s="307">
        <f t="shared" si="80"/>
        <v>1</v>
      </c>
      <c r="R247" s="179">
        <f t="shared" si="81"/>
        <v>0.83044282256508328</v>
      </c>
      <c r="S247" s="837">
        <f t="shared" si="82"/>
        <v>-3</v>
      </c>
      <c r="T247" s="178">
        <f t="shared" si="83"/>
        <v>3</v>
      </c>
      <c r="U247" s="253">
        <f t="shared" si="84"/>
        <v>-2.1695571774349167</v>
      </c>
      <c r="V247" s="385">
        <f t="shared" si="85"/>
        <v>49.308069193686492</v>
      </c>
      <c r="W247" s="404">
        <f t="shared" si="86"/>
        <v>30.270991660679563</v>
      </c>
      <c r="X247" s="157">
        <f t="shared" si="87"/>
        <v>45890</v>
      </c>
      <c r="Y247" s="387">
        <f t="shared" si="88"/>
        <v>27.975327037830219</v>
      </c>
      <c r="Z247" s="387">
        <f t="shared" si="89"/>
        <v>29.704370713637715</v>
      </c>
      <c r="AA247" s="388">
        <f t="shared" si="90"/>
        <v>33.949451122174729</v>
      </c>
      <c r="AB247" s="199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0.12504120886255674</v>
      </c>
      <c r="AD247" s="233">
        <f>(INDEX(Models!$BJ247:$BT247,,AH247)*(1-AF247)+INDEX(Models!$BJ247:$BT247,,AH247+1)*AF247-ERP_i)*AE247*Ramure*Pc/MaxiM</f>
        <v>1.4354749732346258E-2</v>
      </c>
      <c r="AE247" s="307">
        <f t="shared" si="92"/>
        <v>1</v>
      </c>
      <c r="AF247" s="179">
        <f t="shared" si="93"/>
        <v>0.76542541548865373</v>
      </c>
      <c r="AG247" s="837">
        <f t="shared" si="99"/>
        <v>2</v>
      </c>
      <c r="AH247" s="178">
        <f t="shared" si="94"/>
        <v>8</v>
      </c>
      <c r="AI247" s="227">
        <f t="shared" si="95"/>
        <v>2.7654254154886537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45891</v>
      </c>
      <c r="B248" s="1139">
        <f>IF(t&gt;Tmaj,'2024'!Wh/'2024'!Env_an*'2025'!Env_an,0.001*'[10]mon-tableau (1)'!$B$229)</f>
        <v>24.279647372217354</v>
      </c>
      <c r="C248" s="866"/>
      <c r="D248" s="395">
        <f t="shared" si="77"/>
        <v>25.780875748285972</v>
      </c>
      <c r="E248" s="387">
        <f t="shared" si="100"/>
        <v>27.407549728394137</v>
      </c>
      <c r="F248" s="387">
        <f t="shared" si="78"/>
        <v>27.411920445634639</v>
      </c>
      <c r="G248" s="110">
        <f t="shared" si="101"/>
        <v>0.4947534180833601</v>
      </c>
      <c r="H248" s="414" t="b">
        <f>Wh_hp&gt;='2024'!Maxi_hp</f>
        <v>0</v>
      </c>
      <c r="I248" s="392">
        <f>IF(H248,Wh_hp,'2024'!Maxi_hp)</f>
        <v>55.310874432474641</v>
      </c>
      <c r="J248" s="85">
        <f>IF(H248,An,'2024'!An_max)</f>
        <v>2019</v>
      </c>
      <c r="K248" s="199">
        <f t="shared" si="79"/>
        <v>45891</v>
      </c>
      <c r="L248" s="147">
        <f>IF(t&lt;Tvie,1-EXP((T0-t)*PertePVj)+'2024'!Pspv,1-EXP((T0-t)*PertePVj)+Pspv)</f>
        <v>5.8230309580093564E-2</v>
      </c>
      <c r="M248" s="870"/>
      <c r="N248" s="870"/>
      <c r="O248" s="48">
        <f>IF(t&lt;Tnet,'2024'!Resal+('2024'!Salim-'2024'!Resal)*(1-EXP(('2024'!Tnet-t)/('2024'!Tau_j))),Resal+(Salim-Resal)*(1-EXP((Tnet-t)/(Tau_j))))*Salcycl</f>
        <v>5.9351309994082953E-2</v>
      </c>
      <c r="P248" s="171">
        <f>(INDEX(Models!$BJ248:$BT248,,T248)*(1-R248)+INDEX(Models!$BJ248:$BT248,,T248+1)*R248-ERP_i)*Q248*Ramure*Pc/MaxiM</f>
        <v>5.7249337914291605E-4</v>
      </c>
      <c r="Q248" s="307">
        <f t="shared" si="80"/>
        <v>1</v>
      </c>
      <c r="R248" s="179">
        <f t="shared" si="81"/>
        <v>0.83176914665734936</v>
      </c>
      <c r="S248" s="837">
        <f t="shared" si="82"/>
        <v>-3</v>
      </c>
      <c r="T248" s="178">
        <f t="shared" si="83"/>
        <v>3</v>
      </c>
      <c r="U248" s="253">
        <f t="shared" si="84"/>
        <v>-2.1682308533426506</v>
      </c>
      <c r="V248" s="385">
        <f t="shared" si="85"/>
        <v>49.053965546820315</v>
      </c>
      <c r="W248" s="404">
        <f t="shared" si="86"/>
        <v>24.279647372217354</v>
      </c>
      <c r="X248" s="157">
        <f t="shared" si="87"/>
        <v>45891</v>
      </c>
      <c r="Y248" s="387">
        <f t="shared" si="88"/>
        <v>22.491867554417691</v>
      </c>
      <c r="Z248" s="387">
        <f t="shared" si="89"/>
        <v>23.88255619522991</v>
      </c>
      <c r="AA248" s="388">
        <f t="shared" si="90"/>
        <v>27.299045107720382</v>
      </c>
      <c r="AB248" s="199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0.1251504914918897</v>
      </c>
      <c r="AD248" s="233">
        <f>(INDEX(Models!$BJ248:$BT248,,AH248)*(1-AF248)+INDEX(Models!$BJ248:$BT248,,AH248+1)*AF248-ERP_i)*AE248*Ramure*Pc/MaxiM</f>
        <v>1.4784846529443839E-2</v>
      </c>
      <c r="AE248" s="307">
        <f t="shared" si="92"/>
        <v>1</v>
      </c>
      <c r="AF248" s="179">
        <f t="shared" si="93"/>
        <v>0.7667517395809198</v>
      </c>
      <c r="AG248" s="837">
        <f t="shared" si="99"/>
        <v>2</v>
      </c>
      <c r="AH248" s="178">
        <f t="shared" si="94"/>
        <v>8</v>
      </c>
      <c r="AI248" s="227">
        <f t="shared" si="95"/>
        <v>2.7667517395809198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45892</v>
      </c>
      <c r="B249" s="1139">
        <f>IF(t&gt;Tmaj,'2024'!Wh/'2024'!Env_an*'2025'!Env_an,0.001*'[10]mon-tableau (1)'!$B$230)</f>
        <v>43.040378126896343</v>
      </c>
      <c r="C249" s="866"/>
      <c r="D249" s="395">
        <f t="shared" si="77"/>
        <v>45.702659790943144</v>
      </c>
      <c r="E249" s="387">
        <f t="shared" si="100"/>
        <v>48.598846221345468</v>
      </c>
      <c r="F249" s="387">
        <f t="shared" si="78"/>
        <v>48.623257227763709</v>
      </c>
      <c r="G249" s="110">
        <f t="shared" si="101"/>
        <v>0.88196754500877828</v>
      </c>
      <c r="H249" s="414" t="b">
        <f>Wh_hp&gt;='2024'!Maxi_hp</f>
        <v>0</v>
      </c>
      <c r="I249" s="392">
        <f>IF(H249,Wh_hp,'2024'!Maxi_hp)</f>
        <v>52.494512682759208</v>
      </c>
      <c r="J249" s="85">
        <f>IF(H249,An,'2024'!An_max)</f>
        <v>2019</v>
      </c>
      <c r="K249" s="199">
        <f t="shared" si="79"/>
        <v>45892</v>
      </c>
      <c r="L249" s="147">
        <f>IF(t&lt;Tvie,1-EXP((T0-t)*PertePVj)+'2024'!Pspv,1-EXP((T0-t)*PertePVj)+Pspv)</f>
        <v>5.82522259366266E-2</v>
      </c>
      <c r="M249" s="870"/>
      <c r="N249" s="870"/>
      <c r="O249" s="48">
        <f>IF(t&lt;Tnet,'2024'!Resal+('2024'!Salim-'2024'!Resal)*(1-EXP(('2024'!Tnet-t)/('2024'!Tau_j))),Resal+(Salim-Resal)*(1-EXP((Tnet-t)/(Tau_j))))*Salcycl</f>
        <v>5.9593728155839736E-2</v>
      </c>
      <c r="P249" s="171">
        <f>(INDEX(Models!$BJ249:$BT249,,T249)*(1-R249)+INDEX(Models!$BJ249:$BT249,,T249+1)*R249-ERP_i)*Q249*Ramure*Pc/MaxiM</f>
        <v>6.0377332272021193E-4</v>
      </c>
      <c r="Q249" s="307">
        <f t="shared" si="80"/>
        <v>1</v>
      </c>
      <c r="R249" s="179">
        <f t="shared" si="81"/>
        <v>0.83304704185549028</v>
      </c>
      <c r="S249" s="837">
        <f t="shared" si="82"/>
        <v>-3</v>
      </c>
      <c r="T249" s="178">
        <f t="shared" si="83"/>
        <v>3</v>
      </c>
      <c r="U249" s="253">
        <f t="shared" si="84"/>
        <v>-2.1669529581445097</v>
      </c>
      <c r="V249" s="385">
        <f t="shared" si="85"/>
        <v>48.795443432627806</v>
      </c>
      <c r="W249" s="404">
        <f t="shared" si="86"/>
        <v>43.040378126896343</v>
      </c>
      <c r="X249" s="157">
        <f t="shared" si="87"/>
        <v>45892</v>
      </c>
      <c r="Y249" s="387">
        <f t="shared" si="88"/>
        <v>39.548784128533626</v>
      </c>
      <c r="Z249" s="387">
        <f t="shared" si="89"/>
        <v>41.995091698376825</v>
      </c>
      <c r="AA249" s="388">
        <f t="shared" si="90"/>
        <v>48.008585437807795</v>
      </c>
      <c r="AB249" s="199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0.12525871538583636</v>
      </c>
      <c r="AD249" s="233">
        <f>(INDEX(Models!$BJ249:$BT249,,AH249)*(1-AF249)+INDEX(Models!$BJ249:$BT249,,AH249+1)*AF249-ERP_i)*AE249*Ramure*Pc/MaxiM</f>
        <v>1.520307776932547E-2</v>
      </c>
      <c r="AE249" s="307">
        <f t="shared" si="92"/>
        <v>1</v>
      </c>
      <c r="AF249" s="179">
        <f t="shared" si="93"/>
        <v>0.76802963477906072</v>
      </c>
      <c r="AG249" s="837">
        <f t="shared" si="99"/>
        <v>2</v>
      </c>
      <c r="AH249" s="178">
        <f t="shared" si="94"/>
        <v>8</v>
      </c>
      <c r="AI249" s="227">
        <f t="shared" si="95"/>
        <v>2.7680296347790607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45893</v>
      </c>
      <c r="B250" s="1139">
        <f>IF(t&gt;Tmaj,'2024'!Wh/'2024'!Env_an*'2025'!Env_an,0.001*'[10]mon-tableau (1)'!$B$231)</f>
        <v>43.460238370924358</v>
      </c>
      <c r="C250" s="866"/>
      <c r="D250" s="395">
        <f t="shared" si="77"/>
        <v>46.149564644232257</v>
      </c>
      <c r="E250" s="387">
        <f t="shared" si="100"/>
        <v>49.086676291930317</v>
      </c>
      <c r="F250" s="387">
        <f t="shared" si="78"/>
        <v>49.113221937273345</v>
      </c>
      <c r="G250" s="110">
        <f t="shared" si="101"/>
        <v>0.89540589054210629</v>
      </c>
      <c r="H250" s="414" t="b">
        <f>Wh_hp&gt;='2024'!Maxi_hp</f>
        <v>0</v>
      </c>
      <c r="I250" s="392">
        <f>IF(H250,Wh_hp,'2024'!Maxi_hp)</f>
        <v>52.36810981673333</v>
      </c>
      <c r="J250" s="85">
        <f>IF(H250,An,'2024'!An_max)</f>
        <v>2019</v>
      </c>
      <c r="K250" s="199">
        <f t="shared" si="79"/>
        <v>45893</v>
      </c>
      <c r="L250" s="147">
        <f>IF(t&lt;Tvie,1-EXP((T0-t)*PertePVj)+'2024'!Pspv,1-EXP((T0-t)*PertePVj)+Pspv)</f>
        <v>5.8274141783133948E-2</v>
      </c>
      <c r="M250" s="870"/>
      <c r="N250" s="870"/>
      <c r="O250" s="48">
        <f>IF(t&lt;Tnet,'2024'!Resal+('2024'!Salim-'2024'!Resal)*(1-EXP(('2024'!Tnet-t)/('2024'!Tau_j))),Resal+(Salim-Resal)*(1-EXP((Tnet-t)/(Tau_j))))*Salcycl</f>
        <v>5.9835211295023366E-2</v>
      </c>
      <c r="P250" s="171">
        <f>(INDEX(Models!$BJ250:$BT250,,T250)*(1-R250)+INDEX(Models!$BJ250:$BT250,,T250+1)*R250-ERP_i)*Q250*Ramure*Pc/MaxiM</f>
        <v>6.3535695270506079E-4</v>
      </c>
      <c r="Q250" s="307">
        <f t="shared" si="80"/>
        <v>1</v>
      </c>
      <c r="R250" s="179">
        <f t="shared" si="81"/>
        <v>0.8342780920250199</v>
      </c>
      <c r="S250" s="837">
        <f t="shared" si="82"/>
        <v>-3</v>
      </c>
      <c r="T250" s="178">
        <f t="shared" si="83"/>
        <v>3</v>
      </c>
      <c r="U250" s="253">
        <f t="shared" si="84"/>
        <v>-2.1657219079749801</v>
      </c>
      <c r="V250" s="385">
        <f t="shared" si="85"/>
        <v>48.532307023542877</v>
      </c>
      <c r="W250" s="404">
        <f t="shared" si="86"/>
        <v>43.460238370924358</v>
      </c>
      <c r="X250" s="157">
        <f t="shared" si="87"/>
        <v>45893</v>
      </c>
      <c r="Y250" s="387">
        <f t="shared" si="88"/>
        <v>39.915698952041346</v>
      </c>
      <c r="Z250" s="387">
        <f t="shared" si="89"/>
        <v>42.385688577799812</v>
      </c>
      <c r="AA250" s="388">
        <f t="shared" si="90"/>
        <v>48.461049045672439</v>
      </c>
      <c r="AB250" s="199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0.12536584715999169</v>
      </c>
      <c r="AD250" s="233">
        <f>(INDEX(Models!$BJ250:$BT250,,AH250)*(1-AF250)+INDEX(Models!$BJ250:$BT250,,AH250+1)*AF250-ERP_i)*AE250*Ramure*Pc/MaxiM</f>
        <v>1.5609437091842107E-2</v>
      </c>
      <c r="AE250" s="307">
        <f t="shared" si="92"/>
        <v>1</v>
      </c>
      <c r="AF250" s="179">
        <f t="shared" si="93"/>
        <v>0.76926068494859035</v>
      </c>
      <c r="AG250" s="837">
        <f t="shared" si="99"/>
        <v>2</v>
      </c>
      <c r="AH250" s="178">
        <f t="shared" si="94"/>
        <v>8</v>
      </c>
      <c r="AI250" s="227">
        <f t="shared" si="95"/>
        <v>2.7692606849485903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45894</v>
      </c>
      <c r="B251" s="1139">
        <f>IF(t&gt;Tmaj,'2024'!Wh/'2024'!Env_an*'2025'!Env_an,0.001*'[10]mon-tableau (1)'!$B$232)</f>
        <v>33.114268015379885</v>
      </c>
      <c r="C251" s="866"/>
      <c r="D251" s="395">
        <f t="shared" si="77"/>
        <v>35.164202365017061</v>
      </c>
      <c r="E251" s="387">
        <f t="shared" si="100"/>
        <v>37.411740347804184</v>
      </c>
      <c r="F251" s="387">
        <f t="shared" si="78"/>
        <v>37.425514494484318</v>
      </c>
      <c r="G251" s="110">
        <f t="shared" si="101"/>
        <v>0.68589650013485204</v>
      </c>
      <c r="H251" s="414" t="b">
        <f>Wh_hp&gt;='2024'!Maxi_hp</f>
        <v>0</v>
      </c>
      <c r="I251" s="392">
        <f>IF(H251,Wh_hp,'2024'!Maxi_hp)</f>
        <v>49.230030482850516</v>
      </c>
      <c r="J251" s="85">
        <f>IF(H251,An,'2024'!An_max)</f>
        <v>2021</v>
      </c>
      <c r="K251" s="199">
        <f t="shared" si="79"/>
        <v>45894</v>
      </c>
      <c r="L251" s="147">
        <f>IF(t&lt;Tvie,1-EXP((T0-t)*PertePVj)+'2024'!Pspv,1-EXP((T0-t)*PertePVj)+Pspv)</f>
        <v>5.8296057119627598E-2</v>
      </c>
      <c r="M251" s="870"/>
      <c r="N251" s="870"/>
      <c r="O251" s="48">
        <f>IF(t&lt;Tnet,'2024'!Resal+('2024'!Salim-'2024'!Resal)*(1-EXP(('2024'!Tnet-t)/('2024'!Tau_j))),Resal+(Salim-Resal)*(1-EXP((Tnet-t)/(Tau_j))))*Salcycl</f>
        <v>6.0075739911924005E-2</v>
      </c>
      <c r="P251" s="171">
        <f>(INDEX(Models!$BJ251:$BT251,,T251)*(1-R251)+INDEX(Models!$BJ251:$BT251,,T251+1)*R251-ERP_i)*Q251*Ramure*Pc/MaxiM</f>
        <v>6.6725688155108568E-4</v>
      </c>
      <c r="Q251" s="307">
        <f t="shared" si="80"/>
        <v>1</v>
      </c>
      <c r="R251" s="179">
        <f t="shared" si="81"/>
        <v>0.83546384326017042</v>
      </c>
      <c r="S251" s="837">
        <f t="shared" si="82"/>
        <v>-3</v>
      </c>
      <c r="T251" s="178">
        <f t="shared" si="83"/>
        <v>3</v>
      </c>
      <c r="U251" s="253">
        <f t="shared" si="84"/>
        <v>-2.1645361567398296</v>
      </c>
      <c r="V251" s="385">
        <f t="shared" si="85"/>
        <v>48.264360681575042</v>
      </c>
      <c r="W251" s="404">
        <f t="shared" si="86"/>
        <v>33.114268015379885</v>
      </c>
      <c r="X251" s="157">
        <f t="shared" si="87"/>
        <v>45894</v>
      </c>
      <c r="Y251" s="387">
        <f t="shared" si="88"/>
        <v>30.54958185171726</v>
      </c>
      <c r="Z251" s="387">
        <f t="shared" si="89"/>
        <v>32.440749646089216</v>
      </c>
      <c r="AA251" s="388">
        <f t="shared" si="90"/>
        <v>37.095146365919575</v>
      </c>
      <c r="AB251" s="199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0.12547185213714362</v>
      </c>
      <c r="AD251" s="233">
        <f>(INDEX(Models!$BJ251:$BT251,,AH251)*(1-AF251)+INDEX(Models!$BJ251:$BT251,,AH251+1)*AF251-ERP_i)*AE251*Ramure*Pc/MaxiM</f>
        <v>1.6003924769284777E-2</v>
      </c>
      <c r="AE251" s="307">
        <f t="shared" si="92"/>
        <v>1</v>
      </c>
      <c r="AF251" s="179">
        <f t="shared" si="93"/>
        <v>0.77044643618374087</v>
      </c>
      <c r="AG251" s="837">
        <f t="shared" si="99"/>
        <v>2</v>
      </c>
      <c r="AH251" s="178">
        <f t="shared" si="94"/>
        <v>8</v>
      </c>
      <c r="AI251" s="227">
        <f t="shared" si="95"/>
        <v>2.7704464361837409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45895</v>
      </c>
      <c r="B252" s="1139">
        <f>IF(t&gt;Tmaj,'2024'!Wh/'2024'!Env_an*'2025'!Env_an,0.001*'[10]mon-tableau (1)'!$B$233)</f>
        <v>40.111002595529776</v>
      </c>
      <c r="C252" s="866"/>
      <c r="D252" s="395">
        <f t="shared" si="77"/>
        <v>42.595060116443811</v>
      </c>
      <c r="E252" s="387">
        <f t="shared" si="100"/>
        <v>45.329097974283656</v>
      </c>
      <c r="F252" s="387">
        <f t="shared" si="78"/>
        <v>45.353380289261736</v>
      </c>
      <c r="G252" s="110">
        <f t="shared" si="101"/>
        <v>0.83565826342644467</v>
      </c>
      <c r="H252" s="414" t="b">
        <f>Wh_hp&gt;='2024'!Maxi_hp</f>
        <v>0</v>
      </c>
      <c r="I252" s="392">
        <f>IF(H252,Wh_hp,'2024'!Maxi_hp)</f>
        <v>51.409197401417927</v>
      </c>
      <c r="J252" s="85">
        <f>IF(H252,An,'2024'!An_max)</f>
        <v>2021</v>
      </c>
      <c r="K252" s="199">
        <f t="shared" si="79"/>
        <v>45895</v>
      </c>
      <c r="L252" s="147">
        <f>IF(t&lt;Tvie,1-EXP((T0-t)*PertePVj)+'2024'!Pspv,1-EXP((T0-t)*PertePVj)+Pspv)</f>
        <v>5.8317971946119318E-2</v>
      </c>
      <c r="M252" s="870"/>
      <c r="N252" s="870"/>
      <c r="O252" s="48">
        <f>IF(t&lt;Tnet,'2024'!Resal+('2024'!Salim-'2024'!Resal)*(1-EXP(('2024'!Tnet-t)/('2024'!Tau_j))),Resal+(Salim-Resal)*(1-EXP((Tnet-t)/(Tau_j))))*Salcycl</f>
        <v>6.0315293708049014E-2</v>
      </c>
      <c r="P252" s="171">
        <f>(INDEX(Models!$BJ252:$BT252,,T252)*(1-R252)+INDEX(Models!$BJ252:$BT252,,T252+1)*R252-ERP_i)*Q252*Ramure*Pc/MaxiM</f>
        <v>6.9948663852893093E-4</v>
      </c>
      <c r="Q252" s="307">
        <f t="shared" si="80"/>
        <v>1</v>
      </c>
      <c r="R252" s="179">
        <f t="shared" si="81"/>
        <v>0.83660580366213555</v>
      </c>
      <c r="S252" s="837">
        <f t="shared" si="82"/>
        <v>-3</v>
      </c>
      <c r="T252" s="178">
        <f t="shared" si="83"/>
        <v>3</v>
      </c>
      <c r="U252" s="253">
        <f t="shared" si="84"/>
        <v>-2.1633941963378645</v>
      </c>
      <c r="V252" s="385">
        <f t="shared" si="85"/>
        <v>47.991408985394905</v>
      </c>
      <c r="W252" s="404">
        <f t="shared" si="86"/>
        <v>40.111002595529776</v>
      </c>
      <c r="X252" s="157">
        <f t="shared" si="87"/>
        <v>45895</v>
      </c>
      <c r="Y252" s="387">
        <f t="shared" si="88"/>
        <v>36.876868142528991</v>
      </c>
      <c r="Z252" s="387">
        <f t="shared" si="89"/>
        <v>39.160637076976251</v>
      </c>
      <c r="AA252" s="388">
        <f t="shared" si="90"/>
        <v>44.784530357901552</v>
      </c>
      <c r="AB252" s="199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0.12557669436256685</v>
      </c>
      <c r="AD252" s="233">
        <f>(INDEX(Models!$BJ252:$BT252,,AH252)*(1-AF252)+INDEX(Models!$BJ252:$BT252,,AH252+1)*AF252-ERP_i)*AE252*Ramure*Pc/MaxiM</f>
        <v>1.6386531789647593E-2</v>
      </c>
      <c r="AE252" s="307">
        <f t="shared" si="92"/>
        <v>1</v>
      </c>
      <c r="AF252" s="179">
        <f t="shared" si="93"/>
        <v>0.77158839658570599</v>
      </c>
      <c r="AG252" s="837">
        <f t="shared" si="99"/>
        <v>2</v>
      </c>
      <c r="AH252" s="178">
        <f t="shared" si="94"/>
        <v>8</v>
      </c>
      <c r="AI252" s="227">
        <f t="shared" si="95"/>
        <v>2.771588396585706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45896</v>
      </c>
      <c r="B253" s="1139">
        <f>IF(t&gt;Tmaj,'2024'!Wh/'2024'!Env_an*'2025'!Env_an,0.001*'[10]mon-tableau (1)'!$B$234)</f>
        <v>46.669575770972088</v>
      </c>
      <c r="C253" s="866"/>
      <c r="D253" s="395">
        <f t="shared" si="77"/>
        <v>49.560956326103707</v>
      </c>
      <c r="E253" s="387">
        <f t="shared" si="100"/>
        <v>52.755505367872104</v>
      </c>
      <c r="F253" s="387">
        <f t="shared" si="78"/>
        <v>52.792945343373624</v>
      </c>
      <c r="G253" s="110">
        <f t="shared" si="101"/>
        <v>0.97810358432834743</v>
      </c>
      <c r="H253" s="414" t="b">
        <f>Wh_hp&gt;='2024'!Maxi_hp</f>
        <v>1</v>
      </c>
      <c r="I253" s="392">
        <f>IF(H253,Wh_hp,'2024'!Maxi_hp)</f>
        <v>52.792945343373624</v>
      </c>
      <c r="J253" s="85">
        <f>IF(H253,An,'2024'!An_max)</f>
        <v>2025</v>
      </c>
      <c r="K253" s="199">
        <f t="shared" si="79"/>
        <v>45896</v>
      </c>
      <c r="L253" s="147">
        <f>IF(t&lt;Tvie,1-EXP((T0-t)*PertePVj)+'2024'!Pspv,1-EXP((T0-t)*PertePVj)+Pspv)</f>
        <v>5.8339886262621099E-2</v>
      </c>
      <c r="M253" s="870"/>
      <c r="N253" s="870"/>
      <c r="O253" s="48">
        <f>IF(t&lt;Tnet,'2024'!Resal+('2024'!Salim-'2024'!Resal)*(1-EXP(('2024'!Tnet-t)/('2024'!Tau_j))),Resal+(Salim-Resal)*(1-EXP((Tnet-t)/(Tau_j))))*Salcycl</f>
        <v>6.0553851574206757E-2</v>
      </c>
      <c r="P253" s="171">
        <f>(INDEX(Models!$BJ253:$BT253,,T253)*(1-R253)+INDEX(Models!$BJ253:$BT253,,T253+1)*R253-ERP_i)*Q253*Ramure*Pc/MaxiM</f>
        <v>7.3206108861364973E-4</v>
      </c>
      <c r="Q253" s="307">
        <f t="shared" si="80"/>
        <v>1</v>
      </c>
      <c r="R253" s="179">
        <f t="shared" si="81"/>
        <v>0.83770544323148188</v>
      </c>
      <c r="S253" s="837">
        <f t="shared" si="82"/>
        <v>-3</v>
      </c>
      <c r="T253" s="178">
        <f t="shared" si="83"/>
        <v>3</v>
      </c>
      <c r="U253" s="253">
        <f t="shared" si="84"/>
        <v>-2.1622945567685181</v>
      </c>
      <c r="V253" s="385">
        <f t="shared" si="85"/>
        <v>47.713256707194603</v>
      </c>
      <c r="W253" s="404">
        <f t="shared" si="86"/>
        <v>46.669575770972088</v>
      </c>
      <c r="X253" s="157">
        <f t="shared" si="87"/>
        <v>45896</v>
      </c>
      <c r="Y253" s="387">
        <f t="shared" si="88"/>
        <v>42.759468173493026</v>
      </c>
      <c r="Z253" s="387">
        <f t="shared" si="89"/>
        <v>45.408600778240334</v>
      </c>
      <c r="AA253" s="388">
        <f t="shared" si="90"/>
        <v>51.935925358720205</v>
      </c>
      <c r="AB253" s="199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0.12568033659544506</v>
      </c>
      <c r="AD253" s="233">
        <f>(INDEX(Models!$BJ253:$BT253,,AH253)*(1-AF253)+INDEX(Models!$BJ253:$BT253,,AH253+1)*AF253-ERP_i)*AE253*Ramure*Pc/MaxiM</f>
        <v>1.675724875684002E-2</v>
      </c>
      <c r="AE253" s="307">
        <f t="shared" si="92"/>
        <v>1</v>
      </c>
      <c r="AF253" s="179">
        <f t="shared" si="93"/>
        <v>0.77268803615505233</v>
      </c>
      <c r="AG253" s="837">
        <f t="shared" si="99"/>
        <v>2</v>
      </c>
      <c r="AH253" s="178">
        <f t="shared" si="94"/>
        <v>8</v>
      </c>
      <c r="AI253" s="227">
        <f t="shared" si="95"/>
        <v>2.7726880361550523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45897</v>
      </c>
      <c r="B254" s="1139">
        <f>IF(t&gt;Tmaj,'2024'!Wh/'2024'!Env_an*'2025'!Env_an,0.001*'[10]mon-tableau (1)'!$B$235)</f>
        <v>45.011047032979008</v>
      </c>
      <c r="C254" s="866"/>
      <c r="D254" s="395">
        <f t="shared" si="77"/>
        <v>47.800787007455916</v>
      </c>
      <c r="E254" s="387">
        <f t="shared" si="100"/>
        <v>50.894749662957054</v>
      </c>
      <c r="F254" s="387">
        <f t="shared" si="78"/>
        <v>50.930856007428289</v>
      </c>
      <c r="G254" s="110">
        <f t="shared" si="101"/>
        <v>0.94895209557246596</v>
      </c>
      <c r="H254" s="414" t="b">
        <f>Wh_hp&gt;='2024'!Maxi_hp</f>
        <v>0</v>
      </c>
      <c r="I254" s="392">
        <f>IF(H254,Wh_hp,'2024'!Maxi_hp)</f>
        <v>52.903282092675809</v>
      </c>
      <c r="J254" s="85">
        <f>IF(H254,An,'2024'!An_max)</f>
        <v>2021</v>
      </c>
      <c r="K254" s="199">
        <f t="shared" si="79"/>
        <v>45897</v>
      </c>
      <c r="L254" s="147">
        <f>IF(t&lt;Tvie,1-EXP((T0-t)*PertePVj)+'2024'!Pspv,1-EXP((T0-t)*PertePVj)+Pspv)</f>
        <v>5.8361800069144598E-2</v>
      </c>
      <c r="M254" s="870"/>
      <c r="N254" s="870"/>
      <c r="O254" s="48">
        <f>IF(t&lt;Tnet,'2024'!Resal+('2024'!Salim-'2024'!Resal)*(1-EXP(('2024'!Tnet-t)/('2024'!Tau_j))),Resal+(Salim-Resal)*(1-EXP((Tnet-t)/(Tau_j))))*Salcycl</f>
        <v>6.0791391567704842E-2</v>
      </c>
      <c r="P254" s="171">
        <f>(INDEX(Models!$BJ254:$BT254,,T254)*(1-R254)+INDEX(Models!$BJ254:$BT254,,T254+1)*R254-ERP_i)*Q254*Ramure*Pc/MaxiM</f>
        <v>7.6463213446966588E-4</v>
      </c>
      <c r="Q254" s="307">
        <f t="shared" si="80"/>
        <v>1</v>
      </c>
      <c r="R254" s="179">
        <f t="shared" si="81"/>
        <v>0.83876419386506562</v>
      </c>
      <c r="S254" s="837">
        <f t="shared" si="82"/>
        <v>-3</v>
      </c>
      <c r="T254" s="178">
        <f t="shared" si="83"/>
        <v>3</v>
      </c>
      <c r="U254" s="253">
        <f t="shared" si="84"/>
        <v>-2.1612358061349344</v>
      </c>
      <c r="V254" s="385">
        <f t="shared" si="85"/>
        <v>47.429726108816084</v>
      </c>
      <c r="W254" s="404">
        <f t="shared" si="86"/>
        <v>45.011047032979008</v>
      </c>
      <c r="X254" s="157">
        <f t="shared" si="87"/>
        <v>45897</v>
      </c>
      <c r="Y254" s="387">
        <f t="shared" si="88"/>
        <v>41.260736904653278</v>
      </c>
      <c r="Z254" s="387">
        <f t="shared" si="89"/>
        <v>43.818036383488966</v>
      </c>
      <c r="AA254" s="388">
        <f t="shared" si="90"/>
        <v>50.122593550040399</v>
      </c>
      <c r="AB254" s="199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0.1257827402777395</v>
      </c>
      <c r="AD254" s="233">
        <f>(INDEX(Models!$BJ254:$BT254,,AH254)*(1-AF254)+INDEX(Models!$BJ254:$BT254,,AH254+1)*AF254-ERP_i)*AE254*Ramure*Pc/MaxiM</f>
        <v>1.7116754882135918E-2</v>
      </c>
      <c r="AE254" s="307">
        <f t="shared" si="92"/>
        <v>1</v>
      </c>
      <c r="AF254" s="179">
        <f t="shared" si="93"/>
        <v>0.77374678678863607</v>
      </c>
      <c r="AG254" s="837">
        <f t="shared" si="99"/>
        <v>2</v>
      </c>
      <c r="AH254" s="178">
        <f t="shared" si="94"/>
        <v>8</v>
      </c>
      <c r="AI254" s="227">
        <f t="shared" si="95"/>
        <v>2.7737467867886361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45898</v>
      </c>
      <c r="B255" s="1139">
        <f>IF(t&gt;Tmaj,'2024'!Wh/'2024'!Env_an*'2025'!Env_an,0.001*'[10]mon-tableau (1)'!$B$236)</f>
        <v>31.629377534689922</v>
      </c>
      <c r="C255" s="866"/>
      <c r="D255" s="395">
        <f t="shared" si="77"/>
        <v>33.590516629385831</v>
      </c>
      <c r="E255" s="387">
        <f t="shared" si="100"/>
        <v>35.77371074508293</v>
      </c>
      <c r="F255" s="387">
        <f t="shared" si="78"/>
        <v>35.788833720070961</v>
      </c>
      <c r="G255" s="110">
        <f t="shared" si="101"/>
        <v>0.67070651640367096</v>
      </c>
      <c r="H255" s="414" t="b">
        <f>Wh_hp&gt;='2024'!Maxi_hp</f>
        <v>0</v>
      </c>
      <c r="I255" s="392">
        <f>IF(H255,Wh_hp,'2024'!Maxi_hp)</f>
        <v>52.164540919966655</v>
      </c>
      <c r="J255" s="85">
        <f>IF(H255,An,'2024'!An_max)</f>
        <v>2021</v>
      </c>
      <c r="K255" s="199">
        <f t="shared" si="79"/>
        <v>45898</v>
      </c>
      <c r="L255" s="147">
        <f>IF(t&lt;Tvie,1-EXP((T0-t)*PertePVj)+'2024'!Pspv,1-EXP((T0-t)*PertePVj)+Pspv)</f>
        <v>5.8383713365701917E-2</v>
      </c>
      <c r="M255" s="870"/>
      <c r="N255" s="870"/>
      <c r="O255" s="48">
        <f>IF(t&lt;Tnet,'2024'!Resal+('2024'!Salim-'2024'!Resal)*(1-EXP(('2024'!Tnet-t)/('2024'!Tau_j))),Resal+(Salim-Resal)*(1-EXP((Tnet-t)/(Tau_j))))*Salcycl</f>
        <v>6.1027890879258959E-2</v>
      </c>
      <c r="P255" s="171">
        <f>(INDEX(Models!$BJ255:$BT255,,T255)*(1-R255)+INDEX(Models!$BJ255:$BT255,,T255+1)*R255-ERP_i)*Q255*Ramure*Pc/MaxiM</f>
        <v>7.9737545119475345E-4</v>
      </c>
      <c r="Q255" s="307">
        <f t="shared" si="80"/>
        <v>1</v>
      </c>
      <c r="R255" s="179">
        <f t="shared" si="81"/>
        <v>0.83978344944827787</v>
      </c>
      <c r="S255" s="837">
        <f t="shared" si="82"/>
        <v>-3</v>
      </c>
      <c r="T255" s="178">
        <f t="shared" si="83"/>
        <v>3</v>
      </c>
      <c r="U255" s="253">
        <f t="shared" si="84"/>
        <v>-2.1602165505517221</v>
      </c>
      <c r="V255" s="385">
        <f t="shared" si="85"/>
        <v>47.140614576557979</v>
      </c>
      <c r="W255" s="404">
        <f t="shared" si="86"/>
        <v>31.629377534689922</v>
      </c>
      <c r="X255" s="157">
        <f t="shared" si="87"/>
        <v>45898</v>
      </c>
      <c r="Y255" s="387">
        <f t="shared" si="88"/>
        <v>29.184353340524236</v>
      </c>
      <c r="Z255" s="387">
        <f t="shared" si="89"/>
        <v>30.993891837661852</v>
      </c>
      <c r="AA255" s="388">
        <f t="shared" si="90"/>
        <v>35.457407332676752</v>
      </c>
      <c r="AB255" s="199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0.12588386548221836</v>
      </c>
      <c r="AD255" s="233">
        <f>(INDEX(Models!$BJ255:$BT255,,AH255)*(1-AF255)+INDEX(Models!$BJ255:$BT255,,AH255+1)*AF255-ERP_i)*AE255*Ramure*Pc/MaxiM</f>
        <v>1.7474819960716124E-2</v>
      </c>
      <c r="AE255" s="307">
        <f t="shared" si="92"/>
        <v>1</v>
      </c>
      <c r="AF255" s="179">
        <f t="shared" si="93"/>
        <v>0.77476604237184832</v>
      </c>
      <c r="AG255" s="837">
        <f t="shared" si="99"/>
        <v>2</v>
      </c>
      <c r="AH255" s="178">
        <f t="shared" si="94"/>
        <v>8</v>
      </c>
      <c r="AI255" s="227">
        <f t="shared" si="95"/>
        <v>2.7747660423718483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45899</v>
      </c>
      <c r="B256" s="1139">
        <f>IF(t&gt;Tmaj,'2024'!Wh/'2024'!Env_an*'2025'!Env_an,0.001*'[10]mon-tableau (1)'!$B$237)</f>
        <v>44.041408395406741</v>
      </c>
      <c r="C256" s="866"/>
      <c r="D256" s="395">
        <f t="shared" si="77"/>
        <v>46.773228067875564</v>
      </c>
      <c r="E256" s="387">
        <f t="shared" si="100"/>
        <v>49.825717214317585</v>
      </c>
      <c r="F256" s="387">
        <f t="shared" si="78"/>
        <v>49.863578585566088</v>
      </c>
      <c r="G256" s="110">
        <f t="shared" si="101"/>
        <v>0.94007033632742898</v>
      </c>
      <c r="H256" s="414" t="b">
        <f>Wh_hp&gt;='2024'!Maxi_hp</f>
        <v>0</v>
      </c>
      <c r="I256" s="392">
        <f>IF(H256,Wh_hp,'2024'!Maxi_hp)</f>
        <v>50.422665541987861</v>
      </c>
      <c r="J256" s="85">
        <f>IF(H256,An,'2024'!An_max)</f>
        <v>2021</v>
      </c>
      <c r="K256" s="199">
        <f t="shared" si="79"/>
        <v>45899</v>
      </c>
      <c r="L256" s="147">
        <f>IF(t&lt;Tvie,1-EXP((T0-t)*PertePVj)+'2024'!Pspv,1-EXP((T0-t)*PertePVj)+Pspv)</f>
        <v>5.8405626152304713E-2</v>
      </c>
      <c r="M256" s="870"/>
      <c r="N256" s="870"/>
      <c r="O256" s="48">
        <f>IF(t&lt;Tnet,'2024'!Resal+('2024'!Salim-'2024'!Resal)*(1-EXP(('2024'!Tnet-t)/('2024'!Tau_j))),Resal+(Salim-Resal)*(1-EXP((Tnet-t)/(Tau_j))))*Salcycl</f>
        <v>6.1263325790418953E-2</v>
      </c>
      <c r="P256" s="171">
        <f>(INDEX(Models!$BJ256:$BT256,,T256)*(1-R256)+INDEX(Models!$BJ256:$BT256,,T256+1)*R256-ERP_i)*Q256*Ramure*Pc/MaxiM</f>
        <v>8.3030548798804118E-4</v>
      </c>
      <c r="Q256" s="307">
        <f t="shared" si="80"/>
        <v>1</v>
      </c>
      <c r="R256" s="179">
        <f t="shared" si="81"/>
        <v>0.84076456603392247</v>
      </c>
      <c r="S256" s="837">
        <f t="shared" si="82"/>
        <v>-3</v>
      </c>
      <c r="T256" s="178">
        <f t="shared" si="83"/>
        <v>3</v>
      </c>
      <c r="U256" s="253">
        <f t="shared" si="84"/>
        <v>-2.1592354339660775</v>
      </c>
      <c r="V256" s="385">
        <f t="shared" si="85"/>
        <v>46.845727491645754</v>
      </c>
      <c r="W256" s="404">
        <f t="shared" si="86"/>
        <v>44.041408395406741</v>
      </c>
      <c r="X256" s="157">
        <f t="shared" si="87"/>
        <v>45899</v>
      </c>
      <c r="Y256" s="387">
        <f t="shared" si="88"/>
        <v>40.367006996839393</v>
      </c>
      <c r="Z256" s="387">
        <f t="shared" si="89"/>
        <v>42.870909298114427</v>
      </c>
      <c r="AA256" s="388">
        <f t="shared" si="90"/>
        <v>49.050467214271002</v>
      </c>
      <c r="AB256" s="199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0.12598367084174611</v>
      </c>
      <c r="AD256" s="233">
        <f>(INDEX(Models!$BJ256:$BT256,,AH256)*(1-AF256)+INDEX(Models!$BJ256:$BT256,,AH256+1)*AF256-ERP_i)*AE256*Ramure*Pc/MaxiM</f>
        <v>1.7831652992719191E-2</v>
      </c>
      <c r="AE256" s="307">
        <f t="shared" si="92"/>
        <v>1</v>
      </c>
      <c r="AF256" s="179">
        <f t="shared" si="93"/>
        <v>0.77574715895749291</v>
      </c>
      <c r="AG256" s="837">
        <f t="shared" si="99"/>
        <v>2</v>
      </c>
      <c r="AH256" s="178">
        <f t="shared" si="94"/>
        <v>8</v>
      </c>
      <c r="AI256" s="227">
        <f t="shared" si="95"/>
        <v>2.7757471589574929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45900</v>
      </c>
      <c r="B257" s="1139">
        <f>IF(t&gt;Tmaj,'2024'!Wh/'2024'!Env_an*'2025'!Env_an,0.001*'[10]mon-tableau (1)'!$B$238)</f>
        <v>20.682189507891728</v>
      </c>
      <c r="C257" s="866"/>
      <c r="D257" s="395">
        <f t="shared" si="77"/>
        <v>21.965584542885871</v>
      </c>
      <c r="E257" s="387">
        <f t="shared" si="100"/>
        <v>23.404933454838435</v>
      </c>
      <c r="F257" s="387">
        <f t="shared" si="78"/>
        <v>23.409101507042259</v>
      </c>
      <c r="G257" s="110">
        <f t="shared" si="101"/>
        <v>0.44404488674495368</v>
      </c>
      <c r="H257" s="414" t="b">
        <f>Wh_hp&gt;='2024'!Maxi_hp</f>
        <v>0</v>
      </c>
      <c r="I257" s="392">
        <f>IF(H257,Wh_hp,'2024'!Maxi_hp)</f>
        <v>50.324433414295505</v>
      </c>
      <c r="J257" s="85">
        <f>IF(H257,An,'2024'!An_max)</f>
        <v>2021</v>
      </c>
      <c r="K257" s="199">
        <f t="shared" si="79"/>
        <v>45900</v>
      </c>
      <c r="L257" s="147">
        <f>IF(t&lt;Tvie,1-EXP((T0-t)*PertePVj)+'2024'!Pspv,1-EXP((T0-t)*PertePVj)+Pspv)</f>
        <v>5.8427538428964976E-2</v>
      </c>
      <c r="M257" s="870"/>
      <c r="N257" s="870"/>
      <c r="O257" s="48">
        <f>IF(t&lt;Tnet,'2024'!Resal+('2024'!Salim-'2024'!Resal)*(1-EXP(('2024'!Tnet-t)/('2024'!Tau_j))),Resal+(Salim-Resal)*(1-EXP((Tnet-t)/(Tau_j))))*Salcycl</f>
        <v>6.1497671622519019E-2</v>
      </c>
      <c r="P257" s="171">
        <f>(INDEX(Models!$BJ257:$BT257,,T257)*(1-R257)+INDEX(Models!$BJ257:$BT257,,T257+1)*R257-ERP_i)*Q257*Ramure*Pc/MaxiM</f>
        <v>8.6343805583279749E-4</v>
      </c>
      <c r="Q257" s="307">
        <f t="shared" si="80"/>
        <v>1</v>
      </c>
      <c r="R257" s="179">
        <f t="shared" si="81"/>
        <v>0.84170886209950257</v>
      </c>
      <c r="S257" s="837">
        <f t="shared" si="82"/>
        <v>-3</v>
      </c>
      <c r="T257" s="178">
        <f t="shared" si="83"/>
        <v>3</v>
      </c>
      <c r="U257" s="253">
        <f t="shared" si="84"/>
        <v>-2.1582911379004974</v>
      </c>
      <c r="V257" s="385">
        <f t="shared" si="85"/>
        <v>46.544870415785603</v>
      </c>
      <c r="W257" s="404">
        <f t="shared" si="86"/>
        <v>20.682189507891728</v>
      </c>
      <c r="X257" s="157">
        <f t="shared" si="87"/>
        <v>45900</v>
      </c>
      <c r="Y257" s="387">
        <f t="shared" si="88"/>
        <v>19.190099922430814</v>
      </c>
      <c r="Z257" s="387">
        <f t="shared" si="89"/>
        <v>20.380906096607475</v>
      </c>
      <c r="AA257" s="388">
        <f t="shared" si="90"/>
        <v>23.321305594685185</v>
      </c>
      <c r="AB257" s="199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0.12608211346228462</v>
      </c>
      <c r="AD257" s="233">
        <f>(INDEX(Models!$BJ257:$BT257,,AH257)*(1-AF257)+INDEX(Models!$BJ257:$BT257,,AH257+1)*AF257-ERP_i)*AE257*Ramure*Pc/MaxiM</f>
        <v>1.8187471789853075E-2</v>
      </c>
      <c r="AE257" s="307">
        <f t="shared" si="92"/>
        <v>1</v>
      </c>
      <c r="AF257" s="179">
        <f t="shared" si="93"/>
        <v>0.77669145502307302</v>
      </c>
      <c r="AG257" s="837">
        <f t="shared" si="99"/>
        <v>2</v>
      </c>
      <c r="AH257" s="178">
        <f t="shared" si="94"/>
        <v>8</v>
      </c>
      <c r="AI257" s="227">
        <f t="shared" si="95"/>
        <v>2.776691455023073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45901</v>
      </c>
      <c r="B258" s="1139">
        <f>IF(t&gt;Tmaj,'2024'!Wh/'2024'!Env_an*'2025'!Env_an,0.001*'[11]mon-tableau (3)'!$B$202)</f>
        <v>41.674197915426511</v>
      </c>
      <c r="C258" s="866"/>
      <c r="D258" s="395">
        <f t="shared" si="77"/>
        <v>44.261243248265529</v>
      </c>
      <c r="E258" s="387">
        <f t="shared" si="100"/>
        <v>47.173293221115564</v>
      </c>
      <c r="F258" s="387">
        <f t="shared" si="78"/>
        <v>47.209660882087292</v>
      </c>
      <c r="G258" s="110">
        <f t="shared" si="101"/>
        <v>0.90118647608932356</v>
      </c>
      <c r="H258" s="414" t="b">
        <f>Wh_hp&gt;='2024'!Maxi_hp</f>
        <v>1</v>
      </c>
      <c r="I258" s="392">
        <f>IF(H258,Wh_hp,'2024'!Maxi_hp)</f>
        <v>47.209660882087292</v>
      </c>
      <c r="J258" s="85">
        <f>IF(H258,An,'2024'!An_max)</f>
        <v>2025</v>
      </c>
      <c r="K258" s="199">
        <f t="shared" si="79"/>
        <v>45901</v>
      </c>
      <c r="L258" s="147">
        <f>IF(t&lt;Tvie,1-EXP((T0-t)*PertePVj)+'2024'!Pspv,1-EXP((T0-t)*PertePVj)+Pspv)</f>
        <v>5.8449450195694586E-2</v>
      </c>
      <c r="M258" s="870"/>
      <c r="N258" s="870"/>
      <c r="O258" s="48">
        <f>IF(t&lt;Tnet,'2024'!Resal+('2024'!Salim-'2024'!Resal)*(1-EXP(('2024'!Tnet-t)/('2024'!Tau_j))),Resal+(Salim-Resal)*(1-EXP((Tnet-t)/(Tau_j))))*Salcycl</f>
        <v>6.1730902678351719E-2</v>
      </c>
      <c r="P258" s="171">
        <f>(INDEX(Models!$BJ258:$BT258,,T258)*(1-R258)+INDEX(Models!$BJ258:$BT258,,T258+1)*R258-ERP_i)*Q258*Ramure*Pc/MaxiM</f>
        <v>8.9679038236097953E-4</v>
      </c>
      <c r="Q258" s="307">
        <f t="shared" si="80"/>
        <v>1</v>
      </c>
      <c r="R258" s="179">
        <f t="shared" si="81"/>
        <v>0.84261761887517306</v>
      </c>
      <c r="S258" s="837">
        <f t="shared" si="82"/>
        <v>-3</v>
      </c>
      <c r="T258" s="178">
        <f t="shared" si="83"/>
        <v>3</v>
      </c>
      <c r="U258" s="253">
        <f t="shared" si="84"/>
        <v>-2.1573823811248269</v>
      </c>
      <c r="V258" s="385">
        <f t="shared" si="85"/>
        <v>46.237849092298539</v>
      </c>
      <c r="W258" s="404">
        <f t="shared" si="86"/>
        <v>41.674197915426511</v>
      </c>
      <c r="X258" s="157">
        <f t="shared" si="87"/>
        <v>45901</v>
      </c>
      <c r="Y258" s="387">
        <f t="shared" si="88"/>
        <v>38.222913696641598</v>
      </c>
      <c r="Z258" s="387">
        <f t="shared" si="89"/>
        <v>40.595710665333854</v>
      </c>
      <c r="AA258" s="388">
        <f t="shared" si="90"/>
        <v>46.457704242951657</v>
      </c>
      <c r="AB258" s="199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0.12617914882238626</v>
      </c>
      <c r="AD258" s="233">
        <f>(INDEX(Models!$BJ258:$BT258,,AH258)*(1-AF258)+INDEX(Models!$BJ258:$BT258,,AH258+1)*AF258-ERP_i)*AE258*Ramure*Pc/MaxiM</f>
        <v>1.8542503529536233E-2</v>
      </c>
      <c r="AE258" s="307">
        <f t="shared" si="92"/>
        <v>1</v>
      </c>
      <c r="AF258" s="179">
        <f t="shared" si="93"/>
        <v>0.7776002117987435</v>
      </c>
      <c r="AG258" s="837">
        <f t="shared" si="99"/>
        <v>2</v>
      </c>
      <c r="AH258" s="178">
        <f t="shared" si="94"/>
        <v>8</v>
      </c>
      <c r="AI258" s="227">
        <f t="shared" si="95"/>
        <v>2.7776002117987435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45902</v>
      </c>
      <c r="B259" s="1139">
        <f>IF(t&gt;Tmaj,'2024'!Wh/'2024'!Env_an*'2025'!Env_an,0.001*'[11]mon-tableau (3)'!$B$203)</f>
        <v>36.225083102751498</v>
      </c>
      <c r="C259" s="866"/>
      <c r="D259" s="395">
        <f t="shared" si="77"/>
        <v>38.474754372459969</v>
      </c>
      <c r="E259" s="387">
        <f t="shared" si="100"/>
        <v>41.016243550764656</v>
      </c>
      <c r="F259" s="387">
        <f t="shared" si="78"/>
        <v>41.042907809545682</v>
      </c>
      <c r="G259" s="110">
        <f t="shared" si="101"/>
        <v>0.78857541669126086</v>
      </c>
      <c r="H259" s="414" t="b">
        <f>Wh_hp&gt;='2024'!Maxi_hp</f>
        <v>0</v>
      </c>
      <c r="I259" s="392">
        <f>IF(H259,Wh_hp,'2024'!Maxi_hp)</f>
        <v>49.191044286339199</v>
      </c>
      <c r="J259" s="85">
        <f>IF(H259,An,'2024'!An_max)</f>
        <v>2019</v>
      </c>
      <c r="K259" s="199">
        <f t="shared" si="79"/>
        <v>45902</v>
      </c>
      <c r="L259" s="147">
        <f>IF(t&lt;Tvie,1-EXP((T0-t)*PertePVj)+'2024'!Pspv,1-EXP((T0-t)*PertePVj)+Pspv)</f>
        <v>5.8471361452505421E-2</v>
      </c>
      <c r="M259" s="870"/>
      <c r="N259" s="870"/>
      <c r="O259" s="48">
        <f>IF(t&lt;Tnet,'2024'!Resal+('2024'!Salim-'2024'!Resal)*(1-EXP(('2024'!Tnet-t)/('2024'!Tau_j))),Resal+(Salim-Resal)*(1-EXP((Tnet-t)/(Tau_j))))*Salcycl</f>
        <v>6.1962992177944348E-2</v>
      </c>
      <c r="P259" s="171">
        <f>(INDEX(Models!$BJ259:$BT259,,T259)*(1-R259)+INDEX(Models!$BJ259:$BT259,,T259+1)*R259-ERP_i)*Q259*Ramure*Pc/MaxiM</f>
        <v>9.3038117355430492E-4</v>
      </c>
      <c r="Q259" s="307">
        <f t="shared" si="80"/>
        <v>1</v>
      </c>
      <c r="R259" s="179">
        <f t="shared" si="81"/>
        <v>0.8434920807350621</v>
      </c>
      <c r="S259" s="837">
        <f t="shared" si="82"/>
        <v>-3</v>
      </c>
      <c r="T259" s="178">
        <f t="shared" si="83"/>
        <v>3</v>
      </c>
      <c r="U259" s="253">
        <f t="shared" si="84"/>
        <v>-2.1565079192649379</v>
      </c>
      <c r="V259" s="385">
        <f t="shared" si="85"/>
        <v>45.924469445837502</v>
      </c>
      <c r="W259" s="404">
        <f t="shared" si="86"/>
        <v>36.225083102751498</v>
      </c>
      <c r="X259" s="157">
        <f t="shared" si="87"/>
        <v>45902</v>
      </c>
      <c r="Y259" s="387">
        <f t="shared" si="88"/>
        <v>33.31790704745012</v>
      </c>
      <c r="Z259" s="387">
        <f t="shared" si="89"/>
        <v>35.387035171707552</v>
      </c>
      <c r="AA259" s="388">
        <f t="shared" si="90"/>
        <v>40.501329666852484</v>
      </c>
      <c r="AB259" s="199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0.12627473066225339</v>
      </c>
      <c r="AD259" s="233">
        <f>(INDEX(Models!$BJ259:$BT259,,AH259)*(1-AF259)+INDEX(Models!$BJ259:$BT259,,AH259+1)*AF259-ERP_i)*AE259*Ramure*Pc/MaxiM</f>
        <v>1.8896985365625452E-2</v>
      </c>
      <c r="AE259" s="307">
        <f t="shared" si="92"/>
        <v>1</v>
      </c>
      <c r="AF259" s="179">
        <f t="shared" si="93"/>
        <v>0.77847467365863254</v>
      </c>
      <c r="AG259" s="837">
        <f t="shared" si="99"/>
        <v>2</v>
      </c>
      <c r="AH259" s="178">
        <f t="shared" si="94"/>
        <v>8</v>
      </c>
      <c r="AI259" s="227">
        <f t="shared" si="95"/>
        <v>2.7784746736586325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45903</v>
      </c>
      <c r="B260" s="1139">
        <f>IF(t&gt;Tmaj,'2024'!Wh/'2024'!Env_an*'2025'!Env_an,0.001*'[11]mon-tableau (3)'!$B$204)</f>
        <v>29.813333691591083</v>
      </c>
      <c r="C260" s="866"/>
      <c r="D260" s="395">
        <f t="shared" si="77"/>
        <v>31.665555658042503</v>
      </c>
      <c r="E260" s="387">
        <f t="shared" si="100"/>
        <v>33.765568457748508</v>
      </c>
      <c r="F260" s="387">
        <f t="shared" si="78"/>
        <v>33.782029148424705</v>
      </c>
      <c r="G260" s="110">
        <f t="shared" si="101"/>
        <v>0.65342416146881754</v>
      </c>
      <c r="H260" s="414" t="b">
        <f>Wh_hp&gt;='2024'!Maxi_hp</f>
        <v>0</v>
      </c>
      <c r="I260" s="392">
        <f>IF(H260,Wh_hp,'2024'!Maxi_hp)</f>
        <v>51.164853972749853</v>
      </c>
      <c r="J260" s="85">
        <f>IF(H260,An,'2024'!An_max)</f>
        <v>2019</v>
      </c>
      <c r="K260" s="199">
        <f t="shared" si="79"/>
        <v>45903</v>
      </c>
      <c r="L260" s="147">
        <f>IF(t&lt;Tvie,1-EXP((T0-t)*PertePVj)+'2024'!Pspv,1-EXP((T0-t)*PertePVj)+Pspv)</f>
        <v>5.8493272199409141E-2</v>
      </c>
      <c r="M260" s="870"/>
      <c r="N260" s="870"/>
      <c r="O260" s="48">
        <f>IF(t&lt;Tnet,'2024'!Resal+('2024'!Salim-'2024'!Resal)*(1-EXP(('2024'!Tnet-t)/('2024'!Tau_j))),Resal+(Salim-Resal)*(1-EXP((Tnet-t)/(Tau_j))))*Salcycl</f>
        <v>6.2193912189981014E-2</v>
      </c>
      <c r="P260" s="171">
        <f>(INDEX(Models!$BJ260:$BT260,,T260)*(1-R260)+INDEX(Models!$BJ260:$BT260,,T260+1)*R260-ERP_i)*Q260*Ramure*Pc/MaxiM</f>
        <v>9.6423068306397219E-4</v>
      </c>
      <c r="Q260" s="307">
        <f t="shared" si="80"/>
        <v>1</v>
      </c>
      <c r="R260" s="179">
        <f t="shared" si="81"/>
        <v>0.84433345564513784</v>
      </c>
      <c r="S260" s="837">
        <f t="shared" si="82"/>
        <v>-3</v>
      </c>
      <c r="T260" s="178">
        <f t="shared" si="83"/>
        <v>3</v>
      </c>
      <c r="U260" s="253">
        <f t="shared" si="84"/>
        <v>-2.1556665443548622</v>
      </c>
      <c r="V260" s="385">
        <f t="shared" si="85"/>
        <v>45.6045375769678</v>
      </c>
      <c r="W260" s="404">
        <f t="shared" si="86"/>
        <v>29.813333691591083</v>
      </c>
      <c r="X260" s="157">
        <f t="shared" si="87"/>
        <v>45903</v>
      </c>
      <c r="Y260" s="387">
        <f t="shared" si="88"/>
        <v>27.516401901054721</v>
      </c>
      <c r="Z260" s="387">
        <f t="shared" si="89"/>
        <v>29.225921693979267</v>
      </c>
      <c r="AA260" s="388">
        <f t="shared" si="90"/>
        <v>33.453386345947294</v>
      </c>
      <c r="AB260" s="199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0.12636881086569474</v>
      </c>
      <c r="AD260" s="233">
        <f>(INDEX(Models!$BJ260:$BT260,,AH260)*(1-AF260)+INDEX(Models!$BJ260:$BT260,,AH260+1)*AF260-ERP_i)*AE260*Ramure*Pc/MaxiM</f>
        <v>1.9251165102993569E-2</v>
      </c>
      <c r="AE260" s="307">
        <f t="shared" si="92"/>
        <v>1</v>
      </c>
      <c r="AF260" s="179">
        <f t="shared" si="93"/>
        <v>0.77931604856870829</v>
      </c>
      <c r="AG260" s="837">
        <f t="shared" si="99"/>
        <v>2</v>
      </c>
      <c r="AH260" s="178">
        <f t="shared" si="94"/>
        <v>8</v>
      </c>
      <c r="AI260" s="227">
        <f t="shared" si="95"/>
        <v>2.7793160485687083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45904</v>
      </c>
      <c r="B261" s="1139">
        <f>IF(t&gt;Tmaj,'2024'!Wh/'2024'!Env_an*'2025'!Env_an,0.001*'[11]mon-tableau (3)'!$B$205)</f>
        <v>43.390564989801668</v>
      </c>
      <c r="C261" s="866"/>
      <c r="D261" s="395">
        <f t="shared" si="77"/>
        <v>46.087376217164902</v>
      </c>
      <c r="E261" s="387">
        <f t="shared" si="100"/>
        <v>49.155863849456175</v>
      </c>
      <c r="F261" s="387">
        <f t="shared" si="78"/>
        <v>49.202061711461717</v>
      </c>
      <c r="G261" s="110">
        <f t="shared" si="101"/>
        <v>0.95827280292420614</v>
      </c>
      <c r="H261" s="414" t="b">
        <f>Wh_hp&gt;='2024'!Maxi_hp</f>
        <v>0</v>
      </c>
      <c r="I261" s="392">
        <f>IF(H261,Wh_hp,'2024'!Maxi_hp)</f>
        <v>50.630743838713244</v>
      </c>
      <c r="J261" s="85">
        <f>IF(H261,An,'2024'!An_max)</f>
        <v>2019</v>
      </c>
      <c r="K261" s="199">
        <f t="shared" si="79"/>
        <v>45904</v>
      </c>
      <c r="L261" s="147">
        <f>IF(t&lt;Tvie,1-EXP((T0-t)*PertePVj)+'2024'!Pspv,1-EXP((T0-t)*PertePVj)+Pspv)</f>
        <v>5.8515182436417956E-2</v>
      </c>
      <c r="M261" s="870"/>
      <c r="N261" s="870"/>
      <c r="O261" s="48">
        <f>IF(t&lt;Tnet,'2024'!Resal+('2024'!Salim-'2024'!Resal)*(1-EXP(('2024'!Tnet-t)/('2024'!Tau_j))),Resal+(Salim-Resal)*(1-EXP((Tnet-t)/(Tau_j))))*Salcycl</f>
        <v>6.2423633560560819E-2</v>
      </c>
      <c r="P261" s="171">
        <f>(INDEX(Models!$BJ261:$BT261,,T261)*(1-R261)+INDEX(Models!$BJ261:$BT261,,T261+1)*R261-ERP_i)*Q261*Ramure*Pc/MaxiM</f>
        <v>9.9837361211510718E-4</v>
      </c>
      <c r="Q261" s="307">
        <f t="shared" si="80"/>
        <v>1</v>
      </c>
      <c r="R261" s="179">
        <f t="shared" si="81"/>
        <v>0.84514291566120781</v>
      </c>
      <c r="S261" s="837">
        <f t="shared" si="82"/>
        <v>-3</v>
      </c>
      <c r="T261" s="178">
        <f t="shared" si="83"/>
        <v>3</v>
      </c>
      <c r="U261" s="253">
        <f t="shared" si="84"/>
        <v>-2.1548570843387922</v>
      </c>
      <c r="V261" s="385">
        <f t="shared" si="85"/>
        <v>45.277277665329009</v>
      </c>
      <c r="W261" s="404">
        <f t="shared" si="86"/>
        <v>43.390564989801668</v>
      </c>
      <c r="X261" s="157">
        <f t="shared" si="87"/>
        <v>45904</v>
      </c>
      <c r="Y261" s="387">
        <f t="shared" si="88"/>
        <v>39.718815381782861</v>
      </c>
      <c r="Z261" s="387">
        <f t="shared" si="89"/>
        <v>42.187419957093994</v>
      </c>
      <c r="AA261" s="388">
        <f t="shared" si="90"/>
        <v>48.294851569761384</v>
      </c>
      <c r="AB261" s="199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0.1264613393385271</v>
      </c>
      <c r="AD261" s="233">
        <f>(INDEX(Models!$BJ261:$BT261,,AH261)*(1-AF261)+INDEX(Models!$BJ261:$BT261,,AH261+1)*AF261-ERP_i)*AE261*Ramure*Pc/MaxiM</f>
        <v>1.9605553737707771E-2</v>
      </c>
      <c r="AE261" s="307">
        <f t="shared" si="92"/>
        <v>1</v>
      </c>
      <c r="AF261" s="179">
        <f t="shared" si="93"/>
        <v>0.78012550858477825</v>
      </c>
      <c r="AG261" s="837">
        <f t="shared" si="99"/>
        <v>2</v>
      </c>
      <c r="AH261" s="178">
        <f t="shared" si="94"/>
        <v>8</v>
      </c>
      <c r="AI261" s="227">
        <f t="shared" si="95"/>
        <v>2.7801255085847782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45905</v>
      </c>
      <c r="B262" s="1139">
        <f>IF(t&gt;Tmaj,'2024'!Wh/'2024'!Env_an*'2025'!Env_an,0.001*'[11]mon-tableau (3)'!$B$206)</f>
        <v>37.464521907194232</v>
      </c>
      <c r="C262" s="866"/>
      <c r="D262" s="395">
        <f t="shared" si="77"/>
        <v>39.79394365444535</v>
      </c>
      <c r="E262" s="387">
        <f t="shared" si="100"/>
        <v>42.453762099960677</v>
      </c>
      <c r="F262" s="387">
        <f t="shared" si="78"/>
        <v>42.487198529376919</v>
      </c>
      <c r="G262" s="110">
        <f t="shared" si="101"/>
        <v>0.83340720664681278</v>
      </c>
      <c r="H262" s="414" t="b">
        <f>Wh_hp&gt;='2024'!Maxi_hp</f>
        <v>0</v>
      </c>
      <c r="I262" s="392">
        <f>IF(H262,Wh_hp,'2024'!Maxi_hp)</f>
        <v>48.60501068816032</v>
      </c>
      <c r="J262" s="85">
        <f>IF(H262,An,'2024'!An_max)</f>
        <v>2020</v>
      </c>
      <c r="K262" s="199">
        <f t="shared" si="79"/>
        <v>45905</v>
      </c>
      <c r="L262" s="147">
        <f>IF(t&lt;Tvie,1-EXP((T0-t)*PertePVj)+'2024'!Pspv,1-EXP((T0-t)*PertePVj)+Pspv)</f>
        <v>5.8537092163543414E-2</v>
      </c>
      <c r="M262" s="870"/>
      <c r="N262" s="870"/>
      <c r="O262" s="48">
        <f>IF(t&lt;Tnet,'2024'!Resal+('2024'!Salim-'2024'!Resal)*(1-EXP(('2024'!Tnet-t)/('2024'!Tau_j))),Resal+(Salim-Resal)*(1-EXP((Tnet-t)/(Tau_j))))*Salcycl</f>
        <v>6.2652125841111059E-2</v>
      </c>
      <c r="P262" s="171">
        <f>(INDEX(Models!$BJ262:$BT262,,T262)*(1-R262)+INDEX(Models!$BJ262:$BT262,,T262+1)*R262-ERP_i)*Q262*Ramure*Pc/MaxiM</f>
        <v>1.0323674635946997E-3</v>
      </c>
      <c r="Q262" s="307">
        <f t="shared" si="80"/>
        <v>1</v>
      </c>
      <c r="R262" s="179">
        <f t="shared" si="81"/>
        <v>0.8459215974710883</v>
      </c>
      <c r="S262" s="837">
        <f t="shared" si="82"/>
        <v>-3</v>
      </c>
      <c r="T262" s="178">
        <f t="shared" si="83"/>
        <v>3</v>
      </c>
      <c r="U262" s="253">
        <f t="shared" si="84"/>
        <v>-2.1540784025289117</v>
      </c>
      <c r="V262" s="385">
        <f t="shared" si="85"/>
        <v>44.942401403445565</v>
      </c>
      <c r="W262" s="404">
        <f t="shared" si="86"/>
        <v>37.464521907194232</v>
      </c>
      <c r="X262" s="157">
        <f t="shared" si="87"/>
        <v>45905</v>
      </c>
      <c r="Y262" s="387">
        <f t="shared" si="88"/>
        <v>34.405994908195751</v>
      </c>
      <c r="Z262" s="387">
        <f t="shared" si="89"/>
        <v>36.545247424843303</v>
      </c>
      <c r="AA262" s="388">
        <f t="shared" si="90"/>
        <v>41.840222275327285</v>
      </c>
      <c r="AB262" s="199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0.12655226388714413</v>
      </c>
      <c r="AD262" s="233">
        <f>(INDEX(Models!$BJ262:$BT262,,AH262)*(1-AF262)+INDEX(Models!$BJ262:$BT262,,AH262+1)*AF262-ERP_i)*AE262*Ramure*Pc/MaxiM</f>
        <v>1.997573443278039E-2</v>
      </c>
      <c r="AE262" s="307">
        <f t="shared" si="92"/>
        <v>1</v>
      </c>
      <c r="AF262" s="179">
        <f t="shared" si="93"/>
        <v>0.78090419039465875</v>
      </c>
      <c r="AG262" s="837">
        <f t="shared" si="99"/>
        <v>2</v>
      </c>
      <c r="AH262" s="178">
        <f t="shared" si="94"/>
        <v>8</v>
      </c>
      <c r="AI262" s="227">
        <f t="shared" si="95"/>
        <v>2.7809041903946587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45906</v>
      </c>
      <c r="B263" s="1139">
        <f>IF(t&gt;Tmaj,'2024'!Wh/'2024'!Env_an*'2025'!Env_an,0.001*'[11]mon-tableau (3)'!$B$207)</f>
        <v>42.026916128427629</v>
      </c>
      <c r="C263" s="866"/>
      <c r="D263" s="395">
        <f t="shared" si="77"/>
        <v>44.641051526402485</v>
      </c>
      <c r="E263" s="387">
        <f t="shared" si="100"/>
        <v>47.636397586812869</v>
      </c>
      <c r="F263" s="387">
        <f t="shared" si="78"/>
        <v>47.68304613458406</v>
      </c>
      <c r="G263" s="110">
        <f t="shared" si="101"/>
        <v>0.94221587113462146</v>
      </c>
      <c r="H263" s="414" t="b">
        <f>Wh_hp&gt;='2024'!Maxi_hp</f>
        <v>0</v>
      </c>
      <c r="I263" s="392">
        <f>IF(H263,Wh_hp,'2024'!Maxi_hp)</f>
        <v>51.979212378770349</v>
      </c>
      <c r="J263" s="85">
        <f>IF(H263,An,'2024'!An_max)</f>
        <v>2019</v>
      </c>
      <c r="K263" s="199">
        <f t="shared" si="79"/>
        <v>45906</v>
      </c>
      <c r="L263" s="147">
        <f>IF(t&lt;Tvie,1-EXP((T0-t)*PertePVj)+'2024'!Pspv,1-EXP((T0-t)*PertePVj)+Pspv)</f>
        <v>5.8559001380797504E-2</v>
      </c>
      <c r="M263" s="870"/>
      <c r="N263" s="870"/>
      <c r="O263" s="48">
        <f>IF(t&lt;Tnet,'2024'!Resal+('2024'!Salim-'2024'!Resal)*(1-EXP(('2024'!Tnet-t)/('2024'!Tau_j))),Resal+(Salim-Resal)*(1-EXP((Tnet-t)/(Tau_j))))*Salcycl</f>
        <v>6.2879357217380805E-2</v>
      </c>
      <c r="P263" s="171">
        <f>(INDEX(Models!$BJ263:$BT263,,T263)*(1-R263)+INDEX(Models!$BJ263:$BT263,,T263+1)*R263-ERP_i)*Q263*Ramure*Pc/MaxiM</f>
        <v>1.0661911856444403E-3</v>
      </c>
      <c r="Q263" s="307">
        <f t="shared" si="80"/>
        <v>1</v>
      </c>
      <c r="R263" s="179">
        <f t="shared" si="81"/>
        <v>0.84667060297537278</v>
      </c>
      <c r="S263" s="837">
        <f t="shared" si="82"/>
        <v>-3</v>
      </c>
      <c r="T263" s="178">
        <f t="shared" si="83"/>
        <v>3</v>
      </c>
      <c r="U263" s="253">
        <f t="shared" si="84"/>
        <v>-2.1533293970246272</v>
      </c>
      <c r="V263" s="385">
        <f t="shared" si="85"/>
        <v>44.600415043455577</v>
      </c>
      <c r="W263" s="404">
        <f t="shared" si="86"/>
        <v>42.026916128427629</v>
      </c>
      <c r="X263" s="157">
        <f t="shared" si="87"/>
        <v>45906</v>
      </c>
      <c r="Y263" s="387">
        <f t="shared" si="88"/>
        <v>38.472912288740176</v>
      </c>
      <c r="Z263" s="387">
        <f t="shared" si="89"/>
        <v>40.865983471261423</v>
      </c>
      <c r="AA263" s="388">
        <f t="shared" si="90"/>
        <v>46.79176406910225</v>
      </c>
      <c r="AB263" s="199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0.12664153010110107</v>
      </c>
      <c r="AD263" s="233">
        <f>(INDEX(Models!$BJ263:$BT263,,AH263)*(1-AF263)+INDEX(Models!$BJ263:$BT263,,AH263+1)*AF263-ERP_i)*AE263*Ramure*Pc/MaxiM</f>
        <v>2.0370989613669111E-2</v>
      </c>
      <c r="AE263" s="307">
        <f t="shared" si="92"/>
        <v>1</v>
      </c>
      <c r="AF263" s="179">
        <f t="shared" si="93"/>
        <v>0.78165319589894322</v>
      </c>
      <c r="AG263" s="837">
        <f t="shared" si="99"/>
        <v>2</v>
      </c>
      <c r="AH263" s="178">
        <f t="shared" si="94"/>
        <v>8</v>
      </c>
      <c r="AI263" s="227">
        <f t="shared" si="95"/>
        <v>2.7816531958989432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45907</v>
      </c>
      <c r="B264" s="1139">
        <f>IF(t&gt;Tmaj,'2024'!Wh/'2024'!Env_an*'2025'!Env_an,0.001*'[11]mon-tableau (3)'!$B$208)</f>
        <v>33.889175664425252</v>
      </c>
      <c r="C264" s="866"/>
      <c r="D264" s="395">
        <f t="shared" si="77"/>
        <v>35.997969477759362</v>
      </c>
      <c r="E264" s="387">
        <f t="shared" si="100"/>
        <v>38.42264158841764</v>
      </c>
      <c r="F264" s="387">
        <f t="shared" si="78"/>
        <v>38.450783945739865</v>
      </c>
      <c r="G264" s="110">
        <f t="shared" si="101"/>
        <v>0.7655435394547041</v>
      </c>
      <c r="H264" s="414" t="b">
        <f>Wh_hp&gt;='2024'!Maxi_hp</f>
        <v>0</v>
      </c>
      <c r="I264" s="392">
        <f>IF(H264,Wh_hp,'2024'!Maxi_hp)</f>
        <v>50.735283993858943</v>
      </c>
      <c r="J264" s="85">
        <f>IF(H264,An,'2024'!An_max)</f>
        <v>2019</v>
      </c>
      <c r="K264" s="199">
        <f t="shared" si="79"/>
        <v>45907</v>
      </c>
      <c r="L264" s="147">
        <f>IF(t&lt;Tvie,1-EXP((T0-t)*PertePVj)+'2024'!Pspv,1-EXP((T0-t)*PertePVj)+Pspv)</f>
        <v>5.8580910088192217E-2</v>
      </c>
      <c r="M264" s="870"/>
      <c r="N264" s="870"/>
      <c r="O264" s="48">
        <f>IF(t&lt;Tnet,'2024'!Resal+('2024'!Salim-'2024'!Resal)*(1-EXP(('2024'!Tnet-t)/('2024'!Tau_j))),Resal+(Salim-Resal)*(1-EXP((Tnet-t)/(Tau_j))))*Salcycl</f>
        <v>6.3105294441524878E-2</v>
      </c>
      <c r="P264" s="171">
        <f>(INDEX(Models!$BJ264:$BT264,,T264)*(1-R264)+INDEX(Models!$BJ264:$BT264,,T264+1)*R264-ERP_i)*Q264*Ramure*Pc/MaxiM</f>
        <v>1.0998413325502623E-3</v>
      </c>
      <c r="Q264" s="307">
        <f t="shared" si="80"/>
        <v>1</v>
      </c>
      <c r="R264" s="179">
        <f t="shared" si="81"/>
        <v>0.84739099990162536</v>
      </c>
      <c r="S264" s="837">
        <f t="shared" si="82"/>
        <v>-3</v>
      </c>
      <c r="T264" s="178">
        <f t="shared" si="83"/>
        <v>3</v>
      </c>
      <c r="U264" s="253">
        <f t="shared" si="84"/>
        <v>-2.1526090000983746</v>
      </c>
      <c r="V264" s="385">
        <f t="shared" si="85"/>
        <v>44.251823389041022</v>
      </c>
      <c r="W264" s="404">
        <f t="shared" si="86"/>
        <v>33.889175664425252</v>
      </c>
      <c r="X264" s="157">
        <f t="shared" si="87"/>
        <v>45907</v>
      </c>
      <c r="Y264" s="387">
        <f t="shared" si="88"/>
        <v>31.173546248885039</v>
      </c>
      <c r="Z264" s="387">
        <f t="shared" si="89"/>
        <v>33.113356827940869</v>
      </c>
      <c r="AA264" s="388">
        <f t="shared" si="90"/>
        <v>37.918767379885288</v>
      </c>
      <c r="AB264" s="199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0.12672908124364668</v>
      </c>
      <c r="AD264" s="233">
        <f>(INDEX(Models!$BJ264:$BT264,,AH264)*(1-AF264)+INDEX(Models!$BJ264:$BT264,,AH264+1)*AF264-ERP_i)*AE264*Ramure*Pc/MaxiM</f>
        <v>2.0791925922507361E-2</v>
      </c>
      <c r="AE264" s="307">
        <f t="shared" si="92"/>
        <v>1</v>
      </c>
      <c r="AF264" s="179">
        <f t="shared" si="93"/>
        <v>0.78237359282519581</v>
      </c>
      <c r="AG264" s="837">
        <f t="shared" si="99"/>
        <v>2</v>
      </c>
      <c r="AH264" s="178">
        <f t="shared" si="94"/>
        <v>8</v>
      </c>
      <c r="AI264" s="227">
        <f t="shared" si="95"/>
        <v>2.7823735928251958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45908</v>
      </c>
      <c r="B265" s="1139">
        <f>IF(t&gt;Tmaj,'2024'!Wh/'2024'!Env_an*'2025'!Env_an,0.001*'[11]mon-tableau (3)'!$B$209)</f>
        <v>36.475511729027694</v>
      </c>
      <c r="C265" s="866"/>
      <c r="D265" s="395">
        <f t="shared" si="77"/>
        <v>38.74614502521316</v>
      </c>
      <c r="E265" s="387">
        <f t="shared" si="100"/>
        <v>41.365839626747508</v>
      </c>
      <c r="F265" s="387">
        <f t="shared" si="78"/>
        <v>41.401427799291234</v>
      </c>
      <c r="G265" s="110">
        <f t="shared" si="101"/>
        <v>0.83070392819883865</v>
      </c>
      <c r="H265" s="414" t="b">
        <f>Wh_hp&gt;='2024'!Maxi_hp</f>
        <v>0</v>
      </c>
      <c r="I265" s="392">
        <f>IF(H265,Wh_hp,'2024'!Maxi_hp)</f>
        <v>44.572005255446598</v>
      </c>
      <c r="J265" s="85">
        <f>IF(H265,An,'2024'!An_max)</f>
        <v>2019</v>
      </c>
      <c r="K265" s="199">
        <f t="shared" si="79"/>
        <v>45908</v>
      </c>
      <c r="L265" s="147">
        <f>IF(t&lt;Tvie,1-EXP((T0-t)*PertePVj)+'2024'!Pspv,1-EXP((T0-t)*PertePVj)+Pspv)</f>
        <v>5.8602818285739211E-2</v>
      </c>
      <c r="M265" s="870"/>
      <c r="N265" s="870"/>
      <c r="O265" s="48">
        <f>IF(t&lt;Tnet,'2024'!Resal+('2024'!Salim-'2024'!Resal)*(1-EXP(('2024'!Tnet-t)/('2024'!Tau_j))),Resal+(Salim-Resal)*(1-EXP((Tnet-t)/(Tau_j))))*Salcycl</f>
        <v>6.3329902769347676E-2</v>
      </c>
      <c r="P265" s="171">
        <f>(INDEX(Models!$BJ265:$BT265,,T265)*(1-R265)+INDEX(Models!$BJ265:$BT265,,T265+1)*R265-ERP_i)*Q265*Ramure*Pc/MaxiM</f>
        <v>1.1333129683779729E-3</v>
      </c>
      <c r="Q265" s="307">
        <f t="shared" si="80"/>
        <v>1</v>
      </c>
      <c r="R265" s="179">
        <f t="shared" si="81"/>
        <v>0.84808382244720937</v>
      </c>
      <c r="S265" s="837">
        <f t="shared" si="82"/>
        <v>-3</v>
      </c>
      <c r="T265" s="178">
        <f t="shared" si="83"/>
        <v>3</v>
      </c>
      <c r="U265" s="253">
        <f t="shared" si="84"/>
        <v>-2.1519161775527906</v>
      </c>
      <c r="V265" s="385">
        <f t="shared" si="85"/>
        <v>43.897130668265177</v>
      </c>
      <c r="W265" s="404">
        <f t="shared" si="86"/>
        <v>36.475511729027694</v>
      </c>
      <c r="X265" s="157">
        <f t="shared" si="87"/>
        <v>45908</v>
      </c>
      <c r="Y265" s="387">
        <f t="shared" si="88"/>
        <v>33.484312207915977</v>
      </c>
      <c r="Z265" s="387">
        <f t="shared" si="89"/>
        <v>35.568740653059827</v>
      </c>
      <c r="AA265" s="388">
        <f t="shared" si="90"/>
        <v>40.734477659423511</v>
      </c>
      <c r="AB265" s="199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0.12681485815416224</v>
      </c>
      <c r="AD265" s="233">
        <f>(INDEX(Models!$BJ265:$BT265,,AH265)*(1-AF265)+INDEX(Models!$BJ265:$BT265,,AH265+1)*AF265-ERP_i)*AE265*Ramure*Pc/MaxiM</f>
        <v>2.1239169891203089E-2</v>
      </c>
      <c r="AE265" s="307">
        <f t="shared" si="92"/>
        <v>1</v>
      </c>
      <c r="AF265" s="179">
        <f t="shared" si="93"/>
        <v>0.78306641537077981</v>
      </c>
      <c r="AG265" s="837">
        <f t="shared" si="99"/>
        <v>2</v>
      </c>
      <c r="AH265" s="178">
        <f t="shared" si="94"/>
        <v>8</v>
      </c>
      <c r="AI265" s="227">
        <f t="shared" si="95"/>
        <v>2.7830664153707798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45909</v>
      </c>
      <c r="B266" s="1139">
        <f>IF(t&gt;Tmaj,'2024'!Wh/'2024'!Env_an*'2025'!Env_an,0.001*'[11]mon-tableau (3)'!$B$210)</f>
        <v>20.743198574348884</v>
      </c>
      <c r="C266" s="866"/>
      <c r="D266" s="395">
        <f t="shared" si="77"/>
        <v>22.03499406312627</v>
      </c>
      <c r="E266" s="387">
        <f t="shared" si="100"/>
        <v>23.530426704692012</v>
      </c>
      <c r="F266" s="387">
        <f t="shared" si="78"/>
        <v>23.537348312518812</v>
      </c>
      <c r="G266" s="110">
        <f t="shared" si="101"/>
        <v>0.47603578768146065</v>
      </c>
      <c r="H266" s="414" t="b">
        <f>Wh_hp&gt;='2024'!Maxi_hp</f>
        <v>0</v>
      </c>
      <c r="I266" s="392">
        <f>IF(H266,Wh_hp,'2024'!Maxi_hp)</f>
        <v>45.910285028445344</v>
      </c>
      <c r="J266" s="85">
        <f>IF(H266,An,'2024'!An_max)</f>
        <v>2020</v>
      </c>
      <c r="K266" s="199">
        <f t="shared" si="79"/>
        <v>45909</v>
      </c>
      <c r="L266" s="147">
        <f>IF(t&lt;Tvie,1-EXP((T0-t)*PertePVj)+'2024'!Pspv,1-EXP((T0-t)*PertePVj)+Pspv)</f>
        <v>5.8624725973450476E-2</v>
      </c>
      <c r="M266" s="870"/>
      <c r="N266" s="870"/>
      <c r="O266" s="48">
        <f>IF(t&lt;Tnet,'2024'!Resal+('2024'!Salim-'2024'!Resal)*(1-EXP(('2024'!Tnet-t)/('2024'!Tau_j))),Resal+(Salim-Resal)*(1-EXP((Tnet-t)/(Tau_j))))*Salcycl</f>
        <v>6.3553145904810496E-2</v>
      </c>
      <c r="P266" s="171">
        <f>(INDEX(Models!$BJ266:$BT266,,T266)*(1-R266)+INDEX(Models!$BJ266:$BT266,,T266+1)*R266-ERP_i)*Q266*Ramure*Pc/MaxiM</f>
        <v>1.1665996014120729E-3</v>
      </c>
      <c r="Q266" s="307">
        <f t="shared" si="80"/>
        <v>1</v>
      </c>
      <c r="R266" s="179">
        <f t="shared" si="81"/>
        <v>0.84875007194630658</v>
      </c>
      <c r="S266" s="837">
        <f t="shared" si="82"/>
        <v>-3</v>
      </c>
      <c r="T266" s="178">
        <f t="shared" si="83"/>
        <v>3</v>
      </c>
      <c r="U266" s="253">
        <f t="shared" si="84"/>
        <v>-2.1512499280536934</v>
      </c>
      <c r="V266" s="385">
        <f t="shared" si="85"/>
        <v>43.536840536229036</v>
      </c>
      <c r="W266" s="404">
        <f t="shared" si="86"/>
        <v>20.743198574348884</v>
      </c>
      <c r="X266" s="157">
        <f t="shared" si="87"/>
        <v>45909</v>
      </c>
      <c r="Y266" s="387">
        <f t="shared" si="88"/>
        <v>19.239834117682886</v>
      </c>
      <c r="Z266" s="387">
        <f t="shared" si="89"/>
        <v>20.438006657417546</v>
      </c>
      <c r="AA266" s="388">
        <f t="shared" si="90"/>
        <v>23.408519697264605</v>
      </c>
      <c r="AB266" s="199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0.12689879916644953</v>
      </c>
      <c r="AD266" s="233">
        <f>(INDEX(Models!$BJ266:$BT266,,AH266)*(1-AF266)+INDEX(Models!$BJ266:$BT266,,AH266+1)*AF266-ERP_i)*AE266*Ramure*Pc/MaxiM</f>
        <v>2.1713367033609855E-2</v>
      </c>
      <c r="AE266" s="307">
        <f t="shared" si="92"/>
        <v>1</v>
      </c>
      <c r="AF266" s="179">
        <f t="shared" si="93"/>
        <v>0.78373266486987703</v>
      </c>
      <c r="AG266" s="837">
        <f t="shared" si="99"/>
        <v>2</v>
      </c>
      <c r="AH266" s="178">
        <f t="shared" si="94"/>
        <v>8</v>
      </c>
      <c r="AI266" s="227">
        <f t="shared" si="95"/>
        <v>2.783732664869877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45910</v>
      </c>
      <c r="B267" s="1139">
        <f>IF(t&gt;Tmaj,'2024'!Wh/'2024'!Env_an*'2025'!Env_an,0.001*'[11]mon-tableau (3)'!$B$211)</f>
        <v>40.796452256355799</v>
      </c>
      <c r="C267" s="866"/>
      <c r="D267" s="395">
        <f t="shared" si="77"/>
        <v>43.338085030628562</v>
      </c>
      <c r="E267" s="387">
        <f t="shared" si="100"/>
        <v>46.290244738638492</v>
      </c>
      <c r="F267" s="387">
        <f t="shared" si="78"/>
        <v>46.3414710055131</v>
      </c>
      <c r="G267" s="110">
        <f t="shared" si="101"/>
        <v>0.94489751414155487</v>
      </c>
      <c r="H267" s="414" t="b">
        <f>Wh_hp&gt;='2024'!Maxi_hp</f>
        <v>1</v>
      </c>
      <c r="I267" s="392">
        <f>IF(H267,Wh_hp,'2024'!Maxi_hp)</f>
        <v>46.3414710055131</v>
      </c>
      <c r="J267" s="85">
        <f>IF(H267,An,'2024'!An_max)</f>
        <v>2025</v>
      </c>
      <c r="K267" s="199">
        <f t="shared" si="79"/>
        <v>45910</v>
      </c>
      <c r="L267" s="147">
        <f>IF(t&lt;Tvie,1-EXP((T0-t)*PertePVj)+'2024'!Pspv,1-EXP((T0-t)*PertePVj)+Pspv)</f>
        <v>5.864663315133789E-2</v>
      </c>
      <c r="M267" s="870"/>
      <c r="N267" s="870"/>
      <c r="O267" s="48">
        <f>IF(t&lt;Tnet,'2024'!Resal+('2024'!Salim-'2024'!Resal)*(1-EXP(('2024'!Tnet-t)/('2024'!Tau_j))),Resal+(Salim-Resal)*(1-EXP((Tnet-t)/(Tau_j))))*Salcycl</f>
        <v>6.3774985953914412E-2</v>
      </c>
      <c r="P267" s="171">
        <f>(INDEX(Models!$BJ267:$BT267,,T267)*(1-R267)+INDEX(Models!$BJ267:$BT267,,T267+1)*R267-ERP_i)*Q267*Ramure*Pc/MaxiM</f>
        <v>1.1996931141725581E-3</v>
      </c>
      <c r="Q267" s="307">
        <f t="shared" si="80"/>
        <v>1</v>
      </c>
      <c r="R267" s="179">
        <f t="shared" si="81"/>
        <v>0.84939071755703743</v>
      </c>
      <c r="S267" s="837">
        <f t="shared" si="82"/>
        <v>-3</v>
      </c>
      <c r="T267" s="178">
        <f t="shared" si="83"/>
        <v>3</v>
      </c>
      <c r="U267" s="253">
        <f t="shared" si="84"/>
        <v>-2.1506092824429626</v>
      </c>
      <c r="V267" s="385">
        <f t="shared" si="85"/>
        <v>43.171456079706573</v>
      </c>
      <c r="W267" s="404">
        <f t="shared" si="86"/>
        <v>40.796452256355799</v>
      </c>
      <c r="X267" s="157">
        <f t="shared" si="87"/>
        <v>45910</v>
      </c>
      <c r="Y267" s="387">
        <f t="shared" si="88"/>
        <v>37.304766968360674</v>
      </c>
      <c r="Z267" s="387">
        <f t="shared" si="89"/>
        <v>39.628866568188549</v>
      </c>
      <c r="AA267" s="388">
        <f t="shared" si="90"/>
        <v>45.392894435799356</v>
      </c>
      <c r="AB267" s="199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0.12698084004674037</v>
      </c>
      <c r="AD267" s="233">
        <f>(INDEX(Models!$BJ267:$BT267,,AH267)*(1-AF267)+INDEX(Models!$BJ267:$BT267,,AH267+1)*AF267-ERP_i)*AE267*Ramure*Pc/MaxiM</f>
        <v>2.2215180773108599E-2</v>
      </c>
      <c r="AE267" s="307">
        <f t="shared" si="92"/>
        <v>1</v>
      </c>
      <c r="AF267" s="179">
        <f t="shared" si="93"/>
        <v>0.78437331048060788</v>
      </c>
      <c r="AG267" s="837">
        <f t="shared" si="99"/>
        <v>2</v>
      </c>
      <c r="AH267" s="178">
        <f t="shared" si="94"/>
        <v>8</v>
      </c>
      <c r="AI267" s="227">
        <f t="shared" si="95"/>
        <v>2.7843733104806079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45911</v>
      </c>
      <c r="B268" s="1139">
        <f>IF(t&gt;Tmaj,'2024'!Wh/'2024'!Env_an*'2025'!Env_an,0.001*'[11]mon-tableau (3)'!$B$212)</f>
        <v>40.645326759593125</v>
      </c>
      <c r="C268" s="866"/>
      <c r="D268" s="395">
        <f t="shared" si="77"/>
        <v>43.17854919222146</v>
      </c>
      <c r="E268" s="387">
        <f t="shared" si="100"/>
        <v>46.130701094837399</v>
      </c>
      <c r="F268" s="387">
        <f t="shared" si="78"/>
        <v>46.183499511133455</v>
      </c>
      <c r="G268" s="110">
        <f t="shared" si="101"/>
        <v>0.94953938517727643</v>
      </c>
      <c r="H268" s="414" t="b">
        <f>Wh_hp&gt;='2024'!Maxi_hp</f>
        <v>1</v>
      </c>
      <c r="I268" s="392">
        <f>IF(H268,Wh_hp,'2024'!Maxi_hp)</f>
        <v>46.183499511133455</v>
      </c>
      <c r="J268" s="85">
        <f>IF(H268,An,'2024'!An_max)</f>
        <v>2025</v>
      </c>
      <c r="K268" s="199">
        <f t="shared" si="79"/>
        <v>45911</v>
      </c>
      <c r="L268" s="147">
        <f>IF(t&lt;Tvie,1-EXP((T0-t)*PertePVj)+'2024'!Pspv,1-EXP((T0-t)*PertePVj)+Pspv)</f>
        <v>5.8668539819413223E-2</v>
      </c>
      <c r="M268" s="870"/>
      <c r="N268" s="870"/>
      <c r="O268" s="48">
        <f>IF(t&lt;Tnet,'2024'!Resal+('2024'!Salim-'2024'!Resal)*(1-EXP(('2024'!Tnet-t)/('2024'!Tau_j))),Resal+(Salim-Resal)*(1-EXP((Tnet-t)/(Tau_j))))*Salcycl</f>
        <v>6.3995383390050453E-2</v>
      </c>
      <c r="P268" s="171">
        <f>(INDEX(Models!$BJ268:$BT268,,T268)*(1-R268)+INDEX(Models!$BJ268:$BT268,,T268+1)*R268-ERP_i)*Q268*Ramure*Pc/MaxiM</f>
        <v>1.231885256429746E-3</v>
      </c>
      <c r="Q268" s="307">
        <f t="shared" si="80"/>
        <v>1</v>
      </c>
      <c r="R268" s="179">
        <f t="shared" si="81"/>
        <v>0.85000669696490894</v>
      </c>
      <c r="S268" s="837">
        <f t="shared" si="82"/>
        <v>-3</v>
      </c>
      <c r="T268" s="178">
        <f t="shared" si="83"/>
        <v>3</v>
      </c>
      <c r="U268" s="253">
        <f t="shared" si="84"/>
        <v>-2.1499933030350911</v>
      </c>
      <c r="V268" s="385">
        <f t="shared" si="85"/>
        <v>42.801509758956136</v>
      </c>
      <c r="W268" s="404">
        <f t="shared" si="86"/>
        <v>40.645326759593125</v>
      </c>
      <c r="X268" s="157">
        <f t="shared" si="87"/>
        <v>45911</v>
      </c>
      <c r="Y268" s="387">
        <f t="shared" si="88"/>
        <v>37.147925625693965</v>
      </c>
      <c r="Z268" s="387">
        <f t="shared" si="89"/>
        <v>39.463172322496732</v>
      </c>
      <c r="AA268" s="388">
        <f t="shared" si="90"/>
        <v>45.207246362743852</v>
      </c>
      <c r="AB268" s="199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0.12706091395517768</v>
      </c>
      <c r="AD268" s="233">
        <f>(INDEX(Models!$BJ268:$BT268,,AH268)*(1-AF268)+INDEX(Models!$BJ268:$BT268,,AH268+1)*AF268-ERP_i)*AE268*Ramure*Pc/MaxiM</f>
        <v>2.2777801767779875E-2</v>
      </c>
      <c r="AE268" s="307">
        <f t="shared" si="92"/>
        <v>1</v>
      </c>
      <c r="AF268" s="179">
        <f t="shared" si="93"/>
        <v>0.78498928988847938</v>
      </c>
      <c r="AG268" s="837">
        <f t="shared" si="99"/>
        <v>2</v>
      </c>
      <c r="AH268" s="178">
        <f t="shared" si="94"/>
        <v>8</v>
      </c>
      <c r="AI268" s="227">
        <f t="shared" si="95"/>
        <v>2.7849892898884794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45912</v>
      </c>
      <c r="B269" s="1139">
        <f>IF(t&gt;Tmaj,'2024'!Wh/'2024'!Env_an*'2025'!Env_an,0.001*'[11]mon-tableau (3)'!$B$213)</f>
        <v>28.25449239951427</v>
      </c>
      <c r="C269" s="866"/>
      <c r="D269" s="395">
        <f t="shared" si="77"/>
        <v>30.016153855848955</v>
      </c>
      <c r="E269" s="387">
        <f t="shared" si="100"/>
        <v>32.075884212245839</v>
      </c>
      <c r="F269" s="387">
        <f t="shared" si="78"/>
        <v>32.09708646321095</v>
      </c>
      <c r="G269" s="110">
        <f t="shared" si="101"/>
        <v>0.6655460067358806</v>
      </c>
      <c r="H269" s="414" t="b">
        <f>Wh_hp&gt;='2024'!Maxi_hp</f>
        <v>0</v>
      </c>
      <c r="I269" s="392">
        <f>IF(H269,Wh_hp,'2024'!Maxi_hp)</f>
        <v>47.332460641090549</v>
      </c>
      <c r="J269" s="85">
        <f>IF(H269,An,'2024'!An_max)</f>
        <v>2019</v>
      </c>
      <c r="K269" s="199">
        <f t="shared" si="79"/>
        <v>45912</v>
      </c>
      <c r="L269" s="147">
        <f>IF(t&lt;Tvie,1-EXP((T0-t)*PertePVj)+'2024'!Pspv,1-EXP((T0-t)*PertePVj)+Pspv)</f>
        <v>5.8690445977688355E-2</v>
      </c>
      <c r="M269" s="870"/>
      <c r="N269" s="870"/>
      <c r="O269" s="48">
        <f>IF(t&lt;Tnet,'2024'!Resal+('2024'!Salim-'2024'!Resal)*(1-EXP(('2024'!Tnet-t)/('2024'!Tau_j))),Resal+(Salim-Resal)*(1-EXP((Tnet-t)/(Tau_j))))*Salcycl</f>
        <v>6.4214297032863174E-2</v>
      </c>
      <c r="P269" s="171">
        <f>(INDEX(Models!$BJ269:$BT269,,T269)*(1-R269)+INDEX(Models!$BJ269:$BT269,,T269+1)*R269-ERP_i)*Q269*Ramure*Pc/MaxiM</f>
        <v>1.2635581070472891E-3</v>
      </c>
      <c r="Q269" s="307">
        <f t="shared" si="80"/>
        <v>1</v>
      </c>
      <c r="R269" s="179">
        <f t="shared" si="81"/>
        <v>0.8505989170991306</v>
      </c>
      <c r="S269" s="837">
        <f t="shared" si="82"/>
        <v>-3</v>
      </c>
      <c r="T269" s="178">
        <f t="shared" si="83"/>
        <v>3</v>
      </c>
      <c r="U269" s="253">
        <f t="shared" si="84"/>
        <v>-2.1494010829008694</v>
      </c>
      <c r="V269" s="385">
        <f t="shared" si="85"/>
        <v>42.427486037451004</v>
      </c>
      <c r="W269" s="404">
        <f t="shared" si="86"/>
        <v>28.25449239951427</v>
      </c>
      <c r="X269" s="157">
        <f t="shared" si="87"/>
        <v>45912</v>
      </c>
      <c r="Y269" s="387">
        <f t="shared" si="88"/>
        <v>26.04936898961359</v>
      </c>
      <c r="Z269" s="387">
        <f t="shared" si="89"/>
        <v>27.673541480910274</v>
      </c>
      <c r="AA269" s="388">
        <f t="shared" si="90"/>
        <v>31.704406476134416</v>
      </c>
      <c r="AB269" s="199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0.12713895143434994</v>
      </c>
      <c r="AD269" s="233">
        <f>(INDEX(Models!$BJ269:$BT269,,AH269)*(1-AF269)+INDEX(Models!$BJ269:$BT269,,AH269+1)*AF269-ERP_i)*AE269*Ramure*Pc/MaxiM</f>
        <v>2.3401948310213957E-2</v>
      </c>
      <c r="AE269" s="307">
        <f t="shared" si="92"/>
        <v>1</v>
      </c>
      <c r="AF269" s="179">
        <f t="shared" si="93"/>
        <v>0.78558151002270105</v>
      </c>
      <c r="AG269" s="837">
        <f t="shared" si="99"/>
        <v>2</v>
      </c>
      <c r="AH269" s="178">
        <f t="shared" si="94"/>
        <v>8</v>
      </c>
      <c r="AI269" s="227">
        <f t="shared" si="95"/>
        <v>2.785581510022701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45913</v>
      </c>
      <c r="B270" s="1139">
        <f>IF(t&gt;Tmaj,'2024'!Wh/'2024'!Env_an*'2025'!Env_an,0.001*'[11]mon-tableau (3)'!$B$214)</f>
        <v>11.731343598974917</v>
      </c>
      <c r="C270" s="866"/>
      <c r="D270" s="395">
        <f t="shared" si="77"/>
        <v>12.463080355130622</v>
      </c>
      <c r="E270" s="387">
        <f t="shared" si="100"/>
        <v>13.321400631632867</v>
      </c>
      <c r="F270" s="387">
        <f t="shared" si="78"/>
        <v>13.321400631632867</v>
      </c>
      <c r="G270" s="110">
        <f t="shared" si="101"/>
        <v>0.2786251324198265</v>
      </c>
      <c r="H270" s="414" t="b">
        <f>Wh_hp&gt;='2024'!Maxi_hp</f>
        <v>0</v>
      </c>
      <c r="I270" s="392">
        <f>IF(H270,Wh_hp,'2024'!Maxi_hp)</f>
        <v>44.332714285498227</v>
      </c>
      <c r="J270" s="85">
        <f>IF(H270,An,'2024'!An_max)</f>
        <v>2020</v>
      </c>
      <c r="K270" s="199">
        <f t="shared" si="79"/>
        <v>45913</v>
      </c>
      <c r="L270" s="147">
        <f>IF(t&lt;Tvie,1-EXP((T0-t)*PertePVj)+'2024'!Pspv,1-EXP((T0-t)*PertePVj)+Pspv)</f>
        <v>5.8712351626175163E-2</v>
      </c>
      <c r="M270" s="870"/>
      <c r="N270" s="870"/>
      <c r="O270" s="48">
        <f>IF(t&lt;Tnet,'2024'!Resal+('2024'!Salim-'2024'!Resal)*(1-EXP(('2024'!Tnet-t)/('2024'!Tau_j))),Resal+(Salim-Resal)*(1-EXP((Tnet-t)/(Tau_j))))*Salcycl</f>
        <v>6.4431684042598927E-2</v>
      </c>
      <c r="P270" s="171">
        <f>(INDEX(Models!$BJ270:$BT270,,T270)*(1-R270)+INDEX(Models!$BJ270:$BT270,,T270+1)*R270-ERP_i)*Q270*Ramure*Pc/MaxiM</f>
        <v>1.2946891597627921E-3</v>
      </c>
      <c r="Q270" s="307">
        <f t="shared" si="80"/>
        <v>1</v>
      </c>
      <c r="R270" s="179">
        <f t="shared" si="81"/>
        <v>0.8511682548586248</v>
      </c>
      <c r="S270" s="837">
        <f t="shared" si="82"/>
        <v>-3</v>
      </c>
      <c r="T270" s="178">
        <f t="shared" si="83"/>
        <v>3</v>
      </c>
      <c r="U270" s="253">
        <f t="shared" si="84"/>
        <v>-2.1488317451413752</v>
      </c>
      <c r="V270" s="385">
        <f t="shared" si="85"/>
        <v>42.049886361055947</v>
      </c>
      <c r="W270" s="404">
        <f t="shared" si="86"/>
        <v>11.731343598974917</v>
      </c>
      <c r="X270" s="157">
        <f t="shared" si="87"/>
        <v>45913</v>
      </c>
      <c r="Y270" s="387">
        <f t="shared" si="88"/>
        <v>10.944088155968416</v>
      </c>
      <c r="Z270" s="387">
        <f t="shared" si="89"/>
        <v>11.626720243142996</v>
      </c>
      <c r="AA270" s="388">
        <f t="shared" si="90"/>
        <v>13.321400631632867</v>
      </c>
      <c r="AB270" s="199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0.12721488042824108</v>
      </c>
      <c r="AD270" s="233">
        <f>(INDEX(Models!$BJ270:$BT270,,AH270)*(1-AF270)+INDEX(Models!$BJ270:$BT270,,AH270+1)*AF270-ERP_i)*AE270*Ramure*Pc/MaxiM</f>
        <v>2.408922071072531E-2</v>
      </c>
      <c r="AE270" s="307">
        <f t="shared" si="92"/>
        <v>1</v>
      </c>
      <c r="AF270" s="179">
        <f t="shared" si="93"/>
        <v>0.78615084778219524</v>
      </c>
      <c r="AG270" s="837">
        <f t="shared" si="99"/>
        <v>2</v>
      </c>
      <c r="AH270" s="178">
        <f t="shared" si="94"/>
        <v>8</v>
      </c>
      <c r="AI270" s="227">
        <f t="shared" si="95"/>
        <v>2.7861508477821952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45914</v>
      </c>
      <c r="B271" s="1139">
        <f>IF(t&gt;Tmaj,'2024'!Wh/'2024'!Env_an*'2025'!Env_an,0.001*'[11]mon-tableau (3)'!$B$215)</f>
        <v>34.301405494434739</v>
      </c>
      <c r="C271" s="866"/>
      <c r="D271" s="395">
        <f t="shared" ref="D271:D334" si="102">Wh/(1-Ppv)</f>
        <v>36.441786754653783</v>
      </c>
      <c r="E271" s="387">
        <f t="shared" si="100"/>
        <v>38.960484685716906</v>
      </c>
      <c r="F271" s="387">
        <f t="shared" ref="F271:F334" si="103">Wh_sa/(1-Pvg*MEDIAN((-Sdif+Wh/Env_an)/Csdif,0,1))</f>
        <v>38.999113348497076</v>
      </c>
      <c r="G271" s="110">
        <f t="shared" si="101"/>
        <v>0.82290761676525981</v>
      </c>
      <c r="H271" s="414" t="b">
        <f>Wh_hp&gt;='2024'!Maxi_hp</f>
        <v>0</v>
      </c>
      <c r="I271" s="392">
        <f>IF(H271,Wh_hp,'2024'!Maxi_hp)</f>
        <v>43.753374021516187</v>
      </c>
      <c r="J271" s="85">
        <f>IF(H271,An,'2024'!An_max)</f>
        <v>2020</v>
      </c>
      <c r="K271" s="199">
        <f t="shared" ref="K271:K334" si="104">t</f>
        <v>45914</v>
      </c>
      <c r="L271" s="147">
        <f>IF(t&lt;Tvie,1-EXP((T0-t)*PertePVj)+'2024'!Pspv,1-EXP((T0-t)*PertePVj)+Pspv)</f>
        <v>5.873425676488564E-2</v>
      </c>
      <c r="M271" s="870"/>
      <c r="N271" s="870"/>
      <c r="O271" s="48">
        <f>IF(t&lt;Tnet,'2024'!Resal+('2024'!Salim-'2024'!Resal)*(1-EXP(('2024'!Tnet-t)/('2024'!Tau_j))),Resal+(Salim-Resal)*(1-EXP((Tnet-t)/(Tau_j))))*Salcycl</f>
        <v>6.4647499931808836E-2</v>
      </c>
      <c r="P271" s="171">
        <f>(INDEX(Models!$BJ271:$BT271,,T271)*(1-R271)+INDEX(Models!$BJ271:$BT271,,T271+1)*R271-ERP_i)*Q271*Ramure*Pc/MaxiM</f>
        <v>1.3252535654048909E-3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0.85171555784483477</v>
      </c>
      <c r="S271" s="837">
        <f t="shared" ref="S271:S334" si="107">INDEX(Echel_vg,T271)</f>
        <v>-3</v>
      </c>
      <c r="T271" s="178">
        <f t="shared" ref="T271:T334" si="108">MIN(MATCH(Hp_vg,Echel_vg),10)</f>
        <v>3</v>
      </c>
      <c r="U271" s="253">
        <f t="shared" ref="U271:U334" si="109">IF(OR(t&lt;Ttai,Notai),Hdd+PousH*Croivg,Hdtf+PousH*(Croivg-Croi_tai))</f>
        <v>-2.1482844421551652</v>
      </c>
      <c r="V271" s="385">
        <f t="shared" ref="V271:V334" si="110">MaxiM*(1-Ppv)*(1-Pvg)*(1-Psa)</f>
        <v>41.669211621613279</v>
      </c>
      <c r="W271" s="404">
        <f t="shared" ref="W271:W334" si="111">Wh*(A271&gt;Tmaj)</f>
        <v>34.301405494434739</v>
      </c>
      <c r="X271" s="157">
        <f t="shared" ref="X271:X334" si="112">t</f>
        <v>45914</v>
      </c>
      <c r="Y271" s="387">
        <f t="shared" ref="Y271:Y334" si="113">Wh_pvt_s*(1-Ppv)</f>
        <v>31.44115584906266</v>
      </c>
      <c r="Z271" s="387">
        <f t="shared" ref="Z271:Z334" si="114">Wh_sa_s*(1-Psa_s)</f>
        <v>33.403059736350272</v>
      </c>
      <c r="AA271" s="388">
        <f t="shared" ref="AA271:AA334" si="115">Wh_hp*(1-Pvg_s*MEDIAN((-Sdif+Wh/Env_an)/Csdif,0,1))</f>
        <v>38.275036563417792</v>
      </c>
      <c r="AB271" s="199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0.12728862633469096</v>
      </c>
      <c r="AD271" s="233">
        <f>(INDEX(Models!$BJ271:$BT271,,AH271)*(1-AF271)+INDEX(Models!$BJ271:$BT271,,AH271+1)*AF271-ERP_i)*AE271*Ramure*Pc/MaxiM</f>
        <v>2.4841277745339951E-2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0.78669815076840521</v>
      </c>
      <c r="AG271" s="837">
        <f t="shared" si="99"/>
        <v>2</v>
      </c>
      <c r="AH271" s="178">
        <f t="shared" ref="AH271:AH334" si="119">MIN(MATCH(Hp_vg_s,Echel_vg),10)</f>
        <v>8</v>
      </c>
      <c r="AI271" s="227">
        <f t="shared" ref="AI271:AI334" si="120">IF(OR(t&lt;Ttai,Notai),Hdd_s+PousH*Croivg,Hdtai_s+PousH*(Croivg-Croi_tai))</f>
        <v>2.7866981507684052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45915</v>
      </c>
      <c r="B272" s="1139">
        <f>IF(t&gt;Tmaj,'2024'!Wh/'2024'!Env_an*'2025'!Env_an,0.001*'[11]mon-tableau (3)'!$B$216)</f>
        <v>37.433452819867419</v>
      </c>
      <c r="C272" s="866"/>
      <c r="D272" s="395">
        <f t="shared" si="102"/>
        <v>39.770196929310444</v>
      </c>
      <c r="E272" s="387">
        <f t="shared" si="100"/>
        <v>42.528679308297498</v>
      </c>
      <c r="F272" s="387">
        <f t="shared" si="103"/>
        <v>42.578690843523695</v>
      </c>
      <c r="G272" s="110">
        <f t="shared" si="101"/>
        <v>0.9065231933039507</v>
      </c>
      <c r="H272" s="414" t="b">
        <f>Wh_hp&gt;='2024'!Maxi_hp</f>
        <v>0</v>
      </c>
      <c r="I272" s="392">
        <f>IF(H272,Wh_hp,'2024'!Maxi_hp)</f>
        <v>44.298163479728281</v>
      </c>
      <c r="J272" s="85">
        <f>IF(H272,An,'2024'!An_max)</f>
        <v>2020</v>
      </c>
      <c r="K272" s="199">
        <f t="shared" si="104"/>
        <v>45915</v>
      </c>
      <c r="L272" s="147">
        <f>IF(t&lt;Tvie,1-EXP((T0-t)*PertePVj)+'2024'!Pspv,1-EXP((T0-t)*PertePVj)+Pspv)</f>
        <v>5.8756161393831441E-2</v>
      </c>
      <c r="M272" s="870"/>
      <c r="N272" s="870"/>
      <c r="O272" s="48">
        <f>IF(t&lt;Tnet,'2024'!Resal+('2024'!Salim-'2024'!Resal)*(1-EXP(('2024'!Tnet-t)/('2024'!Tau_j))),Resal+(Salim-Resal)*(1-EXP((Tnet-t)/(Tau_j))))*Salcycl</f>
        <v>6.4861698596148626E-2</v>
      </c>
      <c r="P272" s="171">
        <f>(INDEX(Models!$BJ272:$BT272,,T272)*(1-R272)+INDEX(Models!$BJ272:$BT272,,T272+1)*R272-ERP_i)*Q272*Ramure*Pc/MaxiM</f>
        <v>1.3552240520196112E-3</v>
      </c>
      <c r="Q272" s="307">
        <f t="shared" si="105"/>
        <v>1</v>
      </c>
      <c r="R272" s="179">
        <f t="shared" si="106"/>
        <v>0.85224164509869205</v>
      </c>
      <c r="S272" s="837">
        <f t="shared" si="107"/>
        <v>-3</v>
      </c>
      <c r="T272" s="178">
        <f t="shared" si="108"/>
        <v>3</v>
      </c>
      <c r="U272" s="253">
        <f t="shared" si="109"/>
        <v>-2.147758354901308</v>
      </c>
      <c r="V272" s="385">
        <f t="shared" si="110"/>
        <v>41.285962163407063</v>
      </c>
      <c r="W272" s="404">
        <f t="shared" si="111"/>
        <v>37.433452819867419</v>
      </c>
      <c r="X272" s="157">
        <f t="shared" si="112"/>
        <v>45915</v>
      </c>
      <c r="Y272" s="387">
        <f t="shared" si="113"/>
        <v>34.194959966227316</v>
      </c>
      <c r="Z272" s="387">
        <f t="shared" si="114"/>
        <v>36.329544549119788</v>
      </c>
      <c r="AA272" s="388">
        <f t="shared" si="115"/>
        <v>41.631771653600531</v>
      </c>
      <c r="AB272" s="199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0.12736011209415299</v>
      </c>
      <c r="AD272" s="233">
        <f>(INDEX(Models!$BJ272:$BT272,,AH272)*(1-AF272)+INDEX(Models!$BJ272:$BT272,,AH272+1)*AF272-ERP_i)*AE272*Ramure*Pc/MaxiM</f>
        <v>2.5659833390410954E-2</v>
      </c>
      <c r="AE272" s="307">
        <f t="shared" si="117"/>
        <v>1</v>
      </c>
      <c r="AF272" s="179">
        <f t="shared" si="118"/>
        <v>0.78722423802226249</v>
      </c>
      <c r="AG272" s="837">
        <f t="shared" ref="AG272:AG335" si="124">INDEX(Echel_vg,AH272)</f>
        <v>2</v>
      </c>
      <c r="AH272" s="178">
        <f t="shared" si="119"/>
        <v>8</v>
      </c>
      <c r="AI272" s="227">
        <f t="shared" si="120"/>
        <v>2.7872242380222625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45916</v>
      </c>
      <c r="B273" s="1139">
        <f>IF(t&gt;Tmaj,'2024'!Wh/'2024'!Env_an*'2025'!Env_an,0.001*'[11]mon-tableau (3)'!$B$217)</f>
        <v>25.838160425850216</v>
      </c>
      <c r="C273" s="866"/>
      <c r="D273" s="395">
        <f t="shared" si="102"/>
        <v>27.451719386388525</v>
      </c>
      <c r="E273" s="387">
        <f t="shared" si="100"/>
        <v>29.362458856873847</v>
      </c>
      <c r="F273" s="387">
        <f t="shared" si="103"/>
        <v>29.381737629623014</v>
      </c>
      <c r="G273" s="110">
        <f t="shared" si="101"/>
        <v>0.6312695440724625</v>
      </c>
      <c r="H273" s="414" t="b">
        <f>Wh_hp&gt;='2024'!Maxi_hp</f>
        <v>0</v>
      </c>
      <c r="I273" s="392">
        <f>IF(H273,Wh_hp,'2024'!Maxi_hp)</f>
        <v>41.309842416196986</v>
      </c>
      <c r="J273" s="85">
        <f>IF(H273,An,'2024'!An_max)</f>
        <v>2019</v>
      </c>
      <c r="K273" s="199">
        <f t="shared" si="104"/>
        <v>45916</v>
      </c>
      <c r="L273" s="147">
        <f>IF(t&lt;Tvie,1-EXP((T0-t)*PertePVj)+'2024'!Pspv,1-EXP((T0-t)*PertePVj)+Pspv)</f>
        <v>5.8778065513024558E-2</v>
      </c>
      <c r="M273" s="870"/>
      <c r="N273" s="870"/>
      <c r="O273" s="48">
        <f>IF(t&lt;Tnet,'2024'!Resal+('2024'!Salim-'2024'!Resal)*(1-EXP(('2024'!Tnet-t)/('2024'!Tau_j))),Resal+(Salim-Resal)*(1-EXP((Tnet-t)/(Tau_j))))*Salcycl</f>
        <v>6.5074232365863696E-2</v>
      </c>
      <c r="P273" s="171">
        <f>(INDEX(Models!$BJ273:$BT273,,T273)*(1-R273)+INDEX(Models!$BJ273:$BT273,,T273+1)*R273-ERP_i)*Q273*Ramure*Pc/MaxiM</f>
        <v>1.3845708451853882E-3</v>
      </c>
      <c r="Q273" s="307">
        <f t="shared" si="105"/>
        <v>1</v>
      </c>
      <c r="R273" s="179">
        <f t="shared" si="106"/>
        <v>0.85274730783934594</v>
      </c>
      <c r="S273" s="837">
        <f t="shared" si="107"/>
        <v>-3</v>
      </c>
      <c r="T273" s="178">
        <f t="shared" si="108"/>
        <v>3</v>
      </c>
      <c r="U273" s="253">
        <f t="shared" si="109"/>
        <v>-2.1472526921606541</v>
      </c>
      <c r="V273" s="385">
        <f t="shared" si="110"/>
        <v>40.900637783430042</v>
      </c>
      <c r="W273" s="404">
        <f t="shared" si="111"/>
        <v>25.838160425850216</v>
      </c>
      <c r="X273" s="157">
        <f t="shared" si="112"/>
        <v>45916</v>
      </c>
      <c r="Y273" s="387">
        <f t="shared" si="113"/>
        <v>23.827137982216247</v>
      </c>
      <c r="Z273" s="387">
        <f t="shared" si="114"/>
        <v>25.315111249721905</v>
      </c>
      <c r="AA273" s="388">
        <f t="shared" si="115"/>
        <v>29.012101873711483</v>
      </c>
      <c r="AB273" s="199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0.12742925831718185</v>
      </c>
      <c r="AD273" s="233">
        <f>(INDEX(Models!$BJ273:$BT273,,AH273)*(1-AF273)+INDEX(Models!$BJ273:$BT273,,AH273+1)*AF273-ERP_i)*AE273*Ramure*Pc/MaxiM</f>
        <v>2.654665302775951E-2</v>
      </c>
      <c r="AE273" s="307">
        <f t="shared" si="117"/>
        <v>1</v>
      </c>
      <c r="AF273" s="179">
        <f t="shared" si="118"/>
        <v>0.78772990076291638</v>
      </c>
      <c r="AG273" s="837">
        <f t="shared" si="124"/>
        <v>2</v>
      </c>
      <c r="AH273" s="178">
        <f t="shared" si="119"/>
        <v>8</v>
      </c>
      <c r="AI273" s="227">
        <f t="shared" si="120"/>
        <v>2.7877299007629164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45917</v>
      </c>
      <c r="B274" s="1139">
        <f>IF(t&gt;Tmaj,'2024'!Wh/'2024'!Env_an*'2025'!Env_an,0.001*'[11]mon-tableau (3)'!$B$218)</f>
        <v>40.563269949015684</v>
      </c>
      <c r="C274" s="866"/>
      <c r="D274" s="395">
        <f t="shared" si="102"/>
        <v>43.097395472030229</v>
      </c>
      <c r="E274" s="387">
        <f t="shared" si="100"/>
        <v>46.107527827499517</v>
      </c>
      <c r="F274" s="387">
        <f t="shared" si="103"/>
        <v>46.17278204682993</v>
      </c>
      <c r="G274" s="110">
        <f t="shared" si="101"/>
        <v>1.0012226029271671</v>
      </c>
      <c r="H274" s="414" t="b">
        <f>Wh_hp&gt;='2024'!Maxi_hp</f>
        <v>1</v>
      </c>
      <c r="I274" s="392">
        <f>IF(H274,Wh_hp,'2024'!Maxi_hp)</f>
        <v>46.17278204682993</v>
      </c>
      <c r="J274" s="85">
        <f>IF(H274,An,'2024'!An_max)</f>
        <v>2025</v>
      </c>
      <c r="K274" s="199">
        <f t="shared" si="104"/>
        <v>45917</v>
      </c>
      <c r="L274" s="147">
        <f>IF(t&lt;Tvie,1-EXP((T0-t)*PertePVj)+'2024'!Pspv,1-EXP((T0-t)*PertePVj)+Pspv)</f>
        <v>5.8799969122476758E-2</v>
      </c>
      <c r="M274" s="870"/>
      <c r="N274" s="870"/>
      <c r="O274" s="48">
        <f>IF(t&lt;Tnet,'2024'!Resal+('2024'!Salim-'2024'!Resal)*(1-EXP(('2024'!Tnet-t)/('2024'!Tau_j))),Resal+(Salim-Resal)*(1-EXP((Tnet-t)/(Tau_j))))*Salcycl</f>
        <v>6.528505207936959E-2</v>
      </c>
      <c r="P274" s="171">
        <f>(INDEX(Models!$BJ274:$BT274,,T274)*(1-R274)+INDEX(Models!$BJ274:$BT274,,T274+1)*R274-ERP_i)*Q274*Ramure*Pc/MaxiM</f>
        <v>1.4132615891377935E-3</v>
      </c>
      <c r="Q274" s="307">
        <f t="shared" si="105"/>
        <v>1</v>
      </c>
      <c r="R274" s="179">
        <f t="shared" si="106"/>
        <v>0.85323331020248361</v>
      </c>
      <c r="S274" s="837">
        <f t="shared" si="107"/>
        <v>-3</v>
      </c>
      <c r="T274" s="178">
        <f t="shared" si="108"/>
        <v>3</v>
      </c>
      <c r="U274" s="253">
        <f t="shared" si="109"/>
        <v>-2.1467666897975164</v>
      </c>
      <c r="V274" s="385">
        <f t="shared" si="110"/>
        <v>40.513737734670784</v>
      </c>
      <c r="W274" s="404">
        <f t="shared" si="111"/>
        <v>40.563269949015684</v>
      </c>
      <c r="X274" s="157">
        <f t="shared" si="112"/>
        <v>45917</v>
      </c>
      <c r="Y274" s="387">
        <f t="shared" si="113"/>
        <v>36.874270360893284</v>
      </c>
      <c r="Z274" s="387">
        <f t="shared" si="114"/>
        <v>39.177931524836161</v>
      </c>
      <c r="AA274" s="388">
        <f t="shared" si="115"/>
        <v>44.902866670885984</v>
      </c>
      <c r="AB274" s="199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0.12749598345269444</v>
      </c>
      <c r="AD274" s="233">
        <f>(INDEX(Models!$BJ274:$BT274,,AH274)*(1-AF274)+INDEX(Models!$BJ274:$BT274,,AH274+1)*AF274-ERP_i)*AE274*Ramure*Pc/MaxiM</f>
        <v>2.750354905311864E-2</v>
      </c>
      <c r="AE274" s="307">
        <f t="shared" si="117"/>
        <v>1</v>
      </c>
      <c r="AF274" s="179">
        <f t="shared" si="118"/>
        <v>0.78821590312605405</v>
      </c>
      <c r="AG274" s="837">
        <f t="shared" si="124"/>
        <v>2</v>
      </c>
      <c r="AH274" s="178">
        <f t="shared" si="119"/>
        <v>8</v>
      </c>
      <c r="AI274" s="227">
        <f t="shared" si="120"/>
        <v>2.7882159031260541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45918</v>
      </c>
      <c r="B275" s="1139">
        <f>IF(t&gt;Tmaj,'2024'!Wh/'2024'!Env_an*'2025'!Env_an,0.001*'[11]mon-tableau (3)'!$B$219)</f>
        <v>40.88385226012123</v>
      </c>
      <c r="C275" s="866"/>
      <c r="D275" s="395">
        <f t="shared" si="102"/>
        <v>43.43901654052609</v>
      </c>
      <c r="E275" s="387">
        <f t="shared" si="100"/>
        <v>46.483405695227077</v>
      </c>
      <c r="F275" s="387">
        <f t="shared" si="103"/>
        <v>46.550502444170561</v>
      </c>
      <c r="G275" s="110">
        <f t="shared" si="101"/>
        <v>1.0189736869084016</v>
      </c>
      <c r="H275" s="414" t="b">
        <f>Wh_hp&gt;='2024'!Maxi_hp</f>
        <v>1</v>
      </c>
      <c r="I275" s="392">
        <f>IF(H275,Wh_hp,'2024'!Maxi_hp)</f>
        <v>46.550502444170561</v>
      </c>
      <c r="J275" s="85">
        <f>IF(H275,An,'2024'!An_max)</f>
        <v>2025</v>
      </c>
      <c r="K275" s="199">
        <f t="shared" si="104"/>
        <v>45918</v>
      </c>
      <c r="L275" s="147">
        <f>IF(t&lt;Tvie,1-EXP((T0-t)*PertePVj)+'2024'!Pspv,1-EXP((T0-t)*PertePVj)+Pspv)</f>
        <v>5.8821872222200033E-2</v>
      </c>
      <c r="M275" s="870"/>
      <c r="N275" s="870"/>
      <c r="O275" s="48">
        <f>IF(t&lt;Tnet,'2024'!Resal+('2024'!Salim-'2024'!Resal)*(1-EXP(('2024'!Tnet-t)/('2024'!Tau_j))),Resal+(Salim-Resal)*(1-EXP((Tnet-t)/(Tau_j))))*Salcycl</f>
        <v>6.5494107180136957E-2</v>
      </c>
      <c r="P275" s="171">
        <f>(INDEX(Models!$BJ275:$BT275,,T275)*(1-R275)+INDEX(Models!$BJ275:$BT275,,T275+1)*R275-ERP_i)*Q275*Ramure*Pc/MaxiM</f>
        <v>1.4413753970529963E-3</v>
      </c>
      <c r="Q275" s="307">
        <f t="shared" si="105"/>
        <v>1</v>
      </c>
      <c r="R275" s="179">
        <f t="shared" si="106"/>
        <v>0.8537003899762845</v>
      </c>
      <c r="S275" s="837">
        <f t="shared" si="107"/>
        <v>-3</v>
      </c>
      <c r="T275" s="178">
        <f t="shared" si="108"/>
        <v>3</v>
      </c>
      <c r="U275" s="253">
        <f t="shared" si="109"/>
        <v>-2.1462996100237155</v>
      </c>
      <c r="V275" s="385">
        <f t="shared" si="110"/>
        <v>40.122579008064605</v>
      </c>
      <c r="W275" s="404">
        <f t="shared" si="111"/>
        <v>40.88385226012123</v>
      </c>
      <c r="X275" s="157">
        <f t="shared" si="112"/>
        <v>45918</v>
      </c>
      <c r="Y275" s="387">
        <f t="shared" si="113"/>
        <v>37.132910252891385</v>
      </c>
      <c r="Z275" s="387">
        <f t="shared" si="114"/>
        <v>39.453647675138058</v>
      </c>
      <c r="AA275" s="388">
        <f t="shared" si="115"/>
        <v>45.222200839490064</v>
      </c>
      <c r="AB275" s="199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0.12756020399862197</v>
      </c>
      <c r="AD275" s="233">
        <f>(INDEX(Models!$BJ275:$BT275,,AH275)*(1-AF275)+INDEX(Models!$BJ275:$BT275,,AH275+1)*AF275-ERP_i)*AE275*Ramure*Pc/MaxiM</f>
        <v>2.8534635179793575E-2</v>
      </c>
      <c r="AE275" s="307">
        <f t="shared" si="117"/>
        <v>1</v>
      </c>
      <c r="AF275" s="179">
        <f t="shared" si="118"/>
        <v>0.78868298289985495</v>
      </c>
      <c r="AG275" s="837">
        <f t="shared" si="124"/>
        <v>2</v>
      </c>
      <c r="AH275" s="178">
        <f t="shared" si="119"/>
        <v>8</v>
      </c>
      <c r="AI275" s="227">
        <f t="shared" si="120"/>
        <v>2.7886829828998549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45919</v>
      </c>
      <c r="B276" s="1139">
        <f>IF(t&gt;Tmaj,'2024'!Wh/'2024'!Env_an*'2025'!Env_an,0.001*'[11]mon-tableau (3)'!$B$220)</f>
        <v>39.203068623512756</v>
      </c>
      <c r="C276" s="866"/>
      <c r="D276" s="395">
        <f t="shared" si="102"/>
        <v>41.654156424126469</v>
      </c>
      <c r="E276" s="387">
        <f t="shared" si="100"/>
        <v>44.583341995158278</v>
      </c>
      <c r="F276" s="387">
        <f t="shared" si="103"/>
        <v>44.647648994902973</v>
      </c>
      <c r="G276" s="110">
        <f t="shared" si="101"/>
        <v>0.98683935723040073</v>
      </c>
      <c r="H276" s="414" t="b">
        <f>Wh_hp&gt;='2024'!Maxi_hp</f>
        <v>1</v>
      </c>
      <c r="I276" s="392">
        <f>IF(H276,Wh_hp,'2024'!Maxi_hp)</f>
        <v>44.647648994902973</v>
      </c>
      <c r="J276" s="85">
        <f>IF(H276,An,'2024'!An_max)</f>
        <v>2025</v>
      </c>
      <c r="K276" s="199">
        <f t="shared" si="104"/>
        <v>45919</v>
      </c>
      <c r="L276" s="147">
        <f>IF(t&lt;Tvie,1-EXP((T0-t)*PertePVj)+'2024'!Pspv,1-EXP((T0-t)*PertePVj)+Pspv)</f>
        <v>5.8843774812206262E-2</v>
      </c>
      <c r="M276" s="870"/>
      <c r="N276" s="870"/>
      <c r="O276" s="48">
        <f>IF(t&lt;Tnet,'2024'!Resal+('2024'!Salim-'2024'!Resal)*(1-EXP(('2024'!Tnet-t)/('2024'!Tau_j))),Resal+(Salim-Resal)*(1-EXP((Tnet-t)/(Tau_j))))*Salcycl</f>
        <v>6.5701345837867339E-2</v>
      </c>
      <c r="P276" s="171">
        <f>(INDEX(Models!$BJ276:$BT276,,T276)*(1-R276)+INDEX(Models!$BJ276:$BT276,,T276+1)*R276-ERP_i)*Q276*Ramure*Pc/MaxiM</f>
        <v>1.4678622785864431E-3</v>
      </c>
      <c r="Q276" s="307">
        <f t="shared" si="105"/>
        <v>1</v>
      </c>
      <c r="R276" s="179">
        <f t="shared" si="106"/>
        <v>0.85414925933325048</v>
      </c>
      <c r="S276" s="837">
        <f t="shared" si="107"/>
        <v>-3</v>
      </c>
      <c r="T276" s="178">
        <f t="shared" si="108"/>
        <v>3</v>
      </c>
      <c r="U276" s="253">
        <f t="shared" si="109"/>
        <v>-2.1458507406667495</v>
      </c>
      <c r="V276" s="385">
        <f t="shared" si="110"/>
        <v>39.72479119641342</v>
      </c>
      <c r="W276" s="404">
        <f t="shared" si="111"/>
        <v>39.203068623512756</v>
      </c>
      <c r="X276" s="157">
        <f t="shared" si="112"/>
        <v>45919</v>
      </c>
      <c r="Y276" s="387">
        <f t="shared" si="113"/>
        <v>35.590658582861018</v>
      </c>
      <c r="Z276" s="387">
        <f t="shared" si="114"/>
        <v>37.8158881919518</v>
      </c>
      <c r="AA276" s="388">
        <f t="shared" si="115"/>
        <v>43.348045261288554</v>
      </c>
      <c r="AB276" s="199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0.12762183475611474</v>
      </c>
      <c r="AD276" s="233">
        <f>(INDEX(Models!$BJ276:$BT276,,AH276)*(1-AF276)+INDEX(Models!$BJ276:$BT276,,AH276+1)*AF276-ERP_i)*AE276*Ramure*Pc/MaxiM</f>
        <v>2.966456692515931E-2</v>
      </c>
      <c r="AE276" s="307">
        <f t="shared" si="117"/>
        <v>1</v>
      </c>
      <c r="AF276" s="179">
        <f t="shared" si="118"/>
        <v>0.78913185225682092</v>
      </c>
      <c r="AG276" s="837">
        <f t="shared" si="124"/>
        <v>2</v>
      </c>
      <c r="AH276" s="178">
        <f t="shared" si="119"/>
        <v>8</v>
      </c>
      <c r="AI276" s="227">
        <f t="shared" si="120"/>
        <v>2.7891318522568209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45920</v>
      </c>
      <c r="B277" s="1139">
        <f>IF(t&gt;Tmaj,'2024'!Wh/'2024'!Env_an*'2025'!Env_an,0.001*'[11]mon-tableau (3)'!$B$221)</f>
        <v>40.191740841127036</v>
      </c>
      <c r="C277" s="866"/>
      <c r="D277" s="395">
        <f t="shared" si="102"/>
        <v>42.705637074652181</v>
      </c>
      <c r="E277" s="387">
        <f t="shared" si="100"/>
        <v>45.71881391801459</v>
      </c>
      <c r="F277" s="387">
        <f t="shared" si="103"/>
        <v>45.787183013416701</v>
      </c>
      <c r="G277" s="110">
        <f t="shared" si="101"/>
        <v>1.0221378580498537</v>
      </c>
      <c r="H277" s="414" t="b">
        <f>Wh_hp&gt;='2024'!Maxi_hp</f>
        <v>1</v>
      </c>
      <c r="I277" s="392">
        <f>IF(H277,Wh_hp,'2024'!Maxi_hp)</f>
        <v>45.787183013416701</v>
      </c>
      <c r="J277" s="85">
        <f>IF(H277,An,'2024'!An_max)</f>
        <v>2025</v>
      </c>
      <c r="K277" s="199">
        <f t="shared" si="104"/>
        <v>45920</v>
      </c>
      <c r="L277" s="147">
        <f>IF(t&lt;Tvie,1-EXP((T0-t)*PertePVj)+'2024'!Pspv,1-EXP((T0-t)*PertePVj)+Pspv)</f>
        <v>5.8865676892507102E-2</v>
      </c>
      <c r="M277" s="870"/>
      <c r="N277" s="870"/>
      <c r="O277" s="48">
        <f>IF(t&lt;Tnet,'2024'!Resal+('2024'!Salim-'2024'!Resal)*(1-EXP(('2024'!Tnet-t)/('2024'!Tau_j))),Resal+(Salim-Resal)*(1-EXP((Tnet-t)/(Tau_j))))*Salcycl</f>
        <v>6.5906715094704693E-2</v>
      </c>
      <c r="P277" s="171">
        <f>(INDEX(Models!$BJ277:$BT277,,T277)*(1-R277)+INDEX(Models!$BJ277:$BT277,,T277+1)*R277-ERP_i)*Q277*Ramure*Pc/MaxiM</f>
        <v>1.4931928741298858E-3</v>
      </c>
      <c r="Q277" s="307">
        <f t="shared" si="105"/>
        <v>1</v>
      </c>
      <c r="R277" s="179">
        <f t="shared" si="106"/>
        <v>0.85458060555633297</v>
      </c>
      <c r="S277" s="837">
        <f t="shared" si="107"/>
        <v>-3</v>
      </c>
      <c r="T277" s="178">
        <f t="shared" si="108"/>
        <v>3</v>
      </c>
      <c r="U277" s="253">
        <f t="shared" si="109"/>
        <v>-2.145419394443667</v>
      </c>
      <c r="V277" s="385">
        <f t="shared" si="110"/>
        <v>39.321252534182847</v>
      </c>
      <c r="W277" s="404">
        <f t="shared" si="111"/>
        <v>40.191740841127036</v>
      </c>
      <c r="X277" s="157">
        <f t="shared" si="112"/>
        <v>45920</v>
      </c>
      <c r="Y277" s="387">
        <f t="shared" si="113"/>
        <v>36.429159890082374</v>
      </c>
      <c r="Z277" s="387">
        <f t="shared" si="114"/>
        <v>38.707715780462053</v>
      </c>
      <c r="AA277" s="388">
        <f t="shared" si="115"/>
        <v>44.373338679275044</v>
      </c>
      <c r="AB277" s="199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0.12768078912798089</v>
      </c>
      <c r="AD277" s="233">
        <f>(INDEX(Models!$BJ277:$BT277,,AH277)*(1-AF277)+INDEX(Models!$BJ277:$BT277,,AH277+1)*AF277-ERP_i)*AE277*Ramure*Pc/MaxiM</f>
        <v>3.0878604908438453E-2</v>
      </c>
      <c r="AE277" s="307">
        <f t="shared" si="117"/>
        <v>1</v>
      </c>
      <c r="AF277" s="179">
        <f t="shared" si="118"/>
        <v>0.78956319847990342</v>
      </c>
      <c r="AG277" s="837">
        <f t="shared" si="124"/>
        <v>2</v>
      </c>
      <c r="AH277" s="178">
        <f t="shared" si="119"/>
        <v>8</v>
      </c>
      <c r="AI277" s="227">
        <f t="shared" si="120"/>
        <v>2.7895631984799034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45921</v>
      </c>
      <c r="B278" s="1139">
        <f>IF(t&gt;Tmaj,'2024'!Wh/'2024'!Env_an*'2025'!Env_an,0.001*'[11]mon-tableau (3)'!$B$222)</f>
        <v>39.036527691950006</v>
      </c>
      <c r="C278" s="866"/>
      <c r="D278" s="395">
        <f t="shared" si="102"/>
        <v>41.479133415539593</v>
      </c>
      <c r="E278" s="387">
        <f t="shared" si="100"/>
        <v>44.415445682112832</v>
      </c>
      <c r="F278" s="387">
        <f t="shared" si="103"/>
        <v>44.482939873798394</v>
      </c>
      <c r="G278" s="110">
        <f t="shared" si="101"/>
        <v>1.0031780250081224</v>
      </c>
      <c r="H278" s="414" t="b">
        <f>Wh_hp&gt;='2024'!Maxi_hp</f>
        <v>1</v>
      </c>
      <c r="I278" s="392">
        <f>IF(H278,Wh_hp,'2024'!Maxi_hp)</f>
        <v>44.482939873798394</v>
      </c>
      <c r="J278" s="85">
        <f>IF(H278,An,'2024'!An_max)</f>
        <v>2025</v>
      </c>
      <c r="K278" s="199">
        <f t="shared" si="104"/>
        <v>45921</v>
      </c>
      <c r="L278" s="147">
        <f>IF(t&lt;Tvie,1-EXP((T0-t)*PertePVj)+'2024'!Pspv,1-EXP((T0-t)*PertePVj)+Pspv)</f>
        <v>5.8887578463114543E-2</v>
      </c>
      <c r="M278" s="870"/>
      <c r="N278" s="870"/>
      <c r="O278" s="48">
        <f>IF(t&lt;Tnet,'2024'!Resal+('2024'!Salim-'2024'!Resal)*(1-EXP(('2024'!Tnet-t)/('2024'!Tau_j))),Resal+(Salim-Resal)*(1-EXP((Tnet-t)/(Tau_j))))*Salcycl</f>
        <v>6.6110161036969234E-2</v>
      </c>
      <c r="P278" s="171">
        <f>(INDEX(Models!$BJ278:$BT278,,T278)*(1-R278)+INDEX(Models!$BJ278:$BT278,,T278+1)*R278-ERP_i)*Q278*Ramure*Pc/MaxiM</f>
        <v>1.5173051034182365E-3</v>
      </c>
      <c r="Q278" s="307">
        <f t="shared" si="105"/>
        <v>1</v>
      </c>
      <c r="R278" s="179">
        <f t="shared" si="106"/>
        <v>0.85499509175795563</v>
      </c>
      <c r="S278" s="837">
        <f t="shared" si="107"/>
        <v>-3</v>
      </c>
      <c r="T278" s="178">
        <f t="shared" si="108"/>
        <v>3</v>
      </c>
      <c r="U278" s="253">
        <f t="shared" si="109"/>
        <v>-2.1450049082420444</v>
      </c>
      <c r="V278" s="385">
        <f t="shared" si="110"/>
        <v>38.912861644506158</v>
      </c>
      <c r="W278" s="404">
        <f t="shared" si="111"/>
        <v>39.036527691950006</v>
      </c>
      <c r="X278" s="157">
        <f t="shared" si="112"/>
        <v>45921</v>
      </c>
      <c r="Y278" s="387">
        <f t="shared" si="113"/>
        <v>35.340884312799631</v>
      </c>
      <c r="Z278" s="387">
        <f t="shared" si="114"/>
        <v>37.552245092128452</v>
      </c>
      <c r="AA278" s="388">
        <f t="shared" si="115"/>
        <v>43.051515664331149</v>
      </c>
      <c r="AB278" s="199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0.12773697946153673</v>
      </c>
      <c r="AD278" s="233">
        <f>(INDEX(Models!$BJ278:$BT278,,AH278)*(1-AF278)+INDEX(Models!$BJ278:$BT278,,AH278+1)*AF278-ERP_i)*AE278*Ramure*Pc/MaxiM</f>
        <v>3.2179172813854143E-2</v>
      </c>
      <c r="AE278" s="307">
        <f t="shared" si="117"/>
        <v>1</v>
      </c>
      <c r="AF278" s="179">
        <f t="shared" si="118"/>
        <v>0.78997768468152607</v>
      </c>
      <c r="AG278" s="837">
        <f t="shared" si="124"/>
        <v>2</v>
      </c>
      <c r="AH278" s="178">
        <f t="shared" si="119"/>
        <v>8</v>
      </c>
      <c r="AI278" s="227">
        <f t="shared" si="120"/>
        <v>2.7899776846815261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45922</v>
      </c>
      <c r="B279" s="1139">
        <f>IF(t&gt;Tmaj,'2024'!Wh/'2024'!Env_an*'2025'!Env_an,0.001*'[11]mon-tableau (3)'!$B$223)</f>
        <v>37.727062790319856</v>
      </c>
      <c r="C279" s="866"/>
      <c r="D279" s="395">
        <f t="shared" si="102"/>
        <v>40.088665191568687</v>
      </c>
      <c r="E279" s="387">
        <f t="shared" si="100"/>
        <v>42.935808602088819</v>
      </c>
      <c r="F279" s="387">
        <f t="shared" si="103"/>
        <v>43.000133825585301</v>
      </c>
      <c r="G279" s="110">
        <f t="shared" si="101"/>
        <v>0.97986719429864944</v>
      </c>
      <c r="H279" s="414" t="b">
        <f>Wh_hp&gt;='2024'!Maxi_hp</f>
        <v>1</v>
      </c>
      <c r="I279" s="392">
        <f>IF(H279,Wh_hp,'2024'!Maxi_hp)</f>
        <v>43.000133825585301</v>
      </c>
      <c r="J279" s="85">
        <f>IF(H279,An,'2024'!An_max)</f>
        <v>2025</v>
      </c>
      <c r="K279" s="199">
        <f t="shared" si="104"/>
        <v>45922</v>
      </c>
      <c r="L279" s="147">
        <f>IF(t&lt;Tvie,1-EXP((T0-t)*PertePVj)+'2024'!Pspv,1-EXP((T0-t)*PertePVj)+Pspv)</f>
        <v>5.8909479524040465E-2</v>
      </c>
      <c r="M279" s="870"/>
      <c r="N279" s="870"/>
      <c r="O279" s="48">
        <f>IF(t&lt;Tnet,'2024'!Resal+('2024'!Salim-'2024'!Resal)*(1-EXP(('2024'!Tnet-t)/('2024'!Tau_j))),Resal+(Salim-Resal)*(1-EXP((Tnet-t)/(Tau_j))))*Salcycl</f>
        <v>6.6311628992626409E-2</v>
      </c>
      <c r="P279" s="171">
        <f>(INDEX(Models!$BJ279:$BT279,,T279)*(1-R279)+INDEX(Models!$BJ279:$BT279,,T279+1)*R279-ERP_i)*Q279*Ramure*Pc/MaxiM</f>
        <v>1.5401312844187196E-3</v>
      </c>
      <c r="Q279" s="307">
        <f t="shared" si="105"/>
        <v>1</v>
      </c>
      <c r="R279" s="179">
        <f t="shared" si="106"/>
        <v>0.8553933575906898</v>
      </c>
      <c r="S279" s="837">
        <f t="shared" si="107"/>
        <v>-3</v>
      </c>
      <c r="T279" s="178">
        <f t="shared" si="108"/>
        <v>3</v>
      </c>
      <c r="U279" s="253">
        <f t="shared" si="109"/>
        <v>-2.1446066424093102</v>
      </c>
      <c r="V279" s="385">
        <f t="shared" si="110"/>
        <v>38.500516147623145</v>
      </c>
      <c r="W279" s="404">
        <f t="shared" si="111"/>
        <v>37.727062790319856</v>
      </c>
      <c r="X279" s="157">
        <f t="shared" si="112"/>
        <v>45922</v>
      </c>
      <c r="Y279" s="387">
        <f t="shared" si="113"/>
        <v>34.144895377738187</v>
      </c>
      <c r="Z279" s="387">
        <f t="shared" si="114"/>
        <v>36.282264707617394</v>
      </c>
      <c r="AA279" s="388">
        <f t="shared" si="115"/>
        <v>41.598098981130597</v>
      </c>
      <c r="AB279" s="199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0.12779031743552829</v>
      </c>
      <c r="AD279" s="233">
        <f>(INDEX(Models!$BJ279:$BT279,,AH279)*(1-AF279)+INDEX(Models!$BJ279:$BT279,,AH279+1)*AF279-ERP_i)*AE279*Ramure*Pc/MaxiM</f>
        <v>3.3568755900365274E-2</v>
      </c>
      <c r="AE279" s="307">
        <f t="shared" si="117"/>
        <v>1</v>
      </c>
      <c r="AF279" s="179">
        <f t="shared" si="118"/>
        <v>0.79037595051426024</v>
      </c>
      <c r="AG279" s="837">
        <f t="shared" si="124"/>
        <v>2</v>
      </c>
      <c r="AH279" s="178">
        <f t="shared" si="119"/>
        <v>8</v>
      </c>
      <c r="AI279" s="227">
        <f t="shared" si="120"/>
        <v>2.7903759505142602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45923</v>
      </c>
      <c r="B280" s="1139">
        <f>IF(t&gt;Tmaj,'2024'!Wh/'2024'!Env_an*'2025'!Env_an,0.001*'[11]mon-tableau (3)'!$B$224)</f>
        <v>24.297431589268523</v>
      </c>
      <c r="C280" s="866"/>
      <c r="D280" s="395">
        <f t="shared" si="102"/>
        <v>25.818979694820349</v>
      </c>
      <c r="E280" s="387">
        <f t="shared" si="100"/>
        <v>27.658581363226741</v>
      </c>
      <c r="F280" s="387">
        <f t="shared" si="103"/>
        <v>27.679451165653354</v>
      </c>
      <c r="G280" s="110">
        <f t="shared" si="101"/>
        <v>0.63746151917857319</v>
      </c>
      <c r="H280" s="414" t="b">
        <f>Wh_hp&gt;='2024'!Maxi_hp</f>
        <v>0</v>
      </c>
      <c r="I280" s="392">
        <f>IF(H280,Wh_hp,'2024'!Maxi_hp)</f>
        <v>39.136561933282216</v>
      </c>
      <c r="J280" s="85">
        <f>IF(H280,An,'2024'!An_max)</f>
        <v>2019</v>
      </c>
      <c r="K280" s="199">
        <f t="shared" si="104"/>
        <v>45923</v>
      </c>
      <c r="L280" s="147">
        <f>IF(t&lt;Tvie,1-EXP((T0-t)*PertePVj)+'2024'!Pspv,1-EXP((T0-t)*PertePVj)+Pspv)</f>
        <v>5.8931380075296746E-2</v>
      </c>
      <c r="M280" s="870"/>
      <c r="N280" s="870"/>
      <c r="O280" s="48">
        <f>IF(t&lt;Tnet,'2024'!Resal+('2024'!Salim-'2024'!Resal)*(1-EXP(('2024'!Tnet-t)/('2024'!Tau_j))),Resal+(Salim-Resal)*(1-EXP((Tnet-t)/(Tau_j))))*Salcycl</f>
        <v>6.6511063754420174E-2</v>
      </c>
      <c r="P280" s="171">
        <f>(INDEX(Models!$BJ280:$BT280,,T280)*(1-R280)+INDEX(Models!$BJ280:$BT280,,T280+1)*R280-ERP_i)*Q280*Ramure*Pc/MaxiM</f>
        <v>1.561606322132136E-3</v>
      </c>
      <c r="Q280" s="307">
        <f t="shared" si="105"/>
        <v>1</v>
      </c>
      <c r="R280" s="179">
        <f t="shared" si="106"/>
        <v>0.85577601994848118</v>
      </c>
      <c r="S280" s="837">
        <f t="shared" si="107"/>
        <v>-3</v>
      </c>
      <c r="T280" s="178">
        <f t="shared" si="108"/>
        <v>3</v>
      </c>
      <c r="U280" s="253">
        <f t="shared" si="109"/>
        <v>-2.1442239800515188</v>
      </c>
      <c r="V280" s="385">
        <f t="shared" si="110"/>
        <v>38.085112356723194</v>
      </c>
      <c r="W280" s="404">
        <f t="shared" si="111"/>
        <v>24.297431589268523</v>
      </c>
      <c r="X280" s="157">
        <f t="shared" si="112"/>
        <v>45923</v>
      </c>
      <c r="Y280" s="387">
        <f t="shared" si="113"/>
        <v>22.333772909761791</v>
      </c>
      <c r="Z280" s="387">
        <f t="shared" si="114"/>
        <v>23.732353238543602</v>
      </c>
      <c r="AA280" s="388">
        <f t="shared" si="115"/>
        <v>27.211030866538255</v>
      </c>
      <c r="AB280" s="199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0.12784071449025569</v>
      </c>
      <c r="AD280" s="233">
        <f>(INDEX(Models!$BJ280:$BT280,,AH280)*(1-AF280)+INDEX(Models!$BJ280:$BT280,,AH280+1)*AF280-ERP_i)*AE280*Ramure*Pc/MaxiM</f>
        <v>3.5050073094145241E-2</v>
      </c>
      <c r="AE280" s="307">
        <f t="shared" si="117"/>
        <v>1</v>
      </c>
      <c r="AF280" s="179">
        <f t="shared" si="118"/>
        <v>0.79075861287205162</v>
      </c>
      <c r="AG280" s="837">
        <f t="shared" si="124"/>
        <v>2</v>
      </c>
      <c r="AH280" s="178">
        <f t="shared" si="119"/>
        <v>8</v>
      </c>
      <c r="AI280" s="227">
        <f t="shared" si="120"/>
        <v>2.7907586128720516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45924</v>
      </c>
      <c r="B281" s="1139">
        <f>IF(t&gt;Tmaj,'2024'!Wh/'2024'!Env_an*'2025'!Env_an,0.001*'[11]mon-tableau (3)'!$B$225)</f>
        <v>16.305341388032964</v>
      </c>
      <c r="C281" s="866"/>
      <c r="D281" s="395">
        <f t="shared" si="102"/>
        <v>17.326813901501495</v>
      </c>
      <c r="E281" s="387">
        <f t="shared" si="100"/>
        <v>18.565273794349679</v>
      </c>
      <c r="F281" s="387">
        <f t="shared" si="103"/>
        <v>18.570849362440917</v>
      </c>
      <c r="G281" s="110">
        <f t="shared" si="101"/>
        <v>0.43232020407773392</v>
      </c>
      <c r="H281" s="414" t="b">
        <f>Wh_hp&gt;='2024'!Maxi_hp</f>
        <v>0</v>
      </c>
      <c r="I281" s="392">
        <f>IF(H281,Wh_hp,'2024'!Maxi_hp)</f>
        <v>35.871023448312265</v>
      </c>
      <c r="J281" s="85">
        <f>IF(H281,An,'2024'!An_max)</f>
        <v>2021</v>
      </c>
      <c r="K281" s="199">
        <f t="shared" si="104"/>
        <v>45924</v>
      </c>
      <c r="L281" s="147">
        <f>IF(t&lt;Tvie,1-EXP((T0-t)*PertePVj)+'2024'!Pspv,1-EXP((T0-t)*PertePVj)+Pspv)</f>
        <v>5.8953280116895157E-2</v>
      </c>
      <c r="M281" s="870"/>
      <c r="N281" s="870"/>
      <c r="O281" s="48">
        <f>IF(t&lt;Tnet,'2024'!Resal+('2024'!Salim-'2024'!Resal)*(1-EXP(('2024'!Tnet-t)/('2024'!Tau_j))),Resal+(Salim-Resal)*(1-EXP((Tnet-t)/(Tau_j))))*Salcycl</f>
        <v>6.6708409828305837E-2</v>
      </c>
      <c r="P281" s="171">
        <f>(INDEX(Models!$BJ281:$BT281,,T281)*(1-R281)+INDEX(Models!$BJ281:$BT281,,T281+1)*R281-ERP_i)*Q281*Ramure*Pc/MaxiM</f>
        <v>1.5816555177339132E-3</v>
      </c>
      <c r="Q281" s="307">
        <f t="shared" si="105"/>
        <v>1</v>
      </c>
      <c r="R281" s="179">
        <f t="shared" si="106"/>
        <v>0.85614367365747146</v>
      </c>
      <c r="S281" s="837">
        <f t="shared" si="107"/>
        <v>-3</v>
      </c>
      <c r="T281" s="178">
        <f t="shared" si="108"/>
        <v>3</v>
      </c>
      <c r="U281" s="253">
        <f t="shared" si="109"/>
        <v>-2.1438563263425285</v>
      </c>
      <c r="V281" s="385">
        <f t="shared" si="110"/>
        <v>37.667545758490725</v>
      </c>
      <c r="W281" s="404">
        <f t="shared" si="111"/>
        <v>16.305341388032964</v>
      </c>
      <c r="X281" s="157">
        <f t="shared" si="112"/>
        <v>45924</v>
      </c>
      <c r="Y281" s="387">
        <f t="shared" si="113"/>
        <v>15.135098590800487</v>
      </c>
      <c r="Z281" s="387">
        <f t="shared" si="114"/>
        <v>16.083259492876763</v>
      </c>
      <c r="AA281" s="388">
        <f t="shared" si="115"/>
        <v>18.441737999961614</v>
      </c>
      <c r="AB281" s="199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0.12788808229949686</v>
      </c>
      <c r="AD281" s="233">
        <f>(INDEX(Models!$BJ281:$BT281,,AH281)*(1-AF281)+INDEX(Models!$BJ281:$BT281,,AH281+1)*AF281-ERP_i)*AE281*Ramure*Pc/MaxiM</f>
        <v>3.662581023597819E-2</v>
      </c>
      <c r="AE281" s="307">
        <f t="shared" si="117"/>
        <v>1</v>
      </c>
      <c r="AF281" s="179">
        <f t="shared" si="118"/>
        <v>0.7911262665810419</v>
      </c>
      <c r="AG281" s="837">
        <f t="shared" si="124"/>
        <v>2</v>
      </c>
      <c r="AH281" s="178">
        <f t="shared" si="119"/>
        <v>8</v>
      </c>
      <c r="AI281" s="227">
        <f t="shared" si="120"/>
        <v>2.7911262665810419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45925</v>
      </c>
      <c r="B282" s="1139">
        <f>IF(t&gt;Tmaj,'2024'!Wh/'2024'!Env_an*'2025'!Env_an,0.001*'[11]mon-tableau (3)'!$B$226)</f>
        <v>27.235111280386192</v>
      </c>
      <c r="C282" s="866"/>
      <c r="D282" s="395">
        <f t="shared" si="102"/>
        <v>28.941969107916993</v>
      </c>
      <c r="E282" s="387">
        <f t="shared" si="100"/>
        <v>31.017126923884348</v>
      </c>
      <c r="F282" s="387">
        <f t="shared" si="103"/>
        <v>31.047714069590146</v>
      </c>
      <c r="G282" s="110">
        <f t="shared" si="101"/>
        <v>0.73071909467226515</v>
      </c>
      <c r="H282" s="414" t="b">
        <f>Wh_hp&gt;='2024'!Maxi_hp</f>
        <v>1</v>
      </c>
      <c r="I282" s="392">
        <f>IF(H282,Wh_hp,'2024'!Maxi_hp)</f>
        <v>31.047714069590146</v>
      </c>
      <c r="J282" s="85">
        <f>IF(H282,An,'2024'!An_max)</f>
        <v>2025</v>
      </c>
      <c r="K282" s="199">
        <f t="shared" si="104"/>
        <v>45925</v>
      </c>
      <c r="L282" s="147">
        <f>IF(t&lt;Tvie,1-EXP((T0-t)*PertePVj)+'2024'!Pspv,1-EXP((T0-t)*PertePVj)+Pspv)</f>
        <v>5.8975179648847575E-2</v>
      </c>
      <c r="M282" s="870"/>
      <c r="N282" s="870"/>
      <c r="O282" s="48">
        <f>IF(t&lt;Tnet,'2024'!Resal+('2024'!Salim-'2024'!Resal)*(1-EXP(('2024'!Tnet-t)/('2024'!Tau_j))),Resal+(Salim-Resal)*(1-EXP((Tnet-t)/(Tau_j))))*Salcycl</f>
        <v>6.6903611706518359E-2</v>
      </c>
      <c r="P282" s="171">
        <f>(INDEX(Models!$BJ282:$BT282,,T282)*(1-R282)+INDEX(Models!$BJ282:$BT282,,T282+1)*R282-ERP_i)*Q282*Ramure*Pc/MaxiM</f>
        <v>1.599411377211548E-3</v>
      </c>
      <c r="Q282" s="307">
        <f t="shared" si="105"/>
        <v>1</v>
      </c>
      <c r="R282" s="179">
        <f t="shared" si="106"/>
        <v>0.85649689215557734</v>
      </c>
      <c r="S282" s="837">
        <f t="shared" si="107"/>
        <v>-3</v>
      </c>
      <c r="T282" s="178">
        <f t="shared" si="108"/>
        <v>3</v>
      </c>
      <c r="U282" s="253">
        <f t="shared" si="109"/>
        <v>-2.1435031078444227</v>
      </c>
      <c r="V282" s="385">
        <f t="shared" si="110"/>
        <v>37.248740226897759</v>
      </c>
      <c r="W282" s="404">
        <f t="shared" si="111"/>
        <v>27.235111280386192</v>
      </c>
      <c r="X282" s="157">
        <f t="shared" si="112"/>
        <v>45925</v>
      </c>
      <c r="Y282" s="387">
        <f t="shared" si="113"/>
        <v>24.877985188897267</v>
      </c>
      <c r="Z282" s="387">
        <f t="shared" si="114"/>
        <v>26.437119033283103</v>
      </c>
      <c r="AA282" s="388">
        <f t="shared" si="115"/>
        <v>30.315444594783997</v>
      </c>
      <c r="AB282" s="199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0.12793233328229628</v>
      </c>
      <c r="AD282" s="233">
        <f>(INDEX(Models!$BJ282:$BT282,,AH282)*(1-AF282)+INDEX(Models!$BJ282:$BT282,,AH282+1)*AF282-ERP_i)*AE282*Ramure*Pc/MaxiM</f>
        <v>3.8290598948162911E-2</v>
      </c>
      <c r="AE282" s="307">
        <f t="shared" si="117"/>
        <v>1</v>
      </c>
      <c r="AF282" s="179">
        <f t="shared" si="118"/>
        <v>0.79147948507914778</v>
      </c>
      <c r="AG282" s="837">
        <f t="shared" si="124"/>
        <v>2</v>
      </c>
      <c r="AH282" s="178">
        <f t="shared" si="119"/>
        <v>8</v>
      </c>
      <c r="AI282" s="227">
        <f t="shared" si="120"/>
        <v>2.7914794850791478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45926</v>
      </c>
      <c r="B283" s="1139">
        <f>IF(t&gt;Tmaj,'2024'!Wh/'2024'!Env_an*'2025'!Env_an,0.001*'[11]mon-tableau (3)'!$B$227)</f>
        <v>29.24448209545065</v>
      </c>
      <c r="C283" s="866"/>
      <c r="D283" s="395">
        <f t="shared" si="102"/>
        <v>31.07799288673106</v>
      </c>
      <c r="E283" s="387">
        <f t="shared" si="100"/>
        <v>33.313195512621682</v>
      </c>
      <c r="F283" s="387">
        <f t="shared" si="103"/>
        <v>33.351224128843597</v>
      </c>
      <c r="G283" s="110">
        <f t="shared" si="101"/>
        <v>0.79367133546347024</v>
      </c>
      <c r="H283" s="414" t="b">
        <f>Wh_hp&gt;='2024'!Maxi_hp</f>
        <v>1</v>
      </c>
      <c r="I283" s="392">
        <f>IF(H283,Wh_hp,'2024'!Maxi_hp)</f>
        <v>33.351224128843597</v>
      </c>
      <c r="J283" s="85">
        <f>IF(H283,An,'2024'!An_max)</f>
        <v>2025</v>
      </c>
      <c r="K283" s="199">
        <f t="shared" si="104"/>
        <v>45926</v>
      </c>
      <c r="L283" s="147">
        <f>IF(t&lt;Tvie,1-EXP((T0-t)*PertePVj)+'2024'!Pspv,1-EXP((T0-t)*PertePVj)+Pspv)</f>
        <v>5.8997078671165992E-2</v>
      </c>
      <c r="M283" s="870"/>
      <c r="N283" s="870"/>
      <c r="O283" s="48">
        <f>IF(t&lt;Tnet,'2024'!Resal+('2024'!Salim-'2024'!Resal)*(1-EXP(('2024'!Tnet-t)/('2024'!Tau_j))),Resal+(Salim-Resal)*(1-EXP((Tnet-t)/(Tau_j))))*Salcycl</f>
        <v>6.7096614164310689E-2</v>
      </c>
      <c r="P283" s="171">
        <f>(INDEX(Models!$BJ283:$BT283,,T283)*(1-R283)+INDEX(Models!$BJ283:$BT283,,T283+1)*R283-ERP_i)*Q283*Ramure*Pc/MaxiM</f>
        <v>1.6155729917286775E-3</v>
      </c>
      <c r="Q283" s="307">
        <f t="shared" si="105"/>
        <v>1</v>
      </c>
      <c r="R283" s="179">
        <f t="shared" si="106"/>
        <v>0.85683622816010629</v>
      </c>
      <c r="S283" s="837">
        <f t="shared" si="107"/>
        <v>-3</v>
      </c>
      <c r="T283" s="178">
        <f t="shared" si="108"/>
        <v>3</v>
      </c>
      <c r="U283" s="253">
        <f t="shared" si="109"/>
        <v>-2.1431637718398937</v>
      </c>
      <c r="V283" s="385">
        <f t="shared" si="110"/>
        <v>36.829559344857607</v>
      </c>
      <c r="W283" s="404">
        <f t="shared" si="111"/>
        <v>29.24448209545065</v>
      </c>
      <c r="X283" s="157">
        <f t="shared" si="112"/>
        <v>45926</v>
      </c>
      <c r="Y283" s="387">
        <f t="shared" si="113"/>
        <v>26.594546778025475</v>
      </c>
      <c r="Z283" s="387">
        <f t="shared" si="114"/>
        <v>28.261917338651912</v>
      </c>
      <c r="AA283" s="388">
        <f t="shared" si="115"/>
        <v>32.409466325687049</v>
      </c>
      <c r="AB283" s="199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0.1279733811521567</v>
      </c>
      <c r="AD283" s="233">
        <f>(INDEX(Models!$BJ283:$BT283,,AH283)*(1-AF283)+INDEX(Models!$BJ283:$BT283,,AH283+1)*AF283-ERP_i)*AE283*Ramure*Pc/MaxiM</f>
        <v>4.0008778196155018E-2</v>
      </c>
      <c r="AE283" s="307">
        <f t="shared" si="117"/>
        <v>1</v>
      </c>
      <c r="AF283" s="179">
        <f t="shared" si="118"/>
        <v>0.79181882108367674</v>
      </c>
      <c r="AG283" s="837">
        <f t="shared" si="124"/>
        <v>2</v>
      </c>
      <c r="AH283" s="178">
        <f t="shared" si="119"/>
        <v>8</v>
      </c>
      <c r="AI283" s="227">
        <f t="shared" si="120"/>
        <v>2.7918188210836767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45927</v>
      </c>
      <c r="B284" s="1139">
        <f>IF(t&gt;Tmaj,'2024'!Wh/'2024'!Env_an*'2025'!Env_an,0.001*'[11]mon-tableau (3)'!$B$228)</f>
        <v>14.288388577232087</v>
      </c>
      <c r="C284" s="866"/>
      <c r="D284" s="395">
        <f t="shared" si="102"/>
        <v>15.18456613978277</v>
      </c>
      <c r="E284" s="387">
        <f t="shared" si="100"/>
        <v>16.28000472017883</v>
      </c>
      <c r="F284" s="387">
        <f t="shared" si="103"/>
        <v>16.283509153586365</v>
      </c>
      <c r="G284" s="110">
        <f t="shared" si="101"/>
        <v>0.39186535359022923</v>
      </c>
      <c r="H284" s="414" t="b">
        <f>Wh_hp&gt;='2024'!Maxi_hp</f>
        <v>0</v>
      </c>
      <c r="I284" s="392">
        <f>IF(H284,Wh_hp,'2024'!Maxi_hp)</f>
        <v>32.510091909422549</v>
      </c>
      <c r="J284" s="85">
        <f>IF(H284,An,'2024'!An_max)</f>
        <v>2019</v>
      </c>
      <c r="K284" s="199">
        <f t="shared" si="104"/>
        <v>45927</v>
      </c>
      <c r="L284" s="147">
        <f>IF(t&lt;Tvie,1-EXP((T0-t)*PertePVj)+'2024'!Pspv,1-EXP((T0-t)*PertePVj)+Pspv)</f>
        <v>5.9018977183862065E-2</v>
      </c>
      <c r="M284" s="870"/>
      <c r="N284" s="870"/>
      <c r="O284" s="48">
        <f>IF(t&lt;Tnet,'2024'!Resal+('2024'!Salim-'2024'!Resal)*(1-EXP(('2024'!Tnet-t)/('2024'!Tau_j))),Resal+(Salim-Resal)*(1-EXP((Tnet-t)/(Tau_j))))*Salcycl</f>
        <v>6.7287362579095455E-2</v>
      </c>
      <c r="P284" s="171">
        <f>(INDEX(Models!$BJ284:$BT284,,T284)*(1-R284)+INDEX(Models!$BJ284:$BT284,,T284+1)*R284-ERP_i)*Q284*Ramure*Pc/MaxiM</f>
        <v>1.6300415906008413E-3</v>
      </c>
      <c r="Q284" s="307">
        <f t="shared" si="105"/>
        <v>1</v>
      </c>
      <c r="R284" s="179">
        <f t="shared" si="106"/>
        <v>0.85716221432280326</v>
      </c>
      <c r="S284" s="837">
        <f t="shared" si="107"/>
        <v>-3</v>
      </c>
      <c r="T284" s="178">
        <f t="shared" si="108"/>
        <v>3</v>
      </c>
      <c r="U284" s="253">
        <f t="shared" si="109"/>
        <v>-2.1428377856771967</v>
      </c>
      <c r="V284" s="385">
        <f t="shared" si="110"/>
        <v>36.410895945464738</v>
      </c>
      <c r="W284" s="404">
        <f t="shared" si="111"/>
        <v>14.288388577232087</v>
      </c>
      <c r="X284" s="157">
        <f t="shared" si="112"/>
        <v>45927</v>
      </c>
      <c r="Y284" s="387">
        <f t="shared" si="113"/>
        <v>13.287321691414872</v>
      </c>
      <c r="Z284" s="387">
        <f t="shared" si="114"/>
        <v>14.120711650112774</v>
      </c>
      <c r="AA284" s="388">
        <f t="shared" si="115"/>
        <v>16.19368356886347</v>
      </c>
      <c r="AB284" s="199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0.12801114150066009</v>
      </c>
      <c r="AD284" s="233">
        <f>(INDEX(Models!$BJ284:$BT284,,AH284)*(1-AF284)+INDEX(Models!$BJ284:$BT284,,AH284+1)*AF284-ERP_i)*AE284*Ramure*Pc/MaxiM</f>
        <v>4.1781201686839679E-2</v>
      </c>
      <c r="AE284" s="307">
        <f t="shared" si="117"/>
        <v>1</v>
      </c>
      <c r="AF284" s="179">
        <f t="shared" si="118"/>
        <v>0.79214480724637371</v>
      </c>
      <c r="AG284" s="837">
        <f t="shared" si="124"/>
        <v>2</v>
      </c>
      <c r="AH284" s="178">
        <f t="shared" si="119"/>
        <v>8</v>
      </c>
      <c r="AI284" s="227">
        <f t="shared" si="120"/>
        <v>2.7921448072463737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45928</v>
      </c>
      <c r="B285" s="1139">
        <f>IF(t&gt;Tmaj,'2024'!Wh/'2024'!Env_an*'2025'!Env_an,0.001*'[11]mon-tableau (3)'!$B$229)</f>
        <v>16.812798081232536</v>
      </c>
      <c r="C285" s="866"/>
      <c r="D285" s="395">
        <f t="shared" si="102"/>
        <v>17.867724152813619</v>
      </c>
      <c r="E285" s="387">
        <f t="shared" si="100"/>
        <v>19.160601103410446</v>
      </c>
      <c r="F285" s="387">
        <f t="shared" si="103"/>
        <v>19.168117878424262</v>
      </c>
      <c r="G285" s="110">
        <f t="shared" si="101"/>
        <v>0.46652029314077648</v>
      </c>
      <c r="H285" s="414" t="b">
        <f>Wh_hp&gt;='2024'!Maxi_hp</f>
        <v>0</v>
      </c>
      <c r="I285" s="392">
        <f>IF(H285,Wh_hp,'2024'!Maxi_hp)</f>
        <v>28.599911688914776</v>
      </c>
      <c r="J285" s="85">
        <f>IF(H285,An,'2024'!An_max)</f>
        <v>2019</v>
      </c>
      <c r="K285" s="199">
        <f t="shared" si="104"/>
        <v>45928</v>
      </c>
      <c r="L285" s="147">
        <f>IF(t&lt;Tvie,1-EXP((T0-t)*PertePVj)+'2024'!Pspv,1-EXP((T0-t)*PertePVj)+Pspv)</f>
        <v>5.9040875186947783E-2</v>
      </c>
      <c r="M285" s="870"/>
      <c r="N285" s="870"/>
      <c r="O285" s="48">
        <f>IF(t&lt;Tnet,'2024'!Resal+('2024'!Salim-'2024'!Resal)*(1-EXP(('2024'!Tnet-t)/('2024'!Tau_j))),Resal+(Salim-Resal)*(1-EXP((Tnet-t)/(Tau_j))))*Salcycl</f>
        <v>6.7475803270425946E-2</v>
      </c>
      <c r="P285" s="171">
        <f>(INDEX(Models!$BJ285:$BT285,,T285)*(1-R285)+INDEX(Models!$BJ285:$BT285,,T285+1)*R285-ERP_i)*Q285*Ramure*Pc/MaxiM</f>
        <v>1.6427124306654904E-3</v>
      </c>
      <c r="Q285" s="307">
        <f t="shared" si="105"/>
        <v>1</v>
      </c>
      <c r="R285" s="179">
        <f t="shared" si="106"/>
        <v>0.85747536387180467</v>
      </c>
      <c r="S285" s="837">
        <f t="shared" si="107"/>
        <v>-3</v>
      </c>
      <c r="T285" s="178">
        <f t="shared" si="108"/>
        <v>3</v>
      </c>
      <c r="U285" s="253">
        <f t="shared" si="109"/>
        <v>-2.1425246361281953</v>
      </c>
      <c r="V285" s="385">
        <f t="shared" si="110"/>
        <v>35.993641914416138</v>
      </c>
      <c r="W285" s="404">
        <f t="shared" si="111"/>
        <v>16.812798081232536</v>
      </c>
      <c r="X285" s="157">
        <f t="shared" si="112"/>
        <v>45928</v>
      </c>
      <c r="Y285" s="387">
        <f t="shared" si="113"/>
        <v>15.563211173364394</v>
      </c>
      <c r="Z285" s="387">
        <f t="shared" si="114"/>
        <v>16.539731389986212</v>
      </c>
      <c r="AA285" s="388">
        <f t="shared" si="115"/>
        <v>18.968572333529398</v>
      </c>
      <c r="AB285" s="199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0.12804553241204639</v>
      </c>
      <c r="AD285" s="233">
        <f>(INDEX(Models!$BJ285:$BT285,,AH285)*(1-AF285)+INDEX(Models!$BJ285:$BT285,,AH285+1)*AF285-ERP_i)*AE285*Ramure*Pc/MaxiM</f>
        <v>4.360858832147585E-2</v>
      </c>
      <c r="AE285" s="307">
        <f t="shared" si="117"/>
        <v>1</v>
      </c>
      <c r="AF285" s="179">
        <f t="shared" si="118"/>
        <v>0.79245795679537512</v>
      </c>
      <c r="AG285" s="837">
        <f t="shared" si="124"/>
        <v>2</v>
      </c>
      <c r="AH285" s="178">
        <f t="shared" si="119"/>
        <v>8</v>
      </c>
      <c r="AI285" s="227">
        <f t="shared" si="120"/>
        <v>2.7924579567953751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45929</v>
      </c>
      <c r="B286" s="1139">
        <f>IF(t&gt;Tmaj,'2024'!Wh/'2024'!Env_an*'2025'!Env_an,0.001*'[11]mon-tableau (3)'!$B$230)</f>
        <v>22.480707572587978</v>
      </c>
      <c r="C286" s="866"/>
      <c r="D286" s="395">
        <f t="shared" si="102"/>
        <v>23.891825001576844</v>
      </c>
      <c r="E286" s="387">
        <f t="shared" si="100"/>
        <v>25.625708729431214</v>
      </c>
      <c r="F286" s="387">
        <f t="shared" si="103"/>
        <v>25.645812123169041</v>
      </c>
      <c r="G286" s="110">
        <f t="shared" si="101"/>
        <v>0.63130892111055403</v>
      </c>
      <c r="H286" s="414" t="b">
        <f>Wh_hp&gt;='2024'!Maxi_hp</f>
        <v>0</v>
      </c>
      <c r="I286" s="392">
        <f>IF(H286,Wh_hp,'2024'!Maxi_hp)</f>
        <v>39.642846116741424</v>
      </c>
      <c r="J286" s="85">
        <f>IF(H286,An,'2024'!An_max)</f>
        <v>2019</v>
      </c>
      <c r="K286" s="199">
        <f t="shared" si="104"/>
        <v>45929</v>
      </c>
      <c r="L286" s="147">
        <f>IF(t&lt;Tvie,1-EXP((T0-t)*PertePVj)+'2024'!Pspv,1-EXP((T0-t)*PertePVj)+Pspv)</f>
        <v>5.9062772680435027E-2</v>
      </c>
      <c r="M286" s="870"/>
      <c r="N286" s="870"/>
      <c r="O286" s="48">
        <f>IF(t&lt;Tnet,'2024'!Resal+('2024'!Salim-'2024'!Resal)*(1-EXP(('2024'!Tnet-t)/('2024'!Tau_j))),Resal+(Salim-Resal)*(1-EXP((Tnet-t)/(Tau_j))))*Salcycl</f>
        <v>6.7661883858962268E-2</v>
      </c>
      <c r="P286" s="171">
        <f>(INDEX(Models!$BJ286:$BT286,,T286)*(1-R286)+INDEX(Models!$BJ286:$BT286,,T286+1)*R286-ERP_i)*Q286*Ramure*Pc/MaxiM</f>
        <v>1.6534749179154512E-3</v>
      </c>
      <c r="Q286" s="307">
        <f t="shared" si="105"/>
        <v>1</v>
      </c>
      <c r="R286" s="179">
        <f t="shared" si="106"/>
        <v>0.85777617124007888</v>
      </c>
      <c r="S286" s="837">
        <f t="shared" si="107"/>
        <v>-3</v>
      </c>
      <c r="T286" s="178">
        <f t="shared" si="108"/>
        <v>3</v>
      </c>
      <c r="U286" s="253">
        <f t="shared" si="109"/>
        <v>-2.1422238287599211</v>
      </c>
      <c r="V286" s="385">
        <f t="shared" si="110"/>
        <v>35.578688201157945</v>
      </c>
      <c r="W286" s="404">
        <f t="shared" si="111"/>
        <v>22.480707572587978</v>
      </c>
      <c r="X286" s="157">
        <f t="shared" si="112"/>
        <v>45929</v>
      </c>
      <c r="Y286" s="387">
        <f t="shared" si="113"/>
        <v>20.586697676160078</v>
      </c>
      <c r="Z286" s="387">
        <f t="shared" si="114"/>
        <v>21.878927816263708</v>
      </c>
      <c r="AA286" s="388">
        <f t="shared" si="115"/>
        <v>25.09271420207827</v>
      </c>
      <c r="AB286" s="199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0.12807647510480893</v>
      </c>
      <c r="AD286" s="233">
        <f>(INDEX(Models!$BJ286:$BT286,,AH286)*(1-AF286)+INDEX(Models!$BJ286:$BT286,,AH286+1)*AF286-ERP_i)*AE286*Ramure*Pc/MaxiM</f>
        <v>4.5491500171627078E-2</v>
      </c>
      <c r="AE286" s="307">
        <f t="shared" si="117"/>
        <v>1</v>
      </c>
      <c r="AF286" s="179">
        <f t="shared" si="118"/>
        <v>0.79275876416364932</v>
      </c>
      <c r="AG286" s="837">
        <f t="shared" si="124"/>
        <v>2</v>
      </c>
      <c r="AH286" s="178">
        <f t="shared" si="119"/>
        <v>8</v>
      </c>
      <c r="AI286" s="227">
        <f t="shared" si="120"/>
        <v>2.7927587641636493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45930</v>
      </c>
      <c r="B287" s="1139">
        <f>IF(t&gt;Tmaj,'2024'!Wh/'2024'!Env_an*'2025'!Env_an,0.001*'[11]mon-tableau (3)'!$B$231)</f>
        <v>25.973148941865684</v>
      </c>
      <c r="C287" s="866"/>
      <c r="D287" s="395">
        <f t="shared" si="102"/>
        <v>27.604129834509084</v>
      </c>
      <c r="E287" s="387">
        <f t="shared" si="100"/>
        <v>29.613257698194911</v>
      </c>
      <c r="F287" s="387">
        <f t="shared" si="103"/>
        <v>29.644129626960591</v>
      </c>
      <c r="G287" s="110">
        <f t="shared" si="101"/>
        <v>0.73810855685829924</v>
      </c>
      <c r="H287" s="414" t="b">
        <f>Wh_hp&gt;='2024'!Maxi_hp</f>
        <v>0</v>
      </c>
      <c r="I287" s="392">
        <f>IF(H287,Wh_hp,'2024'!Maxi_hp)</f>
        <v>32.062263093878606</v>
      </c>
      <c r="J287" s="85">
        <f>IF(H287,An,'2024'!An_max)</f>
        <v>2020</v>
      </c>
      <c r="K287" s="199">
        <f t="shared" si="104"/>
        <v>45930</v>
      </c>
      <c r="L287" s="147">
        <f>IF(t&lt;Tvie,1-EXP((T0-t)*PertePVj)+'2024'!Pspv,1-EXP((T0-t)*PertePVj)+Pspv)</f>
        <v>5.9084669664335565E-2</v>
      </c>
      <c r="M287" s="870"/>
      <c r="N287" s="870"/>
      <c r="O287" s="48">
        <f>IF(t&lt;Tnet,'2024'!Resal+('2024'!Salim-'2024'!Resal)*(1-EXP(('2024'!Tnet-t)/('2024'!Tau_j))),Resal+(Salim-Resal)*(1-EXP((Tnet-t)/(Tau_j))))*Salcycl</f>
        <v>6.7845553642289461E-2</v>
      </c>
      <c r="P287" s="171">
        <f>(INDEX(Models!$BJ287:$BT287,,T287)*(1-R287)+INDEX(Models!$BJ287:$BT287,,T287+1)*R287-ERP_i)*Q287*Ramure*Pc/MaxiM</f>
        <v>1.6622127957461555E-3</v>
      </c>
      <c r="Q287" s="307">
        <f t="shared" si="105"/>
        <v>1</v>
      </c>
      <c r="R287" s="179">
        <f t="shared" si="106"/>
        <v>0.85806511268001184</v>
      </c>
      <c r="S287" s="837">
        <f t="shared" si="107"/>
        <v>-3</v>
      </c>
      <c r="T287" s="178">
        <f t="shared" si="108"/>
        <v>3</v>
      </c>
      <c r="U287" s="253">
        <f t="shared" si="109"/>
        <v>-2.1419348873199882</v>
      </c>
      <c r="V287" s="385">
        <f t="shared" si="110"/>
        <v>35.166924830252519</v>
      </c>
      <c r="W287" s="404">
        <f t="shared" si="111"/>
        <v>25.973148941865684</v>
      </c>
      <c r="X287" s="157">
        <f t="shared" si="112"/>
        <v>45930</v>
      </c>
      <c r="Y287" s="387">
        <f t="shared" si="113"/>
        <v>23.596779231772285</v>
      </c>
      <c r="Z287" s="387">
        <f t="shared" si="114"/>
        <v>25.078536262507608</v>
      </c>
      <c r="AA287" s="388">
        <f t="shared" si="115"/>
        <v>28.763216290414565</v>
      </c>
      <c r="AB287" s="199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0.12810389459592142</v>
      </c>
      <c r="AD287" s="233">
        <f>(INDEX(Models!$BJ287:$BT287,,AH287)*(1-AF287)+INDEX(Models!$BJ287:$BT287,,AH287+1)*AF287-ERP_i)*AE287*Ramure*Pc/MaxiM</f>
        <v>4.7430318690617194E-2</v>
      </c>
      <c r="AE287" s="307">
        <f t="shared" si="117"/>
        <v>1</v>
      </c>
      <c r="AF287" s="179">
        <f t="shared" si="118"/>
        <v>0.79304770560358229</v>
      </c>
      <c r="AG287" s="837">
        <f t="shared" si="124"/>
        <v>2</v>
      </c>
      <c r="AH287" s="178">
        <f t="shared" si="119"/>
        <v>8</v>
      </c>
      <c r="AI287" s="227">
        <f t="shared" si="120"/>
        <v>2.7930477056035823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45931</v>
      </c>
      <c r="B288" s="1139">
        <f>IF(t&gt;Tmaj,'2024'!Wh/'2024'!Env_an*'2025'!Env_an,0.001*'[12]mon-tableau (1)'!$B$208)</f>
        <v>31.260968091275885</v>
      </c>
      <c r="C288" s="866"/>
      <c r="D288" s="395">
        <f t="shared" si="102"/>
        <v>33.22477016656795</v>
      </c>
      <c r="E288" s="387">
        <f t="shared" si="100"/>
        <v>35.649918777324096</v>
      </c>
      <c r="F288" s="387">
        <f t="shared" si="103"/>
        <v>35.700930800737019</v>
      </c>
      <c r="G288" s="110">
        <f t="shared" si="101"/>
        <v>0.89914094738941963</v>
      </c>
      <c r="H288" s="414" t="b">
        <f>Wh_hp&gt;='2024'!Maxi_hp</f>
        <v>0</v>
      </c>
      <c r="I288" s="392">
        <f>IF(H288,Wh_hp,'2024'!Maxi_hp)</f>
        <v>38.101768879016269</v>
      </c>
      <c r="J288" s="85">
        <f>IF(H288,An,'2024'!An_max)</f>
        <v>2020</v>
      </c>
      <c r="K288" s="199">
        <f t="shared" si="104"/>
        <v>45931</v>
      </c>
      <c r="L288" s="147">
        <f>IF(t&lt;Tvie,1-EXP((T0-t)*PertePVj)+'2024'!Pspv,1-EXP((T0-t)*PertePVj)+Pspv)</f>
        <v>5.9106566138661276E-2</v>
      </c>
      <c r="M288" s="870"/>
      <c r="N288" s="870"/>
      <c r="O288" s="48">
        <f>IF(t&lt;Tnet,'2024'!Resal+('2024'!Salim-'2024'!Resal)*(1-EXP(('2024'!Tnet-t)/('2024'!Tau_j))),Resal+(Salim-Resal)*(1-EXP((Tnet-t)/(Tau_j))))*Salcycl</f>
        <v>6.8026763985188074E-2</v>
      </c>
      <c r="P288" s="171">
        <f>(INDEX(Models!$BJ288:$BT288,,T288)*(1-R288)+INDEX(Models!$BJ288:$BT288,,T288+1)*R288-ERP_i)*Q288*Ramure*Pc/MaxiM</f>
        <v>1.6688044100539548E-3</v>
      </c>
      <c r="Q288" s="307">
        <f t="shared" si="105"/>
        <v>1</v>
      </c>
      <c r="R288" s="179">
        <f t="shared" si="106"/>
        <v>0.8583426468638593</v>
      </c>
      <c r="S288" s="837">
        <f t="shared" si="107"/>
        <v>-3</v>
      </c>
      <c r="T288" s="178">
        <f t="shared" si="108"/>
        <v>3</v>
      </c>
      <c r="U288" s="253">
        <f t="shared" si="109"/>
        <v>-2.1416573531361407</v>
      </c>
      <c r="V288" s="385">
        <f t="shared" si="110"/>
        <v>34.759240914968643</v>
      </c>
      <c r="W288" s="404">
        <f t="shared" si="111"/>
        <v>31.260968091275885</v>
      </c>
      <c r="X288" s="157">
        <f t="shared" si="112"/>
        <v>45931</v>
      </c>
      <c r="Y288" s="387">
        <f t="shared" si="113"/>
        <v>28.047469456280101</v>
      </c>
      <c r="Z288" s="387">
        <f t="shared" si="114"/>
        <v>29.809400774725262</v>
      </c>
      <c r="AA288" s="388">
        <f t="shared" si="115"/>
        <v>34.190100398439988</v>
      </c>
      <c r="AB288" s="199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0.12812772038290379</v>
      </c>
      <c r="AD288" s="233">
        <f>(INDEX(Models!$BJ288:$BT288,,AH288)*(1-AF288)+INDEX(Models!$BJ288:$BT288,,AH288+1)*AF288-ERP_i)*AE288*Ramure*Pc/MaxiM</f>
        <v>4.9425219183874429E-2</v>
      </c>
      <c r="AE288" s="307">
        <f t="shared" si="117"/>
        <v>1</v>
      </c>
      <c r="AF288" s="179">
        <f t="shared" si="118"/>
        <v>0.79332523978742975</v>
      </c>
      <c r="AG288" s="837">
        <f t="shared" si="124"/>
        <v>2</v>
      </c>
      <c r="AH288" s="178">
        <f t="shared" si="119"/>
        <v>8</v>
      </c>
      <c r="AI288" s="227">
        <f t="shared" si="120"/>
        <v>2.7933252397874297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45932</v>
      </c>
      <c r="B289" s="1139">
        <f>IF(t&gt;Tmaj,'2024'!Wh/'2024'!Env_an*'2025'!Env_an,0.001*'[12]mon-tableau (1)'!$B$209)</f>
        <v>33.031259992824523</v>
      </c>
      <c r="C289" s="866"/>
      <c r="D289" s="395">
        <f t="shared" si="102"/>
        <v>35.107088122433396</v>
      </c>
      <c r="E289" s="387">
        <f t="shared" si="100"/>
        <v>37.676855727272191</v>
      </c>
      <c r="F289" s="387">
        <f t="shared" si="103"/>
        <v>37.73653298451557</v>
      </c>
      <c r="G289" s="110">
        <f t="shared" si="101"/>
        <v>0.96146009885609462</v>
      </c>
      <c r="H289" s="414" t="b">
        <f>Wh_hp&gt;='2024'!Maxi_hp</f>
        <v>1</v>
      </c>
      <c r="I289" s="392">
        <f>IF(H289,Wh_hp,'2024'!Maxi_hp)</f>
        <v>37.73653298451557</v>
      </c>
      <c r="J289" s="85">
        <f>IF(H289,An,'2024'!An_max)</f>
        <v>2025</v>
      </c>
      <c r="K289" s="199">
        <f t="shared" si="104"/>
        <v>45932</v>
      </c>
      <c r="L289" s="147">
        <f>IF(t&lt;Tvie,1-EXP((T0-t)*PertePVj)+'2024'!Pspv,1-EXP((T0-t)*PertePVj)+Pspv)</f>
        <v>5.912846210342404E-2</v>
      </c>
      <c r="M289" s="870"/>
      <c r="N289" s="870"/>
      <c r="O289" s="48">
        <f>IF(t&lt;Tnet,'2024'!Resal+('2024'!Salim-'2024'!Resal)*(1-EXP(('2024'!Tnet-t)/('2024'!Tau_j))),Resal+(Salim-Resal)*(1-EXP((Tnet-t)/(Tau_j))))*Salcycl</f>
        <v>6.820546872170867E-2</v>
      </c>
      <c r="P289" s="171">
        <f>(INDEX(Models!$BJ289:$BT289,,T289)*(1-R289)+INDEX(Models!$BJ289:$BT289,,T289+1)*R289-ERP_i)*Q289*Ramure*Pc/MaxiM</f>
        <v>1.6733359003874586E-3</v>
      </c>
      <c r="Q289" s="307">
        <f t="shared" si="105"/>
        <v>1</v>
      </c>
      <c r="R289" s="179">
        <f t="shared" si="106"/>
        <v>0.8586092154698779</v>
      </c>
      <c r="S289" s="837">
        <f t="shared" si="107"/>
        <v>-3</v>
      </c>
      <c r="T289" s="178">
        <f t="shared" si="108"/>
        <v>3</v>
      </c>
      <c r="U289" s="253">
        <f t="shared" si="109"/>
        <v>-2.1413907845301221</v>
      </c>
      <c r="V289" s="385">
        <f t="shared" si="110"/>
        <v>34.352147406510568</v>
      </c>
      <c r="W289" s="404">
        <f t="shared" si="111"/>
        <v>33.031259992824523</v>
      </c>
      <c r="X289" s="157">
        <f t="shared" si="112"/>
        <v>45932</v>
      </c>
      <c r="Y289" s="387">
        <f t="shared" si="113"/>
        <v>29.449187722540724</v>
      </c>
      <c r="Z289" s="387">
        <f t="shared" si="114"/>
        <v>31.299902841548054</v>
      </c>
      <c r="AA289" s="388">
        <f t="shared" si="115"/>
        <v>35.900472545534306</v>
      </c>
      <c r="AB289" s="199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0.12814788713856415</v>
      </c>
      <c r="AD289" s="233">
        <f>(INDEX(Models!$BJ289:$BT289,,AH289)*(1-AF289)+INDEX(Models!$BJ289:$BT289,,AH289+1)*AF289-ERP_i)*AE289*Ramure*Pc/MaxiM</f>
        <v>5.1482691895483754E-2</v>
      </c>
      <c r="AE289" s="307">
        <f t="shared" si="117"/>
        <v>1</v>
      </c>
      <c r="AF289" s="179">
        <f t="shared" si="118"/>
        <v>0.79359180839344834</v>
      </c>
      <c r="AG289" s="837">
        <f t="shared" si="124"/>
        <v>2</v>
      </c>
      <c r="AH289" s="178">
        <f t="shared" si="119"/>
        <v>8</v>
      </c>
      <c r="AI289" s="227">
        <f t="shared" si="120"/>
        <v>2.7935918083934483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45933</v>
      </c>
      <c r="B290" s="1139">
        <f>IF(t&gt;Tmaj,'2024'!Wh/'2024'!Env_an*'2025'!Env_an,0.001*'[12]mon-tableau (1)'!$B$210)</f>
        <v>31.172939480444015</v>
      </c>
      <c r="C290" s="866"/>
      <c r="D290" s="395">
        <f t="shared" si="102"/>
        <v>33.132753709248263</v>
      </c>
      <c r="E290" s="387">
        <f t="shared" si="100"/>
        <v>35.564727556838193</v>
      </c>
      <c r="F290" s="387">
        <f t="shared" si="103"/>
        <v>35.617452735014005</v>
      </c>
      <c r="G290" s="110">
        <f t="shared" si="101"/>
        <v>0.91823192144154042</v>
      </c>
      <c r="H290" s="414" t="b">
        <f>Wh_hp&gt;='2024'!Maxi_hp</f>
        <v>0</v>
      </c>
      <c r="I290" s="392">
        <f>IF(H290,Wh_hp,'2024'!Maxi_hp)</f>
        <v>36.052378620144729</v>
      </c>
      <c r="J290" s="85">
        <f>IF(H290,An,'2024'!An_max)</f>
        <v>2018</v>
      </c>
      <c r="K290" s="199">
        <f t="shared" si="104"/>
        <v>45933</v>
      </c>
      <c r="L290" s="147">
        <f>IF(t&lt;Tvie,1-EXP((T0-t)*PertePVj)+'2024'!Pspv,1-EXP((T0-t)*PertePVj)+Pspv)</f>
        <v>5.9150357558635736E-2</v>
      </c>
      <c r="M290" s="870"/>
      <c r="N290" s="870"/>
      <c r="O290" s="48">
        <f>IF(t&lt;Tnet,'2024'!Resal+('2024'!Salim-'2024'!Resal)*(1-EXP(('2024'!Tnet-t)/('2024'!Tau_j))),Resal+(Salim-Resal)*(1-EXP((Tnet-t)/(Tau_j))))*Salcycl</f>
        <v>6.8381624566172791E-2</v>
      </c>
      <c r="P290" s="171">
        <f>(INDEX(Models!$BJ290:$BT290,,T290)*(1-R290)+INDEX(Models!$BJ290:$BT290,,T290+1)*R290-ERP_i)*Q290*Ramure*Pc/MaxiM</f>
        <v>1.6756204181180246E-3</v>
      </c>
      <c r="Q290" s="307">
        <f t="shared" si="105"/>
        <v>1</v>
      </c>
      <c r="R290" s="179">
        <f t="shared" si="106"/>
        <v>0.85886524375398121</v>
      </c>
      <c r="S290" s="837">
        <f t="shared" si="107"/>
        <v>-3</v>
      </c>
      <c r="T290" s="178">
        <f t="shared" si="108"/>
        <v>3</v>
      </c>
      <c r="U290" s="253">
        <f t="shared" si="109"/>
        <v>-2.1411347562460188</v>
      </c>
      <c r="V290" s="385">
        <f t="shared" si="110"/>
        <v>33.942233542022599</v>
      </c>
      <c r="W290" s="404">
        <f t="shared" si="111"/>
        <v>31.172939480444015</v>
      </c>
      <c r="X290" s="157">
        <f t="shared" si="112"/>
        <v>45933</v>
      </c>
      <c r="Y290" s="387">
        <f t="shared" si="113"/>
        <v>27.832601762001314</v>
      </c>
      <c r="Z290" s="387">
        <f t="shared" si="114"/>
        <v>29.582412009829614</v>
      </c>
      <c r="AA290" s="388">
        <f t="shared" si="115"/>
        <v>33.931179018514662</v>
      </c>
      <c r="AB290" s="199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0.12816433541292885</v>
      </c>
      <c r="AD290" s="233">
        <f>(INDEX(Models!$BJ290:$BT290,,AH290)*(1-AF290)+INDEX(Models!$BJ290:$BT290,,AH290+1)*AF290-ERP_i)*AE290*Ramure*Pc/MaxiM</f>
        <v>5.3590234640465216E-2</v>
      </c>
      <c r="AE290" s="307">
        <f t="shared" si="117"/>
        <v>1</v>
      </c>
      <c r="AF290" s="179">
        <f t="shared" si="118"/>
        <v>0.79384783667755165</v>
      </c>
      <c r="AG290" s="837">
        <f t="shared" si="124"/>
        <v>2</v>
      </c>
      <c r="AH290" s="178">
        <f t="shared" si="119"/>
        <v>8</v>
      </c>
      <c r="AI290" s="227">
        <f t="shared" si="120"/>
        <v>2.7938478366775517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45934</v>
      </c>
      <c r="B291" s="1139">
        <f>IF(t&gt;Tmaj,'2024'!Wh/'2024'!Env_an*'2025'!Env_an,0.001*'[12]mon-tableau (1)'!$B$211)</f>
        <v>33.342001655703719</v>
      </c>
      <c r="C291" s="866"/>
      <c r="D291" s="395">
        <f t="shared" si="102"/>
        <v>35.439007559517584</v>
      </c>
      <c r="E291" s="387">
        <f t="shared" si="100"/>
        <v>38.047350994129907</v>
      </c>
      <c r="F291" s="387">
        <f t="shared" si="103"/>
        <v>38.110744788476701</v>
      </c>
      <c r="G291" s="110">
        <f t="shared" si="101"/>
        <v>0.99436652644390078</v>
      </c>
      <c r="H291" s="414" t="b">
        <f>Wh_hp&gt;='2024'!Maxi_hp</f>
        <v>1</v>
      </c>
      <c r="I291" s="392">
        <f>IF(H291,Wh_hp,'2024'!Maxi_hp)</f>
        <v>38.110744788476701</v>
      </c>
      <c r="J291" s="85">
        <f>IF(H291,An,'2024'!An_max)</f>
        <v>2025</v>
      </c>
      <c r="K291" s="199">
        <f t="shared" si="104"/>
        <v>45934</v>
      </c>
      <c r="L291" s="147">
        <f>IF(t&lt;Tvie,1-EXP((T0-t)*PertePVj)+'2024'!Pspv,1-EXP((T0-t)*PertePVj)+Pspv)</f>
        <v>5.9172252504308243E-2</v>
      </c>
      <c r="M291" s="870"/>
      <c r="N291" s="870"/>
      <c r="O291" s="48">
        <f>IF(t&lt;Tnet,'2024'!Resal+('2024'!Salim-'2024'!Resal)*(1-EXP(('2024'!Tnet-t)/('2024'!Tau_j))),Resal+(Salim-Resal)*(1-EXP((Tnet-t)/(Tau_j))))*Salcycl</f>
        <v>6.8555191530016088E-2</v>
      </c>
      <c r="P291" s="171">
        <f>(INDEX(Models!$BJ291:$BT291,,T291)*(1-R291)+INDEX(Models!$BJ291:$BT291,,T291+1)*R291-ERP_i)*Q291*Ramure*Pc/MaxiM</f>
        <v>1.6768730575091736E-3</v>
      </c>
      <c r="Q291" s="307">
        <f t="shared" si="105"/>
        <v>1</v>
      </c>
      <c r="R291" s="179">
        <f t="shared" si="106"/>
        <v>0.85911114110684395</v>
      </c>
      <c r="S291" s="837">
        <f t="shared" si="107"/>
        <v>-3</v>
      </c>
      <c r="T291" s="178">
        <f t="shared" si="108"/>
        <v>3</v>
      </c>
      <c r="U291" s="253">
        <f t="shared" si="109"/>
        <v>-2.1408888588931561</v>
      </c>
      <c r="V291" s="385">
        <f t="shared" si="110"/>
        <v>33.530444897461564</v>
      </c>
      <c r="W291" s="404">
        <f t="shared" si="111"/>
        <v>33.342001655703719</v>
      </c>
      <c r="X291" s="157">
        <f t="shared" si="112"/>
        <v>45934</v>
      </c>
      <c r="Y291" s="387">
        <f t="shared" si="113"/>
        <v>29.531822601471287</v>
      </c>
      <c r="Z291" s="387">
        <f t="shared" si="114"/>
        <v>31.389191783596413</v>
      </c>
      <c r="AA291" s="388">
        <f t="shared" si="115"/>
        <v>36.004088247000006</v>
      </c>
      <c r="AB291" s="199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0.12817701233659551</v>
      </c>
      <c r="AD291" s="233">
        <f>(INDEX(Models!$BJ291:$BT291,,AH291)*(1-AF291)+INDEX(Models!$BJ291:$BT291,,AH291+1)*AF291-ERP_i)*AE291*Ramure*Pc/MaxiM</f>
        <v>5.5724627816136678E-2</v>
      </c>
      <c r="AE291" s="307">
        <f t="shared" si="117"/>
        <v>1</v>
      </c>
      <c r="AF291" s="179">
        <f t="shared" si="118"/>
        <v>0.79409373403041439</v>
      </c>
      <c r="AG291" s="837">
        <f t="shared" si="124"/>
        <v>2</v>
      </c>
      <c r="AH291" s="178">
        <f t="shared" si="119"/>
        <v>8</v>
      </c>
      <c r="AI291" s="227">
        <f t="shared" si="120"/>
        <v>2.7940937340304144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45935</v>
      </c>
      <c r="B292" s="1139">
        <f>IF(t&gt;Tmaj,'2024'!Wh/'2024'!Env_an*'2025'!Env_an,0.001*'[12]mon-tableau (1)'!$B$212)</f>
        <v>33.685642124909265</v>
      </c>
      <c r="C292" s="866"/>
      <c r="D292" s="395">
        <f t="shared" si="102"/>
        <v>35.805094127935014</v>
      </c>
      <c r="E292" s="387">
        <f t="shared" si="100"/>
        <v>38.447437869588143</v>
      </c>
      <c r="F292" s="387">
        <f t="shared" si="103"/>
        <v>38.512022634162186</v>
      </c>
      <c r="G292" s="110">
        <f t="shared" si="101"/>
        <v>1.0171470124477862</v>
      </c>
      <c r="H292" s="414" t="b">
        <f>Wh_hp&gt;='2024'!Maxi_hp</f>
        <v>1</v>
      </c>
      <c r="I292" s="392">
        <f>IF(H292,Wh_hp,'2024'!Maxi_hp)</f>
        <v>38.512022634162186</v>
      </c>
      <c r="J292" s="85">
        <f>IF(H292,An,'2024'!An_max)</f>
        <v>2025</v>
      </c>
      <c r="K292" s="199">
        <f t="shared" si="104"/>
        <v>45935</v>
      </c>
      <c r="L292" s="147">
        <f>IF(t&lt;Tvie,1-EXP((T0-t)*PertePVj)+'2024'!Pspv,1-EXP((T0-t)*PertePVj)+Pspv)</f>
        <v>5.9194146940453329E-2</v>
      </c>
      <c r="M292" s="870"/>
      <c r="N292" s="870"/>
      <c r="O292" s="48">
        <f>IF(t&lt;Tnet,'2024'!Resal+('2024'!Salim-'2024'!Resal)*(1-EXP(('2024'!Tnet-t)/('2024'!Tau_j))),Resal+(Salim-Resal)*(1-EXP((Tnet-t)/(Tau_j))))*Salcycl</f>
        <v>6.8726133341208126E-2</v>
      </c>
      <c r="P292" s="171">
        <f>(INDEX(Models!$BJ292:$BT292,,T292)*(1-R292)+INDEX(Models!$BJ292:$BT292,,T292+1)*R292-ERP_i)*Q292*Ramure*Pc/MaxiM</f>
        <v>1.6770026645328707E-3</v>
      </c>
      <c r="Q292" s="307">
        <f t="shared" si="105"/>
        <v>1</v>
      </c>
      <c r="R292" s="179">
        <f t="shared" si="106"/>
        <v>0.85934730159641859</v>
      </c>
      <c r="S292" s="837">
        <f t="shared" si="107"/>
        <v>-3</v>
      </c>
      <c r="T292" s="178">
        <f t="shared" si="108"/>
        <v>3</v>
      </c>
      <c r="U292" s="253">
        <f t="shared" si="109"/>
        <v>-2.1406526984035814</v>
      </c>
      <c r="V292" s="385">
        <f t="shared" si="110"/>
        <v>33.117771288384404</v>
      </c>
      <c r="W292" s="404">
        <f t="shared" si="111"/>
        <v>33.685642124909265</v>
      </c>
      <c r="X292" s="157">
        <f t="shared" si="112"/>
        <v>45935</v>
      </c>
      <c r="Y292" s="387">
        <f t="shared" si="113"/>
        <v>29.759384785373928</v>
      </c>
      <c r="Z292" s="387">
        <f t="shared" si="114"/>
        <v>31.631802341147171</v>
      </c>
      <c r="AA292" s="388">
        <f t="shared" si="115"/>
        <v>36.282736579763338</v>
      </c>
      <c r="AB292" s="199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0.12818587231951573</v>
      </c>
      <c r="AD292" s="233">
        <f>(INDEX(Models!$BJ292:$BT292,,AH292)*(1-AF292)+INDEX(Models!$BJ292:$BT292,,AH292+1)*AF292-ERP_i)*AE292*Ramure*Pc/MaxiM</f>
        <v>5.7885457629051042E-2</v>
      </c>
      <c r="AE292" s="307">
        <f t="shared" si="117"/>
        <v>1</v>
      </c>
      <c r="AF292" s="179">
        <f t="shared" si="118"/>
        <v>0.79432989451998903</v>
      </c>
      <c r="AG292" s="837">
        <f t="shared" si="124"/>
        <v>2</v>
      </c>
      <c r="AH292" s="178">
        <f t="shared" si="119"/>
        <v>8</v>
      </c>
      <c r="AI292" s="227">
        <f t="shared" si="120"/>
        <v>2.794329894519989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45936</v>
      </c>
      <c r="B293" s="1139">
        <f>IF(t&gt;Tmaj,'2024'!Wh/'2024'!Env_an*'2025'!Env_an,0.001*'[12]mon-tableau (1)'!$B$213)</f>
        <v>14.480720793517289</v>
      </c>
      <c r="C293" s="866"/>
      <c r="D293" s="395">
        <f t="shared" si="102"/>
        <v>15.392185052627376</v>
      </c>
      <c r="E293" s="387">
        <f t="shared" si="100"/>
        <v>16.53108449559247</v>
      </c>
      <c r="F293" s="387">
        <f t="shared" si="103"/>
        <v>16.536736796590532</v>
      </c>
      <c r="G293" s="110">
        <f t="shared" si="101"/>
        <v>0.44217416960800526</v>
      </c>
      <c r="H293" s="414" t="b">
        <f>Wh_hp&gt;='2024'!Maxi_hp</f>
        <v>0</v>
      </c>
      <c r="I293" s="392">
        <f>IF(H293,Wh_hp,'2024'!Maxi_hp)</f>
        <v>33.993896318509428</v>
      </c>
      <c r="J293" s="85">
        <f>IF(H293,An,'2024'!An_max)</f>
        <v>2018</v>
      </c>
      <c r="K293" s="199">
        <f t="shared" si="104"/>
        <v>45936</v>
      </c>
      <c r="L293" s="147">
        <f>IF(t&lt;Tvie,1-EXP((T0-t)*PertePVj)+'2024'!Pspv,1-EXP((T0-t)*PertePVj)+Pspv)</f>
        <v>5.9216040867082986E-2</v>
      </c>
      <c r="M293" s="870"/>
      <c r="N293" s="870"/>
      <c r="O293" s="48">
        <f>IF(t&lt;Tnet,'2024'!Resal+('2024'!Salim-'2024'!Resal)*(1-EXP(('2024'!Tnet-t)/('2024'!Tau_j))),Resal+(Salim-Resal)*(1-EXP((Tnet-t)/(Tau_j))))*Salcycl</f>
        <v>6.8894417862829821E-2</v>
      </c>
      <c r="P293" s="171">
        <f>(INDEX(Models!$BJ293:$BT293,,T293)*(1-R293)+INDEX(Models!$BJ293:$BT293,,T293+1)*R293-ERP_i)*Q293*Ramure*Pc/MaxiM</f>
        <v>1.6759132973638527E-3</v>
      </c>
      <c r="Q293" s="307">
        <f t="shared" si="105"/>
        <v>1</v>
      </c>
      <c r="R293" s="179">
        <f t="shared" si="106"/>
        <v>0.85957410449587313</v>
      </c>
      <c r="S293" s="837">
        <f t="shared" si="107"/>
        <v>-3</v>
      </c>
      <c r="T293" s="178">
        <f t="shared" si="108"/>
        <v>3</v>
      </c>
      <c r="U293" s="253">
        <f t="shared" si="109"/>
        <v>-2.1404258955041269</v>
      </c>
      <c r="V293" s="385">
        <f t="shared" si="110"/>
        <v>32.705201476407282</v>
      </c>
      <c r="W293" s="404">
        <f t="shared" si="111"/>
        <v>14.480720793517289</v>
      </c>
      <c r="X293" s="157">
        <f t="shared" si="112"/>
        <v>45936</v>
      </c>
      <c r="Y293" s="387">
        <f t="shared" si="113"/>
        <v>13.39699574363544</v>
      </c>
      <c r="Z293" s="387">
        <f t="shared" si="114"/>
        <v>14.240246778849116</v>
      </c>
      <c r="AA293" s="388">
        <f t="shared" si="115"/>
        <v>16.334133717158586</v>
      </c>
      <c r="AB293" s="199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0.12819087773904389</v>
      </c>
      <c r="AD293" s="233">
        <f>(INDEX(Models!$BJ293:$BT293,,AH293)*(1-AF293)+INDEX(Models!$BJ293:$BT293,,AH293+1)*AF293-ERP_i)*AE293*Ramure*Pc/MaxiM</f>
        <v>6.0072029961472491E-2</v>
      </c>
      <c r="AE293" s="307">
        <f t="shared" si="117"/>
        <v>1</v>
      </c>
      <c r="AF293" s="179">
        <f t="shared" si="118"/>
        <v>0.79455669741944357</v>
      </c>
      <c r="AG293" s="837">
        <f t="shared" si="124"/>
        <v>2</v>
      </c>
      <c r="AH293" s="178">
        <f t="shared" si="119"/>
        <v>8</v>
      </c>
      <c r="AI293" s="227">
        <f t="shared" si="120"/>
        <v>2.7945566974194436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45937</v>
      </c>
      <c r="B294" s="1139">
        <f>IF(t&gt;Tmaj,'2024'!Wh/'2024'!Env_an*'2025'!Env_an,0.001*'[12]mon-tableau (1)'!$B$214)</f>
        <v>24.877179384317106</v>
      </c>
      <c r="C294" s="866"/>
      <c r="D294" s="395">
        <f t="shared" si="102"/>
        <v>26.443646370231754</v>
      </c>
      <c r="E294" s="387">
        <f t="shared" si="100"/>
        <v>28.405318138151976</v>
      </c>
      <c r="F294" s="387">
        <f t="shared" si="103"/>
        <v>28.437294563438208</v>
      </c>
      <c r="G294" s="110">
        <f t="shared" si="101"/>
        <v>0.76991757921964799</v>
      </c>
      <c r="H294" s="414" t="b">
        <f>Wh_hp&gt;='2024'!Maxi_hp</f>
        <v>0</v>
      </c>
      <c r="I294" s="392">
        <f>IF(H294,Wh_hp,'2024'!Maxi_hp)</f>
        <v>37.024189714848987</v>
      </c>
      <c r="J294" s="85">
        <f>IF(H294,An,'2024'!An_max)</f>
        <v>2021</v>
      </c>
      <c r="K294" s="199">
        <f t="shared" si="104"/>
        <v>45937</v>
      </c>
      <c r="L294" s="147">
        <f>IF(t&lt;Tvie,1-EXP((T0-t)*PertePVj)+'2024'!Pspv,1-EXP((T0-t)*PertePVj)+Pspv)</f>
        <v>5.9237934284208871E-2</v>
      </c>
      <c r="M294" s="870"/>
      <c r="N294" s="870"/>
      <c r="O294" s="48">
        <f>IF(t&lt;Tnet,'2024'!Resal+('2024'!Salim-'2024'!Resal)*(1-EXP(('2024'!Tnet-t)/('2024'!Tau_j))),Resal+(Salim-Resal)*(1-EXP((Tnet-t)/(Tau_j))))*Salcycl</f>
        <v>6.9060017507265536E-2</v>
      </c>
      <c r="P294" s="171">
        <f>(INDEX(Models!$BJ294:$BT294,,T294)*(1-R294)+INDEX(Models!$BJ294:$BT294,,T294+1)*R294-ERP_i)*Q294*Ramure*Pc/MaxiM</f>
        <v>1.6735042749827977E-3</v>
      </c>
      <c r="Q294" s="307">
        <f t="shared" si="105"/>
        <v>1</v>
      </c>
      <c r="R294" s="179">
        <f t="shared" si="106"/>
        <v>0.85979191479700523</v>
      </c>
      <c r="S294" s="837">
        <f t="shared" si="107"/>
        <v>-3</v>
      </c>
      <c r="T294" s="178">
        <f t="shared" si="108"/>
        <v>3</v>
      </c>
      <c r="U294" s="253">
        <f t="shared" si="109"/>
        <v>-2.1402080852029948</v>
      </c>
      <c r="V294" s="385">
        <f t="shared" si="110"/>
        <v>32.293723189870107</v>
      </c>
      <c r="W294" s="404">
        <f t="shared" si="111"/>
        <v>24.877179384317106</v>
      </c>
      <c r="X294" s="157">
        <f t="shared" si="112"/>
        <v>45937</v>
      </c>
      <c r="Y294" s="387">
        <f t="shared" si="113"/>
        <v>22.347184203651651</v>
      </c>
      <c r="Z294" s="387">
        <f t="shared" si="114"/>
        <v>23.754342376303729</v>
      </c>
      <c r="AA294" s="388">
        <f t="shared" si="115"/>
        <v>27.247217696676149</v>
      </c>
      <c r="AB294" s="199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0.12819199961097355</v>
      </c>
      <c r="AD294" s="233">
        <f>(INDEX(Models!$BJ294:$BT294,,AH294)*(1-AF294)+INDEX(Models!$BJ294:$BT294,,AH294+1)*AF294-ERP_i)*AE294*Ramure*Pc/MaxiM</f>
        <v>6.2283344878515674E-2</v>
      </c>
      <c r="AE294" s="307">
        <f t="shared" si="117"/>
        <v>1</v>
      </c>
      <c r="AF294" s="179">
        <f t="shared" si="118"/>
        <v>0.79477450772057567</v>
      </c>
      <c r="AG294" s="837">
        <f t="shared" si="124"/>
        <v>2</v>
      </c>
      <c r="AH294" s="178">
        <f t="shared" si="119"/>
        <v>8</v>
      </c>
      <c r="AI294" s="227">
        <f t="shared" si="120"/>
        <v>2.7947745077205757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45938</v>
      </c>
      <c r="B295" s="1139">
        <f>IF(t&gt;Tmaj,'2024'!Wh/'2024'!Env_an*'2025'!Env_an,0.001*'[12]mon-tableau (1)'!$B$215)</f>
        <v>15.243529802329714</v>
      </c>
      <c r="C295" s="866"/>
      <c r="D295" s="395">
        <f t="shared" si="102"/>
        <v>16.203761934421284</v>
      </c>
      <c r="E295" s="387">
        <f t="shared" si="100"/>
        <v>17.408853421817085</v>
      </c>
      <c r="F295" s="387">
        <f t="shared" si="103"/>
        <v>17.416251575779881</v>
      </c>
      <c r="G295" s="110">
        <f t="shared" si="101"/>
        <v>0.47749313080158418</v>
      </c>
      <c r="H295" s="414" t="b">
        <f>Wh_hp&gt;='2024'!Maxi_hp</f>
        <v>0</v>
      </c>
      <c r="I295" s="392">
        <f>IF(H295,Wh_hp,'2024'!Maxi_hp)</f>
        <v>36.120260428293889</v>
      </c>
      <c r="J295" s="85">
        <f>IF(H295,An,'2024'!An_max)</f>
        <v>2021</v>
      </c>
      <c r="K295" s="199">
        <f t="shared" si="104"/>
        <v>45938</v>
      </c>
      <c r="L295" s="147">
        <f>IF(t&lt;Tvie,1-EXP((T0-t)*PertePVj)+'2024'!Pspv,1-EXP((T0-t)*PertePVj)+Pspv)</f>
        <v>5.9259827191842973E-2</v>
      </c>
      <c r="M295" s="870"/>
      <c r="N295" s="870"/>
      <c r="O295" s="48">
        <f>IF(t&lt;Tnet,'2024'!Resal+('2024'!Salim-'2024'!Resal)*(1-EXP(('2024'!Tnet-t)/('2024'!Tau_j))),Resal+(Salim-Resal)*(1-EXP((Tnet-t)/(Tau_j))))*Salcycl</f>
        <v>6.9222909642375319E-2</v>
      </c>
      <c r="P295" s="171">
        <f>(INDEX(Models!$BJ295:$BT295,,T295)*(1-R295)+INDEX(Models!$BJ295:$BT295,,T295+1)*R295-ERP_i)*Q295*Ramure*Pc/MaxiM</f>
        <v>1.6696702900128404E-3</v>
      </c>
      <c r="Q295" s="307">
        <f t="shared" si="105"/>
        <v>1</v>
      </c>
      <c r="R295" s="179">
        <f t="shared" si="106"/>
        <v>0.86000108370921069</v>
      </c>
      <c r="S295" s="837">
        <f t="shared" si="107"/>
        <v>-3</v>
      </c>
      <c r="T295" s="178">
        <f t="shared" si="108"/>
        <v>3</v>
      </c>
      <c r="U295" s="253">
        <f t="shared" si="109"/>
        <v>-2.1399989162907893</v>
      </c>
      <c r="V295" s="385">
        <f t="shared" si="110"/>
        <v>31.884323150401638</v>
      </c>
      <c r="W295" s="404">
        <f t="shared" si="111"/>
        <v>15.243529802329714</v>
      </c>
      <c r="X295" s="157">
        <f t="shared" si="112"/>
        <v>45938</v>
      </c>
      <c r="Y295" s="387">
        <f t="shared" si="113"/>
        <v>14.049435415968205</v>
      </c>
      <c r="Z295" s="387">
        <f t="shared" si="114"/>
        <v>14.934448237742339</v>
      </c>
      <c r="AA295" s="388">
        <f t="shared" si="115"/>
        <v>17.13037800191616</v>
      </c>
      <c r="AB295" s="199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0.1281892182372269</v>
      </c>
      <c r="AD295" s="233">
        <f>(INDEX(Models!$BJ295:$BT295,,AH295)*(1-AF295)+INDEX(Models!$BJ295:$BT295,,AH295+1)*AF295-ERP_i)*AE295*Ramure*Pc/MaxiM</f>
        <v>6.4518069694186178E-2</v>
      </c>
      <c r="AE295" s="307">
        <f t="shared" si="117"/>
        <v>1</v>
      </c>
      <c r="AF295" s="179">
        <f t="shared" si="118"/>
        <v>0.79498367663278113</v>
      </c>
      <c r="AG295" s="837">
        <f t="shared" si="124"/>
        <v>2</v>
      </c>
      <c r="AH295" s="178">
        <f t="shared" si="119"/>
        <v>8</v>
      </c>
      <c r="AI295" s="227">
        <f t="shared" si="120"/>
        <v>2.7949836766327811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45939</v>
      </c>
      <c r="B296" s="1139">
        <f>IF(t&gt;Tmaj,'2024'!Wh/'2024'!Env_an*'2025'!Env_an,0.001*'[12]mon-tableau (1)'!$B$216)</f>
        <v>30.809195156911539</v>
      </c>
      <c r="C296" s="866"/>
      <c r="D296" s="395">
        <f t="shared" si="102"/>
        <v>32.75071378806804</v>
      </c>
      <c r="E296" s="387">
        <f t="shared" si="100"/>
        <v>35.192476064153546</v>
      </c>
      <c r="F296" s="387">
        <f t="shared" si="103"/>
        <v>35.249367567192941</v>
      </c>
      <c r="G296" s="110">
        <f t="shared" si="101"/>
        <v>0.97870432282348152</v>
      </c>
      <c r="H296" s="414" t="b">
        <f>Wh_hp&gt;='2024'!Maxi_hp</f>
        <v>1</v>
      </c>
      <c r="I296" s="392">
        <f>IF(H296,Wh_hp,'2024'!Maxi_hp)</f>
        <v>35.249367567192941</v>
      </c>
      <c r="J296" s="85">
        <f>IF(H296,An,'2024'!An_max)</f>
        <v>2025</v>
      </c>
      <c r="K296" s="199">
        <f t="shared" si="104"/>
        <v>45939</v>
      </c>
      <c r="L296" s="147">
        <f>IF(t&lt;Tvie,1-EXP((T0-t)*PertePVj)+'2024'!Pspv,1-EXP((T0-t)*PertePVj)+Pspv)</f>
        <v>5.9281719589997173E-2</v>
      </c>
      <c r="M296" s="870"/>
      <c r="N296" s="870"/>
      <c r="O296" s="48">
        <f>IF(t&lt;Tnet,'2024'!Resal+('2024'!Salim-'2024'!Resal)*(1-EXP(('2024'!Tnet-t)/('2024'!Tau_j))),Resal+(Salim-Resal)*(1-EXP((Tnet-t)/(Tau_j))))*Salcycl</f>
        <v>6.9383076985953904E-2</v>
      </c>
      <c r="P296" s="171">
        <f>(INDEX(Models!$BJ296:$BT296,,T296)*(1-R296)+INDEX(Models!$BJ296:$BT296,,T296+1)*R296-ERP_i)*Q296*Ramure*Pc/MaxiM</f>
        <v>1.6644923851345101E-3</v>
      </c>
      <c r="Q296" s="307">
        <f t="shared" si="105"/>
        <v>1</v>
      </c>
      <c r="R296" s="179">
        <f t="shared" si="106"/>
        <v>0.86020194914413839</v>
      </c>
      <c r="S296" s="837">
        <f t="shared" si="107"/>
        <v>-3</v>
      </c>
      <c r="T296" s="178">
        <f t="shared" si="108"/>
        <v>3</v>
      </c>
      <c r="U296" s="253">
        <f t="shared" si="109"/>
        <v>-2.1397980508558616</v>
      </c>
      <c r="V296" s="385">
        <f t="shared" si="110"/>
        <v>31.477981081006529</v>
      </c>
      <c r="W296" s="404">
        <f t="shared" si="111"/>
        <v>30.809195156911539</v>
      </c>
      <c r="X296" s="157">
        <f t="shared" si="112"/>
        <v>45939</v>
      </c>
      <c r="Y296" s="387">
        <f t="shared" si="113"/>
        <v>27.03744482393428</v>
      </c>
      <c r="Z296" s="387">
        <f t="shared" si="114"/>
        <v>28.741277157014824</v>
      </c>
      <c r="AA296" s="388">
        <f t="shared" si="115"/>
        <v>32.967080773692068</v>
      </c>
      <c r="AB296" s="199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0.12818252382387041</v>
      </c>
      <c r="AD296" s="233">
        <f>(INDEX(Models!$BJ296:$BT296,,AH296)*(1-AF296)+INDEX(Models!$BJ296:$BT296,,AH296+1)*AF296-ERP_i)*AE296*Ramure*Pc/MaxiM</f>
        <v>6.6773574005328185E-2</v>
      </c>
      <c r="AE296" s="307">
        <f t="shared" si="117"/>
        <v>1</v>
      </c>
      <c r="AF296" s="179">
        <f t="shared" si="118"/>
        <v>0.79518454206770883</v>
      </c>
      <c r="AG296" s="837">
        <f t="shared" si="124"/>
        <v>2</v>
      </c>
      <c r="AH296" s="178">
        <f t="shared" si="119"/>
        <v>8</v>
      </c>
      <c r="AI296" s="227">
        <f t="shared" si="120"/>
        <v>2.7951845420677088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45940</v>
      </c>
      <c r="B297" s="1139">
        <f>IF(t&gt;Tmaj,'2024'!Wh/'2024'!Env_an*'2025'!Env_an,0.001*'[12]mon-tableau (1)'!$B$217)</f>
        <v>26.331820830923306</v>
      </c>
      <c r="C297" s="866"/>
      <c r="D297" s="395">
        <f t="shared" si="102"/>
        <v>27.991837910969732</v>
      </c>
      <c r="E297" s="387">
        <f t="shared" ref="E297:E360" si="125">Wh_pvt/(1-Psa)</f>
        <v>30.083886672318705</v>
      </c>
      <c r="F297" s="387">
        <f t="shared" si="103"/>
        <v>30.122957959918466</v>
      </c>
      <c r="G297" s="110">
        <f t="shared" ref="G297:G360" si="126">+Wh_hp/MaxiM</f>
        <v>0.84703878949249622</v>
      </c>
      <c r="H297" s="414" t="b">
        <f>Wh_hp&gt;='2024'!Maxi_hp</f>
        <v>1</v>
      </c>
      <c r="I297" s="392">
        <f>IF(H297,Wh_hp,'2024'!Maxi_hp)</f>
        <v>30.122957959918466</v>
      </c>
      <c r="J297" s="85">
        <f>IF(H297,An,'2024'!An_max)</f>
        <v>2025</v>
      </c>
      <c r="K297" s="199">
        <f t="shared" si="104"/>
        <v>45940</v>
      </c>
      <c r="L297" s="147">
        <f>IF(t&lt;Tvie,1-EXP((T0-t)*PertePVj)+'2024'!Pspv,1-EXP((T0-t)*PertePVj)+Pspv)</f>
        <v>5.9303611478683238E-2</v>
      </c>
      <c r="M297" s="870"/>
      <c r="N297" s="870"/>
      <c r="O297" s="48">
        <f>IF(t&lt;Tnet,'2024'!Resal+('2024'!Salim-'2024'!Resal)*(1-EXP(('2024'!Tnet-t)/('2024'!Tau_j))),Resal+(Salim-Resal)*(1-EXP((Tnet-t)/(Tau_j))))*Salcycl</f>
        <v>6.9540507984759276E-2</v>
      </c>
      <c r="P297" s="171">
        <f>(INDEX(Models!$BJ297:$BT297,,T297)*(1-R297)+INDEX(Models!$BJ297:$BT297,,T297+1)*R297-ERP_i)*Q297*Ramure*Pc/MaxiM</f>
        <v>1.6588091652634314E-3</v>
      </c>
      <c r="Q297" s="307">
        <f t="shared" si="105"/>
        <v>1</v>
      </c>
      <c r="R297" s="179">
        <f t="shared" si="106"/>
        <v>0.86039483618616597</v>
      </c>
      <c r="S297" s="837">
        <f t="shared" si="107"/>
        <v>-3</v>
      </c>
      <c r="T297" s="178">
        <f t="shared" si="108"/>
        <v>3</v>
      </c>
      <c r="U297" s="253">
        <f t="shared" si="109"/>
        <v>-2.139605163813834</v>
      </c>
      <c r="V297" s="385">
        <f t="shared" si="110"/>
        <v>31.075652349473636</v>
      </c>
      <c r="W297" s="404">
        <f t="shared" si="111"/>
        <v>26.331820830923306</v>
      </c>
      <c r="X297" s="157">
        <f t="shared" si="112"/>
        <v>45940</v>
      </c>
      <c r="Y297" s="387">
        <f t="shared" si="113"/>
        <v>23.370619122581488</v>
      </c>
      <c r="Z297" s="387">
        <f t="shared" si="114"/>
        <v>24.843955401293535</v>
      </c>
      <c r="AA297" s="388">
        <f t="shared" si="115"/>
        <v>28.496392680544531</v>
      </c>
      <c r="AB297" s="199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0.1281719170631952</v>
      </c>
      <c r="AD297" s="233">
        <f>(INDEX(Models!$BJ297:$BT297,,AH297)*(1-AF297)+INDEX(Models!$BJ297:$BT297,,AH297+1)*AF297-ERP_i)*AE297*Ramure*Pc/MaxiM</f>
        <v>6.905739634086934E-2</v>
      </c>
      <c r="AE297" s="307">
        <f t="shared" si="117"/>
        <v>1</v>
      </c>
      <c r="AF297" s="179">
        <f t="shared" si="118"/>
        <v>0.79537742910973641</v>
      </c>
      <c r="AG297" s="837">
        <f t="shared" si="124"/>
        <v>2</v>
      </c>
      <c r="AH297" s="178">
        <f t="shared" si="119"/>
        <v>8</v>
      </c>
      <c r="AI297" s="227">
        <f t="shared" si="120"/>
        <v>2.7953774291097364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45941</v>
      </c>
      <c r="B298" s="1139">
        <f>IF(t&gt;Tmaj,'2024'!Wh/'2024'!Env_an*'2025'!Env_an,0.001*'[12]mon-tableau (1)'!$B$218)</f>
        <v>22.778167719482354</v>
      </c>
      <c r="C298" s="866"/>
      <c r="D298" s="395">
        <f t="shared" si="102"/>
        <v>24.214718044005568</v>
      </c>
      <c r="E298" s="387">
        <f t="shared" si="125"/>
        <v>26.028800421602394</v>
      </c>
      <c r="F298" s="387">
        <f t="shared" si="103"/>
        <v>26.056018797975064</v>
      </c>
      <c r="G298" s="110">
        <f t="shared" si="126"/>
        <v>0.74203231901350941</v>
      </c>
      <c r="H298" s="414" t="b">
        <f>Wh_hp&gt;='2024'!Maxi_hp</f>
        <v>0</v>
      </c>
      <c r="I298" s="392">
        <f>IF(H298,Wh_hp,'2024'!Maxi_hp)</f>
        <v>35.228282069749262</v>
      </c>
      <c r="J298" s="85">
        <f>IF(H298,An,'2024'!An_max)</f>
        <v>2019</v>
      </c>
      <c r="K298" s="199">
        <f t="shared" si="104"/>
        <v>45941</v>
      </c>
      <c r="L298" s="147">
        <f>IF(t&lt;Tvie,1-EXP((T0-t)*PertePVj)+'2024'!Pspv,1-EXP((T0-t)*PertePVj)+Pspv)</f>
        <v>5.9325502857913159E-2</v>
      </c>
      <c r="M298" s="870"/>
      <c r="N298" s="870"/>
      <c r="O298" s="48">
        <f>IF(t&lt;Tnet,'2024'!Resal+('2024'!Salim-'2024'!Resal)*(1-EXP(('2024'!Tnet-t)/('2024'!Tau_j))),Resal+(Salim-Resal)*(1-EXP((Tnet-t)/(Tau_j))))*Salcycl</f>
        <v>6.9695197174405463E-2</v>
      </c>
      <c r="P298" s="171">
        <f>(INDEX(Models!$BJ298:$BT298,,T298)*(1-R298)+INDEX(Models!$BJ298:$BT298,,T298+1)*R298-ERP_i)*Q298*Ramure*Pc/MaxiM</f>
        <v>1.6525494032436725E-3</v>
      </c>
      <c r="Q298" s="307">
        <f t="shared" si="105"/>
        <v>1</v>
      </c>
      <c r="R298" s="179">
        <f t="shared" si="106"/>
        <v>0.86058005754887867</v>
      </c>
      <c r="S298" s="837">
        <f t="shared" si="107"/>
        <v>-3</v>
      </c>
      <c r="T298" s="178">
        <f t="shared" si="108"/>
        <v>3</v>
      </c>
      <c r="U298" s="253">
        <f t="shared" si="109"/>
        <v>-2.1394199424511213</v>
      </c>
      <c r="V298" s="385">
        <f t="shared" si="110"/>
        <v>30.678320753185435</v>
      </c>
      <c r="W298" s="404">
        <f t="shared" si="111"/>
        <v>22.778167719482354</v>
      </c>
      <c r="X298" s="157">
        <f t="shared" si="112"/>
        <v>45941</v>
      </c>
      <c r="Y298" s="387">
        <f t="shared" si="113"/>
        <v>20.405046594076751</v>
      </c>
      <c r="Z298" s="387">
        <f t="shared" si="114"/>
        <v>21.691931328074066</v>
      </c>
      <c r="AA298" s="388">
        <f t="shared" si="115"/>
        <v>24.880559367897312</v>
      </c>
      <c r="AB298" s="199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0.12815740967373279</v>
      </c>
      <c r="AD298" s="233">
        <f>(INDEX(Models!$BJ298:$BT298,,AH298)*(1-AF298)+INDEX(Models!$BJ298:$BT298,,AH298+1)*AF298-ERP_i)*AE298*Ramure*Pc/MaxiM</f>
        <v>7.1367400946902096E-2</v>
      </c>
      <c r="AE298" s="307">
        <f t="shared" si="117"/>
        <v>1</v>
      </c>
      <c r="AF298" s="179">
        <f t="shared" si="118"/>
        <v>0.79556265047244912</v>
      </c>
      <c r="AG298" s="837">
        <f t="shared" si="124"/>
        <v>2</v>
      </c>
      <c r="AH298" s="178">
        <f t="shared" si="119"/>
        <v>8</v>
      </c>
      <c r="AI298" s="227">
        <f t="shared" si="120"/>
        <v>2.7955626504724491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45942</v>
      </c>
      <c r="B299" s="1139">
        <f>IF(t&gt;Tmaj,'2024'!Wh/'2024'!Env_an*'2025'!Env_an,0.001*'[12]mon-tableau (1)'!$B$219)</f>
        <v>24.589453634002151</v>
      </c>
      <c r="C299" s="866"/>
      <c r="D299" s="395">
        <f t="shared" si="102"/>
        <v>26.140844632799499</v>
      </c>
      <c r="E299" s="387">
        <f t="shared" si="125"/>
        <v>28.103815955404492</v>
      </c>
      <c r="F299" s="387">
        <f t="shared" si="103"/>
        <v>28.13767658305898</v>
      </c>
      <c r="G299" s="110">
        <f t="shared" si="126"/>
        <v>0.81152279463155197</v>
      </c>
      <c r="H299" s="414" t="b">
        <f>Wh_hp&gt;='2024'!Maxi_hp</f>
        <v>0</v>
      </c>
      <c r="I299" s="392">
        <f>IF(H299,Wh_hp,'2024'!Maxi_hp)</f>
        <v>34.24330519553645</v>
      </c>
      <c r="J299" s="85">
        <f>IF(H299,An,'2024'!An_max)</f>
        <v>2021</v>
      </c>
      <c r="K299" s="199">
        <f t="shared" si="104"/>
        <v>45942</v>
      </c>
      <c r="L299" s="147">
        <f>IF(t&lt;Tvie,1-EXP((T0-t)*PertePVj)+'2024'!Pspv,1-EXP((T0-t)*PertePVj)+Pspv)</f>
        <v>5.9347393727698594E-2</v>
      </c>
      <c r="M299" s="870"/>
      <c r="N299" s="870"/>
      <c r="O299" s="48">
        <f>IF(t&lt;Tnet,'2024'!Resal+('2024'!Salim-'2024'!Resal)*(1-EXP(('2024'!Tnet-t)/('2024'!Tau_j))),Resal+(Salim-Resal)*(1-EXP((Tnet-t)/(Tau_j))))*Salcycl</f>
        <v>6.9847145516461637E-2</v>
      </c>
      <c r="P299" s="171">
        <f>(INDEX(Models!$BJ299:$BT299,,T299)*(1-R299)+INDEX(Models!$BJ299:$BT299,,T299+1)*R299-ERP_i)*Q299*Ramure*Pc/MaxiM</f>
        <v>1.6456395416613967E-3</v>
      </c>
      <c r="Q299" s="307">
        <f t="shared" si="105"/>
        <v>1</v>
      </c>
      <c r="R299" s="179">
        <f t="shared" si="106"/>
        <v>0.86075791401774104</v>
      </c>
      <c r="S299" s="837">
        <f t="shared" si="107"/>
        <v>-3</v>
      </c>
      <c r="T299" s="178">
        <f t="shared" si="108"/>
        <v>3</v>
      </c>
      <c r="U299" s="253">
        <f t="shared" si="109"/>
        <v>-2.139242085982259</v>
      </c>
      <c r="V299" s="385">
        <f t="shared" si="110"/>
        <v>30.286969195621705</v>
      </c>
      <c r="W299" s="404">
        <f t="shared" si="111"/>
        <v>24.589453634002151</v>
      </c>
      <c r="X299" s="157">
        <f t="shared" si="112"/>
        <v>45942</v>
      </c>
      <c r="Y299" s="387">
        <f t="shared" si="113"/>
        <v>21.832538910270237</v>
      </c>
      <c r="Z299" s="387">
        <f t="shared" si="114"/>
        <v>23.209991408826358</v>
      </c>
      <c r="AA299" s="388">
        <f t="shared" si="115"/>
        <v>26.621206902807373</v>
      </c>
      <c r="AB299" s="199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0.12813902489226661</v>
      </c>
      <c r="AD299" s="233">
        <f>(INDEX(Models!$BJ299:$BT299,,AH299)*(1-AF299)+INDEX(Models!$BJ299:$BT299,,AH299+1)*AF299-ERP_i)*AE299*Ramure*Pc/MaxiM</f>
        <v>7.3701010359797897E-2</v>
      </c>
      <c r="AE299" s="307">
        <f t="shared" si="117"/>
        <v>1</v>
      </c>
      <c r="AF299" s="179">
        <f t="shared" si="118"/>
        <v>0.79574050694131149</v>
      </c>
      <c r="AG299" s="837">
        <f t="shared" si="124"/>
        <v>2</v>
      </c>
      <c r="AH299" s="178">
        <f t="shared" si="119"/>
        <v>8</v>
      </c>
      <c r="AI299" s="227">
        <f t="shared" si="120"/>
        <v>2.7957405069413115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45943</v>
      </c>
      <c r="B300" s="1139">
        <f>IF(t&gt;Tmaj,'2024'!Wh/'2024'!Env_an*'2025'!Env_an,0.001*'[12]mon-tableau (1)'!$B$220)</f>
        <v>20.296772601669282</v>
      </c>
      <c r="C300" s="866"/>
      <c r="D300" s="395">
        <f t="shared" si="102"/>
        <v>21.577833105302556</v>
      </c>
      <c r="E300" s="387">
        <f t="shared" si="125"/>
        <v>23.201880287002933</v>
      </c>
      <c r="F300" s="387">
        <f t="shared" si="103"/>
        <v>23.22246254444789</v>
      </c>
      <c r="G300" s="110">
        <f t="shared" si="126"/>
        <v>0.67825258744335282</v>
      </c>
      <c r="H300" s="414" t="b">
        <f>Wh_hp&gt;='2024'!Maxi_hp</f>
        <v>0</v>
      </c>
      <c r="I300" s="392">
        <f>IF(H300,Wh_hp,'2024'!Maxi_hp)</f>
        <v>32.914868339815627</v>
      </c>
      <c r="J300" s="85">
        <f>IF(H300,An,'2024'!An_max)</f>
        <v>2021</v>
      </c>
      <c r="K300" s="199">
        <f t="shared" si="104"/>
        <v>45943</v>
      </c>
      <c r="L300" s="147">
        <f>IF(t&lt;Tvie,1-EXP((T0-t)*PertePVj)+'2024'!Pspv,1-EXP((T0-t)*PertePVj)+Pspv)</f>
        <v>5.9369284088051644E-2</v>
      </c>
      <c r="M300" s="870"/>
      <c r="N300" s="870"/>
      <c r="O300" s="48">
        <f>IF(t&lt;Tnet,'2024'!Resal+('2024'!Salim-'2024'!Resal)*(1-EXP(('2024'!Tnet-t)/('2024'!Tau_j))),Resal+(Salim-Resal)*(1-EXP((Tnet-t)/(Tau_j))))*Salcycl</f>
        <v>6.9996360709184566E-2</v>
      </c>
      <c r="P300" s="171">
        <f>(INDEX(Models!$BJ300:$BT300,,T300)*(1-R300)+INDEX(Models!$BJ300:$BT300,,T300+1)*R300-ERP_i)*Q300*Ramure*Pc/MaxiM</f>
        <v>1.6380038762253185E-3</v>
      </c>
      <c r="Q300" s="307">
        <f t="shared" si="105"/>
        <v>1</v>
      </c>
      <c r="R300" s="179">
        <f t="shared" si="106"/>
        <v>0.86092869487917278</v>
      </c>
      <c r="S300" s="837">
        <f t="shared" si="107"/>
        <v>-3</v>
      </c>
      <c r="T300" s="178">
        <f t="shared" si="108"/>
        <v>3</v>
      </c>
      <c r="U300" s="253">
        <f t="shared" si="109"/>
        <v>-2.1390713051208272</v>
      </c>
      <c r="V300" s="385">
        <f t="shared" si="110"/>
        <v>29.902579725021958</v>
      </c>
      <c r="W300" s="404">
        <f t="shared" si="111"/>
        <v>20.296772601669282</v>
      </c>
      <c r="X300" s="157">
        <f t="shared" si="112"/>
        <v>45943</v>
      </c>
      <c r="Y300" s="387">
        <f t="shared" si="113"/>
        <v>18.261446594780502</v>
      </c>
      <c r="Z300" s="387">
        <f t="shared" si="114"/>
        <v>19.414044519135118</v>
      </c>
      <c r="AA300" s="388">
        <f t="shared" si="115"/>
        <v>22.266794993464117</v>
      </c>
      <c r="AB300" s="199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0.12811679791215377</v>
      </c>
      <c r="AD300" s="233">
        <f>(INDEX(Models!$BJ300:$BT300,,AH300)*(1-AF300)+INDEX(Models!$BJ300:$BT300,,AH300+1)*AF300-ERP_i)*AE300*Ramure*Pc/MaxiM</f>
        <v>7.6055173106280391E-2</v>
      </c>
      <c r="AE300" s="307">
        <f t="shared" si="117"/>
        <v>1</v>
      </c>
      <c r="AF300" s="179">
        <f t="shared" si="118"/>
        <v>0.79591128780274323</v>
      </c>
      <c r="AG300" s="837">
        <f t="shared" si="124"/>
        <v>2</v>
      </c>
      <c r="AH300" s="178">
        <f t="shared" si="119"/>
        <v>8</v>
      </c>
      <c r="AI300" s="227">
        <f t="shared" si="120"/>
        <v>2.7959112878027432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45944</v>
      </c>
      <c r="B301" s="1139">
        <f>IF(t&gt;Tmaj,'2024'!Wh/'2024'!Env_an*'2025'!Env_an,0.001*'[12]mon-tableau (1)'!$B$221)</f>
        <v>17.046768102766872</v>
      </c>
      <c r="C301" s="866"/>
      <c r="D301" s="395">
        <f t="shared" si="102"/>
        <v>18.123121568137478</v>
      </c>
      <c r="E301" s="387">
        <f t="shared" si="125"/>
        <v>19.490221389058366</v>
      </c>
      <c r="F301" s="387">
        <f t="shared" si="103"/>
        <v>19.502813291069138</v>
      </c>
      <c r="G301" s="110">
        <f t="shared" si="126"/>
        <v>0.57677665741106876</v>
      </c>
      <c r="H301" s="414" t="b">
        <f>Wh_hp&gt;='2024'!Maxi_hp</f>
        <v>0</v>
      </c>
      <c r="I301" s="392">
        <f>IF(H301,Wh_hp,'2024'!Maxi_hp)</f>
        <v>34.821662172601158</v>
      </c>
      <c r="J301" s="85">
        <f>IF(H301,An,'2024'!An_max)</f>
        <v>2021</v>
      </c>
      <c r="K301" s="199">
        <f t="shared" si="104"/>
        <v>45944</v>
      </c>
      <c r="L301" s="147">
        <f>IF(t&lt;Tvie,1-EXP((T0-t)*PertePVj)+'2024'!Pspv,1-EXP((T0-t)*PertePVj)+Pspv)</f>
        <v>5.9391173938983965E-2</v>
      </c>
      <c r="M301" s="870"/>
      <c r="N301" s="870"/>
      <c r="O301" s="48">
        <f>IF(t&lt;Tnet,'2024'!Resal+('2024'!Salim-'2024'!Resal)*(1-EXP(('2024'!Tnet-t)/('2024'!Tau_j))),Resal+(Salim-Resal)*(1-EXP((Tnet-t)/(Tau_j))))*Salcycl</f>
        <v>7.0142857468431158E-2</v>
      </c>
      <c r="P301" s="171">
        <f>(INDEX(Models!$BJ301:$BT301,,T301)*(1-R301)+INDEX(Models!$BJ301:$BT301,,T301+1)*R301-ERP_i)*Q301*Ramure*Pc/MaxiM</f>
        <v>1.6295648103928451E-3</v>
      </c>
      <c r="Q301" s="307">
        <f t="shared" si="105"/>
        <v>1</v>
      </c>
      <c r="R301" s="179">
        <f t="shared" si="106"/>
        <v>0.86109267833626557</v>
      </c>
      <c r="S301" s="837">
        <f t="shared" si="107"/>
        <v>-3</v>
      </c>
      <c r="T301" s="178">
        <f t="shared" si="108"/>
        <v>3</v>
      </c>
      <c r="U301" s="253">
        <f t="shared" si="109"/>
        <v>-2.1389073216637344</v>
      </c>
      <c r="V301" s="385">
        <f t="shared" si="110"/>
        <v>29.526133559722737</v>
      </c>
      <c r="W301" s="404">
        <f t="shared" si="111"/>
        <v>17.046768102766872</v>
      </c>
      <c r="X301" s="157">
        <f t="shared" si="112"/>
        <v>45944</v>
      </c>
      <c r="Y301" s="387">
        <f t="shared" si="113"/>
        <v>15.497748389442188</v>
      </c>
      <c r="Z301" s="387">
        <f t="shared" si="114"/>
        <v>16.476294884816305</v>
      </c>
      <c r="AA301" s="388">
        <f t="shared" si="115"/>
        <v>18.896800763491274</v>
      </c>
      <c r="AB301" s="199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0.12809077626258303</v>
      </c>
      <c r="AD301" s="233">
        <f>(INDEX(Models!$BJ301:$BT301,,AH301)*(1-AF301)+INDEX(Models!$BJ301:$BT301,,AH301+1)*AF301-ERP_i)*AE301*Ramure*Pc/MaxiM</f>
        <v>7.8426332158026774E-2</v>
      </c>
      <c r="AE301" s="307">
        <f t="shared" si="117"/>
        <v>1</v>
      </c>
      <c r="AF301" s="179">
        <f t="shared" si="118"/>
        <v>0.79607527125983601</v>
      </c>
      <c r="AG301" s="837">
        <f t="shared" si="124"/>
        <v>2</v>
      </c>
      <c r="AH301" s="178">
        <f t="shared" si="119"/>
        <v>8</v>
      </c>
      <c r="AI301" s="227">
        <f t="shared" si="120"/>
        <v>2.796075271259836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45945</v>
      </c>
      <c r="B302" s="1139">
        <f>IF(t&gt;Tmaj,'2024'!Wh/'2024'!Env_an*'2025'!Env_an,0.001*'[12]mon-tableau (1)'!$B$222)</f>
        <v>28.904183275695473</v>
      </c>
      <c r="C302" s="866"/>
      <c r="D302" s="395">
        <f t="shared" si="102"/>
        <v>30.72994334421152</v>
      </c>
      <c r="E302" s="387">
        <f t="shared" si="125"/>
        <v>33.053137938929979</v>
      </c>
      <c r="F302" s="387">
        <f t="shared" si="103"/>
        <v>33.106109253398763</v>
      </c>
      <c r="G302" s="110">
        <f t="shared" si="126"/>
        <v>0.991254296716093</v>
      </c>
      <c r="H302" s="414" t="b">
        <f>Wh_hp&gt;='2024'!Maxi_hp</f>
        <v>1</v>
      </c>
      <c r="I302" s="392">
        <f>IF(H302,Wh_hp,'2024'!Maxi_hp)</f>
        <v>33.106109253398763</v>
      </c>
      <c r="J302" s="85">
        <f>IF(H302,An,'2024'!An_max)</f>
        <v>2025</v>
      </c>
      <c r="K302" s="199">
        <f t="shared" si="104"/>
        <v>45945</v>
      </c>
      <c r="L302" s="147">
        <f>IF(t&lt;Tvie,1-EXP((T0-t)*PertePVj)+'2024'!Pspv,1-EXP((T0-t)*PertePVj)+Pspv)</f>
        <v>5.9413063280507439E-2</v>
      </c>
      <c r="M302" s="870"/>
      <c r="N302" s="870"/>
      <c r="O302" s="48">
        <f>IF(t&lt;Tnet,'2024'!Resal+('2024'!Salim-'2024'!Resal)*(1-EXP(('2024'!Tnet-t)/('2024'!Tau_j))),Resal+(Salim-Resal)*(1-EXP((Tnet-t)/(Tau_j))))*Salcycl</f>
        <v>7.0286657775454411E-2</v>
      </c>
      <c r="P302" s="171">
        <f>(INDEX(Models!$BJ302:$BT302,,T302)*(1-R302)+INDEX(Models!$BJ302:$BT302,,T302+1)*R302-ERP_i)*Q302*Ramure*Pc/MaxiM</f>
        <v>1.620243187179369E-3</v>
      </c>
      <c r="Q302" s="307">
        <f t="shared" si="105"/>
        <v>1</v>
      </c>
      <c r="R302" s="179">
        <f t="shared" si="106"/>
        <v>0.86125013191137834</v>
      </c>
      <c r="S302" s="837">
        <f t="shared" si="107"/>
        <v>-3</v>
      </c>
      <c r="T302" s="178">
        <f t="shared" si="108"/>
        <v>3</v>
      </c>
      <c r="U302" s="253">
        <f t="shared" si="109"/>
        <v>-2.1387498680886217</v>
      </c>
      <c r="V302" s="385">
        <f t="shared" si="110"/>
        <v>29.158611132731792</v>
      </c>
      <c r="W302" s="404">
        <f t="shared" si="111"/>
        <v>28.904183275695473</v>
      </c>
      <c r="X302" s="157">
        <f t="shared" si="112"/>
        <v>45945</v>
      </c>
      <c r="Y302" s="387">
        <f t="shared" si="113"/>
        <v>24.984689531513283</v>
      </c>
      <c r="Z302" s="387">
        <f t="shared" si="114"/>
        <v>26.562871071389722</v>
      </c>
      <c r="AA302" s="388">
        <f t="shared" si="115"/>
        <v>30.464139904790215</v>
      </c>
      <c r="AB302" s="199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0.12806102012376369</v>
      </c>
      <c r="AD302" s="233">
        <f>(INDEX(Models!$BJ302:$BT302,,AH302)*(1-AF302)+INDEX(Models!$BJ302:$BT302,,AH302+1)*AF302-ERP_i)*AE302*Ramure*Pc/MaxiM</f>
        <v>8.0810394847613987E-2</v>
      </c>
      <c r="AE302" s="307">
        <f t="shared" si="117"/>
        <v>1</v>
      </c>
      <c r="AF302" s="179">
        <f t="shared" si="118"/>
        <v>0.79623272483494878</v>
      </c>
      <c r="AG302" s="837">
        <f t="shared" si="124"/>
        <v>2</v>
      </c>
      <c r="AH302" s="178">
        <f t="shared" si="119"/>
        <v>8</v>
      </c>
      <c r="AI302" s="227">
        <f t="shared" si="120"/>
        <v>2.7962327248349488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45946</v>
      </c>
      <c r="B303" s="1139">
        <f>IF(t&gt;Tmaj,'2024'!Wh/'2024'!Env_an*'2025'!Env_an,0.001*'[12]mon-tableau (1)'!$B$223)</f>
        <v>26.908794190007882</v>
      </c>
      <c r="C303" s="866"/>
      <c r="D303" s="395">
        <f t="shared" si="102"/>
        <v>28.609179397478787</v>
      </c>
      <c r="E303" s="387">
        <f t="shared" si="125"/>
        <v>30.776715486125124</v>
      </c>
      <c r="F303" s="387">
        <f t="shared" si="103"/>
        <v>30.821686906488516</v>
      </c>
      <c r="G303" s="110">
        <f t="shared" si="126"/>
        <v>0.93421899419640086</v>
      </c>
      <c r="H303" s="414" t="b">
        <f>Wh_hp&gt;='2024'!Maxi_hp</f>
        <v>0</v>
      </c>
      <c r="I303" s="392">
        <f>IF(H303,Wh_hp,'2024'!Maxi_hp)</f>
        <v>31.863522294539795</v>
      </c>
      <c r="J303" s="85">
        <f>IF(H303,An,'2024'!An_max)</f>
        <v>2021</v>
      </c>
      <c r="K303" s="199">
        <f t="shared" si="104"/>
        <v>45946</v>
      </c>
      <c r="L303" s="147">
        <f>IF(t&lt;Tvie,1-EXP((T0-t)*PertePVj)+'2024'!Pspv,1-EXP((T0-t)*PertePVj)+Pspv)</f>
        <v>5.9434952112633943E-2</v>
      </c>
      <c r="M303" s="870"/>
      <c r="N303" s="870"/>
      <c r="O303" s="48">
        <f>IF(t&lt;Tnet,'2024'!Resal+('2024'!Salim-'2024'!Resal)*(1-EXP(('2024'!Tnet-t)/('2024'!Tau_j))),Resal+(Salim-Resal)*(1-EXP((Tnet-t)/(Tau_j))))*Salcycl</f>
        <v>7.0427791088477784E-2</v>
      </c>
      <c r="P303" s="171">
        <f>(INDEX(Models!$BJ303:$BT303,,T303)*(1-R303)+INDEX(Models!$BJ303:$BT303,,T303+1)*R303-ERP_i)*Q303*Ramure*Pc/MaxiM</f>
        <v>1.6100607632770789E-3</v>
      </c>
      <c r="Q303" s="307">
        <f t="shared" si="105"/>
        <v>1</v>
      </c>
      <c r="R303" s="179">
        <f t="shared" si="106"/>
        <v>0.86140131283586463</v>
      </c>
      <c r="S303" s="837">
        <f t="shared" si="107"/>
        <v>-3</v>
      </c>
      <c r="T303" s="178">
        <f t="shared" si="108"/>
        <v>3</v>
      </c>
      <c r="U303" s="253">
        <f t="shared" si="109"/>
        <v>-2.1385986871641354</v>
      </c>
      <c r="V303" s="385">
        <f t="shared" si="110"/>
        <v>28.799163589630481</v>
      </c>
      <c r="W303" s="404">
        <f t="shared" si="111"/>
        <v>26.908794190007882</v>
      </c>
      <c r="X303" s="157">
        <f t="shared" si="112"/>
        <v>45946</v>
      </c>
      <c r="Y303" s="387">
        <f t="shared" si="113"/>
        <v>23.372183795752385</v>
      </c>
      <c r="Z303" s="387">
        <f t="shared" si="114"/>
        <v>24.849088160621545</v>
      </c>
      <c r="AA303" s="388">
        <f t="shared" si="115"/>
        <v>28.497562805839976</v>
      </c>
      <c r="AB303" s="199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0.12802760257346479</v>
      </c>
      <c r="AD303" s="233">
        <f>(INDEX(Models!$BJ303:$BT303,,AH303)*(1-AF303)+INDEX(Models!$BJ303:$BT303,,AH303+1)*AF303-ERP_i)*AE303*Ramure*Pc/MaxiM</f>
        <v>8.3207979494614184E-2</v>
      </c>
      <c r="AE303" s="307">
        <f t="shared" si="117"/>
        <v>1</v>
      </c>
      <c r="AF303" s="179">
        <f t="shared" si="118"/>
        <v>0.79638390575943507</v>
      </c>
      <c r="AG303" s="837">
        <f t="shared" si="124"/>
        <v>2</v>
      </c>
      <c r="AH303" s="178">
        <f t="shared" si="119"/>
        <v>8</v>
      </c>
      <c r="AI303" s="227">
        <f t="shared" si="120"/>
        <v>2.7963839057594351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45947</v>
      </c>
      <c r="B304" s="1139">
        <f>IF(t&gt;Tmaj,'2024'!Wh/'2024'!Env_an*'2025'!Env_an,0.001*'[12]mon-tableau (1)'!$B$224)</f>
        <v>17.164378415772255</v>
      </c>
      <c r="C304" s="866"/>
      <c r="D304" s="395">
        <f t="shared" si="102"/>
        <v>18.249431981109307</v>
      </c>
      <c r="E304" s="387">
        <f t="shared" si="125"/>
        <v>19.635001263042856</v>
      </c>
      <c r="F304" s="387">
        <f t="shared" si="103"/>
        <v>19.648655715410623</v>
      </c>
      <c r="G304" s="110">
        <f t="shared" si="126"/>
        <v>0.60285440382033684</v>
      </c>
      <c r="H304" s="414" t="b">
        <f>Wh_hp&gt;='2024'!Maxi_hp</f>
        <v>0</v>
      </c>
      <c r="I304" s="392">
        <f>IF(H304,Wh_hp,'2024'!Maxi_hp)</f>
        <v>29.854260667658959</v>
      </c>
      <c r="J304" s="85">
        <f>IF(H304,An,'2024'!An_max)</f>
        <v>2021</v>
      </c>
      <c r="K304" s="199">
        <f t="shared" si="104"/>
        <v>45947</v>
      </c>
      <c r="L304" s="147">
        <f>IF(t&lt;Tvie,1-EXP((T0-t)*PertePVj)+'2024'!Pspv,1-EXP((T0-t)*PertePVj)+Pspv)</f>
        <v>5.9456840435375358E-2</v>
      </c>
      <c r="M304" s="870"/>
      <c r="N304" s="870"/>
      <c r="O304" s="48">
        <f>IF(t&lt;Tnet,'2024'!Resal+('2024'!Salim-'2024'!Resal)*(1-EXP(('2024'!Tnet-t)/('2024'!Tau_j))),Resal+(Salim-Resal)*(1-EXP((Tnet-t)/(Tau_j))))*Salcycl</f>
        <v>7.0566294515166494E-2</v>
      </c>
      <c r="P304" s="171">
        <f>(INDEX(Models!$BJ304:$BT304,,T304)*(1-R304)+INDEX(Models!$BJ304:$BT304,,T304+1)*R304-ERP_i)*Q304*Ramure*Pc/MaxiM</f>
        <v>1.6033182784677207E-3</v>
      </c>
      <c r="Q304" s="307">
        <f t="shared" si="105"/>
        <v>1</v>
      </c>
      <c r="R304" s="179">
        <f t="shared" si="106"/>
        <v>0.86154646842720695</v>
      </c>
      <c r="S304" s="837">
        <f t="shared" si="107"/>
        <v>-3</v>
      </c>
      <c r="T304" s="178">
        <f t="shared" si="108"/>
        <v>3</v>
      </c>
      <c r="U304" s="253">
        <f t="shared" si="109"/>
        <v>-2.1384535315727931</v>
      </c>
      <c r="V304" s="385">
        <f t="shared" si="110"/>
        <v>28.445965650472825</v>
      </c>
      <c r="W304" s="404">
        <f t="shared" si="111"/>
        <v>17.164378415772255</v>
      </c>
      <c r="X304" s="157">
        <f t="shared" si="112"/>
        <v>45947</v>
      </c>
      <c r="Y304" s="387">
        <f t="shared" si="113"/>
        <v>15.516810456777906</v>
      </c>
      <c r="Z304" s="387">
        <f t="shared" si="114"/>
        <v>16.497712304835222</v>
      </c>
      <c r="AA304" s="388">
        <f t="shared" si="115"/>
        <v>18.919191111359162</v>
      </c>
      <c r="AB304" s="199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0.12799060976079862</v>
      </c>
      <c r="AD304" s="233">
        <f>(INDEX(Models!$BJ304:$BT304,,AH304)*(1-AF304)+INDEX(Models!$BJ304:$BT304,,AH304+1)*AF304-ERP_i)*AE304*Ramure*Pc/MaxiM</f>
        <v>8.5654400606489919E-2</v>
      </c>
      <c r="AE304" s="307">
        <f t="shared" si="117"/>
        <v>1</v>
      </c>
      <c r="AF304" s="179">
        <f t="shared" si="118"/>
        <v>0.79652906135077739</v>
      </c>
      <c r="AG304" s="837">
        <f t="shared" si="124"/>
        <v>2</v>
      </c>
      <c r="AH304" s="178">
        <f t="shared" si="119"/>
        <v>8</v>
      </c>
      <c r="AI304" s="227">
        <f t="shared" si="120"/>
        <v>2.7965290613507774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45948</v>
      </c>
      <c r="B305" s="1139">
        <f>IF(t&gt;Tmaj,'2024'!Wh/'2024'!Env_an*'2025'!Env_an,0.001*'[12]mon-tableau (1)'!$B$225)</f>
        <v>26.856742486964002</v>
      </c>
      <c r="C305" s="866"/>
      <c r="D305" s="395">
        <f t="shared" si="102"/>
        <v>28.555167536994226</v>
      </c>
      <c r="E305" s="387">
        <f t="shared" si="125"/>
        <v>30.727682702696647</v>
      </c>
      <c r="F305" s="387">
        <f t="shared" si="103"/>
        <v>30.773826518098915</v>
      </c>
      <c r="G305" s="110">
        <f t="shared" si="126"/>
        <v>0.95570331352990823</v>
      </c>
      <c r="H305" s="414" t="b">
        <f>Wh_hp&gt;='2024'!Maxi_hp</f>
        <v>0</v>
      </c>
      <c r="I305" s="392">
        <f>IF(H305,Wh_hp,'2024'!Maxi_hp)</f>
        <v>32.364301744109355</v>
      </c>
      <c r="J305" s="85">
        <f>IF(H305,An,'2024'!An_max)</f>
        <v>2020</v>
      </c>
      <c r="K305" s="199">
        <f t="shared" si="104"/>
        <v>45948</v>
      </c>
      <c r="L305" s="147">
        <f>IF(t&lt;Tvie,1-EXP((T0-t)*PertePVj)+'2024'!Pspv,1-EXP((T0-t)*PertePVj)+Pspv)</f>
        <v>5.9478728248743562E-2</v>
      </c>
      <c r="M305" s="870"/>
      <c r="N305" s="870"/>
      <c r="O305" s="48">
        <f>IF(t&lt;Tnet,'2024'!Resal+('2024'!Salim-'2024'!Resal)*(1-EXP(('2024'!Tnet-t)/('2024'!Tau_j))),Resal+(Salim-Resal)*(1-EXP((Tnet-t)/(Tau_j))))*Salcycl</f>
        <v>7.0702212943371923E-2</v>
      </c>
      <c r="P305" s="171">
        <f>(INDEX(Models!$BJ305:$BT305,,T305)*(1-R305)+INDEX(Models!$BJ305:$BT305,,T305+1)*R305-ERP_i)*Q305*Ramure*Pc/MaxiM</f>
        <v>1.600510741218494E-3</v>
      </c>
      <c r="Q305" s="307">
        <f t="shared" si="105"/>
        <v>1</v>
      </c>
      <c r="R305" s="179">
        <f t="shared" si="106"/>
        <v>0.86168583645382402</v>
      </c>
      <c r="S305" s="837">
        <f t="shared" si="107"/>
        <v>-3</v>
      </c>
      <c r="T305" s="178">
        <f t="shared" si="108"/>
        <v>3</v>
      </c>
      <c r="U305" s="253">
        <f t="shared" si="109"/>
        <v>-2.138314163546176</v>
      </c>
      <c r="V305" s="385">
        <f t="shared" si="110"/>
        <v>28.098703718718077</v>
      </c>
      <c r="W305" s="404">
        <f t="shared" si="111"/>
        <v>26.856742486964002</v>
      </c>
      <c r="X305" s="157">
        <f t="shared" si="112"/>
        <v>45948</v>
      </c>
      <c r="Y305" s="387">
        <f t="shared" si="113"/>
        <v>23.15509987289045</v>
      </c>
      <c r="Z305" s="387">
        <f t="shared" si="114"/>
        <v>24.619432402390547</v>
      </c>
      <c r="AA305" s="388">
        <f t="shared" si="115"/>
        <v>28.231679815561954</v>
      </c>
      <c r="AB305" s="199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0.12795014100366259</v>
      </c>
      <c r="AD305" s="233">
        <f>(INDEX(Models!$BJ305:$BT305,,AH305)*(1-AF305)+INDEX(Models!$BJ305:$BT305,,AH305+1)*AF305-ERP_i)*AE305*Ramure*Pc/MaxiM</f>
        <v>8.8175047245088567E-2</v>
      </c>
      <c r="AE305" s="307">
        <f t="shared" si="117"/>
        <v>1</v>
      </c>
      <c r="AF305" s="179">
        <f t="shared" si="118"/>
        <v>0.79666842937739446</v>
      </c>
      <c r="AG305" s="837">
        <f t="shared" si="124"/>
        <v>2</v>
      </c>
      <c r="AH305" s="178">
        <f t="shared" si="119"/>
        <v>8</v>
      </c>
      <c r="AI305" s="227">
        <f t="shared" si="120"/>
        <v>2.7966684293773945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45949</v>
      </c>
      <c r="B306" s="1139">
        <f>IF(t&gt;Tmaj,'2024'!Wh/'2024'!Env_an*'2025'!Env_an,0.001*'[12]mon-tableau (1)'!$B$226)</f>
        <v>14.53528633897</v>
      </c>
      <c r="C306" s="866"/>
      <c r="D306" s="395">
        <f t="shared" si="102"/>
        <v>15.454860023659323</v>
      </c>
      <c r="E306" s="387">
        <f t="shared" si="125"/>
        <v>16.633073769455812</v>
      </c>
      <c r="F306" s="387">
        <f t="shared" si="103"/>
        <v>16.641590990368822</v>
      </c>
      <c r="G306" s="110">
        <f t="shared" si="126"/>
        <v>0.52308952819231969</v>
      </c>
      <c r="H306" s="414" t="b">
        <f>Wh_hp&gt;='2024'!Maxi_hp</f>
        <v>0</v>
      </c>
      <c r="I306" s="392">
        <f>IF(H306,Wh_hp,'2024'!Maxi_hp)</f>
        <v>30.618334526163864</v>
      </c>
      <c r="J306" s="85">
        <f>IF(H306,An,'2024'!An_max)</f>
        <v>2020</v>
      </c>
      <c r="K306" s="199">
        <f t="shared" si="104"/>
        <v>45949</v>
      </c>
      <c r="L306" s="147">
        <f>IF(t&lt;Tvie,1-EXP((T0-t)*PertePVj)+'2024'!Pspv,1-EXP((T0-t)*PertePVj)+Pspv)</f>
        <v>5.9500615552750324E-2</v>
      </c>
      <c r="M306" s="870"/>
      <c r="N306" s="870"/>
      <c r="O306" s="48">
        <f>IF(t&lt;Tnet,'2024'!Resal+('2024'!Salim-'2024'!Resal)*(1-EXP(('2024'!Tnet-t)/('2024'!Tau_j))),Resal+(Salim-Resal)*(1-EXP((Tnet-t)/(Tau_j))))*Salcycl</f>
        <v>7.0835599127811441E-2</v>
      </c>
      <c r="P306" s="171">
        <f>(INDEX(Models!$BJ306:$BT306,,T306)*(1-R306)+INDEX(Models!$BJ306:$BT306,,T306+1)*R306-ERP_i)*Q306*Ramure*Pc/MaxiM</f>
        <v>1.6018121839602134E-3</v>
      </c>
      <c r="Q306" s="307">
        <f t="shared" si="105"/>
        <v>1</v>
      </c>
      <c r="R306" s="179">
        <f t="shared" si="106"/>
        <v>0.86181964548782597</v>
      </c>
      <c r="S306" s="837">
        <f t="shared" si="107"/>
        <v>-3</v>
      </c>
      <c r="T306" s="178">
        <f t="shared" si="108"/>
        <v>3</v>
      </c>
      <c r="U306" s="253">
        <f t="shared" si="109"/>
        <v>-2.138180354512174</v>
      </c>
      <c r="V306" s="385">
        <f t="shared" si="110"/>
        <v>27.757073793299998</v>
      </c>
      <c r="W306" s="404">
        <f t="shared" si="111"/>
        <v>14.53528633897</v>
      </c>
      <c r="X306" s="157">
        <f t="shared" si="112"/>
        <v>45949</v>
      </c>
      <c r="Y306" s="387">
        <f t="shared" si="113"/>
        <v>13.253615916833612</v>
      </c>
      <c r="Z306" s="387">
        <f t="shared" si="114"/>
        <v>14.092104828567248</v>
      </c>
      <c r="AA306" s="388">
        <f t="shared" si="115"/>
        <v>16.158934493938101</v>
      </c>
      <c r="AB306" s="199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0.12790630880682199</v>
      </c>
      <c r="AD306" s="233">
        <f>(INDEX(Models!$BJ306:$BT306,,AH306)*(1-AF306)+INDEX(Models!$BJ306:$BT306,,AH306+1)*AF306-ERP_i)*AE306*Ramure*Pc/MaxiM</f>
        <v>9.0771985903219277E-2</v>
      </c>
      <c r="AE306" s="307">
        <f t="shared" si="117"/>
        <v>1</v>
      </c>
      <c r="AF306" s="179">
        <f t="shared" si="118"/>
        <v>0.79680223841139641</v>
      </c>
      <c r="AG306" s="837">
        <f t="shared" si="124"/>
        <v>2</v>
      </c>
      <c r="AH306" s="178">
        <f t="shared" si="119"/>
        <v>8</v>
      </c>
      <c r="AI306" s="227">
        <f t="shared" si="120"/>
        <v>2.7968022384113964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45950</v>
      </c>
      <c r="B307" s="1139">
        <f>IF(t&gt;Tmaj,'2024'!Wh/'2024'!Env_an*'2025'!Env_an,0.001*'[12]mon-tableau (1)'!$B$227)</f>
        <v>8.0516838748494948</v>
      </c>
      <c r="C307" s="866"/>
      <c r="D307" s="395">
        <f t="shared" si="102"/>
        <v>8.5612722207030902</v>
      </c>
      <c r="E307" s="387">
        <f t="shared" si="125"/>
        <v>9.215246110322731</v>
      </c>
      <c r="F307" s="387">
        <f t="shared" si="103"/>
        <v>9.215246110322731</v>
      </c>
      <c r="G307" s="110">
        <f t="shared" si="126"/>
        <v>0.29316248252771582</v>
      </c>
      <c r="H307" s="414" t="b">
        <f>Wh_hp&gt;='2024'!Maxi_hp</f>
        <v>0</v>
      </c>
      <c r="I307" s="392">
        <f>IF(H307,Wh_hp,'2024'!Maxi_hp)</f>
        <v>26.917739526991838</v>
      </c>
      <c r="J307" s="85">
        <f>IF(H307,An,'2024'!An_max)</f>
        <v>2020</v>
      </c>
      <c r="K307" s="199">
        <f t="shared" si="104"/>
        <v>45950</v>
      </c>
      <c r="L307" s="147">
        <f>IF(t&lt;Tvie,1-EXP((T0-t)*PertePVj)+'2024'!Pspv,1-EXP((T0-t)*PertePVj)+Pspv)</f>
        <v>5.9522502347407635E-2</v>
      </c>
      <c r="M307" s="870"/>
      <c r="N307" s="870"/>
      <c r="O307" s="48">
        <f>IF(t&lt;Tnet,'2024'!Resal+('2024'!Salim-'2024'!Resal)*(1-EXP(('2024'!Tnet-t)/('2024'!Tau_j))),Resal+(Salim-Resal)*(1-EXP((Tnet-t)/(Tau_j))))*Salcycl</f>
        <v>7.0966513730661276E-2</v>
      </c>
      <c r="P307" s="171">
        <f>(INDEX(Models!$BJ307:$BT307,,T307)*(1-R307)+INDEX(Models!$BJ307:$BT307,,T307+1)*R307-ERP_i)*Q307*Ramure*Pc/MaxiM</f>
        <v>1.6073998518069668E-3</v>
      </c>
      <c r="Q307" s="307">
        <f t="shared" si="105"/>
        <v>1</v>
      </c>
      <c r="R307" s="179">
        <f t="shared" si="106"/>
        <v>0.86194811524601667</v>
      </c>
      <c r="S307" s="837">
        <f t="shared" si="107"/>
        <v>-3</v>
      </c>
      <c r="T307" s="178">
        <f t="shared" si="108"/>
        <v>3</v>
      </c>
      <c r="U307" s="253">
        <f t="shared" si="109"/>
        <v>-2.1380518847539833</v>
      </c>
      <c r="V307" s="385">
        <f t="shared" si="110"/>
        <v>27.420772023999614</v>
      </c>
      <c r="W307" s="404">
        <f t="shared" si="111"/>
        <v>8.0516838748494948</v>
      </c>
      <c r="X307" s="157">
        <f t="shared" si="112"/>
        <v>45950</v>
      </c>
      <c r="Y307" s="387">
        <f t="shared" si="113"/>
        <v>7.5586098965775523</v>
      </c>
      <c r="Z307" s="387">
        <f t="shared" si="114"/>
        <v>8.0369917573186473</v>
      </c>
      <c r="AA307" s="388">
        <f t="shared" si="115"/>
        <v>9.215246110322731</v>
      </c>
      <c r="AB307" s="199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0.12785923879821576</v>
      </c>
      <c r="AD307" s="233">
        <f>(INDEX(Models!$BJ307:$BT307,,AH307)*(1-AF307)+INDEX(Models!$BJ307:$BT307,,AH307+1)*AF307-ERP_i)*AE307*Ramure*Pc/MaxiM</f>
        <v>9.3447393582414509E-2</v>
      </c>
      <c r="AE307" s="307">
        <f t="shared" si="117"/>
        <v>1</v>
      </c>
      <c r="AF307" s="179">
        <f t="shared" si="118"/>
        <v>0.79693070816958711</v>
      </c>
      <c r="AG307" s="837">
        <f t="shared" si="124"/>
        <v>2</v>
      </c>
      <c r="AH307" s="178">
        <f t="shared" si="119"/>
        <v>8</v>
      </c>
      <c r="AI307" s="227">
        <f t="shared" si="120"/>
        <v>2.7969307081695871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45951</v>
      </c>
      <c r="B308" s="1139">
        <f>IF(t&gt;Tmaj,'2024'!Wh/'2024'!Env_an*'2025'!Env_an,0.001*'[12]mon-tableau (1)'!$B$228)</f>
        <v>14.099297544697071</v>
      </c>
      <c r="C308" s="866"/>
      <c r="D308" s="395">
        <f t="shared" si="102"/>
        <v>14.991986197199607</v>
      </c>
      <c r="E308" s="387">
        <f t="shared" si="125"/>
        <v>16.139418568916039</v>
      </c>
      <c r="F308" s="387">
        <f t="shared" si="103"/>
        <v>16.147644683703181</v>
      </c>
      <c r="G308" s="110">
        <f t="shared" si="126"/>
        <v>0.51989405439387493</v>
      </c>
      <c r="H308" s="414" t="b">
        <f>Wh_hp&gt;='2024'!Maxi_hp</f>
        <v>0</v>
      </c>
      <c r="I308" s="392">
        <f>IF(H308,Wh_hp,'2024'!Maxi_hp)</f>
        <v>22.474187536944374</v>
      </c>
      <c r="J308" s="85">
        <f>IF(H308,An,'2024'!An_max)</f>
        <v>2019</v>
      </c>
      <c r="K308" s="199">
        <f t="shared" si="104"/>
        <v>45951</v>
      </c>
      <c r="L308" s="147">
        <f>IF(t&lt;Tvie,1-EXP((T0-t)*PertePVj)+'2024'!Pspv,1-EXP((T0-t)*PertePVj)+Pspv)</f>
        <v>5.9544388632727152E-2</v>
      </c>
      <c r="M308" s="870"/>
      <c r="N308" s="870"/>
      <c r="O308" s="48">
        <f>IF(t&lt;Tnet,'2024'!Resal+('2024'!Salim-'2024'!Resal)*(1-EXP(('2024'!Tnet-t)/('2024'!Tau_j))),Resal+(Salim-Resal)*(1-EXP((Tnet-t)/(Tau_j))))*Salcycl</f>
        <v>7.1095025314378266E-2</v>
      </c>
      <c r="P308" s="171">
        <f>(INDEX(Models!$BJ308:$BT308,,T308)*(1-R308)+INDEX(Models!$BJ308:$BT308,,T308+1)*R308-ERP_i)*Q308*Ramure*Pc/MaxiM</f>
        <v>1.6174544737746412E-3</v>
      </c>
      <c r="Q308" s="307">
        <f t="shared" si="105"/>
        <v>1</v>
      </c>
      <c r="R308" s="179">
        <f t="shared" si="106"/>
        <v>0.86207145691941633</v>
      </c>
      <c r="S308" s="837">
        <f t="shared" si="107"/>
        <v>-3</v>
      </c>
      <c r="T308" s="178">
        <f t="shared" si="108"/>
        <v>3</v>
      </c>
      <c r="U308" s="253">
        <f t="shared" si="109"/>
        <v>-2.1379285430805837</v>
      </c>
      <c r="V308" s="385">
        <f t="shared" si="110"/>
        <v>27.089494703693148</v>
      </c>
      <c r="W308" s="404">
        <f t="shared" si="111"/>
        <v>14.099297544697071</v>
      </c>
      <c r="X308" s="157">
        <f t="shared" si="112"/>
        <v>45951</v>
      </c>
      <c r="Y308" s="387">
        <f t="shared" si="113"/>
        <v>12.843884275149643</v>
      </c>
      <c r="Z308" s="387">
        <f t="shared" si="114"/>
        <v>13.657087181899715</v>
      </c>
      <c r="AA308" s="388">
        <f t="shared" si="115"/>
        <v>15.658368719048571</v>
      </c>
      <c r="AB308" s="199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0.12780906958170407</v>
      </c>
      <c r="AD308" s="233">
        <f>(INDEX(Models!$BJ308:$BT308,,AH308)*(1-AF308)+INDEX(Models!$BJ308:$BT308,,AH308+1)*AF308-ERP_i)*AE308*Ramure*Pc/MaxiM</f>
        <v>9.6203568564103989E-2</v>
      </c>
      <c r="AE308" s="307">
        <f t="shared" si="117"/>
        <v>1</v>
      </c>
      <c r="AF308" s="179">
        <f t="shared" si="118"/>
        <v>0.79705404984298678</v>
      </c>
      <c r="AG308" s="837">
        <f t="shared" si="124"/>
        <v>2</v>
      </c>
      <c r="AH308" s="178">
        <f t="shared" si="119"/>
        <v>8</v>
      </c>
      <c r="AI308" s="227">
        <f t="shared" si="120"/>
        <v>2.7970540498429868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45952</v>
      </c>
      <c r="B309" s="1139">
        <f>IF(t&gt;Tmaj,'2024'!Wh/'2024'!Env_an*'2025'!Env_an,0.001*'[12]mon-tableau (1)'!$B$229)</f>
        <v>25.023482666052555</v>
      </c>
      <c r="C309" s="866"/>
      <c r="D309" s="395">
        <f t="shared" si="102"/>
        <v>26.608448830691962</v>
      </c>
      <c r="E309" s="387">
        <f t="shared" si="125"/>
        <v>28.648854953792828</v>
      </c>
      <c r="F309" s="387">
        <f t="shared" si="103"/>
        <v>28.691335764635802</v>
      </c>
      <c r="G309" s="110">
        <f t="shared" si="126"/>
        <v>0.93486315194257286</v>
      </c>
      <c r="H309" s="414" t="b">
        <f>Wh_hp&gt;='2024'!Maxi_hp</f>
        <v>1</v>
      </c>
      <c r="I309" s="392">
        <f>IF(H309,Wh_hp,'2024'!Maxi_hp)</f>
        <v>28.691335764635802</v>
      </c>
      <c r="J309" s="85">
        <f>IF(H309,An,'2024'!An_max)</f>
        <v>2025</v>
      </c>
      <c r="K309" s="199">
        <f t="shared" si="104"/>
        <v>45952</v>
      </c>
      <c r="L309" s="147">
        <f>IF(t&lt;Tvie,1-EXP((T0-t)*PertePVj)+'2024'!Pspv,1-EXP((T0-t)*PertePVj)+Pspv)</f>
        <v>5.9566274408720976E-2</v>
      </c>
      <c r="M309" s="870"/>
      <c r="N309" s="870"/>
      <c r="O309" s="48">
        <f>IF(t&lt;Tnet,'2024'!Resal+('2024'!Salim-'2024'!Resal)*(1-EXP(('2024'!Tnet-t)/('2024'!Tau_j))),Resal+(Salim-Resal)*(1-EXP((Tnet-t)/(Tau_j))))*Salcycl</f>
        <v>7.12212102854302E-2</v>
      </c>
      <c r="P309" s="171">
        <f>(INDEX(Models!$BJ309:$BT309,,T309)*(1-R309)+INDEX(Models!$BJ309:$BT309,,T309+1)*R309-ERP_i)*Q309*Ramure*Pc/MaxiM</f>
        <v>1.6321605815981595E-3</v>
      </c>
      <c r="Q309" s="307">
        <f t="shared" si="105"/>
        <v>1</v>
      </c>
      <c r="R309" s="179">
        <f t="shared" si="106"/>
        <v>0.8621898734916007</v>
      </c>
      <c r="S309" s="837">
        <f t="shared" si="107"/>
        <v>-3</v>
      </c>
      <c r="T309" s="178">
        <f t="shared" si="108"/>
        <v>3</v>
      </c>
      <c r="U309" s="253">
        <f t="shared" si="109"/>
        <v>-2.1378101265083993</v>
      </c>
      <c r="V309" s="385">
        <f t="shared" si="110"/>
        <v>26.762938279131376</v>
      </c>
      <c r="W309" s="404">
        <f t="shared" si="111"/>
        <v>25.023482666052555</v>
      </c>
      <c r="X309" s="157">
        <f t="shared" si="112"/>
        <v>45952</v>
      </c>
      <c r="Y309" s="387">
        <f t="shared" si="113"/>
        <v>21.420592117441103</v>
      </c>
      <c r="Z309" s="387">
        <f t="shared" si="114"/>
        <v>22.777354251064668</v>
      </c>
      <c r="AA309" s="388">
        <f t="shared" si="115"/>
        <v>26.113510681423023</v>
      </c>
      <c r="AB309" s="199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0.12775595250514027</v>
      </c>
      <c r="AD309" s="233">
        <f>(INDEX(Models!$BJ309:$BT309,,AH309)*(1-AF309)+INDEX(Models!$BJ309:$BT309,,AH309+1)*AF309-ERP_i)*AE309*Ramure*Pc/MaxiM</f>
        <v>9.9042942062178688E-2</v>
      </c>
      <c r="AE309" s="307">
        <f t="shared" si="117"/>
        <v>1</v>
      </c>
      <c r="AF309" s="179">
        <f t="shared" si="118"/>
        <v>0.79717246641517114</v>
      </c>
      <c r="AG309" s="837">
        <f t="shared" si="124"/>
        <v>2</v>
      </c>
      <c r="AH309" s="178">
        <f t="shared" si="119"/>
        <v>8</v>
      </c>
      <c r="AI309" s="227">
        <f t="shared" si="120"/>
        <v>2.7971724664151711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45953</v>
      </c>
      <c r="B310" s="1139">
        <f>IF(t&gt;Tmaj,'2024'!Wh/'2024'!Env_an*'2025'!Env_an,0.001*'[12]mon-tableau (1)'!$B$230)</f>
        <v>16.932515373993215</v>
      </c>
      <c r="C310" s="866"/>
      <c r="D310" s="395">
        <f t="shared" si="102"/>
        <v>18.005425546480428</v>
      </c>
      <c r="E310" s="387">
        <f t="shared" si="125"/>
        <v>19.388716486578463</v>
      </c>
      <c r="F310" s="387">
        <f t="shared" si="103"/>
        <v>19.404423464870199</v>
      </c>
      <c r="G310" s="110">
        <f t="shared" si="126"/>
        <v>0.63985366421761158</v>
      </c>
      <c r="H310" s="414" t="b">
        <f>Wh_hp&gt;='2024'!Maxi_hp</f>
        <v>0</v>
      </c>
      <c r="I310" s="392">
        <f>IF(H310,Wh_hp,'2024'!Maxi_hp)</f>
        <v>30.859930652265835</v>
      </c>
      <c r="J310" s="85">
        <f>IF(H310,An,'2024'!An_max)</f>
        <v>2021</v>
      </c>
      <c r="K310" s="199">
        <f t="shared" si="104"/>
        <v>45953</v>
      </c>
      <c r="L310" s="147">
        <f>IF(t&lt;Tvie,1-EXP((T0-t)*PertePVj)+'2024'!Pspv,1-EXP((T0-t)*PertePVj)+Pspv)</f>
        <v>5.9588159675400654E-2</v>
      </c>
      <c r="M310" s="870"/>
      <c r="N310" s="870"/>
      <c r="O310" s="48">
        <f>IF(t&lt;Tnet,'2024'!Resal+('2024'!Salim-'2024'!Resal)*(1-EXP(('2024'!Tnet-t)/('2024'!Tau_j))),Resal+(Salim-Resal)*(1-EXP((Tnet-t)/(Tau_j))))*Salcycl</f>
        <v>7.1345152787993901E-2</v>
      </c>
      <c r="P310" s="171">
        <f>(INDEX(Models!$BJ310:$BT310,,T310)*(1-R310)+INDEX(Models!$BJ310:$BT310,,T310+1)*R310-ERP_i)*Q310*Ramure*Pc/MaxiM</f>
        <v>1.6645551873627801E-3</v>
      </c>
      <c r="Q310" s="307">
        <f t="shared" si="105"/>
        <v>1</v>
      </c>
      <c r="R310" s="179">
        <f t="shared" si="106"/>
        <v>0.86230356004615105</v>
      </c>
      <c r="S310" s="837">
        <f t="shared" si="107"/>
        <v>-3</v>
      </c>
      <c r="T310" s="178">
        <f t="shared" si="108"/>
        <v>3</v>
      </c>
      <c r="U310" s="253">
        <f t="shared" si="109"/>
        <v>-2.1376964399538489</v>
      </c>
      <c r="V310" s="385">
        <f t="shared" si="110"/>
        <v>26.440459073482248</v>
      </c>
      <c r="W310" s="404">
        <f t="shared" si="111"/>
        <v>16.932515373993215</v>
      </c>
      <c r="X310" s="157">
        <f t="shared" si="112"/>
        <v>45953</v>
      </c>
      <c r="Y310" s="387">
        <f t="shared" si="113"/>
        <v>15.128600424173374</v>
      </c>
      <c r="Z310" s="387">
        <f t="shared" si="114"/>
        <v>16.087207514264684</v>
      </c>
      <c r="AA310" s="388">
        <f t="shared" si="115"/>
        <v>18.44228873226324</v>
      </c>
      <c r="AB310" s="199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0.12770005134333129</v>
      </c>
      <c r="AD310" s="233">
        <f>(INDEX(Models!$BJ310:$BT310,,AH310)*(1-AF310)+INDEX(Models!$BJ310:$BT310,,AH310+1)*AF310-ERP_i)*AE310*Ramure*Pc/MaxiM</f>
        <v>0.10196272830818956</v>
      </c>
      <c r="AE310" s="307">
        <f t="shared" si="117"/>
        <v>1</v>
      </c>
      <c r="AF310" s="179">
        <f t="shared" si="118"/>
        <v>0.7972861529697215</v>
      </c>
      <c r="AG310" s="837">
        <f t="shared" si="124"/>
        <v>2</v>
      </c>
      <c r="AH310" s="178">
        <f t="shared" si="119"/>
        <v>8</v>
      </c>
      <c r="AI310" s="227">
        <f t="shared" si="120"/>
        <v>2.7972861529697215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45954</v>
      </c>
      <c r="B311" s="1139">
        <f>IF(t&gt;Tmaj,'2024'!Wh/'2024'!Env_an*'2025'!Env_an,0.001*'[12]mon-tableau (1)'!$B$231)</f>
        <v>20.04388949989038</v>
      </c>
      <c r="C311" s="866"/>
      <c r="D311" s="395">
        <f t="shared" si="102"/>
        <v>21.314444482555498</v>
      </c>
      <c r="E311" s="387">
        <f t="shared" si="125"/>
        <v>22.954965746651528</v>
      </c>
      <c r="F311" s="387">
        <f t="shared" si="103"/>
        <v>22.981279732018763</v>
      </c>
      <c r="G311" s="110">
        <f t="shared" si="126"/>
        <v>0.76688747015868131</v>
      </c>
      <c r="H311" s="414" t="b">
        <f>Wh_hp&gt;='2024'!Maxi_hp</f>
        <v>0</v>
      </c>
      <c r="I311" s="392">
        <f>IF(H311,Wh_hp,'2024'!Maxi_hp)</f>
        <v>31.094214113391882</v>
      </c>
      <c r="J311" s="85">
        <f>IF(H311,An,'2024'!An_max)</f>
        <v>2021</v>
      </c>
      <c r="K311" s="199">
        <f t="shared" si="104"/>
        <v>45954</v>
      </c>
      <c r="L311" s="147">
        <f>IF(t&lt;Tvie,1-EXP((T0-t)*PertePVj)+'2024'!Pspv,1-EXP((T0-t)*PertePVj)+Pspv)</f>
        <v>5.9610044432778286E-2</v>
      </c>
      <c r="M311" s="870"/>
      <c r="N311" s="870"/>
      <c r="O311" s="48">
        <f>IF(t&lt;Tnet,'2024'!Resal+('2024'!Salim-'2024'!Resal)*(1-EXP(('2024'!Tnet-t)/('2024'!Tau_j))),Resal+(Salim-Resal)*(1-EXP((Tnet-t)/(Tau_j))))*Salcycl</f>
        <v>7.1466944547078498E-2</v>
      </c>
      <c r="P311" s="171">
        <f>(INDEX(Models!$BJ311:$BT311,,T311)*(1-R311)+INDEX(Models!$BJ311:$BT311,,T311+1)*R311-ERP_i)*Q311*Ramure*Pc/MaxiM</f>
        <v>1.715106369301968E-3</v>
      </c>
      <c r="Q311" s="307">
        <f t="shared" si="105"/>
        <v>1</v>
      </c>
      <c r="R311" s="179">
        <f t="shared" si="106"/>
        <v>0.86241270406350079</v>
      </c>
      <c r="S311" s="837">
        <f t="shared" si="107"/>
        <v>-3</v>
      </c>
      <c r="T311" s="178">
        <f t="shared" si="108"/>
        <v>3</v>
      </c>
      <c r="U311" s="253">
        <f t="shared" si="109"/>
        <v>-2.1375872959364992</v>
      </c>
      <c r="V311" s="385">
        <f t="shared" si="110"/>
        <v>26.121758925314019</v>
      </c>
      <c r="W311" s="404">
        <f t="shared" si="111"/>
        <v>20.04388949989038</v>
      </c>
      <c r="X311" s="157">
        <f t="shared" si="112"/>
        <v>45954</v>
      </c>
      <c r="Y311" s="387">
        <f t="shared" si="113"/>
        <v>17.531698491619508</v>
      </c>
      <c r="Z311" s="387">
        <f t="shared" si="114"/>
        <v>18.643009091951424</v>
      </c>
      <c r="AA311" s="388">
        <f t="shared" si="115"/>
        <v>21.370812558490837</v>
      </c>
      <c r="AB311" s="199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0.12764154189615162</v>
      </c>
      <c r="AD311" s="233">
        <f>(INDEX(Models!$BJ311:$BT311,,AH311)*(1-AF311)+INDEX(Models!$BJ311:$BT311,,AH311+1)*AF311-ERP_i)*AE311*Ramure*Pc/MaxiM</f>
        <v>0.1049678514417926</v>
      </c>
      <c r="AE311" s="307">
        <f t="shared" si="117"/>
        <v>1</v>
      </c>
      <c r="AF311" s="179">
        <f t="shared" si="118"/>
        <v>0.79739529698707123</v>
      </c>
      <c r="AG311" s="837">
        <f t="shared" si="124"/>
        <v>2</v>
      </c>
      <c r="AH311" s="178">
        <f t="shared" si="119"/>
        <v>8</v>
      </c>
      <c r="AI311" s="227">
        <f t="shared" si="120"/>
        <v>2.7973952969870712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45955</v>
      </c>
      <c r="B312" s="1139">
        <f>IF(t&gt;Tmaj,'2024'!Wh/'2024'!Env_an*'2025'!Env_an,0.001*'[12]mon-tableau (1)'!$B$232)</f>
        <v>18.550850335954799</v>
      </c>
      <c r="C312" s="866"/>
      <c r="D312" s="395">
        <f t="shared" si="102"/>
        <v>19.727222671365205</v>
      </c>
      <c r="E312" s="387">
        <f t="shared" si="125"/>
        <v>21.248319412739942</v>
      </c>
      <c r="F312" s="387">
        <f t="shared" si="103"/>
        <v>21.271031798720607</v>
      </c>
      <c r="G312" s="110">
        <f t="shared" si="126"/>
        <v>0.71832737146410408</v>
      </c>
      <c r="H312" s="414" t="b">
        <f>Wh_hp&gt;='2024'!Maxi_hp</f>
        <v>0</v>
      </c>
      <c r="I312" s="392">
        <f>IF(H312,Wh_hp,'2024'!Maxi_hp)</f>
        <v>29.799774376559132</v>
      </c>
      <c r="J312" s="85">
        <f>IF(H312,An,'2024'!An_max)</f>
        <v>2021</v>
      </c>
      <c r="K312" s="199">
        <f t="shared" si="104"/>
        <v>45955</v>
      </c>
      <c r="L312" s="147">
        <f>IF(t&lt;Tvie,1-EXP((T0-t)*PertePVj)+'2024'!Pspv,1-EXP((T0-t)*PertePVj)+Pspv)</f>
        <v>5.9631928680865642E-2</v>
      </c>
      <c r="M312" s="870"/>
      <c r="N312" s="870"/>
      <c r="O312" s="48">
        <f>IF(t&lt;Tnet,'2024'!Resal+('2024'!Salim-'2024'!Resal)*(1-EXP(('2024'!Tnet-t)/('2024'!Tau_j))),Resal+(Salim-Resal)*(1-EXP((Tnet-t)/(Tau_j))))*Salcycl</f>
        <v>7.158668466093962E-2</v>
      </c>
      <c r="P312" s="171">
        <f>(INDEX(Models!$BJ312:$BT312,,T312)*(1-R312)+INDEX(Models!$BJ312:$BT312,,T312+1)*R312-ERP_i)*Q312*Ramure*Pc/MaxiM</f>
        <v>1.7845175293997825E-3</v>
      </c>
      <c r="Q312" s="307">
        <f t="shared" si="105"/>
        <v>1</v>
      </c>
      <c r="R312" s="179">
        <f t="shared" si="106"/>
        <v>0.862517485707472</v>
      </c>
      <c r="S312" s="837">
        <f t="shared" si="107"/>
        <v>-3</v>
      </c>
      <c r="T312" s="178">
        <f t="shared" si="108"/>
        <v>3</v>
      </c>
      <c r="U312" s="253">
        <f t="shared" si="109"/>
        <v>-2.137482514292528</v>
      </c>
      <c r="V312" s="385">
        <f t="shared" si="110"/>
        <v>25.806533933504031</v>
      </c>
      <c r="W312" s="404">
        <f t="shared" si="111"/>
        <v>18.550850335954799</v>
      </c>
      <c r="X312" s="157">
        <f t="shared" si="112"/>
        <v>45955</v>
      </c>
      <c r="Y312" s="387">
        <f t="shared" si="113"/>
        <v>16.32231930228442</v>
      </c>
      <c r="Z312" s="387">
        <f t="shared" si="114"/>
        <v>17.357372926738901</v>
      </c>
      <c r="AA312" s="388">
        <f t="shared" si="115"/>
        <v>19.895675354759998</v>
      </c>
      <c r="AB312" s="199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0.12758061150278144</v>
      </c>
      <c r="AD312" s="233">
        <f>(INDEX(Models!$BJ312:$BT312,,AH312)*(1-AF312)+INDEX(Models!$BJ312:$BT312,,AH312+1)*AF312-ERP_i)*AE312*Ramure*Pc/MaxiM</f>
        <v>0.10806208055418796</v>
      </c>
      <c r="AE312" s="307">
        <f t="shared" si="117"/>
        <v>1</v>
      </c>
      <c r="AF312" s="179">
        <f t="shared" si="118"/>
        <v>0.79750007863104244</v>
      </c>
      <c r="AG312" s="837">
        <f t="shared" si="124"/>
        <v>2</v>
      </c>
      <c r="AH312" s="178">
        <f t="shared" si="119"/>
        <v>8</v>
      </c>
      <c r="AI312" s="227">
        <f t="shared" si="120"/>
        <v>2.7975000786310424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45956</v>
      </c>
      <c r="B313" s="1139">
        <f>IF(t&gt;Tmaj,'2024'!Wh/'2024'!Env_an*'2025'!Env_an,0.001*'[12]mon-tableau (1)'!$B$233)</f>
        <v>14.71530879201136</v>
      </c>
      <c r="C313" s="866"/>
      <c r="D313" s="395">
        <f t="shared" si="102"/>
        <v>15.648820600715586</v>
      </c>
      <c r="E313" s="387">
        <f t="shared" si="125"/>
        <v>16.857584952732847</v>
      </c>
      <c r="F313" s="387">
        <f t="shared" si="103"/>
        <v>16.870100782896838</v>
      </c>
      <c r="G313" s="110">
        <f t="shared" si="126"/>
        <v>0.57654222031702829</v>
      </c>
      <c r="H313" s="414" t="b">
        <f>Wh_hp&gt;='2024'!Maxi_hp</f>
        <v>0</v>
      </c>
      <c r="I313" s="392">
        <f>IF(H313,Wh_hp,'2024'!Maxi_hp)</f>
        <v>29.263227957076836</v>
      </c>
      <c r="J313" s="85">
        <f>IF(H313,An,'2024'!An_max)</f>
        <v>2019</v>
      </c>
      <c r="K313" s="199">
        <f t="shared" si="104"/>
        <v>45956</v>
      </c>
      <c r="L313" s="147">
        <f>IF(t&lt;Tvie,1-EXP((T0-t)*PertePVj)+'2024'!Pspv,1-EXP((T0-t)*PertePVj)+Pspv)</f>
        <v>5.9653812419674601E-2</v>
      </c>
      <c r="M313" s="870"/>
      <c r="N313" s="870"/>
      <c r="O313" s="48">
        <f>IF(t&lt;Tnet,'2024'!Resal+('2024'!Salim-'2024'!Resal)*(1-EXP(('2024'!Tnet-t)/('2024'!Tau_j))),Resal+(Salim-Resal)*(1-EXP((Tnet-t)/(Tau_j))))*Salcycl</f>
        <v>7.1704479343068825E-2</v>
      </c>
      <c r="P313" s="171">
        <f>(INDEX(Models!$BJ313:$BT313,,T313)*(1-R313)+INDEX(Models!$BJ313:$BT313,,T313+1)*R313-ERP_i)*Q313*Ramure*Pc/MaxiM</f>
        <v>1.8734982025695192E-3</v>
      </c>
      <c r="Q313" s="307">
        <f t="shared" si="105"/>
        <v>1</v>
      </c>
      <c r="R313" s="179">
        <f t="shared" si="106"/>
        <v>0.86261807810179336</v>
      </c>
      <c r="S313" s="837">
        <f t="shared" si="107"/>
        <v>-3</v>
      </c>
      <c r="T313" s="178">
        <f t="shared" si="108"/>
        <v>3</v>
      </c>
      <c r="U313" s="253">
        <f t="shared" si="109"/>
        <v>-2.1373819218982066</v>
      </c>
      <c r="V313" s="385">
        <f t="shared" si="110"/>
        <v>25.494480731502989</v>
      </c>
      <c r="W313" s="404">
        <f t="shared" si="111"/>
        <v>14.71530879201136</v>
      </c>
      <c r="X313" s="157">
        <f t="shared" si="112"/>
        <v>45956</v>
      </c>
      <c r="Y313" s="387">
        <f t="shared" si="113"/>
        <v>13.231090914999795</v>
      </c>
      <c r="Z313" s="387">
        <f t="shared" si="114"/>
        <v>14.070446703299449</v>
      </c>
      <c r="AA313" s="388">
        <f t="shared" si="115"/>
        <v>16.126909174234868</v>
      </c>
      <c r="AB313" s="199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0.12751745847374907</v>
      </c>
      <c r="AD313" s="233">
        <f>(INDEX(Models!$BJ313:$BT313,,AH313)*(1-AF313)+INDEX(Models!$BJ313:$BT313,,AH313+1)*AF313-ERP_i)*AE313*Ramure*Pc/MaxiM</f>
        <v>0.11124856479747702</v>
      </c>
      <c r="AE313" s="307">
        <f t="shared" si="117"/>
        <v>1</v>
      </c>
      <c r="AF313" s="179">
        <f t="shared" si="118"/>
        <v>0.79760067102536381</v>
      </c>
      <c r="AG313" s="837">
        <f t="shared" si="124"/>
        <v>2</v>
      </c>
      <c r="AH313" s="178">
        <f t="shared" si="119"/>
        <v>8</v>
      </c>
      <c r="AI313" s="227">
        <f t="shared" si="120"/>
        <v>2.7976006710253638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45957</v>
      </c>
      <c r="B314" s="1139">
        <f>IF(t&gt;Tmaj,'2024'!Wh/'2024'!Env_an*'2025'!Env_an,0.001*'[12]mon-tableau (1)'!$B$234)</f>
        <v>11.777138779358012</v>
      </c>
      <c r="C314" s="866"/>
      <c r="D314" s="395">
        <f t="shared" si="102"/>
        <v>12.524550014145557</v>
      </c>
      <c r="E314" s="387">
        <f t="shared" si="125"/>
        <v>13.493671457202323</v>
      </c>
      <c r="F314" s="387">
        <f t="shared" si="103"/>
        <v>13.500081157333236</v>
      </c>
      <c r="G314" s="110">
        <f t="shared" si="126"/>
        <v>0.46691412617742173</v>
      </c>
      <c r="H314" s="414" t="b">
        <f>Wh_hp&gt;='2024'!Maxi_hp</f>
        <v>0</v>
      </c>
      <c r="I314" s="392">
        <f>IF(H314,Wh_hp,'2024'!Maxi_hp)</f>
        <v>29.643885541046256</v>
      </c>
      <c r="J314" s="85">
        <f>IF(H314,An,'2024'!An_max)</f>
        <v>2021</v>
      </c>
      <c r="K314" s="199">
        <f t="shared" si="104"/>
        <v>45957</v>
      </c>
      <c r="L314" s="147">
        <f>IF(t&lt;Tvie,1-EXP((T0-t)*PertePVj)+'2024'!Pspv,1-EXP((T0-t)*PertePVj)+Pspv)</f>
        <v>5.9675695649216931E-2</v>
      </c>
      <c r="M314" s="870"/>
      <c r="N314" s="870"/>
      <c r="O314" s="48">
        <f>IF(t&lt;Tnet,'2024'!Resal+('2024'!Salim-'2024'!Resal)*(1-EXP(('2024'!Tnet-t)/('2024'!Tau_j))),Resal+(Salim-Resal)*(1-EXP((Tnet-t)/(Tau_j))))*Salcycl</f>
        <v>7.1820441614464603E-2</v>
      </c>
      <c r="P314" s="171">
        <f>(INDEX(Models!$BJ314:$BT314,,T314)*(1-R314)+INDEX(Models!$BJ314:$BT314,,T314+1)*R314-ERP_i)*Q314*Ramure*Pc/MaxiM</f>
        <v>1.9827798791268816E-3</v>
      </c>
      <c r="Q314" s="307">
        <f t="shared" si="105"/>
        <v>1</v>
      </c>
      <c r="R314" s="179">
        <f t="shared" si="106"/>
        <v>0.86271464759688143</v>
      </c>
      <c r="S314" s="837">
        <f t="shared" si="107"/>
        <v>-3</v>
      </c>
      <c r="T314" s="178">
        <f t="shared" si="108"/>
        <v>3</v>
      </c>
      <c r="U314" s="253">
        <f t="shared" si="109"/>
        <v>-2.1372853524031186</v>
      </c>
      <c r="V314" s="385">
        <f t="shared" si="110"/>
        <v>25.185296128001369</v>
      </c>
      <c r="W314" s="404">
        <f t="shared" si="111"/>
        <v>11.777138779358012</v>
      </c>
      <c r="X314" s="157">
        <f t="shared" si="112"/>
        <v>45957</v>
      </c>
      <c r="Y314" s="387">
        <f t="shared" si="113"/>
        <v>10.772742237669098</v>
      </c>
      <c r="Z314" s="387">
        <f t="shared" si="114"/>
        <v>11.456411567609958</v>
      </c>
      <c r="AA314" s="388">
        <f t="shared" si="115"/>
        <v>13.129839727111838</v>
      </c>
      <c r="AB314" s="199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0.12745229144316317</v>
      </c>
      <c r="AD314" s="233">
        <f>(INDEX(Models!$BJ314:$BT314,,AH314)*(1-AF314)+INDEX(Models!$BJ314:$BT314,,AH314+1)*AF314-ERP_i)*AE314*Ramure*Pc/MaxiM</f>
        <v>0.11453067121217504</v>
      </c>
      <c r="AE314" s="307">
        <f t="shared" si="117"/>
        <v>1</v>
      </c>
      <c r="AF314" s="179">
        <f t="shared" si="118"/>
        <v>0.79769724052045188</v>
      </c>
      <c r="AG314" s="837">
        <f t="shared" si="124"/>
        <v>2</v>
      </c>
      <c r="AH314" s="178">
        <f t="shared" si="119"/>
        <v>8</v>
      </c>
      <c r="AI314" s="227">
        <f t="shared" si="120"/>
        <v>2.7976972405204519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45958</v>
      </c>
      <c r="B315" s="1139">
        <f>IF(t&gt;Tmaj,'2024'!Wh/'2024'!Env_an*'2025'!Env_an,0.001*'[12]mon-tableau (1)'!$B$235)</f>
        <v>16.04859540334655</v>
      </c>
      <c r="C315" s="866"/>
      <c r="D315" s="395">
        <f t="shared" si="102"/>
        <v>17.067482795075758</v>
      </c>
      <c r="E315" s="387">
        <f t="shared" si="125"/>
        <v>18.390389801874232</v>
      </c>
      <c r="F315" s="387">
        <f t="shared" si="103"/>
        <v>18.409566862011978</v>
      </c>
      <c r="G315" s="110">
        <f t="shared" si="126"/>
        <v>0.64438243486611591</v>
      </c>
      <c r="H315" s="414" t="b">
        <f>Wh_hp&gt;='2024'!Maxi_hp</f>
        <v>0</v>
      </c>
      <c r="I315" s="392">
        <f>IF(H315,Wh_hp,'2024'!Maxi_hp)</f>
        <v>28.741781736753882</v>
      </c>
      <c r="J315" s="85">
        <f>IF(H315,An,'2024'!An_max)</f>
        <v>2021</v>
      </c>
      <c r="K315" s="199">
        <f t="shared" si="104"/>
        <v>45958</v>
      </c>
      <c r="L315" s="147">
        <f>IF(t&lt;Tvie,1-EXP((T0-t)*PertePVj)+'2024'!Pspv,1-EXP((T0-t)*PertePVj)+Pspv)</f>
        <v>5.9697578369504622E-2</v>
      </c>
      <c r="M315" s="870"/>
      <c r="N315" s="870"/>
      <c r="O315" s="48">
        <f>IF(t&lt;Tnet,'2024'!Resal+('2024'!Salim-'2024'!Resal)*(1-EXP(('2024'!Tnet-t)/('2024'!Tau_j))),Resal+(Salim-Resal)*(1-EXP((Tnet-t)/(Tau_j))))*Salcycl</f>
        <v>7.1934690947314833E-2</v>
      </c>
      <c r="P315" s="171">
        <f>(INDEX(Models!$BJ315:$BT315,,T315)*(1-R315)+INDEX(Models!$BJ315:$BT315,,T315+1)*R315-ERP_i)*Q315*Ramure*Pc/MaxiM</f>
        <v>2.113118613163668E-3</v>
      </c>
      <c r="Q315" s="307">
        <f t="shared" si="105"/>
        <v>1</v>
      </c>
      <c r="R315" s="179">
        <f t="shared" si="106"/>
        <v>0.86280735402717657</v>
      </c>
      <c r="S315" s="837">
        <f t="shared" si="107"/>
        <v>-3</v>
      </c>
      <c r="T315" s="178">
        <f t="shared" si="108"/>
        <v>3</v>
      </c>
      <c r="U315" s="253">
        <f t="shared" si="109"/>
        <v>-2.1371926459728234</v>
      </c>
      <c r="V315" s="385">
        <f t="shared" si="110"/>
        <v>24.878677132992799</v>
      </c>
      <c r="W315" s="404">
        <f t="shared" si="111"/>
        <v>16.04859540334655</v>
      </c>
      <c r="X315" s="157">
        <f t="shared" si="112"/>
        <v>45958</v>
      </c>
      <c r="Y315" s="387">
        <f t="shared" si="113"/>
        <v>14.227425181308861</v>
      </c>
      <c r="Z315" s="387">
        <f t="shared" si="114"/>
        <v>15.130690779928377</v>
      </c>
      <c r="AA315" s="388">
        <f t="shared" si="115"/>
        <v>17.339487034316878</v>
      </c>
      <c r="AB315" s="199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0.12738532864421162</v>
      </c>
      <c r="AD315" s="233">
        <f>(INDEX(Models!$BJ315:$BT315,,AH315)*(1-AF315)+INDEX(Models!$BJ315:$BT315,,AH315+1)*AF315-ERP_i)*AE315*Ramure*Pc/MaxiM</f>
        <v>0.11791200451120402</v>
      </c>
      <c r="AE315" s="307">
        <f t="shared" si="117"/>
        <v>1</v>
      </c>
      <c r="AF315" s="179">
        <f t="shared" si="118"/>
        <v>0.79778994695074701</v>
      </c>
      <c r="AG315" s="837">
        <f t="shared" si="124"/>
        <v>2</v>
      </c>
      <c r="AH315" s="178">
        <f t="shared" si="119"/>
        <v>8</v>
      </c>
      <c r="AI315" s="227">
        <f t="shared" si="120"/>
        <v>2.797789946950747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45959</v>
      </c>
      <c r="B316" s="1139">
        <f>IF(t&gt;Tmaj,'2024'!Wh/'2024'!Env_an*'2025'!Env_an,0.001*'[12]mon-tableau (1)'!$B$236)</f>
        <v>20.402360582803517</v>
      </c>
      <c r="C316" s="866"/>
      <c r="D316" s="395">
        <f t="shared" si="102"/>
        <v>21.698163183724265</v>
      </c>
      <c r="E316" s="387">
        <f t="shared" si="125"/>
        <v>23.382834512771229</v>
      </c>
      <c r="F316" s="387">
        <f t="shared" si="103"/>
        <v>23.423026115782573</v>
      </c>
      <c r="G316" s="110">
        <f t="shared" si="126"/>
        <v>0.82977398898851396</v>
      </c>
      <c r="H316" s="414" t="b">
        <f>Wh_hp&gt;='2024'!Maxi_hp</f>
        <v>0</v>
      </c>
      <c r="I316" s="392">
        <f>IF(H316,Wh_hp,'2024'!Maxi_hp)</f>
        <v>25.210255189313802</v>
      </c>
      <c r="J316" s="85">
        <f>IF(H316,An,'2024'!An_max)</f>
        <v>2019</v>
      </c>
      <c r="K316" s="199">
        <f t="shared" si="104"/>
        <v>45959</v>
      </c>
      <c r="L316" s="147">
        <f>IF(t&lt;Tvie,1-EXP((T0-t)*PertePVj)+'2024'!Pspv,1-EXP((T0-t)*PertePVj)+Pspv)</f>
        <v>5.9719460580549333E-2</v>
      </c>
      <c r="M316" s="870"/>
      <c r="N316" s="870"/>
      <c r="O316" s="48">
        <f>IF(t&lt;Tnet,'2024'!Resal+('2024'!Salim-'2024'!Resal)*(1-EXP(('2024'!Tnet-t)/('2024'!Tau_j))),Resal+(Salim-Resal)*(1-EXP((Tnet-t)/(Tau_j))))*Salcycl</f>
        <v>7.2047352861640074E-2</v>
      </c>
      <c r="P316" s="171">
        <f>(INDEX(Models!$BJ316:$BT316,,T316)*(1-R316)+INDEX(Models!$BJ316:$BT316,,T316+1)*R316-ERP_i)*Q316*Ramure*Pc/MaxiM</f>
        <v>2.2652979550863051E-3</v>
      </c>
      <c r="Q316" s="307">
        <f t="shared" si="105"/>
        <v>1</v>
      </c>
      <c r="R316" s="179">
        <f t="shared" si="106"/>
        <v>0.86289635095930706</v>
      </c>
      <c r="S316" s="837">
        <f t="shared" si="107"/>
        <v>-3</v>
      </c>
      <c r="T316" s="178">
        <f t="shared" si="108"/>
        <v>3</v>
      </c>
      <c r="U316" s="253">
        <f t="shared" si="109"/>
        <v>-2.1371036490406929</v>
      </c>
      <c r="V316" s="385">
        <f t="shared" si="110"/>
        <v>24.574320959625908</v>
      </c>
      <c r="W316" s="404">
        <f t="shared" si="111"/>
        <v>20.402360582803517</v>
      </c>
      <c r="X316" s="157">
        <f t="shared" si="112"/>
        <v>45959</v>
      </c>
      <c r="Y316" s="387">
        <f t="shared" si="113"/>
        <v>17.452782896631607</v>
      </c>
      <c r="Z316" s="387">
        <f t="shared" si="114"/>
        <v>18.561250780971527</v>
      </c>
      <c r="AA316" s="388">
        <f t="shared" si="115"/>
        <v>21.269173876086253</v>
      </c>
      <c r="AB316" s="199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0.12731679711168031</v>
      </c>
      <c r="AD316" s="233">
        <f>(INDEX(Models!$BJ316:$BT316,,AH316)*(1-AF316)+INDEX(Models!$BJ316:$BT316,,AH316+1)*AF316-ERP_i)*AE316*Ramure*Pc/MaxiM</f>
        <v>0.12139642882034224</v>
      </c>
      <c r="AE316" s="307">
        <f t="shared" si="117"/>
        <v>1</v>
      </c>
      <c r="AF316" s="179">
        <f t="shared" si="118"/>
        <v>0.7978789438828775</v>
      </c>
      <c r="AG316" s="837">
        <f t="shared" si="124"/>
        <v>2</v>
      </c>
      <c r="AH316" s="178">
        <f t="shared" si="119"/>
        <v>8</v>
      </c>
      <c r="AI316" s="227">
        <f t="shared" si="120"/>
        <v>2.7978789438828775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45960</v>
      </c>
      <c r="B317" s="1139">
        <f>IF(t&gt;Tmaj,'2024'!Wh/'2024'!Env_an*'2025'!Env_an,0.001*'[12]mon-tableau (1)'!$B$237)</f>
        <v>17.607368872435003</v>
      </c>
      <c r="C317" s="866"/>
      <c r="D317" s="395">
        <f t="shared" si="102"/>
        <v>18.726090664429236</v>
      </c>
      <c r="E317" s="387">
        <f t="shared" si="125"/>
        <v>20.182425386915895</v>
      </c>
      <c r="F317" s="387">
        <f t="shared" si="103"/>
        <v>20.212400297771911</v>
      </c>
      <c r="G317" s="110">
        <f t="shared" si="126"/>
        <v>0.72472926387968251</v>
      </c>
      <c r="H317" s="414" t="b">
        <f>Wh_hp&gt;='2024'!Maxi_hp</f>
        <v>0</v>
      </c>
      <c r="I317" s="392">
        <f>IF(H317,Wh_hp,'2024'!Maxi_hp)</f>
        <v>25.555453874343382</v>
      </c>
      <c r="J317" s="85">
        <f>IF(H317,An,'2024'!An_max)</f>
        <v>2020</v>
      </c>
      <c r="K317" s="199">
        <f t="shared" si="104"/>
        <v>45960</v>
      </c>
      <c r="L317" s="147">
        <f>IF(t&lt;Tvie,1-EXP((T0-t)*PertePVj)+'2024'!Pspv,1-EXP((T0-t)*PertePVj)+Pspv)</f>
        <v>5.9741342282363163E-2</v>
      </c>
      <c r="M317" s="870"/>
      <c r="N317" s="870"/>
      <c r="O317" s="48">
        <f>IF(t&lt;Tnet,'2024'!Resal+('2024'!Salim-'2024'!Resal)*(1-EXP(('2024'!Tnet-t)/('2024'!Tau_j))),Resal+(Salim-Resal)*(1-EXP((Tnet-t)/(Tau_j))))*Salcycl</f>
        <v>7.2158558476861284E-2</v>
      </c>
      <c r="P317" s="171">
        <f>(INDEX(Models!$BJ317:$BT317,,T317)*(1-R317)+INDEX(Models!$BJ317:$BT317,,T317+1)*R317-ERP_i)*Q317*Ramure*Pc/MaxiM</f>
        <v>2.4401437751078213E-3</v>
      </c>
      <c r="Q317" s="307">
        <f t="shared" si="105"/>
        <v>1</v>
      </c>
      <c r="R317" s="179">
        <f t="shared" si="106"/>
        <v>0.8629817859313671</v>
      </c>
      <c r="S317" s="837">
        <f t="shared" si="107"/>
        <v>-3</v>
      </c>
      <c r="T317" s="178">
        <f t="shared" si="108"/>
        <v>3</v>
      </c>
      <c r="U317" s="253">
        <f t="shared" si="109"/>
        <v>-2.1370182140686329</v>
      </c>
      <c r="V317" s="385">
        <f t="shared" si="110"/>
        <v>24.271809994660838</v>
      </c>
      <c r="W317" s="404">
        <f t="shared" si="111"/>
        <v>17.607368872435003</v>
      </c>
      <c r="X317" s="157">
        <f t="shared" si="112"/>
        <v>45960</v>
      </c>
      <c r="Y317" s="387">
        <f t="shared" si="113"/>
        <v>15.326625242360391</v>
      </c>
      <c r="Z317" s="387">
        <f t="shared" si="114"/>
        <v>16.300435115975326</v>
      </c>
      <c r="AA317" s="388">
        <f t="shared" si="115"/>
        <v>18.677029861253729</v>
      </c>
      <c r="AB317" s="199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0.12724693181589586</v>
      </c>
      <c r="AD317" s="233">
        <f>(INDEX(Models!$BJ317:$BT317,,AH317)*(1-AF317)+INDEX(Models!$BJ317:$BT317,,AH317+1)*AF317-ERP_i)*AE317*Ramure*Pc/MaxiM</f>
        <v>0.12498868240678758</v>
      </c>
      <c r="AE317" s="307">
        <f t="shared" si="117"/>
        <v>1</v>
      </c>
      <c r="AF317" s="179">
        <f t="shared" si="118"/>
        <v>0.79796437885493754</v>
      </c>
      <c r="AG317" s="837">
        <f t="shared" si="124"/>
        <v>2</v>
      </c>
      <c r="AH317" s="178">
        <f t="shared" si="119"/>
        <v>8</v>
      </c>
      <c r="AI317" s="227">
        <f t="shared" si="120"/>
        <v>2.7979643788549375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45961</v>
      </c>
      <c r="B318" s="1139">
        <f>IF(t&gt;Tmaj,'2024'!Wh/'2024'!Env_an*'2025'!Env_an,0.001*'[12]mon-tableau (1)'!$B$238)</f>
        <v>17.170989433430726</v>
      </c>
      <c r="C318" s="866"/>
      <c r="D318" s="395">
        <f t="shared" si="102"/>
        <v>18.262409918586496</v>
      </c>
      <c r="E318" s="387">
        <f t="shared" si="125"/>
        <v>19.685015348333248</v>
      </c>
      <c r="F318" s="387">
        <f t="shared" si="103"/>
        <v>19.716061810376345</v>
      </c>
      <c r="G318" s="110">
        <f t="shared" si="126"/>
        <v>0.71555464456711437</v>
      </c>
      <c r="H318" s="414" t="b">
        <f>Wh_hp&gt;='2024'!Maxi_hp</f>
        <v>0</v>
      </c>
      <c r="I318" s="392">
        <f>IF(H318,Wh_hp,'2024'!Maxi_hp)</f>
        <v>27.871025086088434</v>
      </c>
      <c r="J318" s="85">
        <f>IF(H318,An,'2024'!An_max)</f>
        <v>2020</v>
      </c>
      <c r="K318" s="199">
        <f t="shared" si="104"/>
        <v>45961</v>
      </c>
      <c r="L318" s="147">
        <f>IF(t&lt;Tvie,1-EXP((T0-t)*PertePVj)+'2024'!Pspv,1-EXP((T0-t)*PertePVj)+Pspv)</f>
        <v>5.9763223474957661E-2</v>
      </c>
      <c r="M318" s="870"/>
      <c r="N318" s="870"/>
      <c r="O318" s="48">
        <f>IF(t&lt;Tnet,'2024'!Resal+('2024'!Salim-'2024'!Resal)*(1-EXP(('2024'!Tnet-t)/('2024'!Tau_j))),Resal+(Salim-Resal)*(1-EXP((Tnet-t)/(Tau_j))))*Salcycl</f>
        <v>7.2268444020654882E-2</v>
      </c>
      <c r="P318" s="171">
        <f>(INDEX(Models!$BJ318:$BT318,,T318)*(1-R318)+INDEX(Models!$BJ318:$BT318,,T318+1)*R318-ERP_i)*Q318*Ramure*Pc/MaxiM</f>
        <v>2.6476347800208498E-3</v>
      </c>
      <c r="Q318" s="307">
        <f t="shared" si="105"/>
        <v>1</v>
      </c>
      <c r="R318" s="179">
        <f t="shared" si="106"/>
        <v>0.86306380068357225</v>
      </c>
      <c r="S318" s="837">
        <f t="shared" si="107"/>
        <v>-3</v>
      </c>
      <c r="T318" s="178">
        <f t="shared" si="108"/>
        <v>3</v>
      </c>
      <c r="U318" s="253">
        <f t="shared" si="109"/>
        <v>-2.1369361993164278</v>
      </c>
      <c r="V318" s="385">
        <f t="shared" si="110"/>
        <v>23.970966841582218</v>
      </c>
      <c r="W318" s="404">
        <f t="shared" si="111"/>
        <v>17.170989433430726</v>
      </c>
      <c r="X318" s="157">
        <f t="shared" si="112"/>
        <v>45961</v>
      </c>
      <c r="Y318" s="387">
        <f t="shared" si="113"/>
        <v>14.942215937130859</v>
      </c>
      <c r="Z318" s="387">
        <f t="shared" si="114"/>
        <v>15.891971373800956</v>
      </c>
      <c r="AA318" s="388">
        <f t="shared" si="115"/>
        <v>18.207532003878597</v>
      </c>
      <c r="AB318" s="199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0.12717597473311476</v>
      </c>
      <c r="AD318" s="233">
        <f>(INDEX(Models!$BJ318:$BT318,,AH318)*(1-AF318)+INDEX(Models!$BJ318:$BT318,,AH318+1)*AF318-ERP_i)*AE318*Ramure*Pc/MaxiM</f>
        <v>0.12864705733094742</v>
      </c>
      <c r="AE318" s="307">
        <f t="shared" si="117"/>
        <v>1</v>
      </c>
      <c r="AF318" s="179">
        <f t="shared" si="118"/>
        <v>0.79804639360714269</v>
      </c>
      <c r="AG318" s="837">
        <f t="shared" si="124"/>
        <v>2</v>
      </c>
      <c r="AH318" s="178">
        <f t="shared" si="119"/>
        <v>8</v>
      </c>
      <c r="AI318" s="227">
        <f t="shared" si="120"/>
        <v>2.7980463936071427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45962</v>
      </c>
      <c r="B319" s="1139">
        <f>IF(t&gt;Tmaj,'2024'!Wh/'2024'!Env_an*'2025'!Env_an,0.001*'[13]mon-tableau (3)'!$B$202)</f>
        <v>16.225492738357435</v>
      </c>
      <c r="C319" s="866"/>
      <c r="D319" s="395">
        <f t="shared" si="102"/>
        <v>17.257217270348402</v>
      </c>
      <c r="E319" s="387">
        <f t="shared" si="125"/>
        <v>18.603700066130827</v>
      </c>
      <c r="F319" s="387">
        <f t="shared" si="103"/>
        <v>18.63328654492917</v>
      </c>
      <c r="G319" s="110">
        <f t="shared" si="126"/>
        <v>0.68453132925054272</v>
      </c>
      <c r="H319" s="414" t="b">
        <f>Wh_hp&gt;='2024'!Maxi_hp</f>
        <v>0</v>
      </c>
      <c r="I319" s="392">
        <f>IF(H319,Wh_hp,'2024'!Maxi_hp)</f>
        <v>26.847448093899022</v>
      </c>
      <c r="J319" s="85">
        <f>IF(H319,An,'2024'!An_max)</f>
        <v>2020</v>
      </c>
      <c r="K319" s="199">
        <f t="shared" si="104"/>
        <v>45962</v>
      </c>
      <c r="L319" s="147">
        <f>IF(t&lt;Tvie,1-EXP((T0-t)*PertePVj)+'2024'!Pspv,1-EXP((T0-t)*PertePVj)+Pspv)</f>
        <v>5.9785104158344926E-2</v>
      </c>
      <c r="M319" s="870"/>
      <c r="N319" s="870"/>
      <c r="O319" s="48">
        <f>IF(t&lt;Tnet,'2024'!Resal+('2024'!Salim-'2024'!Resal)*(1-EXP(('2024'!Tnet-t)/('2024'!Tau_j))),Resal+(Salim-Resal)*(1-EXP((Tnet-t)/(Tau_j))))*Salcycl</f>
        <v>7.2377150297847456E-2</v>
      </c>
      <c r="P319" s="171">
        <f>(INDEX(Models!$BJ319:$BT319,,T319)*(1-R319)+INDEX(Models!$BJ319:$BT319,,T319+1)*R319-ERP_i)*Q319*Ramure*Pc/MaxiM</f>
        <v>2.8838086949821225E-3</v>
      </c>
      <c r="Q319" s="307">
        <f t="shared" si="105"/>
        <v>1</v>
      </c>
      <c r="R319" s="179">
        <f t="shared" si="106"/>
        <v>0.86314253138057051</v>
      </c>
      <c r="S319" s="837">
        <f t="shared" si="107"/>
        <v>-3</v>
      </c>
      <c r="T319" s="178">
        <f t="shared" si="108"/>
        <v>3</v>
      </c>
      <c r="U319" s="253">
        <f t="shared" si="109"/>
        <v>-2.1368574686194295</v>
      </c>
      <c r="V319" s="385">
        <f t="shared" si="110"/>
        <v>23.672300594949885</v>
      </c>
      <c r="W319" s="404">
        <f t="shared" si="111"/>
        <v>16.225492738357435</v>
      </c>
      <c r="X319" s="157">
        <f t="shared" si="112"/>
        <v>45962</v>
      </c>
      <c r="Y319" s="387">
        <f t="shared" si="113"/>
        <v>14.178270289404539</v>
      </c>
      <c r="Z319" s="387">
        <f t="shared" si="114"/>
        <v>15.079818828771621</v>
      </c>
      <c r="AA319" s="388">
        <f t="shared" si="115"/>
        <v>17.275622562454465</v>
      </c>
      <c r="AB319" s="199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0.12710417385796782</v>
      </c>
      <c r="AD319" s="233">
        <f>(INDEX(Models!$BJ319:$BT319,,AH319)*(1-AF319)+INDEX(Models!$BJ319:$BT319,,AH319+1)*AF319-ERP_i)*AE319*Ramure*Pc/MaxiM</f>
        <v>0.13233217863505239</v>
      </c>
      <c r="AE319" s="307">
        <f t="shared" si="117"/>
        <v>1</v>
      </c>
      <c r="AF319" s="179">
        <f t="shared" si="118"/>
        <v>0.79812512430414095</v>
      </c>
      <c r="AG319" s="837">
        <f t="shared" si="124"/>
        <v>2</v>
      </c>
      <c r="AH319" s="178">
        <f t="shared" si="119"/>
        <v>8</v>
      </c>
      <c r="AI319" s="227">
        <f t="shared" si="120"/>
        <v>2.798125124304141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45963</v>
      </c>
      <c r="B320" s="1139">
        <f>IF(t&gt;Tmaj,'2024'!Wh/'2024'!Env_an*'2025'!Env_an,0.001*'[13]mon-tableau (3)'!$B$203)</f>
        <v>21.995564455734822</v>
      </c>
      <c r="C320" s="866"/>
      <c r="D320" s="395">
        <f t="shared" si="102"/>
        <v>23.394732878460811</v>
      </c>
      <c r="E320" s="387">
        <f t="shared" si="125"/>
        <v>25.223018918133327</v>
      </c>
      <c r="F320" s="387">
        <f t="shared" si="103"/>
        <v>25.295969717692177</v>
      </c>
      <c r="G320" s="110">
        <f t="shared" si="126"/>
        <v>0.94068767422089294</v>
      </c>
      <c r="H320" s="414" t="b">
        <f>Wh_hp&gt;='2024'!Maxi_hp</f>
        <v>0</v>
      </c>
      <c r="I320" s="392">
        <f>IF(H320,Wh_hp,'2024'!Maxi_hp)</f>
        <v>26.326466731477012</v>
      </c>
      <c r="J320" s="85">
        <f>IF(H320,An,'2024'!An_max)</f>
        <v>2021</v>
      </c>
      <c r="K320" s="199">
        <f t="shared" si="104"/>
        <v>45963</v>
      </c>
      <c r="L320" s="147">
        <f>IF(t&lt;Tvie,1-EXP((T0-t)*PertePVj)+'2024'!Pspv,1-EXP((T0-t)*PertePVj)+Pspv)</f>
        <v>5.9806984332536728E-2</v>
      </c>
      <c r="M320" s="870"/>
      <c r="N320" s="870"/>
      <c r="O320" s="48">
        <f>IF(t&lt;Tnet,'2024'!Resal+('2024'!Salim-'2024'!Resal)*(1-EXP(('2024'!Tnet-t)/('2024'!Tau_j))),Resal+(Salim-Resal)*(1-EXP((Tnet-t)/(Tau_j))))*Salcycl</f>
        <v>7.2484822122467082E-2</v>
      </c>
      <c r="P320" s="171">
        <f>(INDEX(Models!$BJ320:$BT320,,T320)*(1-R320)+INDEX(Models!$BJ320:$BT320,,T320+1)*R320-ERP_i)*Q320*Ramure*Pc/MaxiM</f>
        <v>3.1496365306194329E-3</v>
      </c>
      <c r="Q320" s="307">
        <f t="shared" si="105"/>
        <v>1</v>
      </c>
      <c r="R320" s="179">
        <f t="shared" si="106"/>
        <v>0.86321810882566652</v>
      </c>
      <c r="S320" s="837">
        <f t="shared" si="107"/>
        <v>-3</v>
      </c>
      <c r="T320" s="178">
        <f t="shared" si="108"/>
        <v>3</v>
      </c>
      <c r="U320" s="253">
        <f t="shared" si="109"/>
        <v>-2.1367818911743335</v>
      </c>
      <c r="V320" s="385">
        <f t="shared" si="110"/>
        <v>23.376199042851773</v>
      </c>
      <c r="W320" s="404">
        <f t="shared" si="111"/>
        <v>21.995564455734822</v>
      </c>
      <c r="X320" s="157">
        <f t="shared" si="112"/>
        <v>45963</v>
      </c>
      <c r="Y320" s="387">
        <f t="shared" si="113"/>
        <v>18.175722374362202</v>
      </c>
      <c r="Z320" s="387">
        <f t="shared" si="114"/>
        <v>19.331905333777517</v>
      </c>
      <c r="AA320" s="388">
        <f t="shared" si="115"/>
        <v>22.145027664010158</v>
      </c>
      <c r="AB320" s="199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0.1270317821641061</v>
      </c>
      <c r="AD320" s="233">
        <f>(INDEX(Models!$BJ320:$BT320,,AH320)*(1-AF320)+INDEX(Models!$BJ320:$BT320,,AH320+1)*AF320-ERP_i)*AE320*Ramure*Pc/MaxiM</f>
        <v>0.13604130808923523</v>
      </c>
      <c r="AE320" s="307">
        <f t="shared" si="117"/>
        <v>1</v>
      </c>
      <c r="AF320" s="179">
        <f t="shared" si="118"/>
        <v>0.79820070174923696</v>
      </c>
      <c r="AG320" s="837">
        <f t="shared" si="124"/>
        <v>2</v>
      </c>
      <c r="AH320" s="178">
        <f t="shared" si="119"/>
        <v>8</v>
      </c>
      <c r="AI320" s="227">
        <f t="shared" si="120"/>
        <v>2.798200701749237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45964</v>
      </c>
      <c r="B321" s="1139">
        <f>IF(t&gt;Tmaj,'2024'!Wh/'2024'!Env_an*'2025'!Env_an,0.001*'[13]mon-tableau (3)'!$B$204)</f>
        <v>5.7954974503396057</v>
      </c>
      <c r="C321" s="866"/>
      <c r="D321" s="395">
        <f t="shared" si="102"/>
        <v>6.1643005495591732</v>
      </c>
      <c r="E321" s="387">
        <f t="shared" si="125"/>
        <v>6.6468026393212183</v>
      </c>
      <c r="F321" s="387">
        <f t="shared" si="103"/>
        <v>6.6468026393212183</v>
      </c>
      <c r="G321" s="110">
        <f t="shared" si="126"/>
        <v>0.25020634767151584</v>
      </c>
      <c r="H321" s="414" t="b">
        <f>Wh_hp&gt;='2024'!Maxi_hp</f>
        <v>0</v>
      </c>
      <c r="I321" s="392">
        <f>IF(H321,Wh_hp,'2024'!Maxi_hp)</f>
        <v>25.417463869453393</v>
      </c>
      <c r="J321" s="85">
        <f>IF(H321,An,'2024'!An_max)</f>
        <v>2020</v>
      </c>
      <c r="K321" s="199">
        <f t="shared" si="104"/>
        <v>45964</v>
      </c>
      <c r="L321" s="147">
        <f>IF(t&lt;Tvie,1-EXP((T0-t)*PertePVj)+'2024'!Pspv,1-EXP((T0-t)*PertePVj)+Pspv)</f>
        <v>5.9828863997544945E-2</v>
      </c>
      <c r="M321" s="870"/>
      <c r="N321" s="870"/>
      <c r="O321" s="48">
        <f>IF(t&lt;Tnet,'2024'!Resal+('2024'!Salim-'2024'!Resal)*(1-EXP(('2024'!Tnet-t)/('2024'!Tau_j))),Resal+(Salim-Resal)*(1-EXP((Tnet-t)/(Tau_j))))*Salcycl</f>
        <v>7.2591607716416109E-2</v>
      </c>
      <c r="P321" s="171">
        <f>(INDEX(Models!$BJ321:$BT321,,T321)*(1-R321)+INDEX(Models!$BJ321:$BT321,,T321+1)*R321-ERP_i)*Q321*Ramure*Pc/MaxiM</f>
        <v>3.4460959606452944E-3</v>
      </c>
      <c r="Q321" s="307">
        <f t="shared" si="105"/>
        <v>1</v>
      </c>
      <c r="R321" s="179">
        <f t="shared" si="106"/>
        <v>0.86329065866721688</v>
      </c>
      <c r="S321" s="837">
        <f t="shared" si="107"/>
        <v>-3</v>
      </c>
      <c r="T321" s="178">
        <f t="shared" si="108"/>
        <v>3</v>
      </c>
      <c r="U321" s="253">
        <f t="shared" si="109"/>
        <v>-2.1367093413327831</v>
      </c>
      <c r="V321" s="385">
        <f t="shared" si="110"/>
        <v>23.083049905546268</v>
      </c>
      <c r="W321" s="404">
        <f t="shared" si="111"/>
        <v>5.7954974503396057</v>
      </c>
      <c r="X321" s="157">
        <f t="shared" si="112"/>
        <v>45964</v>
      </c>
      <c r="Y321" s="387">
        <f t="shared" si="113"/>
        <v>5.4557480869065174</v>
      </c>
      <c r="Z321" s="387">
        <f t="shared" si="114"/>
        <v>5.8029308473604013</v>
      </c>
      <c r="AA321" s="388">
        <f t="shared" si="115"/>
        <v>6.6468026393212183</v>
      </c>
      <c r="AB321" s="199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0.12695905651969147</v>
      </c>
      <c r="AD321" s="233">
        <f>(INDEX(Models!$BJ321:$BT321,,AH321)*(1-AF321)+INDEX(Models!$BJ321:$BT321,,AH321+1)*AF321-ERP_i)*AE321*Ramure*Pc/MaxiM</f>
        <v>0.13977129362014562</v>
      </c>
      <c r="AE321" s="307">
        <f t="shared" si="117"/>
        <v>1</v>
      </c>
      <c r="AF321" s="179">
        <f t="shared" si="118"/>
        <v>0.79827325159078732</v>
      </c>
      <c r="AG321" s="837">
        <f t="shared" si="124"/>
        <v>2</v>
      </c>
      <c r="AH321" s="178">
        <f t="shared" si="119"/>
        <v>8</v>
      </c>
      <c r="AI321" s="227">
        <f t="shared" si="120"/>
        <v>2.7982732515907873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45965</v>
      </c>
      <c r="B322" s="1139">
        <f>IF(t&gt;Tmaj,'2024'!Wh/'2024'!Env_an*'2025'!Env_an,0.001*'[13]mon-tableau (3)'!$B$205)</f>
        <v>11.995372871952306</v>
      </c>
      <c r="C322" s="866"/>
      <c r="D322" s="395">
        <f t="shared" si="102"/>
        <v>12.759009045208765</v>
      </c>
      <c r="E322" s="387">
        <f t="shared" si="125"/>
        <v>13.759276201946136</v>
      </c>
      <c r="F322" s="387">
        <f t="shared" si="103"/>
        <v>13.776082550467146</v>
      </c>
      <c r="G322" s="110">
        <f t="shared" si="126"/>
        <v>0.52492302226245213</v>
      </c>
      <c r="H322" s="414" t="b">
        <f>Wh_hp&gt;='2024'!Maxi_hp</f>
        <v>0</v>
      </c>
      <c r="I322" s="392">
        <f>IF(H322,Wh_hp,'2024'!Maxi_hp)</f>
        <v>18.882274393596006</v>
      </c>
      <c r="J322" s="85">
        <f>IF(H322,An,'2024'!An_max)</f>
        <v>2018</v>
      </c>
      <c r="K322" s="199">
        <f t="shared" si="104"/>
        <v>45965</v>
      </c>
      <c r="L322" s="147">
        <f>IF(t&lt;Tvie,1-EXP((T0-t)*PertePVj)+'2024'!Pspv,1-EXP((T0-t)*PertePVj)+Pspv)</f>
        <v>5.9850743153381347E-2</v>
      </c>
      <c r="M322" s="870"/>
      <c r="N322" s="870"/>
      <c r="O322" s="48">
        <f>IF(t&lt;Tnet,'2024'!Resal+('2024'!Salim-'2024'!Resal)*(1-EXP(('2024'!Tnet-t)/('2024'!Tau_j))),Resal+(Salim-Resal)*(1-EXP((Tnet-t)/(Tau_j))))*Salcycl</f>
        <v>7.2697658078547139E-2</v>
      </c>
      <c r="P322" s="171">
        <f>(INDEX(Models!$BJ322:$BT322,,T322)*(1-R322)+INDEX(Models!$BJ322:$BT322,,T322+1)*R322-ERP_i)*Q322*Ramure*Pc/MaxiM</f>
        <v>3.7741649821824218E-3</v>
      </c>
      <c r="Q322" s="307">
        <f t="shared" si="105"/>
        <v>1</v>
      </c>
      <c r="R322" s="179">
        <f t="shared" si="106"/>
        <v>0.86336030159745825</v>
      </c>
      <c r="S322" s="837">
        <f t="shared" si="107"/>
        <v>-3</v>
      </c>
      <c r="T322" s="178">
        <f t="shared" si="108"/>
        <v>3</v>
      </c>
      <c r="U322" s="253">
        <f t="shared" si="109"/>
        <v>-2.1366396984025418</v>
      </c>
      <c r="V322" s="385">
        <f t="shared" si="110"/>
        <v>22.793240853158466</v>
      </c>
      <c r="W322" s="404">
        <f t="shared" si="111"/>
        <v>11.995372871952306</v>
      </c>
      <c r="X322" s="157">
        <f t="shared" si="112"/>
        <v>45965</v>
      </c>
      <c r="Y322" s="387">
        <f t="shared" si="113"/>
        <v>10.78359723957003</v>
      </c>
      <c r="Z322" s="387">
        <f t="shared" si="114"/>
        <v>11.47009069149254</v>
      </c>
      <c r="AA322" s="388">
        <f t="shared" si="115"/>
        <v>13.136994781876297</v>
      </c>
      <c r="AB322" s="199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0.12688625656481234</v>
      </c>
      <c r="AD322" s="233">
        <f>(INDEX(Models!$BJ322:$BT322,,AH322)*(1-AF322)+INDEX(Models!$BJ322:$BT322,,AH322+1)*AF322-ERP_i)*AE322*Ramure*Pc/MaxiM</f>
        <v>0.14351854442035875</v>
      </c>
      <c r="AE322" s="307">
        <f t="shared" si="117"/>
        <v>1</v>
      </c>
      <c r="AF322" s="179">
        <f t="shared" si="118"/>
        <v>0.79834289452102869</v>
      </c>
      <c r="AG322" s="837">
        <f t="shared" si="124"/>
        <v>2</v>
      </c>
      <c r="AH322" s="178">
        <f t="shared" si="119"/>
        <v>8</v>
      </c>
      <c r="AI322" s="227">
        <f t="shared" si="120"/>
        <v>2.7983428945210287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45966</v>
      </c>
      <c r="B323" s="1139">
        <f>IF(t&gt;Tmaj,'2024'!Wh/'2024'!Env_an*'2025'!Env_an,0.001*'[13]mon-tableau (3)'!$B$206)</f>
        <v>21.021786512484617</v>
      </c>
      <c r="C323" s="866"/>
      <c r="D323" s="395">
        <f t="shared" si="102"/>
        <v>22.360572620206998</v>
      </c>
      <c r="E323" s="387">
        <f t="shared" si="125"/>
        <v>24.116315806433935</v>
      </c>
      <c r="F323" s="387">
        <f t="shared" si="103"/>
        <v>24.206970594247611</v>
      </c>
      <c r="G323" s="110">
        <f t="shared" si="126"/>
        <v>0.93363895139695541</v>
      </c>
      <c r="H323" s="414" t="b">
        <f>Wh_hp&gt;='2024'!Maxi_hp</f>
        <v>1</v>
      </c>
      <c r="I323" s="392">
        <f>IF(H323,Wh_hp,'2024'!Maxi_hp)</f>
        <v>24.206970594247611</v>
      </c>
      <c r="J323" s="85">
        <f>IF(H323,An,'2024'!An_max)</f>
        <v>2025</v>
      </c>
      <c r="K323" s="199">
        <f t="shared" si="104"/>
        <v>45966</v>
      </c>
      <c r="L323" s="147">
        <f>IF(t&lt;Tvie,1-EXP((T0-t)*PertePVj)+'2024'!Pspv,1-EXP((T0-t)*PertePVj)+Pspv)</f>
        <v>5.9872621800057813E-2</v>
      </c>
      <c r="M323" s="870"/>
      <c r="N323" s="870"/>
      <c r="O323" s="48">
        <f>IF(t&lt;Tnet,'2024'!Resal+('2024'!Salim-'2024'!Resal)*(1-EXP(('2024'!Tnet-t)/('2024'!Tau_j))),Resal+(Salim-Resal)*(1-EXP((Tnet-t)/(Tau_j))))*Salcycl</f>
        <v>7.2803126328214993E-2</v>
      </c>
      <c r="P323" s="171">
        <f>(INDEX(Models!$BJ323:$BT323,,T323)*(1-R323)+INDEX(Models!$BJ323:$BT323,,T323+1)*R323-ERP_i)*Q323*Ramure*Pc/MaxiM</f>
        <v>4.1348147498087304E-3</v>
      </c>
      <c r="Q323" s="307">
        <f t="shared" si="105"/>
        <v>1</v>
      </c>
      <c r="R323" s="179">
        <f t="shared" si="106"/>
        <v>0.86342715354400346</v>
      </c>
      <c r="S323" s="837">
        <f t="shared" si="107"/>
        <v>-3</v>
      </c>
      <c r="T323" s="178">
        <f t="shared" si="108"/>
        <v>3</v>
      </c>
      <c r="U323" s="253">
        <f t="shared" si="109"/>
        <v>-2.1365728464559965</v>
      </c>
      <c r="V323" s="385">
        <f t="shared" si="110"/>
        <v>22.507159537609521</v>
      </c>
      <c r="W323" s="404">
        <f t="shared" si="111"/>
        <v>21.021786512484617</v>
      </c>
      <c r="X323" s="157">
        <f t="shared" si="112"/>
        <v>45966</v>
      </c>
      <c r="Y323" s="387">
        <f t="shared" si="113"/>
        <v>17.220904609518062</v>
      </c>
      <c r="Z323" s="387">
        <f t="shared" si="114"/>
        <v>18.317629088188937</v>
      </c>
      <c r="AA323" s="388">
        <f t="shared" si="115"/>
        <v>20.977914912498697</v>
      </c>
      <c r="AB323" s="199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0.12681364355829075</v>
      </c>
      <c r="AD323" s="233">
        <f>(INDEX(Models!$BJ323:$BT323,,AH323)*(1-AF323)+INDEX(Models!$BJ323:$BT323,,AH323+1)*AF323-ERP_i)*AE323*Ramure*Pc/MaxiM</f>
        <v>0.14727900624830256</v>
      </c>
      <c r="AE323" s="307">
        <f t="shared" si="117"/>
        <v>1</v>
      </c>
      <c r="AF323" s="179">
        <f t="shared" si="118"/>
        <v>0.7984097464675739</v>
      </c>
      <c r="AG323" s="837">
        <f t="shared" si="124"/>
        <v>2</v>
      </c>
      <c r="AH323" s="178">
        <f t="shared" si="119"/>
        <v>8</v>
      </c>
      <c r="AI323" s="227">
        <f t="shared" si="120"/>
        <v>2.7984097464675739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45967</v>
      </c>
      <c r="B324" s="1139">
        <f>IF(t&gt;Tmaj,'2024'!Wh/'2024'!Env_an*'2025'!Env_an,0.001*'[13]mon-tableau (3)'!$B$207)</f>
        <v>21.087326754070368</v>
      </c>
      <c r="C324" s="866"/>
      <c r="D324" s="395">
        <f t="shared" si="102"/>
        <v>22.430808832275076</v>
      </c>
      <c r="E324" s="387">
        <f t="shared" si="125"/>
        <v>24.194807930039982</v>
      </c>
      <c r="F324" s="387">
        <f t="shared" si="103"/>
        <v>24.296525780382741</v>
      </c>
      <c r="G324" s="110">
        <f t="shared" si="126"/>
        <v>0.94847652232110535</v>
      </c>
      <c r="H324" s="414" t="b">
        <f>Wh_hp&gt;='2024'!Maxi_hp</f>
        <v>1</v>
      </c>
      <c r="I324" s="392">
        <f>IF(H324,Wh_hp,'2024'!Maxi_hp)</f>
        <v>24.296525780382741</v>
      </c>
      <c r="J324" s="85">
        <f>IF(H324,An,'2024'!An_max)</f>
        <v>2025</v>
      </c>
      <c r="K324" s="199">
        <f t="shared" si="104"/>
        <v>45967</v>
      </c>
      <c r="L324" s="147">
        <f>IF(t&lt;Tvie,1-EXP((T0-t)*PertePVj)+'2024'!Pspv,1-EXP((T0-t)*PertePVj)+Pspv)</f>
        <v>5.9894499937586221E-2</v>
      </c>
      <c r="M324" s="870"/>
      <c r="N324" s="870"/>
      <c r="O324" s="48">
        <f>IF(t&lt;Tnet,'2024'!Resal+('2024'!Salim-'2024'!Resal)*(1-EXP(('2024'!Tnet-t)/('2024'!Tau_j))),Resal+(Salim-Resal)*(1-EXP((Tnet-t)/(Tau_j))))*Salcycl</f>
        <v>7.2908167027635112E-2</v>
      </c>
      <c r="P324" s="171">
        <f>(INDEX(Models!$BJ324:$BT324,,T324)*(1-R324)+INDEX(Models!$BJ324:$BT324,,T324+1)*R324-ERP_i)*Q324*Ramure*Pc/MaxiM</f>
        <v>4.516957245826808E-3</v>
      </c>
      <c r="Q324" s="307">
        <f t="shared" si="105"/>
        <v>1</v>
      </c>
      <c r="R324" s="179">
        <f t="shared" si="106"/>
        <v>0.86349132585426025</v>
      </c>
      <c r="S324" s="837">
        <f t="shared" si="107"/>
        <v>-3</v>
      </c>
      <c r="T324" s="178">
        <f t="shared" si="108"/>
        <v>3</v>
      </c>
      <c r="U324" s="253">
        <f t="shared" si="109"/>
        <v>-2.1365086741457398</v>
      </c>
      <c r="V324" s="385">
        <f t="shared" si="110"/>
        <v>22.225462507301327</v>
      </c>
      <c r="W324" s="404">
        <f t="shared" si="111"/>
        <v>21.087326754070368</v>
      </c>
      <c r="X324" s="157">
        <f t="shared" si="112"/>
        <v>45967</v>
      </c>
      <c r="Y324" s="387">
        <f t="shared" si="113"/>
        <v>17.154250448994464</v>
      </c>
      <c r="Z324" s="387">
        <f t="shared" si="114"/>
        <v>18.247154652169986</v>
      </c>
      <c r="AA324" s="388">
        <f t="shared" si="115"/>
        <v>20.895478506741018</v>
      </c>
      <c r="AB324" s="199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0.12674147920166881</v>
      </c>
      <c r="AD324" s="233">
        <f>(INDEX(Models!$BJ324:$BT324,,AH324)*(1-AF324)+INDEX(Models!$BJ324:$BT324,,AH324+1)*AF324-ERP_i)*AE324*Ramure*Pc/MaxiM</f>
        <v>0.15102939232699941</v>
      </c>
      <c r="AE324" s="307">
        <f t="shared" si="117"/>
        <v>1</v>
      </c>
      <c r="AF324" s="179">
        <f t="shared" si="118"/>
        <v>0.79847391877783069</v>
      </c>
      <c r="AG324" s="837">
        <f t="shared" si="124"/>
        <v>2</v>
      </c>
      <c r="AH324" s="178">
        <f t="shared" si="119"/>
        <v>8</v>
      </c>
      <c r="AI324" s="227">
        <f t="shared" si="120"/>
        <v>2.7984739187778307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45968</v>
      </c>
      <c r="B325" s="1139">
        <f>IF(t&gt;Tmaj,'2024'!Wh/'2024'!Env_an*'2025'!Env_an,0.001*'[13]mon-tableau (3)'!$B$208)</f>
        <v>20.957634667625637</v>
      </c>
      <c r="C325" s="866"/>
      <c r="D325" s="395">
        <f t="shared" si="102"/>
        <v>22.293372810136919</v>
      </c>
      <c r="E325" s="387">
        <f t="shared" si="125"/>
        <v>24.049281444788406</v>
      </c>
      <c r="F325" s="387">
        <f t="shared" si="103"/>
        <v>24.160153571130351</v>
      </c>
      <c r="G325" s="110">
        <f t="shared" si="126"/>
        <v>0.95453485170850594</v>
      </c>
      <c r="H325" s="414" t="b">
        <f>Wh_hp&gt;='2024'!Maxi_hp</f>
        <v>1</v>
      </c>
      <c r="I325" s="392">
        <f>IF(H325,Wh_hp,'2024'!Maxi_hp)</f>
        <v>24.160153571130351</v>
      </c>
      <c r="J325" s="85">
        <f>IF(H325,An,'2024'!An_max)</f>
        <v>2025</v>
      </c>
      <c r="K325" s="199">
        <f t="shared" si="104"/>
        <v>45968</v>
      </c>
      <c r="L325" s="147">
        <f>IF(t&lt;Tvie,1-EXP((T0-t)*PertePVj)+'2024'!Pspv,1-EXP((T0-t)*PertePVj)+Pspv)</f>
        <v>5.9916377565978451E-2</v>
      </c>
      <c r="M325" s="870"/>
      <c r="N325" s="870"/>
      <c r="O325" s="48">
        <f>IF(t&lt;Tnet,'2024'!Resal+('2024'!Salim-'2024'!Resal)*(1-EXP(('2024'!Tnet-t)/('2024'!Tau_j))),Resal+(Salim-Resal)*(1-EXP((Tnet-t)/(Tau_j))))*Salcycl</f>
        <v>7.3012935487600669E-2</v>
      </c>
      <c r="P325" s="171">
        <f>(INDEX(Models!$BJ325:$BT325,,T325)*(1-R325)+INDEX(Models!$BJ325:$BT325,,T325+1)*R325-ERP_i)*Q325*Ramure*Pc/MaxiM</f>
        <v>4.9055370593041039E-3</v>
      </c>
      <c r="Q325" s="307">
        <f t="shared" si="105"/>
        <v>1</v>
      </c>
      <c r="R325" s="179">
        <f t="shared" si="106"/>
        <v>0.86355292547299989</v>
      </c>
      <c r="S325" s="837">
        <f t="shared" si="107"/>
        <v>-3</v>
      </c>
      <c r="T325" s="178">
        <f t="shared" si="108"/>
        <v>3</v>
      </c>
      <c r="U325" s="253">
        <f t="shared" si="109"/>
        <v>-2.1364470745270001</v>
      </c>
      <c r="V325" s="385">
        <f t="shared" si="110"/>
        <v>21.948880345528991</v>
      </c>
      <c r="W325" s="404">
        <f t="shared" si="111"/>
        <v>20.957634667625637</v>
      </c>
      <c r="X325" s="157">
        <f t="shared" si="112"/>
        <v>45968</v>
      </c>
      <c r="Y325" s="387">
        <f t="shared" si="113"/>
        <v>16.963668201061861</v>
      </c>
      <c r="Z325" s="387">
        <f t="shared" si="114"/>
        <v>18.044850262512082</v>
      </c>
      <c r="AA325" s="388">
        <f t="shared" si="115"/>
        <v>20.662121726802354</v>
      </c>
      <c r="AB325" s="199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0.12667002444841943</v>
      </c>
      <c r="AD325" s="233">
        <f>(INDEX(Models!$BJ325:$BT325,,AH325)*(1-AF325)+INDEX(Models!$BJ325:$BT325,,AH325+1)*AF325-ERP_i)*AE325*Ramure*Pc/MaxiM</f>
        <v>0.15477041356683188</v>
      </c>
      <c r="AE325" s="307">
        <f t="shared" si="117"/>
        <v>1</v>
      </c>
      <c r="AF325" s="179">
        <f t="shared" si="118"/>
        <v>0.79853551839657033</v>
      </c>
      <c r="AG325" s="837">
        <f t="shared" si="124"/>
        <v>2</v>
      </c>
      <c r="AH325" s="178">
        <f t="shared" si="119"/>
        <v>8</v>
      </c>
      <c r="AI325" s="227">
        <f t="shared" si="120"/>
        <v>2.7985355183965703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45969</v>
      </c>
      <c r="B326" s="1139">
        <f>IF(t&gt;Tmaj,'2024'!Wh/'2024'!Env_an*'2025'!Env_an,0.001*'[13]mon-tableau (3)'!$B$209)</f>
        <v>13.867536653555678</v>
      </c>
      <c r="C326" s="866"/>
      <c r="D326" s="395">
        <f t="shared" si="102"/>
        <v>14.751729578052894</v>
      </c>
      <c r="E326" s="387">
        <f t="shared" si="125"/>
        <v>15.91542721291062</v>
      </c>
      <c r="F326" s="387">
        <f t="shared" si="103"/>
        <v>15.956472042403517</v>
      </c>
      <c r="G326" s="110">
        <f t="shared" si="126"/>
        <v>0.63796169200062203</v>
      </c>
      <c r="H326" s="414" t="b">
        <f>Wh_hp&gt;='2024'!Maxi_hp</f>
        <v>0</v>
      </c>
      <c r="I326" s="392">
        <f>IF(H326,Wh_hp,'2024'!Maxi_hp)</f>
        <v>20.498806693630254</v>
      </c>
      <c r="J326" s="85">
        <f>IF(H326,An,'2024'!An_max)</f>
        <v>2021</v>
      </c>
      <c r="K326" s="199">
        <f t="shared" si="104"/>
        <v>45969</v>
      </c>
      <c r="L326" s="147">
        <f>IF(t&lt;Tvie,1-EXP((T0-t)*PertePVj)+'2024'!Pspv,1-EXP((T0-t)*PertePVj)+Pspv)</f>
        <v>5.9938254685246273E-2</v>
      </c>
      <c r="M326" s="870"/>
      <c r="N326" s="870"/>
      <c r="O326" s="48">
        <f>IF(t&lt;Tnet,'2024'!Resal+('2024'!Salim-'2024'!Resal)*(1-EXP(('2024'!Tnet-t)/('2024'!Tau_j))),Resal+(Salim-Resal)*(1-EXP((Tnet-t)/(Tau_j))))*Salcycl</f>
        <v>7.3117587061296868E-2</v>
      </c>
      <c r="P326" s="171">
        <f>(INDEX(Models!$BJ326:$BT326,,T326)*(1-R326)+INDEX(Models!$BJ326:$BT326,,T326+1)*R326-ERP_i)*Q326*Ramure*Pc/MaxiM</f>
        <v>5.3004104789945404E-3</v>
      </c>
      <c r="Q326" s="307">
        <f t="shared" si="105"/>
        <v>1</v>
      </c>
      <c r="R326" s="179">
        <f t="shared" si="106"/>
        <v>0.86361205511331196</v>
      </c>
      <c r="S326" s="837">
        <f t="shared" si="107"/>
        <v>-3</v>
      </c>
      <c r="T326" s="178">
        <f t="shared" si="108"/>
        <v>3</v>
      </c>
      <c r="U326" s="253">
        <f t="shared" si="109"/>
        <v>-2.136387944886688</v>
      </c>
      <c r="V326" s="385">
        <f t="shared" si="110"/>
        <v>21.677801481119729</v>
      </c>
      <c r="W326" s="404">
        <f t="shared" si="111"/>
        <v>13.867536653555678</v>
      </c>
      <c r="X326" s="157">
        <f t="shared" si="112"/>
        <v>45969</v>
      </c>
      <c r="Y326" s="387">
        <f t="shared" si="113"/>
        <v>12.093353622057704</v>
      </c>
      <c r="Z326" s="387">
        <f t="shared" si="114"/>
        <v>12.864424791595555</v>
      </c>
      <c r="AA326" s="388">
        <f t="shared" si="115"/>
        <v>14.729125247602381</v>
      </c>
      <c r="AB326" s="199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0.12659953830661899</v>
      </c>
      <c r="AD326" s="233">
        <f>(INDEX(Models!$BJ326:$BT326,,AH326)*(1-AF326)+INDEX(Models!$BJ326:$BT326,,AH326+1)*AF326-ERP_i)*AE326*Ramure*Pc/MaxiM</f>
        <v>0.15849601260129803</v>
      </c>
      <c r="AE326" s="307">
        <f t="shared" si="117"/>
        <v>1</v>
      </c>
      <c r="AF326" s="179">
        <f t="shared" si="118"/>
        <v>0.7985946480368824</v>
      </c>
      <c r="AG326" s="837">
        <f t="shared" si="124"/>
        <v>2</v>
      </c>
      <c r="AH326" s="178">
        <f t="shared" si="119"/>
        <v>8</v>
      </c>
      <c r="AI326" s="227">
        <f t="shared" si="120"/>
        <v>2.7985946480368824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45970</v>
      </c>
      <c r="B327" s="1139">
        <f>IF(t&gt;Tmaj,'2024'!Wh/'2024'!Env_an*'2025'!Env_an,0.001*'[13]mon-tableau (3)'!$B$210)</f>
        <v>8.2073105895284382</v>
      </c>
      <c r="C327" s="866"/>
      <c r="D327" s="395">
        <f t="shared" si="102"/>
        <v>8.7308111738264298</v>
      </c>
      <c r="E327" s="387">
        <f t="shared" si="125"/>
        <v>9.4206096583819328</v>
      </c>
      <c r="F327" s="387">
        <f t="shared" si="103"/>
        <v>9.4270050345354406</v>
      </c>
      <c r="G327" s="110">
        <f t="shared" si="126"/>
        <v>0.38136667159395621</v>
      </c>
      <c r="H327" s="414" t="b">
        <f>Wh_hp&gt;='2024'!Maxi_hp</f>
        <v>0</v>
      </c>
      <c r="I327" s="392">
        <f>IF(H327,Wh_hp,'2024'!Maxi_hp)</f>
        <v>19.612077061652013</v>
      </c>
      <c r="J327" s="85">
        <f>IF(H327,An,'2024'!An_max)</f>
        <v>2020</v>
      </c>
      <c r="K327" s="199">
        <f t="shared" si="104"/>
        <v>45970</v>
      </c>
      <c r="L327" s="147">
        <f>IF(t&lt;Tvie,1-EXP((T0-t)*PertePVj)+'2024'!Pspv,1-EXP((T0-t)*PertePVj)+Pspv)</f>
        <v>5.9960131295401564E-2</v>
      </c>
      <c r="M327" s="870"/>
      <c r="N327" s="870"/>
      <c r="O327" s="48">
        <f>IF(t&lt;Tnet,'2024'!Resal+('2024'!Salim-'2024'!Resal)*(1-EXP(('2024'!Tnet-t)/('2024'!Tau_j))),Resal+(Salim-Resal)*(1-EXP((Tnet-t)/(Tau_j))))*Salcycl</f>
        <v>7.32222764310968E-2</v>
      </c>
      <c r="P327" s="171">
        <f>(INDEX(Models!$BJ327:$BT327,,T327)*(1-R327)+INDEX(Models!$BJ327:$BT327,,T327+1)*R327-ERP_i)*Q327*Ramure*Pc/MaxiM</f>
        <v>5.7013877168505802E-3</v>
      </c>
      <c r="Q327" s="307">
        <f t="shared" si="105"/>
        <v>1</v>
      </c>
      <c r="R327" s="179">
        <f t="shared" si="106"/>
        <v>0.86366881342116963</v>
      </c>
      <c r="S327" s="837">
        <f t="shared" si="107"/>
        <v>-3</v>
      </c>
      <c r="T327" s="178">
        <f t="shared" si="108"/>
        <v>3</v>
      </c>
      <c r="U327" s="253">
        <f t="shared" si="109"/>
        <v>-2.1363311865788304</v>
      </c>
      <c r="V327" s="385">
        <f t="shared" si="110"/>
        <v>21.412614353804798</v>
      </c>
      <c r="W327" s="404">
        <f t="shared" si="111"/>
        <v>8.2073105895284382</v>
      </c>
      <c r="X327" s="157">
        <f t="shared" si="112"/>
        <v>45970</v>
      </c>
      <c r="Y327" s="387">
        <f t="shared" si="113"/>
        <v>7.5910868571809695</v>
      </c>
      <c r="Z327" s="387">
        <f t="shared" si="114"/>
        <v>8.0752818150592933</v>
      </c>
      <c r="AA327" s="388">
        <f t="shared" si="115"/>
        <v>9.2450620772837819</v>
      </c>
      <c r="AB327" s="199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0.12653027664343952</v>
      </c>
      <c r="AD327" s="233">
        <f>(INDEX(Models!$BJ327:$BT327,,AH327)*(1-AF327)+INDEX(Models!$BJ327:$BT327,,AH327+1)*AF327-ERP_i)*AE327*Ramure*Pc/MaxiM</f>
        <v>0.16219958243941573</v>
      </c>
      <c r="AE327" s="307">
        <f t="shared" si="117"/>
        <v>1</v>
      </c>
      <c r="AF327" s="179">
        <f t="shared" si="118"/>
        <v>0.79865140634474008</v>
      </c>
      <c r="AG327" s="837">
        <f t="shared" si="124"/>
        <v>2</v>
      </c>
      <c r="AH327" s="178">
        <f t="shared" si="119"/>
        <v>8</v>
      </c>
      <c r="AI327" s="227">
        <f t="shared" si="120"/>
        <v>2.7986514063447401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45971</v>
      </c>
      <c r="B328" s="1139">
        <f>IF(t&gt;Tmaj,'2024'!Wh/'2024'!Env_an*'2025'!Env_an,0.001*'[13]mon-tableau (3)'!$B$211)</f>
        <v>18.476284030155828</v>
      </c>
      <c r="C328" s="866"/>
      <c r="D328" s="395">
        <f t="shared" si="102"/>
        <v>19.655245086301527</v>
      </c>
      <c r="E328" s="387">
        <f t="shared" si="125"/>
        <v>21.210554763218575</v>
      </c>
      <c r="F328" s="387">
        <f t="shared" si="103"/>
        <v>21.317221339647375</v>
      </c>
      <c r="G328" s="110">
        <f t="shared" si="126"/>
        <v>0.87246054947715557</v>
      </c>
      <c r="H328" s="414" t="b">
        <f>Wh_hp&gt;='2024'!Maxi_hp</f>
        <v>1</v>
      </c>
      <c r="I328" s="392">
        <f>IF(H328,Wh_hp,'2024'!Maxi_hp)</f>
        <v>21.317221339647375</v>
      </c>
      <c r="J328" s="85">
        <f>IF(H328,An,'2024'!An_max)</f>
        <v>2025</v>
      </c>
      <c r="K328" s="199">
        <f t="shared" si="104"/>
        <v>45971</v>
      </c>
      <c r="L328" s="147">
        <f>IF(t&lt;Tvie,1-EXP((T0-t)*PertePVj)+'2024'!Pspv,1-EXP((T0-t)*PertePVj)+Pspv)</f>
        <v>5.9982007396456205E-2</v>
      </c>
      <c r="M328" s="870"/>
      <c r="N328" s="870"/>
      <c r="O328" s="48">
        <f>IF(t&lt;Tnet,'2024'!Resal+('2024'!Salim-'2024'!Resal)*(1-EXP(('2024'!Tnet-t)/('2024'!Tau_j))),Resal+(Salim-Resal)*(1-EXP((Tnet-t)/(Tau_j))))*Salcycl</f>
        <v>7.3327156893327666E-2</v>
      </c>
      <c r="P328" s="171">
        <f>(INDEX(Models!$BJ328:$BT328,,T328)*(1-R328)+INDEX(Models!$BJ328:$BT328,,T328+1)*R328-ERP_i)*Q328*Ramure*Pc/MaxiM</f>
        <v>6.1082294516006551E-3</v>
      </c>
      <c r="Q328" s="307">
        <f t="shared" si="105"/>
        <v>1</v>
      </c>
      <c r="R328" s="179">
        <f t="shared" si="106"/>
        <v>0.86372329513381896</v>
      </c>
      <c r="S328" s="837">
        <f t="shared" si="107"/>
        <v>-3</v>
      </c>
      <c r="T328" s="178">
        <f t="shared" si="108"/>
        <v>3</v>
      </c>
      <c r="U328" s="253">
        <f t="shared" si="109"/>
        <v>-2.136276704866181</v>
      </c>
      <c r="V328" s="385">
        <f t="shared" si="110"/>
        <v>21.153707411815084</v>
      </c>
      <c r="W328" s="404">
        <f t="shared" si="111"/>
        <v>18.476284030155828</v>
      </c>
      <c r="X328" s="157">
        <f t="shared" si="112"/>
        <v>45971</v>
      </c>
      <c r="Y328" s="387">
        <f t="shared" si="113"/>
        <v>15.125912273413318</v>
      </c>
      <c r="Z328" s="387">
        <f t="shared" si="114"/>
        <v>16.091088034942253</v>
      </c>
      <c r="AA328" s="388">
        <f t="shared" si="115"/>
        <v>18.420603430481691</v>
      </c>
      <c r="AB328" s="199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0.12646249099986859</v>
      </c>
      <c r="AD328" s="233">
        <f>(INDEX(Models!$BJ328:$BT328,,AH328)*(1-AF328)+INDEX(Models!$BJ328:$BT328,,AH328+1)*AF328-ERP_i)*AE328*Ramure*Pc/MaxiM</f>
        <v>0.16587395428979637</v>
      </c>
      <c r="AE328" s="307">
        <f t="shared" si="117"/>
        <v>1</v>
      </c>
      <c r="AF328" s="179">
        <f t="shared" si="118"/>
        <v>0.7987058880573894</v>
      </c>
      <c r="AG328" s="837">
        <f t="shared" si="124"/>
        <v>2</v>
      </c>
      <c r="AH328" s="178">
        <f t="shared" si="119"/>
        <v>8</v>
      </c>
      <c r="AI328" s="227">
        <f t="shared" si="120"/>
        <v>2.7987058880573894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45972</v>
      </c>
      <c r="B329" s="1139">
        <f>IF(t&gt;Tmaj,'2024'!Wh/'2024'!Env_an*'2025'!Env_an,0.001*'[13]mon-tableau (3)'!$B$212)</f>
        <v>19.053039473348875</v>
      </c>
      <c r="C329" s="866"/>
      <c r="D329" s="395">
        <f t="shared" si="102"/>
        <v>20.269274658199674</v>
      </c>
      <c r="E329" s="387">
        <f t="shared" si="125"/>
        <v>21.875656145265456</v>
      </c>
      <c r="F329" s="387">
        <f t="shared" si="103"/>
        <v>22.000992490342256</v>
      </c>
      <c r="G329" s="110">
        <f t="shared" si="126"/>
        <v>0.91080936256658573</v>
      </c>
      <c r="H329" s="414" t="b">
        <f>Wh_hp&gt;='2024'!Maxi_hp</f>
        <v>1</v>
      </c>
      <c r="I329" s="392">
        <f>IF(H329,Wh_hp,'2024'!Maxi_hp)</f>
        <v>22.000992490342256</v>
      </c>
      <c r="J329" s="85">
        <f>IF(H329,An,'2024'!An_max)</f>
        <v>2025</v>
      </c>
      <c r="K329" s="199">
        <f t="shared" si="104"/>
        <v>45972</v>
      </c>
      <c r="L329" s="147">
        <f>IF(t&lt;Tvie,1-EXP((T0-t)*PertePVj)+'2024'!Pspv,1-EXP((T0-t)*PertePVj)+Pspv)</f>
        <v>6.0003882988421964E-2</v>
      </c>
      <c r="M329" s="870"/>
      <c r="N329" s="870"/>
      <c r="O329" s="48">
        <f>IF(t&lt;Tnet,'2024'!Resal+('2024'!Salim-'2024'!Resal)*(1-EXP(('2024'!Tnet-t)/('2024'!Tau_j))),Resal+(Salim-Resal)*(1-EXP((Tnet-t)/(Tau_j))))*Salcycl</f>
        <v>7.3432379646059309E-2</v>
      </c>
      <c r="P329" s="171">
        <f>(INDEX(Models!$BJ329:$BT329,,T329)*(1-R329)+INDEX(Models!$BJ329:$BT329,,T329+1)*R329-ERP_i)*Q329*Ramure*Pc/MaxiM</f>
        <v>6.5206433996800811E-3</v>
      </c>
      <c r="Q329" s="307">
        <f t="shared" si="105"/>
        <v>1</v>
      </c>
      <c r="R329" s="179">
        <f t="shared" si="106"/>
        <v>0.8637755912322147</v>
      </c>
      <c r="S329" s="837">
        <f t="shared" si="107"/>
        <v>-3</v>
      </c>
      <c r="T329" s="178">
        <f t="shared" si="108"/>
        <v>3</v>
      </c>
      <c r="U329" s="253">
        <f t="shared" si="109"/>
        <v>-2.1362244087677853</v>
      </c>
      <c r="V329" s="385">
        <f t="shared" si="110"/>
        <v>20.901469122988512</v>
      </c>
      <c r="W329" s="404">
        <f t="shared" si="111"/>
        <v>19.053039473348875</v>
      </c>
      <c r="X329" s="157">
        <f t="shared" si="112"/>
        <v>45972</v>
      </c>
      <c r="Y329" s="387">
        <f t="shared" si="113"/>
        <v>15.391233111346134</v>
      </c>
      <c r="Z329" s="387">
        <f t="shared" si="114"/>
        <v>16.37371988330943</v>
      </c>
      <c r="AA329" s="388">
        <f t="shared" si="115"/>
        <v>18.742734573565198</v>
      </c>
      <c r="AB329" s="199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0.12639642742404483</v>
      </c>
      <c r="AD329" s="233">
        <f>(INDEX(Models!$BJ329:$BT329,,AH329)*(1-AF329)+INDEX(Models!$BJ329:$BT329,,AH329+1)*AF329-ERP_i)*AE329*Ramure*Pc/MaxiM</f>
        <v>0.16951138926597129</v>
      </c>
      <c r="AE329" s="307">
        <f t="shared" si="117"/>
        <v>1</v>
      </c>
      <c r="AF329" s="179">
        <f t="shared" si="118"/>
        <v>0.79875818415578514</v>
      </c>
      <c r="AG329" s="837">
        <f t="shared" si="124"/>
        <v>2</v>
      </c>
      <c r="AH329" s="178">
        <f t="shared" si="119"/>
        <v>8</v>
      </c>
      <c r="AI329" s="227">
        <f t="shared" si="120"/>
        <v>2.7987581841557851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45973</v>
      </c>
      <c r="B330" s="1139">
        <f>IF(t&gt;Tmaj,'2024'!Wh/'2024'!Env_an*'2025'!Env_an,0.001*'[13]mon-tableau (3)'!$B$213)</f>
        <v>18.920951519802372</v>
      </c>
      <c r="C330" s="866"/>
      <c r="D330" s="395">
        <f t="shared" si="102"/>
        <v>20.129223414653744</v>
      </c>
      <c r="E330" s="387">
        <f t="shared" si="125"/>
        <v>21.726984417180404</v>
      </c>
      <c r="F330" s="387">
        <f t="shared" si="103"/>
        <v>21.860455336200847</v>
      </c>
      <c r="G330" s="110">
        <f t="shared" si="126"/>
        <v>0.9152224930712678</v>
      </c>
      <c r="H330" s="414" t="b">
        <f>Wh_hp&gt;='2024'!Maxi_hp</f>
        <v>1</v>
      </c>
      <c r="I330" s="392">
        <f>IF(H330,Wh_hp,'2024'!Maxi_hp)</f>
        <v>21.860455336200847</v>
      </c>
      <c r="J330" s="85">
        <f>IF(H330,An,'2024'!An_max)</f>
        <v>2025</v>
      </c>
      <c r="K330" s="199">
        <f t="shared" si="104"/>
        <v>45973</v>
      </c>
      <c r="L330" s="147">
        <f>IF(t&lt;Tvie,1-EXP((T0-t)*PertePVj)+'2024'!Pspv,1-EXP((T0-t)*PertePVj)+Pspv)</f>
        <v>6.0025758071310831E-2</v>
      </c>
      <c r="M330" s="870"/>
      <c r="N330" s="870"/>
      <c r="O330" s="48">
        <f>IF(t&lt;Tnet,'2024'!Resal+('2024'!Salim-'2024'!Resal)*(1-EXP(('2024'!Tnet-t)/('2024'!Tau_j))),Resal+(Salim-Resal)*(1-EXP((Tnet-t)/(Tau_j))))*Salcycl</f>
        <v>7.3538093084986267E-2</v>
      </c>
      <c r="P330" s="171">
        <f>(INDEX(Models!$BJ330:$BT330,,T330)*(1-R330)+INDEX(Models!$BJ330:$BT330,,T330+1)*R330-ERP_i)*Q330*Ramure*Pc/MaxiM</f>
        <v>6.9382809769295518E-3</v>
      </c>
      <c r="Q330" s="307">
        <f t="shared" si="105"/>
        <v>1</v>
      </c>
      <c r="R330" s="179">
        <f t="shared" si="106"/>
        <v>0.86382578908770302</v>
      </c>
      <c r="S330" s="837">
        <f t="shared" si="107"/>
        <v>-3</v>
      </c>
      <c r="T330" s="178">
        <f t="shared" si="108"/>
        <v>3</v>
      </c>
      <c r="U330" s="253">
        <f t="shared" si="109"/>
        <v>-2.136174210912297</v>
      </c>
      <c r="V330" s="385">
        <f t="shared" si="110"/>
        <v>20.656287973758953</v>
      </c>
      <c r="W330" s="404">
        <f t="shared" si="111"/>
        <v>18.920951519802372</v>
      </c>
      <c r="X330" s="157">
        <f t="shared" si="112"/>
        <v>45973</v>
      </c>
      <c r="Y330" s="387">
        <f t="shared" si="113"/>
        <v>15.217696817149465</v>
      </c>
      <c r="Z330" s="387">
        <f t="shared" si="114"/>
        <v>16.189482794682739</v>
      </c>
      <c r="AA330" s="388">
        <f t="shared" si="115"/>
        <v>18.530481628298364</v>
      </c>
      <c r="AB330" s="199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0.12633232533150282</v>
      </c>
      <c r="AD330" s="233">
        <f>(INDEX(Models!$BJ330:$BT330,,AH330)*(1-AF330)+INDEX(Models!$BJ330:$BT330,,AH330+1)*AF330-ERP_i)*AE330*Ramure*Pc/MaxiM</f>
        <v>0.17310357492688538</v>
      </c>
      <c r="AE330" s="307">
        <f t="shared" si="117"/>
        <v>1</v>
      </c>
      <c r="AF330" s="179">
        <f t="shared" si="118"/>
        <v>0.79880838201127347</v>
      </c>
      <c r="AG330" s="837">
        <f t="shared" si="124"/>
        <v>2</v>
      </c>
      <c r="AH330" s="178">
        <f t="shared" si="119"/>
        <v>8</v>
      </c>
      <c r="AI330" s="227">
        <f t="shared" si="120"/>
        <v>2.7988083820112735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45974</v>
      </c>
      <c r="B331" s="1139">
        <f>IF(t&gt;Tmaj,'2024'!Wh/'2024'!Env_an*'2025'!Env_an,0.001*'[13]mon-tableau (3)'!$B$214)</f>
        <v>16.795159863094284</v>
      </c>
      <c r="C331" s="866"/>
      <c r="D331" s="395">
        <f t="shared" si="102"/>
        <v>17.868096774262938</v>
      </c>
      <c r="E331" s="387">
        <f t="shared" si="125"/>
        <v>19.288594559748883</v>
      </c>
      <c r="F331" s="387">
        <f t="shared" si="103"/>
        <v>19.395170321520975</v>
      </c>
      <c r="G331" s="110">
        <f t="shared" si="126"/>
        <v>0.8210146932063711</v>
      </c>
      <c r="H331" s="414" t="b">
        <f>Wh_hp&gt;='2024'!Maxi_hp</f>
        <v>0</v>
      </c>
      <c r="I331" s="392">
        <f>IF(H331,Wh_hp,'2024'!Maxi_hp)</f>
        <v>23.471862617221571</v>
      </c>
      <c r="J331" s="85">
        <f>IF(H331,An,'2024'!An_max)</f>
        <v>2020</v>
      </c>
      <c r="K331" s="199">
        <f t="shared" si="104"/>
        <v>45974</v>
      </c>
      <c r="L331" s="147">
        <f>IF(t&lt;Tvie,1-EXP((T0-t)*PertePVj)+'2024'!Pspv,1-EXP((T0-t)*PertePVj)+Pspv)</f>
        <v>6.0047632645134463E-2</v>
      </c>
      <c r="M331" s="870"/>
      <c r="N331" s="870"/>
      <c r="O331" s="48">
        <f>IF(t&lt;Tnet,'2024'!Resal+('2024'!Salim-'2024'!Resal)*(1-EXP(('2024'!Tnet-t)/('2024'!Tau_j))),Resal+(Salim-Resal)*(1-EXP((Tnet-t)/(Tau_j))))*Salcycl</f>
        <v>7.3644442112450095E-2</v>
      </c>
      <c r="P331" s="171">
        <f>(INDEX(Models!$BJ331:$BT331,,T331)*(1-R331)+INDEX(Models!$BJ331:$BT331,,T331+1)*R331-ERP_i)*Q331*Ramure*Pc/MaxiM</f>
        <v>7.3608573996827827E-3</v>
      </c>
      <c r="Q331" s="307">
        <f t="shared" si="105"/>
        <v>1</v>
      </c>
      <c r="R331" s="179">
        <f t="shared" si="106"/>
        <v>0.86387397260315435</v>
      </c>
      <c r="S331" s="837">
        <f t="shared" si="107"/>
        <v>-3</v>
      </c>
      <c r="T331" s="178">
        <f t="shared" si="108"/>
        <v>3</v>
      </c>
      <c r="U331" s="253">
        <f t="shared" si="109"/>
        <v>-2.1361260273968457</v>
      </c>
      <c r="V331" s="385">
        <f t="shared" si="110"/>
        <v>20.418207945055141</v>
      </c>
      <c r="W331" s="404">
        <f t="shared" si="111"/>
        <v>16.795159863094284</v>
      </c>
      <c r="X331" s="157">
        <f t="shared" si="112"/>
        <v>45974</v>
      </c>
      <c r="Y331" s="387">
        <f t="shared" si="113"/>
        <v>13.828104447101332</v>
      </c>
      <c r="Z331" s="387">
        <f t="shared" si="114"/>
        <v>14.711494887783743</v>
      </c>
      <c r="AA331" s="388">
        <f t="shared" si="115"/>
        <v>16.837583577262141</v>
      </c>
      <c r="AB331" s="199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0.12627041640045764</v>
      </c>
      <c r="AD331" s="233">
        <f>(INDEX(Models!$BJ331:$BT331,,AH331)*(1-AF331)+INDEX(Models!$BJ331:$BT331,,AH331+1)*AF331-ERP_i)*AE331*Ramure*Pc/MaxiM</f>
        <v>0.17664458596192553</v>
      </c>
      <c r="AE331" s="307">
        <f t="shared" si="117"/>
        <v>1</v>
      </c>
      <c r="AF331" s="179">
        <f t="shared" si="118"/>
        <v>0.79885656552672479</v>
      </c>
      <c r="AG331" s="837">
        <f t="shared" si="124"/>
        <v>2</v>
      </c>
      <c r="AH331" s="178">
        <f t="shared" si="119"/>
        <v>8</v>
      </c>
      <c r="AI331" s="227">
        <f t="shared" si="120"/>
        <v>2.7988565655267248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45975</v>
      </c>
      <c r="B332" s="1139">
        <f>IF(t&gt;Tmaj,'2024'!Wh/'2024'!Env_an*'2025'!Env_an,0.001*'[13]mon-tableau (3)'!$B$215)</f>
        <v>9.698997931737118</v>
      </c>
      <c r="C332" s="866"/>
      <c r="D332" s="395">
        <f t="shared" si="102"/>
        <v>10.318845915709291</v>
      </c>
      <c r="E332" s="387">
        <f t="shared" si="125"/>
        <v>11.140473282598183</v>
      </c>
      <c r="F332" s="387">
        <f t="shared" si="103"/>
        <v>11.162828014220176</v>
      </c>
      <c r="G332" s="110">
        <f t="shared" si="126"/>
        <v>0.47767669228092696</v>
      </c>
      <c r="H332" s="414" t="b">
        <f>Wh_hp&gt;='2024'!Maxi_hp</f>
        <v>0</v>
      </c>
      <c r="I332" s="392">
        <f>IF(H332,Wh_hp,'2024'!Maxi_hp)</f>
        <v>17.097007227824616</v>
      </c>
      <c r="J332" s="85">
        <f>IF(H332,An,'2024'!An_max)</f>
        <v>2020</v>
      </c>
      <c r="K332" s="199">
        <f t="shared" si="104"/>
        <v>45975</v>
      </c>
      <c r="L332" s="147">
        <f>IF(t&lt;Tvie,1-EXP((T0-t)*PertePVj)+'2024'!Pspv,1-EXP((T0-t)*PertePVj)+Pspv)</f>
        <v>6.0069506709904852E-2</v>
      </c>
      <c r="M332" s="870"/>
      <c r="N332" s="870"/>
      <c r="O332" s="48">
        <f>IF(t&lt;Tnet,'2024'!Resal+('2024'!Salim-'2024'!Resal)*(1-EXP(('2024'!Tnet-t)/('2024'!Tau_j))),Resal+(Salim-Resal)*(1-EXP((Tnet-t)/(Tau_j))))*Salcycl</f>
        <v>7.3751567464580073E-2</v>
      </c>
      <c r="P332" s="171">
        <f>(INDEX(Models!$BJ332:$BT332,,T332)*(1-R332)+INDEX(Models!$BJ332:$BT332,,T332+1)*R332-ERP_i)*Q332*Ramure*Pc/MaxiM</f>
        <v>7.7683811619934078E-3</v>
      </c>
      <c r="Q332" s="307">
        <f t="shared" si="105"/>
        <v>1</v>
      </c>
      <c r="R332" s="179">
        <f t="shared" si="106"/>
        <v>0.86392022234874055</v>
      </c>
      <c r="S332" s="837">
        <f t="shared" si="107"/>
        <v>-3</v>
      </c>
      <c r="T332" s="178">
        <f t="shared" si="108"/>
        <v>3</v>
      </c>
      <c r="U332" s="253">
        <f t="shared" si="109"/>
        <v>-2.1360797776512594</v>
      </c>
      <c r="V332" s="385">
        <f t="shared" si="110"/>
        <v>20.18721787874285</v>
      </c>
      <c r="W332" s="404">
        <f t="shared" si="111"/>
        <v>9.698997931737118</v>
      </c>
      <c r="X332" s="157">
        <f t="shared" si="112"/>
        <v>45975</v>
      </c>
      <c r="Y332" s="387">
        <f t="shared" si="113"/>
        <v>8.7423069564258693</v>
      </c>
      <c r="Z332" s="387">
        <f t="shared" si="114"/>
        <v>9.3010142971579182</v>
      </c>
      <c r="AA332" s="388">
        <f t="shared" si="115"/>
        <v>10.644461629710708</v>
      </c>
      <c r="AB332" s="199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0.12621092351002272</v>
      </c>
      <c r="AD332" s="233">
        <f>(INDEX(Models!$BJ332:$BT332,,AH332)*(1-AF332)+INDEX(Models!$BJ332:$BT332,,AH332+1)*AF332-ERP_i)*AE332*Ramure*Pc/MaxiM</f>
        <v>0.18013491392006964</v>
      </c>
      <c r="AE332" s="307">
        <f t="shared" si="117"/>
        <v>1</v>
      </c>
      <c r="AF332" s="179">
        <f t="shared" si="118"/>
        <v>0.798902815272311</v>
      </c>
      <c r="AG332" s="837">
        <f t="shared" si="124"/>
        <v>2</v>
      </c>
      <c r="AH332" s="178">
        <f t="shared" si="119"/>
        <v>8</v>
      </c>
      <c r="AI332" s="227">
        <f t="shared" si="120"/>
        <v>2.798902815272311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45976</v>
      </c>
      <c r="B333" s="1139">
        <f>IF(t&gt;Tmaj,'2024'!Wh/'2024'!Env_an*'2025'!Env_an,0.001*'[13]mon-tableau (3)'!$B$216)</f>
        <v>11.823715050324532</v>
      </c>
      <c r="C333" s="866"/>
      <c r="D333" s="395">
        <f t="shared" si="102"/>
        <v>12.579643171765049</v>
      </c>
      <c r="E333" s="387">
        <f t="shared" si="125"/>
        <v>13.582868472764655</v>
      </c>
      <c r="F333" s="387">
        <f t="shared" si="103"/>
        <v>13.629241924718851</v>
      </c>
      <c r="G333" s="110">
        <f t="shared" si="126"/>
        <v>0.58945351793378031</v>
      </c>
      <c r="H333" s="414" t="b">
        <f>Wh_hp&gt;='2024'!Maxi_hp</f>
        <v>0</v>
      </c>
      <c r="I333" s="392">
        <f>IF(H333,Wh_hp,'2024'!Maxi_hp)</f>
        <v>21.895850327793376</v>
      </c>
      <c r="J333" s="85">
        <f>IF(H333,An,'2024'!An_max)</f>
        <v>2020</v>
      </c>
      <c r="K333" s="199">
        <f t="shared" si="104"/>
        <v>45976</v>
      </c>
      <c r="L333" s="147">
        <f>IF(t&lt;Tvie,1-EXP((T0-t)*PertePVj)+'2024'!Pspv,1-EXP((T0-t)*PertePVj)+Pspv)</f>
        <v>6.0091380265633765E-2</v>
      </c>
      <c r="M333" s="870"/>
      <c r="N333" s="870"/>
      <c r="O333" s="48">
        <f>IF(t&lt;Tnet,'2024'!Resal+('2024'!Salim-'2024'!Resal)*(1-EXP(('2024'!Tnet-t)/('2024'!Tau_j))),Resal+(Salim-Resal)*(1-EXP((Tnet-t)/(Tau_j))))*Salcycl</f>
        <v>7.385960506141967E-2</v>
      </c>
      <c r="P333" s="171">
        <f>(INDEX(Models!$BJ333:$BT333,,T333)*(1-R333)+INDEX(Models!$BJ333:$BT333,,T333+1)*R333-ERP_i)*Q333*Ramure*Pc/MaxiM</f>
        <v>8.1490137809646056E-3</v>
      </c>
      <c r="Q333" s="307">
        <f t="shared" si="105"/>
        <v>1</v>
      </c>
      <c r="R333" s="179">
        <f t="shared" si="106"/>
        <v>0.86396461569255356</v>
      </c>
      <c r="S333" s="837">
        <f t="shared" si="107"/>
        <v>-3</v>
      </c>
      <c r="T333" s="178">
        <f t="shared" si="108"/>
        <v>3</v>
      </c>
      <c r="U333" s="253">
        <f t="shared" si="109"/>
        <v>-2.1360353843074464</v>
      </c>
      <c r="V333" s="385">
        <f t="shared" si="110"/>
        <v>19.963239887345441</v>
      </c>
      <c r="W333" s="404">
        <f t="shared" si="111"/>
        <v>11.823715050324532</v>
      </c>
      <c r="X333" s="157">
        <f t="shared" si="112"/>
        <v>45976</v>
      </c>
      <c r="Y333" s="387">
        <f t="shared" si="113"/>
        <v>10.335921653319417</v>
      </c>
      <c r="Z333" s="387">
        <f t="shared" si="114"/>
        <v>10.996730359000772</v>
      </c>
      <c r="AA333" s="388">
        <f t="shared" si="115"/>
        <v>12.584289578080389</v>
      </c>
      <c r="AB333" s="199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0.12615405972895474</v>
      </c>
      <c r="AD333" s="233">
        <f>(INDEX(Models!$BJ333:$BT333,,AH333)*(1-AF333)+INDEX(Models!$BJ333:$BT333,,AH333+1)*AF333-ERP_i)*AE333*Ramure*Pc/MaxiM</f>
        <v>0.18362512848124635</v>
      </c>
      <c r="AE333" s="307">
        <f t="shared" si="117"/>
        <v>1</v>
      </c>
      <c r="AF333" s="179">
        <f t="shared" si="118"/>
        <v>0.798947208616124</v>
      </c>
      <c r="AG333" s="837">
        <f t="shared" si="124"/>
        <v>2</v>
      </c>
      <c r="AH333" s="178">
        <f t="shared" si="119"/>
        <v>8</v>
      </c>
      <c r="AI333" s="227">
        <f t="shared" si="120"/>
        <v>2.798947208616124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45977</v>
      </c>
      <c r="B334" s="1139">
        <f>IF(t&gt;Tmaj,'2024'!Wh/'2024'!Env_an*'2025'!Env_an,0.001*'[13]mon-tableau (3)'!$B$217)</f>
        <v>18.537787747249613</v>
      </c>
      <c r="C334" s="866"/>
      <c r="D334" s="395">
        <f t="shared" si="102"/>
        <v>19.723427117767297</v>
      </c>
      <c r="E334" s="387">
        <f t="shared" si="125"/>
        <v>21.298877053593007</v>
      </c>
      <c r="F334" s="387">
        <f t="shared" si="103"/>
        <v>21.46541573827</v>
      </c>
      <c r="G334" s="110">
        <f t="shared" si="126"/>
        <v>0.93811038603692098</v>
      </c>
      <c r="H334" s="414" t="b">
        <f>Wh_hp&gt;='2024'!Maxi_hp</f>
        <v>1</v>
      </c>
      <c r="I334" s="392">
        <f>IF(H334,Wh_hp,'2024'!Maxi_hp)</f>
        <v>21.46541573827</v>
      </c>
      <c r="J334" s="85">
        <f>IF(H334,An,'2024'!An_max)</f>
        <v>2025</v>
      </c>
      <c r="K334" s="199">
        <f t="shared" si="104"/>
        <v>45977</v>
      </c>
      <c r="L334" s="147">
        <f>IF(t&lt;Tvie,1-EXP((T0-t)*PertePVj)+'2024'!Pspv,1-EXP((T0-t)*PertePVj)+Pspv)</f>
        <v>6.0113253312333081E-2</v>
      </c>
      <c r="M334" s="870"/>
      <c r="N334" s="870"/>
      <c r="O334" s="48">
        <f>IF(t&lt;Tnet,'2024'!Resal+('2024'!Salim-'2024'!Resal)*(1-EXP(('2024'!Tnet-t)/('2024'!Tau_j))),Resal+(Salim-Resal)*(1-EXP((Tnet-t)/(Tau_j))))*Salcycl</f>
        <v>7.3968685384750904E-2</v>
      </c>
      <c r="P334" s="171">
        <f>(INDEX(Models!$BJ334:$BT334,,T334)*(1-R334)+INDEX(Models!$BJ334:$BT334,,T334+1)*R334-ERP_i)*Q334*Ramure*Pc/MaxiM</f>
        <v>8.5015827738709835E-3</v>
      </c>
      <c r="Q334" s="307">
        <f t="shared" si="105"/>
        <v>1</v>
      </c>
      <c r="R334" s="179">
        <f t="shared" si="106"/>
        <v>0.8640072269262391</v>
      </c>
      <c r="S334" s="837">
        <f t="shared" si="107"/>
        <v>-3</v>
      </c>
      <c r="T334" s="178">
        <f t="shared" si="108"/>
        <v>3</v>
      </c>
      <c r="U334" s="253">
        <f t="shared" si="109"/>
        <v>-2.1359927730737609</v>
      </c>
      <c r="V334" s="385">
        <f t="shared" si="110"/>
        <v>19.745975053552055</v>
      </c>
      <c r="W334" s="404">
        <f t="shared" si="111"/>
        <v>18.537787747249613</v>
      </c>
      <c r="X334" s="157">
        <f t="shared" si="112"/>
        <v>45977</v>
      </c>
      <c r="Y334" s="387">
        <f t="shared" si="113"/>
        <v>14.620336724458488</v>
      </c>
      <c r="Z334" s="387">
        <f t="shared" si="114"/>
        <v>15.555423859292871</v>
      </c>
      <c r="AA334" s="388">
        <f t="shared" si="115"/>
        <v>17.800004973497206</v>
      </c>
      <c r="AB334" s="199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0.12610002736214609</v>
      </c>
      <c r="AD334" s="233">
        <f>(INDEX(Models!$BJ334:$BT334,,AH334)*(1-AF334)+INDEX(Models!$BJ334:$BT334,,AH334+1)*AF334-ERP_i)*AE334*Ramure*Pc/MaxiM</f>
        <v>0.18711444177304953</v>
      </c>
      <c r="AE334" s="307">
        <f t="shared" si="117"/>
        <v>1</v>
      </c>
      <c r="AF334" s="179">
        <f t="shared" si="118"/>
        <v>0.79898981984980955</v>
      </c>
      <c r="AG334" s="837">
        <f t="shared" si="124"/>
        <v>2</v>
      </c>
      <c r="AH334" s="178">
        <f t="shared" si="119"/>
        <v>8</v>
      </c>
      <c r="AI334" s="227">
        <f t="shared" si="120"/>
        <v>2.7989898198498095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45978</v>
      </c>
      <c r="B335" s="1139">
        <f>IF(t&gt;Tmaj,'2024'!Wh/'2024'!Env_an*'2025'!Env_an,0.001*'[13]mon-tableau (3)'!$B$218)</f>
        <v>12.176871270180646</v>
      </c>
      <c r="C335" s="866"/>
      <c r="D335" s="395">
        <f t="shared" ref="D335:D379" si="127">Wh/(1-Ppv)</f>
        <v>12.955980806489253</v>
      </c>
      <c r="E335" s="387">
        <f t="shared" si="125"/>
        <v>13.992532697092143</v>
      </c>
      <c r="F335" s="387">
        <f t="shared" ref="F335:F379" si="128">Wh_sa/(1-Pvg*MEDIAN((-Sdif+Wh/Env_an)/Csdif,0,1))</f>
        <v>14.049803449843891</v>
      </c>
      <c r="G335" s="110">
        <f t="shared" si="126"/>
        <v>0.62036003089984393</v>
      </c>
      <c r="H335" s="414" t="b">
        <f>Wh_hp&gt;='2024'!Maxi_hp</f>
        <v>0</v>
      </c>
      <c r="I335" s="392">
        <f>IF(H335,Wh_hp,'2024'!Maxi_hp)</f>
        <v>21.938135822618069</v>
      </c>
      <c r="J335" s="85">
        <f>IF(H335,An,'2024'!An_max)</f>
        <v>2018</v>
      </c>
      <c r="K335" s="199">
        <f t="shared" ref="K335:K379" si="129">t</f>
        <v>45978</v>
      </c>
      <c r="L335" s="147">
        <f>IF(t&lt;Tvie,1-EXP((T0-t)*PertePVj)+'2024'!Pspv,1-EXP((T0-t)*PertePVj)+Pspv)</f>
        <v>6.0135125850014681E-2</v>
      </c>
      <c r="M335" s="870"/>
      <c r="N335" s="870"/>
      <c r="O335" s="48">
        <f>IF(t&lt;Tnet,'2024'!Resal+('2024'!Salim-'2024'!Resal)*(1-EXP(('2024'!Tnet-t)/('2024'!Tau_j))),Resal+(Salim-Resal)*(1-EXP((Tnet-t)/(Tau_j))))*Salcycl</f>
        <v>7.4078932888132623E-2</v>
      </c>
      <c r="P335" s="171">
        <f>(INDEX(Models!$BJ335:$BT335,,T335)*(1-R335)+INDEX(Models!$BJ335:$BT335,,T335+1)*R335-ERP_i)*Q335*Ramure*Pc/MaxiM</f>
        <v>8.8249407194972672E-3</v>
      </c>
      <c r="Q335" s="307">
        <f t="shared" ref="Q335:Q379" si="130">IF(OR(t&lt;Ttai,Notai),Dd+PousD*Croivg,Dens+PousD*(Croivg-Croi_tai))</f>
        <v>1</v>
      </c>
      <c r="R335" s="179">
        <f t="shared" ref="R335:R379" si="131">(Hp_vg-S335)/(INDEX(Echel_vg,T335+1)-S335)</f>
        <v>0.86404812738583114</v>
      </c>
      <c r="S335" s="837">
        <f t="shared" ref="S335:S379" si="132">INDEX(Echel_vg,T335)</f>
        <v>-3</v>
      </c>
      <c r="T335" s="178">
        <f t="shared" ref="T335:T379" si="133">MIN(MATCH(Hp_vg,Echel_vg),10)</f>
        <v>3</v>
      </c>
      <c r="U335" s="253">
        <f t="shared" ref="U335:U379" si="134">IF(OR(t&lt;Ttai,Notai),Hdd+PousH*Croivg,Hdtf+PousH*(Croivg-Croi_tai))</f>
        <v>-2.1359518726141689</v>
      </c>
      <c r="V335" s="385">
        <f t="shared" ref="V335:V379" si="135">MaxiM*(1-Ppv)*(1-Pvg)*(1-Psa)</f>
        <v>19.535124781510355</v>
      </c>
      <c r="W335" s="404">
        <f t="shared" ref="W335:W379" si="136">Wh*(A335&gt;Tmaj)</f>
        <v>12.176871270180646</v>
      </c>
      <c r="X335" s="157">
        <f t="shared" ref="X335:X379" si="137">t</f>
        <v>45978</v>
      </c>
      <c r="Y335" s="387">
        <f t="shared" ref="Y335:Y379" si="138">Wh_pvt_s*(1-Ppv)</f>
        <v>10.524431544562264</v>
      </c>
      <c r="Z335" s="387">
        <f t="shared" ref="Z335:Z379" si="139">Wh_sa_s*(1-Psa_s)</f>
        <v>11.197813466622604</v>
      </c>
      <c r="AA335" s="388">
        <f t="shared" ref="AA335:AA379" si="140">Wh_hp*(1-Pvg_s*MEDIAN((-Sdif+Wh/Env_an)/Csdif,0,1))</f>
        <v>12.812862145854032</v>
      </c>
      <c r="AB335" s="199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0.12604901706165803</v>
      </c>
      <c r="AD335" s="233">
        <f>(INDEX(Models!$BJ335:$BT335,,AH335)*(1-AF335)+INDEX(Models!$BJ335:$BT335,,AH335+1)*AF335-ERP_i)*AE335*Ramure*Pc/MaxiM</f>
        <v>0.19060223860729586</v>
      </c>
      <c r="AE335" s="307">
        <f t="shared" ref="AE335:AE379" si="142">IF(OR(t&lt;Ttai,Notai),Dd_s+PousD*Croivg,Dens_s+PousD*(Croivg-Croi_tai))</f>
        <v>1</v>
      </c>
      <c r="AF335" s="179">
        <f t="shared" ref="AF335:AF379" si="143">(Hp_vg_s-AG335)/(INDEX(Echel_vg,AH335+1)-AG335)</f>
        <v>0.79903072030940159</v>
      </c>
      <c r="AG335" s="837">
        <f t="shared" si="124"/>
        <v>2</v>
      </c>
      <c r="AH335" s="178">
        <f t="shared" ref="AH335:AH379" si="144">MIN(MATCH(Hp_vg_s,Echel_vg),10)</f>
        <v>8</v>
      </c>
      <c r="AI335" s="227">
        <f t="shared" ref="AI335:AI379" si="145">IF(OR(t&lt;Ttai,Notai),Hdd_s+PousH*Croivg,Hdtai_s+PousH*(Croivg-Croi_tai))</f>
        <v>2.7990307203094016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45979</v>
      </c>
      <c r="B336" s="1139">
        <f>IF(t&gt;Tmaj,'2024'!Wh/'2024'!Env_an*'2025'!Env_an,0.001*'[13]mon-tableau (3)'!$B$219)</f>
        <v>11.524880827487657</v>
      </c>
      <c r="C336" s="866"/>
      <c r="D336" s="395">
        <f t="shared" si="127"/>
        <v>12.262559599289425</v>
      </c>
      <c r="E336" s="387">
        <f t="shared" si="125"/>
        <v>13.245229328041869</v>
      </c>
      <c r="F336" s="387">
        <f t="shared" si="128"/>
        <v>13.296530945119756</v>
      </c>
      <c r="G336" s="110">
        <f t="shared" si="126"/>
        <v>0.59305726424825145</v>
      </c>
      <c r="H336" s="414" t="b">
        <f>Wh_hp&gt;='2024'!Maxi_hp</f>
        <v>0</v>
      </c>
      <c r="I336" s="392">
        <f>IF(H336,Wh_hp,'2024'!Maxi_hp)</f>
        <v>20.856889266520181</v>
      </c>
      <c r="J336" s="85">
        <f>IF(H336,An,'2024'!An_max)</f>
        <v>2020</v>
      </c>
      <c r="K336" s="199">
        <f t="shared" si="129"/>
        <v>45979</v>
      </c>
      <c r="L336" s="147">
        <f>IF(t&lt;Tvie,1-EXP((T0-t)*PertePVj)+'2024'!Pspv,1-EXP((T0-t)*PertePVj)+Pspv)</f>
        <v>6.0156997878690333E-2</v>
      </c>
      <c r="M336" s="870"/>
      <c r="N336" s="870"/>
      <c r="O336" s="48">
        <f>IF(t&lt;Tnet,'2024'!Resal+('2024'!Salim-'2024'!Resal)*(1-EXP(('2024'!Tnet-t)/('2024'!Tau_j))),Resal+(Salim-Resal)*(1-EXP((Tnet-t)/(Tau_j))))*Salcycl</f>
        <v>7.4190465443433634E-2</v>
      </c>
      <c r="P336" s="171">
        <f>(INDEX(Models!$BJ336:$BT336,,T336)*(1-R336)+INDEX(Models!$BJ336:$BT336,,T336+1)*R336-ERP_i)*Q336*Ramure*Pc/MaxiM</f>
        <v>9.1179659870479282E-3</v>
      </c>
      <c r="Q336" s="307">
        <f t="shared" si="130"/>
        <v>1</v>
      </c>
      <c r="R336" s="179">
        <f t="shared" si="131"/>
        <v>0.86408738556795983</v>
      </c>
      <c r="S336" s="837">
        <f t="shared" si="132"/>
        <v>-3</v>
      </c>
      <c r="T336" s="178">
        <f t="shared" si="133"/>
        <v>3</v>
      </c>
      <c r="U336" s="253">
        <f t="shared" si="134"/>
        <v>-2.1359126144320402</v>
      </c>
      <c r="V336" s="385">
        <f t="shared" si="135"/>
        <v>19.330390797489837</v>
      </c>
      <c r="W336" s="404">
        <f t="shared" si="136"/>
        <v>11.524880827487657</v>
      </c>
      <c r="X336" s="157">
        <f t="shared" si="137"/>
        <v>45979</v>
      </c>
      <c r="Y336" s="387">
        <f t="shared" si="138"/>
        <v>10.025046671033317</v>
      </c>
      <c r="Z336" s="387">
        <f t="shared" si="139"/>
        <v>10.66672481298035</v>
      </c>
      <c r="AA336" s="388">
        <f t="shared" si="140"/>
        <v>12.204507487329238</v>
      </c>
      <c r="AB336" s="199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0.12600120700859249</v>
      </c>
      <c r="AD336" s="233">
        <f>(INDEX(Models!$BJ336:$BT336,,AH336)*(1-AF336)+INDEX(Models!$BJ336:$BT336,,AH336+1)*AF336-ERP_i)*AE336*Ramure*Pc/MaxiM</f>
        <v>0.19408808751731332</v>
      </c>
      <c r="AE336" s="307">
        <f t="shared" si="142"/>
        <v>1</v>
      </c>
      <c r="AF336" s="179">
        <f t="shared" si="143"/>
        <v>0.79906997849153028</v>
      </c>
      <c r="AG336" s="837">
        <f t="shared" ref="AG336:AG379" si="149">INDEX(Echel_vg,AH336)</f>
        <v>2</v>
      </c>
      <c r="AH336" s="178">
        <f t="shared" si="144"/>
        <v>8</v>
      </c>
      <c r="AI336" s="227">
        <f t="shared" si="145"/>
        <v>2.7990699784915303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45980</v>
      </c>
      <c r="B337" s="1139">
        <f>IF(t&gt;Tmaj,'2024'!Wh/'2024'!Env_an*'2025'!Env_an,0.001*'[13]mon-tableau (3)'!$B$220)</f>
        <v>8.4816322483383999</v>
      </c>
      <c r="C337" s="866"/>
      <c r="D337" s="395">
        <f t="shared" si="127"/>
        <v>9.0247303153408236</v>
      </c>
      <c r="E337" s="387">
        <f t="shared" si="125"/>
        <v>9.7491232604375284</v>
      </c>
      <c r="F337" s="387">
        <f t="shared" si="128"/>
        <v>9.7678833137839156</v>
      </c>
      <c r="G337" s="110">
        <f t="shared" si="126"/>
        <v>0.44002075862443069</v>
      </c>
      <c r="H337" s="414" t="b">
        <f>Wh_hp&gt;='2024'!Maxi_hp</f>
        <v>0</v>
      </c>
      <c r="I337" s="392">
        <f>IF(H337,Wh_hp,'2024'!Maxi_hp)</f>
        <v>22.157788716528341</v>
      </c>
      <c r="J337" s="85">
        <f>IF(H337,An,'2024'!An_max)</f>
        <v>2021</v>
      </c>
      <c r="K337" s="199">
        <f t="shared" si="129"/>
        <v>45980</v>
      </c>
      <c r="L337" s="147">
        <f>IF(t&lt;Tvie,1-EXP((T0-t)*PertePVj)+'2024'!Pspv,1-EXP((T0-t)*PertePVj)+Pspv)</f>
        <v>6.0178869398372026E-2</v>
      </c>
      <c r="M337" s="870"/>
      <c r="N337" s="870"/>
      <c r="O337" s="48">
        <f>IF(t&lt;Tnet,'2024'!Resal+('2024'!Salim-'2024'!Resal)*(1-EXP(('2024'!Tnet-t)/('2024'!Tau_j))),Resal+(Salim-Resal)*(1-EXP((Tnet-t)/(Tau_j))))*Salcycl</f>
        <v>7.4303393827866576E-2</v>
      </c>
      <c r="P337" s="171">
        <f>(INDEX(Models!$BJ337:$BT337,,T337)*(1-R337)+INDEX(Models!$BJ337:$BT337,,T337+1)*R337-ERP_i)*Q337*Ramure*Pc/MaxiM</f>
        <v>9.3795630585745589E-3</v>
      </c>
      <c r="Q337" s="307">
        <f t="shared" si="130"/>
        <v>1</v>
      </c>
      <c r="R337" s="179">
        <f t="shared" si="131"/>
        <v>0.86412506724159854</v>
      </c>
      <c r="S337" s="837">
        <f t="shared" si="132"/>
        <v>-3</v>
      </c>
      <c r="T337" s="178">
        <f t="shared" si="133"/>
        <v>3</v>
      </c>
      <c r="U337" s="253">
        <f t="shared" si="134"/>
        <v>-2.1358749327584015</v>
      </c>
      <c r="V337" s="385">
        <f t="shared" si="135"/>
        <v>19.131475138267625</v>
      </c>
      <c r="W337" s="404">
        <f t="shared" si="136"/>
        <v>8.4816322483383999</v>
      </c>
      <c r="X337" s="157">
        <f t="shared" si="137"/>
        <v>45980</v>
      </c>
      <c r="Y337" s="387">
        <f t="shared" si="138"/>
        <v>7.6991676861167413</v>
      </c>
      <c r="Z337" s="387">
        <f t="shared" si="139"/>
        <v>8.1921627801538222</v>
      </c>
      <c r="AA337" s="388">
        <f t="shared" si="140"/>
        <v>9.3727202792704389</v>
      </c>
      <c r="AB337" s="199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0.12595676217155921</v>
      </c>
      <c r="AD337" s="233">
        <f>(INDEX(Models!$BJ337:$BT337,,AH337)*(1-AF337)+INDEX(Models!$BJ337:$BT337,,AH337+1)*AF337-ERP_i)*AE337*Ramure*Pc/MaxiM</f>
        <v>0.19757175164700147</v>
      </c>
      <c r="AE337" s="307">
        <f t="shared" si="142"/>
        <v>1</v>
      </c>
      <c r="AF337" s="179">
        <f t="shared" si="143"/>
        <v>0.79910766016516899</v>
      </c>
      <c r="AG337" s="837">
        <f t="shared" si="149"/>
        <v>2</v>
      </c>
      <c r="AH337" s="178">
        <f t="shared" si="144"/>
        <v>8</v>
      </c>
      <c r="AI337" s="227">
        <f t="shared" si="145"/>
        <v>2.799107660165169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45981</v>
      </c>
      <c r="B338" s="1139">
        <f>IF(t&gt;Tmaj,'2024'!Wh/'2024'!Env_an*'2025'!Env_an,0.001*'[13]mon-tableau (3)'!$B$221)</f>
        <v>13.876956062486682</v>
      </c>
      <c r="C338" s="866"/>
      <c r="D338" s="395">
        <f t="shared" si="127"/>
        <v>14.765872521039205</v>
      </c>
      <c r="E338" s="387">
        <f t="shared" si="125"/>
        <v>15.953064849480787</v>
      </c>
      <c r="F338" s="387">
        <f t="shared" si="128"/>
        <v>16.048336952771102</v>
      </c>
      <c r="G338" s="110">
        <f t="shared" si="126"/>
        <v>0.7300473012416161</v>
      </c>
      <c r="H338" s="414" t="b">
        <f>Wh_hp&gt;='2024'!Maxi_hp</f>
        <v>0</v>
      </c>
      <c r="I338" s="392">
        <f>IF(H338,Wh_hp,'2024'!Maxi_hp)</f>
        <v>22.532430665642437</v>
      </c>
      <c r="J338" s="85">
        <f>IF(H338,An,'2024'!An_max)</f>
        <v>2019</v>
      </c>
      <c r="K338" s="199">
        <f t="shared" si="129"/>
        <v>45981</v>
      </c>
      <c r="L338" s="147">
        <f>IF(t&lt;Tvie,1-EXP((T0-t)*PertePVj)+'2024'!Pspv,1-EXP((T0-t)*PertePVj)+Pspv)</f>
        <v>6.0200740409071418E-2</v>
      </c>
      <c r="M338" s="870"/>
      <c r="N338" s="870"/>
      <c r="O338" s="48">
        <f>IF(t&lt;Tnet,'2024'!Resal+('2024'!Salim-'2024'!Resal)*(1-EXP(('2024'!Tnet-t)/('2024'!Tau_j))),Resal+(Salim-Resal)*(1-EXP((Tnet-t)/(Tau_j))))*Salcycl</f>
        <v>7.4417821255219216E-2</v>
      </c>
      <c r="P338" s="171">
        <f>(INDEX(Models!$BJ338:$BT338,,T338)*(1-R338)+INDEX(Models!$BJ338:$BT338,,T338+1)*R338-ERP_i)*Q338*Ramure*Pc/MaxiM</f>
        <v>9.6027788270754613E-3</v>
      </c>
      <c r="Q338" s="307">
        <f t="shared" si="130"/>
        <v>1</v>
      </c>
      <c r="R338" s="179">
        <f t="shared" si="131"/>
        <v>0.86416123555551305</v>
      </c>
      <c r="S338" s="837">
        <f t="shared" si="132"/>
        <v>-3</v>
      </c>
      <c r="T338" s="178">
        <f t="shared" si="133"/>
        <v>3</v>
      </c>
      <c r="U338" s="253">
        <f t="shared" si="134"/>
        <v>-2.1358387644444869</v>
      </c>
      <c r="V338" s="385">
        <f t="shared" si="135"/>
        <v>18.938192652030104</v>
      </c>
      <c r="W338" s="404">
        <f t="shared" si="136"/>
        <v>13.876956062486682</v>
      </c>
      <c r="X338" s="157">
        <f t="shared" si="137"/>
        <v>45981</v>
      </c>
      <c r="Y338" s="387">
        <f t="shared" si="138"/>
        <v>11.544514403069538</v>
      </c>
      <c r="Z338" s="387">
        <f t="shared" si="139"/>
        <v>12.28402159850028</v>
      </c>
      <c r="AA338" s="388">
        <f t="shared" si="140"/>
        <v>14.053591257409739</v>
      </c>
      <c r="AB338" s="199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0.12591583364689471</v>
      </c>
      <c r="AD338" s="233">
        <f>(INDEX(Models!$BJ338:$BT338,,AH338)*(1-AF338)+INDEX(Models!$BJ338:$BT338,,AH338+1)*AF338-ERP_i)*AE338*Ramure*Pc/MaxiM</f>
        <v>0.20105677388528362</v>
      </c>
      <c r="AE338" s="307">
        <f t="shared" si="142"/>
        <v>1</v>
      </c>
      <c r="AF338" s="179">
        <f t="shared" si="143"/>
        <v>0.7991438284790835</v>
      </c>
      <c r="AG338" s="837">
        <f t="shared" si="149"/>
        <v>2</v>
      </c>
      <c r="AH338" s="178">
        <f t="shared" si="144"/>
        <v>8</v>
      </c>
      <c r="AI338" s="227">
        <f t="shared" si="145"/>
        <v>2.7991438284790835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45982</v>
      </c>
      <c r="B339" s="1139">
        <f>IF(t&gt;Tmaj,'2024'!Wh/'2024'!Env_an*'2025'!Env_an,0.001*'[13]mon-tableau (3)'!$B$222)</f>
        <v>3.314819087069854</v>
      </c>
      <c r="C339" s="866"/>
      <c r="D339" s="395">
        <f t="shared" si="127"/>
        <v>3.5272386051791096</v>
      </c>
      <c r="E339" s="387">
        <f t="shared" si="125"/>
        <v>3.8113102011640803</v>
      </c>
      <c r="F339" s="387">
        <f t="shared" si="128"/>
        <v>3.8113102011640803</v>
      </c>
      <c r="G339" s="110">
        <f t="shared" si="126"/>
        <v>0.17505791443896962</v>
      </c>
      <c r="H339" s="414" t="b">
        <f>Wh_hp&gt;='2024'!Maxi_hp</f>
        <v>0</v>
      </c>
      <c r="I339" s="392">
        <f>IF(H339,Wh_hp,'2024'!Maxi_hp)</f>
        <v>21.71388989490131</v>
      </c>
      <c r="J339" s="85">
        <f>IF(H339,An,'2024'!An_max)</f>
        <v>2019</v>
      </c>
      <c r="K339" s="199">
        <f t="shared" si="129"/>
        <v>45982</v>
      </c>
      <c r="L339" s="147">
        <f>IF(t&lt;Tvie,1-EXP((T0-t)*PertePVj)+'2024'!Pspv,1-EXP((T0-t)*PertePVj)+Pspv)</f>
        <v>6.0222610910800389E-2</v>
      </c>
      <c r="M339" s="870"/>
      <c r="N339" s="870"/>
      <c r="O339" s="48">
        <f>IF(t&lt;Tnet,'2024'!Resal+('2024'!Salim-'2024'!Resal)*(1-EXP(('2024'!Tnet-t)/('2024'!Tau_j))),Resal+(Salim-Resal)*(1-EXP((Tnet-t)/(Tau_j))))*Salcycl</f>
        <v>7.4533842954637303E-2</v>
      </c>
      <c r="P339" s="171">
        <f>(INDEX(Models!$BJ339:$BT339,,T339)*(1-R339)+INDEX(Models!$BJ339:$BT339,,T339+1)*R339-ERP_i)*Q339*Ramure*Pc/MaxiM</f>
        <v>9.800660812135072E-3</v>
      </c>
      <c r="Q339" s="307">
        <f t="shared" si="130"/>
        <v>1</v>
      </c>
      <c r="R339" s="179">
        <f t="shared" si="131"/>
        <v>0.86419595114157222</v>
      </c>
      <c r="S339" s="837">
        <f t="shared" si="132"/>
        <v>-3</v>
      </c>
      <c r="T339" s="178">
        <f t="shared" si="133"/>
        <v>3</v>
      </c>
      <c r="U339" s="253">
        <f t="shared" si="134"/>
        <v>-2.1358040488584278</v>
      </c>
      <c r="V339" s="385">
        <f t="shared" si="135"/>
        <v>18.749975858350634</v>
      </c>
      <c r="W339" s="404">
        <f t="shared" si="136"/>
        <v>3.314819087069854</v>
      </c>
      <c r="X339" s="157">
        <f t="shared" si="137"/>
        <v>45982</v>
      </c>
      <c r="Y339" s="387">
        <f t="shared" si="138"/>
        <v>3.1309134515810584</v>
      </c>
      <c r="Z339" s="387">
        <f t="shared" si="139"/>
        <v>3.3315479686263081</v>
      </c>
      <c r="AA339" s="388">
        <f t="shared" si="140"/>
        <v>3.8113102011640803</v>
      </c>
      <c r="AB339" s="199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0.12587855808515389</v>
      </c>
      <c r="AD339" s="233">
        <f>(INDEX(Models!$BJ339:$BT339,,AH339)*(1-AF339)+INDEX(Models!$BJ339:$BT339,,AH339+1)*AF339-ERP_i)*AE339*Ramure*Pc/MaxiM</f>
        <v>0.20456564513363582</v>
      </c>
      <c r="AE339" s="307">
        <f t="shared" si="142"/>
        <v>1</v>
      </c>
      <c r="AF339" s="179">
        <f t="shared" si="143"/>
        <v>0.79917854406514266</v>
      </c>
      <c r="AG339" s="837">
        <f t="shared" si="149"/>
        <v>2</v>
      </c>
      <c r="AH339" s="178">
        <f t="shared" si="144"/>
        <v>8</v>
      </c>
      <c r="AI339" s="227">
        <f t="shared" si="145"/>
        <v>2.7991785440651427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45983</v>
      </c>
      <c r="B340" s="1139">
        <f>IF(t&gt;Tmaj,'2024'!Wh/'2024'!Env_an*'2025'!Env_an,0.001*'[13]mon-tableau (3)'!$B$223)</f>
        <v>8.7882463037204133</v>
      </c>
      <c r="C340" s="866"/>
      <c r="D340" s="395">
        <f t="shared" si="127"/>
        <v>9.3516304242302031</v>
      </c>
      <c r="E340" s="387">
        <f t="shared" si="125"/>
        <v>10.106063701499822</v>
      </c>
      <c r="F340" s="387">
        <f t="shared" si="128"/>
        <v>10.131081741094119</v>
      </c>
      <c r="G340" s="110">
        <f t="shared" si="126"/>
        <v>0.46977792614989761</v>
      </c>
      <c r="H340" s="414" t="b">
        <f>Wh_hp&gt;='2024'!Maxi_hp</f>
        <v>0</v>
      </c>
      <c r="I340" s="392">
        <f>IF(H340,Wh_hp,'2024'!Maxi_hp)</f>
        <v>22.055020906483698</v>
      </c>
      <c r="J340" s="85">
        <f>IF(H340,An,'2024'!An_max)</f>
        <v>2020</v>
      </c>
      <c r="K340" s="199">
        <f t="shared" si="129"/>
        <v>45983</v>
      </c>
      <c r="L340" s="147">
        <f>IF(t&lt;Tvie,1-EXP((T0-t)*PertePVj)+'2024'!Pspv,1-EXP((T0-t)*PertePVj)+Pspv)</f>
        <v>6.0244480903570929E-2</v>
      </c>
      <c r="M340" s="870"/>
      <c r="N340" s="870"/>
      <c r="O340" s="48">
        <f>IF(t&lt;Tnet,'2024'!Resal+('2024'!Salim-'2024'!Resal)*(1-EXP(('2024'!Tnet-t)/('2024'!Tau_j))),Resal+(Salim-Resal)*(1-EXP((Tnet-t)/(Tau_j))))*Salcycl</f>
        <v>7.4651545799939351E-2</v>
      </c>
      <c r="P340" s="171">
        <f>(INDEX(Models!$BJ340:$BT340,,T340)*(1-R340)+INDEX(Models!$BJ340:$BT340,,T340+1)*R340-ERP_i)*Q340*Ramure*Pc/MaxiM</f>
        <v>9.9724364065261351E-3</v>
      </c>
      <c r="Q340" s="307">
        <f t="shared" si="130"/>
        <v>1</v>
      </c>
      <c r="R340" s="179">
        <f t="shared" si="131"/>
        <v>0.86422927221406809</v>
      </c>
      <c r="S340" s="837">
        <f t="shared" si="132"/>
        <v>-3</v>
      </c>
      <c r="T340" s="178">
        <f t="shared" si="133"/>
        <v>3</v>
      </c>
      <c r="U340" s="253">
        <f t="shared" si="134"/>
        <v>-2.1357707277859319</v>
      </c>
      <c r="V340" s="385">
        <f t="shared" si="135"/>
        <v>18.566527615413428</v>
      </c>
      <c r="W340" s="404">
        <f t="shared" si="136"/>
        <v>8.7882463037204133</v>
      </c>
      <c r="X340" s="157">
        <f t="shared" si="137"/>
        <v>45983</v>
      </c>
      <c r="Y340" s="387">
        <f t="shared" si="138"/>
        <v>7.8937311980394043</v>
      </c>
      <c r="Z340" s="387">
        <f t="shared" si="139"/>
        <v>8.3997710443128799</v>
      </c>
      <c r="AA340" s="388">
        <f t="shared" si="140"/>
        <v>9.6090185310646703</v>
      </c>
      <c r="AB340" s="199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0.12584505720771125</v>
      </c>
      <c r="AD340" s="233">
        <f>(INDEX(Models!$BJ340:$BT340,,AH340)*(1-AF340)+INDEX(Models!$BJ340:$BT340,,AH340+1)*AF340-ERP_i)*AE340*Ramure*Pc/MaxiM</f>
        <v>0.20809952524787118</v>
      </c>
      <c r="AE340" s="307">
        <f t="shared" si="142"/>
        <v>1</v>
      </c>
      <c r="AF340" s="179">
        <f t="shared" si="143"/>
        <v>0.79921186513763853</v>
      </c>
      <c r="AG340" s="837">
        <f t="shared" si="149"/>
        <v>2</v>
      </c>
      <c r="AH340" s="178">
        <f t="shared" si="144"/>
        <v>8</v>
      </c>
      <c r="AI340" s="227">
        <f t="shared" si="145"/>
        <v>2.7992118651376385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45984</v>
      </c>
      <c r="B341" s="1139">
        <f>IF(t&gt;Tmaj,'2024'!Wh/'2024'!Env_an*'2025'!Env_an,0.001*'[13]mon-tableau (3)'!$B$224)</f>
        <v>13.074903350004604</v>
      </c>
      <c r="C341" s="866"/>
      <c r="D341" s="395">
        <f t="shared" si="127"/>
        <v>13.913414035343513</v>
      </c>
      <c r="E341" s="387">
        <f t="shared" si="125"/>
        <v>15.037805943746196</v>
      </c>
      <c r="F341" s="387">
        <f t="shared" si="128"/>
        <v>15.127684948794158</v>
      </c>
      <c r="G341" s="110">
        <f t="shared" si="126"/>
        <v>0.70808647779286393</v>
      </c>
      <c r="H341" s="414" t="b">
        <f>Wh_hp&gt;='2024'!Maxi_hp</f>
        <v>0</v>
      </c>
      <c r="I341" s="392">
        <f>IF(H341,Wh_hp,'2024'!Maxi_hp)</f>
        <v>21.439200666327118</v>
      </c>
      <c r="J341" s="85">
        <f>IF(H341,An,'2024'!An_max)</f>
        <v>2020</v>
      </c>
      <c r="K341" s="199">
        <f t="shared" si="129"/>
        <v>45984</v>
      </c>
      <c r="L341" s="147">
        <f>IF(t&lt;Tvie,1-EXP((T0-t)*PertePVj)+'2024'!Pspv,1-EXP((T0-t)*PertePVj)+Pspv)</f>
        <v>6.0266350387394807E-2</v>
      </c>
      <c r="M341" s="870"/>
      <c r="N341" s="870"/>
      <c r="O341" s="48">
        <f>IF(t&lt;Tnet,'2024'!Resal+('2024'!Salim-'2024'!Resal)*(1-EXP(('2024'!Tnet-t)/('2024'!Tau_j))),Resal+(Salim-Resal)*(1-EXP((Tnet-t)/(Tau_j))))*Salcycl</f>
        <v>7.4771007992046001E-2</v>
      </c>
      <c r="P341" s="171">
        <f>(INDEX(Models!$BJ341:$BT341,,T341)*(1-R341)+INDEX(Models!$BJ341:$BT341,,T341+1)*R341-ERP_i)*Q341*Ramure*Pc/MaxiM</f>
        <v>1.011729042976028E-2</v>
      </c>
      <c r="Q341" s="307">
        <f t="shared" si="130"/>
        <v>1</v>
      </c>
      <c r="R341" s="179">
        <f t="shared" si="131"/>
        <v>0.86426125466519821</v>
      </c>
      <c r="S341" s="837">
        <f t="shared" si="132"/>
        <v>-3</v>
      </c>
      <c r="T341" s="178">
        <f t="shared" si="133"/>
        <v>3</v>
      </c>
      <c r="U341" s="253">
        <f t="shared" si="134"/>
        <v>-2.1357387453348018</v>
      </c>
      <c r="V341" s="385">
        <f t="shared" si="135"/>
        <v>18.387552255574477</v>
      </c>
      <c r="W341" s="404">
        <f t="shared" si="136"/>
        <v>13.074903350004604</v>
      </c>
      <c r="X341" s="157">
        <f t="shared" si="137"/>
        <v>45984</v>
      </c>
      <c r="Y341" s="387">
        <f t="shared" si="138"/>
        <v>10.882726172136513</v>
      </c>
      <c r="Z341" s="387">
        <f t="shared" si="139"/>
        <v>11.580649662404657</v>
      </c>
      <c r="AA341" s="388">
        <f t="shared" si="140"/>
        <v>13.247373790474406</v>
      </c>
      <c r="AB341" s="199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0.1258154374166007</v>
      </c>
      <c r="AD341" s="233">
        <f>(INDEX(Models!$BJ341:$BT341,,AH341)*(1-AF341)+INDEX(Models!$BJ341:$BT341,,AH341+1)*AF341-ERP_i)*AE341*Ramure*Pc/MaxiM</f>
        <v>0.21165848550379882</v>
      </c>
      <c r="AE341" s="307">
        <f t="shared" si="142"/>
        <v>1</v>
      </c>
      <c r="AF341" s="179">
        <f t="shared" si="143"/>
        <v>0.79924384758876865</v>
      </c>
      <c r="AG341" s="837">
        <f t="shared" si="149"/>
        <v>2</v>
      </c>
      <c r="AH341" s="178">
        <f t="shared" si="144"/>
        <v>8</v>
      </c>
      <c r="AI341" s="227">
        <f t="shared" si="145"/>
        <v>2.7992438475887687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45985</v>
      </c>
      <c r="B342" s="1139">
        <f>IF(t&gt;Tmaj,'2024'!Wh/'2024'!Env_an*'2025'!Env_an,0.001*'[13]mon-tableau (3)'!$B$225)</f>
        <v>11.828107922465854</v>
      </c>
      <c r="C342" s="866"/>
      <c r="D342" s="395">
        <f t="shared" si="127"/>
        <v>12.586952900004031</v>
      </c>
      <c r="E342" s="387">
        <f t="shared" si="125"/>
        <v>13.605932459141528</v>
      </c>
      <c r="F342" s="387">
        <f t="shared" si="128"/>
        <v>13.675802948231597</v>
      </c>
      <c r="G342" s="110">
        <f t="shared" si="126"/>
        <v>0.64609520153901701</v>
      </c>
      <c r="H342" s="414" t="b">
        <f>Wh_hp&gt;='2024'!Maxi_hp</f>
        <v>0</v>
      </c>
      <c r="I342" s="392">
        <f>IF(H342,Wh_hp,'2024'!Maxi_hp)</f>
        <v>20.206281401845153</v>
      </c>
      <c r="J342" s="85">
        <f>IF(H342,An,'2024'!An_max)</f>
        <v>2020</v>
      </c>
      <c r="K342" s="199">
        <f t="shared" si="129"/>
        <v>45985</v>
      </c>
      <c r="L342" s="147">
        <f>IF(t&lt;Tvie,1-EXP((T0-t)*PertePVj)+'2024'!Pspv,1-EXP((T0-t)*PertePVj)+Pspv)</f>
        <v>6.028821936228379E-2</v>
      </c>
      <c r="M342" s="870"/>
      <c r="N342" s="870"/>
      <c r="O342" s="48">
        <f>IF(t&lt;Tnet,'2024'!Resal+('2024'!Salim-'2024'!Resal)*(1-EXP(('2024'!Tnet-t)/('2024'!Tau_j))),Resal+(Salim-Resal)*(1-EXP((Tnet-t)/(Tau_j))))*Salcycl</f>
        <v>7.4892298796681703E-2</v>
      </c>
      <c r="P342" s="171">
        <f>(INDEX(Models!$BJ342:$BT342,,T342)*(1-R342)+INDEX(Models!$BJ342:$BT342,,T342+1)*R342-ERP_i)*Q342*Ramure*Pc/MaxiM</f>
        <v>1.0234466260069928E-2</v>
      </c>
      <c r="Q342" s="307">
        <f t="shared" si="130"/>
        <v>1</v>
      </c>
      <c r="R342" s="179">
        <f t="shared" si="131"/>
        <v>0.86429195215684507</v>
      </c>
      <c r="S342" s="837">
        <f t="shared" si="132"/>
        <v>-3</v>
      </c>
      <c r="T342" s="178">
        <f t="shared" si="133"/>
        <v>3</v>
      </c>
      <c r="U342" s="253">
        <f t="shared" si="134"/>
        <v>-2.1357080478431549</v>
      </c>
      <c r="V342" s="385">
        <f t="shared" si="135"/>
        <v>18.212753642208334</v>
      </c>
      <c r="W342" s="404">
        <f t="shared" si="136"/>
        <v>11.828107922465854</v>
      </c>
      <c r="X342" s="157">
        <f t="shared" si="137"/>
        <v>45985</v>
      </c>
      <c r="Y342" s="387">
        <f t="shared" si="138"/>
        <v>10.027576313189964</v>
      </c>
      <c r="Z342" s="387">
        <f t="shared" si="139"/>
        <v>10.670906249983325</v>
      </c>
      <c r="AA342" s="388">
        <f t="shared" si="140"/>
        <v>12.206339072475387</v>
      </c>
      <c r="AB342" s="199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0.12578978949998026</v>
      </c>
      <c r="AD342" s="233">
        <f>(INDEX(Models!$BJ342:$BT342,,AH342)*(1-AF342)+INDEX(Models!$BJ342:$BT342,,AH342+1)*AF342-ERP_i)*AE342*Ramure*Pc/MaxiM</f>
        <v>0.21524364080852074</v>
      </c>
      <c r="AE342" s="307">
        <f t="shared" si="142"/>
        <v>1</v>
      </c>
      <c r="AF342" s="179">
        <f t="shared" si="143"/>
        <v>0.79927454508041551</v>
      </c>
      <c r="AG342" s="837">
        <f t="shared" si="149"/>
        <v>2</v>
      </c>
      <c r="AH342" s="178">
        <f t="shared" si="144"/>
        <v>8</v>
      </c>
      <c r="AI342" s="227">
        <f t="shared" si="145"/>
        <v>2.7992745450804155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45986</v>
      </c>
      <c r="B343" s="1139">
        <f>IF(t&gt;Tmaj,'2024'!Wh/'2024'!Env_an*'2025'!Env_an,0.001*'[13]mon-tableau (3)'!$B$226)</f>
        <v>4.8564120816207836</v>
      </c>
      <c r="C343" s="866"/>
      <c r="D343" s="395">
        <f t="shared" si="127"/>
        <v>5.16810068802054</v>
      </c>
      <c r="E343" s="387">
        <f t="shared" si="125"/>
        <v>5.5872293719472479</v>
      </c>
      <c r="F343" s="387">
        <f t="shared" si="128"/>
        <v>5.5872293719472479</v>
      </c>
      <c r="G343" s="110">
        <f t="shared" si="126"/>
        <v>0.26639629534836828</v>
      </c>
      <c r="H343" s="414" t="b">
        <f>Wh_hp&gt;='2024'!Maxi_hp</f>
        <v>0</v>
      </c>
      <c r="I343" s="392">
        <f>IF(H343,Wh_hp,'2024'!Maxi_hp)</f>
        <v>18.507554622634164</v>
      </c>
      <c r="J343" s="85">
        <f>IF(H343,An,'2024'!An_max)</f>
        <v>2020</v>
      </c>
      <c r="K343" s="199">
        <f t="shared" si="129"/>
        <v>45986</v>
      </c>
      <c r="L343" s="147">
        <f>IF(t&lt;Tvie,1-EXP((T0-t)*PertePVj)+'2024'!Pspv,1-EXP((T0-t)*PertePVj)+Pspv)</f>
        <v>6.0310087828249759E-2</v>
      </c>
      <c r="M343" s="870"/>
      <c r="N343" s="870"/>
      <c r="O343" s="48">
        <f>IF(t&lt;Tnet,'2024'!Resal+('2024'!Salim-'2024'!Resal)*(1-EXP(('2024'!Tnet-t)/('2024'!Tau_j))),Resal+(Salim-Resal)*(1-EXP((Tnet-t)/(Tau_j))))*Salcycl</f>
        <v>7.5015478339066979E-2</v>
      </c>
      <c r="P343" s="171">
        <f>(INDEX(Models!$BJ343:$BT343,,T343)*(1-R343)+INDEX(Models!$BJ343:$BT343,,T343+1)*R343-ERP_i)*Q343*Ramure*Pc/MaxiM</f>
        <v>1.0323277831244891E-2</v>
      </c>
      <c r="Q343" s="307">
        <f t="shared" si="130"/>
        <v>1</v>
      </c>
      <c r="R343" s="179">
        <f t="shared" si="131"/>
        <v>0.86432141620880154</v>
      </c>
      <c r="S343" s="837">
        <f t="shared" si="132"/>
        <v>-3</v>
      </c>
      <c r="T343" s="178">
        <f t="shared" si="133"/>
        <v>3</v>
      </c>
      <c r="U343" s="253">
        <f t="shared" si="134"/>
        <v>-2.1356785837911985</v>
      </c>
      <c r="V343" s="385">
        <f t="shared" si="135"/>
        <v>18.041834944266</v>
      </c>
      <c r="W343" s="404">
        <f t="shared" si="136"/>
        <v>4.8564120816207836</v>
      </c>
      <c r="X343" s="157">
        <f t="shared" si="137"/>
        <v>45986</v>
      </c>
      <c r="Y343" s="387">
        <f t="shared" si="138"/>
        <v>4.5899470017061592</v>
      </c>
      <c r="Z343" s="387">
        <f t="shared" si="139"/>
        <v>4.8845336554674423</v>
      </c>
      <c r="AA343" s="388">
        <f t="shared" si="140"/>
        <v>5.5872293719472479</v>
      </c>
      <c r="AB343" s="199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0.12576818843485274</v>
      </c>
      <c r="AD343" s="233">
        <f>(INDEX(Models!$BJ343:$BT343,,AH343)*(1-AF343)+INDEX(Models!$BJ343:$BT343,,AH343+1)*AF343-ERP_i)*AE343*Ramure*Pc/MaxiM</f>
        <v>0.21885744955324904</v>
      </c>
      <c r="AE343" s="307">
        <f t="shared" si="142"/>
        <v>1</v>
      </c>
      <c r="AF343" s="179">
        <f t="shared" si="143"/>
        <v>0.79930400913237198</v>
      </c>
      <c r="AG343" s="837">
        <f t="shared" si="149"/>
        <v>2</v>
      </c>
      <c r="AH343" s="178">
        <f t="shared" si="144"/>
        <v>8</v>
      </c>
      <c r="AI343" s="227">
        <f t="shared" si="145"/>
        <v>2.799304009132372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45987</v>
      </c>
      <c r="B344" s="1139">
        <f>IF(t&gt;Tmaj,'2024'!Wh/'2024'!Env_an*'2025'!Env_an,0.001*'[13]mon-tableau (3)'!$B$227)</f>
        <v>10.432418173552838</v>
      </c>
      <c r="C344" s="866"/>
      <c r="D344" s="395">
        <f t="shared" si="127"/>
        <v>11.102237899631328</v>
      </c>
      <c r="E344" s="387">
        <f t="shared" si="125"/>
        <v>12.004243963031415</v>
      </c>
      <c r="F344" s="387">
        <f t="shared" si="128"/>
        <v>12.054963231582766</v>
      </c>
      <c r="G344" s="110">
        <f t="shared" si="126"/>
        <v>0.58002844730161829</v>
      </c>
      <c r="H344" s="414" t="b">
        <f>Wh_hp&gt;='2024'!Maxi_hp</f>
        <v>0</v>
      </c>
      <c r="I344" s="392">
        <f>IF(H344,Wh_hp,'2024'!Maxi_hp)</f>
        <v>20.367586395989942</v>
      </c>
      <c r="J344" s="85">
        <f>IF(H344,An,'2024'!An_max)</f>
        <v>2020</v>
      </c>
      <c r="K344" s="199">
        <f t="shared" si="129"/>
        <v>45987</v>
      </c>
      <c r="L344" s="147">
        <f>IF(t&lt;Tvie,1-EXP((T0-t)*PertePVj)+'2024'!Pspv,1-EXP((T0-t)*PertePVj)+Pspv)</f>
        <v>6.0331955785304592E-2</v>
      </c>
      <c r="M344" s="870"/>
      <c r="N344" s="870"/>
      <c r="O344" s="48">
        <f>IF(t&lt;Tnet,'2024'!Resal+('2024'!Salim-'2024'!Resal)*(1-EXP(('2024'!Tnet-t)/('2024'!Tau_j))),Resal+(Salim-Resal)*(1-EXP((Tnet-t)/(Tau_j))))*Salcycl</f>
        <v>7.5140597456860123E-2</v>
      </c>
      <c r="P344" s="171">
        <f>(INDEX(Models!$BJ344:$BT344,,T344)*(1-R344)+INDEX(Models!$BJ344:$BT344,,T344+1)*R344-ERP_i)*Q344*Ramure*Pc/MaxiM</f>
        <v>1.0383056444961144E-2</v>
      </c>
      <c r="Q344" s="307">
        <f t="shared" si="130"/>
        <v>1</v>
      </c>
      <c r="R344" s="179">
        <f t="shared" si="131"/>
        <v>0.86434969628355907</v>
      </c>
      <c r="S344" s="837">
        <f t="shared" si="132"/>
        <v>-3</v>
      </c>
      <c r="T344" s="178">
        <f t="shared" si="133"/>
        <v>3</v>
      </c>
      <c r="U344" s="253">
        <f t="shared" si="134"/>
        <v>-2.1356503037164409</v>
      </c>
      <c r="V344" s="385">
        <f t="shared" si="135"/>
        <v>17.874499602123418</v>
      </c>
      <c r="W344" s="404">
        <f t="shared" si="136"/>
        <v>10.432418173552838</v>
      </c>
      <c r="X344" s="157">
        <f t="shared" si="137"/>
        <v>45987</v>
      </c>
      <c r="Y344" s="387">
        <f t="shared" si="138"/>
        <v>9.0103228386474346</v>
      </c>
      <c r="Z344" s="387">
        <f t="shared" si="139"/>
        <v>9.5888360726128461</v>
      </c>
      <c r="AA344" s="388">
        <f t="shared" si="140"/>
        <v>10.968079698770119</v>
      </c>
      <c r="AB344" s="199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0.12575069328789884</v>
      </c>
      <c r="AD344" s="233">
        <f>(INDEX(Models!$BJ344:$BT344,,AH344)*(1-AF344)+INDEX(Models!$BJ344:$BT344,,AH344+1)*AF344-ERP_i)*AE344*Ramure*Pc/MaxiM</f>
        <v>0.22250267783074654</v>
      </c>
      <c r="AE344" s="307">
        <f t="shared" si="142"/>
        <v>1</v>
      </c>
      <c r="AF344" s="179">
        <f t="shared" si="143"/>
        <v>0.79933228920712951</v>
      </c>
      <c r="AG344" s="837">
        <f t="shared" si="149"/>
        <v>2</v>
      </c>
      <c r="AH344" s="178">
        <f t="shared" si="144"/>
        <v>8</v>
      </c>
      <c r="AI344" s="227">
        <f t="shared" si="145"/>
        <v>2.7993322892071295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45988</v>
      </c>
      <c r="B345" s="1139">
        <f>IF(t&gt;Tmaj,'2024'!Wh/'2024'!Env_an*'2025'!Env_an,0.001*'[13]mon-tableau (3)'!$B$228)</f>
        <v>12.389006734502795</v>
      </c>
      <c r="C345" s="866"/>
      <c r="D345" s="395">
        <f t="shared" si="127"/>
        <v>13.184757242492257</v>
      </c>
      <c r="E345" s="387">
        <f t="shared" si="125"/>
        <v>14.257917895207449</v>
      </c>
      <c r="F345" s="387">
        <f t="shared" si="128"/>
        <v>14.343180570679412</v>
      </c>
      <c r="G345" s="110">
        <f t="shared" si="126"/>
        <v>0.69643203234484541</v>
      </c>
      <c r="H345" s="414" t="b">
        <f>Wh_hp&gt;='2024'!Maxi_hp</f>
        <v>0</v>
      </c>
      <c r="I345" s="392">
        <f>IF(H345,Wh_hp,'2024'!Maxi_hp)</f>
        <v>18.723509974078482</v>
      </c>
      <c r="J345" s="85">
        <f>IF(H345,An,'2024'!An_max)</f>
        <v>2018</v>
      </c>
      <c r="K345" s="199">
        <f t="shared" si="129"/>
        <v>45988</v>
      </c>
      <c r="L345" s="147">
        <f>IF(t&lt;Tvie,1-EXP((T0-t)*PertePVj)+'2024'!Pspv,1-EXP((T0-t)*PertePVj)+Pspv)</f>
        <v>6.0353823233460169E-2</v>
      </c>
      <c r="M345" s="870"/>
      <c r="N345" s="870"/>
      <c r="O345" s="48">
        <f>IF(t&lt;Tnet,'2024'!Resal+('2024'!Salim-'2024'!Resal)*(1-EXP(('2024'!Tnet-t)/('2024'!Tau_j))),Resal+(Salim-Resal)*(1-EXP((Tnet-t)/(Tau_j))))*Salcycl</f>
        <v>7.5267697612139847E-2</v>
      </c>
      <c r="P345" s="171">
        <f>(INDEX(Models!$BJ345:$BT345,,T345)*(1-R345)+INDEX(Models!$BJ345:$BT345,,T345+1)*R345-ERP_i)*Q345*Ramure*Pc/MaxiM</f>
        <v>1.0413833324407823E-2</v>
      </c>
      <c r="Q345" s="307">
        <f t="shared" si="130"/>
        <v>1</v>
      </c>
      <c r="R345" s="179">
        <f t="shared" si="131"/>
        <v>0.86437683986780378</v>
      </c>
      <c r="S345" s="837">
        <f t="shared" si="132"/>
        <v>-3</v>
      </c>
      <c r="T345" s="178">
        <f t="shared" si="133"/>
        <v>3</v>
      </c>
      <c r="U345" s="253">
        <f t="shared" si="134"/>
        <v>-2.1356231601321962</v>
      </c>
      <c r="V345" s="385">
        <f t="shared" si="135"/>
        <v>17.70927259162417</v>
      </c>
      <c r="W345" s="404">
        <f t="shared" si="136"/>
        <v>12.389006734502795</v>
      </c>
      <c r="X345" s="157">
        <f t="shared" si="137"/>
        <v>45988</v>
      </c>
      <c r="Y345" s="387">
        <f t="shared" si="138"/>
        <v>10.261492595863963</v>
      </c>
      <c r="Z345" s="387">
        <f t="shared" si="139"/>
        <v>10.920592079856338</v>
      </c>
      <c r="AA345" s="388">
        <f t="shared" si="140"/>
        <v>12.491202781066001</v>
      </c>
      <c r="AB345" s="199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0.12573734721450319</v>
      </c>
      <c r="AD345" s="233">
        <f>(INDEX(Models!$BJ345:$BT345,,AH345)*(1-AF345)+INDEX(Models!$BJ345:$BT345,,AH345+1)*AF345-ERP_i)*AE345*Ramure*Pc/MaxiM</f>
        <v>0.22619731218592917</v>
      </c>
      <c r="AE345" s="307">
        <f t="shared" si="142"/>
        <v>1</v>
      </c>
      <c r="AF345" s="179">
        <f t="shared" si="143"/>
        <v>0.79935943279137422</v>
      </c>
      <c r="AG345" s="837">
        <f t="shared" si="149"/>
        <v>2</v>
      </c>
      <c r="AH345" s="178">
        <f t="shared" si="144"/>
        <v>8</v>
      </c>
      <c r="AI345" s="227">
        <f t="shared" si="145"/>
        <v>2.7993594327913742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45989</v>
      </c>
      <c r="B346" s="1139">
        <f>IF(t&gt;Tmaj,'2024'!Wh/'2024'!Env_an*'2025'!Env_an,0.001*'[13]mon-tableau (3)'!$B$229)</f>
        <v>9.7751344803475639</v>
      </c>
      <c r="C346" s="866"/>
      <c r="D346" s="395">
        <f t="shared" si="127"/>
        <v>10.403237100309267</v>
      </c>
      <c r="E346" s="387">
        <f t="shared" si="125"/>
        <v>11.251569562523899</v>
      </c>
      <c r="F346" s="387">
        <f t="shared" si="128"/>
        <v>11.294795256314782</v>
      </c>
      <c r="G346" s="110">
        <f t="shared" si="126"/>
        <v>0.55344708649356433</v>
      </c>
      <c r="H346" s="414" t="b">
        <f>Wh_hp&gt;='2024'!Maxi_hp</f>
        <v>0</v>
      </c>
      <c r="I346" s="392">
        <f>IF(H346,Wh_hp,'2024'!Maxi_hp)</f>
        <v>15.043607934783193</v>
      </c>
      <c r="J346" s="85">
        <f>IF(H346,An,'2024'!An_max)</f>
        <v>2018</v>
      </c>
      <c r="K346" s="199">
        <f t="shared" si="129"/>
        <v>45989</v>
      </c>
      <c r="L346" s="147">
        <f>IF(t&lt;Tvie,1-EXP((T0-t)*PertePVj)+'2024'!Pspv,1-EXP((T0-t)*PertePVj)+Pspv)</f>
        <v>6.0375690172728147E-2</v>
      </c>
      <c r="M346" s="870"/>
      <c r="N346" s="870"/>
      <c r="O346" s="48">
        <f>IF(t&lt;Tnet,'2024'!Resal+('2024'!Salim-'2024'!Resal)*(1-EXP(('2024'!Tnet-t)/('2024'!Tau_j))),Resal+(Salim-Resal)*(1-EXP((Tnet-t)/(Tau_j))))*Salcycl</f>
        <v>7.5396810862744884E-2</v>
      </c>
      <c r="P346" s="171">
        <f>(INDEX(Models!$BJ346:$BT346,,T346)*(1-R346)+INDEX(Models!$BJ346:$BT346,,T346+1)*R346-ERP_i)*Q346*Ramure*Pc/MaxiM</f>
        <v>1.0418447633586297E-2</v>
      </c>
      <c r="Q346" s="307">
        <f t="shared" si="130"/>
        <v>1</v>
      </c>
      <c r="R346" s="179">
        <f t="shared" si="131"/>
        <v>0.86440289255073255</v>
      </c>
      <c r="S346" s="837">
        <f t="shared" si="132"/>
        <v>-3</v>
      </c>
      <c r="T346" s="178">
        <f t="shared" si="133"/>
        <v>3</v>
      </c>
      <c r="U346" s="253">
        <f t="shared" si="134"/>
        <v>-2.1355971074492675</v>
      </c>
      <c r="V346" s="385">
        <f t="shared" si="135"/>
        <v>17.545408301527225</v>
      </c>
      <c r="W346" s="404">
        <f t="shared" si="136"/>
        <v>9.7751344803475639</v>
      </c>
      <c r="X346" s="157">
        <f t="shared" si="137"/>
        <v>45989</v>
      </c>
      <c r="Y346" s="387">
        <f t="shared" si="138"/>
        <v>8.4949466964316915</v>
      </c>
      <c r="Z346" s="387">
        <f t="shared" si="139"/>
        <v>9.0407906730225935</v>
      </c>
      <c r="AA346" s="388">
        <f t="shared" si="140"/>
        <v>10.340937956506316</v>
      </c>
      <c r="AB346" s="199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0.12572817755527627</v>
      </c>
      <c r="AD346" s="233">
        <f>(INDEX(Models!$BJ346:$BT346,,AH346)*(1-AF346)+INDEX(Models!$BJ346:$BT346,,AH346+1)*AF346-ERP_i)*AE346*Ramure*Pc/MaxiM</f>
        <v>0.22990289932754385</v>
      </c>
      <c r="AE346" s="307">
        <f t="shared" si="142"/>
        <v>1</v>
      </c>
      <c r="AF346" s="179">
        <f t="shared" si="143"/>
        <v>0.79938548547430299</v>
      </c>
      <c r="AG346" s="837">
        <f t="shared" si="149"/>
        <v>2</v>
      </c>
      <c r="AH346" s="178">
        <f t="shared" si="144"/>
        <v>8</v>
      </c>
      <c r="AI346" s="227">
        <f t="shared" si="145"/>
        <v>2.799385485474303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45990</v>
      </c>
      <c r="B347" s="1139">
        <f>IF(t&gt;Tmaj,'2024'!Wh/'2024'!Env_an*'2025'!Env_an,0.001*'[13]mon-tableau (3)'!$B$230)</f>
        <v>11.072956529536771</v>
      </c>
      <c r="C347" s="866"/>
      <c r="D347" s="395">
        <f t="shared" si="127"/>
        <v>11.784725132797103</v>
      </c>
      <c r="E347" s="387">
        <f t="shared" si="125"/>
        <v>12.747519255888657</v>
      </c>
      <c r="F347" s="387">
        <f t="shared" si="128"/>
        <v>12.811778570737319</v>
      </c>
      <c r="G347" s="110">
        <f t="shared" si="126"/>
        <v>0.63352602418861159</v>
      </c>
      <c r="H347" s="414" t="b">
        <f>Wh_hp&gt;='2024'!Maxi_hp</f>
        <v>0</v>
      </c>
      <c r="I347" s="392">
        <f>IF(H347,Wh_hp,'2024'!Maxi_hp)</f>
        <v>19.948122922418964</v>
      </c>
      <c r="J347" s="85">
        <f>IF(H347,An,'2024'!An_max)</f>
        <v>2018</v>
      </c>
      <c r="K347" s="199">
        <f t="shared" si="129"/>
        <v>45990</v>
      </c>
      <c r="L347" s="147">
        <f>IF(t&lt;Tvie,1-EXP((T0-t)*PertePVj)+'2024'!Pspv,1-EXP((T0-t)*PertePVj)+Pspv)</f>
        <v>6.0397556603120628E-2</v>
      </c>
      <c r="M347" s="870"/>
      <c r="N347" s="870"/>
      <c r="O347" s="48">
        <f>IF(t&lt;Tnet,'2024'!Resal+('2024'!Salim-'2024'!Resal)*(1-EXP(('2024'!Tnet-t)/('2024'!Tau_j))),Resal+(Salim-Resal)*(1-EXP((Tnet-t)/(Tau_j))))*Salcycl</f>
        <v>7.5527959892807806E-2</v>
      </c>
      <c r="P347" s="171">
        <f>(INDEX(Models!$BJ347:$BT347,,T347)*(1-R347)+INDEX(Models!$BJ347:$BT347,,T347+1)*R347-ERP_i)*Q347*Ramure*Pc/MaxiM</f>
        <v>1.0418713006657579E-2</v>
      </c>
      <c r="Q347" s="307">
        <f t="shared" si="130"/>
        <v>1</v>
      </c>
      <c r="R347" s="179">
        <f t="shared" si="131"/>
        <v>0.8644278980993132</v>
      </c>
      <c r="S347" s="837">
        <f t="shared" si="132"/>
        <v>-3</v>
      </c>
      <c r="T347" s="178">
        <f t="shared" si="133"/>
        <v>3</v>
      </c>
      <c r="U347" s="253">
        <f t="shared" si="134"/>
        <v>-2.1355721019006868</v>
      </c>
      <c r="V347" s="385">
        <f t="shared" si="135"/>
        <v>17.383385319222647</v>
      </c>
      <c r="W347" s="404">
        <f t="shared" si="136"/>
        <v>11.072956529536771</v>
      </c>
      <c r="X347" s="157">
        <f t="shared" si="137"/>
        <v>45990</v>
      </c>
      <c r="Y347" s="387">
        <f t="shared" si="138"/>
        <v>9.340947178107303</v>
      </c>
      <c r="Z347" s="387">
        <f t="shared" si="139"/>
        <v>9.9413823833169559</v>
      </c>
      <c r="AA347" s="388">
        <f t="shared" si="140"/>
        <v>11.370978090872722</v>
      </c>
      <c r="AB347" s="199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0.12572319602860516</v>
      </c>
      <c r="AD347" s="233">
        <f>(INDEX(Models!$BJ347:$BT347,,AH347)*(1-AF347)+INDEX(Models!$BJ347:$BT347,,AH347+1)*AF347-ERP_i)*AE347*Ramure*Pc/MaxiM</f>
        <v>0.23360483588903752</v>
      </c>
      <c r="AE347" s="307">
        <f t="shared" si="142"/>
        <v>1</v>
      </c>
      <c r="AF347" s="179">
        <f t="shared" si="143"/>
        <v>0.79941049102288364</v>
      </c>
      <c r="AG347" s="837">
        <f t="shared" si="149"/>
        <v>2</v>
      </c>
      <c r="AH347" s="178">
        <f t="shared" si="144"/>
        <v>8</v>
      </c>
      <c r="AI347" s="227">
        <f t="shared" si="145"/>
        <v>2.7994104910228836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45991</v>
      </c>
      <c r="B348" s="1139">
        <f>IF(t&gt;Tmaj,'2024'!Wh/'2024'!Env_an*'2025'!Env_an,0.001*'[13]mon-tableau (3)'!$B$231)</f>
        <v>4.5007647457563333</v>
      </c>
      <c r="C348" s="866"/>
      <c r="D348" s="395">
        <f t="shared" si="127"/>
        <v>4.7901849544930677</v>
      </c>
      <c r="E348" s="387">
        <f t="shared" si="125"/>
        <v>5.1822824459656927</v>
      </c>
      <c r="F348" s="387">
        <f t="shared" si="128"/>
        <v>5.1822824459656927</v>
      </c>
      <c r="G348" s="110">
        <f t="shared" si="126"/>
        <v>0.25858519119796658</v>
      </c>
      <c r="H348" s="414" t="b">
        <f>Wh_hp&gt;='2024'!Maxi_hp</f>
        <v>0</v>
      </c>
      <c r="I348" s="392">
        <f>IF(H348,Wh_hp,'2024'!Maxi_hp)</f>
        <v>19.841900082377851</v>
      </c>
      <c r="J348" s="85">
        <f>IF(H348,An,'2024'!An_max)</f>
        <v>2021</v>
      </c>
      <c r="K348" s="199">
        <f t="shared" si="129"/>
        <v>45991</v>
      </c>
      <c r="L348" s="147">
        <f>IF(t&lt;Tvie,1-EXP((T0-t)*PertePVj)+'2024'!Pspv,1-EXP((T0-t)*PertePVj)+Pspv)</f>
        <v>6.0419422524649269E-2</v>
      </c>
      <c r="M348" s="870"/>
      <c r="N348" s="870"/>
      <c r="O348" s="48">
        <f>IF(t&lt;Tnet,'2024'!Resal+('2024'!Salim-'2024'!Resal)*(1-EXP(('2024'!Tnet-t)/('2024'!Tau_j))),Resal+(Salim-Resal)*(1-EXP((Tnet-t)/(Tau_j))))*Salcycl</f>
        <v>7.5661158101844789E-2</v>
      </c>
      <c r="P348" s="171">
        <f>(INDEX(Models!$BJ348:$BT348,,T348)*(1-R348)+INDEX(Models!$BJ348:$BT348,,T348+1)*R348-ERP_i)*Q348*Ramure*Pc/MaxiM</f>
        <v>1.0414007063104771E-2</v>
      </c>
      <c r="Q348" s="307">
        <f t="shared" si="130"/>
        <v>1</v>
      </c>
      <c r="R348" s="179">
        <f t="shared" si="131"/>
        <v>0.86445189853060622</v>
      </c>
      <c r="S348" s="837">
        <f t="shared" si="132"/>
        <v>-3</v>
      </c>
      <c r="T348" s="178">
        <f t="shared" si="133"/>
        <v>3</v>
      </c>
      <c r="U348" s="253">
        <f t="shared" si="134"/>
        <v>-2.1355481014693938</v>
      </c>
      <c r="V348" s="385">
        <f t="shared" si="135"/>
        <v>17.224086689847837</v>
      </c>
      <c r="W348" s="404">
        <f t="shared" si="136"/>
        <v>4.5007647457563333</v>
      </c>
      <c r="X348" s="157">
        <f t="shared" si="137"/>
        <v>45991</v>
      </c>
      <c r="Y348" s="387">
        <f t="shared" si="138"/>
        <v>4.2570079565499883</v>
      </c>
      <c r="Z348" s="387">
        <f t="shared" si="139"/>
        <v>4.5307534644751293</v>
      </c>
      <c r="AA348" s="388">
        <f t="shared" si="140"/>
        <v>5.1822824459656927</v>
      </c>
      <c r="AB348" s="199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0.12572239901701351</v>
      </c>
      <c r="AD348" s="233">
        <f>(INDEX(Models!$BJ348:$BT348,,AH348)*(1-AF348)+INDEX(Models!$BJ348:$BT348,,AH348+1)*AF348-ERP_i)*AE348*Ramure*Pc/MaxiM</f>
        <v>0.23729023743914698</v>
      </c>
      <c r="AE348" s="307">
        <f t="shared" si="142"/>
        <v>1</v>
      </c>
      <c r="AF348" s="179">
        <f t="shared" si="143"/>
        <v>0.79943449145417667</v>
      </c>
      <c r="AG348" s="837">
        <f t="shared" si="149"/>
        <v>2</v>
      </c>
      <c r="AH348" s="178">
        <f t="shared" si="144"/>
        <v>8</v>
      </c>
      <c r="AI348" s="227">
        <f t="shared" si="145"/>
        <v>2.7994344914541767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45992</v>
      </c>
      <c r="B349" s="1139">
        <f>IF(t&gt;Tmaj,'2024'!Wh/'2024'!Env_an*'2025'!Env_an,0.001*'[14]mon-tableau (2)'!$B$208)</f>
        <v>3.8988235622262257</v>
      </c>
      <c r="C349" s="866"/>
      <c r="D349" s="395">
        <f t="shared" si="127"/>
        <v>4.1496327075365906</v>
      </c>
      <c r="E349" s="387">
        <f t="shared" si="125"/>
        <v>4.4899551909551727</v>
      </c>
      <c r="F349" s="387">
        <f t="shared" si="128"/>
        <v>4.4899551909551727</v>
      </c>
      <c r="G349" s="110">
        <f t="shared" si="126"/>
        <v>0.22604711275068542</v>
      </c>
      <c r="H349" s="414" t="b">
        <f>Wh_hp&gt;='2024'!Maxi_hp</f>
        <v>0</v>
      </c>
      <c r="I349" s="392">
        <f>IF(H349,Wh_hp,'2024'!Maxi_hp)</f>
        <v>18.774902602934571</v>
      </c>
      <c r="J349" s="85">
        <f>IF(H349,An,'2024'!An_max)</f>
        <v>2020</v>
      </c>
      <c r="K349" s="199">
        <f t="shared" si="129"/>
        <v>45992</v>
      </c>
      <c r="L349" s="147">
        <f>IF(t&lt;Tvie,1-EXP((T0-t)*PertePVj)+'2024'!Pspv,1-EXP((T0-t)*PertePVj)+Pspv)</f>
        <v>6.044128793732606E-2</v>
      </c>
      <c r="M349" s="870"/>
      <c r="N349" s="870"/>
      <c r="O349" s="48">
        <f>IF(t&lt;Tnet,'2024'!Resal+('2024'!Salim-'2024'!Resal)*(1-EXP(('2024'!Tnet-t)/('2024'!Tau_j))),Resal+(Salim-Resal)*(1-EXP((Tnet-t)/(Tau_j))))*Salcycl</f>
        <v>7.5796409751292704E-2</v>
      </c>
      <c r="P349" s="171">
        <f>(INDEX(Models!$BJ349:$BT349,,T349)*(1-R349)+INDEX(Models!$BJ349:$BT349,,T349+1)*R349-ERP_i)*Q349*Ramure*Pc/MaxiM</f>
        <v>1.0403688985755406E-2</v>
      </c>
      <c r="Q349" s="307">
        <f t="shared" si="130"/>
        <v>1</v>
      </c>
      <c r="R349" s="179">
        <f t="shared" si="131"/>
        <v>0.86447493418125188</v>
      </c>
      <c r="S349" s="837">
        <f t="shared" si="132"/>
        <v>-3</v>
      </c>
      <c r="T349" s="178">
        <f t="shared" si="133"/>
        <v>3</v>
      </c>
      <c r="U349" s="253">
        <f t="shared" si="134"/>
        <v>-2.1355250658187481</v>
      </c>
      <c r="V349" s="385">
        <f t="shared" si="135"/>
        <v>17.068395024049209</v>
      </c>
      <c r="W349" s="404">
        <f t="shared" si="136"/>
        <v>3.8988235622262257</v>
      </c>
      <c r="X349" s="157">
        <f t="shared" si="137"/>
        <v>45992</v>
      </c>
      <c r="Y349" s="387">
        <f t="shared" si="138"/>
        <v>3.688192744272313</v>
      </c>
      <c r="Z349" s="387">
        <f t="shared" si="139"/>
        <v>3.9254521265364941</v>
      </c>
      <c r="AA349" s="388">
        <f t="shared" si="140"/>
        <v>4.4899551909551727</v>
      </c>
      <c r="AB349" s="199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0.12572576794437651</v>
      </c>
      <c r="AD349" s="233">
        <f>(INDEX(Models!$BJ349:$BT349,,AH349)*(1-AF349)+INDEX(Models!$BJ349:$BT349,,AH349+1)*AF349-ERP_i)*AE349*Ramure*Pc/MaxiM</f>
        <v>0.24094502068487178</v>
      </c>
      <c r="AE349" s="307">
        <f t="shared" si="142"/>
        <v>1</v>
      </c>
      <c r="AF349" s="179">
        <f t="shared" si="143"/>
        <v>0.79945752710482232</v>
      </c>
      <c r="AG349" s="837">
        <f t="shared" si="149"/>
        <v>2</v>
      </c>
      <c r="AH349" s="178">
        <f t="shared" si="144"/>
        <v>8</v>
      </c>
      <c r="AI349" s="227">
        <f t="shared" si="145"/>
        <v>2.7994575271048223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45993</v>
      </c>
      <c r="B350" s="1139">
        <f>IF(t&gt;Tmaj,'2024'!Wh/'2024'!Env_an*'2025'!Env_an,0.001*'[14]mon-tableau (2)'!$B$209)</f>
        <v>5.3869884486253934</v>
      </c>
      <c r="C350" s="866"/>
      <c r="D350" s="395">
        <f t="shared" si="127"/>
        <v>5.733663841834054</v>
      </c>
      <c r="E350" s="387">
        <f t="shared" si="125"/>
        <v>6.2048187504705874</v>
      </c>
      <c r="F350" s="387">
        <f t="shared" si="128"/>
        <v>6.2065163485388197</v>
      </c>
      <c r="G350" s="110">
        <f t="shared" si="126"/>
        <v>0.31521139184500629</v>
      </c>
      <c r="H350" s="414" t="b">
        <f>Wh_hp&gt;='2024'!Maxi_hp</f>
        <v>0</v>
      </c>
      <c r="I350" s="392">
        <f>IF(H350,Wh_hp,'2024'!Maxi_hp)</f>
        <v>8.2901078959824659</v>
      </c>
      <c r="J350" s="85">
        <f>IF(H350,An,'2024'!An_max)</f>
        <v>2021</v>
      </c>
      <c r="K350" s="199">
        <f t="shared" si="129"/>
        <v>45993</v>
      </c>
      <c r="L350" s="147">
        <f>IF(t&lt;Tvie,1-EXP((T0-t)*PertePVj)+'2024'!Pspv,1-EXP((T0-t)*PertePVj)+Pspv)</f>
        <v>6.046315284116266E-2</v>
      </c>
      <c r="M350" s="870"/>
      <c r="N350" s="870"/>
      <c r="O350" s="48">
        <f>IF(t&lt;Tnet,'2024'!Resal+('2024'!Salim-'2024'!Resal)*(1-EXP(('2024'!Tnet-t)/('2024'!Tau_j))),Resal+(Salim-Resal)*(1-EXP((Tnet-t)/(Tau_j))))*Salcycl</f>
        <v>7.5933710166924767E-2</v>
      </c>
      <c r="P350" s="171">
        <f>(INDEX(Models!$BJ350:$BT350,,T350)*(1-R350)+INDEX(Models!$BJ350:$BT350,,T350+1)*R350-ERP_i)*Q350*Ramure*Pc/MaxiM</f>
        <v>1.0387102500047906E-2</v>
      </c>
      <c r="Q350" s="307">
        <f t="shared" si="130"/>
        <v>1</v>
      </c>
      <c r="R350" s="179">
        <f t="shared" si="131"/>
        <v>0.86449704377424252</v>
      </c>
      <c r="S350" s="837">
        <f t="shared" si="132"/>
        <v>-3</v>
      </c>
      <c r="T350" s="178">
        <f t="shared" si="133"/>
        <v>3</v>
      </c>
      <c r="U350" s="253">
        <f t="shared" si="134"/>
        <v>-2.1355029562257575</v>
      </c>
      <c r="V350" s="385">
        <f t="shared" si="135"/>
        <v>16.917192466510549</v>
      </c>
      <c r="W350" s="404">
        <f t="shared" si="136"/>
        <v>5.3869884486253934</v>
      </c>
      <c r="X350" s="157">
        <f t="shared" si="137"/>
        <v>45993</v>
      </c>
      <c r="Y350" s="387">
        <f t="shared" si="138"/>
        <v>5.0652384277146263</v>
      </c>
      <c r="Z350" s="387">
        <f t="shared" si="139"/>
        <v>5.3912078520729922</v>
      </c>
      <c r="AA350" s="388">
        <f t="shared" si="140"/>
        <v>6.1665481088039851</v>
      </c>
      <c r="AB350" s="199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0.12573326974033319</v>
      </c>
      <c r="AD350" s="233">
        <f>(INDEX(Models!$BJ350:$BT350,,AH350)*(1-AF350)+INDEX(Models!$BJ350:$BT350,,AH350+1)*AF350-ERP_i)*AE350*Ramure*Pc/MaxiM</f>
        <v>0.2445538850691803</v>
      </c>
      <c r="AE350" s="307">
        <f t="shared" si="142"/>
        <v>1</v>
      </c>
      <c r="AF350" s="179">
        <f t="shared" si="143"/>
        <v>0.79947963669781297</v>
      </c>
      <c r="AG350" s="837">
        <f t="shared" si="149"/>
        <v>2</v>
      </c>
      <c r="AH350" s="178">
        <f t="shared" si="144"/>
        <v>8</v>
      </c>
      <c r="AI350" s="227">
        <f t="shared" si="145"/>
        <v>2.799479636697813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45994</v>
      </c>
      <c r="B351" s="1139">
        <f>IF(t&gt;Tmaj,'2024'!Wh/'2024'!Env_an*'2025'!Env_an,0.001*'[14]mon-tableau (2)'!$B$210)</f>
        <v>8.469528010228931</v>
      </c>
      <c r="C351" s="866"/>
      <c r="D351" s="395">
        <f t="shared" si="127"/>
        <v>9.0147875931830281</v>
      </c>
      <c r="E351" s="387">
        <f t="shared" si="125"/>
        <v>9.7570349626746857</v>
      </c>
      <c r="F351" s="387">
        <f t="shared" si="128"/>
        <v>9.7867381072095032</v>
      </c>
      <c r="G351" s="110">
        <f t="shared" si="126"/>
        <v>0.50128728087133767</v>
      </c>
      <c r="H351" s="414" t="b">
        <f>Wh_hp&gt;='2024'!Maxi_hp</f>
        <v>0</v>
      </c>
      <c r="I351" s="392">
        <f>IF(H351,Wh_hp,'2024'!Maxi_hp)</f>
        <v>13.468073041251417</v>
      </c>
      <c r="J351" s="85">
        <f>IF(H351,An,'2024'!An_max)</f>
        <v>2021</v>
      </c>
      <c r="K351" s="199">
        <f t="shared" si="129"/>
        <v>45994</v>
      </c>
      <c r="L351" s="147">
        <f>IF(t&lt;Tvie,1-EXP((T0-t)*PertePVj)+'2024'!Pspv,1-EXP((T0-t)*PertePVj)+Pspv)</f>
        <v>6.0485017236171057E-2</v>
      </c>
      <c r="M351" s="870"/>
      <c r="N351" s="870"/>
      <c r="O351" s="48">
        <f>IF(t&lt;Tnet,'2024'!Resal+('2024'!Salim-'2024'!Resal)*(1-EXP(('2024'!Tnet-t)/('2024'!Tau_j))),Resal+(Salim-Resal)*(1-EXP((Tnet-t)/(Tau_j))))*Salcycl</f>
        <v>7.6073045995131386E-2</v>
      </c>
      <c r="P351" s="171">
        <f>(INDEX(Models!$BJ351:$BT351,,T351)*(1-R351)+INDEX(Models!$BJ351:$BT351,,T351+1)*R351-ERP_i)*Q351*Ramure*Pc/MaxiM</f>
        <v>1.0363579741058141E-2</v>
      </c>
      <c r="Q351" s="307">
        <f t="shared" si="130"/>
        <v>1</v>
      </c>
      <c r="R351" s="179">
        <f t="shared" si="131"/>
        <v>0.86451826448307001</v>
      </c>
      <c r="S351" s="837">
        <f t="shared" si="132"/>
        <v>-3</v>
      </c>
      <c r="T351" s="178">
        <f t="shared" si="133"/>
        <v>3</v>
      </c>
      <c r="U351" s="253">
        <f t="shared" si="134"/>
        <v>-2.13548173551693</v>
      </c>
      <c r="V351" s="385">
        <f t="shared" si="135"/>
        <v>16.771360664282152</v>
      </c>
      <c r="W351" s="404">
        <f t="shared" si="136"/>
        <v>8.469528010228931</v>
      </c>
      <c r="X351" s="157">
        <f t="shared" si="137"/>
        <v>45994</v>
      </c>
      <c r="Y351" s="387">
        <f t="shared" si="138"/>
        <v>7.4545239919682684</v>
      </c>
      <c r="Z351" s="387">
        <f t="shared" si="139"/>
        <v>7.9344386505033029</v>
      </c>
      <c r="AA351" s="388">
        <f t="shared" si="140"/>
        <v>9.0756556796380572</v>
      </c>
      <c r="AB351" s="199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0.12574485738756747</v>
      </c>
      <c r="AD351" s="233">
        <f>(INDEX(Models!$BJ351:$BT351,,AH351)*(1-AF351)+INDEX(Models!$BJ351:$BT351,,AH351+1)*AF351-ERP_i)*AE351*Ramure*Pc/MaxiM</f>
        <v>0.24810031247578718</v>
      </c>
      <c r="AE351" s="307">
        <f t="shared" si="142"/>
        <v>1</v>
      </c>
      <c r="AF351" s="179">
        <f t="shared" si="143"/>
        <v>0.79950085740664045</v>
      </c>
      <c r="AG351" s="837">
        <f t="shared" si="149"/>
        <v>2</v>
      </c>
      <c r="AH351" s="178">
        <f t="shared" si="144"/>
        <v>8</v>
      </c>
      <c r="AI351" s="227">
        <f t="shared" si="145"/>
        <v>2.7995008574066405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45995</v>
      </c>
      <c r="B352" s="1139">
        <f>IF(t&gt;Tmaj,'2024'!Wh/'2024'!Env_an*'2025'!Env_an,0.001*'[14]mon-tableau (2)'!$B$211)</f>
        <v>14.394266104487931</v>
      </c>
      <c r="C352" s="866"/>
      <c r="D352" s="395">
        <f t="shared" si="127"/>
        <v>15.32131083800167</v>
      </c>
      <c r="E352" s="387">
        <f t="shared" si="125"/>
        <v>16.585353531754357</v>
      </c>
      <c r="F352" s="387">
        <f t="shared" si="128"/>
        <v>16.724996040685195</v>
      </c>
      <c r="G352" s="110">
        <f t="shared" si="126"/>
        <v>0.86373675109755932</v>
      </c>
      <c r="H352" s="414" t="b">
        <f>Wh_hp&gt;='2024'!Maxi_hp</f>
        <v>1</v>
      </c>
      <c r="I352" s="392">
        <f>IF(H352,Wh_hp,'2024'!Maxi_hp)</f>
        <v>16.724996040685195</v>
      </c>
      <c r="J352" s="85">
        <f>IF(H352,An,'2024'!An_max)</f>
        <v>2025</v>
      </c>
      <c r="K352" s="199">
        <f t="shared" si="129"/>
        <v>45995</v>
      </c>
      <c r="L352" s="147">
        <f>IF(t&lt;Tvie,1-EXP((T0-t)*PertePVj)+'2024'!Pspv,1-EXP((T0-t)*PertePVj)+Pspv)</f>
        <v>6.0506881122363021E-2</v>
      </c>
      <c r="M352" s="870"/>
      <c r="N352" s="870"/>
      <c r="O352" s="48">
        <f>IF(t&lt;Tnet,'2024'!Resal+('2024'!Salim-'2024'!Resal)*(1-EXP(('2024'!Tnet-t)/('2024'!Tau_j))),Resal+(Salim-Resal)*(1-EXP((Tnet-t)/(Tau_j))))*Salcycl</f>
        <v>7.6214395510626254E-2</v>
      </c>
      <c r="P352" s="171">
        <f>(INDEX(Models!$BJ352:$BT352,,T352)*(1-R352)+INDEX(Models!$BJ352:$BT352,,T352+1)*R352-ERP_i)*Q352*Ramure*Pc/MaxiM</f>
        <v>1.0335697912263029E-2</v>
      </c>
      <c r="Q352" s="307">
        <f t="shared" si="130"/>
        <v>1</v>
      </c>
      <c r="R352" s="179">
        <f t="shared" si="131"/>
        <v>0.86453863199335901</v>
      </c>
      <c r="S352" s="837">
        <f t="shared" si="132"/>
        <v>-3</v>
      </c>
      <c r="T352" s="178">
        <f t="shared" si="133"/>
        <v>3</v>
      </c>
      <c r="U352" s="253">
        <f t="shared" si="134"/>
        <v>-2.135461368006641</v>
      </c>
      <c r="V352" s="385">
        <f t="shared" si="135"/>
        <v>16.631726089410158</v>
      </c>
      <c r="W352" s="404">
        <f t="shared" si="136"/>
        <v>14.394266104487931</v>
      </c>
      <c r="X352" s="157">
        <f t="shared" si="137"/>
        <v>45995</v>
      </c>
      <c r="Y352" s="387">
        <f t="shared" si="138"/>
        <v>10.945951516029286</v>
      </c>
      <c r="Z352" s="387">
        <f t="shared" si="139"/>
        <v>11.650911854581583</v>
      </c>
      <c r="AA352" s="388">
        <f t="shared" si="140"/>
        <v>13.326910374175597</v>
      </c>
      <c r="AB352" s="199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0.12576047054699957</v>
      </c>
      <c r="AD352" s="233">
        <f>(INDEX(Models!$BJ352:$BT352,,AH352)*(1-AF352)+INDEX(Models!$BJ352:$BT352,,AH352+1)*AF352-ERP_i)*AE352*Ramure*Pc/MaxiM</f>
        <v>0.25151071258988089</v>
      </c>
      <c r="AE352" s="307">
        <f t="shared" si="142"/>
        <v>1</v>
      </c>
      <c r="AF352" s="179">
        <f t="shared" si="143"/>
        <v>0.79952122491692945</v>
      </c>
      <c r="AG352" s="837">
        <f t="shared" si="149"/>
        <v>2</v>
      </c>
      <c r="AH352" s="178">
        <f t="shared" si="144"/>
        <v>8</v>
      </c>
      <c r="AI352" s="227">
        <f t="shared" si="145"/>
        <v>2.7995212249169295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45996</v>
      </c>
      <c r="B353" s="1139">
        <f>IF(t&gt;Tmaj,'2024'!Wh/'2024'!Env_an*'2025'!Env_an,0.001*'[14]mon-tableau (2)'!$B$212)</f>
        <v>16.901637002971949</v>
      </c>
      <c r="C353" s="866"/>
      <c r="D353" s="395">
        <f t="shared" si="127"/>
        <v>17.990584495288434</v>
      </c>
      <c r="E353" s="387">
        <f t="shared" si="125"/>
        <v>19.477870447916459</v>
      </c>
      <c r="F353" s="387">
        <f t="shared" si="128"/>
        <v>19.680771499615478</v>
      </c>
      <c r="G353" s="110">
        <f t="shared" si="126"/>
        <v>1.0244001947458021</v>
      </c>
      <c r="H353" s="414" t="b">
        <f>Wh_hp&gt;='2024'!Maxi_hp</f>
        <v>1</v>
      </c>
      <c r="I353" s="392">
        <f>IF(H353,Wh_hp,'2024'!Maxi_hp)</f>
        <v>19.680771499615478</v>
      </c>
      <c r="J353" s="85">
        <f>IF(H353,An,'2024'!An_max)</f>
        <v>2025</v>
      </c>
      <c r="K353" s="199">
        <f t="shared" si="129"/>
        <v>45996</v>
      </c>
      <c r="L353" s="147">
        <f>IF(t&lt;Tvie,1-EXP((T0-t)*PertePVj)+'2024'!Pspv,1-EXP((T0-t)*PertePVj)+Pspv)</f>
        <v>6.0528744499750431E-2</v>
      </c>
      <c r="M353" s="870"/>
      <c r="N353" s="870"/>
      <c r="O353" s="48">
        <f>IF(t&lt;Tnet,'2024'!Resal+('2024'!Salim-'2024'!Resal)*(1-EXP(('2024'!Tnet-t)/('2024'!Tau_j))),Resal+(Salim-Resal)*(1-EXP((Tnet-t)/(Tau_j))))*Salcycl</f>
        <v>7.6357728972733768E-2</v>
      </c>
      <c r="P353" s="171">
        <f>(INDEX(Models!$BJ353:$BT353,,T353)*(1-R353)+INDEX(Models!$BJ353:$BT353,,T353+1)*R353-ERP_i)*Q353*Ramure*Pc/MaxiM</f>
        <v>1.0309608630077601E-2</v>
      </c>
      <c r="Q353" s="307">
        <f t="shared" si="130"/>
        <v>1</v>
      </c>
      <c r="R353" s="179">
        <f t="shared" si="131"/>
        <v>0.86455818056207567</v>
      </c>
      <c r="S353" s="837">
        <f t="shared" si="132"/>
        <v>-3</v>
      </c>
      <c r="T353" s="178">
        <f t="shared" si="133"/>
        <v>3</v>
      </c>
      <c r="U353" s="253">
        <f t="shared" si="134"/>
        <v>-2.1354418194379243</v>
      </c>
      <c r="V353" s="385">
        <f t="shared" si="135"/>
        <v>16.499056803836289</v>
      </c>
      <c r="W353" s="404">
        <f t="shared" si="136"/>
        <v>16.901637002971949</v>
      </c>
      <c r="X353" s="157">
        <f t="shared" si="137"/>
        <v>45996</v>
      </c>
      <c r="Y353" s="387">
        <f t="shared" si="138"/>
        <v>12.045976983066582</v>
      </c>
      <c r="Z353" s="387">
        <f t="shared" si="139"/>
        <v>12.822081476726334</v>
      </c>
      <c r="AA353" s="388">
        <f t="shared" si="140"/>
        <v>14.666882487793941</v>
      </c>
      <c r="AB353" s="199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0.12578003625534503</v>
      </c>
      <c r="AD353" s="233">
        <f>(INDEX(Models!$BJ353:$BT353,,AH353)*(1-AF353)+INDEX(Models!$BJ353:$BT353,,AH353+1)*AF353-ERP_i)*AE353*Ramure*Pc/MaxiM</f>
        <v>0.25476079593320294</v>
      </c>
      <c r="AE353" s="307">
        <f t="shared" si="142"/>
        <v>1</v>
      </c>
      <c r="AF353" s="179">
        <f t="shared" si="143"/>
        <v>0.79954077348564612</v>
      </c>
      <c r="AG353" s="837">
        <f t="shared" si="149"/>
        <v>2</v>
      </c>
      <c r="AH353" s="178">
        <f t="shared" si="144"/>
        <v>8</v>
      </c>
      <c r="AI353" s="227">
        <f t="shared" si="145"/>
        <v>2.7995407734856461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45997</v>
      </c>
      <c r="B354" s="1139">
        <f>IF(t&gt;Tmaj,'2024'!Wh/'2024'!Env_an*'2025'!Env_an,0.001*'[14]mon-tableau (2)'!$B$213)</f>
        <v>12.140962217055986</v>
      </c>
      <c r="C354" s="866"/>
      <c r="D354" s="395">
        <f t="shared" si="127"/>
        <v>12.923487217385736</v>
      </c>
      <c r="E354" s="387">
        <f t="shared" si="125"/>
        <v>13.994076151531377</v>
      </c>
      <c r="F354" s="387">
        <f t="shared" si="128"/>
        <v>14.085439017666655</v>
      </c>
      <c r="G354" s="110">
        <f t="shared" si="126"/>
        <v>0.73863266893412649</v>
      </c>
      <c r="H354" s="414" t="b">
        <f>Wh_hp&gt;='2024'!Maxi_hp</f>
        <v>0</v>
      </c>
      <c r="I354" s="392">
        <f>IF(H354,Wh_hp,'2024'!Maxi_hp)</f>
        <v>16.269133792401302</v>
      </c>
      <c r="J354" s="85">
        <f>IF(H354,An,'2024'!An_max)</f>
        <v>2020</v>
      </c>
      <c r="K354" s="199">
        <f t="shared" si="129"/>
        <v>45997</v>
      </c>
      <c r="L354" s="147">
        <f>IF(t&lt;Tvie,1-EXP((T0-t)*PertePVj)+'2024'!Pspv,1-EXP((T0-t)*PertePVj)+Pspv)</f>
        <v>6.0550607368345055E-2</v>
      </c>
      <c r="M354" s="870"/>
      <c r="N354" s="870"/>
      <c r="O354" s="48">
        <f>IF(t&lt;Tnet,'2024'!Resal+('2024'!Salim-'2024'!Resal)*(1-EXP(('2024'!Tnet-t)/('2024'!Tau_j))),Resal+(Salim-Resal)*(1-EXP((Tnet-t)/(Tau_j))))*Salcycl</f>
        <v>7.6503009027036592E-2</v>
      </c>
      <c r="P354" s="171">
        <f>(INDEX(Models!$BJ354:$BT354,,T354)*(1-R354)+INDEX(Models!$BJ354:$BT354,,T354+1)*R354-ERP_i)*Q354*Ramure*Pc/MaxiM</f>
        <v>1.0284864804371494E-2</v>
      </c>
      <c r="Q354" s="307">
        <f t="shared" si="130"/>
        <v>1</v>
      </c>
      <c r="R354" s="179">
        <f t="shared" si="131"/>
        <v>0.86457694307440791</v>
      </c>
      <c r="S354" s="837">
        <f t="shared" si="132"/>
        <v>-3</v>
      </c>
      <c r="T354" s="178">
        <f t="shared" si="133"/>
        <v>3</v>
      </c>
      <c r="U354" s="253">
        <f t="shared" si="134"/>
        <v>-2.1354230569255921</v>
      </c>
      <c r="V354" s="385">
        <f t="shared" si="135"/>
        <v>16.3742328518505</v>
      </c>
      <c r="W354" s="404">
        <f t="shared" si="136"/>
        <v>12.140962217055986</v>
      </c>
      <c r="X354" s="157">
        <f t="shared" si="137"/>
        <v>45997</v>
      </c>
      <c r="Y354" s="387">
        <f t="shared" si="138"/>
        <v>9.6868680315318318</v>
      </c>
      <c r="Z354" s="387">
        <f t="shared" si="139"/>
        <v>10.311218579210811</v>
      </c>
      <c r="AA354" s="388">
        <f t="shared" si="140"/>
        <v>11.795080650276821</v>
      </c>
      <c r="AB354" s="199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0.12580346968896608</v>
      </c>
      <c r="AD354" s="233">
        <f>(INDEX(Models!$BJ354:$BT354,,AH354)*(1-AF354)+INDEX(Models!$BJ354:$BT354,,AH354+1)*AF354-ERP_i)*AE354*Ramure*Pc/MaxiM</f>
        <v>0.25782932561777644</v>
      </c>
      <c r="AE354" s="307">
        <f t="shared" si="142"/>
        <v>1</v>
      </c>
      <c r="AF354" s="179">
        <f t="shared" si="143"/>
        <v>0.79955953599797835</v>
      </c>
      <c r="AG354" s="837">
        <f t="shared" si="149"/>
        <v>2</v>
      </c>
      <c r="AH354" s="178">
        <f t="shared" si="144"/>
        <v>8</v>
      </c>
      <c r="AI354" s="227">
        <f t="shared" si="145"/>
        <v>2.7995595359979784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45998</v>
      </c>
      <c r="B355" s="1139">
        <f>IF(t&gt;Tmaj,'2024'!Wh/'2024'!Env_an*'2025'!Env_an,0.001*'[14]mon-tableau (2)'!$B$214)</f>
        <v>14.952404677456839</v>
      </c>
      <c r="C355" s="866"/>
      <c r="D355" s="395">
        <f t="shared" si="127"/>
        <v>15.916506804021465</v>
      </c>
      <c r="E355" s="387">
        <f t="shared" si="125"/>
        <v>17.237786428769045</v>
      </c>
      <c r="F355" s="387">
        <f t="shared" si="128"/>
        <v>17.395805417330042</v>
      </c>
      <c r="G355" s="110">
        <f t="shared" si="126"/>
        <v>0.91859500413730366</v>
      </c>
      <c r="H355" s="414" t="b">
        <f>Wh_hp&gt;='2024'!Maxi_hp</f>
        <v>1</v>
      </c>
      <c r="I355" s="392">
        <f>IF(H355,Wh_hp,'2024'!Maxi_hp)</f>
        <v>17.395805417330042</v>
      </c>
      <c r="J355" s="85">
        <f>IF(H355,An,'2024'!An_max)</f>
        <v>2025</v>
      </c>
      <c r="K355" s="199">
        <f t="shared" si="129"/>
        <v>45998</v>
      </c>
      <c r="L355" s="147">
        <f>IF(t&lt;Tvie,1-EXP((T0-t)*PertePVj)+'2024'!Pspv,1-EXP((T0-t)*PertePVj)+Pspv)</f>
        <v>6.0572469728158884E-2</v>
      </c>
      <c r="M355" s="870"/>
      <c r="N355" s="870"/>
      <c r="O355" s="48">
        <f>IF(t&lt;Tnet,'2024'!Resal+('2024'!Salim-'2024'!Resal)*(1-EXP(('2024'!Tnet-t)/('2024'!Tau_j))),Resal+(Salim-Resal)*(1-EXP((Tnet-t)/(Tau_j))))*Salcycl</f>
        <v>7.6650191148813954E-2</v>
      </c>
      <c r="P355" s="171">
        <f>(INDEX(Models!$BJ355:$BT355,,T355)*(1-R355)+INDEX(Models!$BJ355:$BT355,,T355+1)*R355-ERP_i)*Q355*Ramure*Pc/MaxiM</f>
        <v>1.0261005930492268E-2</v>
      </c>
      <c r="Q355" s="307">
        <f t="shared" si="130"/>
        <v>1</v>
      </c>
      <c r="R355" s="179">
        <f t="shared" si="131"/>
        <v>0.86459495109840656</v>
      </c>
      <c r="S355" s="837">
        <f t="shared" si="132"/>
        <v>-3</v>
      </c>
      <c r="T355" s="178">
        <f t="shared" si="133"/>
        <v>3</v>
      </c>
      <c r="U355" s="253">
        <f t="shared" si="134"/>
        <v>-2.1354050489015934</v>
      </c>
      <c r="V355" s="385">
        <f t="shared" si="135"/>
        <v>16.258133671684796</v>
      </c>
      <c r="W355" s="404">
        <f t="shared" si="136"/>
        <v>14.952404677456839</v>
      </c>
      <c r="X355" s="157">
        <f t="shared" si="137"/>
        <v>45998</v>
      </c>
      <c r="Y355" s="387">
        <f t="shared" si="138"/>
        <v>10.98883167496181</v>
      </c>
      <c r="Z355" s="387">
        <f t="shared" si="139"/>
        <v>11.697370282284556</v>
      </c>
      <c r="AA355" s="388">
        <f t="shared" si="140"/>
        <v>13.381126456383921</v>
      </c>
      <c r="AB355" s="199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0.12583067498746139</v>
      </c>
      <c r="AD355" s="233">
        <f>(INDEX(Models!$BJ355:$BT355,,AH355)*(1-AF355)+INDEX(Models!$BJ355:$BT355,,AH355+1)*AF355-ERP_i)*AE355*Ramure*Pc/MaxiM</f>
        <v>0.26069426847007715</v>
      </c>
      <c r="AE355" s="307">
        <f t="shared" si="142"/>
        <v>1</v>
      </c>
      <c r="AF355" s="179">
        <f t="shared" si="143"/>
        <v>0.799577544021977</v>
      </c>
      <c r="AG355" s="837">
        <f t="shared" si="149"/>
        <v>2</v>
      </c>
      <c r="AH355" s="178">
        <f t="shared" si="144"/>
        <v>8</v>
      </c>
      <c r="AI355" s="227">
        <f t="shared" si="145"/>
        <v>2.799577544021977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45999</v>
      </c>
      <c r="B356" s="1139">
        <f>IF(t&gt;Tmaj,'2024'!Wh/'2024'!Env_an*'2025'!Env_an,0.001*'[14]mon-tableau (2)'!$B$215)</f>
        <v>4.4678163644499831</v>
      </c>
      <c r="C356" s="866"/>
      <c r="D356" s="395">
        <f t="shared" si="127"/>
        <v>4.7560031993001282</v>
      </c>
      <c r="E356" s="387">
        <f t="shared" si="125"/>
        <v>5.1516455830415415</v>
      </c>
      <c r="F356" s="387">
        <f t="shared" si="128"/>
        <v>5.1516455830415415</v>
      </c>
      <c r="G356" s="110">
        <f t="shared" si="126"/>
        <v>0.27378503729361603</v>
      </c>
      <c r="H356" s="414" t="b">
        <f>Wh_hp&gt;='2024'!Maxi_hp</f>
        <v>0</v>
      </c>
      <c r="I356" s="392">
        <f>IF(H356,Wh_hp,'2024'!Maxi_hp)</f>
        <v>15.197501570723485</v>
      </c>
      <c r="J356" s="85">
        <f>IF(H356,An,'2024'!An_max)</f>
        <v>2019</v>
      </c>
      <c r="K356" s="199">
        <f t="shared" si="129"/>
        <v>45999</v>
      </c>
      <c r="L356" s="147">
        <f>IF(t&lt;Tvie,1-EXP((T0-t)*PertePVj)+'2024'!Pspv,1-EXP((T0-t)*PertePVj)+Pspv)</f>
        <v>6.0594331579203575E-2</v>
      </c>
      <c r="M356" s="870"/>
      <c r="N356" s="870"/>
      <c r="O356" s="48">
        <f>IF(t&lt;Tnet,'2024'!Resal+('2024'!Salim-'2024'!Resal)*(1-EXP(('2024'!Tnet-t)/('2024'!Tau_j))),Resal+(Salim-Resal)*(1-EXP((Tnet-t)/(Tau_j))))*Salcycl</f>
        <v>7.6799224124386556E-2</v>
      </c>
      <c r="P356" s="171">
        <f>(INDEX(Models!$BJ356:$BT356,,T356)*(1-R356)+INDEX(Models!$BJ356:$BT356,,T356+1)*R356-ERP_i)*Q356*Ramure*Pc/MaxiM</f>
        <v>1.0237559498717647E-2</v>
      </c>
      <c r="Q356" s="307">
        <f t="shared" si="130"/>
        <v>1</v>
      </c>
      <c r="R356" s="179">
        <f t="shared" si="131"/>
        <v>0.86461223493747452</v>
      </c>
      <c r="S356" s="837">
        <f t="shared" si="132"/>
        <v>-3</v>
      </c>
      <c r="T356" s="178">
        <f t="shared" si="133"/>
        <v>3</v>
      </c>
      <c r="U356" s="253">
        <f t="shared" si="134"/>
        <v>-2.1353877650625255</v>
      </c>
      <c r="V356" s="385">
        <f t="shared" si="135"/>
        <v>16.151638059925101</v>
      </c>
      <c r="W356" s="404">
        <f t="shared" si="136"/>
        <v>4.4678163644499831</v>
      </c>
      <c r="X356" s="157">
        <f t="shared" si="137"/>
        <v>45999</v>
      </c>
      <c r="Y356" s="387">
        <f t="shared" si="138"/>
        <v>4.2303799899768384</v>
      </c>
      <c r="Z356" s="387">
        <f t="shared" si="139"/>
        <v>4.503251504846026</v>
      </c>
      <c r="AA356" s="388">
        <f t="shared" si="140"/>
        <v>5.1516455830415415</v>
      </c>
      <c r="AB356" s="199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0.12586154613002359</v>
      </c>
      <c r="AD356" s="233">
        <f>(INDEX(Models!$BJ356:$BT356,,AH356)*(1-AF356)+INDEX(Models!$BJ356:$BT356,,AH356+1)*AF356-ERP_i)*AE356*Ramure*Pc/MaxiM</f>
        <v>0.26333298022949092</v>
      </c>
      <c r="AE356" s="307">
        <f t="shared" si="142"/>
        <v>1</v>
      </c>
      <c r="AF356" s="179">
        <f t="shared" si="143"/>
        <v>0.79959482786104497</v>
      </c>
      <c r="AG356" s="837">
        <f t="shared" si="149"/>
        <v>2</v>
      </c>
      <c r="AH356" s="178">
        <f t="shared" si="144"/>
        <v>8</v>
      </c>
      <c r="AI356" s="227">
        <f t="shared" si="145"/>
        <v>2.799594827861045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46000</v>
      </c>
      <c r="B357" s="1139">
        <f>IF(t&gt;Tmaj,'2024'!Wh/'2024'!Env_an*'2025'!Env_an,0.001*'[14]mon-tableau (2)'!$B$216)</f>
        <v>8.5238120290935822</v>
      </c>
      <c r="C357" s="866"/>
      <c r="D357" s="395">
        <f t="shared" si="127"/>
        <v>9.0738332562945754</v>
      </c>
      <c r="E357" s="387">
        <f t="shared" si="125"/>
        <v>9.8302732824594354</v>
      </c>
      <c r="F357" s="387">
        <f t="shared" si="128"/>
        <v>9.8635040892331691</v>
      </c>
      <c r="G357" s="110">
        <f t="shared" si="126"/>
        <v>0.52724636719075479</v>
      </c>
      <c r="H357" s="414" t="b">
        <f>Wh_hp&gt;='2024'!Maxi_hp</f>
        <v>1</v>
      </c>
      <c r="I357" s="392">
        <f>IF(H357,Wh_hp,'2024'!Maxi_hp)</f>
        <v>9.8635040892331691</v>
      </c>
      <c r="J357" s="85">
        <f>IF(H357,An,'2024'!An_max)</f>
        <v>2025</v>
      </c>
      <c r="K357" s="199">
        <f t="shared" si="129"/>
        <v>46000</v>
      </c>
      <c r="L357" s="147">
        <f>IF(t&lt;Tvie,1-EXP((T0-t)*PertePVj)+'2024'!Pspv,1-EXP((T0-t)*PertePVj)+Pspv)</f>
        <v>6.0616192921491119E-2</v>
      </c>
      <c r="M357" s="870"/>
      <c r="N357" s="870"/>
      <c r="O357" s="48">
        <f>IF(t&lt;Tnet,'2024'!Resal+('2024'!Salim-'2024'!Resal)*(1-EXP(('2024'!Tnet-t)/('2024'!Tau_j))),Resal+(Salim-Resal)*(1-EXP((Tnet-t)/(Tau_j))))*Salcycl</f>
        <v>7.6950050566204187E-2</v>
      </c>
      <c r="P357" s="171">
        <f>(INDEX(Models!$BJ357:$BT357,,T357)*(1-R357)+INDEX(Models!$BJ357:$BT357,,T357+1)*R357-ERP_i)*Q357*Ramure*Pc/MaxiM</f>
        <v>1.0214043061699802E-2</v>
      </c>
      <c r="Q357" s="307">
        <f t="shared" si="130"/>
        <v>1</v>
      </c>
      <c r="R357" s="179">
        <f t="shared" si="131"/>
        <v>0.86462882368077842</v>
      </c>
      <c r="S357" s="837">
        <f t="shared" si="132"/>
        <v>-3</v>
      </c>
      <c r="T357" s="178">
        <f t="shared" si="133"/>
        <v>3</v>
      </c>
      <c r="U357" s="253">
        <f t="shared" si="134"/>
        <v>-2.1353711763192216</v>
      </c>
      <c r="V357" s="385">
        <f t="shared" si="135"/>
        <v>16.055624151144137</v>
      </c>
      <c r="W357" s="404">
        <f t="shared" si="136"/>
        <v>8.5238120290935822</v>
      </c>
      <c r="X357" s="157">
        <f t="shared" si="137"/>
        <v>46000</v>
      </c>
      <c r="Y357" s="387">
        <f t="shared" si="138"/>
        <v>7.3892443146433688</v>
      </c>
      <c r="Z357" s="387">
        <f t="shared" si="139"/>
        <v>7.8660545976665039</v>
      </c>
      <c r="AA357" s="388">
        <f t="shared" si="140"/>
        <v>8.9989913195844746</v>
      </c>
      <c r="AB357" s="199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0.125895967857238</v>
      </c>
      <c r="AD357" s="233">
        <f>(INDEX(Models!$BJ357:$BT357,,AH357)*(1-AF357)+INDEX(Models!$BJ357:$BT357,,AH357+1)*AF357-ERP_i)*AE357*Ramure*Pc/MaxiM</f>
        <v>0.26572242788762562</v>
      </c>
      <c r="AE357" s="307">
        <f t="shared" si="142"/>
        <v>1</v>
      </c>
      <c r="AF357" s="179">
        <f t="shared" si="143"/>
        <v>0.79961141660434887</v>
      </c>
      <c r="AG357" s="837">
        <f t="shared" si="149"/>
        <v>2</v>
      </c>
      <c r="AH357" s="178">
        <f t="shared" si="144"/>
        <v>8</v>
      </c>
      <c r="AI357" s="227">
        <f t="shared" si="145"/>
        <v>2.7996114166043489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46001</v>
      </c>
      <c r="B358" s="1139">
        <f>IF(t&gt;Tmaj,'2024'!Wh/'2024'!Env_an*'2025'!Env_an,0.001*'[14]mon-tableau (2)'!$B$217)</f>
        <v>12.495572100628758</v>
      </c>
      <c r="C358" s="866"/>
      <c r="D358" s="395">
        <f t="shared" si="127"/>
        <v>13.302191078294078</v>
      </c>
      <c r="E358" s="387">
        <f t="shared" si="125"/>
        <v>14.41351030545707</v>
      </c>
      <c r="F358" s="387">
        <f t="shared" si="128"/>
        <v>14.515441199098092</v>
      </c>
      <c r="G358" s="110">
        <f t="shared" si="126"/>
        <v>0.77989690521643806</v>
      </c>
      <c r="H358" s="414" t="b">
        <f>Wh_hp&gt;='2024'!Maxi_hp</f>
        <v>0</v>
      </c>
      <c r="I358" s="392">
        <f>IF(H358,Wh_hp,'2024'!Maxi_hp)</f>
        <v>16.709769802628212</v>
      </c>
      <c r="J358" s="85">
        <f>IF(H358,An,'2024'!An_max)</f>
        <v>2019</v>
      </c>
      <c r="K358" s="199">
        <f t="shared" si="129"/>
        <v>46001</v>
      </c>
      <c r="L358" s="147">
        <f>IF(t&lt;Tvie,1-EXP((T0-t)*PertePVj)+'2024'!Pspv,1-EXP((T0-t)*PertePVj)+Pspv)</f>
        <v>6.0638053755033172E-2</v>
      </c>
      <c r="M358" s="870"/>
      <c r="N358" s="870"/>
      <c r="O358" s="48">
        <f>IF(t&lt;Tnet,'2024'!Resal+('2024'!Salim-'2024'!Resal)*(1-EXP(('2024'!Tnet-t)/('2024'!Tau_j))),Resal+(Salim-Resal)*(1-EXP((Tnet-t)/(Tau_j))))*Salcycl</f>
        <v>7.7102607457271322E-2</v>
      </c>
      <c r="P358" s="171">
        <f>(INDEX(Models!$BJ358:$BT358,,T358)*(1-R358)+INDEX(Models!$BJ358:$BT358,,T358+1)*R358-ERP_i)*Q358*Ramure*Pc/MaxiM</f>
        <v>1.0189967003313653E-2</v>
      </c>
      <c r="Q358" s="307">
        <f t="shared" si="130"/>
        <v>1</v>
      </c>
      <c r="R358" s="179">
        <f t="shared" si="131"/>
        <v>0.864644745251681</v>
      </c>
      <c r="S358" s="837">
        <f t="shared" si="132"/>
        <v>-3</v>
      </c>
      <c r="T358" s="178">
        <f t="shared" si="133"/>
        <v>3</v>
      </c>
      <c r="U358" s="253">
        <f t="shared" si="134"/>
        <v>-2.135355254748319</v>
      </c>
      <c r="V358" s="385">
        <f t="shared" si="135"/>
        <v>15.970969389052854</v>
      </c>
      <c r="W358" s="404">
        <f t="shared" si="136"/>
        <v>12.495572100628758</v>
      </c>
      <c r="X358" s="157">
        <f t="shared" si="137"/>
        <v>46001</v>
      </c>
      <c r="Y358" s="387">
        <f t="shared" si="138"/>
        <v>9.7183051161768983</v>
      </c>
      <c r="Z358" s="387">
        <f t="shared" si="139"/>
        <v>10.345644886963047</v>
      </c>
      <c r="AA358" s="388">
        <f t="shared" si="140"/>
        <v>11.836226001883924</v>
      </c>
      <c r="AB358" s="199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0.12593381663070868</v>
      </c>
      <c r="AD358" s="233">
        <f>(INDEX(Models!$BJ358:$BT358,,AH358)*(1-AF358)+INDEX(Models!$BJ358:$BT358,,AH358+1)*AF358-ERP_i)*AE358*Ramure*Pc/MaxiM</f>
        <v>0.26783944964259204</v>
      </c>
      <c r="AE358" s="307">
        <f t="shared" si="142"/>
        <v>1</v>
      </c>
      <c r="AF358" s="179">
        <f t="shared" si="143"/>
        <v>0.79962733817525145</v>
      </c>
      <c r="AG358" s="837">
        <f t="shared" si="149"/>
        <v>2</v>
      </c>
      <c r="AH358" s="178">
        <f t="shared" si="144"/>
        <v>8</v>
      </c>
      <c r="AI358" s="227">
        <f t="shared" si="145"/>
        <v>2.7996273381752514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46002</v>
      </c>
      <c r="B359" s="1139">
        <f>IF(t&gt;Tmaj,'2024'!Wh/'2024'!Env_an*'2025'!Env_an,0.001*'[14]mon-tableau (2)'!$B$218)</f>
        <v>13.097760236112803</v>
      </c>
      <c r="C359" s="866"/>
      <c r="D359" s="395">
        <f t="shared" si="127"/>
        <v>13.943576381372576</v>
      </c>
      <c r="E359" s="387">
        <f t="shared" si="125"/>
        <v>15.111004649119295</v>
      </c>
      <c r="F359" s="387">
        <f t="shared" si="128"/>
        <v>15.226876392716589</v>
      </c>
      <c r="G359" s="110">
        <f t="shared" si="126"/>
        <v>0.82183739057587557</v>
      </c>
      <c r="H359" s="414" t="b">
        <f>Wh_hp&gt;='2024'!Maxi_hp</f>
        <v>1</v>
      </c>
      <c r="I359" s="392">
        <f>IF(H359,Wh_hp,'2024'!Maxi_hp)</f>
        <v>15.226876392716589</v>
      </c>
      <c r="J359" s="85">
        <f>IF(H359,An,'2024'!An_max)</f>
        <v>2025</v>
      </c>
      <c r="K359" s="199">
        <f t="shared" si="129"/>
        <v>46002</v>
      </c>
      <c r="L359" s="147">
        <f>IF(t&lt;Tvie,1-EXP((T0-t)*PertePVj)+'2024'!Pspv,1-EXP((T0-t)*PertePVj)+Pspv)</f>
        <v>6.0659914079841837E-2</v>
      </c>
      <c r="M359" s="870"/>
      <c r="N359" s="870"/>
      <c r="O359" s="48">
        <f>IF(t&lt;Tnet,'2024'!Resal+('2024'!Salim-'2024'!Resal)*(1-EXP(('2024'!Tnet-t)/('2024'!Tau_j))),Resal+(Salim-Resal)*(1-EXP((Tnet-t)/(Tau_j))))*Salcycl</f>
        <v>7.7256826720304067E-2</v>
      </c>
      <c r="P359" s="171">
        <f>(INDEX(Models!$BJ359:$BT359,,T359)*(1-R359)+INDEX(Models!$BJ359:$BT359,,T359+1)*R359-ERP_i)*Q359*Ramure*Pc/MaxiM</f>
        <v>1.0166383601129482E-2</v>
      </c>
      <c r="Q359" s="307">
        <f t="shared" si="130"/>
        <v>1</v>
      </c>
      <c r="R359" s="179">
        <f t="shared" si="131"/>
        <v>0.86466002645424878</v>
      </c>
      <c r="S359" s="837">
        <f t="shared" si="132"/>
        <v>-3</v>
      </c>
      <c r="T359" s="178">
        <f t="shared" si="133"/>
        <v>3</v>
      </c>
      <c r="U359" s="253">
        <f t="shared" si="134"/>
        <v>-2.1353399735457512</v>
      </c>
      <c r="V359" s="385">
        <f t="shared" si="135"/>
        <v>15.896108634363291</v>
      </c>
      <c r="W359" s="404">
        <f t="shared" si="136"/>
        <v>13.097760236112803</v>
      </c>
      <c r="X359" s="157">
        <f t="shared" si="137"/>
        <v>46002</v>
      </c>
      <c r="Y359" s="387">
        <f t="shared" si="138"/>
        <v>9.9776433516728371</v>
      </c>
      <c r="Z359" s="387">
        <f t="shared" si="139"/>
        <v>10.621971212799828</v>
      </c>
      <c r="AA359" s="388">
        <f t="shared" si="140"/>
        <v>12.152936982812422</v>
      </c>
      <c r="AB359" s="199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0.12597496162267591</v>
      </c>
      <c r="AD359" s="233">
        <f>(INDEX(Models!$BJ359:$BT359,,AH359)*(1-AF359)+INDEX(Models!$BJ359:$BT359,,AH359+1)*AF359-ERP_i)*AE359*Ramure*Pc/MaxiM</f>
        <v>0.26970205364584948</v>
      </c>
      <c r="AE359" s="307">
        <f t="shared" si="142"/>
        <v>1</v>
      </c>
      <c r="AF359" s="179">
        <f t="shared" si="143"/>
        <v>0.79964261937781922</v>
      </c>
      <c r="AG359" s="837">
        <f t="shared" si="149"/>
        <v>2</v>
      </c>
      <c r="AH359" s="178">
        <f t="shared" si="144"/>
        <v>8</v>
      </c>
      <c r="AI359" s="227">
        <f t="shared" si="145"/>
        <v>2.7996426193778192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46003</v>
      </c>
      <c r="B360" s="1139">
        <f>IF(t&gt;Tmaj,'2024'!Wh/'2024'!Env_an*'2025'!Env_an,0.001*'[14]mon-tableau (2)'!$B$219)</f>
        <v>4.5516261576171226</v>
      </c>
      <c r="C360" s="866"/>
      <c r="D360" s="395">
        <f t="shared" si="127"/>
        <v>4.8456700095083942</v>
      </c>
      <c r="E360" s="387">
        <f t="shared" si="125"/>
        <v>5.2522614091362509</v>
      </c>
      <c r="F360" s="387">
        <f t="shared" si="128"/>
        <v>5.2522614091362509</v>
      </c>
      <c r="G360" s="110">
        <f t="shared" si="126"/>
        <v>0.28463338675231176</v>
      </c>
      <c r="H360" s="414" t="b">
        <f>Wh_hp&gt;='2024'!Maxi_hp</f>
        <v>0</v>
      </c>
      <c r="I360" s="392">
        <f>IF(H360,Wh_hp,'2024'!Maxi_hp)</f>
        <v>18.180866502884243</v>
      </c>
      <c r="J360" s="85">
        <f>IF(H360,An,'2024'!An_max)</f>
        <v>2021</v>
      </c>
      <c r="K360" s="199">
        <f t="shared" si="129"/>
        <v>46003</v>
      </c>
      <c r="L360" s="147">
        <f>IF(t&lt;Tvie,1-EXP((T0-t)*PertePVj)+'2024'!Pspv,1-EXP((T0-t)*PertePVj)+Pspv)</f>
        <v>6.068177389592877E-2</v>
      </c>
      <c r="M360" s="870"/>
      <c r="N360" s="870"/>
      <c r="O360" s="48">
        <f>IF(t&lt;Tnet,'2024'!Resal+('2024'!Salim-'2024'!Resal)*(1-EXP(('2024'!Tnet-t)/('2024'!Tau_j))),Resal+(Salim-Resal)*(1-EXP((Tnet-t)/(Tau_j))))*Salcycl</f>
        <v>7.7412635806853661E-2</v>
      </c>
      <c r="P360" s="171">
        <f>(INDEX(Models!$BJ360:$BT360,,T360)*(1-R360)+INDEX(Models!$BJ360:$BT360,,T360+1)*R360-ERP_i)*Q360*Ramure*Pc/MaxiM</f>
        <v>1.0144680880750974E-2</v>
      </c>
      <c r="Q360" s="307">
        <f t="shared" si="130"/>
        <v>1</v>
      </c>
      <c r="R360" s="179">
        <f t="shared" si="131"/>
        <v>0.86467469301792921</v>
      </c>
      <c r="S360" s="837">
        <f t="shared" si="132"/>
        <v>-3</v>
      </c>
      <c r="T360" s="178">
        <f t="shared" si="133"/>
        <v>3</v>
      </c>
      <c r="U360" s="253">
        <f t="shared" si="134"/>
        <v>-2.1353253069820708</v>
      </c>
      <c r="V360" s="385">
        <f t="shared" si="135"/>
        <v>15.828963053727309</v>
      </c>
      <c r="W360" s="404">
        <f t="shared" si="136"/>
        <v>4.5516261576171226</v>
      </c>
      <c r="X360" s="157">
        <f t="shared" si="137"/>
        <v>46003</v>
      </c>
      <c r="Y360" s="387">
        <f t="shared" si="138"/>
        <v>4.3118231679300116</v>
      </c>
      <c r="Z360" s="387">
        <f t="shared" si="139"/>
        <v>4.5903752829472788</v>
      </c>
      <c r="AA360" s="388">
        <f t="shared" si="140"/>
        <v>5.2522614091362509</v>
      </c>
      <c r="AB360" s="199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0.12601926572764036</v>
      </c>
      <c r="AD360" s="233">
        <f>(INDEX(Models!$BJ360:$BT360,,AH360)*(1-AF360)+INDEX(Models!$BJ360:$BT360,,AH360+1)*AF360-ERP_i)*AE360*Ramure*Pc/MaxiM</f>
        <v>0.27133906088327647</v>
      </c>
      <c r="AE360" s="307">
        <f t="shared" si="142"/>
        <v>1</v>
      </c>
      <c r="AF360" s="179">
        <f t="shared" si="143"/>
        <v>0.79965728594149965</v>
      </c>
      <c r="AG360" s="837">
        <f t="shared" si="149"/>
        <v>2</v>
      </c>
      <c r="AH360" s="178">
        <f t="shared" si="144"/>
        <v>8</v>
      </c>
      <c r="AI360" s="227">
        <f t="shared" si="145"/>
        <v>2.7996572859414997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46004</v>
      </c>
      <c r="B361" s="1139">
        <f>IF(t&gt;Tmaj,'2024'!Wh/'2024'!Env_an*'2025'!Env_an,0.001*'[14]mon-tableau (2)'!$B$220)</f>
        <v>5.4820367840699449</v>
      </c>
      <c r="C361" s="866"/>
      <c r="D361" s="395">
        <f t="shared" si="127"/>
        <v>5.8363227814512593</v>
      </c>
      <c r="E361" s="387">
        <f t="shared" ref="E361:E379" si="150">Wh_pvt/(1-Psa)</f>
        <v>6.327116981906558</v>
      </c>
      <c r="F361" s="387">
        <f t="shared" si="128"/>
        <v>6.3314787875932677</v>
      </c>
      <c r="G361" s="110">
        <f t="shared" ref="G361:G379" si="151">+Wh_hp/MaxiM</f>
        <v>0.34434985350460096</v>
      </c>
      <c r="H361" s="414" t="b">
        <f>Wh_hp&gt;='2024'!Maxi_hp</f>
        <v>0</v>
      </c>
      <c r="I361" s="392">
        <f>IF(H361,Wh_hp,'2024'!Maxi_hp)</f>
        <v>18.504532146725122</v>
      </c>
      <c r="J361" s="85">
        <f>IF(H361,An,'2024'!An_max)</f>
        <v>2021</v>
      </c>
      <c r="K361" s="199">
        <f t="shared" si="129"/>
        <v>46004</v>
      </c>
      <c r="L361" s="147">
        <f>IF(t&lt;Tvie,1-EXP((T0-t)*PertePVj)+'2024'!Pspv,1-EXP((T0-t)*PertePVj)+Pspv)</f>
        <v>6.070363320330574E-2</v>
      </c>
      <c r="M361" s="870"/>
      <c r="N361" s="870"/>
      <c r="O361" s="48">
        <f>IF(t&lt;Tnet,'2024'!Resal+('2024'!Salim-'2024'!Resal)*(1-EXP(('2024'!Tnet-t)/('2024'!Tau_j))),Resal+(Salim-Resal)*(1-EXP((Tnet-t)/(Tau_j))))*Salcycl</f>
        <v>7.7569958301514919E-2</v>
      </c>
      <c r="P361" s="171">
        <f>(INDEX(Models!$BJ361:$BT361,,T361)*(1-R361)+INDEX(Models!$BJ361:$BT361,,T361+1)*R361-ERP_i)*Q361*Ramure*Pc/MaxiM</f>
        <v>1.0124167942636885E-2</v>
      </c>
      <c r="Q361" s="307">
        <f t="shared" si="130"/>
        <v>1</v>
      </c>
      <c r="R361" s="179">
        <f t="shared" si="131"/>
        <v>0.86468876964045549</v>
      </c>
      <c r="S361" s="837">
        <f t="shared" si="132"/>
        <v>-3</v>
      </c>
      <c r="T361" s="178">
        <f t="shared" si="133"/>
        <v>3</v>
      </c>
      <c r="U361" s="253">
        <f t="shared" si="134"/>
        <v>-2.1353112303595445</v>
      </c>
      <c r="V361" s="385">
        <f t="shared" si="135"/>
        <v>15.769650046838787</v>
      </c>
      <c r="W361" s="404">
        <f t="shared" si="136"/>
        <v>5.4820367840699449</v>
      </c>
      <c r="X361" s="157">
        <f t="shared" si="137"/>
        <v>46004</v>
      </c>
      <c r="Y361" s="387">
        <f t="shared" si="138"/>
        <v>5.1009261425054824</v>
      </c>
      <c r="Z361" s="387">
        <f t="shared" si="139"/>
        <v>5.4305822132595889</v>
      </c>
      <c r="AA361" s="388">
        <f t="shared" si="140"/>
        <v>6.2139542096887377</v>
      </c>
      <c r="AB361" s="199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0.12606658658792855</v>
      </c>
      <c r="AD361" s="233">
        <f>(INDEX(Models!$BJ361:$BT361,,AH361)*(1-AF361)+INDEX(Models!$BJ361:$BT361,,AH361+1)*AF361-ERP_i)*AE361*Ramure*Pc/MaxiM</f>
        <v>0.27278577945791888</v>
      </c>
      <c r="AE361" s="307">
        <f t="shared" si="142"/>
        <v>1</v>
      </c>
      <c r="AF361" s="179">
        <f t="shared" si="143"/>
        <v>0.79967136256402593</v>
      </c>
      <c r="AG361" s="837">
        <f t="shared" si="149"/>
        <v>2</v>
      </c>
      <c r="AH361" s="178">
        <f t="shared" si="144"/>
        <v>8</v>
      </c>
      <c r="AI361" s="227">
        <f t="shared" si="145"/>
        <v>2.7996713625640259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46005</v>
      </c>
      <c r="B362" s="1139">
        <f>IF(t&gt;Tmaj,'2024'!Wh/'2024'!Env_an*'2025'!Env_an,0.001*'[14]mon-tableau (2)'!$B$221)</f>
        <v>12.913544116270465</v>
      </c>
      <c r="C362" s="866"/>
      <c r="D362" s="395">
        <f t="shared" si="127"/>
        <v>13.748423923262436</v>
      </c>
      <c r="E362" s="387">
        <f t="shared" si="150"/>
        <v>14.90713647920796</v>
      </c>
      <c r="F362" s="387">
        <f t="shared" si="128"/>
        <v>15.020223838800449</v>
      </c>
      <c r="G362" s="110">
        <f t="shared" si="151"/>
        <v>0.81943012253671021</v>
      </c>
      <c r="H362" s="414" t="b">
        <f>Wh_hp&gt;='2024'!Maxi_hp</f>
        <v>0</v>
      </c>
      <c r="I362" s="392">
        <f>IF(H362,Wh_hp,'2024'!Maxi_hp)</f>
        <v>18.47305077116031</v>
      </c>
      <c r="J362" s="85">
        <f>IF(H362,An,'2024'!An_max)</f>
        <v>2021</v>
      </c>
      <c r="K362" s="199">
        <f t="shared" si="129"/>
        <v>46005</v>
      </c>
      <c r="L362" s="147">
        <f>IF(t&lt;Tvie,1-EXP((T0-t)*PertePVj)+'2024'!Pspv,1-EXP((T0-t)*PertePVj)+Pspv)</f>
        <v>6.0725492001984849E-2</v>
      </c>
      <c r="M362" s="870"/>
      <c r="N362" s="870"/>
      <c r="O362" s="48">
        <f>IF(t&lt;Tnet,'2024'!Resal+('2024'!Salim-'2024'!Resal)*(1-EXP(('2024'!Tnet-t)/('2024'!Tau_j))),Resal+(Salim-Resal)*(1-EXP((Tnet-t)/(Tau_j))))*Salcycl</f>
        <v>7.7728714536266702E-2</v>
      </c>
      <c r="P362" s="171">
        <f>(INDEX(Models!$BJ362:$BT362,,T362)*(1-R362)+INDEX(Models!$BJ362:$BT362,,T362+1)*R362-ERP_i)*Q362*Ramure*Pc/MaxiM</f>
        <v>1.0104839906389756E-2</v>
      </c>
      <c r="Q362" s="307">
        <f t="shared" si="130"/>
        <v>1</v>
      </c>
      <c r="R362" s="179">
        <f t="shared" si="131"/>
        <v>0.86470228002905269</v>
      </c>
      <c r="S362" s="837">
        <f t="shared" si="132"/>
        <v>-3</v>
      </c>
      <c r="T362" s="178">
        <f t="shared" si="133"/>
        <v>3</v>
      </c>
      <c r="U362" s="253">
        <f t="shared" si="134"/>
        <v>-2.1352977199709473</v>
      </c>
      <c r="V362" s="385">
        <f t="shared" si="135"/>
        <v>15.718275765793878</v>
      </c>
      <c r="W362" s="404">
        <f t="shared" si="136"/>
        <v>12.913544116270465</v>
      </c>
      <c r="X362" s="157">
        <f t="shared" si="137"/>
        <v>46005</v>
      </c>
      <c r="Y362" s="387">
        <f t="shared" si="138"/>
        <v>9.8115187938035024</v>
      </c>
      <c r="Z362" s="387">
        <f t="shared" si="139"/>
        <v>10.445848056406781</v>
      </c>
      <c r="AA362" s="388">
        <f t="shared" si="140"/>
        <v>11.953368355120769</v>
      </c>
      <c r="AB362" s="199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0.12611677762512627</v>
      </c>
      <c r="AD362" s="233">
        <f>(INDEX(Models!$BJ362:$BT362,,AH362)*(1-AF362)+INDEX(Models!$BJ362:$BT362,,AH362+1)*AF362-ERP_i)*AE362*Ramure*Pc/MaxiM</f>
        <v>0.27403667209394089</v>
      </c>
      <c r="AE362" s="307">
        <f t="shared" si="142"/>
        <v>1</v>
      </c>
      <c r="AF362" s="179">
        <f t="shared" si="143"/>
        <v>0.79968487295262314</v>
      </c>
      <c r="AG362" s="837">
        <f t="shared" si="149"/>
        <v>2</v>
      </c>
      <c r="AH362" s="178">
        <f t="shared" si="144"/>
        <v>8</v>
      </c>
      <c r="AI362" s="227">
        <f t="shared" si="145"/>
        <v>2.7996848729526231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46006</v>
      </c>
      <c r="B363" s="1139">
        <f>IF(t&gt;Tmaj,'2024'!Wh/'2024'!Env_an*'2025'!Env_an,0.001*'[14]mon-tableau (2)'!$B$222)</f>
        <v>6.3336661653304072</v>
      </c>
      <c r="C363" s="866"/>
      <c r="D363" s="395">
        <f t="shared" si="127"/>
        <v>6.7433040165490095</v>
      </c>
      <c r="E363" s="387">
        <f t="shared" si="150"/>
        <v>7.3128969466678075</v>
      </c>
      <c r="F363" s="387">
        <f t="shared" si="128"/>
        <v>7.3238791172661077</v>
      </c>
      <c r="G363" s="110">
        <f t="shared" si="151"/>
        <v>0.40058804793468117</v>
      </c>
      <c r="H363" s="414" t="b">
        <f>Wh_hp&gt;='2024'!Maxi_hp</f>
        <v>0</v>
      </c>
      <c r="I363" s="392">
        <f>IF(H363,Wh_hp,'2024'!Maxi_hp)</f>
        <v>17.873939107740306</v>
      </c>
      <c r="J363" s="85">
        <f>IF(H363,An,'2024'!An_max)</f>
        <v>2021</v>
      </c>
      <c r="K363" s="199">
        <f t="shared" si="129"/>
        <v>46006</v>
      </c>
      <c r="L363" s="147">
        <f>IF(t&lt;Tvie,1-EXP((T0-t)*PertePVj)+'2024'!Pspv,1-EXP((T0-t)*PertePVj)+Pspv)</f>
        <v>6.0747350291977642E-2</v>
      </c>
      <c r="M363" s="870"/>
      <c r="N363" s="870"/>
      <c r="O363" s="48">
        <f>IF(t&lt;Tnet,'2024'!Resal+('2024'!Salim-'2024'!Resal)*(1-EXP(('2024'!Tnet-t)/('2024'!Tau_j))),Resal+(Salim-Resal)*(1-EXP((Tnet-t)/(Tau_j))))*Salcycl</f>
        <v>7.7888822209964029E-2</v>
      </c>
      <c r="P363" s="171">
        <f>(INDEX(Models!$BJ363:$BT363,,T363)*(1-R363)+INDEX(Models!$BJ363:$BT363,,T363+1)*R363-ERP_i)*Q363*Ramure*Pc/MaxiM</f>
        <v>1.0086688731275604E-2</v>
      </c>
      <c r="Q363" s="307">
        <f t="shared" si="130"/>
        <v>1</v>
      </c>
      <c r="R363" s="179">
        <f t="shared" si="131"/>
        <v>0.86471524694001189</v>
      </c>
      <c r="S363" s="837">
        <f t="shared" si="132"/>
        <v>-3</v>
      </c>
      <c r="T363" s="178">
        <f t="shared" si="133"/>
        <v>3</v>
      </c>
      <c r="U363" s="253">
        <f t="shared" si="134"/>
        <v>-2.1352847530599881</v>
      </c>
      <c r="V363" s="385">
        <f t="shared" si="135"/>
        <v>15.674946232226013</v>
      </c>
      <c r="W363" s="404">
        <f t="shared" si="136"/>
        <v>6.3336661653304072</v>
      </c>
      <c r="X363" s="157">
        <f t="shared" si="137"/>
        <v>46006</v>
      </c>
      <c r="Y363" s="387">
        <f t="shared" si="138"/>
        <v>5.765234175002794</v>
      </c>
      <c r="Z363" s="387">
        <f t="shared" si="139"/>
        <v>6.1381079699854819</v>
      </c>
      <c r="AA363" s="388">
        <f t="shared" si="140"/>
        <v>7.0243706280323313</v>
      </c>
      <c r="AB363" s="199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0.12616968906936923</v>
      </c>
      <c r="AD363" s="233">
        <f>(INDEX(Models!$BJ363:$BT363,,AH363)*(1-AF363)+INDEX(Models!$BJ363:$BT363,,AH363+1)*AF363-ERP_i)*AE363*Ramure*Pc/MaxiM</f>
        <v>0.2750866849348752</v>
      </c>
      <c r="AE363" s="307">
        <f t="shared" si="142"/>
        <v>1</v>
      </c>
      <c r="AF363" s="179">
        <f t="shared" si="143"/>
        <v>0.79969783986358234</v>
      </c>
      <c r="AG363" s="837">
        <f t="shared" si="149"/>
        <v>2</v>
      </c>
      <c r="AH363" s="178">
        <f t="shared" si="144"/>
        <v>8</v>
      </c>
      <c r="AI363" s="227">
        <f t="shared" si="145"/>
        <v>2.7996978398635823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46007</v>
      </c>
      <c r="B364" s="1139">
        <f>IF(t&gt;Tmaj,'2024'!Wh/'2024'!Env_an*'2025'!Env_an,0.001*'[14]mon-tableau (2)'!$B$223)</f>
        <v>5.5940404883117285</v>
      </c>
      <c r="C364" s="866"/>
      <c r="D364" s="395">
        <f t="shared" si="127"/>
        <v>5.9559807199637458</v>
      </c>
      <c r="E364" s="387">
        <f t="shared" si="150"/>
        <v>6.4602006536960586</v>
      </c>
      <c r="F364" s="387">
        <f t="shared" si="128"/>
        <v>6.4655654655359527</v>
      </c>
      <c r="G364" s="110">
        <f t="shared" si="151"/>
        <v>0.35437284851377293</v>
      </c>
      <c r="H364" s="414" t="b">
        <f>Wh_hp&gt;='2024'!Maxi_hp</f>
        <v>0</v>
      </c>
      <c r="I364" s="392">
        <f>IF(H364,Wh_hp,'2024'!Maxi_hp)</f>
        <v>18.022426039936903</v>
      </c>
      <c r="J364" s="85">
        <f>IF(H364,An,'2024'!An_max)</f>
        <v>2021</v>
      </c>
      <c r="K364" s="199">
        <f t="shared" si="129"/>
        <v>46007</v>
      </c>
      <c r="L364" s="147">
        <f>IF(t&lt;Tvie,1-EXP((T0-t)*PertePVj)+'2024'!Pspv,1-EXP((T0-t)*PertePVj)+Pspv)</f>
        <v>6.0769208073296221E-2</v>
      </c>
      <c r="M364" s="870"/>
      <c r="N364" s="870"/>
      <c r="O364" s="48">
        <f>IF(t&lt;Tnet,'2024'!Resal+('2024'!Salim-'2024'!Resal)*(1-EXP(('2024'!Tnet-t)/('2024'!Tau_j))),Resal+(Salim-Resal)*(1-EXP((Tnet-t)/(Tau_j))))*Salcycl</f>
        <v>7.8050197008019434E-2</v>
      </c>
      <c r="P364" s="171">
        <f>(INDEX(Models!$BJ364:$BT364,,T364)*(1-R364)+INDEX(Models!$BJ364:$BT364,,T364+1)*R364-ERP_i)*Q364*Ramure*Pc/MaxiM</f>
        <v>1.0069703261418941E-2</v>
      </c>
      <c r="Q364" s="307">
        <f t="shared" si="130"/>
        <v>1</v>
      </c>
      <c r="R364" s="179">
        <f t="shared" si="131"/>
        <v>0.86472769221669488</v>
      </c>
      <c r="S364" s="837">
        <f t="shared" si="132"/>
        <v>-3</v>
      </c>
      <c r="T364" s="178">
        <f t="shared" si="133"/>
        <v>3</v>
      </c>
      <c r="U364" s="253">
        <f t="shared" si="134"/>
        <v>-2.1352723077833051</v>
      </c>
      <c r="V364" s="385">
        <f t="shared" si="135"/>
        <v>15.639767330482478</v>
      </c>
      <c r="W364" s="404">
        <f t="shared" si="136"/>
        <v>5.5940404883117285</v>
      </c>
      <c r="X364" s="157">
        <f t="shared" si="137"/>
        <v>46007</v>
      </c>
      <c r="Y364" s="387">
        <f t="shared" si="138"/>
        <v>5.1854905064546477</v>
      </c>
      <c r="Z364" s="387">
        <f t="shared" si="139"/>
        <v>5.5209971298080225</v>
      </c>
      <c r="AA364" s="388">
        <f t="shared" si="140"/>
        <v>6.3185582072149167</v>
      </c>
      <c r="AB364" s="199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0.12622516897861136</v>
      </c>
      <c r="AD364" s="233">
        <f>(INDEX(Models!$BJ364:$BT364,,AH364)*(1-AF364)+INDEX(Models!$BJ364:$BT364,,AH364+1)*AF364-ERP_i)*AE364*Ramure*Pc/MaxiM</f>
        <v>0.27593129316474868</v>
      </c>
      <c r="AE364" s="307">
        <f t="shared" si="142"/>
        <v>1</v>
      </c>
      <c r="AF364" s="179">
        <f t="shared" si="143"/>
        <v>0.79971028514026532</v>
      </c>
      <c r="AG364" s="837">
        <f t="shared" si="149"/>
        <v>2</v>
      </c>
      <c r="AH364" s="178">
        <f t="shared" si="144"/>
        <v>8</v>
      </c>
      <c r="AI364" s="227">
        <f t="shared" si="145"/>
        <v>2.7997102851402653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46008</v>
      </c>
      <c r="B365" s="1139">
        <f>IF(t&gt;Tmaj,'2024'!Wh/'2024'!Env_an*'2025'!Env_an,0.001*'[14]mon-tableau (2)'!$B$224)</f>
        <v>3.4675341901930823</v>
      </c>
      <c r="C365" s="866"/>
      <c r="D365" s="395">
        <f t="shared" si="127"/>
        <v>3.6919731725830829</v>
      </c>
      <c r="E365" s="387">
        <f t="shared" si="150"/>
        <v>4.0052335129059431</v>
      </c>
      <c r="F365" s="387">
        <f t="shared" si="128"/>
        <v>4.0052335129059431</v>
      </c>
      <c r="G365" s="110">
        <f t="shared" si="151"/>
        <v>0.21986204944467258</v>
      </c>
      <c r="H365" s="414" t="b">
        <f>Wh_hp&gt;='2024'!Maxi_hp</f>
        <v>0</v>
      </c>
      <c r="I365" s="392">
        <f>IF(H365,Wh_hp,'2024'!Maxi_hp)</f>
        <v>18.022391356123773</v>
      </c>
      <c r="J365" s="85">
        <f>IF(H365,An,'2024'!An_max)</f>
        <v>2021</v>
      </c>
      <c r="K365" s="199">
        <f t="shared" si="129"/>
        <v>46008</v>
      </c>
      <c r="L365" s="147">
        <f>IF(t&lt;Tvie,1-EXP((T0-t)*PertePVj)+'2024'!Pspv,1-EXP((T0-t)*PertePVj)+Pspv)</f>
        <v>6.0791065345952133E-2</v>
      </c>
      <c r="M365" s="870"/>
      <c r="N365" s="870"/>
      <c r="O365" s="48">
        <f>IF(t&lt;Tnet,'2024'!Resal+('2024'!Salim-'2024'!Resal)*(1-EXP(('2024'!Tnet-t)/('2024'!Tau_j))),Resal+(Salim-Resal)*(1-EXP((Tnet-t)/(Tau_j))))*Salcycl</f>
        <v>7.8212753217371908E-2</v>
      </c>
      <c r="P365" s="171">
        <f>(INDEX(Models!$BJ365:$BT365,,T365)*(1-R365)+INDEX(Models!$BJ365:$BT365,,T365+1)*R365-ERP_i)*Q365*Ramure*Pc/MaxiM</f>
        <v>1.0053869300450807E-2</v>
      </c>
      <c r="Q365" s="307">
        <f t="shared" si="130"/>
        <v>1</v>
      </c>
      <c r="R365" s="179">
        <f t="shared" si="131"/>
        <v>0.8647396368260325</v>
      </c>
      <c r="S365" s="837">
        <f t="shared" si="132"/>
        <v>-3</v>
      </c>
      <c r="T365" s="178">
        <f t="shared" si="133"/>
        <v>3</v>
      </c>
      <c r="U365" s="253">
        <f t="shared" si="134"/>
        <v>-2.1352603631739675</v>
      </c>
      <c r="V365" s="385">
        <f t="shared" si="135"/>
        <v>15.612844796636244</v>
      </c>
      <c r="W365" s="404">
        <f t="shared" si="136"/>
        <v>3.4675341901930823</v>
      </c>
      <c r="X365" s="157">
        <f t="shared" si="137"/>
        <v>46008</v>
      </c>
      <c r="Y365" s="387">
        <f t="shared" si="138"/>
        <v>3.2867056447921374</v>
      </c>
      <c r="Z365" s="387">
        <f t="shared" si="139"/>
        <v>3.4994403518986714</v>
      </c>
      <c r="AA365" s="388">
        <f t="shared" si="140"/>
        <v>4.0052335129059431</v>
      </c>
      <c r="AB365" s="199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0.12628306424019226</v>
      </c>
      <c r="AD365" s="233">
        <f>(INDEX(Models!$BJ365:$BT365,,AH365)*(1-AF365)+INDEX(Models!$BJ365:$BT365,,AH365+1)*AF365-ERP_i)*AE365*Ramure*Pc/MaxiM</f>
        <v>0.27656654406385772</v>
      </c>
      <c r="AE365" s="307">
        <f t="shared" si="142"/>
        <v>1</v>
      </c>
      <c r="AF365" s="179">
        <f t="shared" si="143"/>
        <v>0.79972222974960294</v>
      </c>
      <c r="AG365" s="837">
        <f t="shared" si="149"/>
        <v>2</v>
      </c>
      <c r="AH365" s="178">
        <f t="shared" si="144"/>
        <v>8</v>
      </c>
      <c r="AI365" s="227">
        <f t="shared" si="145"/>
        <v>2.7997222297496029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46009</v>
      </c>
      <c r="B366" s="1139">
        <f>IF(t&gt;Tmaj,'2024'!Wh/'2024'!Env_an*'2025'!Env_an,0.001*'[14]mon-tableau (2)'!$B$225)</f>
        <v>13.500972385349423</v>
      </c>
      <c r="C366" s="866"/>
      <c r="D366" s="395">
        <f t="shared" si="127"/>
        <v>14.37516838038319</v>
      </c>
      <c r="E366" s="387">
        <f t="shared" si="150"/>
        <v>15.597656622455661</v>
      </c>
      <c r="F366" s="387">
        <f t="shared" si="128"/>
        <v>15.725289459163207</v>
      </c>
      <c r="G366" s="110">
        <f t="shared" si="151"/>
        <v>0.86408587946833759</v>
      </c>
      <c r="H366" s="414" t="b">
        <f>Wh_hp&gt;='2024'!Maxi_hp</f>
        <v>0</v>
      </c>
      <c r="I366" s="392">
        <f>IF(H366,Wh_hp,'2024'!Maxi_hp)</f>
        <v>18.412762938360004</v>
      </c>
      <c r="J366" s="85">
        <f>IF(H366,An,'2024'!An_max)</f>
        <v>2021</v>
      </c>
      <c r="K366" s="199">
        <f t="shared" si="129"/>
        <v>46009</v>
      </c>
      <c r="L366" s="147">
        <f>IF(t&lt;Tvie,1-EXP((T0-t)*PertePVj)+'2024'!Pspv,1-EXP((T0-t)*PertePVj)+Pspv)</f>
        <v>6.081292210995759E-2</v>
      </c>
      <c r="M366" s="870"/>
      <c r="N366" s="870"/>
      <c r="O366" s="48">
        <f>IF(t&lt;Tnet,'2024'!Resal+('2024'!Salim-'2024'!Resal)*(1-EXP(('2024'!Tnet-t)/('2024'!Tau_j))),Resal+(Salim-Resal)*(1-EXP((Tnet-t)/(Tau_j))))*Salcycl</f>
        <v>7.8376404331947896E-2</v>
      </c>
      <c r="P366" s="171">
        <f>(INDEX(Models!$BJ366:$BT366,,T366)*(1-R366)+INDEX(Models!$BJ366:$BT366,,T366+1)*R366-ERP_i)*Q366*Ramure*Pc/MaxiM</f>
        <v>1.0042097074225277E-2</v>
      </c>
      <c r="Q366" s="307">
        <f t="shared" si="130"/>
        <v>1</v>
      </c>
      <c r="R366" s="179">
        <f t="shared" si="131"/>
        <v>0.86475110089356955</v>
      </c>
      <c r="S366" s="837">
        <f t="shared" si="132"/>
        <v>-3</v>
      </c>
      <c r="T366" s="178">
        <f t="shared" si="133"/>
        <v>3</v>
      </c>
      <c r="U366" s="253">
        <f t="shared" si="134"/>
        <v>-2.1352488991064305</v>
      </c>
      <c r="V366" s="385">
        <f t="shared" si="135"/>
        <v>15.594238099897737</v>
      </c>
      <c r="W366" s="404">
        <f t="shared" si="136"/>
        <v>13.500972385349423</v>
      </c>
      <c r="X366" s="157">
        <f t="shared" si="137"/>
        <v>46009</v>
      </c>
      <c r="Y366" s="387">
        <f t="shared" si="138"/>
        <v>10.014508542265476</v>
      </c>
      <c r="Z366" s="387">
        <f t="shared" si="139"/>
        <v>10.662953929012584</v>
      </c>
      <c r="AA366" s="388">
        <f t="shared" si="140"/>
        <v>12.204969035892116</v>
      </c>
      <c r="AB366" s="199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0.12634322154729005</v>
      </c>
      <c r="AD366" s="233">
        <f>(INDEX(Models!$BJ366:$BT366,,AH366)*(1-AF366)+INDEX(Models!$BJ366:$BT366,,AH366+1)*AF366-ERP_i)*AE366*Ramure*Pc/MaxiM</f>
        <v>0.27697730721028613</v>
      </c>
      <c r="AE366" s="307">
        <f t="shared" si="142"/>
        <v>1</v>
      </c>
      <c r="AF366" s="179">
        <f t="shared" si="143"/>
        <v>0.79973369381713999</v>
      </c>
      <c r="AG366" s="837">
        <f t="shared" si="149"/>
        <v>2</v>
      </c>
      <c r="AH366" s="178">
        <f t="shared" si="144"/>
        <v>8</v>
      </c>
      <c r="AI366" s="227">
        <f t="shared" si="145"/>
        <v>2.79973369381714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46010</v>
      </c>
      <c r="B367" s="1139">
        <f>IF(t&gt;Tmaj,'2024'!Wh/'2024'!Env_an*'2025'!Env_an,0.001*'[14]mon-tableau (2)'!$B$226)</f>
        <v>13.241176149001033</v>
      </c>
      <c r="C367" s="866"/>
      <c r="D367" s="395">
        <f t="shared" si="127"/>
        <v>14.098878284647228</v>
      </c>
      <c r="E367" s="387">
        <f t="shared" si="150"/>
        <v>15.300603996963881</v>
      </c>
      <c r="F367" s="387">
        <f t="shared" si="128"/>
        <v>15.422076585756784</v>
      </c>
      <c r="G367" s="110">
        <f t="shared" si="151"/>
        <v>0.84781393788552595</v>
      </c>
      <c r="H367" s="414" t="b">
        <f>Wh_hp&gt;='2024'!Maxi_hp</f>
        <v>0</v>
      </c>
      <c r="I367" s="392">
        <f>IF(H367,Wh_hp,'2024'!Maxi_hp)</f>
        <v>17.957139739546754</v>
      </c>
      <c r="J367" s="85">
        <f>IF(H367,An,'2024'!An_max)</f>
        <v>2021</v>
      </c>
      <c r="K367" s="199">
        <f t="shared" si="129"/>
        <v>46010</v>
      </c>
      <c r="L367" s="147">
        <f>IF(t&lt;Tvie,1-EXP((T0-t)*PertePVj)+'2024'!Pspv,1-EXP((T0-t)*PertePVj)+Pspv)</f>
        <v>6.0834778365324027E-2</v>
      </c>
      <c r="M367" s="870"/>
      <c r="N367" s="870"/>
      <c r="O367" s="48">
        <f>IF(t&lt;Tnet,'2024'!Resal+('2024'!Salim-'2024'!Resal)*(1-EXP(('2024'!Tnet-t)/('2024'!Tau_j))),Resal+(Salim-Resal)*(1-EXP((Tnet-t)/(Tau_j))))*Salcycl</f>
        <v>7.8541063643965542E-2</v>
      </c>
      <c r="P367" s="171">
        <f>(INDEX(Models!$BJ367:$BT367,,T367)*(1-R367)+INDEX(Models!$BJ367:$BT367,,T367+1)*R367-ERP_i)*Q367*Ramure*Pc/MaxiM</f>
        <v>1.0030906210624562E-2</v>
      </c>
      <c r="Q367" s="307">
        <f t="shared" si="130"/>
        <v>1</v>
      </c>
      <c r="R367" s="179">
        <f t="shared" si="131"/>
        <v>0.86476210373712226</v>
      </c>
      <c r="S367" s="837">
        <f t="shared" si="132"/>
        <v>-3</v>
      </c>
      <c r="T367" s="178">
        <f t="shared" si="133"/>
        <v>3</v>
      </c>
      <c r="U367" s="253">
        <f t="shared" si="134"/>
        <v>-2.1352378962628777</v>
      </c>
      <c r="V367" s="385">
        <f t="shared" si="135"/>
        <v>15.58410723278055</v>
      </c>
      <c r="W367" s="404">
        <f t="shared" si="136"/>
        <v>13.241176149001033</v>
      </c>
      <c r="X367" s="157">
        <f t="shared" si="137"/>
        <v>46010</v>
      </c>
      <c r="Y367" s="387">
        <f t="shared" si="138"/>
        <v>9.8987111691144172</v>
      </c>
      <c r="Z367" s="387">
        <f t="shared" si="139"/>
        <v>10.539903886011761</v>
      </c>
      <c r="AA367" s="388">
        <f t="shared" si="140"/>
        <v>12.064984092015628</v>
      </c>
      <c r="AB367" s="199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0.12640548834317455</v>
      </c>
      <c r="AD367" s="233">
        <f>(INDEX(Models!$BJ367:$BT367,,AH367)*(1-AF367)+INDEX(Models!$BJ367:$BT367,,AH367+1)*AF367-ERP_i)*AE367*Ramure*Pc/MaxiM</f>
        <v>0.2772204023948231</v>
      </c>
      <c r="AE367" s="307">
        <f t="shared" si="142"/>
        <v>1</v>
      </c>
      <c r="AF367" s="179">
        <f t="shared" si="143"/>
        <v>0.7997446966606927</v>
      </c>
      <c r="AG367" s="837">
        <f t="shared" si="149"/>
        <v>2</v>
      </c>
      <c r="AH367" s="178">
        <f t="shared" si="144"/>
        <v>8</v>
      </c>
      <c r="AI367" s="227">
        <f t="shared" si="145"/>
        <v>2.7997446966606927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46011</v>
      </c>
      <c r="B368" s="1139">
        <f>IF(t&gt;Tmaj,'2024'!Wh/'2024'!Env_an*'2025'!Env_an,0.001*'[14]mon-tableau (2)'!$B$227)</f>
        <v>4.2083225966984656</v>
      </c>
      <c r="C368" s="866"/>
      <c r="D368" s="395">
        <f t="shared" si="127"/>
        <v>4.4810225462430884</v>
      </c>
      <c r="E368" s="387">
        <f t="shared" si="150"/>
        <v>4.8638389944223199</v>
      </c>
      <c r="F368" s="387">
        <f t="shared" si="128"/>
        <v>4.8638389944223199</v>
      </c>
      <c r="G368" s="110">
        <f t="shared" si="151"/>
        <v>0.26736009694574131</v>
      </c>
      <c r="H368" s="414" t="b">
        <f>Wh_hp&gt;='2024'!Maxi_hp</f>
        <v>0</v>
      </c>
      <c r="I368" s="392">
        <f>IF(H368,Wh_hp,'2024'!Maxi_hp)</f>
        <v>18.802231330650311</v>
      </c>
      <c r="J368" s="85">
        <f>IF(H368,An,'2024'!An_max)</f>
        <v>2021</v>
      </c>
      <c r="K368" s="199">
        <f t="shared" si="129"/>
        <v>46011</v>
      </c>
      <c r="L368" s="147">
        <f>IF(t&lt;Tvie,1-EXP((T0-t)*PertePVj)+'2024'!Pspv,1-EXP((T0-t)*PertePVj)+Pspv)</f>
        <v>6.0856634112063546E-2</v>
      </c>
      <c r="M368" s="870"/>
      <c r="N368" s="870"/>
      <c r="O368" s="48">
        <f>IF(t&lt;Tnet,'2024'!Resal+('2024'!Salim-'2024'!Resal)*(1-EXP(('2024'!Tnet-t)/('2024'!Tau_j))),Resal+(Salim-Resal)*(1-EXP((Tnet-t)/(Tau_j))))*Salcycl</f>
        <v>7.8706644816621582E-2</v>
      </c>
      <c r="P368" s="171">
        <f>(INDEX(Models!$BJ368:$BT368,,T368)*(1-R368)+INDEX(Models!$BJ368:$BT368,,T368+1)*R368-ERP_i)*Q368*Ramure*Pc/MaxiM</f>
        <v>1.0020269275740226E-2</v>
      </c>
      <c r="Q368" s="307">
        <f t="shared" si="130"/>
        <v>1</v>
      </c>
      <c r="R368" s="179">
        <f t="shared" si="131"/>
        <v>0.86477266389909602</v>
      </c>
      <c r="S368" s="837">
        <f t="shared" si="132"/>
        <v>-3</v>
      </c>
      <c r="T368" s="178">
        <f t="shared" si="133"/>
        <v>3</v>
      </c>
      <c r="U368" s="253">
        <f t="shared" si="134"/>
        <v>-2.135227336100904</v>
      </c>
      <c r="V368" s="385">
        <f t="shared" si="135"/>
        <v>15.582557452190983</v>
      </c>
      <c r="W368" s="404">
        <f t="shared" si="136"/>
        <v>4.2083225966984656</v>
      </c>
      <c r="X368" s="157">
        <f t="shared" si="137"/>
        <v>46011</v>
      </c>
      <c r="Y368" s="387">
        <f t="shared" si="138"/>
        <v>3.9901484385429842</v>
      </c>
      <c r="Z368" s="387">
        <f t="shared" si="139"/>
        <v>4.2487106691856349</v>
      </c>
      <c r="AA368" s="388">
        <f t="shared" si="140"/>
        <v>4.8638389944223199</v>
      </c>
      <c r="AB368" s="199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0.12646971372656307</v>
      </c>
      <c r="AD368" s="233">
        <f>(INDEX(Models!$BJ368:$BT368,,AH368)*(1-AF368)+INDEX(Models!$BJ368:$BT368,,AH368+1)*AF368-ERP_i)*AE368*Ramure*Pc/MaxiM</f>
        <v>0.27729384643983396</v>
      </c>
      <c r="AE368" s="307">
        <f t="shared" si="142"/>
        <v>1</v>
      </c>
      <c r="AF368" s="179">
        <f t="shared" si="143"/>
        <v>0.79975525682266646</v>
      </c>
      <c r="AG368" s="837">
        <f t="shared" si="149"/>
        <v>2</v>
      </c>
      <c r="AH368" s="178">
        <f t="shared" si="144"/>
        <v>8</v>
      </c>
      <c r="AI368" s="227">
        <f t="shared" si="145"/>
        <v>2.7997552568226665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46012</v>
      </c>
      <c r="B369" s="1139">
        <f>IF(t&gt;Tmaj,'2024'!Wh/'2024'!Env_an*'2025'!Env_an,0.001*'[14]mon-tableau (2)'!$B$228)</f>
        <v>15.341373908062968</v>
      </c>
      <c r="C369" s="866"/>
      <c r="D369" s="395">
        <f t="shared" si="127"/>
        <v>16.335877449391738</v>
      </c>
      <c r="E369" s="387">
        <f t="shared" si="150"/>
        <v>17.734664771129818</v>
      </c>
      <c r="F369" s="387">
        <f t="shared" si="128"/>
        <v>17.909865836496117</v>
      </c>
      <c r="G369" s="110">
        <f t="shared" si="151"/>
        <v>0.98384516529103394</v>
      </c>
      <c r="H369" s="414" t="b">
        <f>Wh_hp&gt;='2024'!Maxi_hp</f>
        <v>1</v>
      </c>
      <c r="I369" s="392">
        <f>IF(H369,Wh_hp,'2024'!Maxi_hp)</f>
        <v>17.909865836496117</v>
      </c>
      <c r="J369" s="85">
        <f>IF(H369,An,'2024'!An_max)</f>
        <v>2025</v>
      </c>
      <c r="K369" s="199">
        <f t="shared" si="129"/>
        <v>46012</v>
      </c>
      <c r="L369" s="147">
        <f>IF(t&lt;Tvie,1-EXP((T0-t)*PertePVj)+'2024'!Pspv,1-EXP((T0-t)*PertePVj)+Pspv)</f>
        <v>6.0878489350187914E-2</v>
      </c>
      <c r="M369" s="870"/>
      <c r="N369" s="870"/>
      <c r="O369" s="48">
        <f>IF(t&lt;Tnet,'2024'!Resal+('2024'!Salim-'2024'!Resal)*(1-EXP(('2024'!Tnet-t)/('2024'!Tau_j))),Resal+(Salim-Resal)*(1-EXP((Tnet-t)/(Tau_j))))*Salcycl</f>
        <v>7.8873062433926583E-2</v>
      </c>
      <c r="P369" s="171">
        <f>(INDEX(Models!$BJ369:$BT369,,T369)*(1-R369)+INDEX(Models!$BJ369:$BT369,,T369+1)*R369-ERP_i)*Q369*Ramure*Pc/MaxiM</f>
        <v>1.0010158005328916E-2</v>
      </c>
      <c r="Q369" s="307">
        <f t="shared" si="130"/>
        <v>1</v>
      </c>
      <c r="R369" s="179">
        <f t="shared" si="131"/>
        <v>0.86478279917751788</v>
      </c>
      <c r="S369" s="837">
        <f t="shared" si="132"/>
        <v>-3</v>
      </c>
      <c r="T369" s="178">
        <f t="shared" si="133"/>
        <v>3</v>
      </c>
      <c r="U369" s="253">
        <f t="shared" si="134"/>
        <v>-2.1352172008224821</v>
      </c>
      <c r="V369" s="385">
        <f t="shared" si="135"/>
        <v>15.589693844710265</v>
      </c>
      <c r="W369" s="404">
        <f t="shared" si="136"/>
        <v>15.341373908062968</v>
      </c>
      <c r="X369" s="157">
        <f t="shared" si="137"/>
        <v>46012</v>
      </c>
      <c r="Y369" s="387">
        <f t="shared" si="138"/>
        <v>10.711570022583901</v>
      </c>
      <c r="Z369" s="387">
        <f t="shared" si="139"/>
        <v>11.40594683554014</v>
      </c>
      <c r="AA369" s="388">
        <f t="shared" si="140"/>
        <v>13.058286960861562</v>
      </c>
      <c r="AB369" s="199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0.12653574931182263</v>
      </c>
      <c r="AD369" s="233">
        <f>(INDEX(Models!$BJ369:$BT369,,AH369)*(1-AF369)+INDEX(Models!$BJ369:$BT369,,AH369+1)*AF369-ERP_i)*AE369*Ramure*Pc/MaxiM</f>
        <v>0.27719620893218555</v>
      </c>
      <c r="AE369" s="307">
        <f t="shared" si="142"/>
        <v>1</v>
      </c>
      <c r="AF369" s="179">
        <f t="shared" si="143"/>
        <v>0.79976539210108832</v>
      </c>
      <c r="AG369" s="837">
        <f t="shared" si="149"/>
        <v>2</v>
      </c>
      <c r="AH369" s="178">
        <f t="shared" si="144"/>
        <v>8</v>
      </c>
      <c r="AI369" s="227">
        <f t="shared" si="145"/>
        <v>2.7997653921010883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46013</v>
      </c>
      <c r="B370" s="1139">
        <f>IF(t&gt;Tmaj,'2024'!Wh/'2024'!Env_an*'2025'!Env_an,0.001*'[14]mon-tableau (2)'!$B$229)</f>
        <v>13.606371091817794</v>
      </c>
      <c r="C370" s="866"/>
      <c r="D370" s="395">
        <f t="shared" si="127"/>
        <v>14.488740365349123</v>
      </c>
      <c r="E370" s="387">
        <f t="shared" si="150"/>
        <v>15.732218580028521</v>
      </c>
      <c r="F370" s="387">
        <f t="shared" si="128"/>
        <v>15.861814174801099</v>
      </c>
      <c r="G370" s="110">
        <f t="shared" si="151"/>
        <v>0.87028017171804284</v>
      </c>
      <c r="H370" s="414" t="b">
        <f>Wh_hp&gt;='2024'!Maxi_hp</f>
        <v>0</v>
      </c>
      <c r="I370" s="392">
        <f>IF(H370,Wh_hp,'2024'!Maxi_hp)</f>
        <v>17.758391649876643</v>
      </c>
      <c r="J370" s="85">
        <f>IF(H370,An,'2024'!An_max)</f>
        <v>2021</v>
      </c>
      <c r="K370" s="199">
        <f t="shared" si="129"/>
        <v>46013</v>
      </c>
      <c r="L370" s="147">
        <f>IF(t&lt;Tvie,1-EXP((T0-t)*PertePVj)+'2024'!Pspv,1-EXP((T0-t)*PertePVj)+Pspv)</f>
        <v>6.0900344079709012E-2</v>
      </c>
      <c r="M370" s="870"/>
      <c r="N370" s="870"/>
      <c r="O370" s="48">
        <f>IF(t&lt;Tnet,'2024'!Resal+('2024'!Salim-'2024'!Resal)*(1-EXP(('2024'!Tnet-t)/('2024'!Tau_j))),Resal+(Salim-Resal)*(1-EXP((Tnet-t)/(Tau_j))))*Salcycl</f>
        <v>7.9040232523717127E-2</v>
      </c>
      <c r="P370" s="171">
        <f>(INDEX(Models!$BJ370:$BT370,,T370)*(1-R370)+INDEX(Models!$BJ370:$BT370,,T370+1)*R370-ERP_i)*Q370*Ramure*Pc/MaxiM</f>
        <v>1.0000543537736375E-2</v>
      </c>
      <c r="Q370" s="307">
        <f t="shared" si="130"/>
        <v>1</v>
      </c>
      <c r="R370" s="179">
        <f t="shared" si="131"/>
        <v>0.86479252665583406</v>
      </c>
      <c r="S370" s="837">
        <f t="shared" si="132"/>
        <v>-3</v>
      </c>
      <c r="T370" s="178">
        <f t="shared" si="133"/>
        <v>3</v>
      </c>
      <c r="U370" s="253">
        <f t="shared" si="134"/>
        <v>-2.1352074733441659</v>
      </c>
      <c r="V370" s="385">
        <f t="shared" si="135"/>
        <v>15.605621338260109</v>
      </c>
      <c r="W370" s="404">
        <f t="shared" si="136"/>
        <v>13.606371091817794</v>
      </c>
      <c r="X370" s="157">
        <f t="shared" si="137"/>
        <v>46013</v>
      </c>
      <c r="Y370" s="387">
        <f t="shared" si="138"/>
        <v>10.066526086863616</v>
      </c>
      <c r="Z370" s="387">
        <f t="shared" si="139"/>
        <v>10.719337424310636</v>
      </c>
      <c r="AA370" s="388">
        <f t="shared" si="140"/>
        <v>12.273162087462076</v>
      </c>
      <c r="AB370" s="199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0.12660345003825729</v>
      </c>
      <c r="AD370" s="233">
        <f>(INDEX(Models!$BJ370:$BT370,,AH370)*(1-AF370)+INDEX(Models!$BJ370:$BT370,,AH370+1)*AF370-ERP_i)*AE370*Ramure*Pc/MaxiM</f>
        <v>0.27692663091057562</v>
      </c>
      <c r="AE370" s="307">
        <f t="shared" si="142"/>
        <v>1</v>
      </c>
      <c r="AF370" s="179">
        <f t="shared" si="143"/>
        <v>0.7997751195794045</v>
      </c>
      <c r="AG370" s="837">
        <f t="shared" si="149"/>
        <v>2</v>
      </c>
      <c r="AH370" s="178">
        <f t="shared" si="144"/>
        <v>8</v>
      </c>
      <c r="AI370" s="227">
        <f t="shared" si="145"/>
        <v>2.7997751195794045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46014</v>
      </c>
      <c r="B371" s="1139">
        <f>IF(t&gt;Tmaj,'2024'!Wh/'2024'!Env_an*'2025'!Env_an,0.001*'[14]mon-tableau (2)'!$B$230)</f>
        <v>14.253666797370066</v>
      </c>
      <c r="C371" s="866"/>
      <c r="D371" s="395">
        <f t="shared" si="127"/>
        <v>15.178366235019649</v>
      </c>
      <c r="E371" s="387">
        <f t="shared" si="150"/>
        <v>16.484034873436325</v>
      </c>
      <c r="F371" s="387">
        <f t="shared" si="128"/>
        <v>16.629275482027882</v>
      </c>
      <c r="G371" s="110">
        <f t="shared" si="151"/>
        <v>0.91076019350723536</v>
      </c>
      <c r="H371" s="414" t="b">
        <f>Wh_hp&gt;='2024'!Maxi_hp</f>
        <v>1</v>
      </c>
      <c r="I371" s="392">
        <f>IF(H371,Wh_hp,'2024'!Maxi_hp)</f>
        <v>16.629275482027882</v>
      </c>
      <c r="J371" s="85">
        <f>IF(H371,An,'2024'!An_max)</f>
        <v>2025</v>
      </c>
      <c r="K371" s="199">
        <f t="shared" si="129"/>
        <v>46014</v>
      </c>
      <c r="L371" s="147">
        <f>IF(t&lt;Tvie,1-EXP((T0-t)*PertePVj)+'2024'!Pspv,1-EXP((T0-t)*PertePVj)+Pspv)</f>
        <v>6.0922198300638497E-2</v>
      </c>
      <c r="M371" s="870"/>
      <c r="N371" s="870"/>
      <c r="O371" s="48">
        <f>IF(t&lt;Tnet,'2024'!Resal+('2024'!Salim-'2024'!Resal)*(1-EXP(('2024'!Tnet-t)/('2024'!Tau_j))),Resal+(Salim-Resal)*(1-EXP((Tnet-t)/(Tau_j))))*Salcycl</f>
        <v>7.9208073050168998E-2</v>
      </c>
      <c r="P371" s="171">
        <f>(INDEX(Models!$BJ371:$BT371,,T371)*(1-R371)+INDEX(Models!$BJ371:$BT371,,T371+1)*R371-ERP_i)*Q371*Ramure*Pc/MaxiM</f>
        <v>9.9912633199799837E-3</v>
      </c>
      <c r="Q371" s="307">
        <f t="shared" si="130"/>
        <v>1</v>
      </c>
      <c r="R371" s="179">
        <f t="shared" si="131"/>
        <v>0.86479252665583406</v>
      </c>
      <c r="S371" s="837">
        <f t="shared" si="132"/>
        <v>-3</v>
      </c>
      <c r="T371" s="178">
        <f t="shared" si="133"/>
        <v>3</v>
      </c>
      <c r="U371" s="253">
        <f t="shared" si="134"/>
        <v>-2.1352074733441659</v>
      </c>
      <c r="V371" s="385">
        <f t="shared" si="135"/>
        <v>15.630446779276882</v>
      </c>
      <c r="W371" s="404">
        <f t="shared" si="136"/>
        <v>14.253666797370066</v>
      </c>
      <c r="X371" s="157">
        <f t="shared" si="137"/>
        <v>46014</v>
      </c>
      <c r="Y371" s="387">
        <f t="shared" si="138"/>
        <v>10.341814874039727</v>
      </c>
      <c r="Z371" s="387">
        <f t="shared" si="139"/>
        <v>11.012734893024954</v>
      </c>
      <c r="AA371" s="388">
        <f t="shared" si="140"/>
        <v>12.610088539319651</v>
      </c>
      <c r="AB371" s="199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0.12667267492325462</v>
      </c>
      <c r="AD371" s="233">
        <f>(INDEX(Models!$BJ371:$BT371,,AH371)*(1-AF371)+INDEX(Models!$BJ371:$BT371,,AH371+1)*AF371-ERP_i)*AE371*Ramure*Pc/MaxiM</f>
        <v>0.2764843487385244</v>
      </c>
      <c r="AE371" s="307">
        <f t="shared" si="142"/>
        <v>1</v>
      </c>
      <c r="AF371" s="179">
        <f t="shared" si="143"/>
        <v>0.7997751195794045</v>
      </c>
      <c r="AG371" s="837">
        <f t="shared" si="149"/>
        <v>2</v>
      </c>
      <c r="AH371" s="178">
        <f t="shared" si="144"/>
        <v>8</v>
      </c>
      <c r="AI371" s="227">
        <f t="shared" si="145"/>
        <v>2.7997751195794045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46015</v>
      </c>
      <c r="B372" s="1139">
        <f>IF(t&gt;Tmaj,'2024'!Wh/'2024'!Env_an*'2025'!Env_an,0.001*'[14]mon-tableau (2)'!$B$231)</f>
        <v>16.225204911765029</v>
      </c>
      <c r="C372" s="866"/>
      <c r="D372" s="395">
        <f t="shared" si="127"/>
        <v>17.278208978438254</v>
      </c>
      <c r="E372" s="387">
        <f t="shared" si="150"/>
        <v>18.767942661142577</v>
      </c>
      <c r="F372" s="387">
        <f t="shared" si="128"/>
        <v>18.957181052151117</v>
      </c>
      <c r="G372" s="110">
        <f t="shared" si="151"/>
        <v>1.0358096498659237</v>
      </c>
      <c r="H372" s="414" t="b">
        <f>Wh_hp&gt;='2024'!Maxi_hp</f>
        <v>1</v>
      </c>
      <c r="I372" s="392">
        <f>IF(H372,Wh_hp,'2024'!Maxi_hp)</f>
        <v>18.957181052151117</v>
      </c>
      <c r="J372" s="85">
        <f>IF(H372,An,'2024'!An_max)</f>
        <v>2025</v>
      </c>
      <c r="K372" s="199">
        <f t="shared" si="129"/>
        <v>46015</v>
      </c>
      <c r="L372" s="147">
        <f>IF(t&lt;Tvie,1-EXP((T0-t)*PertePVj)+'2024'!Pspv,1-EXP((T0-t)*PertePVj)+Pspv)</f>
        <v>6.094405201298847E-2</v>
      </c>
      <c r="M372" s="870"/>
      <c r="N372" s="870"/>
      <c r="O372" s="48">
        <f>IF(t&lt;Tnet,'2024'!Resal+('2024'!Salim-'2024'!Resal)*(1-EXP(('2024'!Tnet-t)/('2024'!Tau_j))),Resal+(Salim-Resal)*(1-EXP((Tnet-t)/(Tau_j))))*Salcycl</f>
        <v>7.9376504372463255E-2</v>
      </c>
      <c r="P372" s="171">
        <f>(INDEX(Models!$BJ372:$BT372,,T372)*(1-R372)+INDEX(Models!$BJ372:$BT372,,T372+1)*R372-ERP_i)*Q372*Ramure*Pc/MaxiM</f>
        <v>9.9824119676837058E-3</v>
      </c>
      <c r="Q372" s="307">
        <f t="shared" si="130"/>
        <v>1</v>
      </c>
      <c r="R372" s="179">
        <f t="shared" si="131"/>
        <v>0.86479252665583406</v>
      </c>
      <c r="S372" s="837">
        <f t="shared" si="132"/>
        <v>-3</v>
      </c>
      <c r="T372" s="178">
        <f t="shared" si="133"/>
        <v>3</v>
      </c>
      <c r="U372" s="253">
        <f t="shared" si="134"/>
        <v>-2.1352074733441659</v>
      </c>
      <c r="V372" s="385">
        <f t="shared" si="135"/>
        <v>15.664272787828571</v>
      </c>
      <c r="W372" s="404">
        <f t="shared" si="136"/>
        <v>16.225204911765029</v>
      </c>
      <c r="X372" s="157">
        <f t="shared" si="137"/>
        <v>46015</v>
      </c>
      <c r="Y372" s="387">
        <f t="shared" si="138"/>
        <v>11.257030158062035</v>
      </c>
      <c r="Z372" s="387">
        <f t="shared" si="139"/>
        <v>11.987603275601355</v>
      </c>
      <c r="AA372" s="388">
        <f t="shared" si="140"/>
        <v>13.727467659284672</v>
      </c>
      <c r="AB372" s="199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0.12674328775464613</v>
      </c>
      <c r="AD372" s="233">
        <f>(INDEX(Models!$BJ372:$BT372,,AH372)*(1-AF372)+INDEX(Models!$BJ372:$BT372,,AH372+1)*AF372-ERP_i)*AE372*Ramure*Pc/MaxiM</f>
        <v>0.27586978140260038</v>
      </c>
      <c r="AE372" s="307">
        <f t="shared" si="142"/>
        <v>1</v>
      </c>
      <c r="AF372" s="179">
        <f t="shared" si="143"/>
        <v>0.7997751195794045</v>
      </c>
      <c r="AG372" s="837">
        <f t="shared" si="149"/>
        <v>2</v>
      </c>
      <c r="AH372" s="178">
        <f t="shared" si="144"/>
        <v>8</v>
      </c>
      <c r="AI372" s="227">
        <f t="shared" si="145"/>
        <v>2.7997751195794045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46016</v>
      </c>
      <c r="B373" s="1139">
        <f>IF(t&gt;Tmaj,'2024'!Wh/'2024'!Env_an*'2025'!Env_an,0.001*'[14]mon-tableau (2)'!$B$232)</f>
        <v>9.1686322227293449</v>
      </c>
      <c r="C373" s="866"/>
      <c r="D373" s="395">
        <f t="shared" si="127"/>
        <v>9.7638970444900313</v>
      </c>
      <c r="E373" s="387">
        <f t="shared" si="150"/>
        <v>10.607690560010292</v>
      </c>
      <c r="F373" s="387">
        <f t="shared" si="128"/>
        <v>10.650744978099274</v>
      </c>
      <c r="G373" s="110">
        <f t="shared" si="151"/>
        <v>0.58023548413175285</v>
      </c>
      <c r="H373" s="414" t="b">
        <f>Wh_hp&gt;='2024'!Maxi_hp</f>
        <v>0</v>
      </c>
      <c r="I373" s="392">
        <f>IF(H373,Wh_hp,'2024'!Maxi_hp)</f>
        <v>13.907050225818837</v>
      </c>
      <c r="J373" s="85">
        <f>IF(H373,An,'2024'!An_max)</f>
        <v>2018</v>
      </c>
      <c r="K373" s="199">
        <f t="shared" si="129"/>
        <v>46016</v>
      </c>
      <c r="L373" s="147">
        <f>IF(t&lt;Tvie,1-EXP((T0-t)*PertePVj)+'2024'!Pspv,1-EXP((T0-t)*PertePVj)+Pspv)</f>
        <v>6.0965905216770588E-2</v>
      </c>
      <c r="M373" s="870"/>
      <c r="N373" s="870"/>
      <c r="O373" s="48">
        <f>IF(t&lt;Tnet,'2024'!Resal+('2024'!Salim-'2024'!Resal)*(1-EXP(('2024'!Tnet-t)/('2024'!Tau_j))),Resal+(Salim-Resal)*(1-EXP((Tnet-t)/(Tau_j))))*Salcycl</f>
        <v>7.9545449666608925E-2</v>
      </c>
      <c r="P373" s="171">
        <f>(INDEX(Models!$BJ373:$BT373,,T373)*(1-R373)+INDEX(Models!$BJ373:$BT373,,T373+1)*R373-ERP_i)*Q373*Ramure*Pc/MaxiM</f>
        <v>9.9737497063066664E-3</v>
      </c>
      <c r="Q373" s="307">
        <f t="shared" si="130"/>
        <v>1</v>
      </c>
      <c r="R373" s="179">
        <f t="shared" si="131"/>
        <v>0.86479252665583406</v>
      </c>
      <c r="S373" s="837">
        <f t="shared" si="132"/>
        <v>-3</v>
      </c>
      <c r="T373" s="178">
        <f t="shared" si="133"/>
        <v>3</v>
      </c>
      <c r="U373" s="253">
        <f t="shared" si="134"/>
        <v>-2.1352074733441659</v>
      </c>
      <c r="V373" s="385">
        <f t="shared" si="135"/>
        <v>15.707465759319295</v>
      </c>
      <c r="W373" s="404">
        <f t="shared" si="136"/>
        <v>9.1686322227293449</v>
      </c>
      <c r="X373" s="157">
        <f t="shared" si="137"/>
        <v>46016</v>
      </c>
      <c r="Y373" s="387">
        <f t="shared" si="138"/>
        <v>7.7594322218333129</v>
      </c>
      <c r="Z373" s="387">
        <f t="shared" si="139"/>
        <v>8.2632060592267766</v>
      </c>
      <c r="AA373" s="388">
        <f t="shared" si="140"/>
        <v>9.4632953517996068</v>
      </c>
      <c r="AB373" s="199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0.12681515771824797</v>
      </c>
      <c r="AD373" s="233">
        <f>(INDEX(Models!$BJ373:$BT373,,AH373)*(1-AF373)+INDEX(Models!$BJ373:$BT373,,AH373+1)*AF373-ERP_i)*AE373*Ramure*Pc/MaxiM</f>
        <v>0.27507804976212497</v>
      </c>
      <c r="AE373" s="307">
        <f t="shared" si="142"/>
        <v>1</v>
      </c>
      <c r="AF373" s="179">
        <f t="shared" si="143"/>
        <v>0.7997751195794045</v>
      </c>
      <c r="AG373" s="837">
        <f t="shared" si="149"/>
        <v>2</v>
      </c>
      <c r="AH373" s="178">
        <f t="shared" si="144"/>
        <v>8</v>
      </c>
      <c r="AI373" s="227">
        <f t="shared" si="145"/>
        <v>2.7997751195794045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46017</v>
      </c>
      <c r="B374" s="1139">
        <f>IF(t&gt;Tmaj,'2024'!Wh/'2024'!Env_an*'2025'!Env_an,0.001*'[14]mon-tableau (2)'!$B$233)</f>
        <v>14.252538538672363</v>
      </c>
      <c r="C374" s="866"/>
      <c r="D374" s="395">
        <f t="shared" si="127"/>
        <v>15.178224414817192</v>
      </c>
      <c r="E374" s="387">
        <f t="shared" si="150"/>
        <v>16.492957832145223</v>
      </c>
      <c r="F374" s="387">
        <f t="shared" si="128"/>
        <v>16.636084033212168</v>
      </c>
      <c r="G374" s="110">
        <f t="shared" si="151"/>
        <v>0.90309711000106396</v>
      </c>
      <c r="H374" s="414" t="b">
        <f>Wh_hp&gt;='2024'!Maxi_hp</f>
        <v>0</v>
      </c>
      <c r="I374" s="392">
        <f>IF(H374,Wh_hp,'2024'!Maxi_hp)</f>
        <v>17.58318067946076</v>
      </c>
      <c r="J374" s="85">
        <f>IF(H374,An,'2024'!An_max)</f>
        <v>2018</v>
      </c>
      <c r="K374" s="199">
        <f t="shared" si="129"/>
        <v>46017</v>
      </c>
      <c r="L374" s="147">
        <f>IF(t&lt;Tvie,1-EXP((T0-t)*PertePVj)+'2024'!Pspv,1-EXP((T0-t)*PertePVj)+Pspv)</f>
        <v>6.0987757911996732E-2</v>
      </c>
      <c r="M374" s="870"/>
      <c r="N374" s="870"/>
      <c r="O374" s="48">
        <f>IF(t&lt;Tnet,'2024'!Resal+('2024'!Salim-'2024'!Resal)*(1-EXP(('2024'!Tnet-t)/('2024'!Tau_j))),Resal+(Salim-Resal)*(1-EXP((Tnet-t)/(Tau_j))))*Salcycl</f>
        <v>7.9714835307804974E-2</v>
      </c>
      <c r="P374" s="171">
        <f>(INDEX(Models!$BJ374:$BT374,,T374)*(1-R374)+INDEX(Models!$BJ374:$BT374,,T374+1)*R374-ERP_i)*Q374*Ramure*Pc/MaxiM</f>
        <v>9.9651813759290952E-3</v>
      </c>
      <c r="Q374" s="307">
        <f t="shared" si="130"/>
        <v>1</v>
      </c>
      <c r="R374" s="179">
        <f t="shared" si="131"/>
        <v>0.86479252665583406</v>
      </c>
      <c r="S374" s="837">
        <f t="shared" si="132"/>
        <v>-3</v>
      </c>
      <c r="T374" s="178">
        <f t="shared" si="133"/>
        <v>3</v>
      </c>
      <c r="U374" s="253">
        <f t="shared" si="134"/>
        <v>-2.1352074733441659</v>
      </c>
      <c r="V374" s="385">
        <f t="shared" si="135"/>
        <v>15.760166340772434</v>
      </c>
      <c r="W374" s="404">
        <f t="shared" si="136"/>
        <v>14.252538538672363</v>
      </c>
      <c r="X374" s="157">
        <f t="shared" si="137"/>
        <v>46017</v>
      </c>
      <c r="Y374" s="387">
        <f t="shared" si="138"/>
        <v>10.411567375934254</v>
      </c>
      <c r="Z374" s="387">
        <f t="shared" si="139"/>
        <v>11.087786622230738</v>
      </c>
      <c r="AA374" s="388">
        <f t="shared" si="140"/>
        <v>12.699159619330173</v>
      </c>
      <c r="AB374" s="199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0.12688815995718855</v>
      </c>
      <c r="AD374" s="233">
        <f>(INDEX(Models!$BJ374:$BT374,,AH374)*(1-AF374)+INDEX(Models!$BJ374:$BT374,,AH374+1)*AF374-ERP_i)*AE374*Ramure*Pc/MaxiM</f>
        <v>0.27410890218002404</v>
      </c>
      <c r="AE374" s="307">
        <f t="shared" si="142"/>
        <v>1</v>
      </c>
      <c r="AF374" s="179">
        <f t="shared" si="143"/>
        <v>0.7997751195794045</v>
      </c>
      <c r="AG374" s="837">
        <f t="shared" si="149"/>
        <v>2</v>
      </c>
      <c r="AH374" s="178">
        <f t="shared" si="144"/>
        <v>8</v>
      </c>
      <c r="AI374" s="227">
        <f t="shared" si="145"/>
        <v>2.7997751195794045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46018</v>
      </c>
      <c r="B375" s="1139">
        <f>IF(t&gt;Tmaj,'2024'!Wh/'2024'!Env_an*'2025'!Env_an,0.001*'[14]mon-tableau (2)'!$B$234)</f>
        <v>6.7865810507233251</v>
      </c>
      <c r="C375" s="866"/>
      <c r="D375" s="395">
        <f t="shared" si="127"/>
        <v>7.2275298274740898</v>
      </c>
      <c r="E375" s="387">
        <f t="shared" si="150"/>
        <v>7.8550253136043748</v>
      </c>
      <c r="F375" s="387">
        <f t="shared" si="128"/>
        <v>7.8694622376928525</v>
      </c>
      <c r="G375" s="110">
        <f t="shared" si="151"/>
        <v>0.42543907579336482</v>
      </c>
      <c r="H375" s="414" t="b">
        <f>Wh_hp&gt;='2024'!Maxi_hp</f>
        <v>0</v>
      </c>
      <c r="I375" s="392">
        <f>IF(H375,Wh_hp,'2024'!Maxi_hp)</f>
        <v>17.819544852558497</v>
      </c>
      <c r="J375" s="85">
        <f>IF(H375,An,'2024'!An_max)</f>
        <v>2018</v>
      </c>
      <c r="K375" s="199">
        <f t="shared" si="129"/>
        <v>46018</v>
      </c>
      <c r="L375" s="147">
        <f>IF(t&lt;Tvie,1-EXP((T0-t)*PertePVj)+'2024'!Pspv,1-EXP((T0-t)*PertePVj)+Pspv)</f>
        <v>6.1009610098678668E-2</v>
      </c>
      <c r="M375" s="870"/>
      <c r="N375" s="870"/>
      <c r="O375" s="48">
        <f>IF(t&lt;Tnet,'2024'!Resal+('2024'!Salim-'2024'!Resal)*(1-EXP(('2024'!Tnet-t)/('2024'!Tau_j))),Resal+(Salim-Resal)*(1-EXP((Tnet-t)/(Tau_j))))*Salcycl</f>
        <v>7.9884591211119987E-2</v>
      </c>
      <c r="P375" s="171">
        <f>(INDEX(Models!$BJ375:$BT375,,T375)*(1-R375)+INDEX(Models!$BJ375:$BT375,,T375+1)*R375-ERP_i)*Q375*Ramure*Pc/MaxiM</f>
        <v>9.9602630794103208E-3</v>
      </c>
      <c r="Q375" s="307">
        <f t="shared" si="130"/>
        <v>1</v>
      </c>
      <c r="R375" s="179">
        <f t="shared" si="131"/>
        <v>0.86479252665583406</v>
      </c>
      <c r="S375" s="837">
        <f t="shared" si="132"/>
        <v>-3</v>
      </c>
      <c r="T375" s="178">
        <f t="shared" si="133"/>
        <v>3</v>
      </c>
      <c r="U375" s="253">
        <f t="shared" si="134"/>
        <v>-2.1352074733441659</v>
      </c>
      <c r="V375" s="385">
        <f t="shared" si="135"/>
        <v>15.82208657235245</v>
      </c>
      <c r="W375" s="404">
        <f t="shared" si="136"/>
        <v>6.7865810507233251</v>
      </c>
      <c r="X375" s="157">
        <f t="shared" si="137"/>
        <v>46018</v>
      </c>
      <c r="Y375" s="387">
        <f t="shared" si="138"/>
        <v>6.1269029572406399</v>
      </c>
      <c r="Z375" s="387">
        <f t="shared" si="139"/>
        <v>6.5249900564845156</v>
      </c>
      <c r="AA375" s="388">
        <f t="shared" si="140"/>
        <v>7.4738915973188593</v>
      </c>
      <c r="AB375" s="199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0.12696217606029322</v>
      </c>
      <c r="AD375" s="233">
        <f>(INDEX(Models!$BJ375:$BT375,,AH375)*(1-AF375)+INDEX(Models!$BJ375:$BT375,,AH375+1)*AF375-ERP_i)*AE375*Ramure*Pc/MaxiM</f>
        <v>0.27291046350797127</v>
      </c>
      <c r="AE375" s="307">
        <f t="shared" si="142"/>
        <v>1</v>
      </c>
      <c r="AF375" s="179">
        <f t="shared" si="143"/>
        <v>0.7997751195794045</v>
      </c>
      <c r="AG375" s="837">
        <f t="shared" si="149"/>
        <v>2</v>
      </c>
      <c r="AH375" s="178">
        <f t="shared" si="144"/>
        <v>8</v>
      </c>
      <c r="AI375" s="227">
        <f t="shared" si="145"/>
        <v>2.7997751195794045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46019</v>
      </c>
      <c r="B376" s="1139">
        <f>IF(t&gt;Tmaj,'2024'!Wh/'2024'!Env_an*'2025'!Env_an,0.001*'[14]mon-tableau (2)'!$B$235)</f>
        <v>15.090763669061463</v>
      </c>
      <c r="C376" s="866"/>
      <c r="D376" s="395">
        <f t="shared" si="127"/>
        <v>16.071639309255247</v>
      </c>
      <c r="E376" s="387">
        <f t="shared" si="150"/>
        <v>17.470210952176178</v>
      </c>
      <c r="F376" s="387">
        <f t="shared" si="128"/>
        <v>17.633109712566359</v>
      </c>
      <c r="G376" s="110">
        <f t="shared" si="151"/>
        <v>0.94883221896341274</v>
      </c>
      <c r="H376" s="414" t="b">
        <f>Wh_hp&gt;='2024'!Maxi_hp</f>
        <v>1</v>
      </c>
      <c r="I376" s="392">
        <f>IF(H376,Wh_hp,'2024'!Maxi_hp)</f>
        <v>17.633109712566359</v>
      </c>
      <c r="J376" s="85">
        <f>IF(H376,An,'2024'!An_max)</f>
        <v>2025</v>
      </c>
      <c r="K376" s="199">
        <f t="shared" si="129"/>
        <v>46019</v>
      </c>
      <c r="L376" s="147">
        <f>IF(t&lt;Tvie,1-EXP((T0-t)*PertePVj)+'2024'!Pspv,1-EXP((T0-t)*PertePVj)+Pspv)</f>
        <v>6.1031461776828388E-2</v>
      </c>
      <c r="M376" s="870"/>
      <c r="N376" s="870"/>
      <c r="O376" s="48">
        <f>IF(t&lt;Tnet,'2024'!Resal+('2024'!Salim-'2024'!Resal)*(1-EXP(('2024'!Tnet-t)/('2024'!Tau_j))),Resal+(Salim-Resal)*(1-EXP((Tnet-t)/(Tau_j))))*Salcycl</f>
        <v>8.0054651128681389E-2</v>
      </c>
      <c r="P376" s="171">
        <f>(INDEX(Models!$BJ376:$BT376,,T376)*(1-R376)+INDEX(Models!$BJ376:$BT376,,T376+1)*R376-ERP_i)*Q376*Ramure*Pc/MaxiM</f>
        <v>9.9562128376036799E-3</v>
      </c>
      <c r="Q376" s="307">
        <f t="shared" si="130"/>
        <v>1</v>
      </c>
      <c r="R376" s="179">
        <f t="shared" si="131"/>
        <v>0.86479252665583406</v>
      </c>
      <c r="S376" s="837">
        <f t="shared" si="132"/>
        <v>-3</v>
      </c>
      <c r="T376" s="178">
        <f t="shared" si="133"/>
        <v>3</v>
      </c>
      <c r="U376" s="253">
        <f t="shared" si="134"/>
        <v>-2.1352074733441659</v>
      </c>
      <c r="V376" s="385">
        <f t="shared" si="135"/>
        <v>15.893039319067295</v>
      </c>
      <c r="W376" s="404">
        <f t="shared" si="136"/>
        <v>15.090763669061463</v>
      </c>
      <c r="X376" s="157">
        <f t="shared" si="137"/>
        <v>46019</v>
      </c>
      <c r="Y376" s="387">
        <f t="shared" si="138"/>
        <v>10.812395150728452</v>
      </c>
      <c r="Z376" s="387">
        <f t="shared" si="139"/>
        <v>11.515183640965178</v>
      </c>
      <c r="AA376" s="388">
        <f t="shared" si="140"/>
        <v>13.19091976087183</v>
      </c>
      <c r="AB376" s="199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0.12703709447747397</v>
      </c>
      <c r="AD376" s="233">
        <f>(INDEX(Models!$BJ376:$BT376,,AH376)*(1-AF376)+INDEX(Models!$BJ376:$BT376,,AH376+1)*AF376-ERP_i)*AE376*Ramure*Pc/MaxiM</f>
        <v>0.27150230313723711</v>
      </c>
      <c r="AE376" s="307">
        <f t="shared" si="142"/>
        <v>1</v>
      </c>
      <c r="AF376" s="179">
        <f t="shared" si="143"/>
        <v>0.7997751195794045</v>
      </c>
      <c r="AG376" s="837">
        <f t="shared" si="149"/>
        <v>2</v>
      </c>
      <c r="AH376" s="178">
        <f t="shared" si="144"/>
        <v>8</v>
      </c>
      <c r="AI376" s="227">
        <f t="shared" si="145"/>
        <v>2.7997751195794045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46020</v>
      </c>
      <c r="B377" s="1139">
        <f>IF(t&gt;Tmaj,'2024'!Wh/'2024'!Env_an*'2025'!Env_an,0.001*'[14]mon-tableau (2)'!$B$236)</f>
        <v>10.132214107216821</v>
      </c>
      <c r="C377" s="866"/>
      <c r="D377" s="395">
        <f t="shared" si="127"/>
        <v>10.791043034628698</v>
      </c>
      <c r="E377" s="387">
        <f t="shared" si="150"/>
        <v>11.732263305767663</v>
      </c>
      <c r="F377" s="387">
        <f t="shared" si="128"/>
        <v>11.788304187960671</v>
      </c>
      <c r="G377" s="110">
        <f t="shared" si="151"/>
        <v>0.63102827017980556</v>
      </c>
      <c r="H377" s="414" t="b">
        <f>Wh_hp&gt;='2024'!Maxi_hp</f>
        <v>0</v>
      </c>
      <c r="I377" s="392">
        <f>IF(H377,Wh_hp,'2024'!Maxi_hp)</f>
        <v>19.042847861253957</v>
      </c>
      <c r="J377" s="85">
        <f>IF(H377,An,'2024'!An_max)</f>
        <v>2019</v>
      </c>
      <c r="K377" s="199">
        <f t="shared" si="129"/>
        <v>46020</v>
      </c>
      <c r="L377" s="147">
        <f>IF(t&lt;Tvie,1-EXP((T0-t)*PertePVj)+'2024'!Pspv,1-EXP((T0-t)*PertePVj)+Pspv)</f>
        <v>6.105331294645755E-2</v>
      </c>
      <c r="M377" s="870"/>
      <c r="N377" s="870"/>
      <c r="O377" s="48">
        <f>IF(t&lt;Tnet,'2024'!Resal+('2024'!Salim-'2024'!Resal)*(1-EXP(('2024'!Tnet-t)/('2024'!Tau_j))),Resal+(Salim-Resal)*(1-EXP((Tnet-t)/(Tau_j))))*Salcycl</f>
        <v>8.0224952901990679E-2</v>
      </c>
      <c r="P377" s="171">
        <f>(INDEX(Models!$BJ377:$BT377,,T377)*(1-R377)+INDEX(Models!$BJ377:$BT377,,T377+1)*R377-ERP_i)*Q377*Ramure*Pc/MaxiM</f>
        <v>9.9531511555441283E-3</v>
      </c>
      <c r="Q377" s="307">
        <f t="shared" si="130"/>
        <v>1</v>
      </c>
      <c r="R377" s="179">
        <f t="shared" si="131"/>
        <v>0.86479252665583406</v>
      </c>
      <c r="S377" s="837">
        <f t="shared" si="132"/>
        <v>-3</v>
      </c>
      <c r="T377" s="178">
        <f t="shared" si="133"/>
        <v>3</v>
      </c>
      <c r="U377" s="253">
        <f t="shared" si="134"/>
        <v>-2.1352074733441659</v>
      </c>
      <c r="V377" s="385">
        <f t="shared" si="135"/>
        <v>15.97279143262911</v>
      </c>
      <c r="W377" s="404">
        <f t="shared" si="136"/>
        <v>10.132214107216821</v>
      </c>
      <c r="X377" s="157">
        <f t="shared" si="137"/>
        <v>46020</v>
      </c>
      <c r="Y377" s="387">
        <f t="shared" si="138"/>
        <v>8.4161556337733998</v>
      </c>
      <c r="Z377" s="387">
        <f t="shared" si="139"/>
        <v>8.9634009574959794</v>
      </c>
      <c r="AA377" s="388">
        <f t="shared" si="140"/>
        <v>10.268681988946176</v>
      </c>
      <c r="AB377" s="199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0.12711281086075879</v>
      </c>
      <c r="AD377" s="233">
        <f>(INDEX(Models!$BJ377:$BT377,,AH377)*(1-AF377)+INDEX(Models!$BJ377:$BT377,,AH377+1)*AF377-ERP_i)*AE377*Ramure*Pc/MaxiM</f>
        <v>0.26989277923963173</v>
      </c>
      <c r="AE377" s="307">
        <f t="shared" si="142"/>
        <v>1</v>
      </c>
      <c r="AF377" s="179">
        <f t="shared" si="143"/>
        <v>0.7997751195794045</v>
      </c>
      <c r="AG377" s="837">
        <f t="shared" si="149"/>
        <v>2</v>
      </c>
      <c r="AH377" s="178">
        <f t="shared" si="144"/>
        <v>8</v>
      </c>
      <c r="AI377" s="227">
        <f t="shared" si="145"/>
        <v>2.7997751195794045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46021</v>
      </c>
      <c r="B378" s="1139">
        <f>IF(t&gt;Tmaj,'2024'!Wh/'2024'!Env_an*'2025'!Env_an,0.001*'[14]mon-tableau (2)'!$B$237)</f>
        <v>12.866161120570499</v>
      </c>
      <c r="C378" s="866"/>
      <c r="D378" s="395">
        <f t="shared" si="127"/>
        <v>13.703078906726365</v>
      </c>
      <c r="E378" s="387">
        <f t="shared" si="150"/>
        <v>14.901055826522125</v>
      </c>
      <c r="F378" s="387">
        <f t="shared" si="128"/>
        <v>15.007961798291024</v>
      </c>
      <c r="G378" s="110">
        <f t="shared" si="151"/>
        <v>0.79879384691512634</v>
      </c>
      <c r="H378" s="414" t="b">
        <f>Wh_hp&gt;='2024'!Maxi_hp</f>
        <v>0</v>
      </c>
      <c r="I378" s="392">
        <f>IF(H378,Wh_hp,'2024'!Maxi_hp)</f>
        <v>18.153924992563482</v>
      </c>
      <c r="J378" s="85">
        <f>IF(H378,An,'2024'!An_max)</f>
        <v>2019</v>
      </c>
      <c r="K378" s="199">
        <f t="shared" si="129"/>
        <v>46021</v>
      </c>
      <c r="L378" s="147">
        <f>IF(t&lt;Tvie,1-EXP((T0-t)*PertePVj)+'2024'!Pspv,1-EXP((T0-t)*PertePVj)+Pspv)</f>
        <v>6.1075163607578142E-2</v>
      </c>
      <c r="M378" s="870"/>
      <c r="N378" s="870"/>
      <c r="O378" s="48">
        <f>IF(t&lt;Tnet,'2024'!Resal+('2024'!Salim-'2024'!Resal)*(1-EXP(('2024'!Tnet-t)/('2024'!Tau_j))),Resal+(Salim-Resal)*(1-EXP((Tnet-t)/(Tau_j))))*Salcycl</f>
        <v>8.0395438668413102E-2</v>
      </c>
      <c r="P378" s="171">
        <f>(INDEX(Models!$BJ378:$BT378,,T378)*(1-R378)+INDEX(Models!$BJ378:$BT378,,T378+1)*R378-ERP_i)*Q378*Ramure*Pc/MaxiM</f>
        <v>9.9511929946080116E-3</v>
      </c>
      <c r="Q378" s="307">
        <f t="shared" si="130"/>
        <v>1</v>
      </c>
      <c r="R378" s="179">
        <f t="shared" si="131"/>
        <v>0.86479252665583406</v>
      </c>
      <c r="S378" s="837">
        <f t="shared" si="132"/>
        <v>-3</v>
      </c>
      <c r="T378" s="178">
        <f t="shared" si="133"/>
        <v>3</v>
      </c>
      <c r="U378" s="253">
        <f t="shared" si="134"/>
        <v>-2.1352074733441659</v>
      </c>
      <c r="V378" s="385">
        <f t="shared" si="135"/>
        <v>16.061109884538077</v>
      </c>
      <c r="W378" s="404">
        <f t="shared" si="136"/>
        <v>12.866161120570499</v>
      </c>
      <c r="X378" s="157">
        <f t="shared" si="137"/>
        <v>46021</v>
      </c>
      <c r="Y378" s="387">
        <f t="shared" si="138"/>
        <v>9.9388226595756333</v>
      </c>
      <c r="Z378" s="387">
        <f t="shared" si="139"/>
        <v>10.585322993225969</v>
      </c>
      <c r="AA378" s="388">
        <f t="shared" si="140"/>
        <v>12.127855586584849</v>
      </c>
      <c r="AB378" s="199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0.12718922833028631</v>
      </c>
      <c r="AD378" s="233">
        <f>(INDEX(Models!$BJ378:$BT378,,AH378)*(1-AF378)+INDEX(Models!$BJ378:$BT378,,AH378+1)*AF378-ERP_i)*AE378*Ramure*Pc/MaxiM</f>
        <v>0.26809066213450933</v>
      </c>
      <c r="AE378" s="307">
        <f t="shared" si="142"/>
        <v>1</v>
      </c>
      <c r="AF378" s="179">
        <f t="shared" si="143"/>
        <v>0.7997751195794045</v>
      </c>
      <c r="AG378" s="837">
        <f t="shared" si="149"/>
        <v>2</v>
      </c>
      <c r="AH378" s="178">
        <f t="shared" si="144"/>
        <v>8</v>
      </c>
      <c r="AI378" s="227">
        <f t="shared" si="145"/>
        <v>2.7997751195794045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46022</v>
      </c>
      <c r="B379" s="1139">
        <f>IF(t&gt;Tmaj,'2024'!Wh/'2024'!Env_an*'2025'!Env_an,0.001*'[14]mon-tableau (2)'!$B$238)</f>
        <v>10.033751421022069</v>
      </c>
      <c r="C379" s="866"/>
      <c r="D379" s="395">
        <f t="shared" si="127"/>
        <v>10.686675373358995</v>
      </c>
      <c r="E379" s="387">
        <f t="shared" si="150"/>
        <v>11.623102922969494</v>
      </c>
      <c r="F379" s="387">
        <f t="shared" si="128"/>
        <v>11.67637989136384</v>
      </c>
      <c r="G379" s="110">
        <f t="shared" si="151"/>
        <v>0.61762547606946128</v>
      </c>
      <c r="H379" s="414" t="b">
        <f>Wh_hp&gt;='2024'!Maxi_hp</f>
        <v>0</v>
      </c>
      <c r="I379" s="392">
        <f>IF(H379,Wh_hp,'2024'!Maxi_hp)</f>
        <v>18.304438481335758</v>
      </c>
      <c r="J379" s="85">
        <f>IF(H379,An,'2024'!An_max)</f>
        <v>2021</v>
      </c>
      <c r="K379" s="199">
        <f t="shared" si="129"/>
        <v>46022</v>
      </c>
      <c r="L379" s="147">
        <f>IF(t&lt;Tvie,1-EXP((T0-t)*PertePVj)+'2024'!Pspv,1-EXP((T0-t)*PertePVj)+Pspv)</f>
        <v>6.1097013760201824E-2</v>
      </c>
      <c r="M379" s="870"/>
      <c r="N379" s="870"/>
      <c r="O379" s="48">
        <f>IF(t&lt;Tnet,'2024'!Resal+('2024'!Salim-'2024'!Resal)*(1-EXP(('2024'!Tnet-t)/('2024'!Tau_j))),Resal+(Salim-Resal)*(1-EXP((Tnet-t)/(Tau_j))))*Salcycl</f>
        <v>8.0566055021326258E-2</v>
      </c>
      <c r="P379" s="171">
        <f>(INDEX(Models!$BJ379:$BT379,,T379)*(1-R379)+INDEX(Models!$BJ379:$BT379,,T379+1)*R379-ERP_i)*Q379*Ramure*Pc/MaxiM</f>
        <v>9.9504472830650934E-3</v>
      </c>
      <c r="Q379" s="308">
        <f t="shared" si="130"/>
        <v>1</v>
      </c>
      <c r="R379" s="179">
        <f t="shared" si="131"/>
        <v>0.86479252665583406</v>
      </c>
      <c r="S379" s="837">
        <f t="shared" si="132"/>
        <v>-3</v>
      </c>
      <c r="T379" s="178">
        <f t="shared" si="133"/>
        <v>3</v>
      </c>
      <c r="U379" s="309">
        <f t="shared" si="134"/>
        <v>-2.1352074733441659</v>
      </c>
      <c r="V379" s="385">
        <f t="shared" si="135"/>
        <v>16.157761768196657</v>
      </c>
      <c r="W379" s="404">
        <f t="shared" si="136"/>
        <v>10.033751421022069</v>
      </c>
      <c r="X379" s="157">
        <f t="shared" si="137"/>
        <v>46022</v>
      </c>
      <c r="Y379" s="387">
        <f t="shared" si="138"/>
        <v>8.4002812823215329</v>
      </c>
      <c r="Z379" s="387">
        <f t="shared" si="139"/>
        <v>8.9469108155292201</v>
      </c>
      <c r="AA379" s="388">
        <f t="shared" si="140"/>
        <v>10.251592646795773</v>
      </c>
      <c r="AB379" s="199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0.12726625766527533</v>
      </c>
      <c r="AD379" s="233">
        <f>(INDEX(Models!$BJ379:$BT379,,AH379)*(1-AF379)+INDEX(Models!$BJ379:$BT379,,AH379+1)*AF379-ERP_i)*AE379*Ramure*Pc/MaxiM</f>
        <v>0.26610505052991662</v>
      </c>
      <c r="AE379" s="308">
        <f t="shared" si="142"/>
        <v>1</v>
      </c>
      <c r="AF379" s="179">
        <f t="shared" si="143"/>
        <v>0.7997751195794045</v>
      </c>
      <c r="AG379" s="837">
        <f t="shared" si="149"/>
        <v>2</v>
      </c>
      <c r="AH379" s="178">
        <f t="shared" si="144"/>
        <v>8</v>
      </c>
      <c r="AI379" s="224">
        <f t="shared" si="145"/>
        <v>2.7997751195794045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412"/>
      <c r="C380" s="874"/>
      <c r="D380" s="403"/>
      <c r="E380" s="389"/>
      <c r="F380" s="389"/>
      <c r="G380" s="122"/>
      <c r="H380" s="414" t="b">
        <f>Wh_hp&gt;='2024'!Maxi_hp</f>
        <v>0</v>
      </c>
      <c r="I380" s="392">
        <f>IF(H380,Wh_hp,'2024'!Maxi_hp)</f>
        <v>13.062281165272948</v>
      </c>
      <c r="J380" s="85">
        <f>IF(H380,An,'2024'!An_max)</f>
        <v>2020</v>
      </c>
      <c r="K380" s="236"/>
      <c r="L380" s="216"/>
      <c r="M380" s="875"/>
      <c r="N380" s="875"/>
      <c r="O380" s="153"/>
      <c r="P380" s="324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0.84461590996931668</v>
      </c>
      <c r="C381" s="377"/>
      <c r="D381" s="375">
        <f>MIN(D15:D380)</f>
        <v>0.89454625621067174</v>
      </c>
      <c r="E381" s="375">
        <f>MIN(E15:E380)</f>
        <v>0.91919986919710472</v>
      </c>
      <c r="F381" s="376">
        <f>MIN(F15:F380)</f>
        <v>0.91919986919710472</v>
      </c>
      <c r="G381" s="125">
        <f>+MIN(G15:G380)</f>
        <v>1.4722957154536269E-2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5.3109869318555769E-2</v>
      </c>
      <c r="M381" s="872"/>
      <c r="N381" s="872"/>
      <c r="O381" s="47">
        <f t="shared" si="152"/>
        <v>2.5553188945380768E-2</v>
      </c>
      <c r="P381" s="170">
        <f t="shared" si="152"/>
        <v>0</v>
      </c>
      <c r="Q381" s="312">
        <f t="shared" si="152"/>
        <v>1</v>
      </c>
      <c r="R381" s="313">
        <f t="shared" si="152"/>
        <v>9.977690183004384E-2</v>
      </c>
      <c r="S381" s="837">
        <f t="shared" si="152"/>
        <v>-3</v>
      </c>
      <c r="T381" s="178">
        <f t="shared" si="152"/>
        <v>3</v>
      </c>
      <c r="U381" s="254">
        <f>MIN(U15:U380)</f>
        <v>-2.800224011995649</v>
      </c>
      <c r="V381" s="57">
        <f>MIN(V15:V380)</f>
        <v>13.004575092383593</v>
      </c>
      <c r="W381" s="58"/>
      <c r="X381" s="112" t="s">
        <v>7</v>
      </c>
      <c r="Y381" s="375">
        <f>MIN(Y15:Y380)</f>
        <v>0.77875214051178931</v>
      </c>
      <c r="Z381" s="375">
        <f>MIN(Z15:Z380)</f>
        <v>0.82478888165411823</v>
      </c>
      <c r="AA381" s="375">
        <f>MIN(AA15:AA380)</f>
        <v>0.91919986919710472</v>
      </c>
      <c r="AB381" s="202" t="s">
        <v>7</v>
      </c>
      <c r="AC381" s="47">
        <f t="shared" ref="AC381:AH381" si="153">MIN(AC15:AC380)</f>
        <v>0.10170340704232843</v>
      </c>
      <c r="AD381" s="170">
        <f t="shared" si="153"/>
        <v>5.2519857417710175E-4</v>
      </c>
      <c r="AE381" s="312">
        <f t="shared" si="153"/>
        <v>1</v>
      </c>
      <c r="AF381" s="313">
        <f t="shared" si="153"/>
        <v>9.977690183004384E-2</v>
      </c>
      <c r="AG381" s="837">
        <f t="shared" si="153"/>
        <v>2</v>
      </c>
      <c r="AH381" s="178">
        <f t="shared" si="153"/>
        <v>8</v>
      </c>
      <c r="AI381" s="228">
        <f>MIN(AI15:AI380)</f>
        <v>2.0997769018300438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27.905725927856288</v>
      </c>
      <c r="C382" s="377"/>
      <c r="D382" s="377">
        <f>AVERAGE(D15:D380)</f>
        <v>29.594253183559456</v>
      </c>
      <c r="E382" s="377">
        <f>AVERAGE(E15:E380)</f>
        <v>31.560122065166592</v>
      </c>
      <c r="F382" s="378">
        <f>AVERAGE(F15:F380)</f>
        <v>31.829062388112547</v>
      </c>
      <c r="G382" s="126">
        <f>AVERAGE(G15:G380)</f>
        <v>0.7022741379457228</v>
      </c>
      <c r="H382" s="94"/>
      <c r="I382" s="378">
        <f>AVERAGE(I15:I380)</f>
        <v>40.940358443584053</v>
      </c>
      <c r="J382" s="59">
        <f>AVERAGE(J15:J380)</f>
        <v>2021.0519125683061</v>
      </c>
      <c r="K382" s="202" t="s">
        <v>8</v>
      </c>
      <c r="L382" s="147">
        <f t="shared" ref="L382:V382" si="154">AVERAGE(L15:L380)</f>
        <v>5.7109064241797521E-2</v>
      </c>
      <c r="M382" s="870"/>
      <c r="N382" s="870"/>
      <c r="O382" s="48">
        <f t="shared" si="154"/>
        <v>6.8736924715211062E-2</v>
      </c>
      <c r="P382" s="171">
        <f t="shared" si="154"/>
        <v>2.5747888421286867E-2</v>
      </c>
      <c r="Q382" s="314">
        <f t="shared" si="154"/>
        <v>1</v>
      </c>
      <c r="R382" s="179">
        <f t="shared" si="154"/>
        <v>0.54077778517157005</v>
      </c>
      <c r="S382" s="837">
        <f t="shared" si="154"/>
        <v>-1.7808219178082192</v>
      </c>
      <c r="T382" s="178">
        <f t="shared" si="154"/>
        <v>4.2191780821917808</v>
      </c>
      <c r="U382" s="253">
        <f>AVERAGE(U15:U380)</f>
        <v>-1.2400441326366485</v>
      </c>
      <c r="V382" s="59">
        <f t="shared" si="154"/>
        <v>38.10085007072616</v>
      </c>
      <c r="X382" s="112" t="s">
        <v>8</v>
      </c>
      <c r="Y382" s="377">
        <f>AVERAGE(Y15:Y380)</f>
        <v>25.64475365026771</v>
      </c>
      <c r="Z382" s="377">
        <f>AVERAGE(Z15:Z380)</f>
        <v>27.194975672680304</v>
      </c>
      <c r="AA382" s="377">
        <f>AVERAGE(AA15:AA380)</f>
        <v>31.010458399560438</v>
      </c>
      <c r="AB382" s="202" t="s">
        <v>8</v>
      </c>
      <c r="AC382" s="48">
        <f t="shared" ref="AC382:AH382" si="155">AVERAGE(AC15:AC380)</f>
        <v>0.12512025230586804</v>
      </c>
      <c r="AD382" s="171">
        <f t="shared" si="155"/>
        <v>7.4243709445182826E-2</v>
      </c>
      <c r="AE382" s="314">
        <f t="shared" si="155"/>
        <v>1</v>
      </c>
      <c r="AF382" s="179">
        <f t="shared" si="155"/>
        <v>0.49161393762884492</v>
      </c>
      <c r="AG382" s="837">
        <f t="shared" si="155"/>
        <v>2</v>
      </c>
      <c r="AH382" s="178">
        <f t="shared" si="155"/>
        <v>8</v>
      </c>
      <c r="AI382" s="227">
        <f>AVERAGE(AI15:AI380)</f>
        <v>2.4916139376288435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60.032552606641133</v>
      </c>
      <c r="C383" s="379"/>
      <c r="D383" s="379">
        <f>MAX(D15:D380)</f>
        <v>63.618441286237967</v>
      </c>
      <c r="E383" s="379">
        <f>MAX(E15:E380)</f>
        <v>66.578737168500552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2025</v>
      </c>
      <c r="K383" s="202" t="s">
        <v>9</v>
      </c>
      <c r="L383" s="148">
        <f t="shared" ref="L383:T383" si="156">MAX(L15:L380)</f>
        <v>6.1097013760201824E-2</v>
      </c>
      <c r="M383" s="873"/>
      <c r="N383" s="873"/>
      <c r="O383" s="49">
        <f t="shared" si="156"/>
        <v>0.10145853148975088</v>
      </c>
      <c r="P383" s="172">
        <f t="shared" si="156"/>
        <v>0.21498820709726485</v>
      </c>
      <c r="Q383" s="315">
        <f t="shared" si="156"/>
        <v>1</v>
      </c>
      <c r="R383" s="316">
        <f t="shared" si="156"/>
        <v>0.86479252665583406</v>
      </c>
      <c r="S383" s="838">
        <f t="shared" si="156"/>
        <v>2</v>
      </c>
      <c r="T383" s="235">
        <f t="shared" si="156"/>
        <v>8</v>
      </c>
      <c r="U383" s="255">
        <f>MAX(U15:U380)</f>
        <v>2.1333822066507913</v>
      </c>
      <c r="V383" s="60">
        <f>MAX(V15:V380)</f>
        <v>59.175565077739826</v>
      </c>
      <c r="X383" s="112" t="s">
        <v>9</v>
      </c>
      <c r="Y383" s="379">
        <f>MAX(Y15:Y380)</f>
        <v>55.383404663144184</v>
      </c>
      <c r="Z383" s="379">
        <f>MAX(Z15:Z380)</f>
        <v>58.732578513964832</v>
      </c>
      <c r="AA383" s="379">
        <f>MAX(AA15:AA380)</f>
        <v>66.540425827385576</v>
      </c>
      <c r="AB383" s="202" t="s">
        <v>9</v>
      </c>
      <c r="AC383" s="49">
        <f t="shared" ref="AC383:AH383" si="157">MAX(AC15:AC380)</f>
        <v>0.13946839315147902</v>
      </c>
      <c r="AD383" s="172">
        <f t="shared" si="157"/>
        <v>0.27729384643983396</v>
      </c>
      <c r="AE383" s="315">
        <f t="shared" si="157"/>
        <v>1</v>
      </c>
      <c r="AF383" s="316">
        <f t="shared" si="157"/>
        <v>0.7997751195794045</v>
      </c>
      <c r="AG383" s="838">
        <f t="shared" si="157"/>
        <v>2</v>
      </c>
      <c r="AH383" s="235">
        <f t="shared" si="157"/>
        <v>8</v>
      </c>
      <c r="AI383" s="229">
        <f>MAX(AI15:AI380)</f>
        <v>2.7997751195794045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2" priority="4" stopIfTrue="1" operator="lessThan">
      <formula>0.01</formula>
    </cfRule>
    <cfRule type="cellIs" dxfId="1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2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3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'2025'!An+1</f>
        <v>2026</v>
      </c>
      <c r="K1" s="1263"/>
      <c r="L1" s="113" t="str">
        <f>"Calcul pertes et enveloppes en "&amp;TEXT(An,0)</f>
        <v>Calcul pertes et enveloppes en 2026</v>
      </c>
      <c r="M1" s="245"/>
      <c r="N1" s="245"/>
      <c r="V1" s="458"/>
      <c r="W1" s="456"/>
      <c r="X1" s="487" t="str">
        <f>"Prévision sans nettoyage ni taille végétation en "&amp;TEXT(An,0)</f>
        <v>Prévision sans nettoyage ni taille végétation en 2026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54" t="s">
        <v>269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2">
        <f>Tmaj</f>
        <v>44947</v>
      </c>
      <c r="F3" s="1272"/>
      <c r="G3" s="8"/>
      <c r="H3" s="26"/>
      <c r="I3" s="6"/>
      <c r="J3" s="34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58">
        <f>AL11-AJ11</f>
        <v>97.777012926351006</v>
      </c>
      <c r="AK3" s="859">
        <f>AM11-AK11</f>
        <v>0</v>
      </c>
      <c r="AL3" s="858"/>
      <c r="AM3" s="859"/>
      <c r="AN3" s="857" t="s">
        <v>270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2" t="str">
        <f>Station</f>
        <v>Crèche Ayguesvives</v>
      </c>
      <c r="F4" s="1213"/>
      <c r="G4" s="1213"/>
      <c r="H4" s="1213"/>
      <c r="I4" s="1214"/>
      <c r="J4" s="158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58">
        <f>AL12-AJ12</f>
        <v>519.80646365310474</v>
      </c>
      <c r="AK4" s="859">
        <f>AM12-AK12</f>
        <v>284.96604432968928</v>
      </c>
      <c r="AL4" s="858"/>
      <c r="AM4" s="859"/>
      <c r="AN4" s="857" t="s">
        <v>271</v>
      </c>
    </row>
    <row r="5" spans="1:40" s="35" customFormat="1" ht="16.5" customHeight="1" x14ac:dyDescent="0.25">
      <c r="D5" s="161" t="s">
        <v>20</v>
      </c>
      <c r="E5" s="1273">
        <f>T0</f>
        <v>43313</v>
      </c>
      <c r="F5" s="1273"/>
      <c r="G5" s="34"/>
      <c r="H5" s="158"/>
      <c r="I5" s="158"/>
      <c r="K5" s="194"/>
      <c r="L5" s="506"/>
      <c r="M5" s="505"/>
      <c r="N5" s="505"/>
      <c r="O5" s="19"/>
      <c r="R5" s="39"/>
      <c r="S5" s="180"/>
      <c r="T5" s="180"/>
      <c r="U5" s="41"/>
      <c r="V5" s="507"/>
      <c r="W5" s="508"/>
      <c r="X5" s="509"/>
      <c r="Y5" s="510"/>
      <c r="Z5" s="238">
        <f>Wh_Psa_s-Wh_Psa</f>
        <v>617.77226155945425</v>
      </c>
      <c r="AA5" s="239">
        <f>Wh_Pvg_s-Wh_Pvg</f>
        <v>284.96604432968928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2516.4519403466275</v>
      </c>
      <c r="AK5" s="516">
        <f>SUMIF(AK15:AK380,"VRAI",Wh)</f>
        <v>0</v>
      </c>
      <c r="AL5" s="516">
        <f>SUMIF(AJ15:AJ380,"VRAI",Wh_s)</f>
        <v>2299.9981578697825</v>
      </c>
      <c r="AM5" s="516">
        <f>SUMIF(AK15:AK380,"VRAI",Wh_s)</f>
        <v>0</v>
      </c>
      <c r="AN5" s="857" t="s">
        <v>267</v>
      </c>
    </row>
    <row r="6" spans="1:40" s="6" customFormat="1" ht="16.5" customHeight="1" x14ac:dyDescent="0.2">
      <c r="B6" s="8"/>
      <c r="C6" s="8"/>
      <c r="D6" s="161" t="s">
        <v>11</v>
      </c>
      <c r="E6" s="1274">
        <f>Tservice</f>
        <v>43354</v>
      </c>
      <c r="F6" s="1274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7685.2408664643117</v>
      </c>
      <c r="AK6" s="516">
        <f>SUMIF(AK15:AK380,"FAUX",Wh)</f>
        <v>10201.692806810939</v>
      </c>
      <c r="AL6" s="516">
        <f>SUMIF(AJ15:AJ380,"FAUX",Wh_s)</f>
        <v>6957.7492967443713</v>
      </c>
      <c r="AM6" s="516">
        <f>SUMIF(AK15:AK380,"FAUX",Wh_s)</f>
        <v>9257.7474546141548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AND(YEAR(Tnet)=An,Resal_2026="I")</f>
        <v>0</v>
      </c>
      <c r="F7" s="322" t="b">
        <f>YEAR(Tnet)=An</f>
        <v>1</v>
      </c>
      <c r="J7" s="180"/>
      <c r="K7" s="193"/>
      <c r="L7" s="191" t="s">
        <v>81</v>
      </c>
      <c r="M7" s="868"/>
      <c r="N7" s="868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50"/>
      <c r="Z7" s="518"/>
      <c r="AA7" s="518"/>
      <c r="AB7" s="518"/>
      <c r="AC7" s="518"/>
      <c r="AD7" s="250"/>
      <c r="AE7" s="250"/>
      <c r="AF7" s="493"/>
      <c r="AG7" s="493"/>
      <c r="AH7" s="493"/>
      <c r="AI7" s="518"/>
      <c r="AJ7" s="516">
        <f>SUMIF(AJ15:AJ380,"VRAI",Wh_pvt)</f>
        <v>2684.7174429712759</v>
      </c>
      <c r="AK7" s="516">
        <f>SUMIF(AK15:AK380,"VRAI",Wh_sa)</f>
        <v>0</v>
      </c>
      <c r="AL7" s="516">
        <f>SUMIF(AJ15:AJ380,"VRAI",Wh_pvt_s)</f>
        <v>2453.8651215756954</v>
      </c>
      <c r="AM7" s="516">
        <f>SUMIF(AK15:AK380,"VRAI",Wh_sa_s)</f>
        <v>0</v>
      </c>
      <c r="AN7" s="857" t="s">
        <v>259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AND(YEAR(Tnet)=An,Resal_2026&lt;&gt;"I")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6"/>
      <c r="X8" s="1260" t="s">
        <v>102</v>
      </c>
      <c r="Y8" s="1261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8226.06861583502</v>
      </c>
      <c r="AK8" s="516">
        <f>SUMIF(AK15:AK380,"FAUX",Wh_sa)</f>
        <v>11638.948585107557</v>
      </c>
      <c r="AL8" s="516">
        <f>SUMIF(AJ15:AJ380,"FAUX",Wh_pvt_s)</f>
        <v>7447.0620828469227</v>
      </c>
      <c r="AM8" s="516">
        <f>SUMIF(AK15:AK380,"FAUX",Wh_sa_s)</f>
        <v>11289.759337406118</v>
      </c>
      <c r="AN8" s="857" t="s">
        <v>260</v>
      </c>
    </row>
    <row r="9" spans="1:40" s="19" customFormat="1" ht="15" customHeight="1" x14ac:dyDescent="0.25">
      <c r="A9" s="34"/>
      <c r="B9" s="212"/>
      <c r="C9" s="212"/>
      <c r="D9" s="186">
        <f>SUM(D$15:D$380)</f>
        <v>10910.786058806307</v>
      </c>
      <c r="E9" s="186">
        <f>SUM(E$15:E$380)</f>
        <v>11638.948585107557</v>
      </c>
      <c r="F9" s="186">
        <f>SUM(F$15:F$380)</f>
        <v>11663.260208182624</v>
      </c>
      <c r="H9" s="1264">
        <f>+SUM(Wh)</f>
        <v>10201.692806810939</v>
      </c>
      <c r="I9" s="1265"/>
      <c r="J9" s="1266"/>
      <c r="K9" s="193"/>
      <c r="L9" s="234"/>
      <c r="M9" s="234"/>
      <c r="N9" s="234"/>
      <c r="O9" s="225">
        <f>Tnet_2026</f>
        <v>46142</v>
      </c>
      <c r="P9" s="246" t="s">
        <v>91</v>
      </c>
      <c r="Q9" s="247"/>
      <c r="R9" s="247"/>
      <c r="S9" s="247"/>
      <c r="T9" s="247"/>
      <c r="U9" s="248"/>
      <c r="V9" s="462"/>
      <c r="W9" s="521"/>
      <c r="X9" s="1258">
        <f>+SUM(Wh_s)</f>
        <v>9257.7474546141548</v>
      </c>
      <c r="Y9" s="1259"/>
      <c r="Z9" s="516">
        <f>SUM(Z$15:Z$380)</f>
        <v>9900.9272044226163</v>
      </c>
      <c r="AA9" s="516">
        <f>SUM(AA$15:AA$380)</f>
        <v>11289.759337406118</v>
      </c>
      <c r="AB9" s="516">
        <f>F9</f>
        <v>11663.260208182624</v>
      </c>
      <c r="AC9" s="327">
        <f>IF(An_Tnet,Tnet,'2025'!Tnet_s)</f>
        <v>46142</v>
      </c>
      <c r="AD9" s="318" t="s">
        <v>91</v>
      </c>
      <c r="AE9" s="318"/>
      <c r="AF9" s="318"/>
      <c r="AG9" s="318"/>
      <c r="AH9" s="318"/>
      <c r="AI9" s="319"/>
      <c r="AJ9" s="516">
        <f>SUMIF(AJ15:AJ380,"VRAI",Wh_sa)</f>
        <v>2959.264949092531</v>
      </c>
      <c r="AK9" s="516">
        <f>SUMIF(AK15:AK380,"VRAI",Wh_hp)</f>
        <v>0</v>
      </c>
      <c r="AL9" s="516">
        <f>SUMIF(AJ15:AJ380,"VRAI",Wh_sa_s)</f>
        <v>2832.7391788959158</v>
      </c>
      <c r="AM9" s="516">
        <f>SUMIF(AK15:AK380,"VRAI",Wh_hp)</f>
        <v>0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IF(Inflex,'2025'!Resal+('2025'!Salim-'2025'!Resal)*(1-EXP(-(Tnet-'2025'!Tnet)/('2025'!Tau_j))),IF(An_Tnet,Resal_2026,'2025'!Resal))</f>
        <v>2.5000000000000001E-2</v>
      </c>
      <c r="P10" s="421" t="b">
        <f>NOT(Acti_tai)</f>
        <v>1</v>
      </c>
      <c r="Q10" s="259">
        <f>IF(Acti_tai,'2025'!PousD,Dens-Dd)</f>
        <v>0</v>
      </c>
      <c r="R10" s="276"/>
      <c r="S10" s="277"/>
      <c r="T10" s="278"/>
      <c r="U10" s="268">
        <f>IF(Acti_tai,'2025'!PousH,Hdtf-Hdd)</f>
        <v>0.7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IF(OR(Inflex,GainD),'2025'!Resal_s+('2025'!Salim-'2025'!Resal_s)*(1-EXP(('2025'!Tnet_s-Tnet)/('2025'!Tau_j))),IF(Acti_net,'2025'!Resal+('2025'!Salim-'2025'!Resal)*(1-EXP(('2025'!Tnet-Tnet)/'2025'!Tau_j)),'2025'!Resal_s))</f>
        <v>9.9501677911626452E-2</v>
      </c>
      <c r="AD10" s="428"/>
      <c r="AE10" s="428"/>
      <c r="AF10" s="262"/>
      <c r="AG10" s="263"/>
      <c r="AH10" s="264"/>
      <c r="AI10" s="473"/>
      <c r="AJ10" s="516">
        <f>SUMIF(AJ15:AJ380,"FAUX",Wh_sa)</f>
        <v>8679.6836360150264</v>
      </c>
      <c r="AK10" s="516">
        <f>SUMIF(AK15:AK380,"FAUX",Wh_hp)</f>
        <v>11663.260208182624</v>
      </c>
      <c r="AL10" s="516">
        <f>SUMIF(AJ15:AJ380,"FAUX",Wh_sa_s)</f>
        <v>8457.0201585101913</v>
      </c>
      <c r="AM10" s="516">
        <f>SUMIF(AK15:AK380,"FAUX",Wh_hp)</f>
        <v>11663.260208182624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50">
        <f>D$9-Prod_an</f>
        <v>709.09325199536761</v>
      </c>
      <c r="E11" s="51">
        <f>(E$9-D$9)*Prod_an/D$9</f>
        <v>680.83915922456083</v>
      </c>
      <c r="F11" s="188">
        <f>(F$9-E$9)*Prod_an/E$9</f>
        <v>21.309460079939232</v>
      </c>
      <c r="G11" s="187" t="s">
        <v>6</v>
      </c>
      <c r="K11" s="196"/>
      <c r="L11" s="213">
        <f>Tvie_2026</f>
        <v>43313</v>
      </c>
      <c r="M11" s="869"/>
      <c r="N11" s="869"/>
      <c r="O11" s="204">
        <f>IF(An_Tnet,Salim_2026,'2025'!Salim)</f>
        <v>0.17333333333333334</v>
      </c>
      <c r="P11" s="258">
        <f>Ttai_2026</f>
        <v>45747</v>
      </c>
      <c r="Q11" s="274">
        <f>Dens_2026</f>
        <v>1</v>
      </c>
      <c r="R11" s="279"/>
      <c r="S11" s="232"/>
      <c r="T11" s="232"/>
      <c r="U11" s="268">
        <f>Htf_2026</f>
        <v>-1.435207473344166</v>
      </c>
      <c r="V11" s="428"/>
      <c r="W11" s="519"/>
      <c r="X11" s="526" t="s">
        <v>43</v>
      </c>
      <c r="Y11" s="50">
        <f>Z$9-Prod_an_s</f>
        <v>643.17974980846157</v>
      </c>
      <c r="Z11" s="51">
        <f>(AA$9-Z$9)*Prod_an_s/Z$9</f>
        <v>1298.6114207840151</v>
      </c>
      <c r="AA11" s="188">
        <f>(AB$9-AA$9)*Prod_an_s/AA$9</f>
        <v>306.27550440962852</v>
      </c>
      <c r="AB11" s="527" t="s">
        <v>6</v>
      </c>
      <c r="AC11" s="327"/>
      <c r="AD11" s="428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58">
        <f>IF($AJ7=0,0,($AJ9-$AJ7)*$AJ5/$AJ7)</f>
        <v>257.3401555925123</v>
      </c>
      <c r="AK11" s="859">
        <f>IF($AK7=0,0,($AK9-$AK7)*$AK5/$AK7)</f>
        <v>0</v>
      </c>
      <c r="AL11" s="858">
        <f>IF($AL7=0,0,($AL9-$AL7)*$AL5/$AL7)</f>
        <v>355.11716851886331</v>
      </c>
      <c r="AM11" s="859">
        <f>IF($AM7=0,0,($AM9-$AM7)*$AM5/$AM7)</f>
        <v>0</v>
      </c>
      <c r="AN11" s="857" t="s">
        <v>272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Pspv_2026</f>
        <v>0</v>
      </c>
      <c r="M12" s="214"/>
      <c r="N12" s="214"/>
      <c r="O12" s="207">
        <f>IF(An_Tnet,Tau_2026*365,'2025'!Tau_j)</f>
        <v>523.16666666666663</v>
      </c>
      <c r="P12" s="283">
        <f>INDEX(Croivg,MIN(MAX(Ttai-$A$15,0)+1,366))</f>
        <v>2.3909964587625958E-6</v>
      </c>
      <c r="Q12" s="282">
        <f>'2025'!Df</f>
        <v>1</v>
      </c>
      <c r="R12" s="280"/>
      <c r="S12" s="281"/>
      <c r="T12" s="281"/>
      <c r="U12" s="269">
        <f>'2025'!Hdf</f>
        <v>-2.1352074733441659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'2025'!Df_s</f>
        <v>1</v>
      </c>
      <c r="AF12" s="205"/>
      <c r="AG12" s="205"/>
      <c r="AH12" s="205"/>
      <c r="AI12" s="299">
        <f>'2025'!Hdf_s</f>
        <v>2.7997751195794045</v>
      </c>
      <c r="AJ12" s="858">
        <f>IF($AJ8=0,0,($AJ10-$AJ8)*$AJ6/$AJ8)</f>
        <v>423.79183222696042</v>
      </c>
      <c r="AK12" s="859">
        <f>IF($AK8=0,0,($AK10-$AK8)*$AK6/$AK8)</f>
        <v>21.309460079939232</v>
      </c>
      <c r="AL12" s="858">
        <f>IF($AL8=0,0,($AL10-$AL8)*$AL6/$AL8)</f>
        <v>943.59829588006517</v>
      </c>
      <c r="AM12" s="859">
        <f>IF($AM8=0,0,($AM10-$AM8)*$AM6/$AM8)</f>
        <v>306.27550440962852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204</v>
      </c>
      <c r="V13" s="124" t="s">
        <v>41</v>
      </c>
      <c r="W13" s="862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681.13198781947267</v>
      </c>
      <c r="AK13" s="73">
        <f>+AK11+AK12</f>
        <v>21.309460079939232</v>
      </c>
      <c r="AL13" s="73">
        <f>+AL11+AL12</f>
        <v>1298.7154643989284</v>
      </c>
      <c r="AM13" s="73">
        <f>+AM11+AM12</f>
        <v>306.27550440962852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1281" t="s">
        <v>366</v>
      </c>
      <c r="C14" s="416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203</v>
      </c>
      <c r="V14" s="45" t="str">
        <f>"Enveloppe "&amp; TEXT(An,0)</f>
        <v>Enveloppe 2026</v>
      </c>
      <c r="W14" s="374" t="s">
        <v>116</v>
      </c>
      <c r="X14" s="260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129">
        <f>DATE(An,1,1)</f>
        <v>46023</v>
      </c>
      <c r="B15" s="1138">
        <f>IF(t&gt;Tmaj,'2025'!Wh/'2025'!Env_an*'2026'!Env_an,0.001*'[3]mon-tableau (2)'!$B$208)</f>
        <v>6.2016946133427533</v>
      </c>
      <c r="C15" s="866"/>
      <c r="D15" s="395">
        <f t="shared" ref="D15:D78" si="0">Wh/(1-Ppv)</f>
        <v>6.6054097495555384</v>
      </c>
      <c r="E15" s="402">
        <f t="shared" ref="E15:E79" si="1">Wh_pvt/(1-Psa)</f>
        <v>7.1855475262413533</v>
      </c>
      <c r="F15" s="402">
        <f t="shared" ref="F15:F78" si="2">Wh_sa/(1-Pvg*MEDIAN((-Sdif+Wh/Env_an)/Csdif,0,1))</f>
        <v>7.1938668017348739</v>
      </c>
      <c r="G15" s="123">
        <f>+Wh_hp/MaxiM</f>
        <v>0.37799137785964076</v>
      </c>
      <c r="H15" s="414" t="b">
        <f>Wh_hp&gt;='2025'!Maxi_hp</f>
        <v>0</v>
      </c>
      <c r="I15" s="398">
        <f>IF(H15,Wh_hp,'2025'!Maxi_hp)</f>
        <v>19.462082173692245</v>
      </c>
      <c r="J15" s="84">
        <f>IF(H15,An,'2025'!An_max)</f>
        <v>2022</v>
      </c>
      <c r="K15" s="199">
        <f t="shared" ref="K15:K78" si="3">t</f>
        <v>46023</v>
      </c>
      <c r="L15" s="146">
        <f>IF(t&lt;Tvie,1-EXP((T0-t)*PertePVj)+'2025'!Pspv,1-EXP((T0-t)*PertePVj)+Pspv)</f>
        <v>6.1118863404340695E-2</v>
      </c>
      <c r="M15" s="870"/>
      <c r="N15" s="870"/>
      <c r="O15" s="48">
        <f>IF(t&lt;Tnet,'2025'!Resal+('2025'!Salim-'2025'!Resal)*(1-EXP(('2025'!Tnet-t)/('2025'!Tau_j))),Resal+(Salim-Resal)*(1-EXP((Tnet-t)/(Tau_j))))*Salcycl</f>
        <v>8.0736753123846663E-2</v>
      </c>
      <c r="P15" s="304">
        <f>(INDEX(Models!$BJ15:$BT15,,T15)*(1-R15)+INDEX(Models!$BJ15:$BT15,,T15+1)*R15-ERP_i)*Q15*Ramure*Pc/MaxiM</f>
        <v>9.9510415644069247E-3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0.86479420035335508</v>
      </c>
      <c r="S15" s="836">
        <f t="shared" ref="S15:S78" si="6">INDEX(Echel_vg,T15)</f>
        <v>-3</v>
      </c>
      <c r="T15" s="251">
        <f t="shared" ref="T15:T78" si="7">MIN(MATCH(Hp_vg,Echel_vg),10)</f>
        <v>3</v>
      </c>
      <c r="U15" s="253">
        <f t="shared" ref="U15:U78" si="8">IF(OR(t&lt;Ttai,Notai),Hdd+PousH*Croivg,Hdtf+PousH*(Croivg-Croi_tai))</f>
        <v>-2.1352057996466449</v>
      </c>
      <c r="V15" s="384">
        <f t="shared" ref="V15:V78" si="9">MaxiM*(1-Ppv)*(1-Pvg)*(1-Psa)</f>
        <v>16.262513891788149</v>
      </c>
      <c r="W15" s="404">
        <f t="shared" ref="W15:W78" si="10">Wh*(A15&gt;Tmaj)</f>
        <v>6.2016946133427533</v>
      </c>
      <c r="X15" s="156">
        <f t="shared" ref="X15:X78" si="11">t</f>
        <v>46023</v>
      </c>
      <c r="Y15" s="387">
        <f t="shared" ref="Y15:Y78" si="12">Wh_pvt_s*(1-Ppv)</f>
        <v>5.7132876789309863</v>
      </c>
      <c r="Z15" s="387">
        <f>Wh_sa_s*(1-Psa_s)</f>
        <v>6.0852087194414297</v>
      </c>
      <c r="AA15" s="388">
        <f t="shared" ref="AA15:AA78" si="13">Wh_hp*(1-Pvg_s*MEDIAN((-Sdif+Wh/Env_an)/Csdif,0,1))</f>
        <v>6.9732030104400691</v>
      </c>
      <c r="AB15" s="199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0.12734381742065462</v>
      </c>
      <c r="AD15" s="233">
        <f>(INDEX(Models!$BJ15:$BT15,,AH15)*(1-AF15)+INDEX(Models!$BJ15:$BT15,,AH15+1)*AF15-ERP_i)*AE15*Ramure*Pc/MaxiM</f>
        <v>0.26394540734279448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0.79977679327692552</v>
      </c>
      <c r="AG15" s="836">
        <f>INDEX(Echel_vg,AH15)</f>
        <v>2</v>
      </c>
      <c r="AH15" s="251">
        <f t="shared" ref="AH15:AH78" si="16">MIN(MATCH(Hp_vg_s,Echel_vg),10)</f>
        <v>8</v>
      </c>
      <c r="AI15" s="226">
        <f t="shared" ref="AI15:AI78" si="17">IF(OR(t&lt;Ttai,Notai),Hdd_s+PousH*Croivg,Hdtai_s+PousH*(Croivg-Croi_tai))</f>
        <v>2.7997767932769255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46024</v>
      </c>
      <c r="B16" s="1139">
        <f>IF(t&gt;Tmaj,'2025'!Wh/'2025'!Env_an*'2026'!Env_an,0.001*'[3]mon-tableau (2)'!$B$209)</f>
        <v>1.5103378235587017</v>
      </c>
      <c r="C16" s="866"/>
      <c r="D16" s="395">
        <f t="shared" si="0"/>
        <v>1.6086945549048102</v>
      </c>
      <c r="E16" s="387">
        <f t="shared" si="1"/>
        <v>1.7503075427774737</v>
      </c>
      <c r="F16" s="387">
        <f t="shared" si="2"/>
        <v>1.7503075427774737</v>
      </c>
      <c r="G16" s="110">
        <f t="shared" ref="G16:G79" si="21">+Wh_hp/MaxiM</f>
        <v>9.1315610601354749E-2</v>
      </c>
      <c r="H16" s="414" t="b">
        <f>Wh_hp&gt;='2025'!Maxi_hp</f>
        <v>0</v>
      </c>
      <c r="I16" s="392">
        <f>IF(H16,Wh_hp,'2025'!Maxi_hp)</f>
        <v>17.82763006390077</v>
      </c>
      <c r="J16" s="85">
        <f>IF(H16,An,'2025'!An_max)</f>
        <v>2020</v>
      </c>
      <c r="K16" s="199">
        <f t="shared" si="3"/>
        <v>46024</v>
      </c>
      <c r="L16" s="147">
        <f>IF(t&lt;Tvie,1-EXP((T0-t)*PertePVj)+'2025'!Pspv,1-EXP((T0-t)*PertePVj)+Pspv)</f>
        <v>6.1140712540006303E-2</v>
      </c>
      <c r="M16" s="870"/>
      <c r="N16" s="870"/>
      <c r="O16" s="48">
        <f>IF(t&lt;Tnet,'2025'!Resal+('2025'!Salim-'2025'!Resal)*(1-EXP(('2025'!Tnet-t)/('2025'!Tau_j))),Resal+(Salim-Resal)*(1-EXP((Tnet-t)/(Tau_j))))*Salcycl</f>
        <v>8.0907488776483932E-2</v>
      </c>
      <c r="P16" s="171">
        <f>(INDEX(Models!$BJ16:$BT16,,T16)*(1-R16)+INDEX(Models!$BJ16:$BT16,,T16+1)*R16-ERP_i)*Q16*Ramure*Pc/MaxiM</f>
        <v>9.9543069170508654E-3</v>
      </c>
      <c r="Q16" s="307">
        <f t="shared" si="4"/>
        <v>1</v>
      </c>
      <c r="R16" s="179">
        <f t="shared" si="5"/>
        <v>0.86483510081294712</v>
      </c>
      <c r="S16" s="837">
        <f t="shared" si="6"/>
        <v>-3</v>
      </c>
      <c r="T16" s="178">
        <f t="shared" si="7"/>
        <v>3</v>
      </c>
      <c r="U16" s="253">
        <f t="shared" si="8"/>
        <v>-2.1351648991870529</v>
      </c>
      <c r="V16" s="385">
        <f t="shared" si="9"/>
        <v>16.375113164850077</v>
      </c>
      <c r="W16" s="404">
        <f t="shared" si="10"/>
        <v>1.5103378235587017</v>
      </c>
      <c r="X16" s="157">
        <f t="shared" si="11"/>
        <v>46024</v>
      </c>
      <c r="Y16" s="387">
        <f t="shared" si="12"/>
        <v>1.4339011493099201</v>
      </c>
      <c r="Z16" s="387">
        <f t="shared" ref="Z16:Z78" si="22">Wh_sa_s*(1-Psa_s)</f>
        <v>1.527280145664023</v>
      </c>
      <c r="AA16" s="388">
        <f t="shared" si="13"/>
        <v>1.7503075427774737</v>
      </c>
      <c r="AB16" s="199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0.12742183397069734</v>
      </c>
      <c r="AD16" s="233">
        <f>(INDEX(Models!$BJ16:$BT16,,AH16)*(1-AF16)+INDEX(Models!$BJ16:$BT16,,AH16+1)*AF16-ERP_i)*AE16*Ramure*Pc/MaxiM</f>
        <v>0.26158353450039268</v>
      </c>
      <c r="AE16" s="307">
        <f t="shared" si="15"/>
        <v>1</v>
      </c>
      <c r="AF16" s="179">
        <f t="shared" ref="AF16:AF78" si="23">(Hp_vg_s-AG16)/(INDEX(Echel_vg,AH16+1)-AG16)</f>
        <v>0.79981769373651757</v>
      </c>
      <c r="AG16" s="837">
        <f t="shared" ref="AG16:AG79" si="24">INDEX(Echel_vg,AH16)</f>
        <v>2</v>
      </c>
      <c r="AH16" s="178">
        <f t="shared" si="16"/>
        <v>8</v>
      </c>
      <c r="AI16" s="227">
        <f t="shared" si="17"/>
        <v>2.7998176937365176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46025</v>
      </c>
      <c r="B17" s="1139">
        <f>IF(t&gt;Tmaj,'2025'!Wh/'2025'!Env_an*'2026'!Env_an,0.001*'[3]mon-tableau (2)'!$B$210)</f>
        <v>11.359229294248928</v>
      </c>
      <c r="C17" s="866"/>
      <c r="D17" s="395">
        <f t="shared" si="0"/>
        <v>12.099250439321318</v>
      </c>
      <c r="E17" s="387">
        <f t="shared" si="1"/>
        <v>13.166790400203158</v>
      </c>
      <c r="F17" s="387">
        <f t="shared" si="2"/>
        <v>13.240001710541348</v>
      </c>
      <c r="G17" s="110">
        <f t="shared" si="21"/>
        <v>0.68556503857374773</v>
      </c>
      <c r="H17" s="414" t="b">
        <f>Wh_hp&gt;='2025'!Maxi_hp</f>
        <v>0</v>
      </c>
      <c r="I17" s="392">
        <f>IF(H17,Wh_hp,'2025'!Maxi_hp)</f>
        <v>19.427917678346777</v>
      </c>
      <c r="J17" s="85">
        <f>IF(H17,An,'2025'!An_max)</f>
        <v>2019</v>
      </c>
      <c r="K17" s="199">
        <f t="shared" si="3"/>
        <v>46025</v>
      </c>
      <c r="L17" s="147">
        <f>IF(t&lt;Tvie,1-EXP((T0-t)*PertePVj)+'2025'!Pspv,1-EXP((T0-t)*PertePVj)+Pspv)</f>
        <v>6.1162561167210638E-2</v>
      </c>
      <c r="M17" s="870"/>
      <c r="N17" s="870"/>
      <c r="O17" s="48">
        <f>IF(t&lt;Tnet,'2025'!Resal+('2025'!Salim-'2025'!Resal)*(1-EXP(('2025'!Tnet-t)/('2025'!Tau_j))),Resal+(Salim-Resal)*(1-EXP((Tnet-t)/(Tau_j))))*Salcycl</f>
        <v>8.1078222439492031E-2</v>
      </c>
      <c r="P17" s="171">
        <f>(INDEX(Models!$BJ17:$BT17,,T17)*(1-R17)+INDEX(Models!$BJ17:$BT17,,T17+1)*R17-ERP_i)*Q17*Ramure*Pc/MaxiM</f>
        <v>9.9597570417079041E-3</v>
      </c>
      <c r="Q17" s="307">
        <f t="shared" si="4"/>
        <v>1</v>
      </c>
      <c r="R17" s="179">
        <f t="shared" si="5"/>
        <v>0.86487771204663266</v>
      </c>
      <c r="S17" s="837">
        <f t="shared" si="6"/>
        <v>-3</v>
      </c>
      <c r="T17" s="178">
        <f t="shared" si="7"/>
        <v>3</v>
      </c>
      <c r="U17" s="253">
        <f t="shared" si="8"/>
        <v>-2.1351222879533673</v>
      </c>
      <c r="V17" s="385">
        <f t="shared" si="9"/>
        <v>16.495336191390866</v>
      </c>
      <c r="W17" s="404">
        <f t="shared" si="10"/>
        <v>11.359229294248928</v>
      </c>
      <c r="X17" s="157">
        <f t="shared" si="11"/>
        <v>46025</v>
      </c>
      <c r="Y17" s="387">
        <f t="shared" si="12"/>
        <v>9.285692239426556</v>
      </c>
      <c r="Z17" s="387">
        <f t="shared" si="22"/>
        <v>9.8906284041793242</v>
      </c>
      <c r="AA17" s="388">
        <f t="shared" si="13"/>
        <v>11.335966924478152</v>
      </c>
      <c r="AB17" s="199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0.12750024148163822</v>
      </c>
      <c r="AD17" s="233">
        <f>(INDEX(Models!$BJ17:$BT17,,AH17)*(1-AF17)+INDEX(Models!$BJ17:$BT17,,AH17+1)*AF17-ERP_i)*AE17*Ramure*Pc/MaxiM</f>
        <v>0.25902724292939922</v>
      </c>
      <c r="AE17" s="307">
        <f t="shared" si="15"/>
        <v>1</v>
      </c>
      <c r="AF17" s="179">
        <f>(Hp_vg_s-AG17)/(INDEX(Echel_vg,AH17+1)-AG17)</f>
        <v>0.79986030497020311</v>
      </c>
      <c r="AG17" s="837">
        <f>INDEX(Echel_vg,AH17)</f>
        <v>2</v>
      </c>
      <c r="AH17" s="178">
        <f t="shared" si="16"/>
        <v>8</v>
      </c>
      <c r="AI17" s="227">
        <f t="shared" si="17"/>
        <v>2.7998603049702031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46026</v>
      </c>
      <c r="B18" s="1139">
        <f>IF(t&gt;Tmaj,'2025'!Wh/'2025'!Env_an*'2026'!Env_an,0.001*'[3]mon-tableau (2)'!$B$211)</f>
        <v>11.413600230070232</v>
      </c>
      <c r="C18" s="866"/>
      <c r="D18" s="395">
        <f t="shared" si="0"/>
        <v>12.157446406902334</v>
      </c>
      <c r="E18" s="387">
        <f t="shared" si="1"/>
        <v>13.232579162206925</v>
      </c>
      <c r="F18" s="387">
        <f t="shared" si="2"/>
        <v>13.3058294495524</v>
      </c>
      <c r="G18" s="110">
        <f t="shared" si="21"/>
        <v>0.68353611457534103</v>
      </c>
      <c r="H18" s="414" t="b">
        <f>Wh_hp&gt;='2025'!Maxi_hp</f>
        <v>0</v>
      </c>
      <c r="I18" s="392">
        <f>IF(H18,Wh_hp,'2025'!Maxi_hp)</f>
        <v>19.204055167696065</v>
      </c>
      <c r="J18" s="85">
        <f>IF(H18,An,'2025'!An_max)</f>
        <v>2019</v>
      </c>
      <c r="K18" s="199">
        <f t="shared" si="3"/>
        <v>46026</v>
      </c>
      <c r="L18" s="147">
        <f>IF(t&lt;Tvie,1-EXP((T0-t)*PertePVj)+'2025'!Pspv,1-EXP((T0-t)*PertePVj)+Pspv)</f>
        <v>6.1184409285965469E-2</v>
      </c>
      <c r="M18" s="870"/>
      <c r="N18" s="870"/>
      <c r="O18" s="48">
        <f>IF(t&lt;Tnet,'2025'!Resal+('2025'!Salim-'2025'!Resal)*(1-EXP(('2025'!Tnet-t)/('2025'!Tau_j))),Resal+(Salim-Resal)*(1-EXP((Tnet-t)/(Tau_j))))*Salcycl</f>
        <v>8.1248919211096546E-2</v>
      </c>
      <c r="P18" s="171">
        <f>(INDEX(Models!$BJ18:$BT18,,T18)*(1-R18)+INDEX(Models!$BJ18:$BT18,,T18+1)*R18-ERP_i)*Q18*Ramure*Pc/MaxiM</f>
        <v>9.9674596639973464E-3</v>
      </c>
      <c r="Q18" s="307">
        <f t="shared" si="4"/>
        <v>1</v>
      </c>
      <c r="R18" s="179">
        <f t="shared" si="5"/>
        <v>0.86492210539044567</v>
      </c>
      <c r="S18" s="837">
        <f t="shared" si="6"/>
        <v>-3</v>
      </c>
      <c r="T18" s="178">
        <f t="shared" si="7"/>
        <v>3</v>
      </c>
      <c r="U18" s="253">
        <f t="shared" si="8"/>
        <v>-2.1350778946095543</v>
      </c>
      <c r="V18" s="385">
        <f t="shared" si="9"/>
        <v>16.62295053163578</v>
      </c>
      <c r="W18" s="404">
        <f t="shared" si="10"/>
        <v>11.413600230070232</v>
      </c>
      <c r="X18" s="157">
        <f t="shared" si="11"/>
        <v>46026</v>
      </c>
      <c r="Y18" s="387">
        <f t="shared" si="12"/>
        <v>9.3554225828495898</v>
      </c>
      <c r="Z18" s="387">
        <f>Wh_sa_s*(1-Psa_s)</f>
        <v>9.9651333823015662</v>
      </c>
      <c r="AA18" s="388">
        <f t="shared" si="13"/>
        <v>11.422390307655625</v>
      </c>
      <c r="AB18" s="199">
        <f>t</f>
        <v>46026</v>
      </c>
      <c r="AC18" s="119">
        <f>IF(OR(t&lt;Tnet,NoTnet),'2025'!Resal_s+('2025'!Salim-'2025'!Resal_s)*(1-EXP(('2025'!Tnet_s-t)/'2025'!Tau_j)),Resal_s+(Salim-Resal_s)*(1-EXP((Tnet_s-t)/Tau_j)))*Salcycl</f>
        <v>0.12757898181586058</v>
      </c>
      <c r="AD18" s="233">
        <f>(INDEX(Models!$BJ18:$BT18,,AH18)*(1-AF18)+INDEX(Models!$BJ18:$BT18,,AH18+1)*AF18-ERP_i)*AE18*Ramure*Pc/MaxiM</f>
        <v>0.25628709943360378</v>
      </c>
      <c r="AE18" s="307">
        <f t="shared" si="15"/>
        <v>1</v>
      </c>
      <c r="AF18" s="179">
        <f t="shared" si="23"/>
        <v>0.79990469831401612</v>
      </c>
      <c r="AG18" s="837">
        <f t="shared" si="24"/>
        <v>2</v>
      </c>
      <c r="AH18" s="178">
        <f t="shared" si="16"/>
        <v>8</v>
      </c>
      <c r="AI18" s="227">
        <f t="shared" si="17"/>
        <v>2.7999046983140161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46027</v>
      </c>
      <c r="B19" s="1139">
        <f>IF(t&gt;Tmaj,'2025'!Wh/'2025'!Env_an*'2026'!Env_an,0.001*'[3]mon-tableau (2)'!$B$212)</f>
        <v>12.26881292085903</v>
      </c>
      <c r="C19" s="866"/>
      <c r="D19" s="395">
        <f t="shared" si="0"/>
        <v>13.068699073661785</v>
      </c>
      <c r="E19" s="387">
        <f t="shared" si="1"/>
        <v>14.227059868371114</v>
      </c>
      <c r="F19" s="387">
        <f t="shared" si="2"/>
        <v>14.315232588128106</v>
      </c>
      <c r="G19" s="110">
        <f t="shared" si="21"/>
        <v>0.72931616506695185</v>
      </c>
      <c r="H19" s="414" t="b">
        <f>Wh_hp&gt;='2025'!Maxi_hp</f>
        <v>0</v>
      </c>
      <c r="I19" s="392">
        <f>IF(H19,Wh_hp,'2025'!Maxi_hp)</f>
        <v>19.428700857508826</v>
      </c>
      <c r="J19" s="85">
        <f>IF(H19,An,'2025'!An_max)</f>
        <v>2019</v>
      </c>
      <c r="K19" s="199">
        <f t="shared" si="3"/>
        <v>46027</v>
      </c>
      <c r="L19" s="147">
        <f>IF(t&lt;Tvie,1-EXP((T0-t)*PertePVj)+'2025'!Pspv,1-EXP((T0-t)*PertePVj)+Pspv)</f>
        <v>6.1206256896282674E-2</v>
      </c>
      <c r="M19" s="870"/>
      <c r="N19" s="870"/>
      <c r="O19" s="48">
        <f>IF(t&lt;Tnet,'2025'!Resal+('2025'!Salim-'2025'!Resal)*(1-EXP(('2025'!Tnet-t)/('2025'!Tau_j))),Resal+(Salim-Resal)*(1-EXP((Tnet-t)/(Tau_j))))*Salcycl</f>
        <v>8.1419548763166386E-2</v>
      </c>
      <c r="P19" s="171">
        <f>(INDEX(Models!$BJ19:$BT19,,T19)*(1-R19)+INDEX(Models!$BJ19:$BT19,,T19+1)*R19-ERP_i)*Q19*Ramure*Pc/MaxiM</f>
        <v>9.977474310592092E-3</v>
      </c>
      <c r="Q19" s="307">
        <f t="shared" si="4"/>
        <v>1</v>
      </c>
      <c r="R19" s="179">
        <f t="shared" si="5"/>
        <v>0.86496835513603187</v>
      </c>
      <c r="S19" s="837">
        <f t="shared" si="6"/>
        <v>-3</v>
      </c>
      <c r="T19" s="178">
        <f t="shared" si="7"/>
        <v>3</v>
      </c>
      <c r="U19" s="253">
        <f t="shared" si="8"/>
        <v>-2.1350316448639681</v>
      </c>
      <c r="V19" s="385">
        <f t="shared" si="9"/>
        <v>16.757723882184276</v>
      </c>
      <c r="W19" s="404">
        <f t="shared" si="10"/>
        <v>12.26881292085903</v>
      </c>
      <c r="X19" s="157">
        <f t="shared" si="11"/>
        <v>46027</v>
      </c>
      <c r="Y19" s="387">
        <f t="shared" si="12"/>
        <v>9.8897321576417703</v>
      </c>
      <c r="Z19" s="387">
        <f t="shared" si="22"/>
        <v>10.534510088388135</v>
      </c>
      <c r="AA19" s="388">
        <f t="shared" si="13"/>
        <v>12.076123975654731</v>
      </c>
      <c r="AB19" s="199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0.12765800437081179</v>
      </c>
      <c r="AD19" s="233">
        <f>(INDEX(Models!$BJ19:$BT19,,AH19)*(1-AF19)+INDEX(Models!$BJ19:$BT19,,AH19+1)*AF19-ERP_i)*AE19*Ramure*Pc/MaxiM</f>
        <v>0.25337370471445886</v>
      </c>
      <c r="AE19" s="307">
        <f t="shared" si="15"/>
        <v>1</v>
      </c>
      <c r="AF19" s="179">
        <f t="shared" si="23"/>
        <v>0.79995094805960232</v>
      </c>
      <c r="AG19" s="837">
        <f t="shared" si="24"/>
        <v>2</v>
      </c>
      <c r="AH19" s="178">
        <f t="shared" si="16"/>
        <v>8</v>
      </c>
      <c r="AI19" s="227">
        <f t="shared" si="17"/>
        <v>2.7999509480596023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46028</v>
      </c>
      <c r="B20" s="1139">
        <f>IF(t&gt;Tmaj,'2025'!Wh/'2025'!Env_an*'2026'!Env_an,0.001*'[3]mon-tableau (2)'!$B$213)</f>
        <v>5.4287781389811034</v>
      </c>
      <c r="C20" s="866"/>
      <c r="D20" s="395">
        <f t="shared" si="0"/>
        <v>5.7828511506383489</v>
      </c>
      <c r="E20" s="387">
        <f t="shared" si="1"/>
        <v>6.2965905067848125</v>
      </c>
      <c r="F20" s="387">
        <f t="shared" si="2"/>
        <v>6.2984997502571982</v>
      </c>
      <c r="G20" s="110">
        <f t="shared" si="21"/>
        <v>0.31812771155221514</v>
      </c>
      <c r="H20" s="414" t="b">
        <f>Wh_hp&gt;='2025'!Maxi_hp</f>
        <v>0</v>
      </c>
      <c r="I20" s="392">
        <f>IF(H20,Wh_hp,'2025'!Maxi_hp)</f>
        <v>20.454909959477973</v>
      </c>
      <c r="J20" s="85">
        <f>IF(H20,An,'2025'!An_max)</f>
        <v>2022</v>
      </c>
      <c r="K20" s="199">
        <f t="shared" si="3"/>
        <v>46028</v>
      </c>
      <c r="L20" s="147">
        <f>IF(t&lt;Tvie,1-EXP((T0-t)*PertePVj)+'2025'!Pspv,1-EXP((T0-t)*PertePVj)+Pspv)</f>
        <v>6.1228103998174133E-2</v>
      </c>
      <c r="M20" s="870"/>
      <c r="N20" s="870"/>
      <c r="O20" s="48">
        <f>IF(t&lt;Tnet,'2025'!Resal+('2025'!Salim-'2025'!Resal)*(1-EXP(('2025'!Tnet-t)/('2025'!Tau_j))),Resal+(Salim-Resal)*(1-EXP((Tnet-t)/(Tau_j))))*Salcycl</f>
        <v>8.1590085236270302E-2</v>
      </c>
      <c r="P20" s="171">
        <f>(INDEX(Models!$BJ20:$BT20,,T20)*(1-R20)+INDEX(Models!$BJ20:$BT20,,T20+1)*R20-ERP_i)*Q20*Ramure*Pc/MaxiM</f>
        <v>9.9898525170907509E-3</v>
      </c>
      <c r="Q20" s="307">
        <f t="shared" si="4"/>
        <v>1</v>
      </c>
      <c r="R20" s="179">
        <f t="shared" si="5"/>
        <v>0.8650165386514832</v>
      </c>
      <c r="S20" s="837">
        <f t="shared" si="6"/>
        <v>-3</v>
      </c>
      <c r="T20" s="178">
        <f t="shared" si="7"/>
        <v>3</v>
      </c>
      <c r="U20" s="253">
        <f t="shared" si="8"/>
        <v>-2.1349834613485168</v>
      </c>
      <c r="V20" s="385">
        <f t="shared" si="9"/>
        <v>16.899424077318962</v>
      </c>
      <c r="W20" s="404">
        <f t="shared" si="10"/>
        <v>5.4287781389811034</v>
      </c>
      <c r="X20" s="157">
        <f t="shared" si="11"/>
        <v>46028</v>
      </c>
      <c r="Y20" s="387">
        <f t="shared" si="12"/>
        <v>5.1183915247718144</v>
      </c>
      <c r="Z20" s="387">
        <f t="shared" si="22"/>
        <v>5.4522206582565396</v>
      </c>
      <c r="AA20" s="388">
        <f t="shared" si="13"/>
        <v>6.2506632976923333</v>
      </c>
      <c r="AB20" s="199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0.12773726585634013</v>
      </c>
      <c r="AD20" s="233">
        <f>(INDEX(Models!$BJ20:$BT20,,AH20)*(1-AF20)+INDEX(Models!$BJ20:$BT20,,AH20+1)*AF20-ERP_i)*AE20*Ramure*Pc/MaxiM</f>
        <v>0.25029762467470806</v>
      </c>
      <c r="AE20" s="307">
        <f t="shared" si="15"/>
        <v>1</v>
      </c>
      <c r="AF20" s="179">
        <f t="shared" si="23"/>
        <v>0.79999913157505365</v>
      </c>
      <c r="AG20" s="837">
        <f t="shared" si="24"/>
        <v>2</v>
      </c>
      <c r="AH20" s="178">
        <f t="shared" si="16"/>
        <v>8</v>
      </c>
      <c r="AI20" s="227">
        <f t="shared" si="17"/>
        <v>2.7999991315750536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46029</v>
      </c>
      <c r="B21" s="1139">
        <f>IF(t&gt;Tmaj,'2025'!Wh/'2025'!Env_an*'2026'!Env_an,0.001*'[3]mon-tableau (2)'!$B$214)</f>
        <v>13.815637248076083</v>
      </c>
      <c r="C21" s="866"/>
      <c r="D21" s="395">
        <f t="shared" si="0"/>
        <v>14.717056214040632</v>
      </c>
      <c r="E21" s="387">
        <f t="shared" si="1"/>
        <v>16.027470314420199</v>
      </c>
      <c r="F21" s="387">
        <f t="shared" si="2"/>
        <v>16.145247983145396</v>
      </c>
      <c r="G21" s="110">
        <f t="shared" si="21"/>
        <v>0.80819282797095571</v>
      </c>
      <c r="H21" s="414" t="b">
        <f>Wh_hp&gt;='2025'!Maxi_hp</f>
        <v>1</v>
      </c>
      <c r="I21" s="392">
        <f>IF(H21,Wh_hp,'2025'!Maxi_hp)</f>
        <v>16.145247983145396</v>
      </c>
      <c r="J21" s="85">
        <f>IF(H21,An,'2025'!An_max)</f>
        <v>2026</v>
      </c>
      <c r="K21" s="199">
        <f t="shared" si="3"/>
        <v>46029</v>
      </c>
      <c r="L21" s="147">
        <f>IF(t&lt;Tvie,1-EXP((T0-t)*PertePVj)+'2025'!Pspv,1-EXP((T0-t)*PertePVj)+Pspv)</f>
        <v>6.1249950591651614E-2</v>
      </c>
      <c r="M21" s="870"/>
      <c r="N21" s="870"/>
      <c r="O21" s="48">
        <f>IF(t&lt;Tnet,'2025'!Resal+('2025'!Salim-'2025'!Resal)*(1-EXP(('2025'!Tnet-t)/('2025'!Tau_j))),Resal+(Salim-Resal)*(1-EXP((Tnet-t)/(Tau_j))))*Salcycl</f>
        <v>8.1760507096404658E-2</v>
      </c>
      <c r="P21" s="171">
        <f>(INDEX(Models!$BJ21:$BT21,,T21)*(1-R21)+INDEX(Models!$BJ21:$BT21,,T21+1)*R21-ERP_i)*Q21*Ramure*Pc/MaxiM</f>
        <v>1.0004638088555097E-2</v>
      </c>
      <c r="Q21" s="307">
        <f t="shared" si="4"/>
        <v>1</v>
      </c>
      <c r="R21" s="179">
        <f t="shared" si="5"/>
        <v>0.86506673650697152</v>
      </c>
      <c r="S21" s="837">
        <f t="shared" si="6"/>
        <v>-3</v>
      </c>
      <c r="T21" s="178">
        <f t="shared" si="7"/>
        <v>3</v>
      </c>
      <c r="U21" s="253">
        <f t="shared" si="8"/>
        <v>-2.1349332634930285</v>
      </c>
      <c r="V21" s="385">
        <f t="shared" si="9"/>
        <v>17.047819097034935</v>
      </c>
      <c r="W21" s="404">
        <f t="shared" si="10"/>
        <v>13.815637248076083</v>
      </c>
      <c r="X21" s="157">
        <f t="shared" si="11"/>
        <v>46029</v>
      </c>
      <c r="Y21" s="387">
        <f t="shared" si="12"/>
        <v>10.837685252072475</v>
      </c>
      <c r="Z21" s="387">
        <f t="shared" si="22"/>
        <v>11.544803921877795</v>
      </c>
      <c r="AA21" s="388">
        <f t="shared" si="13"/>
        <v>13.236672060989594</v>
      </c>
      <c r="AB21" s="199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0.12781673001463723</v>
      </c>
      <c r="AD21" s="233">
        <f>(INDEX(Models!$BJ21:$BT21,,AH21)*(1-AF21)+INDEX(Models!$BJ21:$BT21,,AH21+1)*AF21-ERP_i)*AE21*Ramure*Pc/MaxiM</f>
        <v>0.24706932790586614</v>
      </c>
      <c r="AE21" s="307">
        <f t="shared" si="15"/>
        <v>1</v>
      </c>
      <c r="AF21" s="179">
        <f t="shared" si="23"/>
        <v>0.80004932943054197</v>
      </c>
      <c r="AG21" s="837">
        <f t="shared" si="24"/>
        <v>2</v>
      </c>
      <c r="AH21" s="178">
        <f t="shared" si="16"/>
        <v>8</v>
      </c>
      <c r="AI21" s="227">
        <f t="shared" si="17"/>
        <v>2.800049329430542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46030</v>
      </c>
      <c r="B22" s="1139">
        <f>IF(t&gt;Tmaj,'2025'!Wh/'2025'!Env_an*'2026'!Env_an,0.001*'[3]mon-tableau (2)'!$B$215)</f>
        <v>7.1906141280795683</v>
      </c>
      <c r="C22" s="866"/>
      <c r="D22" s="395">
        <f t="shared" si="0"/>
        <v>7.6599532246111837</v>
      </c>
      <c r="E22" s="387">
        <f t="shared" si="1"/>
        <v>8.3435466511820895</v>
      </c>
      <c r="F22" s="387">
        <f t="shared" si="2"/>
        <v>8.3576653656966098</v>
      </c>
      <c r="G22" s="110">
        <f t="shared" si="21"/>
        <v>0.41450505208930216</v>
      </c>
      <c r="H22" s="414" t="b">
        <f>Wh_hp&gt;='2025'!Maxi_hp</f>
        <v>0</v>
      </c>
      <c r="I22" s="392">
        <f>IF(H22,Wh_hp,'2025'!Maxi_hp)</f>
        <v>14.685729582313519</v>
      </c>
      <c r="J22" s="85">
        <f>IF(H22,An,'2025'!An_max)</f>
        <v>2021</v>
      </c>
      <c r="K22" s="199">
        <f t="shared" si="3"/>
        <v>46030</v>
      </c>
      <c r="L22" s="147">
        <f>IF(t&lt;Tvie,1-EXP((T0-t)*PertePVj)+'2025'!Pspv,1-EXP((T0-t)*PertePVj)+Pspv)</f>
        <v>6.1271796676726886E-2</v>
      </c>
      <c r="M22" s="870"/>
      <c r="N22" s="870"/>
      <c r="O22" s="48">
        <f>IF(t&lt;Tnet,'2025'!Resal+('2025'!Salim-'2025'!Resal)*(1-EXP(('2025'!Tnet-t)/('2025'!Tau_j))),Resal+(Salim-Resal)*(1-EXP((Tnet-t)/(Tau_j))))*Salcycl</f>
        <v>8.1930796955999058E-2</v>
      </c>
      <c r="P22" s="171">
        <f>(INDEX(Models!$BJ22:$BT22,,T22)*(1-R22)+INDEX(Models!$BJ22:$BT22,,T22+1)*R22-ERP_i)*Q22*Ramure*Pc/MaxiM</f>
        <v>1.0021867406570012E-2</v>
      </c>
      <c r="Q22" s="307">
        <f t="shared" si="4"/>
        <v>1</v>
      </c>
      <c r="R22" s="179">
        <f t="shared" si="5"/>
        <v>0.86511903260536771</v>
      </c>
      <c r="S22" s="837">
        <f t="shared" si="6"/>
        <v>-3</v>
      </c>
      <c r="T22" s="178">
        <f t="shared" si="7"/>
        <v>3</v>
      </c>
      <c r="U22" s="253">
        <f t="shared" si="8"/>
        <v>-2.1348809673946323</v>
      </c>
      <c r="V22" s="385">
        <f t="shared" si="9"/>
        <v>17.202677076530236</v>
      </c>
      <c r="W22" s="404">
        <f t="shared" si="10"/>
        <v>7.1906141280795683</v>
      </c>
      <c r="X22" s="157">
        <f t="shared" si="11"/>
        <v>46030</v>
      </c>
      <c r="Y22" s="387">
        <f t="shared" si="12"/>
        <v>6.5610894137352789</v>
      </c>
      <c r="Z22" s="387">
        <f t="shared" si="22"/>
        <v>6.9893387569562702</v>
      </c>
      <c r="AA22" s="388">
        <f t="shared" si="13"/>
        <v>8.0143442760542687</v>
      </c>
      <c r="AB22" s="199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0.12789636728741124</v>
      </c>
      <c r="AD22" s="233">
        <f>(INDEX(Models!$BJ22:$BT22,,AH22)*(1-AF22)+INDEX(Models!$BJ22:$BT22,,AH22+1)*AF22-ERP_i)*AE22*Ramure*Pc/MaxiM</f>
        <v>0.24369912960107071</v>
      </c>
      <c r="AE22" s="307">
        <f t="shared" si="15"/>
        <v>1</v>
      </c>
      <c r="AF22" s="179">
        <f t="shared" si="23"/>
        <v>0.80010162552893815</v>
      </c>
      <c r="AG22" s="837">
        <f t="shared" si="24"/>
        <v>2</v>
      </c>
      <c r="AH22" s="178">
        <f t="shared" si="16"/>
        <v>8</v>
      </c>
      <c r="AI22" s="227">
        <f t="shared" si="17"/>
        <v>2.8001016255289382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46031</v>
      </c>
      <c r="B23" s="1139">
        <f>IF(t&gt;Tmaj,'2025'!Wh/'2025'!Env_an*'2026'!Env_an,0.001*'[3]mon-tableau (2)'!$B$216)</f>
        <v>7.3097742188873225</v>
      </c>
      <c r="C23" s="866"/>
      <c r="D23" s="395">
        <f t="shared" si="0"/>
        <v>7.7870722388999294</v>
      </c>
      <c r="E23" s="387">
        <f t="shared" si="1"/>
        <v>8.4835823347018007</v>
      </c>
      <c r="F23" s="387">
        <f t="shared" si="2"/>
        <v>8.4983231490592868</v>
      </c>
      <c r="G23" s="110">
        <f t="shared" si="21"/>
        <v>0.41742779217961579</v>
      </c>
      <c r="H23" s="414" t="b">
        <f>Wh_hp&gt;='2025'!Maxi_hp</f>
        <v>0</v>
      </c>
      <c r="I23" s="392">
        <f>IF(H23,Wh_hp,'2025'!Maxi_hp)</f>
        <v>18.908516116999923</v>
      </c>
      <c r="J23" s="85">
        <f>IF(H23,An,'2025'!An_max)</f>
        <v>2020</v>
      </c>
      <c r="K23" s="199">
        <f t="shared" si="3"/>
        <v>46031</v>
      </c>
      <c r="L23" s="147">
        <f>IF(t&lt;Tvie,1-EXP((T0-t)*PertePVj)+'2025'!Pspv,1-EXP((T0-t)*PertePVj)+Pspv)</f>
        <v>6.1293642253411829E-2</v>
      </c>
      <c r="M23" s="870"/>
      <c r="N23" s="870"/>
      <c r="O23" s="48">
        <f>IF(t&lt;Tnet,'2025'!Resal+('2025'!Salim-'2025'!Resal)*(1-EXP(('2025'!Tnet-t)/('2025'!Tau_j))),Resal+(Salim-Resal)*(1-EXP((Tnet-t)/(Tau_j))))*Salcycl</f>
        <v>8.2100941362096683E-2</v>
      </c>
      <c r="P23" s="171">
        <f>(INDEX(Models!$BJ23:$BT23,,T23)*(1-R23)+INDEX(Models!$BJ23:$BT23,,T23+1)*R23-ERP_i)*Q23*Ramure*Pc/MaxiM</f>
        <v>1.0040423242755123E-2</v>
      </c>
      <c r="Q23" s="307">
        <f t="shared" si="4"/>
        <v>1</v>
      </c>
      <c r="R23" s="179">
        <f t="shared" si="5"/>
        <v>0.86517351431801659</v>
      </c>
      <c r="S23" s="837">
        <f t="shared" si="6"/>
        <v>-3</v>
      </c>
      <c r="T23" s="178">
        <f t="shared" si="7"/>
        <v>3</v>
      </c>
      <c r="U23" s="253">
        <f t="shared" si="8"/>
        <v>-2.1348264856819834</v>
      </c>
      <c r="V23" s="385">
        <f t="shared" si="9"/>
        <v>17.365769225256766</v>
      </c>
      <c r="W23" s="404">
        <f t="shared" si="10"/>
        <v>7.3097742188873225</v>
      </c>
      <c r="X23" s="157">
        <f t="shared" si="11"/>
        <v>46031</v>
      </c>
      <c r="Y23" s="387">
        <f t="shared" si="12"/>
        <v>6.6678762674446919</v>
      </c>
      <c r="Z23" s="387">
        <f t="shared" si="22"/>
        <v>7.1032610064038177</v>
      </c>
      <c r="AA23" s="388">
        <f t="shared" si="13"/>
        <v>8.1457187696558933</v>
      </c>
      <c r="AB23" s="199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0.12797615443530874</v>
      </c>
      <c r="AD23" s="233">
        <f>(INDEX(Models!$BJ23:$BT23,,AH23)*(1-AF23)+INDEX(Models!$BJ23:$BT23,,AH23+1)*AF23-ERP_i)*AE23*Ramure*Pc/MaxiM</f>
        <v>0.24016971658428365</v>
      </c>
      <c r="AE23" s="307">
        <f t="shared" si="15"/>
        <v>1</v>
      </c>
      <c r="AF23" s="179">
        <f t="shared" si="23"/>
        <v>0.80015610724158703</v>
      </c>
      <c r="AG23" s="837">
        <f t="shared" si="24"/>
        <v>2</v>
      </c>
      <c r="AH23" s="178">
        <f t="shared" si="16"/>
        <v>8</v>
      </c>
      <c r="AI23" s="227">
        <f t="shared" si="17"/>
        <v>2.800156107241587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46032</v>
      </c>
      <c r="B24" s="1139">
        <f>IF(t&gt;Tmaj,'2025'!Wh/'2025'!Env_an*'2026'!Env_an,0.001*'[3]mon-tableau (2)'!$B$217)</f>
        <v>16.05882313543351</v>
      </c>
      <c r="C24" s="866"/>
      <c r="D24" s="395">
        <f t="shared" si="0"/>
        <v>17.107795983140292</v>
      </c>
      <c r="E24" s="387">
        <f t="shared" si="1"/>
        <v>18.641445011089981</v>
      </c>
      <c r="F24" s="387">
        <f t="shared" si="2"/>
        <v>18.807728187166212</v>
      </c>
      <c r="G24" s="110">
        <f t="shared" si="21"/>
        <v>0.91450269773648762</v>
      </c>
      <c r="H24" s="414" t="b">
        <f>Wh_hp&gt;='2025'!Maxi_hp</f>
        <v>1</v>
      </c>
      <c r="I24" s="392">
        <f>IF(H24,Wh_hp,'2025'!Maxi_hp)</f>
        <v>18.807728187166212</v>
      </c>
      <c r="J24" s="85">
        <f>IF(H24,An,'2025'!An_max)</f>
        <v>2026</v>
      </c>
      <c r="K24" s="199">
        <f t="shared" si="3"/>
        <v>46032</v>
      </c>
      <c r="L24" s="147">
        <f>IF(t&lt;Tvie,1-EXP((T0-t)*PertePVj)+'2025'!Pspv,1-EXP((T0-t)*PertePVj)+Pspv)</f>
        <v>6.1315487321718321E-2</v>
      </c>
      <c r="M24" s="870"/>
      <c r="N24" s="870"/>
      <c r="O24" s="48">
        <f>IF(t&lt;Tnet,'2025'!Resal+('2025'!Salim-'2025'!Resal)*(1-EXP(('2025'!Tnet-t)/('2025'!Tau_j))),Resal+(Salim-Resal)*(1-EXP((Tnet-t)/(Tau_j))))*Salcycl</f>
        <v>8.2270930554863508E-2</v>
      </c>
      <c r="P24" s="171">
        <f>(INDEX(Models!$BJ24:$BT24,,T24)*(1-R24)+INDEX(Models!$BJ24:$BT24,,T24+1)*R24-ERP_i)*Q24*Ramure*Pc/MaxiM</f>
        <v>1.0053002383794087E-2</v>
      </c>
      <c r="Q24" s="307">
        <f t="shared" si="4"/>
        <v>1</v>
      </c>
      <c r="R24" s="179">
        <f t="shared" si="5"/>
        <v>0.86523027262587426</v>
      </c>
      <c r="S24" s="837">
        <f t="shared" si="6"/>
        <v>-3</v>
      </c>
      <c r="T24" s="178">
        <f t="shared" si="7"/>
        <v>3</v>
      </c>
      <c r="U24" s="253">
        <f t="shared" si="8"/>
        <v>-2.1347697273741257</v>
      </c>
      <c r="V24" s="385">
        <f t="shared" si="9"/>
        <v>17.538701327677572</v>
      </c>
      <c r="W24" s="404">
        <f t="shared" si="10"/>
        <v>16.05882313543351</v>
      </c>
      <c r="X24" s="157">
        <f t="shared" si="11"/>
        <v>46032</v>
      </c>
      <c r="Y24" s="387">
        <f t="shared" si="12"/>
        <v>12.192325590090686</v>
      </c>
      <c r="Z24" s="387">
        <f t="shared" si="22"/>
        <v>12.988736285105196</v>
      </c>
      <c r="AA24" s="388">
        <f t="shared" si="13"/>
        <v>14.896297685566266</v>
      </c>
      <c r="AB24" s="199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0.12805607411493916</v>
      </c>
      <c r="AD24" s="233">
        <f>(INDEX(Models!$BJ24:$BT24,,AH24)*(1-AF24)+INDEX(Models!$BJ24:$BT24,,AH24+1)*AF24-ERP_i)*AE24*Ramure*Pc/MaxiM</f>
        <v>0.23647383388083859</v>
      </c>
      <c r="AE24" s="307">
        <f t="shared" si="15"/>
        <v>1</v>
      </c>
      <c r="AF24" s="179">
        <f t="shared" si="23"/>
        <v>0.80021286554944471</v>
      </c>
      <c r="AG24" s="837">
        <f t="shared" si="24"/>
        <v>2</v>
      </c>
      <c r="AH24" s="178">
        <f t="shared" si="16"/>
        <v>8</v>
      </c>
      <c r="AI24" s="227">
        <f t="shared" si="17"/>
        <v>2.8002128655494447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46033</v>
      </c>
      <c r="B25" s="1139">
        <f>IF(t&gt;Tmaj,'2025'!Wh/'2025'!Env_an*'2026'!Env_an,0.001*'[3]mon-tableau (2)'!$B$218)</f>
        <v>4.7539733883758117</v>
      </c>
      <c r="C25" s="866"/>
      <c r="D25" s="395">
        <f t="shared" si="0"/>
        <v>5.0646239057378333</v>
      </c>
      <c r="E25" s="387">
        <f t="shared" si="1"/>
        <v>5.519669657297932</v>
      </c>
      <c r="F25" s="387">
        <f t="shared" si="2"/>
        <v>5.519669657297932</v>
      </c>
      <c r="G25" s="110">
        <f t="shared" si="21"/>
        <v>0.26557161180886957</v>
      </c>
      <c r="H25" s="414" t="b">
        <f>Wh_hp&gt;='2025'!Maxi_hp</f>
        <v>0</v>
      </c>
      <c r="I25" s="392">
        <f>IF(H25,Wh_hp,'2025'!Maxi_hp)</f>
        <v>21.391910226810385</v>
      </c>
      <c r="J25" s="85">
        <f>IF(H25,An,'2025'!An_max)</f>
        <v>2022</v>
      </c>
      <c r="K25" s="199">
        <f t="shared" si="3"/>
        <v>46033</v>
      </c>
      <c r="L25" s="147">
        <f>IF(t&lt;Tvie,1-EXP((T0-t)*PertePVj)+'2025'!Pspv,1-EXP((T0-t)*PertePVj)+Pspv)</f>
        <v>6.133733188165813E-2</v>
      </c>
      <c r="M25" s="870"/>
      <c r="N25" s="870"/>
      <c r="O25" s="48">
        <f>IF(t&lt;Tnet,'2025'!Resal+('2025'!Salim-'2025'!Resal)*(1-EXP(('2025'!Tnet-t)/('2025'!Tau_j))),Resal+(Salim-Resal)*(1-EXP((Tnet-t)/(Tau_j))))*Salcycl</f>
        <v>8.2440758199804939E-2</v>
      </c>
      <c r="P25" s="171">
        <f>(INDEX(Models!$BJ25:$BT25,,T25)*(1-R25)+INDEX(Models!$BJ25:$BT25,,T25+1)*R25-ERP_i)*Q25*Ramure*Pc/MaxiM</f>
        <v>1.0057033660845781E-2</v>
      </c>
      <c r="Q25" s="307">
        <f t="shared" si="4"/>
        <v>1</v>
      </c>
      <c r="R25" s="179">
        <f t="shared" si="5"/>
        <v>0.86528940226618634</v>
      </c>
      <c r="S25" s="837">
        <f t="shared" si="6"/>
        <v>-3</v>
      </c>
      <c r="T25" s="178">
        <f t="shared" si="7"/>
        <v>3</v>
      </c>
      <c r="U25" s="253">
        <f t="shared" si="8"/>
        <v>-2.1347105977338137</v>
      </c>
      <c r="V25" s="385">
        <f t="shared" si="9"/>
        <v>17.720879449167747</v>
      </c>
      <c r="W25" s="404">
        <f t="shared" si="10"/>
        <v>4.7539733883758117</v>
      </c>
      <c r="X25" s="157">
        <f t="shared" si="11"/>
        <v>46033</v>
      </c>
      <c r="Y25" s="387">
        <f t="shared" si="12"/>
        <v>4.5172208196666226</v>
      </c>
      <c r="Z25" s="387">
        <f t="shared" si="22"/>
        <v>4.8124006345345718</v>
      </c>
      <c r="AA25" s="388">
        <f t="shared" si="13"/>
        <v>5.519669657297932</v>
      </c>
      <c r="AB25" s="199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0.12813611441913583</v>
      </c>
      <c r="AD25" s="233">
        <f>(INDEX(Models!$BJ25:$BT25,,AH25)*(1-AF25)+INDEX(Models!$BJ25:$BT25,,AH25+1)*AF25-ERP_i)*AE25*Ramure*Pc/MaxiM</f>
        <v>0.2326828700259716</v>
      </c>
      <c r="AE25" s="307">
        <f t="shared" si="15"/>
        <v>1</v>
      </c>
      <c r="AF25" s="179">
        <f t="shared" si="23"/>
        <v>0.80027199518975678</v>
      </c>
      <c r="AG25" s="837">
        <f t="shared" si="24"/>
        <v>2</v>
      </c>
      <c r="AH25" s="178">
        <f t="shared" si="16"/>
        <v>8</v>
      </c>
      <c r="AI25" s="227">
        <f t="shared" si="17"/>
        <v>2.8002719951897568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46034</v>
      </c>
      <c r="B26" s="1139">
        <f>IF(t&gt;Tmaj,'2025'!Wh/'2025'!Env_an*'2026'!Env_an,0.001*'[3]mon-tableau (2)'!$B$219)</f>
        <v>17.138005199186086</v>
      </c>
      <c r="C26" s="866"/>
      <c r="D26" s="395">
        <f t="shared" si="0"/>
        <v>18.258320711999222</v>
      </c>
      <c r="E26" s="387">
        <f t="shared" si="1"/>
        <v>19.902472332242198</v>
      </c>
      <c r="F26" s="387">
        <f t="shared" si="2"/>
        <v>20.091995891113562</v>
      </c>
      <c r="G26" s="110">
        <f t="shared" si="21"/>
        <v>0.95620827222495475</v>
      </c>
      <c r="H26" s="414" t="b">
        <f>Wh_hp&gt;='2025'!Maxi_hp</f>
        <v>0</v>
      </c>
      <c r="I26" s="392">
        <f>IF(H26,Wh_hp,'2025'!Maxi_hp)</f>
        <v>20.743234517449725</v>
      </c>
      <c r="J26" s="85">
        <f>IF(H26,An,'2025'!An_max)</f>
        <v>2020</v>
      </c>
      <c r="K26" s="199">
        <f t="shared" si="3"/>
        <v>46034</v>
      </c>
      <c r="L26" s="147">
        <f>IF(t&lt;Tvie,1-EXP((T0-t)*PertePVj)+'2025'!Pspv,1-EXP((T0-t)*PertePVj)+Pspv)</f>
        <v>6.1359175933243137E-2</v>
      </c>
      <c r="M26" s="870"/>
      <c r="N26" s="870"/>
      <c r="O26" s="48">
        <f>IF(t&lt;Tnet,'2025'!Resal+('2025'!Salim-'2025'!Resal)*(1-EXP(('2025'!Tnet-t)/('2025'!Tau_j))),Resal+(Salim-Resal)*(1-EXP((Tnet-t)/(Tau_j))))*Salcycl</f>
        <v>8.2610421097254166E-2</v>
      </c>
      <c r="P26" s="171">
        <f>(INDEX(Models!$BJ26:$BT26,,T26)*(1-R26)+INDEX(Models!$BJ26:$BT26,,T26+1)*R26-ERP_i)*Q26*Ramure*Pc/MaxiM</f>
        <v>1.0053102159116254E-2</v>
      </c>
      <c r="Q26" s="307">
        <f t="shared" si="4"/>
        <v>1</v>
      </c>
      <c r="R26" s="179">
        <f t="shared" si="5"/>
        <v>0.86535100188492597</v>
      </c>
      <c r="S26" s="837">
        <f t="shared" si="6"/>
        <v>-3</v>
      </c>
      <c r="T26" s="178">
        <f t="shared" si="7"/>
        <v>3</v>
      </c>
      <c r="U26" s="253">
        <f t="shared" si="8"/>
        <v>-2.134648998115074</v>
      </c>
      <c r="V26" s="385">
        <f t="shared" si="9"/>
        <v>17.911655371733602</v>
      </c>
      <c r="W26" s="404">
        <f t="shared" si="10"/>
        <v>17.138005199186086</v>
      </c>
      <c r="X26" s="157">
        <f t="shared" si="11"/>
        <v>46034</v>
      </c>
      <c r="Y26" s="387">
        <f t="shared" si="12"/>
        <v>12.911297525618984</v>
      </c>
      <c r="Z26" s="387">
        <f t="shared" si="22"/>
        <v>13.755312143445321</v>
      </c>
      <c r="AA26" s="388">
        <f t="shared" si="13"/>
        <v>15.778353787336604</v>
      </c>
      <c r="AB26" s="199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0.12821626838630887</v>
      </c>
      <c r="AD26" s="233">
        <f>(INDEX(Models!$BJ26:$BT26,,AH26)*(1-AF26)+INDEX(Models!$BJ26:$BT26,,AH26+1)*AF26-ERP_i)*AE26*Ramure*Pc/MaxiM</f>
        <v>0.22881316183266026</v>
      </c>
      <c r="AE26" s="307">
        <f t="shared" si="15"/>
        <v>1</v>
      </c>
      <c r="AF26" s="179">
        <f t="shared" si="23"/>
        <v>0.80033359480849642</v>
      </c>
      <c r="AG26" s="837">
        <f t="shared" si="24"/>
        <v>2</v>
      </c>
      <c r="AH26" s="178">
        <f t="shared" si="16"/>
        <v>8</v>
      </c>
      <c r="AI26" s="227">
        <f t="shared" si="17"/>
        <v>2.8003335948084964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46035</v>
      </c>
      <c r="B27" s="1139">
        <f>IF(t&gt;Tmaj,'2025'!Wh/'2025'!Env_an*'2026'!Env_an,0.001*'[3]mon-tableau (2)'!$B$220)</f>
        <v>11.158558750469208</v>
      </c>
      <c r="C27" s="866"/>
      <c r="D27" s="395">
        <f t="shared" si="0"/>
        <v>11.888273071407017</v>
      </c>
      <c r="E27" s="387">
        <f t="shared" si="1"/>
        <v>12.961200169972042</v>
      </c>
      <c r="F27" s="387">
        <f t="shared" si="2"/>
        <v>13.020249368828098</v>
      </c>
      <c r="G27" s="110">
        <f t="shared" si="21"/>
        <v>0.61273325887100261</v>
      </c>
      <c r="H27" s="414" t="b">
        <f>Wh_hp&gt;='2025'!Maxi_hp</f>
        <v>0</v>
      </c>
      <c r="I27" s="392">
        <f>IF(H27,Wh_hp,'2025'!Maxi_hp)</f>
        <v>14.753138664755877</v>
      </c>
      <c r="J27" s="85">
        <f>IF(H27,An,'2025'!An_max)</f>
        <v>2020</v>
      </c>
      <c r="K27" s="199">
        <f t="shared" si="3"/>
        <v>46035</v>
      </c>
      <c r="L27" s="147">
        <f>IF(t&lt;Tvie,1-EXP((T0-t)*PertePVj)+'2025'!Pspv,1-EXP((T0-t)*PertePVj)+Pspv)</f>
        <v>6.1381019476485221E-2</v>
      </c>
      <c r="M27" s="870"/>
      <c r="N27" s="870"/>
      <c r="O27" s="48">
        <f>IF(t&lt;Tnet,'2025'!Resal+('2025'!Salim-'2025'!Resal)*(1-EXP(('2025'!Tnet-t)/('2025'!Tau_j))),Resal+(Salim-Resal)*(1-EXP((Tnet-t)/(Tau_j))))*Salcycl</f>
        <v>8.2779918872847649E-2</v>
      </c>
      <c r="P27" s="171">
        <f>(INDEX(Models!$BJ27:$BT27,,T27)*(1-R27)+INDEX(Models!$BJ27:$BT27,,T27+1)*R27-ERP_i)*Q27*Ramure*Pc/MaxiM</f>
        <v>1.0041790274164941E-2</v>
      </c>
      <c r="Q27" s="307">
        <f t="shared" si="4"/>
        <v>1</v>
      </c>
      <c r="R27" s="179">
        <f t="shared" si="5"/>
        <v>0.86541517419518277</v>
      </c>
      <c r="S27" s="837">
        <f t="shared" si="6"/>
        <v>-3</v>
      </c>
      <c r="T27" s="178">
        <f t="shared" si="7"/>
        <v>3</v>
      </c>
      <c r="U27" s="253">
        <f t="shared" si="8"/>
        <v>-2.1345848258048172</v>
      </c>
      <c r="V27" s="385">
        <f t="shared" si="9"/>
        <v>18.110381375404454</v>
      </c>
      <c r="W27" s="404">
        <f t="shared" si="10"/>
        <v>11.158558750469208</v>
      </c>
      <c r="X27" s="157">
        <f t="shared" si="11"/>
        <v>46035</v>
      </c>
      <c r="Y27" s="387">
        <f t="shared" si="12"/>
        <v>9.5711726378628743</v>
      </c>
      <c r="Z27" s="387">
        <f t="shared" si="22"/>
        <v>10.197079791125205</v>
      </c>
      <c r="AA27" s="388">
        <f t="shared" si="13"/>
        <v>11.697876838658447</v>
      </c>
      <c r="AB27" s="199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0.1282965334849053</v>
      </c>
      <c r="AD27" s="233">
        <f>(INDEX(Models!$BJ27:$BT27,,AH27)*(1-AF27)+INDEX(Models!$BJ27:$BT27,,AH27+1)*AF27-ERP_i)*AE27*Ramure*Pc/MaxiM</f>
        <v>0.22488006390485449</v>
      </c>
      <c r="AE27" s="307">
        <f t="shared" si="15"/>
        <v>1</v>
      </c>
      <c r="AF27" s="179">
        <f t="shared" si="23"/>
        <v>0.80039776711875321</v>
      </c>
      <c r="AG27" s="837">
        <f t="shared" si="24"/>
        <v>2</v>
      </c>
      <c r="AH27" s="178">
        <f t="shared" si="16"/>
        <v>8</v>
      </c>
      <c r="AI27" s="227">
        <f t="shared" si="17"/>
        <v>2.8003977671187532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46036</v>
      </c>
      <c r="B28" s="1139">
        <f>IF(t&gt;Tmaj,'2025'!Wh/'2025'!Env_an*'2026'!Env_an,0.001*'[3]mon-tableau (2)'!$B$221)</f>
        <v>13.452741646851509</v>
      </c>
      <c r="C28" s="866"/>
      <c r="D28" s="395">
        <f t="shared" si="0"/>
        <v>14.332817680274298</v>
      </c>
      <c r="E28" s="387">
        <f t="shared" si="1"/>
        <v>15.629252511232371</v>
      </c>
      <c r="F28" s="387">
        <f t="shared" si="2"/>
        <v>15.727095799220288</v>
      </c>
      <c r="G28" s="110">
        <f t="shared" si="21"/>
        <v>0.73165370090541715</v>
      </c>
      <c r="H28" s="414" t="b">
        <f>Wh_hp&gt;='2025'!Maxi_hp</f>
        <v>0</v>
      </c>
      <c r="I28" s="392">
        <f>IF(H28,Wh_hp,'2025'!Maxi_hp)</f>
        <v>22.064358181548073</v>
      </c>
      <c r="J28" s="85">
        <f>IF(H28,An,'2025'!An_max)</f>
        <v>2022</v>
      </c>
      <c r="K28" s="199">
        <f t="shared" si="3"/>
        <v>46036</v>
      </c>
      <c r="L28" s="147">
        <f>IF(t&lt;Tvie,1-EXP((T0-t)*PertePVj)+'2025'!Pspv,1-EXP((T0-t)*PertePVj)+Pspv)</f>
        <v>6.1402862511396039E-2</v>
      </c>
      <c r="M28" s="870"/>
      <c r="N28" s="870"/>
      <c r="O28" s="48">
        <f>IF(t&lt;Tnet,'2025'!Resal+('2025'!Salim-'2025'!Resal)*(1-EXP(('2025'!Tnet-t)/('2025'!Tau_j))),Resal+(Salim-Resal)*(1-EXP((Tnet-t)/(Tau_j))))*Salcycl</f>
        <v>8.2949253652812652E-2</v>
      </c>
      <c r="P28" s="171">
        <f>(INDEX(Models!$BJ28:$BT28,,T28)*(1-R28)+INDEX(Models!$BJ28:$BT28,,T28+1)*R28-ERP_i)*Q28*Ramure*Pc/MaxiM</f>
        <v>1.0023672648028007E-2</v>
      </c>
      <c r="Q28" s="307">
        <f t="shared" si="4"/>
        <v>1</v>
      </c>
      <c r="R28" s="179">
        <f t="shared" si="5"/>
        <v>0.86548202614172798</v>
      </c>
      <c r="S28" s="837">
        <f t="shared" si="6"/>
        <v>-3</v>
      </c>
      <c r="T28" s="178">
        <f t="shared" si="7"/>
        <v>3</v>
      </c>
      <c r="U28" s="253">
        <f t="shared" si="8"/>
        <v>-2.134517973858272</v>
      </c>
      <c r="V28" s="385">
        <f t="shared" si="9"/>
        <v>18.316410250198402</v>
      </c>
      <c r="W28" s="404">
        <f t="shared" si="10"/>
        <v>13.452741646851509</v>
      </c>
      <c r="X28" s="157">
        <f t="shared" si="11"/>
        <v>46036</v>
      </c>
      <c r="Y28" s="387">
        <f t="shared" si="12"/>
        <v>11.102362386295667</v>
      </c>
      <c r="Z28" s="387">
        <f t="shared" si="22"/>
        <v>11.828677014722375</v>
      </c>
      <c r="AA28" s="388">
        <f t="shared" si="13"/>
        <v>13.570862411832842</v>
      </c>
      <c r="AB28" s="199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0.12837691107909274</v>
      </c>
      <c r="AD28" s="233">
        <f>(INDEX(Models!$BJ28:$BT28,,AH28)*(1-AF28)+INDEX(Models!$BJ28:$BT28,,AH28+1)*AF28-ERP_i)*AE28*Ramure*Pc/MaxiM</f>
        <v>0.22089790799537851</v>
      </c>
      <c r="AE28" s="307">
        <f t="shared" si="15"/>
        <v>1</v>
      </c>
      <c r="AF28" s="179">
        <f t="shared" si="23"/>
        <v>0.80046461906529842</v>
      </c>
      <c r="AG28" s="837">
        <f t="shared" si="24"/>
        <v>2</v>
      </c>
      <c r="AH28" s="178">
        <f t="shared" si="16"/>
        <v>8</v>
      </c>
      <c r="AI28" s="227">
        <f t="shared" si="17"/>
        <v>2.8004646190652984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46037</v>
      </c>
      <c r="B29" s="1139">
        <f>IF(t&gt;Tmaj,'2025'!Wh/'2025'!Env_an*'2026'!Env_an,0.001*'[3]mon-tableau (2)'!$B$222)</f>
        <v>5.562451403261079</v>
      </c>
      <c r="C29" s="866"/>
      <c r="D29" s="395">
        <f t="shared" si="0"/>
        <v>5.9264839306112478</v>
      </c>
      <c r="E29" s="387">
        <f t="shared" si="1"/>
        <v>6.4637398359450939</v>
      </c>
      <c r="F29" s="387">
        <f t="shared" si="2"/>
        <v>6.4637583872482329</v>
      </c>
      <c r="G29" s="110">
        <f t="shared" si="21"/>
        <v>0.29719996763301954</v>
      </c>
      <c r="H29" s="414" t="b">
        <f>Wh_hp&gt;='2025'!Maxi_hp</f>
        <v>0</v>
      </c>
      <c r="I29" s="392">
        <f>IF(H29,Wh_hp,'2025'!Maxi_hp)</f>
        <v>22.222811190623492</v>
      </c>
      <c r="J29" s="85">
        <f>IF(H29,An,'2025'!An_max)</f>
        <v>2022</v>
      </c>
      <c r="K29" s="199">
        <f t="shared" si="3"/>
        <v>46037</v>
      </c>
      <c r="L29" s="147">
        <f>IF(t&lt;Tvie,1-EXP((T0-t)*PertePVj)+'2025'!Pspv,1-EXP((T0-t)*PertePVj)+Pspv)</f>
        <v>6.1424705037987581E-2</v>
      </c>
      <c r="M29" s="870"/>
      <c r="N29" s="870"/>
      <c r="O29" s="48">
        <f>IF(t&lt;Tnet,'2025'!Resal+('2025'!Salim-'2025'!Resal)*(1-EXP(('2025'!Tnet-t)/('2025'!Tau_j))),Resal+(Salim-Resal)*(1-EXP((Tnet-t)/(Tau_j))))*Salcycl</f>
        <v>8.3118429727964294E-2</v>
      </c>
      <c r="P29" s="171">
        <f>(INDEX(Models!$BJ29:$BT29,,T29)*(1-R29)+INDEX(Models!$BJ29:$BT29,,T29+1)*R29-ERP_i)*Q29*Ramure*Pc/MaxiM</f>
        <v>9.9993118830725806E-3</v>
      </c>
      <c r="Q29" s="307">
        <f t="shared" si="4"/>
        <v>1</v>
      </c>
      <c r="R29" s="179">
        <f t="shared" si="5"/>
        <v>0.86555166907196934</v>
      </c>
      <c r="S29" s="837">
        <f t="shared" si="6"/>
        <v>-3</v>
      </c>
      <c r="T29" s="178">
        <f t="shared" si="7"/>
        <v>3</v>
      </c>
      <c r="U29" s="253">
        <f t="shared" si="8"/>
        <v>-2.1344483309280307</v>
      </c>
      <c r="V29" s="385">
        <f t="shared" si="9"/>
        <v>18.529095294399468</v>
      </c>
      <c r="W29" s="404">
        <f t="shared" si="10"/>
        <v>5.562451403261079</v>
      </c>
      <c r="X29" s="157">
        <f t="shared" si="11"/>
        <v>46037</v>
      </c>
      <c r="Y29" s="387">
        <f t="shared" si="12"/>
        <v>5.2870791753579507</v>
      </c>
      <c r="Z29" s="387">
        <f t="shared" si="22"/>
        <v>5.6330900714491303</v>
      </c>
      <c r="AA29" s="388">
        <f t="shared" si="13"/>
        <v>6.4633560189317603</v>
      </c>
      <c r="AB29" s="199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0.12845740588182136</v>
      </c>
      <c r="AD29" s="233">
        <f>(INDEX(Models!$BJ29:$BT29,,AH29)*(1-AF29)+INDEX(Models!$BJ29:$BT29,,AH29+1)*AF29-ERP_i)*AE29*Ramure*Pc/MaxiM</f>
        <v>0.21687998185960941</v>
      </c>
      <c r="AE29" s="307">
        <f t="shared" si="15"/>
        <v>1</v>
      </c>
      <c r="AF29" s="179">
        <f t="shared" si="23"/>
        <v>0.80053426199553979</v>
      </c>
      <c r="AG29" s="837">
        <f t="shared" si="24"/>
        <v>2</v>
      </c>
      <c r="AH29" s="178">
        <f t="shared" si="16"/>
        <v>8</v>
      </c>
      <c r="AI29" s="227">
        <f t="shared" si="17"/>
        <v>2.8005342619955398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46038</v>
      </c>
      <c r="B30" s="1139">
        <f>IF(t&gt;Tmaj,'2025'!Wh/'2025'!Env_an*'2026'!Env_an,0.001*'[3]mon-tableau (2)'!$B$223)</f>
        <v>3.5573975816253465</v>
      </c>
      <c r="C30" s="866"/>
      <c r="D30" s="395">
        <f t="shared" si="0"/>
        <v>3.7902983260758751</v>
      </c>
      <c r="E30" s="387">
        <f t="shared" si="1"/>
        <v>4.1346639569290886</v>
      </c>
      <c r="F30" s="387">
        <f t="shared" si="2"/>
        <v>4.1346639569290886</v>
      </c>
      <c r="G30" s="110">
        <f t="shared" si="21"/>
        <v>0.18785856467368214</v>
      </c>
      <c r="H30" s="414" t="b">
        <f>Wh_hp&gt;='2025'!Maxi_hp</f>
        <v>0</v>
      </c>
      <c r="I30" s="392">
        <f>IF(H30,Wh_hp,'2025'!Maxi_hp)</f>
        <v>22.179762474374062</v>
      </c>
      <c r="J30" s="85">
        <f>IF(H30,An,'2025'!An_max)</f>
        <v>2022</v>
      </c>
      <c r="K30" s="199">
        <f t="shared" si="3"/>
        <v>46038</v>
      </c>
      <c r="L30" s="147">
        <f>IF(t&lt;Tvie,1-EXP((T0-t)*PertePVj)+'2025'!Pspv,1-EXP((T0-t)*PertePVj)+Pspv)</f>
        <v>6.1446547056271617E-2</v>
      </c>
      <c r="M30" s="870"/>
      <c r="N30" s="870"/>
      <c r="O30" s="48">
        <f>IF(t&lt;Tnet,'2025'!Resal+('2025'!Salim-'2025'!Resal)*(1-EXP(('2025'!Tnet-t)/('2025'!Tau_j))),Resal+(Salim-Resal)*(1-EXP((Tnet-t)/(Tau_j))))*Salcycl</f>
        <v>8.3287453210340659E-2</v>
      </c>
      <c r="P30" s="171">
        <f>(INDEX(Models!$BJ30:$BT30,,T30)*(1-R30)+INDEX(Models!$BJ30:$BT30,,T30+1)*R30-ERP_i)*Q30*Ramure*Pc/MaxiM</f>
        <v>9.9477792735240111E-3</v>
      </c>
      <c r="Q30" s="307">
        <f t="shared" si="4"/>
        <v>1</v>
      </c>
      <c r="R30" s="179">
        <f t="shared" si="5"/>
        <v>0.86562421891351971</v>
      </c>
      <c r="S30" s="837">
        <f t="shared" si="6"/>
        <v>-3</v>
      </c>
      <c r="T30" s="178">
        <f t="shared" si="7"/>
        <v>3</v>
      </c>
      <c r="U30" s="253">
        <f t="shared" si="8"/>
        <v>-2.1343757810864803</v>
      </c>
      <c r="V30" s="385">
        <f t="shared" si="9"/>
        <v>18.748196984327226</v>
      </c>
      <c r="W30" s="404">
        <f t="shared" si="10"/>
        <v>3.5573975816253465</v>
      </c>
      <c r="X30" s="157">
        <f t="shared" si="11"/>
        <v>46038</v>
      </c>
      <c r="Y30" s="387">
        <f t="shared" si="12"/>
        <v>3.3817980693863561</v>
      </c>
      <c r="Z30" s="387">
        <f t="shared" si="22"/>
        <v>3.6032024162070972</v>
      </c>
      <c r="AA30" s="388">
        <f t="shared" si="13"/>
        <v>4.1346639569290886</v>
      </c>
      <c r="AB30" s="199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0.12853802540139689</v>
      </c>
      <c r="AD30" s="233">
        <f>(INDEX(Models!$BJ30:$BT30,,AH30)*(1-AF30)+INDEX(Models!$BJ30:$BT30,,AH30+1)*AF30-ERP_i)*AE30*Ramure*Pc/MaxiM</f>
        <v>0.21284130531958786</v>
      </c>
      <c r="AE30" s="307">
        <f t="shared" si="15"/>
        <v>1</v>
      </c>
      <c r="AF30" s="179">
        <f t="shared" si="23"/>
        <v>0.80060681183709015</v>
      </c>
      <c r="AG30" s="837">
        <f t="shared" si="24"/>
        <v>2</v>
      </c>
      <c r="AH30" s="178">
        <f t="shared" si="16"/>
        <v>8</v>
      </c>
      <c r="AI30" s="227">
        <f t="shared" si="17"/>
        <v>2.8006068118370901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46039</v>
      </c>
      <c r="B31" s="1139">
        <f>IF(t&gt;Tmaj,'2025'!Wh/'2025'!Env_an*'2026'!Env_an,0.001*'[3]mon-tableau (2)'!$B$224)</f>
        <v>6.1047489518823923</v>
      </c>
      <c r="C31" s="866"/>
      <c r="D31" s="395">
        <f t="shared" si="0"/>
        <v>6.504574675493906</v>
      </c>
      <c r="E31" s="387">
        <f t="shared" si="1"/>
        <v>7.0968519017342908</v>
      </c>
      <c r="F31" s="387">
        <f t="shared" si="2"/>
        <v>7.0990291762030617</v>
      </c>
      <c r="G31" s="110">
        <f t="shared" si="21"/>
        <v>0.31868049834055973</v>
      </c>
      <c r="H31" s="414" t="b">
        <f>Wh_hp&gt;='2025'!Maxi_hp</f>
        <v>0</v>
      </c>
      <c r="I31" s="392">
        <f>IF(H31,Wh_hp,'2025'!Maxi_hp)</f>
        <v>17.368757233641855</v>
      </c>
      <c r="J31" s="85">
        <f>IF(H31,An,'2025'!An_max)</f>
        <v>2022</v>
      </c>
      <c r="K31" s="199">
        <f t="shared" si="3"/>
        <v>46039</v>
      </c>
      <c r="L31" s="147">
        <f>IF(t&lt;Tvie,1-EXP((T0-t)*PertePVj)+'2025'!Pspv,1-EXP((T0-t)*PertePVj)+Pspv)</f>
        <v>6.1468388566259913E-2</v>
      </c>
      <c r="M31" s="870"/>
      <c r="N31" s="870"/>
      <c r="O31" s="48">
        <f>IF(t&lt;Tnet,'2025'!Resal+('2025'!Salim-'2025'!Resal)*(1-EXP(('2025'!Tnet-t)/('2025'!Tau_j))),Resal+(Salim-Resal)*(1-EXP((Tnet-t)/(Tau_j))))*Salcycl</f>
        <v>8.3456331686398419E-2</v>
      </c>
      <c r="P31" s="171">
        <f>(INDEX(Models!$BJ31:$BT31,,T31)*(1-R31)+INDEX(Models!$BJ31:$BT31,,T31+1)*R31-ERP_i)*Q31*Ramure*Pc/MaxiM</f>
        <v>9.8673431328496972E-3</v>
      </c>
      <c r="Q31" s="307">
        <f t="shared" si="4"/>
        <v>1</v>
      </c>
      <c r="R31" s="179">
        <f t="shared" si="5"/>
        <v>0.86569979635861571</v>
      </c>
      <c r="S31" s="837">
        <f t="shared" si="6"/>
        <v>-3</v>
      </c>
      <c r="T31" s="178">
        <f t="shared" si="7"/>
        <v>3</v>
      </c>
      <c r="U31" s="253">
        <f t="shared" si="8"/>
        <v>-2.1343002036413843</v>
      </c>
      <c r="V31" s="385">
        <f t="shared" si="9"/>
        <v>18.973127483410487</v>
      </c>
      <c r="W31" s="404">
        <f t="shared" si="10"/>
        <v>6.1047489518823923</v>
      </c>
      <c r="X31" s="157">
        <f t="shared" si="11"/>
        <v>46039</v>
      </c>
      <c r="Y31" s="387">
        <f t="shared" si="12"/>
        <v>5.7680337755211823</v>
      </c>
      <c r="Z31" s="387">
        <f t="shared" si="22"/>
        <v>6.1458066039029768</v>
      </c>
      <c r="AA31" s="388">
        <f t="shared" si="13"/>
        <v>7.0529481913597838</v>
      </c>
      <c r="AB31" s="199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0.12861877938761862</v>
      </c>
      <c r="AD31" s="233">
        <f>(INDEX(Models!$BJ31:$BT31,,AH31)*(1-AF31)+INDEX(Models!$BJ31:$BT31,,AH31+1)*AF31-ERP_i)*AE31*Ramure*Pc/MaxiM</f>
        <v>0.20883765270300197</v>
      </c>
      <c r="AE31" s="307">
        <f t="shared" si="15"/>
        <v>1</v>
      </c>
      <c r="AF31" s="179">
        <f t="shared" si="23"/>
        <v>0.80068238928218616</v>
      </c>
      <c r="AG31" s="837">
        <f t="shared" si="24"/>
        <v>2</v>
      </c>
      <c r="AH31" s="178">
        <f t="shared" si="16"/>
        <v>8</v>
      </c>
      <c r="AI31" s="227">
        <f t="shared" si="17"/>
        <v>2.8006823892821862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46040</v>
      </c>
      <c r="B32" s="1139">
        <f>IF(t&gt;Tmaj,'2025'!Wh/'2025'!Env_an*'2026'!Env_an,0.001*'[3]mon-tableau (2)'!$B$225)</f>
        <v>14.188387519097104</v>
      </c>
      <c r="C32" s="866"/>
      <c r="D32" s="395">
        <f t="shared" si="0"/>
        <v>15.117996600680664</v>
      </c>
      <c r="E32" s="387">
        <f t="shared" si="1"/>
        <v>16.497610497197954</v>
      </c>
      <c r="F32" s="387">
        <f t="shared" si="2"/>
        <v>16.599172121936792</v>
      </c>
      <c r="G32" s="110">
        <f t="shared" si="21"/>
        <v>0.73614712154279238</v>
      </c>
      <c r="H32" s="414" t="b">
        <f>Wh_hp&gt;='2025'!Maxi_hp</f>
        <v>0</v>
      </c>
      <c r="I32" s="392">
        <f>IF(H32,Wh_hp,'2025'!Maxi_hp)</f>
        <v>21.743395935695009</v>
      </c>
      <c r="J32" s="85">
        <f>IF(H32,An,'2025'!An_max)</f>
        <v>2021</v>
      </c>
      <c r="K32" s="199">
        <f t="shared" si="3"/>
        <v>46040</v>
      </c>
      <c r="L32" s="147">
        <f>IF(t&lt;Tvie,1-EXP((T0-t)*PertePVj)+'2025'!Pspv,1-EXP((T0-t)*PertePVj)+Pspv)</f>
        <v>6.1490229567964461E-2</v>
      </c>
      <c r="M32" s="870"/>
      <c r="N32" s="870"/>
      <c r="O32" s="48">
        <f>IF(t&lt;Tnet,'2025'!Resal+('2025'!Salim-'2025'!Resal)*(1-EXP(('2025'!Tnet-t)/('2025'!Tau_j))),Resal+(Salim-Resal)*(1-EXP((Tnet-t)/(Tau_j))))*Salcycl</f>
        <v>8.3625073870643898E-2</v>
      </c>
      <c r="P32" s="171">
        <f>(INDEX(Models!$BJ32:$BT32,,T32)*(1-R32)+INDEX(Models!$BJ32:$BT32,,T32+1)*R32-ERP_i)*Q32*Ramure*Pc/MaxiM</f>
        <v>9.7593619053861647E-3</v>
      </c>
      <c r="Q32" s="307">
        <f t="shared" si="4"/>
        <v>1</v>
      </c>
      <c r="R32" s="179">
        <f t="shared" si="5"/>
        <v>0.86577852705561398</v>
      </c>
      <c r="S32" s="837">
        <f t="shared" si="6"/>
        <v>-3</v>
      </c>
      <c r="T32" s="178">
        <f t="shared" si="7"/>
        <v>3</v>
      </c>
      <c r="U32" s="253">
        <f t="shared" si="8"/>
        <v>-2.134221472944386</v>
      </c>
      <c r="V32" s="385">
        <f t="shared" si="9"/>
        <v>19.203241824308545</v>
      </c>
      <c r="W32" s="404">
        <f t="shared" si="10"/>
        <v>14.188387519097104</v>
      </c>
      <c r="X32" s="157">
        <f t="shared" si="11"/>
        <v>46040</v>
      </c>
      <c r="Y32" s="387">
        <f t="shared" si="12"/>
        <v>11.830090248543847</v>
      </c>
      <c r="Z32" s="387">
        <f t="shared" si="22"/>
        <v>12.605186031359011</v>
      </c>
      <c r="AA32" s="388">
        <f t="shared" si="13"/>
        <v>14.467096742248211</v>
      </c>
      <c r="AB32" s="199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0.1286996792833954</v>
      </c>
      <c r="AD32" s="233">
        <f>(INDEX(Models!$BJ32:$BT32,,AH32)*(1-AF32)+INDEX(Models!$BJ32:$BT32,,AH32+1)*AF32-ERP_i)*AE32*Ramure*Pc/MaxiM</f>
        <v>0.20487753414196044</v>
      </c>
      <c r="AE32" s="307">
        <f t="shared" si="15"/>
        <v>1</v>
      </c>
      <c r="AF32" s="179">
        <f t="shared" si="23"/>
        <v>0.80076111997918442</v>
      </c>
      <c r="AG32" s="837">
        <f t="shared" si="24"/>
        <v>2</v>
      </c>
      <c r="AH32" s="178">
        <f t="shared" si="16"/>
        <v>8</v>
      </c>
      <c r="AI32" s="227">
        <f t="shared" si="17"/>
        <v>2.8007611199791844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46041</v>
      </c>
      <c r="B33" s="1139">
        <f>IF(t&gt;Tmaj,'2025'!Wh/'2025'!Env_an*'2026'!Env_an,0.001*'[3]mon-tableau (2)'!$B$226)</f>
        <v>9.1846766294852635</v>
      </c>
      <c r="C33" s="866"/>
      <c r="D33" s="395">
        <f t="shared" si="0"/>
        <v>9.7866752853029606</v>
      </c>
      <c r="E33" s="387">
        <f t="shared" si="1"/>
        <v>10.681737476175838</v>
      </c>
      <c r="F33" s="387">
        <f t="shared" si="2"/>
        <v>10.707135943918866</v>
      </c>
      <c r="G33" s="110">
        <f t="shared" si="21"/>
        <v>0.46907862425685737</v>
      </c>
      <c r="H33" s="414" t="b">
        <f>Wh_hp&gt;='2025'!Maxi_hp</f>
        <v>0</v>
      </c>
      <c r="I33" s="392">
        <f>IF(H33,Wh_hp,'2025'!Maxi_hp)</f>
        <v>22.082454622527671</v>
      </c>
      <c r="J33" s="85">
        <f>IF(H33,An,'2025'!An_max)</f>
        <v>2021</v>
      </c>
      <c r="K33" s="199">
        <f t="shared" si="3"/>
        <v>46041</v>
      </c>
      <c r="L33" s="147">
        <f>IF(t&lt;Tvie,1-EXP((T0-t)*PertePVj)+'2025'!Pspv,1-EXP((T0-t)*PertePVj)+Pspv)</f>
        <v>6.1512070061396917E-2</v>
      </c>
      <c r="M33" s="870"/>
      <c r="N33" s="870"/>
      <c r="O33" s="48">
        <f>IF(t&lt;Tnet,'2025'!Resal+('2025'!Salim-'2025'!Resal)*(1-EXP(('2025'!Tnet-t)/('2025'!Tau_j))),Resal+(Salim-Resal)*(1-EXP((Tnet-t)/(Tau_j))))*Salcycl</f>
        <v>8.3793689263492316E-2</v>
      </c>
      <c r="P33" s="171">
        <f>(INDEX(Models!$BJ33:$BT33,,T33)*(1-R33)+INDEX(Models!$BJ33:$BT33,,T33+1)*R33-ERP_i)*Q33*Ramure*Pc/MaxiM</f>
        <v>9.6251618021457562E-3</v>
      </c>
      <c r="Q33" s="307">
        <f t="shared" si="4"/>
        <v>1</v>
      </c>
      <c r="R33" s="179">
        <f t="shared" si="5"/>
        <v>0.86586054180781913</v>
      </c>
      <c r="S33" s="837">
        <f t="shared" si="6"/>
        <v>-3</v>
      </c>
      <c r="T33" s="178">
        <f t="shared" si="7"/>
        <v>3</v>
      </c>
      <c r="U33" s="253">
        <f t="shared" si="8"/>
        <v>-2.1341394581921809</v>
      </c>
      <c r="V33" s="385">
        <f t="shared" si="9"/>
        <v>19.437895467858098</v>
      </c>
      <c r="W33" s="404">
        <f t="shared" si="10"/>
        <v>9.1846766294852635</v>
      </c>
      <c r="X33" s="157">
        <f t="shared" si="11"/>
        <v>46041</v>
      </c>
      <c r="Y33" s="387">
        <f t="shared" si="12"/>
        <v>8.3208679672042773</v>
      </c>
      <c r="Z33" s="387">
        <f t="shared" si="22"/>
        <v>8.8662493163323237</v>
      </c>
      <c r="AA33" s="388">
        <f t="shared" si="13"/>
        <v>10.176828841914061</v>
      </c>
      <c r="AB33" s="199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0.12878073768756068</v>
      </c>
      <c r="AD33" s="233">
        <f>(INDEX(Models!$BJ33:$BT33,,AH33)*(1-AF33)+INDEX(Models!$BJ33:$BT33,,AH33+1)*AF33-ERP_i)*AE33*Ramure*Pc/MaxiM</f>
        <v>0.20096848807048201</v>
      </c>
      <c r="AE33" s="307">
        <f t="shared" si="15"/>
        <v>1</v>
      </c>
      <c r="AF33" s="179">
        <f t="shared" si="23"/>
        <v>0.80084313473138957</v>
      </c>
      <c r="AG33" s="837">
        <f t="shared" si="24"/>
        <v>2</v>
      </c>
      <c r="AH33" s="178">
        <f t="shared" si="16"/>
        <v>8</v>
      </c>
      <c r="AI33" s="227">
        <f t="shared" si="17"/>
        <v>2.8008431347313896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46042</v>
      </c>
      <c r="B34" s="1139">
        <f>IF(t&gt;Tmaj,'2025'!Wh/'2025'!Env_an*'2026'!Env_an,0.001*'[3]mon-tableau (2)'!$B$227)</f>
        <v>16.046949221800663</v>
      </c>
      <c r="C34" s="866"/>
      <c r="D34" s="395">
        <f t="shared" si="0"/>
        <v>17.099125257255654</v>
      </c>
      <c r="E34" s="387">
        <f t="shared" si="1"/>
        <v>18.666396768608703</v>
      </c>
      <c r="F34" s="387">
        <f t="shared" si="2"/>
        <v>18.797445957009543</v>
      </c>
      <c r="G34" s="110">
        <f t="shared" si="21"/>
        <v>0.81349255960264444</v>
      </c>
      <c r="H34" s="414" t="b">
        <f>Wh_hp&gt;='2025'!Maxi_hp</f>
        <v>1</v>
      </c>
      <c r="I34" s="392">
        <f>IF(H34,Wh_hp,'2025'!Maxi_hp)</f>
        <v>18.797445957009543</v>
      </c>
      <c r="J34" s="85">
        <f>IF(H34,An,'2025'!An_max)</f>
        <v>2026</v>
      </c>
      <c r="K34" s="199">
        <f t="shared" si="3"/>
        <v>46042</v>
      </c>
      <c r="L34" s="147">
        <f>IF(t&lt;Tvie,1-EXP((T0-t)*PertePVj)+'2025'!Pspv,1-EXP((T0-t)*PertePVj)+Pspv)</f>
        <v>6.1533910046569273E-2</v>
      </c>
      <c r="M34" s="870"/>
      <c r="N34" s="870"/>
      <c r="O34" s="48">
        <f>IF(t&lt;Tnet,'2025'!Resal+('2025'!Salim-'2025'!Resal)*(1-EXP(('2025'!Tnet-t)/('2025'!Tau_j))),Resal+(Salim-Resal)*(1-EXP((Tnet-t)/(Tau_j))))*Salcycl</f>
        <v>8.396218781702583E-2</v>
      </c>
      <c r="P34" s="171">
        <f>(INDEX(Models!$BJ34:$BT34,,T34)*(1-R34)+INDEX(Models!$BJ34:$BT34,,T34+1)*R34-ERP_i)*Q34*Ramure*Pc/MaxiM</f>
        <v>9.4660804664682997E-3</v>
      </c>
      <c r="Q34" s="307">
        <f t="shared" si="4"/>
        <v>1</v>
      </c>
      <c r="R34" s="179">
        <f t="shared" si="5"/>
        <v>0.86594597677987917</v>
      </c>
      <c r="S34" s="837">
        <f t="shared" si="6"/>
        <v>-3</v>
      </c>
      <c r="T34" s="178">
        <f t="shared" si="7"/>
        <v>3</v>
      </c>
      <c r="U34" s="253">
        <f t="shared" si="8"/>
        <v>-2.1340540232201208</v>
      </c>
      <c r="V34" s="385">
        <f t="shared" si="9"/>
        <v>19.676443246350907</v>
      </c>
      <c r="W34" s="404">
        <f t="shared" si="10"/>
        <v>16.046949221800663</v>
      </c>
      <c r="X34" s="157">
        <f t="shared" si="11"/>
        <v>46042</v>
      </c>
      <c r="Y34" s="387">
        <f t="shared" si="12"/>
        <v>13.136557571579839</v>
      </c>
      <c r="Z34" s="387">
        <f t="shared" si="22"/>
        <v>13.99790329369462</v>
      </c>
      <c r="AA34" s="388">
        <f t="shared" si="13"/>
        <v>16.068525052104533</v>
      </c>
      <c r="AB34" s="199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0.12886196783436063</v>
      </c>
      <c r="AD34" s="233">
        <f>(INDEX(Models!$BJ34:$BT34,,AH34)*(1-AF34)+INDEX(Models!$BJ34:$BT34,,AH34+1)*AF34-ERP_i)*AE34*Ramure*Pc/MaxiM</f>
        <v>0.19711823619574984</v>
      </c>
      <c r="AE34" s="307">
        <f t="shared" si="15"/>
        <v>1</v>
      </c>
      <c r="AF34" s="179">
        <f t="shared" si="23"/>
        <v>0.80092856970344961</v>
      </c>
      <c r="AG34" s="837">
        <f t="shared" si="24"/>
        <v>2</v>
      </c>
      <c r="AH34" s="178">
        <f t="shared" si="16"/>
        <v>8</v>
      </c>
      <c r="AI34" s="227">
        <f t="shared" si="17"/>
        <v>2.8009285697034496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46043</v>
      </c>
      <c r="B35" s="1139">
        <f>IF(t&gt;Tmaj,'2025'!Wh/'2025'!Env_an*'2026'!Env_an,0.001*'[3]mon-tableau (2)'!$B$228)</f>
        <v>7.4328896213174849</v>
      </c>
      <c r="C35" s="866"/>
      <c r="D35" s="395">
        <f t="shared" si="0"/>
        <v>7.920438126764954</v>
      </c>
      <c r="E35" s="387">
        <f t="shared" si="1"/>
        <v>8.6479993222297775</v>
      </c>
      <c r="F35" s="387">
        <f t="shared" si="2"/>
        <v>8.6563993472531937</v>
      </c>
      <c r="G35" s="110">
        <f t="shared" si="21"/>
        <v>0.37006480922970098</v>
      </c>
      <c r="H35" s="414" t="b">
        <f>Wh_hp&gt;='2025'!Maxi_hp</f>
        <v>0</v>
      </c>
      <c r="I35" s="392">
        <f>IF(H35,Wh_hp,'2025'!Maxi_hp)</f>
        <v>16.890929824623914</v>
      </c>
      <c r="J35" s="85">
        <f>IF(H35,An,'2025'!An_max)</f>
        <v>2022</v>
      </c>
      <c r="K35" s="199">
        <f t="shared" si="3"/>
        <v>46043</v>
      </c>
      <c r="L35" s="147">
        <f>IF(t&lt;Tvie,1-EXP((T0-t)*PertePVj)+'2025'!Pspv,1-EXP((T0-t)*PertePVj)+Pspv)</f>
        <v>6.1555749523493186E-2</v>
      </c>
      <c r="M35" s="870"/>
      <c r="N35" s="870"/>
      <c r="O35" s="48">
        <f>IF(t&lt;Tnet,'2025'!Resal+('2025'!Salim-'2025'!Resal)*(1-EXP(('2025'!Tnet-t)/('2025'!Tau_j))),Resal+(Salim-Resal)*(1-EXP((Tnet-t)/(Tau_j))))*Salcycl</f>
        <v>8.4130579612167605E-2</v>
      </c>
      <c r="P35" s="171">
        <f>(INDEX(Models!$BJ35:$BT35,,T35)*(1-R35)+INDEX(Models!$BJ35:$BT35,,T35+1)*R35-ERP_i)*Q35*Ramure*Pc/MaxiM</f>
        <v>9.2834259508135439E-3</v>
      </c>
      <c r="Q35" s="307">
        <f t="shared" si="4"/>
        <v>1</v>
      </c>
      <c r="R35" s="179">
        <f t="shared" si="5"/>
        <v>0.86603497371200966</v>
      </c>
      <c r="S35" s="837">
        <f t="shared" si="6"/>
        <v>-3</v>
      </c>
      <c r="T35" s="178">
        <f t="shared" si="7"/>
        <v>3</v>
      </c>
      <c r="U35" s="253">
        <f t="shared" si="8"/>
        <v>-2.1339650262879903</v>
      </c>
      <c r="V35" s="385">
        <f t="shared" si="9"/>
        <v>19.918239969300259</v>
      </c>
      <c r="W35" s="404">
        <f t="shared" si="10"/>
        <v>7.4328896213174849</v>
      </c>
      <c r="X35" s="157">
        <f t="shared" si="11"/>
        <v>46043</v>
      </c>
      <c r="Y35" s="387">
        <f t="shared" si="12"/>
        <v>6.933070585960027</v>
      </c>
      <c r="Z35" s="387">
        <f t="shared" si="22"/>
        <v>7.3878342612677033</v>
      </c>
      <c r="AA35" s="388">
        <f t="shared" si="13"/>
        <v>8.4814627635986302</v>
      </c>
      <c r="AB35" s="199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0.12894338309479383</v>
      </c>
      <c r="AD35" s="233">
        <f>(INDEX(Models!$BJ35:$BT35,,AH35)*(1-AF35)+INDEX(Models!$BJ35:$BT35,,AH35+1)*AF35-ERP_i)*AE35*Ramure*Pc/MaxiM</f>
        <v>0.19333404554369299</v>
      </c>
      <c r="AE35" s="307">
        <f t="shared" si="15"/>
        <v>1</v>
      </c>
      <c r="AF35" s="179">
        <f t="shared" si="23"/>
        <v>0.8010175666355801</v>
      </c>
      <c r="AG35" s="837">
        <f t="shared" si="24"/>
        <v>2</v>
      </c>
      <c r="AH35" s="178">
        <f t="shared" si="16"/>
        <v>8</v>
      </c>
      <c r="AI35" s="227">
        <f t="shared" si="17"/>
        <v>2.8010175666355801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46044</v>
      </c>
      <c r="B36" s="1139">
        <f>IF(t&gt;Tmaj,'2025'!Wh/'2025'!Env_an*'2026'!Env_an,0.001*'[3]mon-tableau (2)'!$B$229)</f>
        <v>20.150124978513368</v>
      </c>
      <c r="C36" s="866"/>
      <c r="D36" s="395">
        <f t="shared" si="0"/>
        <v>21.472339888107484</v>
      </c>
      <c r="E36" s="387">
        <f t="shared" si="1"/>
        <v>23.449070107421203</v>
      </c>
      <c r="F36" s="387">
        <f t="shared" si="2"/>
        <v>23.663708309517038</v>
      </c>
      <c r="G36" s="110">
        <f t="shared" si="21"/>
        <v>0.99937109079153763</v>
      </c>
      <c r="H36" s="414" t="b">
        <f>Wh_hp&gt;='2025'!Maxi_hp</f>
        <v>1</v>
      </c>
      <c r="I36" s="392">
        <f>IF(H36,Wh_hp,'2025'!Maxi_hp)</f>
        <v>23.663708309517038</v>
      </c>
      <c r="J36" s="85">
        <f>IF(H36,An,'2025'!An_max)</f>
        <v>2026</v>
      </c>
      <c r="K36" s="199">
        <f t="shared" si="3"/>
        <v>46044</v>
      </c>
      <c r="L36" s="147">
        <f>IF(t&lt;Tvie,1-EXP((T0-t)*PertePVj)+'2025'!Pspv,1-EXP((T0-t)*PertePVj)+Pspv)</f>
        <v>6.1577588492180535E-2</v>
      </c>
      <c r="M36" s="870"/>
      <c r="N36" s="870"/>
      <c r="O36" s="48">
        <f>IF(t&lt;Tnet,'2025'!Resal+('2025'!Salim-'2025'!Resal)*(1-EXP(('2025'!Tnet-t)/('2025'!Tau_j))),Resal+(Salim-Resal)*(1-EXP((Tnet-t)/(Tau_j))))*Salcycl</f>
        <v>8.4298874550599853E-2</v>
      </c>
      <c r="P36" s="171">
        <f>(INDEX(Models!$BJ36:$BT36,,T36)*(1-R36)+INDEX(Models!$BJ36:$BT36,,T36+1)*R36-ERP_i)*Q36*Ramure*Pc/MaxiM</f>
        <v>9.0784047213942811E-3</v>
      </c>
      <c r="Q36" s="307">
        <f t="shared" si="4"/>
        <v>1</v>
      </c>
      <c r="R36" s="179">
        <f t="shared" si="5"/>
        <v>0.86612768014230479</v>
      </c>
      <c r="S36" s="837">
        <f t="shared" si="6"/>
        <v>-3</v>
      </c>
      <c r="T36" s="178">
        <f t="shared" si="7"/>
        <v>3</v>
      </c>
      <c r="U36" s="253">
        <f t="shared" si="8"/>
        <v>-2.1338723198576952</v>
      </c>
      <c r="V36" s="385">
        <f t="shared" si="9"/>
        <v>20.162641733709027</v>
      </c>
      <c r="W36" s="404">
        <f t="shared" si="10"/>
        <v>20.150124978513368</v>
      </c>
      <c r="X36" s="157">
        <f t="shared" si="11"/>
        <v>46044</v>
      </c>
      <c r="Y36" s="387">
        <f t="shared" si="12"/>
        <v>15.677070642053511</v>
      </c>
      <c r="Z36" s="387">
        <f t="shared" si="22"/>
        <v>16.705771782308805</v>
      </c>
      <c r="AA36" s="388">
        <f t="shared" si="13"/>
        <v>19.180541020426404</v>
      </c>
      <c r="AB36" s="199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0.12902499650463883</v>
      </c>
      <c r="AD36" s="233">
        <f>(INDEX(Models!$BJ36:$BT36,,AH36)*(1-AF36)+INDEX(Models!$BJ36:$BT36,,AH36+1)*AF36-ERP_i)*AE36*Ramure*Pc/MaxiM</f>
        <v>0.18962144989412613</v>
      </c>
      <c r="AE36" s="307">
        <f t="shared" si="15"/>
        <v>1</v>
      </c>
      <c r="AF36" s="179">
        <f t="shared" si="23"/>
        <v>0.80111027306587523</v>
      </c>
      <c r="AG36" s="837">
        <f t="shared" si="24"/>
        <v>2</v>
      </c>
      <c r="AH36" s="178">
        <f t="shared" si="16"/>
        <v>8</v>
      </c>
      <c r="AI36" s="227">
        <f t="shared" si="17"/>
        <v>2.8011102730658752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46045</v>
      </c>
      <c r="B37" s="1139">
        <f>IF(t&gt;Tmaj,'2025'!Wh/'2025'!Env_an*'2026'!Env_an,0.001*'[3]mon-tableau (2)'!$B$230)</f>
        <v>20.174279589067257</v>
      </c>
      <c r="C37" s="866"/>
      <c r="D37" s="395">
        <f t="shared" si="0"/>
        <v>21.498579784061103</v>
      </c>
      <c r="E37" s="387">
        <f t="shared" si="1"/>
        <v>23.482039108479732</v>
      </c>
      <c r="F37" s="387">
        <f t="shared" si="2"/>
        <v>23.688231001299805</v>
      </c>
      <c r="G37" s="110">
        <f t="shared" si="21"/>
        <v>0.98824429568636973</v>
      </c>
      <c r="H37" s="414" t="b">
        <f>Wh_hp&gt;='2025'!Maxi_hp</f>
        <v>1</v>
      </c>
      <c r="I37" s="392">
        <f>IF(H37,Wh_hp,'2025'!Maxi_hp)</f>
        <v>23.688231001299805</v>
      </c>
      <c r="J37" s="85">
        <f>IF(H37,An,'2025'!An_max)</f>
        <v>2026</v>
      </c>
      <c r="K37" s="199">
        <f t="shared" si="3"/>
        <v>46045</v>
      </c>
      <c r="L37" s="147">
        <f>IF(t&lt;Tvie,1-EXP((T0-t)*PertePVj)+'2025'!Pspv,1-EXP((T0-t)*PertePVj)+Pspv)</f>
        <v>6.159942695264331E-2</v>
      </c>
      <c r="M37" s="870"/>
      <c r="N37" s="870"/>
      <c r="O37" s="48">
        <f>IF(t&lt;Tnet,'2025'!Resal+('2025'!Salim-'2025'!Resal)*(1-EXP(('2025'!Tnet-t)/('2025'!Tau_j))),Resal+(Salim-Resal)*(1-EXP((Tnet-t)/(Tau_j))))*Salcycl</f>
        <v>8.4467082064537194E-2</v>
      </c>
      <c r="P37" s="171">
        <f>(INDEX(Models!$BJ37:$BT37,,T37)*(1-R37)+INDEX(Models!$BJ37:$BT37,,T37+1)*R37-ERP_i)*Q37*Ramure*Pc/MaxiM</f>
        <v>8.8511973955009253E-3</v>
      </c>
      <c r="Q37" s="307">
        <f t="shared" si="4"/>
        <v>1</v>
      </c>
      <c r="R37" s="179">
        <f t="shared" si="5"/>
        <v>0.86622424963739286</v>
      </c>
      <c r="S37" s="837">
        <f t="shared" si="6"/>
        <v>-3</v>
      </c>
      <c r="T37" s="178">
        <f t="shared" si="7"/>
        <v>3</v>
      </c>
      <c r="U37" s="253">
        <f t="shared" si="8"/>
        <v>-2.1337757503626071</v>
      </c>
      <c r="V37" s="385">
        <f t="shared" si="9"/>
        <v>20.411240609083332</v>
      </c>
      <c r="W37" s="404">
        <f t="shared" si="10"/>
        <v>20.174279589067257</v>
      </c>
      <c r="X37" s="157">
        <f t="shared" si="11"/>
        <v>46045</v>
      </c>
      <c r="Y37" s="387">
        <f t="shared" si="12"/>
        <v>15.8187144412436</v>
      </c>
      <c r="Z37" s="387">
        <f t="shared" si="22"/>
        <v>16.857102281890128</v>
      </c>
      <c r="AA37" s="388">
        <f t="shared" si="13"/>
        <v>19.356107815833674</v>
      </c>
      <c r="AB37" s="199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0.1291068203236248</v>
      </c>
      <c r="AD37" s="233">
        <f>(INDEX(Models!$BJ37:$BT37,,AH37)*(1-AF37)+INDEX(Models!$BJ37:$BT37,,AH37+1)*AF37-ERP_i)*AE37*Ramure*Pc/MaxiM</f>
        <v>0.18596501022301359</v>
      </c>
      <c r="AE37" s="307">
        <f t="shared" si="15"/>
        <v>1</v>
      </c>
      <c r="AF37" s="179">
        <f t="shared" si="23"/>
        <v>0.80120684256096331</v>
      </c>
      <c r="AG37" s="837">
        <f t="shared" si="24"/>
        <v>2</v>
      </c>
      <c r="AH37" s="178">
        <f t="shared" si="16"/>
        <v>8</v>
      </c>
      <c r="AI37" s="227">
        <f t="shared" si="17"/>
        <v>2.8012068425609633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46046</v>
      </c>
      <c r="B38" s="1139">
        <f>IF(t&gt;Tmaj,'2025'!Wh/'2025'!Env_an*'2026'!Env_an,0.001*'[3]mon-tableau (2)'!$B$231)</f>
        <v>20.596318987663047</v>
      </c>
      <c r="C38" s="866"/>
      <c r="D38" s="395">
        <f t="shared" si="0"/>
        <v>21.948833895490566</v>
      </c>
      <c r="E38" s="387">
        <f t="shared" si="1"/>
        <v>23.97823704340362</v>
      </c>
      <c r="F38" s="387">
        <f t="shared" si="2"/>
        <v>24.184957587937166</v>
      </c>
      <c r="G38" s="110">
        <f t="shared" si="21"/>
        <v>0.99658016981280773</v>
      </c>
      <c r="H38" s="414" t="b">
        <f>Wh_hp&gt;='2025'!Maxi_hp</f>
        <v>1</v>
      </c>
      <c r="I38" s="392">
        <f>IF(H38,Wh_hp,'2025'!Maxi_hp)</f>
        <v>24.184957587937166</v>
      </c>
      <c r="J38" s="85">
        <f>IF(H38,An,'2025'!An_max)</f>
        <v>2026</v>
      </c>
      <c r="K38" s="199">
        <f t="shared" si="3"/>
        <v>46046</v>
      </c>
      <c r="L38" s="147">
        <f>IF(t&lt;Tvie,1-EXP((T0-t)*PertePVj)+'2025'!Pspv,1-EXP((T0-t)*PertePVj)+Pspv)</f>
        <v>6.1621264904893058E-2</v>
      </c>
      <c r="M38" s="870"/>
      <c r="N38" s="870"/>
      <c r="O38" s="48">
        <f>IF(t&lt;Tnet,'2025'!Resal+('2025'!Salim-'2025'!Resal)*(1-EXP(('2025'!Tnet-t)/('2025'!Tau_j))),Resal+(Salim-Resal)*(1-EXP((Tnet-t)/(Tau_j))))*Salcycl</f>
        <v>8.4635210847218714E-2</v>
      </c>
      <c r="P38" s="171">
        <f>(INDEX(Models!$BJ38:$BT38,,T38)*(1-R38)+INDEX(Models!$BJ38:$BT38,,T38+1)*R38-ERP_i)*Q38*Ramure*Pc/MaxiM</f>
        <v>8.5889340269385828E-3</v>
      </c>
      <c r="Q38" s="307">
        <f t="shared" si="4"/>
        <v>1</v>
      </c>
      <c r="R38" s="179">
        <f t="shared" si="5"/>
        <v>0.86632484203171423</v>
      </c>
      <c r="S38" s="837">
        <f t="shared" si="6"/>
        <v>-3</v>
      </c>
      <c r="T38" s="178">
        <f t="shared" si="7"/>
        <v>3</v>
      </c>
      <c r="U38" s="253">
        <f t="shared" si="8"/>
        <v>-2.1336751579682858</v>
      </c>
      <c r="V38" s="385">
        <f t="shared" si="9"/>
        <v>20.666132579274191</v>
      </c>
      <c r="W38" s="404">
        <f t="shared" si="10"/>
        <v>20.596318987663047</v>
      </c>
      <c r="X38" s="157">
        <f t="shared" si="11"/>
        <v>46046</v>
      </c>
      <c r="Y38" s="387">
        <f t="shared" si="12"/>
        <v>16.176824558501984</v>
      </c>
      <c r="Z38" s="387">
        <f t="shared" si="22"/>
        <v>17.239121000394817</v>
      </c>
      <c r="AA38" s="388">
        <f t="shared" si="13"/>
        <v>19.796624457336911</v>
      </c>
      <c r="AB38" s="199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0.12918886562977891</v>
      </c>
      <c r="AD38" s="233">
        <f>(INDEX(Models!$BJ38:$BT38,,AH38)*(1-AF38)+INDEX(Models!$BJ38:$BT38,,AH38+1)*AF38-ERP_i)*AE38*Ramure*Pc/MaxiM</f>
        <v>0.18232877545868742</v>
      </c>
      <c r="AE38" s="307">
        <f t="shared" si="15"/>
        <v>1</v>
      </c>
      <c r="AF38" s="179">
        <f t="shared" si="23"/>
        <v>0.80130743495528467</v>
      </c>
      <c r="AG38" s="837">
        <f t="shared" si="24"/>
        <v>2</v>
      </c>
      <c r="AH38" s="178">
        <f t="shared" si="16"/>
        <v>8</v>
      </c>
      <c r="AI38" s="227">
        <f t="shared" si="17"/>
        <v>2.8013074349552847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46047</v>
      </c>
      <c r="B39" s="1139">
        <f>IF(t&gt;Tmaj,'2025'!Wh/'2025'!Env_an*'2026'!Env_an,0.001*'[3]mon-tableau (2)'!$B$232)</f>
        <v>20.815327114090234</v>
      </c>
      <c r="C39" s="866"/>
      <c r="D39" s="395">
        <f t="shared" si="0"/>
        <v>22.182740028017271</v>
      </c>
      <c r="E39" s="387">
        <f t="shared" si="1"/>
        <v>24.238220337879142</v>
      </c>
      <c r="F39" s="387">
        <f t="shared" si="2"/>
        <v>24.439488262582806</v>
      </c>
      <c r="G39" s="110">
        <f t="shared" si="21"/>
        <v>0.99460460815257956</v>
      </c>
      <c r="H39" s="414" t="b">
        <f>Wh_hp&gt;='2025'!Maxi_hp</f>
        <v>1</v>
      </c>
      <c r="I39" s="392">
        <f>IF(H39,Wh_hp,'2025'!Maxi_hp)</f>
        <v>24.439488262582806</v>
      </c>
      <c r="J39" s="85">
        <f>IF(H39,An,'2025'!An_max)</f>
        <v>2026</v>
      </c>
      <c r="K39" s="199">
        <f t="shared" si="3"/>
        <v>46047</v>
      </c>
      <c r="L39" s="147">
        <f>IF(t&lt;Tvie,1-EXP((T0-t)*PertePVj)+'2025'!Pspv,1-EXP((T0-t)*PertePVj)+Pspv)</f>
        <v>6.1643102348941881E-2</v>
      </c>
      <c r="M39" s="870"/>
      <c r="N39" s="870"/>
      <c r="O39" s="48">
        <f>IF(t&lt;Tnet,'2025'!Resal+('2025'!Salim-'2025'!Resal)*(1-EXP(('2025'!Tnet-t)/('2025'!Tau_j))),Resal+(Salim-Resal)*(1-EXP((Tnet-t)/(Tau_j))))*Salcycl</f>
        <v>8.4803268606713444E-2</v>
      </c>
      <c r="P39" s="171">
        <f>(INDEX(Models!$BJ39:$BT39,,T39)*(1-R39)+INDEX(Models!$BJ39:$BT39,,T39+1)*R39-ERP_i)*Q39*Ramure*Pc/MaxiM</f>
        <v>8.2985689024705107E-3</v>
      </c>
      <c r="Q39" s="307">
        <f t="shared" si="4"/>
        <v>1</v>
      </c>
      <c r="R39" s="179">
        <f t="shared" si="5"/>
        <v>0.86642962367568543</v>
      </c>
      <c r="S39" s="837">
        <f t="shared" si="6"/>
        <v>-3</v>
      </c>
      <c r="T39" s="178">
        <f t="shared" si="7"/>
        <v>3</v>
      </c>
      <c r="U39" s="253">
        <f t="shared" si="8"/>
        <v>-2.1335703763243146</v>
      </c>
      <c r="V39" s="385">
        <f t="shared" si="9"/>
        <v>20.926909299613865</v>
      </c>
      <c r="W39" s="404">
        <f t="shared" si="10"/>
        <v>20.815327114090234</v>
      </c>
      <c r="X39" s="157">
        <f t="shared" si="11"/>
        <v>46047</v>
      </c>
      <c r="Y39" s="387">
        <f t="shared" si="12"/>
        <v>16.426934929065176</v>
      </c>
      <c r="Z39" s="387">
        <f t="shared" si="22"/>
        <v>17.506062959824668</v>
      </c>
      <c r="AA39" s="388">
        <f t="shared" si="13"/>
        <v>20.105068068009682</v>
      </c>
      <c r="AB39" s="199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0.12927114195253281</v>
      </c>
      <c r="AD39" s="233">
        <f>(INDEX(Models!$BJ39:$BT39,,AH39)*(1-AF39)+INDEX(Models!$BJ39:$BT39,,AH39+1)*AF39-ERP_i)*AE39*Ramure*Pc/MaxiM</f>
        <v>0.17871444091195318</v>
      </c>
      <c r="AE39" s="307">
        <f t="shared" si="15"/>
        <v>1</v>
      </c>
      <c r="AF39" s="179">
        <f t="shared" si="23"/>
        <v>0.80141221659925588</v>
      </c>
      <c r="AG39" s="837">
        <f t="shared" si="24"/>
        <v>2</v>
      </c>
      <c r="AH39" s="178">
        <f t="shared" si="16"/>
        <v>8</v>
      </c>
      <c r="AI39" s="227">
        <f t="shared" si="17"/>
        <v>2.8014122165992559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46048</v>
      </c>
      <c r="B40" s="1139">
        <f>IF(t&gt;Tmaj,'2025'!Wh/'2025'!Env_an*'2026'!Env_an,0.001*'[3]mon-tableau (2)'!$B$233)</f>
        <v>20.889441885308091</v>
      </c>
      <c r="C40" s="866"/>
      <c r="D40" s="395">
        <f t="shared" si="0"/>
        <v>22.262241665984607</v>
      </c>
      <c r="E40" s="387">
        <f t="shared" si="1"/>
        <v>24.329554622383668</v>
      </c>
      <c r="F40" s="387">
        <f t="shared" si="2"/>
        <v>24.521261632785023</v>
      </c>
      <c r="G40" s="110">
        <f t="shared" si="21"/>
        <v>0.98550127280659583</v>
      </c>
      <c r="H40" s="414" t="b">
        <f>Wh_hp&gt;='2025'!Maxi_hp</f>
        <v>1</v>
      </c>
      <c r="I40" s="392">
        <f>IF(H40,Wh_hp,'2025'!Maxi_hp)</f>
        <v>24.521261632785023</v>
      </c>
      <c r="J40" s="85">
        <f>IF(H40,An,'2025'!An_max)</f>
        <v>2026</v>
      </c>
      <c r="K40" s="199">
        <f t="shared" si="3"/>
        <v>46048</v>
      </c>
      <c r="L40" s="147">
        <f>IF(t&lt;Tvie,1-EXP((T0-t)*PertePVj)+'2025'!Pspv,1-EXP((T0-t)*PertePVj)+Pspv)</f>
        <v>6.1664939284801434E-2</v>
      </c>
      <c r="M40" s="870"/>
      <c r="N40" s="870"/>
      <c r="O40" s="48">
        <f>IF(t&lt;Tnet,'2025'!Resal+('2025'!Salim-'2025'!Resal)*(1-EXP(('2025'!Tnet-t)/('2025'!Tau_j))),Resal+(Salim-Resal)*(1-EXP((Tnet-t)/(Tau_j))))*Salcycl</f>
        <v>8.4971261845339818E-2</v>
      </c>
      <c r="P40" s="171">
        <f>(INDEX(Models!$BJ40:$BT40,,T40)*(1-R40)+INDEX(Models!$BJ40:$BT40,,T40+1)*R40-ERP_i)*Q40*Ramure*Pc/MaxiM</f>
        <v>7.9814553607987903E-3</v>
      </c>
      <c r="Q40" s="307">
        <f t="shared" si="4"/>
        <v>1</v>
      </c>
      <c r="R40" s="179">
        <f t="shared" si="5"/>
        <v>0.86653876769303517</v>
      </c>
      <c r="S40" s="837">
        <f t="shared" si="6"/>
        <v>-3</v>
      </c>
      <c r="T40" s="178">
        <f t="shared" si="7"/>
        <v>3</v>
      </c>
      <c r="U40" s="253">
        <f t="shared" si="8"/>
        <v>-2.1334612323069648</v>
      </c>
      <c r="V40" s="385">
        <f t="shared" si="9"/>
        <v>21.193275830930411</v>
      </c>
      <c r="W40" s="404">
        <f t="shared" si="10"/>
        <v>20.889441885308091</v>
      </c>
      <c r="X40" s="157">
        <f t="shared" si="11"/>
        <v>46048</v>
      </c>
      <c r="Y40" s="387">
        <f t="shared" si="12"/>
        <v>16.596408884147877</v>
      </c>
      <c r="Z40" s="387">
        <f t="shared" si="22"/>
        <v>17.687081703520811</v>
      </c>
      <c r="AA40" s="388">
        <f t="shared" si="13"/>
        <v>20.314886572099432</v>
      </c>
      <c r="AB40" s="199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0.12935365694769185</v>
      </c>
      <c r="AD40" s="233">
        <f>(INDEX(Models!$BJ40:$BT40,,AH40)*(1-AF40)+INDEX(Models!$BJ40:$BT40,,AH40+1)*AF40-ERP_i)*AE40*Ramure*Pc/MaxiM</f>
        <v>0.17512658878437001</v>
      </c>
      <c r="AE40" s="307">
        <f t="shared" si="15"/>
        <v>1</v>
      </c>
      <c r="AF40" s="179">
        <f t="shared" si="23"/>
        <v>0.80152136061660562</v>
      </c>
      <c r="AG40" s="837">
        <f t="shared" si="24"/>
        <v>2</v>
      </c>
      <c r="AH40" s="178">
        <f t="shared" si="16"/>
        <v>8</v>
      </c>
      <c r="AI40" s="227">
        <f t="shared" si="17"/>
        <v>2.8015213606166056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46049</v>
      </c>
      <c r="B41" s="1139">
        <f>IF(t&gt;Tmaj,'2025'!Wh/'2025'!Env_an*'2026'!Env_an,0.001*'[3]mon-tableau (2)'!$B$234)</f>
        <v>20.361761252720669</v>
      </c>
      <c r="C41" s="866"/>
      <c r="D41" s="395">
        <f t="shared" si="0"/>
        <v>21.700388234623716</v>
      </c>
      <c r="E41" s="387">
        <f t="shared" si="1"/>
        <v>23.719879714857289</v>
      </c>
      <c r="F41" s="387">
        <f t="shared" si="2"/>
        <v>23.88896704435151</v>
      </c>
      <c r="G41" s="110">
        <f t="shared" si="21"/>
        <v>0.94806984354090562</v>
      </c>
      <c r="H41" s="414" t="b">
        <f>Wh_hp&gt;='2025'!Maxi_hp</f>
        <v>1</v>
      </c>
      <c r="I41" s="392">
        <f>IF(H41,Wh_hp,'2025'!Maxi_hp)</f>
        <v>23.88896704435151</v>
      </c>
      <c r="J41" s="85">
        <f>IF(H41,An,'2025'!An_max)</f>
        <v>2026</v>
      </c>
      <c r="K41" s="199">
        <f t="shared" si="3"/>
        <v>46049</v>
      </c>
      <c r="L41" s="147">
        <f>IF(t&lt;Tvie,1-EXP((T0-t)*PertePVj)+'2025'!Pspv,1-EXP((T0-t)*PertePVj)+Pspv)</f>
        <v>6.1686775712483488E-2</v>
      </c>
      <c r="M41" s="870"/>
      <c r="N41" s="870"/>
      <c r="O41" s="48">
        <f>IF(t&lt;Tnet,'2025'!Resal+('2025'!Salim-'2025'!Resal)*(1-EXP(('2025'!Tnet-t)/('2025'!Tau_j))),Resal+(Salim-Resal)*(1-EXP((Tnet-t)/(Tau_j))))*Salcycl</f>
        <v>8.5139195666689441E-2</v>
      </c>
      <c r="P41" s="171">
        <f>(INDEX(Models!$BJ41:$BT41,,T41)*(1-R41)+INDEX(Models!$BJ41:$BT41,,T41+1)*R41-ERP_i)*Q41*Ramure*Pc/MaxiM</f>
        <v>7.6389030349834578E-3</v>
      </c>
      <c r="Q41" s="307">
        <f t="shared" si="4"/>
        <v>1</v>
      </c>
      <c r="R41" s="179">
        <f t="shared" si="5"/>
        <v>0.86665245424758597</v>
      </c>
      <c r="S41" s="837">
        <f t="shared" si="6"/>
        <v>-3</v>
      </c>
      <c r="T41" s="178">
        <f t="shared" si="7"/>
        <v>3</v>
      </c>
      <c r="U41" s="253">
        <f t="shared" si="8"/>
        <v>-2.133347545752414</v>
      </c>
      <c r="V41" s="385">
        <f t="shared" si="9"/>
        <v>21.464937473875363</v>
      </c>
      <c r="W41" s="404">
        <f t="shared" si="10"/>
        <v>20.361761252720669</v>
      </c>
      <c r="X41" s="157">
        <f t="shared" si="11"/>
        <v>46049</v>
      </c>
      <c r="Y41" s="387">
        <f t="shared" si="12"/>
        <v>16.411785409192781</v>
      </c>
      <c r="Z41" s="387">
        <f t="shared" si="22"/>
        <v>17.490732288948223</v>
      </c>
      <c r="AA41" s="388">
        <f t="shared" si="13"/>
        <v>20.091274908296963</v>
      </c>
      <c r="AB41" s="199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0.12943641611686935</v>
      </c>
      <c r="AD41" s="233">
        <f>(INDEX(Models!$BJ41:$BT41,,AH41)*(1-AF41)+INDEX(Models!$BJ41:$BT41,,AH41+1)*AF41-ERP_i)*AE41*Ramure*Pc/MaxiM</f>
        <v>0.17156934272257954</v>
      </c>
      <c r="AE41" s="307">
        <f t="shared" si="15"/>
        <v>1</v>
      </c>
      <c r="AF41" s="179">
        <f t="shared" si="23"/>
        <v>0.80163504717115641</v>
      </c>
      <c r="AG41" s="837">
        <f t="shared" si="24"/>
        <v>2</v>
      </c>
      <c r="AH41" s="178">
        <f t="shared" si="16"/>
        <v>8</v>
      </c>
      <c r="AI41" s="227">
        <f t="shared" si="17"/>
        <v>2.8016350471711564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46050</v>
      </c>
      <c r="B42" s="1139">
        <f>IF(t&gt;Tmaj,'2025'!Wh/'2025'!Env_an*'2026'!Env_an,0.001*'[3]mon-tableau (2)'!$B$235)</f>
        <v>4.2540907930771477</v>
      </c>
      <c r="C42" s="866"/>
      <c r="D42" s="395">
        <f t="shared" si="0"/>
        <v>4.5338695908489832</v>
      </c>
      <c r="E42" s="387">
        <f t="shared" si="1"/>
        <v>4.9567122036815441</v>
      </c>
      <c r="F42" s="387">
        <f t="shared" si="2"/>
        <v>4.9567122036815441</v>
      </c>
      <c r="G42" s="110">
        <f t="shared" si="21"/>
        <v>0.19424303401586662</v>
      </c>
      <c r="H42" s="414" t="b">
        <f>Wh_hp&gt;='2025'!Maxi_hp</f>
        <v>0</v>
      </c>
      <c r="I42" s="392">
        <f>IF(H42,Wh_hp,'2025'!Maxi_hp)</f>
        <v>17.198833933173557</v>
      </c>
      <c r="J42" s="85">
        <f>IF(H42,An,'2025'!An_max)</f>
        <v>2020</v>
      </c>
      <c r="K42" s="199">
        <f t="shared" si="3"/>
        <v>46050</v>
      </c>
      <c r="L42" s="147">
        <f>IF(t&lt;Tvie,1-EXP((T0-t)*PertePVj)+'2025'!Pspv,1-EXP((T0-t)*PertePVj)+Pspv)</f>
        <v>6.1708611632000143E-2</v>
      </c>
      <c r="M42" s="870"/>
      <c r="N42" s="870"/>
      <c r="O42" s="48">
        <f>IF(t&lt;Tnet,'2025'!Resal+('2025'!Salim-'2025'!Resal)*(1-EXP(('2025'!Tnet-t)/('2025'!Tau_j))),Resal+(Salim-Resal)*(1-EXP((Tnet-t)/(Tau_j))))*Salcycl</f>
        <v>8.5307073611919318E-2</v>
      </c>
      <c r="P42" s="171">
        <f>(INDEX(Models!$BJ42:$BT42,,T42)*(1-R42)+INDEX(Models!$BJ42:$BT42,,T42+1)*R42-ERP_i)*Q42*Ramure*Pc/MaxiM</f>
        <v>7.2721736497988127E-3</v>
      </c>
      <c r="Q42" s="307">
        <f t="shared" si="4"/>
        <v>1</v>
      </c>
      <c r="R42" s="179">
        <f t="shared" si="5"/>
        <v>0.86677087081976989</v>
      </c>
      <c r="S42" s="837">
        <f t="shared" si="6"/>
        <v>-3</v>
      </c>
      <c r="T42" s="178">
        <f t="shared" si="7"/>
        <v>3</v>
      </c>
      <c r="U42" s="253">
        <f t="shared" si="8"/>
        <v>-2.1332291291802301</v>
      </c>
      <c r="V42" s="385">
        <f t="shared" si="9"/>
        <v>21.741599782481337</v>
      </c>
      <c r="W42" s="404">
        <f t="shared" si="10"/>
        <v>4.2540907930771477</v>
      </c>
      <c r="X42" s="157">
        <f t="shared" si="11"/>
        <v>46050</v>
      </c>
      <c r="Y42" s="387">
        <f t="shared" si="12"/>
        <v>4.0484662154384532</v>
      </c>
      <c r="Z42" s="387">
        <f t="shared" si="22"/>
        <v>4.3147217011978336</v>
      </c>
      <c r="AA42" s="388">
        <f t="shared" si="13"/>
        <v>4.9567122036815441</v>
      </c>
      <c r="AB42" s="199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0.12951942257347104</v>
      </c>
      <c r="AD42" s="233">
        <f>(INDEX(Models!$BJ42:$BT42,,AH42)*(1-AF42)+INDEX(Models!$BJ42:$BT42,,AH42+1)*AF42-ERP_i)*AE42*Ramure*Pc/MaxiM</f>
        <v>0.16804639007156003</v>
      </c>
      <c r="AE42" s="307">
        <f t="shared" si="15"/>
        <v>1</v>
      </c>
      <c r="AF42" s="179">
        <f t="shared" si="23"/>
        <v>0.80175346374334033</v>
      </c>
      <c r="AG42" s="837">
        <f t="shared" si="24"/>
        <v>2</v>
      </c>
      <c r="AH42" s="178">
        <f t="shared" si="16"/>
        <v>8</v>
      </c>
      <c r="AI42" s="227">
        <f t="shared" si="17"/>
        <v>2.8017534637433403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46051</v>
      </c>
      <c r="B43" s="1139">
        <f>IF(t&gt;Tmaj,'2025'!Wh/'2025'!Env_an*'2026'!Env_an,0.001*'[3]mon-tableau (2)'!$B$236)</f>
        <v>6.6445117480205864</v>
      </c>
      <c r="C43" s="866"/>
      <c r="D43" s="395">
        <f t="shared" si="0"/>
        <v>7.0816661662767055</v>
      </c>
      <c r="E43" s="387">
        <f t="shared" si="1"/>
        <v>7.743544870582693</v>
      </c>
      <c r="F43" s="387">
        <f t="shared" si="2"/>
        <v>7.7436749325635548</v>
      </c>
      <c r="G43" s="110">
        <f t="shared" si="21"/>
        <v>0.29963680213722804</v>
      </c>
      <c r="H43" s="414" t="b">
        <f>Wh_hp&gt;='2025'!Maxi_hp</f>
        <v>0</v>
      </c>
      <c r="I43" s="392">
        <f>IF(H43,Wh_hp,'2025'!Maxi_hp)</f>
        <v>20.008035676598013</v>
      </c>
      <c r="J43" s="85">
        <f>IF(H43,An,'2025'!An_max)</f>
        <v>2020</v>
      </c>
      <c r="K43" s="199">
        <f t="shared" si="3"/>
        <v>46051</v>
      </c>
      <c r="L43" s="147">
        <f>IF(t&lt;Tvie,1-EXP((T0-t)*PertePVj)+'2025'!Pspv,1-EXP((T0-t)*PertePVj)+Pspv)</f>
        <v>6.1730447043362946E-2</v>
      </c>
      <c r="M43" s="870"/>
      <c r="N43" s="870"/>
      <c r="O43" s="48">
        <f>IF(t&lt;Tnet,'2025'!Resal+('2025'!Salim-'2025'!Resal)*(1-EXP(('2025'!Tnet-t)/('2025'!Tau_j))),Resal+(Salim-Resal)*(1-EXP((Tnet-t)/(Tau_j))))*Salcycl</f>
        <v>8.5474897526639115E-2</v>
      </c>
      <c r="P43" s="171">
        <f>(INDEX(Models!$BJ43:$BT43,,T43)*(1-R43)+INDEX(Models!$BJ43:$BT43,,T43+1)*R43-ERP_i)*Q43*Ramure*Pc/MaxiM</f>
        <v>6.882477607628442E-3</v>
      </c>
      <c r="Q43" s="307">
        <f t="shared" si="4"/>
        <v>1</v>
      </c>
      <c r="R43" s="179">
        <f t="shared" si="5"/>
        <v>0.86689421249316956</v>
      </c>
      <c r="S43" s="837">
        <f t="shared" si="6"/>
        <v>-3</v>
      </c>
      <c r="T43" s="178">
        <f t="shared" si="7"/>
        <v>3</v>
      </c>
      <c r="U43" s="253">
        <f t="shared" si="8"/>
        <v>-2.1331057875068304</v>
      </c>
      <c r="V43" s="385">
        <f t="shared" si="9"/>
        <v>22.022968580473425</v>
      </c>
      <c r="W43" s="404">
        <f t="shared" si="10"/>
        <v>6.6445117480205864</v>
      </c>
      <c r="X43" s="157">
        <f t="shared" si="11"/>
        <v>46051</v>
      </c>
      <c r="Y43" s="387">
        <f t="shared" si="12"/>
        <v>6.3214664834709833</v>
      </c>
      <c r="Z43" s="387">
        <f t="shared" si="22"/>
        <v>6.7373671708210434</v>
      </c>
      <c r="AA43" s="388">
        <f t="shared" si="13"/>
        <v>7.7405651323590892</v>
      </c>
      <c r="AB43" s="199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0.12960267685678672</v>
      </c>
      <c r="AD43" s="233">
        <f>(INDEX(Models!$BJ43:$BT43,,AH43)*(1-AF43)+INDEX(Models!$BJ43:$BT43,,AH43+1)*AF43-ERP_i)*AE43*Ramure*Pc/MaxiM</f>
        <v>0.16456100491232653</v>
      </c>
      <c r="AE43" s="307">
        <f t="shared" si="15"/>
        <v>1</v>
      </c>
      <c r="AF43" s="179">
        <f t="shared" si="23"/>
        <v>0.80187680541674</v>
      </c>
      <c r="AG43" s="837">
        <f t="shared" si="24"/>
        <v>2</v>
      </c>
      <c r="AH43" s="178">
        <f t="shared" si="16"/>
        <v>8</v>
      </c>
      <c r="AI43" s="227">
        <f t="shared" si="17"/>
        <v>2.80187680541674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46052</v>
      </c>
      <c r="B44" s="1139">
        <f>IF(t&gt;Tmaj,'2025'!Wh/'2025'!Env_an*'2026'!Env_an,0.001*'[3]mon-tableau (2)'!$B$237)</f>
        <v>4.8302656965317459</v>
      </c>
      <c r="C44" s="866"/>
      <c r="D44" s="395">
        <f t="shared" si="0"/>
        <v>5.1481773987717281</v>
      </c>
      <c r="E44" s="387">
        <f t="shared" si="1"/>
        <v>5.6303779885124881</v>
      </c>
      <c r="F44" s="387">
        <f t="shared" si="2"/>
        <v>5.6303779885124881</v>
      </c>
      <c r="G44" s="110">
        <f t="shared" si="21"/>
        <v>0.21511779864111991</v>
      </c>
      <c r="H44" s="414" t="b">
        <f>Wh_hp&gt;='2025'!Maxi_hp</f>
        <v>0</v>
      </c>
      <c r="I44" s="392">
        <f>IF(H44,Wh_hp,'2025'!Maxi_hp)</f>
        <v>10.958880369584882</v>
      </c>
      <c r="J44" s="85">
        <f>IF(H44,An,'2025'!An_max)</f>
        <v>2020</v>
      </c>
      <c r="K44" s="199">
        <f t="shared" si="3"/>
        <v>46052</v>
      </c>
      <c r="L44" s="147">
        <f>IF(t&lt;Tvie,1-EXP((T0-t)*PertePVj)+'2025'!Pspv,1-EXP((T0-t)*PertePVj)+Pspv)</f>
        <v>6.1752281946583776E-2</v>
      </c>
      <c r="M44" s="870"/>
      <c r="N44" s="870"/>
      <c r="O44" s="48">
        <f>IF(t&lt;Tnet,'2025'!Resal+('2025'!Salim-'2025'!Resal)*(1-EXP(('2025'!Tnet-t)/('2025'!Tau_j))),Resal+(Salim-Resal)*(1-EXP((Tnet-t)/(Tau_j))))*Salcycl</f>
        <v>8.5642667459375058E-2</v>
      </c>
      <c r="P44" s="171">
        <f>(INDEX(Models!$BJ44:$BT44,,T44)*(1-R44)+INDEX(Models!$BJ44:$BT44,,T44+1)*R44-ERP_i)*Q44*Ramure*Pc/MaxiM</f>
        <v>6.4809118303199784E-3</v>
      </c>
      <c r="Q44" s="307">
        <f t="shared" si="4"/>
        <v>1</v>
      </c>
      <c r="R44" s="179">
        <f t="shared" si="5"/>
        <v>0.86702268225136025</v>
      </c>
      <c r="S44" s="837">
        <f t="shared" si="6"/>
        <v>-3</v>
      </c>
      <c r="T44" s="178">
        <f t="shared" si="7"/>
        <v>3</v>
      </c>
      <c r="U44" s="253">
        <f t="shared" si="8"/>
        <v>-2.1329773177486397</v>
      </c>
      <c r="V44" s="385">
        <f t="shared" si="9"/>
        <v>22.30852677347071</v>
      </c>
      <c r="W44" s="404">
        <f t="shared" si="10"/>
        <v>4.8302656965317459</v>
      </c>
      <c r="X44" s="157">
        <f t="shared" si="11"/>
        <v>46052</v>
      </c>
      <c r="Y44" s="387">
        <f t="shared" si="12"/>
        <v>4.5975975210508855</v>
      </c>
      <c r="Z44" s="387">
        <f t="shared" si="22"/>
        <v>4.9001957932703819</v>
      </c>
      <c r="AA44" s="388">
        <f t="shared" si="13"/>
        <v>5.6303779885124881</v>
      </c>
      <c r="AB44" s="199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0.12968617679521302</v>
      </c>
      <c r="AD44" s="233">
        <f>(INDEX(Models!$BJ44:$BT44,,AH44)*(1-AF44)+INDEX(Models!$BJ44:$BT44,,AH44+1)*AF44-ERP_i)*AE44*Ramure*Pc/MaxiM</f>
        <v>0.16106806227818862</v>
      </c>
      <c r="AE44" s="307">
        <f t="shared" si="15"/>
        <v>1</v>
      </c>
      <c r="AF44" s="179">
        <f t="shared" si="23"/>
        <v>0.8020052751749307</v>
      </c>
      <c r="AG44" s="837">
        <f t="shared" si="24"/>
        <v>2</v>
      </c>
      <c r="AH44" s="178">
        <f t="shared" si="16"/>
        <v>8</v>
      </c>
      <c r="AI44" s="227">
        <f t="shared" si="17"/>
        <v>2.8020052751749307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46053</v>
      </c>
      <c r="B45" s="1139">
        <f>IF(t&gt;Tmaj,'2025'!Wh/'2025'!Env_an*'2026'!Env_an,0.001*'[3]mon-tableau (2)'!$B$238)</f>
        <v>10.816653061102404</v>
      </c>
      <c r="C45" s="866"/>
      <c r="D45" s="395">
        <f t="shared" si="0"/>
        <v>11.528836764688442</v>
      </c>
      <c r="E45" s="387">
        <f t="shared" si="1"/>
        <v>12.610990687870856</v>
      </c>
      <c r="F45" s="387">
        <f t="shared" si="2"/>
        <v>12.630610909191317</v>
      </c>
      <c r="G45" s="110">
        <f t="shared" si="21"/>
        <v>0.47649132659383808</v>
      </c>
      <c r="H45" s="414" t="b">
        <f>Wh_hp&gt;='2025'!Maxi_hp</f>
        <v>0</v>
      </c>
      <c r="I45" s="392">
        <f>IF(H45,Wh_hp,'2025'!Maxi_hp)</f>
        <v>19.380623642476806</v>
      </c>
      <c r="J45" s="85">
        <f>IF(H45,An,'2025'!An_max)</f>
        <v>2020</v>
      </c>
      <c r="K45" s="199">
        <f t="shared" si="3"/>
        <v>46053</v>
      </c>
      <c r="L45" s="147">
        <f>IF(t&lt;Tvie,1-EXP((T0-t)*PertePVj)+'2025'!Pspv,1-EXP((T0-t)*PertePVj)+Pspv)</f>
        <v>6.1774116341674623E-2</v>
      </c>
      <c r="M45" s="870"/>
      <c r="N45" s="870"/>
      <c r="O45" s="48">
        <f>IF(t&lt;Tnet,'2025'!Resal+('2025'!Salim-'2025'!Resal)*(1-EXP(('2025'!Tnet-t)/('2025'!Tau_j))),Resal+(Salim-Resal)*(1-EXP((Tnet-t)/(Tau_j))))*Salcycl</f>
        <v>8.5810381592242468E-2</v>
      </c>
      <c r="P45" s="171">
        <f>(INDEX(Models!$BJ45:$BT45,,T45)*(1-R45)+INDEX(Models!$BJ45:$BT45,,T45+1)*R45-ERP_i)*Q45*Ramure*Pc/MaxiM</f>
        <v>6.0861082246546176E-3</v>
      </c>
      <c r="Q45" s="307">
        <f t="shared" si="4"/>
        <v>1</v>
      </c>
      <c r="R45" s="179">
        <f t="shared" si="5"/>
        <v>0.86715649128536221</v>
      </c>
      <c r="S45" s="837">
        <f t="shared" si="6"/>
        <v>-3</v>
      </c>
      <c r="T45" s="178">
        <f t="shared" si="7"/>
        <v>3</v>
      </c>
      <c r="U45" s="253">
        <f t="shared" si="8"/>
        <v>-2.1328435087146378</v>
      </c>
      <c r="V45" s="385">
        <f t="shared" si="9"/>
        <v>22.597573771572893</v>
      </c>
      <c r="W45" s="404">
        <f t="shared" si="10"/>
        <v>10.816653061102404</v>
      </c>
      <c r="X45" s="157">
        <f t="shared" si="11"/>
        <v>46053</v>
      </c>
      <c r="Y45" s="387">
        <f t="shared" si="12"/>
        <v>9.8978030442370919</v>
      </c>
      <c r="Z45" s="387">
        <f t="shared" si="22"/>
        <v>10.549488365897167</v>
      </c>
      <c r="AA45" s="388">
        <f t="shared" si="13"/>
        <v>12.122642709166991</v>
      </c>
      <c r="AB45" s="199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0.12976991741909752</v>
      </c>
      <c r="AD45" s="233">
        <f>(INDEX(Models!$BJ45:$BT45,,AH45)*(1-AF45)+INDEX(Models!$BJ45:$BT45,,AH45+1)*AF45-ERP_i)*AE45*Ramure*Pc/MaxiM</f>
        <v>0.15756954977909191</v>
      </c>
      <c r="AE45" s="307">
        <f t="shared" si="15"/>
        <v>1</v>
      </c>
      <c r="AF45" s="179">
        <f t="shared" si="23"/>
        <v>0.80213908420893265</v>
      </c>
      <c r="AG45" s="837">
        <f t="shared" si="24"/>
        <v>2</v>
      </c>
      <c r="AH45" s="178">
        <f t="shared" si="16"/>
        <v>8</v>
      </c>
      <c r="AI45" s="227">
        <f t="shared" si="17"/>
        <v>2.8021390842089327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46054</v>
      </c>
      <c r="B46" s="1139">
        <f>IF(t&gt;Tmaj,'2025'!Wh/'2025'!Env_an*'2026'!Env_an,0.001*'[4]mon-tableau'!$B$190)</f>
        <v>10.621619970303698</v>
      </c>
      <c r="C46" s="866"/>
      <c r="D46" s="395">
        <f t="shared" si="0"/>
        <v>11.321225881397829</v>
      </c>
      <c r="E46" s="387">
        <f t="shared" si="1"/>
        <v>12.386163932408477</v>
      </c>
      <c r="F46" s="387">
        <f t="shared" si="2"/>
        <v>12.40272459897157</v>
      </c>
      <c r="G46" s="110">
        <f t="shared" si="21"/>
        <v>0.46200534924905862</v>
      </c>
      <c r="H46" s="414" t="b">
        <f>Wh_hp&gt;='2025'!Maxi_hp</f>
        <v>0</v>
      </c>
      <c r="I46" s="392">
        <f>IF(H46,Wh_hp,'2025'!Maxi_hp)</f>
        <v>21.672609398761253</v>
      </c>
      <c r="J46" s="85">
        <f>IF(H46,An,'2025'!An_max)</f>
        <v>2019</v>
      </c>
      <c r="K46" s="199">
        <f t="shared" si="3"/>
        <v>46054</v>
      </c>
      <c r="L46" s="147">
        <f>IF(t&lt;Tvie,1-EXP((T0-t)*PertePVj)+'2025'!Pspv,1-EXP((T0-t)*PertePVj)+Pspv)</f>
        <v>6.1795950228647145E-2</v>
      </c>
      <c r="M46" s="870"/>
      <c r="N46" s="870"/>
      <c r="O46" s="48">
        <f>IF(t&lt;Tnet,'2025'!Resal+('2025'!Salim-'2025'!Resal)*(1-EXP(('2025'!Tnet-t)/('2025'!Tau_j))),Resal+(Salim-Resal)*(1-EXP((Tnet-t)/(Tau_j))))*Salcycl</f>
        <v>8.5978036204109265E-2</v>
      </c>
      <c r="P46" s="171">
        <f>(INDEX(Models!$BJ46:$BT46,,T46)*(1-R46)+INDEX(Models!$BJ46:$BT46,,T46+1)*R46-ERP_i)*Q46*Ramure*Pc/MaxiM</f>
        <v>5.6980821138137069E-3</v>
      </c>
      <c r="Q46" s="307">
        <f t="shared" si="4"/>
        <v>1</v>
      </c>
      <c r="R46" s="179">
        <f t="shared" si="5"/>
        <v>0.86729585931197928</v>
      </c>
      <c r="S46" s="837">
        <f t="shared" si="6"/>
        <v>-3</v>
      </c>
      <c r="T46" s="178">
        <f t="shared" si="7"/>
        <v>3</v>
      </c>
      <c r="U46" s="253">
        <f t="shared" si="8"/>
        <v>-2.1327041406880207</v>
      </c>
      <c r="V46" s="385">
        <f t="shared" si="9"/>
        <v>22.889816369225578</v>
      </c>
      <c r="W46" s="404">
        <f t="shared" si="10"/>
        <v>10.621619970303698</v>
      </c>
      <c r="X46" s="157">
        <f t="shared" si="11"/>
        <v>46054</v>
      </c>
      <c r="Y46" s="387">
        <f t="shared" si="12"/>
        <v>9.7597122816776807</v>
      </c>
      <c r="Z46" s="387">
        <f t="shared" si="22"/>
        <v>10.402547595116642</v>
      </c>
      <c r="AA46" s="388">
        <f t="shared" si="13"/>
        <v>11.954943527993313</v>
      </c>
      <c r="AB46" s="199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0.1298538909231674</v>
      </c>
      <c r="AD46" s="233">
        <f>(INDEX(Models!$BJ46:$BT46,,AH46)*(1-AF46)+INDEX(Models!$BJ46:$BT46,,AH46+1)*AF46-ERP_i)*AE46*Ramure*Pc/MaxiM</f>
        <v>0.15406948154682723</v>
      </c>
      <c r="AE46" s="307">
        <f t="shared" si="15"/>
        <v>1</v>
      </c>
      <c r="AF46" s="179">
        <f t="shared" si="23"/>
        <v>0.80227845223554972</v>
      </c>
      <c r="AG46" s="837">
        <f t="shared" si="24"/>
        <v>2</v>
      </c>
      <c r="AH46" s="178">
        <f t="shared" si="16"/>
        <v>8</v>
      </c>
      <c r="AI46" s="227">
        <f t="shared" si="17"/>
        <v>2.8022784522355497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46055</v>
      </c>
      <c r="B47" s="1139">
        <f>IF(t&gt;Tmaj,'2025'!Wh/'2025'!Env_an*'2026'!Env_an,0.001*'[4]mon-tableau'!$B$191)</f>
        <v>5.542233032309575</v>
      </c>
      <c r="C47" s="866"/>
      <c r="D47" s="395">
        <f t="shared" si="0"/>
        <v>5.9074164223882413</v>
      </c>
      <c r="E47" s="387">
        <f t="shared" si="1"/>
        <v>6.4642864205740223</v>
      </c>
      <c r="F47" s="387">
        <f t="shared" si="2"/>
        <v>6.4642864205740223</v>
      </c>
      <c r="G47" s="110">
        <f t="shared" si="21"/>
        <v>0.23777334822633331</v>
      </c>
      <c r="H47" s="414" t="b">
        <f>Wh_hp&gt;='2025'!Maxi_hp</f>
        <v>0</v>
      </c>
      <c r="I47" s="392">
        <f>IF(H47,Wh_hp,'2025'!Maxi_hp)</f>
        <v>24.150188849551444</v>
      </c>
      <c r="J47" s="85">
        <f>IF(H47,An,'2025'!An_max)</f>
        <v>2021</v>
      </c>
      <c r="K47" s="199">
        <f t="shared" si="3"/>
        <v>46055</v>
      </c>
      <c r="L47" s="147">
        <f>IF(t&lt;Tvie,1-EXP((T0-t)*PertePVj)+'2025'!Pspv,1-EXP((T0-t)*PertePVj)+Pspv)</f>
        <v>6.1817783607513221E-2</v>
      </c>
      <c r="M47" s="870"/>
      <c r="N47" s="870"/>
      <c r="O47" s="48">
        <f>IF(t&lt;Tnet,'2025'!Resal+('2025'!Salim-'2025'!Resal)*(1-EXP(('2025'!Tnet-t)/('2025'!Tau_j))),Resal+(Salim-Resal)*(1-EXP((Tnet-t)/(Tau_j))))*Salcycl</f>
        <v>8.6145625666186387E-2</v>
      </c>
      <c r="P47" s="171">
        <f>(INDEX(Models!$BJ47:$BT47,,T47)*(1-R47)+INDEX(Models!$BJ47:$BT47,,T47+1)*R47-ERP_i)*Q47*Ramure*Pc/MaxiM</f>
        <v>5.3168210299107234E-3</v>
      </c>
      <c r="Q47" s="307">
        <f t="shared" si="4"/>
        <v>1</v>
      </c>
      <c r="R47" s="179">
        <f t="shared" si="5"/>
        <v>0.86744101490332204</v>
      </c>
      <c r="S47" s="837">
        <f t="shared" si="6"/>
        <v>-3</v>
      </c>
      <c r="T47" s="178">
        <f t="shared" si="7"/>
        <v>3</v>
      </c>
      <c r="U47" s="253">
        <f t="shared" si="8"/>
        <v>-2.132558985096678</v>
      </c>
      <c r="V47" s="385">
        <f t="shared" si="9"/>
        <v>23.184961696897989</v>
      </c>
      <c r="W47" s="404">
        <f t="shared" si="10"/>
        <v>5.542233032309575</v>
      </c>
      <c r="X47" s="157">
        <f t="shared" si="11"/>
        <v>46055</v>
      </c>
      <c r="Y47" s="387">
        <f t="shared" si="12"/>
        <v>5.2766458328581605</v>
      </c>
      <c r="Z47" s="387">
        <f t="shared" si="22"/>
        <v>5.6243294113461273</v>
      </c>
      <c r="AA47" s="388">
        <f t="shared" si="13"/>
        <v>6.4642864205740223</v>
      </c>
      <c r="AB47" s="199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0.12993808667798915</v>
      </c>
      <c r="AD47" s="233">
        <f>(INDEX(Models!$BJ47:$BT47,,AH47)*(1-AF47)+INDEX(Models!$BJ47:$BT47,,AH47+1)*AF47-ERP_i)*AE47*Ramure*Pc/MaxiM</f>
        <v>0.15057149582668819</v>
      </c>
      <c r="AE47" s="307">
        <f t="shared" si="15"/>
        <v>1</v>
      </c>
      <c r="AF47" s="179">
        <f t="shared" si="23"/>
        <v>0.80242360782689248</v>
      </c>
      <c r="AG47" s="837">
        <f t="shared" si="24"/>
        <v>2</v>
      </c>
      <c r="AH47" s="178">
        <f t="shared" si="16"/>
        <v>8</v>
      </c>
      <c r="AI47" s="227">
        <f t="shared" si="17"/>
        <v>2.8024236078268925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46056</v>
      </c>
      <c r="B48" s="1139">
        <f>IF(t&gt;Tmaj,'2025'!Wh/'2025'!Env_an*'2026'!Env_an,0.001*'[4]mon-tableau'!$B$192)</f>
        <v>13.236031001519413</v>
      </c>
      <c r="C48" s="866"/>
      <c r="D48" s="395">
        <f t="shared" si="0"/>
        <v>14.10849491622457</v>
      </c>
      <c r="E48" s="387">
        <f t="shared" si="1"/>
        <v>15.441280346703227</v>
      </c>
      <c r="F48" s="387">
        <f t="shared" si="2"/>
        <v>15.470077531037749</v>
      </c>
      <c r="G48" s="110">
        <f t="shared" si="21"/>
        <v>0.56191015360722163</v>
      </c>
      <c r="H48" s="414" t="b">
        <f>Wh_hp&gt;='2025'!Maxi_hp</f>
        <v>0</v>
      </c>
      <c r="I48" s="392">
        <f>IF(H48,Wh_hp,'2025'!Maxi_hp)</f>
        <v>22.38607837569748</v>
      </c>
      <c r="J48" s="85">
        <f>IF(H48,An,'2025'!An_max)</f>
        <v>2020</v>
      </c>
      <c r="K48" s="199">
        <f t="shared" si="3"/>
        <v>46056</v>
      </c>
      <c r="L48" s="147">
        <f>IF(t&lt;Tvie,1-EXP((T0-t)*PertePVj)+'2025'!Pspv,1-EXP((T0-t)*PertePVj)+Pspv)</f>
        <v>6.1839616478284731E-2</v>
      </c>
      <c r="M48" s="870"/>
      <c r="N48" s="870"/>
      <c r="O48" s="48">
        <f>IF(t&lt;Tnet,'2025'!Resal+('2025'!Salim-'2025'!Resal)*(1-EXP(('2025'!Tnet-t)/('2025'!Tau_j))),Resal+(Salim-Resal)*(1-EXP((Tnet-t)/(Tau_j))))*Salcycl</f>
        <v>8.6313142469640572E-2</v>
      </c>
      <c r="P48" s="171">
        <f>(INDEX(Models!$BJ48:$BT48,,T48)*(1-R48)+INDEX(Models!$BJ48:$BT48,,T48+1)*R48-ERP_i)*Q48*Ramure*Pc/MaxiM</f>
        <v>4.9422872163858997E-3</v>
      </c>
      <c r="Q48" s="307">
        <f t="shared" si="4"/>
        <v>1</v>
      </c>
      <c r="R48" s="179">
        <f t="shared" si="5"/>
        <v>0.86759219582780789</v>
      </c>
      <c r="S48" s="837">
        <f t="shared" si="6"/>
        <v>-3</v>
      </c>
      <c r="T48" s="178">
        <f t="shared" si="7"/>
        <v>3</v>
      </c>
      <c r="U48" s="253">
        <f t="shared" si="8"/>
        <v>-2.1324078041721921</v>
      </c>
      <c r="V48" s="385">
        <f t="shared" si="9"/>
        <v>23.482717230011712</v>
      </c>
      <c r="W48" s="404">
        <f t="shared" si="10"/>
        <v>13.236031001519413</v>
      </c>
      <c r="X48" s="157">
        <f t="shared" si="11"/>
        <v>46056</v>
      </c>
      <c r="Y48" s="387">
        <f t="shared" si="12"/>
        <v>11.926892388919386</v>
      </c>
      <c r="Z48" s="387">
        <f t="shared" si="22"/>
        <v>12.713063350796798</v>
      </c>
      <c r="AA48" s="388">
        <f t="shared" si="13"/>
        <v>14.61309427371174</v>
      </c>
      <c r="AB48" s="199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0.13002249128940524</v>
      </c>
      <c r="AD48" s="233">
        <f>(INDEX(Models!$BJ48:$BT48,,AH48)*(1-AF48)+INDEX(Models!$BJ48:$BT48,,AH48+1)*AF48-ERP_i)*AE48*Ramure*Pc/MaxiM</f>
        <v>0.14707887230008404</v>
      </c>
      <c r="AE48" s="307">
        <f t="shared" si="15"/>
        <v>1</v>
      </c>
      <c r="AF48" s="179">
        <f t="shared" si="23"/>
        <v>0.80257478875137833</v>
      </c>
      <c r="AG48" s="837">
        <f t="shared" si="24"/>
        <v>2</v>
      </c>
      <c r="AH48" s="178">
        <f t="shared" si="16"/>
        <v>8</v>
      </c>
      <c r="AI48" s="227">
        <f t="shared" si="17"/>
        <v>2.8025747887513783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46057</v>
      </c>
      <c r="B49" s="1139">
        <f>IF(t&gt;Tmaj,'2025'!Wh/'2025'!Env_an*'2026'!Env_an,0.001*'[4]mon-tableau'!$B$193)</f>
        <v>11.021650838307304</v>
      </c>
      <c r="C49" s="866"/>
      <c r="D49" s="395">
        <f t="shared" si="0"/>
        <v>11.748425458788113</v>
      </c>
      <c r="E49" s="387">
        <f t="shared" si="1"/>
        <v>12.86061923441655</v>
      </c>
      <c r="F49" s="387">
        <f t="shared" si="2"/>
        <v>12.874368985830078</v>
      </c>
      <c r="G49" s="110">
        <f t="shared" si="21"/>
        <v>0.4618029489626056</v>
      </c>
      <c r="H49" s="414" t="b">
        <f>Wh_hp&gt;='2025'!Maxi_hp</f>
        <v>0</v>
      </c>
      <c r="I49" s="392">
        <f>IF(H49,Wh_hp,'2025'!Maxi_hp)</f>
        <v>23.379370808970474</v>
      </c>
      <c r="J49" s="85">
        <f>IF(H49,An,'2025'!An_max)</f>
        <v>2019</v>
      </c>
      <c r="K49" s="199">
        <f t="shared" si="3"/>
        <v>46057</v>
      </c>
      <c r="L49" s="147">
        <f>IF(t&lt;Tvie,1-EXP((T0-t)*PertePVj)+'2025'!Pspv,1-EXP((T0-t)*PertePVj)+Pspv)</f>
        <v>6.1861448840973332E-2</v>
      </c>
      <c r="M49" s="870"/>
      <c r="N49" s="870"/>
      <c r="O49" s="48">
        <f>IF(t&lt;Tnet,'2025'!Resal+('2025'!Salim-'2025'!Resal)*(1-EXP(('2025'!Tnet-t)/('2025'!Tau_j))),Resal+(Salim-Resal)*(1-EXP((Tnet-t)/(Tau_j))))*Salcycl</f>
        <v>8.6480577284496082E-2</v>
      </c>
      <c r="P49" s="171">
        <f>(INDEX(Models!$BJ49:$BT49,,T49)*(1-R49)+INDEX(Models!$BJ49:$BT49,,T49+1)*R49-ERP_i)*Q49*Ramure*Pc/MaxiM</f>
        <v>4.5744199902754473E-3</v>
      </c>
      <c r="Q49" s="307">
        <f t="shared" si="4"/>
        <v>1</v>
      </c>
      <c r="R49" s="179">
        <f t="shared" si="5"/>
        <v>0.86774964940292065</v>
      </c>
      <c r="S49" s="837">
        <f t="shared" si="6"/>
        <v>-3</v>
      </c>
      <c r="T49" s="178">
        <f t="shared" si="7"/>
        <v>3</v>
      </c>
      <c r="U49" s="253">
        <f t="shared" si="8"/>
        <v>-2.1322503505970793</v>
      </c>
      <c r="V49" s="385">
        <f t="shared" si="9"/>
        <v>23.782790785035214</v>
      </c>
      <c r="W49" s="404">
        <f t="shared" si="10"/>
        <v>11.021650838307304</v>
      </c>
      <c r="X49" s="157">
        <f t="shared" si="11"/>
        <v>46057</v>
      </c>
      <c r="Y49" s="387">
        <f t="shared" si="12"/>
        <v>10.154283419283548</v>
      </c>
      <c r="Z49" s="387">
        <f t="shared" si="22"/>
        <v>10.823863284094234</v>
      </c>
      <c r="AA49" s="388">
        <f t="shared" si="13"/>
        <v>12.442753749968583</v>
      </c>
      <c r="AB49" s="199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0.13010708870441454</v>
      </c>
      <c r="AD49" s="233">
        <f>(INDEX(Models!$BJ49:$BT49,,AH49)*(1-AF49)+INDEX(Models!$BJ49:$BT49,,AH49+1)*AF49-ERP_i)*AE49*Ramure*Pc/MaxiM</f>
        <v>0.14359454972326338</v>
      </c>
      <c r="AE49" s="307">
        <f t="shared" si="15"/>
        <v>1</v>
      </c>
      <c r="AF49" s="179">
        <f t="shared" si="23"/>
        <v>0.8027322423264911</v>
      </c>
      <c r="AG49" s="837">
        <f t="shared" si="24"/>
        <v>2</v>
      </c>
      <c r="AH49" s="178">
        <f t="shared" si="16"/>
        <v>8</v>
      </c>
      <c r="AI49" s="227">
        <f t="shared" si="17"/>
        <v>2.8027322423264911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46058</v>
      </c>
      <c r="B50" s="1139">
        <f>IF(t&gt;Tmaj,'2025'!Wh/'2025'!Env_an*'2026'!Env_an,0.001*'[4]mon-tableau'!$B$194)</f>
        <v>9.534983702059419</v>
      </c>
      <c r="C50" s="866"/>
      <c r="D50" s="395">
        <f t="shared" si="0"/>
        <v>10.163963082471636</v>
      </c>
      <c r="E50" s="387">
        <f t="shared" si="1"/>
        <v>11.128198308680945</v>
      </c>
      <c r="F50" s="387">
        <f t="shared" si="2"/>
        <v>11.134624588323833</v>
      </c>
      <c r="G50" s="110">
        <f t="shared" si="21"/>
        <v>0.39445039316750002</v>
      </c>
      <c r="H50" s="414" t="b">
        <f>Wh_hp&gt;='2025'!Maxi_hp</f>
        <v>0</v>
      </c>
      <c r="I50" s="392">
        <f>IF(H50,Wh_hp,'2025'!Maxi_hp)</f>
        <v>27.78824906234189</v>
      </c>
      <c r="J50" s="85">
        <f>IF(H50,An,'2025'!An_max)</f>
        <v>2020</v>
      </c>
      <c r="K50" s="199">
        <f t="shared" si="3"/>
        <v>46058</v>
      </c>
      <c r="L50" s="147">
        <f>IF(t&lt;Tvie,1-EXP((T0-t)*PertePVj)+'2025'!Pspv,1-EXP((T0-t)*PertePVj)+Pspv)</f>
        <v>6.1883280695591014E-2</v>
      </c>
      <c r="M50" s="870"/>
      <c r="N50" s="870"/>
      <c r="O50" s="48">
        <f>IF(t&lt;Tnet,'2025'!Resal+('2025'!Salim-'2025'!Resal)*(1-EXP(('2025'!Tnet-t)/('2025'!Tau_j))),Resal+(Salim-Resal)*(1-EXP((Tnet-t)/(Tau_j))))*Salcycl</f>
        <v>8.664791904877564E-2</v>
      </c>
      <c r="P50" s="171">
        <f>(INDEX(Models!$BJ50:$BT50,,T50)*(1-R50)+INDEX(Models!$BJ50:$BT50,,T50+1)*R50-ERP_i)*Q50*Ramure*Pc/MaxiM</f>
        <v>4.2131379551979048E-3</v>
      </c>
      <c r="Q50" s="307">
        <f t="shared" si="4"/>
        <v>1</v>
      </c>
      <c r="R50" s="179">
        <f t="shared" si="5"/>
        <v>0.86791363286001344</v>
      </c>
      <c r="S50" s="837">
        <f t="shared" si="6"/>
        <v>-3</v>
      </c>
      <c r="T50" s="178">
        <f t="shared" si="7"/>
        <v>3</v>
      </c>
      <c r="U50" s="253">
        <f t="shared" si="8"/>
        <v>-2.1320863671399866</v>
      </c>
      <c r="V50" s="385">
        <f t="shared" si="9"/>
        <v>24.084890523762336</v>
      </c>
      <c r="W50" s="404">
        <f t="shared" si="10"/>
        <v>9.534983702059419</v>
      </c>
      <c r="X50" s="157">
        <f t="shared" si="11"/>
        <v>46058</v>
      </c>
      <c r="Y50" s="387">
        <f t="shared" si="12"/>
        <v>8.9112517464628809</v>
      </c>
      <c r="Z50" s="387">
        <f t="shared" si="22"/>
        <v>9.4990863749559438</v>
      </c>
      <c r="AA50" s="388">
        <f t="shared" si="13"/>
        <v>10.920898462624125</v>
      </c>
      <c r="AB50" s="199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0.13019186036150929</v>
      </c>
      <c r="AD50" s="233">
        <f>(INDEX(Models!$BJ50:$BT50,,AH50)*(1-AF50)+INDEX(Models!$BJ50:$BT50,,AH50+1)*AF50-ERP_i)*AE50*Ramure*Pc/MaxiM</f>
        <v>0.14012114352966212</v>
      </c>
      <c r="AE50" s="307">
        <f t="shared" si="15"/>
        <v>1</v>
      </c>
      <c r="AF50" s="179">
        <f t="shared" si="23"/>
        <v>0.80289622578358388</v>
      </c>
      <c r="AG50" s="837">
        <f t="shared" si="24"/>
        <v>2</v>
      </c>
      <c r="AH50" s="178">
        <f t="shared" si="16"/>
        <v>8</v>
      </c>
      <c r="AI50" s="227">
        <f t="shared" si="17"/>
        <v>2.8028962257835839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46059</v>
      </c>
      <c r="B51" s="1139">
        <f>IF(t&gt;Tmaj,'2025'!Wh/'2025'!Env_an*'2026'!Env_an,0.001*'[4]mon-tableau'!$B$195)</f>
        <v>17.675957774922896</v>
      </c>
      <c r="C51" s="866"/>
      <c r="D51" s="395">
        <f t="shared" si="0"/>
        <v>18.842398569511335</v>
      </c>
      <c r="E51" s="387">
        <f t="shared" si="1"/>
        <v>20.633717997473752</v>
      </c>
      <c r="F51" s="387">
        <f t="shared" si="2"/>
        <v>20.682137033089052</v>
      </c>
      <c r="G51" s="110">
        <f t="shared" si="21"/>
        <v>0.72364192653429638</v>
      </c>
      <c r="H51" s="414" t="b">
        <f>Wh_hp&gt;='2025'!Maxi_hp</f>
        <v>0</v>
      </c>
      <c r="I51" s="392">
        <f>IF(H51,Wh_hp,'2025'!Maxi_hp)</f>
        <v>28.842415345268009</v>
      </c>
      <c r="J51" s="85">
        <f>IF(H51,An,'2025'!An_max)</f>
        <v>2020</v>
      </c>
      <c r="K51" s="199">
        <f t="shared" si="3"/>
        <v>46059</v>
      </c>
      <c r="L51" s="147">
        <f>IF(t&lt;Tvie,1-EXP((T0-t)*PertePVj)+'2025'!Pspv,1-EXP((T0-t)*PertePVj)+Pspv)</f>
        <v>6.1905112042149546E-2</v>
      </c>
      <c r="M51" s="870"/>
      <c r="N51" s="870"/>
      <c r="O51" s="48">
        <f>IF(t&lt;Tnet,'2025'!Resal+('2025'!Salim-'2025'!Resal)*(1-EXP(('2025'!Tnet-t)/('2025'!Tau_j))),Resal+(Salim-Resal)*(1-EXP((Tnet-t)/(Tau_j))))*Salcycl</f>
        <v>8.6815155086530385E-2</v>
      </c>
      <c r="P51" s="171">
        <f>(INDEX(Models!$BJ51:$BT51,,T51)*(1-R51)+INDEX(Models!$BJ51:$BT51,,T51+1)*R51-ERP_i)*Q51*Ramure*Pc/MaxiM</f>
        <v>3.8582596732384252E-3</v>
      </c>
      <c r="Q51" s="307">
        <f t="shared" si="4"/>
        <v>1</v>
      </c>
      <c r="R51" s="179">
        <f t="shared" si="5"/>
        <v>0.86808441372144562</v>
      </c>
      <c r="S51" s="837">
        <f t="shared" si="6"/>
        <v>-3</v>
      </c>
      <c r="T51" s="178">
        <f t="shared" si="7"/>
        <v>3</v>
      </c>
      <c r="U51" s="253">
        <f t="shared" si="8"/>
        <v>-2.1319155862785544</v>
      </c>
      <c r="V51" s="385">
        <f t="shared" si="9"/>
        <v>24.38924144750343</v>
      </c>
      <c r="W51" s="404">
        <f t="shared" si="10"/>
        <v>17.675957774922896</v>
      </c>
      <c r="X51" s="157">
        <f t="shared" si="11"/>
        <v>46059</v>
      </c>
      <c r="Y51" s="387">
        <f t="shared" si="12"/>
        <v>15.47497609360064</v>
      </c>
      <c r="Z51" s="387">
        <f t="shared" si="22"/>
        <v>16.496173566501671</v>
      </c>
      <c r="AA51" s="388">
        <f t="shared" si="13"/>
        <v>18.96715333023182</v>
      </c>
      <c r="AB51" s="199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0.13027678538305712</v>
      </c>
      <c r="AD51" s="233">
        <f>(INDEX(Models!$BJ51:$BT51,,AH51)*(1-AF51)+INDEX(Models!$BJ51:$BT51,,AH51+1)*AF51-ERP_i)*AE51*Ramure*Pc/MaxiM</f>
        <v>0.13665808037912147</v>
      </c>
      <c r="AE51" s="307">
        <f t="shared" si="15"/>
        <v>1</v>
      </c>
      <c r="AF51" s="179">
        <f t="shared" si="23"/>
        <v>0.80306700664501607</v>
      </c>
      <c r="AG51" s="837">
        <f t="shared" si="24"/>
        <v>2</v>
      </c>
      <c r="AH51" s="178">
        <f t="shared" si="16"/>
        <v>8</v>
      </c>
      <c r="AI51" s="227">
        <f t="shared" si="17"/>
        <v>2.8030670066450161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46060</v>
      </c>
      <c r="B52" s="1139">
        <f>IF(t&gt;Tmaj,'2025'!Wh/'2025'!Env_an*'2026'!Env_an,0.001*'[4]mon-tableau'!$B$196)</f>
        <v>12.234772169619939</v>
      </c>
      <c r="C52" s="866"/>
      <c r="D52" s="395">
        <f t="shared" si="0"/>
        <v>13.042451306714657</v>
      </c>
      <c r="E52" s="387">
        <f t="shared" si="1"/>
        <v>14.284992389595331</v>
      </c>
      <c r="F52" s="387">
        <f t="shared" si="2"/>
        <v>14.299057664619475</v>
      </c>
      <c r="G52" s="110">
        <f t="shared" si="21"/>
        <v>0.49415598078777906</v>
      </c>
      <c r="H52" s="414" t="b">
        <f>Wh_hp&gt;='2025'!Maxi_hp</f>
        <v>0</v>
      </c>
      <c r="I52" s="392">
        <f>IF(H52,Wh_hp,'2025'!Maxi_hp)</f>
        <v>20.460774580395299</v>
      </c>
      <c r="J52" s="85">
        <f>IF(H52,An,'2025'!An_max)</f>
        <v>2021</v>
      </c>
      <c r="K52" s="199">
        <f t="shared" si="3"/>
        <v>46060</v>
      </c>
      <c r="L52" s="147">
        <f>IF(t&lt;Tvie,1-EXP((T0-t)*PertePVj)+'2025'!Pspv,1-EXP((T0-t)*PertePVj)+Pspv)</f>
        <v>6.1926942880660807E-2</v>
      </c>
      <c r="M52" s="870"/>
      <c r="N52" s="870"/>
      <c r="O52" s="48">
        <f>IF(t&lt;Tnet,'2025'!Resal+('2025'!Salim-'2025'!Resal)*(1-EXP(('2025'!Tnet-t)/('2025'!Tau_j))),Resal+(Salim-Resal)*(1-EXP((Tnet-t)/(Tau_j))))*Salcycl</f>
        <v>8.698227125312967E-2</v>
      </c>
      <c r="P52" s="171">
        <f>(INDEX(Models!$BJ52:$BT52,,T52)*(1-R52)+INDEX(Models!$BJ52:$BT52,,T52+1)*R52-ERP_i)*Q52*Ramure*Pc/MaxiM</f>
        <v>3.5235447549803785E-3</v>
      </c>
      <c r="Q52" s="307">
        <f t="shared" si="4"/>
        <v>1</v>
      </c>
      <c r="R52" s="179">
        <f t="shared" si="5"/>
        <v>0.86826227019030755</v>
      </c>
      <c r="S52" s="837">
        <f t="shared" si="6"/>
        <v>-3</v>
      </c>
      <c r="T52" s="178">
        <f t="shared" si="7"/>
        <v>3</v>
      </c>
      <c r="U52" s="253">
        <f t="shared" si="8"/>
        <v>-2.1317377298096924</v>
      </c>
      <c r="V52" s="385">
        <f t="shared" si="9"/>
        <v>24.695980660577447</v>
      </c>
      <c r="W52" s="404">
        <f t="shared" si="10"/>
        <v>12.234772169619939</v>
      </c>
      <c r="X52" s="157">
        <f t="shared" si="11"/>
        <v>46060</v>
      </c>
      <c r="Y52" s="387">
        <f t="shared" si="12"/>
        <v>11.231193007776891</v>
      </c>
      <c r="Z52" s="387">
        <f t="shared" si="22"/>
        <v>11.972620812995046</v>
      </c>
      <c r="AA52" s="388">
        <f t="shared" si="13"/>
        <v>13.767359086570313</v>
      </c>
      <c r="AB52" s="199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0.130361840806926</v>
      </c>
      <c r="AD52" s="233">
        <f>(INDEX(Models!$BJ52:$BT52,,AH52)*(1-AF52)+INDEX(Models!$BJ52:$BT52,,AH52+1)*AF52-ERP_i)*AE52*Ramure*Pc/MaxiM</f>
        <v>0.13319780329213399</v>
      </c>
      <c r="AE52" s="307">
        <f t="shared" si="15"/>
        <v>1</v>
      </c>
      <c r="AF52" s="179">
        <f t="shared" si="23"/>
        <v>0.80324486311387799</v>
      </c>
      <c r="AG52" s="837">
        <f t="shared" si="24"/>
        <v>2</v>
      </c>
      <c r="AH52" s="178">
        <f t="shared" si="16"/>
        <v>8</v>
      </c>
      <c r="AI52" s="227">
        <f t="shared" si="17"/>
        <v>2.803244863113878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46061</v>
      </c>
      <c r="B53" s="1139">
        <f>IF(t&gt;Tmaj,'2025'!Wh/'2025'!Env_an*'2026'!Env_an,0.001*'[4]mon-tableau'!$B$197)</f>
        <v>25.404374700421606</v>
      </c>
      <c r="C53" s="866"/>
      <c r="D53" s="395">
        <f t="shared" si="0"/>
        <v>27.082076090221477</v>
      </c>
      <c r="E53" s="387">
        <f t="shared" si="1"/>
        <v>29.66758383306265</v>
      </c>
      <c r="F53" s="387">
        <f t="shared" si="2"/>
        <v>29.763398061400455</v>
      </c>
      <c r="G53" s="110">
        <f t="shared" si="21"/>
        <v>1.0159745529718152</v>
      </c>
      <c r="H53" s="414" t="b">
        <f>Wh_hp&gt;='2025'!Maxi_hp</f>
        <v>1</v>
      </c>
      <c r="I53" s="392">
        <f>IF(H53,Wh_hp,'2025'!Maxi_hp)</f>
        <v>29.763398061400455</v>
      </c>
      <c r="J53" s="85">
        <f>IF(H53,An,'2025'!An_max)</f>
        <v>2026</v>
      </c>
      <c r="K53" s="199">
        <f t="shared" si="3"/>
        <v>46061</v>
      </c>
      <c r="L53" s="147">
        <f>IF(t&lt;Tvie,1-EXP((T0-t)*PertePVj)+'2025'!Pspv,1-EXP((T0-t)*PertePVj)+Pspv)</f>
        <v>6.1948773211136454E-2</v>
      </c>
      <c r="M53" s="870"/>
      <c r="N53" s="870"/>
      <c r="O53" s="48">
        <f>IF(t&lt;Tnet,'2025'!Resal+('2025'!Salim-'2025'!Resal)*(1-EXP(('2025'!Tnet-t)/('2025'!Tau_j))),Resal+(Salim-Resal)*(1-EXP((Tnet-t)/(Tau_j))))*Salcycl</f>
        <v>8.7149252105922767E-2</v>
      </c>
      <c r="P53" s="171">
        <f>(INDEX(Models!$BJ53:$BT53,,T53)*(1-R53)+INDEX(Models!$BJ53:$BT53,,T53+1)*R53-ERP_i)*Q53*Ramure*Pc/MaxiM</f>
        <v>3.2191965494041842E-3</v>
      </c>
      <c r="Q53" s="307">
        <f t="shared" si="4"/>
        <v>1</v>
      </c>
      <c r="R53" s="179">
        <f t="shared" si="5"/>
        <v>0.86844749155302026</v>
      </c>
      <c r="S53" s="837">
        <f t="shared" si="6"/>
        <v>-3</v>
      </c>
      <c r="T53" s="178">
        <f t="shared" si="7"/>
        <v>3</v>
      </c>
      <c r="U53" s="253">
        <f t="shared" si="8"/>
        <v>-2.1315525084469797</v>
      </c>
      <c r="V53" s="385">
        <f t="shared" si="9"/>
        <v>25.004932088221672</v>
      </c>
      <c r="W53" s="404">
        <f t="shared" si="10"/>
        <v>25.404374700421606</v>
      </c>
      <c r="X53" s="157">
        <f t="shared" si="11"/>
        <v>46061</v>
      </c>
      <c r="Y53" s="387">
        <f t="shared" si="12"/>
        <v>21.127359825407524</v>
      </c>
      <c r="Z53" s="387">
        <f t="shared" si="22"/>
        <v>22.522607744707813</v>
      </c>
      <c r="AA53" s="388">
        <f t="shared" si="13"/>
        <v>25.901362875792568</v>
      </c>
      <c r="AB53" s="199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0.1304470018541975</v>
      </c>
      <c r="AD53" s="233">
        <f>(INDEX(Models!$BJ53:$BT53,,AH53)*(1-AF53)+INDEX(Models!$BJ53:$BT53,,AH53+1)*AF53-ERP_i)*AE53*Ramure*Pc/MaxiM</f>
        <v>0.12975787165298447</v>
      </c>
      <c r="AE53" s="307">
        <f t="shared" si="15"/>
        <v>1</v>
      </c>
      <c r="AF53" s="179">
        <f t="shared" si="23"/>
        <v>0.8034300844765907</v>
      </c>
      <c r="AG53" s="837">
        <f t="shared" si="24"/>
        <v>2</v>
      </c>
      <c r="AH53" s="178">
        <f t="shared" si="16"/>
        <v>8</v>
      </c>
      <c r="AI53" s="227">
        <f t="shared" si="17"/>
        <v>2.8034300844765907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46062</v>
      </c>
      <c r="B54" s="1139">
        <f>IF(t&gt;Tmaj,'2025'!Wh/'2025'!Env_an*'2026'!Env_an,0.001*'[4]mon-tableau'!$B$198)</f>
        <v>25.407675366659682</v>
      </c>
      <c r="C54" s="866"/>
      <c r="D54" s="395">
        <f t="shared" si="0"/>
        <v>27.086225068028934</v>
      </c>
      <c r="E54" s="387">
        <f t="shared" si="1"/>
        <v>29.677552663160061</v>
      </c>
      <c r="F54" s="387">
        <f t="shared" si="2"/>
        <v>29.76518784171283</v>
      </c>
      <c r="G54" s="110">
        <f t="shared" si="21"/>
        <v>1.0036136555808277</v>
      </c>
      <c r="H54" s="414" t="b">
        <f>Wh_hp&gt;='2025'!Maxi_hp</f>
        <v>1</v>
      </c>
      <c r="I54" s="392">
        <f>IF(H54,Wh_hp,'2025'!Maxi_hp)</f>
        <v>29.76518784171283</v>
      </c>
      <c r="J54" s="85">
        <f>IF(H54,An,'2025'!An_max)</f>
        <v>2026</v>
      </c>
      <c r="K54" s="199">
        <f t="shared" si="3"/>
        <v>46062</v>
      </c>
      <c r="L54" s="147">
        <f>IF(t&lt;Tvie,1-EXP((T0-t)*PertePVj)+'2025'!Pspv,1-EXP((T0-t)*PertePVj)+Pspv)</f>
        <v>6.1970603033588478E-2</v>
      </c>
      <c r="M54" s="870"/>
      <c r="N54" s="870"/>
      <c r="O54" s="48">
        <f>IF(t&lt;Tnet,'2025'!Resal+('2025'!Salim-'2025'!Resal)*(1-EXP(('2025'!Tnet-t)/('2025'!Tau_j))),Resal+(Salim-Resal)*(1-EXP((Tnet-t)/(Tau_j))))*Salcycl</f>
        <v>8.7316081098150852E-2</v>
      </c>
      <c r="P54" s="171">
        <f>(INDEX(Models!$BJ54:$BT54,,T54)*(1-R54)+INDEX(Models!$BJ54:$BT54,,T54+1)*R54-ERP_i)*Q54*Ramure*Pc/MaxiM</f>
        <v>2.9442172184096656E-3</v>
      </c>
      <c r="Q54" s="307">
        <f t="shared" si="4"/>
        <v>1</v>
      </c>
      <c r="R54" s="179">
        <f t="shared" si="5"/>
        <v>0.86864037859504784</v>
      </c>
      <c r="S54" s="837">
        <f t="shared" si="6"/>
        <v>-3</v>
      </c>
      <c r="T54" s="178">
        <f t="shared" si="7"/>
        <v>3</v>
      </c>
      <c r="U54" s="253">
        <f t="shared" si="8"/>
        <v>-2.1313596214049522</v>
      </c>
      <c r="V54" s="385">
        <f t="shared" si="9"/>
        <v>25.31619137042863</v>
      </c>
      <c r="W54" s="404">
        <f t="shared" si="10"/>
        <v>25.407675366659682</v>
      </c>
      <c r="X54" s="157">
        <f t="shared" si="11"/>
        <v>46062</v>
      </c>
      <c r="Y54" s="387">
        <f t="shared" si="12"/>
        <v>21.20907836945219</v>
      </c>
      <c r="Z54" s="387">
        <f t="shared" si="22"/>
        <v>22.610249143622131</v>
      </c>
      <c r="AA54" s="388">
        <f t="shared" si="13"/>
        <v>26.004701084718288</v>
      </c>
      <c r="AB54" s="199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0.13053224222949872</v>
      </c>
      <c r="AD54" s="233">
        <f>(INDEX(Models!$BJ54:$BT54,,AH54)*(1-AF54)+INDEX(Models!$BJ54:$BT54,,AH54+1)*AF54-ERP_i)*AE54*Ramure*Pc/MaxiM</f>
        <v>0.12633841845689975</v>
      </c>
      <c r="AE54" s="307">
        <f t="shared" si="15"/>
        <v>1</v>
      </c>
      <c r="AF54" s="179">
        <f t="shared" si="23"/>
        <v>0.80362297151861828</v>
      </c>
      <c r="AG54" s="837">
        <f t="shared" si="24"/>
        <v>2</v>
      </c>
      <c r="AH54" s="178">
        <f t="shared" si="16"/>
        <v>8</v>
      </c>
      <c r="AI54" s="227">
        <f t="shared" si="17"/>
        <v>2.8036229715186183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46063</v>
      </c>
      <c r="B55" s="1139">
        <f>IF(t&gt;Tmaj,'2025'!Wh/'2025'!Env_an*'2026'!Env_an,0.001*'[4]mon-tableau'!$B$199)</f>
        <v>24.620788558704582</v>
      </c>
      <c r="C55" s="866"/>
      <c r="D55" s="395">
        <f t="shared" si="0"/>
        <v>26.247963670842818</v>
      </c>
      <c r="E55" s="387">
        <f t="shared" si="1"/>
        <v>28.76434763949057</v>
      </c>
      <c r="F55" s="387">
        <f t="shared" si="2"/>
        <v>28.837766128629362</v>
      </c>
      <c r="G55" s="110">
        <f t="shared" si="21"/>
        <v>0.96048316529542288</v>
      </c>
      <c r="H55" s="414" t="b">
        <f>Wh_hp&gt;='2025'!Maxi_hp</f>
        <v>1</v>
      </c>
      <c r="I55" s="392">
        <f>IF(H55,Wh_hp,'2025'!Maxi_hp)</f>
        <v>28.837766128629362</v>
      </c>
      <c r="J55" s="85">
        <f>IF(H55,An,'2025'!An_max)</f>
        <v>2026</v>
      </c>
      <c r="K55" s="199">
        <f t="shared" si="3"/>
        <v>46063</v>
      </c>
      <c r="L55" s="147">
        <f>IF(t&lt;Tvie,1-EXP((T0-t)*PertePVj)+'2025'!Pspv,1-EXP((T0-t)*PertePVj)+Pspv)</f>
        <v>6.1992432348028648E-2</v>
      </c>
      <c r="M55" s="870"/>
      <c r="N55" s="870"/>
      <c r="O55" s="48">
        <f>IF(t&lt;Tnet,'2025'!Resal+('2025'!Salim-'2025'!Resal)*(1-EXP(('2025'!Tnet-t)/('2025'!Tau_j))),Resal+(Salim-Resal)*(1-EXP((Tnet-t)/(Tau_j))))*Salcycl</f>
        <v>8.7482740793780669E-2</v>
      </c>
      <c r="P55" s="171">
        <f>(INDEX(Models!$BJ55:$BT55,,T55)*(1-R55)+INDEX(Models!$BJ55:$BT55,,T55+1)*R55-ERP_i)*Q55*Ramure*Pc/MaxiM</f>
        <v>2.6976403132991439E-3</v>
      </c>
      <c r="Q55" s="307">
        <f t="shared" si="4"/>
        <v>1</v>
      </c>
      <c r="R55" s="179">
        <f t="shared" si="5"/>
        <v>0.86884124402997553</v>
      </c>
      <c r="S55" s="837">
        <f t="shared" si="6"/>
        <v>-3</v>
      </c>
      <c r="T55" s="178">
        <f t="shared" si="7"/>
        <v>3</v>
      </c>
      <c r="U55" s="253">
        <f t="shared" si="8"/>
        <v>-2.1311587559700245</v>
      </c>
      <c r="V55" s="385">
        <f t="shared" si="9"/>
        <v>25.629854125589915</v>
      </c>
      <c r="W55" s="404">
        <f t="shared" si="10"/>
        <v>24.620788558704582</v>
      </c>
      <c r="X55" s="157">
        <f t="shared" si="11"/>
        <v>46063</v>
      </c>
      <c r="Y55" s="387">
        <f t="shared" si="12"/>
        <v>20.788292437836819</v>
      </c>
      <c r="Z55" s="387">
        <f t="shared" si="22"/>
        <v>22.162179874384439</v>
      </c>
      <c r="AA55" s="388">
        <f t="shared" si="13"/>
        <v>25.491864343467501</v>
      </c>
      <c r="AB55" s="199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0.13061753445021462</v>
      </c>
      <c r="AD55" s="233">
        <f>(INDEX(Models!$BJ55:$BT55,,AH55)*(1-AF55)+INDEX(Models!$BJ55:$BT55,,AH55+1)*AF55-ERP_i)*AE55*Ramure*Pc/MaxiM</f>
        <v>0.12293959799321511</v>
      </c>
      <c r="AE55" s="307">
        <f t="shared" si="15"/>
        <v>1</v>
      </c>
      <c r="AF55" s="179">
        <f t="shared" si="23"/>
        <v>0.80382383695354598</v>
      </c>
      <c r="AG55" s="837">
        <f t="shared" si="24"/>
        <v>2</v>
      </c>
      <c r="AH55" s="178">
        <f t="shared" si="16"/>
        <v>8</v>
      </c>
      <c r="AI55" s="227">
        <f t="shared" si="17"/>
        <v>2.803823836953546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46064</v>
      </c>
      <c r="B56" s="1139">
        <f>IF(t&gt;Tmaj,'2025'!Wh/'2025'!Env_an*'2026'!Env_an,0.001*'[4]mon-tableau'!$B$200)</f>
        <v>12.965449789428213</v>
      </c>
      <c r="C56" s="866"/>
      <c r="D56" s="395">
        <f t="shared" si="0"/>
        <v>13.822651296794803</v>
      </c>
      <c r="E56" s="387">
        <f t="shared" si="1"/>
        <v>15.15058845268609</v>
      </c>
      <c r="F56" s="387">
        <f t="shared" si="2"/>
        <v>15.161309314635435</v>
      </c>
      <c r="G56" s="110">
        <f t="shared" si="21"/>
        <v>0.4988228808032833</v>
      </c>
      <c r="H56" s="414" t="b">
        <f>Wh_hp&gt;='2025'!Maxi_hp</f>
        <v>0</v>
      </c>
      <c r="I56" s="392">
        <f>IF(H56,Wh_hp,'2025'!Maxi_hp)</f>
        <v>26.884629340458861</v>
      </c>
      <c r="J56" s="85">
        <f>IF(H56,An,'2025'!An_max)</f>
        <v>2021</v>
      </c>
      <c r="K56" s="199">
        <f t="shared" si="3"/>
        <v>46064</v>
      </c>
      <c r="L56" s="147">
        <f>IF(t&lt;Tvie,1-EXP((T0-t)*PertePVj)+'2025'!Pspv,1-EXP((T0-t)*PertePVj)+Pspv)</f>
        <v>6.2014261154468731E-2</v>
      </c>
      <c r="M56" s="870"/>
      <c r="N56" s="870"/>
      <c r="O56" s="48">
        <f>IF(t&lt;Tnet,'2025'!Resal+('2025'!Salim-'2025'!Resal)*(1-EXP(('2025'!Tnet-t)/('2025'!Tau_j))),Resal+(Salim-Resal)*(1-EXP((Tnet-t)/(Tau_j))))*Salcycl</f>
        <v>8.7649213100752799E-2</v>
      </c>
      <c r="P56" s="171">
        <f>(INDEX(Models!$BJ56:$BT56,,T56)*(1-R56)+INDEX(Models!$BJ56:$BT56,,T56+1)*R56-ERP_i)*Q56*Ramure*Pc/MaxiM</f>
        <v>2.4785293144228429E-3</v>
      </c>
      <c r="Q56" s="307">
        <f t="shared" si="4"/>
        <v>1</v>
      </c>
      <c r="R56" s="179">
        <f t="shared" si="5"/>
        <v>0.86905041294218099</v>
      </c>
      <c r="S56" s="837">
        <f t="shared" si="6"/>
        <v>-3</v>
      </c>
      <c r="T56" s="178">
        <f t="shared" si="7"/>
        <v>3</v>
      </c>
      <c r="U56" s="253">
        <f t="shared" si="8"/>
        <v>-2.130949587057819</v>
      </c>
      <c r="V56" s="385">
        <f t="shared" si="9"/>
        <v>25.946015939405534</v>
      </c>
      <c r="W56" s="404">
        <f t="shared" si="10"/>
        <v>12.965449789428213</v>
      </c>
      <c r="X56" s="157">
        <f t="shared" si="11"/>
        <v>46064</v>
      </c>
      <c r="Y56" s="387">
        <f t="shared" si="12"/>
        <v>11.940666139660088</v>
      </c>
      <c r="Z56" s="387">
        <f t="shared" si="22"/>
        <v>12.730114803618024</v>
      </c>
      <c r="AA56" s="388">
        <f t="shared" si="13"/>
        <v>14.644146488408303</v>
      </c>
      <c r="AB56" s="199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0.13070285020061409</v>
      </c>
      <c r="AD56" s="233">
        <f>(INDEX(Models!$BJ56:$BT56,,AH56)*(1-AF56)+INDEX(Models!$BJ56:$BT56,,AH56+1)*AF56-ERP_i)*AE56*Ramure*Pc/MaxiM</f>
        <v>0.11956158293894853</v>
      </c>
      <c r="AE56" s="307">
        <f t="shared" si="15"/>
        <v>1</v>
      </c>
      <c r="AF56" s="179">
        <f t="shared" si="23"/>
        <v>0.80403300586575144</v>
      </c>
      <c r="AG56" s="837">
        <f t="shared" si="24"/>
        <v>2</v>
      </c>
      <c r="AH56" s="178">
        <f t="shared" si="16"/>
        <v>8</v>
      </c>
      <c r="AI56" s="227">
        <f t="shared" si="17"/>
        <v>2.8040330058657514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46065</v>
      </c>
      <c r="B57" s="1139">
        <f>IF(t&gt;Tmaj,'2025'!Wh/'2025'!Env_an*'2026'!Env_an,0.001*'[4]mon-tableau'!$B$201)</f>
        <v>22.134581680310767</v>
      </c>
      <c r="C57" s="866"/>
      <c r="D57" s="395">
        <f t="shared" si="0"/>
        <v>23.59854300513598</v>
      </c>
      <c r="E57" s="387">
        <f t="shared" si="1"/>
        <v>25.870361177273509</v>
      </c>
      <c r="F57" s="387">
        <f t="shared" si="2"/>
        <v>25.91629628817282</v>
      </c>
      <c r="G57" s="110">
        <f t="shared" si="21"/>
        <v>0.84231434851816489</v>
      </c>
      <c r="H57" s="414" t="b">
        <f>Wh_hp&gt;='2025'!Maxi_hp</f>
        <v>0</v>
      </c>
      <c r="I57" s="392">
        <f>IF(H57,Wh_hp,'2025'!Maxi_hp)</f>
        <v>30.634138699782948</v>
      </c>
      <c r="J57" s="85">
        <f>IF(H57,An,'2025'!An_max)</f>
        <v>2019</v>
      </c>
      <c r="K57" s="199">
        <f t="shared" si="3"/>
        <v>46065</v>
      </c>
      <c r="L57" s="147">
        <f>IF(t&lt;Tvie,1-EXP((T0-t)*PertePVj)+'2025'!Pspv,1-EXP((T0-t)*PertePVj)+Pspv)</f>
        <v>6.2036089452920717E-2</v>
      </c>
      <c r="M57" s="870"/>
      <c r="N57" s="870"/>
      <c r="O57" s="48">
        <f>IF(t&lt;Tnet,'2025'!Resal+('2025'!Salim-'2025'!Resal)*(1-EXP(('2025'!Tnet-t)/('2025'!Tau_j))),Resal+(Salim-Resal)*(1-EXP((Tnet-t)/(Tau_j))))*Salcycl</f>
        <v>8.7815479519987014E-2</v>
      </c>
      <c r="P57" s="171">
        <f>(INDEX(Models!$BJ57:$BT57,,T57)*(1-R57)+INDEX(Models!$BJ57:$BT57,,T57+1)*R57-ERP_i)*Q57*Ramure*Pc/MaxiM</f>
        <v>2.2859762974232539E-3</v>
      </c>
      <c r="Q57" s="307">
        <f t="shared" si="4"/>
        <v>1</v>
      </c>
      <c r="R57" s="179">
        <f t="shared" si="5"/>
        <v>0.8692682232433131</v>
      </c>
      <c r="S57" s="837">
        <f t="shared" si="6"/>
        <v>-3</v>
      </c>
      <c r="T57" s="178">
        <f t="shared" si="7"/>
        <v>3</v>
      </c>
      <c r="U57" s="253">
        <f t="shared" si="8"/>
        <v>-2.1307317767566869</v>
      </c>
      <c r="V57" s="385">
        <f t="shared" si="9"/>
        <v>26.264772351827308</v>
      </c>
      <c r="W57" s="404">
        <f t="shared" si="10"/>
        <v>22.134581680310767</v>
      </c>
      <c r="X57" s="157">
        <f t="shared" si="11"/>
        <v>46065</v>
      </c>
      <c r="Y57" s="387">
        <f t="shared" si="12"/>
        <v>19.225538457301219</v>
      </c>
      <c r="Z57" s="387">
        <f t="shared" si="22"/>
        <v>20.497098279706393</v>
      </c>
      <c r="AA57" s="388">
        <f t="shared" si="13"/>
        <v>23.581246081935944</v>
      </c>
      <c r="AB57" s="199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0.13078816070674548</v>
      </c>
      <c r="AD57" s="233">
        <f>(INDEX(Models!$BJ57:$BT57,,AH57)*(1-AF57)+INDEX(Models!$BJ57:$BT57,,AH57+1)*AF57-ERP_i)*AE57*Ramure*Pc/MaxiM</f>
        <v>0.11620456161412723</v>
      </c>
      <c r="AE57" s="307">
        <f t="shared" si="15"/>
        <v>1</v>
      </c>
      <c r="AF57" s="179">
        <f t="shared" si="23"/>
        <v>0.80425081616688354</v>
      </c>
      <c r="AG57" s="837">
        <f t="shared" si="24"/>
        <v>2</v>
      </c>
      <c r="AH57" s="178">
        <f t="shared" si="16"/>
        <v>8</v>
      </c>
      <c r="AI57" s="227">
        <f t="shared" si="17"/>
        <v>2.8042508161668835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46066</v>
      </c>
      <c r="B58" s="1139">
        <f>IF(t&gt;Tmaj,'2025'!Wh/'2025'!Env_an*'2026'!Env_an,0.001*'[4]mon-tableau'!$B$202)</f>
        <v>25.762518874858575</v>
      </c>
      <c r="C58" s="866"/>
      <c r="D58" s="395">
        <f t="shared" si="0"/>
        <v>27.467067901615792</v>
      </c>
      <c r="E58" s="387">
        <f t="shared" si="1"/>
        <v>30.116788800158144</v>
      </c>
      <c r="F58" s="387">
        <f t="shared" si="2"/>
        <v>30.178042124241887</v>
      </c>
      <c r="G58" s="110">
        <f t="shared" si="21"/>
        <v>0.96893100804448296</v>
      </c>
      <c r="H58" s="414" t="b">
        <f>Wh_hp&gt;='2025'!Maxi_hp</f>
        <v>0</v>
      </c>
      <c r="I58" s="392">
        <f>IF(H58,Wh_hp,'2025'!Maxi_hp)</f>
        <v>31.578425450237262</v>
      </c>
      <c r="J58" s="85">
        <f>IF(H58,An,'2025'!An_max)</f>
        <v>2019</v>
      </c>
      <c r="K58" s="199">
        <f t="shared" si="3"/>
        <v>46066</v>
      </c>
      <c r="L58" s="147">
        <f>IF(t&lt;Tvie,1-EXP((T0-t)*PertePVj)+'2025'!Pspv,1-EXP((T0-t)*PertePVj)+Pspv)</f>
        <v>6.2057917243396155E-2</v>
      </c>
      <c r="M58" s="870"/>
      <c r="N58" s="870"/>
      <c r="O58" s="48">
        <f>IF(t&lt;Tnet,'2025'!Resal+('2025'!Salim-'2025'!Resal)*(1-EXP(('2025'!Tnet-t)/('2025'!Tau_j))),Resal+(Salim-Resal)*(1-EXP((Tnet-t)/(Tau_j))))*Salcycl</f>
        <v>8.7981521407369964E-2</v>
      </c>
      <c r="P58" s="171">
        <f>(INDEX(Models!$BJ58:$BT58,,T58)*(1-R58)+INDEX(Models!$BJ58:$BT58,,T58+1)*R58-ERP_i)*Q58*Ramure*Pc/MaxiM</f>
        <v>2.123714197856218E-3</v>
      </c>
      <c r="Q58" s="307">
        <f t="shared" si="4"/>
        <v>1</v>
      </c>
      <c r="R58" s="179">
        <f t="shared" si="5"/>
        <v>0.86949502614276808</v>
      </c>
      <c r="S58" s="837">
        <f t="shared" si="6"/>
        <v>-3</v>
      </c>
      <c r="T58" s="178">
        <f t="shared" si="7"/>
        <v>3</v>
      </c>
      <c r="U58" s="253">
        <f t="shared" si="8"/>
        <v>-2.1305049738572319</v>
      </c>
      <c r="V58" s="385">
        <f t="shared" si="9"/>
        <v>26.586095920857499</v>
      </c>
      <c r="W58" s="404">
        <f t="shared" si="10"/>
        <v>25.762518874858575</v>
      </c>
      <c r="X58" s="157">
        <f t="shared" si="11"/>
        <v>46066</v>
      </c>
      <c r="Y58" s="387">
        <f t="shared" si="12"/>
        <v>21.946246884223836</v>
      </c>
      <c r="Z58" s="387">
        <f t="shared" si="22"/>
        <v>23.398296427561924</v>
      </c>
      <c r="AA58" s="388">
        <f t="shared" si="13"/>
        <v>26.921621576307871</v>
      </c>
      <c r="AB58" s="199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0.1308734371278221</v>
      </c>
      <c r="AD58" s="233">
        <f>(INDEX(Models!$BJ58:$BT58,,AH58)*(1-AF58)+INDEX(Models!$BJ58:$BT58,,AH58+1)*AF58-ERP_i)*AE58*Ramure*Pc/MaxiM</f>
        <v>0.11290336737289991</v>
      </c>
      <c r="AE58" s="307">
        <f t="shared" si="15"/>
        <v>1</v>
      </c>
      <c r="AF58" s="179">
        <f t="shared" si="23"/>
        <v>0.80447761906633852</v>
      </c>
      <c r="AG58" s="837">
        <f t="shared" si="24"/>
        <v>2</v>
      </c>
      <c r="AH58" s="178">
        <f t="shared" si="16"/>
        <v>8</v>
      </c>
      <c r="AI58" s="227">
        <f t="shared" si="17"/>
        <v>2.8044776190663385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46067</v>
      </c>
      <c r="B59" s="1139">
        <f>IF(t&gt;Tmaj,'2025'!Wh/'2025'!Env_an*'2026'!Env_an,0.001*'[4]mon-tableau'!$B$203)</f>
        <v>15.116466754417404</v>
      </c>
      <c r="C59" s="866"/>
      <c r="D59" s="395">
        <f t="shared" si="0"/>
        <v>16.11700639387135</v>
      </c>
      <c r="E59" s="387">
        <f t="shared" si="1"/>
        <v>17.67501127289222</v>
      </c>
      <c r="F59" s="387">
        <f t="shared" si="2"/>
        <v>17.688122629980302</v>
      </c>
      <c r="G59" s="110">
        <f t="shared" si="21"/>
        <v>0.56103749963480176</v>
      </c>
      <c r="H59" s="414" t="b">
        <f>Wh_hp&gt;='2025'!Maxi_hp</f>
        <v>0</v>
      </c>
      <c r="I59" s="392">
        <f>IF(H59,Wh_hp,'2025'!Maxi_hp)</f>
        <v>31.770566290205203</v>
      </c>
      <c r="J59" s="85">
        <f>IF(H59,An,'2025'!An_max)</f>
        <v>2019</v>
      </c>
      <c r="K59" s="199">
        <f t="shared" si="3"/>
        <v>46067</v>
      </c>
      <c r="L59" s="147">
        <f>IF(t&lt;Tvie,1-EXP((T0-t)*PertePVj)+'2025'!Pspv,1-EXP((T0-t)*PertePVj)+Pspv)</f>
        <v>6.2079744525907143E-2</v>
      </c>
      <c r="M59" s="870"/>
      <c r="N59" s="870"/>
      <c r="O59" s="48">
        <f>IF(t&lt;Tnet,'2025'!Resal+('2025'!Salim-'2025'!Resal)*(1-EXP(('2025'!Tnet-t)/('2025'!Tau_j))),Resal+(Salim-Resal)*(1-EXP((Tnet-t)/(Tau_j))))*Salcycl</f>
        <v>8.8147320245863067E-2</v>
      </c>
      <c r="P59" s="171">
        <f>(INDEX(Models!$BJ59:$BT59,,T59)*(1-R59)+INDEX(Models!$BJ59:$BT59,,T59+1)*R59-ERP_i)*Q59*Ramure*Pc/MaxiM</f>
        <v>1.9824477275993879E-3</v>
      </c>
      <c r="Q59" s="307">
        <f t="shared" si="4"/>
        <v>1</v>
      </c>
      <c r="R59" s="179">
        <f t="shared" si="5"/>
        <v>0.86973118663234228</v>
      </c>
      <c r="S59" s="837">
        <f t="shared" si="6"/>
        <v>-3</v>
      </c>
      <c r="T59" s="178">
        <f t="shared" si="7"/>
        <v>3</v>
      </c>
      <c r="U59" s="253">
        <f t="shared" si="8"/>
        <v>-2.1302688133676577</v>
      </c>
      <c r="V59" s="385">
        <f t="shared" si="9"/>
        <v>26.910305198732665</v>
      </c>
      <c r="W59" s="404">
        <f t="shared" si="10"/>
        <v>15.116466754417404</v>
      </c>
      <c r="X59" s="157">
        <f t="shared" si="11"/>
        <v>46067</v>
      </c>
      <c r="Y59" s="387">
        <f t="shared" si="12"/>
        <v>13.826085552001057</v>
      </c>
      <c r="Z59" s="387">
        <f t="shared" si="22"/>
        <v>14.741216506740599</v>
      </c>
      <c r="AA59" s="388">
        <f t="shared" si="13"/>
        <v>16.962618088334025</v>
      </c>
      <c r="AB59" s="199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0.13095865095973513</v>
      </c>
      <c r="AD59" s="233">
        <f>(INDEX(Models!$BJ59:$BT59,,AH59)*(1-AF59)+INDEX(Models!$BJ59:$BT59,,AH59+1)*AF59-ERP_i)*AE59*Ramure*Pc/MaxiM</f>
        <v>0.10969686968995924</v>
      </c>
      <c r="AE59" s="307">
        <f t="shared" si="15"/>
        <v>1</v>
      </c>
      <c r="AF59" s="179">
        <f t="shared" si="23"/>
        <v>0.80471377955591272</v>
      </c>
      <c r="AG59" s="837">
        <f t="shared" si="24"/>
        <v>2</v>
      </c>
      <c r="AH59" s="178">
        <f t="shared" si="16"/>
        <v>8</v>
      </c>
      <c r="AI59" s="227">
        <f t="shared" si="17"/>
        <v>2.8047137795559127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46068</v>
      </c>
      <c r="B60" s="1139">
        <f>IF(t&gt;Tmaj,'2025'!Wh/'2025'!Env_an*'2026'!Env_an,0.001*'[4]mon-tableau'!$B$204)</f>
        <v>18.379782391623653</v>
      </c>
      <c r="C60" s="866"/>
      <c r="D60" s="395">
        <f t="shared" si="0"/>
        <v>19.59677277326136</v>
      </c>
      <c r="E60" s="387">
        <f t="shared" si="1"/>
        <v>21.495063239188703</v>
      </c>
      <c r="F60" s="387">
        <f t="shared" si="2"/>
        <v>21.516508374466831</v>
      </c>
      <c r="G60" s="110">
        <f t="shared" si="21"/>
        <v>0.67421293239551361</v>
      </c>
      <c r="H60" s="414" t="b">
        <f>Wh_hp&gt;='2025'!Maxi_hp</f>
        <v>0</v>
      </c>
      <c r="I60" s="392">
        <f>IF(H60,Wh_hp,'2025'!Maxi_hp)</f>
        <v>31.929826724148288</v>
      </c>
      <c r="J60" s="85">
        <f>IF(H60,An,'2025'!An_max)</f>
        <v>2019</v>
      </c>
      <c r="K60" s="199">
        <f t="shared" si="3"/>
        <v>46068</v>
      </c>
      <c r="L60" s="147">
        <f>IF(t&lt;Tvie,1-EXP((T0-t)*PertePVj)+'2025'!Pspv,1-EXP((T0-t)*PertePVj)+Pspv)</f>
        <v>6.2101571300465341E-2</v>
      </c>
      <c r="M60" s="870"/>
      <c r="N60" s="870"/>
      <c r="O60" s="48">
        <f>IF(t&lt;Tnet,'2025'!Resal+('2025'!Salim-'2025'!Resal)*(1-EXP(('2025'!Tnet-t)/('2025'!Tau_j))),Resal+(Salim-Resal)*(1-EXP((Tnet-t)/(Tau_j))))*Salcycl</f>
        <v>8.8312857924812901E-2</v>
      </c>
      <c r="P60" s="171">
        <f>(INDEX(Models!$BJ60:$BT60,,T60)*(1-R60)+INDEX(Models!$BJ60:$BT60,,T60+1)*R60-ERP_i)*Q60*Ramure*Pc/MaxiM</f>
        <v>1.8614819796029804E-3</v>
      </c>
      <c r="Q60" s="307">
        <f t="shared" si="4"/>
        <v>1</v>
      </c>
      <c r="R60" s="179">
        <f t="shared" si="5"/>
        <v>0.86997708398520501</v>
      </c>
      <c r="S60" s="837">
        <f t="shared" si="6"/>
        <v>-3</v>
      </c>
      <c r="T60" s="178">
        <f t="shared" si="7"/>
        <v>3</v>
      </c>
      <c r="U60" s="253">
        <f t="shared" si="8"/>
        <v>-2.130022916014795</v>
      </c>
      <c r="V60" s="385">
        <f t="shared" si="9"/>
        <v>27.237495503081455</v>
      </c>
      <c r="W60" s="404">
        <f t="shared" si="10"/>
        <v>18.379782391623653</v>
      </c>
      <c r="X60" s="157">
        <f t="shared" si="11"/>
        <v>46068</v>
      </c>
      <c r="Y60" s="387">
        <f t="shared" si="12"/>
        <v>16.535082316495952</v>
      </c>
      <c r="Z60" s="387">
        <f t="shared" si="22"/>
        <v>17.629928583442734</v>
      </c>
      <c r="AA60" s="388">
        <f t="shared" si="13"/>
        <v>20.288626820308203</v>
      </c>
      <c r="AB60" s="199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0.13104377444629259</v>
      </c>
      <c r="AD60" s="233">
        <f>(INDEX(Models!$BJ60:$BT60,,AH60)*(1-AF60)+INDEX(Models!$BJ60:$BT60,,AH60+1)*AF60-ERP_i)*AE60*Ramure*Pc/MaxiM</f>
        <v>0.10658265180002893</v>
      </c>
      <c r="AE60" s="307">
        <f t="shared" si="15"/>
        <v>1</v>
      </c>
      <c r="AF60" s="179">
        <f t="shared" si="23"/>
        <v>0.80495967690877546</v>
      </c>
      <c r="AG60" s="837">
        <f t="shared" si="24"/>
        <v>2</v>
      </c>
      <c r="AH60" s="178">
        <f t="shared" si="16"/>
        <v>8</v>
      </c>
      <c r="AI60" s="227">
        <f t="shared" si="17"/>
        <v>2.8049596769087755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46069</v>
      </c>
      <c r="B61" s="1139">
        <f>IF(t&gt;Tmaj,'2025'!Wh/'2025'!Env_an*'2026'!Env_an,0.001*'[4]mon-tableau'!$B$205)</f>
        <v>9.3627462901043295</v>
      </c>
      <c r="C61" s="866"/>
      <c r="D61" s="395">
        <f t="shared" si="0"/>
        <v>9.9829191450311399</v>
      </c>
      <c r="E61" s="387">
        <f t="shared" si="1"/>
        <v>10.951924831944782</v>
      </c>
      <c r="F61" s="387">
        <f t="shared" si="2"/>
        <v>10.953016198682244</v>
      </c>
      <c r="G61" s="110">
        <f t="shared" si="21"/>
        <v>0.33906262938992698</v>
      </c>
      <c r="H61" s="414" t="b">
        <f>Wh_hp&gt;='2025'!Maxi_hp</f>
        <v>0</v>
      </c>
      <c r="I61" s="392">
        <f>IF(H61,Wh_hp,'2025'!Maxi_hp)</f>
        <v>32.591538912686424</v>
      </c>
      <c r="J61" s="85">
        <f>IF(H61,An,'2025'!An_max)</f>
        <v>2019</v>
      </c>
      <c r="K61" s="199">
        <f t="shared" si="3"/>
        <v>46069</v>
      </c>
      <c r="L61" s="147">
        <f>IF(t&lt;Tvie,1-EXP((T0-t)*PertePVj)+'2025'!Pspv,1-EXP((T0-t)*PertePVj)+Pspv)</f>
        <v>6.2123397567082628E-2</v>
      </c>
      <c r="M61" s="870"/>
      <c r="N61" s="870"/>
      <c r="O61" s="48">
        <f>IF(t&lt;Tnet,'2025'!Resal+('2025'!Salim-'2025'!Resal)*(1-EXP(('2025'!Tnet-t)/('2025'!Tau_j))),Resal+(Salim-Resal)*(1-EXP((Tnet-t)/(Tau_j))))*Salcycl</f>
        <v>8.8478117023523359E-2</v>
      </c>
      <c r="P61" s="171">
        <f>(INDEX(Models!$BJ61:$BT61,,T61)*(1-R61)+INDEX(Models!$BJ61:$BT61,,T61+1)*R61-ERP_i)*Q61*Ramure*Pc/MaxiM</f>
        <v>1.7601424439774261E-3</v>
      </c>
      <c r="Q61" s="307">
        <f t="shared" si="4"/>
        <v>1</v>
      </c>
      <c r="R61" s="179">
        <f t="shared" si="5"/>
        <v>0.87023311226930833</v>
      </c>
      <c r="S61" s="837">
        <f t="shared" si="6"/>
        <v>-3</v>
      </c>
      <c r="T61" s="178">
        <f t="shared" si="7"/>
        <v>3</v>
      </c>
      <c r="U61" s="253">
        <f t="shared" si="8"/>
        <v>-2.1297668877306917</v>
      </c>
      <c r="V61" s="385">
        <f t="shared" si="9"/>
        <v>27.567762043204922</v>
      </c>
      <c r="W61" s="404">
        <f t="shared" si="10"/>
        <v>9.3627462901043295</v>
      </c>
      <c r="X61" s="157">
        <f t="shared" si="11"/>
        <v>46069</v>
      </c>
      <c r="Y61" s="387">
        <f t="shared" si="12"/>
        <v>8.8732220360156084</v>
      </c>
      <c r="Z61" s="387">
        <f t="shared" si="22"/>
        <v>9.4609696126311835</v>
      </c>
      <c r="AA61" s="388">
        <f t="shared" si="13"/>
        <v>10.888805389885505</v>
      </c>
      <c r="AB61" s="199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0.13112878099379216</v>
      </c>
      <c r="AD61" s="233">
        <f>(INDEX(Models!$BJ61:$BT61,,AH61)*(1-AF61)+INDEX(Models!$BJ61:$BT61,,AH61+1)*AF61-ERP_i)*AE61*Ramure*Pc/MaxiM</f>
        <v>0.10355837872438531</v>
      </c>
      <c r="AE61" s="307">
        <f t="shared" si="15"/>
        <v>1</v>
      </c>
      <c r="AF61" s="179">
        <f t="shared" si="23"/>
        <v>0.80521570519287877</v>
      </c>
      <c r="AG61" s="837">
        <f t="shared" si="24"/>
        <v>2</v>
      </c>
      <c r="AH61" s="178">
        <f t="shared" si="16"/>
        <v>8</v>
      </c>
      <c r="AI61" s="227">
        <f t="shared" si="17"/>
        <v>2.8052157051928788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46070</v>
      </c>
      <c r="B62" s="1139">
        <f>IF(t&gt;Tmaj,'2025'!Wh/'2025'!Env_an*'2026'!Env_an,0.001*'[4]mon-tableau'!$B$206)</f>
        <v>10.863523720638714</v>
      </c>
      <c r="C62" s="866"/>
      <c r="D62" s="395">
        <f t="shared" si="0"/>
        <v>11.583375156612588</v>
      </c>
      <c r="E62" s="387">
        <f t="shared" si="1"/>
        <v>12.710031510535725</v>
      </c>
      <c r="F62" s="387">
        <f t="shared" si="2"/>
        <v>12.712754231075692</v>
      </c>
      <c r="G62" s="110">
        <f t="shared" si="21"/>
        <v>0.38878687922461264</v>
      </c>
      <c r="H62" s="414" t="b">
        <f>Wh_hp&gt;='2025'!Maxi_hp</f>
        <v>0</v>
      </c>
      <c r="I62" s="392">
        <f>IF(H62,Wh_hp,'2025'!Maxi_hp)</f>
        <v>33.211013673025583</v>
      </c>
      <c r="J62" s="85">
        <f>IF(H62,An,'2025'!An_max)</f>
        <v>2019</v>
      </c>
      <c r="K62" s="199">
        <f t="shared" si="3"/>
        <v>46070</v>
      </c>
      <c r="L62" s="147">
        <f>IF(t&lt;Tvie,1-EXP((T0-t)*PertePVj)+'2025'!Pspv,1-EXP((T0-t)*PertePVj)+Pspv)</f>
        <v>6.2145223325770771E-2</v>
      </c>
      <c r="M62" s="870"/>
      <c r="N62" s="870"/>
      <c r="O62" s="48">
        <f>IF(t&lt;Tnet,'2025'!Resal+('2025'!Salim-'2025'!Resal)*(1-EXP(('2025'!Tnet-t)/('2025'!Tau_j))),Resal+(Salim-Resal)*(1-EXP((Tnet-t)/(Tau_j))))*Salcycl</f>
        <v>8.8643081096157539E-2</v>
      </c>
      <c r="P62" s="171">
        <f>(INDEX(Models!$BJ62:$BT62,,T62)*(1-R62)+INDEX(Models!$BJ62:$BT62,,T62+1)*R62-ERP_i)*Q62*Ramure*Pc/MaxiM</f>
        <v>1.6777742866673699E-3</v>
      </c>
      <c r="Q62" s="307">
        <f t="shared" si="4"/>
        <v>1</v>
      </c>
      <c r="R62" s="179">
        <f t="shared" si="5"/>
        <v>0.87049968087532692</v>
      </c>
      <c r="S62" s="837">
        <f t="shared" si="6"/>
        <v>-3</v>
      </c>
      <c r="T62" s="178">
        <f t="shared" si="7"/>
        <v>3</v>
      </c>
      <c r="U62" s="253">
        <f t="shared" si="8"/>
        <v>-2.1295003191246731</v>
      </c>
      <c r="V62" s="385">
        <f t="shared" si="9"/>
        <v>27.901199911765026</v>
      </c>
      <c r="W62" s="404">
        <f t="shared" si="10"/>
        <v>10.863523720638714</v>
      </c>
      <c r="X62" s="157">
        <f t="shared" si="11"/>
        <v>46070</v>
      </c>
      <c r="Y62" s="387">
        <f t="shared" si="12"/>
        <v>10.225245523228859</v>
      </c>
      <c r="Z62" s="387">
        <f t="shared" si="22"/>
        <v>10.902802627384467</v>
      </c>
      <c r="AA62" s="388">
        <f t="shared" si="13"/>
        <v>12.549463480835618</v>
      </c>
      <c r="AB62" s="199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0.13121364558459234</v>
      </c>
      <c r="AD62" s="233">
        <f>(INDEX(Models!$BJ62:$BT62,,AH62)*(1-AF62)+INDEX(Models!$BJ62:$BT62,,AH62+1)*AF62-ERP_i)*AE62*Ramure*Pc/MaxiM</f>
        <v>0.10062179279210136</v>
      </c>
      <c r="AE62" s="307">
        <f t="shared" si="15"/>
        <v>1</v>
      </c>
      <c r="AF62" s="179">
        <f t="shared" si="23"/>
        <v>0.80548227379889736</v>
      </c>
      <c r="AG62" s="837">
        <f t="shared" si="24"/>
        <v>2</v>
      </c>
      <c r="AH62" s="178">
        <f t="shared" si="16"/>
        <v>8</v>
      </c>
      <c r="AI62" s="227">
        <f t="shared" si="17"/>
        <v>2.8054822737988974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46071</v>
      </c>
      <c r="B63" s="1139">
        <f>IF(t&gt;Tmaj,'2025'!Wh/'2025'!Env_an*'2026'!Env_an,0.001*'[4]mon-tableau'!$B$207)</f>
        <v>25.610444722475489</v>
      </c>
      <c r="C63" s="866"/>
      <c r="D63" s="395">
        <f t="shared" si="0"/>
        <v>27.308109278527194</v>
      </c>
      <c r="E63" s="387">
        <f t="shared" si="1"/>
        <v>29.969645623781521</v>
      </c>
      <c r="F63" s="387">
        <f t="shared" si="2"/>
        <v>30.011638979048428</v>
      </c>
      <c r="G63" s="110">
        <f t="shared" si="21"/>
        <v>0.90675792988045634</v>
      </c>
      <c r="H63" s="414" t="b">
        <f>Wh_hp&gt;='2025'!Maxi_hp</f>
        <v>0</v>
      </c>
      <c r="I63" s="392">
        <f>IF(H63,Wh_hp,'2025'!Maxi_hp)</f>
        <v>33.126742104724151</v>
      </c>
      <c r="J63" s="85">
        <f>IF(H63,An,'2025'!An_max)</f>
        <v>2019</v>
      </c>
      <c r="K63" s="199">
        <f t="shared" si="3"/>
        <v>46071</v>
      </c>
      <c r="L63" s="147">
        <f>IF(t&lt;Tvie,1-EXP((T0-t)*PertePVj)+'2025'!Pspv,1-EXP((T0-t)*PertePVj)+Pspv)</f>
        <v>6.2167048576541539E-2</v>
      </c>
      <c r="M63" s="870"/>
      <c r="N63" s="870"/>
      <c r="O63" s="48">
        <f>IF(t&lt;Tnet,'2025'!Resal+('2025'!Salim-'2025'!Resal)*(1-EXP(('2025'!Tnet-t)/('2025'!Tau_j))),Resal+(Salim-Resal)*(1-EXP((Tnet-t)/(Tau_j))))*Salcycl</f>
        <v>8.8807734955075407E-2</v>
      </c>
      <c r="P63" s="171">
        <f>(INDEX(Models!$BJ63:$BT63,,T63)*(1-R63)+INDEX(Models!$BJ63:$BT63,,T63+1)*R63-ERP_i)*Q63*Ramure*Pc/MaxiM</f>
        <v>1.6137416928296844E-3</v>
      </c>
      <c r="Q63" s="307">
        <f t="shared" si="4"/>
        <v>1</v>
      </c>
      <c r="R63" s="179">
        <f t="shared" si="5"/>
        <v>0.87077721505917483</v>
      </c>
      <c r="S63" s="837">
        <f t="shared" si="6"/>
        <v>-3</v>
      </c>
      <c r="T63" s="178">
        <f t="shared" si="7"/>
        <v>3</v>
      </c>
      <c r="U63" s="253">
        <f t="shared" si="8"/>
        <v>-2.1292227849408252</v>
      </c>
      <c r="V63" s="385">
        <f t="shared" si="9"/>
        <v>28.237904060207889</v>
      </c>
      <c r="W63" s="404">
        <f t="shared" si="10"/>
        <v>25.610444722475489</v>
      </c>
      <c r="X63" s="157">
        <f t="shared" si="11"/>
        <v>46071</v>
      </c>
      <c r="Y63" s="387">
        <f t="shared" si="12"/>
        <v>22.377621696019101</v>
      </c>
      <c r="Z63" s="387">
        <f t="shared" si="22"/>
        <v>23.860988955499991</v>
      </c>
      <c r="AA63" s="388">
        <f t="shared" si="13"/>
        <v>27.467415105354753</v>
      </c>
      <c r="AB63" s="199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0.13129834518544456</v>
      </c>
      <c r="AD63" s="233">
        <f>(INDEX(Models!$BJ63:$BT63,,AH63)*(1-AF63)+INDEX(Models!$BJ63:$BT63,,AH63+1)*AF63-ERP_i)*AE63*Ramure*Pc/MaxiM</f>
        <v>9.7770709550986934E-2</v>
      </c>
      <c r="AE63" s="307">
        <f t="shared" si="15"/>
        <v>1</v>
      </c>
      <c r="AF63" s="179">
        <f t="shared" si="23"/>
        <v>0.80575980798274527</v>
      </c>
      <c r="AG63" s="837">
        <f t="shared" si="24"/>
        <v>2</v>
      </c>
      <c r="AH63" s="178">
        <f t="shared" si="16"/>
        <v>8</v>
      </c>
      <c r="AI63" s="227">
        <f t="shared" si="17"/>
        <v>2.8057598079827453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46072</v>
      </c>
      <c r="B64" s="1139">
        <f>IF(t&gt;Tmaj,'2025'!Wh/'2025'!Env_an*'2026'!Env_an,0.001*'[4]mon-tableau'!$B$208)</f>
        <v>15.437446691107253</v>
      </c>
      <c r="C64" s="866"/>
      <c r="D64" s="395">
        <f t="shared" si="0"/>
        <v>16.46114686839822</v>
      </c>
      <c r="E64" s="387">
        <f t="shared" si="1"/>
        <v>18.068761928239741</v>
      </c>
      <c r="F64" s="387">
        <f t="shared" si="2"/>
        <v>18.078484940571531</v>
      </c>
      <c r="G64" s="110">
        <f t="shared" si="21"/>
        <v>0.53963049348180414</v>
      </c>
      <c r="H64" s="414" t="b">
        <f>Wh_hp&gt;='2025'!Maxi_hp</f>
        <v>0</v>
      </c>
      <c r="I64" s="392">
        <f>IF(H64,Wh_hp,'2025'!Maxi_hp)</f>
        <v>32.228087820026474</v>
      </c>
      <c r="J64" s="85">
        <f>IF(H64,An,'2025'!An_max)</f>
        <v>2021</v>
      </c>
      <c r="K64" s="199">
        <f t="shared" si="3"/>
        <v>46072</v>
      </c>
      <c r="L64" s="147">
        <f>IF(t&lt;Tvie,1-EXP((T0-t)*PertePVj)+'2025'!Pspv,1-EXP((T0-t)*PertePVj)+Pspv)</f>
        <v>6.2188873319406923E-2</v>
      </c>
      <c r="M64" s="870"/>
      <c r="N64" s="870"/>
      <c r="O64" s="48">
        <f>IF(t&lt;Tnet,'2025'!Resal+('2025'!Salim-'2025'!Resal)*(1-EXP(('2025'!Tnet-t)/('2025'!Tau_j))),Resal+(Salim-Resal)*(1-EXP((Tnet-t)/(Tau_j))))*Salcycl</f>
        <v>8.8972064949783519E-2</v>
      </c>
      <c r="P64" s="171">
        <f>(INDEX(Models!$BJ64:$BT64,,T64)*(1-R64)+INDEX(Models!$BJ64:$BT64,,T64+1)*R64-ERP_i)*Q64*Ramure*Pc/MaxiM</f>
        <v>1.5674272679155512E-3</v>
      </c>
      <c r="Q64" s="307">
        <f t="shared" si="4"/>
        <v>1</v>
      </c>
      <c r="R64" s="179">
        <f t="shared" si="5"/>
        <v>0.87106615649910735</v>
      </c>
      <c r="S64" s="837">
        <f t="shared" si="6"/>
        <v>-3</v>
      </c>
      <c r="T64" s="178">
        <f t="shared" si="7"/>
        <v>3</v>
      </c>
      <c r="U64" s="253">
        <f t="shared" si="8"/>
        <v>-2.1289338435008927</v>
      </c>
      <c r="V64" s="385">
        <f t="shared" si="9"/>
        <v>28.577969281871514</v>
      </c>
      <c r="W64" s="404">
        <f t="shared" si="10"/>
        <v>15.437446691107253</v>
      </c>
      <c r="X64" s="157">
        <f t="shared" si="11"/>
        <v>46072</v>
      </c>
      <c r="Y64" s="387">
        <f t="shared" si="12"/>
        <v>14.246653510606313</v>
      </c>
      <c r="Z64" s="387">
        <f t="shared" si="22"/>
        <v>15.191388868494997</v>
      </c>
      <c r="AA64" s="388">
        <f t="shared" si="13"/>
        <v>17.489165426286501</v>
      </c>
      <c r="AB64" s="199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0.13138285914649242</v>
      </c>
      <c r="AD64" s="233">
        <f>(INDEX(Models!$BJ64:$BT64,,AH64)*(1-AF64)+INDEX(Models!$BJ64:$BT64,,AH64+1)*AF64-ERP_i)*AE64*Ramure*Pc/MaxiM</f>
        <v>9.5003013951237447E-2</v>
      </c>
      <c r="AE64" s="307">
        <f t="shared" si="15"/>
        <v>1</v>
      </c>
      <c r="AF64" s="179">
        <f t="shared" si="23"/>
        <v>0.80604874942267779</v>
      </c>
      <c r="AG64" s="837">
        <f t="shared" si="24"/>
        <v>2</v>
      </c>
      <c r="AH64" s="178">
        <f t="shared" si="16"/>
        <v>8</v>
      </c>
      <c r="AI64" s="227">
        <f t="shared" si="17"/>
        <v>2.8060487494226778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46073</v>
      </c>
      <c r="B65" s="1139">
        <f>IF(t&gt;Tmaj,'2025'!Wh/'2025'!Env_an*'2026'!Env_an,0.001*'[4]mon-tableau'!$B$209)</f>
        <v>18.448110228552796</v>
      </c>
      <c r="C65" s="866"/>
      <c r="D65" s="395">
        <f t="shared" si="0"/>
        <v>19.671913702195948</v>
      </c>
      <c r="E65" s="387">
        <f t="shared" si="1"/>
        <v>21.596983722679429</v>
      </c>
      <c r="F65" s="387">
        <f t="shared" si="2"/>
        <v>21.613029520565959</v>
      </c>
      <c r="G65" s="110">
        <f t="shared" si="21"/>
        <v>0.63734748492496707</v>
      </c>
      <c r="H65" s="414" t="b">
        <f>Wh_hp&gt;='2025'!Maxi_hp</f>
        <v>0</v>
      </c>
      <c r="I65" s="392">
        <f>IF(H65,Wh_hp,'2025'!Maxi_hp)</f>
        <v>33.595449120875671</v>
      </c>
      <c r="J65" s="85">
        <f>IF(H65,An,'2025'!An_max)</f>
        <v>2020</v>
      </c>
      <c r="K65" s="199">
        <f t="shared" si="3"/>
        <v>46073</v>
      </c>
      <c r="L65" s="147">
        <f>IF(t&lt;Tvie,1-EXP((T0-t)*PertePVj)+'2025'!Pspv,1-EXP((T0-t)*PertePVj)+Pspv)</f>
        <v>6.2210697554378691E-2</v>
      </c>
      <c r="M65" s="870"/>
      <c r="N65" s="870"/>
      <c r="O65" s="48">
        <f>IF(t&lt;Tnet,'2025'!Resal+('2025'!Salim-'2025'!Resal)*(1-EXP(('2025'!Tnet-t)/('2025'!Tau_j))),Resal+(Salim-Resal)*(1-EXP((Tnet-t)/(Tau_j))))*Salcycl</f>
        <v>8.9136059238768911E-2</v>
      </c>
      <c r="P65" s="171">
        <f>(INDEX(Models!$BJ65:$BT65,,T65)*(1-R65)+INDEX(Models!$BJ65:$BT65,,T65+1)*R65-ERP_i)*Q65*Ramure*Pc/MaxiM</f>
        <v>1.5381998702678563E-3</v>
      </c>
      <c r="Q65" s="307">
        <f t="shared" si="4"/>
        <v>1</v>
      </c>
      <c r="R65" s="179">
        <f t="shared" si="5"/>
        <v>0.87136696386738155</v>
      </c>
      <c r="S65" s="837">
        <f t="shared" si="6"/>
        <v>-3</v>
      </c>
      <c r="T65" s="178">
        <f t="shared" si="7"/>
        <v>3</v>
      </c>
      <c r="U65" s="253">
        <f t="shared" si="8"/>
        <v>-2.1286330361326185</v>
      </c>
      <c r="V65" s="385">
        <f t="shared" si="9"/>
        <v>28.922085670077411</v>
      </c>
      <c r="W65" s="404">
        <f t="shared" si="10"/>
        <v>18.448110228552796</v>
      </c>
      <c r="X65" s="157">
        <f t="shared" si="11"/>
        <v>46073</v>
      </c>
      <c r="Y65" s="387">
        <f t="shared" si="12"/>
        <v>16.819477425600759</v>
      </c>
      <c r="Z65" s="387">
        <f t="shared" si="22"/>
        <v>17.935241297525948</v>
      </c>
      <c r="AA65" s="388">
        <f t="shared" si="13"/>
        <v>20.650044154344748</v>
      </c>
      <c r="AB65" s="199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0.13146716958702517</v>
      </c>
      <c r="AD65" s="233">
        <f>(INDEX(Models!$BJ65:$BT65,,AH65)*(1-AF65)+INDEX(Models!$BJ65:$BT65,,AH65+1)*AF65-ERP_i)*AE65*Ramure*Pc/MaxiM</f>
        <v>9.2314759033247831E-2</v>
      </c>
      <c r="AE65" s="307">
        <f t="shared" si="15"/>
        <v>1</v>
      </c>
      <c r="AF65" s="179">
        <f t="shared" si="23"/>
        <v>0.80634955679095199</v>
      </c>
      <c r="AG65" s="837">
        <f t="shared" si="24"/>
        <v>2</v>
      </c>
      <c r="AH65" s="178">
        <f t="shared" si="16"/>
        <v>8</v>
      </c>
      <c r="AI65" s="227">
        <f t="shared" si="17"/>
        <v>2.806349556790952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46074</v>
      </c>
      <c r="B66" s="1139">
        <f>IF(t&gt;Tmaj,'2025'!Wh/'2025'!Env_an*'2026'!Env_an,0.001*'[4]mon-tableau'!$B$210)</f>
        <v>18.914191049724959</v>
      </c>
      <c r="C66" s="866"/>
      <c r="D66" s="395">
        <f t="shared" si="0"/>
        <v>20.169382580393371</v>
      </c>
      <c r="E66" s="387">
        <f t="shared" si="1"/>
        <v>22.147113335433641</v>
      </c>
      <c r="F66" s="387">
        <f t="shared" si="2"/>
        <v>22.163836388966537</v>
      </c>
      <c r="G66" s="110">
        <f t="shared" si="21"/>
        <v>0.64568491206124501</v>
      </c>
      <c r="H66" s="414" t="b">
        <f>Wh_hp&gt;='2025'!Maxi_hp</f>
        <v>0</v>
      </c>
      <c r="I66" s="392">
        <f>IF(H66,Wh_hp,'2025'!Maxi_hp)</f>
        <v>33.354248852750764</v>
      </c>
      <c r="J66" s="85">
        <f>IF(H66,An,'2025'!An_max)</f>
        <v>2019</v>
      </c>
      <c r="K66" s="199">
        <f t="shared" si="3"/>
        <v>46074</v>
      </c>
      <c r="L66" s="147">
        <f>IF(t&lt;Tvie,1-EXP((T0-t)*PertePVj)+'2025'!Pspv,1-EXP((T0-t)*PertePVj)+Pspv)</f>
        <v>6.2232521281468611E-2</v>
      </c>
      <c r="M66" s="870"/>
      <c r="N66" s="870"/>
      <c r="O66" s="48">
        <f>IF(t&lt;Tnet,'2025'!Resal+('2025'!Salim-'2025'!Resal)*(1-EXP(('2025'!Tnet-t)/('2025'!Tau_j))),Resal+(Salim-Resal)*(1-EXP((Tnet-t)/(Tau_j))))*Salcycl</f>
        <v>8.9299708051615703E-2</v>
      </c>
      <c r="P66" s="171">
        <f>(INDEX(Models!$BJ66:$BT66,,T66)*(1-R66)+INDEX(Models!$BJ66:$BT66,,T66+1)*R66-ERP_i)*Q66*Ramure*Pc/MaxiM</f>
        <v>1.5256755937607502E-3</v>
      </c>
      <c r="Q66" s="307">
        <f t="shared" si="4"/>
        <v>1</v>
      </c>
      <c r="R66" s="179">
        <f t="shared" si="5"/>
        <v>0.87168011341638296</v>
      </c>
      <c r="S66" s="837">
        <f t="shared" si="6"/>
        <v>-3</v>
      </c>
      <c r="T66" s="178">
        <f t="shared" si="7"/>
        <v>3</v>
      </c>
      <c r="U66" s="253">
        <f t="shared" si="8"/>
        <v>-2.128319886583617</v>
      </c>
      <c r="V66" s="385">
        <f t="shared" si="9"/>
        <v>29.270614653077203</v>
      </c>
      <c r="W66" s="404">
        <f t="shared" si="10"/>
        <v>18.914191049724959</v>
      </c>
      <c r="X66" s="157">
        <f t="shared" si="11"/>
        <v>46074</v>
      </c>
      <c r="Y66" s="387">
        <f t="shared" si="12"/>
        <v>17.249544500477793</v>
      </c>
      <c r="Z66" s="387">
        <f t="shared" si="22"/>
        <v>18.394266054149657</v>
      </c>
      <c r="AA66" s="388">
        <f t="shared" si="13"/>
        <v>21.180600816483938</v>
      </c>
      <c r="AB66" s="199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0.13155126176429319</v>
      </c>
      <c r="AD66" s="233">
        <f>(INDEX(Models!$BJ66:$BT66,,AH66)*(1-AF66)+INDEX(Models!$BJ66:$BT66,,AH66+1)*AF66-ERP_i)*AE66*Ramure*Pc/MaxiM</f>
        <v>8.9702428620653349E-2</v>
      </c>
      <c r="AE66" s="307">
        <f t="shared" si="15"/>
        <v>1</v>
      </c>
      <c r="AF66" s="179">
        <f t="shared" si="23"/>
        <v>0.80666270633995341</v>
      </c>
      <c r="AG66" s="837">
        <f t="shared" si="24"/>
        <v>2</v>
      </c>
      <c r="AH66" s="178">
        <f t="shared" si="16"/>
        <v>8</v>
      </c>
      <c r="AI66" s="227">
        <f t="shared" si="17"/>
        <v>2.8066627063399534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46075</v>
      </c>
      <c r="B67" s="1139">
        <f>IF(t&gt;Tmaj,'2025'!Wh/'2025'!Env_an*'2026'!Env_an,0.001*'[4]mon-tableau'!$B$211)</f>
        <v>27.922929814198184</v>
      </c>
      <c r="C67" s="866"/>
      <c r="D67" s="395">
        <f t="shared" si="0"/>
        <v>29.776656015889895</v>
      </c>
      <c r="E67" s="387">
        <f t="shared" si="1"/>
        <v>32.702302207052135</v>
      </c>
      <c r="F67" s="387">
        <f t="shared" si="2"/>
        <v>32.747925279986489</v>
      </c>
      <c r="G67" s="110">
        <f t="shared" si="21"/>
        <v>0.94247595497053016</v>
      </c>
      <c r="H67" s="414" t="b">
        <f>Wh_hp&gt;='2025'!Maxi_hp</f>
        <v>0</v>
      </c>
      <c r="I67" s="392">
        <f>IF(H67,Wh_hp,'2025'!Maxi_hp)</f>
        <v>33.45014285747294</v>
      </c>
      <c r="J67" s="85">
        <f>IF(H67,An,'2025'!An_max)</f>
        <v>2020</v>
      </c>
      <c r="K67" s="199">
        <f t="shared" si="3"/>
        <v>46075</v>
      </c>
      <c r="L67" s="147">
        <f>IF(t&lt;Tvie,1-EXP((T0-t)*PertePVj)+'2025'!Pspv,1-EXP((T0-t)*PertePVj)+Pspv)</f>
        <v>6.2254344500688563E-2</v>
      </c>
      <c r="M67" s="870"/>
      <c r="N67" s="870"/>
      <c r="O67" s="48">
        <f>IF(t&lt;Tnet,'2025'!Resal+('2025'!Salim-'2025'!Resal)*(1-EXP(('2025'!Tnet-t)/('2025'!Tau_j))),Resal+(Salim-Resal)*(1-EXP((Tnet-t)/(Tau_j))))*Salcycl</f>
        <v>8.946300393895007E-2</v>
      </c>
      <c r="P67" s="171">
        <f>(INDEX(Models!$BJ67:$BT67,,T67)*(1-R67)+INDEX(Models!$BJ67:$BT67,,T67+1)*R67-ERP_i)*Q67*Ramure*Pc/MaxiM</f>
        <v>1.517618109050989E-3</v>
      </c>
      <c r="Q67" s="307">
        <f t="shared" si="4"/>
        <v>1</v>
      </c>
      <c r="R67" s="179">
        <f t="shared" si="5"/>
        <v>0.87200609957907993</v>
      </c>
      <c r="S67" s="837">
        <f t="shared" si="6"/>
        <v>-3</v>
      </c>
      <c r="T67" s="178">
        <f t="shared" si="7"/>
        <v>3</v>
      </c>
      <c r="U67" s="253">
        <f t="shared" si="8"/>
        <v>-2.1279939004209201</v>
      </c>
      <c r="V67" s="385">
        <f t="shared" si="9"/>
        <v>29.623514065102263</v>
      </c>
      <c r="W67" s="404">
        <f t="shared" si="10"/>
        <v>27.922929814198184</v>
      </c>
      <c r="X67" s="157">
        <f t="shared" si="11"/>
        <v>46075</v>
      </c>
      <c r="Y67" s="387">
        <f t="shared" si="12"/>
        <v>24.532897402763329</v>
      </c>
      <c r="Z67" s="387">
        <f t="shared" si="22"/>
        <v>26.161568714173949</v>
      </c>
      <c r="AA67" s="388">
        <f t="shared" si="13"/>
        <v>30.127391664429812</v>
      </c>
      <c r="AB67" s="199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0.13163512442194431</v>
      </c>
      <c r="AD67" s="233">
        <f>(INDEX(Models!$BJ67:$BT67,,AH67)*(1-AF67)+INDEX(Models!$BJ67:$BT67,,AH67+1)*AF67-ERP_i)*AE67*Ramure*Pc/MaxiM</f>
        <v>8.7170131570657408E-2</v>
      </c>
      <c r="AE67" s="307">
        <f t="shared" si="15"/>
        <v>1</v>
      </c>
      <c r="AF67" s="179">
        <f t="shared" si="23"/>
        <v>0.80698869250265037</v>
      </c>
      <c r="AG67" s="837">
        <f t="shared" si="24"/>
        <v>2</v>
      </c>
      <c r="AH67" s="178">
        <f t="shared" si="16"/>
        <v>8</v>
      </c>
      <c r="AI67" s="227">
        <f t="shared" si="17"/>
        <v>2.8069886925026504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46076</v>
      </c>
      <c r="B68" s="1139">
        <f>IF(t&gt;Tmaj,'2025'!Wh/'2025'!Env_an*'2026'!Env_an,0.001*'[4]mon-tableau'!$B$212)</f>
        <v>29.527949439572069</v>
      </c>
      <c r="C68" s="866"/>
      <c r="D68" s="395">
        <f t="shared" si="0"/>
        <v>31.488961256090107</v>
      </c>
      <c r="E68" s="387">
        <f t="shared" si="1"/>
        <v>34.58903620951434</v>
      </c>
      <c r="F68" s="387">
        <f t="shared" si="2"/>
        <v>34.640347301047598</v>
      </c>
      <c r="G68" s="110">
        <f t="shared" si="21"/>
        <v>0.98487640164844981</v>
      </c>
      <c r="H68" s="414" t="b">
        <f>Wh_hp&gt;='2025'!Maxi_hp</f>
        <v>1</v>
      </c>
      <c r="I68" s="392">
        <f>IF(H68,Wh_hp,'2025'!Maxi_hp)</f>
        <v>34.640347301047598</v>
      </c>
      <c r="J68" s="85">
        <f>IF(H68,An,'2025'!An_max)</f>
        <v>2026</v>
      </c>
      <c r="K68" s="199">
        <f t="shared" si="3"/>
        <v>46076</v>
      </c>
      <c r="L68" s="147">
        <f>IF(t&lt;Tvie,1-EXP((T0-t)*PertePVj)+'2025'!Pspv,1-EXP((T0-t)*PertePVj)+Pspv)</f>
        <v>6.2276167212050204E-2</v>
      </c>
      <c r="M68" s="870"/>
      <c r="N68" s="870"/>
      <c r="O68" s="48">
        <f>IF(t&lt;Tnet,'2025'!Resal+('2025'!Salim-'2025'!Resal)*(1-EXP(('2025'!Tnet-t)/('2025'!Tau_j))),Resal+(Salim-Resal)*(1-EXP((Tnet-t)/(Tau_j))))*Salcycl</f>
        <v>8.962594200793321E-2</v>
      </c>
      <c r="P68" s="171">
        <f>(INDEX(Models!$BJ68:$BT68,,T68)*(1-R68)+INDEX(Models!$BJ68:$BT68,,T68+1)*R68-ERP_i)*Q68*Ramure*Pc/MaxiM</f>
        <v>1.5138904161751227E-3</v>
      </c>
      <c r="Q68" s="307">
        <f t="shared" si="4"/>
        <v>1</v>
      </c>
      <c r="R68" s="179">
        <f t="shared" si="5"/>
        <v>0.87234543558360889</v>
      </c>
      <c r="S68" s="837">
        <f t="shared" si="6"/>
        <v>-3</v>
      </c>
      <c r="T68" s="178">
        <f t="shared" si="7"/>
        <v>3</v>
      </c>
      <c r="U68" s="253">
        <f t="shared" si="8"/>
        <v>-2.1276545644163911</v>
      </c>
      <c r="V68" s="385">
        <f t="shared" si="9"/>
        <v>29.980395734581634</v>
      </c>
      <c r="W68" s="404">
        <f t="shared" si="10"/>
        <v>29.527949439572069</v>
      </c>
      <c r="X68" s="157">
        <f t="shared" si="11"/>
        <v>46076</v>
      </c>
      <c r="Y68" s="387">
        <f t="shared" si="12"/>
        <v>25.866570745802463</v>
      </c>
      <c r="Z68" s="387">
        <f t="shared" si="22"/>
        <v>27.584422877360893</v>
      </c>
      <c r="AA68" s="388">
        <f t="shared" si="13"/>
        <v>31.768995220168563</v>
      </c>
      <c r="AB68" s="199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0.13171875011492629</v>
      </c>
      <c r="AD68" s="233">
        <f>(INDEX(Models!$BJ68:$BT68,,AH68)*(1-AF68)+INDEX(Models!$BJ68:$BT68,,AH68+1)*AF68-ERP_i)*AE68*Ramure*Pc/MaxiM</f>
        <v>8.4716817881173842E-2</v>
      </c>
      <c r="AE68" s="307">
        <f t="shared" si="15"/>
        <v>1</v>
      </c>
      <c r="AF68" s="179">
        <f t="shared" si="23"/>
        <v>0.80732802850717933</v>
      </c>
      <c r="AG68" s="837">
        <f t="shared" si="24"/>
        <v>2</v>
      </c>
      <c r="AH68" s="178">
        <f t="shared" si="16"/>
        <v>8</v>
      </c>
      <c r="AI68" s="227">
        <f t="shared" si="17"/>
        <v>2.8073280285071793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46077</v>
      </c>
      <c r="B69" s="1139">
        <f>IF(t&gt;Tmaj,'2025'!Wh/'2025'!Env_an*'2026'!Env_an,0.001*'[4]mon-tableau'!$B$213)</f>
        <v>17.752626387986716</v>
      </c>
      <c r="C69" s="866"/>
      <c r="D69" s="395">
        <f t="shared" si="0"/>
        <v>18.932055373243969</v>
      </c>
      <c r="E69" s="387">
        <f t="shared" si="1"/>
        <v>20.799622716449544</v>
      </c>
      <c r="F69" s="387">
        <f t="shared" si="2"/>
        <v>20.812459688671129</v>
      </c>
      <c r="G69" s="110">
        <f t="shared" si="21"/>
        <v>0.58458051475148176</v>
      </c>
      <c r="H69" s="414" t="b">
        <f>Wh_hp&gt;='2025'!Maxi_hp</f>
        <v>0</v>
      </c>
      <c r="I69" s="392">
        <f>IF(H69,Wh_hp,'2025'!Maxi_hp)</f>
        <v>35.350844224345899</v>
      </c>
      <c r="J69" s="85">
        <f>IF(H69,An,'2025'!An_max)</f>
        <v>2020</v>
      </c>
      <c r="K69" s="199">
        <f t="shared" si="3"/>
        <v>46077</v>
      </c>
      <c r="L69" s="147">
        <f>IF(t&lt;Tvie,1-EXP((T0-t)*PertePVj)+'2025'!Pspv,1-EXP((T0-t)*PertePVj)+Pspv)</f>
        <v>6.2297989415565524E-2</v>
      </c>
      <c r="M69" s="870"/>
      <c r="N69" s="870"/>
      <c r="O69" s="48">
        <f>IF(t&lt;Tnet,'2025'!Resal+('2025'!Salim-'2025'!Resal)*(1-EXP(('2025'!Tnet-t)/('2025'!Tau_j))),Resal+(Salim-Resal)*(1-EXP((Tnet-t)/(Tau_j))))*Salcycl</f>
        <v>8.9788520141213649E-2</v>
      </c>
      <c r="P69" s="171">
        <f>(INDEX(Models!$BJ69:$BT69,,T69)*(1-R69)+INDEX(Models!$BJ69:$BT69,,T69+1)*R69-ERP_i)*Q69*Ramure*Pc/MaxiM</f>
        <v>1.5143660079041227E-3</v>
      </c>
      <c r="Q69" s="307">
        <f t="shared" si="4"/>
        <v>1</v>
      </c>
      <c r="R69" s="179">
        <f t="shared" si="5"/>
        <v>0.87269865408171432</v>
      </c>
      <c r="S69" s="837">
        <f t="shared" si="6"/>
        <v>-3</v>
      </c>
      <c r="T69" s="178">
        <f t="shared" si="7"/>
        <v>3</v>
      </c>
      <c r="U69" s="253">
        <f t="shared" si="8"/>
        <v>-2.1273013459182857</v>
      </c>
      <c r="V69" s="385">
        <f t="shared" si="9"/>
        <v>30.340871482659395</v>
      </c>
      <c r="W69" s="404">
        <f t="shared" si="10"/>
        <v>17.752626387986716</v>
      </c>
      <c r="X69" s="157">
        <f t="shared" si="11"/>
        <v>46077</v>
      </c>
      <c r="Y69" s="387">
        <f t="shared" si="12"/>
        <v>16.375405318417556</v>
      </c>
      <c r="Z69" s="387">
        <f t="shared" si="22"/>
        <v>17.463336042343965</v>
      </c>
      <c r="AA69" s="388">
        <f t="shared" si="13"/>
        <v>20.114465557413308</v>
      </c>
      <c r="AB69" s="199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0.13180213550800765</v>
      </c>
      <c r="AD69" s="233">
        <f>(INDEX(Models!$BJ69:$BT69,,AH69)*(1-AF69)+INDEX(Models!$BJ69:$BT69,,AH69+1)*AF69-ERP_i)*AE69*Ramure*Pc/MaxiM</f>
        <v>8.2341736653144468E-2</v>
      </c>
      <c r="AE69" s="307">
        <f t="shared" si="15"/>
        <v>1</v>
      </c>
      <c r="AF69" s="179">
        <f t="shared" si="23"/>
        <v>0.80768124700528476</v>
      </c>
      <c r="AG69" s="837">
        <f t="shared" si="24"/>
        <v>2</v>
      </c>
      <c r="AH69" s="178">
        <f t="shared" si="16"/>
        <v>8</v>
      </c>
      <c r="AI69" s="227">
        <f t="shared" si="17"/>
        <v>2.8076812470052848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46078</v>
      </c>
      <c r="B70" s="1139">
        <f>IF(t&gt;Tmaj,'2025'!Wh/'2025'!Env_an*'2026'!Env_an,0.001*'[4]mon-tableau'!$B$214)</f>
        <v>26.245102427831483</v>
      </c>
      <c r="C70" s="866"/>
      <c r="D70" s="395">
        <f t="shared" si="0"/>
        <v>27.989396319585889</v>
      </c>
      <c r="E70" s="387">
        <f t="shared" si="1"/>
        <v>30.755913470995051</v>
      </c>
      <c r="F70" s="387">
        <f t="shared" si="2"/>
        <v>30.792981223194133</v>
      </c>
      <c r="G70" s="110">
        <f t="shared" si="21"/>
        <v>0.85449285162805599</v>
      </c>
      <c r="H70" s="414" t="b">
        <f>Wh_hp&gt;='2025'!Maxi_hp</f>
        <v>0</v>
      </c>
      <c r="I70" s="392">
        <f>IF(H70,Wh_hp,'2025'!Maxi_hp)</f>
        <v>35.147494250668068</v>
      </c>
      <c r="J70" s="85">
        <f>IF(H70,An,'2025'!An_max)</f>
        <v>2019</v>
      </c>
      <c r="K70" s="199">
        <f t="shared" si="3"/>
        <v>46078</v>
      </c>
      <c r="L70" s="147">
        <f>IF(t&lt;Tvie,1-EXP((T0-t)*PertePVj)+'2025'!Pspv,1-EXP((T0-t)*PertePVj)+Pspv)</f>
        <v>6.2319811111246293E-2</v>
      </c>
      <c r="M70" s="870"/>
      <c r="N70" s="870"/>
      <c r="O70" s="48">
        <f>IF(t&lt;Tnet,'2025'!Resal+('2025'!Salim-'2025'!Resal)*(1-EXP(('2025'!Tnet-t)/('2025'!Tau_j))),Resal+(Salim-Resal)*(1-EXP((Tnet-t)/(Tau_j))))*Salcycl</f>
        <v>8.9950739197461244E-2</v>
      </c>
      <c r="P70" s="171">
        <f>(INDEX(Models!$BJ70:$BT70,,T70)*(1-R70)+INDEX(Models!$BJ70:$BT70,,T70+1)*R70-ERP_i)*Q70*Ramure*Pc/MaxiM</f>
        <v>1.518921799479427E-3</v>
      </c>
      <c r="Q70" s="307">
        <f t="shared" si="4"/>
        <v>1</v>
      </c>
      <c r="R70" s="179">
        <f t="shared" si="5"/>
        <v>0.87306630779070504</v>
      </c>
      <c r="S70" s="837">
        <f t="shared" si="6"/>
        <v>-3</v>
      </c>
      <c r="T70" s="178">
        <f t="shared" si="7"/>
        <v>3</v>
      </c>
      <c r="U70" s="253">
        <f t="shared" si="8"/>
        <v>-2.126933692209295</v>
      </c>
      <c r="V70" s="385">
        <f t="shared" si="9"/>
        <v>30.704553339033446</v>
      </c>
      <c r="W70" s="404">
        <f t="shared" si="10"/>
        <v>26.245102427831483</v>
      </c>
      <c r="X70" s="157">
        <f t="shared" si="11"/>
        <v>46078</v>
      </c>
      <c r="Y70" s="387">
        <f t="shared" si="12"/>
        <v>23.475827843422454</v>
      </c>
      <c r="Z70" s="387">
        <f t="shared" si="22"/>
        <v>25.036071063038769</v>
      </c>
      <c r="AA70" s="388">
        <f t="shared" si="13"/>
        <v>28.839588286778003</v>
      </c>
      <c r="AB70" s="199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0.13188528164540481</v>
      </c>
      <c r="AD70" s="233">
        <f>(INDEX(Models!$BJ70:$BT70,,AH70)*(1-AF70)+INDEX(Models!$BJ70:$BT70,,AH70+1)*AF70-ERP_i)*AE70*Ramure*Pc/MaxiM</f>
        <v>8.0043998841270142E-2</v>
      </c>
      <c r="AE70" s="307">
        <f t="shared" si="15"/>
        <v>1</v>
      </c>
      <c r="AF70" s="179">
        <f t="shared" si="23"/>
        <v>0.80804890071427549</v>
      </c>
      <c r="AG70" s="837">
        <f t="shared" si="24"/>
        <v>2</v>
      </c>
      <c r="AH70" s="178">
        <f t="shared" si="16"/>
        <v>8</v>
      </c>
      <c r="AI70" s="227">
        <f t="shared" si="17"/>
        <v>2.8080489007142755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46079</v>
      </c>
      <c r="B71" s="1139">
        <f>IF(t&gt;Tmaj,'2025'!Wh/'2025'!Env_an*'2026'!Env_an,0.001*'[4]mon-tableau'!$B$215)</f>
        <v>31.993960661836226</v>
      </c>
      <c r="C71" s="866"/>
      <c r="D71" s="395">
        <f t="shared" si="0"/>
        <v>34.121127442486603</v>
      </c>
      <c r="E71" s="387">
        <f t="shared" si="1"/>
        <v>37.500384731321112</v>
      </c>
      <c r="F71" s="387">
        <f t="shared" si="2"/>
        <v>37.557751891620661</v>
      </c>
      <c r="G71" s="110">
        <f t="shared" si="21"/>
        <v>1.0297031171721023</v>
      </c>
      <c r="H71" s="414" t="b">
        <f>Wh_hp&gt;='2025'!Maxi_hp</f>
        <v>1</v>
      </c>
      <c r="I71" s="392">
        <f>IF(H71,Wh_hp,'2025'!Maxi_hp)</f>
        <v>37.557751891620661</v>
      </c>
      <c r="J71" s="85">
        <f>IF(H71,An,'2025'!An_max)</f>
        <v>2026</v>
      </c>
      <c r="K71" s="199">
        <f t="shared" si="3"/>
        <v>46079</v>
      </c>
      <c r="L71" s="147">
        <f>IF(t&lt;Tvie,1-EXP((T0-t)*PertePVj)+'2025'!Pspv,1-EXP((T0-t)*PertePVj)+Pspv)</f>
        <v>6.2341632299104277E-2</v>
      </c>
      <c r="M71" s="870"/>
      <c r="N71" s="870"/>
      <c r="O71" s="48">
        <f>IF(t&lt;Tnet,'2025'!Resal+('2025'!Salim-'2025'!Resal)*(1-EXP(('2025'!Tnet-t)/('2025'!Tau_j))),Resal+(Salim-Resal)*(1-EXP((Tnet-t)/(Tau_j))))*Salcycl</f>
        <v>9.0112603191830259E-2</v>
      </c>
      <c r="P71" s="171">
        <f>(INDEX(Models!$BJ71:$BT71,,T71)*(1-R71)+INDEX(Models!$BJ71:$BT71,,T71+1)*R71-ERP_i)*Q71*Ramure*Pc/MaxiM</f>
        <v>1.5274386088147515E-3</v>
      </c>
      <c r="Q71" s="307">
        <f t="shared" si="4"/>
        <v>1</v>
      </c>
      <c r="R71" s="179">
        <f t="shared" si="5"/>
        <v>0.87344897014849643</v>
      </c>
      <c r="S71" s="837">
        <f t="shared" si="6"/>
        <v>-3</v>
      </c>
      <c r="T71" s="178">
        <f t="shared" si="7"/>
        <v>3</v>
      </c>
      <c r="U71" s="253">
        <f t="shared" si="8"/>
        <v>-2.1265510298515036</v>
      </c>
      <c r="V71" s="385">
        <f t="shared" si="9"/>
        <v>31.071053518515111</v>
      </c>
      <c r="W71" s="404">
        <f t="shared" si="10"/>
        <v>31.993960661836226</v>
      </c>
      <c r="X71" s="157">
        <f t="shared" si="11"/>
        <v>46079</v>
      </c>
      <c r="Y71" s="387">
        <f t="shared" si="12"/>
        <v>28.189952059469551</v>
      </c>
      <c r="Z71" s="387">
        <f t="shared" si="22"/>
        <v>30.064203584713152</v>
      </c>
      <c r="AA71" s="388">
        <f t="shared" si="13"/>
        <v>34.63491013055269</v>
      </c>
      <c r="AB71" s="199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0.13196819418935213</v>
      </c>
      <c r="AD71" s="233">
        <f>(INDEX(Models!$BJ71:$BT71,,AH71)*(1-AF71)+INDEX(Models!$BJ71:$BT71,,AH71+1)*AF71-ERP_i)*AE71*Ramure*Pc/MaxiM</f>
        <v>7.782259623798389E-2</v>
      </c>
      <c r="AE71" s="307">
        <f t="shared" si="15"/>
        <v>1</v>
      </c>
      <c r="AF71" s="179">
        <f t="shared" si="23"/>
        <v>0.80843156307206687</v>
      </c>
      <c r="AG71" s="837">
        <f t="shared" si="24"/>
        <v>2</v>
      </c>
      <c r="AH71" s="178">
        <f t="shared" si="16"/>
        <v>8</v>
      </c>
      <c r="AI71" s="227">
        <f t="shared" si="17"/>
        <v>2.8084315630720669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46080</v>
      </c>
      <c r="B72" s="1139">
        <f>IF(t&gt;Tmaj,'2025'!Wh/'2025'!Env_an*'2026'!Env_an,0.001*'[4]mon-tableau'!$B$216)</f>
        <v>24.403136761516389</v>
      </c>
      <c r="C72" s="866"/>
      <c r="D72" s="395">
        <f t="shared" si="0"/>
        <v>26.02622182236011</v>
      </c>
      <c r="E72" s="387">
        <f t="shared" si="1"/>
        <v>28.608861613089982</v>
      </c>
      <c r="F72" s="387">
        <f t="shared" si="2"/>
        <v>28.638853783523196</v>
      </c>
      <c r="G72" s="110">
        <f t="shared" si="21"/>
        <v>0.7757988727963705</v>
      </c>
      <c r="H72" s="414" t="b">
        <f>Wh_hp&gt;='2025'!Maxi_hp</f>
        <v>0</v>
      </c>
      <c r="I72" s="392">
        <f>IF(H72,Wh_hp,'2025'!Maxi_hp)</f>
        <v>35.744529564271296</v>
      </c>
      <c r="J72" s="85">
        <f>IF(H72,An,'2025'!An_max)</f>
        <v>2019</v>
      </c>
      <c r="K72" s="199">
        <f t="shared" si="3"/>
        <v>46080</v>
      </c>
      <c r="L72" s="147">
        <f>IF(t&lt;Tvie,1-EXP((T0-t)*PertePVj)+'2025'!Pspv,1-EXP((T0-t)*PertePVj)+Pspv)</f>
        <v>6.2363452979151468E-2</v>
      </c>
      <c r="M72" s="870"/>
      <c r="N72" s="870"/>
      <c r="O72" s="48">
        <f>IF(t&lt;Tnet,'2025'!Resal+('2025'!Salim-'2025'!Resal)*(1-EXP(('2025'!Tnet-t)/('2025'!Tau_j))),Resal+(Salim-Resal)*(1-EXP((Tnet-t)/(Tau_j))))*Salcycl</f>
        <v>9.0274119454937865E-2</v>
      </c>
      <c r="P72" s="171">
        <f>(INDEX(Models!$BJ72:$BT72,,T72)*(1-R72)+INDEX(Models!$BJ72:$BT72,,T72+1)*R72-ERP_i)*Q72*Ramure*Pc/MaxiM</f>
        <v>1.5394937503104169E-3</v>
      </c>
      <c r="Q72" s="307">
        <f t="shared" si="4"/>
        <v>1</v>
      </c>
      <c r="R72" s="179">
        <f t="shared" si="5"/>
        <v>0.8738472359812306</v>
      </c>
      <c r="S72" s="837">
        <f t="shared" si="6"/>
        <v>-3</v>
      </c>
      <c r="T72" s="178">
        <f t="shared" si="7"/>
        <v>3</v>
      </c>
      <c r="U72" s="253">
        <f t="shared" si="8"/>
        <v>-2.1261527640187694</v>
      </c>
      <c r="V72" s="385">
        <f t="shared" si="9"/>
        <v>31.43999410633694</v>
      </c>
      <c r="W72" s="404">
        <f t="shared" si="10"/>
        <v>24.403136761516389</v>
      </c>
      <c r="X72" s="157">
        <f t="shared" si="11"/>
        <v>46080</v>
      </c>
      <c r="Y72" s="387">
        <f t="shared" si="12"/>
        <v>22.107414622950103</v>
      </c>
      <c r="Z72" s="387">
        <f t="shared" si="22"/>
        <v>23.577808153054576</v>
      </c>
      <c r="AA72" s="388">
        <f t="shared" si="13"/>
        <v>27.164965904395196</v>
      </c>
      <c r="AB72" s="199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0.13205088362581854</v>
      </c>
      <c r="AD72" s="233">
        <f>(INDEX(Models!$BJ72:$BT72,,AH72)*(1-AF72)+INDEX(Models!$BJ72:$BT72,,AH72+1)*AF72-ERP_i)*AE72*Ramure*Pc/MaxiM</f>
        <v>7.5654450671664972E-2</v>
      </c>
      <c r="AE72" s="307">
        <f t="shared" si="15"/>
        <v>1</v>
      </c>
      <c r="AF72" s="179">
        <f t="shared" si="23"/>
        <v>0.80882982890480104</v>
      </c>
      <c r="AG72" s="837">
        <f t="shared" si="24"/>
        <v>2</v>
      </c>
      <c r="AH72" s="178">
        <f t="shared" si="16"/>
        <v>8</v>
      </c>
      <c r="AI72" s="227">
        <f t="shared" si="17"/>
        <v>2.808829828904801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46081</v>
      </c>
      <c r="B73" s="1139">
        <f>IF(t&gt;Tmaj,'2025'!Wh/'2025'!Env_an*'2026'!Env_an,0.001*'[4]mon-tableau'!$B$217)</f>
        <v>29.032538955849329</v>
      </c>
      <c r="C73" s="866"/>
      <c r="D73" s="395">
        <f t="shared" si="0"/>
        <v>30.964252293082101</v>
      </c>
      <c r="E73" s="387">
        <f t="shared" si="1"/>
        <v>34.042935319699353</v>
      </c>
      <c r="F73" s="387">
        <f t="shared" si="2"/>
        <v>34.089213725174943</v>
      </c>
      <c r="G73" s="110">
        <f t="shared" si="21"/>
        <v>0.9124771561451831</v>
      </c>
      <c r="H73" s="414" t="b">
        <f>Wh_hp&gt;='2025'!Maxi_hp</f>
        <v>1</v>
      </c>
      <c r="I73" s="392">
        <f>IF(H73,Wh_hp,'2025'!Maxi_hp)</f>
        <v>34.089213725174943</v>
      </c>
      <c r="J73" s="85">
        <f>IF(H73,An,'2025'!An_max)</f>
        <v>2026</v>
      </c>
      <c r="K73" s="199">
        <f t="shared" si="3"/>
        <v>46081</v>
      </c>
      <c r="L73" s="147">
        <f>IF(t&lt;Tvie,1-EXP((T0-t)*PertePVj)+'2025'!Pspv,1-EXP((T0-t)*PertePVj)+Pspv)</f>
        <v>6.2385273151399412E-2</v>
      </c>
      <c r="M73" s="870"/>
      <c r="N73" s="870"/>
      <c r="O73" s="48">
        <f>IF(t&lt;Tnet,'2025'!Resal+('2025'!Salim-'2025'!Resal)*(1-EXP(('2025'!Tnet-t)/('2025'!Tau_j))),Resal+(Salim-Resal)*(1-EXP((Tnet-t)/(Tau_j))))*Salcycl</f>
        <v>9.0435298769190861E-2</v>
      </c>
      <c r="P73" s="171">
        <f>(INDEX(Models!$BJ73:$BT73,,T73)*(1-R73)+INDEX(Models!$BJ73:$BT73,,T73+1)*R73-ERP_i)*Q73*Ramure*Pc/MaxiM</f>
        <v>1.5511155148740143E-3</v>
      </c>
      <c r="Q73" s="307">
        <f t="shared" si="4"/>
        <v>1</v>
      </c>
      <c r="R73" s="179">
        <f t="shared" si="5"/>
        <v>0.87426172218285325</v>
      </c>
      <c r="S73" s="837">
        <f t="shared" si="6"/>
        <v>-3</v>
      </c>
      <c r="T73" s="178">
        <f t="shared" si="7"/>
        <v>3</v>
      </c>
      <c r="U73" s="253">
        <f t="shared" si="8"/>
        <v>-2.1257382778171467</v>
      </c>
      <c r="V73" s="385">
        <f t="shared" si="9"/>
        <v>31.811111027352649</v>
      </c>
      <c r="W73" s="404">
        <f t="shared" si="10"/>
        <v>29.032538955849329</v>
      </c>
      <c r="X73" s="157">
        <f t="shared" si="11"/>
        <v>46081</v>
      </c>
      <c r="Y73" s="387">
        <f t="shared" si="12"/>
        <v>25.954556137065733</v>
      </c>
      <c r="Z73" s="387">
        <f t="shared" si="22"/>
        <v>27.681472350910173</v>
      </c>
      <c r="AA73" s="388">
        <f t="shared" si="13"/>
        <v>31.895997896975423</v>
      </c>
      <c r="AB73" s="199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0.13213336543594703</v>
      </c>
      <c r="AD73" s="233">
        <f>(INDEX(Models!$BJ73:$BT73,,AH73)*(1-AF73)+INDEX(Models!$BJ73:$BT73,,AH73+1)*AF73-ERP_i)*AE73*Ramure*Pc/MaxiM</f>
        <v>7.3510119106893632E-2</v>
      </c>
      <c r="AE73" s="307">
        <f t="shared" si="15"/>
        <v>1</v>
      </c>
      <c r="AF73" s="179">
        <f t="shared" si="23"/>
        <v>0.8092443151064237</v>
      </c>
      <c r="AG73" s="837">
        <f t="shared" si="24"/>
        <v>2</v>
      </c>
      <c r="AH73" s="178">
        <f t="shared" si="16"/>
        <v>8</v>
      </c>
      <c r="AI73" s="227">
        <f t="shared" si="17"/>
        <v>2.8092443151064237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46082</v>
      </c>
      <c r="B74" s="1139">
        <f>IF(t&gt;Tmaj,'2025'!Wh/'2025'!Env_an*'2026'!Env_an,0.001*'[5]mon-tableau'!$B$208)</f>
        <v>31.891486618640446</v>
      </c>
      <c r="C74" s="866"/>
      <c r="D74" s="395">
        <f t="shared" si="0"/>
        <v>34.014214883962509</v>
      </c>
      <c r="E74" s="387">
        <f t="shared" si="1"/>
        <v>37.402761258364485</v>
      </c>
      <c r="F74" s="387">
        <f t="shared" si="2"/>
        <v>37.460527328014031</v>
      </c>
      <c r="G74" s="110">
        <f t="shared" si="21"/>
        <v>0.99089055579450391</v>
      </c>
      <c r="H74" s="414" t="b">
        <f>Wh_hp&gt;='2025'!Maxi_hp</f>
        <v>1</v>
      </c>
      <c r="I74" s="392">
        <f>IF(H74,Wh_hp,'2025'!Maxi_hp)</f>
        <v>37.460527328014031</v>
      </c>
      <c r="J74" s="85">
        <f>IF(H74,An,'2025'!An_max)</f>
        <v>2026</v>
      </c>
      <c r="K74" s="199">
        <f t="shared" si="3"/>
        <v>46082</v>
      </c>
      <c r="L74" s="147">
        <f>IF(t&lt;Tvie,1-EXP((T0-t)*PertePVj)+'2025'!Pspv,1-EXP((T0-t)*PertePVj)+Pspv)</f>
        <v>6.240709281586021E-2</v>
      </c>
      <c r="M74" s="870"/>
      <c r="N74" s="870"/>
      <c r="O74" s="48">
        <f>IF(t&lt;Tnet,'2025'!Resal+('2025'!Salim-'2025'!Resal)*(1-EXP(('2025'!Tnet-t)/('2025'!Tau_j))),Resal+(Salim-Resal)*(1-EXP((Tnet-t)/(Tau_j))))*Salcycl</f>
        <v>9.0596155481547105E-2</v>
      </c>
      <c r="P74" s="171">
        <f>(INDEX(Models!$BJ74:$BT74,,T74)*(1-R74)+INDEX(Models!$BJ74:$BT74,,T74+1)*R74-ERP_i)*Q74*Ramure*Pc/MaxiM</f>
        <v>1.56233823484335E-3</v>
      </c>
      <c r="Q74" s="307">
        <f t="shared" si="4"/>
        <v>1</v>
      </c>
      <c r="R74" s="179">
        <f t="shared" si="5"/>
        <v>0.87469306840593575</v>
      </c>
      <c r="S74" s="837">
        <f t="shared" si="6"/>
        <v>-3</v>
      </c>
      <c r="T74" s="178">
        <f t="shared" si="7"/>
        <v>3</v>
      </c>
      <c r="U74" s="253">
        <f t="shared" si="8"/>
        <v>-2.1253069315940643</v>
      </c>
      <c r="V74" s="385">
        <f t="shared" si="9"/>
        <v>32.184017160146382</v>
      </c>
      <c r="W74" s="404">
        <f t="shared" si="10"/>
        <v>31.891486618640446</v>
      </c>
      <c r="X74" s="157">
        <f t="shared" si="11"/>
        <v>46082</v>
      </c>
      <c r="Y74" s="387">
        <f t="shared" si="12"/>
        <v>28.331309767737853</v>
      </c>
      <c r="Z74" s="387">
        <f t="shared" si="22"/>
        <v>30.217069210586175</v>
      </c>
      <c r="AA74" s="388">
        <f t="shared" si="13"/>
        <v>34.820943206546843</v>
      </c>
      <c r="AB74" s="199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0.13221566023217521</v>
      </c>
      <c r="AD74" s="233">
        <f>(INDEX(Models!$BJ74:$BT74,,AH74)*(1-AF74)+INDEX(Models!$BJ74:$BT74,,AH74+1)*AF74-ERP_i)*AE74*Ramure*Pc/MaxiM</f>
        <v>7.1390060325600815E-2</v>
      </c>
      <c r="AE74" s="307">
        <f t="shared" si="15"/>
        <v>1</v>
      </c>
      <c r="AF74" s="179">
        <f t="shared" si="23"/>
        <v>0.80967566132950619</v>
      </c>
      <c r="AG74" s="837">
        <f t="shared" si="24"/>
        <v>2</v>
      </c>
      <c r="AH74" s="178">
        <f t="shared" si="16"/>
        <v>8</v>
      </c>
      <c r="AI74" s="227">
        <f t="shared" si="17"/>
        <v>2.8096756613295062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46083</v>
      </c>
      <c r="B75" s="1139">
        <f>IF(t&gt;Tmaj,'2025'!Wh/'2025'!Env_an*'2026'!Env_an,0.001*'[5]mon-tableau'!$B$209)</f>
        <v>14.792930264542846</v>
      </c>
      <c r="C75" s="866"/>
      <c r="D75" s="395">
        <f t="shared" si="0"/>
        <v>15.777929218855851</v>
      </c>
      <c r="E75" s="387">
        <f t="shared" si="1"/>
        <v>17.352813433543446</v>
      </c>
      <c r="F75" s="387">
        <f t="shared" si="2"/>
        <v>17.358835098745718</v>
      </c>
      <c r="G75" s="110">
        <f t="shared" si="21"/>
        <v>0.45379432524755547</v>
      </c>
      <c r="H75" s="414" t="b">
        <f>Wh_hp&gt;='2025'!Maxi_hp</f>
        <v>0</v>
      </c>
      <c r="I75" s="392">
        <f>IF(H75,Wh_hp,'2025'!Maxi_hp)</f>
        <v>26.22963515117911</v>
      </c>
      <c r="J75" s="85">
        <f>IF(H75,An,'2025'!An_max)</f>
        <v>2020</v>
      </c>
      <c r="K75" s="199">
        <f t="shared" si="3"/>
        <v>46083</v>
      </c>
      <c r="L75" s="147">
        <f>IF(t&lt;Tvie,1-EXP((T0-t)*PertePVj)+'2025'!Pspv,1-EXP((T0-t)*PertePVj)+Pspv)</f>
        <v>6.2428911972545409E-2</v>
      </c>
      <c r="M75" s="870"/>
      <c r="N75" s="870"/>
      <c r="O75" s="48">
        <f>IF(t&lt;Tnet,'2025'!Resal+('2025'!Salim-'2025'!Resal)*(1-EXP(('2025'!Tnet-t)/('2025'!Tau_j))),Resal+(Salim-Resal)*(1-EXP((Tnet-t)/(Tau_j))))*Salcycl</f>
        <v>9.0756707592055466E-2</v>
      </c>
      <c r="P75" s="171">
        <f>(INDEX(Models!$BJ75:$BT75,,T75)*(1-R75)+INDEX(Models!$BJ75:$BT75,,T75+1)*R75-ERP_i)*Q75*Ramure*Pc/MaxiM</f>
        <v>1.5731954303944589E-3</v>
      </c>
      <c r="Q75" s="307">
        <f t="shared" si="4"/>
        <v>1</v>
      </c>
      <c r="R75" s="179">
        <f t="shared" si="5"/>
        <v>0.87514193776290172</v>
      </c>
      <c r="S75" s="837">
        <f t="shared" si="6"/>
        <v>-3</v>
      </c>
      <c r="T75" s="178">
        <f t="shared" si="7"/>
        <v>3</v>
      </c>
      <c r="U75" s="253">
        <f t="shared" si="8"/>
        <v>-2.1248580622370983</v>
      </c>
      <c r="V75" s="385">
        <f t="shared" si="9"/>
        <v>32.558325538599725</v>
      </c>
      <c r="W75" s="404">
        <f t="shared" si="10"/>
        <v>14.792930264542846</v>
      </c>
      <c r="X75" s="157">
        <f t="shared" si="11"/>
        <v>46083</v>
      </c>
      <c r="Y75" s="387">
        <f t="shared" si="12"/>
        <v>13.906197997428601</v>
      </c>
      <c r="Z75" s="387">
        <f t="shared" si="22"/>
        <v>14.832153182843657</v>
      </c>
      <c r="AA75" s="388">
        <f t="shared" si="13"/>
        <v>17.093598561650701</v>
      </c>
      <c r="AB75" s="199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0.13229779385837293</v>
      </c>
      <c r="AD75" s="233">
        <f>(INDEX(Models!$BJ75:$BT75,,AH75)*(1-AF75)+INDEX(Models!$BJ75:$BT75,,AH75+1)*AF75-ERP_i)*AE75*Ramure*Pc/MaxiM</f>
        <v>6.9294604418384295E-2</v>
      </c>
      <c r="AE75" s="307">
        <f t="shared" si="15"/>
        <v>1</v>
      </c>
      <c r="AF75" s="179">
        <f t="shared" si="23"/>
        <v>0.81012453068647217</v>
      </c>
      <c r="AG75" s="837">
        <f t="shared" si="24"/>
        <v>2</v>
      </c>
      <c r="AH75" s="178">
        <f t="shared" si="16"/>
        <v>8</v>
      </c>
      <c r="AI75" s="227">
        <f t="shared" si="17"/>
        <v>2.8101245306864722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46084</v>
      </c>
      <c r="B76" s="1139">
        <f>IF(t&gt;Tmaj,'2025'!Wh/'2025'!Env_an*'2026'!Env_an,0.001*'[5]mon-tableau'!$B$210)</f>
        <v>30.553050170627241</v>
      </c>
      <c r="C76" s="866"/>
      <c r="D76" s="395">
        <f t="shared" si="0"/>
        <v>32.588207541220463</v>
      </c>
      <c r="E76" s="387">
        <f t="shared" si="1"/>
        <v>35.8473392530708</v>
      </c>
      <c r="F76" s="387">
        <f t="shared" si="2"/>
        <v>35.898321286854959</v>
      </c>
      <c r="G76" s="110">
        <f t="shared" si="21"/>
        <v>0.92756335846198212</v>
      </c>
      <c r="H76" s="414" t="b">
        <f>Wh_hp&gt;='2025'!Maxi_hp</f>
        <v>1</v>
      </c>
      <c r="I76" s="392">
        <f>IF(H76,Wh_hp,'2025'!Maxi_hp)</f>
        <v>35.898321286854959</v>
      </c>
      <c r="J76" s="85">
        <f>IF(H76,An,'2025'!An_max)</f>
        <v>2026</v>
      </c>
      <c r="K76" s="199">
        <f t="shared" si="3"/>
        <v>46084</v>
      </c>
      <c r="L76" s="147">
        <f>IF(t&lt;Tvie,1-EXP((T0-t)*PertePVj)+'2025'!Pspv,1-EXP((T0-t)*PertePVj)+Pspv)</f>
        <v>6.2450730621466999E-2</v>
      </c>
      <c r="M76" s="870"/>
      <c r="N76" s="870"/>
      <c r="O76" s="48">
        <f>IF(t&lt;Tnet,'2025'!Resal+('2025'!Salim-'2025'!Resal)*(1-EXP(('2025'!Tnet-t)/('2025'!Tau_j))),Resal+(Salim-Resal)*(1-EXP((Tnet-t)/(Tau_j))))*Salcycl</f>
        <v>9.0916976817774386E-2</v>
      </c>
      <c r="P76" s="171">
        <f>(INDEX(Models!$BJ76:$BT76,,T76)*(1-R76)+INDEX(Models!$BJ76:$BT76,,T76+1)*R76-ERP_i)*Q76*Ramure*Pc/MaxiM</f>
        <v>1.5837197996732338E-3</v>
      </c>
      <c r="Q76" s="307">
        <f t="shared" si="4"/>
        <v>1</v>
      </c>
      <c r="R76" s="179">
        <f t="shared" si="5"/>
        <v>0.87560901753670262</v>
      </c>
      <c r="S76" s="837">
        <f t="shared" si="6"/>
        <v>-3</v>
      </c>
      <c r="T76" s="178">
        <f t="shared" si="7"/>
        <v>3</v>
      </c>
      <c r="U76" s="253">
        <f t="shared" si="8"/>
        <v>-2.1243909824632974</v>
      </c>
      <c r="V76" s="385">
        <f t="shared" si="9"/>
        <v>32.933649338779318</v>
      </c>
      <c r="W76" s="404">
        <f t="shared" si="10"/>
        <v>30.553050170627241</v>
      </c>
      <c r="X76" s="157">
        <f t="shared" si="11"/>
        <v>46084</v>
      </c>
      <c r="Y76" s="387">
        <f t="shared" si="12"/>
        <v>27.440711584478535</v>
      </c>
      <c r="Z76" s="387">
        <f t="shared" si="22"/>
        <v>29.268554177070584</v>
      </c>
      <c r="AA76" s="388">
        <f t="shared" si="13"/>
        <v>33.734293059536157</v>
      </c>
      <c r="AB76" s="199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0.13237979745371248</v>
      </c>
      <c r="AD76" s="233">
        <f>(INDEX(Models!$BJ76:$BT76,,AH76)*(1-AF76)+INDEX(Models!$BJ76:$BT76,,AH76+1)*AF76-ERP_i)*AE76*Ramure*Pc/MaxiM</f>
        <v>6.7223962958524688E-2</v>
      </c>
      <c r="AE76" s="307">
        <f t="shared" si="15"/>
        <v>1</v>
      </c>
      <c r="AF76" s="179">
        <f t="shared" si="23"/>
        <v>0.81059161046027306</v>
      </c>
      <c r="AG76" s="837">
        <f t="shared" si="24"/>
        <v>2</v>
      </c>
      <c r="AH76" s="178">
        <f t="shared" si="16"/>
        <v>8</v>
      </c>
      <c r="AI76" s="227">
        <f t="shared" si="17"/>
        <v>2.8105916104602731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46085</v>
      </c>
      <c r="B77" s="1139">
        <f>IF(t&gt;Tmaj,'2025'!Wh/'2025'!Env_an*'2026'!Env_an,0.001*'[5]mon-tableau'!$B$211)</f>
        <v>5.8033738126176955</v>
      </c>
      <c r="C77" s="866"/>
      <c r="D77" s="395">
        <f t="shared" si="0"/>
        <v>6.1900841462917304</v>
      </c>
      <c r="E77" s="387">
        <f t="shared" si="1"/>
        <v>6.8103503474674394</v>
      </c>
      <c r="F77" s="387">
        <f t="shared" si="2"/>
        <v>6.8103503474674394</v>
      </c>
      <c r="G77" s="110">
        <f t="shared" si="21"/>
        <v>0.17394754781857702</v>
      </c>
      <c r="H77" s="414" t="b">
        <f>Wh_hp&gt;='2025'!Maxi_hp</f>
        <v>0</v>
      </c>
      <c r="I77" s="392">
        <f>IF(H77,Wh_hp,'2025'!Maxi_hp)</f>
        <v>29.720518011114656</v>
      </c>
      <c r="J77" s="85">
        <f>IF(H77,An,'2025'!An_max)</f>
        <v>2021</v>
      </c>
      <c r="K77" s="199">
        <f t="shared" si="3"/>
        <v>46085</v>
      </c>
      <c r="L77" s="147">
        <f>IF(t&lt;Tvie,1-EXP((T0-t)*PertePVj)+'2025'!Pspv,1-EXP((T0-t)*PertePVj)+Pspv)</f>
        <v>6.2472548762636748E-2</v>
      </c>
      <c r="M77" s="870"/>
      <c r="N77" s="870"/>
      <c r="O77" s="48">
        <f>IF(t&lt;Tnet,'2025'!Resal+('2025'!Salim-'2025'!Resal)*(1-EXP(('2025'!Tnet-t)/('2025'!Tau_j))),Resal+(Salim-Resal)*(1-EXP((Tnet-t)/(Tau_j))))*Salcycl</f>
        <v>9.1076988631923581E-2</v>
      </c>
      <c r="P77" s="171">
        <f>(INDEX(Models!$BJ77:$BT77,,T77)*(1-R77)+INDEX(Models!$BJ77:$BT77,,T77+1)*R77-ERP_i)*Q77*Ramure*Pc/MaxiM</f>
        <v>1.593943217720304E-3</v>
      </c>
      <c r="Q77" s="307">
        <f t="shared" si="4"/>
        <v>1</v>
      </c>
      <c r="R77" s="179">
        <f t="shared" si="5"/>
        <v>0.87609501989984029</v>
      </c>
      <c r="S77" s="837">
        <f t="shared" si="6"/>
        <v>-3</v>
      </c>
      <c r="T77" s="178">
        <f t="shared" si="7"/>
        <v>3</v>
      </c>
      <c r="U77" s="253">
        <f t="shared" si="8"/>
        <v>-2.1239049801001597</v>
      </c>
      <c r="V77" s="385">
        <f t="shared" si="9"/>
        <v>33.309601871089932</v>
      </c>
      <c r="W77" s="404">
        <f t="shared" si="10"/>
        <v>5.8033738126176955</v>
      </c>
      <c r="X77" s="157">
        <f t="shared" si="11"/>
        <v>46085</v>
      </c>
      <c r="Y77" s="387">
        <f t="shared" si="12"/>
        <v>5.5391369183993158</v>
      </c>
      <c r="Z77" s="387">
        <f t="shared" si="22"/>
        <v>5.9082397119024908</v>
      </c>
      <c r="AA77" s="388">
        <f t="shared" si="13"/>
        <v>6.8103503474674394</v>
      </c>
      <c r="AB77" s="199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0.13246170748035244</v>
      </c>
      <c r="AD77" s="233">
        <f>(INDEX(Models!$BJ77:$BT77,,AH77)*(1-AF77)+INDEX(Models!$BJ77:$BT77,,AH77+1)*AF77-ERP_i)*AE77*Ramure*Pc/MaxiM</f>
        <v>6.5178238615032899E-2</v>
      </c>
      <c r="AE77" s="307">
        <f t="shared" si="15"/>
        <v>1</v>
      </c>
      <c r="AF77" s="179">
        <f t="shared" si="23"/>
        <v>0.81107761282341073</v>
      </c>
      <c r="AG77" s="837">
        <f t="shared" si="24"/>
        <v>2</v>
      </c>
      <c r="AH77" s="178">
        <f t="shared" si="16"/>
        <v>8</v>
      </c>
      <c r="AI77" s="227">
        <f t="shared" si="17"/>
        <v>2.8110776128234107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46086</v>
      </c>
      <c r="B78" s="1139">
        <f>IF(t&gt;Tmaj,'2025'!Wh/'2025'!Env_an*'2026'!Env_an,0.001*'[5]mon-tableau'!$B$212)</f>
        <v>12.998253714574195</v>
      </c>
      <c r="C78" s="866"/>
      <c r="D78" s="395">
        <f t="shared" si="0"/>
        <v>13.864720646644718</v>
      </c>
      <c r="E78" s="387">
        <f t="shared" si="1"/>
        <v>15.256691978399193</v>
      </c>
      <c r="F78" s="387">
        <f t="shared" si="2"/>
        <v>15.259694270600448</v>
      </c>
      <c r="G78" s="110">
        <f t="shared" si="21"/>
        <v>0.385324408002713</v>
      </c>
      <c r="H78" s="414" t="b">
        <f>Wh_hp&gt;='2025'!Maxi_hp</f>
        <v>0</v>
      </c>
      <c r="I78" s="392">
        <f>IF(H78,Wh_hp,'2025'!Maxi_hp)</f>
        <v>38.596496043622651</v>
      </c>
      <c r="J78" s="85">
        <f>IF(H78,An,'2025'!An_max)</f>
        <v>2019</v>
      </c>
      <c r="K78" s="199">
        <f t="shared" si="3"/>
        <v>46086</v>
      </c>
      <c r="L78" s="147">
        <f>IF(t&lt;Tvie,1-EXP((T0-t)*PertePVj)+'2025'!Pspv,1-EXP((T0-t)*PertePVj)+Pspv)</f>
        <v>6.2494366396066536E-2</v>
      </c>
      <c r="M78" s="870"/>
      <c r="N78" s="870"/>
      <c r="O78" s="48">
        <f>IF(t&lt;Tnet,'2025'!Resal+('2025'!Salim-'2025'!Resal)*(1-EXP(('2025'!Tnet-t)/('2025'!Tau_j))),Resal+(Salim-Resal)*(1-EXP((Tnet-t)/(Tau_j))))*Salcycl</f>
        <v>9.1236772278372097E-2</v>
      </c>
      <c r="P78" s="171">
        <f>(INDEX(Models!$BJ78:$BT78,,T78)*(1-R78)+INDEX(Models!$BJ78:$BT78,,T78+1)*R78-ERP_i)*Q78*Ramure*Pc/MaxiM</f>
        <v>1.6038967437026848E-3</v>
      </c>
      <c r="Q78" s="307">
        <f t="shared" si="4"/>
        <v>1</v>
      </c>
      <c r="R78" s="179">
        <f t="shared" si="5"/>
        <v>0.87660068264049418</v>
      </c>
      <c r="S78" s="837">
        <f t="shared" si="6"/>
        <v>-3</v>
      </c>
      <c r="T78" s="178">
        <f t="shared" si="7"/>
        <v>3</v>
      </c>
      <c r="U78" s="253">
        <f t="shared" si="8"/>
        <v>-2.1233993173595058</v>
      </c>
      <c r="V78" s="385">
        <f t="shared" si="9"/>
        <v>33.685796566383367</v>
      </c>
      <c r="W78" s="404">
        <f t="shared" si="10"/>
        <v>12.998253714574195</v>
      </c>
      <c r="X78" s="157">
        <f t="shared" si="11"/>
        <v>46086</v>
      </c>
      <c r="Y78" s="387">
        <f t="shared" si="12"/>
        <v>12.313730464943459</v>
      </c>
      <c r="Z78" s="387">
        <f t="shared" si="22"/>
        <v>13.134566901328746</v>
      </c>
      <c r="AA78" s="388">
        <f t="shared" si="13"/>
        <v>15.14147152780137</v>
      </c>
      <c r="AB78" s="199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0.13254356571537521</v>
      </c>
      <c r="AD78" s="233">
        <f>(INDEX(Models!$BJ78:$BT78,,AH78)*(1-AF78)+INDEX(Models!$BJ78:$BT78,,AH78+1)*AF78-ERP_i)*AE78*Ramure*Pc/MaxiM</f>
        <v>6.3157434219027878E-2</v>
      </c>
      <c r="AE78" s="307">
        <f t="shared" si="15"/>
        <v>1</v>
      </c>
      <c r="AF78" s="179">
        <f t="shared" si="23"/>
        <v>0.81158327556406462</v>
      </c>
      <c r="AG78" s="837">
        <f t="shared" si="24"/>
        <v>2</v>
      </c>
      <c r="AH78" s="178">
        <f t="shared" si="16"/>
        <v>8</v>
      </c>
      <c r="AI78" s="227">
        <f t="shared" si="17"/>
        <v>2.8115832755640646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46087</v>
      </c>
      <c r="B79" s="1139">
        <f>IF(t&gt;Tmaj,'2025'!Wh/'2025'!Env_an*'2026'!Env_an,0.001*'[5]mon-tableau'!$B$213)</f>
        <v>19.054986664022461</v>
      </c>
      <c r="C79" s="866"/>
      <c r="D79" s="395">
        <f t="shared" ref="D79:D142" si="25">Wh/(1-Ppv)</f>
        <v>20.325669978608012</v>
      </c>
      <c r="E79" s="387">
        <f t="shared" si="1"/>
        <v>22.370227347592138</v>
      </c>
      <c r="F79" s="387">
        <f t="shared" ref="F79:F142" si="26">Wh_sa/(1-Pvg*MEDIAN((-Sdif+Wh/Env_an)/Csdif,0,1))</f>
        <v>22.383610256792732</v>
      </c>
      <c r="G79" s="110">
        <f t="shared" si="21"/>
        <v>0.5588183427630854</v>
      </c>
      <c r="H79" s="414" t="b">
        <f>Wh_hp&gt;='2025'!Maxi_hp</f>
        <v>0</v>
      </c>
      <c r="I79" s="392">
        <f>IF(H79,Wh_hp,'2025'!Maxi_hp)</f>
        <v>24.169421383322462</v>
      </c>
      <c r="J79" s="85">
        <f>IF(H79,An,'2025'!An_max)</f>
        <v>2019</v>
      </c>
      <c r="K79" s="199">
        <f t="shared" ref="K79:K142" si="27">t</f>
        <v>46087</v>
      </c>
      <c r="L79" s="147">
        <f>IF(t&lt;Tvie,1-EXP((T0-t)*PertePVj)+'2025'!Pspv,1-EXP((T0-t)*PertePVj)+Pspv)</f>
        <v>6.2516183521768132E-2</v>
      </c>
      <c r="M79" s="870"/>
      <c r="N79" s="870"/>
      <c r="O79" s="48">
        <f>IF(t&lt;Tnet,'2025'!Resal+('2025'!Salim-'2025'!Resal)*(1-EXP(('2025'!Tnet-t)/('2025'!Tau_j))),Resal+(Salim-Resal)*(1-EXP((Tnet-t)/(Tau_j))))*Salcycl</f>
        <v>9.1396360761805032E-2</v>
      </c>
      <c r="P79" s="171">
        <f>(INDEX(Models!$BJ79:$BT79,,T79)*(1-R79)+INDEX(Models!$BJ79:$BT79,,T79+1)*R79-ERP_i)*Q79*Ramure*Pc/MaxiM</f>
        <v>1.6135058918511735E-3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0.87712676989435145</v>
      </c>
      <c r="S79" s="837">
        <f t="shared" ref="S79:S142" si="30">INDEX(Echel_vg,T79)</f>
        <v>-3</v>
      </c>
      <c r="T79" s="178">
        <f t="shared" ref="T79:T142" si="31">MIN(MATCH(Hp_vg,Echel_vg),10)</f>
        <v>3</v>
      </c>
      <c r="U79" s="253">
        <f t="shared" ref="U79:U142" si="32">IF(OR(t&lt;Ttai,Notai),Hdd+PousH*Croivg,Hdtf+PousH*(Croivg-Croi_tai))</f>
        <v>-2.1228732301056485</v>
      </c>
      <c r="V79" s="385">
        <f t="shared" ref="V79:V142" si="33">MaxiM*(1-Ppv)*(1-Pvg)*(1-Psa)</f>
        <v>34.064061715615303</v>
      </c>
      <c r="W79" s="404">
        <f t="shared" ref="W79:W142" si="34">Wh*(A79&gt;Tmaj)</f>
        <v>19.054986664022461</v>
      </c>
      <c r="X79" s="157">
        <f t="shared" ref="X79:X142" si="35">t</f>
        <v>46087</v>
      </c>
      <c r="Y79" s="387">
        <f t="shared" ref="Y79:Y142" si="36">Wh_pvt_s*(1-Ppv)</f>
        <v>17.788747099079181</v>
      </c>
      <c r="Z79" s="387">
        <f t="shared" ref="Z79:Z142" si="37">Wh_sa_s*(1-Psa_s)</f>
        <v>18.974991126678539</v>
      </c>
      <c r="AA79" s="388">
        <f t="shared" ref="AA79:AA142" si="38">Wh_hp*(1-Pvg_s*MEDIAN((-Sdif+Wh/Env_an)/Csdif,0,1))</f>
        <v>21.87635140212106</v>
      </c>
      <c r="AB79" s="199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0.13262541920775747</v>
      </c>
      <c r="AD79" s="233">
        <f>(INDEX(Models!$BJ79:$BT79,,AH79)*(1-AF79)+INDEX(Models!$BJ79:$BT79,,AH79+1)*AF79-ERP_i)*AE79*Ramure*Pc/MaxiM</f>
        <v>6.1157491128316192E-2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0.8121093628179219</v>
      </c>
      <c r="AG79" s="837">
        <f t="shared" si="24"/>
        <v>2</v>
      </c>
      <c r="AH79" s="178">
        <f t="shared" ref="AH79:AH142" si="42">MIN(MATCH(Hp_vg_s,Echel_vg),10)</f>
        <v>8</v>
      </c>
      <c r="AI79" s="227">
        <f t="shared" ref="AI79:AI142" si="43">IF(OR(t&lt;Ttai,Notai),Hdd_s+PousH*Croivg,Hdtai_s+PousH*(Croivg-Croi_tai))</f>
        <v>2.8121093628179219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46088</v>
      </c>
      <c r="B80" s="1139">
        <f>IF(t&gt;Tmaj,'2025'!Wh/'2025'!Env_an*'2026'!Env_an,0.001*'[5]mon-tableau'!$B$214)</f>
        <v>32.472135824513821</v>
      </c>
      <c r="C80" s="866"/>
      <c r="D80" s="395">
        <f t="shared" si="25"/>
        <v>34.638348892386723</v>
      </c>
      <c r="E80" s="387">
        <f t="shared" ref="E80:E143" si="47">Wh_pvt/(1-Psa)</f>
        <v>38.129307823349272</v>
      </c>
      <c r="F80" s="387">
        <f t="shared" si="26"/>
        <v>38.18616898348121</v>
      </c>
      <c r="G80" s="110">
        <f t="shared" ref="G80:G143" si="48">+Wh_hp/MaxiM</f>
        <v>0.94256805637544949</v>
      </c>
      <c r="H80" s="414" t="b">
        <f>Wh_hp&gt;='2025'!Maxi_hp</f>
        <v>1</v>
      </c>
      <c r="I80" s="392">
        <f>IF(H80,Wh_hp,'2025'!Maxi_hp)</f>
        <v>38.18616898348121</v>
      </c>
      <c r="J80" s="85">
        <f>IF(H80,An,'2025'!An_max)</f>
        <v>2026</v>
      </c>
      <c r="K80" s="199">
        <f t="shared" si="27"/>
        <v>46088</v>
      </c>
      <c r="L80" s="147">
        <f>IF(t&lt;Tvie,1-EXP((T0-t)*PertePVj)+'2025'!Pspv,1-EXP((T0-t)*PertePVj)+Pspv)</f>
        <v>6.2538000139753303E-2</v>
      </c>
      <c r="M80" s="870"/>
      <c r="N80" s="870"/>
      <c r="O80" s="48">
        <f>IF(t&lt;Tnet,'2025'!Resal+('2025'!Salim-'2025'!Resal)*(1-EXP(('2025'!Tnet-t)/('2025'!Tau_j))),Resal+(Salim-Resal)*(1-EXP((Tnet-t)/(Tau_j))))*Salcycl</f>
        <v>9.1555790814140947E-2</v>
      </c>
      <c r="P80" s="171">
        <f>(INDEX(Models!$BJ80:$BT80,,T80)*(1-R80)+INDEX(Models!$BJ80:$BT80,,T80+1)*R80-ERP_i)*Q80*Ramure*Pc/MaxiM</f>
        <v>1.6218243670238523E-3</v>
      </c>
      <c r="Q80" s="307">
        <f t="shared" si="28"/>
        <v>1</v>
      </c>
      <c r="R80" s="179">
        <f t="shared" si="29"/>
        <v>0.87767407288056143</v>
      </c>
      <c r="S80" s="837">
        <f t="shared" si="30"/>
        <v>-3</v>
      </c>
      <c r="T80" s="178">
        <f t="shared" si="31"/>
        <v>3</v>
      </c>
      <c r="U80" s="253">
        <f t="shared" si="32"/>
        <v>-2.1223259271194386</v>
      </c>
      <c r="V80" s="385">
        <f t="shared" si="33"/>
        <v>34.446125928578468</v>
      </c>
      <c r="W80" s="404">
        <f t="shared" si="34"/>
        <v>32.472135824513821</v>
      </c>
      <c r="X80" s="157">
        <f t="shared" si="35"/>
        <v>46088</v>
      </c>
      <c r="Y80" s="387">
        <f t="shared" si="36"/>
        <v>29.360849288362694</v>
      </c>
      <c r="Z80" s="387">
        <f t="shared" si="37"/>
        <v>31.319508729676187</v>
      </c>
      <c r="AA80" s="388">
        <f t="shared" si="38"/>
        <v>36.111810302551817</v>
      </c>
      <c r="AB80" s="199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0.13270732020147386</v>
      </c>
      <c r="AD80" s="233">
        <f>(INDEX(Models!$BJ80:$BT80,,AH80)*(1-AF80)+INDEX(Models!$BJ80:$BT80,,AH80+1)*AF80-ERP_i)*AE80*Ramure*Pc/MaxiM</f>
        <v>5.9165965781784E-2</v>
      </c>
      <c r="AE80" s="307">
        <f t="shared" si="40"/>
        <v>1</v>
      </c>
      <c r="AF80" s="179">
        <f t="shared" si="41"/>
        <v>0.81265666580413187</v>
      </c>
      <c r="AG80" s="837">
        <f t="shared" ref="AG80:AG143" si="49">INDEX(Echel_vg,AH80)</f>
        <v>2</v>
      </c>
      <c r="AH80" s="178">
        <f t="shared" si="42"/>
        <v>8</v>
      </c>
      <c r="AI80" s="227">
        <f t="shared" si="43"/>
        <v>2.8126566658041319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46089</v>
      </c>
      <c r="B81" s="1139">
        <f>IF(t&gt;Tmaj,'2025'!Wh/'2025'!Env_an*'2026'!Env_an,0.001*'[5]mon-tableau'!$B$215)</f>
        <v>26.184987122072268</v>
      </c>
      <c r="C81" s="866"/>
      <c r="D81" s="395">
        <f t="shared" si="25"/>
        <v>27.932435131302544</v>
      </c>
      <c r="E81" s="387">
        <f t="shared" si="47"/>
        <v>30.752944608656353</v>
      </c>
      <c r="F81" s="387">
        <f t="shared" si="26"/>
        <v>30.785304650646509</v>
      </c>
      <c r="G81" s="110">
        <f t="shared" si="48"/>
        <v>0.75132886912567509</v>
      </c>
      <c r="H81" s="414" t="b">
        <f>Wh_hp&gt;='2025'!Maxi_hp</f>
        <v>1</v>
      </c>
      <c r="I81" s="392">
        <f>IF(H81,Wh_hp,'2025'!Maxi_hp)</f>
        <v>30.785304650646509</v>
      </c>
      <c r="J81" s="85">
        <f>IF(H81,An,'2025'!An_max)</f>
        <v>2026</v>
      </c>
      <c r="K81" s="199">
        <f t="shared" si="27"/>
        <v>46089</v>
      </c>
      <c r="L81" s="147">
        <f>IF(t&lt;Tvie,1-EXP((T0-t)*PertePVj)+'2025'!Pspv,1-EXP((T0-t)*PertePVj)+Pspv)</f>
        <v>6.2559816250033817E-2</v>
      </c>
      <c r="M81" s="870"/>
      <c r="N81" s="870"/>
      <c r="O81" s="48">
        <f>IF(t&lt;Tnet,'2025'!Resal+('2025'!Salim-'2025'!Resal)*(1-EXP(('2025'!Tnet-t)/('2025'!Tau_j))),Resal+(Salim-Resal)*(1-EXP((Tnet-t)/(Tau_j))))*Salcycl</f>
        <v>9.1715102837986145E-2</v>
      </c>
      <c r="P81" s="171">
        <f>(INDEX(Models!$BJ81:$BT81,,T81)*(1-R81)+INDEX(Models!$BJ81:$BT81,,T81+1)*R81-ERP_i)*Q81*Ramure*Pc/MaxiM</f>
        <v>1.6287427116853349E-3</v>
      </c>
      <c r="Q81" s="307">
        <f t="shared" si="28"/>
        <v>1</v>
      </c>
      <c r="R81" s="179">
        <f t="shared" si="29"/>
        <v>0.87824341064005562</v>
      </c>
      <c r="S81" s="837">
        <f t="shared" si="30"/>
        <v>-3</v>
      </c>
      <c r="T81" s="178">
        <f t="shared" si="31"/>
        <v>3</v>
      </c>
      <c r="U81" s="253">
        <f t="shared" si="32"/>
        <v>-2.1217565893599444</v>
      </c>
      <c r="V81" s="385">
        <f t="shared" si="33"/>
        <v>34.831414156811832</v>
      </c>
      <c r="W81" s="404">
        <f t="shared" si="34"/>
        <v>26.184987122072268</v>
      </c>
      <c r="X81" s="157">
        <f t="shared" si="35"/>
        <v>46089</v>
      </c>
      <c r="Y81" s="387">
        <f t="shared" si="36"/>
        <v>24.10351701801293</v>
      </c>
      <c r="Z81" s="387">
        <f t="shared" si="37"/>
        <v>25.712058684740374</v>
      </c>
      <c r="AA81" s="388">
        <f t="shared" si="38"/>
        <v>29.649149227970863</v>
      </c>
      <c r="AB81" s="199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0.13278932602613294</v>
      </c>
      <c r="AD81" s="233">
        <f>(INDEX(Models!$BJ81:$BT81,,AH81)*(1-AF81)+INDEX(Models!$BJ81:$BT81,,AH81+1)*AF81-ERP_i)*AE81*Ramure*Pc/MaxiM</f>
        <v>5.7184872151510198E-2</v>
      </c>
      <c r="AE81" s="307">
        <f t="shared" si="40"/>
        <v>1</v>
      </c>
      <c r="AF81" s="179">
        <f t="shared" si="41"/>
        <v>0.81322600356362607</v>
      </c>
      <c r="AG81" s="837">
        <f t="shared" si="49"/>
        <v>2</v>
      </c>
      <c r="AH81" s="178">
        <f t="shared" si="42"/>
        <v>8</v>
      </c>
      <c r="AI81" s="227">
        <f t="shared" si="43"/>
        <v>2.8132260035636261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46090</v>
      </c>
      <c r="B82" s="1139">
        <f>IF(t&gt;Tmaj,'2025'!Wh/'2025'!Env_an*'2026'!Env_an,0.001*'[5]mon-tableau'!$B$216)</f>
        <v>27.254473386527216</v>
      </c>
      <c r="C82" s="866"/>
      <c r="D82" s="395">
        <f t="shared" si="25"/>
        <v>29.073969865120397</v>
      </c>
      <c r="E82" s="387">
        <f t="shared" si="47"/>
        <v>32.01535995759955</v>
      </c>
      <c r="F82" s="387">
        <f t="shared" si="26"/>
        <v>32.050818603096261</v>
      </c>
      <c r="G82" s="110">
        <f t="shared" si="48"/>
        <v>0.77344046487409168</v>
      </c>
      <c r="H82" s="414" t="b">
        <f>Wh_hp&gt;='2025'!Maxi_hp</f>
        <v>0</v>
      </c>
      <c r="I82" s="392">
        <f>IF(H82,Wh_hp,'2025'!Maxi_hp)</f>
        <v>39.162385004311176</v>
      </c>
      <c r="J82" s="85">
        <f>IF(H82,An,'2025'!An_max)</f>
        <v>2021</v>
      </c>
      <c r="K82" s="199">
        <f t="shared" si="27"/>
        <v>46090</v>
      </c>
      <c r="L82" s="147">
        <f>IF(t&lt;Tvie,1-EXP((T0-t)*PertePVj)+'2025'!Pspv,1-EXP((T0-t)*PertePVj)+Pspv)</f>
        <v>6.2581631852621666E-2</v>
      </c>
      <c r="M82" s="870"/>
      <c r="N82" s="870"/>
      <c r="O82" s="48">
        <f>IF(t&lt;Tnet,'2025'!Resal+('2025'!Salim-'2025'!Resal)*(1-EXP(('2025'!Tnet-t)/('2025'!Tau_j))),Resal+(Salim-Resal)*(1-EXP((Tnet-t)/(Tau_j))))*Salcycl</f>
        <v>9.1874340828110829E-2</v>
      </c>
      <c r="P82" s="171">
        <f>(INDEX(Models!$BJ82:$BT82,,T82)*(1-R82)+INDEX(Models!$BJ82:$BT82,,T82+1)*R82-ERP_i)*Q82*Ramure*Pc/MaxiM</f>
        <v>1.6343332424756814E-3</v>
      </c>
      <c r="Q82" s="307">
        <f t="shared" si="28"/>
        <v>1</v>
      </c>
      <c r="R82" s="179">
        <f t="shared" si="29"/>
        <v>0.87883563077427729</v>
      </c>
      <c r="S82" s="837">
        <f t="shared" si="30"/>
        <v>-3</v>
      </c>
      <c r="T82" s="178">
        <f t="shared" si="31"/>
        <v>3</v>
      </c>
      <c r="U82" s="253">
        <f t="shared" si="32"/>
        <v>-2.1211643692257227</v>
      </c>
      <c r="V82" s="385">
        <f t="shared" si="33"/>
        <v>35.219345403857638</v>
      </c>
      <c r="W82" s="404">
        <f t="shared" si="34"/>
        <v>27.254473386527216</v>
      </c>
      <c r="X82" s="157">
        <f t="shared" si="35"/>
        <v>46090</v>
      </c>
      <c r="Y82" s="387">
        <f t="shared" si="36"/>
        <v>25.079125623886018</v>
      </c>
      <c r="Z82" s="387">
        <f t="shared" si="37"/>
        <v>26.753396856784384</v>
      </c>
      <c r="AA82" s="388">
        <f t="shared" si="38"/>
        <v>30.8528630123438</v>
      </c>
      <c r="AB82" s="199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0.13287149895681555</v>
      </c>
      <c r="AD82" s="233">
        <f>(INDEX(Models!$BJ82:$BT82,,AH82)*(1-AF82)+INDEX(Models!$BJ82:$BT82,,AH82+1)*AF82-ERP_i)*AE82*Ramure*Pc/MaxiM</f>
        <v>5.5215268873086303E-2</v>
      </c>
      <c r="AE82" s="307">
        <f t="shared" si="40"/>
        <v>1</v>
      </c>
      <c r="AF82" s="179">
        <f t="shared" si="41"/>
        <v>0.81381822369784773</v>
      </c>
      <c r="AG82" s="837">
        <f t="shared" si="49"/>
        <v>2</v>
      </c>
      <c r="AH82" s="178">
        <f t="shared" si="42"/>
        <v>8</v>
      </c>
      <c r="AI82" s="227">
        <f t="shared" si="43"/>
        <v>2.8138182236978477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46091</v>
      </c>
      <c r="B83" s="1139">
        <f>IF(t&gt;Tmaj,'2025'!Wh/'2025'!Env_an*'2026'!Env_an,0.001*'[5]mon-tableau'!$B$217)</f>
        <v>19.111529559106188</v>
      </c>
      <c r="C83" s="866"/>
      <c r="D83" s="395">
        <f t="shared" si="25"/>
        <v>20.38788119806155</v>
      </c>
      <c r="E83" s="387">
        <f t="shared" si="47"/>
        <v>22.454443387286631</v>
      </c>
      <c r="F83" s="387">
        <f t="shared" si="26"/>
        <v>22.466892360675477</v>
      </c>
      <c r="G83" s="110">
        <f t="shared" si="48"/>
        <v>0.53611751823182674</v>
      </c>
      <c r="H83" s="414" t="b">
        <f>Wh_hp&gt;='2025'!Maxi_hp</f>
        <v>0</v>
      </c>
      <c r="I83" s="392">
        <f>IF(H83,Wh_hp,'2025'!Maxi_hp)</f>
        <v>39.155466400635383</v>
      </c>
      <c r="J83" s="85">
        <f>IF(H83,An,'2025'!An_max)</f>
        <v>2021</v>
      </c>
      <c r="K83" s="199">
        <f t="shared" si="27"/>
        <v>46091</v>
      </c>
      <c r="L83" s="147">
        <f>IF(t&lt;Tvie,1-EXP((T0-t)*PertePVj)+'2025'!Pspv,1-EXP((T0-t)*PertePVj)+Pspv)</f>
        <v>6.2603446947528507E-2</v>
      </c>
      <c r="M83" s="870"/>
      <c r="N83" s="870"/>
      <c r="O83" s="48">
        <f>IF(t&lt;Tnet,'2025'!Resal+('2025'!Salim-'2025'!Resal)*(1-EXP(('2025'!Tnet-t)/('2025'!Tau_j))),Resal+(Salim-Resal)*(1-EXP((Tnet-t)/(Tau_j))))*Salcycl</f>
        <v>9.2033552272114641E-2</v>
      </c>
      <c r="P83" s="171">
        <f>(INDEX(Models!$BJ83:$BT83,,T83)*(1-R83)+INDEX(Models!$BJ83:$BT83,,T83+1)*R83-ERP_i)*Q83*Ramure*Pc/MaxiM</f>
        <v>1.6386660353212908E-3</v>
      </c>
      <c r="Q83" s="307">
        <f t="shared" si="28"/>
        <v>1</v>
      </c>
      <c r="R83" s="179">
        <f t="shared" si="29"/>
        <v>0.87945161018214879</v>
      </c>
      <c r="S83" s="837">
        <f t="shared" si="30"/>
        <v>-3</v>
      </c>
      <c r="T83" s="178">
        <f t="shared" si="31"/>
        <v>3</v>
      </c>
      <c r="U83" s="253">
        <f t="shared" si="32"/>
        <v>-2.1205483898178512</v>
      </c>
      <c r="V83" s="385">
        <f t="shared" si="33"/>
        <v>35.609338923913072</v>
      </c>
      <c r="W83" s="404">
        <f t="shared" si="34"/>
        <v>19.111529559106188</v>
      </c>
      <c r="X83" s="157">
        <f t="shared" si="35"/>
        <v>46091</v>
      </c>
      <c r="Y83" s="387">
        <f t="shared" si="36"/>
        <v>17.931479788122726</v>
      </c>
      <c r="Z83" s="387">
        <f t="shared" si="37"/>
        <v>19.129022535587453</v>
      </c>
      <c r="AA83" s="388">
        <f t="shared" si="38"/>
        <v>22.062290193052785</v>
      </c>
      <c r="AB83" s="199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0.13295390604503021</v>
      </c>
      <c r="AD83" s="233">
        <f>(INDEX(Models!$BJ83:$BT83,,AH83)*(1-AF83)+INDEX(Models!$BJ83:$BT83,,AH83+1)*AF83-ERP_i)*AE83*Ramure*Pc/MaxiM</f>
        <v>5.3258032545448579E-2</v>
      </c>
      <c r="AE83" s="307">
        <f t="shared" si="40"/>
        <v>1</v>
      </c>
      <c r="AF83" s="179">
        <f t="shared" si="41"/>
        <v>0.81443420310571923</v>
      </c>
      <c r="AG83" s="837">
        <f t="shared" si="49"/>
        <v>2</v>
      </c>
      <c r="AH83" s="178">
        <f t="shared" si="42"/>
        <v>8</v>
      </c>
      <c r="AI83" s="227">
        <f t="shared" si="43"/>
        <v>2.8144342031057192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46092</v>
      </c>
      <c r="B84" s="1139">
        <f>IF(t&gt;Tmaj,'2025'!Wh/'2025'!Env_an*'2026'!Env_an,0.001*'[5]mon-tableau'!$B$218)</f>
        <v>13.589184222656289</v>
      </c>
      <c r="C84" s="866"/>
      <c r="D84" s="395">
        <f t="shared" si="25"/>
        <v>14.497066823996025</v>
      </c>
      <c r="E84" s="387">
        <f t="shared" si="47"/>
        <v>15.969323258142147</v>
      </c>
      <c r="F84" s="387">
        <f t="shared" si="26"/>
        <v>15.972225387775199</v>
      </c>
      <c r="G84" s="110">
        <f t="shared" si="48"/>
        <v>0.37691755602973354</v>
      </c>
      <c r="H84" s="414" t="b">
        <f>Wh_hp&gt;='2025'!Maxi_hp</f>
        <v>0</v>
      </c>
      <c r="I84" s="392">
        <f>IF(H84,Wh_hp,'2025'!Maxi_hp)</f>
        <v>33.082890956820819</v>
      </c>
      <c r="J84" s="85">
        <f>IF(H84,An,'2025'!An_max)</f>
        <v>2019</v>
      </c>
      <c r="K84" s="199">
        <f t="shared" si="27"/>
        <v>46092</v>
      </c>
      <c r="L84" s="147">
        <f>IF(t&lt;Tvie,1-EXP((T0-t)*PertePVj)+'2025'!Pspv,1-EXP((T0-t)*PertePVj)+Pspv)</f>
        <v>6.262526153476633E-2</v>
      </c>
      <c r="M84" s="870"/>
      <c r="N84" s="870"/>
      <c r="O84" s="48">
        <f>IF(t&lt;Tnet,'2025'!Resal+('2025'!Salim-'2025'!Resal)*(1-EXP(('2025'!Tnet-t)/('2025'!Tau_j))),Resal+(Salim-Resal)*(1-EXP((Tnet-t)/(Tau_j))))*Salcycl</f>
        <v>9.2192788031607673E-2</v>
      </c>
      <c r="P84" s="171">
        <f>(INDEX(Models!$BJ84:$BT84,,T84)*(1-R84)+INDEX(Models!$BJ84:$BT84,,T84+1)*R84-ERP_i)*Q84*Ramure*Pc/MaxiM</f>
        <v>1.6418087891894972E-3</v>
      </c>
      <c r="Q84" s="307">
        <f t="shared" si="28"/>
        <v>1</v>
      </c>
      <c r="R84" s="179">
        <f t="shared" si="29"/>
        <v>0.88009225579287964</v>
      </c>
      <c r="S84" s="837">
        <f t="shared" si="30"/>
        <v>-3</v>
      </c>
      <c r="T84" s="178">
        <f t="shared" si="31"/>
        <v>3</v>
      </c>
      <c r="U84" s="253">
        <f t="shared" si="32"/>
        <v>-2.1199077442071204</v>
      </c>
      <c r="V84" s="385">
        <f t="shared" si="33"/>
        <v>36.000814215773907</v>
      </c>
      <c r="W84" s="404">
        <f t="shared" si="34"/>
        <v>13.589184222656289</v>
      </c>
      <c r="X84" s="157">
        <f t="shared" si="35"/>
        <v>46092</v>
      </c>
      <c r="Y84" s="387">
        <f t="shared" si="36"/>
        <v>12.90642876532724</v>
      </c>
      <c r="Z84" s="387">
        <f t="shared" si="37"/>
        <v>13.768697017010478</v>
      </c>
      <c r="AA84" s="388">
        <f t="shared" si="38"/>
        <v>15.881520854900103</v>
      </c>
      <c r="AB84" s="199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0.13303661892291205</v>
      </c>
      <c r="AD84" s="233">
        <f>(INDEX(Models!$BJ84:$BT84,,AH84)*(1-AF84)+INDEX(Models!$BJ84:$BT84,,AH84+1)*AF84-ERP_i)*AE84*Ramure*Pc/MaxiM</f>
        <v>5.1313868821568048E-2</v>
      </c>
      <c r="AE84" s="307">
        <f t="shared" si="40"/>
        <v>1</v>
      </c>
      <c r="AF84" s="179">
        <f t="shared" si="41"/>
        <v>0.81507484871645008</v>
      </c>
      <c r="AG84" s="837">
        <f t="shared" si="49"/>
        <v>2</v>
      </c>
      <c r="AH84" s="178">
        <f t="shared" si="42"/>
        <v>8</v>
      </c>
      <c r="AI84" s="227">
        <f t="shared" si="43"/>
        <v>2.8150748487164501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46093</v>
      </c>
      <c r="B85" s="1139">
        <f>IF(t&gt;Tmaj,'2025'!Wh/'2025'!Env_an*'2026'!Env_an,0.001*'[5]mon-tableau'!$B$219)</f>
        <v>12.877801480964065</v>
      </c>
      <c r="C85" s="866"/>
      <c r="D85" s="395">
        <f t="shared" si="25"/>
        <v>13.738476880950955</v>
      </c>
      <c r="E85" s="387">
        <f t="shared" si="47"/>
        <v>15.136350686573827</v>
      </c>
      <c r="F85" s="387">
        <f t="shared" si="26"/>
        <v>15.13826509901355</v>
      </c>
      <c r="G85" s="110">
        <f t="shared" si="48"/>
        <v>0.35331495602625895</v>
      </c>
      <c r="H85" s="414" t="b">
        <f>Wh_hp&gt;='2025'!Maxi_hp</f>
        <v>0</v>
      </c>
      <c r="I85" s="392">
        <f>IF(H85,Wh_hp,'2025'!Maxi_hp)</f>
        <v>39.998388958381668</v>
      </c>
      <c r="J85" s="85">
        <f>IF(H85,An,'2025'!An_max)</f>
        <v>2020</v>
      </c>
      <c r="K85" s="199">
        <f t="shared" si="27"/>
        <v>46093</v>
      </c>
      <c r="L85" s="147">
        <f>IF(t&lt;Tvie,1-EXP((T0-t)*PertePVj)+'2025'!Pspv,1-EXP((T0-t)*PertePVj)+Pspv)</f>
        <v>6.2647075614346792E-2</v>
      </c>
      <c r="M85" s="870"/>
      <c r="N85" s="870"/>
      <c r="O85" s="48">
        <f>IF(t&lt;Tnet,'2025'!Resal+('2025'!Salim-'2025'!Resal)*(1-EXP(('2025'!Tnet-t)/('2025'!Tau_j))),Resal+(Salim-Resal)*(1-EXP((Tnet-t)/(Tau_j))))*Salcycl</f>
        <v>9.2352102205375486E-2</v>
      </c>
      <c r="P85" s="171">
        <f>(INDEX(Models!$BJ85:$BT85,,T85)*(1-R85)+INDEX(Models!$BJ85:$BT85,,T85+1)*R85-ERP_i)*Q85*Ramure*Pc/MaxiM</f>
        <v>1.6438267219030744E-3</v>
      </c>
      <c r="Q85" s="307">
        <f t="shared" si="28"/>
        <v>1</v>
      </c>
      <c r="R85" s="179">
        <f t="shared" si="29"/>
        <v>0.88075850529197686</v>
      </c>
      <c r="S85" s="837">
        <f t="shared" si="30"/>
        <v>-3</v>
      </c>
      <c r="T85" s="178">
        <f t="shared" si="31"/>
        <v>3</v>
      </c>
      <c r="U85" s="253">
        <f t="shared" si="32"/>
        <v>-2.1192414947080231</v>
      </c>
      <c r="V85" s="385">
        <f t="shared" si="33"/>
        <v>36.393191021642522</v>
      </c>
      <c r="W85" s="404">
        <f t="shared" si="34"/>
        <v>12.877801480964065</v>
      </c>
      <c r="X85" s="157">
        <f t="shared" si="35"/>
        <v>46093</v>
      </c>
      <c r="Y85" s="387">
        <f t="shared" si="36"/>
        <v>12.254209201708912</v>
      </c>
      <c r="Z85" s="387">
        <f t="shared" si="37"/>
        <v>13.073207415169046</v>
      </c>
      <c r="AA85" s="388">
        <f t="shared" si="38"/>
        <v>15.080752925185292</v>
      </c>
      <c r="AB85" s="199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0.13311971358297295</v>
      </c>
      <c r="AD85" s="233">
        <f>(INDEX(Models!$BJ85:$BT85,,AH85)*(1-AF85)+INDEX(Models!$BJ85:$BT85,,AH85+1)*AF85-ERP_i)*AE85*Ramure*Pc/MaxiM</f>
        <v>4.9383323160636594E-2</v>
      </c>
      <c r="AE85" s="307">
        <f t="shared" si="40"/>
        <v>1</v>
      </c>
      <c r="AF85" s="179">
        <f t="shared" si="41"/>
        <v>0.8157410982155473</v>
      </c>
      <c r="AG85" s="837">
        <f t="shared" si="49"/>
        <v>2</v>
      </c>
      <c r="AH85" s="178">
        <f t="shared" si="42"/>
        <v>8</v>
      </c>
      <c r="AI85" s="227">
        <f t="shared" si="43"/>
        <v>2.8157410982155473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46094</v>
      </c>
      <c r="B86" s="1139">
        <f>IF(t&gt;Tmaj,'2025'!Wh/'2025'!Env_an*'2026'!Env_an,0.001*'[5]mon-tableau'!$B$220)</f>
        <v>8.5014565497811301</v>
      </c>
      <c r="C86" s="866"/>
      <c r="D86" s="395">
        <f t="shared" si="25"/>
        <v>9.0698542400889934</v>
      </c>
      <c r="E86" s="387">
        <f t="shared" si="47"/>
        <v>9.9944569650877177</v>
      </c>
      <c r="F86" s="387">
        <f t="shared" si="26"/>
        <v>9.9944569650877177</v>
      </c>
      <c r="G86" s="110">
        <f t="shared" si="48"/>
        <v>0.23072633715670243</v>
      </c>
      <c r="H86" s="414" t="b">
        <f>Wh_hp&gt;='2025'!Maxi_hp</f>
        <v>0</v>
      </c>
      <c r="I86" s="392">
        <f>IF(H86,Wh_hp,'2025'!Maxi_hp)</f>
        <v>40.074289078669288</v>
      </c>
      <c r="J86" s="85">
        <f>IF(H86,An,'2025'!An_max)</f>
        <v>2021</v>
      </c>
      <c r="K86" s="199">
        <f t="shared" si="27"/>
        <v>46094</v>
      </c>
      <c r="L86" s="147">
        <f>IF(t&lt;Tvie,1-EXP((T0-t)*PertePVj)+'2025'!Pspv,1-EXP((T0-t)*PertePVj)+Pspv)</f>
        <v>6.2668889186281662E-2</v>
      </c>
      <c r="M86" s="870"/>
      <c r="N86" s="870"/>
      <c r="O86" s="48">
        <f>IF(t&lt;Tnet,'2025'!Resal+('2025'!Salim-'2025'!Resal)*(1-EXP(('2025'!Tnet-t)/('2025'!Tau_j))),Resal+(Salim-Resal)*(1-EXP((Tnet-t)/(Tau_j))))*Salcycl</f>
        <v>9.2511551976111717E-2</v>
      </c>
      <c r="P86" s="171">
        <f>(INDEX(Models!$BJ86:$BT86,,T86)*(1-R86)+INDEX(Models!$BJ86:$BT86,,T86+1)*R86-ERP_i)*Q86*Ramure*Pc/MaxiM</f>
        <v>1.6435007620430959E-3</v>
      </c>
      <c r="Q86" s="307">
        <f t="shared" si="28"/>
        <v>1</v>
      </c>
      <c r="R86" s="179">
        <f t="shared" si="29"/>
        <v>0.88145132783756086</v>
      </c>
      <c r="S86" s="837">
        <f t="shared" si="30"/>
        <v>-3</v>
      </c>
      <c r="T86" s="178">
        <f t="shared" si="31"/>
        <v>3</v>
      </c>
      <c r="U86" s="253">
        <f t="shared" si="32"/>
        <v>-2.1185486721624391</v>
      </c>
      <c r="V86" s="385">
        <f t="shared" si="33"/>
        <v>36.785936551745465</v>
      </c>
      <c r="W86" s="404">
        <f t="shared" si="34"/>
        <v>8.5014565497811301</v>
      </c>
      <c r="X86" s="157">
        <f t="shared" si="35"/>
        <v>46094</v>
      </c>
      <c r="Y86" s="387">
        <f t="shared" si="36"/>
        <v>8.1202518362398148</v>
      </c>
      <c r="Z86" s="387">
        <f t="shared" si="37"/>
        <v>8.6631626141059588</v>
      </c>
      <c r="AA86" s="388">
        <f t="shared" si="38"/>
        <v>9.9944569650877177</v>
      </c>
      <c r="AB86" s="199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0.13320327013585517</v>
      </c>
      <c r="AD86" s="233">
        <f>(INDEX(Models!$BJ86:$BT86,,AH86)*(1-AF86)+INDEX(Models!$BJ86:$BT86,,AH86+1)*AF86-ERP_i)*AE86*Ramure*Pc/MaxiM</f>
        <v>4.7488045682542307E-2</v>
      </c>
      <c r="AE86" s="307">
        <f t="shared" si="40"/>
        <v>1</v>
      </c>
      <c r="AF86" s="179">
        <f t="shared" si="41"/>
        <v>0.8164339207611313</v>
      </c>
      <c r="AG86" s="837">
        <f t="shared" si="49"/>
        <v>2</v>
      </c>
      <c r="AH86" s="178">
        <f t="shared" si="42"/>
        <v>8</v>
      </c>
      <c r="AI86" s="227">
        <f t="shared" si="43"/>
        <v>2.8164339207611313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46095</v>
      </c>
      <c r="B87" s="1139">
        <f>IF(t&gt;Tmaj,'2025'!Wh/'2025'!Env_an*'2026'!Env_an,0.001*'[5]mon-tableau'!$B$221)</f>
        <v>11.707659285646336</v>
      </c>
      <c r="C87" s="866"/>
      <c r="D87" s="395">
        <f t="shared" si="25"/>
        <v>12.490710711776483</v>
      </c>
      <c r="E87" s="387">
        <f t="shared" si="47"/>
        <v>13.766465559747834</v>
      </c>
      <c r="F87" s="387">
        <f t="shared" si="26"/>
        <v>13.766946633685645</v>
      </c>
      <c r="G87" s="110">
        <f t="shared" si="48"/>
        <v>0.31439852018568754</v>
      </c>
      <c r="H87" s="414" t="b">
        <f>Wh_hp&gt;='2025'!Maxi_hp</f>
        <v>0</v>
      </c>
      <c r="I87" s="392">
        <f>IF(H87,Wh_hp,'2025'!Maxi_hp)</f>
        <v>37.860664680473128</v>
      </c>
      <c r="J87" s="85">
        <f>IF(H87,An,'2025'!An_max)</f>
        <v>2020</v>
      </c>
      <c r="K87" s="199">
        <f t="shared" si="27"/>
        <v>46095</v>
      </c>
      <c r="L87" s="147">
        <f>IF(t&lt;Tvie,1-EXP((T0-t)*PertePVj)+'2025'!Pspv,1-EXP((T0-t)*PertePVj)+Pspv)</f>
        <v>6.269070225058293E-2</v>
      </c>
      <c r="M87" s="870"/>
      <c r="N87" s="870"/>
      <c r="O87" s="48">
        <f>IF(t&lt;Tnet,'2025'!Resal+('2025'!Salim-'2025'!Resal)*(1-EXP(('2025'!Tnet-t)/('2025'!Tau_j))),Resal+(Salim-Resal)*(1-EXP((Tnet-t)/(Tau_j))))*Salcycl</f>
        <v>9.2671197442396991E-2</v>
      </c>
      <c r="P87" s="171">
        <f>(INDEX(Models!$BJ87:$BT87,,T87)*(1-R87)+INDEX(Models!$BJ87:$BT87,,T87+1)*R87-ERP_i)*Q87*Ramure*Pc/MaxiM</f>
        <v>1.6411910562244387E-3</v>
      </c>
      <c r="Q87" s="307">
        <f t="shared" si="28"/>
        <v>1</v>
      </c>
      <c r="R87" s="179">
        <f t="shared" si="29"/>
        <v>0.88217172476381345</v>
      </c>
      <c r="S87" s="837">
        <f t="shared" si="30"/>
        <v>-3</v>
      </c>
      <c r="T87" s="178">
        <f t="shared" si="31"/>
        <v>3</v>
      </c>
      <c r="U87" s="253">
        <f t="shared" si="32"/>
        <v>-2.1178282752361866</v>
      </c>
      <c r="V87" s="385">
        <f t="shared" si="33"/>
        <v>37.178461367474384</v>
      </c>
      <c r="W87" s="404">
        <f t="shared" si="34"/>
        <v>11.707659285646336</v>
      </c>
      <c r="X87" s="157">
        <f t="shared" si="35"/>
        <v>46095</v>
      </c>
      <c r="Y87" s="387">
        <f t="shared" si="36"/>
        <v>11.173092247205433</v>
      </c>
      <c r="Z87" s="387">
        <f t="shared" si="37"/>
        <v>11.920389858537902</v>
      </c>
      <c r="AA87" s="388">
        <f t="shared" si="38"/>
        <v>13.753566615950866</v>
      </c>
      <c r="AB87" s="199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0.13328737254865333</v>
      </c>
      <c r="AD87" s="233">
        <f>(INDEX(Models!$BJ87:$BT87,,AH87)*(1-AF87)+INDEX(Models!$BJ87:$BT87,,AH87+1)*AF87-ERP_i)*AE87*Ramure*Pc/MaxiM</f>
        <v>4.5646134019200577E-2</v>
      </c>
      <c r="AE87" s="307">
        <f t="shared" si="40"/>
        <v>1</v>
      </c>
      <c r="AF87" s="179">
        <f t="shared" si="41"/>
        <v>0.81715431768738389</v>
      </c>
      <c r="AG87" s="837">
        <f t="shared" si="49"/>
        <v>2</v>
      </c>
      <c r="AH87" s="178">
        <f t="shared" si="42"/>
        <v>8</v>
      </c>
      <c r="AI87" s="227">
        <f t="shared" si="43"/>
        <v>2.8171543176873839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46096</v>
      </c>
      <c r="B88" s="1139">
        <f>IF(t&gt;Tmaj,'2025'!Wh/'2025'!Env_an*'2026'!Env_an,0.001*'[5]mon-tableau'!$B$222)</f>
        <v>13.527324619009233</v>
      </c>
      <c r="C88" s="866"/>
      <c r="D88" s="395">
        <f t="shared" si="25"/>
        <v>14.432417836270973</v>
      </c>
      <c r="E88" s="387">
        <f t="shared" si="47"/>
        <v>15.909295236138828</v>
      </c>
      <c r="F88" s="387">
        <f t="shared" si="26"/>
        <v>15.911529865616894</v>
      </c>
      <c r="G88" s="110">
        <f t="shared" si="48"/>
        <v>0.35951585524906049</v>
      </c>
      <c r="H88" s="414" t="b">
        <f>Wh_hp&gt;='2025'!Maxi_hp</f>
        <v>0</v>
      </c>
      <c r="I88" s="392">
        <f>IF(H88,Wh_hp,'2025'!Maxi_hp)</f>
        <v>32.051148513928005</v>
      </c>
      <c r="J88" s="85">
        <f>IF(H88,An,'2025'!An_max)</f>
        <v>2020</v>
      </c>
      <c r="K88" s="199">
        <f t="shared" si="27"/>
        <v>46096</v>
      </c>
      <c r="L88" s="147">
        <f>IF(t&lt;Tvie,1-EXP((T0-t)*PertePVj)+'2025'!Pspv,1-EXP((T0-t)*PertePVj)+Pspv)</f>
        <v>6.2712514807262365E-2</v>
      </c>
      <c r="M88" s="870"/>
      <c r="N88" s="870"/>
      <c r="O88" s="48">
        <f>IF(t&lt;Tnet,'2025'!Resal+('2025'!Salim-'2025'!Resal)*(1-EXP(('2025'!Tnet-t)/('2025'!Tau_j))),Resal+(Salim-Resal)*(1-EXP((Tnet-t)/(Tau_j))))*Salcycl</f>
        <v>9.2831101437670718E-2</v>
      </c>
      <c r="P88" s="171">
        <f>(INDEX(Models!$BJ88:$BT88,,T88)*(1-R88)+INDEX(Models!$BJ88:$BT88,,T88+1)*R88-ERP_i)*Q88*Ramure*Pc/MaxiM</f>
        <v>1.6369828577462056E-3</v>
      </c>
      <c r="Q88" s="307">
        <f t="shared" si="28"/>
        <v>1</v>
      </c>
      <c r="R88" s="179">
        <f t="shared" si="29"/>
        <v>0.88292073026809792</v>
      </c>
      <c r="S88" s="837">
        <f t="shared" si="30"/>
        <v>-3</v>
      </c>
      <c r="T88" s="178">
        <f t="shared" si="31"/>
        <v>3</v>
      </c>
      <c r="U88" s="253">
        <f t="shared" si="32"/>
        <v>-2.1170792697319021</v>
      </c>
      <c r="V88" s="385">
        <f t="shared" si="33"/>
        <v>37.570186041411937</v>
      </c>
      <c r="W88" s="404">
        <f t="shared" si="34"/>
        <v>13.527324619009233</v>
      </c>
      <c r="X88" s="157">
        <f t="shared" si="35"/>
        <v>46096</v>
      </c>
      <c r="Y88" s="387">
        <f t="shared" si="36"/>
        <v>12.875979635115065</v>
      </c>
      <c r="Z88" s="387">
        <f t="shared" si="37"/>
        <v>13.737492326025599</v>
      </c>
      <c r="AA88" s="388">
        <f t="shared" si="38"/>
        <v>15.851661893931228</v>
      </c>
      <c r="AB88" s="199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0.13337210836644411</v>
      </c>
      <c r="AD88" s="233">
        <f>(INDEX(Models!$BJ88:$BT88,,AH88)*(1-AF88)+INDEX(Models!$BJ88:$BT88,,AH88+1)*AF88-ERP_i)*AE88*Ramure*Pc/MaxiM</f>
        <v>4.38564175132614E-2</v>
      </c>
      <c r="AE88" s="307">
        <f t="shared" si="40"/>
        <v>1</v>
      </c>
      <c r="AF88" s="179">
        <f t="shared" si="41"/>
        <v>0.81790332319166836</v>
      </c>
      <c r="AG88" s="837">
        <f t="shared" si="49"/>
        <v>2</v>
      </c>
      <c r="AH88" s="178">
        <f t="shared" si="42"/>
        <v>8</v>
      </c>
      <c r="AI88" s="227">
        <f t="shared" si="43"/>
        <v>2.8179033231916684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46097</v>
      </c>
      <c r="B89" s="1139">
        <f>IF(t&gt;Tmaj,'2025'!Wh/'2025'!Env_an*'2026'!Env_an,0.001*'[5]mon-tableau'!$B$223)</f>
        <v>11.870249665129652</v>
      </c>
      <c r="C89" s="866"/>
      <c r="D89" s="395">
        <f t="shared" si="25"/>
        <v>12.664765183724088</v>
      </c>
      <c r="E89" s="387">
        <f t="shared" si="47"/>
        <v>13.963223939722955</v>
      </c>
      <c r="F89" s="387">
        <f t="shared" si="26"/>
        <v>13.963637119550397</v>
      </c>
      <c r="G89" s="110">
        <f t="shared" si="48"/>
        <v>0.31219901391286753</v>
      </c>
      <c r="H89" s="414" t="b">
        <f>Wh_hp&gt;='2025'!Maxi_hp</f>
        <v>0</v>
      </c>
      <c r="I89" s="392">
        <f>IF(H89,Wh_hp,'2025'!Maxi_hp)</f>
        <v>45.887721120206436</v>
      </c>
      <c r="J89" s="85">
        <f>IF(H89,An,'2025'!An_max)</f>
        <v>2020</v>
      </c>
      <c r="K89" s="199">
        <f t="shared" si="27"/>
        <v>46097</v>
      </c>
      <c r="L89" s="147">
        <f>IF(t&lt;Tvie,1-EXP((T0-t)*PertePVj)+'2025'!Pspv,1-EXP((T0-t)*PertePVj)+Pspv)</f>
        <v>6.2734326856331624E-2</v>
      </c>
      <c r="M89" s="870"/>
      <c r="N89" s="870"/>
      <c r="O89" s="48">
        <f>IF(t&lt;Tnet,'2025'!Resal+('2025'!Salim-'2025'!Resal)*(1-EXP(('2025'!Tnet-t)/('2025'!Tau_j))),Resal+(Salim-Resal)*(1-EXP((Tnet-t)/(Tau_j))))*Salcycl</f>
        <v>9.2991329337988801E-2</v>
      </c>
      <c r="P89" s="171">
        <f>(INDEX(Models!$BJ89:$BT89,,T89)*(1-R89)+INDEX(Models!$BJ89:$BT89,,T89+1)*R89-ERP_i)*Q89*Ramure*Pc/MaxiM</f>
        <v>1.6309570955379687E-3</v>
      </c>
      <c r="Q89" s="307">
        <f t="shared" si="28"/>
        <v>1</v>
      </c>
      <c r="R89" s="179">
        <f t="shared" si="29"/>
        <v>0.88369941207797842</v>
      </c>
      <c r="S89" s="837">
        <f t="shared" si="30"/>
        <v>-3</v>
      </c>
      <c r="T89" s="178">
        <f t="shared" si="31"/>
        <v>3</v>
      </c>
      <c r="U89" s="253">
        <f t="shared" si="32"/>
        <v>-2.1163005879220216</v>
      </c>
      <c r="V89" s="385">
        <f t="shared" si="33"/>
        <v>37.96053140374535</v>
      </c>
      <c r="W89" s="404">
        <f t="shared" si="34"/>
        <v>11.870249665129652</v>
      </c>
      <c r="X89" s="157">
        <f t="shared" si="35"/>
        <v>46097</v>
      </c>
      <c r="Y89" s="387">
        <f t="shared" si="36"/>
        <v>11.332327540581566</v>
      </c>
      <c r="Z89" s="387">
        <f t="shared" si="37"/>
        <v>12.090838131916195</v>
      </c>
      <c r="AA89" s="388">
        <f t="shared" si="38"/>
        <v>13.952967207695023</v>
      </c>
      <c r="AB89" s="199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0.13345756841970283</v>
      </c>
      <c r="AD89" s="233">
        <f>(INDEX(Models!$BJ89:$BT89,,AH89)*(1-AF89)+INDEX(Models!$BJ89:$BT89,,AH89+1)*AF89-ERP_i)*AE89*Ramure*Pc/MaxiM</f>
        <v>4.2117662319158089E-2</v>
      </c>
      <c r="AE89" s="307">
        <f t="shared" si="40"/>
        <v>1</v>
      </c>
      <c r="AF89" s="179">
        <f t="shared" si="41"/>
        <v>0.81868200500154886</v>
      </c>
      <c r="AG89" s="837">
        <f t="shared" si="49"/>
        <v>2</v>
      </c>
      <c r="AH89" s="178">
        <f t="shared" si="42"/>
        <v>8</v>
      </c>
      <c r="AI89" s="227">
        <f t="shared" si="43"/>
        <v>2.8186820050015489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46098</v>
      </c>
      <c r="B90" s="1139">
        <f>IF(t&gt;Tmaj,'2025'!Wh/'2025'!Env_an*'2026'!Env_an,0.001*'[5]mon-tableau'!$B$224)</f>
        <v>10.408540125250047</v>
      </c>
      <c r="C90" s="866"/>
      <c r="D90" s="395">
        <f t="shared" si="25"/>
        <v>11.105476975284621</v>
      </c>
      <c r="E90" s="387">
        <f t="shared" si="47"/>
        <v>12.246237902070307</v>
      </c>
      <c r="F90" s="387">
        <f t="shared" si="26"/>
        <v>12.246237902070307</v>
      </c>
      <c r="G90" s="110">
        <f t="shared" si="48"/>
        <v>0.27097622246594116</v>
      </c>
      <c r="H90" s="414" t="b">
        <f>Wh_hp&gt;='2025'!Maxi_hp</f>
        <v>0</v>
      </c>
      <c r="I90" s="392">
        <f>IF(H90,Wh_hp,'2025'!Maxi_hp)</f>
        <v>24.980493555127275</v>
      </c>
      <c r="J90" s="85">
        <f>IF(H90,An,'2025'!An_max)</f>
        <v>2021</v>
      </c>
      <c r="K90" s="199">
        <f t="shared" si="27"/>
        <v>46098</v>
      </c>
      <c r="L90" s="147">
        <f>IF(t&lt;Tvie,1-EXP((T0-t)*PertePVj)+'2025'!Pspv,1-EXP((T0-t)*PertePVj)+Pspv)</f>
        <v>6.2756138397802697E-2</v>
      </c>
      <c r="M90" s="870"/>
      <c r="N90" s="870"/>
      <c r="O90" s="48">
        <f>IF(t&lt;Tnet,'2025'!Resal+('2025'!Salim-'2025'!Resal)*(1-EXP(('2025'!Tnet-t)/('2025'!Tau_j))),Resal+(Salim-Resal)*(1-EXP((Tnet-t)/(Tau_j))))*Salcycl</f>
        <v>9.3151948860378933E-2</v>
      </c>
      <c r="P90" s="171">
        <f>(INDEX(Models!$BJ90:$BT90,,T90)*(1-R90)+INDEX(Models!$BJ90:$BT90,,T90+1)*R90-ERP_i)*Q90*Ramure*Pc/MaxiM</f>
        <v>1.6231903207235136E-3</v>
      </c>
      <c r="Q90" s="307">
        <f t="shared" si="28"/>
        <v>1</v>
      </c>
      <c r="R90" s="179">
        <f t="shared" si="29"/>
        <v>0.88450887209404838</v>
      </c>
      <c r="S90" s="837">
        <f t="shared" si="30"/>
        <v>-3</v>
      </c>
      <c r="T90" s="178">
        <f t="shared" si="31"/>
        <v>3</v>
      </c>
      <c r="U90" s="253">
        <f t="shared" si="32"/>
        <v>-2.1154911279059516</v>
      </c>
      <c r="V90" s="385">
        <f t="shared" si="33"/>
        <v>38.34891854753787</v>
      </c>
      <c r="W90" s="404">
        <f t="shared" si="34"/>
        <v>10.408540125250047</v>
      </c>
      <c r="X90" s="157">
        <f t="shared" si="35"/>
        <v>46098</v>
      </c>
      <c r="Y90" s="387">
        <f t="shared" si="36"/>
        <v>9.9449335849924427</v>
      </c>
      <c r="Z90" s="387">
        <f t="shared" si="37"/>
        <v>10.610828187225257</v>
      </c>
      <c r="AA90" s="388">
        <f t="shared" si="38"/>
        <v>12.246237902070307</v>
      </c>
      <c r="AB90" s="199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0.13354384652029122</v>
      </c>
      <c r="AD90" s="233">
        <f>(INDEX(Models!$BJ90:$BT90,,AH90)*(1-AF90)+INDEX(Models!$BJ90:$BT90,,AH90+1)*AF90-ERP_i)*AE90*Ramure*Pc/MaxiM</f>
        <v>4.0428581470591765E-2</v>
      </c>
      <c r="AE90" s="307">
        <f t="shared" si="40"/>
        <v>1</v>
      </c>
      <c r="AF90" s="179">
        <f t="shared" si="41"/>
        <v>0.81949146501761883</v>
      </c>
      <c r="AG90" s="837">
        <f t="shared" si="49"/>
        <v>2</v>
      </c>
      <c r="AH90" s="178">
        <f t="shared" si="42"/>
        <v>8</v>
      </c>
      <c r="AI90" s="227">
        <f t="shared" si="43"/>
        <v>2.8194914650176188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46099</v>
      </c>
      <c r="B91" s="1139">
        <f>IF(t&gt;Tmaj,'2025'!Wh/'2025'!Env_an*'2026'!Env_an,0.001*'[5]mon-tableau'!$B$225)</f>
        <v>13.060864822355382</v>
      </c>
      <c r="C91" s="866"/>
      <c r="D91" s="395">
        <f t="shared" si="25"/>
        <v>13.935720797900066</v>
      </c>
      <c r="E91" s="387">
        <f t="shared" si="47"/>
        <v>15.36993610446387</v>
      </c>
      <c r="F91" s="387">
        <f t="shared" si="26"/>
        <v>15.37125387931907</v>
      </c>
      <c r="G91" s="110">
        <f t="shared" si="48"/>
        <v>0.33667183713178001</v>
      </c>
      <c r="H91" s="414" t="b">
        <f>Wh_hp&gt;='2025'!Maxi_hp</f>
        <v>0</v>
      </c>
      <c r="I91" s="392">
        <f>IF(H91,Wh_hp,'2025'!Maxi_hp)</f>
        <v>30.158532920094469</v>
      </c>
      <c r="J91" s="85">
        <f>IF(H91,An,'2025'!An_max)</f>
        <v>2019</v>
      </c>
      <c r="K91" s="199">
        <f t="shared" si="27"/>
        <v>46099</v>
      </c>
      <c r="L91" s="147">
        <f>IF(t&lt;Tvie,1-EXP((T0-t)*PertePVj)+'2025'!Pspv,1-EXP((T0-t)*PertePVj)+Pspv)</f>
        <v>6.2777949431687352E-2</v>
      </c>
      <c r="M91" s="870"/>
      <c r="N91" s="870"/>
      <c r="O91" s="48">
        <f>IF(t&lt;Tnet,'2025'!Resal+('2025'!Salim-'2025'!Resal)*(1-EXP(('2025'!Tnet-t)/('2025'!Tau_j))),Resal+(Salim-Resal)*(1-EXP((Tnet-t)/(Tau_j))))*Salcycl</f>
        <v>9.3313029853602791E-2</v>
      </c>
      <c r="P91" s="171">
        <f>(INDEX(Models!$BJ91:$BT91,,T91)*(1-R91)+INDEX(Models!$BJ91:$BT91,,T91+1)*R91-ERP_i)*Q91*Ramure*Pc/MaxiM</f>
        <v>1.6137546761847705E-3</v>
      </c>
      <c r="Q91" s="307">
        <f t="shared" si="28"/>
        <v>1</v>
      </c>
      <c r="R91" s="179">
        <f t="shared" si="29"/>
        <v>0.88535024700412412</v>
      </c>
      <c r="S91" s="837">
        <f t="shared" si="30"/>
        <v>-3</v>
      </c>
      <c r="T91" s="178">
        <f t="shared" si="31"/>
        <v>3</v>
      </c>
      <c r="U91" s="253">
        <f t="shared" si="32"/>
        <v>-2.1146497529958759</v>
      </c>
      <c r="V91" s="385">
        <f t="shared" si="33"/>
        <v>38.734768836923202</v>
      </c>
      <c r="W91" s="404">
        <f t="shared" si="34"/>
        <v>13.060864822355382</v>
      </c>
      <c r="X91" s="157">
        <f t="shared" si="35"/>
        <v>46099</v>
      </c>
      <c r="Y91" s="387">
        <f t="shared" si="36"/>
        <v>12.455433724356508</v>
      </c>
      <c r="Z91" s="387">
        <f t="shared" si="37"/>
        <v>13.289736105551276</v>
      </c>
      <c r="AA91" s="388">
        <f t="shared" si="38"/>
        <v>15.339580139727351</v>
      </c>
      <c r="AB91" s="199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0.13363103914867053</v>
      </c>
      <c r="AD91" s="233">
        <f>(INDEX(Models!$BJ91:$BT91,,AH91)*(1-AF91)+INDEX(Models!$BJ91:$BT91,,AH91+1)*AF91-ERP_i)*AE91*Ramure*Pc/MaxiM</f>
        <v>3.8787843899604289E-2</v>
      </c>
      <c r="AE91" s="307">
        <f t="shared" si="40"/>
        <v>1</v>
      </c>
      <c r="AF91" s="179">
        <f t="shared" si="41"/>
        <v>0.82033283992769457</v>
      </c>
      <c r="AG91" s="837">
        <f t="shared" si="49"/>
        <v>2</v>
      </c>
      <c r="AH91" s="178">
        <f t="shared" si="42"/>
        <v>8</v>
      </c>
      <c r="AI91" s="227">
        <f t="shared" si="43"/>
        <v>2.8203328399276946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46100</v>
      </c>
      <c r="B92" s="1139">
        <f>IF(t&gt;Tmaj,'2025'!Wh/'2025'!Env_an*'2026'!Env_an,0.001*'[5]mon-tableau'!$B$226)</f>
        <v>26.299787150111015</v>
      </c>
      <c r="C92" s="866"/>
      <c r="D92" s="395">
        <f t="shared" si="25"/>
        <v>28.062078973573815</v>
      </c>
      <c r="E92" s="387">
        <f t="shared" si="47"/>
        <v>30.955647065371643</v>
      </c>
      <c r="F92" s="387">
        <f t="shared" si="26"/>
        <v>30.982058672789631</v>
      </c>
      <c r="G92" s="110">
        <f t="shared" si="48"/>
        <v>0.67182301031163683</v>
      </c>
      <c r="H92" s="414" t="b">
        <f>Wh_hp&gt;='2025'!Maxi_hp</f>
        <v>0</v>
      </c>
      <c r="I92" s="392">
        <f>IF(H92,Wh_hp,'2025'!Maxi_hp)</f>
        <v>42.613877662343725</v>
      </c>
      <c r="J92" s="85">
        <f>IF(H92,An,'2025'!An_max)</f>
        <v>2020</v>
      </c>
      <c r="K92" s="199">
        <f t="shared" si="27"/>
        <v>46100</v>
      </c>
      <c r="L92" s="147">
        <f>IF(t&lt;Tvie,1-EXP((T0-t)*PertePVj)+'2025'!Pspv,1-EXP((T0-t)*PertePVj)+Pspv)</f>
        <v>6.2799759957997359E-2</v>
      </c>
      <c r="M92" s="870"/>
      <c r="N92" s="870"/>
      <c r="O92" s="48">
        <f>IF(t&lt;Tnet,'2025'!Resal+('2025'!Salim-'2025'!Resal)*(1-EXP(('2025'!Tnet-t)/('2025'!Tau_j))),Resal+(Salim-Resal)*(1-EXP((Tnet-t)/(Tau_j))))*Salcycl</f>
        <v>9.3474644083105032E-2</v>
      </c>
      <c r="P92" s="171">
        <f>(INDEX(Models!$BJ92:$BT92,,T92)*(1-R92)+INDEX(Models!$BJ92:$BT92,,T92+1)*R92-ERP_i)*Q92*Ramure*Pc/MaxiM</f>
        <v>1.6027178852247744E-3</v>
      </c>
      <c r="Q92" s="307">
        <f t="shared" si="28"/>
        <v>1</v>
      </c>
      <c r="R92" s="179">
        <f t="shared" si="29"/>
        <v>0.88622470886401317</v>
      </c>
      <c r="S92" s="837">
        <f t="shared" si="30"/>
        <v>-3</v>
      </c>
      <c r="T92" s="178">
        <f t="shared" si="31"/>
        <v>3</v>
      </c>
      <c r="U92" s="253">
        <f t="shared" si="32"/>
        <v>-2.1137752911359868</v>
      </c>
      <c r="V92" s="385">
        <f t="shared" si="33"/>
        <v>39.117503917024479</v>
      </c>
      <c r="W92" s="404">
        <f t="shared" si="34"/>
        <v>26.299787150111015</v>
      </c>
      <c r="X92" s="157">
        <f t="shared" si="35"/>
        <v>46100</v>
      </c>
      <c r="Y92" s="387">
        <f t="shared" si="36"/>
        <v>24.656042760678702</v>
      </c>
      <c r="Z92" s="387">
        <f t="shared" si="37"/>
        <v>26.308190829713922</v>
      </c>
      <c r="AA92" s="388">
        <f t="shared" si="38"/>
        <v>30.369127655169553</v>
      </c>
      <c r="AB92" s="199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0.13371924513493103</v>
      </c>
      <c r="AD92" s="233">
        <f>(INDEX(Models!$BJ92:$BT92,,AH92)*(1-AF92)+INDEX(Models!$BJ92:$BT92,,AH92+1)*AF92-ERP_i)*AE92*Ramure*Pc/MaxiM</f>
        <v>3.7194082465413308E-2</v>
      </c>
      <c r="AE92" s="307">
        <f t="shared" si="40"/>
        <v>1</v>
      </c>
      <c r="AF92" s="179">
        <f t="shared" si="41"/>
        <v>0.82120730178758361</v>
      </c>
      <c r="AG92" s="837">
        <f t="shared" si="49"/>
        <v>2</v>
      </c>
      <c r="AH92" s="178">
        <f t="shared" si="42"/>
        <v>8</v>
      </c>
      <c r="AI92" s="227">
        <f t="shared" si="43"/>
        <v>2.8212073017875836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46101</v>
      </c>
      <c r="B93" s="1139">
        <f>IF(t&gt;Tmaj,'2025'!Wh/'2025'!Env_an*'2026'!Env_an,0.001*'[5]mon-tableau'!$B$227)</f>
        <v>29.659591456974145</v>
      </c>
      <c r="C93" s="866"/>
      <c r="D93" s="395">
        <f t="shared" si="25"/>
        <v>31.647752985776854</v>
      </c>
      <c r="E93" s="387">
        <f t="shared" si="47"/>
        <v>34.917299440021559</v>
      </c>
      <c r="F93" s="387">
        <f t="shared" si="26"/>
        <v>34.953096970258258</v>
      </c>
      <c r="G93" s="110">
        <f t="shared" si="48"/>
        <v>0.75045704716448014</v>
      </c>
      <c r="H93" s="414" t="b">
        <f>Wh_hp&gt;='2025'!Maxi_hp</f>
        <v>0</v>
      </c>
      <c r="I93" s="392">
        <f>IF(H93,Wh_hp,'2025'!Maxi_hp)</f>
        <v>46.721665369048949</v>
      </c>
      <c r="J93" s="85">
        <f>IF(H93,An,'2025'!An_max)</f>
        <v>2019</v>
      </c>
      <c r="K93" s="199">
        <f t="shared" si="27"/>
        <v>46101</v>
      </c>
      <c r="L93" s="147">
        <f>IF(t&lt;Tvie,1-EXP((T0-t)*PertePVj)+'2025'!Pspv,1-EXP((T0-t)*PertePVj)+Pspv)</f>
        <v>6.2821569976744596E-2</v>
      </c>
      <c r="M93" s="870"/>
      <c r="N93" s="870"/>
      <c r="O93" s="48">
        <f>IF(t&lt;Tnet,'2025'!Resal+('2025'!Salim-'2025'!Resal)*(1-EXP(('2025'!Tnet-t)/('2025'!Tau_j))),Resal+(Salim-Resal)*(1-EXP((Tnet-t)/(Tau_j))))*Salcycl</f>
        <v>9.3636865011880246E-2</v>
      </c>
      <c r="P93" s="171">
        <f>(INDEX(Models!$BJ93:$BT93,,T93)*(1-R93)+INDEX(Models!$BJ93:$BT93,,T93+1)*R93-ERP_i)*Q93*Ramure*Pc/MaxiM</f>
        <v>1.5900185171422358E-3</v>
      </c>
      <c r="Q93" s="307">
        <f t="shared" si="28"/>
        <v>1</v>
      </c>
      <c r="R93" s="179">
        <f t="shared" si="29"/>
        <v>0.88713346563968321</v>
      </c>
      <c r="S93" s="837">
        <f t="shared" si="30"/>
        <v>-3</v>
      </c>
      <c r="T93" s="178">
        <f t="shared" si="31"/>
        <v>3</v>
      </c>
      <c r="U93" s="253">
        <f t="shared" si="32"/>
        <v>-2.1128665343603168</v>
      </c>
      <c r="V93" s="385">
        <f t="shared" si="33"/>
        <v>39.49965051539327</v>
      </c>
      <c r="W93" s="404">
        <f t="shared" si="34"/>
        <v>29.659591456974145</v>
      </c>
      <c r="X93" s="157">
        <f t="shared" si="35"/>
        <v>46101</v>
      </c>
      <c r="Y93" s="387">
        <f t="shared" si="36"/>
        <v>27.722660521970599</v>
      </c>
      <c r="Z93" s="387">
        <f t="shared" si="37"/>
        <v>29.580984403666527</v>
      </c>
      <c r="AA93" s="388">
        <f t="shared" si="38"/>
        <v>34.150631396102078</v>
      </c>
      <c r="AB93" s="199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0.13380856533613392</v>
      </c>
      <c r="AD93" s="233">
        <f>(INDEX(Models!$BJ93:$BT93,,AH93)*(1-AF93)+INDEX(Models!$BJ93:$BT93,,AH93+1)*AF93-ERP_i)*AE93*Ramure*Pc/MaxiM</f>
        <v>3.5643104813123792E-2</v>
      </c>
      <c r="AE93" s="307">
        <f t="shared" si="40"/>
        <v>1</v>
      </c>
      <c r="AF93" s="179">
        <f t="shared" si="41"/>
        <v>0.82211605856325365</v>
      </c>
      <c r="AG93" s="837">
        <f t="shared" si="49"/>
        <v>2</v>
      </c>
      <c r="AH93" s="178">
        <f t="shared" si="42"/>
        <v>8</v>
      </c>
      <c r="AI93" s="227">
        <f t="shared" si="43"/>
        <v>2.8221160585632536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46102</v>
      </c>
      <c r="B94" s="1139">
        <f>IF(t&gt;Tmaj,'2025'!Wh/'2025'!Env_an*'2026'!Env_an,0.001*'[5]mon-tableau'!$B$228)</f>
        <v>39.75471162494987</v>
      </c>
      <c r="C94" s="866"/>
      <c r="D94" s="395">
        <f t="shared" si="25"/>
        <v>42.420563174624995</v>
      </c>
      <c r="E94" s="387">
        <f t="shared" si="47"/>
        <v>46.811467992333753</v>
      </c>
      <c r="F94" s="387">
        <f t="shared" si="26"/>
        <v>46.884962061684206</v>
      </c>
      <c r="G94" s="110">
        <f t="shared" si="48"/>
        <v>0.99676020693816636</v>
      </c>
      <c r="H94" s="414" t="b">
        <f>Wh_hp&gt;='2025'!Maxi_hp</f>
        <v>0</v>
      </c>
      <c r="I94" s="392">
        <f>IF(H94,Wh_hp,'2025'!Maxi_hp)</f>
        <v>47.092775229679972</v>
      </c>
      <c r="J94" s="85">
        <f>IF(H94,An,'2025'!An_max)</f>
        <v>2020</v>
      </c>
      <c r="K94" s="199">
        <f t="shared" si="27"/>
        <v>46102</v>
      </c>
      <c r="L94" s="147">
        <f>IF(t&lt;Tvie,1-EXP((T0-t)*PertePVj)+'2025'!Pspv,1-EXP((T0-t)*PertePVj)+Pspv)</f>
        <v>6.2843379487940831E-2</v>
      </c>
      <c r="M94" s="870"/>
      <c r="N94" s="870"/>
      <c r="O94" s="48">
        <f>IF(t&lt;Tnet,'2025'!Resal+('2025'!Salim-'2025'!Resal)*(1-EXP(('2025'!Tnet-t)/('2025'!Tau_j))),Resal+(Salim-Resal)*(1-EXP((Tnet-t)/(Tau_j))))*Salcycl</f>
        <v>9.3799767578915769E-2</v>
      </c>
      <c r="P94" s="171">
        <f>(INDEX(Models!$BJ94:$BT94,,T94)*(1-R94)+INDEX(Models!$BJ94:$BT94,,T94+1)*R94-ERP_i)*Q94*Ramure*Pc/MaxiM</f>
        <v>1.5748126734288217E-3</v>
      </c>
      <c r="Q94" s="307">
        <f t="shared" si="28"/>
        <v>1</v>
      </c>
      <c r="R94" s="179">
        <f t="shared" si="29"/>
        <v>0.88807776170526376</v>
      </c>
      <c r="S94" s="837">
        <f t="shared" si="30"/>
        <v>-3</v>
      </c>
      <c r="T94" s="178">
        <f t="shared" si="31"/>
        <v>3</v>
      </c>
      <c r="U94" s="253">
        <f t="shared" si="32"/>
        <v>-2.1119222382947362</v>
      </c>
      <c r="V94" s="385">
        <f t="shared" si="33"/>
        <v>39.883636791268763</v>
      </c>
      <c r="W94" s="404">
        <f t="shared" si="34"/>
        <v>39.75471162494987</v>
      </c>
      <c r="X94" s="157">
        <f t="shared" si="35"/>
        <v>46102</v>
      </c>
      <c r="Y94" s="387">
        <f t="shared" si="36"/>
        <v>36.760982575583981</v>
      </c>
      <c r="Z94" s="387">
        <f t="shared" si="37"/>
        <v>39.226082141422538</v>
      </c>
      <c r="AA94" s="388">
        <f t="shared" si="38"/>
        <v>45.290430071310766</v>
      </c>
      <c r="AB94" s="199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0.13389910231233787</v>
      </c>
      <c r="AD94" s="233">
        <f>(INDEX(Models!$BJ94:$BT94,,AH94)*(1-AF94)+INDEX(Models!$BJ94:$BT94,,AH94+1)*AF94-ERP_i)*AE94*Ramure*Pc/MaxiM</f>
        <v>3.4167235653449729E-2</v>
      </c>
      <c r="AE94" s="307">
        <f t="shared" si="40"/>
        <v>1</v>
      </c>
      <c r="AF94" s="179">
        <f t="shared" si="41"/>
        <v>0.8230603546288342</v>
      </c>
      <c r="AG94" s="837">
        <f t="shared" si="49"/>
        <v>2</v>
      </c>
      <c r="AH94" s="178">
        <f t="shared" si="42"/>
        <v>8</v>
      </c>
      <c r="AI94" s="227">
        <f t="shared" si="43"/>
        <v>2.8230603546288342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46103</v>
      </c>
      <c r="B95" s="1139">
        <f>IF(t&gt;Tmaj,'2025'!Wh/'2025'!Env_an*'2026'!Env_an,0.001*'[5]mon-tableau'!$B$229)</f>
        <v>36.765948773141197</v>
      </c>
      <c r="C95" s="866"/>
      <c r="D95" s="395">
        <f t="shared" si="25"/>
        <v>39.232294352573582</v>
      </c>
      <c r="E95" s="387">
        <f t="shared" si="47"/>
        <v>43.301005239739915</v>
      </c>
      <c r="F95" s="387">
        <f t="shared" si="26"/>
        <v>43.360164424027197</v>
      </c>
      <c r="G95" s="110">
        <f t="shared" si="48"/>
        <v>0.91283947375306096</v>
      </c>
      <c r="H95" s="414" t="b">
        <f>Wh_hp&gt;='2025'!Maxi_hp</f>
        <v>0</v>
      </c>
      <c r="I95" s="392">
        <f>IF(H95,Wh_hp,'2025'!Maxi_hp)</f>
        <v>46.552413422501928</v>
      </c>
      <c r="J95" s="85">
        <f>IF(H95,An,'2025'!An_max)</f>
        <v>2020</v>
      </c>
      <c r="K95" s="199">
        <f t="shared" si="27"/>
        <v>46103</v>
      </c>
      <c r="L95" s="147">
        <f>IF(t&lt;Tvie,1-EXP((T0-t)*PertePVj)+'2025'!Pspv,1-EXP((T0-t)*PertePVj)+Pspv)</f>
        <v>6.2865188491597834E-2</v>
      </c>
      <c r="M95" s="870"/>
      <c r="N95" s="870"/>
      <c r="O95" s="48">
        <f>IF(t&lt;Tnet,'2025'!Resal+('2025'!Salim-'2025'!Resal)*(1-EXP(('2025'!Tnet-t)/('2025'!Tau_j))),Resal+(Salim-Resal)*(1-EXP((Tnet-t)/(Tau_j))))*Salcycl</f>
        <v>9.3963427976776689E-2</v>
      </c>
      <c r="P95" s="171">
        <f>(INDEX(Models!$BJ95:$BT95,,T95)*(1-R95)+INDEX(Models!$BJ95:$BT95,,T95+1)*R95-ERP_i)*Q95*Ramure*Pc/MaxiM</f>
        <v>1.5579630478749125E-3</v>
      </c>
      <c r="Q95" s="307">
        <f t="shared" si="28"/>
        <v>1</v>
      </c>
      <c r="R95" s="179">
        <f t="shared" si="29"/>
        <v>0.88905887829090835</v>
      </c>
      <c r="S95" s="837">
        <f t="shared" si="30"/>
        <v>-3</v>
      </c>
      <c r="T95" s="178">
        <f t="shared" si="31"/>
        <v>3</v>
      </c>
      <c r="U95" s="253">
        <f t="shared" si="32"/>
        <v>-2.1109411217090917</v>
      </c>
      <c r="V95" s="385">
        <f t="shared" si="33"/>
        <v>40.268658804763668</v>
      </c>
      <c r="W95" s="404">
        <f t="shared" si="34"/>
        <v>36.765948773141197</v>
      </c>
      <c r="X95" s="157">
        <f t="shared" si="35"/>
        <v>46103</v>
      </c>
      <c r="Y95" s="387">
        <f t="shared" si="36"/>
        <v>34.179719490000295</v>
      </c>
      <c r="Z95" s="387">
        <f t="shared" si="37"/>
        <v>36.472574778206116</v>
      </c>
      <c r="AA95" s="388">
        <f t="shared" si="38"/>
        <v>42.115697520149254</v>
      </c>
      <c r="AB95" s="199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0.13399096000353111</v>
      </c>
      <c r="AD95" s="233">
        <f>(INDEX(Models!$BJ95:$BT95,,AH95)*(1-AF95)+INDEX(Models!$BJ95:$BT95,,AH95+1)*AF95-ERP_i)*AE95*Ramure*Pc/MaxiM</f>
        <v>3.2773160649579899E-2</v>
      </c>
      <c r="AE95" s="307">
        <f t="shared" si="40"/>
        <v>1</v>
      </c>
      <c r="AF95" s="179">
        <f t="shared" si="41"/>
        <v>0.82404147121447879</v>
      </c>
      <c r="AG95" s="837">
        <f t="shared" si="49"/>
        <v>2</v>
      </c>
      <c r="AH95" s="178">
        <f t="shared" si="42"/>
        <v>8</v>
      </c>
      <c r="AI95" s="227">
        <f t="shared" si="43"/>
        <v>2.8240414712144788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46104</v>
      </c>
      <c r="B96" s="1139">
        <f>IF(t&gt;Tmaj,'2025'!Wh/'2025'!Env_an*'2026'!Env_an,0.001*'[5]mon-tableau'!$B$230)</f>
        <v>41.537480082191912</v>
      </c>
      <c r="C96" s="866"/>
      <c r="D96" s="395">
        <f t="shared" si="25"/>
        <v>44.324942614896074</v>
      </c>
      <c r="E96" s="387">
        <f t="shared" si="47"/>
        <v>48.930686529954649</v>
      </c>
      <c r="F96" s="387">
        <f t="shared" si="26"/>
        <v>49.006133505479987</v>
      </c>
      <c r="G96" s="110">
        <f t="shared" si="48"/>
        <v>1.0217330990973439</v>
      </c>
      <c r="H96" s="414" t="b">
        <f>Wh_hp&gt;='2025'!Maxi_hp</f>
        <v>1</v>
      </c>
      <c r="I96" s="392">
        <f>IF(H96,Wh_hp,'2025'!Maxi_hp)</f>
        <v>49.006133505479987</v>
      </c>
      <c r="J96" s="85">
        <f>IF(H96,An,'2025'!An_max)</f>
        <v>2026</v>
      </c>
      <c r="K96" s="199">
        <f t="shared" si="27"/>
        <v>46104</v>
      </c>
      <c r="L96" s="147">
        <f>IF(t&lt;Tvie,1-EXP((T0-t)*PertePVj)+'2025'!Pspv,1-EXP((T0-t)*PertePVj)+Pspv)</f>
        <v>6.2886996987727484E-2</v>
      </c>
      <c r="M96" s="870"/>
      <c r="N96" s="870"/>
      <c r="O96" s="48">
        <f>IF(t&lt;Tnet,'2025'!Resal+('2025'!Salim-'2025'!Resal)*(1-EXP(('2025'!Tnet-t)/('2025'!Tau_j))),Resal+(Salim-Resal)*(1-EXP((Tnet-t)/(Tau_j))))*Salcycl</f>
        <v>9.4127923429788873E-2</v>
      </c>
      <c r="P96" s="171">
        <f>(INDEX(Models!$BJ96:$BT96,,T96)*(1-R96)+INDEX(Models!$BJ96:$BT96,,T96+1)*R96-ERP_i)*Q96*Ramure*Pc/MaxiM</f>
        <v>1.5395414844737083E-3</v>
      </c>
      <c r="Q96" s="307">
        <f t="shared" si="28"/>
        <v>1</v>
      </c>
      <c r="R96" s="179">
        <f t="shared" si="29"/>
        <v>0.8900781338741206</v>
      </c>
      <c r="S96" s="837">
        <f t="shared" si="30"/>
        <v>-3</v>
      </c>
      <c r="T96" s="178">
        <f t="shared" si="31"/>
        <v>3</v>
      </c>
      <c r="U96" s="253">
        <f t="shared" si="32"/>
        <v>-2.1099218661258794</v>
      </c>
      <c r="V96" s="385">
        <f t="shared" si="33"/>
        <v>40.653943890912842</v>
      </c>
      <c r="W96" s="404">
        <f t="shared" si="34"/>
        <v>41.537480082191912</v>
      </c>
      <c r="X96" s="157">
        <f t="shared" si="35"/>
        <v>46104</v>
      </c>
      <c r="Y96" s="387">
        <f t="shared" si="36"/>
        <v>38.515540781634812</v>
      </c>
      <c r="Z96" s="387">
        <f t="shared" si="37"/>
        <v>41.10020953484775</v>
      </c>
      <c r="AA96" s="388">
        <f t="shared" si="38"/>
        <v>47.464443535105957</v>
      </c>
      <c r="AB96" s="199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0.13408424340951253</v>
      </c>
      <c r="AD96" s="233">
        <f>(INDEX(Models!$BJ96:$BT96,,AH96)*(1-AF96)+INDEX(Models!$BJ96:$BT96,,AH96+1)*AF96-ERP_i)*AE96*Ramure*Pc/MaxiM</f>
        <v>3.1459122768819063E-2</v>
      </c>
      <c r="AE96" s="307">
        <f t="shared" si="40"/>
        <v>1</v>
      </c>
      <c r="AF96" s="179">
        <f t="shared" si="41"/>
        <v>0.82506072679769105</v>
      </c>
      <c r="AG96" s="837">
        <f t="shared" si="49"/>
        <v>2</v>
      </c>
      <c r="AH96" s="178">
        <f t="shared" si="42"/>
        <v>8</v>
      </c>
      <c r="AI96" s="227">
        <f t="shared" si="43"/>
        <v>2.825060726797691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46105</v>
      </c>
      <c r="B97" s="1139">
        <f>IF(t&gt;Tmaj,'2025'!Wh/'2025'!Env_an*'2026'!Env_an,0.001*'[5]mon-tableau'!$B$231)</f>
        <v>40.942026444720447</v>
      </c>
      <c r="C97" s="866"/>
      <c r="D97" s="395">
        <f t="shared" si="25"/>
        <v>43.690546514725064</v>
      </c>
      <c r="E97" s="387">
        <f t="shared" si="47"/>
        <v>48.239179479550877</v>
      </c>
      <c r="F97" s="387">
        <f t="shared" si="26"/>
        <v>48.312348548182484</v>
      </c>
      <c r="G97" s="110">
        <f t="shared" si="48"/>
        <v>0.99763873840671169</v>
      </c>
      <c r="H97" s="414" t="b">
        <f>Wh_hp&gt;='2025'!Maxi_hp</f>
        <v>1</v>
      </c>
      <c r="I97" s="392">
        <f>IF(H97,Wh_hp,'2025'!Maxi_hp)</f>
        <v>48.312348548182484</v>
      </c>
      <c r="J97" s="85">
        <f>IF(H97,An,'2025'!An_max)</f>
        <v>2026</v>
      </c>
      <c r="K97" s="199">
        <f t="shared" si="27"/>
        <v>46105</v>
      </c>
      <c r="L97" s="147">
        <f>IF(t&lt;Tvie,1-EXP((T0-t)*PertePVj)+'2025'!Pspv,1-EXP((T0-t)*PertePVj)+Pspv)</f>
        <v>6.2908804976341548E-2</v>
      </c>
      <c r="M97" s="870"/>
      <c r="N97" s="870"/>
      <c r="O97" s="48">
        <f>IF(t&lt;Tnet,'2025'!Resal+('2025'!Salim-'2025'!Resal)*(1-EXP(('2025'!Tnet-t)/('2025'!Tau_j))),Resal+(Salim-Resal)*(1-EXP((Tnet-t)/(Tau_j))))*Salcycl</f>
        <v>9.4293331974148312E-2</v>
      </c>
      <c r="P97" s="171">
        <f>(INDEX(Models!$BJ97:$BT97,,T97)*(1-R97)+INDEX(Models!$BJ97:$BT97,,T97+1)*R97-ERP_i)*Q97*Ramure*Pc/MaxiM</f>
        <v>1.5196152653941147E-3</v>
      </c>
      <c r="Q97" s="307">
        <f t="shared" si="28"/>
        <v>1</v>
      </c>
      <c r="R97" s="179">
        <f t="shared" si="29"/>
        <v>0.89113688450770434</v>
      </c>
      <c r="S97" s="837">
        <f t="shared" si="30"/>
        <v>-3</v>
      </c>
      <c r="T97" s="178">
        <f t="shared" si="31"/>
        <v>3</v>
      </c>
      <c r="U97" s="253">
        <f t="shared" si="32"/>
        <v>-2.1088631154922957</v>
      </c>
      <c r="V97" s="385">
        <f t="shared" si="33"/>
        <v>41.038719865003252</v>
      </c>
      <c r="W97" s="404">
        <f t="shared" si="34"/>
        <v>40.942026444720447</v>
      </c>
      <c r="X97" s="157">
        <f t="shared" si="35"/>
        <v>46105</v>
      </c>
      <c r="Y97" s="387">
        <f t="shared" si="36"/>
        <v>38.017660102116864</v>
      </c>
      <c r="Z97" s="387">
        <f t="shared" si="37"/>
        <v>40.569861614329909</v>
      </c>
      <c r="AA97" s="388">
        <f t="shared" si="38"/>
        <v>46.857103656422566</v>
      </c>
      <c r="AB97" s="199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0.13417905827456925</v>
      </c>
      <c r="AD97" s="233">
        <f>(INDEX(Models!$BJ97:$BT97,,AH97)*(1-AF97)+INDEX(Models!$BJ97:$BT97,,AH97+1)*AF97-ERP_i)*AE97*Ramure*Pc/MaxiM</f>
        <v>3.0223322419738571E-2</v>
      </c>
      <c r="AE97" s="307">
        <f t="shared" si="40"/>
        <v>1</v>
      </c>
      <c r="AF97" s="179">
        <f t="shared" si="41"/>
        <v>0.82611947743127478</v>
      </c>
      <c r="AG97" s="837">
        <f t="shared" si="49"/>
        <v>2</v>
      </c>
      <c r="AH97" s="178">
        <f t="shared" si="42"/>
        <v>8</v>
      </c>
      <c r="AI97" s="227">
        <f t="shared" si="43"/>
        <v>2.8261194774312748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46106</v>
      </c>
      <c r="B98" s="1139">
        <f>IF(t&gt;Tmaj,'2025'!Wh/'2025'!Env_an*'2026'!Env_an,0.001*'[5]mon-tableau'!$B$232)</f>
        <v>37.471775203905096</v>
      </c>
      <c r="C98" s="866"/>
      <c r="D98" s="395">
        <f t="shared" si="25"/>
        <v>39.98826095704004</v>
      </c>
      <c r="E98" s="387">
        <f t="shared" si="47"/>
        <v>44.159561292628077</v>
      </c>
      <c r="F98" s="387">
        <f t="shared" si="26"/>
        <v>44.216783177617799</v>
      </c>
      <c r="G98" s="110">
        <f t="shared" si="48"/>
        <v>0.90444502569032847</v>
      </c>
      <c r="H98" s="414" t="b">
        <f>Wh_hp&gt;='2025'!Maxi_hp</f>
        <v>0</v>
      </c>
      <c r="I98" s="392">
        <f>IF(H98,Wh_hp,'2025'!Maxi_hp)</f>
        <v>46.669924770661282</v>
      </c>
      <c r="J98" s="85">
        <f>IF(H98,An,'2025'!An_max)</f>
        <v>2020</v>
      </c>
      <c r="K98" s="199">
        <f t="shared" si="27"/>
        <v>46106</v>
      </c>
      <c r="L98" s="147">
        <f>IF(t&lt;Tvie,1-EXP((T0-t)*PertePVj)+'2025'!Pspv,1-EXP((T0-t)*PertePVj)+Pspv)</f>
        <v>6.2930612457451907E-2</v>
      </c>
      <c r="M98" s="870"/>
      <c r="N98" s="870"/>
      <c r="O98" s="48">
        <f>IF(t&lt;Tnet,'2025'!Resal+('2025'!Salim-'2025'!Resal)*(1-EXP(('2025'!Tnet-t)/('2025'!Tau_j))),Resal+(Salim-Resal)*(1-EXP((Tnet-t)/(Tau_j))))*Salcycl</f>
        <v>9.4459732241143984E-2</v>
      </c>
      <c r="P98" s="171">
        <f>(INDEX(Models!$BJ98:$BT98,,T98)*(1-R98)+INDEX(Models!$BJ98:$BT98,,T98+1)*R98-ERP_i)*Q98*Ramure*Pc/MaxiM</f>
        <v>1.4982470097486766E-3</v>
      </c>
      <c r="Q98" s="307">
        <f t="shared" si="28"/>
        <v>1</v>
      </c>
      <c r="R98" s="179">
        <f t="shared" si="29"/>
        <v>0.89223652407705067</v>
      </c>
      <c r="S98" s="837">
        <f t="shared" si="30"/>
        <v>-3</v>
      </c>
      <c r="T98" s="178">
        <f t="shared" si="31"/>
        <v>3</v>
      </c>
      <c r="U98" s="253">
        <f t="shared" si="32"/>
        <v>-2.1077634759229493</v>
      </c>
      <c r="V98" s="385">
        <f t="shared" si="33"/>
        <v>41.422215036837663</v>
      </c>
      <c r="W98" s="404">
        <f t="shared" si="34"/>
        <v>37.471775203905096</v>
      </c>
      <c r="X98" s="157">
        <f t="shared" si="35"/>
        <v>46106</v>
      </c>
      <c r="Y98" s="387">
        <f t="shared" si="36"/>
        <v>34.970094572531806</v>
      </c>
      <c r="Z98" s="387">
        <f t="shared" si="37"/>
        <v>37.318575377049093</v>
      </c>
      <c r="AA98" s="388">
        <f t="shared" si="38"/>
        <v>43.106757220892746</v>
      </c>
      <c r="AB98" s="199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0.13427551077858085</v>
      </c>
      <c r="AD98" s="233">
        <f>(INDEX(Models!$BJ98:$BT98,,AH98)*(1-AF98)+INDEX(Models!$BJ98:$BT98,,AH98+1)*AF98-ERP_i)*AE98*Ramure*Pc/MaxiM</f>
        <v>2.9063933680366118E-2</v>
      </c>
      <c r="AE98" s="307">
        <f t="shared" si="40"/>
        <v>1</v>
      </c>
      <c r="AF98" s="179">
        <f t="shared" si="41"/>
        <v>0.82721911700062112</v>
      </c>
      <c r="AG98" s="837">
        <f t="shared" si="49"/>
        <v>2</v>
      </c>
      <c r="AH98" s="178">
        <f t="shared" si="42"/>
        <v>8</v>
      </c>
      <c r="AI98" s="227">
        <f t="shared" si="43"/>
        <v>2.8272191170006211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46107</v>
      </c>
      <c r="B99" s="1139">
        <f>IF(t&gt;Tmaj,'2025'!Wh/'2025'!Env_an*'2026'!Env_an,0.001*'[5]mon-tableau'!$B$233)</f>
        <v>40.461409887039004</v>
      </c>
      <c r="C99" s="866"/>
      <c r="D99" s="395">
        <f t="shared" si="25"/>
        <v>43.179674891719806</v>
      </c>
      <c r="E99" s="387">
        <f t="shared" si="47"/>
        <v>47.692701886405352</v>
      </c>
      <c r="F99" s="387">
        <f t="shared" si="26"/>
        <v>47.759939042066108</v>
      </c>
      <c r="G99" s="110">
        <f t="shared" si="48"/>
        <v>0.96782600674982966</v>
      </c>
      <c r="H99" s="414" t="b">
        <f>Wh_hp&gt;='2025'!Maxi_hp</f>
        <v>0</v>
      </c>
      <c r="I99" s="392">
        <f>IF(H99,Wh_hp,'2025'!Maxi_hp)</f>
        <v>49.897175948996292</v>
      </c>
      <c r="J99" s="85">
        <f>IF(H99,An,'2025'!An_max)</f>
        <v>2019</v>
      </c>
      <c r="K99" s="199">
        <f t="shared" si="27"/>
        <v>46107</v>
      </c>
      <c r="L99" s="147">
        <f>IF(t&lt;Tvie,1-EXP((T0-t)*PertePVj)+'2025'!Pspv,1-EXP((T0-t)*PertePVj)+Pspv)</f>
        <v>6.2952419431070328E-2</v>
      </c>
      <c r="M99" s="870"/>
      <c r="N99" s="870"/>
      <c r="O99" s="48">
        <f>IF(t&lt;Tnet,'2025'!Resal+('2025'!Salim-'2025'!Resal)*(1-EXP(('2025'!Tnet-t)/('2025'!Tau_j))),Resal+(Salim-Resal)*(1-EXP((Tnet-t)/(Tau_j))))*Salcycl</f>
        <v>9.4627203244527613E-2</v>
      </c>
      <c r="P99" s="171">
        <f>(INDEX(Models!$BJ99:$BT99,,T99)*(1-R99)+INDEX(Models!$BJ99:$BT99,,T99+1)*R99-ERP_i)*Q99*Ramure*Pc/MaxiM</f>
        <v>1.4754945994253804E-3</v>
      </c>
      <c r="Q99" s="307">
        <f t="shared" si="28"/>
        <v>1</v>
      </c>
      <c r="R99" s="179">
        <f t="shared" si="29"/>
        <v>0.8933784844790158</v>
      </c>
      <c r="S99" s="837">
        <f t="shared" si="30"/>
        <v>-3</v>
      </c>
      <c r="T99" s="178">
        <f t="shared" si="31"/>
        <v>3</v>
      </c>
      <c r="U99" s="253">
        <f t="shared" si="32"/>
        <v>-2.1066215155209842</v>
      </c>
      <c r="V99" s="385">
        <f t="shared" si="33"/>
        <v>41.803658229647652</v>
      </c>
      <c r="W99" s="404">
        <f t="shared" si="34"/>
        <v>40.461409887039004</v>
      </c>
      <c r="X99" s="157">
        <f t="shared" si="35"/>
        <v>46107</v>
      </c>
      <c r="Y99" s="387">
        <f t="shared" si="36"/>
        <v>37.705479720034951</v>
      </c>
      <c r="Z99" s="387">
        <f t="shared" si="37"/>
        <v>40.238596739284063</v>
      </c>
      <c r="AA99" s="388">
        <f t="shared" si="38"/>
        <v>46.484952081108048</v>
      </c>
      <c r="AB99" s="199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0.13437370723595005</v>
      </c>
      <c r="AD99" s="233">
        <f>(INDEX(Models!$BJ99:$BT99,,AH99)*(1-AF99)+INDEX(Models!$BJ99:$BT99,,AH99+1)*AF99-ERP_i)*AE99*Ramure*Pc/MaxiM</f>
        <v>2.7979118937200315E-2</v>
      </c>
      <c r="AE99" s="307">
        <f t="shared" si="40"/>
        <v>1</v>
      </c>
      <c r="AF99" s="179">
        <f t="shared" si="41"/>
        <v>0.82836107740258624</v>
      </c>
      <c r="AG99" s="837">
        <f t="shared" si="49"/>
        <v>2</v>
      </c>
      <c r="AH99" s="178">
        <f t="shared" si="42"/>
        <v>8</v>
      </c>
      <c r="AI99" s="227">
        <f t="shared" si="43"/>
        <v>2.8283610774025862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46108</v>
      </c>
      <c r="B100" s="1139">
        <f>IF(t&gt;Tmaj,'2025'!Wh/'2025'!Env_an*'2026'!Env_an,0.001*'[5]mon-tableau'!$B$234)</f>
        <v>39.938682437669058</v>
      </c>
      <c r="C100" s="866"/>
      <c r="D100" s="395">
        <f t="shared" si="25"/>
        <v>42.622821635734212</v>
      </c>
      <c r="E100" s="387">
        <f t="shared" si="47"/>
        <v>47.08641737847605</v>
      </c>
      <c r="F100" s="387">
        <f t="shared" si="26"/>
        <v>47.149627459291864</v>
      </c>
      <c r="G100" s="110">
        <f t="shared" si="48"/>
        <v>0.9467068416929314</v>
      </c>
      <c r="H100" s="414" t="b">
        <f>Wh_hp&gt;='2025'!Maxi_hp</f>
        <v>0</v>
      </c>
      <c r="I100" s="392">
        <f>IF(H100,Wh_hp,'2025'!Maxi_hp)</f>
        <v>49.221953168491268</v>
      </c>
      <c r="J100" s="85">
        <f>IF(H100,An,'2025'!An_max)</f>
        <v>2019</v>
      </c>
      <c r="K100" s="199">
        <f t="shared" si="27"/>
        <v>46108</v>
      </c>
      <c r="L100" s="147">
        <f>IF(t&lt;Tvie,1-EXP((T0-t)*PertePVj)+'2025'!Pspv,1-EXP((T0-t)*PertePVj)+Pspv)</f>
        <v>6.297422589720858E-2</v>
      </c>
      <c r="M100" s="870"/>
      <c r="N100" s="870"/>
      <c r="O100" s="48">
        <f>IF(t&lt;Tnet,'2025'!Resal+('2025'!Salim-'2025'!Resal)*(1-EXP(('2025'!Tnet-t)/('2025'!Tau_j))),Resal+(Salim-Resal)*(1-EXP((Tnet-t)/(Tau_j))))*Salcycl</f>
        <v>9.479582417290075E-2</v>
      </c>
      <c r="P100" s="171">
        <f>(INDEX(Models!$BJ100:$BT100,,T100)*(1-R100)+INDEX(Models!$BJ100:$BT100,,T100+1)*R100-ERP_i)*Q100*Ramure*Pc/MaxiM</f>
        <v>1.4508699327068077E-3</v>
      </c>
      <c r="Q100" s="307">
        <f t="shared" si="28"/>
        <v>1</v>
      </c>
      <c r="R100" s="179">
        <f t="shared" si="29"/>
        <v>0.89456423571416632</v>
      </c>
      <c r="S100" s="837">
        <f t="shared" si="30"/>
        <v>-3</v>
      </c>
      <c r="T100" s="178">
        <f t="shared" si="31"/>
        <v>3</v>
      </c>
      <c r="U100" s="253">
        <f t="shared" si="32"/>
        <v>-2.1054357642858337</v>
      </c>
      <c r="V100" s="385">
        <f t="shared" si="33"/>
        <v>42.182301664494211</v>
      </c>
      <c r="W100" s="404">
        <f t="shared" si="34"/>
        <v>39.938682437669058</v>
      </c>
      <c r="X100" s="157">
        <f t="shared" si="35"/>
        <v>46108</v>
      </c>
      <c r="Y100" s="387">
        <f t="shared" si="36"/>
        <v>37.28584152459279</v>
      </c>
      <c r="Z100" s="387">
        <f t="shared" si="37"/>
        <v>39.791692560745446</v>
      </c>
      <c r="AA100" s="388">
        <f t="shared" si="38"/>
        <v>45.973987196354003</v>
      </c>
      <c r="AB100" s="199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0.13447375380351714</v>
      </c>
      <c r="AD100" s="233">
        <f>(INDEX(Models!$BJ100:$BT100,,AH100)*(1-AF100)+INDEX(Models!$BJ100:$BT100,,AH100+1)*AF100-ERP_i)*AE100*Ramure*Pc/MaxiM</f>
        <v>2.6984637373685168E-2</v>
      </c>
      <c r="AE100" s="307">
        <f t="shared" si="40"/>
        <v>1</v>
      </c>
      <c r="AF100" s="179">
        <f t="shared" si="41"/>
        <v>0.82954682863773677</v>
      </c>
      <c r="AG100" s="837">
        <f t="shared" si="49"/>
        <v>2</v>
      </c>
      <c r="AH100" s="178">
        <f t="shared" si="42"/>
        <v>8</v>
      </c>
      <c r="AI100" s="227">
        <f t="shared" si="43"/>
        <v>2.8295468286377368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46109</v>
      </c>
      <c r="B101" s="1139">
        <f>IF(t&gt;Tmaj,'2025'!Wh/'2025'!Env_an*'2026'!Env_an,0.001*'[5]mon-tableau'!$B$235)</f>
        <v>31.059464185190702</v>
      </c>
      <c r="C101" s="866"/>
      <c r="D101" s="395">
        <f t="shared" si="25"/>
        <v>33.14763356521177</v>
      </c>
      <c r="E101" s="387">
        <f t="shared" si="47"/>
        <v>36.6258302252403</v>
      </c>
      <c r="F101" s="387">
        <f t="shared" si="26"/>
        <v>36.657918662694421</v>
      </c>
      <c r="G101" s="110">
        <f t="shared" si="48"/>
        <v>0.72942456375032494</v>
      </c>
      <c r="H101" s="414" t="b">
        <f>Wh_hp&gt;='2025'!Maxi_hp</f>
        <v>0</v>
      </c>
      <c r="I101" s="392">
        <f>IF(H101,Wh_hp,'2025'!Maxi_hp)</f>
        <v>48.35240667023605</v>
      </c>
      <c r="J101" s="85">
        <f>IF(H101,An,'2025'!An_max)</f>
        <v>2021</v>
      </c>
      <c r="K101" s="199">
        <f t="shared" si="27"/>
        <v>46109</v>
      </c>
      <c r="L101" s="147">
        <f>IF(t&lt;Tvie,1-EXP((T0-t)*PertePVj)+'2025'!Pspv,1-EXP((T0-t)*PertePVj)+Pspv)</f>
        <v>6.2996031855878432E-2</v>
      </c>
      <c r="M101" s="870"/>
      <c r="N101" s="870"/>
      <c r="O101" s="48">
        <f>IF(t&lt;Tnet,'2025'!Resal+('2025'!Salim-'2025'!Resal)*(1-EXP(('2025'!Tnet-t)/('2025'!Tau_j))),Resal+(Salim-Resal)*(1-EXP((Tnet-t)/(Tau_j))))*Salcycl</f>
        <v>9.4965674187818636E-2</v>
      </c>
      <c r="P101" s="171">
        <f>(INDEX(Models!$BJ101:$BT101,,T101)*(1-R101)+INDEX(Models!$BJ101:$BT101,,T101+1)*R101-ERP_i)*Q101*Ramure*Pc/MaxiM</f>
        <v>1.4255604698115475E-3</v>
      </c>
      <c r="Q101" s="307">
        <f t="shared" si="28"/>
        <v>1</v>
      </c>
      <c r="R101" s="179">
        <f t="shared" si="29"/>
        <v>0.89579528588369595</v>
      </c>
      <c r="S101" s="837">
        <f t="shared" si="30"/>
        <v>-3</v>
      </c>
      <c r="T101" s="178">
        <f t="shared" si="31"/>
        <v>3</v>
      </c>
      <c r="U101" s="253">
        <f t="shared" si="32"/>
        <v>-2.1042047141163041</v>
      </c>
      <c r="V101" s="385">
        <f t="shared" si="33"/>
        <v>42.557327313336344</v>
      </c>
      <c r="W101" s="404">
        <f t="shared" si="34"/>
        <v>31.059464185190702</v>
      </c>
      <c r="X101" s="157">
        <f t="shared" si="35"/>
        <v>46109</v>
      </c>
      <c r="Y101" s="387">
        <f t="shared" si="36"/>
        <v>29.250445841353354</v>
      </c>
      <c r="Z101" s="387">
        <f t="shared" si="37"/>
        <v>31.216992495013972</v>
      </c>
      <c r="AA101" s="388">
        <f t="shared" si="38"/>
        <v>36.071317297380055</v>
      </c>
      <c r="AB101" s="199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0.13457575619836493</v>
      </c>
      <c r="AD101" s="233">
        <f>(INDEX(Models!$BJ101:$BT101,,AH101)*(1-AF101)+INDEX(Models!$BJ101:$BT101,,AH101+1)*AF101-ERP_i)*AE101*Ramure*Pc/MaxiM</f>
        <v>2.6060343982945332E-2</v>
      </c>
      <c r="AE101" s="307">
        <f t="shared" si="40"/>
        <v>1</v>
      </c>
      <c r="AF101" s="179">
        <f t="shared" si="41"/>
        <v>0.83077787880726639</v>
      </c>
      <c r="AG101" s="837">
        <f t="shared" si="49"/>
        <v>2</v>
      </c>
      <c r="AH101" s="178">
        <f t="shared" si="42"/>
        <v>8</v>
      </c>
      <c r="AI101" s="227">
        <f t="shared" si="43"/>
        <v>2.8307778788072664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46110</v>
      </c>
      <c r="B102" s="1139">
        <f>IF(t&gt;Tmaj,'2025'!Wh/'2025'!Env_an*'2026'!Env_an,0.001*'[5]mon-tableau'!$B$236)</f>
        <v>25.642853902516716</v>
      </c>
      <c r="C102" s="866"/>
      <c r="D102" s="395">
        <f t="shared" si="25"/>
        <v>27.367494199482483</v>
      </c>
      <c r="E102" s="387">
        <f t="shared" si="47"/>
        <v>30.244897984821538</v>
      </c>
      <c r="F102" s="387">
        <f t="shared" si="26"/>
        <v>30.262889906192644</v>
      </c>
      <c r="G102" s="110">
        <f t="shared" si="48"/>
        <v>0.59686493057910395</v>
      </c>
      <c r="H102" s="414" t="b">
        <f>Wh_hp&gt;='2025'!Maxi_hp</f>
        <v>0</v>
      </c>
      <c r="I102" s="392">
        <f>IF(H102,Wh_hp,'2025'!Maxi_hp)</f>
        <v>50.374159928114452</v>
      </c>
      <c r="J102" s="85">
        <f>IF(H102,An,'2025'!An_max)</f>
        <v>2021</v>
      </c>
      <c r="K102" s="199">
        <f t="shared" si="27"/>
        <v>46110</v>
      </c>
      <c r="L102" s="147">
        <f>IF(t&lt;Tvie,1-EXP((T0-t)*PertePVj)+'2025'!Pspv,1-EXP((T0-t)*PertePVj)+Pspv)</f>
        <v>6.3017837307091873E-2</v>
      </c>
      <c r="M102" s="870"/>
      <c r="N102" s="870"/>
      <c r="O102" s="48">
        <f>IF(t&lt;Tnet,'2025'!Resal+('2025'!Salim-'2025'!Resal)*(1-EXP(('2025'!Tnet-t)/('2025'!Tau_j))),Resal+(Salim-Resal)*(1-EXP((Tnet-t)/(Tau_j))))*Salcycl</f>
        <v>9.5136832228135959E-2</v>
      </c>
      <c r="P102" s="171">
        <f>(INDEX(Models!$BJ102:$BT102,,T102)*(1-R102)+INDEX(Models!$BJ102:$BT102,,T102+1)*R102-ERP_i)*Q102*Ramure*Pc/MaxiM</f>
        <v>1.3995966767193068E-3</v>
      </c>
      <c r="Q102" s="307">
        <f t="shared" si="28"/>
        <v>1</v>
      </c>
      <c r="R102" s="179">
        <f t="shared" si="29"/>
        <v>0.89707318108183687</v>
      </c>
      <c r="S102" s="837">
        <f t="shared" si="30"/>
        <v>-3</v>
      </c>
      <c r="T102" s="178">
        <f t="shared" si="31"/>
        <v>3</v>
      </c>
      <c r="U102" s="253">
        <f t="shared" si="32"/>
        <v>-2.1029268189181631</v>
      </c>
      <c r="V102" s="385">
        <f t="shared" si="33"/>
        <v>42.927965556600071</v>
      </c>
      <c r="W102" s="404">
        <f t="shared" si="34"/>
        <v>25.642853902516716</v>
      </c>
      <c r="X102" s="157">
        <f t="shared" si="35"/>
        <v>46110</v>
      </c>
      <c r="Y102" s="387">
        <f t="shared" si="36"/>
        <v>24.274133415030072</v>
      </c>
      <c r="Z102" s="387">
        <f t="shared" si="37"/>
        <v>25.906718805900912</v>
      </c>
      <c r="AA102" s="388">
        <f t="shared" si="38"/>
        <v>29.938882031759633</v>
      </c>
      <c r="AB102" s="199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0.13467981942616758</v>
      </c>
      <c r="AD102" s="233">
        <f>(INDEX(Models!$BJ102:$BT102,,AH102)*(1-AF102)+INDEX(Models!$BJ102:$BT102,,AH102+1)*AF102-ERP_i)*AE102*Ramure*Pc/MaxiM</f>
        <v>2.520466463440383E-2</v>
      </c>
      <c r="AE102" s="307">
        <f t="shared" si="40"/>
        <v>1</v>
      </c>
      <c r="AF102" s="179">
        <f t="shared" si="41"/>
        <v>0.83205577400540731</v>
      </c>
      <c r="AG102" s="837">
        <f t="shared" si="49"/>
        <v>2</v>
      </c>
      <c r="AH102" s="178">
        <f t="shared" si="42"/>
        <v>8</v>
      </c>
      <c r="AI102" s="227">
        <f t="shared" si="43"/>
        <v>2.8320557740054073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46111</v>
      </c>
      <c r="B103" s="1139">
        <f>IF(t&gt;Tmaj,'2025'!Wh/'2025'!Env_an*'2026'!Env_an,0.001*'[5]mon-tableau'!$B$237)</f>
        <v>7.2264650812653999</v>
      </c>
      <c r="C103" s="866"/>
      <c r="D103" s="395">
        <f t="shared" si="25"/>
        <v>7.7126689741981638</v>
      </c>
      <c r="E103" s="387">
        <f t="shared" si="47"/>
        <v>8.5252005233524635</v>
      </c>
      <c r="F103" s="387">
        <f t="shared" si="26"/>
        <v>8.5252005233524635</v>
      </c>
      <c r="G103" s="110">
        <f t="shared" si="48"/>
        <v>0.16668903829642182</v>
      </c>
      <c r="H103" s="414" t="b">
        <f>Wh_hp&gt;='2025'!Maxi_hp</f>
        <v>0</v>
      </c>
      <c r="I103" s="392">
        <f>IF(H103,Wh_hp,'2025'!Maxi_hp)</f>
        <v>50.454310720909646</v>
      </c>
      <c r="J103" s="85">
        <f>IF(H103,An,'2025'!An_max)</f>
        <v>2019</v>
      </c>
      <c r="K103" s="199">
        <f t="shared" si="27"/>
        <v>46111</v>
      </c>
      <c r="L103" s="147">
        <f>IF(t&lt;Tvie,1-EXP((T0-t)*PertePVj)+'2025'!Pspv,1-EXP((T0-t)*PertePVj)+Pspv)</f>
        <v>6.3039642250860561E-2</v>
      </c>
      <c r="M103" s="870"/>
      <c r="N103" s="870"/>
      <c r="O103" s="48">
        <f>IF(t&lt;Tnet,'2025'!Resal+('2025'!Salim-'2025'!Resal)*(1-EXP(('2025'!Tnet-t)/('2025'!Tau_j))),Resal+(Salim-Resal)*(1-EXP((Tnet-t)/(Tau_j))))*Salcycl</f>
        <v>9.530937682094294E-2</v>
      </c>
      <c r="P103" s="171">
        <f>(INDEX(Models!$BJ103:$BT103,,T103)*(1-R103)+INDEX(Models!$BJ103:$BT103,,T103+1)*R103-ERP_i)*Q103*Ramure*Pc/MaxiM</f>
        <v>1.3730052155884293E-3</v>
      </c>
      <c r="Q103" s="307">
        <f t="shared" si="28"/>
        <v>1</v>
      </c>
      <c r="R103" s="179">
        <f t="shared" si="29"/>
        <v>0.8983995051741025</v>
      </c>
      <c r="S103" s="837">
        <f t="shared" si="30"/>
        <v>-3</v>
      </c>
      <c r="T103" s="178">
        <f t="shared" si="31"/>
        <v>3</v>
      </c>
      <c r="U103" s="253">
        <f t="shared" si="32"/>
        <v>-2.1016004948258975</v>
      </c>
      <c r="V103" s="385">
        <f t="shared" si="33"/>
        <v>43.293447372258711</v>
      </c>
      <c r="W103" s="404">
        <f t="shared" si="34"/>
        <v>7.2264650812653999</v>
      </c>
      <c r="X103" s="157">
        <f t="shared" si="35"/>
        <v>46111</v>
      </c>
      <c r="Y103" s="387">
        <f t="shared" si="36"/>
        <v>6.9111343206431899</v>
      </c>
      <c r="Z103" s="387">
        <f t="shared" si="37"/>
        <v>7.3761224404902395</v>
      </c>
      <c r="AA103" s="388">
        <f t="shared" si="38"/>
        <v>8.5252005233524635</v>
      </c>
      <c r="AB103" s="199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0.13478604752048204</v>
      </c>
      <c r="AD103" s="233">
        <f>(INDEX(Models!$BJ103:$BT103,,AH103)*(1-AF103)+INDEX(Models!$BJ103:$BT103,,AH103+1)*AF103-ERP_i)*AE103*Ramure*Pc/MaxiM</f>
        <v>2.4416066084559929E-2</v>
      </c>
      <c r="AE103" s="307">
        <f t="shared" si="40"/>
        <v>1</v>
      </c>
      <c r="AF103" s="179">
        <f t="shared" si="41"/>
        <v>0.83338209809767294</v>
      </c>
      <c r="AG103" s="837">
        <f t="shared" si="49"/>
        <v>2</v>
      </c>
      <c r="AH103" s="178">
        <f t="shared" si="42"/>
        <v>8</v>
      </c>
      <c r="AI103" s="227">
        <f t="shared" si="43"/>
        <v>2.8333820980976729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46112</v>
      </c>
      <c r="B104" s="1139">
        <f>IF(t&gt;Tmaj,'2025'!Wh/'2025'!Env_an*'2026'!Env_an,0.001*'[5]mon-tableau'!$B$238)</f>
        <v>25.232068143426499</v>
      </c>
      <c r="C104" s="866"/>
      <c r="D104" s="395">
        <f t="shared" si="25"/>
        <v>26.930333962896064</v>
      </c>
      <c r="E104" s="387">
        <f t="shared" si="47"/>
        <v>29.773177786977421</v>
      </c>
      <c r="F104" s="387">
        <f t="shared" si="26"/>
        <v>29.789100247186351</v>
      </c>
      <c r="G104" s="110">
        <f t="shared" si="48"/>
        <v>0.57754527373761599</v>
      </c>
      <c r="H104" s="414" t="b">
        <f>Wh_hp&gt;='2025'!Maxi_hp</f>
        <v>0</v>
      </c>
      <c r="I104" s="392">
        <f>IF(H104,Wh_hp,'2025'!Maxi_hp)</f>
        <v>45.640923003520236</v>
      </c>
      <c r="J104" s="85">
        <f>IF(H104,An,'2025'!An_max)</f>
        <v>2021</v>
      </c>
      <c r="K104" s="199">
        <f t="shared" si="27"/>
        <v>46112</v>
      </c>
      <c r="L104" s="147">
        <f>IF(t&lt;Tvie,1-EXP((T0-t)*PertePVj)+'2025'!Pspv,1-EXP((T0-t)*PertePVj)+Pspv)</f>
        <v>6.3061446687196376E-2</v>
      </c>
      <c r="M104" s="870"/>
      <c r="N104" s="870"/>
      <c r="O104" s="48">
        <f>IF(t&lt;Tnet,'2025'!Resal+('2025'!Salim-'2025'!Resal)*(1-EXP(('2025'!Tnet-t)/('2025'!Tau_j))),Resal+(Salim-Resal)*(1-EXP((Tnet-t)/(Tau_j))))*Salcycl</f>
        <v>9.5483385899263806E-2</v>
      </c>
      <c r="P104" s="171">
        <f>(INDEX(Models!$BJ104:$BT104,,T104)*(1-R104)+INDEX(Models!$BJ104:$BT104,,T104+1)*R104-ERP_i)*Q104*Ramure*Pc/MaxiM</f>
        <v>1.3458089958833753E-3</v>
      </c>
      <c r="Q104" s="307">
        <f t="shared" si="28"/>
        <v>1</v>
      </c>
      <c r="R104" s="179">
        <f t="shared" si="29"/>
        <v>0.89977587945123272</v>
      </c>
      <c r="S104" s="837">
        <f t="shared" si="30"/>
        <v>-3</v>
      </c>
      <c r="T104" s="178">
        <f t="shared" si="31"/>
        <v>3</v>
      </c>
      <c r="U104" s="253">
        <f t="shared" si="32"/>
        <v>-2.1002241205487673</v>
      </c>
      <c r="V104" s="385">
        <f t="shared" si="33"/>
        <v>43.65300435480291</v>
      </c>
      <c r="W104" s="404">
        <f t="shared" si="34"/>
        <v>25.232068143426499</v>
      </c>
      <c r="X104" s="157">
        <f t="shared" si="35"/>
        <v>46112</v>
      </c>
      <c r="Y104" s="387">
        <f t="shared" si="36"/>
        <v>23.918364348796676</v>
      </c>
      <c r="Z104" s="387">
        <f t="shared" si="37"/>
        <v>25.528210216376227</v>
      </c>
      <c r="AA104" s="388">
        <f t="shared" si="38"/>
        <v>29.508784181702552</v>
      </c>
      <c r="AB104" s="199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0.13489454329313064</v>
      </c>
      <c r="AD104" s="233">
        <f>(INDEX(Models!$BJ104:$BT104,,AH104)*(1-AF104)+INDEX(Models!$BJ104:$BT104,,AH104+1)*AF104-ERP_i)*AE104*Ramure*Pc/MaxiM</f>
        <v>2.3693064869908829E-2</v>
      </c>
      <c r="AE104" s="307">
        <f t="shared" si="40"/>
        <v>1</v>
      </c>
      <c r="AF104" s="179">
        <f t="shared" si="41"/>
        <v>0.83475847237480316</v>
      </c>
      <c r="AG104" s="837">
        <f t="shared" si="49"/>
        <v>2</v>
      </c>
      <c r="AH104" s="178">
        <f t="shared" si="42"/>
        <v>8</v>
      </c>
      <c r="AI104" s="227">
        <f t="shared" si="43"/>
        <v>2.8347584723748032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46113</v>
      </c>
      <c r="B105" s="1139">
        <f>IF(t&gt;Tmaj,'2025'!Wh/'2025'!Env_an*'2026'!Env_an,0.001*'[6]mon-tableau'!$B$202)</f>
        <v>27.500849787872205</v>
      </c>
      <c r="C105" s="866"/>
      <c r="D105" s="395">
        <f t="shared" si="25"/>
        <v>29.352500962285717</v>
      </c>
      <c r="E105" s="387">
        <f t="shared" si="47"/>
        <v>32.457335126187324</v>
      </c>
      <c r="F105" s="387">
        <f t="shared" si="26"/>
        <v>32.477205350366987</v>
      </c>
      <c r="G105" s="110">
        <f t="shared" si="48"/>
        <v>0.62449435484667348</v>
      </c>
      <c r="H105" s="414" t="b">
        <f>Wh_hp&gt;='2025'!Maxi_hp</f>
        <v>0</v>
      </c>
      <c r="I105" s="392">
        <f>IF(H105,Wh_hp,'2025'!Maxi_hp)</f>
        <v>47.789967168011586</v>
      </c>
      <c r="J105" s="85">
        <f>IF(H105,An,'2025'!An_max)</f>
        <v>2020</v>
      </c>
      <c r="K105" s="199">
        <f t="shared" si="27"/>
        <v>46113</v>
      </c>
      <c r="L105" s="147">
        <f>IF(t&lt;Tvie,1-EXP((T0-t)*PertePVj)+'2025'!Pspv,1-EXP((T0-t)*PertePVj)+Pspv)</f>
        <v>6.3083250616111086E-2</v>
      </c>
      <c r="M105" s="870"/>
      <c r="N105" s="870"/>
      <c r="O105" s="48">
        <f>IF(t&lt;Tnet,'2025'!Resal+('2025'!Salim-'2025'!Resal)*(1-EXP(('2025'!Tnet-t)/('2025'!Tau_j))),Resal+(Salim-Resal)*(1-EXP((Tnet-t)/(Tau_j))))*Salcycl</f>
        <v>9.5658936626517962E-2</v>
      </c>
      <c r="P105" s="171">
        <f>(INDEX(Models!$BJ105:$BT105,,T105)*(1-R105)+INDEX(Models!$BJ105:$BT105,,T105+1)*R105-ERP_i)*Q105*Ramure*Pc/MaxiM</f>
        <v>1.318027223448572E-3</v>
      </c>
      <c r="Q105" s="307">
        <f t="shared" si="28"/>
        <v>1</v>
      </c>
      <c r="R105" s="179">
        <f t="shared" si="29"/>
        <v>0.90120396214823195</v>
      </c>
      <c r="S105" s="837">
        <f t="shared" si="30"/>
        <v>-3</v>
      </c>
      <c r="T105" s="178">
        <f t="shared" si="31"/>
        <v>3</v>
      </c>
      <c r="U105" s="253">
        <f t="shared" si="32"/>
        <v>-2.098796037851768</v>
      </c>
      <c r="V105" s="385">
        <f t="shared" si="33"/>
        <v>44.005868753624526</v>
      </c>
      <c r="W105" s="404">
        <f t="shared" si="34"/>
        <v>27.500849787872205</v>
      </c>
      <c r="X105" s="157">
        <f t="shared" si="35"/>
        <v>46113</v>
      </c>
      <c r="Y105" s="387">
        <f t="shared" si="36"/>
        <v>26.039006490023091</v>
      </c>
      <c r="Z105" s="387">
        <f t="shared" si="37"/>
        <v>27.79223074744495</v>
      </c>
      <c r="AA105" s="388">
        <f t="shared" si="38"/>
        <v>32.12994740956244</v>
      </c>
      <c r="AB105" s="199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0.1350054080955797</v>
      </c>
      <c r="AD105" s="233">
        <f>(INDEX(Models!$BJ105:$BT105,,AH105)*(1-AF105)+INDEX(Models!$BJ105:$BT105,,AH105+1)*AF105-ERP_i)*AE105*Ramure*Pc/MaxiM</f>
        <v>2.3034235316153027E-2</v>
      </c>
      <c r="AE105" s="307">
        <f t="shared" si="40"/>
        <v>1</v>
      </c>
      <c r="AF105" s="179">
        <f t="shared" si="41"/>
        <v>0.8361865550718024</v>
      </c>
      <c r="AG105" s="837">
        <f t="shared" si="49"/>
        <v>2</v>
      </c>
      <c r="AH105" s="178">
        <f t="shared" si="42"/>
        <v>8</v>
      </c>
      <c r="AI105" s="227">
        <f t="shared" si="43"/>
        <v>2.8361865550718024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46114</v>
      </c>
      <c r="B106" s="1139">
        <f>IF(t&gt;Tmaj,'2025'!Wh/'2025'!Env_an*'2026'!Env_an,0.001*'[6]mon-tableau'!$B$203)</f>
        <v>18.630228583354729</v>
      </c>
      <c r="C106" s="866"/>
      <c r="D106" s="395">
        <f t="shared" si="25"/>
        <v>19.885077471751821</v>
      </c>
      <c r="E106" s="387">
        <f t="shared" si="47"/>
        <v>21.992779834188021</v>
      </c>
      <c r="F106" s="387">
        <f t="shared" si="26"/>
        <v>21.997645694034976</v>
      </c>
      <c r="G106" s="110">
        <f t="shared" si="48"/>
        <v>0.41961181169845585</v>
      </c>
      <c r="H106" s="414" t="b">
        <f>Wh_hp&gt;='2025'!Maxi_hp</f>
        <v>0</v>
      </c>
      <c r="I106" s="392">
        <f>IF(H106,Wh_hp,'2025'!Maxi_hp)</f>
        <v>42.365894595773121</v>
      </c>
      <c r="J106" s="85">
        <f>IF(H106,An,'2025'!An_max)</f>
        <v>2020</v>
      </c>
      <c r="K106" s="199">
        <f t="shared" si="27"/>
        <v>46114</v>
      </c>
      <c r="L106" s="147">
        <f>IF(t&lt;Tvie,1-EXP((T0-t)*PertePVj)+'2025'!Pspv,1-EXP((T0-t)*PertePVj)+Pspv)</f>
        <v>6.310505403761657E-2</v>
      </c>
      <c r="M106" s="870"/>
      <c r="N106" s="870"/>
      <c r="O106" s="48">
        <f>IF(t&lt;Tnet,'2025'!Resal+('2025'!Salim-'2025'!Resal)*(1-EXP(('2025'!Tnet-t)/('2025'!Tau_j))),Resal+(Salim-Resal)*(1-EXP((Tnet-t)/(Tau_j))))*Salcycl</f>
        <v>9.5836105227577989E-2</v>
      </c>
      <c r="P106" s="171">
        <f>(INDEX(Models!$BJ106:$BT106,,T106)*(1-R106)+INDEX(Models!$BJ106:$BT106,,T106+1)*R106-ERP_i)*Q106*Ramure*Pc/MaxiM</f>
        <v>1.2896754467723432E-3</v>
      </c>
      <c r="Q106" s="307">
        <f t="shared" si="28"/>
        <v>1</v>
      </c>
      <c r="R106" s="179">
        <f t="shared" si="29"/>
        <v>0.90268544781744708</v>
      </c>
      <c r="S106" s="837">
        <f t="shared" si="30"/>
        <v>-3</v>
      </c>
      <c r="T106" s="178">
        <f t="shared" si="31"/>
        <v>3</v>
      </c>
      <c r="U106" s="253">
        <f t="shared" si="32"/>
        <v>-2.0973145521825529</v>
      </c>
      <c r="V106" s="385">
        <f t="shared" si="33"/>
        <v>44.351273491679343</v>
      </c>
      <c r="W106" s="404">
        <f t="shared" si="34"/>
        <v>18.630228583354729</v>
      </c>
      <c r="X106" s="157">
        <f t="shared" si="35"/>
        <v>46114</v>
      </c>
      <c r="Y106" s="387">
        <f t="shared" si="36"/>
        <v>17.75615711391119</v>
      </c>
      <c r="Z106" s="387">
        <f t="shared" si="37"/>
        <v>18.952132456720612</v>
      </c>
      <c r="AA106" s="388">
        <f t="shared" si="38"/>
        <v>21.912987791623433</v>
      </c>
      <c r="AB106" s="199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0.13511874159098705</v>
      </c>
      <c r="AD106" s="233">
        <f>(INDEX(Models!$BJ106:$BT106,,AH106)*(1-AF106)+INDEX(Models!$BJ106:$BT106,,AH106+1)*AF106-ERP_i)*AE106*Ramure*Pc/MaxiM</f>
        <v>2.2438216789937307E-2</v>
      </c>
      <c r="AE106" s="307">
        <f t="shared" si="40"/>
        <v>1</v>
      </c>
      <c r="AF106" s="179">
        <f t="shared" si="41"/>
        <v>0.83766804074101753</v>
      </c>
      <c r="AG106" s="837">
        <f t="shared" si="49"/>
        <v>2</v>
      </c>
      <c r="AH106" s="178">
        <f t="shared" si="42"/>
        <v>8</v>
      </c>
      <c r="AI106" s="227">
        <f t="shared" si="43"/>
        <v>2.8376680407410175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46115</v>
      </c>
      <c r="B107" s="1139">
        <f>IF(t&gt;Tmaj,'2025'!Wh/'2025'!Env_an*'2026'!Env_an,0.001*'[6]mon-tableau'!$B$204)</f>
        <v>23.063848281530536</v>
      </c>
      <c r="C107" s="866"/>
      <c r="D107" s="395">
        <f t="shared" si="25"/>
        <v>24.617898861406569</v>
      </c>
      <c r="E107" s="387">
        <f t="shared" si="47"/>
        <v>27.232639875654691</v>
      </c>
      <c r="F107" s="387">
        <f t="shared" si="26"/>
        <v>27.243241503525759</v>
      </c>
      <c r="G107" s="110">
        <f t="shared" si="48"/>
        <v>0.51562383293338565</v>
      </c>
      <c r="H107" s="414" t="b">
        <f>Wh_hp&gt;='2025'!Maxi_hp</f>
        <v>0</v>
      </c>
      <c r="I107" s="392">
        <f>IF(H107,Wh_hp,'2025'!Maxi_hp)</f>
        <v>48.937909271344878</v>
      </c>
      <c r="J107" s="85">
        <f>IF(H107,An,'2025'!An_max)</f>
        <v>2021</v>
      </c>
      <c r="K107" s="199">
        <f t="shared" si="27"/>
        <v>46115</v>
      </c>
      <c r="L107" s="147">
        <f>IF(t&lt;Tvie,1-EXP((T0-t)*PertePVj)+'2025'!Pspv,1-EXP((T0-t)*PertePVj)+Pspv)</f>
        <v>6.3126856951724486E-2</v>
      </c>
      <c r="M107" s="870"/>
      <c r="N107" s="870"/>
      <c r="O107" s="48">
        <f>IF(t&lt;Tnet,'2025'!Resal+('2025'!Salim-'2025'!Resal)*(1-EXP(('2025'!Tnet-t)/('2025'!Tau_j))),Resal+(Salim-Resal)*(1-EXP((Tnet-t)/(Tau_j))))*Salcycl</f>
        <v>9.6014966826100306E-2</v>
      </c>
      <c r="P107" s="171">
        <f>(INDEX(Models!$BJ107:$BT107,,T107)*(1-R107)+INDEX(Models!$BJ107:$BT107,,T107+1)*R107-ERP_i)*Q107*Ramure*Pc/MaxiM</f>
        <v>1.2606941127604168E-3</v>
      </c>
      <c r="Q107" s="307">
        <f t="shared" si="28"/>
        <v>1</v>
      </c>
      <c r="R107" s="179">
        <f t="shared" si="29"/>
        <v>0.90422206654418602</v>
      </c>
      <c r="S107" s="837">
        <f t="shared" si="30"/>
        <v>-3</v>
      </c>
      <c r="T107" s="178">
        <f t="shared" si="31"/>
        <v>3</v>
      </c>
      <c r="U107" s="253">
        <f t="shared" si="32"/>
        <v>-2.095777933455814</v>
      </c>
      <c r="V107" s="385">
        <f t="shared" si="33"/>
        <v>44.690989352670051</v>
      </c>
      <c r="W107" s="404">
        <f t="shared" si="34"/>
        <v>23.063848281530536</v>
      </c>
      <c r="X107" s="157">
        <f t="shared" si="35"/>
        <v>46115</v>
      </c>
      <c r="Y107" s="387">
        <f t="shared" si="36"/>
        <v>21.922582362429679</v>
      </c>
      <c r="Z107" s="387">
        <f t="shared" si="37"/>
        <v>23.399734024929824</v>
      </c>
      <c r="AA107" s="388">
        <f t="shared" si="38"/>
        <v>27.059055726402619</v>
      </c>
      <c r="AB107" s="199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0.13523464153637285</v>
      </c>
      <c r="AD107" s="233">
        <f>(INDEX(Models!$BJ107:$BT107,,AH107)*(1-AF107)+INDEX(Models!$BJ107:$BT107,,AH107+1)*AF107-ERP_i)*AE107*Ramure*Pc/MaxiM</f>
        <v>2.1902478345521066E-2</v>
      </c>
      <c r="AE107" s="307">
        <f t="shared" si="40"/>
        <v>1</v>
      </c>
      <c r="AF107" s="179">
        <f t="shared" si="41"/>
        <v>0.83920465946775646</v>
      </c>
      <c r="AG107" s="837">
        <f t="shared" si="49"/>
        <v>2</v>
      </c>
      <c r="AH107" s="178">
        <f t="shared" si="42"/>
        <v>8</v>
      </c>
      <c r="AI107" s="227">
        <f t="shared" si="43"/>
        <v>2.8392046594677565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46116</v>
      </c>
      <c r="B108" s="1139">
        <f>IF(t&gt;Tmaj,'2025'!Wh/'2025'!Env_an*'2026'!Env_an,0.001*'[6]mon-tableau'!$B$205)</f>
        <v>39.940479649038835</v>
      </c>
      <c r="C108" s="866"/>
      <c r="D108" s="395">
        <f t="shared" si="25"/>
        <v>42.632675982176323</v>
      </c>
      <c r="E108" s="387">
        <f t="shared" si="47"/>
        <v>47.170245862815065</v>
      </c>
      <c r="F108" s="387">
        <f t="shared" si="26"/>
        <v>47.218975749055694</v>
      </c>
      <c r="G108" s="110">
        <f t="shared" si="48"/>
        <v>0.8868552108293758</v>
      </c>
      <c r="H108" s="414" t="b">
        <f>Wh_hp&gt;='2025'!Maxi_hp</f>
        <v>0</v>
      </c>
      <c r="I108" s="392">
        <f>IF(H108,Wh_hp,'2025'!Maxi_hp)</f>
        <v>53.242583375883534</v>
      </c>
      <c r="J108" s="85">
        <f>IF(H108,An,'2025'!An_max)</f>
        <v>2020</v>
      </c>
      <c r="K108" s="199">
        <f t="shared" si="27"/>
        <v>46116</v>
      </c>
      <c r="L108" s="147">
        <f>IF(t&lt;Tvie,1-EXP((T0-t)*PertePVj)+'2025'!Pspv,1-EXP((T0-t)*PertePVj)+Pspv)</f>
        <v>6.3148659358446824E-2</v>
      </c>
      <c r="M108" s="870"/>
      <c r="N108" s="870"/>
      <c r="O108" s="48">
        <f>IF(t&lt;Tnet,'2025'!Resal+('2025'!Salim-'2025'!Resal)*(1-EXP(('2025'!Tnet-t)/('2025'!Tau_j))),Resal+(Salim-Resal)*(1-EXP((Tnet-t)/(Tau_j))))*Salcycl</f>
        <v>9.6195595287659294E-2</v>
      </c>
      <c r="P108" s="171">
        <f>(INDEX(Models!$BJ108:$BT108,,T108)*(1-R108)+INDEX(Models!$BJ108:$BT108,,T108+1)*R108-ERP_i)*Q108*Ramure*Pc/MaxiM</f>
        <v>1.2305957991052626E-3</v>
      </c>
      <c r="Q108" s="307">
        <f t="shared" si="28"/>
        <v>1</v>
      </c>
      <c r="R108" s="179">
        <f t="shared" si="29"/>
        <v>0.90581558299297971</v>
      </c>
      <c r="S108" s="837">
        <f t="shared" si="30"/>
        <v>-3</v>
      </c>
      <c r="T108" s="178">
        <f t="shared" si="31"/>
        <v>3</v>
      </c>
      <c r="U108" s="253">
        <f t="shared" si="32"/>
        <v>-2.0941844170070203</v>
      </c>
      <c r="V108" s="385">
        <f t="shared" si="33"/>
        <v>45.027123789507371</v>
      </c>
      <c r="W108" s="404">
        <f t="shared" si="34"/>
        <v>39.940479649038835</v>
      </c>
      <c r="X108" s="157">
        <f t="shared" si="35"/>
        <v>46116</v>
      </c>
      <c r="Y108" s="387">
        <f t="shared" si="36"/>
        <v>37.562252458971962</v>
      </c>
      <c r="Z108" s="387">
        <f t="shared" si="37"/>
        <v>40.094143894002904</v>
      </c>
      <c r="AA108" s="388">
        <f t="shared" si="38"/>
        <v>46.370545822570584</v>
      </c>
      <c r="AB108" s="199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0.13535320357416794</v>
      </c>
      <c r="AD108" s="233">
        <f>(INDEX(Models!$BJ108:$BT108,,AH108)*(1-AF108)+INDEX(Models!$BJ108:$BT108,,AH108+1)*AF108-ERP_i)*AE108*Ramure*Pc/MaxiM</f>
        <v>2.1425748835368335E-2</v>
      </c>
      <c r="AE108" s="307">
        <f t="shared" si="40"/>
        <v>1</v>
      </c>
      <c r="AF108" s="179">
        <f t="shared" si="41"/>
        <v>0.84079817591655015</v>
      </c>
      <c r="AG108" s="837">
        <f t="shared" si="49"/>
        <v>2</v>
      </c>
      <c r="AH108" s="178">
        <f t="shared" si="42"/>
        <v>8</v>
      </c>
      <c r="AI108" s="227">
        <f t="shared" si="43"/>
        <v>2.8407981759165502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46117</v>
      </c>
      <c r="B109" s="1139">
        <f>IF(t&gt;Tmaj,'2025'!Wh/'2025'!Env_an*'2026'!Env_an,0.001*'[6]mon-tableau'!$B$206)</f>
        <v>46.215016794107541</v>
      </c>
      <c r="C109" s="866"/>
      <c r="D109" s="395">
        <f t="shared" si="25"/>
        <v>49.331297619155151</v>
      </c>
      <c r="E109" s="387">
        <f t="shared" si="47"/>
        <v>54.592850840530097</v>
      </c>
      <c r="F109" s="387">
        <f t="shared" si="26"/>
        <v>54.658447129725701</v>
      </c>
      <c r="G109" s="110">
        <f t="shared" si="48"/>
        <v>1.0188640814749232</v>
      </c>
      <c r="H109" s="414" t="b">
        <f>Wh_hp&gt;='2025'!Maxi_hp</f>
        <v>0</v>
      </c>
      <c r="I109" s="392">
        <f>IF(H109,Wh_hp,'2025'!Maxi_hp)</f>
        <v>55.141802022819732</v>
      </c>
      <c r="J109" s="85">
        <f>IF(H109,An,'2025'!An_max)</f>
        <v>2020</v>
      </c>
      <c r="K109" s="199">
        <f t="shared" si="27"/>
        <v>46117</v>
      </c>
      <c r="L109" s="147">
        <f>IF(t&lt;Tvie,1-EXP((T0-t)*PertePVj)+'2025'!Pspv,1-EXP((T0-t)*PertePVj)+Pspv)</f>
        <v>6.3170461257795241E-2</v>
      </c>
      <c r="M109" s="870"/>
      <c r="N109" s="870"/>
      <c r="O109" s="48">
        <f>IF(t&lt;Tnet,'2025'!Resal+('2025'!Salim-'2025'!Resal)*(1-EXP(('2025'!Tnet-t)/('2025'!Tau_j))),Resal+(Salim-Resal)*(1-EXP((Tnet-t)/(Tau_j))))*Salcycl</f>
        <v>9.637806306808093E-2</v>
      </c>
      <c r="P109" s="171">
        <f>(INDEX(Models!$BJ109:$BT109,,T109)*(1-R109)+INDEX(Models!$BJ109:$BT109,,T109+1)*R109-ERP_i)*Q109*Ramure*Pc/MaxiM</f>
        <v>1.2001125652164497E-3</v>
      </c>
      <c r="Q109" s="307">
        <f t="shared" si="28"/>
        <v>1</v>
      </c>
      <c r="R109" s="179">
        <f t="shared" si="29"/>
        <v>0.90746779527220589</v>
      </c>
      <c r="S109" s="837">
        <f t="shared" si="30"/>
        <v>-3</v>
      </c>
      <c r="T109" s="178">
        <f t="shared" si="31"/>
        <v>3</v>
      </c>
      <c r="U109" s="253">
        <f t="shared" si="32"/>
        <v>-2.0925322047277941</v>
      </c>
      <c r="V109" s="385">
        <f t="shared" si="33"/>
        <v>45.359354240072911</v>
      </c>
      <c r="W109" s="404">
        <f t="shared" si="34"/>
        <v>46.215016794107541</v>
      </c>
      <c r="X109" s="157">
        <f t="shared" si="35"/>
        <v>46117</v>
      </c>
      <c r="Y109" s="387">
        <f t="shared" si="36"/>
        <v>43.340039570920858</v>
      </c>
      <c r="Z109" s="387">
        <f t="shared" si="37"/>
        <v>46.262460542298399</v>
      </c>
      <c r="AA109" s="388">
        <f t="shared" si="38"/>
        <v>53.511968898284103</v>
      </c>
      <c r="AB109" s="199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0.13547452103221277</v>
      </c>
      <c r="AD109" s="233">
        <f>(INDEX(Models!$BJ109:$BT109,,AH109)*(1-AF109)+INDEX(Models!$BJ109:$BT109,,AH109+1)*AF109-ERP_i)*AE109*Ramure*Pc/MaxiM</f>
        <v>2.097531656398071E-2</v>
      </c>
      <c r="AE109" s="307">
        <f t="shared" si="40"/>
        <v>1</v>
      </c>
      <c r="AF109" s="179">
        <f t="shared" si="41"/>
        <v>0.84245038819577633</v>
      </c>
      <c r="AG109" s="837">
        <f t="shared" si="49"/>
        <v>2</v>
      </c>
      <c r="AH109" s="178">
        <f t="shared" si="42"/>
        <v>8</v>
      </c>
      <c r="AI109" s="227">
        <f t="shared" si="43"/>
        <v>2.8424503881957763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46118</v>
      </c>
      <c r="B110" s="1139">
        <f>IF(t&gt;Tmaj,'2025'!Wh/'2025'!Env_an*'2026'!Env_an,0.001*'[6]mon-tableau'!$B$207)</f>
        <v>11.739811025552886</v>
      </c>
      <c r="C110" s="866"/>
      <c r="D110" s="395">
        <f t="shared" si="25"/>
        <v>12.53171868409115</v>
      </c>
      <c r="E110" s="387">
        <f t="shared" si="47"/>
        <v>13.87115087276351</v>
      </c>
      <c r="F110" s="387">
        <f t="shared" si="26"/>
        <v>13.87115087276351</v>
      </c>
      <c r="G110" s="110">
        <f t="shared" si="48"/>
        <v>0.25665909327763153</v>
      </c>
      <c r="H110" s="414" t="b">
        <f>Wh_hp&gt;='2025'!Maxi_hp</f>
        <v>0</v>
      </c>
      <c r="I110" s="392">
        <f>IF(H110,Wh_hp,'2025'!Maxi_hp)</f>
        <v>55.305797154452193</v>
      </c>
      <c r="J110" s="85">
        <f>IF(H110,An,'2025'!An_max)</f>
        <v>2020</v>
      </c>
      <c r="K110" s="199">
        <f t="shared" si="27"/>
        <v>46118</v>
      </c>
      <c r="L110" s="147">
        <f>IF(t&lt;Tvie,1-EXP((T0-t)*PertePVj)+'2025'!Pspv,1-EXP((T0-t)*PertePVj)+Pspv)</f>
        <v>6.3192262649781616E-2</v>
      </c>
      <c r="M110" s="870"/>
      <c r="N110" s="870"/>
      <c r="O110" s="48">
        <f>IF(t&lt;Tnet,'2025'!Resal+('2025'!Salim-'2025'!Resal)*(1-EXP(('2025'!Tnet-t)/('2025'!Tau_j))),Resal+(Salim-Resal)*(1-EXP((Tnet-t)/(Tau_j))))*Salcycl</f>
        <v>9.6562441066255167E-2</v>
      </c>
      <c r="P110" s="171">
        <f>(INDEX(Models!$BJ110:$BT110,,T110)*(1-R110)+INDEX(Models!$BJ110:$BT110,,T110+1)*R110-ERP_i)*Q110*Ramure*Pc/MaxiM</f>
        <v>1.1692437089859979E-3</v>
      </c>
      <c r="Q110" s="307">
        <f t="shared" si="28"/>
        <v>1</v>
      </c>
      <c r="R110" s="179">
        <f t="shared" si="29"/>
        <v>0.90918053360446249</v>
      </c>
      <c r="S110" s="837">
        <f t="shared" si="30"/>
        <v>-3</v>
      </c>
      <c r="T110" s="178">
        <f t="shared" si="31"/>
        <v>3</v>
      </c>
      <c r="U110" s="253">
        <f t="shared" si="32"/>
        <v>-2.0908194663955375</v>
      </c>
      <c r="V110" s="385">
        <f t="shared" si="33"/>
        <v>45.687390910721852</v>
      </c>
      <c r="W110" s="404">
        <f t="shared" si="34"/>
        <v>11.739811025552886</v>
      </c>
      <c r="X110" s="157">
        <f t="shared" si="35"/>
        <v>46118</v>
      </c>
      <c r="Y110" s="387">
        <f t="shared" si="36"/>
        <v>11.23255059649361</v>
      </c>
      <c r="Z110" s="387">
        <f t="shared" si="37"/>
        <v>11.990241058709795</v>
      </c>
      <c r="AA110" s="388">
        <f t="shared" si="38"/>
        <v>13.87115087276351</v>
      </c>
      <c r="AB110" s="199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0.13559868473112405</v>
      </c>
      <c r="AD110" s="233">
        <f>(INDEX(Models!$BJ110:$BT110,,AH110)*(1-AF110)+INDEX(Models!$BJ110:$BT110,,AH110+1)*AF110-ERP_i)*AE110*Ramure*Pc/MaxiM</f>
        <v>2.0550732341882243E-2</v>
      </c>
      <c r="AE110" s="307">
        <f t="shared" si="40"/>
        <v>1</v>
      </c>
      <c r="AF110" s="179">
        <f t="shared" si="41"/>
        <v>0.84416312652803294</v>
      </c>
      <c r="AG110" s="837">
        <f t="shared" si="49"/>
        <v>2</v>
      </c>
      <c r="AH110" s="178">
        <f t="shared" si="42"/>
        <v>8</v>
      </c>
      <c r="AI110" s="227">
        <f t="shared" si="43"/>
        <v>2.8441631265280329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46119</v>
      </c>
      <c r="B111" s="1139">
        <f>IF(t&gt;Tmaj,'2025'!Wh/'2025'!Env_an*'2026'!Env_an,0.001*'[6]mon-tableau'!$B$208)</f>
        <v>35.512425035945668</v>
      </c>
      <c r="C111" s="866"/>
      <c r="D111" s="395">
        <f t="shared" si="25"/>
        <v>37.908793944891173</v>
      </c>
      <c r="E111" s="387">
        <f t="shared" si="47"/>
        <v>41.969270432326347</v>
      </c>
      <c r="F111" s="387">
        <f t="shared" si="26"/>
        <v>42.001487456846256</v>
      </c>
      <c r="G111" s="110">
        <f t="shared" si="48"/>
        <v>0.77153908471555444</v>
      </c>
      <c r="H111" s="414" t="b">
        <f>Wh_hp&gt;='2025'!Maxi_hp</f>
        <v>0</v>
      </c>
      <c r="I111" s="392">
        <f>IF(H111,Wh_hp,'2025'!Maxi_hp)</f>
        <v>54.130419749791777</v>
      </c>
      <c r="J111" s="85">
        <f>IF(H111,An,'2025'!An_max)</f>
        <v>2021</v>
      </c>
      <c r="K111" s="199">
        <f t="shared" si="27"/>
        <v>46119</v>
      </c>
      <c r="L111" s="147">
        <f>IF(t&lt;Tvie,1-EXP((T0-t)*PertePVj)+'2025'!Pspv,1-EXP((T0-t)*PertePVj)+Pspv)</f>
        <v>6.321406353441783E-2</v>
      </c>
      <c r="M111" s="870"/>
      <c r="N111" s="870"/>
      <c r="O111" s="48">
        <f>IF(t&lt;Tnet,'2025'!Resal+('2025'!Salim-'2025'!Resal)*(1-EXP(('2025'!Tnet-t)/('2025'!Tau_j))),Resal+(Salim-Resal)*(1-EXP((Tnet-t)/(Tau_j))))*Salcycl</f>
        <v>9.6748798480605455E-2</v>
      </c>
      <c r="P111" s="171">
        <f>(INDEX(Models!$BJ111:$BT111,,T111)*(1-R111)+INDEX(Models!$BJ111:$BT111,,T111+1)*R111-ERP_i)*Q111*Ramure*Pc/MaxiM</f>
        <v>1.1379869697489872E-3</v>
      </c>
      <c r="Q111" s="307">
        <f t="shared" si="28"/>
        <v>1</v>
      </c>
      <c r="R111" s="179">
        <f t="shared" si="29"/>
        <v>0.91095565878979112</v>
      </c>
      <c r="S111" s="837">
        <f t="shared" si="30"/>
        <v>-3</v>
      </c>
      <c r="T111" s="178">
        <f t="shared" si="31"/>
        <v>3</v>
      </c>
      <c r="U111" s="253">
        <f t="shared" si="32"/>
        <v>-2.0890443412102089</v>
      </c>
      <c r="V111" s="385">
        <f t="shared" si="33"/>
        <v>46.010944322576279</v>
      </c>
      <c r="W111" s="404">
        <f t="shared" si="34"/>
        <v>35.512425035945668</v>
      </c>
      <c r="X111" s="157">
        <f t="shared" si="35"/>
        <v>46119</v>
      </c>
      <c r="Y111" s="387">
        <f t="shared" si="36"/>
        <v>33.54418034320053</v>
      </c>
      <c r="Z111" s="387">
        <f t="shared" si="37"/>
        <v>35.807732628608854</v>
      </c>
      <c r="AA111" s="388">
        <f t="shared" si="38"/>
        <v>41.43098557830988</v>
      </c>
      <c r="AB111" s="199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0.13572578279781342</v>
      </c>
      <c r="AD111" s="233">
        <f>(INDEX(Models!$BJ111:$BT111,,AH111)*(1-AF111)+INDEX(Models!$BJ111:$BT111,,AH111+1)*AF111-ERP_i)*AE111*Ramure*Pc/MaxiM</f>
        <v>2.0151572457925114E-2</v>
      </c>
      <c r="AE111" s="307">
        <f t="shared" si="40"/>
        <v>1</v>
      </c>
      <c r="AF111" s="179">
        <f t="shared" si="41"/>
        <v>0.84593825171336157</v>
      </c>
      <c r="AG111" s="837">
        <f t="shared" si="49"/>
        <v>2</v>
      </c>
      <c r="AH111" s="178">
        <f t="shared" si="42"/>
        <v>8</v>
      </c>
      <c r="AI111" s="227">
        <f t="shared" si="43"/>
        <v>2.8459382517133616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46120</v>
      </c>
      <c r="B112" s="1139">
        <f>IF(t&gt;Tmaj,'2025'!Wh/'2025'!Env_an*'2026'!Env_an,0.001*'[6]mon-tableau'!$B$209)</f>
        <v>27.737445536317107</v>
      </c>
      <c r="C112" s="866"/>
      <c r="D112" s="395">
        <f t="shared" si="25"/>
        <v>29.609849980105363</v>
      </c>
      <c r="E112" s="387">
        <f t="shared" si="47"/>
        <v>32.788251345969108</v>
      </c>
      <c r="F112" s="387">
        <f t="shared" si="26"/>
        <v>32.803737497160974</v>
      </c>
      <c r="G112" s="110">
        <f t="shared" si="48"/>
        <v>0.59831661963119942</v>
      </c>
      <c r="H112" s="414" t="b">
        <f>Wh_hp&gt;='2025'!Maxi_hp</f>
        <v>0</v>
      </c>
      <c r="I112" s="392">
        <f>IF(H112,Wh_hp,'2025'!Maxi_hp)</f>
        <v>52.014022850554703</v>
      </c>
      <c r="J112" s="85">
        <f>IF(H112,An,'2025'!An_max)</f>
        <v>2021</v>
      </c>
      <c r="K112" s="199">
        <f t="shared" si="27"/>
        <v>46120</v>
      </c>
      <c r="L112" s="147">
        <f>IF(t&lt;Tvie,1-EXP((T0-t)*PertePVj)+'2025'!Pspv,1-EXP((T0-t)*PertePVj)+Pspv)</f>
        <v>6.323586391171554E-2</v>
      </c>
      <c r="M112" s="870"/>
      <c r="N112" s="870"/>
      <c r="O112" s="48">
        <f>IF(t&lt;Tnet,'2025'!Resal+('2025'!Salim-'2025'!Resal)*(1-EXP(('2025'!Tnet-t)/('2025'!Tau_j))),Resal+(Salim-Resal)*(1-EXP((Tnet-t)/(Tau_j))))*Salcycl</f>
        <v>9.6937202668311462E-2</v>
      </c>
      <c r="P112" s="171">
        <f>(INDEX(Models!$BJ112:$BT112,,T112)*(1-R112)+INDEX(Models!$BJ112:$BT112,,T112+1)*R112-ERP_i)*Q112*Ramure*Pc/MaxiM</f>
        <v>1.106338530557019E-3</v>
      </c>
      <c r="Q112" s="307">
        <f t="shared" si="28"/>
        <v>1</v>
      </c>
      <c r="R112" s="179">
        <f t="shared" si="29"/>
        <v>0.9127950604486319</v>
      </c>
      <c r="S112" s="837">
        <f t="shared" si="30"/>
        <v>-3</v>
      </c>
      <c r="T112" s="178">
        <f t="shared" si="31"/>
        <v>3</v>
      </c>
      <c r="U112" s="253">
        <f t="shared" si="32"/>
        <v>-2.0872049395513681</v>
      </c>
      <c r="V112" s="385">
        <f t="shared" si="33"/>
        <v>46.329725339229213</v>
      </c>
      <c r="W112" s="404">
        <f t="shared" si="34"/>
        <v>27.737445536317107</v>
      </c>
      <c r="X112" s="157">
        <f t="shared" si="35"/>
        <v>46120</v>
      </c>
      <c r="Y112" s="387">
        <f t="shared" si="36"/>
        <v>26.330499243093733</v>
      </c>
      <c r="Z112" s="387">
        <f t="shared" si="37"/>
        <v>28.107928376767234</v>
      </c>
      <c r="AA112" s="388">
        <f t="shared" si="38"/>
        <v>32.526899613739182</v>
      </c>
      <c r="AB112" s="199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0.13585590048383833</v>
      </c>
      <c r="AD112" s="233">
        <f>(INDEX(Models!$BJ112:$BT112,,AH112)*(1-AF112)+INDEX(Models!$BJ112:$BT112,,AH112+1)*AF112-ERP_i)*AE112*Ramure*Pc/MaxiM</f>
        <v>1.9777439426537712E-2</v>
      </c>
      <c r="AE112" s="307">
        <f t="shared" si="40"/>
        <v>1</v>
      </c>
      <c r="AF112" s="179">
        <f t="shared" si="41"/>
        <v>0.84777765337220234</v>
      </c>
      <c r="AG112" s="837">
        <f t="shared" si="49"/>
        <v>2</v>
      </c>
      <c r="AH112" s="178">
        <f t="shared" si="42"/>
        <v>8</v>
      </c>
      <c r="AI112" s="227">
        <f t="shared" si="43"/>
        <v>2.8477776533722023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46121</v>
      </c>
      <c r="B113" s="1139">
        <f>IF(t&gt;Tmaj,'2025'!Wh/'2025'!Env_an*'2026'!Env_an,0.001*'[6]mon-tableau'!$B$210)</f>
        <v>33.656158920290657</v>
      </c>
      <c r="C113" s="866"/>
      <c r="D113" s="395">
        <f t="shared" si="25"/>
        <v>35.928939708396918</v>
      </c>
      <c r="E113" s="387">
        <f t="shared" si="47"/>
        <v>39.794044478643642</v>
      </c>
      <c r="F113" s="387">
        <f t="shared" si="26"/>
        <v>39.81980684723348</v>
      </c>
      <c r="G113" s="110">
        <f t="shared" si="48"/>
        <v>0.72125392010419076</v>
      </c>
      <c r="H113" s="414" t="b">
        <f>Wh_hp&gt;='2025'!Maxi_hp</f>
        <v>0</v>
      </c>
      <c r="I113" s="392">
        <f>IF(H113,Wh_hp,'2025'!Maxi_hp)</f>
        <v>51.39394262397834</v>
      </c>
      <c r="J113" s="85">
        <f>IF(H113,An,'2025'!An_max)</f>
        <v>2020</v>
      </c>
      <c r="K113" s="199">
        <f t="shared" si="27"/>
        <v>46121</v>
      </c>
      <c r="L113" s="147">
        <f>IF(t&lt;Tvie,1-EXP((T0-t)*PertePVj)+'2025'!Pspv,1-EXP((T0-t)*PertePVj)+Pspv)</f>
        <v>6.3257663781686624E-2</v>
      </c>
      <c r="M113" s="870"/>
      <c r="N113" s="870"/>
      <c r="O113" s="48">
        <f>IF(t&lt;Tnet,'2025'!Resal+('2025'!Salim-'2025'!Resal)*(1-EXP(('2025'!Tnet-t)/('2025'!Tau_j))),Resal+(Salim-Resal)*(1-EXP((Tnet-t)/(Tau_j))))*Salcycl</f>
        <v>9.7127719006320667E-2</v>
      </c>
      <c r="P113" s="171">
        <f>(INDEX(Models!$BJ113:$BT113,,T113)*(1-R113)+INDEX(Models!$BJ113:$BT113,,T113+1)*R113-ERP_i)*Q113*Ramure*Pc/MaxiM</f>
        <v>1.0742930178023636E-3</v>
      </c>
      <c r="Q113" s="307">
        <f t="shared" si="28"/>
        <v>1</v>
      </c>
      <c r="R113" s="179">
        <f t="shared" si="29"/>
        <v>0.91470065503122422</v>
      </c>
      <c r="S113" s="837">
        <f t="shared" si="30"/>
        <v>-3</v>
      </c>
      <c r="T113" s="178">
        <f t="shared" si="31"/>
        <v>3</v>
      </c>
      <c r="U113" s="253">
        <f t="shared" si="32"/>
        <v>-2.0852993449687758</v>
      </c>
      <c r="V113" s="385">
        <f t="shared" si="33"/>
        <v>46.643445180169905</v>
      </c>
      <c r="W113" s="404">
        <f t="shared" si="34"/>
        <v>33.656158920290657</v>
      </c>
      <c r="X113" s="157">
        <f t="shared" si="35"/>
        <v>46121</v>
      </c>
      <c r="Y113" s="387">
        <f t="shared" si="36"/>
        <v>31.851305813363545</v>
      </c>
      <c r="Z113" s="387">
        <f t="shared" si="37"/>
        <v>34.002205923508519</v>
      </c>
      <c r="AA113" s="388">
        <f t="shared" si="38"/>
        <v>39.353909435728916</v>
      </c>
      <c r="AB113" s="199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0.13598911998719118</v>
      </c>
      <c r="AD113" s="233">
        <f>(INDEX(Models!$BJ113:$BT113,,AH113)*(1-AF113)+INDEX(Models!$BJ113:$BT113,,AH113+1)*AF113-ERP_i)*AE113*Ramure*Pc/MaxiM</f>
        <v>1.9427962706387972E-2</v>
      </c>
      <c r="AE113" s="307">
        <f t="shared" si="40"/>
        <v>1</v>
      </c>
      <c r="AF113" s="179">
        <f t="shared" si="41"/>
        <v>0.84968324795479466</v>
      </c>
      <c r="AG113" s="837">
        <f t="shared" si="49"/>
        <v>2</v>
      </c>
      <c r="AH113" s="178">
        <f t="shared" si="42"/>
        <v>8</v>
      </c>
      <c r="AI113" s="227">
        <f t="shared" si="43"/>
        <v>2.8496832479547947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46122</v>
      </c>
      <c r="B114" s="1139">
        <f>IF(t&gt;Tmaj,'2025'!Wh/'2025'!Env_an*'2026'!Env_an,0.001*'[6]mon-tableau'!$B$211)</f>
        <v>47.654598079802525</v>
      </c>
      <c r="C114" s="866"/>
      <c r="D114" s="395">
        <f t="shared" si="25"/>
        <v>50.873869211587291</v>
      </c>
      <c r="E114" s="387">
        <f t="shared" si="47"/>
        <v>56.358723314031536</v>
      </c>
      <c r="F114" s="387">
        <f t="shared" si="26"/>
        <v>56.417502682718606</v>
      </c>
      <c r="G114" s="110">
        <f t="shared" si="48"/>
        <v>1.0149681881709374</v>
      </c>
      <c r="H114" s="414" t="b">
        <f>Wh_hp&gt;='2025'!Maxi_hp</f>
        <v>1</v>
      </c>
      <c r="I114" s="392">
        <f>IF(H114,Wh_hp,'2025'!Maxi_hp)</f>
        <v>56.417502682718606</v>
      </c>
      <c r="J114" s="85">
        <f>IF(H114,An,'2025'!An_max)</f>
        <v>2026</v>
      </c>
      <c r="K114" s="199">
        <f t="shared" si="27"/>
        <v>46122</v>
      </c>
      <c r="L114" s="147">
        <f>IF(t&lt;Tvie,1-EXP((T0-t)*PertePVj)+'2025'!Pspv,1-EXP((T0-t)*PertePVj)+Pspv)</f>
        <v>6.3279463144342962E-2</v>
      </c>
      <c r="M114" s="870"/>
      <c r="N114" s="870"/>
      <c r="O114" s="48">
        <f>IF(t&lt;Tnet,'2025'!Resal+('2025'!Salim-'2025'!Resal)*(1-EXP(('2025'!Tnet-t)/('2025'!Tau_j))),Resal+(Salim-Resal)*(1-EXP((Tnet-t)/(Tau_j))))*Salcycl</f>
        <v>9.7320410753142281E-2</v>
      </c>
      <c r="P114" s="171">
        <f>(INDEX(Models!$BJ114:$BT114,,T114)*(1-R114)+INDEX(Models!$BJ114:$BT114,,T114+1)*R114-ERP_i)*Q114*Ramure*Pc/MaxiM</f>
        <v>1.0418640650868294E-3</v>
      </c>
      <c r="Q114" s="307">
        <f t="shared" si="28"/>
        <v>1</v>
      </c>
      <c r="R114" s="179">
        <f t="shared" si="29"/>
        <v>0.91667438358010411</v>
      </c>
      <c r="S114" s="837">
        <f t="shared" si="30"/>
        <v>-3</v>
      </c>
      <c r="T114" s="178">
        <f t="shared" si="31"/>
        <v>3</v>
      </c>
      <c r="U114" s="253">
        <f t="shared" si="32"/>
        <v>-2.0833256164198959</v>
      </c>
      <c r="V114" s="385">
        <f t="shared" si="33"/>
        <v>46.951814485614911</v>
      </c>
      <c r="W114" s="404">
        <f t="shared" si="34"/>
        <v>47.654598079802525</v>
      </c>
      <c r="X114" s="157">
        <f t="shared" si="35"/>
        <v>46122</v>
      </c>
      <c r="Y114" s="387">
        <f t="shared" si="36"/>
        <v>44.781829074868114</v>
      </c>
      <c r="Z114" s="387">
        <f t="shared" si="37"/>
        <v>47.807032420992734</v>
      </c>
      <c r="AA114" s="388">
        <f t="shared" si="38"/>
        <v>55.340253176909847</v>
      </c>
      <c r="AB114" s="199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0.1361255202760849</v>
      </c>
      <c r="AD114" s="233">
        <f>(INDEX(Models!$BJ114:$BT114,,AH114)*(1-AF114)+INDEX(Models!$BJ114:$BT114,,AH114+1)*AF114-ERP_i)*AE114*Ramure*Pc/MaxiM</f>
        <v>1.9094243002335747E-2</v>
      </c>
      <c r="AE114" s="307">
        <f t="shared" si="40"/>
        <v>1</v>
      </c>
      <c r="AF114" s="179">
        <f t="shared" si="41"/>
        <v>0.85165697650367456</v>
      </c>
      <c r="AG114" s="837">
        <f t="shared" si="49"/>
        <v>2</v>
      </c>
      <c r="AH114" s="178">
        <f t="shared" si="42"/>
        <v>8</v>
      </c>
      <c r="AI114" s="227">
        <f t="shared" si="43"/>
        <v>2.8516569765036746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46123</v>
      </c>
      <c r="B115" s="1139">
        <f>IF(t&gt;Tmaj,'2025'!Wh/'2025'!Env_an*'2026'!Env_an,0.001*'[6]mon-tableau'!$B$212)</f>
        <v>36.460348239691776</v>
      </c>
      <c r="C115" s="866"/>
      <c r="D115" s="395">
        <f t="shared" si="25"/>
        <v>38.924305927355647</v>
      </c>
      <c r="E115" s="387">
        <f t="shared" si="47"/>
        <v>43.130157891394035</v>
      </c>
      <c r="F115" s="387">
        <f t="shared" si="26"/>
        <v>43.159510854998338</v>
      </c>
      <c r="G115" s="110">
        <f t="shared" si="48"/>
        <v>0.77131938646275777</v>
      </c>
      <c r="H115" s="414" t="b">
        <f>Wh_hp&gt;='2025'!Maxi_hp</f>
        <v>0</v>
      </c>
      <c r="I115" s="392">
        <f>IF(H115,Wh_hp,'2025'!Maxi_hp)</f>
        <v>55.108352473035232</v>
      </c>
      <c r="J115" s="85">
        <f>IF(H115,An,'2025'!An_max)</f>
        <v>2020</v>
      </c>
      <c r="K115" s="199">
        <f t="shared" si="27"/>
        <v>46123</v>
      </c>
      <c r="L115" s="147">
        <f>IF(t&lt;Tvie,1-EXP((T0-t)*PertePVj)+'2025'!Pspv,1-EXP((T0-t)*PertePVj)+Pspv)</f>
        <v>6.3301261999696212E-2</v>
      </c>
      <c r="M115" s="870"/>
      <c r="N115" s="870"/>
      <c r="O115" s="48">
        <f>IF(t&lt;Tnet,'2025'!Resal+('2025'!Salim-'2025'!Resal)*(1-EXP(('2025'!Tnet-t)/('2025'!Tau_j))),Resal+(Salim-Resal)*(1-EXP((Tnet-t)/(Tau_j))))*Salcycl</f>
        <v>9.7515338910400887E-2</v>
      </c>
      <c r="P115" s="171">
        <f>(INDEX(Models!$BJ115:$BT115,,T115)*(1-R115)+INDEX(Models!$BJ115:$BT115,,T115+1)*R115-ERP_i)*Q115*Ramure*Pc/MaxiM</f>
        <v>1.0095407765697098E-3</v>
      </c>
      <c r="Q115" s="307">
        <f t="shared" si="28"/>
        <v>1</v>
      </c>
      <c r="R115" s="179">
        <f t="shared" si="29"/>
        <v>0.91871820923236003</v>
      </c>
      <c r="S115" s="837">
        <f t="shared" si="30"/>
        <v>-3</v>
      </c>
      <c r="T115" s="178">
        <f t="shared" si="31"/>
        <v>3</v>
      </c>
      <c r="U115" s="253">
        <f t="shared" si="32"/>
        <v>-2.08128179076764</v>
      </c>
      <c r="V115" s="385">
        <f t="shared" si="33"/>
        <v>47.254521708769772</v>
      </c>
      <c r="W115" s="404">
        <f t="shared" si="34"/>
        <v>36.460348239691776</v>
      </c>
      <c r="X115" s="157">
        <f t="shared" si="35"/>
        <v>46123</v>
      </c>
      <c r="Y115" s="387">
        <f t="shared" si="36"/>
        <v>34.477298878719857</v>
      </c>
      <c r="Z115" s="387">
        <f t="shared" si="37"/>
        <v>36.807243866179604</v>
      </c>
      <c r="AA115" s="388">
        <f t="shared" si="38"/>
        <v>42.614055705942384</v>
      </c>
      <c r="AB115" s="199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0.13626517691328405</v>
      </c>
      <c r="AD115" s="233">
        <f>(INDEX(Models!$BJ115:$BT115,,AH115)*(1-AF115)+INDEX(Models!$BJ115:$BT115,,AH115+1)*AF115-ERP_i)*AE115*Ramure*Pc/MaxiM</f>
        <v>1.8759918834263364E-2</v>
      </c>
      <c r="AE115" s="307">
        <f t="shared" si="40"/>
        <v>1</v>
      </c>
      <c r="AF115" s="179">
        <f t="shared" si="41"/>
        <v>0.85370080215593047</v>
      </c>
      <c r="AG115" s="837">
        <f t="shared" si="49"/>
        <v>2</v>
      </c>
      <c r="AH115" s="178">
        <f t="shared" si="42"/>
        <v>8</v>
      </c>
      <c r="AI115" s="227">
        <f t="shared" si="43"/>
        <v>2.8537008021559305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46124</v>
      </c>
      <c r="B116" s="1139">
        <f>IF(t&gt;Tmaj,'2025'!Wh/'2025'!Env_an*'2026'!Env_an,0.001*'[6]mon-tableau'!$B$213)</f>
        <v>33.494452609743959</v>
      </c>
      <c r="C116" s="866"/>
      <c r="D116" s="395">
        <f t="shared" si="25"/>
        <v>35.75880988612721</v>
      </c>
      <c r="E116" s="387">
        <f t="shared" si="47"/>
        <v>39.631284204382048</v>
      </c>
      <c r="F116" s="387">
        <f t="shared" si="26"/>
        <v>39.653672066203995</v>
      </c>
      <c r="G116" s="110">
        <f t="shared" si="48"/>
        <v>0.70409506369789587</v>
      </c>
      <c r="H116" s="414" t="b">
        <f>Wh_hp&gt;='2025'!Maxi_hp</f>
        <v>0</v>
      </c>
      <c r="I116" s="392">
        <f>IF(H116,Wh_hp,'2025'!Maxi_hp)</f>
        <v>55.432889188888424</v>
      </c>
      <c r="J116" s="85">
        <f>IF(H116,An,'2025'!An_max)</f>
        <v>2019</v>
      </c>
      <c r="K116" s="199">
        <f t="shared" si="27"/>
        <v>46124</v>
      </c>
      <c r="L116" s="147">
        <f>IF(t&lt;Tvie,1-EXP((T0-t)*PertePVj)+'2025'!Pspv,1-EXP((T0-t)*PertePVj)+Pspv)</f>
        <v>6.3323060347758253E-2</v>
      </c>
      <c r="M116" s="870"/>
      <c r="N116" s="870"/>
      <c r="O116" s="48">
        <f>IF(t&lt;Tnet,'2025'!Resal+('2025'!Salim-'2025'!Resal)*(1-EXP(('2025'!Tnet-t)/('2025'!Tau_j))),Resal+(Salim-Resal)*(1-EXP((Tnet-t)/(Tau_j))))*Salcycl</f>
        <v>9.7712562083129562E-2</v>
      </c>
      <c r="P116" s="171">
        <f>(INDEX(Models!$BJ116:$BT116,,T116)*(1-R116)+INDEX(Models!$BJ116:$BT116,,T116+1)*R116-ERP_i)*Q116*Ramure*Pc/MaxiM</f>
        <v>9.7730741896436771E-4</v>
      </c>
      <c r="Q116" s="307">
        <f t="shared" si="28"/>
        <v>1</v>
      </c>
      <c r="R116" s="179">
        <f t="shared" si="29"/>
        <v>0.92083411444843932</v>
      </c>
      <c r="S116" s="837">
        <f t="shared" si="30"/>
        <v>-3</v>
      </c>
      <c r="T116" s="178">
        <f t="shared" si="31"/>
        <v>3</v>
      </c>
      <c r="U116" s="253">
        <f t="shared" si="32"/>
        <v>-2.0791658855515607</v>
      </c>
      <c r="V116" s="385">
        <f t="shared" si="33"/>
        <v>47.551279095219584</v>
      </c>
      <c r="W116" s="404">
        <f t="shared" si="34"/>
        <v>33.494452609743959</v>
      </c>
      <c r="X116" s="157">
        <f t="shared" si="35"/>
        <v>46124</v>
      </c>
      <c r="Y116" s="387">
        <f t="shared" si="36"/>
        <v>31.734696255683005</v>
      </c>
      <c r="Z116" s="387">
        <f t="shared" si="37"/>
        <v>33.880087052709001</v>
      </c>
      <c r="AA116" s="388">
        <f t="shared" si="38"/>
        <v>39.231597100832317</v>
      </c>
      <c r="AB116" s="199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0.13640816187954224</v>
      </c>
      <c r="AD116" s="233">
        <f>(INDEX(Models!$BJ116:$BT116,,AH116)*(1-AF116)+INDEX(Models!$BJ116:$BT116,,AH116+1)*AF116-ERP_i)*AE116*Ramure*Pc/MaxiM</f>
        <v>1.8425028629240711E-2</v>
      </c>
      <c r="AE116" s="307">
        <f t="shared" si="40"/>
        <v>1</v>
      </c>
      <c r="AF116" s="179">
        <f t="shared" si="41"/>
        <v>0.85581670737200977</v>
      </c>
      <c r="AG116" s="837">
        <f t="shared" si="49"/>
        <v>2</v>
      </c>
      <c r="AH116" s="178">
        <f t="shared" si="42"/>
        <v>8</v>
      </c>
      <c r="AI116" s="227">
        <f t="shared" si="43"/>
        <v>2.8558167073720098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46125</v>
      </c>
      <c r="B117" s="1139">
        <f>IF(t&gt;Tmaj,'2025'!Wh/'2025'!Env_an*'2026'!Env_an,0.001*'[6]mon-tableau'!$B$214)</f>
        <v>7.3811747550139213</v>
      </c>
      <c r="C117" s="866"/>
      <c r="D117" s="395">
        <f t="shared" si="25"/>
        <v>7.8803547063639456</v>
      </c>
      <c r="E117" s="387">
        <f t="shared" si="47"/>
        <v>8.7356842097090404</v>
      </c>
      <c r="F117" s="387">
        <f t="shared" si="26"/>
        <v>8.7356842097090404</v>
      </c>
      <c r="G117" s="110">
        <f t="shared" si="48"/>
        <v>0.15413714698933426</v>
      </c>
      <c r="H117" s="414" t="b">
        <f>Wh_hp&gt;='2025'!Maxi_hp</f>
        <v>0</v>
      </c>
      <c r="I117" s="392">
        <f>IF(H117,Wh_hp,'2025'!Maxi_hp)</f>
        <v>56.418752922877168</v>
      </c>
      <c r="J117" s="85">
        <f>IF(H117,An,'2025'!An_max)</f>
        <v>2019</v>
      </c>
      <c r="K117" s="199">
        <f t="shared" si="27"/>
        <v>46125</v>
      </c>
      <c r="L117" s="147">
        <f>IF(t&lt;Tvie,1-EXP((T0-t)*PertePVj)+'2025'!Pspv,1-EXP((T0-t)*PertePVj)+Pspv)</f>
        <v>6.3344858188540853E-2</v>
      </c>
      <c r="M117" s="870"/>
      <c r="N117" s="870"/>
      <c r="O117" s="48">
        <f>IF(t&lt;Tnet,'2025'!Resal+('2025'!Salim-'2025'!Resal)*(1-EXP(('2025'!Tnet-t)/('2025'!Tau_j))),Resal+(Salim-Resal)*(1-EXP((Tnet-t)/(Tau_j))))*Salcycl</f>
        <v>9.7912136337811012E-2</v>
      </c>
      <c r="P117" s="171">
        <f>(INDEX(Models!$BJ117:$BT117,,T117)*(1-R117)+INDEX(Models!$BJ117:$BT117,,T117+1)*R117-ERP_i)*Q117*Ramure*Pc/MaxiM</f>
        <v>9.4514749172912034E-4</v>
      </c>
      <c r="Q117" s="307">
        <f t="shared" si="28"/>
        <v>1</v>
      </c>
      <c r="R117" s="179">
        <f t="shared" si="29"/>
        <v>0.92302409795452967</v>
      </c>
      <c r="S117" s="837">
        <f t="shared" si="30"/>
        <v>-3</v>
      </c>
      <c r="T117" s="178">
        <f t="shared" si="31"/>
        <v>3</v>
      </c>
      <c r="U117" s="253">
        <f t="shared" si="32"/>
        <v>-2.0769759020454703</v>
      </c>
      <c r="V117" s="385">
        <f t="shared" si="33"/>
        <v>47.841799334189524</v>
      </c>
      <c r="W117" s="404">
        <f t="shared" si="34"/>
        <v>7.3811747550139213</v>
      </c>
      <c r="X117" s="157">
        <f t="shared" si="35"/>
        <v>46125</v>
      </c>
      <c r="Y117" s="387">
        <f t="shared" si="36"/>
        <v>7.0649900784084663</v>
      </c>
      <c r="Z117" s="387">
        <f t="shared" si="37"/>
        <v>7.5427868412113943</v>
      </c>
      <c r="AA117" s="388">
        <f t="shared" si="38"/>
        <v>8.7356842097090404</v>
      </c>
      <c r="AB117" s="199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0.13655454339476147</v>
      </c>
      <c r="AD117" s="233">
        <f>(INDEX(Models!$BJ117:$BT117,,AH117)*(1-AF117)+INDEX(Models!$BJ117:$BT117,,AH117+1)*AF117-ERP_i)*AE117*Ramure*Pc/MaxiM</f>
        <v>1.8089603756991438E-2</v>
      </c>
      <c r="AE117" s="307">
        <f t="shared" si="40"/>
        <v>1</v>
      </c>
      <c r="AF117" s="179">
        <f t="shared" si="41"/>
        <v>0.85800669087810011</v>
      </c>
      <c r="AG117" s="837">
        <f t="shared" si="49"/>
        <v>2</v>
      </c>
      <c r="AH117" s="178">
        <f t="shared" si="42"/>
        <v>8</v>
      </c>
      <c r="AI117" s="227">
        <f t="shared" si="43"/>
        <v>2.8580066908781001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46126</v>
      </c>
      <c r="B118" s="1139">
        <f>IF(t&gt;Tmaj,'2025'!Wh/'2025'!Env_an*'2026'!Env_an,0.001*'[6]mon-tableau'!$B$215)</f>
        <v>36.083690742926102</v>
      </c>
      <c r="C118" s="866"/>
      <c r="D118" s="395">
        <f t="shared" si="25"/>
        <v>38.524883782605713</v>
      </c>
      <c r="E118" s="387">
        <f t="shared" si="47"/>
        <v>42.715918306061639</v>
      </c>
      <c r="F118" s="387">
        <f t="shared" si="26"/>
        <v>42.74099307347619</v>
      </c>
      <c r="G118" s="110">
        <f t="shared" si="48"/>
        <v>0.7495337283646758</v>
      </c>
      <c r="H118" s="414" t="b">
        <f>Wh_hp&gt;='2025'!Maxi_hp</f>
        <v>0</v>
      </c>
      <c r="I118" s="392">
        <f>IF(H118,Wh_hp,'2025'!Maxi_hp)</f>
        <v>56.195003771164046</v>
      </c>
      <c r="J118" s="85">
        <f>IF(H118,An,'2025'!An_max)</f>
        <v>2021</v>
      </c>
      <c r="K118" s="199">
        <f t="shared" si="27"/>
        <v>46126</v>
      </c>
      <c r="L118" s="147">
        <f>IF(t&lt;Tvie,1-EXP((T0-t)*PertePVj)+'2025'!Pspv,1-EXP((T0-t)*PertePVj)+Pspv)</f>
        <v>6.3366655522055892E-2</v>
      </c>
      <c r="M118" s="870"/>
      <c r="N118" s="870"/>
      <c r="O118" s="48">
        <f>IF(t&lt;Tnet,'2025'!Resal+('2025'!Salim-'2025'!Resal)*(1-EXP(('2025'!Tnet-t)/('2025'!Tau_j))),Resal+(Salim-Resal)*(1-EXP((Tnet-t)/(Tau_j))))*Salcycl</f>
        <v>9.8114115057224366E-2</v>
      </c>
      <c r="P118" s="171">
        <f>(INDEX(Models!$BJ118:$BT118,,T118)*(1-R118)+INDEX(Models!$BJ118:$BT118,,T118+1)*R118-ERP_i)*Q118*Ramure*Pc/MaxiM</f>
        <v>9.1304372091014386E-4</v>
      </c>
      <c r="Q118" s="307">
        <f t="shared" si="28"/>
        <v>1</v>
      </c>
      <c r="R118" s="179">
        <f t="shared" si="29"/>
        <v>0.92529017138591874</v>
      </c>
      <c r="S118" s="837">
        <f t="shared" si="30"/>
        <v>-3</v>
      </c>
      <c r="T118" s="178">
        <f t="shared" si="31"/>
        <v>3</v>
      </c>
      <c r="U118" s="253">
        <f t="shared" si="32"/>
        <v>-2.0747098286140813</v>
      </c>
      <c r="V118" s="385">
        <f t="shared" si="33"/>
        <v>48.125795570592857</v>
      </c>
      <c r="W118" s="404">
        <f t="shared" si="34"/>
        <v>36.083690742926102</v>
      </c>
      <c r="X118" s="157">
        <f t="shared" si="35"/>
        <v>46126</v>
      </c>
      <c r="Y118" s="387">
        <f t="shared" si="36"/>
        <v>34.165760184596841</v>
      </c>
      <c r="Z118" s="387">
        <f t="shared" si="37"/>
        <v>36.477198239872592</v>
      </c>
      <c r="AA118" s="388">
        <f t="shared" si="38"/>
        <v>42.253427026792849</v>
      </c>
      <c r="AB118" s="199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0.13670438573556551</v>
      </c>
      <c r="AD118" s="233">
        <f>(INDEX(Models!$BJ118:$BT118,,AH118)*(1-AF118)+INDEX(Models!$BJ118:$BT118,,AH118+1)*AF118-ERP_i)*AE118*Ramure*Pc/MaxiM</f>
        <v>1.7753668861344638E-2</v>
      </c>
      <c r="AE118" s="307">
        <f t="shared" si="40"/>
        <v>1</v>
      </c>
      <c r="AF118" s="179">
        <f t="shared" si="41"/>
        <v>0.86027276430948918</v>
      </c>
      <c r="AG118" s="837">
        <f t="shared" si="49"/>
        <v>2</v>
      </c>
      <c r="AH118" s="178">
        <f t="shared" si="42"/>
        <v>8</v>
      </c>
      <c r="AI118" s="227">
        <f t="shared" si="43"/>
        <v>2.8602727643094892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46127</v>
      </c>
      <c r="B119" s="1139">
        <f>IF(t&gt;Tmaj,'2025'!Wh/'2025'!Env_an*'2026'!Env_an,0.001*'[6]mon-tableau'!$B$216)</f>
        <v>40.060214305714382</v>
      </c>
      <c r="C119" s="866"/>
      <c r="D119" s="395">
        <f t="shared" si="25"/>
        <v>42.771428994394931</v>
      </c>
      <c r="E119" s="387">
        <f t="shared" si="47"/>
        <v>47.435187822768853</v>
      </c>
      <c r="F119" s="387">
        <f t="shared" si="26"/>
        <v>47.466708343083461</v>
      </c>
      <c r="G119" s="110">
        <f t="shared" si="48"/>
        <v>0.82745974250829457</v>
      </c>
      <c r="H119" s="414" t="b">
        <f>Wh_hp&gt;='2025'!Maxi_hp</f>
        <v>0</v>
      </c>
      <c r="I119" s="392">
        <f>IF(H119,Wh_hp,'2025'!Maxi_hp)</f>
        <v>56.145689401906232</v>
      </c>
      <c r="J119" s="85">
        <f>IF(H119,An,'2025'!An_max)</f>
        <v>2021</v>
      </c>
      <c r="K119" s="199">
        <f t="shared" si="27"/>
        <v>46127</v>
      </c>
      <c r="L119" s="147">
        <f>IF(t&lt;Tvie,1-EXP((T0-t)*PertePVj)+'2025'!Pspv,1-EXP((T0-t)*PertePVj)+Pspv)</f>
        <v>6.3388452348315139E-2</v>
      </c>
      <c r="M119" s="870"/>
      <c r="N119" s="870"/>
      <c r="O119" s="48">
        <f>IF(t&lt;Tnet,'2025'!Resal+('2025'!Salim-'2025'!Resal)*(1-EXP(('2025'!Tnet-t)/('2025'!Tau_j))),Resal+(Salim-Resal)*(1-EXP((Tnet-t)/(Tau_j))))*Salcycl</f>
        <v>9.8318548791227173E-2</v>
      </c>
      <c r="P119" s="171">
        <f>(INDEX(Models!$BJ119:$BT119,,T119)*(1-R119)+INDEX(Models!$BJ119:$BT119,,T119+1)*R119-ERP_i)*Q119*Ramure*Pc/MaxiM</f>
        <v>8.8097804976625821E-4</v>
      </c>
      <c r="Q119" s="307">
        <f t="shared" si="28"/>
        <v>1</v>
      </c>
      <c r="R119" s="179">
        <f t="shared" si="29"/>
        <v>0.92763435561926277</v>
      </c>
      <c r="S119" s="837">
        <f t="shared" si="30"/>
        <v>-3</v>
      </c>
      <c r="T119" s="178">
        <f t="shared" si="31"/>
        <v>3</v>
      </c>
      <c r="U119" s="253">
        <f t="shared" si="32"/>
        <v>-2.0723656443807372</v>
      </c>
      <c r="V119" s="385">
        <f t="shared" si="33"/>
        <v>48.402981441617371</v>
      </c>
      <c r="W119" s="404">
        <f t="shared" si="34"/>
        <v>40.060214305714382</v>
      </c>
      <c r="X119" s="157">
        <f t="shared" si="35"/>
        <v>46127</v>
      </c>
      <c r="Y119" s="387">
        <f t="shared" si="36"/>
        <v>37.869673510920286</v>
      </c>
      <c r="Z119" s="387">
        <f t="shared" si="37"/>
        <v>40.432635713139412</v>
      </c>
      <c r="AA119" s="388">
        <f t="shared" si="38"/>
        <v>46.843536703884702</v>
      </c>
      <c r="AB119" s="199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0.13685774904809098</v>
      </c>
      <c r="AD119" s="233">
        <f>(INDEX(Models!$BJ119:$BT119,,AH119)*(1-AF119)+INDEX(Models!$BJ119:$BT119,,AH119+1)*AF119-ERP_i)*AE119*Ramure*Pc/MaxiM</f>
        <v>1.74172421613384E-2</v>
      </c>
      <c r="AE119" s="307">
        <f t="shared" si="40"/>
        <v>1</v>
      </c>
      <c r="AF119" s="179">
        <f t="shared" si="41"/>
        <v>0.86261694854283322</v>
      </c>
      <c r="AG119" s="837">
        <f t="shared" si="49"/>
        <v>2</v>
      </c>
      <c r="AH119" s="178">
        <f t="shared" si="42"/>
        <v>8</v>
      </c>
      <c r="AI119" s="227">
        <f t="shared" si="43"/>
        <v>2.8626169485428332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46128</v>
      </c>
      <c r="B120" s="1139">
        <f>IF(t&gt;Tmaj,'2025'!Wh/'2025'!Env_an*'2026'!Env_an,0.001*'[6]mon-tableau'!$B$217)</f>
        <v>42.951813992092717</v>
      </c>
      <c r="C120" s="866"/>
      <c r="D120" s="395">
        <f t="shared" si="25"/>
        <v>45.859794996663979</v>
      </c>
      <c r="E120" s="387">
        <f t="shared" si="47"/>
        <v>50.871981668709033</v>
      </c>
      <c r="F120" s="387">
        <f t="shared" si="26"/>
        <v>50.907941933677044</v>
      </c>
      <c r="G120" s="110">
        <f t="shared" si="48"/>
        <v>0.88232950531537058</v>
      </c>
      <c r="H120" s="414" t="b">
        <f>Wh_hp&gt;='2025'!Maxi_hp</f>
        <v>0</v>
      </c>
      <c r="I120" s="392">
        <f>IF(H120,Wh_hp,'2025'!Maxi_hp)</f>
        <v>50.914904213267242</v>
      </c>
      <c r="J120" s="85">
        <f>IF(H120,An,'2025'!An_max)</f>
        <v>2025</v>
      </c>
      <c r="K120" s="199">
        <f t="shared" si="27"/>
        <v>46128</v>
      </c>
      <c r="L120" s="147">
        <f>IF(t&lt;Tvie,1-EXP((T0-t)*PertePVj)+'2025'!Pspv,1-EXP((T0-t)*PertePVj)+Pspv)</f>
        <v>6.3410248667330471E-2</v>
      </c>
      <c r="M120" s="870"/>
      <c r="N120" s="870"/>
      <c r="O120" s="48">
        <f>IF(t&lt;Tnet,'2025'!Resal+('2025'!Salim-'2025'!Resal)*(1-EXP(('2025'!Tnet-t)/('2025'!Tau_j))),Resal+(Salim-Resal)*(1-EXP((Tnet-t)/(Tau_j))))*Salcycl</f>
        <v>9.8525485102696736E-2</v>
      </c>
      <c r="P120" s="171">
        <f>(INDEX(Models!$BJ120:$BT120,,T120)*(1-R120)+INDEX(Models!$BJ120:$BT120,,T120+1)*R120-ERP_i)*Q120*Ramure*Pc/MaxiM</f>
        <v>8.4893162710229634E-4</v>
      </c>
      <c r="Q120" s="307">
        <f t="shared" si="28"/>
        <v>1</v>
      </c>
      <c r="R120" s="179">
        <f t="shared" si="29"/>
        <v>0.93005867678236198</v>
      </c>
      <c r="S120" s="837">
        <f t="shared" si="30"/>
        <v>-3</v>
      </c>
      <c r="T120" s="178">
        <f t="shared" si="31"/>
        <v>3</v>
      </c>
      <c r="U120" s="253">
        <f t="shared" si="32"/>
        <v>-2.069941323217638</v>
      </c>
      <c r="V120" s="385">
        <f t="shared" si="33"/>
        <v>48.673071092826227</v>
      </c>
      <c r="W120" s="404">
        <f t="shared" si="34"/>
        <v>42.951813992092717</v>
      </c>
      <c r="X120" s="157">
        <f t="shared" si="35"/>
        <v>46128</v>
      </c>
      <c r="Y120" s="387">
        <f t="shared" si="36"/>
        <v>40.562226689343916</v>
      </c>
      <c r="Z120" s="387">
        <f t="shared" si="37"/>
        <v>43.30842466685985</v>
      </c>
      <c r="AA120" s="388">
        <f t="shared" si="38"/>
        <v>50.184428544271512</v>
      </c>
      <c r="AB120" s="199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0.13701468915494011</v>
      </c>
      <c r="AD120" s="233">
        <f>(INDEX(Models!$BJ120:$BT120,,AH120)*(1-AF120)+INDEX(Models!$BJ120:$BT120,,AH120+1)*AF120-ERP_i)*AE120*Ramure*Pc/MaxiM</f>
        <v>1.7080335738480692E-2</v>
      </c>
      <c r="AE120" s="307">
        <f t="shared" si="40"/>
        <v>1</v>
      </c>
      <c r="AF120" s="179">
        <f t="shared" si="41"/>
        <v>0.86504126970593243</v>
      </c>
      <c r="AG120" s="837">
        <f t="shared" si="49"/>
        <v>2</v>
      </c>
      <c r="AH120" s="178">
        <f t="shared" si="42"/>
        <v>8</v>
      </c>
      <c r="AI120" s="227">
        <f t="shared" si="43"/>
        <v>2.8650412697059324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46129</v>
      </c>
      <c r="B121" s="1139">
        <f>IF(t&gt;Tmaj,'2025'!Wh/'2025'!Env_an*'2026'!Env_an,0.001*'[6]mon-tableau'!$B$218)</f>
        <v>48.747732586850674</v>
      </c>
      <c r="C121" s="866"/>
      <c r="D121" s="395">
        <f t="shared" si="25"/>
        <v>52.049327867232961</v>
      </c>
      <c r="E121" s="387">
        <f t="shared" si="47"/>
        <v>57.75141167442267</v>
      </c>
      <c r="F121" s="387">
        <f t="shared" si="26"/>
        <v>57.798363974621267</v>
      </c>
      <c r="G121" s="110">
        <f t="shared" si="48"/>
        <v>0.99612558167514909</v>
      </c>
      <c r="H121" s="414" t="b">
        <f>Wh_hp&gt;='2025'!Maxi_hp</f>
        <v>0</v>
      </c>
      <c r="I121" s="392">
        <f>IF(H121,Wh_hp,'2025'!Maxi_hp)</f>
        <v>57.798613524662201</v>
      </c>
      <c r="J121" s="85">
        <f>IF(H121,An,'2025'!An_max)</f>
        <v>2025</v>
      </c>
      <c r="K121" s="199">
        <f t="shared" si="27"/>
        <v>46129</v>
      </c>
      <c r="L121" s="147">
        <f>IF(t&lt;Tvie,1-EXP((T0-t)*PertePVj)+'2025'!Pspv,1-EXP((T0-t)*PertePVj)+Pspv)</f>
        <v>6.3432044479113547E-2</v>
      </c>
      <c r="M121" s="870"/>
      <c r="N121" s="870"/>
      <c r="O121" s="48">
        <f>IF(t&lt;Tnet,'2025'!Resal+('2025'!Salim-'2025'!Resal)*(1-EXP(('2025'!Tnet-t)/('2025'!Tau_j))),Resal+(Salim-Resal)*(1-EXP((Tnet-t)/(Tau_j))))*Salcycl</f>
        <v>9.8734968407968637E-2</v>
      </c>
      <c r="P121" s="171">
        <f>(INDEX(Models!$BJ121:$BT121,,T121)*(1-R121)+INDEX(Models!$BJ121:$BT121,,T121+1)*R121-ERP_i)*Q121*Ramure*Pc/MaxiM</f>
        <v>8.1686251116780103E-4</v>
      </c>
      <c r="Q121" s="307">
        <f t="shared" si="28"/>
        <v>1</v>
      </c>
      <c r="R121" s="179">
        <f t="shared" si="29"/>
        <v>0.93256516193090988</v>
      </c>
      <c r="S121" s="837">
        <f t="shared" si="30"/>
        <v>-3</v>
      </c>
      <c r="T121" s="178">
        <f t="shared" si="31"/>
        <v>3</v>
      </c>
      <c r="U121" s="253">
        <f t="shared" si="32"/>
        <v>-2.0674348380690901</v>
      </c>
      <c r="V121" s="385">
        <f t="shared" si="33"/>
        <v>48.937115119431716</v>
      </c>
      <c r="W121" s="404">
        <f t="shared" si="34"/>
        <v>48.747732586850674</v>
      </c>
      <c r="X121" s="157">
        <f t="shared" si="35"/>
        <v>46129</v>
      </c>
      <c r="Y121" s="387">
        <f t="shared" si="36"/>
        <v>45.928850870676676</v>
      </c>
      <c r="Z121" s="387">
        <f t="shared" si="37"/>
        <v>49.03952841855736</v>
      </c>
      <c r="AA121" s="388">
        <f t="shared" si="38"/>
        <v>56.836024739217613</v>
      </c>
      <c r="AB121" s="199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0.13717525735540345</v>
      </c>
      <c r="AD121" s="233">
        <f>(INDEX(Models!$BJ121:$BT121,,AH121)*(1-AF121)+INDEX(Models!$BJ121:$BT121,,AH121+1)*AF121-ERP_i)*AE121*Ramure*Pc/MaxiM</f>
        <v>1.6742499112972906E-2</v>
      </c>
      <c r="AE121" s="307">
        <f t="shared" si="40"/>
        <v>1</v>
      </c>
      <c r="AF121" s="179">
        <f t="shared" si="41"/>
        <v>0.86754775485448032</v>
      </c>
      <c r="AG121" s="837">
        <f t="shared" si="49"/>
        <v>2</v>
      </c>
      <c r="AH121" s="178">
        <f t="shared" si="42"/>
        <v>8</v>
      </c>
      <c r="AI121" s="227">
        <f t="shared" si="43"/>
        <v>2.8675477548544803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46130</v>
      </c>
      <c r="B122" s="1139">
        <f>IF(t&gt;Tmaj,'2025'!Wh/'2025'!Env_an*'2026'!Env_an,0.001*'[6]mon-tableau'!$B$219)</f>
        <v>39.164738176343327</v>
      </c>
      <c r="C122" s="866"/>
      <c r="D122" s="395">
        <f t="shared" si="25"/>
        <v>41.818267844157347</v>
      </c>
      <c r="E122" s="387">
        <f t="shared" si="47"/>
        <v>46.410443882673761</v>
      </c>
      <c r="F122" s="387">
        <f t="shared" si="26"/>
        <v>46.436263089766811</v>
      </c>
      <c r="G122" s="110">
        <f t="shared" si="48"/>
        <v>0.79591116237152393</v>
      </c>
      <c r="H122" s="414" t="b">
        <f>Wh_hp&gt;='2025'!Maxi_hp</f>
        <v>0</v>
      </c>
      <c r="I122" s="392">
        <f>IF(H122,Wh_hp,'2025'!Maxi_hp)</f>
        <v>46.446373064358802</v>
      </c>
      <c r="J122" s="85">
        <f>IF(H122,An,'2025'!An_max)</f>
        <v>2025</v>
      </c>
      <c r="K122" s="199">
        <f t="shared" si="27"/>
        <v>46130</v>
      </c>
      <c r="L122" s="147">
        <f>IF(t&lt;Tvie,1-EXP((T0-t)*PertePVj)+'2025'!Pspv,1-EXP((T0-t)*PertePVj)+Pspv)</f>
        <v>6.3453839783676247E-2</v>
      </c>
      <c r="M122" s="870"/>
      <c r="N122" s="870"/>
      <c r="O122" s="48">
        <f>IF(t&lt;Tnet,'2025'!Resal+('2025'!Salim-'2025'!Resal)*(1-EXP(('2025'!Tnet-t)/('2025'!Tau_j))),Resal+(Salim-Resal)*(1-EXP((Tnet-t)/(Tau_j))))*Salcycl</f>
        <v>9.8947039811243739E-2</v>
      </c>
      <c r="P122" s="171">
        <f>(INDEX(Models!$BJ122:$BT122,,T122)*(1-R122)+INDEX(Models!$BJ122:$BT122,,T122+1)*R122-ERP_i)*Q122*Ramure*Pc/MaxiM</f>
        <v>7.8454959825492374E-4</v>
      </c>
      <c r="Q122" s="307">
        <f t="shared" si="28"/>
        <v>1</v>
      </c>
      <c r="R122" s="179">
        <f t="shared" si="29"/>
        <v>0.93515583438272154</v>
      </c>
      <c r="S122" s="837">
        <f t="shared" si="30"/>
        <v>-3</v>
      </c>
      <c r="T122" s="178">
        <f t="shared" si="31"/>
        <v>3</v>
      </c>
      <c r="U122" s="253">
        <f t="shared" si="32"/>
        <v>-2.0648441656172785</v>
      </c>
      <c r="V122" s="385">
        <f t="shared" si="33"/>
        <v>49.196172269963071</v>
      </c>
      <c r="W122" s="404">
        <f t="shared" si="34"/>
        <v>39.164738176343327</v>
      </c>
      <c r="X122" s="157">
        <f t="shared" si="35"/>
        <v>46130</v>
      </c>
      <c r="Y122" s="387">
        <f t="shared" si="36"/>
        <v>37.080970658601274</v>
      </c>
      <c r="Z122" s="387">
        <f t="shared" si="37"/>
        <v>39.593318763953178</v>
      </c>
      <c r="AA122" s="388">
        <f t="shared" si="38"/>
        <v>45.896756341539195</v>
      </c>
      <c r="AB122" s="199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0.13733950021825503</v>
      </c>
      <c r="AD122" s="233">
        <f>(INDEX(Models!$BJ122:$BT122,,AH122)*(1-AF122)+INDEX(Models!$BJ122:$BT122,,AH122+1)*AF122-ERP_i)*AE122*Ramure*Pc/MaxiM</f>
        <v>1.6393601904674628E-2</v>
      </c>
      <c r="AE122" s="307">
        <f t="shared" si="40"/>
        <v>1</v>
      </c>
      <c r="AF122" s="179">
        <f t="shared" si="41"/>
        <v>0.87013842730629198</v>
      </c>
      <c r="AG122" s="837">
        <f t="shared" si="49"/>
        <v>2</v>
      </c>
      <c r="AH122" s="178">
        <f t="shared" si="42"/>
        <v>8</v>
      </c>
      <c r="AI122" s="227">
        <f t="shared" si="43"/>
        <v>2.870138427306292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46131</v>
      </c>
      <c r="B123" s="1139">
        <f>IF(t&gt;Tmaj,'2025'!Wh/'2025'!Env_an*'2026'!Env_an,0.001*'[6]mon-tableau'!$B$220)</f>
        <v>10.699630304272407</v>
      </c>
      <c r="C123" s="866"/>
      <c r="D123" s="395">
        <f t="shared" si="25"/>
        <v>11.424828546223408</v>
      </c>
      <c r="E123" s="387">
        <f t="shared" si="47"/>
        <v>12.682441471037329</v>
      </c>
      <c r="F123" s="387">
        <f t="shared" si="26"/>
        <v>12.682441471037329</v>
      </c>
      <c r="G123" s="110">
        <f t="shared" si="48"/>
        <v>0.21621018905059786</v>
      </c>
      <c r="H123" s="414" t="b">
        <f>Wh_hp&gt;='2025'!Maxi_hp</f>
        <v>0</v>
      </c>
      <c r="I123" s="392">
        <f>IF(H123,Wh_hp,'2025'!Maxi_hp)</f>
        <v>56.526054792556174</v>
      </c>
      <c r="J123" s="85">
        <f>IF(H123,An,'2025'!An_max)</f>
        <v>2021</v>
      </c>
      <c r="K123" s="199">
        <f t="shared" si="27"/>
        <v>46131</v>
      </c>
      <c r="L123" s="147">
        <f>IF(t&lt;Tvie,1-EXP((T0-t)*PertePVj)+'2025'!Pspv,1-EXP((T0-t)*PertePVj)+Pspv)</f>
        <v>6.3475634581030338E-2</v>
      </c>
      <c r="M123" s="870"/>
      <c r="N123" s="870"/>
      <c r="O123" s="48">
        <f>IF(t&lt;Tnet,'2025'!Resal+('2025'!Salim-'2025'!Resal)*(1-EXP(('2025'!Tnet-t)/('2025'!Tau_j))),Resal+(Salim-Resal)*(1-EXP((Tnet-t)/(Tau_j))))*Salcycl</f>
        <v>9.9161736932585925E-2</v>
      </c>
      <c r="P123" s="171">
        <f>(INDEX(Models!$BJ123:$BT123,,T123)*(1-R123)+INDEX(Models!$BJ123:$BT123,,T123+1)*R123-ERP_i)*Q123*Ramure*Pc/MaxiM</f>
        <v>7.5238038039826831E-4</v>
      </c>
      <c r="Q123" s="307">
        <f t="shared" si="28"/>
        <v>1</v>
      </c>
      <c r="R123" s="179">
        <f t="shared" si="29"/>
        <v>0.93783270870121349</v>
      </c>
      <c r="S123" s="837">
        <f t="shared" si="30"/>
        <v>-3</v>
      </c>
      <c r="T123" s="178">
        <f t="shared" si="31"/>
        <v>3</v>
      </c>
      <c r="U123" s="253">
        <f t="shared" si="32"/>
        <v>-2.0621672912987865</v>
      </c>
      <c r="V123" s="385">
        <f t="shared" si="33"/>
        <v>49.449936468312764</v>
      </c>
      <c r="W123" s="404">
        <f t="shared" si="34"/>
        <v>10.699630304272407</v>
      </c>
      <c r="X123" s="157">
        <f t="shared" si="35"/>
        <v>46131</v>
      </c>
      <c r="Y123" s="387">
        <f t="shared" si="36"/>
        <v>10.244182228168805</v>
      </c>
      <c r="Z123" s="387">
        <f t="shared" si="37"/>
        <v>10.938511165788944</v>
      </c>
      <c r="AA123" s="388">
        <f t="shared" si="38"/>
        <v>12.682441471037329</v>
      </c>
      <c r="AB123" s="199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0.13750745936663447</v>
      </c>
      <c r="AD123" s="233">
        <f>(INDEX(Models!$BJ123:$BT123,,AH123)*(1-AF123)+INDEX(Models!$BJ123:$BT123,,AH123+1)*AF123-ERP_i)*AE123*Ramure*Pc/MaxiM</f>
        <v>1.6032557627229146E-2</v>
      </c>
      <c r="AE123" s="307">
        <f t="shared" si="40"/>
        <v>1</v>
      </c>
      <c r="AF123" s="179">
        <f t="shared" si="41"/>
        <v>0.87281530162478393</v>
      </c>
      <c r="AG123" s="837">
        <f t="shared" si="49"/>
        <v>2</v>
      </c>
      <c r="AH123" s="178">
        <f t="shared" si="42"/>
        <v>8</v>
      </c>
      <c r="AI123" s="227">
        <f t="shared" si="43"/>
        <v>2.8728153016247839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46132</v>
      </c>
      <c r="B124" s="1139">
        <f>IF(t&gt;Tmaj,'2025'!Wh/'2025'!Env_an*'2026'!Env_an,0.001*'[6]mon-tableau'!$B$221)</f>
        <v>10.099256389759505</v>
      </c>
      <c r="C124" s="866"/>
      <c r="D124" s="395">
        <f t="shared" si="25"/>
        <v>10.784013521272428</v>
      </c>
      <c r="E124" s="387">
        <f t="shared" si="47"/>
        <v>11.973976449122175</v>
      </c>
      <c r="F124" s="387">
        <f t="shared" si="26"/>
        <v>11.973976449122175</v>
      </c>
      <c r="G124" s="110">
        <f t="shared" si="48"/>
        <v>0.20306565183862632</v>
      </c>
      <c r="H124" s="414" t="b">
        <f>Wh_hp&gt;='2025'!Maxi_hp</f>
        <v>0</v>
      </c>
      <c r="I124" s="392">
        <f>IF(H124,Wh_hp,'2025'!Maxi_hp)</f>
        <v>48.602789768147602</v>
      </c>
      <c r="J124" s="85">
        <f>IF(H124,An,'2025'!An_max)</f>
        <v>2019</v>
      </c>
      <c r="K124" s="199">
        <f t="shared" si="27"/>
        <v>46132</v>
      </c>
      <c r="L124" s="147">
        <f>IF(t&lt;Tvie,1-EXP((T0-t)*PertePVj)+'2025'!Pspv,1-EXP((T0-t)*PertePVj)+Pspv)</f>
        <v>6.34974288711877E-2</v>
      </c>
      <c r="M124" s="870"/>
      <c r="N124" s="870"/>
      <c r="O124" s="48">
        <f>IF(t&lt;Tnet,'2025'!Resal+('2025'!Salim-'2025'!Resal)*(1-EXP(('2025'!Tnet-t)/('2025'!Tau_j))),Resal+(Salim-Resal)*(1-EXP((Tnet-t)/(Tau_j))))*Salcycl</f>
        <v>9.9379093729300302E-2</v>
      </c>
      <c r="P124" s="171">
        <f>(INDEX(Models!$BJ124:$BT124,,T124)*(1-R124)+INDEX(Models!$BJ124:$BT124,,T124+1)*R124-ERP_i)*Q124*Ramure*Pc/MaxiM</f>
        <v>7.2033713827926351E-4</v>
      </c>
      <c r="Q124" s="307">
        <f t="shared" si="28"/>
        <v>1</v>
      </c>
      <c r="R124" s="179">
        <f t="shared" si="29"/>
        <v>0.94059778532135008</v>
      </c>
      <c r="S124" s="837">
        <f t="shared" si="30"/>
        <v>-3</v>
      </c>
      <c r="T124" s="178">
        <f t="shared" si="31"/>
        <v>3</v>
      </c>
      <c r="U124" s="253">
        <f t="shared" si="32"/>
        <v>-2.0594022146786499</v>
      </c>
      <c r="V124" s="385">
        <f t="shared" si="33"/>
        <v>49.698121907553947</v>
      </c>
      <c r="W124" s="404">
        <f t="shared" si="34"/>
        <v>10.099256389759505</v>
      </c>
      <c r="X124" s="157">
        <f t="shared" si="35"/>
        <v>46132</v>
      </c>
      <c r="Y124" s="387">
        <f t="shared" si="36"/>
        <v>9.6697723527088666</v>
      </c>
      <c r="Z124" s="387">
        <f t="shared" si="37"/>
        <v>10.325409294982947</v>
      </c>
      <c r="AA124" s="388">
        <f t="shared" si="38"/>
        <v>11.973976449122175</v>
      </c>
      <c r="AB124" s="199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0.137679171254766</v>
      </c>
      <c r="AD124" s="233">
        <f>(INDEX(Models!$BJ124:$BT124,,AH124)*(1-AF124)+INDEX(Models!$BJ124:$BT124,,AH124+1)*AF124-ERP_i)*AE124*Ramure*Pc/MaxiM</f>
        <v>1.565950857369991E-2</v>
      </c>
      <c r="AE124" s="307">
        <f t="shared" si="40"/>
        <v>1</v>
      </c>
      <c r="AF124" s="179">
        <f t="shared" si="41"/>
        <v>0.87558037824492052</v>
      </c>
      <c r="AG124" s="837">
        <f t="shared" si="49"/>
        <v>2</v>
      </c>
      <c r="AH124" s="178">
        <f t="shared" si="42"/>
        <v>8</v>
      </c>
      <c r="AI124" s="227">
        <f t="shared" si="43"/>
        <v>2.8755803782449205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46133</v>
      </c>
      <c r="B125" s="1139">
        <f>IF(t&gt;Tmaj,'2025'!Wh/'2025'!Env_an*'2026'!Env_an,0.001*'[6]mon-tableau'!$B$222)</f>
        <v>9.6355397881240226</v>
      </c>
      <c r="C125" s="866"/>
      <c r="D125" s="395">
        <f t="shared" si="25"/>
        <v>10.289095111415877</v>
      </c>
      <c r="E125" s="387">
        <f t="shared" si="47"/>
        <v>11.427238213617292</v>
      </c>
      <c r="F125" s="387">
        <f t="shared" si="26"/>
        <v>11.427238213617292</v>
      </c>
      <c r="G125" s="110">
        <f t="shared" si="48"/>
        <v>0.19280779303740544</v>
      </c>
      <c r="H125" s="414" t="b">
        <f>Wh_hp&gt;='2025'!Maxi_hp</f>
        <v>0</v>
      </c>
      <c r="I125" s="392">
        <f>IF(H125,Wh_hp,'2025'!Maxi_hp)</f>
        <v>55.33124831385225</v>
      </c>
      <c r="J125" s="85">
        <f>IF(H125,An,'2025'!An_max)</f>
        <v>2021</v>
      </c>
      <c r="K125" s="199">
        <f t="shared" si="27"/>
        <v>46133</v>
      </c>
      <c r="L125" s="147">
        <f>IF(t&lt;Tvie,1-EXP((T0-t)*PertePVj)+'2025'!Pspv,1-EXP((T0-t)*PertePVj)+Pspv)</f>
        <v>6.351922265415999E-2</v>
      </c>
      <c r="M125" s="870"/>
      <c r="N125" s="870"/>
      <c r="O125" s="48">
        <f>IF(t&lt;Tnet,'2025'!Resal+('2025'!Salim-'2025'!Resal)*(1-EXP(('2025'!Tnet-t)/('2025'!Tau_j))),Resal+(Salim-Resal)*(1-EXP((Tnet-t)/(Tau_j))))*Salcycl</f>
        <v>9.9599140310660902E-2</v>
      </c>
      <c r="P125" s="171">
        <f>(INDEX(Models!$BJ125:$BT125,,T125)*(1-R125)+INDEX(Models!$BJ125:$BT125,,T125+1)*R125-ERP_i)*Q125*Ramure*Pc/MaxiM</f>
        <v>6.8840342749859195E-4</v>
      </c>
      <c r="Q125" s="307">
        <f t="shared" si="28"/>
        <v>1</v>
      </c>
      <c r="R125" s="179">
        <f t="shared" si="29"/>
        <v>0.94345304481301273</v>
      </c>
      <c r="S125" s="837">
        <f t="shared" si="30"/>
        <v>-3</v>
      </c>
      <c r="T125" s="178">
        <f t="shared" si="31"/>
        <v>3</v>
      </c>
      <c r="U125" s="253">
        <f t="shared" si="32"/>
        <v>-2.0565469551869873</v>
      </c>
      <c r="V125" s="385">
        <f t="shared" si="33"/>
        <v>49.9404432664194</v>
      </c>
      <c r="W125" s="404">
        <f t="shared" si="34"/>
        <v>9.6355397881240226</v>
      </c>
      <c r="X125" s="157">
        <f t="shared" si="35"/>
        <v>46133</v>
      </c>
      <c r="Y125" s="387">
        <f t="shared" si="36"/>
        <v>9.2261525191622358</v>
      </c>
      <c r="Z125" s="387">
        <f t="shared" si="37"/>
        <v>9.8519400956748537</v>
      </c>
      <c r="AA125" s="388">
        <f t="shared" si="38"/>
        <v>11.427238213617292</v>
      </c>
      <c r="AB125" s="199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0.1378546669365158</v>
      </c>
      <c r="AD125" s="233">
        <f>(INDEX(Models!$BJ125:$BT125,,AH125)*(1-AF125)+INDEX(Models!$BJ125:$BT125,,AH125+1)*AF125-ERP_i)*AE125*Ramure*Pc/MaxiM</f>
        <v>1.5274619511398288E-2</v>
      </c>
      <c r="AE125" s="307">
        <f t="shared" si="40"/>
        <v>1</v>
      </c>
      <c r="AF125" s="179">
        <f t="shared" si="41"/>
        <v>0.87843563773658317</v>
      </c>
      <c r="AG125" s="837">
        <f t="shared" si="49"/>
        <v>2</v>
      </c>
      <c r="AH125" s="178">
        <f t="shared" si="42"/>
        <v>8</v>
      </c>
      <c r="AI125" s="227">
        <f t="shared" si="43"/>
        <v>2.8784356377365832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46134</v>
      </c>
      <c r="B126" s="1139">
        <f>IF(t&gt;Tmaj,'2025'!Wh/'2025'!Env_an*'2026'!Env_an,0.001*'[6]mon-tableau'!$B$223)</f>
        <v>29.136781406403287</v>
      </c>
      <c r="C126" s="866"/>
      <c r="D126" s="395">
        <f t="shared" si="25"/>
        <v>31.113782773238952</v>
      </c>
      <c r="E126" s="387">
        <f t="shared" si="47"/>
        <v>34.564030016012339</v>
      </c>
      <c r="F126" s="387">
        <f t="shared" si="26"/>
        <v>34.573131970835327</v>
      </c>
      <c r="G126" s="110">
        <f t="shared" si="48"/>
        <v>0.58045602594469292</v>
      </c>
      <c r="H126" s="414" t="b">
        <f>Wh_hp&gt;='2025'!Maxi_hp</f>
        <v>0</v>
      </c>
      <c r="I126" s="392">
        <f>IF(H126,Wh_hp,'2025'!Maxi_hp)</f>
        <v>59.287065717944621</v>
      </c>
      <c r="J126" s="85">
        <f>IF(H126,An,'2025'!An_max)</f>
        <v>2021</v>
      </c>
      <c r="K126" s="199">
        <f t="shared" si="27"/>
        <v>46134</v>
      </c>
      <c r="L126" s="147">
        <f>IF(t&lt;Tvie,1-EXP((T0-t)*PertePVj)+'2025'!Pspv,1-EXP((T0-t)*PertePVj)+Pspv)</f>
        <v>6.3541015929959199E-2</v>
      </c>
      <c r="M126" s="870"/>
      <c r="N126" s="870"/>
      <c r="O126" s="48">
        <f>IF(t&lt;Tnet,'2025'!Resal+('2025'!Salim-'2025'!Resal)*(1-EXP(('2025'!Tnet-t)/('2025'!Tau_j))),Resal+(Salim-Resal)*(1-EXP((Tnet-t)/(Tau_j))))*Salcycl</f>
        <v>9.9821902746149785E-2</v>
      </c>
      <c r="P126" s="171">
        <f>(INDEX(Models!$BJ126:$BT126,,T126)*(1-R126)+INDEX(Models!$BJ126:$BT126,,T126+1)*R126-ERP_i)*Q126*Ramure*Pc/MaxiM</f>
        <v>6.5656180287319507E-4</v>
      </c>
      <c r="Q126" s="307">
        <f t="shared" si="28"/>
        <v>1</v>
      </c>
      <c r="R126" s="179">
        <f t="shared" si="29"/>
        <v>0.94640044177864802</v>
      </c>
      <c r="S126" s="837">
        <f t="shared" si="30"/>
        <v>-3</v>
      </c>
      <c r="T126" s="178">
        <f t="shared" si="31"/>
        <v>3</v>
      </c>
      <c r="U126" s="253">
        <f t="shared" si="32"/>
        <v>-2.053599558221352</v>
      </c>
      <c r="V126" s="385">
        <f t="shared" si="33"/>
        <v>50.176615856969484</v>
      </c>
      <c r="W126" s="404">
        <f t="shared" si="34"/>
        <v>29.136781406403287</v>
      </c>
      <c r="X126" s="157">
        <f t="shared" si="35"/>
        <v>46134</v>
      </c>
      <c r="Y126" s="387">
        <f t="shared" si="36"/>
        <v>27.740799807068445</v>
      </c>
      <c r="Z126" s="387">
        <f t="shared" si="37"/>
        <v>29.623080432739616</v>
      </c>
      <c r="AA126" s="388">
        <f t="shared" si="38"/>
        <v>34.366876958591185</v>
      </c>
      <c r="AB126" s="199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0.13803397182605193</v>
      </c>
      <c r="AD126" s="233">
        <f>(INDEX(Models!$BJ126:$BT126,,AH126)*(1-AF126)+INDEX(Models!$BJ126:$BT126,,AH126+1)*AF126-ERP_i)*AE126*Ramure*Pc/MaxiM</f>
        <v>1.4878030634547219E-2</v>
      </c>
      <c r="AE126" s="307">
        <f t="shared" si="40"/>
        <v>1</v>
      </c>
      <c r="AF126" s="179">
        <f t="shared" si="41"/>
        <v>0.88138303470221846</v>
      </c>
      <c r="AG126" s="837">
        <f t="shared" si="49"/>
        <v>2</v>
      </c>
      <c r="AH126" s="178">
        <f t="shared" si="42"/>
        <v>8</v>
      </c>
      <c r="AI126" s="227">
        <f t="shared" si="43"/>
        <v>2.8813830347022185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46135</v>
      </c>
      <c r="B127" s="1139">
        <f>IF(t&gt;Tmaj,'2025'!Wh/'2025'!Env_an*'2026'!Env_an,0.001*'[6]mon-tableau'!$B$224)</f>
        <v>8.4265273459217411</v>
      </c>
      <c r="C127" s="866"/>
      <c r="D127" s="395">
        <f t="shared" si="25"/>
        <v>8.9984970953696006</v>
      </c>
      <c r="E127" s="387">
        <f t="shared" si="47"/>
        <v>9.9988567442796583</v>
      </c>
      <c r="F127" s="387">
        <f t="shared" si="26"/>
        <v>9.9988567442796583</v>
      </c>
      <c r="G127" s="110">
        <f t="shared" si="48"/>
        <v>0.16706747384861542</v>
      </c>
      <c r="H127" s="414" t="b">
        <f>Wh_hp&gt;='2025'!Maxi_hp</f>
        <v>0</v>
      </c>
      <c r="I127" s="392">
        <f>IF(H127,Wh_hp,'2025'!Maxi_hp)</f>
        <v>58.481630214798564</v>
      </c>
      <c r="J127" s="85">
        <f>IF(H127,An,'2025'!An_max)</f>
        <v>2021</v>
      </c>
      <c r="K127" s="199">
        <f t="shared" si="27"/>
        <v>46135</v>
      </c>
      <c r="L127" s="147">
        <f>IF(t&lt;Tvie,1-EXP((T0-t)*PertePVj)+'2025'!Pspv,1-EXP((T0-t)*PertePVj)+Pspv)</f>
        <v>6.3562808698597095E-2</v>
      </c>
      <c r="M127" s="870"/>
      <c r="N127" s="870"/>
      <c r="O127" s="48">
        <f>IF(t&lt;Tnet,'2025'!Resal+('2025'!Salim-'2025'!Resal)*(1-EXP(('2025'!Tnet-t)/('2025'!Tau_j))),Resal+(Salim-Resal)*(1-EXP((Tnet-t)/(Tau_j))))*Salcycl</f>
        <v>0.10004740286756914</v>
      </c>
      <c r="P127" s="171">
        <f>(INDEX(Models!$BJ127:$BT127,,T127)*(1-R127)+INDEX(Models!$BJ127:$BT127,,T127+1)*R127-ERP_i)*Q127*Ramure*Pc/MaxiM</f>
        <v>6.2479200726094867E-4</v>
      </c>
      <c r="Q127" s="307">
        <f t="shared" si="28"/>
        <v>1</v>
      </c>
      <c r="R127" s="179">
        <f t="shared" si="29"/>
        <v>0.94944189838429471</v>
      </c>
      <c r="S127" s="837">
        <f t="shared" si="30"/>
        <v>-3</v>
      </c>
      <c r="T127" s="178">
        <f t="shared" si="31"/>
        <v>3</v>
      </c>
      <c r="U127" s="253">
        <f t="shared" si="32"/>
        <v>-2.0505581016157053</v>
      </c>
      <c r="V127" s="385">
        <f t="shared" si="33"/>
        <v>50.406355737549418</v>
      </c>
      <c r="W127" s="404">
        <f t="shared" si="34"/>
        <v>8.4265273459217411</v>
      </c>
      <c r="X127" s="157">
        <f t="shared" si="35"/>
        <v>46135</v>
      </c>
      <c r="Y127" s="387">
        <f t="shared" si="36"/>
        <v>8.0691329191140593</v>
      </c>
      <c r="Z127" s="387">
        <f t="shared" si="37"/>
        <v>8.616843707264632</v>
      </c>
      <c r="AA127" s="388">
        <f t="shared" si="38"/>
        <v>9.9988567442796583</v>
      </c>
      <c r="AB127" s="199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0.13821710545114821</v>
      </c>
      <c r="AD127" s="233">
        <f>(INDEX(Models!$BJ127:$BT127,,AH127)*(1-AF127)+INDEX(Models!$BJ127:$BT127,,AH127+1)*AF127-ERP_i)*AE127*Ramure*Pc/MaxiM</f>
        <v>1.4469815275120465E-2</v>
      </c>
      <c r="AE127" s="307">
        <f t="shared" si="40"/>
        <v>1</v>
      </c>
      <c r="AF127" s="179">
        <f t="shared" si="41"/>
        <v>0.88442449130786516</v>
      </c>
      <c r="AG127" s="837">
        <f t="shared" si="49"/>
        <v>2</v>
      </c>
      <c r="AH127" s="178">
        <f t="shared" si="42"/>
        <v>8</v>
      </c>
      <c r="AI127" s="227">
        <f t="shared" si="43"/>
        <v>2.8844244913078652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46136</v>
      </c>
      <c r="B128" s="1139">
        <f>IF(t&gt;Tmaj,'2025'!Wh/'2025'!Env_an*'2026'!Env_an,0.001*'[6]mon-tableau'!$B$225)</f>
        <v>36.01618079005776</v>
      </c>
      <c r="C128" s="866"/>
      <c r="D128" s="395">
        <f t="shared" si="25"/>
        <v>38.461756210955443</v>
      </c>
      <c r="E128" s="387">
        <f t="shared" si="47"/>
        <v>42.748377940139711</v>
      </c>
      <c r="F128" s="387">
        <f t="shared" si="26"/>
        <v>42.763292743257338</v>
      </c>
      <c r="G128" s="110">
        <f t="shared" si="48"/>
        <v>0.7111953440205282</v>
      </c>
      <c r="H128" s="414" t="b">
        <f>Wh_hp&gt;='2025'!Maxi_hp</f>
        <v>0</v>
      </c>
      <c r="I128" s="392">
        <f>IF(H128,Wh_hp,'2025'!Maxi_hp)</f>
        <v>54.722101062954692</v>
      </c>
      <c r="J128" s="85">
        <f>IF(H128,An,'2025'!An_max)</f>
        <v>2021</v>
      </c>
      <c r="K128" s="199">
        <f t="shared" si="27"/>
        <v>46136</v>
      </c>
      <c r="L128" s="147">
        <f>IF(t&lt;Tvie,1-EXP((T0-t)*PertePVj)+'2025'!Pspv,1-EXP((T0-t)*PertePVj)+Pspv)</f>
        <v>6.3584600960085336E-2</v>
      </c>
      <c r="M128" s="870"/>
      <c r="N128" s="870"/>
      <c r="O128" s="48">
        <f>IF(t&lt;Tnet,'2025'!Resal+('2025'!Salim-'2025'!Resal)*(1-EXP(('2025'!Tnet-t)/('2025'!Tau_j))),Resal+(Salim-Resal)*(1-EXP((Tnet-t)/(Tau_j))))*Salcycl</f>
        <v>0.10027565806559494</v>
      </c>
      <c r="P128" s="171">
        <f>(INDEX(Models!$BJ128:$BT128,,T128)*(1-R128)+INDEX(Models!$BJ128:$BT128,,T128+1)*R128-ERP_i)*Q128*Ramure*Pc/MaxiM</f>
        <v>5.9348856098549057E-4</v>
      </c>
      <c r="Q128" s="307">
        <f t="shared" si="28"/>
        <v>1</v>
      </c>
      <c r="R128" s="179">
        <f t="shared" si="29"/>
        <v>0.95257929752550874</v>
      </c>
      <c r="S128" s="837">
        <f t="shared" si="30"/>
        <v>-3</v>
      </c>
      <c r="T128" s="178">
        <f t="shared" si="31"/>
        <v>3</v>
      </c>
      <c r="U128" s="253">
        <f t="shared" si="32"/>
        <v>-2.0474207024744913</v>
      </c>
      <c r="V128" s="385">
        <f t="shared" si="33"/>
        <v>50.629358586147632</v>
      </c>
      <c r="W128" s="404">
        <f t="shared" si="34"/>
        <v>36.01618079005776</v>
      </c>
      <c r="X128" s="157">
        <f t="shared" si="35"/>
        <v>46136</v>
      </c>
      <c r="Y128" s="387">
        <f t="shared" si="36"/>
        <v>34.217121034250034</v>
      </c>
      <c r="Z128" s="387">
        <f t="shared" si="37"/>
        <v>36.54053646419321</v>
      </c>
      <c r="AA128" s="388">
        <f t="shared" si="38"/>
        <v>42.41029427702432</v>
      </c>
      <c r="AB128" s="199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0.13840408119995143</v>
      </c>
      <c r="AD128" s="233">
        <f>(INDEX(Models!$BJ128:$BT128,,AH128)*(1-AF128)+INDEX(Models!$BJ128:$BT128,,AH128+1)*AF128-ERP_i)*AE128*Ramure*Pc/MaxiM</f>
        <v>1.4046484563184915E-2</v>
      </c>
      <c r="AE128" s="307">
        <f t="shared" si="40"/>
        <v>1</v>
      </c>
      <c r="AF128" s="179">
        <f t="shared" si="41"/>
        <v>0.88756189044907918</v>
      </c>
      <c r="AG128" s="837">
        <f t="shared" si="49"/>
        <v>2</v>
      </c>
      <c r="AH128" s="178">
        <f t="shared" si="42"/>
        <v>8</v>
      </c>
      <c r="AI128" s="227">
        <f t="shared" si="43"/>
        <v>2.8875618904490792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46137</v>
      </c>
      <c r="B129" s="1139">
        <f>IF(t&gt;Tmaj,'2025'!Wh/'2025'!Env_an*'2026'!Env_an,0.001*'[6]mon-tableau'!$B$226)</f>
        <v>44.930435454660177</v>
      </c>
      <c r="C129" s="866"/>
      <c r="D129" s="395">
        <f t="shared" si="25"/>
        <v>47.982424383380184</v>
      </c>
      <c r="E129" s="387">
        <f t="shared" si="47"/>
        <v>53.343836328961608</v>
      </c>
      <c r="F129" s="387">
        <f t="shared" si="26"/>
        <v>53.368872234471368</v>
      </c>
      <c r="G129" s="110">
        <f t="shared" si="48"/>
        <v>0.88358599318366304</v>
      </c>
      <c r="H129" s="414" t="b">
        <f>Wh_hp&gt;='2025'!Maxi_hp</f>
        <v>0</v>
      </c>
      <c r="I129" s="392">
        <f>IF(H129,Wh_hp,'2025'!Maxi_hp)</f>
        <v>56.337889785916616</v>
      </c>
      <c r="J129" s="85">
        <f>IF(H129,An,'2025'!An_max)</f>
        <v>2020</v>
      </c>
      <c r="K129" s="199">
        <f t="shared" si="27"/>
        <v>46137</v>
      </c>
      <c r="L129" s="147">
        <f>IF(t&lt;Tvie,1-EXP((T0-t)*PertePVj)+'2025'!Pspv,1-EXP((T0-t)*PertePVj)+Pspv)</f>
        <v>6.3606392714435911E-2</v>
      </c>
      <c r="M129" s="870"/>
      <c r="N129" s="870"/>
      <c r="O129" s="48">
        <f>IF(t&lt;Tnet,'2025'!Resal+('2025'!Salim-'2025'!Resal)*(1-EXP(('2025'!Tnet-t)/('2025'!Tau_j))),Resal+(Salim-Resal)*(1-EXP((Tnet-t)/(Tau_j))))*Salcycl</f>
        <v>0.10050668108155143</v>
      </c>
      <c r="P129" s="171">
        <f>(INDEX(Models!$BJ129:$BT129,,T129)*(1-R129)+INDEX(Models!$BJ129:$BT129,,T129+1)*R129-ERP_i)*Q129*Ramure*Pc/MaxiM</f>
        <v>5.6260935360689316E-4</v>
      </c>
      <c r="Q129" s="307">
        <f t="shared" si="28"/>
        <v>1</v>
      </c>
      <c r="R129" s="179">
        <f t="shared" si="29"/>
        <v>0.95581447563246114</v>
      </c>
      <c r="S129" s="837">
        <f t="shared" si="30"/>
        <v>-3</v>
      </c>
      <c r="T129" s="178">
        <f t="shared" si="31"/>
        <v>3</v>
      </c>
      <c r="U129" s="253">
        <f t="shared" si="32"/>
        <v>-2.0441855243675389</v>
      </c>
      <c r="V129" s="385">
        <f t="shared" si="33"/>
        <v>50.845342605518773</v>
      </c>
      <c r="W129" s="404">
        <f t="shared" si="34"/>
        <v>44.930435454660177</v>
      </c>
      <c r="X129" s="157">
        <f t="shared" si="35"/>
        <v>46137</v>
      </c>
      <c r="Y129" s="387">
        <f t="shared" si="36"/>
        <v>42.559358278259232</v>
      </c>
      <c r="Z129" s="387">
        <f t="shared" si="37"/>
        <v>45.450287087746275</v>
      </c>
      <c r="AA129" s="388">
        <f t="shared" si="38"/>
        <v>52.762965308206446</v>
      </c>
      <c r="AB129" s="199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0.1385949060623172</v>
      </c>
      <c r="AD129" s="233">
        <f>(INDEX(Models!$BJ129:$BT129,,AH129)*(1-AF129)+INDEX(Models!$BJ129:$BT129,,AH129+1)*AF129-ERP_i)*AE129*Ramure*Pc/MaxiM</f>
        <v>1.3616000587596443E-2</v>
      </c>
      <c r="AE129" s="307">
        <f t="shared" si="40"/>
        <v>1</v>
      </c>
      <c r="AF129" s="179">
        <f t="shared" si="41"/>
        <v>0.89079706855603158</v>
      </c>
      <c r="AG129" s="837">
        <f t="shared" si="49"/>
        <v>2</v>
      </c>
      <c r="AH129" s="178">
        <f t="shared" si="42"/>
        <v>8</v>
      </c>
      <c r="AI129" s="227">
        <f t="shared" si="43"/>
        <v>2.8907970685560316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46138</v>
      </c>
      <c r="B130" s="1139">
        <f>IF(t&gt;Tmaj,'2025'!Wh/'2025'!Env_an*'2026'!Env_an,0.001*'[6]mon-tableau'!$B$227)</f>
        <v>49.821545420455699</v>
      </c>
      <c r="C130" s="866"/>
      <c r="D130" s="395">
        <f t="shared" si="25"/>
        <v>53.207010897918529</v>
      </c>
      <c r="E130" s="387">
        <f t="shared" si="47"/>
        <v>59.167581440575184</v>
      </c>
      <c r="F130" s="387">
        <f t="shared" si="26"/>
        <v>59.19799622557364</v>
      </c>
      <c r="G130" s="110">
        <f t="shared" si="48"/>
        <v>0.97584137523025272</v>
      </c>
      <c r="H130" s="414" t="b">
        <f>Wh_hp&gt;='2025'!Maxi_hp</f>
        <v>0</v>
      </c>
      <c r="I130" s="392">
        <f>IF(H130,Wh_hp,'2025'!Maxi_hp)</f>
        <v>59.198998230251505</v>
      </c>
      <c r="J130" s="85">
        <f>IF(H130,An,'2025'!An_max)</f>
        <v>2025</v>
      </c>
      <c r="K130" s="199">
        <f t="shared" si="27"/>
        <v>46138</v>
      </c>
      <c r="L130" s="147">
        <f>IF(t&lt;Tvie,1-EXP((T0-t)*PertePVj)+'2025'!Pspv,1-EXP((T0-t)*PertePVj)+Pspv)</f>
        <v>6.3628183961660367E-2</v>
      </c>
      <c r="M130" s="870"/>
      <c r="N130" s="870"/>
      <c r="O130" s="48">
        <f>IF(t&lt;Tnet,'2025'!Resal+('2025'!Salim-'2025'!Resal)*(1-EXP(('2025'!Tnet-t)/('2025'!Tau_j))),Resal+(Salim-Resal)*(1-EXP((Tnet-t)/(Tau_j))))*Salcycl</f>
        <v>0.10074047979539502</v>
      </c>
      <c r="P130" s="171">
        <f>(INDEX(Models!$BJ130:$BT130,,T130)*(1-R130)+INDEX(Models!$BJ130:$BT130,,T130+1)*R130-ERP_i)*Q130*Ramure*Pc/MaxiM</f>
        <v>5.3213214495369547E-4</v>
      </c>
      <c r="Q130" s="307">
        <f t="shared" si="28"/>
        <v>1</v>
      </c>
      <c r="R130" s="179">
        <f t="shared" si="29"/>
        <v>0.95914921512146334</v>
      </c>
      <c r="S130" s="837">
        <f t="shared" si="30"/>
        <v>-3</v>
      </c>
      <c r="T130" s="178">
        <f t="shared" si="31"/>
        <v>3</v>
      </c>
      <c r="U130" s="253">
        <f t="shared" si="32"/>
        <v>-2.0408507848785367</v>
      </c>
      <c r="V130" s="385">
        <f t="shared" si="33"/>
        <v>51.054025700525301</v>
      </c>
      <c r="W130" s="404">
        <f t="shared" si="34"/>
        <v>49.821545420455699</v>
      </c>
      <c r="X130" s="157">
        <f t="shared" si="35"/>
        <v>46138</v>
      </c>
      <c r="Y130" s="387">
        <f t="shared" si="36"/>
        <v>47.13063322112297</v>
      </c>
      <c r="Z130" s="387">
        <f t="shared" si="37"/>
        <v>50.333246274461992</v>
      </c>
      <c r="AA130" s="388">
        <f t="shared" si="38"/>
        <v>58.444771599392638</v>
      </c>
      <c r="AB130" s="199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0.13878958036709901</v>
      </c>
      <c r="AD130" s="233">
        <f>(INDEX(Models!$BJ130:$BT130,,AH130)*(1-AF130)+INDEX(Models!$BJ130:$BT130,,AH130+1)*AF130-ERP_i)*AE130*Ramure*Pc/MaxiM</f>
        <v>1.3178295884123413E-2</v>
      </c>
      <c r="AE130" s="307">
        <f t="shared" si="40"/>
        <v>1</v>
      </c>
      <c r="AF130" s="179">
        <f t="shared" si="41"/>
        <v>0.89413180804503378</v>
      </c>
      <c r="AG130" s="837">
        <f t="shared" si="49"/>
        <v>2</v>
      </c>
      <c r="AH130" s="178">
        <f t="shared" si="42"/>
        <v>8</v>
      </c>
      <c r="AI130" s="227">
        <f t="shared" si="43"/>
        <v>2.8941318080450338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46139</v>
      </c>
      <c r="B131" s="1139">
        <f>IF(t&gt;Tmaj,'2025'!Wh/'2025'!Env_an*'2026'!Env_an,0.001*'[6]mon-tableau'!$B$228)</f>
        <v>35.535780691601694</v>
      </c>
      <c r="C131" s="866"/>
      <c r="D131" s="395">
        <f t="shared" si="25"/>
        <v>37.951385413038764</v>
      </c>
      <c r="E131" s="387">
        <f t="shared" si="47"/>
        <v>42.214034368094616</v>
      </c>
      <c r="F131" s="387">
        <f t="shared" si="26"/>
        <v>42.225945469244756</v>
      </c>
      <c r="G131" s="110">
        <f t="shared" si="48"/>
        <v>0.69315919488373479</v>
      </c>
      <c r="H131" s="414" t="b">
        <f>Wh_hp&gt;='2025'!Maxi_hp</f>
        <v>0</v>
      </c>
      <c r="I131" s="392">
        <f>IF(H131,Wh_hp,'2025'!Maxi_hp)</f>
        <v>42.234472981706269</v>
      </c>
      <c r="J131" s="85">
        <f>IF(H131,An,'2025'!An_max)</f>
        <v>2025</v>
      </c>
      <c r="K131" s="199">
        <f t="shared" si="27"/>
        <v>46139</v>
      </c>
      <c r="L131" s="147">
        <f>IF(t&lt;Tvie,1-EXP((T0-t)*PertePVj)+'2025'!Pspv,1-EXP((T0-t)*PertePVj)+Pspv)</f>
        <v>6.3649974701770806E-2</v>
      </c>
      <c r="M131" s="870"/>
      <c r="N131" s="870"/>
      <c r="O131" s="48">
        <f>IF(t&lt;Tnet,'2025'!Resal+('2025'!Salim-'2025'!Resal)*(1-EXP(('2025'!Tnet-t)/('2025'!Tau_j))),Resal+(Salim-Resal)*(1-EXP((Tnet-t)/(Tau_j))))*Salcycl</f>
        <v>0.10097705701110533</v>
      </c>
      <c r="P131" s="171">
        <f>(INDEX(Models!$BJ131:$BT131,,T131)*(1-R131)+INDEX(Models!$BJ131:$BT131,,T131+1)*R131-ERP_i)*Q131*Ramure*Pc/MaxiM</f>
        <v>5.0203461892307224E-4</v>
      </c>
      <c r="Q131" s="307">
        <f t="shared" si="28"/>
        <v>1</v>
      </c>
      <c r="R131" s="179">
        <f t="shared" si="29"/>
        <v>0.96258523650345262</v>
      </c>
      <c r="S131" s="837">
        <f t="shared" si="30"/>
        <v>-3</v>
      </c>
      <c r="T131" s="178">
        <f t="shared" si="31"/>
        <v>3</v>
      </c>
      <c r="U131" s="253">
        <f t="shared" si="32"/>
        <v>-2.0374147634965474</v>
      </c>
      <c r="V131" s="385">
        <f t="shared" si="33"/>
        <v>51.255126520334912</v>
      </c>
      <c r="W131" s="404">
        <f t="shared" si="34"/>
        <v>35.535780691601694</v>
      </c>
      <c r="X131" s="157">
        <f t="shared" si="35"/>
        <v>46139</v>
      </c>
      <c r="Y131" s="387">
        <f t="shared" si="36"/>
        <v>33.799356800887274</v>
      </c>
      <c r="Z131" s="387">
        <f t="shared" si="37"/>
        <v>36.096925175093702</v>
      </c>
      <c r="AA131" s="388">
        <f t="shared" si="38"/>
        <v>41.9238399271822</v>
      </c>
      <c r="AB131" s="199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0.13898809751705254</v>
      </c>
      <c r="AD131" s="233">
        <f>(INDEX(Models!$BJ131:$BT131,,AH131)*(1-AF131)+INDEX(Models!$BJ131:$BT131,,AH131+1)*AF131-ERP_i)*AE131*Ramure*Pc/MaxiM</f>
        <v>1.273328458654549E-2</v>
      </c>
      <c r="AE131" s="307">
        <f t="shared" si="40"/>
        <v>1</v>
      </c>
      <c r="AF131" s="179">
        <f t="shared" si="41"/>
        <v>0.89756782942702307</v>
      </c>
      <c r="AG131" s="837">
        <f t="shared" si="49"/>
        <v>2</v>
      </c>
      <c r="AH131" s="178">
        <f t="shared" si="42"/>
        <v>8</v>
      </c>
      <c r="AI131" s="227">
        <f t="shared" si="43"/>
        <v>2.8975678294270231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46140</v>
      </c>
      <c r="B132" s="1139">
        <f>IF(t&gt;Tmaj,'2025'!Wh/'2025'!Env_an*'2026'!Env_an,0.001*'[6]mon-tableau'!$B$229)</f>
        <v>21.766494221706289</v>
      </c>
      <c r="C132" s="866"/>
      <c r="D132" s="395">
        <f t="shared" si="25"/>
        <v>23.246649419036387</v>
      </c>
      <c r="E132" s="387">
        <f t="shared" si="47"/>
        <v>25.864568160692311</v>
      </c>
      <c r="F132" s="387">
        <f t="shared" si="26"/>
        <v>25.866716111537119</v>
      </c>
      <c r="G132" s="110">
        <f t="shared" si="48"/>
        <v>0.42290986348705878</v>
      </c>
      <c r="H132" s="414" t="b">
        <f>Wh_hp&gt;='2025'!Maxi_hp</f>
        <v>0</v>
      </c>
      <c r="I132" s="392">
        <f>IF(H132,Wh_hp,'2025'!Maxi_hp)</f>
        <v>48.071799484183821</v>
      </c>
      <c r="J132" s="85">
        <f>IF(H132,An,'2025'!An_max)</f>
        <v>2019</v>
      </c>
      <c r="K132" s="199">
        <f t="shared" si="27"/>
        <v>46140</v>
      </c>
      <c r="L132" s="147">
        <f>IF(t&lt;Tvie,1-EXP((T0-t)*PertePVj)+'2025'!Pspv,1-EXP((T0-t)*PertePVj)+Pspv)</f>
        <v>6.3671764934778885E-2</v>
      </c>
      <c r="M132" s="870"/>
      <c r="N132" s="870"/>
      <c r="O132" s="48">
        <f>IF(t&lt;Tnet,'2025'!Resal+('2025'!Salim-'2025'!Resal)*(1-EXP(('2025'!Tnet-t)/('2025'!Tau_j))),Resal+(Salim-Resal)*(1-EXP((Tnet-t)/(Tau_j))))*Salcycl</f>
        <v>0.10121641024088338</v>
      </c>
      <c r="P132" s="171">
        <f>(INDEX(Models!$BJ132:$BT132,,T132)*(1-R132)+INDEX(Models!$BJ132:$BT132,,T132+1)*R132-ERP_i)*Q132*Ramure*Pc/MaxiM</f>
        <v>4.722943888456987E-4</v>
      </c>
      <c r="Q132" s="307">
        <f t="shared" si="28"/>
        <v>1</v>
      </c>
      <c r="R132" s="179">
        <f t="shared" si="29"/>
        <v>0.96612419016348072</v>
      </c>
      <c r="S132" s="837">
        <f t="shared" si="30"/>
        <v>-3</v>
      </c>
      <c r="T132" s="178">
        <f t="shared" si="31"/>
        <v>3</v>
      </c>
      <c r="U132" s="253">
        <f t="shared" si="32"/>
        <v>-2.0338758098365193</v>
      </c>
      <c r="V132" s="385">
        <f t="shared" si="33"/>
        <v>51.44836447506821</v>
      </c>
      <c r="W132" s="404">
        <f t="shared" si="34"/>
        <v>21.766494221706289</v>
      </c>
      <c r="X132" s="157">
        <f t="shared" si="35"/>
        <v>46140</v>
      </c>
      <c r="Y132" s="387">
        <f t="shared" si="36"/>
        <v>20.803563850669569</v>
      </c>
      <c r="Z132" s="387">
        <f t="shared" si="37"/>
        <v>22.218238296766167</v>
      </c>
      <c r="AA132" s="388">
        <f t="shared" si="38"/>
        <v>25.810863895223608</v>
      </c>
      <c r="AB132" s="199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0.13919044372328321</v>
      </c>
      <c r="AD132" s="233">
        <f>(INDEX(Models!$BJ132:$BT132,,AH132)*(1-AF132)+INDEX(Models!$BJ132:$BT132,,AH132+1)*AF132-ERP_i)*AE132*Ramure*Pc/MaxiM</f>
        <v>1.2280862214890631E-2</v>
      </c>
      <c r="AE132" s="307">
        <f t="shared" si="40"/>
        <v>1</v>
      </c>
      <c r="AF132" s="179">
        <f t="shared" si="41"/>
        <v>0.90110678308705117</v>
      </c>
      <c r="AG132" s="837">
        <f t="shared" si="49"/>
        <v>2</v>
      </c>
      <c r="AH132" s="178">
        <f t="shared" si="42"/>
        <v>8</v>
      </c>
      <c r="AI132" s="227">
        <f t="shared" si="43"/>
        <v>2.9011067830870512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46141</v>
      </c>
      <c r="B133" s="1139">
        <f>IF(t&gt;Tmaj,'2025'!Wh/'2025'!Env_an*'2026'!Env_an,0.001*'[6]mon-tableau'!$B$230)</f>
        <v>40.891738622493911</v>
      </c>
      <c r="C133" s="866"/>
      <c r="D133" s="395">
        <f t="shared" si="25"/>
        <v>43.673456298461502</v>
      </c>
      <c r="E133" s="387">
        <f t="shared" si="47"/>
        <v>48.604831083500905</v>
      </c>
      <c r="F133" s="387">
        <f t="shared" si="26"/>
        <v>48.619964711781556</v>
      </c>
      <c r="G133" s="110">
        <f t="shared" si="48"/>
        <v>0.79185773604437093</v>
      </c>
      <c r="H133" s="414" t="b">
        <f>Wh_hp&gt;='2025'!Maxi_hp</f>
        <v>0</v>
      </c>
      <c r="I133" s="392">
        <f>IF(H133,Wh_hp,'2025'!Maxi_hp)</f>
        <v>54.803359565450826</v>
      </c>
      <c r="J133" s="85">
        <f>IF(H133,An,'2025'!An_max)</f>
        <v>2019</v>
      </c>
      <c r="K133" s="199">
        <f t="shared" si="27"/>
        <v>46141</v>
      </c>
      <c r="L133" s="147">
        <f>IF(t&lt;Tvie,1-EXP((T0-t)*PertePVj)+'2025'!Pspv,1-EXP((T0-t)*PertePVj)+Pspv)</f>
        <v>6.3693554660696372E-2</v>
      </c>
      <c r="M133" s="870"/>
      <c r="N133" s="870"/>
      <c r="O133" s="48">
        <f>IF(t&lt;Tnet,'2025'!Resal+('2025'!Salim-'2025'!Resal)*(1-EXP(('2025'!Tnet-t)/('2025'!Tau_j))),Resal+(Salim-Resal)*(1-EXP((Tnet-t)/(Tau_j))))*Salcycl</f>
        <v>0.10145853148975088</v>
      </c>
      <c r="P133" s="171">
        <f>(INDEX(Models!$BJ133:$BT133,,T133)*(1-R133)+INDEX(Models!$BJ133:$BT133,,T133+1)*R133-ERP_i)*Q133*Ramure*Pc/MaxiM</f>
        <v>4.4288900136929375E-4</v>
      </c>
      <c r="Q133" s="307">
        <f t="shared" si="28"/>
        <v>1</v>
      </c>
      <c r="R133" s="179">
        <f t="shared" si="29"/>
        <v>0.96976764782906555</v>
      </c>
      <c r="S133" s="837">
        <f t="shared" si="30"/>
        <v>-3</v>
      </c>
      <c r="T133" s="178">
        <f t="shared" si="31"/>
        <v>3</v>
      </c>
      <c r="U133" s="253">
        <f t="shared" si="32"/>
        <v>-2.0302323521709345</v>
      </c>
      <c r="V133" s="385">
        <f t="shared" si="33"/>
        <v>51.633459770077735</v>
      </c>
      <c r="W133" s="404">
        <f t="shared" si="34"/>
        <v>40.891738622493911</v>
      </c>
      <c r="X133" s="157">
        <f t="shared" si="35"/>
        <v>46141</v>
      </c>
      <c r="Y133" s="387">
        <f t="shared" si="36"/>
        <v>38.851932280726956</v>
      </c>
      <c r="Z133" s="387">
        <f t="shared" si="37"/>
        <v>41.494889279169271</v>
      </c>
      <c r="AA133" s="388">
        <f t="shared" si="38"/>
        <v>48.216041408004372</v>
      </c>
      <c r="AB133" s="199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0.13939659774141724</v>
      </c>
      <c r="AD133" s="233">
        <f>(INDEX(Models!$BJ133:$BT133,,AH133)*(1-AF133)+INDEX(Models!$BJ133:$BT133,,AH133+1)*AF133-ERP_i)*AE133*Ramure*Pc/MaxiM</f>
        <v>1.182090542480166E-2</v>
      </c>
      <c r="AE133" s="307">
        <f t="shared" si="40"/>
        <v>1</v>
      </c>
      <c r="AF133" s="179">
        <f t="shared" si="41"/>
        <v>0.90475024075263599</v>
      </c>
      <c r="AG133" s="837">
        <f t="shared" si="49"/>
        <v>2</v>
      </c>
      <c r="AH133" s="178">
        <f t="shared" si="42"/>
        <v>8</v>
      </c>
      <c r="AI133" s="227">
        <f t="shared" si="43"/>
        <v>2.904750240752636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46142</v>
      </c>
      <c r="B134" s="1139">
        <f>IF(t&gt;Tmaj,'2025'!Wh/'2025'!Env_an*'2026'!Env_an,0.001*'[6]mon-tableau'!$B$231)</f>
        <v>46.318655892348865</v>
      </c>
      <c r="C134" s="866"/>
      <c r="D134" s="395">
        <f t="shared" si="25"/>
        <v>49.470698456463204</v>
      </c>
      <c r="E134" s="387">
        <f t="shared" si="47"/>
        <v>50.767982300565293</v>
      </c>
      <c r="F134" s="387">
        <f t="shared" si="26"/>
        <v>50.783717161052238</v>
      </c>
      <c r="G134" s="110">
        <f t="shared" si="48"/>
        <v>0.8240578252566767</v>
      </c>
      <c r="H134" s="414" t="b">
        <f>Wh_hp&gt;='2025'!Maxi_hp</f>
        <v>0</v>
      </c>
      <c r="I134" s="392">
        <f>IF(H134,Wh_hp,'2025'!Maxi_hp)</f>
        <v>60.871126204254288</v>
      </c>
      <c r="J134" s="85">
        <f>IF(H134,An,'2025'!An_max)</f>
        <v>2019</v>
      </c>
      <c r="K134" s="199">
        <f t="shared" si="27"/>
        <v>46142</v>
      </c>
      <c r="L134" s="147">
        <f>IF(t&lt;Tvie,1-EXP((T0-t)*PertePVj)+'2025'!Pspv,1-EXP((T0-t)*PertePVj)+Pspv)</f>
        <v>6.3715343879535036E-2</v>
      </c>
      <c r="M134" s="870"/>
      <c r="N134" s="870"/>
      <c r="O134" s="48">
        <f>IF(t&lt;Tnet,'2025'!Resal+('2025'!Salim-'2025'!Resal)*(1-EXP(('2025'!Tnet-t)/('2025'!Tau_j))),Resal+(Salim-Resal)*(1-EXP((Tnet-t)/(Tau_j))))*Salcycl</f>
        <v>2.5553188945380768E-2</v>
      </c>
      <c r="P134" s="171">
        <f>(INDEX(Models!$BJ134:$BT134,,T134)*(1-R134)+INDEX(Models!$BJ134:$BT134,,T134+1)*R134-ERP_i)*Q134*Ramure*Pc/MaxiM</f>
        <v>4.1379593928867251E-4</v>
      </c>
      <c r="Q134" s="307">
        <f t="shared" si="28"/>
        <v>1</v>
      </c>
      <c r="R134" s="179">
        <f t="shared" si="29"/>
        <v>0.97351709374925655</v>
      </c>
      <c r="S134" s="837">
        <f t="shared" si="30"/>
        <v>-3</v>
      </c>
      <c r="T134" s="178">
        <f t="shared" si="31"/>
        <v>3</v>
      </c>
      <c r="U134" s="253">
        <f t="shared" si="32"/>
        <v>-2.0264829062507435</v>
      </c>
      <c r="V134" s="385">
        <f t="shared" si="33"/>
        <v>56.202171633753522</v>
      </c>
      <c r="W134" s="404">
        <f t="shared" si="34"/>
        <v>46.318655892348865</v>
      </c>
      <c r="X134" s="157">
        <f t="shared" si="35"/>
        <v>46142</v>
      </c>
      <c r="Y134" s="387">
        <f t="shared" si="36"/>
        <v>42.349120759570702</v>
      </c>
      <c r="Z134" s="387">
        <f t="shared" si="37"/>
        <v>45.23103148464066</v>
      </c>
      <c r="AA134" s="388">
        <f t="shared" si="38"/>
        <v>50.3520015986212</v>
      </c>
      <c r="AB134" s="199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0.10170340704232843</v>
      </c>
      <c r="AD134" s="233">
        <f>(INDEX(Models!$BJ134:$BT134,,AH134)*(1-AF134)+INDEX(Models!$BJ134:$BT134,,AH134+1)*AF134-ERP_i)*AE134*Ramure*Pc/MaxiM</f>
        <v>1.135327172490022E-2</v>
      </c>
      <c r="AE134" s="307">
        <f t="shared" si="40"/>
        <v>1</v>
      </c>
      <c r="AF134" s="179">
        <f t="shared" si="41"/>
        <v>0.90849968667282699</v>
      </c>
      <c r="AG134" s="837">
        <f t="shared" si="49"/>
        <v>2</v>
      </c>
      <c r="AH134" s="178">
        <f t="shared" si="42"/>
        <v>8</v>
      </c>
      <c r="AI134" s="227">
        <f t="shared" si="43"/>
        <v>2.908499686672827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46143</v>
      </c>
      <c r="B135" s="1139">
        <f>IF(t&gt;Tmaj,'2025'!Wh/'2025'!Env_an*'2026'!Env_an,0.001*[7]mois!$B$208)</f>
        <v>45.677109467382067</v>
      </c>
      <c r="C135" s="866"/>
      <c r="D135" s="395">
        <f t="shared" si="25"/>
        <v>48.786629329648832</v>
      </c>
      <c r="E135" s="387">
        <f t="shared" si="47"/>
        <v>50.082204780973115</v>
      </c>
      <c r="F135" s="387">
        <f t="shared" si="26"/>
        <v>50.096260485111344</v>
      </c>
      <c r="G135" s="110">
        <f t="shared" si="48"/>
        <v>0.81005846676720583</v>
      </c>
      <c r="H135" s="414" t="b">
        <f>Wh_hp&gt;='2025'!Maxi_hp</f>
        <v>0</v>
      </c>
      <c r="I135" s="392">
        <f>IF(H135,Wh_hp,'2025'!Maxi_hp)</f>
        <v>56.86994403885685</v>
      </c>
      <c r="J135" s="85">
        <f>IF(H135,An,'2025'!An_max)</f>
        <v>2019</v>
      </c>
      <c r="K135" s="199">
        <f t="shared" si="27"/>
        <v>46143</v>
      </c>
      <c r="L135" s="147">
        <f>IF(t&lt;Tvie,1-EXP((T0-t)*PertePVj)+'2025'!Pspv,1-EXP((T0-t)*PertePVj)+Pspv)</f>
        <v>6.3737132591306755E-2</v>
      </c>
      <c r="M135" s="870"/>
      <c r="N135" s="870"/>
      <c r="O135" s="48">
        <f>IF(t&lt;Tnet,'2025'!Resal+('2025'!Salim-'2025'!Resal)*(1-EXP(('2025'!Tnet-t)/('2025'!Tau_j))),Resal+(Salim-Resal)*(1-EXP((Tnet-t)/(Tau_j))))*Salcycl</f>
        <v>2.5868977953152919E-2</v>
      </c>
      <c r="P135" s="171">
        <f>(INDEX(Models!$BJ135:$BT135,,T135)*(1-R135)+INDEX(Models!$BJ135:$BT135,,T135+1)*R135-ERP_i)*Q135*Ramure*Pc/MaxiM</f>
        <v>3.8499344412601329E-4</v>
      </c>
      <c r="Q135" s="307">
        <f t="shared" si="28"/>
        <v>1</v>
      </c>
      <c r="R135" s="179">
        <f t="shared" si="29"/>
        <v>0.97737391561054032</v>
      </c>
      <c r="S135" s="837">
        <f t="shared" si="30"/>
        <v>-3</v>
      </c>
      <c r="T135" s="178">
        <f t="shared" si="31"/>
        <v>3</v>
      </c>
      <c r="U135" s="253">
        <f t="shared" si="32"/>
        <v>-2.0226260843894597</v>
      </c>
      <c r="V135" s="385">
        <f t="shared" si="33"/>
        <v>56.381533457680447</v>
      </c>
      <c r="W135" s="404">
        <f t="shared" si="34"/>
        <v>45.677109467382067</v>
      </c>
      <c r="X135" s="157">
        <f t="shared" si="35"/>
        <v>46143</v>
      </c>
      <c r="Y135" s="387">
        <f t="shared" si="36"/>
        <v>41.787515146198828</v>
      </c>
      <c r="Z135" s="387">
        <f t="shared" si="37"/>
        <v>44.632246563248493</v>
      </c>
      <c r="AA135" s="388">
        <f t="shared" si="38"/>
        <v>49.699122676762755</v>
      </c>
      <c r="AB135" s="199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0.10195101725373752</v>
      </c>
      <c r="AD135" s="233">
        <f>(INDEX(Models!$BJ135:$BT135,,AH135)*(1-AF135)+INDEX(Models!$BJ135:$BT135,,AH135+1)*AF135-ERP_i)*AE135*Ramure*Pc/MaxiM</f>
        <v>1.0877822350638685E-2</v>
      </c>
      <c r="AE135" s="307">
        <f t="shared" si="40"/>
        <v>1</v>
      </c>
      <c r="AF135" s="179">
        <f t="shared" si="41"/>
        <v>0.91235650853411077</v>
      </c>
      <c r="AG135" s="837">
        <f t="shared" si="49"/>
        <v>2</v>
      </c>
      <c r="AH135" s="178">
        <f t="shared" si="42"/>
        <v>8</v>
      </c>
      <c r="AI135" s="227">
        <f t="shared" si="43"/>
        <v>2.9123565085341108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46144</v>
      </c>
      <c r="B136" s="1139">
        <f>IF(t&gt;Tmaj,'2025'!Wh/'2025'!Env_an*'2026'!Env_an,0.001*[7]mois!$B$209)</f>
        <v>27.917001716515557</v>
      </c>
      <c r="C136" s="866"/>
      <c r="D136" s="395">
        <f t="shared" si="25"/>
        <v>29.818176468235642</v>
      </c>
      <c r="E136" s="387">
        <f t="shared" si="47"/>
        <v>30.619975564925518</v>
      </c>
      <c r="F136" s="387">
        <f t="shared" si="26"/>
        <v>30.623003869165625</v>
      </c>
      <c r="G136" s="110">
        <f t="shared" si="48"/>
        <v>0.49352902199845305</v>
      </c>
      <c r="H136" s="414" t="b">
        <f>Wh_hp&gt;='2025'!Maxi_hp</f>
        <v>0</v>
      </c>
      <c r="I136" s="392">
        <f>IF(H136,Wh_hp,'2025'!Maxi_hp)</f>
        <v>39.790318251802034</v>
      </c>
      <c r="J136" s="85">
        <f>IF(H136,An,'2025'!An_max)</f>
        <v>2021</v>
      </c>
      <c r="K136" s="199">
        <f t="shared" si="27"/>
        <v>46144</v>
      </c>
      <c r="L136" s="147">
        <f>IF(t&lt;Tvie,1-EXP((T0-t)*PertePVj)+'2025'!Pspv,1-EXP((T0-t)*PertePVj)+Pspv)</f>
        <v>6.3758920796023411E-2</v>
      </c>
      <c r="M136" s="870"/>
      <c r="N136" s="870"/>
      <c r="O136" s="48">
        <f>IF(t&lt;Tnet,'2025'!Resal+('2025'!Salim-'2025'!Resal)*(1-EXP(('2025'!Tnet-t)/('2025'!Tau_j))),Resal+(Salim-Resal)*(1-EXP((Tnet-t)/(Tau_j))))*Salcycl</f>
        <v>2.6185491069049702E-2</v>
      </c>
      <c r="P136" s="171">
        <f>(INDEX(Models!$BJ136:$BT136,,T136)*(1-R136)+INDEX(Models!$BJ136:$BT136,,T136+1)*R136-ERP_i)*Q136*Ramure*Pc/MaxiM</f>
        <v>3.5745163150870579E-4</v>
      </c>
      <c r="Q136" s="307">
        <f t="shared" si="28"/>
        <v>1</v>
      </c>
      <c r="R136" s="179">
        <f t="shared" si="29"/>
        <v>0.98133939522014968</v>
      </c>
      <c r="S136" s="837">
        <f t="shared" si="30"/>
        <v>-3</v>
      </c>
      <c r="T136" s="178">
        <f t="shared" si="31"/>
        <v>3</v>
      </c>
      <c r="U136" s="253">
        <f t="shared" si="32"/>
        <v>-2.0186606047798503</v>
      </c>
      <c r="V136" s="385">
        <f t="shared" si="33"/>
        <v>56.551451867815899</v>
      </c>
      <c r="W136" s="404">
        <f t="shared" si="34"/>
        <v>27.917001716515557</v>
      </c>
      <c r="X136" s="157">
        <f t="shared" si="35"/>
        <v>46144</v>
      </c>
      <c r="Y136" s="387">
        <f t="shared" si="36"/>
        <v>25.666321115012011</v>
      </c>
      <c r="Z136" s="387">
        <f t="shared" si="37"/>
        <v>27.414222346272577</v>
      </c>
      <c r="AA136" s="388">
        <f t="shared" si="38"/>
        <v>30.534933338751117</v>
      </c>
      <c r="AB136" s="199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0.10220133634672535</v>
      </c>
      <c r="AD136" s="233">
        <f>(INDEX(Models!$BJ136:$BT136,,AH136)*(1-AF136)+INDEX(Models!$BJ136:$BT136,,AH136+1)*AF136-ERP_i)*AE136*Ramure*Pc/MaxiM</f>
        <v>1.0395572006132127E-2</v>
      </c>
      <c r="AE136" s="307">
        <f t="shared" si="40"/>
        <v>1</v>
      </c>
      <c r="AF136" s="179">
        <f t="shared" si="41"/>
        <v>0.91632198814372012</v>
      </c>
      <c r="AG136" s="837">
        <f t="shared" si="49"/>
        <v>2</v>
      </c>
      <c r="AH136" s="178">
        <f t="shared" si="42"/>
        <v>8</v>
      </c>
      <c r="AI136" s="227">
        <f t="shared" si="43"/>
        <v>2.9163219881437201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46145</v>
      </c>
      <c r="B137" s="1139">
        <f>IF(t&gt;Tmaj,'2025'!Wh/'2025'!Env_an*'2026'!Env_an,0.001*[7]mois!$B$210)</f>
        <v>32.985414104976854</v>
      </c>
      <c r="C137" s="866"/>
      <c r="D137" s="395">
        <f t="shared" si="25"/>
        <v>35.232572543881162</v>
      </c>
      <c r="E137" s="387">
        <f t="shared" si="47"/>
        <v>36.19175314364157</v>
      </c>
      <c r="F137" s="387">
        <f t="shared" si="26"/>
        <v>36.196578238395958</v>
      </c>
      <c r="G137" s="110">
        <f t="shared" si="48"/>
        <v>0.58151158963945748</v>
      </c>
      <c r="H137" s="414" t="b">
        <f>Wh_hp&gt;='2025'!Maxi_hp</f>
        <v>0</v>
      </c>
      <c r="I137" s="392">
        <f>IF(H137,Wh_hp,'2025'!Maxi_hp)</f>
        <v>59.817954676163886</v>
      </c>
      <c r="J137" s="85">
        <f>IF(H137,An,'2025'!An_max)</f>
        <v>2021</v>
      </c>
      <c r="K137" s="199">
        <f t="shared" si="27"/>
        <v>46145</v>
      </c>
      <c r="L137" s="147">
        <f>IF(t&lt;Tvie,1-EXP((T0-t)*PertePVj)+'2025'!Pspv,1-EXP((T0-t)*PertePVj)+Pspv)</f>
        <v>6.3780708493696658E-2</v>
      </c>
      <c r="M137" s="870"/>
      <c r="N137" s="870"/>
      <c r="O137" s="48">
        <f>IF(t&lt;Tnet,'2025'!Resal+('2025'!Salim-'2025'!Resal)*(1-EXP(('2025'!Tnet-t)/('2025'!Tau_j))),Resal+(Salim-Resal)*(1-EXP((Tnet-t)/(Tau_j))))*Salcycl</f>
        <v>2.6502739338255209E-2</v>
      </c>
      <c r="P137" s="171">
        <f>(INDEX(Models!$BJ137:$BT137,,T137)*(1-R137)+INDEX(Models!$BJ137:$BT137,,T137+1)*R137-ERP_i)*Q137*Ramure*Pc/MaxiM</f>
        <v>3.3133126102472893E-4</v>
      </c>
      <c r="Q137" s="307">
        <f t="shared" si="28"/>
        <v>1</v>
      </c>
      <c r="R137" s="179">
        <f t="shared" si="29"/>
        <v>0.98541469899193856</v>
      </c>
      <c r="S137" s="837">
        <f t="shared" si="30"/>
        <v>-3</v>
      </c>
      <c r="T137" s="178">
        <f t="shared" si="31"/>
        <v>3</v>
      </c>
      <c r="U137" s="253">
        <f t="shared" si="32"/>
        <v>-2.0145853010080614</v>
      </c>
      <c r="V137" s="385">
        <f t="shared" si="33"/>
        <v>56.712336884344055</v>
      </c>
      <c r="W137" s="404">
        <f t="shared" si="34"/>
        <v>32.985414104976854</v>
      </c>
      <c r="X137" s="157">
        <f t="shared" si="35"/>
        <v>46145</v>
      </c>
      <c r="Y137" s="387">
        <f t="shared" si="36"/>
        <v>30.294633013239988</v>
      </c>
      <c r="Z137" s="387">
        <f t="shared" si="37"/>
        <v>32.358479779345608</v>
      </c>
      <c r="AA137" s="388">
        <f t="shared" si="38"/>
        <v>36.052182012400586</v>
      </c>
      <c r="AB137" s="199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0.10245433221724227</v>
      </c>
      <c r="AD137" s="233">
        <f>(INDEX(Models!$BJ137:$BT137,,AH137)*(1-AF137)+INDEX(Models!$BJ137:$BT137,,AH137+1)*AF137-ERP_i)*AE137*Ramure*Pc/MaxiM</f>
        <v>9.9154495572884201E-3</v>
      </c>
      <c r="AE137" s="307">
        <f t="shared" si="40"/>
        <v>1</v>
      </c>
      <c r="AF137" s="179">
        <f t="shared" si="41"/>
        <v>0.92039729191550901</v>
      </c>
      <c r="AG137" s="837">
        <f t="shared" si="49"/>
        <v>2</v>
      </c>
      <c r="AH137" s="178">
        <f t="shared" si="42"/>
        <v>8</v>
      </c>
      <c r="AI137" s="227">
        <f t="shared" si="43"/>
        <v>2.920397291915509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46146</v>
      </c>
      <c r="B138" s="1139">
        <f>IF(t&gt;Tmaj,'2025'!Wh/'2025'!Env_an*'2026'!Env_an,0.001*[7]mois!$B$211)</f>
        <v>0.83724438614094265</v>
      </c>
      <c r="C138" s="866"/>
      <c r="D138" s="395">
        <f t="shared" si="25"/>
        <v>0.89430315962329832</v>
      </c>
      <c r="E138" s="387">
        <f t="shared" si="47"/>
        <v>0.91895007289002228</v>
      </c>
      <c r="F138" s="387">
        <f t="shared" si="26"/>
        <v>0.91895007289002228</v>
      </c>
      <c r="G138" s="110">
        <f t="shared" si="48"/>
        <v>1.4718956130983309E-2</v>
      </c>
      <c r="H138" s="414" t="b">
        <f>Wh_hp&gt;='2025'!Maxi_hp</f>
        <v>0</v>
      </c>
      <c r="I138" s="392">
        <f>IF(H138,Wh_hp,'2025'!Maxi_hp)</f>
        <v>56.704587051571465</v>
      </c>
      <c r="J138" s="85">
        <f>IF(H138,An,'2025'!An_max)</f>
        <v>2020</v>
      </c>
      <c r="K138" s="199">
        <f t="shared" si="27"/>
        <v>46146</v>
      </c>
      <c r="L138" s="147">
        <f>IF(t&lt;Tvie,1-EXP((T0-t)*PertePVj)+'2025'!Pspv,1-EXP((T0-t)*PertePVj)+Pspv)</f>
        <v>6.3802495684338378E-2</v>
      </c>
      <c r="M138" s="870"/>
      <c r="N138" s="870"/>
      <c r="O138" s="48">
        <f>IF(t&lt;Tnet,'2025'!Resal+('2025'!Salim-'2025'!Resal)*(1-EXP(('2025'!Tnet-t)/('2025'!Tau_j))),Resal+(Salim-Resal)*(1-EXP((Tnet-t)/(Tau_j))))*Salcycl</f>
        <v>2.6820731608640559E-2</v>
      </c>
      <c r="P138" s="171">
        <f>(INDEX(Models!$BJ138:$BT138,,T138)*(1-R138)+INDEX(Models!$BJ138:$BT138,,T138+1)*R138-ERP_i)*Q138*Ramure*Pc/MaxiM</f>
        <v>3.0661525112616006E-4</v>
      </c>
      <c r="Q138" s="307">
        <f t="shared" si="28"/>
        <v>1</v>
      </c>
      <c r="R138" s="179">
        <f t="shared" si="29"/>
        <v>0.98960086827474525</v>
      </c>
      <c r="S138" s="837">
        <f t="shared" si="30"/>
        <v>-3</v>
      </c>
      <c r="T138" s="178">
        <f t="shared" si="31"/>
        <v>3</v>
      </c>
      <c r="U138" s="253">
        <f t="shared" si="32"/>
        <v>-2.0103991317252548</v>
      </c>
      <c r="V138" s="385">
        <f t="shared" si="33"/>
        <v>56.864608250402924</v>
      </c>
      <c r="W138" s="404">
        <f t="shared" si="34"/>
        <v>0.83724438614094265</v>
      </c>
      <c r="X138" s="157">
        <f t="shared" si="35"/>
        <v>46146</v>
      </c>
      <c r="Y138" s="387">
        <f t="shared" si="36"/>
        <v>0.77195545352966932</v>
      </c>
      <c r="Z138" s="387">
        <f t="shared" si="37"/>
        <v>0.82456474191730578</v>
      </c>
      <c r="AA138" s="388">
        <f t="shared" si="38"/>
        <v>0.91895007289002228</v>
      </c>
      <c r="AB138" s="199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0.10270996625081319</v>
      </c>
      <c r="AD138" s="233">
        <f>(INDEX(Models!$BJ138:$BT138,,AH138)*(1-AF138)+INDEX(Models!$BJ138:$BT138,,AH138+1)*AF138-ERP_i)*AE138*Ramure*Pc/MaxiM</f>
        <v>9.4370653154954194E-3</v>
      </c>
      <c r="AE138" s="307">
        <f t="shared" si="40"/>
        <v>1</v>
      </c>
      <c r="AF138" s="179">
        <f t="shared" si="41"/>
        <v>0.92458346119831569</v>
      </c>
      <c r="AG138" s="837">
        <f t="shared" si="49"/>
        <v>2</v>
      </c>
      <c r="AH138" s="178">
        <f t="shared" si="42"/>
        <v>8</v>
      </c>
      <c r="AI138" s="227">
        <f t="shared" si="43"/>
        <v>2.9245834611983157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46147</v>
      </c>
      <c r="B139" s="1139">
        <f>IF(t&gt;Tmaj,'2025'!Wh/'2025'!Env_an*'2026'!Env_an,0.001*[7]mois!$B$212)</f>
        <v>38.468988909849571</v>
      </c>
      <c r="C139" s="866"/>
      <c r="D139" s="395">
        <f t="shared" si="25"/>
        <v>41.091632890407503</v>
      </c>
      <c r="E139" s="387">
        <f t="shared" si="47"/>
        <v>42.237948616094684</v>
      </c>
      <c r="F139" s="387">
        <f t="shared" si="26"/>
        <v>42.244356156898384</v>
      </c>
      <c r="G139" s="110">
        <f t="shared" si="48"/>
        <v>0.67470289856009757</v>
      </c>
      <c r="H139" s="414" t="b">
        <f>Wh_hp&gt;='2025'!Maxi_hp</f>
        <v>0</v>
      </c>
      <c r="I139" s="392">
        <f>IF(H139,Wh_hp,'2025'!Maxi_hp)</f>
        <v>59.050028688885625</v>
      </c>
      <c r="J139" s="85">
        <f>IF(H139,An,'2025'!An_max)</f>
        <v>2020</v>
      </c>
      <c r="K139" s="199">
        <f t="shared" si="27"/>
        <v>46147</v>
      </c>
      <c r="L139" s="147">
        <f>IF(t&lt;Tvie,1-EXP((T0-t)*PertePVj)+'2025'!Pspv,1-EXP((T0-t)*PertePVj)+Pspv)</f>
        <v>6.3824282367960339E-2</v>
      </c>
      <c r="M139" s="870"/>
      <c r="N139" s="870"/>
      <c r="O139" s="48">
        <f>IF(t&lt;Tnet,'2025'!Resal+('2025'!Salim-'2025'!Resal)*(1-EXP(('2025'!Tnet-t)/('2025'!Tau_j))),Resal+(Salim-Resal)*(1-EXP((Tnet-t)/(Tau_j))))*Salcycl</f>
        <v>2.7139474412125712E-2</v>
      </c>
      <c r="P139" s="171">
        <f>(INDEX(Models!$BJ139:$BT139,,T139)*(1-R139)+INDEX(Models!$BJ139:$BT139,,T139+1)*R139-ERP_i)*Q139*Ramure*Pc/MaxiM</f>
        <v>2.8328966733203327E-4</v>
      </c>
      <c r="Q139" s="307">
        <f t="shared" si="28"/>
        <v>1</v>
      </c>
      <c r="R139" s="179">
        <f t="shared" si="29"/>
        <v>0.9938988095679524</v>
      </c>
      <c r="S139" s="837">
        <f t="shared" si="30"/>
        <v>-3</v>
      </c>
      <c r="T139" s="178">
        <f t="shared" si="31"/>
        <v>3</v>
      </c>
      <c r="U139" s="253">
        <f t="shared" si="32"/>
        <v>-2.0061011904320476</v>
      </c>
      <c r="V139" s="385">
        <f t="shared" si="33"/>
        <v>57.008685241071362</v>
      </c>
      <c r="W139" s="404">
        <f t="shared" si="34"/>
        <v>38.468988909849571</v>
      </c>
      <c r="X139" s="157">
        <f t="shared" si="35"/>
        <v>46147</v>
      </c>
      <c r="Y139" s="387">
        <f t="shared" si="36"/>
        <v>35.305749058173525</v>
      </c>
      <c r="Z139" s="387">
        <f t="shared" si="37"/>
        <v>37.712737462872667</v>
      </c>
      <c r="AA139" s="388">
        <f t="shared" si="38"/>
        <v>42.041694815029572</v>
      </c>
      <c r="AB139" s="199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0.10296819315213088</v>
      </c>
      <c r="AD139" s="233">
        <f>(INDEX(Models!$BJ139:$BT139,,AH139)*(1-AF139)+INDEX(Models!$BJ139:$BT139,,AH139+1)*AF139-ERP_i)*AE139*Ramure*Pc/MaxiM</f>
        <v>8.9600465885327774E-3</v>
      </c>
      <c r="AE139" s="307">
        <f t="shared" si="40"/>
        <v>1</v>
      </c>
      <c r="AF139" s="179">
        <f t="shared" si="41"/>
        <v>0.92888140249152285</v>
      </c>
      <c r="AG139" s="837">
        <f t="shared" si="49"/>
        <v>2</v>
      </c>
      <c r="AH139" s="178">
        <f t="shared" si="42"/>
        <v>8</v>
      </c>
      <c r="AI139" s="227">
        <f t="shared" si="43"/>
        <v>2.9288814024915228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46148</v>
      </c>
      <c r="B140" s="1139">
        <f>IF(t&gt;Tmaj,'2025'!Wh/'2025'!Env_an*'2026'!Env_an,0.001*[7]mois!$B$213)</f>
        <v>35.652958301464324</v>
      </c>
      <c r="C140" s="866"/>
      <c r="D140" s="395">
        <f t="shared" si="25"/>
        <v>38.084504164860107</v>
      </c>
      <c r="E140" s="387">
        <f t="shared" si="47"/>
        <v>39.15979178509096</v>
      </c>
      <c r="F140" s="387">
        <f t="shared" si="26"/>
        <v>39.164527901470336</v>
      </c>
      <c r="G140" s="110">
        <f t="shared" si="48"/>
        <v>0.6238159034322408</v>
      </c>
      <c r="H140" s="414" t="b">
        <f>Wh_hp&gt;='2025'!Maxi_hp</f>
        <v>0</v>
      </c>
      <c r="I140" s="392">
        <f>IF(H140,Wh_hp,'2025'!Maxi_hp)</f>
        <v>64.356840251433624</v>
      </c>
      <c r="J140" s="85">
        <f>IF(H140,An,'2025'!An_max)</f>
        <v>2019</v>
      </c>
      <c r="K140" s="199">
        <f t="shared" si="27"/>
        <v>46148</v>
      </c>
      <c r="L140" s="147">
        <f>IF(t&lt;Tvie,1-EXP((T0-t)*PertePVj)+'2025'!Pspv,1-EXP((T0-t)*PertePVj)+Pspv)</f>
        <v>6.3846068544574308E-2</v>
      </c>
      <c r="M140" s="870"/>
      <c r="N140" s="870"/>
      <c r="O140" s="48">
        <f>IF(t&lt;Tnet,'2025'!Resal+('2025'!Salim-'2025'!Resal)*(1-EXP(('2025'!Tnet-t)/('2025'!Tau_j))),Resal+(Salim-Resal)*(1-EXP((Tnet-t)/(Tau_j))))*Salcycl</f>
        <v>2.7458971848778744E-2</v>
      </c>
      <c r="P140" s="171">
        <f>(INDEX(Models!$BJ140:$BT140,,T140)*(1-R140)+INDEX(Models!$BJ140:$BT140,,T140+1)*R140-ERP_i)*Q140*Ramure*Pc/MaxiM</f>
        <v>2.6134358424158104E-4</v>
      </c>
      <c r="Q140" s="307">
        <f t="shared" si="28"/>
        <v>1</v>
      </c>
      <c r="R140" s="179">
        <f t="shared" si="29"/>
        <v>0.99830928467383018</v>
      </c>
      <c r="S140" s="837">
        <f t="shared" si="30"/>
        <v>-3</v>
      </c>
      <c r="T140" s="178">
        <f t="shared" si="31"/>
        <v>3</v>
      </c>
      <c r="U140" s="253">
        <f t="shared" si="32"/>
        <v>-2.0016907153261698</v>
      </c>
      <c r="V140" s="385">
        <f t="shared" si="33"/>
        <v>57.144986677478663</v>
      </c>
      <c r="W140" s="404">
        <f t="shared" si="34"/>
        <v>35.652958301464324</v>
      </c>
      <c r="X140" s="157">
        <f t="shared" si="35"/>
        <v>46148</v>
      </c>
      <c r="Y140" s="387">
        <f t="shared" si="36"/>
        <v>32.750162454282403</v>
      </c>
      <c r="Z140" s="387">
        <f t="shared" si="37"/>
        <v>34.983736492316147</v>
      </c>
      <c r="AA140" s="388">
        <f t="shared" si="38"/>
        <v>39.010778629903932</v>
      </c>
      <c r="AB140" s="199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0.10322896079036042</v>
      </c>
      <c r="AD140" s="233">
        <f>(INDEX(Models!$BJ140:$BT140,,AH140)*(1-AF140)+INDEX(Models!$BJ140:$BT140,,AH140+1)*AF140-ERP_i)*AE140*Ramure*Pc/MaxiM</f>
        <v>8.4840368113927103E-3</v>
      </c>
      <c r="AE140" s="307">
        <f t="shared" si="40"/>
        <v>1</v>
      </c>
      <c r="AF140" s="179">
        <f t="shared" si="41"/>
        <v>0.93329187759740062</v>
      </c>
      <c r="AG140" s="837">
        <f t="shared" si="49"/>
        <v>2</v>
      </c>
      <c r="AH140" s="178">
        <f t="shared" si="42"/>
        <v>8</v>
      </c>
      <c r="AI140" s="227">
        <f t="shared" si="43"/>
        <v>2.9332918775974006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46149</v>
      </c>
      <c r="B141" s="1139">
        <f>IF(t&gt;Tmaj,'2025'!Wh/'2025'!Env_an*'2026'!Env_an,0.001*[7]mois!$B$214)</f>
        <v>48.967800033447702</v>
      </c>
      <c r="C141" s="866"/>
      <c r="D141" s="395">
        <f t="shared" si="25"/>
        <v>52.308640669895127</v>
      </c>
      <c r="E141" s="387">
        <f t="shared" si="47"/>
        <v>53.803253376714991</v>
      </c>
      <c r="F141" s="387">
        <f t="shared" si="26"/>
        <v>53.813554602784635</v>
      </c>
      <c r="G141" s="110">
        <f t="shared" si="48"/>
        <v>0.85493316922539153</v>
      </c>
      <c r="H141" s="414" t="b">
        <f>Wh_hp&gt;='2025'!Maxi_hp</f>
        <v>0</v>
      </c>
      <c r="I141" s="392">
        <f>IF(H141,Wh_hp,'2025'!Maxi_hp)</f>
        <v>59.662433655928183</v>
      </c>
      <c r="J141" s="85">
        <f>IF(H141,An,'2025'!An_max)</f>
        <v>2020</v>
      </c>
      <c r="K141" s="199">
        <f t="shared" si="27"/>
        <v>46149</v>
      </c>
      <c r="L141" s="147">
        <f>IF(t&lt;Tvie,1-EXP((T0-t)*PertePVj)+'2025'!Pspv,1-EXP((T0-t)*PertePVj)+Pspv)</f>
        <v>6.3867854214192166E-2</v>
      </c>
      <c r="M141" s="870"/>
      <c r="N141" s="870"/>
      <c r="O141" s="48">
        <f>IF(t&lt;Tnet,'2025'!Resal+('2025'!Salim-'2025'!Resal)*(1-EXP(('2025'!Tnet-t)/('2025'!Tau_j))),Resal+(Salim-Resal)*(1-EXP((Tnet-t)/(Tau_j))))*Salcycl</f>
        <v>2.7779225474619751E-2</v>
      </c>
      <c r="P141" s="171">
        <f>(INDEX(Models!$BJ141:$BT141,,T141)*(1-R141)+INDEX(Models!$BJ141:$BT141,,T141+1)*R141-ERP_i)*Q141*Ramure*Pc/MaxiM</f>
        <v>2.414466137239728E-4</v>
      </c>
      <c r="Q141" s="307">
        <f t="shared" si="28"/>
        <v>1</v>
      </c>
      <c r="R141" s="179">
        <f t="shared" si="29"/>
        <v>2.8329008410434842E-3</v>
      </c>
      <c r="S141" s="837">
        <f t="shared" si="30"/>
        <v>-2</v>
      </c>
      <c r="T141" s="178">
        <f t="shared" si="31"/>
        <v>4</v>
      </c>
      <c r="U141" s="253">
        <f t="shared" si="32"/>
        <v>-1.9971670991589565</v>
      </c>
      <c r="V141" s="385">
        <f t="shared" si="33"/>
        <v>57.273892098328346</v>
      </c>
      <c r="W141" s="404">
        <f t="shared" si="34"/>
        <v>48.967800033447702</v>
      </c>
      <c r="X141" s="157">
        <f t="shared" si="35"/>
        <v>46149</v>
      </c>
      <c r="Y141" s="387">
        <f t="shared" si="36"/>
        <v>44.876251393698567</v>
      </c>
      <c r="Z141" s="387">
        <f t="shared" si="37"/>
        <v>47.937945081491193</v>
      </c>
      <c r="AA141" s="388">
        <f t="shared" si="38"/>
        <v>53.471866747351591</v>
      </c>
      <c r="AB141" s="199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0.1034922100626773</v>
      </c>
      <c r="AD141" s="233">
        <f>(INDEX(Models!$BJ141:$BT141,,AH141)*(1-AF141)+INDEX(Models!$BJ141:$BT141,,AH141+1)*AF141-ERP_i)*AE141*Ramure*Pc/MaxiM</f>
        <v>8.0086947987717278E-3</v>
      </c>
      <c r="AE141" s="307">
        <f t="shared" si="40"/>
        <v>1</v>
      </c>
      <c r="AF141" s="179">
        <f t="shared" si="41"/>
        <v>0.93781549376461371</v>
      </c>
      <c r="AG141" s="837">
        <f t="shared" si="49"/>
        <v>2</v>
      </c>
      <c r="AH141" s="178">
        <f t="shared" si="42"/>
        <v>8</v>
      </c>
      <c r="AI141" s="227">
        <f t="shared" si="43"/>
        <v>2.9378154937646137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46150</v>
      </c>
      <c r="B142" s="1139">
        <f>IF(t&gt;Tmaj,'2025'!Wh/'2025'!Env_an*'2026'!Env_an,0.001*[7]mois!$B$215)</f>
        <v>49.803163457956991</v>
      </c>
      <c r="C142" s="866"/>
      <c r="D142" s="395">
        <f t="shared" si="25"/>
        <v>53.202235070662745</v>
      </c>
      <c r="E142" s="387">
        <f t="shared" si="47"/>
        <v>54.740454666690553</v>
      </c>
      <c r="F142" s="387">
        <f t="shared" si="26"/>
        <v>54.750383827698208</v>
      </c>
      <c r="G142" s="110">
        <f t="shared" si="48"/>
        <v>0.8676774736568561</v>
      </c>
      <c r="H142" s="414" t="b">
        <f>Wh_hp&gt;='2025'!Maxi_hp</f>
        <v>0</v>
      </c>
      <c r="I142" s="392">
        <f>IF(H142,Wh_hp,'2025'!Maxi_hp)</f>
        <v>57.592377924413015</v>
      </c>
      <c r="J142" s="85">
        <f>IF(H142,An,'2025'!An_max)</f>
        <v>2021</v>
      </c>
      <c r="K142" s="199">
        <f t="shared" si="27"/>
        <v>46150</v>
      </c>
      <c r="L142" s="147">
        <f>IF(t&lt;Tvie,1-EXP((T0-t)*PertePVj)+'2025'!Pspv,1-EXP((T0-t)*PertePVj)+Pspv)</f>
        <v>6.388963937682568E-2</v>
      </c>
      <c r="M142" s="870"/>
      <c r="N142" s="870"/>
      <c r="O142" s="48">
        <f>IF(t&lt;Tnet,'2025'!Resal+('2025'!Salim-'2025'!Resal)*(1-EXP(('2025'!Tnet-t)/('2025'!Tau_j))),Resal+(Salim-Resal)*(1-EXP((Tnet-t)/(Tau_j))))*Salcycl</f>
        <v>2.8100234194141906E-2</v>
      </c>
      <c r="P142" s="171">
        <f>(INDEX(Models!$BJ142:$BT142,,T142)*(1-R142)+INDEX(Models!$BJ142:$BT142,,T142+1)*R142-ERP_i)*Q142*Ramure*Pc/MaxiM</f>
        <v>2.2361127990661156E-4</v>
      </c>
      <c r="Q142" s="307">
        <f t="shared" si="28"/>
        <v>1</v>
      </c>
      <c r="R142" s="179">
        <f t="shared" si="29"/>
        <v>7.470100958429704E-3</v>
      </c>
      <c r="S142" s="837">
        <f t="shared" si="30"/>
        <v>-2</v>
      </c>
      <c r="T142" s="178">
        <f t="shared" si="31"/>
        <v>4</v>
      </c>
      <c r="U142" s="253">
        <f t="shared" si="32"/>
        <v>-1.9925298990415703</v>
      </c>
      <c r="V142" s="385">
        <f t="shared" si="33"/>
        <v>57.395818153063907</v>
      </c>
      <c r="W142" s="404">
        <f t="shared" si="34"/>
        <v>49.803163457956991</v>
      </c>
      <c r="X142" s="157">
        <f t="shared" si="35"/>
        <v>46150</v>
      </c>
      <c r="Y142" s="387">
        <f t="shared" si="36"/>
        <v>45.65343178121865</v>
      </c>
      <c r="Z142" s="387">
        <f t="shared" si="37"/>
        <v>48.769283731489615</v>
      </c>
      <c r="AA142" s="388">
        <f t="shared" si="38"/>
        <v>54.415299570347933</v>
      </c>
      <c r="AB142" s="199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0.10375787477856602</v>
      </c>
      <c r="AD142" s="233">
        <f>(INDEX(Models!$BJ142:$BT142,,AH142)*(1-AF142)+INDEX(Models!$BJ142:$BT142,,AH142+1)*AF142-ERP_i)*AE142*Ramure*Pc/MaxiM</f>
        <v>7.5463193320047901E-3</v>
      </c>
      <c r="AE142" s="307">
        <f t="shared" si="40"/>
        <v>1</v>
      </c>
      <c r="AF142" s="179">
        <f t="shared" si="41"/>
        <v>0.94245269388200015</v>
      </c>
      <c r="AG142" s="837">
        <f t="shared" si="49"/>
        <v>2</v>
      </c>
      <c r="AH142" s="178">
        <f t="shared" si="42"/>
        <v>8</v>
      </c>
      <c r="AI142" s="227">
        <f t="shared" si="43"/>
        <v>2.9424526938820001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46151</v>
      </c>
      <c r="B143" s="1139">
        <f>IF(t&gt;Tmaj,'2025'!Wh/'2025'!Env_an*'2026'!Env_an,0.001*[7]mois!$B$216)</f>
        <v>55.290283076290159</v>
      </c>
      <c r="C143" s="866"/>
      <c r="D143" s="395">
        <f t="shared" ref="D143:D206" si="50">Wh/(1-Ppv)</f>
        <v>59.065225765781577</v>
      </c>
      <c r="E143" s="387">
        <f t="shared" si="47"/>
        <v>60.793086515611343</v>
      </c>
      <c r="F143" s="387">
        <f t="shared" ref="F143:F206" si="51">Wh_sa/(1-Pvg*MEDIAN((-Sdif+Wh/Env_an)/Csdif,0,1))</f>
        <v>60.8049783252591</v>
      </c>
      <c r="G143" s="110">
        <f t="shared" si="48"/>
        <v>0.96137138855433157</v>
      </c>
      <c r="H143" s="414" t="b">
        <f>Wh_hp&gt;='2025'!Maxi_hp</f>
        <v>0</v>
      </c>
      <c r="I143" s="392">
        <f>IF(H143,Wh_hp,'2025'!Maxi_hp)</f>
        <v>60.805577933085594</v>
      </c>
      <c r="J143" s="85">
        <f>IF(H143,An,'2025'!An_max)</f>
        <v>2025</v>
      </c>
      <c r="K143" s="199">
        <f t="shared" ref="K143:K206" si="52">t</f>
        <v>46151</v>
      </c>
      <c r="L143" s="147">
        <f>IF(t&lt;Tvie,1-EXP((T0-t)*PertePVj)+'2025'!Pspv,1-EXP((T0-t)*PertePVj)+Pspv)</f>
        <v>6.3911424032486619E-2</v>
      </c>
      <c r="M143" s="870"/>
      <c r="N143" s="870"/>
      <c r="O143" s="48">
        <f>IF(t&lt;Tnet,'2025'!Resal+('2025'!Salim-'2025'!Resal)*(1-EXP(('2025'!Tnet-t)/('2025'!Tau_j))),Resal+(Salim-Resal)*(1-EXP((Tnet-t)/(Tau_j))))*Salcycl</f>
        <v>2.8421994158596683E-2</v>
      </c>
      <c r="P143" s="171">
        <f>(INDEX(Models!$BJ143:$BT143,,T143)*(1-R143)+INDEX(Models!$BJ143:$BT143,,T143+1)*R143-ERP_i)*Q143*Ramure*Pc/MaxiM</f>
        <v>2.069923224784471E-4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1.2221153862713052E-2</v>
      </c>
      <c r="S143" s="837">
        <f t="shared" ref="S143:S206" si="55">INDEX(Echel_vg,T143)</f>
        <v>-2</v>
      </c>
      <c r="T143" s="178">
        <f t="shared" ref="T143:T206" si="56">MIN(MATCH(Hp_vg,Echel_vg),10)</f>
        <v>4</v>
      </c>
      <c r="U143" s="253">
        <f t="shared" ref="U143:U206" si="57">IF(OR(t&lt;Ttai,Notai),Hdd+PousH*Croivg,Hdtf+PousH*(Croivg-Croi_tai))</f>
        <v>-1.9877788461372869</v>
      </c>
      <c r="V143" s="385">
        <f t="shared" ref="V143:V206" si="58">MaxiM*(1-Ppv)*(1-Pvg)*(1-Psa)</f>
        <v>57.511230551797929</v>
      </c>
      <c r="W143" s="404">
        <f t="shared" ref="W143:W206" si="59">Wh*(A143&gt;Tmaj)</f>
        <v>55.290283076290159</v>
      </c>
      <c r="X143" s="157">
        <f t="shared" ref="X143:X206" si="60">t</f>
        <v>46151</v>
      </c>
      <c r="Y143" s="387">
        <f t="shared" ref="Y143:Y206" si="61">Wh_pvt_s*(1-Ppv)</f>
        <v>50.655701547933376</v>
      </c>
      <c r="Z143" s="387">
        <f t="shared" ref="Z143:Z206" si="62">Wh_sa_s*(1-Psa_s)</f>
        <v>54.114218299883795</v>
      </c>
      <c r="AA143" s="388">
        <f t="shared" ref="AA143:AA206" si="63">Wh_hp*(1-Pvg_s*MEDIAN((-Sdif+Wh/Env_an)/Csdif,0,1))</f>
        <v>60.397077534504128</v>
      </c>
      <c r="AB143" s="199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0.10402588156738228</v>
      </c>
      <c r="AD143" s="233">
        <f>(INDEX(Models!$BJ143:$BT143,,AH143)*(1-AF143)+INDEX(Models!$BJ143:$BT143,,AH143+1)*AF143-ERP_i)*AE143*Ramure*Pc/MaxiM</f>
        <v>7.1000406599259543E-3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0.9472037467862835</v>
      </c>
      <c r="AG143" s="837">
        <f t="shared" si="49"/>
        <v>2</v>
      </c>
      <c r="AH143" s="178">
        <f t="shared" ref="AH143:AH206" si="67">MIN(MATCH(Hp_vg_s,Echel_vg),10)</f>
        <v>8</v>
      </c>
      <c r="AI143" s="227">
        <f t="shared" ref="AI143:AI206" si="68">IF(OR(t&lt;Ttai,Notai),Hdd_s+PousH*Croivg,Hdtai_s+PousH*(Croivg-Croi_tai))</f>
        <v>2.9472037467862835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46152</v>
      </c>
      <c r="B144" s="1139">
        <f>IF(t&gt;Tmaj,'2025'!Wh/'2025'!Env_an*'2026'!Env_an,0.001*[7]mois!$B$217)</f>
        <v>50.746771752804911</v>
      </c>
      <c r="C144" s="866"/>
      <c r="D144" s="395">
        <f t="shared" si="50"/>
        <v>54.212767931016984</v>
      </c>
      <c r="E144" s="387">
        <f t="shared" ref="E144:E169" si="72">Wh_pvt/(1-Psa)</f>
        <v>55.817205520939069</v>
      </c>
      <c r="F144" s="387">
        <f t="shared" si="51"/>
        <v>55.826078738098715</v>
      </c>
      <c r="G144" s="110">
        <f t="shared" ref="G144:G169" si="73">+Wh_hp/MaxiM</f>
        <v>0.88067743199286541</v>
      </c>
      <c r="H144" s="414" t="b">
        <f>Wh_hp&gt;='2025'!Maxi_hp</f>
        <v>0</v>
      </c>
      <c r="I144" s="392">
        <f>IF(H144,Wh_hp,'2025'!Maxi_hp)</f>
        <v>55.827644983592869</v>
      </c>
      <c r="J144" s="85">
        <f>IF(H144,An,'2025'!An_max)</f>
        <v>2025</v>
      </c>
      <c r="K144" s="199">
        <f t="shared" si="52"/>
        <v>46152</v>
      </c>
      <c r="L144" s="147">
        <f>IF(t&lt;Tvie,1-EXP((T0-t)*PertePVj)+'2025'!Pspv,1-EXP((T0-t)*PertePVj)+Pspv)</f>
        <v>6.3933208181186751E-2</v>
      </c>
      <c r="M144" s="870"/>
      <c r="N144" s="870"/>
      <c r="O144" s="48">
        <f>IF(t&lt;Tnet,'2025'!Resal+('2025'!Salim-'2025'!Resal)*(1-EXP(('2025'!Tnet-t)/('2025'!Tau_j))),Resal+(Salim-Resal)*(1-EXP((Tnet-t)/(Tau_j))))*Salcycl</f>
        <v>2.8744498671116742E-2</v>
      </c>
      <c r="P144" s="171">
        <f>(INDEX(Models!$BJ144:$BT144,,T144)*(1-R144)+INDEX(Models!$BJ144:$BT144,,T144+1)*R144-ERP_i)*Q144*Ramure*Pc/MaxiM</f>
        <v>1.9159561661498466E-4</v>
      </c>
      <c r="Q144" s="307">
        <f t="shared" si="53"/>
        <v>1</v>
      </c>
      <c r="R144" s="179">
        <f t="shared" si="54"/>
        <v>1.7086144828118766E-2</v>
      </c>
      <c r="S144" s="837">
        <f t="shared" si="55"/>
        <v>-2</v>
      </c>
      <c r="T144" s="178">
        <f t="shared" si="56"/>
        <v>4</v>
      </c>
      <c r="U144" s="253">
        <f t="shared" si="57"/>
        <v>-1.9829138551718812</v>
      </c>
      <c r="V144" s="385">
        <f t="shared" si="58"/>
        <v>57.620546046712192</v>
      </c>
      <c r="W144" s="404">
        <f t="shared" si="59"/>
        <v>50.746771752804911</v>
      </c>
      <c r="X144" s="157">
        <f t="shared" si="60"/>
        <v>46152</v>
      </c>
      <c r="Y144" s="387">
        <f t="shared" si="61"/>
        <v>46.547763804179823</v>
      </c>
      <c r="Z144" s="387">
        <f t="shared" si="62"/>
        <v>49.726968428968355</v>
      </c>
      <c r="AA144" s="388">
        <f t="shared" si="63"/>
        <v>55.51719847861574</v>
      </c>
      <c r="AB144" s="199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0.1042961498116243</v>
      </c>
      <c r="AD144" s="233">
        <f>(INDEX(Models!$BJ144:$BT144,,AH144)*(1-AF144)+INDEX(Models!$BJ144:$BT144,,AH144+1)*AF144-ERP_i)*AE144*Ramure*Pc/MaxiM</f>
        <v>6.6695205032271535E-3</v>
      </c>
      <c r="AE144" s="307">
        <f t="shared" si="65"/>
        <v>1</v>
      </c>
      <c r="AF144" s="179">
        <f t="shared" si="66"/>
        <v>0.95206873775168921</v>
      </c>
      <c r="AG144" s="837">
        <f t="shared" ref="AG144:AG207" si="74">INDEX(Echel_vg,AH144)</f>
        <v>2</v>
      </c>
      <c r="AH144" s="178">
        <f t="shared" si="67"/>
        <v>8</v>
      </c>
      <c r="AI144" s="227">
        <f t="shared" si="68"/>
        <v>2.9520687377516892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46153</v>
      </c>
      <c r="B145" s="1139">
        <f>IF(t&gt;Tmaj,'2025'!Wh/'2025'!Env_an*'2026'!Env_an,0.001*[7]mois!$B$218)</f>
        <v>55.603913806620028</v>
      </c>
      <c r="C145" s="866"/>
      <c r="D145" s="395">
        <f t="shared" si="50"/>
        <v>59.403034384968386</v>
      </c>
      <c r="E145" s="387">
        <f t="shared" si="72"/>
        <v>61.181440473209975</v>
      </c>
      <c r="F145" s="387">
        <f t="shared" si="51"/>
        <v>61.191727989230749</v>
      </c>
      <c r="G145" s="110">
        <f t="shared" si="73"/>
        <v>0.96326002620077289</v>
      </c>
      <c r="H145" s="414" t="b">
        <f>Wh_hp&gt;='2025'!Maxi_hp</f>
        <v>0</v>
      </c>
      <c r="I145" s="392">
        <f>IF(H145,Wh_hp,'2025'!Maxi_hp)</f>
        <v>61.192215093499776</v>
      </c>
      <c r="J145" s="85">
        <f>IF(H145,An,'2025'!An_max)</f>
        <v>2025</v>
      </c>
      <c r="K145" s="199">
        <f t="shared" si="52"/>
        <v>46153</v>
      </c>
      <c r="L145" s="147">
        <f>IF(t&lt;Tvie,1-EXP((T0-t)*PertePVj)+'2025'!Pspv,1-EXP((T0-t)*PertePVj)+Pspv)</f>
        <v>6.3954991822937957E-2</v>
      </c>
      <c r="M145" s="870"/>
      <c r="N145" s="870"/>
      <c r="O145" s="48">
        <f>IF(t&lt;Tnet,'2025'!Resal+('2025'!Salim-'2025'!Resal)*(1-EXP(('2025'!Tnet-t)/('2025'!Tau_j))),Resal+(Salim-Resal)*(1-EXP((Tnet-t)/(Tau_j))))*Salcycl</f>
        <v>2.9067738099764411E-2</v>
      </c>
      <c r="P145" s="171">
        <f>(INDEX(Models!$BJ145:$BT145,,T145)*(1-R145)+INDEX(Models!$BJ145:$BT145,,T145+1)*R145-ERP_i)*Q145*Ramure*Pc/MaxiM</f>
        <v>1.7742963134249561E-4</v>
      </c>
      <c r="Q145" s="307">
        <f t="shared" si="53"/>
        <v>1</v>
      </c>
      <c r="R145" s="179">
        <f t="shared" si="54"/>
        <v>2.2064966309828682E-2</v>
      </c>
      <c r="S145" s="837">
        <f t="shared" si="55"/>
        <v>-2</v>
      </c>
      <c r="T145" s="178">
        <f t="shared" si="56"/>
        <v>4</v>
      </c>
      <c r="U145" s="253">
        <f t="shared" si="57"/>
        <v>-1.9779350336901713</v>
      </c>
      <c r="V145" s="385">
        <f t="shared" si="58"/>
        <v>57.724180928650398</v>
      </c>
      <c r="W145" s="404">
        <f t="shared" si="59"/>
        <v>55.603913806620028</v>
      </c>
      <c r="X145" s="157">
        <f t="shared" si="60"/>
        <v>46153</v>
      </c>
      <c r="Y145" s="387">
        <f t="shared" si="61"/>
        <v>50.984759532114644</v>
      </c>
      <c r="Z145" s="387">
        <f t="shared" si="62"/>
        <v>54.468277792973794</v>
      </c>
      <c r="AA145" s="388">
        <f t="shared" si="63"/>
        <v>60.829090070454043</v>
      </c>
      <c r="AB145" s="199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0.10456859160827432</v>
      </c>
      <c r="AD145" s="233">
        <f>(INDEX(Models!$BJ145:$BT145,,AH145)*(1-AF145)+INDEX(Models!$BJ145:$BT145,,AH145+1)*AF145-ERP_i)*AE145*Ramure*Pc/MaxiM</f>
        <v>6.2544458846456735E-3</v>
      </c>
      <c r="AE145" s="307">
        <f t="shared" si="65"/>
        <v>1</v>
      </c>
      <c r="AF145" s="179">
        <f t="shared" si="66"/>
        <v>0.9570475592333989</v>
      </c>
      <c r="AG145" s="837">
        <f t="shared" si="74"/>
        <v>2</v>
      </c>
      <c r="AH145" s="178">
        <f t="shared" si="67"/>
        <v>8</v>
      </c>
      <c r="AI145" s="227">
        <f t="shared" si="68"/>
        <v>2.9570475592333989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46154</v>
      </c>
      <c r="B146" s="1139">
        <f>IF(t&gt;Tmaj,'2025'!Wh/'2025'!Env_an*'2026'!Env_an,0.001*[7]mois!$B$219)</f>
        <v>43.363375662326305</v>
      </c>
      <c r="C146" s="866"/>
      <c r="D146" s="395">
        <f t="shared" si="50"/>
        <v>46.327243280068259</v>
      </c>
      <c r="E146" s="387">
        <f t="shared" si="72"/>
        <v>47.730112415588287</v>
      </c>
      <c r="F146" s="387">
        <f t="shared" si="51"/>
        <v>47.73515988626707</v>
      </c>
      <c r="G146" s="110">
        <f t="shared" si="73"/>
        <v>0.74989474375249998</v>
      </c>
      <c r="H146" s="414" t="b">
        <f>Wh_hp&gt;='2025'!Maxi_hp</f>
        <v>0</v>
      </c>
      <c r="I146" s="392">
        <f>IF(H146,Wh_hp,'2025'!Maxi_hp)</f>
        <v>58.723826865317584</v>
      </c>
      <c r="J146" s="85">
        <f>IF(H146,An,'2025'!An_max)</f>
        <v>2019</v>
      </c>
      <c r="K146" s="199">
        <f t="shared" si="52"/>
        <v>46154</v>
      </c>
      <c r="L146" s="147">
        <f>IF(t&lt;Tvie,1-EXP((T0-t)*PertePVj)+'2025'!Pspv,1-EXP((T0-t)*PertePVj)+Pspv)</f>
        <v>6.3976774957752003E-2</v>
      </c>
      <c r="M146" s="870"/>
      <c r="N146" s="870"/>
      <c r="O146" s="48">
        <f>IF(t&lt;Tnet,'2025'!Resal+('2025'!Salim-'2025'!Resal)*(1-EXP(('2025'!Tnet-t)/('2025'!Tau_j))),Resal+(Salim-Resal)*(1-EXP((Tnet-t)/(Tau_j))))*Salcycl</f>
        <v>2.9391699799597729E-2</v>
      </c>
      <c r="P146" s="171">
        <f>(INDEX(Models!$BJ146:$BT146,,T146)*(1-R146)+INDEX(Models!$BJ146:$BT146,,T146+1)*R146-ERP_i)*Q146*Ramure*Pc/MaxiM</f>
        <v>1.6450533944839353E-4</v>
      </c>
      <c r="Q146" s="307">
        <f t="shared" si="53"/>
        <v>1</v>
      </c>
      <c r="R146" s="179">
        <f t="shared" si="54"/>
        <v>2.7157309016788922E-2</v>
      </c>
      <c r="S146" s="837">
        <f t="shared" si="55"/>
        <v>-2</v>
      </c>
      <c r="T146" s="178">
        <f t="shared" si="56"/>
        <v>4</v>
      </c>
      <c r="U146" s="253">
        <f t="shared" si="57"/>
        <v>-1.9728426909832111</v>
      </c>
      <c r="V146" s="385">
        <f t="shared" si="58"/>
        <v>57.822551030799794</v>
      </c>
      <c r="W146" s="404">
        <f t="shared" si="59"/>
        <v>43.363375662326305</v>
      </c>
      <c r="X146" s="157">
        <f t="shared" si="60"/>
        <v>46154</v>
      </c>
      <c r="Y146" s="387">
        <f t="shared" si="61"/>
        <v>39.846188231828002</v>
      </c>
      <c r="Z146" s="387">
        <f t="shared" si="62"/>
        <v>42.569657638601349</v>
      </c>
      <c r="AA146" s="388">
        <f t="shared" si="63"/>
        <v>47.5555270789689</v>
      </c>
      <c r="AB146" s="199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0.10484311176045234</v>
      </c>
      <c r="AD146" s="233">
        <f>(INDEX(Models!$BJ146:$BT146,,AH146)*(1-AF146)+INDEX(Models!$BJ146:$BT146,,AH146+1)*AF146-ERP_i)*AE146*Ramure*Pc/MaxiM</f>
        <v>5.854527509169415E-3</v>
      </c>
      <c r="AE146" s="307">
        <f t="shared" si="65"/>
        <v>1</v>
      </c>
      <c r="AF146" s="179">
        <f t="shared" si="66"/>
        <v>0.96213990194035937</v>
      </c>
      <c r="AG146" s="837">
        <f t="shared" si="74"/>
        <v>2</v>
      </c>
      <c r="AH146" s="178">
        <f t="shared" si="67"/>
        <v>8</v>
      </c>
      <c r="AI146" s="227">
        <f t="shared" si="68"/>
        <v>2.9621399019403594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46155</v>
      </c>
      <c r="B147" s="1139">
        <f>IF(t&gt;Tmaj,'2025'!Wh/'2025'!Env_an*'2026'!Env_an,0.001*[7]mois!$B$220)</f>
        <v>46.267963391667799</v>
      </c>
      <c r="C147" s="866"/>
      <c r="D147" s="395">
        <f t="shared" si="50"/>
        <v>49.431508644177271</v>
      </c>
      <c r="E147" s="387">
        <f t="shared" si="72"/>
        <v>50.945421540885633</v>
      </c>
      <c r="F147" s="387">
        <f t="shared" si="51"/>
        <v>50.950971325376521</v>
      </c>
      <c r="G147" s="110">
        <f t="shared" si="73"/>
        <v>0.79884443238167635</v>
      </c>
      <c r="H147" s="414" t="b">
        <f>Wh_hp&gt;='2025'!Maxi_hp</f>
        <v>0</v>
      </c>
      <c r="I147" s="392">
        <f>IF(H147,Wh_hp,'2025'!Maxi_hp)</f>
        <v>65.24369285904416</v>
      </c>
      <c r="J147" s="85">
        <f>IF(H147,An,'2025'!An_max)</f>
        <v>2019</v>
      </c>
      <c r="K147" s="199">
        <f t="shared" si="52"/>
        <v>46155</v>
      </c>
      <c r="L147" s="147">
        <f>IF(t&lt;Tvie,1-EXP((T0-t)*PertePVj)+'2025'!Pspv,1-EXP((T0-t)*PertePVj)+Pspv)</f>
        <v>6.3998557585640659E-2</v>
      </c>
      <c r="M147" s="870"/>
      <c r="N147" s="870"/>
      <c r="O147" s="48">
        <f>IF(t&lt;Tnet,'2025'!Resal+('2025'!Salim-'2025'!Resal)*(1-EXP(('2025'!Tnet-t)/('2025'!Tau_j))),Resal+(Salim-Resal)*(1-EXP((Tnet-t)/(Tau_j))))*Salcycl</f>
        <v>2.9716368044837745E-2</v>
      </c>
      <c r="P147" s="171">
        <f>(INDEX(Models!$BJ147:$BT147,,T147)*(1-R147)+INDEX(Models!$BJ147:$BT147,,T147+1)*R147-ERP_i)*Q147*Ramure*Pc/MaxiM</f>
        <v>1.5283612511731446E-4</v>
      </c>
      <c r="Q147" s="307">
        <f t="shared" si="53"/>
        <v>1</v>
      </c>
      <c r="R147" s="179">
        <f t="shared" si="54"/>
        <v>3.2362653392421947E-2</v>
      </c>
      <c r="S147" s="837">
        <f t="shared" si="55"/>
        <v>-2</v>
      </c>
      <c r="T147" s="178">
        <f t="shared" si="56"/>
        <v>4</v>
      </c>
      <c r="U147" s="253">
        <f t="shared" si="57"/>
        <v>-1.9676373466075781</v>
      </c>
      <c r="V147" s="385">
        <f t="shared" si="58"/>
        <v>57.916071729527957</v>
      </c>
      <c r="W147" s="404">
        <f t="shared" si="59"/>
        <v>46.267963391667799</v>
      </c>
      <c r="X147" s="157">
        <f t="shared" si="60"/>
        <v>46155</v>
      </c>
      <c r="Y147" s="387">
        <f t="shared" si="61"/>
        <v>42.510653115572403</v>
      </c>
      <c r="Z147" s="387">
        <f t="shared" si="62"/>
        <v>45.417294449802057</v>
      </c>
      <c r="AA147" s="388">
        <f t="shared" si="63"/>
        <v>50.752362936706945</v>
      </c>
      <c r="AB147" s="199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0.10511960780147778</v>
      </c>
      <c r="AD147" s="233">
        <f>(INDEX(Models!$BJ147:$BT147,,AH147)*(1-AF147)+INDEX(Models!$BJ147:$BT147,,AH147+1)*AF147-ERP_i)*AE147*Ramure*Pc/MaxiM</f>
        <v>5.4694982462638727E-3</v>
      </c>
      <c r="AE147" s="307">
        <f t="shared" si="65"/>
        <v>1</v>
      </c>
      <c r="AF147" s="179">
        <f t="shared" si="66"/>
        <v>0.96734524631599239</v>
      </c>
      <c r="AG147" s="837">
        <f t="shared" si="74"/>
        <v>2</v>
      </c>
      <c r="AH147" s="178">
        <f t="shared" si="67"/>
        <v>8</v>
      </c>
      <c r="AI147" s="227">
        <f t="shared" si="68"/>
        <v>2.9673452463159924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46156</v>
      </c>
      <c r="B148" s="1139">
        <f>IF(t&gt;Tmaj,'2025'!Wh/'2025'!Env_an*'2026'!Env_an,0.001*[7]mois!$B$221)</f>
        <v>47.684023463692085</v>
      </c>
      <c r="C148" s="866"/>
      <c r="D148" s="395">
        <f t="shared" si="50"/>
        <v>50.945576583090975</v>
      </c>
      <c r="E148" s="387">
        <f t="shared" si="72"/>
        <v>52.523472238130417</v>
      </c>
      <c r="F148" s="387">
        <f t="shared" si="51"/>
        <v>52.529052456724443</v>
      </c>
      <c r="G148" s="110">
        <f t="shared" si="73"/>
        <v>0.82203546188765186</v>
      </c>
      <c r="H148" s="414" t="b">
        <f>Wh_hp&gt;='2025'!Maxi_hp</f>
        <v>0</v>
      </c>
      <c r="I148" s="392">
        <f>IF(H148,Wh_hp,'2025'!Maxi_hp)</f>
        <v>63.602775441610461</v>
      </c>
      <c r="J148" s="85">
        <f>IF(H148,An,'2025'!An_max)</f>
        <v>2019</v>
      </c>
      <c r="K148" s="199">
        <f t="shared" si="52"/>
        <v>46156</v>
      </c>
      <c r="L148" s="147">
        <f>IF(t&lt;Tvie,1-EXP((T0-t)*PertePVj)+'2025'!Pspv,1-EXP((T0-t)*PertePVj)+Pspv)</f>
        <v>6.4020339706615692E-2</v>
      </c>
      <c r="M148" s="870"/>
      <c r="N148" s="870"/>
      <c r="O148" s="48">
        <f>IF(t&lt;Tnet,'2025'!Resal+('2025'!Salim-'2025'!Resal)*(1-EXP(('2025'!Tnet-t)/('2025'!Tau_j))),Resal+(Salim-Resal)*(1-EXP((Tnet-t)/(Tau_j))))*Salcycl</f>
        <v>3.0041723972200306E-2</v>
      </c>
      <c r="P148" s="171">
        <f>(INDEX(Models!$BJ148:$BT148,,T148)*(1-R148)+INDEX(Models!$BJ148:$BT148,,T148+1)*R148-ERP_i)*Q148*Ramure*Pc/MaxiM</f>
        <v>1.4243768805204305E-4</v>
      </c>
      <c r="Q148" s="307">
        <f t="shared" si="53"/>
        <v>1</v>
      </c>
      <c r="R148" s="179">
        <f t="shared" si="54"/>
        <v>3.7680261584265073E-2</v>
      </c>
      <c r="S148" s="837">
        <f t="shared" si="55"/>
        <v>-2</v>
      </c>
      <c r="T148" s="178">
        <f t="shared" si="56"/>
        <v>4</v>
      </c>
      <c r="U148" s="253">
        <f t="shared" si="57"/>
        <v>-1.9623197384157349</v>
      </c>
      <c r="V148" s="385">
        <f t="shared" si="58"/>
        <v>58.005157946092353</v>
      </c>
      <c r="W148" s="404">
        <f t="shared" si="59"/>
        <v>47.684023463692085</v>
      </c>
      <c r="X148" s="157">
        <f t="shared" si="60"/>
        <v>46156</v>
      </c>
      <c r="Y148" s="387">
        <f t="shared" si="61"/>
        <v>43.816845301731512</v>
      </c>
      <c r="Z148" s="387">
        <f t="shared" si="62"/>
        <v>46.813886199190534</v>
      </c>
      <c r="AA148" s="388">
        <f t="shared" si="63"/>
        <v>52.329286802509699</v>
      </c>
      <c r="AB148" s="199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0.10539797005325616</v>
      </c>
      <c r="AD148" s="233">
        <f>(INDEX(Models!$BJ148:$BT148,,AH148)*(1-AF148)+INDEX(Models!$BJ148:$BT148,,AH148+1)*AF148-ERP_i)*AE148*Ramure*Pc/MaxiM</f>
        <v>5.0991117030797098E-3</v>
      </c>
      <c r="AE148" s="307">
        <f t="shared" si="65"/>
        <v>1</v>
      </c>
      <c r="AF148" s="179">
        <f t="shared" si="66"/>
        <v>0.97266285450783574</v>
      </c>
      <c r="AG148" s="837">
        <f t="shared" si="74"/>
        <v>2</v>
      </c>
      <c r="AH148" s="178">
        <f t="shared" si="67"/>
        <v>8</v>
      </c>
      <c r="AI148" s="227">
        <f t="shared" si="68"/>
        <v>2.9726628545078357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46157</v>
      </c>
      <c r="B149" s="1139">
        <f>IF(t&gt;Tmaj,'2025'!Wh/'2025'!Env_an*'2026'!Env_an,0.001*[7]mois!$B$222)</f>
        <v>51.58001117725486</v>
      </c>
      <c r="C149" s="866"/>
      <c r="D149" s="395">
        <f t="shared" si="50"/>
        <v>55.109329545937626</v>
      </c>
      <c r="E149" s="387">
        <f t="shared" si="72"/>
        <v>56.835289144156356</v>
      </c>
      <c r="F149" s="387">
        <f t="shared" si="51"/>
        <v>56.841654852143762</v>
      </c>
      <c r="G149" s="110">
        <f t="shared" si="73"/>
        <v>0.88793620792356343</v>
      </c>
      <c r="H149" s="414" t="b">
        <f>Wh_hp&gt;='2025'!Maxi_hp</f>
        <v>0</v>
      </c>
      <c r="I149" s="392">
        <f>IF(H149,Wh_hp,'2025'!Maxi_hp)</f>
        <v>64.554726690936292</v>
      </c>
      <c r="J149" s="85">
        <f>IF(H149,An,'2025'!An_max)</f>
        <v>2019</v>
      </c>
      <c r="K149" s="199">
        <f t="shared" si="52"/>
        <v>46157</v>
      </c>
      <c r="L149" s="147">
        <f>IF(t&lt;Tvie,1-EXP((T0-t)*PertePVj)+'2025'!Pspv,1-EXP((T0-t)*PertePVj)+Pspv)</f>
        <v>6.4042121320688983E-2</v>
      </c>
      <c r="M149" s="870"/>
      <c r="N149" s="870"/>
      <c r="O149" s="48">
        <f>IF(t&lt;Tnet,'2025'!Resal+('2025'!Salim-'2025'!Resal)*(1-EXP(('2025'!Tnet-t)/('2025'!Tau_j))),Resal+(Salim-Resal)*(1-EXP((Tnet-t)/(Tau_j))))*Salcycl</f>
        <v>3.0367745536422353E-2</v>
      </c>
      <c r="P149" s="171">
        <f>(INDEX(Models!$BJ149:$BT149,,T149)*(1-R149)+INDEX(Models!$BJ149:$BT149,,T149+1)*R149-ERP_i)*Q149*Ramure*Pc/MaxiM</f>
        <v>1.3333182780127858E-4</v>
      </c>
      <c r="Q149" s="307">
        <f t="shared" si="53"/>
        <v>1</v>
      </c>
      <c r="R149" s="179">
        <f t="shared" si="54"/>
        <v>4.310916998532055E-2</v>
      </c>
      <c r="S149" s="837">
        <f t="shared" si="55"/>
        <v>-2</v>
      </c>
      <c r="T149" s="178">
        <f t="shared" si="56"/>
        <v>4</v>
      </c>
      <c r="U149" s="253">
        <f t="shared" si="57"/>
        <v>-1.9568908300146794</v>
      </c>
      <c r="V149" s="385">
        <f t="shared" si="58"/>
        <v>58.088531351705271</v>
      </c>
      <c r="W149" s="404">
        <f t="shared" si="59"/>
        <v>51.58001117725486</v>
      </c>
      <c r="X149" s="157">
        <f t="shared" si="60"/>
        <v>46157</v>
      </c>
      <c r="Y149" s="387">
        <f t="shared" si="61"/>
        <v>47.38961552587714</v>
      </c>
      <c r="Z149" s="387">
        <f t="shared" si="62"/>
        <v>50.632209638265493</v>
      </c>
      <c r="AA149" s="388">
        <f t="shared" si="63"/>
        <v>56.615194823451702</v>
      </c>
      <c r="AB149" s="199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0.10567808172070221</v>
      </c>
      <c r="AD149" s="233">
        <f>(INDEX(Models!$BJ149:$BT149,,AH149)*(1-AF149)+INDEX(Models!$BJ149:$BT149,,AH149+1)*AF149-ERP_i)*AE149*Ramure*Pc/MaxiM</f>
        <v>4.7432790836755868E-3</v>
      </c>
      <c r="AE149" s="307">
        <f t="shared" si="65"/>
        <v>1</v>
      </c>
      <c r="AF149" s="179">
        <f t="shared" si="66"/>
        <v>0.97809176290889122</v>
      </c>
      <c r="AG149" s="837">
        <f t="shared" si="74"/>
        <v>2</v>
      </c>
      <c r="AH149" s="178">
        <f t="shared" si="67"/>
        <v>8</v>
      </c>
      <c r="AI149" s="227">
        <f t="shared" si="68"/>
        <v>2.9780917629088912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46158</v>
      </c>
      <c r="B150" s="1139">
        <f>IF(t&gt;Tmaj,'2025'!Wh/'2025'!Env_an*'2026'!Env_an,0.001*[7]mois!$B$223)</f>
        <v>50.274128530769062</v>
      </c>
      <c r="C150" s="866"/>
      <c r="D150" s="395">
        <f t="shared" si="50"/>
        <v>53.715343025216207</v>
      </c>
      <c r="E150" s="387">
        <f t="shared" si="72"/>
        <v>55.416313946471597</v>
      </c>
      <c r="F150" s="387">
        <f t="shared" si="51"/>
        <v>55.421928987890269</v>
      </c>
      <c r="G150" s="110">
        <f t="shared" si="73"/>
        <v>0.86431775895045138</v>
      </c>
      <c r="H150" s="414" t="b">
        <f>Wh_hp&gt;='2025'!Maxi_hp</f>
        <v>0</v>
      </c>
      <c r="I150" s="392">
        <f>IF(H150,Wh_hp,'2025'!Maxi_hp)</f>
        <v>55.423055868709312</v>
      </c>
      <c r="J150" s="85">
        <f>IF(H150,An,'2025'!An_max)</f>
        <v>2025</v>
      </c>
      <c r="K150" s="199">
        <f t="shared" si="52"/>
        <v>46158</v>
      </c>
      <c r="L150" s="147">
        <f>IF(t&lt;Tvie,1-EXP((T0-t)*PertePVj)+'2025'!Pspv,1-EXP((T0-t)*PertePVj)+Pspv)</f>
        <v>6.4063902427872299E-2</v>
      </c>
      <c r="M150" s="870"/>
      <c r="N150" s="870"/>
      <c r="O150" s="48">
        <f>IF(t&lt;Tnet,'2025'!Resal+('2025'!Salim-'2025'!Resal)*(1-EXP(('2025'!Tnet-t)/('2025'!Tau_j))),Resal+(Salim-Resal)*(1-EXP((Tnet-t)/(Tau_j))))*Salcycl</f>
        <v>3.0694407478967557E-2</v>
      </c>
      <c r="P150" s="171">
        <f>(INDEX(Models!$BJ150:$BT150,,T150)*(1-R150)+INDEX(Models!$BJ150:$BT150,,T150+1)*R150-ERP_i)*Q150*Ramure*Pc/MaxiM</f>
        <v>1.2566937263488629E-4</v>
      </c>
      <c r="Q150" s="307">
        <f t="shared" si="53"/>
        <v>1</v>
      </c>
      <c r="R150" s="179">
        <f t="shared" si="54"/>
        <v>4.8648182430897302E-2</v>
      </c>
      <c r="S150" s="837">
        <f t="shared" si="55"/>
        <v>-2</v>
      </c>
      <c r="T150" s="178">
        <f t="shared" si="56"/>
        <v>4</v>
      </c>
      <c r="U150" s="253">
        <f t="shared" si="57"/>
        <v>-1.9513518175691027</v>
      </c>
      <c r="V150" s="385">
        <f t="shared" si="58"/>
        <v>58.16483979744153</v>
      </c>
      <c r="W150" s="404">
        <f t="shared" si="59"/>
        <v>50.274128530769062</v>
      </c>
      <c r="X150" s="157">
        <f t="shared" si="60"/>
        <v>46158</v>
      </c>
      <c r="Y150" s="387">
        <f t="shared" si="61"/>
        <v>46.210123766262093</v>
      </c>
      <c r="Z150" s="387">
        <f t="shared" si="62"/>
        <v>49.37316114437067</v>
      </c>
      <c r="AA150" s="388">
        <f t="shared" si="63"/>
        <v>55.224767515989619</v>
      </c>
      <c r="AB150" s="199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0.10595981902367797</v>
      </c>
      <c r="AD150" s="233">
        <f>(INDEX(Models!$BJ150:$BT150,,AH150)*(1-AF150)+INDEX(Models!$BJ150:$BT150,,AH150+1)*AF150-ERP_i)*AE150*Ramure*Pc/MaxiM</f>
        <v>4.4126403768165023E-3</v>
      </c>
      <c r="AE150" s="307">
        <f t="shared" si="65"/>
        <v>1</v>
      </c>
      <c r="AF150" s="179">
        <f t="shared" si="66"/>
        <v>0.98363077535446752</v>
      </c>
      <c r="AG150" s="837">
        <f t="shared" si="74"/>
        <v>2</v>
      </c>
      <c r="AH150" s="178">
        <f t="shared" si="67"/>
        <v>8</v>
      </c>
      <c r="AI150" s="227">
        <f t="shared" si="68"/>
        <v>2.9836307753544675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46159</v>
      </c>
      <c r="B151" s="1139">
        <f>IF(t&gt;Tmaj,'2025'!Wh/'2025'!Env_an*'2026'!Env_an,0.001*[7]mois!$B$224)</f>
        <v>54.200294720761264</v>
      </c>
      <c r="C151" s="866"/>
      <c r="D151" s="395">
        <f t="shared" si="50"/>
        <v>57.911599104635847</v>
      </c>
      <c r="E151" s="387">
        <f t="shared" si="72"/>
        <v>59.765629413647595</v>
      </c>
      <c r="F151" s="387">
        <f t="shared" si="51"/>
        <v>59.77200621409191</v>
      </c>
      <c r="G151" s="110">
        <f t="shared" si="73"/>
        <v>0.93071455119090096</v>
      </c>
      <c r="H151" s="414" t="b">
        <f>Wh_hp&gt;='2025'!Maxi_hp</f>
        <v>0</v>
      </c>
      <c r="I151" s="392">
        <f>IF(H151,Wh_hp,'2025'!Maxi_hp)</f>
        <v>59.772588258462029</v>
      </c>
      <c r="J151" s="85">
        <f>IF(H151,An,'2025'!An_max)</f>
        <v>2025</v>
      </c>
      <c r="K151" s="199">
        <f t="shared" si="52"/>
        <v>46159</v>
      </c>
      <c r="L151" s="147">
        <f>IF(t&lt;Tvie,1-EXP((T0-t)*PertePVj)+'2025'!Pspv,1-EXP((T0-t)*PertePVj)+Pspv)</f>
        <v>6.408568302817752E-2</v>
      </c>
      <c r="M151" s="870"/>
      <c r="N151" s="870"/>
      <c r="O151" s="48">
        <f>IF(t&lt;Tnet,'2025'!Resal+('2025'!Salim-'2025'!Resal)*(1-EXP(('2025'!Tnet-t)/('2025'!Tau_j))),Resal+(Salim-Resal)*(1-EXP((Tnet-t)/(Tau_j))))*Salcycl</f>
        <v>3.1021681310836751E-2</v>
      </c>
      <c r="P151" s="171">
        <f>(INDEX(Models!$BJ151:$BT151,,T151)*(1-R151)+INDEX(Models!$BJ151:$BT151,,T151+1)*R151-ERP_i)*Q151*Ramure*Pc/MaxiM</f>
        <v>1.1840299078302414E-4</v>
      </c>
      <c r="Q151" s="307">
        <f t="shared" si="53"/>
        <v>1</v>
      </c>
      <c r="R151" s="179">
        <f t="shared" si="54"/>
        <v>5.4295864134860539E-2</v>
      </c>
      <c r="S151" s="837">
        <f t="shared" si="55"/>
        <v>-2</v>
      </c>
      <c r="T151" s="178">
        <f t="shared" si="56"/>
        <v>4</v>
      </c>
      <c r="U151" s="253">
        <f t="shared" si="57"/>
        <v>-1.9457041358651395</v>
      </c>
      <c r="V151" s="385">
        <f t="shared" si="58"/>
        <v>58.234460272293809</v>
      </c>
      <c r="W151" s="404">
        <f t="shared" si="59"/>
        <v>54.200294720761264</v>
      </c>
      <c r="X151" s="157">
        <f t="shared" si="60"/>
        <v>46159</v>
      </c>
      <c r="Y151" s="387">
        <f t="shared" si="61"/>
        <v>49.81311284458539</v>
      </c>
      <c r="Z151" s="387">
        <f t="shared" si="62"/>
        <v>53.224009870644075</v>
      </c>
      <c r="AA151" s="388">
        <f t="shared" si="63"/>
        <v>59.550876725590435</v>
      </c>
      <c r="AB151" s="199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0.10624305136766442</v>
      </c>
      <c r="AD151" s="233">
        <f>(INDEX(Models!$BJ151:$BT151,,AH151)*(1-AF151)+INDEX(Models!$BJ151:$BT151,,AH151+1)*AF151-ERP_i)*AE151*Ramure*Pc/MaxiM</f>
        <v>4.1058824119639663E-3</v>
      </c>
      <c r="AE151" s="307">
        <f t="shared" si="65"/>
        <v>1</v>
      </c>
      <c r="AF151" s="179">
        <f t="shared" si="66"/>
        <v>0.98927845705843076</v>
      </c>
      <c r="AG151" s="837">
        <f t="shared" si="74"/>
        <v>2</v>
      </c>
      <c r="AH151" s="178">
        <f t="shared" si="67"/>
        <v>8</v>
      </c>
      <c r="AI151" s="227">
        <f t="shared" si="68"/>
        <v>2.9892784570584308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46160</v>
      </c>
      <c r="B152" s="1139">
        <f>IF(t&gt;Tmaj,'2025'!Wh/'2025'!Env_an*'2026'!Env_an,0.001*[7]mois!$B$225)</f>
        <v>52.738648325565109</v>
      </c>
      <c r="C152" s="866"/>
      <c r="D152" s="395">
        <f t="shared" si="50"/>
        <v>56.351179486345586</v>
      </c>
      <c r="E152" s="387">
        <f t="shared" si="72"/>
        <v>58.174936719200858</v>
      </c>
      <c r="F152" s="387">
        <f t="shared" si="51"/>
        <v>58.180541821620082</v>
      </c>
      <c r="G152" s="110">
        <f t="shared" si="73"/>
        <v>0.90462984005015235</v>
      </c>
      <c r="H152" s="414" t="b">
        <f>Wh_hp&gt;='2025'!Maxi_hp</f>
        <v>0</v>
      </c>
      <c r="I152" s="392">
        <f>IF(H152,Wh_hp,'2025'!Maxi_hp)</f>
        <v>64.833198802654493</v>
      </c>
      <c r="J152" s="85">
        <f>IF(H152,An,'2025'!An_max)</f>
        <v>2020</v>
      </c>
      <c r="K152" s="199">
        <f t="shared" si="52"/>
        <v>46160</v>
      </c>
      <c r="L152" s="147">
        <f>IF(t&lt;Tvie,1-EXP((T0-t)*PertePVj)+'2025'!Pspv,1-EXP((T0-t)*PertePVj)+Pspv)</f>
        <v>6.4107463121616193E-2</v>
      </c>
      <c r="M152" s="870"/>
      <c r="N152" s="870"/>
      <c r="O152" s="48">
        <f>IF(t&lt;Tnet,'2025'!Resal+('2025'!Salim-'2025'!Resal)*(1-EXP(('2025'!Tnet-t)/('2025'!Tau_j))),Resal+(Salim-Resal)*(1-EXP((Tnet-t)/(Tau_j))))*Salcycl</f>
        <v>3.1349535310338156E-2</v>
      </c>
      <c r="P152" s="171">
        <f>(INDEX(Models!$BJ152:$BT152,,T152)*(1-R152)+INDEX(Models!$BJ152:$BT152,,T152+1)*R152-ERP_i)*Q152*Ramure*Pc/MaxiM</f>
        <v>1.1153325604367701E-4</v>
      </c>
      <c r="Q152" s="307">
        <f t="shared" si="53"/>
        <v>1</v>
      </c>
      <c r="R152" s="179">
        <f t="shared" si="54"/>
        <v>6.0050536448400527E-2</v>
      </c>
      <c r="S152" s="837">
        <f t="shared" si="55"/>
        <v>-2</v>
      </c>
      <c r="T152" s="178">
        <f t="shared" si="56"/>
        <v>4</v>
      </c>
      <c r="U152" s="253">
        <f t="shared" si="57"/>
        <v>-1.9399494635515995</v>
      </c>
      <c r="V152" s="385">
        <f t="shared" si="58"/>
        <v>58.297708777435751</v>
      </c>
      <c r="W152" s="404">
        <f t="shared" si="59"/>
        <v>52.738648325565109</v>
      </c>
      <c r="X152" s="157">
        <f t="shared" si="60"/>
        <v>46160</v>
      </c>
      <c r="Y152" s="387">
        <f t="shared" si="61"/>
        <v>48.489579229050776</v>
      </c>
      <c r="Z152" s="387">
        <f t="shared" si="62"/>
        <v>51.811054494338634</v>
      </c>
      <c r="AA152" s="388">
        <f t="shared" si="63"/>
        <v>57.988424604940988</v>
      </c>
      <c r="AB152" s="199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0.1065276415541043</v>
      </c>
      <c r="AD152" s="233">
        <f>(INDEX(Models!$BJ152:$BT152,,AH152)*(1-AF152)+INDEX(Models!$BJ152:$BT152,,AH152+1)*AF152-ERP_i)*AE152*Ramure*Pc/MaxiM</f>
        <v>3.8228487395323041E-3</v>
      </c>
      <c r="AE152" s="307">
        <f t="shared" si="65"/>
        <v>1</v>
      </c>
      <c r="AF152" s="179">
        <f t="shared" si="66"/>
        <v>0.99503312937197075</v>
      </c>
      <c r="AG152" s="837">
        <f t="shared" si="74"/>
        <v>2</v>
      </c>
      <c r="AH152" s="178">
        <f t="shared" si="67"/>
        <v>8</v>
      </c>
      <c r="AI152" s="227">
        <f t="shared" si="68"/>
        <v>2.9950331293719707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46161</v>
      </c>
      <c r="B153" s="1139">
        <f>IF(t&gt;Tmaj,'2025'!Wh/'2025'!Env_an*'2026'!Env_an,0.001*[7]mois!$B$226)</f>
        <v>54.656352027635897</v>
      </c>
      <c r="C153" s="866"/>
      <c r="D153" s="395">
        <f t="shared" si="50"/>
        <v>58.401602573627947</v>
      </c>
      <c r="E153" s="387">
        <f t="shared" si="72"/>
        <v>60.312167466387983</v>
      </c>
      <c r="F153" s="387">
        <f t="shared" si="51"/>
        <v>60.317930783484165</v>
      </c>
      <c r="G153" s="110">
        <f t="shared" si="73"/>
        <v>0.93661082525048645</v>
      </c>
      <c r="H153" s="414" t="b">
        <f>Wh_hp&gt;='2025'!Maxi_hp</f>
        <v>0</v>
      </c>
      <c r="I153" s="392">
        <f>IF(H153,Wh_hp,'2025'!Maxi_hp)</f>
        <v>63.754093188120109</v>
      </c>
      <c r="J153" s="85">
        <f>IF(H153,An,'2025'!An_max)</f>
        <v>2020</v>
      </c>
      <c r="K153" s="199">
        <f t="shared" si="52"/>
        <v>46161</v>
      </c>
      <c r="L153" s="147">
        <f>IF(t&lt;Tvie,1-EXP((T0-t)*PertePVj)+'2025'!Pspv,1-EXP((T0-t)*PertePVj)+Pspv)</f>
        <v>6.4129242708200418E-2</v>
      </c>
      <c r="M153" s="870"/>
      <c r="N153" s="870"/>
      <c r="O153" s="48">
        <f>IF(t&lt;Tnet,'2025'!Resal+('2025'!Salim-'2025'!Resal)*(1-EXP(('2025'!Tnet-t)/('2025'!Tau_j))),Resal+(Salim-Resal)*(1-EXP((Tnet-t)/(Tau_j))))*Salcycl</f>
        <v>3.1677934536589104E-2</v>
      </c>
      <c r="P153" s="171">
        <f>(INDEX(Models!$BJ153:$BT153,,T153)*(1-R153)+INDEX(Models!$BJ153:$BT153,,T153+1)*R153-ERP_i)*Q153*Ramure*Pc/MaxiM</f>
        <v>1.050616028932397E-4</v>
      </c>
      <c r="Q153" s="307">
        <f t="shared" si="53"/>
        <v>1</v>
      </c>
      <c r="R153" s="179">
        <f t="shared" si="54"/>
        <v>6.5910272522615498E-2</v>
      </c>
      <c r="S153" s="837">
        <f t="shared" si="55"/>
        <v>-2</v>
      </c>
      <c r="T153" s="178">
        <f t="shared" si="56"/>
        <v>4</v>
      </c>
      <c r="U153" s="253">
        <f t="shared" si="57"/>
        <v>-1.9340897274773845</v>
      </c>
      <c r="V153" s="385">
        <f t="shared" si="58"/>
        <v>58.354901074705097</v>
      </c>
      <c r="W153" s="404">
        <f t="shared" si="59"/>
        <v>54.656352027635897</v>
      </c>
      <c r="X153" s="157">
        <f t="shared" si="60"/>
        <v>46161</v>
      </c>
      <c r="Y153" s="387">
        <f t="shared" si="61"/>
        <v>50.256775513840388</v>
      </c>
      <c r="Z153" s="387">
        <f t="shared" si="62"/>
        <v>53.700551194987909</v>
      </c>
      <c r="AA153" s="388">
        <f t="shared" si="63"/>
        <v>60.122435740176563</v>
      </c>
      <c r="AB153" s="199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0.10681344603105057</v>
      </c>
      <c r="AD153" s="233">
        <f>(INDEX(Models!$BJ153:$BT153,,AH153)*(1-AF153)+INDEX(Models!$BJ153:$BT153,,AH153+1)*AF153-ERP_i)*AE153*Ramure*Pc/MaxiM</f>
        <v>3.5637502266185031E-3</v>
      </c>
      <c r="AE153" s="307">
        <f t="shared" si="65"/>
        <v>1</v>
      </c>
      <c r="AF153" s="179">
        <f t="shared" si="66"/>
        <v>8.9286544618616404E-4</v>
      </c>
      <c r="AG153" s="837">
        <f t="shared" si="74"/>
        <v>3</v>
      </c>
      <c r="AH153" s="178">
        <f t="shared" si="67"/>
        <v>9</v>
      </c>
      <c r="AI153" s="227">
        <f t="shared" si="68"/>
        <v>3.0008928654461862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46162</v>
      </c>
      <c r="B154" s="1139">
        <f>IF(t&gt;Tmaj,'2025'!Wh/'2025'!Env_an*'2026'!Env_an,0.001*[7]mois!$B$227)</f>
        <v>47.599060413957069</v>
      </c>
      <c r="C154" s="866"/>
      <c r="D154" s="395">
        <f t="shared" si="50"/>
        <v>50.86190349312043</v>
      </c>
      <c r="E154" s="387">
        <f t="shared" si="72"/>
        <v>52.543660058793982</v>
      </c>
      <c r="F154" s="387">
        <f t="shared" si="51"/>
        <v>52.547486748348277</v>
      </c>
      <c r="G154" s="110">
        <f t="shared" si="73"/>
        <v>0.81494242707350095</v>
      </c>
      <c r="H154" s="414" t="b">
        <f>Wh_hp&gt;='2025'!Maxi_hp</f>
        <v>0</v>
      </c>
      <c r="I154" s="392">
        <f>IF(H154,Wh_hp,'2025'!Maxi_hp)</f>
        <v>63.57811157089013</v>
      </c>
      <c r="J154" s="85">
        <f>IF(H154,An,'2025'!An_max)</f>
        <v>2021</v>
      </c>
      <c r="K154" s="199">
        <f t="shared" si="52"/>
        <v>46162</v>
      </c>
      <c r="L154" s="147">
        <f>IF(t&lt;Tvie,1-EXP((T0-t)*PertePVj)+'2025'!Pspv,1-EXP((T0-t)*PertePVj)+Pspv)</f>
        <v>6.4151021787941742E-2</v>
      </c>
      <c r="M154" s="870"/>
      <c r="N154" s="870"/>
      <c r="O154" s="48">
        <f>IF(t&lt;Tnet,'2025'!Resal+('2025'!Salim-'2025'!Resal)*(1-EXP(('2025'!Tnet-t)/('2025'!Tau_j))),Resal+(Salim-Resal)*(1-EXP((Tnet-t)/(Tau_j))))*Salcycl</f>
        <v>3.2006840859425123E-2</v>
      </c>
      <c r="P154" s="171">
        <f>(INDEX(Models!$BJ154:$BT154,,T154)*(1-R154)+INDEX(Models!$BJ154:$BT154,,T154+1)*R154-ERP_i)*Q154*Ramure*Pc/MaxiM</f>
        <v>9.8990304412037623E-5</v>
      </c>
      <c r="Q154" s="307">
        <f t="shared" si="53"/>
        <v>1</v>
      </c>
      <c r="R154" s="179">
        <f t="shared" si="54"/>
        <v>7.18728939533404E-2</v>
      </c>
      <c r="S154" s="837">
        <f t="shared" si="55"/>
        <v>-2</v>
      </c>
      <c r="T154" s="178">
        <f t="shared" si="56"/>
        <v>4</v>
      </c>
      <c r="U154" s="253">
        <f t="shared" si="57"/>
        <v>-1.9281271060466596</v>
      </c>
      <c r="V154" s="385">
        <f t="shared" si="58"/>
        <v>58.406352675419974</v>
      </c>
      <c r="W154" s="404">
        <f t="shared" si="59"/>
        <v>47.599060413957069</v>
      </c>
      <c r="X154" s="157">
        <f t="shared" si="60"/>
        <v>46162</v>
      </c>
      <c r="Y154" s="387">
        <f t="shared" si="61"/>
        <v>43.802126822089562</v>
      </c>
      <c r="Z154" s="387">
        <f t="shared" si="62"/>
        <v>46.804695887763465</v>
      </c>
      <c r="AA154" s="388">
        <f t="shared" si="63"/>
        <v>52.418761797895833</v>
      </c>
      <c r="AB154" s="199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0.10710031518443318</v>
      </c>
      <c r="AD154" s="233">
        <f>(INDEX(Models!$BJ154:$BT154,,AH154)*(1-AF154)+INDEX(Models!$BJ154:$BT154,,AH154+1)*AF154-ERP_i)*AE154*Ramure*Pc/MaxiM</f>
        <v>3.3299074434733639E-3</v>
      </c>
      <c r="AE154" s="307">
        <f t="shared" si="65"/>
        <v>1</v>
      </c>
      <c r="AF154" s="179">
        <f t="shared" si="66"/>
        <v>6.8554868769110655E-3</v>
      </c>
      <c r="AG154" s="837">
        <f t="shared" si="74"/>
        <v>3</v>
      </c>
      <c r="AH154" s="178">
        <f t="shared" si="67"/>
        <v>9</v>
      </c>
      <c r="AI154" s="227">
        <f t="shared" si="68"/>
        <v>3.0068554868769111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46163</v>
      </c>
      <c r="B155" s="1139">
        <f>IF(t&gt;Tmaj,'2025'!Wh/'2025'!Env_an*'2026'!Env_an,0.001*[7]mois!$B$228)</f>
        <v>48.289002117517015</v>
      </c>
      <c r="C155" s="866"/>
      <c r="D155" s="395">
        <f t="shared" si="50"/>
        <v>51.600340464710911</v>
      </c>
      <c r="E155" s="387">
        <f t="shared" si="72"/>
        <v>53.324657963092882</v>
      </c>
      <c r="F155" s="387">
        <f t="shared" si="51"/>
        <v>53.328398517724018</v>
      </c>
      <c r="G155" s="110">
        <f t="shared" si="73"/>
        <v>0.82610637298680767</v>
      </c>
      <c r="H155" s="414" t="b">
        <f>Wh_hp&gt;='2025'!Maxi_hp</f>
        <v>0</v>
      </c>
      <c r="I155" s="392">
        <f>IF(H155,Wh_hp,'2025'!Maxi_hp)</f>
        <v>62.178708912121074</v>
      </c>
      <c r="J155" s="85">
        <f>IF(H155,An,'2025'!An_max)</f>
        <v>2020</v>
      </c>
      <c r="K155" s="199">
        <f t="shared" si="52"/>
        <v>46163</v>
      </c>
      <c r="L155" s="147">
        <f>IF(t&lt;Tvie,1-EXP((T0-t)*PertePVj)+'2025'!Pspv,1-EXP((T0-t)*PertePVj)+Pspv)</f>
        <v>6.4172800360852156E-2</v>
      </c>
      <c r="M155" s="870"/>
      <c r="N155" s="870"/>
      <c r="O155" s="48">
        <f>IF(t&lt;Tnet,'2025'!Resal+('2025'!Salim-'2025'!Resal)*(1-EXP(('2025'!Tnet-t)/('2025'!Tau_j))),Resal+(Salim-Resal)*(1-EXP((Tnet-t)/(Tau_j))))*Salcycl</f>
        <v>3.2336213006286973E-2</v>
      </c>
      <c r="P155" s="171">
        <f>(INDEX(Models!$BJ155:$BT155,,T155)*(1-R155)+INDEX(Models!$BJ155:$BT155,,T155+1)*R155-ERP_i)*Q155*Ramure*Pc/MaxiM</f>
        <v>9.3322449320849528E-5</v>
      </c>
      <c r="Q155" s="307">
        <f t="shared" si="53"/>
        <v>1</v>
      </c>
      <c r="R155" s="179">
        <f t="shared" si="54"/>
        <v>7.7935968482660378E-2</v>
      </c>
      <c r="S155" s="837">
        <f t="shared" si="55"/>
        <v>-2</v>
      </c>
      <c r="T155" s="178">
        <f t="shared" si="56"/>
        <v>4</v>
      </c>
      <c r="U155" s="253">
        <f t="shared" si="57"/>
        <v>-1.9220640315173396</v>
      </c>
      <c r="V155" s="385">
        <f t="shared" si="58"/>
        <v>58.452378836280282</v>
      </c>
      <c r="W155" s="404">
        <f t="shared" si="59"/>
        <v>48.289002117517015</v>
      </c>
      <c r="X155" s="157">
        <f t="shared" si="60"/>
        <v>46163</v>
      </c>
      <c r="Y155" s="387">
        <f t="shared" si="61"/>
        <v>44.442399398337713</v>
      </c>
      <c r="Z155" s="387">
        <f t="shared" si="62"/>
        <v>47.489963334549977</v>
      </c>
      <c r="AA155" s="388">
        <f t="shared" si="63"/>
        <v>53.203372034104007</v>
      </c>
      <c r="AB155" s="199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0.10738809366992123</v>
      </c>
      <c r="AD155" s="233">
        <f>(INDEX(Models!$BJ155:$BT155,,AH155)*(1-AF155)+INDEX(Models!$BJ155:$BT155,,AH155+1)*AF155-ERP_i)*AE155*Ramure*Pc/MaxiM</f>
        <v>3.1192640749787949E-3</v>
      </c>
      <c r="AE155" s="307">
        <f t="shared" si="65"/>
        <v>1</v>
      </c>
      <c r="AF155" s="179">
        <f t="shared" si="66"/>
        <v>1.2918561406230822E-2</v>
      </c>
      <c r="AG155" s="837">
        <f t="shared" si="74"/>
        <v>3</v>
      </c>
      <c r="AH155" s="178">
        <f t="shared" si="67"/>
        <v>9</v>
      </c>
      <c r="AI155" s="227">
        <f t="shared" si="68"/>
        <v>3.0129185614062308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46164</v>
      </c>
      <c r="B156" s="1139">
        <f>IF(t&gt;Tmaj,'2025'!Wh/'2025'!Env_an*'2026'!Env_an,0.001*[7]mois!$B$229)</f>
        <v>34.311887194025616</v>
      </c>
      <c r="C156" s="866"/>
      <c r="D156" s="395">
        <f t="shared" si="50"/>
        <v>36.665621295876356</v>
      </c>
      <c r="E156" s="387">
        <f t="shared" si="72"/>
        <v>37.903786641477772</v>
      </c>
      <c r="F156" s="387">
        <f t="shared" si="51"/>
        <v>37.905156803807706</v>
      </c>
      <c r="G156" s="110">
        <f t="shared" si="73"/>
        <v>0.58656476941827707</v>
      </c>
      <c r="H156" s="414" t="b">
        <f>Wh_hp&gt;='2025'!Maxi_hp</f>
        <v>0</v>
      </c>
      <c r="I156" s="392">
        <f>IF(H156,Wh_hp,'2025'!Maxi_hp)</f>
        <v>63.08837322256813</v>
      </c>
      <c r="J156" s="85">
        <f>IF(H156,An,'2025'!An_max)</f>
        <v>2019</v>
      </c>
      <c r="K156" s="199">
        <f t="shared" si="52"/>
        <v>46164</v>
      </c>
      <c r="L156" s="147">
        <f>IF(t&lt;Tvie,1-EXP((T0-t)*PertePVj)+'2025'!Pspv,1-EXP((T0-t)*PertePVj)+Pspv)</f>
        <v>6.4194578426943316E-2</v>
      </c>
      <c r="M156" s="870"/>
      <c r="N156" s="870"/>
      <c r="O156" s="48">
        <f>IF(t&lt;Tnet,'2025'!Resal+('2025'!Salim-'2025'!Resal)*(1-EXP(('2025'!Tnet-t)/('2025'!Tau_j))),Resal+(Salim-Resal)*(1-EXP((Tnet-t)/(Tau_j))))*Salcycl</f>
        <v>3.2666006626538575E-2</v>
      </c>
      <c r="P156" s="171">
        <f>(INDEX(Models!$BJ156:$BT156,,T156)*(1-R156)+INDEX(Models!$BJ156:$BT156,,T156+1)*R156-ERP_i)*Q156*Ramure*Pc/MaxiM</f>
        <v>8.828819063619355E-5</v>
      </c>
      <c r="Q156" s="307">
        <f t="shared" si="53"/>
        <v>1</v>
      </c>
      <c r="R156" s="179">
        <f t="shared" si="54"/>
        <v>8.4096808826438219E-2</v>
      </c>
      <c r="S156" s="837">
        <f t="shared" si="55"/>
        <v>-2</v>
      </c>
      <c r="T156" s="178">
        <f t="shared" si="56"/>
        <v>4</v>
      </c>
      <c r="U156" s="253">
        <f t="shared" si="57"/>
        <v>-1.9159031911735618</v>
      </c>
      <c r="V156" s="385">
        <f t="shared" si="58"/>
        <v>58.493281321545972</v>
      </c>
      <c r="W156" s="404">
        <f t="shared" si="59"/>
        <v>34.311887194025616</v>
      </c>
      <c r="X156" s="157">
        <f t="shared" si="60"/>
        <v>46164</v>
      </c>
      <c r="Y156" s="387">
        <f t="shared" si="61"/>
        <v>31.614354753446484</v>
      </c>
      <c r="Z156" s="387">
        <f t="shared" si="62"/>
        <v>33.783042953848081</v>
      </c>
      <c r="AA156" s="388">
        <f t="shared" si="63"/>
        <v>37.859641180272824</v>
      </c>
      <c r="AB156" s="199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0.10767662078500881</v>
      </c>
      <c r="AD156" s="233">
        <f>(INDEX(Models!$BJ156:$BT156,,AH156)*(1-AF156)+INDEX(Models!$BJ156:$BT156,,AH156+1)*AF156-ERP_i)*AE156*Ramure*Pc/MaxiM</f>
        <v>2.9328583626757761E-3</v>
      </c>
      <c r="AE156" s="307">
        <f t="shared" si="65"/>
        <v>1</v>
      </c>
      <c r="AF156" s="179">
        <f t="shared" si="66"/>
        <v>1.9079401750008884E-2</v>
      </c>
      <c r="AG156" s="837">
        <f t="shared" si="74"/>
        <v>3</v>
      </c>
      <c r="AH156" s="178">
        <f t="shared" si="67"/>
        <v>9</v>
      </c>
      <c r="AI156" s="227">
        <f t="shared" si="68"/>
        <v>3.0190794017500089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46165</v>
      </c>
      <c r="B157" s="1139">
        <f>IF(t&gt;Tmaj,'2025'!Wh/'2025'!Env_an*'2026'!Env_an,0.001*[7]mois!$B$230)</f>
        <v>17.705940518029635</v>
      </c>
      <c r="C157" s="866"/>
      <c r="D157" s="395">
        <f t="shared" si="50"/>
        <v>18.920976692951299</v>
      </c>
      <c r="E157" s="387">
        <f t="shared" si="72"/>
        <v>19.566599626111792</v>
      </c>
      <c r="F157" s="387">
        <f t="shared" si="51"/>
        <v>19.566605492191947</v>
      </c>
      <c r="G157" s="110">
        <f t="shared" si="73"/>
        <v>0.30248845961129445</v>
      </c>
      <c r="H157" s="414" t="b">
        <f>Wh_hp&gt;='2025'!Maxi_hp</f>
        <v>0</v>
      </c>
      <c r="I157" s="392">
        <f>IF(H157,Wh_hp,'2025'!Maxi_hp)</f>
        <v>57.176818430303342</v>
      </c>
      <c r="J157" s="85">
        <f>IF(H157,An,'2025'!An_max)</f>
        <v>2020</v>
      </c>
      <c r="K157" s="199">
        <f t="shared" si="52"/>
        <v>46165</v>
      </c>
      <c r="L157" s="147">
        <f>IF(t&lt;Tvie,1-EXP((T0-t)*PertePVj)+'2025'!Pspv,1-EXP((T0-t)*PertePVj)+Pspv)</f>
        <v>6.4216355986226992E-2</v>
      </c>
      <c r="M157" s="870"/>
      <c r="N157" s="870"/>
      <c r="O157" s="48">
        <f>IF(t&lt;Tnet,'2025'!Resal+('2025'!Salim-'2025'!Resal)*(1-EXP(('2025'!Tnet-t)/('2025'!Tau_j))),Resal+(Salim-Resal)*(1-EXP((Tnet-t)/(Tau_j))))*Salcycl</f>
        <v>3.2996174373543352E-2</v>
      </c>
      <c r="P157" s="171">
        <f>(INDEX(Models!$BJ157:$BT157,,T157)*(1-R157)+INDEX(Models!$BJ157:$BT157,,T157+1)*R157-ERP_i)*Q157*Ramure*Pc/MaxiM</f>
        <v>8.3489135913794894E-5</v>
      </c>
      <c r="Q157" s="307">
        <f t="shared" si="53"/>
        <v>1</v>
      </c>
      <c r="R157" s="179">
        <f t="shared" si="54"/>
        <v>9.0352472690919505E-2</v>
      </c>
      <c r="S157" s="837">
        <f t="shared" si="55"/>
        <v>-2</v>
      </c>
      <c r="T157" s="178">
        <f t="shared" si="56"/>
        <v>4</v>
      </c>
      <c r="U157" s="253">
        <f t="shared" si="57"/>
        <v>-1.9096475273090805</v>
      </c>
      <c r="V157" s="385">
        <f t="shared" si="58"/>
        <v>58.529398427021064</v>
      </c>
      <c r="W157" s="404">
        <f t="shared" si="59"/>
        <v>17.705940518029635</v>
      </c>
      <c r="X157" s="157">
        <f t="shared" si="60"/>
        <v>46165</v>
      </c>
      <c r="Y157" s="387">
        <f t="shared" si="61"/>
        <v>16.33308327469668</v>
      </c>
      <c r="Z157" s="387">
        <f t="shared" si="62"/>
        <v>17.453909757003924</v>
      </c>
      <c r="AA157" s="388">
        <f t="shared" si="63"/>
        <v>19.566411696530476</v>
      </c>
      <c r="AB157" s="199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0.10796573088059587</v>
      </c>
      <c r="AD157" s="233">
        <f>(INDEX(Models!$BJ157:$BT157,,AH157)*(1-AF157)+INDEX(Models!$BJ157:$BT157,,AH157+1)*AF157-ERP_i)*AE157*Ramure*Pc/MaxiM</f>
        <v>2.758201710495642E-3</v>
      </c>
      <c r="AE157" s="307">
        <f t="shared" si="65"/>
        <v>1</v>
      </c>
      <c r="AF157" s="179">
        <f t="shared" si="66"/>
        <v>2.5335065614489949E-2</v>
      </c>
      <c r="AG157" s="837">
        <f t="shared" si="74"/>
        <v>3</v>
      </c>
      <c r="AH157" s="178">
        <f t="shared" si="67"/>
        <v>9</v>
      </c>
      <c r="AI157" s="227">
        <f t="shared" si="68"/>
        <v>3.0253350656144899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46166</v>
      </c>
      <c r="B158" s="1139">
        <f>IF(t&gt;Tmaj,'2025'!Wh/'2025'!Env_an*'2026'!Env_an,0.001*[7]mois!$B$231)</f>
        <v>14.751475321868107</v>
      </c>
      <c r="C158" s="866"/>
      <c r="D158" s="395">
        <f t="shared" si="50"/>
        <v>15.764133849320896</v>
      </c>
      <c r="E158" s="387">
        <f t="shared" si="72"/>
        <v>16.307612194252787</v>
      </c>
      <c r="F158" s="387">
        <f t="shared" si="51"/>
        <v>16.307612194252787</v>
      </c>
      <c r="G158" s="110">
        <f t="shared" si="73"/>
        <v>0.25187923255095868</v>
      </c>
      <c r="H158" s="414" t="b">
        <f>Wh_hp&gt;='2025'!Maxi_hp</f>
        <v>0</v>
      </c>
      <c r="I158" s="392">
        <f>IF(H158,Wh_hp,'2025'!Maxi_hp)</f>
        <v>28.621272020184886</v>
      </c>
      <c r="J158" s="85">
        <f>IF(H158,An,'2025'!An_max)</f>
        <v>2021</v>
      </c>
      <c r="K158" s="199">
        <f t="shared" si="52"/>
        <v>46166</v>
      </c>
      <c r="L158" s="147">
        <f>IF(t&lt;Tvie,1-EXP((T0-t)*PertePVj)+'2025'!Pspv,1-EXP((T0-t)*PertePVj)+Pspv)</f>
        <v>6.4238133038715173E-2</v>
      </c>
      <c r="M158" s="870"/>
      <c r="N158" s="870"/>
      <c r="O158" s="48">
        <f>IF(t&lt;Tnet,'2025'!Resal+('2025'!Salim-'2025'!Resal)*(1-EXP(('2025'!Tnet-t)/('2025'!Tau_j))),Resal+(Salim-Resal)*(1-EXP((Tnet-t)/(Tau_j))))*Salcycl</f>
        <v>3.3326666004691238E-2</v>
      </c>
      <c r="P158" s="171">
        <f>(INDEX(Models!$BJ158:$BT158,,T158)*(1-R158)+INDEX(Models!$BJ158:$BT158,,T158+1)*R158-ERP_i)*Q158*Ramure*Pc/MaxiM</f>
        <v>7.8925547377537699E-5</v>
      </c>
      <c r="Q158" s="307">
        <f t="shared" si="53"/>
        <v>1</v>
      </c>
      <c r="R158" s="179">
        <f t="shared" si="54"/>
        <v>9.6699764034080982E-2</v>
      </c>
      <c r="S158" s="837">
        <f t="shared" si="55"/>
        <v>-2</v>
      </c>
      <c r="T158" s="178">
        <f t="shared" si="56"/>
        <v>4</v>
      </c>
      <c r="U158" s="253">
        <f t="shared" si="57"/>
        <v>-1.903300235965919</v>
      </c>
      <c r="V158" s="385">
        <f t="shared" si="58"/>
        <v>58.561044927034658</v>
      </c>
      <c r="W158" s="404">
        <f t="shared" si="59"/>
        <v>14.751475321868107</v>
      </c>
      <c r="X158" s="157">
        <f t="shared" si="60"/>
        <v>46166</v>
      </c>
      <c r="Y158" s="387">
        <f t="shared" si="61"/>
        <v>13.608061952474227</v>
      </c>
      <c r="Z158" s="387">
        <f t="shared" si="62"/>
        <v>14.542227497113036</v>
      </c>
      <c r="AA158" s="388">
        <f t="shared" si="63"/>
        <v>16.307612194252787</v>
      </c>
      <c r="AB158" s="199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0.10825525381097292</v>
      </c>
      <c r="AD158" s="233">
        <f>(INDEX(Models!$BJ158:$BT158,,AH158)*(1-AF158)+INDEX(Models!$BJ158:$BT158,,AH158+1)*AF158-ERP_i)*AE158*Ramure*Pc/MaxiM</f>
        <v>2.5953214068416505E-3</v>
      </c>
      <c r="AE158" s="307">
        <f t="shared" si="65"/>
        <v>1</v>
      </c>
      <c r="AF158" s="179">
        <f t="shared" si="66"/>
        <v>3.1682356957651425E-2</v>
      </c>
      <c r="AG158" s="837">
        <f t="shared" si="74"/>
        <v>3</v>
      </c>
      <c r="AH158" s="178">
        <f t="shared" si="67"/>
        <v>9</v>
      </c>
      <c r="AI158" s="227">
        <f t="shared" si="68"/>
        <v>3.0316823569576514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46167</v>
      </c>
      <c r="B159" s="1139">
        <f>IF(t&gt;Tmaj,'2025'!Wh/'2025'!Env_an*'2026'!Env_an,0.001*[7]mois!$B$232)</f>
        <v>41.037566946532884</v>
      </c>
      <c r="C159" s="866"/>
      <c r="D159" s="395">
        <f t="shared" si="50"/>
        <v>43.855732341560028</v>
      </c>
      <c r="E159" s="387">
        <f t="shared" si="72"/>
        <v>45.383214643497723</v>
      </c>
      <c r="F159" s="387">
        <f t="shared" si="51"/>
        <v>45.385151426969244</v>
      </c>
      <c r="G159" s="110">
        <f t="shared" si="73"/>
        <v>0.70041445124738677</v>
      </c>
      <c r="H159" s="414" t="b">
        <f>Wh_hp&gt;='2025'!Maxi_hp</f>
        <v>0</v>
      </c>
      <c r="I159" s="392">
        <f>IF(H159,Wh_hp,'2025'!Maxi_hp)</f>
        <v>59.3893737120083</v>
      </c>
      <c r="J159" s="85">
        <f>IF(H159,An,'2025'!An_max)</f>
        <v>2020</v>
      </c>
      <c r="K159" s="199">
        <f t="shared" si="52"/>
        <v>46167</v>
      </c>
      <c r="L159" s="147">
        <f>IF(t&lt;Tvie,1-EXP((T0-t)*PertePVj)+'2025'!Pspv,1-EXP((T0-t)*PertePVj)+Pspv)</f>
        <v>6.4259909584419406E-2</v>
      </c>
      <c r="M159" s="870"/>
      <c r="N159" s="870"/>
      <c r="O159" s="48">
        <f>IF(t&lt;Tnet,'2025'!Resal+('2025'!Salim-'2025'!Resal)*(1-EXP(('2025'!Tnet-t)/('2025'!Tau_j))),Resal+(Salim-Resal)*(1-EXP((Tnet-t)/(Tau_j))))*Salcycl</f>
        <v>3.3657428499427412E-2</v>
      </c>
      <c r="P159" s="171">
        <f>(INDEX(Models!$BJ159:$BT159,,T159)*(1-R159)+INDEX(Models!$BJ159:$BT159,,T159+1)*R159-ERP_i)*Q159*Ramure*Pc/MaxiM</f>
        <v>7.4598711283366102E-5</v>
      </c>
      <c r="Q159" s="307">
        <f t="shared" si="53"/>
        <v>1</v>
      </c>
      <c r="R159" s="179">
        <f t="shared" si="54"/>
        <v>0.10313523561888482</v>
      </c>
      <c r="S159" s="837">
        <f t="shared" si="55"/>
        <v>-2</v>
      </c>
      <c r="T159" s="178">
        <f t="shared" si="56"/>
        <v>4</v>
      </c>
      <c r="U159" s="253">
        <f t="shared" si="57"/>
        <v>-1.8968647643811152</v>
      </c>
      <c r="V159" s="385">
        <f t="shared" si="58"/>
        <v>58.588535289220701</v>
      </c>
      <c r="W159" s="404">
        <f t="shared" si="59"/>
        <v>41.037566946532884</v>
      </c>
      <c r="X159" s="157">
        <f t="shared" si="60"/>
        <v>46167</v>
      </c>
      <c r="Y159" s="387">
        <f t="shared" si="61"/>
        <v>37.806002978398091</v>
      </c>
      <c r="Z159" s="387">
        <f t="shared" si="62"/>
        <v>40.402247766906832</v>
      </c>
      <c r="AA159" s="388">
        <f t="shared" si="63"/>
        <v>45.321691465975888</v>
      </c>
      <c r="AB159" s="199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0.10854501542075502</v>
      </c>
      <c r="AD159" s="233">
        <f>(INDEX(Models!$BJ159:$BT159,,AH159)*(1-AF159)+INDEX(Models!$BJ159:$BT159,,AH159+1)*AF159-ERP_i)*AE159*Ramure*Pc/MaxiM</f>
        <v>2.4442749423512051E-3</v>
      </c>
      <c r="AE159" s="307">
        <f t="shared" si="65"/>
        <v>1</v>
      </c>
      <c r="AF159" s="179">
        <f t="shared" si="66"/>
        <v>3.8117828542455268E-2</v>
      </c>
      <c r="AG159" s="837">
        <f t="shared" si="74"/>
        <v>3</v>
      </c>
      <c r="AH159" s="178">
        <f t="shared" si="67"/>
        <v>9</v>
      </c>
      <c r="AI159" s="227">
        <f t="shared" si="68"/>
        <v>3.0381178285424553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46168</v>
      </c>
      <c r="B160" s="1139">
        <f>IF(t&gt;Tmaj,'2025'!Wh/'2025'!Env_an*'2026'!Env_an,0.001*[7]mois!$B$233)</f>
        <v>21.551326527443646</v>
      </c>
      <c r="C160" s="866"/>
      <c r="D160" s="395">
        <f t="shared" si="50"/>
        <v>23.031852851785413</v>
      </c>
      <c r="E160" s="387">
        <f t="shared" si="72"/>
        <v>23.842211625090563</v>
      </c>
      <c r="F160" s="387">
        <f t="shared" si="51"/>
        <v>23.842374199516929</v>
      </c>
      <c r="G160" s="110">
        <f t="shared" si="73"/>
        <v>0.36767020985189308</v>
      </c>
      <c r="H160" s="414" t="b">
        <f>Wh_hp&gt;='2025'!Maxi_hp</f>
        <v>0</v>
      </c>
      <c r="I160" s="392">
        <f>IF(H160,Wh_hp,'2025'!Maxi_hp)</f>
        <v>63.356163340026761</v>
      </c>
      <c r="J160" s="85">
        <f>IF(H160,An,'2025'!An_max)</f>
        <v>2020</v>
      </c>
      <c r="K160" s="199">
        <f t="shared" si="52"/>
        <v>46168</v>
      </c>
      <c r="L160" s="147">
        <f>IF(t&lt;Tvie,1-EXP((T0-t)*PertePVj)+'2025'!Pspv,1-EXP((T0-t)*PertePVj)+Pspv)</f>
        <v>6.4281685623351681E-2</v>
      </c>
      <c r="M160" s="870"/>
      <c r="N160" s="870"/>
      <c r="O160" s="48">
        <f>IF(t&lt;Tnet,'2025'!Resal+('2025'!Salim-'2025'!Resal)*(1-EXP(('2025'!Tnet-t)/('2025'!Tau_j))),Resal+(Salim-Resal)*(1-EXP((Tnet-t)/(Tau_j))))*Salcycl</f>
        <v>3.3988406195185422E-2</v>
      </c>
      <c r="P160" s="171">
        <f>(INDEX(Models!$BJ160:$BT160,,T160)*(1-R160)+INDEX(Models!$BJ160:$BT160,,T160+1)*R160-ERP_i)*Q160*Ramure*Pc/MaxiM</f>
        <v>7.051036672171353E-5</v>
      </c>
      <c r="Q160" s="307">
        <f t="shared" si="53"/>
        <v>1</v>
      </c>
      <c r="R160" s="179">
        <f t="shared" si="54"/>
        <v>0.10965519289605008</v>
      </c>
      <c r="S160" s="837">
        <f t="shared" si="55"/>
        <v>-2</v>
      </c>
      <c r="T160" s="178">
        <f t="shared" si="56"/>
        <v>4</v>
      </c>
      <c r="U160" s="253">
        <f t="shared" si="57"/>
        <v>-1.8903448071039499</v>
      </c>
      <c r="V160" s="385">
        <f t="shared" si="58"/>
        <v>58.612183693768294</v>
      </c>
      <c r="W160" s="404">
        <f t="shared" si="59"/>
        <v>21.551326527443646</v>
      </c>
      <c r="X160" s="157">
        <f t="shared" si="60"/>
        <v>46168</v>
      </c>
      <c r="Y160" s="387">
        <f t="shared" si="61"/>
        <v>19.877236598885098</v>
      </c>
      <c r="Z160" s="387">
        <f t="shared" si="62"/>
        <v>21.242756814188045</v>
      </c>
      <c r="AA160" s="388">
        <f t="shared" si="63"/>
        <v>23.837059303473886</v>
      </c>
      <c r="AB160" s="199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0.10883483806694909</v>
      </c>
      <c r="AD160" s="233">
        <f>(INDEX(Models!$BJ160:$BT160,,AH160)*(1-AF160)+INDEX(Models!$BJ160:$BT160,,AH160+1)*AF160-ERP_i)*AE160*Ramure*Pc/MaxiM</f>
        <v>2.3051305021471783E-3</v>
      </c>
      <c r="AE160" s="307">
        <f t="shared" si="65"/>
        <v>1</v>
      </c>
      <c r="AF160" s="179">
        <f t="shared" si="66"/>
        <v>4.4637785819620746E-2</v>
      </c>
      <c r="AG160" s="837">
        <f t="shared" si="74"/>
        <v>3</v>
      </c>
      <c r="AH160" s="178">
        <f t="shared" si="67"/>
        <v>9</v>
      </c>
      <c r="AI160" s="227">
        <f t="shared" si="68"/>
        <v>3.0446377858196207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46169</v>
      </c>
      <c r="B161" s="1139">
        <f>IF(t&gt;Tmaj,'2025'!Wh/'2025'!Env_an*'2026'!Env_an,0.001*[7]mois!$B$234)</f>
        <v>40.849118982196721</v>
      </c>
      <c r="C161" s="866"/>
      <c r="D161" s="395">
        <f t="shared" si="50"/>
        <v>43.656374995939061</v>
      </c>
      <c r="E161" s="387">
        <f t="shared" si="72"/>
        <v>45.207888993092574</v>
      </c>
      <c r="F161" s="387">
        <f t="shared" si="51"/>
        <v>45.209596952438986</v>
      </c>
      <c r="G161" s="110">
        <f t="shared" si="73"/>
        <v>0.69667975242761804</v>
      </c>
      <c r="H161" s="414" t="b">
        <f>Wh_hp&gt;='2025'!Maxi_hp</f>
        <v>0</v>
      </c>
      <c r="I161" s="392">
        <f>IF(H161,Wh_hp,'2025'!Maxi_hp)</f>
        <v>62.931716158042121</v>
      </c>
      <c r="J161" s="85">
        <f>IF(H161,An,'2025'!An_max)</f>
        <v>2021</v>
      </c>
      <c r="K161" s="199">
        <f t="shared" si="52"/>
        <v>46169</v>
      </c>
      <c r="L161" s="147">
        <f>IF(t&lt;Tvie,1-EXP((T0-t)*PertePVj)+'2025'!Pspv,1-EXP((T0-t)*PertePVj)+Pspv)</f>
        <v>6.4303461155523656E-2</v>
      </c>
      <c r="M161" s="870"/>
      <c r="N161" s="870"/>
      <c r="O161" s="48">
        <f>IF(t&lt;Tnet,'2025'!Resal+('2025'!Salim-'2025'!Resal)*(1-EXP(('2025'!Tnet-t)/('2025'!Tau_j))),Resal+(Salim-Resal)*(1-EXP((Tnet-t)/(Tau_j))))*Salcycl</f>
        <v>3.4319540940975432E-2</v>
      </c>
      <c r="P161" s="171">
        <f>(INDEX(Models!$BJ161:$BT161,,T161)*(1-R161)+INDEX(Models!$BJ161:$BT161,,T161+1)*R161-ERP_i)*Q161*Ramure*Pc/MaxiM</f>
        <v>6.6662695216462042E-5</v>
      </c>
      <c r="Q161" s="307">
        <f t="shared" si="53"/>
        <v>1</v>
      </c>
      <c r="R161" s="179">
        <f t="shared" si="54"/>
        <v>0.11625569924341628</v>
      </c>
      <c r="S161" s="837">
        <f t="shared" si="55"/>
        <v>-2</v>
      </c>
      <c r="T161" s="178">
        <f t="shared" si="56"/>
        <v>4</v>
      </c>
      <c r="U161" s="253">
        <f t="shared" si="57"/>
        <v>-1.8837443007565837</v>
      </c>
      <c r="V161" s="385">
        <f t="shared" si="58"/>
        <v>58.632304023643826</v>
      </c>
      <c r="W161" s="404">
        <f t="shared" si="59"/>
        <v>40.849118982196721</v>
      </c>
      <c r="X161" s="157">
        <f t="shared" si="60"/>
        <v>46169</v>
      </c>
      <c r="Y161" s="387">
        <f t="shared" si="61"/>
        <v>37.639710969486352</v>
      </c>
      <c r="Z161" s="387">
        <f t="shared" si="62"/>
        <v>40.226408249803846</v>
      </c>
      <c r="AA161" s="388">
        <f t="shared" si="63"/>
        <v>45.153795461841128</v>
      </c>
      <c r="AB161" s="199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0.10912454117398281</v>
      </c>
      <c r="AD161" s="233">
        <f>(INDEX(Models!$BJ161:$BT161,,AH161)*(1-AF161)+INDEX(Models!$BJ161:$BT161,,AH161+1)*AF161-ERP_i)*AE161*Ramure*Pc/MaxiM</f>
        <v>2.1779662192561648E-3</v>
      </c>
      <c r="AE161" s="307">
        <f t="shared" si="65"/>
        <v>1</v>
      </c>
      <c r="AF161" s="179">
        <f t="shared" si="66"/>
        <v>5.1238292166986721E-2</v>
      </c>
      <c r="AG161" s="837">
        <f t="shared" si="74"/>
        <v>3</v>
      </c>
      <c r="AH161" s="178">
        <f t="shared" si="67"/>
        <v>9</v>
      </c>
      <c r="AI161" s="227">
        <f t="shared" si="68"/>
        <v>3.0512382921669867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46170</v>
      </c>
      <c r="B162" s="1139">
        <f>IF(t&gt;Tmaj,'2025'!Wh/'2025'!Env_an*'2026'!Env_an,0.001*[7]mois!$B$235)</f>
        <v>54.538147476952645</v>
      </c>
      <c r="C162" s="866"/>
      <c r="D162" s="395">
        <f t="shared" si="50"/>
        <v>58.287505002646</v>
      </c>
      <c r="E162" s="387">
        <f t="shared" si="72"/>
        <v>60.379708532631874</v>
      </c>
      <c r="F162" s="387">
        <f t="shared" si="51"/>
        <v>60.383134904156684</v>
      </c>
      <c r="G162" s="110">
        <f t="shared" si="73"/>
        <v>0.92989834332752075</v>
      </c>
      <c r="H162" s="414" t="b">
        <f>Wh_hp&gt;='2025'!Maxi_hp</f>
        <v>0</v>
      </c>
      <c r="I162" s="392">
        <f>IF(H162,Wh_hp,'2025'!Maxi_hp)</f>
        <v>62.080985179253567</v>
      </c>
      <c r="J162" s="85">
        <f>IF(H162,An,'2025'!An_max)</f>
        <v>2020</v>
      </c>
      <c r="K162" s="199">
        <f t="shared" si="52"/>
        <v>46170</v>
      </c>
      <c r="L162" s="147">
        <f>IF(t&lt;Tvie,1-EXP((T0-t)*PertePVj)+'2025'!Pspv,1-EXP((T0-t)*PertePVj)+Pspv)</f>
        <v>6.4325236180947321E-2</v>
      </c>
      <c r="M162" s="870"/>
      <c r="N162" s="870"/>
      <c r="O162" s="48">
        <f>IF(t&lt;Tnet,'2025'!Resal+('2025'!Salim-'2025'!Resal)*(1-EXP(('2025'!Tnet-t)/('2025'!Tau_j))),Resal+(Salim-Resal)*(1-EXP((Tnet-t)/(Tau_j))))*Salcycl</f>
        <v>3.465077226822242E-2</v>
      </c>
      <c r="P162" s="171">
        <f>(INDEX(Models!$BJ162:$BT162,,T162)*(1-R162)+INDEX(Models!$BJ162:$BT162,,T162+1)*R162-ERP_i)*Q162*Ramure*Pc/MaxiM</f>
        <v>6.3058309082315519E-5</v>
      </c>
      <c r="Q162" s="307">
        <f t="shared" si="53"/>
        <v>1</v>
      </c>
      <c r="R162" s="179">
        <f t="shared" si="54"/>
        <v>0.12293258257757556</v>
      </c>
      <c r="S162" s="837">
        <f t="shared" si="55"/>
        <v>-2</v>
      </c>
      <c r="T162" s="178">
        <f t="shared" si="56"/>
        <v>4</v>
      </c>
      <c r="U162" s="253">
        <f t="shared" si="57"/>
        <v>-1.8770674174224244</v>
      </c>
      <c r="V162" s="385">
        <f t="shared" si="58"/>
        <v>58.649209851617428</v>
      </c>
      <c r="W162" s="404">
        <f t="shared" si="59"/>
        <v>54.538147476952645</v>
      </c>
      <c r="X162" s="157">
        <f t="shared" si="60"/>
        <v>46170</v>
      </c>
      <c r="Y162" s="387">
        <f t="shared" si="61"/>
        <v>50.223796045169458</v>
      </c>
      <c r="Z162" s="387">
        <f t="shared" si="62"/>
        <v>53.676552993879916</v>
      </c>
      <c r="AA162" s="388">
        <f t="shared" si="63"/>
        <v>60.271045679205557</v>
      </c>
      <c r="AB162" s="199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0.10941394181917846</v>
      </c>
      <c r="AD162" s="233">
        <f>(INDEX(Models!$BJ162:$BT162,,AH162)*(1-AF162)+INDEX(Models!$BJ162:$BT162,,AH162+1)*AF162-ERP_i)*AE162*Ramure*Pc/MaxiM</f>
        <v>2.0628694058944341E-3</v>
      </c>
      <c r="AE162" s="307">
        <f t="shared" si="65"/>
        <v>1</v>
      </c>
      <c r="AF162" s="179">
        <f t="shared" si="66"/>
        <v>5.7915175501145999E-2</v>
      </c>
      <c r="AG162" s="837">
        <f t="shared" si="74"/>
        <v>3</v>
      </c>
      <c r="AH162" s="178">
        <f t="shared" si="67"/>
        <v>9</v>
      </c>
      <c r="AI162" s="227">
        <f t="shared" si="68"/>
        <v>3.057915175501146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46171</v>
      </c>
      <c r="B163" s="1139">
        <f>IF(t&gt;Tmaj,'2025'!Wh/'2025'!Env_an*'2026'!Env_an,0.001*[7]mois!$B$236)</f>
        <v>59.521991108511394</v>
      </c>
      <c r="C163" s="866"/>
      <c r="D163" s="395">
        <f t="shared" si="50"/>
        <v>63.615455504523041</v>
      </c>
      <c r="E163" s="387">
        <f t="shared" si="72"/>
        <v>65.921524760928179</v>
      </c>
      <c r="F163" s="387">
        <f t="shared" si="51"/>
        <v>65.925460607676627</v>
      </c>
      <c r="G163" s="110">
        <f t="shared" si="73"/>
        <v>1.014659991825851</v>
      </c>
      <c r="H163" s="414" t="b">
        <f>Wh_hp&gt;='2025'!Maxi_hp</f>
        <v>1</v>
      </c>
      <c r="I163" s="392">
        <f>IF(H163,Wh_hp,'2025'!Maxi_hp)</f>
        <v>65.925460607676627</v>
      </c>
      <c r="J163" s="85">
        <f>IF(H163,An,'2025'!An_max)</f>
        <v>2026</v>
      </c>
      <c r="K163" s="199">
        <f t="shared" si="52"/>
        <v>46171</v>
      </c>
      <c r="L163" s="147">
        <f>IF(t&lt;Tvie,1-EXP((T0-t)*PertePVj)+'2025'!Pspv,1-EXP((T0-t)*PertePVj)+Pspv)</f>
        <v>6.4347010699634222E-2</v>
      </c>
      <c r="M163" s="870"/>
      <c r="N163" s="870"/>
      <c r="O163" s="48">
        <f>IF(t&lt;Tnet,'2025'!Resal+('2025'!Salim-'2025'!Resal)*(1-EXP(('2025'!Tnet-t)/('2025'!Tau_j))),Resal+(Salim-Resal)*(1-EXP((Tnet-t)/(Tau_j))))*Salcycl</f>
        <v>3.4982037578292643E-2</v>
      </c>
      <c r="P163" s="171">
        <f>(INDEX(Models!$BJ163:$BT163,,T163)*(1-R163)+INDEX(Models!$BJ163:$BT163,,T163+1)*R163-ERP_i)*Q163*Ramure*Pc/MaxiM</f>
        <v>5.9701467569133913E-5</v>
      </c>
      <c r="Q163" s="307">
        <f t="shared" si="53"/>
        <v>1</v>
      </c>
      <c r="R163" s="179">
        <f t="shared" si="54"/>
        <v>0.12968144334128651</v>
      </c>
      <c r="S163" s="837">
        <f t="shared" si="55"/>
        <v>-2</v>
      </c>
      <c r="T163" s="178">
        <f t="shared" si="56"/>
        <v>4</v>
      </c>
      <c r="U163" s="253">
        <f t="shared" si="57"/>
        <v>-1.8703185566587135</v>
      </c>
      <c r="V163" s="385">
        <f t="shared" si="58"/>
        <v>58.662006571682511</v>
      </c>
      <c r="W163" s="404">
        <f t="shared" si="59"/>
        <v>59.521991108511394</v>
      </c>
      <c r="X163" s="157">
        <f t="shared" si="60"/>
        <v>46171</v>
      </c>
      <c r="Y163" s="387">
        <f t="shared" si="61"/>
        <v>54.808879139739993</v>
      </c>
      <c r="Z163" s="387">
        <f t="shared" si="62"/>
        <v>58.578211972286127</v>
      </c>
      <c r="AA163" s="388">
        <f t="shared" si="63"/>
        <v>65.796248279601045</v>
      </c>
      <c r="AB163" s="199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0.10970285534582275</v>
      </c>
      <c r="AD163" s="233">
        <f>(INDEX(Models!$BJ163:$BT163,,AH163)*(1-AF163)+INDEX(Models!$BJ163:$BT163,,AH163+1)*AF163-ERP_i)*AE163*Ramure*Pc/MaxiM</f>
        <v>1.9599761136979642E-3</v>
      </c>
      <c r="AE163" s="307">
        <f t="shared" si="65"/>
        <v>1</v>
      </c>
      <c r="AF163" s="179">
        <f t="shared" si="66"/>
        <v>6.466403626485695E-2</v>
      </c>
      <c r="AG163" s="837">
        <f t="shared" si="74"/>
        <v>3</v>
      </c>
      <c r="AH163" s="178">
        <f t="shared" si="67"/>
        <v>9</v>
      </c>
      <c r="AI163" s="227">
        <f t="shared" si="68"/>
        <v>3.0646640362648569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46172</v>
      </c>
      <c r="B164" s="1139">
        <f>IF(t&gt;Tmaj,'2025'!Wh/'2025'!Env_an*'2026'!Env_an,0.001*[7]mois!$B$237)</f>
        <v>50.888479757612963</v>
      </c>
      <c r="C164" s="866"/>
      <c r="D164" s="395">
        <f t="shared" si="50"/>
        <v>54.38946341901049</v>
      </c>
      <c r="E164" s="387">
        <f t="shared" si="72"/>
        <v>56.380441297537487</v>
      </c>
      <c r="F164" s="387">
        <f t="shared" si="51"/>
        <v>56.383034345331495</v>
      </c>
      <c r="G164" s="110">
        <f t="shared" si="73"/>
        <v>0.86736273335891756</v>
      </c>
      <c r="H164" s="414" t="b">
        <f>Wh_hp&gt;='2025'!Maxi_hp</f>
        <v>0</v>
      </c>
      <c r="I164" s="392">
        <f>IF(H164,Wh_hp,'2025'!Maxi_hp)</f>
        <v>63.686724886206711</v>
      </c>
      <c r="J164" s="85">
        <f>IF(H164,An,'2025'!An_max)</f>
        <v>2019</v>
      </c>
      <c r="K164" s="199">
        <f t="shared" si="52"/>
        <v>46172</v>
      </c>
      <c r="L164" s="147">
        <f>IF(t&lt;Tvie,1-EXP((T0-t)*PertePVj)+'2025'!Pspv,1-EXP((T0-t)*PertePVj)+Pspv)</f>
        <v>6.4368784711596239E-2</v>
      </c>
      <c r="M164" s="870"/>
      <c r="N164" s="870"/>
      <c r="O164" s="48">
        <f>IF(t&lt;Tnet,'2025'!Resal+('2025'!Salim-'2025'!Resal)*(1-EXP(('2025'!Tnet-t)/('2025'!Tau_j))),Resal+(Salim-Resal)*(1-EXP((Tnet-t)/(Tau_j))))*Salcycl</f>
        <v>3.5313272345989299E-2</v>
      </c>
      <c r="P164" s="171">
        <f>(INDEX(Models!$BJ164:$BT164,,T164)*(1-R164)+INDEX(Models!$BJ164:$BT164,,T164+1)*R164-ERP_i)*Q164*Ramure*Pc/MaxiM</f>
        <v>5.6740371243504392E-5</v>
      </c>
      <c r="Q164" s="307">
        <f t="shared" si="53"/>
        <v>1</v>
      </c>
      <c r="R164" s="179">
        <f t="shared" si="54"/>
        <v>0.13649766385740891</v>
      </c>
      <c r="S164" s="837">
        <f t="shared" si="55"/>
        <v>-2</v>
      </c>
      <c r="T164" s="178">
        <f t="shared" si="56"/>
        <v>4</v>
      </c>
      <c r="U164" s="253">
        <f t="shared" si="57"/>
        <v>-1.8635023361425911</v>
      </c>
      <c r="V164" s="385">
        <f t="shared" si="58"/>
        <v>58.669724554749266</v>
      </c>
      <c r="W164" s="404">
        <f t="shared" si="59"/>
        <v>50.888479757612963</v>
      </c>
      <c r="X164" s="157">
        <f t="shared" si="60"/>
        <v>46172</v>
      </c>
      <c r="Y164" s="387">
        <f t="shared" si="61"/>
        <v>46.880092529994535</v>
      </c>
      <c r="Z164" s="387">
        <f t="shared" si="62"/>
        <v>50.105310472720788</v>
      </c>
      <c r="AA164" s="388">
        <f t="shared" si="63"/>
        <v>56.297538426377884</v>
      </c>
      <c r="AB164" s="199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0.10999109600066927</v>
      </c>
      <c r="AD164" s="233">
        <f>(INDEX(Models!$BJ164:$BT164,,AH164)*(1-AF164)+INDEX(Models!$BJ164:$BT164,,AH164+1)*AF164-ERP_i)*AE164*Ramure*Pc/MaxiM</f>
        <v>1.8707985994066399E-3</v>
      </c>
      <c r="AE164" s="307">
        <f t="shared" si="65"/>
        <v>1</v>
      </c>
      <c r="AF164" s="179">
        <f t="shared" si="66"/>
        <v>7.1480256780979357E-2</v>
      </c>
      <c r="AG164" s="837">
        <f t="shared" si="74"/>
        <v>3</v>
      </c>
      <c r="AH164" s="178">
        <f t="shared" si="67"/>
        <v>9</v>
      </c>
      <c r="AI164" s="227">
        <f t="shared" si="68"/>
        <v>3.0714802567809794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46173</v>
      </c>
      <c r="B165" s="1139">
        <f>IF(t&gt;Tmaj,'2025'!Wh/'2025'!Env_an*'2026'!Env_an,0.001*[7]mois!$B$238)</f>
        <v>54.546365000383865</v>
      </c>
      <c r="C165" s="866"/>
      <c r="D165" s="395">
        <f t="shared" si="50"/>
        <v>58.300357568458594</v>
      </c>
      <c r="E165" s="387">
        <f t="shared" si="72"/>
        <v>60.455249280922551</v>
      </c>
      <c r="F165" s="387">
        <f t="shared" si="51"/>
        <v>60.458189443800833</v>
      </c>
      <c r="G165" s="110">
        <f t="shared" si="73"/>
        <v>0.92966876703723933</v>
      </c>
      <c r="H165" s="414" t="b">
        <f>Wh_hp&gt;='2025'!Maxi_hp</f>
        <v>0</v>
      </c>
      <c r="I165" s="392">
        <f>IF(H165,Wh_hp,'2025'!Maxi_hp)</f>
        <v>64.708611084195553</v>
      </c>
      <c r="J165" s="85">
        <f>IF(H165,An,'2025'!An_max)</f>
        <v>2019</v>
      </c>
      <c r="K165" s="199">
        <f t="shared" si="52"/>
        <v>46173</v>
      </c>
      <c r="L165" s="147">
        <f>IF(t&lt;Tvie,1-EXP((T0-t)*PertePVj)+'2025'!Pspv,1-EXP((T0-t)*PertePVj)+Pspv)</f>
        <v>6.4390558216845251E-2</v>
      </c>
      <c r="M165" s="870"/>
      <c r="N165" s="870"/>
      <c r="O165" s="48">
        <f>IF(t&lt;Tnet,'2025'!Resal+('2025'!Salim-'2025'!Resal)*(1-EXP(('2025'!Tnet-t)/('2025'!Tau_j))),Resal+(Salim-Resal)*(1-EXP((Tnet-t)/(Tau_j))))*Salcycl</f>
        <v>3.5644410338143487E-2</v>
      </c>
      <c r="P165" s="171">
        <f>(INDEX(Models!$BJ165:$BT165,,T165)*(1-R165)+INDEX(Models!$BJ165:$BT165,,T165+1)*R165-ERP_i)*Q165*Ramure*Pc/MaxiM</f>
        <v>5.4062815358587456E-5</v>
      </c>
      <c r="Q165" s="307">
        <f t="shared" si="53"/>
        <v>1</v>
      </c>
      <c r="R165" s="179">
        <f t="shared" si="54"/>
        <v>0.14337641902688625</v>
      </c>
      <c r="S165" s="837">
        <f t="shared" si="55"/>
        <v>-2</v>
      </c>
      <c r="T165" s="178">
        <f t="shared" si="56"/>
        <v>4</v>
      </c>
      <c r="U165" s="253">
        <f t="shared" si="57"/>
        <v>-1.8566235809731138</v>
      </c>
      <c r="V165" s="385">
        <f t="shared" si="58"/>
        <v>58.672583884550043</v>
      </c>
      <c r="W165" s="404">
        <f t="shared" si="59"/>
        <v>54.546365000383865</v>
      </c>
      <c r="X165" s="157">
        <f t="shared" si="60"/>
        <v>46173</v>
      </c>
      <c r="Y165" s="387">
        <f t="shared" si="61"/>
        <v>50.246549081631372</v>
      </c>
      <c r="Z165" s="387">
        <f t="shared" si="62"/>
        <v>53.704619510751968</v>
      </c>
      <c r="AA165" s="388">
        <f t="shared" si="63"/>
        <v>60.361155887774245</v>
      </c>
      <c r="AB165" s="199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0.11027847759241656</v>
      </c>
      <c r="AD165" s="233">
        <f>(INDEX(Models!$BJ165:$BT165,,AH165)*(1-AF165)+INDEX(Models!$BJ165:$BT165,,AH165+1)*AF165-ERP_i)*AE165*Ramure*Pc/MaxiM</f>
        <v>1.7842233373532011E-3</v>
      </c>
      <c r="AE165" s="307">
        <f t="shared" si="65"/>
        <v>1</v>
      </c>
      <c r="AF165" s="179">
        <f t="shared" si="66"/>
        <v>7.8359011950456914E-2</v>
      </c>
      <c r="AG165" s="837">
        <f t="shared" si="74"/>
        <v>3</v>
      </c>
      <c r="AH165" s="178">
        <f t="shared" si="67"/>
        <v>9</v>
      </c>
      <c r="AI165" s="227">
        <f t="shared" si="68"/>
        <v>3.0783590119504569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46174</v>
      </c>
      <c r="B166" s="1139">
        <f>IF(t&gt;Tmaj,'2025'!Wh/'2025'!Env_an*'2026'!Env_an,0.001*'[8]mon-tableau'!$B$202)</f>
        <v>56.09730915518243</v>
      </c>
      <c r="C166" s="866"/>
      <c r="D166" s="395">
        <f t="shared" si="50"/>
        <v>59.959436220505879</v>
      </c>
      <c r="E166" s="387">
        <f t="shared" si="72"/>
        <v>62.196997063967729</v>
      </c>
      <c r="F166" s="387">
        <f t="shared" si="51"/>
        <v>62.200010208445036</v>
      </c>
      <c r="G166" s="110">
        <f t="shared" si="73"/>
        <v>0.95613371926034152</v>
      </c>
      <c r="H166" s="414" t="b">
        <f>Wh_hp&gt;='2025'!Maxi_hp</f>
        <v>0</v>
      </c>
      <c r="I166" s="392">
        <f>IF(H166,Wh_hp,'2025'!Maxi_hp)</f>
        <v>65.140726705313512</v>
      </c>
      <c r="J166" s="85">
        <f>IF(H166,An,'2025'!An_max)</f>
        <v>2019</v>
      </c>
      <c r="K166" s="199">
        <f t="shared" si="52"/>
        <v>46174</v>
      </c>
      <c r="L166" s="147">
        <f>IF(t&lt;Tvie,1-EXP((T0-t)*PertePVj)+'2025'!Pspv,1-EXP((T0-t)*PertePVj)+Pspv)</f>
        <v>6.4412331215392915E-2</v>
      </c>
      <c r="M166" s="870"/>
      <c r="N166" s="870"/>
      <c r="O166" s="48">
        <f>IF(t&lt;Tnet,'2025'!Resal+('2025'!Salim-'2025'!Resal)*(1-EXP(('2025'!Tnet-t)/('2025'!Tau_j))),Resal+(Salim-Resal)*(1-EXP((Tnet-t)/(Tau_j))))*Salcycl</f>
        <v>3.5975383846274543E-2</v>
      </c>
      <c r="P166" s="171">
        <f>(INDEX(Models!$BJ166:$BT166,,T166)*(1-R166)+INDEX(Models!$BJ166:$BT166,,T166+1)*R166-ERP_i)*Q166*Ramure*Pc/MaxiM</f>
        <v>5.1681264786777914E-5</v>
      </c>
      <c r="Q166" s="307">
        <f t="shared" si="53"/>
        <v>1</v>
      </c>
      <c r="R166" s="179">
        <f t="shared" si="54"/>
        <v>0.1503126883348016</v>
      </c>
      <c r="S166" s="837">
        <f t="shared" si="55"/>
        <v>-2</v>
      </c>
      <c r="T166" s="178">
        <f t="shared" si="56"/>
        <v>4</v>
      </c>
      <c r="U166" s="253">
        <f t="shared" si="57"/>
        <v>-1.8496873116651984</v>
      </c>
      <c r="V166" s="385">
        <f t="shared" si="58"/>
        <v>58.670797137309911</v>
      </c>
      <c r="W166" s="404">
        <f t="shared" si="59"/>
        <v>56.09730915518243</v>
      </c>
      <c r="X166" s="157">
        <f t="shared" si="60"/>
        <v>46174</v>
      </c>
      <c r="Y166" s="387">
        <f t="shared" si="61"/>
        <v>51.676915233942331</v>
      </c>
      <c r="Z166" s="387">
        <f t="shared" si="62"/>
        <v>55.234711783957358</v>
      </c>
      <c r="AA166" s="388">
        <f t="shared" si="63"/>
        <v>62.100884543098417</v>
      </c>
      <c r="AB166" s="199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0.11056481416743567</v>
      </c>
      <c r="AD166" s="233">
        <f>(INDEX(Models!$BJ166:$BT166,,AH166)*(1-AF166)+INDEX(Models!$BJ166:$BT166,,AH166+1)*AF166-ERP_i)*AE166*Ramure*Pc/MaxiM</f>
        <v>1.700197184877494E-3</v>
      </c>
      <c r="AE166" s="307">
        <f t="shared" si="65"/>
        <v>1</v>
      </c>
      <c r="AF166" s="179">
        <f t="shared" si="66"/>
        <v>8.5295281258372047E-2</v>
      </c>
      <c r="AG166" s="837">
        <f t="shared" si="74"/>
        <v>3</v>
      </c>
      <c r="AH166" s="178">
        <f t="shared" si="67"/>
        <v>9</v>
      </c>
      <c r="AI166" s="227">
        <f t="shared" si="68"/>
        <v>3.085295281258372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46175</v>
      </c>
      <c r="B167" s="1139">
        <f>IF(t&gt;Tmaj,'2025'!Wh/'2025'!Env_an*'2026'!Env_an,0.001*'[8]mon-tableau'!$B$203)</f>
        <v>44.055526783674431</v>
      </c>
      <c r="C167" s="866"/>
      <c r="D167" s="395">
        <f t="shared" si="50"/>
        <v>47.089710044207273</v>
      </c>
      <c r="E167" s="387">
        <f t="shared" si="72"/>
        <v>48.86376391260967</v>
      </c>
      <c r="F167" s="387">
        <f t="shared" si="51"/>
        <v>48.865325661762782</v>
      </c>
      <c r="G167" s="110">
        <f t="shared" si="73"/>
        <v>0.75095997903188161</v>
      </c>
      <c r="H167" s="414" t="b">
        <f>Wh_hp&gt;='2025'!Maxi_hp</f>
        <v>0</v>
      </c>
      <c r="I167" s="392">
        <f>IF(H167,Wh_hp,'2025'!Maxi_hp)</f>
        <v>63.901540527508928</v>
      </c>
      <c r="J167" s="85">
        <f>IF(H167,An,'2025'!An_max)</f>
        <v>2019</v>
      </c>
      <c r="K167" s="199">
        <f t="shared" si="52"/>
        <v>46175</v>
      </c>
      <c r="L167" s="147">
        <f>IF(t&lt;Tvie,1-EXP((T0-t)*PertePVj)+'2025'!Pspv,1-EXP((T0-t)*PertePVj)+Pspv)</f>
        <v>6.4434103707251222E-2</v>
      </c>
      <c r="M167" s="870"/>
      <c r="N167" s="870"/>
      <c r="O167" s="48">
        <f>IF(t&lt;Tnet,'2025'!Resal+('2025'!Salim-'2025'!Resal)*(1-EXP(('2025'!Tnet-t)/('2025'!Tau_j))),Resal+(Salim-Resal)*(1-EXP((Tnet-t)/(Tau_j))))*Salcycl</f>
        <v>3.6306123932147348E-2</v>
      </c>
      <c r="P167" s="171">
        <f>(INDEX(Models!$BJ167:$BT167,,T167)*(1-R167)+INDEX(Models!$BJ167:$BT167,,T167+1)*R167-ERP_i)*Q167*Ramure*Pc/MaxiM</f>
        <v>4.9608689681495748E-5</v>
      </c>
      <c r="Q167" s="307">
        <f t="shared" si="53"/>
        <v>1</v>
      </c>
      <c r="R167" s="179">
        <f t="shared" si="54"/>
        <v>0.1573012691149791</v>
      </c>
      <c r="S167" s="837">
        <f t="shared" si="55"/>
        <v>-2</v>
      </c>
      <c r="T167" s="178">
        <f t="shared" si="56"/>
        <v>4</v>
      </c>
      <c r="U167" s="253">
        <f t="shared" si="57"/>
        <v>-1.8426987308850209</v>
      </c>
      <c r="V167" s="385">
        <f t="shared" si="58"/>
        <v>58.66457664671946</v>
      </c>
      <c r="W167" s="404">
        <f t="shared" si="59"/>
        <v>44.055526783674431</v>
      </c>
      <c r="X167" s="157">
        <f t="shared" si="60"/>
        <v>46175</v>
      </c>
      <c r="Y167" s="387">
        <f t="shared" si="61"/>
        <v>40.606646298563852</v>
      </c>
      <c r="Z167" s="387">
        <f t="shared" si="62"/>
        <v>43.403298965332944</v>
      </c>
      <c r="AA167" s="388">
        <f t="shared" si="63"/>
        <v>48.814367760551022</v>
      </c>
      <c r="AB167" s="199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0.11084992069877816</v>
      </c>
      <c r="AD167" s="233">
        <f>(INDEX(Models!$BJ167:$BT167,,AH167)*(1-AF167)+INDEX(Models!$BJ167:$BT167,,AH167+1)*AF167-ERP_i)*AE167*Ramure*Pc/MaxiM</f>
        <v>1.6186688515193771E-3</v>
      </c>
      <c r="AE167" s="307">
        <f t="shared" si="65"/>
        <v>1</v>
      </c>
      <c r="AF167" s="179">
        <f t="shared" si="66"/>
        <v>9.2283862038549547E-2</v>
      </c>
      <c r="AG167" s="837">
        <f t="shared" si="74"/>
        <v>3</v>
      </c>
      <c r="AH167" s="178">
        <f t="shared" si="67"/>
        <v>9</v>
      </c>
      <c r="AI167" s="227">
        <f t="shared" si="68"/>
        <v>3.0922838620385495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46176</v>
      </c>
      <c r="B168" s="1139">
        <f>IF(t&gt;Tmaj,'2025'!Wh/'2025'!Env_an*'2026'!Env_an,0.001*'[8]mon-tableau'!$B$204)</f>
        <v>53.389389655620434</v>
      </c>
      <c r="C168" s="866"/>
      <c r="D168" s="395">
        <f t="shared" si="50"/>
        <v>57.067740866991116</v>
      </c>
      <c r="E168" s="387">
        <f t="shared" si="72"/>
        <v>59.238018112420846</v>
      </c>
      <c r="F168" s="387">
        <f t="shared" si="51"/>
        <v>59.240489729943889</v>
      </c>
      <c r="G168" s="110">
        <f t="shared" si="73"/>
        <v>0.91023527107247737</v>
      </c>
      <c r="H168" s="414" t="b">
        <f>Wh_hp&gt;='2025'!Maxi_hp</f>
        <v>0</v>
      </c>
      <c r="I168" s="392">
        <f>IF(H168,Wh_hp,'2025'!Maxi_hp)</f>
        <v>59.942123507520741</v>
      </c>
      <c r="J168" s="85">
        <f>IF(H168,An,'2025'!An_max)</f>
        <v>2020</v>
      </c>
      <c r="K168" s="199">
        <f t="shared" si="52"/>
        <v>46176</v>
      </c>
      <c r="L168" s="147">
        <f>IF(t&lt;Tvie,1-EXP((T0-t)*PertePVj)+'2025'!Pspv,1-EXP((T0-t)*PertePVj)+Pspv)</f>
        <v>6.4455875692431719E-2</v>
      </c>
      <c r="M168" s="870"/>
      <c r="N168" s="870"/>
      <c r="O168" s="48">
        <f>IF(t&lt;Tnet,'2025'!Resal+('2025'!Salim-'2025'!Resal)*(1-EXP(('2025'!Tnet-t)/('2025'!Tau_j))),Resal+(Salim-Resal)*(1-EXP((Tnet-t)/(Tau_j))))*Salcycl</f>
        <v>3.663656068491386E-2</v>
      </c>
      <c r="P168" s="171">
        <f>(INDEX(Models!$BJ168:$BT168,,T168)*(1-R168)+INDEX(Models!$BJ168:$BT168,,T168+1)*R168-ERP_i)*Q168*Ramure*Pc/MaxiM</f>
        <v>4.7858533211784589E-5</v>
      </c>
      <c r="Q168" s="307">
        <f t="shared" si="53"/>
        <v>1</v>
      </c>
      <c r="R168" s="179">
        <f t="shared" si="54"/>
        <v>0.16433679101015986</v>
      </c>
      <c r="S168" s="837">
        <f t="shared" si="55"/>
        <v>-2</v>
      </c>
      <c r="T168" s="178">
        <f t="shared" si="56"/>
        <v>4</v>
      </c>
      <c r="U168" s="253">
        <f t="shared" si="57"/>
        <v>-1.8356632089898401</v>
      </c>
      <c r="V168" s="385">
        <f t="shared" si="58"/>
        <v>58.654134486015018</v>
      </c>
      <c r="W168" s="404">
        <f t="shared" si="59"/>
        <v>53.389389655620434</v>
      </c>
      <c r="X168" s="157">
        <f t="shared" si="60"/>
        <v>46176</v>
      </c>
      <c r="Y168" s="387">
        <f t="shared" si="61"/>
        <v>49.196715539172587</v>
      </c>
      <c r="Z168" s="387">
        <f t="shared" si="62"/>
        <v>52.586205461538164</v>
      </c>
      <c r="AA168" s="388">
        <f t="shared" si="63"/>
        <v>59.160978834423226</v>
      </c>
      <c r="AB168" s="199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0.11113361378428523</v>
      </c>
      <c r="AD168" s="233">
        <f>(INDEX(Models!$BJ168:$BT168,,AH168)*(1-AF168)+INDEX(Models!$BJ168:$BT168,,AH168+1)*AF168-ERP_i)*AE168*Ramure*Pc/MaxiM</f>
        <v>1.5395888718638421E-3</v>
      </c>
      <c r="AE168" s="307">
        <f t="shared" si="65"/>
        <v>1</v>
      </c>
      <c r="AF168" s="179">
        <f t="shared" si="66"/>
        <v>9.9319383933730521E-2</v>
      </c>
      <c r="AG168" s="837">
        <f t="shared" si="74"/>
        <v>3</v>
      </c>
      <c r="AH168" s="178">
        <f t="shared" si="67"/>
        <v>9</v>
      </c>
      <c r="AI168" s="227">
        <f t="shared" si="68"/>
        <v>3.0993193839337305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46177</v>
      </c>
      <c r="B169" s="1139">
        <f>IF(t&gt;Tmaj,'2025'!Wh/'2025'!Env_an*'2026'!Env_an,0.001*'[8]mon-tableau'!$B$205)</f>
        <v>30.316163440326875</v>
      </c>
      <c r="C169" s="866"/>
      <c r="D169" s="395">
        <f t="shared" si="50"/>
        <v>32.405600303028244</v>
      </c>
      <c r="E169" s="387">
        <f t="shared" si="72"/>
        <v>33.649509034059676</v>
      </c>
      <c r="F169" s="387">
        <f t="shared" si="51"/>
        <v>33.649993500581758</v>
      </c>
      <c r="G169" s="110">
        <f t="shared" si="73"/>
        <v>0.51697401149690625</v>
      </c>
      <c r="H169" s="414" t="b">
        <f>Wh_hp&gt;='2025'!Maxi_hp</f>
        <v>0</v>
      </c>
      <c r="I169" s="392">
        <f>IF(H169,Wh_hp,'2025'!Maxi_hp)</f>
        <v>57.961791725127831</v>
      </c>
      <c r="J169" s="85">
        <f>IF(H169,An,'2025'!An_max)</f>
        <v>2019</v>
      </c>
      <c r="K169" s="199">
        <f t="shared" si="52"/>
        <v>46177</v>
      </c>
      <c r="L169" s="147">
        <f>IF(t&lt;Tvie,1-EXP((T0-t)*PertePVj)+'2025'!Pspv,1-EXP((T0-t)*PertePVj)+Pspv)</f>
        <v>6.4477647170946395E-2</v>
      </c>
      <c r="M169" s="870"/>
      <c r="N169" s="870"/>
      <c r="O169" s="48">
        <f>IF(t&lt;Tnet,'2025'!Resal+('2025'!Salim-'2025'!Resal)*(1-EXP(('2025'!Tnet-t)/('2025'!Tau_j))),Resal+(Salim-Resal)*(1-EXP((Tnet-t)/(Tau_j))))*Salcycl</f>
        <v>3.6966623488394981E-2</v>
      </c>
      <c r="P169" s="171">
        <f>(INDEX(Models!$BJ169:$BT169,,T169)*(1-R169)+INDEX(Models!$BJ169:$BT169,,T169+1)*R169-ERP_i)*Q169*Ramure*Pc/MaxiM</f>
        <v>4.6444676930897293E-5</v>
      </c>
      <c r="Q169" s="307">
        <f t="shared" si="53"/>
        <v>1</v>
      </c>
      <c r="R169" s="179">
        <f t="shared" si="54"/>
        <v>0.17141373155168349</v>
      </c>
      <c r="S169" s="837">
        <f t="shared" si="55"/>
        <v>-2</v>
      </c>
      <c r="T169" s="178">
        <f t="shared" si="56"/>
        <v>4</v>
      </c>
      <c r="U169" s="253">
        <f t="shared" si="57"/>
        <v>-1.8285862684483165</v>
      </c>
      <c r="V169" s="385">
        <f t="shared" si="58"/>
        <v>58.639682452828211</v>
      </c>
      <c r="W169" s="404">
        <f t="shared" si="59"/>
        <v>30.316163440326875</v>
      </c>
      <c r="X169" s="157">
        <f t="shared" si="60"/>
        <v>46177</v>
      </c>
      <c r="Y169" s="387">
        <f t="shared" si="61"/>
        <v>27.96023346978091</v>
      </c>
      <c r="Z169" s="387">
        <f t="shared" si="62"/>
        <v>29.887295995898064</v>
      </c>
      <c r="AA169" s="388">
        <f t="shared" si="63"/>
        <v>33.634733824655882</v>
      </c>
      <c r="AB169" s="199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0.11141571234943935</v>
      </c>
      <c r="AD169" s="233">
        <f>(INDEX(Models!$BJ169:$BT169,,AH169)*(1-AF169)+INDEX(Models!$BJ169:$BT169,,AH169+1)*AF169-ERP_i)*AE169*Ramure*Pc/MaxiM</f>
        <v>1.462909584349767E-3</v>
      </c>
      <c r="AE169" s="307">
        <f t="shared" si="65"/>
        <v>1</v>
      </c>
      <c r="AF169" s="179">
        <f t="shared" si="66"/>
        <v>0.10639632447525393</v>
      </c>
      <c r="AG169" s="837">
        <f t="shared" si="74"/>
        <v>3</v>
      </c>
      <c r="AH169" s="178">
        <f t="shared" si="67"/>
        <v>9</v>
      </c>
      <c r="AI169" s="227">
        <f t="shared" si="68"/>
        <v>3.1063963244752539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46178</v>
      </c>
      <c r="B170" s="1139">
        <f>IF(t&gt;Tmaj,'2025'!Wh/'2025'!Env_an*'2026'!Env_an,0.001*'[8]mon-tableau'!$B$206)</f>
        <v>31.667145688893974</v>
      </c>
      <c r="C170" s="866"/>
      <c r="D170" s="395">
        <f t="shared" si="50"/>
        <v>33.850482087383732</v>
      </c>
      <c r="E170" s="387">
        <f t="shared" ref="E170:E232" si="75">Wh_pvt/(1-Psa)</f>
        <v>35.16188836011866</v>
      </c>
      <c r="F170" s="387">
        <f t="shared" si="51"/>
        <v>35.162436446307616</v>
      </c>
      <c r="G170" s="110">
        <f t="shared" ref="G170:G232" si="76">+Wh_hp/MaxiM</f>
        <v>0.54018131372866374</v>
      </c>
      <c r="H170" s="414" t="b">
        <f>Wh_hp&gt;='2025'!Maxi_hp</f>
        <v>0</v>
      </c>
      <c r="I170" s="392">
        <f>IF(H170,Wh_hp,'2025'!Maxi_hp)</f>
        <v>47.729541453271779</v>
      </c>
      <c r="J170" s="85">
        <f>IF(H170,An,'2025'!An_max)</f>
        <v>2021</v>
      </c>
      <c r="K170" s="199">
        <f t="shared" si="52"/>
        <v>46178</v>
      </c>
      <c r="L170" s="147">
        <f>IF(t&lt;Tvie,1-EXP((T0-t)*PertePVj)+'2025'!Pspv,1-EXP((T0-t)*PertePVj)+Pspv)</f>
        <v>6.4499418142806908E-2</v>
      </c>
      <c r="M170" s="870"/>
      <c r="N170" s="870"/>
      <c r="O170" s="48">
        <f>IF(t&lt;Tnet,'2025'!Resal+('2025'!Salim-'2025'!Resal)*(1-EXP(('2025'!Tnet-t)/('2025'!Tau_j))),Resal+(Salim-Resal)*(1-EXP((Tnet-t)/(Tau_j))))*Salcycl</f>
        <v>3.7296241296936421E-2</v>
      </c>
      <c r="P170" s="171">
        <f>(INDEX(Models!$BJ170:$BT170,,T170)*(1-R170)+INDEX(Models!$BJ170:$BT170,,T170+1)*R170-ERP_i)*Q170*Ramure*Pc/MaxiM</f>
        <v>4.5425485479988661E-5</v>
      </c>
      <c r="Q170" s="307">
        <f t="shared" si="53"/>
        <v>1</v>
      </c>
      <c r="R170" s="179">
        <f t="shared" si="54"/>
        <v>0.17852643277006419</v>
      </c>
      <c r="S170" s="837">
        <f t="shared" si="55"/>
        <v>-2</v>
      </c>
      <c r="T170" s="178">
        <f t="shared" si="56"/>
        <v>4</v>
      </c>
      <c r="U170" s="253">
        <f t="shared" si="57"/>
        <v>-1.8214735672299358</v>
      </c>
      <c r="V170" s="385">
        <f t="shared" si="58"/>
        <v>58.621429468352844</v>
      </c>
      <c r="W170" s="404">
        <f t="shared" si="59"/>
        <v>31.667145688893974</v>
      </c>
      <c r="X170" s="157">
        <f t="shared" si="60"/>
        <v>46178</v>
      </c>
      <c r="Y170" s="387">
        <f t="shared" si="61"/>
        <v>29.20634716634579</v>
      </c>
      <c r="Z170" s="387">
        <f t="shared" si="62"/>
        <v>31.220020310798933</v>
      </c>
      <c r="AA170" s="388">
        <f t="shared" si="63"/>
        <v>35.145650203816132</v>
      </c>
      <c r="AB170" s="199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0.1116960383504572</v>
      </c>
      <c r="AD170" s="233">
        <f>(INDEX(Models!$BJ170:$BT170,,AH170)*(1-AF170)+INDEX(Models!$BJ170:$BT170,,AH170+1)*AF170-ERP_i)*AE170*Ramure*Pc/MaxiM</f>
        <v>1.3912469059166751E-3</v>
      </c>
      <c r="AE170" s="307">
        <f t="shared" si="65"/>
        <v>1</v>
      </c>
      <c r="AF170" s="179">
        <f t="shared" si="66"/>
        <v>0.11350902569363486</v>
      </c>
      <c r="AG170" s="837">
        <f t="shared" si="74"/>
        <v>3</v>
      </c>
      <c r="AH170" s="178">
        <f t="shared" si="67"/>
        <v>9</v>
      </c>
      <c r="AI170" s="227">
        <f t="shared" si="68"/>
        <v>3.1135090256936349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46179</v>
      </c>
      <c r="B171" s="1139">
        <f>IF(t&gt;Tmaj,'2025'!Wh/'2025'!Env_an*'2026'!Env_an,0.001*'[8]mon-tableau'!$B$207)</f>
        <v>42.250976576484973</v>
      </c>
      <c r="C171" s="866"/>
      <c r="D171" s="395">
        <f t="shared" si="50"/>
        <v>45.165081305921099</v>
      </c>
      <c r="E171" s="387">
        <f t="shared" si="75"/>
        <v>46.930871437193723</v>
      </c>
      <c r="F171" s="387">
        <f t="shared" si="51"/>
        <v>46.932129097227808</v>
      </c>
      <c r="G171" s="110">
        <f t="shared" si="76"/>
        <v>0.72099851942684512</v>
      </c>
      <c r="H171" s="414" t="b">
        <f>Wh_hp&gt;='2025'!Maxi_hp</f>
        <v>0</v>
      </c>
      <c r="I171" s="392">
        <f>IF(H171,Wh_hp,'2025'!Maxi_hp)</f>
        <v>63.713317790939129</v>
      </c>
      <c r="J171" s="85">
        <f>IF(H171,An,'2025'!An_max)</f>
        <v>2019</v>
      </c>
      <c r="K171" s="199">
        <f t="shared" si="52"/>
        <v>46179</v>
      </c>
      <c r="L171" s="147">
        <f>IF(t&lt;Tvie,1-EXP((T0-t)*PertePVj)+'2025'!Pspv,1-EXP((T0-t)*PertePVj)+Pspv)</f>
        <v>6.4521188608025137E-2</v>
      </c>
      <c r="M171" s="870"/>
      <c r="N171" s="870"/>
      <c r="O171" s="48">
        <f>IF(t&lt;Tnet,'2025'!Resal+('2025'!Salim-'2025'!Resal)*(1-EXP(('2025'!Tnet-t)/('2025'!Tau_j))),Resal+(Salim-Resal)*(1-EXP((Tnet-t)/(Tau_j))))*Salcycl</f>
        <v>3.7625342918162781E-2</v>
      </c>
      <c r="P171" s="171">
        <f>(INDEX(Models!$BJ171:$BT171,,T171)*(1-R171)+INDEX(Models!$BJ171:$BT171,,T171+1)*R171-ERP_i)*Q171*Ramure*Pc/MaxiM</f>
        <v>4.4555084024787693E-5</v>
      </c>
      <c r="Q171" s="307">
        <f t="shared" si="53"/>
        <v>1</v>
      </c>
      <c r="R171" s="179">
        <f t="shared" si="54"/>
        <v>0.18566911873606018</v>
      </c>
      <c r="S171" s="837">
        <f t="shared" si="55"/>
        <v>-2</v>
      </c>
      <c r="T171" s="178">
        <f t="shared" si="56"/>
        <v>4</v>
      </c>
      <c r="U171" s="253">
        <f t="shared" si="57"/>
        <v>-1.8143308812639398</v>
      </c>
      <c r="V171" s="385">
        <f t="shared" si="58"/>
        <v>58.599601995538151</v>
      </c>
      <c r="W171" s="404">
        <f t="shared" si="59"/>
        <v>42.250976576484973</v>
      </c>
      <c r="X171" s="157">
        <f t="shared" si="60"/>
        <v>46179</v>
      </c>
      <c r="Y171" s="387">
        <f t="shared" si="61"/>
        <v>38.95685311778422</v>
      </c>
      <c r="Z171" s="387">
        <f t="shared" si="62"/>
        <v>41.643757873913955</v>
      </c>
      <c r="AA171" s="388">
        <f t="shared" si="63"/>
        <v>46.894772733249063</v>
      </c>
      <c r="AB171" s="199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0.11197441747301755</v>
      </c>
      <c r="AD171" s="233">
        <f>(INDEX(Models!$BJ171:$BT171,,AH171)*(1-AF171)+INDEX(Models!$BJ171:$BT171,,AH171+1)*AF171-ERP_i)*AE171*Ramure*Pc/MaxiM</f>
        <v>1.3234227778741057E-3</v>
      </c>
      <c r="AE171" s="307">
        <f t="shared" si="65"/>
        <v>1</v>
      </c>
      <c r="AF171" s="179">
        <f t="shared" si="66"/>
        <v>0.1206517116596304</v>
      </c>
      <c r="AG171" s="837">
        <f t="shared" si="74"/>
        <v>3</v>
      </c>
      <c r="AH171" s="178">
        <f t="shared" si="67"/>
        <v>9</v>
      </c>
      <c r="AI171" s="227">
        <f t="shared" si="68"/>
        <v>3.1206517116596304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46180</v>
      </c>
      <c r="B172" s="1139">
        <f>IF(t&gt;Tmaj,'2025'!Wh/'2025'!Env_an*'2026'!Env_an,0.001*'[8]mon-tableau'!$B$208)</f>
        <v>31.79597275501877</v>
      </c>
      <c r="C172" s="866"/>
      <c r="D172" s="395">
        <f t="shared" si="50"/>
        <v>33.989773283761124</v>
      </c>
      <c r="E172" s="387">
        <f t="shared" si="75"/>
        <v>35.330710009811412</v>
      </c>
      <c r="F172" s="387">
        <f t="shared" si="51"/>
        <v>35.331247356228594</v>
      </c>
      <c r="G172" s="110">
        <f t="shared" si="76"/>
        <v>0.5428148851201422</v>
      </c>
      <c r="H172" s="414" t="b">
        <f>Wh_hp&gt;='2025'!Maxi_hp</f>
        <v>0</v>
      </c>
      <c r="I172" s="392">
        <f>IF(H172,Wh_hp,'2025'!Maxi_hp)</f>
        <v>57.56714176960822</v>
      </c>
      <c r="J172" s="85">
        <f>IF(H172,An,'2025'!An_max)</f>
        <v>2021</v>
      </c>
      <c r="K172" s="199">
        <f t="shared" si="52"/>
        <v>46180</v>
      </c>
      <c r="L172" s="147">
        <f>IF(t&lt;Tvie,1-EXP((T0-t)*PertePVj)+'2025'!Pspv,1-EXP((T0-t)*PertePVj)+Pspv)</f>
        <v>6.454295856661274E-2</v>
      </c>
      <c r="M172" s="870"/>
      <c r="N172" s="870"/>
      <c r="O172" s="48">
        <f>IF(t&lt;Tnet,'2025'!Resal+('2025'!Salim-'2025'!Resal)*(1-EXP(('2025'!Tnet-t)/('2025'!Tau_j))),Resal+(Salim-Resal)*(1-EXP((Tnet-t)/(Tau_j))))*Salcycl</f>
        <v>3.7953857300855529E-2</v>
      </c>
      <c r="P172" s="171">
        <f>(INDEX(Models!$BJ172:$BT172,,T172)*(1-R172)+INDEX(Models!$BJ172:$BT172,,T172+1)*R172-ERP_i)*Q172*Ramure*Pc/MaxiM</f>
        <v>4.3841996325791234E-5</v>
      </c>
      <c r="Q172" s="307">
        <f t="shared" si="53"/>
        <v>1</v>
      </c>
      <c r="R172" s="179">
        <f t="shared" si="54"/>
        <v>0.19283591392101651</v>
      </c>
      <c r="S172" s="837">
        <f t="shared" si="55"/>
        <v>-2</v>
      </c>
      <c r="T172" s="178">
        <f t="shared" si="56"/>
        <v>4</v>
      </c>
      <c r="U172" s="253">
        <f t="shared" si="57"/>
        <v>-1.8071640860789835</v>
      </c>
      <c r="V172" s="385">
        <f t="shared" si="58"/>
        <v>58.574411264150847</v>
      </c>
      <c r="W172" s="404">
        <f t="shared" si="59"/>
        <v>31.79597275501877</v>
      </c>
      <c r="X172" s="157">
        <f t="shared" si="60"/>
        <v>46180</v>
      </c>
      <c r="Y172" s="387">
        <f t="shared" si="61"/>
        <v>29.328063711530515</v>
      </c>
      <c r="Z172" s="387">
        <f t="shared" si="62"/>
        <v>31.351587953832222</v>
      </c>
      <c r="AA172" s="388">
        <f t="shared" si="63"/>
        <v>35.315811841505315</v>
      </c>
      <c r="AB172" s="199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0.11225067982195135</v>
      </c>
      <c r="AD172" s="233">
        <f>(INDEX(Models!$BJ172:$BT172,,AH172)*(1-AF172)+INDEX(Models!$BJ172:$BT172,,AH172+1)*AF172-ERP_i)*AE172*Ramure*Pc/MaxiM</f>
        <v>1.2593808354253594E-3</v>
      </c>
      <c r="AE172" s="307">
        <f t="shared" si="65"/>
        <v>1</v>
      </c>
      <c r="AF172" s="179">
        <f t="shared" si="66"/>
        <v>0.12781850684458718</v>
      </c>
      <c r="AG172" s="837">
        <f t="shared" si="74"/>
        <v>3</v>
      </c>
      <c r="AH172" s="178">
        <f t="shared" si="67"/>
        <v>9</v>
      </c>
      <c r="AI172" s="227">
        <f t="shared" si="68"/>
        <v>3.1278185068445872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46181</v>
      </c>
      <c r="B173" s="1139">
        <f>IF(t&gt;Tmaj,'2025'!Wh/'2025'!Env_an*'2026'!Env_an,0.001*'[8]mon-tableau'!$B$209)</f>
        <v>22.36775240225851</v>
      </c>
      <c r="C173" s="866"/>
      <c r="D173" s="395">
        <f t="shared" si="50"/>
        <v>23.911598239052534</v>
      </c>
      <c r="E173" s="387">
        <f t="shared" si="75"/>
        <v>24.863412272405029</v>
      </c>
      <c r="F173" s="387">
        <f t="shared" si="51"/>
        <v>24.863538455474504</v>
      </c>
      <c r="G173" s="110">
        <f t="shared" si="76"/>
        <v>0.38203927621508421</v>
      </c>
      <c r="H173" s="414" t="b">
        <f>Wh_hp&gt;='2025'!Maxi_hp</f>
        <v>0</v>
      </c>
      <c r="I173" s="392">
        <f>IF(H173,Wh_hp,'2025'!Maxi_hp)</f>
        <v>66.080309605009333</v>
      </c>
      <c r="J173" s="85">
        <f>IF(H173,An,'2025'!An_max)</f>
        <v>2019</v>
      </c>
      <c r="K173" s="199">
        <f t="shared" si="52"/>
        <v>46181</v>
      </c>
      <c r="L173" s="147">
        <f>IF(t&lt;Tvie,1-EXP((T0-t)*PertePVj)+'2025'!Pspv,1-EXP((T0-t)*PertePVj)+Pspv)</f>
        <v>6.4564728018581707E-2</v>
      </c>
      <c r="M173" s="870"/>
      <c r="N173" s="870"/>
      <c r="O173" s="48">
        <f>IF(t&lt;Tnet,'2025'!Resal+('2025'!Salim-'2025'!Resal)*(1-EXP(('2025'!Tnet-t)/('2025'!Tau_j))),Resal+(Salim-Resal)*(1-EXP((Tnet-t)/(Tau_j))))*Salcycl</f>
        <v>3.8281713826097692E-2</v>
      </c>
      <c r="P173" s="171">
        <f>(INDEX(Models!$BJ173:$BT173,,T173)*(1-R173)+INDEX(Models!$BJ173:$BT173,,T173+1)*R173-ERP_i)*Q173*Ramure*Pc/MaxiM</f>
        <v>4.3294933720225916E-5</v>
      </c>
      <c r="Q173" s="307">
        <f t="shared" si="53"/>
        <v>1</v>
      </c>
      <c r="R173" s="179">
        <f t="shared" si="54"/>
        <v>0.20002086225558968</v>
      </c>
      <c r="S173" s="837">
        <f t="shared" si="55"/>
        <v>-2</v>
      </c>
      <c r="T173" s="178">
        <f t="shared" si="56"/>
        <v>4</v>
      </c>
      <c r="U173" s="253">
        <f t="shared" si="57"/>
        <v>-1.7999791377444103</v>
      </c>
      <c r="V173" s="385">
        <f t="shared" si="58"/>
        <v>58.546068158352561</v>
      </c>
      <c r="W173" s="404">
        <f t="shared" si="59"/>
        <v>22.36775240225851</v>
      </c>
      <c r="X173" s="157">
        <f t="shared" si="60"/>
        <v>46181</v>
      </c>
      <c r="Y173" s="387">
        <f t="shared" si="61"/>
        <v>20.638205125610266</v>
      </c>
      <c r="Z173" s="387">
        <f t="shared" si="62"/>
        <v>22.062675787171116</v>
      </c>
      <c r="AA173" s="388">
        <f t="shared" si="63"/>
        <v>24.860043775433166</v>
      </c>
      <c r="AB173" s="199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0.11252466059719587</v>
      </c>
      <c r="AD173" s="233">
        <f>(INDEX(Models!$BJ173:$BT173,,AH173)*(1-AF173)+INDEX(Models!$BJ173:$BT173,,AH173+1)*AF173-ERP_i)*AE173*Ramure*Pc/MaxiM</f>
        <v>1.1990668906065067E-3</v>
      </c>
      <c r="AE173" s="307">
        <f t="shared" si="65"/>
        <v>1</v>
      </c>
      <c r="AF173" s="179">
        <f t="shared" si="66"/>
        <v>0.13500345517916035</v>
      </c>
      <c r="AG173" s="837">
        <f t="shared" si="74"/>
        <v>3</v>
      </c>
      <c r="AH173" s="178">
        <f t="shared" si="67"/>
        <v>9</v>
      </c>
      <c r="AI173" s="227">
        <f t="shared" si="68"/>
        <v>3.1350034551791603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46182</v>
      </c>
      <c r="B174" s="1139">
        <f>IF(t&gt;Tmaj,'2025'!Wh/'2025'!Env_an*'2026'!Env_an,0.001*'[8]mon-tableau'!$B$210)</f>
        <v>44.48876233265473</v>
      </c>
      <c r="C174" s="866"/>
      <c r="D174" s="395">
        <f t="shared" si="50"/>
        <v>47.560530383897905</v>
      </c>
      <c r="E174" s="387">
        <f t="shared" si="75"/>
        <v>49.470530301640579</v>
      </c>
      <c r="F174" s="387">
        <f t="shared" si="51"/>
        <v>49.47192663486922</v>
      </c>
      <c r="G174" s="110">
        <f t="shared" si="76"/>
        <v>0.76028835761544378</v>
      </c>
      <c r="H174" s="414" t="b">
        <f>Wh_hp&gt;='2025'!Maxi_hp</f>
        <v>0</v>
      </c>
      <c r="I174" s="392">
        <f>IF(H174,Wh_hp,'2025'!Maxi_hp)</f>
        <v>60.192808761372696</v>
      </c>
      <c r="J174" s="85">
        <f>IF(H174,An,'2025'!An_max)</f>
        <v>2021</v>
      </c>
      <c r="K174" s="199">
        <f t="shared" si="52"/>
        <v>46182</v>
      </c>
      <c r="L174" s="147">
        <f>IF(t&lt;Tvie,1-EXP((T0-t)*PertePVj)+'2025'!Pspv,1-EXP((T0-t)*PertePVj)+Pspv)</f>
        <v>6.4586496963943696E-2</v>
      </c>
      <c r="M174" s="870"/>
      <c r="N174" s="870"/>
      <c r="O174" s="48">
        <f>IF(t&lt;Tnet,'2025'!Resal+('2025'!Salim-'2025'!Resal)*(1-EXP(('2025'!Tnet-t)/('2025'!Tau_j))),Resal+(Salim-Resal)*(1-EXP((Tnet-t)/(Tau_j))))*Salcycl</f>
        <v>3.8608842599759455E-2</v>
      </c>
      <c r="P174" s="171">
        <f>(INDEX(Models!$BJ174:$BT174,,T174)*(1-R174)+INDEX(Models!$BJ174:$BT174,,T174+1)*R174-ERP_i)*Q174*Ramure*Pc/MaxiM</f>
        <v>4.2922771378202965E-5</v>
      </c>
      <c r="Q174" s="307">
        <f t="shared" si="53"/>
        <v>1</v>
      </c>
      <c r="R174" s="179">
        <f t="shared" si="54"/>
        <v>0.20721794675761784</v>
      </c>
      <c r="S174" s="837">
        <f t="shared" si="55"/>
        <v>-2</v>
      </c>
      <c r="T174" s="178">
        <f t="shared" si="56"/>
        <v>4</v>
      </c>
      <c r="U174" s="253">
        <f t="shared" si="57"/>
        <v>-1.7927820532423822</v>
      </c>
      <c r="V174" s="385">
        <f t="shared" si="58"/>
        <v>58.514783203270873</v>
      </c>
      <c r="W174" s="404">
        <f t="shared" si="59"/>
        <v>44.48876233265473</v>
      </c>
      <c r="X174" s="157">
        <f t="shared" si="60"/>
        <v>46182</v>
      </c>
      <c r="Y174" s="387">
        <f t="shared" si="61"/>
        <v>41.02602826226579</v>
      </c>
      <c r="Z174" s="387">
        <f t="shared" si="62"/>
        <v>43.858708612937789</v>
      </c>
      <c r="AA174" s="388">
        <f t="shared" si="63"/>
        <v>49.434761945428626</v>
      </c>
      <c r="AB174" s="199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0.1127962007513312</v>
      </c>
      <c r="AD174" s="233">
        <f>(INDEX(Models!$BJ174:$BT174,,AH174)*(1-AF174)+INDEX(Models!$BJ174:$BT174,,AH174+1)*AF174-ERP_i)*AE174*Ramure*Pc/MaxiM</f>
        <v>1.1424289241829088E-3</v>
      </c>
      <c r="AE174" s="307">
        <f t="shared" si="65"/>
        <v>1</v>
      </c>
      <c r="AF174" s="179">
        <f t="shared" si="66"/>
        <v>0.14220053968118851</v>
      </c>
      <c r="AG174" s="837">
        <f t="shared" si="74"/>
        <v>3</v>
      </c>
      <c r="AH174" s="178">
        <f t="shared" si="67"/>
        <v>9</v>
      </c>
      <c r="AI174" s="227">
        <f t="shared" si="68"/>
        <v>3.1422005396811885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46183</v>
      </c>
      <c r="B175" s="1139">
        <f>IF(t&gt;Tmaj,'2025'!Wh/'2025'!Env_an*'2026'!Env_an,0.001*'[8]mon-tableau'!$B$211)</f>
        <v>58.435050708033522</v>
      </c>
      <c r="C175" s="866"/>
      <c r="D175" s="395">
        <f t="shared" si="50"/>
        <v>62.471207031983596</v>
      </c>
      <c r="E175" s="387">
        <f t="shared" si="75"/>
        <v>65.002074147668054</v>
      </c>
      <c r="F175" s="387">
        <f t="shared" si="51"/>
        <v>65.004848996649585</v>
      </c>
      <c r="G175" s="110">
        <f t="shared" si="76"/>
        <v>0.99921822802562199</v>
      </c>
      <c r="H175" s="414" t="b">
        <f>Wh_hp&gt;='2025'!Maxi_hp</f>
        <v>0</v>
      </c>
      <c r="I175" s="392">
        <f>IF(H175,Wh_hp,'2025'!Maxi_hp)</f>
        <v>65.004851205487213</v>
      </c>
      <c r="J175" s="85">
        <f>IF(H175,An,'2025'!An_max)</f>
        <v>2025</v>
      </c>
      <c r="K175" s="199">
        <f t="shared" si="52"/>
        <v>46183</v>
      </c>
      <c r="L175" s="147">
        <f>IF(t&lt;Tvie,1-EXP((T0-t)*PertePVj)+'2025'!Pspv,1-EXP((T0-t)*PertePVj)+Pspv)</f>
        <v>6.4608265402710585E-2</v>
      </c>
      <c r="M175" s="870"/>
      <c r="N175" s="870"/>
      <c r="O175" s="48">
        <f>IF(t&lt;Tnet,'2025'!Resal+('2025'!Salim-'2025'!Resal)*(1-EXP(('2025'!Tnet-t)/('2025'!Tau_j))),Resal+(Salim-Resal)*(1-EXP((Tnet-t)/(Tau_j))))*Salcycl</f>
        <v>3.8935174744347052E-2</v>
      </c>
      <c r="P175" s="171">
        <f>(INDEX(Models!$BJ175:$BT175,,T175)*(1-R175)+INDEX(Models!$BJ175:$BT175,,T175+1)*R175-ERP_i)*Q175*Ramure*Pc/MaxiM</f>
        <v>4.273452363394524E-5</v>
      </c>
      <c r="Q175" s="307">
        <f t="shared" si="53"/>
        <v>1</v>
      </c>
      <c r="R175" s="179">
        <f t="shared" si="54"/>
        <v>0.21442110959303395</v>
      </c>
      <c r="S175" s="837">
        <f t="shared" si="55"/>
        <v>-2</v>
      </c>
      <c r="T175" s="178">
        <f t="shared" si="56"/>
        <v>4</v>
      </c>
      <c r="U175" s="253">
        <f t="shared" si="57"/>
        <v>-1.785578890406966</v>
      </c>
      <c r="V175" s="385">
        <f t="shared" si="58"/>
        <v>58.480766543499406</v>
      </c>
      <c r="W175" s="404">
        <f t="shared" si="59"/>
        <v>58.435050708033522</v>
      </c>
      <c r="X175" s="157">
        <f t="shared" si="60"/>
        <v>46183</v>
      </c>
      <c r="Y175" s="387">
        <f t="shared" si="61"/>
        <v>53.871385602686729</v>
      </c>
      <c r="Z175" s="387">
        <f t="shared" si="62"/>
        <v>57.592325878183829</v>
      </c>
      <c r="AA175" s="388">
        <f t="shared" si="63"/>
        <v>64.934110689083013</v>
      </c>
      <c r="AB175" s="199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0.11306514762407487</v>
      </c>
      <c r="AD175" s="233">
        <f>(INDEX(Models!$BJ175:$BT175,,AH175)*(1-AF175)+INDEX(Models!$BJ175:$BT175,,AH175+1)*AF175-ERP_i)*AE175*Ramure*Pc/MaxiM</f>
        <v>1.0894170805843661E-3</v>
      </c>
      <c r="AE175" s="307">
        <f t="shared" si="65"/>
        <v>1</v>
      </c>
      <c r="AF175" s="179">
        <f t="shared" si="66"/>
        <v>0.1494037025166044</v>
      </c>
      <c r="AG175" s="837">
        <f t="shared" si="74"/>
        <v>3</v>
      </c>
      <c r="AH175" s="178">
        <f t="shared" si="67"/>
        <v>9</v>
      </c>
      <c r="AI175" s="227">
        <f t="shared" si="68"/>
        <v>3.1494037025166044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46184</v>
      </c>
      <c r="B176" s="1139">
        <f>IF(t&gt;Tmaj,'2025'!Wh/'2025'!Env_an*'2026'!Env_an,0.001*'[8]mon-tableau'!$B$212)</f>
        <v>54.820490389807631</v>
      </c>
      <c r="C176" s="866"/>
      <c r="D176" s="395">
        <f t="shared" si="50"/>
        <v>58.608350004287892</v>
      </c>
      <c r="E176" s="387">
        <f t="shared" si="75"/>
        <v>61.003381987261655</v>
      </c>
      <c r="F176" s="387">
        <f t="shared" si="51"/>
        <v>61.005758383115982</v>
      </c>
      <c r="G176" s="110">
        <f t="shared" si="76"/>
        <v>0.93799310537314118</v>
      </c>
      <c r="H176" s="414" t="b">
        <f>Wh_hp&gt;='2025'!Maxi_hp</f>
        <v>0</v>
      </c>
      <c r="I176" s="392">
        <f>IF(H176,Wh_hp,'2025'!Maxi_hp)</f>
        <v>61.005921285165762</v>
      </c>
      <c r="J176" s="85">
        <f>IF(H176,An,'2025'!An_max)</f>
        <v>2025</v>
      </c>
      <c r="K176" s="199">
        <f t="shared" si="52"/>
        <v>46184</v>
      </c>
      <c r="L176" s="147">
        <f>IF(t&lt;Tvie,1-EXP((T0-t)*PertePVj)+'2025'!Pspv,1-EXP((T0-t)*PertePVj)+Pspv)</f>
        <v>6.4630033334894033E-2</v>
      </c>
      <c r="M176" s="870"/>
      <c r="N176" s="870"/>
      <c r="O176" s="48">
        <f>IF(t&lt;Tnet,'2025'!Resal+('2025'!Salim-'2025'!Resal)*(1-EXP(('2025'!Tnet-t)/('2025'!Tau_j))),Resal+(Salim-Resal)*(1-EXP((Tnet-t)/(Tau_j))))*Salcycl</f>
        <v>3.9260642688201737E-2</v>
      </c>
      <c r="P176" s="171">
        <f>(INDEX(Models!$BJ176:$BT176,,T176)*(1-R176)+INDEX(Models!$BJ176:$BT176,,T176+1)*R176-ERP_i)*Q176*Ramure*Pc/MaxiM</f>
        <v>4.2739318515280345E-5</v>
      </c>
      <c r="Q176" s="307">
        <f t="shared" si="53"/>
        <v>1</v>
      </c>
      <c r="R176" s="179">
        <f t="shared" si="54"/>
        <v>0.22162427242845029</v>
      </c>
      <c r="S176" s="837">
        <f t="shared" si="55"/>
        <v>-2</v>
      </c>
      <c r="T176" s="178">
        <f t="shared" si="56"/>
        <v>4</v>
      </c>
      <c r="U176" s="253">
        <f t="shared" si="57"/>
        <v>-1.7783757275715497</v>
      </c>
      <c r="V176" s="385">
        <f t="shared" si="58"/>
        <v>58.444227931416542</v>
      </c>
      <c r="W176" s="404">
        <f t="shared" si="59"/>
        <v>54.820490389807631</v>
      </c>
      <c r="X176" s="157">
        <f t="shared" si="60"/>
        <v>46184</v>
      </c>
      <c r="Y176" s="387">
        <f t="shared" si="61"/>
        <v>50.547974079014089</v>
      </c>
      <c r="Z176" s="387">
        <f t="shared" si="62"/>
        <v>54.040621230585195</v>
      </c>
      <c r="AA176" s="388">
        <f t="shared" si="63"/>
        <v>60.947933107591098</v>
      </c>
      <c r="AB176" s="199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0.11333135554921052</v>
      </c>
      <c r="AD176" s="233">
        <f>(INDEX(Models!$BJ176:$BT176,,AH176)*(1-AF176)+INDEX(Models!$BJ176:$BT176,,AH176+1)*AF176-ERP_i)*AE176*Ramure*Pc/MaxiM</f>
        <v>1.039983664502824E-3</v>
      </c>
      <c r="AE176" s="307">
        <f t="shared" si="65"/>
        <v>1</v>
      </c>
      <c r="AF176" s="179">
        <f t="shared" si="66"/>
        <v>0.15660686535202073</v>
      </c>
      <c r="AG176" s="837">
        <f t="shared" si="74"/>
        <v>3</v>
      </c>
      <c r="AH176" s="178">
        <f t="shared" si="67"/>
        <v>9</v>
      </c>
      <c r="AI176" s="227">
        <f t="shared" si="68"/>
        <v>3.1566068653520207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46185</v>
      </c>
      <c r="B177" s="1139">
        <f>IF(t&gt;Tmaj,'2025'!Wh/'2025'!Env_an*'2026'!Env_an,0.001*'[8]mon-tableau'!$B$213)</f>
        <v>43.261436496605981</v>
      </c>
      <c r="C177" s="866"/>
      <c r="D177" s="395">
        <f t="shared" si="50"/>
        <v>46.251691649998008</v>
      </c>
      <c r="E177" s="387">
        <f t="shared" si="75"/>
        <v>48.158036203221073</v>
      </c>
      <c r="F177" s="387">
        <f t="shared" si="51"/>
        <v>48.15933841187794</v>
      </c>
      <c r="G177" s="110">
        <f t="shared" si="76"/>
        <v>0.7407100646921092</v>
      </c>
      <c r="H177" s="414" t="b">
        <f>Wh_hp&gt;='2025'!Maxi_hp</f>
        <v>0</v>
      </c>
      <c r="I177" s="392">
        <f>IF(H177,Wh_hp,'2025'!Maxi_hp)</f>
        <v>60.932539305572888</v>
      </c>
      <c r="J177" s="85">
        <f>IF(H177,An,'2025'!An_max)</f>
        <v>2019</v>
      </c>
      <c r="K177" s="199">
        <f t="shared" si="52"/>
        <v>46185</v>
      </c>
      <c r="L177" s="147">
        <f>IF(t&lt;Tvie,1-EXP((T0-t)*PertePVj)+'2025'!Pspv,1-EXP((T0-t)*PertePVj)+Pspv)</f>
        <v>6.4651800760505918E-2</v>
      </c>
      <c r="M177" s="870"/>
      <c r="N177" s="870"/>
      <c r="O177" s="48">
        <f>IF(t&lt;Tnet,'2025'!Resal+('2025'!Salim-'2025'!Resal)*(1-EXP(('2025'!Tnet-t)/('2025'!Tau_j))),Resal+(Salim-Resal)*(1-EXP((Tnet-t)/(Tau_j))))*Salcycl</f>
        <v>3.9585180450019283E-2</v>
      </c>
      <c r="P177" s="171">
        <f>(INDEX(Models!$BJ177:$BT177,,T177)*(1-R177)+INDEX(Models!$BJ177:$BT177,,T177+1)*R177-ERP_i)*Q177*Ramure*Pc/MaxiM</f>
        <v>4.2947068560685443E-5</v>
      </c>
      <c r="Q177" s="307">
        <f t="shared" si="53"/>
        <v>1</v>
      </c>
      <c r="R177" s="179">
        <f t="shared" si="54"/>
        <v>0.22882135693047845</v>
      </c>
      <c r="S177" s="837">
        <f t="shared" si="55"/>
        <v>-2</v>
      </c>
      <c r="T177" s="178">
        <f t="shared" si="56"/>
        <v>4</v>
      </c>
      <c r="U177" s="253">
        <f t="shared" si="57"/>
        <v>-1.7711786430695216</v>
      </c>
      <c r="V177" s="385">
        <f t="shared" si="58"/>
        <v>58.404428884746615</v>
      </c>
      <c r="W177" s="404">
        <f t="shared" si="59"/>
        <v>43.261436496605981</v>
      </c>
      <c r="X177" s="157">
        <f t="shared" si="60"/>
        <v>46185</v>
      </c>
      <c r="Y177" s="387">
        <f t="shared" si="61"/>
        <v>39.903801628454978</v>
      </c>
      <c r="Z177" s="387">
        <f t="shared" si="62"/>
        <v>42.661975145619209</v>
      </c>
      <c r="AA177" s="388">
        <f t="shared" si="63"/>
        <v>48.129196082745977</v>
      </c>
      <c r="AB177" s="199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0.11359468642956892</v>
      </c>
      <c r="AD177" s="233">
        <f>(INDEX(Models!$BJ177:$BT177,,AH177)*(1-AF177)+INDEX(Models!$BJ177:$BT177,,AH177+1)*AF177-ERP_i)*AE177*Ramure*Pc/MaxiM</f>
        <v>9.9409927048348438E-4</v>
      </c>
      <c r="AE177" s="307">
        <f t="shared" si="65"/>
        <v>1</v>
      </c>
      <c r="AF177" s="179">
        <f t="shared" si="66"/>
        <v>0.16380394985404889</v>
      </c>
      <c r="AG177" s="837">
        <f t="shared" si="74"/>
        <v>3</v>
      </c>
      <c r="AH177" s="178">
        <f t="shared" si="67"/>
        <v>9</v>
      </c>
      <c r="AI177" s="227">
        <f t="shared" si="68"/>
        <v>3.1638039498540489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46186</v>
      </c>
      <c r="B178" s="1139">
        <f>IF(t&gt;Tmaj,'2025'!Wh/'2025'!Env_an*'2026'!Env_an,0.001*'[8]mon-tableau'!$B$214)</f>
        <v>53.14569540573234</v>
      </c>
      <c r="C178" s="866"/>
      <c r="D178" s="395">
        <f t="shared" si="50"/>
        <v>56.820478465345737</v>
      </c>
      <c r="E178" s="387">
        <f t="shared" si="75"/>
        <v>59.18237138571137</v>
      </c>
      <c r="F178" s="387">
        <f t="shared" si="51"/>
        <v>59.184609215801402</v>
      </c>
      <c r="G178" s="110">
        <f t="shared" si="76"/>
        <v>0.91063784574115747</v>
      </c>
      <c r="H178" s="414" t="b">
        <f>Wh_hp&gt;='2025'!Maxi_hp</f>
        <v>0</v>
      </c>
      <c r="I178" s="392">
        <f>IF(H178,Wh_hp,'2025'!Maxi_hp)</f>
        <v>63.578698622220735</v>
      </c>
      <c r="J178" s="85">
        <f>IF(H178,An,'2025'!An_max)</f>
        <v>2019</v>
      </c>
      <c r="K178" s="199">
        <f t="shared" si="52"/>
        <v>46186</v>
      </c>
      <c r="L178" s="147">
        <f>IF(t&lt;Tvie,1-EXP((T0-t)*PertePVj)+'2025'!Pspv,1-EXP((T0-t)*PertePVj)+Pspv)</f>
        <v>6.4673567679557897E-2</v>
      </c>
      <c r="M178" s="870"/>
      <c r="N178" s="870"/>
      <c r="O178" s="48">
        <f>IF(t&lt;Tnet,'2025'!Resal+('2025'!Salim-'2025'!Resal)*(1-EXP(('2025'!Tnet-t)/('2025'!Tau_j))),Resal+(Salim-Resal)*(1-EXP((Tnet-t)/(Tau_j))))*Salcycl</f>
        <v>3.9908723916660727E-2</v>
      </c>
      <c r="P178" s="171">
        <f>(INDEX(Models!$BJ178:$BT178,,T178)*(1-R178)+INDEX(Models!$BJ178:$BT178,,T178+1)*R178-ERP_i)*Q178*Ramure*Pc/MaxiM</f>
        <v>4.3344007601687207E-5</v>
      </c>
      <c r="Q178" s="307">
        <f t="shared" si="53"/>
        <v>1</v>
      </c>
      <c r="R178" s="179">
        <f t="shared" si="54"/>
        <v>0.23600630526505162</v>
      </c>
      <c r="S178" s="837">
        <f t="shared" si="55"/>
        <v>-2</v>
      </c>
      <c r="T178" s="178">
        <f t="shared" si="56"/>
        <v>4</v>
      </c>
      <c r="U178" s="253">
        <f t="shared" si="57"/>
        <v>-1.7639936947349484</v>
      </c>
      <c r="V178" s="385">
        <f t="shared" si="58"/>
        <v>58.360633251046686</v>
      </c>
      <c r="W178" s="404">
        <f t="shared" si="59"/>
        <v>53.14569540573234</v>
      </c>
      <c r="X178" s="157">
        <f t="shared" si="60"/>
        <v>46186</v>
      </c>
      <c r="Y178" s="387">
        <f t="shared" si="61"/>
        <v>49.013448754526884</v>
      </c>
      <c r="Z178" s="387">
        <f t="shared" si="62"/>
        <v>52.40250575719314</v>
      </c>
      <c r="AA178" s="388">
        <f t="shared" si="63"/>
        <v>59.135363134543404</v>
      </c>
      <c r="AB178" s="199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0.11385501027586188</v>
      </c>
      <c r="AD178" s="233">
        <f>(INDEX(Models!$BJ178:$BT178,,AH178)*(1-AF178)+INDEX(Models!$BJ178:$BT178,,AH178+1)*AF178-ERP_i)*AE178*Ramure*Pc/MaxiM</f>
        <v>9.5383582958708435E-4</v>
      </c>
      <c r="AE178" s="307">
        <f t="shared" si="65"/>
        <v>1</v>
      </c>
      <c r="AF178" s="179">
        <f t="shared" si="66"/>
        <v>0.17098889818862206</v>
      </c>
      <c r="AG178" s="837">
        <f t="shared" si="74"/>
        <v>3</v>
      </c>
      <c r="AH178" s="178">
        <f t="shared" si="67"/>
        <v>9</v>
      </c>
      <c r="AI178" s="227">
        <f t="shared" si="68"/>
        <v>3.1709888981886221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46187</v>
      </c>
      <c r="B179" s="1139">
        <f>IF(t&gt;Tmaj,'2025'!Wh/'2025'!Env_an*'2026'!Env_an,0.001*'[8]mon-tableau'!$B$215)</f>
        <v>45.642196128954289</v>
      </c>
      <c r="C179" s="866"/>
      <c r="D179" s="395">
        <f t="shared" si="50"/>
        <v>48.799281980110266</v>
      </c>
      <c r="E179" s="387">
        <f t="shared" si="75"/>
        <v>50.844831114650205</v>
      </c>
      <c r="F179" s="387">
        <f t="shared" si="51"/>
        <v>50.846365340152829</v>
      </c>
      <c r="G179" s="110">
        <f t="shared" si="76"/>
        <v>0.7826990117353243</v>
      </c>
      <c r="H179" s="414" t="b">
        <f>Wh_hp&gt;='2025'!Maxi_hp</f>
        <v>0</v>
      </c>
      <c r="I179" s="392">
        <f>IF(H179,Wh_hp,'2025'!Maxi_hp)</f>
        <v>54.737043912408573</v>
      </c>
      <c r="J179" s="85">
        <f>IF(H179,An,'2025'!An_max)</f>
        <v>2021</v>
      </c>
      <c r="K179" s="199">
        <f t="shared" si="52"/>
        <v>46187</v>
      </c>
      <c r="L179" s="147">
        <f>IF(t&lt;Tvie,1-EXP((T0-t)*PertePVj)+'2025'!Pspv,1-EXP((T0-t)*PertePVj)+Pspv)</f>
        <v>6.4695334092062073E-2</v>
      </c>
      <c r="M179" s="870"/>
      <c r="N179" s="870"/>
      <c r="O179" s="48">
        <f>IF(t&lt;Tnet,'2025'!Resal+('2025'!Salim-'2025'!Resal)*(1-EXP(('2025'!Tnet-t)/('2025'!Tau_j))),Resal+(Salim-Resal)*(1-EXP((Tnet-t)/(Tau_j))))*Salcycl</f>
        <v>4.0231211112244987E-2</v>
      </c>
      <c r="P179" s="171">
        <f>(INDEX(Models!$BJ179:$BT179,,T179)*(1-R179)+INDEX(Models!$BJ179:$BT179,,T179+1)*R179-ERP_i)*Q179*Ramure*Pc/MaxiM</f>
        <v>4.3756376335428985E-5</v>
      </c>
      <c r="Q179" s="307">
        <f t="shared" si="53"/>
        <v>1</v>
      </c>
      <c r="R179" s="179">
        <f t="shared" si="54"/>
        <v>0.24317310045000795</v>
      </c>
      <c r="S179" s="837">
        <f t="shared" si="55"/>
        <v>-2</v>
      </c>
      <c r="T179" s="178">
        <f t="shared" si="56"/>
        <v>4</v>
      </c>
      <c r="U179" s="253">
        <f t="shared" si="57"/>
        <v>-1.756826899549992</v>
      </c>
      <c r="V179" s="385">
        <f t="shared" si="58"/>
        <v>58.313062218065653</v>
      </c>
      <c r="W179" s="404">
        <f t="shared" si="59"/>
        <v>45.642196128954289</v>
      </c>
      <c r="X179" s="157">
        <f t="shared" si="60"/>
        <v>46187</v>
      </c>
      <c r="Y179" s="387">
        <f t="shared" si="61"/>
        <v>42.103355539796958</v>
      </c>
      <c r="Z179" s="387">
        <f t="shared" si="62"/>
        <v>45.01565861314883</v>
      </c>
      <c r="AA179" s="388">
        <f t="shared" si="63"/>
        <v>50.81417635852263</v>
      </c>
      <c r="AB179" s="199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0.11411220570539198</v>
      </c>
      <c r="AD179" s="233">
        <f>(INDEX(Models!$BJ179:$BT179,,AH179)*(1-AF179)+INDEX(Models!$BJ179:$BT179,,AH179+1)*AF179-ERP_i)*AE179*Ramure*Pc/MaxiM</f>
        <v>9.1803531596544488E-4</v>
      </c>
      <c r="AE179" s="307">
        <f t="shared" si="65"/>
        <v>1</v>
      </c>
      <c r="AF179" s="179">
        <f t="shared" si="66"/>
        <v>0.17815569337357839</v>
      </c>
      <c r="AG179" s="837">
        <f t="shared" si="74"/>
        <v>3</v>
      </c>
      <c r="AH179" s="178">
        <f t="shared" si="67"/>
        <v>9</v>
      </c>
      <c r="AI179" s="227">
        <f t="shared" si="68"/>
        <v>3.1781556933735784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46188</v>
      </c>
      <c r="B180" s="1139">
        <f>IF(t&gt;Tmaj,'2025'!Wh/'2025'!Env_an*'2026'!Env_an,0.001*'[8]mon-tableau'!$B$216)</f>
        <v>53.907076257965031</v>
      </c>
      <c r="C180" s="866"/>
      <c r="D180" s="395">
        <f t="shared" si="50"/>
        <v>57.637187911648418</v>
      </c>
      <c r="E180" s="387">
        <f t="shared" si="75"/>
        <v>60.073316012691649</v>
      </c>
      <c r="F180" s="387">
        <f t="shared" si="51"/>
        <v>60.075687067115382</v>
      </c>
      <c r="G180" s="110">
        <f t="shared" si="76"/>
        <v>0.9252495647837975</v>
      </c>
      <c r="H180" s="414" t="b">
        <f>Wh_hp&gt;='2025'!Maxi_hp</f>
        <v>0</v>
      </c>
      <c r="I180" s="392">
        <f>IF(H180,Wh_hp,'2025'!Maxi_hp)</f>
        <v>60.075880224135837</v>
      </c>
      <c r="J180" s="85">
        <f>IF(H180,An,'2025'!An_max)</f>
        <v>2025</v>
      </c>
      <c r="K180" s="199">
        <f t="shared" si="52"/>
        <v>46188</v>
      </c>
      <c r="L180" s="147">
        <f>IF(t&lt;Tvie,1-EXP((T0-t)*PertePVj)+'2025'!Pspv,1-EXP((T0-t)*PertePVj)+Pspv)</f>
        <v>6.4717099998029881E-2</v>
      </c>
      <c r="M180" s="870"/>
      <c r="N180" s="870"/>
      <c r="O180" s="48">
        <f>IF(t&lt;Tnet,'2025'!Resal+('2025'!Salim-'2025'!Resal)*(1-EXP(('2025'!Tnet-t)/('2025'!Tau_j))),Resal+(Salim-Resal)*(1-EXP((Tnet-t)/(Tau_j))))*Salcycl</f>
        <v>4.0552582456552834E-2</v>
      </c>
      <c r="P180" s="171">
        <f>(INDEX(Models!$BJ180:$BT180,,T180)*(1-R180)+INDEX(Models!$BJ180:$BT180,,T180+1)*R180-ERP_i)*Q180*Ramure*Pc/MaxiM</f>
        <v>4.4185969227666195E-5</v>
      </c>
      <c r="Q180" s="307">
        <f t="shared" si="53"/>
        <v>1</v>
      </c>
      <c r="R180" s="179">
        <f t="shared" si="54"/>
        <v>0.25031578641600394</v>
      </c>
      <c r="S180" s="837">
        <f t="shared" si="55"/>
        <v>-2</v>
      </c>
      <c r="T180" s="178">
        <f t="shared" si="56"/>
        <v>4</v>
      </c>
      <c r="U180" s="253">
        <f t="shared" si="57"/>
        <v>-1.7496842135839961</v>
      </c>
      <c r="V180" s="385">
        <f t="shared" si="58"/>
        <v>58.261926248099243</v>
      </c>
      <c r="W180" s="404">
        <f t="shared" si="59"/>
        <v>53.907076257965031</v>
      </c>
      <c r="X180" s="157">
        <f t="shared" si="60"/>
        <v>46188</v>
      </c>
      <c r="Y180" s="387">
        <f t="shared" si="61"/>
        <v>49.722370260736582</v>
      </c>
      <c r="Z180" s="387">
        <f t="shared" si="62"/>
        <v>53.162920289285566</v>
      </c>
      <c r="AA180" s="388">
        <f t="shared" si="63"/>
        <v>60.028104067378536</v>
      </c>
      <c r="AB180" s="199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0.11436616039692249</v>
      </c>
      <c r="AD180" s="233">
        <f>(INDEX(Models!$BJ180:$BT180,,AH180)*(1-AF180)+INDEX(Models!$BJ180:$BT180,,AH180+1)*AF180-ERP_i)*AE180*Ramure*Pc/MaxiM</f>
        <v>8.8673669447937153E-4</v>
      </c>
      <c r="AE180" s="307">
        <f t="shared" si="65"/>
        <v>1</v>
      </c>
      <c r="AF180" s="179">
        <f t="shared" si="66"/>
        <v>0.18529837933957438</v>
      </c>
      <c r="AG180" s="837">
        <f t="shared" si="74"/>
        <v>3</v>
      </c>
      <c r="AH180" s="178">
        <f t="shared" si="67"/>
        <v>9</v>
      </c>
      <c r="AI180" s="227">
        <f t="shared" si="68"/>
        <v>3.1852983793395744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46189</v>
      </c>
      <c r="B181" s="1139">
        <f>IF(t&gt;Tmaj,'2025'!Wh/'2025'!Env_an*'2026'!Env_an,0.001*'[8]mon-tableau'!$B$217)</f>
        <v>50.040695423496828</v>
      </c>
      <c r="C181" s="866"/>
      <c r="D181" s="395">
        <f t="shared" si="50"/>
        <v>53.504517157941613</v>
      </c>
      <c r="E181" s="387">
        <f t="shared" si="75"/>
        <v>55.784588424390904</v>
      </c>
      <c r="F181" s="387">
        <f t="shared" si="51"/>
        <v>55.786579351612104</v>
      </c>
      <c r="G181" s="110">
        <f t="shared" si="76"/>
        <v>0.85968824185754877</v>
      </c>
      <c r="H181" s="414" t="b">
        <f>Wh_hp&gt;='2025'!Maxi_hp</f>
        <v>0</v>
      </c>
      <c r="I181" s="392">
        <f>IF(H181,Wh_hp,'2025'!Maxi_hp)</f>
        <v>65.146942528286331</v>
      </c>
      <c r="J181" s="85">
        <f>IF(H181,An,'2025'!An_max)</f>
        <v>2019</v>
      </c>
      <c r="K181" s="199">
        <f t="shared" si="52"/>
        <v>46189</v>
      </c>
      <c r="L181" s="147">
        <f>IF(t&lt;Tvie,1-EXP((T0-t)*PertePVj)+'2025'!Pspv,1-EXP((T0-t)*PertePVj)+Pspv)</f>
        <v>6.4738865397473311E-2</v>
      </c>
      <c r="M181" s="870"/>
      <c r="N181" s="870"/>
      <c r="O181" s="48">
        <f>IF(t&lt;Tnet,'2025'!Resal+('2025'!Salim-'2025'!Resal)*(1-EXP(('2025'!Tnet-t)/('2025'!Tau_j))),Resal+(Salim-Resal)*(1-EXP((Tnet-t)/(Tau_j))))*Salcycl</f>
        <v>4.0872781010827759E-2</v>
      </c>
      <c r="P181" s="171">
        <f>(INDEX(Models!$BJ181:$BT181,,T181)*(1-R181)+INDEX(Models!$BJ181:$BT181,,T181+1)*R181-ERP_i)*Q181*Ramure*Pc/MaxiM</f>
        <v>4.4634589046147078E-5</v>
      </c>
      <c r="Q181" s="307">
        <f t="shared" si="53"/>
        <v>1</v>
      </c>
      <c r="R181" s="179">
        <f t="shared" si="54"/>
        <v>0.25742848763438464</v>
      </c>
      <c r="S181" s="837">
        <f t="shared" si="55"/>
        <v>-2</v>
      </c>
      <c r="T181" s="178">
        <f t="shared" si="56"/>
        <v>4</v>
      </c>
      <c r="U181" s="253">
        <f t="shared" si="57"/>
        <v>-1.7425715123656154</v>
      </c>
      <c r="V181" s="385">
        <f t="shared" si="58"/>
        <v>58.20743531400516</v>
      </c>
      <c r="W181" s="404">
        <f t="shared" si="59"/>
        <v>50.040695423496828</v>
      </c>
      <c r="X181" s="157">
        <f t="shared" si="60"/>
        <v>46189</v>
      </c>
      <c r="Y181" s="387">
        <f t="shared" si="61"/>
        <v>46.163123074065957</v>
      </c>
      <c r="Z181" s="387">
        <f t="shared" si="62"/>
        <v>49.358538878753535</v>
      </c>
      <c r="AA181" s="388">
        <f t="shared" si="63"/>
        <v>55.748219855350541</v>
      </c>
      <c r="AB181" s="199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0.11461677149828757</v>
      </c>
      <c r="AD181" s="233">
        <f>(INDEX(Models!$BJ181:$BT181,,AH181)*(1-AF181)+INDEX(Models!$BJ181:$BT181,,AH181+1)*AF181-ERP_i)*AE181*Ramure*Pc/MaxiM</f>
        <v>8.5998138627018999E-4</v>
      </c>
      <c r="AE181" s="307">
        <f t="shared" si="65"/>
        <v>1</v>
      </c>
      <c r="AF181" s="179">
        <f t="shared" si="66"/>
        <v>0.19241108055795486</v>
      </c>
      <c r="AG181" s="837">
        <f t="shared" si="74"/>
        <v>3</v>
      </c>
      <c r="AH181" s="178">
        <f t="shared" si="67"/>
        <v>9</v>
      </c>
      <c r="AI181" s="227">
        <f t="shared" si="68"/>
        <v>3.1924110805579549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46190</v>
      </c>
      <c r="B182" s="1139">
        <f>IF(t&gt;Tmaj,'2025'!Wh/'2025'!Env_an*'2026'!Env_an,0.001*'[8]mon-tableau'!$B$218)</f>
        <v>51.620917959024162</v>
      </c>
      <c r="C182" s="866"/>
      <c r="D182" s="395">
        <f t="shared" si="50"/>
        <v>55.195407326632463</v>
      </c>
      <c r="E182" s="387">
        <f t="shared" si="75"/>
        <v>57.566679763746734</v>
      </c>
      <c r="F182" s="387">
        <f t="shared" si="51"/>
        <v>57.568859870683298</v>
      </c>
      <c r="G182" s="110">
        <f t="shared" si="76"/>
        <v>0.88771664691745089</v>
      </c>
      <c r="H182" s="414" t="b">
        <f>Wh_hp&gt;='2025'!Maxi_hp</f>
        <v>0</v>
      </c>
      <c r="I182" s="392">
        <f>IF(H182,Wh_hp,'2025'!Maxi_hp)</f>
        <v>64.280395132327001</v>
      </c>
      <c r="J182" s="85">
        <f>IF(H182,An,'2025'!An_max)</f>
        <v>2019</v>
      </c>
      <c r="K182" s="199">
        <f t="shared" si="52"/>
        <v>46190</v>
      </c>
      <c r="L182" s="147">
        <f>IF(t&lt;Tvie,1-EXP((T0-t)*PertePVj)+'2025'!Pspv,1-EXP((T0-t)*PertePVj)+Pspv)</f>
        <v>6.476063029040402E-2</v>
      </c>
      <c r="M182" s="870"/>
      <c r="N182" s="870"/>
      <c r="O182" s="48">
        <f>IF(t&lt;Tnet,'2025'!Resal+('2025'!Salim-'2025'!Resal)*(1-EXP(('2025'!Tnet-t)/('2025'!Tau_j))),Resal+(Salim-Resal)*(1-EXP((Tnet-t)/(Tau_j))))*Salcycl</f>
        <v>4.1191752709135901E-2</v>
      </c>
      <c r="P182" s="171">
        <f>(INDEX(Models!$BJ182:$BT182,,T182)*(1-R182)+INDEX(Models!$BJ182:$BT182,,T182+1)*R182-ERP_i)*Q182*Ramure*Pc/MaxiM</f>
        <v>4.5104042755615949E-5</v>
      </c>
      <c r="Q182" s="307">
        <f t="shared" si="53"/>
        <v>1</v>
      </c>
      <c r="R182" s="179">
        <f t="shared" si="54"/>
        <v>0.26450542817590827</v>
      </c>
      <c r="S182" s="837">
        <f t="shared" si="55"/>
        <v>-2</v>
      </c>
      <c r="T182" s="178">
        <f t="shared" si="56"/>
        <v>4</v>
      </c>
      <c r="U182" s="253">
        <f t="shared" si="57"/>
        <v>-1.7354945718240917</v>
      </c>
      <c r="V182" s="385">
        <f t="shared" si="58"/>
        <v>58.149798894817081</v>
      </c>
      <c r="W182" s="404">
        <f t="shared" si="59"/>
        <v>51.620917959024162</v>
      </c>
      <c r="X182" s="157">
        <f t="shared" si="60"/>
        <v>46190</v>
      </c>
      <c r="Y182" s="387">
        <f t="shared" si="61"/>
        <v>47.622790120786618</v>
      </c>
      <c r="Z182" s="387">
        <f t="shared" si="62"/>
        <v>50.920429211159188</v>
      </c>
      <c r="AA182" s="388">
        <f t="shared" si="63"/>
        <v>57.528364119962539</v>
      </c>
      <c r="AB182" s="199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0.11486394598365393</v>
      </c>
      <c r="AD182" s="233">
        <f>(INDEX(Models!$BJ182:$BT182,,AH182)*(1-AF182)+INDEX(Models!$BJ182:$BT182,,AH182+1)*AF182-ERP_i)*AE182*Ramure*Pc/MaxiM</f>
        <v>8.378130637972396E-4</v>
      </c>
      <c r="AE182" s="307">
        <f t="shared" si="65"/>
        <v>1</v>
      </c>
      <c r="AF182" s="179">
        <f t="shared" si="66"/>
        <v>0.19948802109947872</v>
      </c>
      <c r="AG182" s="837">
        <f t="shared" si="74"/>
        <v>3</v>
      </c>
      <c r="AH182" s="178">
        <f t="shared" si="67"/>
        <v>9</v>
      </c>
      <c r="AI182" s="227">
        <f t="shared" si="68"/>
        <v>3.1994880210994787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46191</v>
      </c>
      <c r="B183" s="1139">
        <f>IF(t&gt;Tmaj,'2025'!Wh/'2025'!Env_an*'2026'!Env_an,0.001*'[8]mon-tableau'!$B$219)</f>
        <v>53.661568389905476</v>
      </c>
      <c r="C183" s="866"/>
      <c r="D183" s="395">
        <f t="shared" si="50"/>
        <v>57.378697839378923</v>
      </c>
      <c r="E183" s="387">
        <f t="shared" si="75"/>
        <v>59.86360286416874</v>
      </c>
      <c r="F183" s="387">
        <f t="shared" si="51"/>
        <v>59.866035296668471</v>
      </c>
      <c r="G183" s="110">
        <f t="shared" si="76"/>
        <v>0.92377374757851649</v>
      </c>
      <c r="H183" s="414" t="b">
        <f>Wh_hp&gt;='2025'!Maxi_hp</f>
        <v>0</v>
      </c>
      <c r="I183" s="392">
        <f>IF(H183,Wh_hp,'2025'!Maxi_hp)</f>
        <v>62.624362697411456</v>
      </c>
      <c r="J183" s="85">
        <f>IF(H183,An,'2025'!An_max)</f>
        <v>2019</v>
      </c>
      <c r="K183" s="199">
        <f t="shared" si="52"/>
        <v>46191</v>
      </c>
      <c r="L183" s="147">
        <f>IF(t&lt;Tvie,1-EXP((T0-t)*PertePVj)+'2025'!Pspv,1-EXP((T0-t)*PertePVj)+Pspv)</f>
        <v>6.4782394676833999E-2</v>
      </c>
      <c r="M183" s="870"/>
      <c r="N183" s="870"/>
      <c r="O183" s="48">
        <f>IF(t&lt;Tnet,'2025'!Resal+('2025'!Salim-'2025'!Resal)*(1-EXP(('2025'!Tnet-t)/('2025'!Tau_j))),Resal+(Salim-Resal)*(1-EXP((Tnet-t)/(Tau_j))))*Salcycl</f>
        <v>4.1509446573539853E-2</v>
      </c>
      <c r="P183" s="171">
        <f>(INDEX(Models!$BJ183:$BT183,,T183)*(1-R183)+INDEX(Models!$BJ183:$BT183,,T183+1)*R183-ERP_i)*Q183*Ramure*Pc/MaxiM</f>
        <v>4.559613740399972E-5</v>
      </c>
      <c r="Q183" s="307">
        <f t="shared" si="53"/>
        <v>1</v>
      </c>
      <c r="R183" s="179">
        <f t="shared" si="54"/>
        <v>0.27154095007108903</v>
      </c>
      <c r="S183" s="837">
        <f t="shared" si="55"/>
        <v>-2</v>
      </c>
      <c r="T183" s="178">
        <f t="shared" si="56"/>
        <v>4</v>
      </c>
      <c r="U183" s="253">
        <f t="shared" si="57"/>
        <v>-1.728459049928911</v>
      </c>
      <c r="V183" s="385">
        <f t="shared" si="58"/>
        <v>58.089225956769674</v>
      </c>
      <c r="W183" s="404">
        <f t="shared" si="59"/>
        <v>53.661568389905476</v>
      </c>
      <c r="X183" s="157">
        <f t="shared" si="60"/>
        <v>46191</v>
      </c>
      <c r="Y183" s="387">
        <f t="shared" si="61"/>
        <v>49.506938250061147</v>
      </c>
      <c r="Z183" s="387">
        <f t="shared" si="62"/>
        <v>52.936277042126406</v>
      </c>
      <c r="AA183" s="388">
        <f t="shared" si="63"/>
        <v>59.822275679414318</v>
      </c>
      <c r="AB183" s="199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0.11510760095770615</v>
      </c>
      <c r="AD183" s="233">
        <f>(INDEX(Models!$BJ183:$BT183,,AH183)*(1-AF183)+INDEX(Models!$BJ183:$BT183,,AH183+1)*AF183-ERP_i)*AE183*Ramure*Pc/MaxiM</f>
        <v>8.2027744707905488E-4</v>
      </c>
      <c r="AE183" s="307">
        <f t="shared" si="65"/>
        <v>1</v>
      </c>
      <c r="AF183" s="179">
        <f t="shared" si="66"/>
        <v>0.20652354299465969</v>
      </c>
      <c r="AG183" s="837">
        <f t="shared" si="74"/>
        <v>3</v>
      </c>
      <c r="AH183" s="178">
        <f t="shared" si="67"/>
        <v>9</v>
      </c>
      <c r="AI183" s="227">
        <f t="shared" si="68"/>
        <v>3.2065235429946597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46192</v>
      </c>
      <c r="B184" s="1139">
        <f>IF(t&gt;Tmaj,'2025'!Wh/'2025'!Env_an*'2026'!Env_an,0.001*'[8]mon-tableau'!$B$220)</f>
        <v>54.990292998652706</v>
      </c>
      <c r="C184" s="866"/>
      <c r="D184" s="395">
        <f t="shared" si="50"/>
        <v>58.800831399966313</v>
      </c>
      <c r="E184" s="387">
        <f t="shared" si="75"/>
        <v>61.367580461930665</v>
      </c>
      <c r="F184" s="387">
        <f t="shared" si="51"/>
        <v>61.37019762495985</v>
      </c>
      <c r="G184" s="110">
        <f t="shared" si="76"/>
        <v>0.94768161604155443</v>
      </c>
      <c r="H184" s="414" t="b">
        <f>Wh_hp&gt;='2025'!Maxi_hp</f>
        <v>0</v>
      </c>
      <c r="I184" s="392">
        <f>IF(H184,Wh_hp,'2025'!Maxi_hp)</f>
        <v>61.370337224639151</v>
      </c>
      <c r="J184" s="85">
        <f>IF(H184,An,'2025'!An_max)</f>
        <v>2025</v>
      </c>
      <c r="K184" s="199">
        <f t="shared" si="52"/>
        <v>46192</v>
      </c>
      <c r="L184" s="147">
        <f>IF(t&lt;Tvie,1-EXP((T0-t)*PertePVj)+'2025'!Pspv,1-EXP((T0-t)*PertePVj)+Pspv)</f>
        <v>6.4804158556774905E-2</v>
      </c>
      <c r="M184" s="870"/>
      <c r="N184" s="870"/>
      <c r="O184" s="48">
        <f>IF(t&lt;Tnet,'2025'!Resal+('2025'!Salim-'2025'!Resal)*(1-EXP(('2025'!Tnet-t)/('2025'!Tau_j))),Resal+(Salim-Resal)*(1-EXP((Tnet-t)/(Tau_j))))*Salcycl</f>
        <v>4.1825814911451986E-2</v>
      </c>
      <c r="P184" s="171">
        <f>(INDEX(Models!$BJ184:$BT184,,T184)*(1-R184)+INDEX(Models!$BJ184:$BT184,,T184+1)*R184-ERP_i)*Q184*Ramure*Pc/MaxiM</f>
        <v>4.6090087840921773E-5</v>
      </c>
      <c r="Q184" s="307">
        <f t="shared" si="53"/>
        <v>1</v>
      </c>
      <c r="R184" s="179">
        <f t="shared" si="54"/>
        <v>0.27852953085126653</v>
      </c>
      <c r="S184" s="837">
        <f t="shared" si="55"/>
        <v>-2</v>
      </c>
      <c r="T184" s="178">
        <f t="shared" si="56"/>
        <v>4</v>
      </c>
      <c r="U184" s="253">
        <f t="shared" si="57"/>
        <v>-1.7214704691487335</v>
      </c>
      <c r="V184" s="385">
        <f t="shared" si="58"/>
        <v>58.025926261618352</v>
      </c>
      <c r="W184" s="404">
        <f t="shared" si="59"/>
        <v>54.990292998652706</v>
      </c>
      <c r="X184" s="157">
        <f t="shared" si="60"/>
        <v>46192</v>
      </c>
      <c r="Y184" s="387">
        <f t="shared" si="61"/>
        <v>50.734953660207587</v>
      </c>
      <c r="Z184" s="387">
        <f t="shared" si="62"/>
        <v>54.250619401719895</v>
      </c>
      <c r="AA184" s="388">
        <f t="shared" si="63"/>
        <v>61.324225560919466</v>
      </c>
      <c r="AB184" s="199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0.11534766390441656</v>
      </c>
      <c r="AD184" s="233">
        <f>(INDEX(Models!$BJ184:$BT184,,AH184)*(1-AF184)+INDEX(Models!$BJ184:$BT184,,AH184+1)*AF184-ERP_i)*AE184*Ramure*Pc/MaxiM</f>
        <v>8.0960048962231811E-4</v>
      </c>
      <c r="AE184" s="307">
        <f t="shared" si="65"/>
        <v>1</v>
      </c>
      <c r="AF184" s="179">
        <f t="shared" si="66"/>
        <v>0.21351212377483719</v>
      </c>
      <c r="AG184" s="837">
        <f t="shared" si="74"/>
        <v>3</v>
      </c>
      <c r="AH184" s="178">
        <f t="shared" si="67"/>
        <v>9</v>
      </c>
      <c r="AI184" s="227">
        <f t="shared" si="68"/>
        <v>3.2135121237748372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46193</v>
      </c>
      <c r="B185" s="1139">
        <f>IF(t&gt;Tmaj,'2025'!Wh/'2025'!Env_an*'2026'!Env_an,0.001*'[8]mon-tableau'!$B$221)</f>
        <v>32.653875141954437</v>
      </c>
      <c r="C185" s="866"/>
      <c r="D185" s="395">
        <f t="shared" si="50"/>
        <v>34.917429714640292</v>
      </c>
      <c r="E185" s="387">
        <f t="shared" si="75"/>
        <v>36.453614692569623</v>
      </c>
      <c r="F185" s="387">
        <f t="shared" si="51"/>
        <v>36.45425301622096</v>
      </c>
      <c r="G185" s="110">
        <f t="shared" si="76"/>
        <v>0.56336896044162188</v>
      </c>
      <c r="H185" s="414" t="b">
        <f>Wh_hp&gt;='2025'!Maxi_hp</f>
        <v>0</v>
      </c>
      <c r="I185" s="392">
        <f>IF(H185,Wh_hp,'2025'!Maxi_hp)</f>
        <v>61.978111723562009</v>
      </c>
      <c r="J185" s="85">
        <f>IF(H185,An,'2025'!An_max)</f>
        <v>2020</v>
      </c>
      <c r="K185" s="199">
        <f t="shared" si="52"/>
        <v>46193</v>
      </c>
      <c r="L185" s="147">
        <f>IF(t&lt;Tvie,1-EXP((T0-t)*PertePVj)+'2025'!Pspv,1-EXP((T0-t)*PertePVj)+Pspv)</f>
        <v>6.4825921930238395E-2</v>
      </c>
      <c r="M185" s="870"/>
      <c r="N185" s="870"/>
      <c r="O185" s="48">
        <f>IF(t&lt;Tnet,'2025'!Resal+('2025'!Salim-'2025'!Resal)*(1-EXP(('2025'!Tnet-t)/('2025'!Tau_j))),Resal+(Salim-Resal)*(1-EXP((Tnet-t)/(Tau_j))))*Salcycl</f>
        <v>4.2140813493660223E-2</v>
      </c>
      <c r="P185" s="171">
        <f>(INDEX(Models!$BJ185:$BT185,,T185)*(1-R185)+INDEX(Models!$BJ185:$BT185,,T185+1)*R185-ERP_i)*Q185*Ramure*Pc/MaxiM</f>
        <v>4.65370893677285E-5</v>
      </c>
      <c r="Q185" s="307">
        <f t="shared" si="53"/>
        <v>1</v>
      </c>
      <c r="R185" s="179">
        <f t="shared" si="54"/>
        <v>0.28546580015918188</v>
      </c>
      <c r="S185" s="837">
        <f t="shared" si="55"/>
        <v>-2</v>
      </c>
      <c r="T185" s="178">
        <f t="shared" si="56"/>
        <v>4</v>
      </c>
      <c r="U185" s="253">
        <f t="shared" si="57"/>
        <v>-1.7145341998408181</v>
      </c>
      <c r="V185" s="385">
        <f t="shared" si="58"/>
        <v>57.960110655511819</v>
      </c>
      <c r="W185" s="404">
        <f t="shared" si="59"/>
        <v>32.653875141954437</v>
      </c>
      <c r="X185" s="157">
        <f t="shared" si="60"/>
        <v>46193</v>
      </c>
      <c r="Y185" s="387">
        <f t="shared" si="61"/>
        <v>30.141576077874824</v>
      </c>
      <c r="Z185" s="387">
        <f t="shared" si="62"/>
        <v>32.230979006698192</v>
      </c>
      <c r="AA185" s="388">
        <f t="shared" si="63"/>
        <v>36.443236737718095</v>
      </c>
      <c r="AB185" s="199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0.11558407287847441</v>
      </c>
      <c r="AD185" s="233">
        <f>(INDEX(Models!$BJ185:$BT185,,AH185)*(1-AF185)+INDEX(Models!$BJ185:$BT185,,AH185+1)*AF185-ERP_i)*AE185*Ramure*Pc/MaxiM</f>
        <v>8.0314357162643334E-4</v>
      </c>
      <c r="AE185" s="307">
        <f t="shared" si="65"/>
        <v>1</v>
      </c>
      <c r="AF185" s="179">
        <f t="shared" si="66"/>
        <v>0.22044839308275233</v>
      </c>
      <c r="AG185" s="837">
        <f t="shared" si="74"/>
        <v>3</v>
      </c>
      <c r="AH185" s="178">
        <f t="shared" si="67"/>
        <v>9</v>
      </c>
      <c r="AI185" s="227">
        <f t="shared" si="68"/>
        <v>3.2204483930827523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46194</v>
      </c>
      <c r="B186" s="1139">
        <f>IF(t&gt;Tmaj,'2025'!Wh/'2025'!Env_an*'2026'!Env_an,0.001*'[8]mon-tableau'!$B$222)</f>
        <v>19.385989710167742</v>
      </c>
      <c r="C186" s="866"/>
      <c r="D186" s="395">
        <f t="shared" si="50"/>
        <v>20.730301786147418</v>
      </c>
      <c r="E186" s="387">
        <f t="shared" si="75"/>
        <v>21.649414736179555</v>
      </c>
      <c r="F186" s="387">
        <f t="shared" si="51"/>
        <v>21.649465349105231</v>
      </c>
      <c r="G186" s="110">
        <f t="shared" si="76"/>
        <v>0.3348498857976443</v>
      </c>
      <c r="H186" s="414" t="b">
        <f>Wh_hp&gt;='2025'!Maxi_hp</f>
        <v>0</v>
      </c>
      <c r="I186" s="392">
        <f>IF(H186,Wh_hp,'2025'!Maxi_hp)</f>
        <v>55.551816026089647</v>
      </c>
      <c r="J186" s="85">
        <f>IF(H186,An,'2025'!An_max)</f>
        <v>2020</v>
      </c>
      <c r="K186" s="199">
        <f t="shared" si="52"/>
        <v>46194</v>
      </c>
      <c r="L186" s="147">
        <f>IF(t&lt;Tvie,1-EXP((T0-t)*PertePVj)+'2025'!Pspv,1-EXP((T0-t)*PertePVj)+Pspv)</f>
        <v>6.484768479723646E-2</v>
      </c>
      <c r="M186" s="870"/>
      <c r="N186" s="870"/>
      <c r="O186" s="48">
        <f>IF(t&lt;Tnet,'2025'!Resal+('2025'!Salim-'2025'!Resal)*(1-EXP(('2025'!Tnet-t)/('2025'!Tau_j))),Resal+(Salim-Resal)*(1-EXP((Tnet-t)/(Tau_j))))*Salcycl</f>
        <v>4.2454401711661711E-2</v>
      </c>
      <c r="P186" s="171">
        <f>(INDEX(Models!$BJ186:$BT186,,T186)*(1-R186)+INDEX(Models!$BJ186:$BT186,,T186+1)*R186-ERP_i)*Q186*Ramure*Pc/MaxiM</f>
        <v>4.693803112727524E-5</v>
      </c>
      <c r="Q186" s="307">
        <f t="shared" si="53"/>
        <v>1</v>
      </c>
      <c r="R186" s="179">
        <f t="shared" si="54"/>
        <v>0.29234455532865899</v>
      </c>
      <c r="S186" s="837">
        <f t="shared" si="55"/>
        <v>-2</v>
      </c>
      <c r="T186" s="178">
        <f t="shared" si="56"/>
        <v>4</v>
      </c>
      <c r="U186" s="253">
        <f t="shared" si="57"/>
        <v>-1.707655444671341</v>
      </c>
      <c r="V186" s="385">
        <f t="shared" si="58"/>
        <v>57.891986563079875</v>
      </c>
      <c r="W186" s="404">
        <f t="shared" si="59"/>
        <v>19.385989710167742</v>
      </c>
      <c r="X186" s="157">
        <f t="shared" si="60"/>
        <v>46194</v>
      </c>
      <c r="Y186" s="387">
        <f t="shared" si="61"/>
        <v>17.900059435629512</v>
      </c>
      <c r="Z186" s="387">
        <f t="shared" si="62"/>
        <v>19.141330395731682</v>
      </c>
      <c r="AA186" s="388">
        <f t="shared" si="63"/>
        <v>21.648601658541487</v>
      </c>
      <c r="AB186" s="199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0.11581677663788298</v>
      </c>
      <c r="AD186" s="233">
        <f>(INDEX(Models!$BJ186:$BT186,,AH186)*(1-AF186)+INDEX(Models!$BJ186:$BT186,,AH186+1)*AF186-ERP_i)*AE186*Ramure*Pc/MaxiM</f>
        <v>8.009798687719468E-4</v>
      </c>
      <c r="AE186" s="307">
        <f t="shared" si="65"/>
        <v>1</v>
      </c>
      <c r="AF186" s="179">
        <f t="shared" si="66"/>
        <v>0.22732714825222944</v>
      </c>
      <c r="AG186" s="837">
        <f t="shared" si="74"/>
        <v>3</v>
      </c>
      <c r="AH186" s="178">
        <f t="shared" si="67"/>
        <v>9</v>
      </c>
      <c r="AI186" s="227">
        <f t="shared" si="68"/>
        <v>3.2273271482522294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46195</v>
      </c>
      <c r="B187" s="1139">
        <f>IF(t&gt;Tmaj,'2025'!Wh/'2025'!Env_an*'2026'!Env_an,0.001*'[8]mon-tableau'!$B$223)</f>
        <v>46.816789205445126</v>
      </c>
      <c r="C187" s="866"/>
      <c r="D187" s="395">
        <f t="shared" si="50"/>
        <v>50.06444187194078</v>
      </c>
      <c r="E187" s="387">
        <f t="shared" si="75"/>
        <v>52.301182632958636</v>
      </c>
      <c r="F187" s="387">
        <f t="shared" si="51"/>
        <v>52.302983680052876</v>
      </c>
      <c r="G187" s="110">
        <f t="shared" si="76"/>
        <v>0.8096638094830072</v>
      </c>
      <c r="H187" s="414" t="b">
        <f>Wh_hp&gt;='2025'!Maxi_hp</f>
        <v>0</v>
      </c>
      <c r="I187" s="392">
        <f>IF(H187,Wh_hp,'2025'!Maxi_hp)</f>
        <v>63.856670121040153</v>
      </c>
      <c r="J187" s="85">
        <f>IF(H187,An,'2025'!An_max)</f>
        <v>2020</v>
      </c>
      <c r="K187" s="199">
        <f t="shared" si="52"/>
        <v>46195</v>
      </c>
      <c r="L187" s="147">
        <f>IF(t&lt;Tvie,1-EXP((T0-t)*PertePVj)+'2025'!Pspv,1-EXP((T0-t)*PertePVj)+Pspv)</f>
        <v>6.4869447157780868E-2</v>
      </c>
      <c r="M187" s="870"/>
      <c r="N187" s="870"/>
      <c r="O187" s="48">
        <f>IF(t&lt;Tnet,'2025'!Resal+('2025'!Salim-'2025'!Resal)*(1-EXP(('2025'!Tnet-t)/('2025'!Tau_j))),Resal+(Salim-Resal)*(1-EXP((Tnet-t)/(Tau_j))))*Salcycl</f>
        <v>4.2766542713095899E-2</v>
      </c>
      <c r="P187" s="171">
        <f>(INDEX(Models!$BJ187:$BT187,,T187)*(1-R187)+INDEX(Models!$BJ187:$BT187,,T187+1)*R187-ERP_i)*Q187*Ramure*Pc/MaxiM</f>
        <v>4.7293774527893714E-5</v>
      </c>
      <c r="Q187" s="307">
        <f t="shared" si="53"/>
        <v>1</v>
      </c>
      <c r="R187" s="179">
        <f t="shared" si="54"/>
        <v>0.29916077584478185</v>
      </c>
      <c r="S187" s="837">
        <f t="shared" si="55"/>
        <v>-2</v>
      </c>
      <c r="T187" s="178">
        <f t="shared" si="56"/>
        <v>4</v>
      </c>
      <c r="U187" s="253">
        <f t="shared" si="57"/>
        <v>-1.7008392241552182</v>
      </c>
      <c r="V187" s="385">
        <f t="shared" si="58"/>
        <v>57.821760864632559</v>
      </c>
      <c r="W187" s="404">
        <f t="shared" si="59"/>
        <v>46.816789205445126</v>
      </c>
      <c r="X187" s="157">
        <f t="shared" si="60"/>
        <v>46195</v>
      </c>
      <c r="Y187" s="387">
        <f t="shared" si="61"/>
        <v>43.209023928242537</v>
      </c>
      <c r="Z187" s="387">
        <f t="shared" si="62"/>
        <v>46.206408075229497</v>
      </c>
      <c r="AA187" s="388">
        <f t="shared" si="63"/>
        <v>52.272396762992983</v>
      </c>
      <c r="AB187" s="199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0.11604573471668297</v>
      </c>
      <c r="AD187" s="233">
        <f>(INDEX(Models!$BJ187:$BT187,,AH187)*(1-AF187)+INDEX(Models!$BJ187:$BT187,,AH187+1)*AF187-ERP_i)*AE187*Ramure*Pc/MaxiM</f>
        <v>8.0318319468624733E-4</v>
      </c>
      <c r="AE187" s="307">
        <f t="shared" si="65"/>
        <v>1</v>
      </c>
      <c r="AF187" s="179">
        <f t="shared" si="66"/>
        <v>0.23414336876835229</v>
      </c>
      <c r="AG187" s="837">
        <f t="shared" si="74"/>
        <v>3</v>
      </c>
      <c r="AH187" s="178">
        <f t="shared" si="67"/>
        <v>9</v>
      </c>
      <c r="AI187" s="227">
        <f t="shared" si="68"/>
        <v>3.2341433687683523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46196</v>
      </c>
      <c r="B188" s="1139">
        <f>IF(t&gt;Tmaj,'2025'!Wh/'2025'!Env_an*'2026'!Env_an,0.001*'[8]mon-tableau'!$B$224)</f>
        <v>41.487512653812047</v>
      </c>
      <c r="C188" s="866"/>
      <c r="D188" s="395">
        <f t="shared" si="50"/>
        <v>44.366509066792929</v>
      </c>
      <c r="E188" s="387">
        <f t="shared" si="75"/>
        <v>46.363728850149819</v>
      </c>
      <c r="F188" s="387">
        <f t="shared" si="51"/>
        <v>46.365048130057744</v>
      </c>
      <c r="G188" s="110">
        <f t="shared" si="76"/>
        <v>0.71838920862556643</v>
      </c>
      <c r="H188" s="414" t="b">
        <f>Wh_hp&gt;='2025'!Maxi_hp</f>
        <v>0</v>
      </c>
      <c r="I188" s="392">
        <f>IF(H188,Wh_hp,'2025'!Maxi_hp)</f>
        <v>56.926407326668489</v>
      </c>
      <c r="J188" s="85">
        <f>IF(H188,An,'2025'!An_max)</f>
        <v>2020</v>
      </c>
      <c r="K188" s="199">
        <f t="shared" si="52"/>
        <v>46196</v>
      </c>
      <c r="L188" s="147">
        <f>IF(t&lt;Tvie,1-EXP((T0-t)*PertePVj)+'2025'!Pspv,1-EXP((T0-t)*PertePVj)+Pspv)</f>
        <v>6.4891209011883388E-2</v>
      </c>
      <c r="M188" s="870"/>
      <c r="N188" s="870"/>
      <c r="O188" s="48">
        <f>IF(t&lt;Tnet,'2025'!Resal+('2025'!Salim-'2025'!Resal)*(1-EXP(('2025'!Tnet-t)/('2025'!Tau_j))),Resal+(Salim-Resal)*(1-EXP((Tnet-t)/(Tau_j))))*Salcycl</f>
        <v>4.307720351423884E-2</v>
      </c>
      <c r="P188" s="171">
        <f>(INDEX(Models!$BJ188:$BT188,,T188)*(1-R188)+INDEX(Models!$BJ188:$BT188,,T188+1)*R188-ERP_i)*Q188*Ramure*Pc/MaxiM</f>
        <v>4.7604665524922898E-5</v>
      </c>
      <c r="Q188" s="307">
        <f t="shared" si="53"/>
        <v>1</v>
      </c>
      <c r="R188" s="179">
        <f t="shared" si="54"/>
        <v>0.30590963660849235</v>
      </c>
      <c r="S188" s="837">
        <f t="shared" si="55"/>
        <v>-2</v>
      </c>
      <c r="T188" s="178">
        <f t="shared" si="56"/>
        <v>4</v>
      </c>
      <c r="U188" s="253">
        <f t="shared" si="57"/>
        <v>-1.6940903633915076</v>
      </c>
      <c r="V188" s="385">
        <f t="shared" si="58"/>
        <v>57.749639927079144</v>
      </c>
      <c r="W188" s="404">
        <f t="shared" si="59"/>
        <v>41.487512653812047</v>
      </c>
      <c r="X188" s="157">
        <f t="shared" si="60"/>
        <v>46196</v>
      </c>
      <c r="Y188" s="387">
        <f t="shared" si="61"/>
        <v>38.296733584533882</v>
      </c>
      <c r="Z188" s="387">
        <f t="shared" si="62"/>
        <v>40.954308154954091</v>
      </c>
      <c r="AA188" s="388">
        <f t="shared" si="63"/>
        <v>46.342605401406963</v>
      </c>
      <c r="AB188" s="199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0.11627091743722473</v>
      </c>
      <c r="AD188" s="233">
        <f>(INDEX(Models!$BJ188:$BT188,,AH188)*(1-AF188)+INDEX(Models!$BJ188:$BT188,,AH188+1)*AF188-ERP_i)*AE188*Ramure*Pc/MaxiM</f>
        <v>8.0981949658199171E-4</v>
      </c>
      <c r="AE188" s="307">
        <f t="shared" si="65"/>
        <v>1</v>
      </c>
      <c r="AF188" s="179">
        <f t="shared" si="66"/>
        <v>0.2408922295320628</v>
      </c>
      <c r="AG188" s="837">
        <f t="shared" si="74"/>
        <v>3</v>
      </c>
      <c r="AH188" s="178">
        <f t="shared" si="67"/>
        <v>9</v>
      </c>
      <c r="AI188" s="227">
        <f t="shared" si="68"/>
        <v>3.2408922295320628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46197</v>
      </c>
      <c r="B189" s="1139">
        <f>IF(t&gt;Tmaj,'2025'!Wh/'2025'!Env_an*'2026'!Env_an,0.001*'[8]mon-tableau'!$B$225)</f>
        <v>43.870329838601634</v>
      </c>
      <c r="C189" s="866"/>
      <c r="D189" s="395">
        <f t="shared" si="50"/>
        <v>46.915771952767294</v>
      </c>
      <c r="E189" s="387">
        <f t="shared" si="75"/>
        <v>49.043594770297759</v>
      </c>
      <c r="F189" s="387">
        <f t="shared" si="51"/>
        <v>49.045139770183106</v>
      </c>
      <c r="G189" s="110">
        <f t="shared" si="76"/>
        <v>0.76062385249526254</v>
      </c>
      <c r="H189" s="414" t="b">
        <f>Wh_hp&gt;='2025'!Maxi_hp</f>
        <v>0</v>
      </c>
      <c r="I189" s="392">
        <f>IF(H189,Wh_hp,'2025'!Maxi_hp)</f>
        <v>63.0959882762929</v>
      </c>
      <c r="J189" s="85">
        <f>IF(H189,An,'2025'!An_max)</f>
        <v>2020</v>
      </c>
      <c r="K189" s="199">
        <f t="shared" si="52"/>
        <v>46197</v>
      </c>
      <c r="L189" s="147">
        <f>IF(t&lt;Tvie,1-EXP((T0-t)*PertePVj)+'2025'!Pspv,1-EXP((T0-t)*PertePVj)+Pspv)</f>
        <v>6.4912970359555677E-2</v>
      </c>
      <c r="M189" s="870"/>
      <c r="N189" s="870"/>
      <c r="O189" s="48">
        <f>IF(t&lt;Tnet,'2025'!Resal+('2025'!Salim-'2025'!Resal)*(1-EXP(('2025'!Tnet-t)/('2025'!Tau_j))),Resal+(Salim-Resal)*(1-EXP((Tnet-t)/(Tau_j))))*Salcycl</f>
        <v>4.3386355088700403E-2</v>
      </c>
      <c r="P189" s="171">
        <f>(INDEX(Models!$BJ189:$BT189,,T189)*(1-R189)+INDEX(Models!$BJ189:$BT189,,T189+1)*R189-ERP_i)*Q189*Ramure*Pc/MaxiM</f>
        <v>4.7870983719806454E-5</v>
      </c>
      <c r="Q189" s="307">
        <f t="shared" si="53"/>
        <v>1</v>
      </c>
      <c r="R189" s="179">
        <f t="shared" si="54"/>
        <v>0.31258651994265185</v>
      </c>
      <c r="S189" s="837">
        <f t="shared" si="55"/>
        <v>-2</v>
      </c>
      <c r="T189" s="178">
        <f t="shared" si="56"/>
        <v>4</v>
      </c>
      <c r="U189" s="253">
        <f t="shared" si="57"/>
        <v>-1.6874134800573481</v>
      </c>
      <c r="V189" s="385">
        <f t="shared" si="58"/>
        <v>57.675829572476992</v>
      </c>
      <c r="W189" s="404">
        <f t="shared" si="59"/>
        <v>43.870329838601634</v>
      </c>
      <c r="X189" s="157">
        <f t="shared" si="60"/>
        <v>46197</v>
      </c>
      <c r="Y189" s="387">
        <f t="shared" si="61"/>
        <v>40.497075628240509</v>
      </c>
      <c r="Z189" s="387">
        <f t="shared" si="62"/>
        <v>43.308349217304695</v>
      </c>
      <c r="AA189" s="388">
        <f t="shared" si="63"/>
        <v>49.018644098570093</v>
      </c>
      <c r="AB189" s="199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0.11649230586188263</v>
      </c>
      <c r="AD189" s="233">
        <f>(INDEX(Models!$BJ189:$BT189,,AH189)*(1-AF189)+INDEX(Models!$BJ189:$BT189,,AH189+1)*AF189-ERP_i)*AE189*Ramure*Pc/MaxiM</f>
        <v>8.2095401848487036E-4</v>
      </c>
      <c r="AE189" s="307">
        <f t="shared" si="65"/>
        <v>1</v>
      </c>
      <c r="AF189" s="179">
        <f t="shared" si="66"/>
        <v>0.24756911286622207</v>
      </c>
      <c r="AG189" s="837">
        <f t="shared" si="74"/>
        <v>3</v>
      </c>
      <c r="AH189" s="178">
        <f t="shared" si="67"/>
        <v>9</v>
      </c>
      <c r="AI189" s="227">
        <f t="shared" si="68"/>
        <v>3.2475691128662221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46198</v>
      </c>
      <c r="B190" s="1139">
        <f>IF(t&gt;Tmaj,'2025'!Wh/'2025'!Env_an*'2026'!Env_an,0.001*'[8]mon-tableau'!$B$226)</f>
        <v>30.72641700286233</v>
      </c>
      <c r="C190" s="866"/>
      <c r="D190" s="395">
        <f t="shared" si="50"/>
        <v>32.860184233258025</v>
      </c>
      <c r="E190" s="387">
        <f t="shared" si="75"/>
        <v>34.361578078529504</v>
      </c>
      <c r="F190" s="387">
        <f t="shared" si="51"/>
        <v>34.362129194294674</v>
      </c>
      <c r="G190" s="110">
        <f t="shared" si="76"/>
        <v>0.53342268479863841</v>
      </c>
      <c r="H190" s="414" t="b">
        <f>Wh_hp&gt;='2025'!Maxi_hp</f>
        <v>0</v>
      </c>
      <c r="I190" s="392">
        <f>IF(H190,Wh_hp,'2025'!Maxi_hp)</f>
        <v>58.333269226080525</v>
      </c>
      <c r="J190" s="85">
        <f>IF(H190,An,'2025'!An_max)</f>
        <v>2021</v>
      </c>
      <c r="K190" s="199">
        <f t="shared" si="52"/>
        <v>46198</v>
      </c>
      <c r="L190" s="147">
        <f>IF(t&lt;Tvie,1-EXP((T0-t)*PertePVj)+'2025'!Pspv,1-EXP((T0-t)*PertePVj)+Pspv)</f>
        <v>6.4934731200809614E-2</v>
      </c>
      <c r="M190" s="870"/>
      <c r="N190" s="870"/>
      <c r="O190" s="48">
        <f>IF(t&lt;Tnet,'2025'!Resal+('2025'!Salim-'2025'!Resal)*(1-EXP(('2025'!Tnet-t)/('2025'!Tau_j))),Resal+(Salim-Resal)*(1-EXP((Tnet-t)/(Tau_j))))*Salcycl</f>
        <v>4.3693972431656368E-2</v>
      </c>
      <c r="P190" s="171">
        <f>(INDEX(Models!$BJ190:$BT190,,T190)*(1-R190)+INDEX(Models!$BJ190:$BT190,,T190+1)*R190-ERP_i)*Q190*Ramure*Pc/MaxiM</f>
        <v>4.8093450244405115E-5</v>
      </c>
      <c r="Q190" s="307">
        <f t="shared" si="53"/>
        <v>1</v>
      </c>
      <c r="R190" s="179">
        <f t="shared" si="54"/>
        <v>0.31918702629001805</v>
      </c>
      <c r="S190" s="837">
        <f t="shared" si="55"/>
        <v>-2</v>
      </c>
      <c r="T190" s="178">
        <f t="shared" si="56"/>
        <v>4</v>
      </c>
      <c r="U190" s="253">
        <f t="shared" si="57"/>
        <v>-1.680812973709982</v>
      </c>
      <c r="V190" s="385">
        <f t="shared" si="58"/>
        <v>57.600535049954345</v>
      </c>
      <c r="W190" s="404">
        <f t="shared" si="59"/>
        <v>30.72641700286233</v>
      </c>
      <c r="X190" s="157">
        <f t="shared" si="60"/>
        <v>46198</v>
      </c>
      <c r="Y190" s="387">
        <f t="shared" si="61"/>
        <v>28.372928820802954</v>
      </c>
      <c r="Z190" s="387">
        <f t="shared" si="62"/>
        <v>30.343260270204915</v>
      </c>
      <c r="AA190" s="388">
        <f t="shared" si="63"/>
        <v>34.352541689926191</v>
      </c>
      <c r="AB190" s="199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0.1167098916845791</v>
      </c>
      <c r="AD190" s="233">
        <f>(INDEX(Models!$BJ190:$BT190,,AH190)*(1-AF190)+INDEX(Models!$BJ190:$BT190,,AH190+1)*AF190-ERP_i)*AE190*Ramure*Pc/MaxiM</f>
        <v>8.3665936171193971E-4</v>
      </c>
      <c r="AE190" s="307">
        <f t="shared" si="65"/>
        <v>1</v>
      </c>
      <c r="AF190" s="179">
        <f t="shared" si="66"/>
        <v>0.25416961921358849</v>
      </c>
      <c r="AG190" s="837">
        <f t="shared" si="74"/>
        <v>3</v>
      </c>
      <c r="AH190" s="178">
        <f t="shared" si="67"/>
        <v>9</v>
      </c>
      <c r="AI190" s="227">
        <f t="shared" si="68"/>
        <v>3.2541696192135885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46199</v>
      </c>
      <c r="B191" s="1139">
        <f>IF(t&gt;Tmaj,'2025'!Wh/'2025'!Env_an*'2026'!Env_an,0.001*'[8]mon-tableau'!$B$227)</f>
        <v>11.740868306515068</v>
      </c>
      <c r="C191" s="866"/>
      <c r="D191" s="395">
        <f t="shared" si="50"/>
        <v>12.556494109881086</v>
      </c>
      <c r="E191" s="387">
        <f t="shared" si="75"/>
        <v>13.134408540084102</v>
      </c>
      <c r="F191" s="387">
        <f t="shared" si="51"/>
        <v>13.134408540084102</v>
      </c>
      <c r="G191" s="110">
        <f t="shared" si="76"/>
        <v>0.20409434736658394</v>
      </c>
      <c r="H191" s="414" t="b">
        <f>Wh_hp&gt;='2025'!Maxi_hp</f>
        <v>0</v>
      </c>
      <c r="I191" s="392">
        <f>IF(H191,Wh_hp,'2025'!Maxi_hp)</f>
        <v>61.173275923851143</v>
      </c>
      <c r="J191" s="85">
        <f>IF(H191,An,'2025'!An_max)</f>
        <v>2019</v>
      </c>
      <c r="K191" s="199">
        <f t="shared" si="52"/>
        <v>46199</v>
      </c>
      <c r="L191" s="147">
        <f>IF(t&lt;Tvie,1-EXP((T0-t)*PertePVj)+'2025'!Pspv,1-EXP((T0-t)*PertePVj)+Pspv)</f>
        <v>6.4956491535656968E-2</v>
      </c>
      <c r="M191" s="870"/>
      <c r="N191" s="870"/>
      <c r="O191" s="48">
        <f>IF(t&lt;Tnet,'2025'!Resal+('2025'!Salim-'2025'!Resal)*(1-EXP(('2025'!Tnet-t)/('2025'!Tau_j))),Resal+(Salim-Resal)*(1-EXP((Tnet-t)/(Tau_j))))*Salcycl</f>
        <v>4.4000034599145831E-2</v>
      </c>
      <c r="P191" s="171">
        <f>(INDEX(Models!$BJ191:$BT191,,T191)*(1-R191)+INDEX(Models!$BJ191:$BT191,,T191+1)*R191-ERP_i)*Q191*Ramure*Pc/MaxiM</f>
        <v>4.827281651312764E-5</v>
      </c>
      <c r="Q191" s="307">
        <f t="shared" si="53"/>
        <v>1</v>
      </c>
      <c r="R191" s="179">
        <f t="shared" si="54"/>
        <v>0.32570698356718308</v>
      </c>
      <c r="S191" s="837">
        <f t="shared" si="55"/>
        <v>-2</v>
      </c>
      <c r="T191" s="178">
        <f t="shared" si="56"/>
        <v>4</v>
      </c>
      <c r="U191" s="253">
        <f t="shared" si="57"/>
        <v>-1.6742930164328169</v>
      </c>
      <c r="V191" s="385">
        <f t="shared" si="58"/>
        <v>57.523893695332319</v>
      </c>
      <c r="W191" s="404">
        <f t="shared" si="59"/>
        <v>11.740868306515068</v>
      </c>
      <c r="X191" s="157">
        <f t="shared" si="60"/>
        <v>46199</v>
      </c>
      <c r="Y191" s="387">
        <f t="shared" si="61"/>
        <v>10.845275300672178</v>
      </c>
      <c r="Z191" s="387">
        <f t="shared" si="62"/>
        <v>11.598685197530305</v>
      </c>
      <c r="AA191" s="388">
        <f t="shared" si="63"/>
        <v>13.134408540084102</v>
      </c>
      <c r="AB191" s="199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0.11692367706296163</v>
      </c>
      <c r="AD191" s="233">
        <f>(INDEX(Models!$BJ191:$BT191,,AH191)*(1-AF191)+INDEX(Models!$BJ191:$BT191,,AH191+1)*AF191-ERP_i)*AE191*Ramure*Pc/MaxiM</f>
        <v>8.5700825773442465E-4</v>
      </c>
      <c r="AE191" s="307">
        <f t="shared" si="65"/>
        <v>1</v>
      </c>
      <c r="AF191" s="179">
        <f t="shared" si="66"/>
        <v>0.26068957649075353</v>
      </c>
      <c r="AG191" s="837">
        <f t="shared" si="74"/>
        <v>3</v>
      </c>
      <c r="AH191" s="178">
        <f t="shared" si="67"/>
        <v>9</v>
      </c>
      <c r="AI191" s="227">
        <f t="shared" si="68"/>
        <v>3.2606895764907535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46200</v>
      </c>
      <c r="B192" s="1139">
        <f>IF(t&gt;Tmaj,'2025'!Wh/'2025'!Env_an*'2026'!Env_an,0.001*'[8]mon-tableau'!$B$228)</f>
        <v>17.431279300451394</v>
      </c>
      <c r="C192" s="866"/>
      <c r="D192" s="395">
        <f t="shared" si="50"/>
        <v>18.642645827096541</v>
      </c>
      <c r="E192" s="387">
        <f t="shared" si="75"/>
        <v>19.506889285707764</v>
      </c>
      <c r="F192" s="387">
        <f t="shared" si="51"/>
        <v>19.506893930103377</v>
      </c>
      <c r="G192" s="110">
        <f t="shared" si="76"/>
        <v>0.30342423274609143</v>
      </c>
      <c r="H192" s="414" t="b">
        <f>Wh_hp&gt;='2025'!Maxi_hp</f>
        <v>0</v>
      </c>
      <c r="I192" s="392">
        <f>IF(H192,Wh_hp,'2025'!Maxi_hp)</f>
        <v>60.985394415911713</v>
      </c>
      <c r="J192" s="85">
        <f>IF(H192,An,'2025'!An_max)</f>
        <v>2019</v>
      </c>
      <c r="K192" s="199">
        <f t="shared" si="52"/>
        <v>46200</v>
      </c>
      <c r="L192" s="147">
        <f>IF(t&lt;Tvie,1-EXP((T0-t)*PertePVj)+'2025'!Pspv,1-EXP((T0-t)*PertePVj)+Pspv)</f>
        <v>6.4978251364109618E-2</v>
      </c>
      <c r="M192" s="870"/>
      <c r="N192" s="870"/>
      <c r="O192" s="48">
        <f>IF(t&lt;Tnet,'2025'!Resal+('2025'!Salim-'2025'!Resal)*(1-EXP(('2025'!Tnet-t)/('2025'!Tau_j))),Resal+(Salim-Resal)*(1-EXP((Tnet-t)/(Tau_j))))*Salcycl</f>
        <v>4.4304524722167553E-2</v>
      </c>
      <c r="P192" s="171">
        <f>(INDEX(Models!$BJ192:$BT192,,T192)*(1-R192)+INDEX(Models!$BJ192:$BT192,,T192+1)*R192-ERP_i)*Q192*Ramure*Pc/MaxiM</f>
        <v>4.8464507631529147E-5</v>
      </c>
      <c r="Q192" s="307">
        <f t="shared" si="53"/>
        <v>1</v>
      </c>
      <c r="R192" s="179">
        <f t="shared" si="54"/>
        <v>0.33214245515198715</v>
      </c>
      <c r="S192" s="837">
        <f t="shared" si="55"/>
        <v>-2</v>
      </c>
      <c r="T192" s="178">
        <f t="shared" si="56"/>
        <v>4</v>
      </c>
      <c r="U192" s="253">
        <f t="shared" si="57"/>
        <v>-1.6678575448480129</v>
      </c>
      <c r="V192" s="385">
        <f t="shared" si="58"/>
        <v>57.445769885759709</v>
      </c>
      <c r="W192" s="404">
        <f t="shared" si="59"/>
        <v>17.431279300451394</v>
      </c>
      <c r="X192" s="157">
        <f t="shared" si="60"/>
        <v>46200</v>
      </c>
      <c r="Y192" s="387">
        <f t="shared" si="61"/>
        <v>16.102855639264728</v>
      </c>
      <c r="Z192" s="387">
        <f t="shared" si="62"/>
        <v>17.221904905161075</v>
      </c>
      <c r="AA192" s="388">
        <f t="shared" si="63"/>
        <v>19.50680913479346</v>
      </c>
      <c r="AB192" s="199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0.1171336743925432</v>
      </c>
      <c r="AD192" s="233">
        <f>(INDEX(Models!$BJ192:$BT192,,AH192)*(1-AF192)+INDEX(Models!$BJ192:$BT192,,AH192+1)*AF192-ERP_i)*AE192*Ramure*Pc/MaxiM</f>
        <v>8.8484342984150078E-4</v>
      </c>
      <c r="AE192" s="307">
        <f t="shared" si="65"/>
        <v>1</v>
      </c>
      <c r="AF192" s="179">
        <f t="shared" si="66"/>
        <v>0.26712504807555781</v>
      </c>
      <c r="AG192" s="837">
        <f t="shared" si="74"/>
        <v>3</v>
      </c>
      <c r="AH192" s="178">
        <f t="shared" si="67"/>
        <v>9</v>
      </c>
      <c r="AI192" s="227">
        <f t="shared" si="68"/>
        <v>3.2671250480755578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46201</v>
      </c>
      <c r="B193" s="1139">
        <f>IF(t&gt;Tmaj,'2025'!Wh/'2025'!Env_an*'2026'!Env_an,0.001*'[8]mon-tableau'!$B$229)</f>
        <v>59.472419991491932</v>
      </c>
      <c r="C193" s="866"/>
      <c r="D193" s="395">
        <f t="shared" si="50"/>
        <v>63.606867028028141</v>
      </c>
      <c r="E193" s="387">
        <f t="shared" si="75"/>
        <v>66.576681696121668</v>
      </c>
      <c r="F193" s="387">
        <f t="shared" si="51"/>
        <v>66.57992359839362</v>
      </c>
      <c r="G193" s="110">
        <f t="shared" si="76"/>
        <v>1.036719640791316</v>
      </c>
      <c r="H193" s="414" t="b">
        <f>Wh_hp&gt;='2025'!Maxi_hp</f>
        <v>1</v>
      </c>
      <c r="I193" s="392">
        <f>IF(H193,Wh_hp,'2025'!Maxi_hp)</f>
        <v>66.57992359839362</v>
      </c>
      <c r="J193" s="85">
        <f>IF(H193,An,'2025'!An_max)</f>
        <v>2026</v>
      </c>
      <c r="K193" s="199">
        <f t="shared" si="52"/>
        <v>46201</v>
      </c>
      <c r="L193" s="147">
        <f>IF(t&lt;Tvie,1-EXP((T0-t)*PertePVj)+'2025'!Pspv,1-EXP((T0-t)*PertePVj)+Pspv)</f>
        <v>6.5000010686179222E-2</v>
      </c>
      <c r="M193" s="870"/>
      <c r="N193" s="870"/>
      <c r="O193" s="48">
        <f>IF(t&lt;Tnet,'2025'!Resal+('2025'!Salim-'2025'!Resal)*(1-EXP(('2025'!Tnet-t)/('2025'!Tau_j))),Resal+(Salim-Resal)*(1-EXP((Tnet-t)/(Tau_j))))*Salcycl</f>
        <v>4.4607429995516361E-2</v>
      </c>
      <c r="P193" s="171">
        <f>(INDEX(Models!$BJ193:$BT193,,T193)*(1-R193)+INDEX(Models!$BJ193:$BT193,,T193+1)*R193-ERP_i)*Q193*Ramure*Pc/MaxiM</f>
        <v>4.8691889337555874E-5</v>
      </c>
      <c r="Q193" s="307">
        <f t="shared" si="53"/>
        <v>1</v>
      </c>
      <c r="R193" s="179">
        <f t="shared" si="54"/>
        <v>0.3384897464951484</v>
      </c>
      <c r="S193" s="837">
        <f t="shared" si="55"/>
        <v>-2</v>
      </c>
      <c r="T193" s="178">
        <f t="shared" si="56"/>
        <v>4</v>
      </c>
      <c r="U193" s="253">
        <f t="shared" si="57"/>
        <v>-1.6615102535048516</v>
      </c>
      <c r="V193" s="385">
        <f t="shared" si="58"/>
        <v>57.365962456443221</v>
      </c>
      <c r="W193" s="404">
        <f t="shared" si="59"/>
        <v>59.472419991491932</v>
      </c>
      <c r="X193" s="157">
        <f t="shared" si="60"/>
        <v>46201</v>
      </c>
      <c r="Y193" s="387">
        <f t="shared" si="61"/>
        <v>54.897117388250948</v>
      </c>
      <c r="Z193" s="387">
        <f t="shared" si="62"/>
        <v>58.713495203929284</v>
      </c>
      <c r="AA193" s="388">
        <f t="shared" si="63"/>
        <v>66.518805602153009</v>
      </c>
      <c r="AB193" s="199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0.11733990602457682</v>
      </c>
      <c r="AD193" s="233">
        <f>(INDEX(Models!$BJ193:$BT193,,AH193)*(1-AF193)+INDEX(Models!$BJ193:$BT193,,AH193+1)*AF193-ERP_i)*AE193*Ramure*Pc/MaxiM</f>
        <v>9.1796434927247461E-4</v>
      </c>
      <c r="AE193" s="307">
        <f t="shared" si="65"/>
        <v>1</v>
      </c>
      <c r="AF193" s="179">
        <f t="shared" si="66"/>
        <v>0.27347233941871885</v>
      </c>
      <c r="AG193" s="837">
        <f t="shared" si="74"/>
        <v>3</v>
      </c>
      <c r="AH193" s="178">
        <f t="shared" si="67"/>
        <v>9</v>
      </c>
      <c r="AI193" s="227">
        <f t="shared" si="68"/>
        <v>3.2734723394187188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46202</v>
      </c>
      <c r="B194" s="1139">
        <f>IF(t&gt;Tmaj,'2025'!Wh/'2025'!Env_an*'2026'!Env_an,0.001*'[8]mon-tableau'!$B$230)</f>
        <v>55.222555231341474</v>
      </c>
      <c r="C194" s="866"/>
      <c r="D194" s="395">
        <f t="shared" si="50"/>
        <v>59.062931552877878</v>
      </c>
      <c r="E194" s="387">
        <f t="shared" si="75"/>
        <v>61.84009228017549</v>
      </c>
      <c r="F194" s="387">
        <f t="shared" si="51"/>
        <v>61.842964245616592</v>
      </c>
      <c r="G194" s="110">
        <f t="shared" si="76"/>
        <v>0.96400660741177491</v>
      </c>
      <c r="H194" s="414" t="b">
        <f>Wh_hp&gt;='2025'!Maxi_hp</f>
        <v>0</v>
      </c>
      <c r="I194" s="392">
        <f>IF(H194,Wh_hp,'2025'!Maxi_hp)</f>
        <v>61.843062839684734</v>
      </c>
      <c r="J194" s="85">
        <f>IF(H194,An,'2025'!An_max)</f>
        <v>2025</v>
      </c>
      <c r="K194" s="199">
        <f t="shared" si="52"/>
        <v>46202</v>
      </c>
      <c r="L194" s="147">
        <f>IF(t&lt;Tvie,1-EXP((T0-t)*PertePVj)+'2025'!Pspv,1-EXP((T0-t)*PertePVj)+Pspv)</f>
        <v>6.5021769501877658E-2</v>
      </c>
      <c r="M194" s="870"/>
      <c r="N194" s="870"/>
      <c r="O194" s="48">
        <f>IF(t&lt;Tnet,'2025'!Resal+('2025'!Salim-'2025'!Resal)*(1-EXP(('2025'!Tnet-t)/('2025'!Tau_j))),Resal+(Salim-Resal)*(1-EXP((Tnet-t)/(Tau_j))))*Salcycl</f>
        <v>4.4908741641511138E-2</v>
      </c>
      <c r="P194" s="171">
        <f>(INDEX(Models!$BJ194:$BT194,,T194)*(1-R194)+INDEX(Models!$BJ194:$BT194,,T194+1)*R194-ERP_i)*Q194*Ramure*Pc/MaxiM</f>
        <v>4.8956793309593123E-5</v>
      </c>
      <c r="Q194" s="307">
        <f t="shared" si="53"/>
        <v>1</v>
      </c>
      <c r="R194" s="179">
        <f t="shared" si="54"/>
        <v>0.34474541035962969</v>
      </c>
      <c r="S194" s="837">
        <f t="shared" si="55"/>
        <v>-2</v>
      </c>
      <c r="T194" s="178">
        <f t="shared" si="56"/>
        <v>4</v>
      </c>
      <c r="U194" s="253">
        <f t="shared" si="57"/>
        <v>-1.6552545896403703</v>
      </c>
      <c r="V194" s="385">
        <f t="shared" si="58"/>
        <v>57.284271494684262</v>
      </c>
      <c r="W194" s="404">
        <f t="shared" si="59"/>
        <v>55.222555231341474</v>
      </c>
      <c r="X194" s="157">
        <f t="shared" si="60"/>
        <v>46202</v>
      </c>
      <c r="Y194" s="387">
        <f t="shared" si="61"/>
        <v>50.979016137434506</v>
      </c>
      <c r="Z194" s="387">
        <f t="shared" si="62"/>
        <v>54.524281394524813</v>
      </c>
      <c r="AA194" s="388">
        <f t="shared" si="63"/>
        <v>61.786857110573564</v>
      </c>
      <c r="AB194" s="199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0.11754240392987886</v>
      </c>
      <c r="AD194" s="233">
        <f>(INDEX(Models!$BJ194:$BT194,,AH194)*(1-AF194)+INDEX(Models!$BJ194:$BT194,,AH194+1)*AF194-ERP_i)*AE194*Ramure*Pc/MaxiM</f>
        <v>9.5642704267440897E-4</v>
      </c>
      <c r="AE194" s="307">
        <f t="shared" si="65"/>
        <v>1</v>
      </c>
      <c r="AF194" s="179">
        <f t="shared" si="66"/>
        <v>0.27972800328320035</v>
      </c>
      <c r="AG194" s="837">
        <f t="shared" si="74"/>
        <v>3</v>
      </c>
      <c r="AH194" s="178">
        <f t="shared" si="67"/>
        <v>9</v>
      </c>
      <c r="AI194" s="227">
        <f t="shared" si="68"/>
        <v>3.2797280032832004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46203</v>
      </c>
      <c r="B195" s="1139">
        <f>IF(t&gt;Tmaj,'2025'!Wh/'2025'!Env_an*'2026'!Env_an,0.001*'[8]mon-tableau'!$B$231)</f>
        <v>13.374959286814745</v>
      </c>
      <c r="C195" s="866"/>
      <c r="D195" s="395">
        <f t="shared" si="50"/>
        <v>14.305435263208826</v>
      </c>
      <c r="E195" s="387">
        <f t="shared" si="75"/>
        <v>14.98278376663467</v>
      </c>
      <c r="F195" s="387">
        <f t="shared" si="51"/>
        <v>14.98278376663467</v>
      </c>
      <c r="G195" s="110">
        <f t="shared" si="76"/>
        <v>0.23381440895049205</v>
      </c>
      <c r="H195" s="414" t="b">
        <f>Wh_hp&gt;='2025'!Maxi_hp</f>
        <v>0</v>
      </c>
      <c r="I195" s="392">
        <f>IF(H195,Wh_hp,'2025'!Maxi_hp)</f>
        <v>57.491267700625883</v>
      </c>
      <c r="J195" s="85">
        <f>IF(H195,An,'2025'!An_max)</f>
        <v>2019</v>
      </c>
      <c r="K195" s="199">
        <f t="shared" si="52"/>
        <v>46203</v>
      </c>
      <c r="L195" s="147">
        <f>IF(t&lt;Tvie,1-EXP((T0-t)*PertePVj)+'2025'!Pspv,1-EXP((T0-t)*PertePVj)+Pspv)</f>
        <v>6.5043527811216584E-2</v>
      </c>
      <c r="M195" s="870"/>
      <c r="N195" s="870"/>
      <c r="O195" s="48">
        <f>IF(t&lt;Tnet,'2025'!Resal+('2025'!Salim-'2025'!Resal)*(1-EXP(('2025'!Tnet-t)/('2025'!Tau_j))),Resal+(Salim-Resal)*(1-EXP((Tnet-t)/(Tau_j))))*Salcycl</f>
        <v>4.5208454848973977E-2</v>
      </c>
      <c r="P195" s="171">
        <f>(INDEX(Models!$BJ195:$BT195,,T195)*(1-R195)+INDEX(Models!$BJ195:$BT195,,T195+1)*R195-ERP_i)*Q195*Ramure*Pc/MaxiM</f>
        <v>4.9261021766657407E-5</v>
      </c>
      <c r="Q195" s="307">
        <f t="shared" si="53"/>
        <v>1</v>
      </c>
      <c r="R195" s="179">
        <f t="shared" si="54"/>
        <v>0.35090625070340753</v>
      </c>
      <c r="S195" s="837">
        <f t="shared" si="55"/>
        <v>-2</v>
      </c>
      <c r="T195" s="178">
        <f t="shared" si="56"/>
        <v>4</v>
      </c>
      <c r="U195" s="253">
        <f t="shared" si="57"/>
        <v>-1.6490937492965925</v>
      </c>
      <c r="V195" s="385">
        <f t="shared" si="58"/>
        <v>57.200497106600764</v>
      </c>
      <c r="W195" s="404">
        <f t="shared" si="59"/>
        <v>13.374959286814745</v>
      </c>
      <c r="X195" s="157">
        <f t="shared" si="60"/>
        <v>46203</v>
      </c>
      <c r="Y195" s="387">
        <f t="shared" si="61"/>
        <v>12.358902281680786</v>
      </c>
      <c r="Z195" s="387">
        <f t="shared" si="62"/>
        <v>13.218692687102246</v>
      </c>
      <c r="AA195" s="388">
        <f t="shared" si="63"/>
        <v>14.98278376663467</v>
      </c>
      <c r="AB195" s="199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0.11774120931124291</v>
      </c>
      <c r="AD195" s="233">
        <f>(INDEX(Models!$BJ195:$BT195,,AH195)*(1-AF195)+INDEX(Models!$BJ195:$BT195,,AH195+1)*AF195-ERP_i)*AE195*Ramure*Pc/MaxiM</f>
        <v>1.0002880248758906E-3</v>
      </c>
      <c r="AE195" s="307">
        <f t="shared" si="65"/>
        <v>1</v>
      </c>
      <c r="AF195" s="179">
        <f t="shared" si="66"/>
        <v>0.28588884362697797</v>
      </c>
      <c r="AG195" s="837">
        <f t="shared" si="74"/>
        <v>3</v>
      </c>
      <c r="AH195" s="178">
        <f t="shared" si="67"/>
        <v>9</v>
      </c>
      <c r="AI195" s="227">
        <f t="shared" si="68"/>
        <v>3.285888843626978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46204</v>
      </c>
      <c r="B196" s="1139">
        <f>IF(t&gt;Tmaj,'2025'!Wh/'2025'!Env_an*'2026'!Env_an,0.001*[9]mois!$B$208)</f>
        <v>54.555264193926817</v>
      </c>
      <c r="C196" s="866"/>
      <c r="D196" s="395">
        <f t="shared" si="50"/>
        <v>58.351950520702452</v>
      </c>
      <c r="E196" s="387">
        <f t="shared" si="75"/>
        <v>61.133946663725496</v>
      </c>
      <c r="F196" s="387">
        <f t="shared" si="51"/>
        <v>61.136785304880398</v>
      </c>
      <c r="G196" s="110">
        <f t="shared" si="76"/>
        <v>0.95518911695517805</v>
      </c>
      <c r="H196" s="414" t="b">
        <f>Wh_hp&gt;='2025'!Maxi_hp</f>
        <v>0</v>
      </c>
      <c r="I196" s="392">
        <f>IF(H196,Wh_hp,'2025'!Maxi_hp)</f>
        <v>61.13690822771806</v>
      </c>
      <c r="J196" s="85">
        <f>IF(H196,An,'2025'!An_max)</f>
        <v>2025</v>
      </c>
      <c r="K196" s="199">
        <f t="shared" si="52"/>
        <v>46204</v>
      </c>
      <c r="L196" s="147">
        <f>IF(t&lt;Tvie,1-EXP((T0-t)*PertePVj)+'2025'!Pspv,1-EXP((T0-t)*PertePVj)+Pspv)</f>
        <v>6.5065285614207991E-2</v>
      </c>
      <c r="M196" s="870"/>
      <c r="N196" s="870"/>
      <c r="O196" s="48">
        <f>IF(t&lt;Tnet,'2025'!Resal+('2025'!Salim-'2025'!Resal)*(1-EXP(('2025'!Tnet-t)/('2025'!Tau_j))),Resal+(Salim-Resal)*(1-EXP((Tnet-t)/(Tau_j))))*Salcycl</f>
        <v>4.5506568688027646E-2</v>
      </c>
      <c r="P196" s="171">
        <f>(INDEX(Models!$BJ196:$BT196,,T196)*(1-R196)+INDEX(Models!$BJ196:$BT196,,T196+1)*R196-ERP_i)*Q196*Ramure*Pc/MaxiM</f>
        <v>4.9606347414860517E-5</v>
      </c>
      <c r="Q196" s="307">
        <f t="shared" si="53"/>
        <v>1</v>
      </c>
      <c r="R196" s="179">
        <f t="shared" si="54"/>
        <v>0.35696932523272773</v>
      </c>
      <c r="S196" s="837">
        <f t="shared" si="55"/>
        <v>-2</v>
      </c>
      <c r="T196" s="178">
        <f t="shared" si="56"/>
        <v>4</v>
      </c>
      <c r="U196" s="253">
        <f t="shared" si="57"/>
        <v>-1.6430306747672723</v>
      </c>
      <c r="V196" s="385">
        <f t="shared" si="58"/>
        <v>57.114439418075747</v>
      </c>
      <c r="W196" s="404">
        <f t="shared" si="59"/>
        <v>54.555264193926817</v>
      </c>
      <c r="X196" s="157">
        <f t="shared" si="60"/>
        <v>46204</v>
      </c>
      <c r="Y196" s="387">
        <f t="shared" si="61"/>
        <v>50.368257915808023</v>
      </c>
      <c r="Z196" s="387">
        <f t="shared" si="62"/>
        <v>53.873556239590044</v>
      </c>
      <c r="AA196" s="388">
        <f t="shared" si="63"/>
        <v>61.076723424106191</v>
      </c>
      <c r="AB196" s="199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0.1179363721674884</v>
      </c>
      <c r="AD196" s="233">
        <f>(INDEX(Models!$BJ196:$BT196,,AH196)*(1-AF196)+INDEX(Models!$BJ196:$BT196,,AH196+1)*AF196-ERP_i)*AE196*Ramure*Pc/MaxiM</f>
        <v>1.0496044978868214E-3</v>
      </c>
      <c r="AE196" s="307">
        <f t="shared" si="65"/>
        <v>1</v>
      </c>
      <c r="AF196" s="179">
        <f t="shared" si="66"/>
        <v>0.29195191815629817</v>
      </c>
      <c r="AG196" s="837">
        <f t="shared" si="74"/>
        <v>3</v>
      </c>
      <c r="AH196" s="178">
        <f t="shared" si="67"/>
        <v>9</v>
      </c>
      <c r="AI196" s="227">
        <f t="shared" si="68"/>
        <v>3.2919519181562982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46205</v>
      </c>
      <c r="B197" s="1139">
        <f>IF(t&gt;Tmaj,'2025'!Wh/'2025'!Env_an*'2026'!Env_an,0.001*[9]mois!$B$209)</f>
        <v>50.797982120704077</v>
      </c>
      <c r="C197" s="866"/>
      <c r="D197" s="395">
        <f t="shared" si="50"/>
        <v>54.334450855044565</v>
      </c>
      <c r="E197" s="387">
        <f t="shared" si="75"/>
        <v>56.942597547668093</v>
      </c>
      <c r="F197" s="387">
        <f t="shared" si="51"/>
        <v>56.94500031391599</v>
      </c>
      <c r="G197" s="110">
        <f t="shared" si="76"/>
        <v>0.89078098103021786</v>
      </c>
      <c r="H197" s="414" t="b">
        <f>Wh_hp&gt;='2025'!Maxi_hp</f>
        <v>0</v>
      </c>
      <c r="I197" s="392">
        <f>IF(H197,Wh_hp,'2025'!Maxi_hp)</f>
        <v>57.066664805016352</v>
      </c>
      <c r="J197" s="85">
        <f>IF(H197,An,'2025'!An_max)</f>
        <v>2021</v>
      </c>
      <c r="K197" s="199">
        <f t="shared" si="52"/>
        <v>46205</v>
      </c>
      <c r="L197" s="147">
        <f>IF(t&lt;Tvie,1-EXP((T0-t)*PertePVj)+'2025'!Pspv,1-EXP((T0-t)*PertePVj)+Pspv)</f>
        <v>6.5087042910863424E-2</v>
      </c>
      <c r="M197" s="870"/>
      <c r="N197" s="870"/>
      <c r="O197" s="48">
        <f>IF(t&lt;Tnet,'2025'!Resal+('2025'!Salim-'2025'!Resal)*(1-EXP(('2025'!Tnet-t)/('2025'!Tau_j))),Resal+(Salim-Resal)*(1-EXP((Tnet-t)/(Tau_j))))*Salcycl</f>
        <v>4.5803086001480413E-2</v>
      </c>
      <c r="P197" s="171">
        <f>(INDEX(Models!$BJ197:$BT197,,T197)*(1-R197)+INDEX(Models!$BJ197:$BT197,,T197+1)*R197-ERP_i)*Q197*Ramure*Pc/MaxiM</f>
        <v>4.999451383259237E-5</v>
      </c>
      <c r="Q197" s="307">
        <f t="shared" si="53"/>
        <v>1</v>
      </c>
      <c r="R197" s="179">
        <f t="shared" si="54"/>
        <v>0.36293194666345263</v>
      </c>
      <c r="S197" s="837">
        <f t="shared" si="55"/>
        <v>-2</v>
      </c>
      <c r="T197" s="178">
        <f t="shared" si="56"/>
        <v>4</v>
      </c>
      <c r="U197" s="253">
        <f t="shared" si="57"/>
        <v>-1.6370680533365474</v>
      </c>
      <c r="V197" s="385">
        <f t="shared" si="58"/>
        <v>57.025898577962522</v>
      </c>
      <c r="W197" s="404">
        <f t="shared" si="59"/>
        <v>50.797982120704077</v>
      </c>
      <c r="X197" s="157">
        <f t="shared" si="60"/>
        <v>46205</v>
      </c>
      <c r="Y197" s="387">
        <f t="shared" si="61"/>
        <v>46.90588682895109</v>
      </c>
      <c r="Z197" s="387">
        <f t="shared" si="62"/>
        <v>50.171394538153763</v>
      </c>
      <c r="AA197" s="388">
        <f t="shared" si="63"/>
        <v>56.891920527906699</v>
      </c>
      <c r="AB197" s="199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0.11812795081256532</v>
      </c>
      <c r="AD197" s="233">
        <f>(INDEX(Models!$BJ197:$BT197,,AH197)*(1-AF197)+INDEX(Models!$BJ197:$BT197,,AH197+1)*AF197-ERP_i)*AE197*Ramure*Pc/MaxiM</f>
        <v>1.1044345650328964E-3</v>
      </c>
      <c r="AE197" s="307">
        <f t="shared" si="65"/>
        <v>1</v>
      </c>
      <c r="AF197" s="179">
        <f t="shared" si="66"/>
        <v>0.29791453958702308</v>
      </c>
      <c r="AG197" s="837">
        <f t="shared" si="74"/>
        <v>3</v>
      </c>
      <c r="AH197" s="178">
        <f t="shared" si="67"/>
        <v>9</v>
      </c>
      <c r="AI197" s="227">
        <f t="shared" si="68"/>
        <v>3.2979145395870231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46206</v>
      </c>
      <c r="B198" s="1139">
        <f>IF(t&gt;Tmaj,'2025'!Wh/'2025'!Env_an*'2026'!Env_an,0.001*[9]mois!$B$210)</f>
        <v>42.98001553916172</v>
      </c>
      <c r="C198" s="866"/>
      <c r="D198" s="395">
        <f t="shared" si="50"/>
        <v>45.973280661348255</v>
      </c>
      <c r="E198" s="387">
        <f t="shared" si="75"/>
        <v>48.19497317447383</v>
      </c>
      <c r="F198" s="387">
        <f t="shared" si="51"/>
        <v>48.196559933026258</v>
      </c>
      <c r="G198" s="110">
        <f t="shared" si="76"/>
        <v>0.75488730449864383</v>
      </c>
      <c r="H198" s="414" t="b">
        <f>Wh_hp&gt;='2025'!Maxi_hp</f>
        <v>0</v>
      </c>
      <c r="I198" s="392">
        <f>IF(H198,Wh_hp,'2025'!Maxi_hp)</f>
        <v>51.612823612045531</v>
      </c>
      <c r="J198" s="85">
        <f>IF(H198,An,'2025'!An_max)</f>
        <v>2019</v>
      </c>
      <c r="K198" s="199">
        <f t="shared" si="52"/>
        <v>46206</v>
      </c>
      <c r="L198" s="147">
        <f>IF(t&lt;Tvie,1-EXP((T0-t)*PertePVj)+'2025'!Pspv,1-EXP((T0-t)*PertePVj)+Pspv)</f>
        <v>6.5108799701194764E-2</v>
      </c>
      <c r="M198" s="870"/>
      <c r="N198" s="870"/>
      <c r="O198" s="48">
        <f>IF(t&lt;Tnet,'2025'!Resal+('2025'!Salim-'2025'!Resal)*(1-EXP(('2025'!Tnet-t)/('2025'!Tau_j))),Resal+(Salim-Resal)*(1-EXP((Tnet-t)/(Tau_j))))*Salcycl</f>
        <v>4.6098013273763665E-2</v>
      </c>
      <c r="P198" s="171">
        <f>(INDEX(Models!$BJ198:$BT198,,T198)*(1-R198)+INDEX(Models!$BJ198:$BT198,,T198+1)*R198-ERP_i)*Q198*Ramure*Pc/MaxiM</f>
        <v>5.0661290147665702E-5</v>
      </c>
      <c r="Q198" s="307">
        <f t="shared" si="53"/>
        <v>1</v>
      </c>
      <c r="R198" s="179">
        <f t="shared" si="54"/>
        <v>0.3687916827376676</v>
      </c>
      <c r="S198" s="837">
        <f t="shared" si="55"/>
        <v>-2</v>
      </c>
      <c r="T198" s="178">
        <f t="shared" si="56"/>
        <v>4</v>
      </c>
      <c r="U198" s="253">
        <f t="shared" si="57"/>
        <v>-1.6312083172623324</v>
      </c>
      <c r="V198" s="385">
        <f t="shared" si="58"/>
        <v>56.934661440154748</v>
      </c>
      <c r="W198" s="404">
        <f t="shared" si="59"/>
        <v>42.98001553916172</v>
      </c>
      <c r="X198" s="157">
        <f t="shared" si="60"/>
        <v>46206</v>
      </c>
      <c r="Y198" s="387">
        <f t="shared" si="61"/>
        <v>39.69729680137219</v>
      </c>
      <c r="Z198" s="387">
        <f t="shared" si="62"/>
        <v>42.461942939118842</v>
      </c>
      <c r="AA198" s="388">
        <f t="shared" si="63"/>
        <v>48.160047688177549</v>
      </c>
      <c r="AB198" s="199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0.11831601135348327</v>
      </c>
      <c r="AD198" s="233">
        <f>(INDEX(Models!$BJ198:$BT198,,AH198)*(1-AF198)+INDEX(Models!$BJ198:$BT198,,AH198+1)*AF198-ERP_i)*AE198*Ramure*Pc/MaxiM</f>
        <v>1.1657459967001991E-3</v>
      </c>
      <c r="AE198" s="307">
        <f t="shared" si="65"/>
        <v>1</v>
      </c>
      <c r="AF198" s="179">
        <f t="shared" si="66"/>
        <v>0.30377427566123805</v>
      </c>
      <c r="AG198" s="837">
        <f t="shared" si="74"/>
        <v>3</v>
      </c>
      <c r="AH198" s="178">
        <f t="shared" si="67"/>
        <v>9</v>
      </c>
      <c r="AI198" s="227">
        <f t="shared" si="68"/>
        <v>3.303774275661238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46207</v>
      </c>
      <c r="B199" s="1139">
        <f>IF(t&gt;Tmaj,'2025'!Wh/'2025'!Env_an*'2026'!Env_an,0.001*[9]mois!$B$211)</f>
        <v>45.09704075428629</v>
      </c>
      <c r="C199" s="866"/>
      <c r="D199" s="395">
        <f t="shared" si="50"/>
        <v>48.238864841509383</v>
      </c>
      <c r="E199" s="387">
        <f t="shared" si="75"/>
        <v>50.585599628919397</v>
      </c>
      <c r="F199" s="387">
        <f t="shared" si="51"/>
        <v>50.587440786110669</v>
      </c>
      <c r="G199" s="110">
        <f t="shared" si="76"/>
        <v>0.79338380612579773</v>
      </c>
      <c r="H199" s="414" t="b">
        <f>Wh_hp&gt;='2025'!Maxi_hp</f>
        <v>0</v>
      </c>
      <c r="I199" s="392">
        <f>IF(H199,Wh_hp,'2025'!Maxi_hp)</f>
        <v>59.307857255602293</v>
      </c>
      <c r="J199" s="85">
        <f>IF(H199,An,'2025'!An_max)</f>
        <v>2019</v>
      </c>
      <c r="K199" s="199">
        <f t="shared" si="52"/>
        <v>46207</v>
      </c>
      <c r="L199" s="147">
        <f>IF(t&lt;Tvie,1-EXP((T0-t)*PertePVj)+'2025'!Pspv,1-EXP((T0-t)*PertePVj)+Pspv)</f>
        <v>6.5130555985213889E-2</v>
      </c>
      <c r="M199" s="870"/>
      <c r="N199" s="870"/>
      <c r="O199" s="48">
        <f>IF(t&lt;Tnet,'2025'!Resal+('2025'!Salim-'2025'!Resal)*(1-EXP(('2025'!Tnet-t)/('2025'!Tau_j))),Resal+(Salim-Resal)*(1-EXP((Tnet-t)/(Tau_j))))*Salcycl</f>
        <v>4.6391360478573861E-2</v>
      </c>
      <c r="P199" s="171">
        <f>(INDEX(Models!$BJ199:$BT199,,T199)*(1-R199)+INDEX(Models!$BJ199:$BT199,,T199+1)*R199-ERP_i)*Q199*Ramure*Pc/MaxiM</f>
        <v>5.1635770861556082E-5</v>
      </c>
      <c r="Q199" s="307">
        <f t="shared" si="53"/>
        <v>1</v>
      </c>
      <c r="R199" s="179">
        <f t="shared" si="54"/>
        <v>0.37454635505120759</v>
      </c>
      <c r="S199" s="837">
        <f t="shared" si="55"/>
        <v>-2</v>
      </c>
      <c r="T199" s="178">
        <f t="shared" si="56"/>
        <v>4</v>
      </c>
      <c r="U199" s="253">
        <f t="shared" si="57"/>
        <v>-1.6254536449487924</v>
      </c>
      <c r="V199" s="385">
        <f t="shared" si="58"/>
        <v>56.840526730865371</v>
      </c>
      <c r="W199" s="404">
        <f t="shared" si="59"/>
        <v>45.09704075428629</v>
      </c>
      <c r="X199" s="157">
        <f t="shared" si="60"/>
        <v>46207</v>
      </c>
      <c r="Y199" s="387">
        <f t="shared" si="61"/>
        <v>41.652265944800341</v>
      </c>
      <c r="Z199" s="387">
        <f t="shared" si="62"/>
        <v>44.554099196915843</v>
      </c>
      <c r="AA199" s="388">
        <f t="shared" si="63"/>
        <v>50.543540436011554</v>
      </c>
      <c r="AB199" s="199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0.11850062713114412</v>
      </c>
      <c r="AD199" s="233">
        <f>(INDEX(Models!$BJ199:$BT199,,AH199)*(1-AF199)+INDEX(Models!$BJ199:$BT199,,AH199+1)*AF199-ERP_i)*AE199*Ramure*Pc/MaxiM</f>
        <v>1.2311976561269027E-3</v>
      </c>
      <c r="AE199" s="307">
        <f t="shared" si="65"/>
        <v>1</v>
      </c>
      <c r="AF199" s="179">
        <f t="shared" si="66"/>
        <v>0.30952894797477803</v>
      </c>
      <c r="AG199" s="837">
        <f t="shared" si="74"/>
        <v>3</v>
      </c>
      <c r="AH199" s="178">
        <f t="shared" si="67"/>
        <v>9</v>
      </c>
      <c r="AI199" s="227">
        <f t="shared" si="68"/>
        <v>3.309528947974778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46208</v>
      </c>
      <c r="B200" s="1139">
        <f>IF(t&gt;Tmaj,'2025'!Wh/'2025'!Env_an*'2026'!Env_an,0.001*[9]mois!$B$212)</f>
        <v>54.362738876046734</v>
      </c>
      <c r="C200" s="866"/>
      <c r="D200" s="395">
        <f t="shared" si="50"/>
        <v>58.151439598212832</v>
      </c>
      <c r="E200" s="387">
        <f t="shared" si="75"/>
        <v>60.999067669391103</v>
      </c>
      <c r="F200" s="387">
        <f t="shared" si="51"/>
        <v>61.002102789697055</v>
      </c>
      <c r="G200" s="110">
        <f t="shared" si="76"/>
        <v>0.95804388864226719</v>
      </c>
      <c r="H200" s="414" t="b">
        <f>Wh_hp&gt;='2025'!Maxi_hp</f>
        <v>0</v>
      </c>
      <c r="I200" s="392">
        <f>IF(H200,Wh_hp,'2025'!Maxi_hp)</f>
        <v>62.396203571574965</v>
      </c>
      <c r="J200" s="85">
        <f>IF(H200,An,'2025'!An_max)</f>
        <v>2021</v>
      </c>
      <c r="K200" s="199">
        <f t="shared" si="52"/>
        <v>46208</v>
      </c>
      <c r="L200" s="147">
        <f>IF(t&lt;Tvie,1-EXP((T0-t)*PertePVj)+'2025'!Pspv,1-EXP((T0-t)*PertePVj)+Pspv)</f>
        <v>6.5152311762932458E-2</v>
      </c>
      <c r="M200" s="870"/>
      <c r="N200" s="870"/>
      <c r="O200" s="48">
        <f>IF(t&lt;Tnet,'2025'!Resal+('2025'!Salim-'2025'!Resal)*(1-EXP(('2025'!Tnet-t)/('2025'!Tau_j))),Resal+(Salim-Resal)*(1-EXP((Tnet-t)/(Tau_j))))*Salcycl</f>
        <v>4.6683140906548452E-2</v>
      </c>
      <c r="P200" s="171">
        <f>(INDEX(Models!$BJ200:$BT200,,T200)*(1-R200)+INDEX(Models!$BJ200:$BT200,,T200+1)*R200-ERP_i)*Q200*Ramure*Pc/MaxiM</f>
        <v>5.2926390736874247E-5</v>
      </c>
      <c r="Q200" s="307">
        <f t="shared" si="53"/>
        <v>1</v>
      </c>
      <c r="R200" s="179">
        <f t="shared" si="54"/>
        <v>0.38019403675517083</v>
      </c>
      <c r="S200" s="837">
        <f t="shared" si="55"/>
        <v>-2</v>
      </c>
      <c r="T200" s="178">
        <f t="shared" si="56"/>
        <v>4</v>
      </c>
      <c r="U200" s="253">
        <f t="shared" si="57"/>
        <v>-1.6198059632448292</v>
      </c>
      <c r="V200" s="385">
        <f t="shared" si="58"/>
        <v>56.743294405837048</v>
      </c>
      <c r="W200" s="404">
        <f t="shared" si="59"/>
        <v>54.362738876046734</v>
      </c>
      <c r="X200" s="157">
        <f t="shared" si="60"/>
        <v>46208</v>
      </c>
      <c r="Y200" s="387">
        <f t="shared" si="61"/>
        <v>50.19806466586649</v>
      </c>
      <c r="Z200" s="387">
        <f t="shared" si="62"/>
        <v>53.696516873812698</v>
      </c>
      <c r="AA200" s="388">
        <f t="shared" si="63"/>
        <v>60.927507946600358</v>
      </c>
      <c r="AB200" s="199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0.11868187812843471</v>
      </c>
      <c r="AD200" s="233">
        <f>(INDEX(Models!$BJ200:$BT200,,AH200)*(1-AF200)+INDEX(Models!$BJ200:$BT200,,AH200+1)*AF200-ERP_i)*AE200*Ramure*Pc/MaxiM</f>
        <v>1.3007839606707196E-3</v>
      </c>
      <c r="AE200" s="307">
        <f t="shared" si="65"/>
        <v>1</v>
      </c>
      <c r="AF200" s="179">
        <f t="shared" si="66"/>
        <v>0.31517662967874127</v>
      </c>
      <c r="AG200" s="837">
        <f t="shared" si="74"/>
        <v>3</v>
      </c>
      <c r="AH200" s="178">
        <f t="shared" si="67"/>
        <v>9</v>
      </c>
      <c r="AI200" s="227">
        <f t="shared" si="68"/>
        <v>3.3151766296787413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46209</v>
      </c>
      <c r="B201" s="1139">
        <f>IF(t&gt;Tmaj,'2025'!Wh/'2025'!Env_an*'2026'!Env_an,0.001*[9]mois!$B$213)</f>
        <v>42.114504030476802</v>
      </c>
      <c r="C201" s="866"/>
      <c r="D201" s="395">
        <f t="shared" si="50"/>
        <v>45.050637284818293</v>
      </c>
      <c r="E201" s="387">
        <f t="shared" si="75"/>
        <v>47.271121197193111</v>
      </c>
      <c r="F201" s="387">
        <f t="shared" si="51"/>
        <v>47.2727547898496</v>
      </c>
      <c r="G201" s="110">
        <f t="shared" si="76"/>
        <v>0.74349588567799219</v>
      </c>
      <c r="H201" s="414" t="b">
        <f>Wh_hp&gt;='2025'!Maxi_hp</f>
        <v>0</v>
      </c>
      <c r="I201" s="392">
        <f>IF(H201,Wh_hp,'2025'!Maxi_hp)</f>
        <v>61.545383485754634</v>
      </c>
      <c r="J201" s="85">
        <f>IF(H201,An,'2025'!An_max)</f>
        <v>2020</v>
      </c>
      <c r="K201" s="199">
        <f t="shared" si="52"/>
        <v>46209</v>
      </c>
      <c r="L201" s="147">
        <f>IF(t&lt;Tvie,1-EXP((T0-t)*PertePVj)+'2025'!Pspv,1-EXP((T0-t)*PertePVj)+Pspv)</f>
        <v>6.5174067034362348E-2</v>
      </c>
      <c r="M201" s="870"/>
      <c r="N201" s="870"/>
      <c r="O201" s="48">
        <f>IF(t&lt;Tnet,'2025'!Resal+('2025'!Salim-'2025'!Resal)*(1-EXP(('2025'!Tnet-t)/('2025'!Tau_j))),Resal+(Salim-Resal)*(1-EXP((Tnet-t)/(Tau_j))))*Salcycl</f>
        <v>4.697337097446859E-2</v>
      </c>
      <c r="P201" s="171">
        <f>(INDEX(Models!$BJ201:$BT201,,T201)*(1-R201)+INDEX(Models!$BJ201:$BT201,,T201+1)*R201-ERP_i)*Q201*Ramure*Pc/MaxiM</f>
        <v>5.4541459487217553E-5</v>
      </c>
      <c r="Q201" s="307">
        <f t="shared" si="53"/>
        <v>1</v>
      </c>
      <c r="R201" s="179">
        <f t="shared" si="54"/>
        <v>0.38573304920074758</v>
      </c>
      <c r="S201" s="837">
        <f t="shared" si="55"/>
        <v>-2</v>
      </c>
      <c r="T201" s="178">
        <f t="shared" si="56"/>
        <v>4</v>
      </c>
      <c r="U201" s="253">
        <f t="shared" si="57"/>
        <v>-1.6142669507992524</v>
      </c>
      <c r="V201" s="385">
        <f t="shared" si="58"/>
        <v>56.642764494600165</v>
      </c>
      <c r="W201" s="404">
        <f t="shared" si="59"/>
        <v>42.114504030476802</v>
      </c>
      <c r="X201" s="157">
        <f t="shared" si="60"/>
        <v>46209</v>
      </c>
      <c r="Y201" s="387">
        <f t="shared" si="61"/>
        <v>38.905255880674979</v>
      </c>
      <c r="Z201" s="387">
        <f t="shared" si="62"/>
        <v>41.61764720973467</v>
      </c>
      <c r="AA201" s="388">
        <f t="shared" si="63"/>
        <v>47.231586514669388</v>
      </c>
      <c r="AB201" s="199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0.11885985035017026</v>
      </c>
      <c r="AD201" s="233">
        <f>(INDEX(Models!$BJ201:$BT201,,AH201)*(1-AF201)+INDEX(Models!$BJ201:$BT201,,AH201+1)*AF201-ERP_i)*AE201*Ramure*Pc/MaxiM</f>
        <v>1.3745028811079384E-3</v>
      </c>
      <c r="AE201" s="307">
        <f t="shared" si="65"/>
        <v>1</v>
      </c>
      <c r="AF201" s="179">
        <f t="shared" si="66"/>
        <v>0.32071564212431802</v>
      </c>
      <c r="AG201" s="837">
        <f t="shared" si="74"/>
        <v>3</v>
      </c>
      <c r="AH201" s="178">
        <f t="shared" si="67"/>
        <v>9</v>
      </c>
      <c r="AI201" s="227">
        <f t="shared" si="68"/>
        <v>3.320715642124318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46210</v>
      </c>
      <c r="B202" s="1139">
        <f>IF(t&gt;Tmaj,'2025'!Wh/'2025'!Env_an*'2026'!Env_an,0.001*[9]mois!$B$214)</f>
        <v>52.295301580030696</v>
      </c>
      <c r="C202" s="866"/>
      <c r="D202" s="395">
        <f t="shared" si="50"/>
        <v>55.942520155076878</v>
      </c>
      <c r="E202" s="387">
        <f t="shared" si="75"/>
        <v>58.717637237463833</v>
      </c>
      <c r="F202" s="387">
        <f t="shared" si="51"/>
        <v>58.720598660429829</v>
      </c>
      <c r="G202" s="110">
        <f t="shared" si="76"/>
        <v>0.92494080171360404</v>
      </c>
      <c r="H202" s="414" t="b">
        <f>Wh_hp&gt;='2025'!Maxi_hp</f>
        <v>0</v>
      </c>
      <c r="I202" s="392">
        <f>IF(H202,Wh_hp,'2025'!Maxi_hp)</f>
        <v>58.72082947004634</v>
      </c>
      <c r="J202" s="85">
        <f>IF(H202,An,'2025'!An_max)</f>
        <v>2025</v>
      </c>
      <c r="K202" s="199">
        <f t="shared" si="52"/>
        <v>46210</v>
      </c>
      <c r="L202" s="147">
        <f>IF(t&lt;Tvie,1-EXP((T0-t)*PertePVj)+'2025'!Pspv,1-EXP((T0-t)*PertePVj)+Pspv)</f>
        <v>6.5195821799515219E-2</v>
      </c>
      <c r="M202" s="870"/>
      <c r="N202" s="870"/>
      <c r="O202" s="48">
        <f>IF(t&lt;Tnet,'2025'!Resal+('2025'!Salim-'2025'!Resal)*(1-EXP(('2025'!Tnet-t)/('2025'!Tau_j))),Resal+(Salim-Resal)*(1-EXP((Tnet-t)/(Tau_j))))*Salcycl</f>
        <v>4.7262070017632357E-2</v>
      </c>
      <c r="P202" s="171">
        <f>(INDEX(Models!$BJ202:$BT202,,T202)*(1-R202)+INDEX(Models!$BJ202:$BT202,,T202+1)*R202-ERP_i)*Q202*Ramure*Pc/MaxiM</f>
        <v>5.6489174977305351E-5</v>
      </c>
      <c r="Q202" s="307">
        <f t="shared" si="53"/>
        <v>1</v>
      </c>
      <c r="R202" s="179">
        <f t="shared" si="54"/>
        <v>0.39116195760180306</v>
      </c>
      <c r="S202" s="837">
        <f t="shared" si="55"/>
        <v>-2</v>
      </c>
      <c r="T202" s="178">
        <f t="shared" si="56"/>
        <v>4</v>
      </c>
      <c r="U202" s="253">
        <f t="shared" si="57"/>
        <v>-1.6088380423981969</v>
      </c>
      <c r="V202" s="385">
        <f t="shared" si="58"/>
        <v>56.538737104360912</v>
      </c>
      <c r="W202" s="404">
        <f t="shared" si="59"/>
        <v>52.295301580030696</v>
      </c>
      <c r="X202" s="157">
        <f t="shared" si="60"/>
        <v>46210</v>
      </c>
      <c r="Y202" s="387">
        <f t="shared" si="61"/>
        <v>48.295477786334366</v>
      </c>
      <c r="Z202" s="387">
        <f t="shared" si="62"/>
        <v>51.663737617544726</v>
      </c>
      <c r="AA202" s="388">
        <f t="shared" si="63"/>
        <v>58.644459453955527</v>
      </c>
      <c r="AB202" s="199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0.11903463517967443</v>
      </c>
      <c r="AD202" s="233">
        <f>(INDEX(Models!$BJ202:$BT202,,AH202)*(1-AF202)+INDEX(Models!$BJ202:$BT202,,AH202+1)*AF202-ERP_i)*AE202*Ramure*Pc/MaxiM</f>
        <v>1.4523561836799208E-3</v>
      </c>
      <c r="AE202" s="307">
        <f t="shared" si="65"/>
        <v>1</v>
      </c>
      <c r="AF202" s="179">
        <f t="shared" si="66"/>
        <v>0.3261445505253735</v>
      </c>
      <c r="AG202" s="837">
        <f t="shared" si="74"/>
        <v>3</v>
      </c>
      <c r="AH202" s="178">
        <f t="shared" si="67"/>
        <v>9</v>
      </c>
      <c r="AI202" s="227">
        <f t="shared" si="68"/>
        <v>3.3261445505253735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46211</v>
      </c>
      <c r="B203" s="1139">
        <f>IF(t&gt;Tmaj,'2025'!Wh/'2025'!Env_an*'2026'!Env_an,0.001*[9]mois!$B$215)</f>
        <v>57.390437043539805</v>
      </c>
      <c r="C203" s="866"/>
      <c r="D203" s="395">
        <f t="shared" si="50"/>
        <v>61.394433157555198</v>
      </c>
      <c r="E203" s="387">
        <f t="shared" si="75"/>
        <v>64.459431426223006</v>
      </c>
      <c r="F203" s="387">
        <f t="shared" si="51"/>
        <v>64.463220422098431</v>
      </c>
      <c r="G203" s="110">
        <f t="shared" si="76"/>
        <v>1.017001725951227</v>
      </c>
      <c r="H203" s="414" t="b">
        <f>Wh_hp&gt;='2025'!Maxi_hp</f>
        <v>1</v>
      </c>
      <c r="I203" s="392">
        <f>IF(H203,Wh_hp,'2025'!Maxi_hp)</f>
        <v>64.463220422098431</v>
      </c>
      <c r="J203" s="85">
        <f>IF(H203,An,'2025'!An_max)</f>
        <v>2026</v>
      </c>
      <c r="K203" s="199">
        <f t="shared" si="52"/>
        <v>46211</v>
      </c>
      <c r="L203" s="147">
        <f>IF(t&lt;Tvie,1-EXP((T0-t)*PertePVj)+'2025'!Pspv,1-EXP((T0-t)*PertePVj)+Pspv)</f>
        <v>6.5217576058402948E-2</v>
      </c>
      <c r="M203" s="870"/>
      <c r="N203" s="870"/>
      <c r="O203" s="48">
        <f>IF(t&lt;Tnet,'2025'!Resal+('2025'!Salim-'2025'!Resal)*(1-EXP(('2025'!Tnet-t)/('2025'!Tau_j))),Resal+(Salim-Resal)*(1-EXP((Tnet-t)/(Tau_j))))*Salcycl</f>
        <v>4.7549260067176392E-2</v>
      </c>
      <c r="P203" s="171">
        <f>(INDEX(Models!$BJ203:$BT203,,T203)*(1-R203)+INDEX(Models!$BJ203:$BT203,,T203+1)*R203-ERP_i)*Q203*Ramure*Pc/MaxiM</f>
        <v>5.8777638638287534E-5</v>
      </c>
      <c r="Q203" s="307">
        <f t="shared" si="53"/>
        <v>1</v>
      </c>
      <c r="R203" s="179">
        <f t="shared" si="54"/>
        <v>0.3964795657936464</v>
      </c>
      <c r="S203" s="837">
        <f t="shared" si="55"/>
        <v>-2</v>
      </c>
      <c r="T203" s="178">
        <f t="shared" si="56"/>
        <v>4</v>
      </c>
      <c r="U203" s="253">
        <f t="shared" si="57"/>
        <v>-1.6035204342063536</v>
      </c>
      <c r="V203" s="385">
        <f t="shared" si="58"/>
        <v>56.431012434970164</v>
      </c>
      <c r="W203" s="404">
        <f t="shared" si="59"/>
        <v>57.390437043539805</v>
      </c>
      <c r="X203" s="157">
        <f t="shared" si="60"/>
        <v>46211</v>
      </c>
      <c r="Y203" s="387">
        <f t="shared" si="61"/>
        <v>52.994384225343602</v>
      </c>
      <c r="Z203" s="387">
        <f t="shared" si="62"/>
        <v>56.691678050479226</v>
      </c>
      <c r="AA203" s="388">
        <f t="shared" si="63"/>
        <v>64.364311301073883</v>
      </c>
      <c r="AB203" s="199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0.11920632871693046</v>
      </c>
      <c r="AD203" s="233">
        <f>(INDEX(Models!$BJ203:$BT203,,AH203)*(1-AF203)+INDEX(Models!$BJ203:$BT203,,AH203+1)*AF203-ERP_i)*AE203*Ramure*Pc/MaxiM</f>
        <v>1.534349670663408E-3</v>
      </c>
      <c r="AE203" s="307">
        <f t="shared" si="65"/>
        <v>1</v>
      </c>
      <c r="AF203" s="179">
        <f t="shared" si="66"/>
        <v>0.33146215871721685</v>
      </c>
      <c r="AG203" s="837">
        <f t="shared" si="74"/>
        <v>3</v>
      </c>
      <c r="AH203" s="178">
        <f t="shared" si="67"/>
        <v>9</v>
      </c>
      <c r="AI203" s="227">
        <f t="shared" si="68"/>
        <v>3.3314621587172168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46212</v>
      </c>
      <c r="B204" s="1139">
        <f>IF(t&gt;Tmaj,'2025'!Wh/'2025'!Env_an*'2026'!Env_an,0.001*[9]mois!$B$216)</f>
        <v>56.369881290709813</v>
      </c>
      <c r="C204" s="866"/>
      <c r="D204" s="395">
        <f t="shared" si="50"/>
        <v>60.304078988811746</v>
      </c>
      <c r="E204" s="387">
        <f t="shared" si="75"/>
        <v>63.333641554810782</v>
      </c>
      <c r="F204" s="387">
        <f t="shared" si="51"/>
        <v>63.337531421263037</v>
      </c>
      <c r="G204" s="110">
        <f t="shared" si="76"/>
        <v>1.0008965028877421</v>
      </c>
      <c r="H204" s="414" t="b">
        <f>Wh_hp&gt;='2025'!Maxi_hp</f>
        <v>1</v>
      </c>
      <c r="I204" s="392">
        <f>IF(H204,Wh_hp,'2025'!Maxi_hp)</f>
        <v>63.337531421263037</v>
      </c>
      <c r="J204" s="85">
        <f>IF(H204,An,'2025'!An_max)</f>
        <v>2026</v>
      </c>
      <c r="K204" s="199">
        <f t="shared" si="52"/>
        <v>46212</v>
      </c>
      <c r="L204" s="147">
        <f>IF(t&lt;Tvie,1-EXP((T0-t)*PertePVj)+'2025'!Pspv,1-EXP((T0-t)*PertePVj)+Pspv)</f>
        <v>6.5239329811037305E-2</v>
      </c>
      <c r="M204" s="870"/>
      <c r="N204" s="870"/>
      <c r="O204" s="48">
        <f>IF(t&lt;Tnet,'2025'!Resal+('2025'!Salim-'2025'!Resal)*(1-EXP(('2025'!Tnet-t)/('2025'!Tau_j))),Resal+(Salim-Resal)*(1-EXP((Tnet-t)/(Tau_j))))*Salcycl</f>
        <v>4.7834965614240992E-2</v>
      </c>
      <c r="P204" s="171">
        <f>(INDEX(Models!$BJ204:$BT204,,T204)*(1-R204)+INDEX(Models!$BJ204:$BT204,,T204+1)*R204-ERP_i)*Q204*Ramure*Pc/MaxiM</f>
        <v>6.1414873061277155E-5</v>
      </c>
      <c r="Q204" s="307">
        <f t="shared" si="53"/>
        <v>1</v>
      </c>
      <c r="R204" s="179">
        <f t="shared" si="54"/>
        <v>0.40168491016927921</v>
      </c>
      <c r="S204" s="837">
        <f t="shared" si="55"/>
        <v>-2</v>
      </c>
      <c r="T204" s="178">
        <f t="shared" si="56"/>
        <v>4</v>
      </c>
      <c r="U204" s="253">
        <f t="shared" si="57"/>
        <v>-1.5983150898307208</v>
      </c>
      <c r="V204" s="385">
        <f t="shared" si="58"/>
        <v>56.319390794226912</v>
      </c>
      <c r="W204" s="404">
        <f t="shared" si="59"/>
        <v>56.369881290709813</v>
      </c>
      <c r="X204" s="157">
        <f t="shared" si="60"/>
        <v>46212</v>
      </c>
      <c r="Y204" s="387">
        <f t="shared" si="61"/>
        <v>52.05329394134786</v>
      </c>
      <c r="Z204" s="387">
        <f t="shared" si="62"/>
        <v>55.686226005663286</v>
      </c>
      <c r="AA204" s="388">
        <f t="shared" si="63"/>
        <v>63.234893368323448</v>
      </c>
      <c r="AB204" s="199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0.1193750311033426</v>
      </c>
      <c r="AD204" s="233">
        <f>(INDEX(Models!$BJ204:$BT204,,AH204)*(1-AF204)+INDEX(Models!$BJ204:$BT204,,AH204+1)*AF204-ERP_i)*AE204*Ramure*Pc/MaxiM</f>
        <v>1.620493420511387E-3</v>
      </c>
      <c r="AE204" s="307">
        <f t="shared" si="65"/>
        <v>1</v>
      </c>
      <c r="AF204" s="179">
        <f t="shared" si="66"/>
        <v>0.33666750309284943</v>
      </c>
      <c r="AG204" s="837">
        <f t="shared" si="74"/>
        <v>3</v>
      </c>
      <c r="AH204" s="178">
        <f t="shared" si="67"/>
        <v>9</v>
      </c>
      <c r="AI204" s="227">
        <f t="shared" si="68"/>
        <v>3.3366675030928494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46213</v>
      </c>
      <c r="B205" s="1139">
        <f>IF(t&gt;Tmaj,'2025'!Wh/'2025'!Env_an*'2026'!Env_an,0.001*[9]mois!$B$217)</f>
        <v>55.799703434841881</v>
      </c>
      <c r="C205" s="866"/>
      <c r="D205" s="395">
        <f t="shared" si="50"/>
        <v>59.695496168445288</v>
      </c>
      <c r="E205" s="387">
        <f t="shared" si="75"/>
        <v>62.713206324237468</v>
      </c>
      <c r="F205" s="387">
        <f t="shared" si="51"/>
        <v>62.717204377136575</v>
      </c>
      <c r="G205" s="110">
        <f t="shared" si="76"/>
        <v>0.99281056493007414</v>
      </c>
      <c r="H205" s="414" t="b">
        <f>Wh_hp&gt;='2025'!Maxi_hp</f>
        <v>0</v>
      </c>
      <c r="I205" s="392">
        <f>IF(H205,Wh_hp,'2025'!Maxi_hp)</f>
        <v>63.097862001735528</v>
      </c>
      <c r="J205" s="85">
        <f>IF(H205,An,'2025'!An_max)</f>
        <v>2019</v>
      </c>
      <c r="K205" s="199">
        <f t="shared" si="52"/>
        <v>46213</v>
      </c>
      <c r="L205" s="147">
        <f>IF(t&lt;Tvie,1-EXP((T0-t)*PertePVj)+'2025'!Pspv,1-EXP((T0-t)*PertePVj)+Pspv)</f>
        <v>6.5261083057430058E-2</v>
      </c>
      <c r="M205" s="870"/>
      <c r="N205" s="870"/>
      <c r="O205" s="48">
        <f>IF(t&lt;Tnet,'2025'!Resal+('2025'!Salim-'2025'!Resal)*(1-EXP(('2025'!Tnet-t)/('2025'!Tau_j))),Resal+(Salim-Resal)*(1-EXP((Tnet-t)/(Tau_j))))*Salcycl</f>
        <v>4.8119213362973784E-2</v>
      </c>
      <c r="P205" s="171">
        <f>(INDEX(Models!$BJ205:$BT205,,T205)*(1-R205)+INDEX(Models!$BJ205:$BT205,,T205+1)*R205-ERP_i)*Q205*Ramure*Pc/MaxiM</f>
        <v>6.4408764897629973E-5</v>
      </c>
      <c r="Q205" s="307">
        <f t="shared" si="53"/>
        <v>1</v>
      </c>
      <c r="R205" s="179">
        <f t="shared" si="54"/>
        <v>0.40677725287623945</v>
      </c>
      <c r="S205" s="837">
        <f t="shared" si="55"/>
        <v>-2</v>
      </c>
      <c r="T205" s="178">
        <f t="shared" si="56"/>
        <v>4</v>
      </c>
      <c r="U205" s="253">
        <f t="shared" si="57"/>
        <v>-1.5932227471237606</v>
      </c>
      <c r="V205" s="385">
        <f t="shared" si="58"/>
        <v>56.203739660324835</v>
      </c>
      <c r="W205" s="404">
        <f t="shared" si="59"/>
        <v>55.799703434841881</v>
      </c>
      <c r="X205" s="157">
        <f t="shared" si="60"/>
        <v>46213</v>
      </c>
      <c r="Y205" s="387">
        <f t="shared" si="61"/>
        <v>51.528825670375134</v>
      </c>
      <c r="Z205" s="387">
        <f t="shared" si="62"/>
        <v>55.126436629941928</v>
      </c>
      <c r="AA205" s="388">
        <f t="shared" si="63"/>
        <v>62.611009686670648</v>
      </c>
      <c r="AB205" s="199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0.11954084583820605</v>
      </c>
      <c r="AD205" s="233">
        <f>(INDEX(Models!$BJ205:$BT205,,AH205)*(1-AF205)+INDEX(Models!$BJ205:$BT205,,AH205+1)*AF205-ERP_i)*AE205*Ramure*Pc/MaxiM</f>
        <v>1.7107999879452736E-3</v>
      </c>
      <c r="AE205" s="307">
        <f t="shared" si="65"/>
        <v>1</v>
      </c>
      <c r="AF205" s="179">
        <f t="shared" si="66"/>
        <v>0.34175984579980989</v>
      </c>
      <c r="AG205" s="837">
        <f t="shared" si="74"/>
        <v>3</v>
      </c>
      <c r="AH205" s="178">
        <f t="shared" si="67"/>
        <v>9</v>
      </c>
      <c r="AI205" s="227">
        <f t="shared" si="68"/>
        <v>3.3417598457998099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46214</v>
      </c>
      <c r="B206" s="1139">
        <f>IF(t&gt;Tmaj,'2025'!Wh/'2025'!Env_an*'2026'!Env_an,0.001*[9]mois!$B$218)</f>
        <v>53.874847801779218</v>
      </c>
      <c r="C206" s="866"/>
      <c r="D206" s="395">
        <f t="shared" si="50"/>
        <v>57.637593343811716</v>
      </c>
      <c r="E206" s="387">
        <f t="shared" si="75"/>
        <v>60.569269040582739</v>
      </c>
      <c r="F206" s="387">
        <f t="shared" si="51"/>
        <v>60.573163100876322</v>
      </c>
      <c r="G206" s="110">
        <f t="shared" si="76"/>
        <v>0.96060326077789493</v>
      </c>
      <c r="H206" s="414" t="b">
        <f>Wh_hp&gt;='2025'!Maxi_hp</f>
        <v>0</v>
      </c>
      <c r="I206" s="392">
        <f>IF(H206,Wh_hp,'2025'!Maxi_hp)</f>
        <v>62.66471285413887</v>
      </c>
      <c r="J206" s="85">
        <f>IF(H206,An,'2025'!An_max)</f>
        <v>2019</v>
      </c>
      <c r="K206" s="199">
        <f t="shared" si="52"/>
        <v>46214</v>
      </c>
      <c r="L206" s="147">
        <f>IF(t&lt;Tvie,1-EXP((T0-t)*PertePVj)+'2025'!Pspv,1-EXP((T0-t)*PertePVj)+Pspv)</f>
        <v>6.5282835797592975E-2</v>
      </c>
      <c r="M206" s="870"/>
      <c r="N206" s="870"/>
      <c r="O206" s="48">
        <f>IF(t&lt;Tnet,'2025'!Resal+('2025'!Salim-'2025'!Resal)*(1-EXP(('2025'!Tnet-t)/('2025'!Tau_j))),Resal+(Salim-Resal)*(1-EXP((Tnet-t)/(Tau_j))))*Salcycl</f>
        <v>4.8402031974444586E-2</v>
      </c>
      <c r="P206" s="171">
        <f>(INDEX(Models!$BJ206:$BT206,,T206)*(1-R206)+INDEX(Models!$BJ206:$BT206,,T206+1)*R206-ERP_i)*Q206*Ramure*Pc/MaxiM</f>
        <v>6.8120421191538873E-5</v>
      </c>
      <c r="Q206" s="307">
        <f t="shared" si="53"/>
        <v>1</v>
      </c>
      <c r="R206" s="179">
        <f t="shared" si="54"/>
        <v>0.41175607435794936</v>
      </c>
      <c r="S206" s="837">
        <f t="shared" si="55"/>
        <v>-2</v>
      </c>
      <c r="T206" s="178">
        <f t="shared" si="56"/>
        <v>4</v>
      </c>
      <c r="U206" s="253">
        <f t="shared" si="57"/>
        <v>-1.5882439256420506</v>
      </c>
      <c r="V206" s="385">
        <f t="shared" si="58"/>
        <v>56.084174869427535</v>
      </c>
      <c r="W206" s="404">
        <f t="shared" si="59"/>
        <v>53.874847801779218</v>
      </c>
      <c r="X206" s="157">
        <f t="shared" si="60"/>
        <v>46214</v>
      </c>
      <c r="Y206" s="387">
        <f t="shared" si="61"/>
        <v>49.756306497384735</v>
      </c>
      <c r="Z206" s="387">
        <f t="shared" si="62"/>
        <v>53.231403469349715</v>
      </c>
      <c r="AA206" s="388">
        <f t="shared" si="63"/>
        <v>60.469883037133641</v>
      </c>
      <c r="AB206" s="199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0.11970387909199182</v>
      </c>
      <c r="AD206" s="233">
        <f>(INDEX(Models!$BJ206:$BT206,,AH206)*(1-AF206)+INDEX(Models!$BJ206:$BT206,,AH206+1)*AF206-ERP_i)*AE206*Ramure*Pc/MaxiM</f>
        <v>1.8067212401479272E-3</v>
      </c>
      <c r="AE206" s="307">
        <f t="shared" si="65"/>
        <v>1</v>
      </c>
      <c r="AF206" s="179">
        <f t="shared" si="66"/>
        <v>0.34673866728152003</v>
      </c>
      <c r="AG206" s="837">
        <f t="shared" si="74"/>
        <v>3</v>
      </c>
      <c r="AH206" s="178">
        <f t="shared" si="67"/>
        <v>9</v>
      </c>
      <c r="AI206" s="227">
        <f t="shared" si="68"/>
        <v>3.34673866728152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46215</v>
      </c>
      <c r="B207" s="1139">
        <f>IF(t&gt;Tmaj,'2025'!Wh/'2025'!Env_an*'2026'!Env_an,0.001*[9]mois!$B$219)</f>
        <v>53.979675461536395</v>
      </c>
      <c r="C207" s="866"/>
      <c r="D207" s="395">
        <f t="shared" ref="D207:D270" si="77">Wh/(1-Ppv)</f>
        <v>57.751086364974839</v>
      </c>
      <c r="E207" s="387">
        <f t="shared" si="75"/>
        <v>60.706487734777006</v>
      </c>
      <c r="F207" s="387">
        <f t="shared" ref="F207:F270" si="78">Wh_sa/(1-Pvg*MEDIAN((-Sdif+Wh/Env_an)/Csdif,0,1))</f>
        <v>60.710666836802602</v>
      </c>
      <c r="G207" s="110">
        <f t="shared" si="76"/>
        <v>0.96459269975959261</v>
      </c>
      <c r="H207" s="414" t="b">
        <f>Wh_hp&gt;='2025'!Maxi_hp</f>
        <v>0</v>
      </c>
      <c r="I207" s="392">
        <f>IF(H207,Wh_hp,'2025'!Maxi_hp)</f>
        <v>63.499999412795624</v>
      </c>
      <c r="J207" s="85">
        <f>IF(H207,An,'2025'!An_max)</f>
        <v>2019</v>
      </c>
      <c r="K207" s="199">
        <f t="shared" ref="K207:K270" si="79">t</f>
        <v>46215</v>
      </c>
      <c r="L207" s="147">
        <f>IF(t&lt;Tvie,1-EXP((T0-t)*PertePVj)+'2025'!Pspv,1-EXP((T0-t)*PertePVj)+Pspv)</f>
        <v>6.5304588031537825E-2</v>
      </c>
      <c r="M207" s="870"/>
      <c r="N207" s="870"/>
      <c r="O207" s="48">
        <f>IF(t&lt;Tnet,'2025'!Resal+('2025'!Salim-'2025'!Resal)*(1-EXP(('2025'!Tnet-t)/('2025'!Tau_j))),Resal+(Salim-Resal)*(1-EXP((Tnet-t)/(Tau_j))))*Salcycl</f>
        <v>4.868345180360522E-2</v>
      </c>
      <c r="P207" s="171">
        <f>(INDEX(Models!$BJ207:$BT207,,T207)*(1-R207)+INDEX(Models!$BJ207:$BT207,,T207+1)*R207-ERP_i)*Q207*Ramure*Pc/MaxiM</f>
        <v>7.2503359877029239E-5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0.41662106532335486</v>
      </c>
      <c r="S207" s="837">
        <f t="shared" ref="S207:S270" si="82">INDEX(Echel_vg,T207)</f>
        <v>-2</v>
      </c>
      <c r="T207" s="178">
        <f t="shared" ref="T207:T270" si="83">MIN(MATCH(Hp_vg,Echel_vg),10)</f>
        <v>4</v>
      </c>
      <c r="U207" s="253">
        <f t="shared" ref="U207:U270" si="84">IF(OR(t&lt;Ttai,Notai),Hdd+PousH*Croivg,Hdtf+PousH*(Croivg-Croi_tai))</f>
        <v>-1.5833789346766451</v>
      </c>
      <c r="V207" s="385">
        <f t="shared" ref="V207:V270" si="85">MaxiM*(1-Ppv)*(1-Pvg)*(1-Psa)</f>
        <v>55.960901962588849</v>
      </c>
      <c r="W207" s="404">
        <f t="shared" ref="W207:W270" si="86">Wh*(A207&gt;Tmaj)</f>
        <v>53.979675461536395</v>
      </c>
      <c r="X207" s="157">
        <f t="shared" ref="X207:X270" si="87">t</f>
        <v>46215</v>
      </c>
      <c r="Y207" s="387">
        <f t="shared" ref="Y207:Y270" si="88">Wh_pvt_s*(1-Ppv)</f>
        <v>49.853816104569432</v>
      </c>
      <c r="Z207" s="387">
        <f t="shared" ref="Z207:Z270" si="89">Wh_sa_s*(1-Psa_s)</f>
        <v>53.336964604948292</v>
      </c>
      <c r="AA207" s="388">
        <f t="shared" ref="AA207:AA270" si="90">Wh_hp*(1-Pvg_s*MEDIAN((-Sdif+Wh/Env_an)/Csdif,0,1))</f>
        <v>60.600837927152917</v>
      </c>
      <c r="AB207" s="199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0.11986423902151951</v>
      </c>
      <c r="AD207" s="233">
        <f>(INDEX(Models!$BJ207:$BT207,,AH207)*(1-AF207)+INDEX(Models!$BJ207:$BT207,,AH207+1)*AF207-ERP_i)*AE207*Ramure*Pc/MaxiM</f>
        <v>1.9054248765536103E-3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0.3516036582469253</v>
      </c>
      <c r="AG207" s="837">
        <f t="shared" si="74"/>
        <v>3</v>
      </c>
      <c r="AH207" s="178">
        <f t="shared" ref="AH207:AH270" si="94">MIN(MATCH(Hp_vg_s,Echel_vg),10)</f>
        <v>9</v>
      </c>
      <c r="AI207" s="227">
        <f t="shared" ref="AI207:AI270" si="95">IF(OR(t&lt;Ttai,Notai),Hdd_s+PousH*Croivg,Hdtai_s+PousH*(Croivg-Croi_tai))</f>
        <v>3.3516036582469253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46216</v>
      </c>
      <c r="B208" s="1139">
        <f>IF(t&gt;Tmaj,'2025'!Wh/'2025'!Env_an*'2026'!Env_an,0.001*[9]mois!$B$220)</f>
        <v>53.64514203605335</v>
      </c>
      <c r="C208" s="866"/>
      <c r="D208" s="395">
        <f t="shared" si="77"/>
        <v>57.394515666823374</v>
      </c>
      <c r="E208" s="387">
        <f t="shared" si="75"/>
        <v>60.349435533052244</v>
      </c>
      <c r="F208" s="387">
        <f t="shared" si="78"/>
        <v>60.353855015502248</v>
      </c>
      <c r="G208" s="110">
        <f t="shared" si="76"/>
        <v>0.96079075459062246</v>
      </c>
      <c r="H208" s="414" t="b">
        <f>Wh_hp&gt;='2025'!Maxi_hp</f>
        <v>0</v>
      </c>
      <c r="I208" s="392">
        <f>IF(H208,Wh_hp,'2025'!Maxi_hp)</f>
        <v>60.354032794352193</v>
      </c>
      <c r="J208" s="85">
        <f>IF(H208,An,'2025'!An_max)</f>
        <v>2025</v>
      </c>
      <c r="K208" s="199">
        <f t="shared" si="79"/>
        <v>46216</v>
      </c>
      <c r="L208" s="147">
        <f>IF(t&lt;Tvie,1-EXP((T0-t)*PertePVj)+'2025'!Pspv,1-EXP((T0-t)*PertePVj)+Pspv)</f>
        <v>6.5326339759276486E-2</v>
      </c>
      <c r="M208" s="870"/>
      <c r="N208" s="870"/>
      <c r="O208" s="48">
        <f>IF(t&lt;Tnet,'2025'!Resal+('2025'!Salim-'2025'!Resal)*(1-EXP(('2025'!Tnet-t)/('2025'!Tau_j))),Resal+(Salim-Resal)*(1-EXP((Tnet-t)/(Tau_j))))*Salcycl</f>
        <v>4.8963504631464469E-2</v>
      </c>
      <c r="P208" s="171">
        <f>(INDEX(Models!$BJ208:$BT208,,T208)*(1-R208)+INDEX(Models!$BJ208:$BT208,,T208+1)*R208-ERP_i)*Q208*Ramure*Pc/MaxiM</f>
        <v>7.7570704693491946E-5</v>
      </c>
      <c r="Q208" s="307">
        <f t="shared" si="80"/>
        <v>1</v>
      </c>
      <c r="R208" s="179">
        <f t="shared" si="81"/>
        <v>0.42137211822763865</v>
      </c>
      <c r="S208" s="837">
        <f t="shared" si="82"/>
        <v>-2</v>
      </c>
      <c r="T208" s="178">
        <f t="shared" si="83"/>
        <v>4</v>
      </c>
      <c r="U208" s="253">
        <f t="shared" si="84"/>
        <v>-1.5786278817723614</v>
      </c>
      <c r="V208" s="385">
        <f t="shared" si="85"/>
        <v>55.834122778768439</v>
      </c>
      <c r="W208" s="404">
        <f t="shared" si="86"/>
        <v>53.64514203605335</v>
      </c>
      <c r="X208" s="157">
        <f t="shared" si="87"/>
        <v>46216</v>
      </c>
      <c r="Y208" s="387">
        <f t="shared" si="88"/>
        <v>49.546531428283764</v>
      </c>
      <c r="Z208" s="387">
        <f t="shared" si="89"/>
        <v>53.009444403860854</v>
      </c>
      <c r="AA208" s="388">
        <f t="shared" si="90"/>
        <v>60.239513394410089</v>
      </c>
      <c r="AB208" s="199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0.12002203509200568</v>
      </c>
      <c r="AD208" s="233">
        <f>(INDEX(Models!$BJ208:$BT208,,AH208)*(1-AF208)+INDEX(Models!$BJ208:$BT208,,AH208+1)*AF208-ERP_i)*AE208*Ramure*Pc/MaxiM</f>
        <v>2.0069228069689846E-3</v>
      </c>
      <c r="AE208" s="307">
        <f t="shared" si="92"/>
        <v>1</v>
      </c>
      <c r="AF208" s="179">
        <f t="shared" si="93"/>
        <v>0.35635471115120909</v>
      </c>
      <c r="AG208" s="837">
        <f t="shared" ref="AG208:AG271" si="99">INDEX(Echel_vg,AH208)</f>
        <v>3</v>
      </c>
      <c r="AH208" s="178">
        <f t="shared" si="94"/>
        <v>9</v>
      </c>
      <c r="AI208" s="227">
        <f t="shared" si="95"/>
        <v>3.3563547111512091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46217</v>
      </c>
      <c r="B209" s="1139">
        <f>IF(t&gt;Tmaj,'2025'!Wh/'2025'!Env_an*'2026'!Env_an,0.001*[9]mois!$B$221)</f>
        <v>52.964838519092744</v>
      </c>
      <c r="C209" s="866"/>
      <c r="D209" s="395">
        <f t="shared" si="77"/>
        <v>56.667983029825372</v>
      </c>
      <c r="E209" s="387">
        <f t="shared" si="75"/>
        <v>59.602965575687968</v>
      </c>
      <c r="F209" s="387">
        <f t="shared" si="78"/>
        <v>59.607584041802909</v>
      </c>
      <c r="G209" s="110">
        <f t="shared" si="76"/>
        <v>0.95082025513245061</v>
      </c>
      <c r="H209" s="414" t="b">
        <f>Wh_hp&gt;='2025'!Maxi_hp</f>
        <v>0</v>
      </c>
      <c r="I209" s="392">
        <f>IF(H209,Wh_hp,'2025'!Maxi_hp)</f>
        <v>62.42092802890074</v>
      </c>
      <c r="J209" s="85">
        <f>IF(H209,An,'2025'!An_max)</f>
        <v>2019</v>
      </c>
      <c r="K209" s="199">
        <f t="shared" si="79"/>
        <v>46217</v>
      </c>
      <c r="L209" s="147">
        <f>IF(t&lt;Tvie,1-EXP((T0-t)*PertePVj)+'2025'!Pspv,1-EXP((T0-t)*PertePVj)+Pspv)</f>
        <v>6.5348090980820617E-2</v>
      </c>
      <c r="M209" s="870"/>
      <c r="N209" s="870"/>
      <c r="O209" s="48">
        <f>IF(t&lt;Tnet,'2025'!Resal+('2025'!Salim-'2025'!Resal)*(1-EXP(('2025'!Tnet-t)/('2025'!Tau_j))),Resal+(Salim-Resal)*(1-EXP((Tnet-t)/(Tau_j))))*Salcycl</f>
        <v>4.9242223394665649E-2</v>
      </c>
      <c r="P209" s="171">
        <f>(INDEX(Models!$BJ209:$BT209,,T209)*(1-R209)+INDEX(Models!$BJ209:$BT209,,T209+1)*R209-ERP_i)*Q209*Ramure*Pc/MaxiM</f>
        <v>8.3335396552178167E-5</v>
      </c>
      <c r="Q209" s="307">
        <f t="shared" si="80"/>
        <v>1</v>
      </c>
      <c r="R209" s="179">
        <f t="shared" si="81"/>
        <v>0.42600931834502465</v>
      </c>
      <c r="S209" s="837">
        <f t="shared" si="82"/>
        <v>-2</v>
      </c>
      <c r="T209" s="178">
        <f t="shared" si="83"/>
        <v>4</v>
      </c>
      <c r="U209" s="253">
        <f t="shared" si="84"/>
        <v>-1.5739906816549754</v>
      </c>
      <c r="V209" s="385">
        <f t="shared" si="85"/>
        <v>55.704038846124497</v>
      </c>
      <c r="W209" s="404">
        <f t="shared" si="86"/>
        <v>52.964838519092744</v>
      </c>
      <c r="X209" s="157">
        <f t="shared" si="87"/>
        <v>46217</v>
      </c>
      <c r="Y209" s="387">
        <f t="shared" si="88"/>
        <v>48.92076280108904</v>
      </c>
      <c r="Z209" s="387">
        <f t="shared" si="89"/>
        <v>52.341157525079389</v>
      </c>
      <c r="AA209" s="388">
        <f t="shared" si="90"/>
        <v>59.490579329557583</v>
      </c>
      <c r="AB209" s="199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0.12017737741084733</v>
      </c>
      <c r="AD209" s="233">
        <f>(INDEX(Models!$BJ209:$BT209,,AH209)*(1-AF209)+INDEX(Models!$BJ209:$BT209,,AH209+1)*AF209-ERP_i)*AE209*Ramure*Pc/MaxiM</f>
        <v>2.1112278082727242E-3</v>
      </c>
      <c r="AE209" s="307">
        <f t="shared" si="92"/>
        <v>1</v>
      </c>
      <c r="AF209" s="179">
        <f t="shared" si="93"/>
        <v>0.36099191126859509</v>
      </c>
      <c r="AG209" s="837">
        <f t="shared" si="99"/>
        <v>3</v>
      </c>
      <c r="AH209" s="178">
        <f t="shared" si="94"/>
        <v>9</v>
      </c>
      <c r="AI209" s="227">
        <f t="shared" si="95"/>
        <v>3.3609919112685951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46218</v>
      </c>
      <c r="B210" s="1139">
        <f>IF(t&gt;Tmaj,'2025'!Wh/'2025'!Env_an*'2026'!Env_an,0.001*[9]mois!$B$222)</f>
        <v>51.172108354527737</v>
      </c>
      <c r="C210" s="866"/>
      <c r="D210" s="395">
        <f t="shared" si="77"/>
        <v>54.751184626222326</v>
      </c>
      <c r="E210" s="387">
        <f t="shared" si="75"/>
        <v>57.603699182709256</v>
      </c>
      <c r="F210" s="387">
        <f t="shared" si="78"/>
        <v>57.608287942376585</v>
      </c>
      <c r="G210" s="110">
        <f t="shared" si="76"/>
        <v>0.92083506617240807</v>
      </c>
      <c r="H210" s="414" t="b">
        <f>Wh_hp&gt;='2025'!Maxi_hp</f>
        <v>0</v>
      </c>
      <c r="I210" s="392">
        <f>IF(H210,Wh_hp,'2025'!Maxi_hp)</f>
        <v>64.059383068495961</v>
      </c>
      <c r="J210" s="85">
        <f>IF(H210,An,'2025'!An_max)</f>
        <v>2019</v>
      </c>
      <c r="K210" s="199">
        <f t="shared" si="79"/>
        <v>46218</v>
      </c>
      <c r="L210" s="147">
        <f>IF(t&lt;Tvie,1-EXP((T0-t)*PertePVj)+'2025'!Pspv,1-EXP((T0-t)*PertePVj)+Pspv)</f>
        <v>6.5369841696182096E-2</v>
      </c>
      <c r="M210" s="870"/>
      <c r="N210" s="870"/>
      <c r="O210" s="48">
        <f>IF(t&lt;Tnet,'2025'!Resal+('2025'!Salim-'2025'!Resal)*(1-EXP(('2025'!Tnet-t)/('2025'!Tau_j))),Resal+(Salim-Resal)*(1-EXP((Tnet-t)/(Tau_j))))*Salcycl</f>
        <v>4.9519641914649158E-2</v>
      </c>
      <c r="P210" s="171">
        <f>(INDEX(Models!$BJ210:$BT210,,T210)*(1-R210)+INDEX(Models!$BJ210:$BT210,,T210+1)*R210-ERP_i)*Q210*Ramure*Pc/MaxiM</f>
        <v>8.9810187396998563E-5</v>
      </c>
      <c r="Q210" s="307">
        <f t="shared" si="80"/>
        <v>1</v>
      </c>
      <c r="R210" s="179">
        <f t="shared" si="81"/>
        <v>0.43053293451223795</v>
      </c>
      <c r="S210" s="837">
        <f t="shared" si="82"/>
        <v>-2</v>
      </c>
      <c r="T210" s="178">
        <f t="shared" si="83"/>
        <v>4</v>
      </c>
      <c r="U210" s="253">
        <f t="shared" si="84"/>
        <v>-1.569467065487762</v>
      </c>
      <c r="V210" s="385">
        <f t="shared" si="85"/>
        <v>55.570851399217496</v>
      </c>
      <c r="W210" s="404">
        <f t="shared" si="86"/>
        <v>51.172108354527737</v>
      </c>
      <c r="X210" s="157">
        <f t="shared" si="87"/>
        <v>46218</v>
      </c>
      <c r="Y210" s="387">
        <f t="shared" si="88"/>
        <v>47.270373862643474</v>
      </c>
      <c r="Z210" s="387">
        <f t="shared" si="89"/>
        <v>50.576555274474046</v>
      </c>
      <c r="AA210" s="388">
        <f t="shared" si="90"/>
        <v>57.494943441344397</v>
      </c>
      <c r="AB210" s="199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0.12033037607782666</v>
      </c>
      <c r="AD210" s="233">
        <f>(INDEX(Models!$BJ210:$BT210,,AH210)*(1-AF210)+INDEX(Models!$BJ210:$BT210,,AH210+1)*AF210-ERP_i)*AE210*Ramure*Pc/MaxiM</f>
        <v>2.2183534584731446E-3</v>
      </c>
      <c r="AE210" s="307">
        <f t="shared" si="92"/>
        <v>1</v>
      </c>
      <c r="AF210" s="179">
        <f t="shared" si="93"/>
        <v>0.36551552743580817</v>
      </c>
      <c r="AG210" s="837">
        <f t="shared" si="99"/>
        <v>3</v>
      </c>
      <c r="AH210" s="178">
        <f t="shared" si="94"/>
        <v>9</v>
      </c>
      <c r="AI210" s="227">
        <f t="shared" si="95"/>
        <v>3.3655155274358082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46219</v>
      </c>
      <c r="B211" s="1139">
        <f>IF(t&gt;Tmaj,'2025'!Wh/'2025'!Env_an*'2026'!Env_an,0.001*[9]mois!$B$223)</f>
        <v>52.696744838148092</v>
      </c>
      <c r="C211" s="866"/>
      <c r="D211" s="395">
        <f t="shared" si="77"/>
        <v>56.38376926822238</v>
      </c>
      <c r="E211" s="387">
        <f t="shared" si="75"/>
        <v>59.338581064457976</v>
      </c>
      <c r="F211" s="387">
        <f t="shared" si="78"/>
        <v>59.343931680620912</v>
      </c>
      <c r="G211" s="110">
        <f t="shared" si="76"/>
        <v>0.9506018025682641</v>
      </c>
      <c r="H211" s="414" t="b">
        <f>Wh_hp&gt;='2025'!Maxi_hp</f>
        <v>0</v>
      </c>
      <c r="I211" s="392">
        <f>IF(H211,Wh_hp,'2025'!Maxi_hp)</f>
        <v>61.939106503544039</v>
      </c>
      <c r="J211" s="85">
        <f>IF(H211,An,'2025'!An_max)</f>
        <v>2019</v>
      </c>
      <c r="K211" s="199">
        <f t="shared" si="79"/>
        <v>46219</v>
      </c>
      <c r="L211" s="147">
        <f>IF(t&lt;Tvie,1-EXP((T0-t)*PertePVj)+'2025'!Pspv,1-EXP((T0-t)*PertePVj)+Pspv)</f>
        <v>6.5391591905372581E-2</v>
      </c>
      <c r="M211" s="870"/>
      <c r="N211" s="870"/>
      <c r="O211" s="48">
        <f>IF(t&lt;Tnet,'2025'!Resal+('2025'!Salim-'2025'!Resal)*(1-EXP(('2025'!Tnet-t)/('2025'!Tau_j))),Resal+(Salim-Resal)*(1-EXP((Tnet-t)/(Tau_j))))*Salcycl</f>
        <v>4.9795794628554803E-2</v>
      </c>
      <c r="P211" s="171">
        <f>(INDEX(Models!$BJ211:$BT211,,T211)*(1-R211)+INDEX(Models!$BJ211:$BT211,,T211+1)*R211-ERP_i)*Q211*Ramure*Pc/MaxiM</f>
        <v>9.7007634619311476E-5</v>
      </c>
      <c r="Q211" s="307">
        <f t="shared" si="80"/>
        <v>1</v>
      </c>
      <c r="R211" s="179">
        <f t="shared" si="81"/>
        <v>0.43494340961811595</v>
      </c>
      <c r="S211" s="837">
        <f t="shared" si="82"/>
        <v>-2</v>
      </c>
      <c r="T211" s="178">
        <f t="shared" si="83"/>
        <v>4</v>
      </c>
      <c r="U211" s="253">
        <f t="shared" si="84"/>
        <v>-1.565056590381884</v>
      </c>
      <c r="V211" s="385">
        <f t="shared" si="85"/>
        <v>55.434761394038141</v>
      </c>
      <c r="W211" s="404">
        <f t="shared" si="86"/>
        <v>52.696744838148092</v>
      </c>
      <c r="X211" s="157">
        <f t="shared" si="87"/>
        <v>46219</v>
      </c>
      <c r="Y211" s="387">
        <f t="shared" si="88"/>
        <v>48.675487732572272</v>
      </c>
      <c r="Z211" s="387">
        <f t="shared" si="89"/>
        <v>52.081157531854736</v>
      </c>
      <c r="AA211" s="388">
        <f t="shared" si="90"/>
        <v>59.215509676268653</v>
      </c>
      <c r="AB211" s="199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0.12048114055620629</v>
      </c>
      <c r="AD211" s="233">
        <f>(INDEX(Models!$BJ211:$BT211,,AH211)*(1-AF211)+INDEX(Models!$BJ211:$BT211,,AH211+1)*AF211-ERP_i)*AE211*Ramure*Pc/MaxiM</f>
        <v>2.328314066251998E-3</v>
      </c>
      <c r="AE211" s="307">
        <f t="shared" si="92"/>
        <v>1</v>
      </c>
      <c r="AF211" s="179">
        <f t="shared" si="93"/>
        <v>0.36992600254168639</v>
      </c>
      <c r="AG211" s="837">
        <f t="shared" si="99"/>
        <v>3</v>
      </c>
      <c r="AH211" s="178">
        <f t="shared" si="94"/>
        <v>9</v>
      </c>
      <c r="AI211" s="227">
        <f t="shared" si="95"/>
        <v>3.3699260025416864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46220</v>
      </c>
      <c r="B212" s="1139">
        <f>IF(t&gt;Tmaj,'2025'!Wh/'2025'!Env_an*'2026'!Env_an,0.001*[9]mois!$B$224)</f>
        <v>51.795684014720074</v>
      </c>
      <c r="C212" s="866"/>
      <c r="D212" s="395">
        <f t="shared" si="77"/>
        <v>55.420953797756276</v>
      </c>
      <c r="E212" s="387">
        <f t="shared" si="75"/>
        <v>58.342188992520278</v>
      </c>
      <c r="F212" s="387">
        <f t="shared" si="78"/>
        <v>58.347764702394883</v>
      </c>
      <c r="G212" s="110">
        <f t="shared" si="76"/>
        <v>0.93669029682081129</v>
      </c>
      <c r="H212" s="414" t="b">
        <f>Wh_hp&gt;='2025'!Maxi_hp</f>
        <v>0</v>
      </c>
      <c r="I212" s="392">
        <f>IF(H212,Wh_hp,'2025'!Maxi_hp)</f>
        <v>61.436079600146336</v>
      </c>
      <c r="J212" s="85">
        <f>IF(H212,An,'2025'!An_max)</f>
        <v>2021</v>
      </c>
      <c r="K212" s="199">
        <f t="shared" si="79"/>
        <v>46220</v>
      </c>
      <c r="L212" s="147">
        <f>IF(t&lt;Tvie,1-EXP((T0-t)*PertePVj)+'2025'!Pspv,1-EXP((T0-t)*PertePVj)+Pspv)</f>
        <v>6.5413341608403952E-2</v>
      </c>
      <c r="M212" s="870"/>
      <c r="N212" s="870"/>
      <c r="O212" s="48">
        <f>IF(t&lt;Tnet,'2025'!Resal+('2025'!Salim-'2025'!Resal)*(1-EXP(('2025'!Tnet-t)/('2025'!Tau_j))),Resal+(Salim-Resal)*(1-EXP((Tnet-t)/(Tau_j))))*Salcycl</f>
        <v>5.0070716323971344E-2</v>
      </c>
      <c r="P212" s="171">
        <f>(INDEX(Models!$BJ212:$BT212,,T212)*(1-R212)+INDEX(Models!$BJ212:$BT212,,T212+1)*R212-ERP_i)*Q212*Ramure*Pc/MaxiM</f>
        <v>1.0506055307092348E-4</v>
      </c>
      <c r="Q212" s="307">
        <f t="shared" si="80"/>
        <v>1</v>
      </c>
      <c r="R212" s="179">
        <f t="shared" si="81"/>
        <v>0.43924135091132266</v>
      </c>
      <c r="S212" s="837">
        <f t="shared" si="82"/>
        <v>-2</v>
      </c>
      <c r="T212" s="178">
        <f t="shared" si="83"/>
        <v>4</v>
      </c>
      <c r="U212" s="253">
        <f t="shared" si="84"/>
        <v>-1.5607586490886773</v>
      </c>
      <c r="V212" s="385">
        <f t="shared" si="85"/>
        <v>55.295962874394689</v>
      </c>
      <c r="W212" s="404">
        <f t="shared" si="86"/>
        <v>51.795684014720074</v>
      </c>
      <c r="X212" s="157">
        <f t="shared" si="87"/>
        <v>46220</v>
      </c>
      <c r="Y212" s="387">
        <f t="shared" si="88"/>
        <v>47.845909174274276</v>
      </c>
      <c r="Z212" s="387">
        <f t="shared" si="89"/>
        <v>51.194727363876645</v>
      </c>
      <c r="AA212" s="388">
        <f t="shared" si="90"/>
        <v>58.217490364492846</v>
      </c>
      <c r="AB212" s="199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0.12062977906892768</v>
      </c>
      <c r="AD212" s="233">
        <f>(INDEX(Models!$BJ212:$BT212,,AH212)*(1-AF212)+INDEX(Models!$BJ212:$BT212,,AH212+1)*AF212-ERP_i)*AE212*Ramure*Pc/MaxiM</f>
        <v>2.4546998137895733E-3</v>
      </c>
      <c r="AE212" s="307">
        <f t="shared" si="92"/>
        <v>1</v>
      </c>
      <c r="AF212" s="179">
        <f t="shared" si="93"/>
        <v>0.3742239438348931</v>
      </c>
      <c r="AG212" s="837">
        <f t="shared" si="99"/>
        <v>3</v>
      </c>
      <c r="AH212" s="178">
        <f t="shared" si="94"/>
        <v>9</v>
      </c>
      <c r="AI212" s="227">
        <f t="shared" si="95"/>
        <v>3.3742239438348931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46221</v>
      </c>
      <c r="B213" s="1139">
        <f>IF(t&gt;Tmaj,'2025'!Wh/'2025'!Env_an*'2026'!Env_an,0.001*[9]mois!$B$225)</f>
        <v>52.074699621599024</v>
      </c>
      <c r="C213" s="866"/>
      <c r="D213" s="395">
        <f t="shared" si="77"/>
        <v>55.720794895316914</v>
      </c>
      <c r="E213" s="387">
        <f t="shared" si="75"/>
        <v>58.674742035523124</v>
      </c>
      <c r="F213" s="387">
        <f t="shared" si="78"/>
        <v>58.680882491183468</v>
      </c>
      <c r="G213" s="110">
        <f t="shared" si="76"/>
        <v>0.94414899220457615</v>
      </c>
      <c r="H213" s="414" t="b">
        <f>Wh_hp&gt;='2025'!Maxi_hp</f>
        <v>0</v>
      </c>
      <c r="I213" s="392">
        <f>IF(H213,Wh_hp,'2025'!Maxi_hp)</f>
        <v>58.681251423823511</v>
      </c>
      <c r="J213" s="85">
        <f>IF(H213,An,'2025'!An_max)</f>
        <v>2025</v>
      </c>
      <c r="K213" s="199">
        <f t="shared" si="79"/>
        <v>46221</v>
      </c>
      <c r="L213" s="147">
        <f>IF(t&lt;Tvie,1-EXP((T0-t)*PertePVj)+'2025'!Pspv,1-EXP((T0-t)*PertePVj)+Pspv)</f>
        <v>6.5435090805287977E-2</v>
      </c>
      <c r="M213" s="870"/>
      <c r="N213" s="870"/>
      <c r="O213" s="48">
        <f>IF(t&lt;Tnet,'2025'!Resal+('2025'!Salim-'2025'!Resal)*(1-EXP(('2025'!Tnet-t)/('2025'!Tau_j))),Resal+(Salim-Resal)*(1-EXP((Tnet-t)/(Tau_j))))*Salcycl</f>
        <v>5.034444187957085E-2</v>
      </c>
      <c r="P213" s="171">
        <f>(INDEX(Models!$BJ213:$BT213,,T213)*(1-R213)+INDEX(Models!$BJ213:$BT213,,T213+1)*R213-ERP_i)*Q213*Ramure*Pc/MaxiM</f>
        <v>1.1371294216556631E-4</v>
      </c>
      <c r="Q213" s="307">
        <f t="shared" si="80"/>
        <v>1</v>
      </c>
      <c r="R213" s="179">
        <f t="shared" si="81"/>
        <v>0.44342752019412934</v>
      </c>
      <c r="S213" s="837">
        <f t="shared" si="82"/>
        <v>-2</v>
      </c>
      <c r="T213" s="178">
        <f t="shared" si="83"/>
        <v>4</v>
      </c>
      <c r="U213" s="253">
        <f t="shared" si="84"/>
        <v>-1.5565724798058707</v>
      </c>
      <c r="V213" s="385">
        <f t="shared" si="85"/>
        <v>55.154671147853307</v>
      </c>
      <c r="W213" s="404">
        <f t="shared" si="86"/>
        <v>52.074699621599024</v>
      </c>
      <c r="X213" s="157">
        <f t="shared" si="87"/>
        <v>46221</v>
      </c>
      <c r="Y213" s="387">
        <f t="shared" si="88"/>
        <v>48.102355777930484</v>
      </c>
      <c r="Z213" s="387">
        <f t="shared" si="89"/>
        <v>51.470320899785243</v>
      </c>
      <c r="AA213" s="388">
        <f t="shared" si="90"/>
        <v>58.54064970969732</v>
      </c>
      <c r="AB213" s="199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0.12077639802383111</v>
      </c>
      <c r="AD213" s="233">
        <f>(INDEX(Models!$BJ213:$BT213,,AH213)*(1-AF213)+INDEX(Models!$BJ213:$BT213,,AH213+1)*AF213-ERP_i)*AE213*Ramure*Pc/MaxiM</f>
        <v>2.596921637889534E-3</v>
      </c>
      <c r="AE213" s="307">
        <f t="shared" si="92"/>
        <v>1</v>
      </c>
      <c r="AF213" s="179">
        <f t="shared" si="93"/>
        <v>0.37841011311769979</v>
      </c>
      <c r="AG213" s="837">
        <f t="shared" si="99"/>
        <v>3</v>
      </c>
      <c r="AH213" s="178">
        <f t="shared" si="94"/>
        <v>9</v>
      </c>
      <c r="AI213" s="227">
        <f t="shared" si="95"/>
        <v>3.3784101131176998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46222</v>
      </c>
      <c r="B214" s="1139">
        <f>IF(t&gt;Tmaj,'2025'!Wh/'2025'!Env_an*'2026'!Env_an,0.001*[9]mois!$B$226)</f>
        <v>42.113962910425471</v>
      </c>
      <c r="C214" s="866"/>
      <c r="D214" s="395">
        <f t="shared" si="77"/>
        <v>45.063689608209224</v>
      </c>
      <c r="E214" s="387">
        <f t="shared" si="75"/>
        <v>47.466291152939725</v>
      </c>
      <c r="F214" s="387">
        <f t="shared" si="78"/>
        <v>47.470173505569662</v>
      </c>
      <c r="G214" s="110">
        <f t="shared" si="76"/>
        <v>0.76552256612560521</v>
      </c>
      <c r="H214" s="414" t="b">
        <f>Wh_hp&gt;='2025'!Maxi_hp</f>
        <v>0</v>
      </c>
      <c r="I214" s="392">
        <f>IF(H214,Wh_hp,'2025'!Maxi_hp)</f>
        <v>60.900356316381583</v>
      </c>
      <c r="J214" s="85">
        <f>IF(H214,An,'2025'!An_max)</f>
        <v>2020</v>
      </c>
      <c r="K214" s="199">
        <f t="shared" si="79"/>
        <v>46222</v>
      </c>
      <c r="L214" s="147">
        <f>IF(t&lt;Tvie,1-EXP((T0-t)*PertePVj)+'2025'!Pspv,1-EXP((T0-t)*PertePVj)+Pspv)</f>
        <v>6.5456839496036423E-2</v>
      </c>
      <c r="M214" s="870"/>
      <c r="N214" s="870"/>
      <c r="O214" s="48">
        <f>IF(t&lt;Tnet,'2025'!Resal+('2025'!Salim-'2025'!Resal)*(1-EXP(('2025'!Tnet-t)/('2025'!Tau_j))),Resal+(Salim-Resal)*(1-EXP((Tnet-t)/(Tau_j))))*Salcycl</f>
        <v>5.0617006013576132E-2</v>
      </c>
      <c r="P214" s="171">
        <f>(INDEX(Models!$BJ214:$BT214,,T214)*(1-R214)+INDEX(Models!$BJ214:$BT214,,T214+1)*R214-ERP_i)*Q214*Ramure*Pc/MaxiM</f>
        <v>1.2297081344334328E-4</v>
      </c>
      <c r="Q214" s="307">
        <f t="shared" si="80"/>
        <v>1</v>
      </c>
      <c r="R214" s="179">
        <f t="shared" si="81"/>
        <v>0.44750282396591867</v>
      </c>
      <c r="S214" s="837">
        <f t="shared" si="82"/>
        <v>-2</v>
      </c>
      <c r="T214" s="178">
        <f t="shared" si="83"/>
        <v>4</v>
      </c>
      <c r="U214" s="253">
        <f t="shared" si="84"/>
        <v>-1.5524971760340813</v>
      </c>
      <c r="V214" s="385">
        <f t="shared" si="85"/>
        <v>55.011086724531438</v>
      </c>
      <c r="W214" s="404">
        <f t="shared" si="86"/>
        <v>42.113962910425471</v>
      </c>
      <c r="X214" s="157">
        <f t="shared" si="87"/>
        <v>46222</v>
      </c>
      <c r="Y214" s="387">
        <f t="shared" si="88"/>
        <v>38.927050725487945</v>
      </c>
      <c r="Z214" s="387">
        <f t="shared" si="89"/>
        <v>41.653561195072108</v>
      </c>
      <c r="AA214" s="388">
        <f t="shared" si="90"/>
        <v>47.383188545187217</v>
      </c>
      <c r="AB214" s="199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0.12092110147148534</v>
      </c>
      <c r="AD214" s="233">
        <f>(INDEX(Models!$BJ214:$BT214,,AH214)*(1-AF214)+INDEX(Models!$BJ214:$BT214,,AH214+1)*AF214-ERP_i)*AE214*Ramure*Pc/MaxiM</f>
        <v>2.7551879891311161E-3</v>
      </c>
      <c r="AE214" s="307">
        <f t="shared" si="92"/>
        <v>1</v>
      </c>
      <c r="AF214" s="179">
        <f t="shared" si="93"/>
        <v>0.38248541688948912</v>
      </c>
      <c r="AG214" s="837">
        <f t="shared" si="99"/>
        <v>3</v>
      </c>
      <c r="AH214" s="178">
        <f t="shared" si="94"/>
        <v>9</v>
      </c>
      <c r="AI214" s="227">
        <f t="shared" si="95"/>
        <v>3.3824854168894891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46223</v>
      </c>
      <c r="B215" s="1139">
        <f>IF(t&gt;Tmaj,'2025'!Wh/'2025'!Env_an*'2026'!Env_an,0.001*[9]mois!$B$227)</f>
        <v>40.393289534044172</v>
      </c>
      <c r="C215" s="866"/>
      <c r="D215" s="395">
        <f t="shared" si="77"/>
        <v>43.223503497682536</v>
      </c>
      <c r="E215" s="387">
        <f t="shared" si="75"/>
        <v>45.541014837300885</v>
      </c>
      <c r="F215" s="387">
        <f t="shared" si="78"/>
        <v>45.544785177581062</v>
      </c>
      <c r="G215" s="110">
        <f t="shared" si="76"/>
        <v>0.73618820085354775</v>
      </c>
      <c r="H215" s="414" t="b">
        <f>Wh_hp&gt;='2025'!Maxi_hp</f>
        <v>0</v>
      </c>
      <c r="I215" s="392">
        <f>IF(H215,Wh_hp,'2025'!Maxi_hp)</f>
        <v>59.452822712934505</v>
      </c>
      <c r="J215" s="85">
        <f>IF(H215,An,'2025'!An_max)</f>
        <v>2020</v>
      </c>
      <c r="K215" s="199">
        <f t="shared" si="79"/>
        <v>46223</v>
      </c>
      <c r="L215" s="147">
        <f>IF(t&lt;Tvie,1-EXP((T0-t)*PertePVj)+'2025'!Pspv,1-EXP((T0-t)*PertePVj)+Pspv)</f>
        <v>6.5478587680660949E-2</v>
      </c>
      <c r="M215" s="870"/>
      <c r="N215" s="870"/>
      <c r="O215" s="48">
        <f>IF(t&lt;Tnet,'2025'!Resal+('2025'!Salim-'2025'!Resal)*(1-EXP(('2025'!Tnet-t)/('2025'!Tau_j))),Resal+(Salim-Resal)*(1-EXP((Tnet-t)/(Tau_j))))*Salcycl</f>
        <v>5.0888443041900919E-2</v>
      </c>
      <c r="P215" s="171">
        <f>(INDEX(Models!$BJ215:$BT215,,T215)*(1-R215)+INDEX(Models!$BJ215:$BT215,,T215+1)*R215-ERP_i)*Q215*Ramure*Pc/MaxiM</f>
        <v>1.3284013910845355E-4</v>
      </c>
      <c r="Q215" s="307">
        <f t="shared" si="80"/>
        <v>1</v>
      </c>
      <c r="R215" s="179">
        <f t="shared" si="81"/>
        <v>0.45146830357552781</v>
      </c>
      <c r="S215" s="837">
        <f t="shared" si="82"/>
        <v>-2</v>
      </c>
      <c r="T215" s="178">
        <f t="shared" si="83"/>
        <v>4</v>
      </c>
      <c r="U215" s="253">
        <f t="shared" si="84"/>
        <v>-1.5485316964244722</v>
      </c>
      <c r="V215" s="385">
        <f t="shared" si="85"/>
        <v>54.865409895071714</v>
      </c>
      <c r="W215" s="404">
        <f t="shared" si="86"/>
        <v>40.393289534044172</v>
      </c>
      <c r="X215" s="157">
        <f t="shared" si="87"/>
        <v>46223</v>
      </c>
      <c r="Y215" s="387">
        <f t="shared" si="88"/>
        <v>37.341481350741958</v>
      </c>
      <c r="Z215" s="387">
        <f t="shared" si="89"/>
        <v>39.957865981974791</v>
      </c>
      <c r="AA215" s="388">
        <f t="shared" si="90"/>
        <v>45.461632649684837</v>
      </c>
      <c r="AB215" s="199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0.12106399059885493</v>
      </c>
      <c r="AD215" s="233">
        <f>(INDEX(Models!$BJ215:$BT215,,AH215)*(1-AF215)+INDEX(Models!$BJ215:$BT215,,AH215+1)*AF215-ERP_i)*AE215*Ramure*Pc/MaxiM</f>
        <v>2.9297072816028358E-3</v>
      </c>
      <c r="AE215" s="307">
        <f t="shared" si="92"/>
        <v>1</v>
      </c>
      <c r="AF215" s="179">
        <f t="shared" si="93"/>
        <v>0.38645089649909803</v>
      </c>
      <c r="AG215" s="837">
        <f t="shared" si="99"/>
        <v>3</v>
      </c>
      <c r="AH215" s="178">
        <f t="shared" si="94"/>
        <v>9</v>
      </c>
      <c r="AI215" s="227">
        <f t="shared" si="95"/>
        <v>3.386450896499098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46224</v>
      </c>
      <c r="B216" s="1139">
        <f>IF(t&gt;Tmaj,'2025'!Wh/'2025'!Env_an*'2026'!Env_an,0.001*[9]mois!$B$228)</f>
        <v>51.092507957097602</v>
      </c>
      <c r="C216" s="866"/>
      <c r="D216" s="395">
        <f t="shared" si="77"/>
        <v>54.673650393159775</v>
      </c>
      <c r="E216" s="387">
        <f t="shared" si="75"/>
        <v>57.621496224846567</v>
      </c>
      <c r="F216" s="387">
        <f t="shared" si="78"/>
        <v>57.628974215344876</v>
      </c>
      <c r="G216" s="110">
        <f t="shared" si="76"/>
        <v>0.93373229015094217</v>
      </c>
      <c r="H216" s="414" t="b">
        <f>Wh_hp&gt;='2025'!Maxi_hp</f>
        <v>0</v>
      </c>
      <c r="I216" s="392">
        <f>IF(H216,Wh_hp,'2025'!Maxi_hp)</f>
        <v>57.629516045291702</v>
      </c>
      <c r="J216" s="85">
        <f>IF(H216,An,'2025'!An_max)</f>
        <v>2025</v>
      </c>
      <c r="K216" s="199">
        <f t="shared" si="79"/>
        <v>46224</v>
      </c>
      <c r="L216" s="147">
        <f>IF(t&lt;Tvie,1-EXP((T0-t)*PertePVj)+'2025'!Pspv,1-EXP((T0-t)*PertePVj)+Pspv)</f>
        <v>6.5500335359173545E-2</v>
      </c>
      <c r="M216" s="870"/>
      <c r="N216" s="870"/>
      <c r="O216" s="48">
        <f>IF(t&lt;Tnet,'2025'!Resal+('2025'!Salim-'2025'!Resal)*(1-EXP(('2025'!Tnet-t)/('2025'!Tau_j))),Resal+(Salim-Resal)*(1-EXP((Tnet-t)/(Tau_j))))*Salcycl</f>
        <v>5.1158786647675973E-2</v>
      </c>
      <c r="P216" s="171">
        <f>(INDEX(Models!$BJ216:$BT216,,T216)*(1-R216)+INDEX(Models!$BJ216:$BT216,,T216+1)*R216-ERP_i)*Q216*Ramure*Pc/MaxiM</f>
        <v>1.4332684531014007E-4</v>
      </c>
      <c r="Q216" s="307">
        <f t="shared" si="80"/>
        <v>1</v>
      </c>
      <c r="R216" s="179">
        <f t="shared" si="81"/>
        <v>0.45532512543681181</v>
      </c>
      <c r="S216" s="837">
        <f t="shared" si="82"/>
        <v>-2</v>
      </c>
      <c r="T216" s="178">
        <f t="shared" si="83"/>
        <v>4</v>
      </c>
      <c r="U216" s="253">
        <f t="shared" si="84"/>
        <v>-1.5446748745631882</v>
      </c>
      <c r="V216" s="385">
        <f t="shared" si="85"/>
        <v>54.717840745684683</v>
      </c>
      <c r="W216" s="404">
        <f t="shared" si="86"/>
        <v>51.092507957097602</v>
      </c>
      <c r="X216" s="157">
        <f t="shared" si="87"/>
        <v>46224</v>
      </c>
      <c r="Y216" s="387">
        <f t="shared" si="88"/>
        <v>47.193129847830875</v>
      </c>
      <c r="Z216" s="387">
        <f t="shared" si="89"/>
        <v>50.500959640225751</v>
      </c>
      <c r="AA216" s="388">
        <f t="shared" si="90"/>
        <v>57.466154247856011</v>
      </c>
      <c r="AB216" s="199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0.12120516326164503</v>
      </c>
      <c r="AD216" s="233">
        <f>(INDEX(Models!$BJ216:$BT216,,AH216)*(1-AF216)+INDEX(Models!$BJ216:$BT216,,AH216+1)*AF216-ERP_i)*AE216*Ramure*Pc/MaxiM</f>
        <v>3.120687609719871E-3</v>
      </c>
      <c r="AE216" s="307">
        <f t="shared" si="92"/>
        <v>1</v>
      </c>
      <c r="AF216" s="179">
        <f t="shared" si="93"/>
        <v>0.39030771836038225</v>
      </c>
      <c r="AG216" s="837">
        <f t="shared" si="99"/>
        <v>3</v>
      </c>
      <c r="AH216" s="178">
        <f t="shared" si="94"/>
        <v>9</v>
      </c>
      <c r="AI216" s="227">
        <f t="shared" si="95"/>
        <v>3.3903077183603822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46225</v>
      </c>
      <c r="B217" s="1139">
        <f>IF(t&gt;Tmaj,'2025'!Wh/'2025'!Env_an*'2026'!Env_an,0.001*[9]mois!$B$229)</f>
        <v>38.481264264953907</v>
      </c>
      <c r="C217" s="866"/>
      <c r="D217" s="395">
        <f t="shared" si="77"/>
        <v>41.179426014905907</v>
      </c>
      <c r="E217" s="387">
        <f t="shared" si="75"/>
        <v>43.412022534029376</v>
      </c>
      <c r="F217" s="387">
        <f t="shared" si="78"/>
        <v>43.41590369158159</v>
      </c>
      <c r="G217" s="110">
        <f t="shared" si="76"/>
        <v>0.70514500700600879</v>
      </c>
      <c r="H217" s="414" t="b">
        <f>Wh_hp&gt;='2025'!Maxi_hp</f>
        <v>0</v>
      </c>
      <c r="I217" s="392">
        <f>IF(H217,Wh_hp,'2025'!Maxi_hp)</f>
        <v>56.185831469090324</v>
      </c>
      <c r="J217" s="85">
        <f>IF(H217,An,'2025'!An_max)</f>
        <v>2021</v>
      </c>
      <c r="K217" s="199">
        <f t="shared" si="79"/>
        <v>46225</v>
      </c>
      <c r="L217" s="147">
        <f>IF(t&lt;Tvie,1-EXP((T0-t)*PertePVj)+'2025'!Pspv,1-EXP((T0-t)*PertePVj)+Pspv)</f>
        <v>6.5522082531585868E-2</v>
      </c>
      <c r="M217" s="870"/>
      <c r="N217" s="870"/>
      <c r="O217" s="48">
        <f>IF(t&lt;Tnet,'2025'!Resal+('2025'!Salim-'2025'!Resal)*(1-EXP(('2025'!Tnet-t)/('2025'!Tau_j))),Resal+(Salim-Resal)*(1-EXP((Tnet-t)/(Tau_j))))*Salcycl</f>
        <v>5.1428069663729745E-2</v>
      </c>
      <c r="P217" s="171">
        <f>(INDEX(Models!$BJ217:$BT217,,T217)*(1-R217)+INDEX(Models!$BJ217:$BT217,,T217+1)*R217-ERP_i)*Q217*Ramure*Pc/MaxiM</f>
        <v>1.5443680489004032E-4</v>
      </c>
      <c r="Q217" s="307">
        <f t="shared" si="80"/>
        <v>1</v>
      </c>
      <c r="R217" s="179">
        <f t="shared" si="81"/>
        <v>0.45907457135700236</v>
      </c>
      <c r="S217" s="837">
        <f t="shared" si="82"/>
        <v>-2</v>
      </c>
      <c r="T217" s="178">
        <f t="shared" si="83"/>
        <v>4</v>
      </c>
      <c r="U217" s="253">
        <f t="shared" si="84"/>
        <v>-1.5409254286429976</v>
      </c>
      <c r="V217" s="385">
        <f t="shared" si="85"/>
        <v>54.568579174003844</v>
      </c>
      <c r="W217" s="404">
        <f t="shared" si="86"/>
        <v>38.481264264953907</v>
      </c>
      <c r="X217" s="157">
        <f t="shared" si="87"/>
        <v>46225</v>
      </c>
      <c r="Y217" s="387">
        <f t="shared" si="88"/>
        <v>35.579423023050843</v>
      </c>
      <c r="Z217" s="387">
        <f t="shared" si="89"/>
        <v>38.0741185617727</v>
      </c>
      <c r="AA217" s="388">
        <f t="shared" si="90"/>
        <v>43.332259134225481</v>
      </c>
      <c r="AB217" s="199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0.12134471355774995</v>
      </c>
      <c r="AD217" s="233">
        <f>(INDEX(Models!$BJ217:$BT217,,AH217)*(1-AF217)+INDEX(Models!$BJ217:$BT217,,AH217+1)*AF217-ERP_i)*AE217*Ramure*Pc/MaxiM</f>
        <v>3.3283364590912224E-3</v>
      </c>
      <c r="AE217" s="307">
        <f t="shared" si="92"/>
        <v>1</v>
      </c>
      <c r="AF217" s="179">
        <f t="shared" si="93"/>
        <v>0.3940571642805728</v>
      </c>
      <c r="AG217" s="837">
        <f t="shared" si="99"/>
        <v>3</v>
      </c>
      <c r="AH217" s="178">
        <f t="shared" si="94"/>
        <v>9</v>
      </c>
      <c r="AI217" s="227">
        <f t="shared" si="95"/>
        <v>3.3940571642805728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46226</v>
      </c>
      <c r="B218" s="1139">
        <f>IF(t&gt;Tmaj,'2025'!Wh/'2025'!Env_an*'2026'!Env_an,0.001*[9]mois!$B$230)</f>
        <v>48.051926806491522</v>
      </c>
      <c r="C218" s="866"/>
      <c r="D218" s="395">
        <f t="shared" si="77"/>
        <v>51.422344148304106</v>
      </c>
      <c r="E218" s="387">
        <f t="shared" si="75"/>
        <v>54.225608781911056</v>
      </c>
      <c r="F218" s="387">
        <f t="shared" si="78"/>
        <v>54.233114918032918</v>
      </c>
      <c r="G218" s="110">
        <f t="shared" si="76"/>
        <v>0.88299361960165057</v>
      </c>
      <c r="H218" s="414" t="b">
        <f>Wh_hp&gt;='2025'!Maxi_hp</f>
        <v>0</v>
      </c>
      <c r="I218" s="392">
        <f>IF(H218,Wh_hp,'2025'!Maxi_hp)</f>
        <v>56.993648476218958</v>
      </c>
      <c r="J218" s="85">
        <f>IF(H218,An,'2025'!An_max)</f>
        <v>2019</v>
      </c>
      <c r="K218" s="199">
        <f t="shared" si="79"/>
        <v>46226</v>
      </c>
      <c r="L218" s="147">
        <f>IF(t&lt;Tvie,1-EXP((T0-t)*PertePVj)+'2025'!Pspv,1-EXP((T0-t)*PertePVj)+Pspv)</f>
        <v>6.5543829197909798E-2</v>
      </c>
      <c r="M218" s="870"/>
      <c r="N218" s="870"/>
      <c r="O218" s="48">
        <f>IF(t&lt;Tnet,'2025'!Resal+('2025'!Salim-'2025'!Resal)*(1-EXP(('2025'!Tnet-t)/('2025'!Tau_j))),Resal+(Salim-Resal)*(1-EXP((Tnet-t)/(Tau_j))))*Salcycl</f>
        <v>5.1696323869434908E-2</v>
      </c>
      <c r="P218" s="171">
        <f>(INDEX(Models!$BJ218:$BT218,,T218)*(1-R218)+INDEX(Models!$BJ218:$BT218,,T218+1)*R218-ERP_i)*Q218*Ramure*Pc/MaxiM</f>
        <v>1.6617582953750893E-4</v>
      </c>
      <c r="Q218" s="307">
        <f t="shared" si="80"/>
        <v>1</v>
      </c>
      <c r="R218" s="179">
        <f t="shared" si="81"/>
        <v>0.46271802902258741</v>
      </c>
      <c r="S218" s="837">
        <f t="shared" si="82"/>
        <v>-2</v>
      </c>
      <c r="T218" s="178">
        <f t="shared" si="83"/>
        <v>4</v>
      </c>
      <c r="U218" s="253">
        <f t="shared" si="84"/>
        <v>-1.5372819709774126</v>
      </c>
      <c r="V218" s="385">
        <f t="shared" si="85"/>
        <v>54.417824902542698</v>
      </c>
      <c r="W218" s="404">
        <f t="shared" si="86"/>
        <v>48.051926806491522</v>
      </c>
      <c r="X218" s="157">
        <f t="shared" si="87"/>
        <v>46226</v>
      </c>
      <c r="Y218" s="387">
        <f t="shared" si="88"/>
        <v>44.390164517199523</v>
      </c>
      <c r="Z218" s="387">
        <f t="shared" si="89"/>
        <v>47.503741645900028</v>
      </c>
      <c r="AA218" s="388">
        <f t="shared" si="90"/>
        <v>54.072632771317387</v>
      </c>
      <c r="AB218" s="199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0.12148273144380346</v>
      </c>
      <c r="AD218" s="233">
        <f>(INDEX(Models!$BJ218:$BT218,,AH218)*(1-AF218)+INDEX(Models!$BJ218:$BT218,,AH218+1)*AF218-ERP_i)*AE218*Ramure*Pc/MaxiM</f>
        <v>3.5528604095974555E-3</v>
      </c>
      <c r="AE218" s="307">
        <f t="shared" si="92"/>
        <v>1</v>
      </c>
      <c r="AF218" s="179">
        <f t="shared" si="93"/>
        <v>0.39770062194615807</v>
      </c>
      <c r="AG218" s="837">
        <f t="shared" si="99"/>
        <v>3</v>
      </c>
      <c r="AH218" s="178">
        <f t="shared" si="94"/>
        <v>9</v>
      </c>
      <c r="AI218" s="227">
        <f t="shared" si="95"/>
        <v>3.3977006219461581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46227</v>
      </c>
      <c r="B219" s="1139">
        <f>IF(t&gt;Tmaj,'2025'!Wh/'2025'!Env_an*'2026'!Env_an,0.001*[9]mois!$B$231)</f>
        <v>50.636078054298984</v>
      </c>
      <c r="C219" s="866"/>
      <c r="D219" s="395">
        <f t="shared" si="77"/>
        <v>54.189011790428374</v>
      </c>
      <c r="E219" s="387">
        <f t="shared" si="75"/>
        <v>57.159208903785668</v>
      </c>
      <c r="F219" s="387">
        <f t="shared" si="78"/>
        <v>57.168440969405395</v>
      </c>
      <c r="G219" s="110">
        <f t="shared" si="76"/>
        <v>0.93309777634968505</v>
      </c>
      <c r="H219" s="414" t="b">
        <f>Wh_hp&gt;='2025'!Maxi_hp</f>
        <v>0</v>
      </c>
      <c r="I219" s="392">
        <f>IF(H219,Wh_hp,'2025'!Maxi_hp)</f>
        <v>57.250617661501515</v>
      </c>
      <c r="J219" s="85">
        <f>IF(H219,An,'2025'!An_max)</f>
        <v>2019</v>
      </c>
      <c r="K219" s="199">
        <f t="shared" si="79"/>
        <v>46227</v>
      </c>
      <c r="L219" s="147">
        <f>IF(t&lt;Tvie,1-EXP((T0-t)*PertePVj)+'2025'!Pspv,1-EXP((T0-t)*PertePVj)+Pspv)</f>
        <v>6.5565575358156991E-2</v>
      </c>
      <c r="M219" s="870"/>
      <c r="N219" s="870"/>
      <c r="O219" s="48">
        <f>IF(t&lt;Tnet,'2025'!Resal+('2025'!Salim-'2025'!Resal)*(1-EXP(('2025'!Tnet-t)/('2025'!Tau_j))),Resal+(Salim-Resal)*(1-EXP((Tnet-t)/(Tau_j))))*Salcycl</f>
        <v>5.1963579803158758E-2</v>
      </c>
      <c r="P219" s="171">
        <f>(INDEX(Models!$BJ219:$BT219,,T219)*(1-R219)+INDEX(Models!$BJ219:$BT219,,T219+1)*R219-ERP_i)*Q219*Ramure*Pc/MaxiM</f>
        <v>1.7854959258587256E-4</v>
      </c>
      <c r="Q219" s="307">
        <f t="shared" si="80"/>
        <v>1</v>
      </c>
      <c r="R219" s="179">
        <f t="shared" si="81"/>
        <v>0.46625698268261573</v>
      </c>
      <c r="S219" s="837">
        <f t="shared" si="82"/>
        <v>-2</v>
      </c>
      <c r="T219" s="178">
        <f t="shared" si="83"/>
        <v>4</v>
      </c>
      <c r="U219" s="253">
        <f t="shared" si="84"/>
        <v>-1.5337430173173843</v>
      </c>
      <c r="V219" s="385">
        <f t="shared" si="85"/>
        <v>54.265710742139191</v>
      </c>
      <c r="W219" s="404">
        <f t="shared" si="86"/>
        <v>50.636078054298984</v>
      </c>
      <c r="X219" s="157">
        <f t="shared" si="87"/>
        <v>46227</v>
      </c>
      <c r="Y219" s="387">
        <f t="shared" si="88"/>
        <v>46.762201106177557</v>
      </c>
      <c r="Z219" s="387">
        <f t="shared" si="89"/>
        <v>50.043320187075643</v>
      </c>
      <c r="AA219" s="388">
        <f t="shared" si="90"/>
        <v>56.972244863306713</v>
      </c>
      <c r="AB219" s="199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0.12161930239637932</v>
      </c>
      <c r="AD219" s="233">
        <f>(INDEX(Models!$BJ219:$BT219,,AH219)*(1-AF219)+INDEX(Models!$BJ219:$BT219,,AH219+1)*AF219-ERP_i)*AE219*Ramure*Pc/MaxiM</f>
        <v>3.7944633686302419E-3</v>
      </c>
      <c r="AE219" s="307">
        <f t="shared" si="92"/>
        <v>1</v>
      </c>
      <c r="AF219" s="179">
        <f t="shared" si="93"/>
        <v>0.40123957560618617</v>
      </c>
      <c r="AG219" s="837">
        <f t="shared" si="99"/>
        <v>3</v>
      </c>
      <c r="AH219" s="178">
        <f t="shared" si="94"/>
        <v>9</v>
      </c>
      <c r="AI219" s="227">
        <f t="shared" si="95"/>
        <v>3.4012395756061862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46228</v>
      </c>
      <c r="B220" s="1139">
        <f>IF(t&gt;Tmaj,'2025'!Wh/'2025'!Env_an*'2026'!Env_an,0.001*[9]mois!$B$232)</f>
        <v>30.591188599937418</v>
      </c>
      <c r="C220" s="866"/>
      <c r="D220" s="395">
        <f t="shared" si="77"/>
        <v>32.738413431076083</v>
      </c>
      <c r="E220" s="387">
        <f t="shared" si="75"/>
        <v>34.542567102566665</v>
      </c>
      <c r="F220" s="387">
        <f t="shared" si="78"/>
        <v>34.54508447926073</v>
      </c>
      <c r="G220" s="110">
        <f t="shared" si="76"/>
        <v>0.56526277860148377</v>
      </c>
      <c r="H220" s="414" t="b">
        <f>Wh_hp&gt;='2025'!Maxi_hp</f>
        <v>0</v>
      </c>
      <c r="I220" s="392">
        <f>IF(H220,Wh_hp,'2025'!Maxi_hp)</f>
        <v>58.935772550617891</v>
      </c>
      <c r="J220" s="85">
        <f>IF(H220,An,'2025'!An_max)</f>
        <v>2020</v>
      </c>
      <c r="K220" s="199">
        <f t="shared" si="79"/>
        <v>46228</v>
      </c>
      <c r="L220" s="147">
        <f>IF(t&lt;Tvie,1-EXP((T0-t)*PertePVj)+'2025'!Pspv,1-EXP((T0-t)*PertePVj)+Pspv)</f>
        <v>6.5587321012339217E-2</v>
      </c>
      <c r="M220" s="870"/>
      <c r="N220" s="870"/>
      <c r="O220" s="48">
        <f>IF(t&lt;Tnet,'2025'!Resal+('2025'!Salim-'2025'!Resal)*(1-EXP(('2025'!Tnet-t)/('2025'!Tau_j))),Resal+(Salim-Resal)*(1-EXP((Tnet-t)/(Tau_j))))*Salcycl</f>
        <v>5.2229866591372284E-2</v>
      </c>
      <c r="P220" s="171">
        <f>(INDEX(Models!$BJ220:$BT220,,T220)*(1-R220)+INDEX(Models!$BJ220:$BT220,,T220+1)*R220-ERP_i)*Q220*Ramure*Pc/MaxiM</f>
        <v>1.9225302594495238E-4</v>
      </c>
      <c r="Q220" s="307">
        <f t="shared" si="80"/>
        <v>1</v>
      </c>
      <c r="R220" s="179">
        <f t="shared" si="81"/>
        <v>0.46969300406460457</v>
      </c>
      <c r="S220" s="837">
        <f t="shared" si="82"/>
        <v>-2</v>
      </c>
      <c r="T220" s="178">
        <f t="shared" si="83"/>
        <v>4</v>
      </c>
      <c r="U220" s="253">
        <f t="shared" si="84"/>
        <v>-1.5303069959353954</v>
      </c>
      <c r="V220" s="385">
        <f t="shared" si="85"/>
        <v>54.112065203457938</v>
      </c>
      <c r="W220" s="404">
        <f t="shared" si="86"/>
        <v>30.591188599937418</v>
      </c>
      <c r="X220" s="157">
        <f t="shared" si="87"/>
        <v>46228</v>
      </c>
      <c r="Y220" s="387">
        <f t="shared" si="88"/>
        <v>28.3054949909721</v>
      </c>
      <c r="Z220" s="387">
        <f t="shared" si="89"/>
        <v>30.29228479823087</v>
      </c>
      <c r="AA220" s="388">
        <f t="shared" si="90"/>
        <v>34.491819250740228</v>
      </c>
      <c r="AB220" s="199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0.12175450711893757</v>
      </c>
      <c r="AD220" s="233">
        <f>(INDEX(Models!$BJ220:$BT220,,AH220)*(1-AF220)+INDEX(Models!$BJ220:$BT220,,AH220+1)*AF220-ERP_i)*AE220*Ramure*Pc/MaxiM</f>
        <v>4.067885980219739E-3</v>
      </c>
      <c r="AE220" s="307">
        <f t="shared" si="92"/>
        <v>1</v>
      </c>
      <c r="AF220" s="179">
        <f t="shared" si="93"/>
        <v>0.40467559698817501</v>
      </c>
      <c r="AG220" s="837">
        <f t="shared" si="99"/>
        <v>3</v>
      </c>
      <c r="AH220" s="178">
        <f t="shared" si="94"/>
        <v>9</v>
      </c>
      <c r="AI220" s="227">
        <f t="shared" si="95"/>
        <v>3.404675596988175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46229</v>
      </c>
      <c r="B221" s="1139">
        <f>IF(t&gt;Tmaj,'2025'!Wh/'2025'!Env_an*'2026'!Env_an,0.001*[9]mois!$B$233)</f>
        <v>51.768085059000526</v>
      </c>
      <c r="C221" s="866"/>
      <c r="D221" s="395">
        <f t="shared" si="77"/>
        <v>55.403025847306601</v>
      </c>
      <c r="E221" s="387">
        <f t="shared" si="75"/>
        <v>58.472555006588593</v>
      </c>
      <c r="F221" s="387">
        <f t="shared" si="78"/>
        <v>58.4839550735337</v>
      </c>
      <c r="G221" s="110">
        <f t="shared" si="76"/>
        <v>0.95942591608285233</v>
      </c>
      <c r="H221" s="414" t="b">
        <f>Wh_hp&gt;='2025'!Maxi_hp</f>
        <v>0</v>
      </c>
      <c r="I221" s="392">
        <f>IF(H221,Wh_hp,'2025'!Maxi_hp)</f>
        <v>58.484434870180216</v>
      </c>
      <c r="J221" s="85">
        <f>IF(H221,An,'2025'!An_max)</f>
        <v>2025</v>
      </c>
      <c r="K221" s="199">
        <f t="shared" si="79"/>
        <v>46229</v>
      </c>
      <c r="L221" s="147">
        <f>IF(t&lt;Tvie,1-EXP((T0-t)*PertePVj)+'2025'!Pspv,1-EXP((T0-t)*PertePVj)+Pspv)</f>
        <v>6.5609066160468354E-2</v>
      </c>
      <c r="M221" s="870"/>
      <c r="N221" s="870"/>
      <c r="O221" s="48">
        <f>IF(t&lt;Tnet,'2025'!Resal+('2025'!Salim-'2025'!Resal)*(1-EXP(('2025'!Tnet-t)/('2025'!Tau_j))),Resal+(Salim-Resal)*(1-EXP((Tnet-t)/(Tau_j))))*Salcycl</f>
        <v>5.2495211795279384E-2</v>
      </c>
      <c r="P221" s="171">
        <f>(INDEX(Models!$BJ221:$BT221,,T221)*(1-R221)+INDEX(Models!$BJ221:$BT221,,T221+1)*R221-ERP_i)*Q221*Ramure*Pc/MaxiM</f>
        <v>2.0691649719513648E-4</v>
      </c>
      <c r="Q221" s="307">
        <f t="shared" si="80"/>
        <v>1</v>
      </c>
      <c r="R221" s="179">
        <f t="shared" si="81"/>
        <v>0.47302774355360722</v>
      </c>
      <c r="S221" s="837">
        <f t="shared" si="82"/>
        <v>-2</v>
      </c>
      <c r="T221" s="178">
        <f t="shared" si="83"/>
        <v>4</v>
      </c>
      <c r="U221" s="253">
        <f t="shared" si="84"/>
        <v>-1.5269722564463928</v>
      </c>
      <c r="V221" s="385">
        <f t="shared" si="85"/>
        <v>53.95670824182104</v>
      </c>
      <c r="W221" s="404">
        <f t="shared" si="86"/>
        <v>51.768085059000526</v>
      </c>
      <c r="X221" s="157">
        <f t="shared" si="87"/>
        <v>46229</v>
      </c>
      <c r="Y221" s="387">
        <f t="shared" si="88"/>
        <v>47.788420250115315</v>
      </c>
      <c r="Z221" s="387">
        <f t="shared" si="89"/>
        <v>51.143925437874913</v>
      </c>
      <c r="AA221" s="388">
        <f t="shared" si="90"/>
        <v>58.243082858909986</v>
      </c>
      <c r="AB221" s="199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0.12188842129514869</v>
      </c>
      <c r="AD221" s="233">
        <f>(INDEX(Models!$BJ221:$BT221,,AH221)*(1-AF221)+INDEX(Models!$BJ221:$BT221,,AH221+1)*AF221-ERP_i)*AE221*Ramure*Pc/MaxiM</f>
        <v>4.3719423018809362E-3</v>
      </c>
      <c r="AE221" s="307">
        <f t="shared" si="92"/>
        <v>1</v>
      </c>
      <c r="AF221" s="179">
        <f t="shared" si="93"/>
        <v>0.40801033647717766</v>
      </c>
      <c r="AG221" s="837">
        <f t="shared" si="99"/>
        <v>3</v>
      </c>
      <c r="AH221" s="178">
        <f t="shared" si="94"/>
        <v>9</v>
      </c>
      <c r="AI221" s="227">
        <f t="shared" si="95"/>
        <v>3.4080103364771777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46230</v>
      </c>
      <c r="B222" s="1139">
        <f>IF(t&gt;Tmaj,'2025'!Wh/'2025'!Env_an*'2026'!Env_an,0.001*[9]mois!$B$234)</f>
        <v>54.481670958293272</v>
      </c>
      <c r="C222" s="866"/>
      <c r="D222" s="395">
        <f t="shared" si="77"/>
        <v>58.308505447497808</v>
      </c>
      <c r="E222" s="387">
        <f t="shared" si="75"/>
        <v>61.556187836021415</v>
      </c>
      <c r="F222" s="387">
        <f t="shared" si="78"/>
        <v>61.56989037067234</v>
      </c>
      <c r="G222" s="110">
        <f t="shared" si="76"/>
        <v>1.0126810163838371</v>
      </c>
      <c r="H222" s="414" t="b">
        <f>Wh_hp&gt;='2025'!Maxi_hp</f>
        <v>1</v>
      </c>
      <c r="I222" s="392">
        <f>IF(H222,Wh_hp,'2025'!Maxi_hp)</f>
        <v>61.56989037067234</v>
      </c>
      <c r="J222" s="85">
        <f>IF(H222,An,'2025'!An_max)</f>
        <v>2026</v>
      </c>
      <c r="K222" s="199">
        <f t="shared" si="79"/>
        <v>46230</v>
      </c>
      <c r="L222" s="147">
        <f>IF(t&lt;Tvie,1-EXP((T0-t)*PertePVj)+'2025'!Pspv,1-EXP((T0-t)*PertePVj)+Pspv)</f>
        <v>6.5630810802556061E-2</v>
      </c>
      <c r="M222" s="870"/>
      <c r="N222" s="870"/>
      <c r="O222" s="48">
        <f>IF(t&lt;Tnet,'2025'!Resal+('2025'!Salim-'2025'!Resal)*(1-EXP(('2025'!Tnet-t)/('2025'!Tau_j))),Resal+(Salim-Resal)*(1-EXP((Tnet-t)/(Tau_j))))*Salcycl</f>
        <v>5.27596412756271E-2</v>
      </c>
      <c r="P222" s="171">
        <f>(INDEX(Models!$BJ222:$BT222,,T222)*(1-R222)+INDEX(Models!$BJ222:$BT222,,T222+1)*R222-ERP_i)*Q222*Ramure*Pc/MaxiM</f>
        <v>2.2255252637980559E-4</v>
      </c>
      <c r="Q222" s="307">
        <f t="shared" si="80"/>
        <v>1</v>
      </c>
      <c r="R222" s="179">
        <f t="shared" si="81"/>
        <v>0.47626292166055917</v>
      </c>
      <c r="S222" s="837">
        <f t="shared" si="82"/>
        <v>-2</v>
      </c>
      <c r="T222" s="178">
        <f t="shared" si="83"/>
        <v>4</v>
      </c>
      <c r="U222" s="253">
        <f t="shared" si="84"/>
        <v>-1.5237370783394408</v>
      </c>
      <c r="V222" s="385">
        <f t="shared" si="85"/>
        <v>53.799439385998177</v>
      </c>
      <c r="W222" s="404">
        <f t="shared" si="86"/>
        <v>54.481670958293272</v>
      </c>
      <c r="X222" s="157">
        <f t="shared" si="87"/>
        <v>46230</v>
      </c>
      <c r="Y222" s="387">
        <f t="shared" si="88"/>
        <v>50.271507807854164</v>
      </c>
      <c r="Z222" s="387">
        <f t="shared" si="89"/>
        <v>53.802617197848505</v>
      </c>
      <c r="AA222" s="388">
        <f t="shared" si="90"/>
        <v>61.280081037110783</v>
      </c>
      <c r="AB222" s="199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0.12202111538876677</v>
      </c>
      <c r="AD222" s="233">
        <f>(INDEX(Models!$BJ222:$BT222,,AH222)*(1-AF222)+INDEX(Models!$BJ222:$BT222,,AH222+1)*AF222-ERP_i)*AE222*Ramure*Pc/MaxiM</f>
        <v>4.7069977194502937E-3</v>
      </c>
      <c r="AE222" s="307">
        <f t="shared" si="92"/>
        <v>1</v>
      </c>
      <c r="AF222" s="179">
        <f t="shared" si="93"/>
        <v>0.41124551458412961</v>
      </c>
      <c r="AG222" s="837">
        <f t="shared" si="99"/>
        <v>3</v>
      </c>
      <c r="AH222" s="178">
        <f t="shared" si="94"/>
        <v>9</v>
      </c>
      <c r="AI222" s="227">
        <f t="shared" si="95"/>
        <v>3.4112455145841296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46231</v>
      </c>
      <c r="B223" s="1139">
        <f>IF(t&gt;Tmaj,'2025'!Wh/'2025'!Env_an*'2026'!Env_an,0.001*[9]mois!$B$235)</f>
        <v>46.450405841610419</v>
      </c>
      <c r="C223" s="866"/>
      <c r="D223" s="395">
        <f t="shared" si="77"/>
        <v>49.714275013144245</v>
      </c>
      <c r="E223" s="387">
        <f t="shared" si="75"/>
        <v>52.497879477814649</v>
      </c>
      <c r="F223" s="387">
        <f t="shared" si="78"/>
        <v>52.50803333581775</v>
      </c>
      <c r="G223" s="110">
        <f t="shared" si="76"/>
        <v>0.8659251952460707</v>
      </c>
      <c r="H223" s="414" t="b">
        <f>Wh_hp&gt;='2025'!Maxi_hp</f>
        <v>0</v>
      </c>
      <c r="I223" s="392">
        <f>IF(H223,Wh_hp,'2025'!Maxi_hp)</f>
        <v>61.483978261170357</v>
      </c>
      <c r="J223" s="85">
        <f>IF(H223,An,'2025'!An_max)</f>
        <v>2019</v>
      </c>
      <c r="K223" s="199">
        <f t="shared" si="79"/>
        <v>46231</v>
      </c>
      <c r="L223" s="147">
        <f>IF(t&lt;Tvie,1-EXP((T0-t)*PertePVj)+'2025'!Pspv,1-EXP((T0-t)*PertePVj)+Pspv)</f>
        <v>6.5652554938614216E-2</v>
      </c>
      <c r="M223" s="870"/>
      <c r="N223" s="870"/>
      <c r="O223" s="48">
        <f>IF(t&lt;Tnet,'2025'!Resal+('2025'!Salim-'2025'!Resal)*(1-EXP(('2025'!Tnet-t)/('2025'!Tau_j))),Resal+(Salim-Resal)*(1-EXP((Tnet-t)/(Tau_j))))*Salcycl</f>
        <v>5.3023179076151873E-2</v>
      </c>
      <c r="P223" s="171">
        <f>(INDEX(Models!$BJ223:$BT223,,T223)*(1-R223)+INDEX(Models!$BJ223:$BT223,,T223+1)*R223-ERP_i)*Q223*Ramure*Pc/MaxiM</f>
        <v>2.3917396605121924E-4</v>
      </c>
      <c r="Q223" s="307">
        <f t="shared" si="80"/>
        <v>1</v>
      </c>
      <c r="R223" s="179">
        <f t="shared" si="81"/>
        <v>0.47940032080177342</v>
      </c>
      <c r="S223" s="837">
        <f t="shared" si="82"/>
        <v>-2</v>
      </c>
      <c r="T223" s="178">
        <f t="shared" si="83"/>
        <v>4</v>
      </c>
      <c r="U223" s="253">
        <f t="shared" si="84"/>
        <v>-1.5205996791982266</v>
      </c>
      <c r="V223" s="385">
        <f t="shared" si="85"/>
        <v>53.64005852717672</v>
      </c>
      <c r="W223" s="404">
        <f t="shared" si="86"/>
        <v>46.450405841610419</v>
      </c>
      <c r="X223" s="157">
        <f t="shared" si="87"/>
        <v>46231</v>
      </c>
      <c r="Y223" s="387">
        <f t="shared" si="88"/>
        <v>42.891183115870419</v>
      </c>
      <c r="Z223" s="387">
        <f t="shared" si="89"/>
        <v>45.90496109619319</v>
      </c>
      <c r="AA223" s="388">
        <f t="shared" si="90"/>
        <v>52.292646701017979</v>
      </c>
      <c r="AB223" s="199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0.12215265448976483</v>
      </c>
      <c r="AD223" s="233">
        <f>(INDEX(Models!$BJ223:$BT223,,AH223)*(1-AF223)+INDEX(Models!$BJ223:$BT223,,AH223+1)*AF223-ERP_i)*AE223*Ramure*Pc/MaxiM</f>
        <v>5.0734288054636372E-3</v>
      </c>
      <c r="AE223" s="307">
        <f t="shared" si="92"/>
        <v>1</v>
      </c>
      <c r="AF223" s="179">
        <f t="shared" si="93"/>
        <v>0.41438291372534408</v>
      </c>
      <c r="AG223" s="837">
        <f t="shared" si="99"/>
        <v>3</v>
      </c>
      <c r="AH223" s="178">
        <f t="shared" si="94"/>
        <v>9</v>
      </c>
      <c r="AI223" s="227">
        <f t="shared" si="95"/>
        <v>3.4143829137253441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46232</v>
      </c>
      <c r="B224" s="1139">
        <f>IF(t&gt;Tmaj,'2025'!Wh/'2025'!Env_an*'2026'!Env_an,0.001*[9]mois!$B$236)</f>
        <v>26.915351837564256</v>
      </c>
      <c r="C224" s="866"/>
      <c r="D224" s="395">
        <f t="shared" si="77"/>
        <v>28.807247618610013</v>
      </c>
      <c r="E224" s="387">
        <f t="shared" si="75"/>
        <v>30.428664805782148</v>
      </c>
      <c r="F224" s="387">
        <f t="shared" si="78"/>
        <v>30.430934290309281</v>
      </c>
      <c r="G224" s="110">
        <f t="shared" si="76"/>
        <v>0.50320249327301037</v>
      </c>
      <c r="H224" s="414" t="b">
        <f>Wh_hp&gt;='2025'!Maxi_hp</f>
        <v>0</v>
      </c>
      <c r="I224" s="392">
        <f>IF(H224,Wh_hp,'2025'!Maxi_hp)</f>
        <v>60.214404913663586</v>
      </c>
      <c r="J224" s="85">
        <f>IF(H224,An,'2025'!An_max)</f>
        <v>2019</v>
      </c>
      <c r="K224" s="199">
        <f t="shared" si="79"/>
        <v>46232</v>
      </c>
      <c r="L224" s="147">
        <f>IF(t&lt;Tvie,1-EXP((T0-t)*PertePVj)+'2025'!Pspv,1-EXP((T0-t)*PertePVj)+Pspv)</f>
        <v>6.5674298568654588E-2</v>
      </c>
      <c r="M224" s="870"/>
      <c r="N224" s="870"/>
      <c r="O224" s="48">
        <f>IF(t&lt;Tnet,'2025'!Resal+('2025'!Salim-'2025'!Resal)*(1-EXP(('2025'!Tnet-t)/('2025'!Tau_j))),Resal+(Salim-Resal)*(1-EXP((Tnet-t)/(Tau_j))))*Salcycl</f>
        <v>5.3285847325907965E-2</v>
      </c>
      <c r="P224" s="171">
        <f>(INDEX(Models!$BJ224:$BT224,,T224)*(1-R224)+INDEX(Models!$BJ224:$BT224,,T224+1)*R224-ERP_i)*Q224*Ramure*Pc/MaxiM</f>
        <v>2.5679406008363937E-4</v>
      </c>
      <c r="Q224" s="307">
        <f t="shared" si="80"/>
        <v>1</v>
      </c>
      <c r="R224" s="179">
        <f t="shared" si="81"/>
        <v>0.48244177740742011</v>
      </c>
      <c r="S224" s="837">
        <f t="shared" si="82"/>
        <v>-2</v>
      </c>
      <c r="T224" s="178">
        <f t="shared" si="83"/>
        <v>4</v>
      </c>
      <c r="U224" s="253">
        <f t="shared" si="84"/>
        <v>-1.5175582225925799</v>
      </c>
      <c r="V224" s="385">
        <f t="shared" si="85"/>
        <v>53.478365921744917</v>
      </c>
      <c r="W224" s="404">
        <f t="shared" si="86"/>
        <v>26.915351837564256</v>
      </c>
      <c r="X224" s="157">
        <f t="shared" si="87"/>
        <v>46232</v>
      </c>
      <c r="Y224" s="387">
        <f t="shared" si="88"/>
        <v>24.915945350914878</v>
      </c>
      <c r="Z224" s="387">
        <f t="shared" si="89"/>
        <v>26.667301683711322</v>
      </c>
      <c r="AA224" s="388">
        <f t="shared" si="90"/>
        <v>30.382577376834025</v>
      </c>
      <c r="AB224" s="199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0.12228309820599714</v>
      </c>
      <c r="AD224" s="233">
        <f>(INDEX(Models!$BJ224:$BT224,,AH224)*(1-AF224)+INDEX(Models!$BJ224:$BT224,,AH224+1)*AF224-ERP_i)*AE224*Ramure*Pc/MaxiM</f>
        <v>5.4716249421187541E-3</v>
      </c>
      <c r="AE224" s="307">
        <f t="shared" si="92"/>
        <v>1</v>
      </c>
      <c r="AF224" s="179">
        <f t="shared" si="93"/>
        <v>0.41742437033099034</v>
      </c>
      <c r="AG224" s="837">
        <f t="shared" si="99"/>
        <v>3</v>
      </c>
      <c r="AH224" s="178">
        <f t="shared" si="94"/>
        <v>9</v>
      </c>
      <c r="AI224" s="227">
        <f t="shared" si="95"/>
        <v>3.4174243703309903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46233</v>
      </c>
      <c r="B225" s="1139">
        <f>IF(t&gt;Tmaj,'2025'!Wh/'2025'!Env_an*'2026'!Env_an,0.001*[9]mois!$B$237)</f>
        <v>45.672515990892926</v>
      </c>
      <c r="C225" s="866"/>
      <c r="D225" s="395">
        <f t="shared" si="77"/>
        <v>48.884001383916136</v>
      </c>
      <c r="E225" s="387">
        <f t="shared" si="75"/>
        <v>51.649723537167304</v>
      </c>
      <c r="F225" s="387">
        <f t="shared" si="78"/>
        <v>51.661038855574773</v>
      </c>
      <c r="G225" s="110">
        <f t="shared" si="76"/>
        <v>0.85661928806587428</v>
      </c>
      <c r="H225" s="414" t="b">
        <f>Wh_hp&gt;='2025'!Maxi_hp</f>
        <v>0</v>
      </c>
      <c r="I225" s="392">
        <f>IF(H225,Wh_hp,'2025'!Maxi_hp)</f>
        <v>52.174946254120343</v>
      </c>
      <c r="J225" s="85">
        <f>IF(H225,An,'2025'!An_max)</f>
        <v>2020</v>
      </c>
      <c r="K225" s="199">
        <f t="shared" si="79"/>
        <v>46233</v>
      </c>
      <c r="L225" s="147">
        <f>IF(t&lt;Tvie,1-EXP((T0-t)*PertePVj)+'2025'!Pspv,1-EXP((T0-t)*PertePVj)+Pspv)</f>
        <v>6.5696041692688834E-2</v>
      </c>
      <c r="M225" s="870"/>
      <c r="N225" s="870"/>
      <c r="O225" s="48">
        <f>IF(t&lt;Tnet,'2025'!Resal+('2025'!Salim-'2025'!Resal)*(1-EXP(('2025'!Tnet-t)/('2025'!Tau_j))),Resal+(Salim-Resal)*(1-EXP((Tnet-t)/(Tau_j))))*Salcycl</f>
        <v>5.3547666160515713E-2</v>
      </c>
      <c r="P225" s="171">
        <f>(INDEX(Models!$BJ225:$BT225,,T225)*(1-R225)+INDEX(Models!$BJ225:$BT225,,T225+1)*R225-ERP_i)*Q225*Ramure*Pc/MaxiM</f>
        <v>2.7542650450055949E-4</v>
      </c>
      <c r="Q225" s="307">
        <f t="shared" si="80"/>
        <v>1</v>
      </c>
      <c r="R225" s="179">
        <f t="shared" si="81"/>
        <v>0.48538917437305562</v>
      </c>
      <c r="S225" s="837">
        <f t="shared" si="82"/>
        <v>-2</v>
      </c>
      <c r="T225" s="178">
        <f t="shared" si="83"/>
        <v>4</v>
      </c>
      <c r="U225" s="253">
        <f t="shared" si="84"/>
        <v>-1.5146108256269444</v>
      </c>
      <c r="V225" s="385">
        <f t="shared" si="85"/>
        <v>53.314162187970858</v>
      </c>
      <c r="W225" s="404">
        <f t="shared" si="86"/>
        <v>45.672515990892926</v>
      </c>
      <c r="X225" s="157">
        <f t="shared" si="87"/>
        <v>46233</v>
      </c>
      <c r="Y225" s="387">
        <f t="shared" si="88"/>
        <v>42.159805123438197</v>
      </c>
      <c r="Z225" s="387">
        <f t="shared" si="89"/>
        <v>45.124292526620117</v>
      </c>
      <c r="AA225" s="388">
        <f t="shared" si="90"/>
        <v>51.418568014506917</v>
      </c>
      <c r="AB225" s="199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0.12241250059921885</v>
      </c>
      <c r="AD225" s="233">
        <f>(INDEX(Models!$BJ225:$BT225,,AH225)*(1-AF225)+INDEX(Models!$BJ225:$BT225,,AH225+1)*AF225-ERP_i)*AE225*Ramure*Pc/MaxiM</f>
        <v>5.9019900098027378E-3</v>
      </c>
      <c r="AE225" s="307">
        <f t="shared" si="92"/>
        <v>1</v>
      </c>
      <c r="AF225" s="179">
        <f t="shared" si="93"/>
        <v>0.42037176729662606</v>
      </c>
      <c r="AG225" s="837">
        <f t="shared" si="99"/>
        <v>3</v>
      </c>
      <c r="AH225" s="178">
        <f t="shared" si="94"/>
        <v>9</v>
      </c>
      <c r="AI225" s="227">
        <f t="shared" si="95"/>
        <v>3.4203717672966261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46234</v>
      </c>
      <c r="B226" s="1139">
        <f>IF(t&gt;Tmaj,'2025'!Wh/'2025'!Env_an*'2026'!Env_an,0.001*[9]mois!$B$238)</f>
        <v>50.417800260387097</v>
      </c>
      <c r="C226" s="866"/>
      <c r="D226" s="395">
        <f t="shared" si="77"/>
        <v>53.964208473337074</v>
      </c>
      <c r="E226" s="387">
        <f t="shared" si="75"/>
        <v>57.033081820290683</v>
      </c>
      <c r="F226" s="387">
        <f t="shared" si="78"/>
        <v>57.048777441598254</v>
      </c>
      <c r="G226" s="110">
        <f t="shared" si="76"/>
        <v>0.94862472258632158</v>
      </c>
      <c r="H226" s="414" t="b">
        <f>Wh_hp&gt;='2025'!Maxi_hp</f>
        <v>0</v>
      </c>
      <c r="I226" s="392">
        <f>IF(H226,Wh_hp,'2025'!Maxi_hp)</f>
        <v>57.049609874150576</v>
      </c>
      <c r="J226" s="85">
        <f>IF(H226,An,'2025'!An_max)</f>
        <v>2025</v>
      </c>
      <c r="K226" s="199">
        <f t="shared" si="79"/>
        <v>46234</v>
      </c>
      <c r="L226" s="147">
        <f>IF(t&lt;Tvie,1-EXP((T0-t)*PertePVj)+'2025'!Pspv,1-EXP((T0-t)*PertePVj)+Pspv)</f>
        <v>6.5717784310728944E-2</v>
      </c>
      <c r="M226" s="870"/>
      <c r="N226" s="870"/>
      <c r="O226" s="48">
        <f>IF(t&lt;Tnet,'2025'!Resal+('2025'!Salim-'2025'!Resal)*(1-EXP(('2025'!Tnet-t)/('2025'!Tau_j))),Resal+(Salim-Resal)*(1-EXP((Tnet-t)/(Tau_j))))*Salcycl</f>
        <v>5.3808653662159103E-2</v>
      </c>
      <c r="P226" s="171">
        <f>(INDEX(Models!$BJ226:$BT226,,T226)*(1-R226)+INDEX(Models!$BJ226:$BT226,,T226+1)*R226-ERP_i)*Q226*Ramure*Pc/MaxiM</f>
        <v>2.9690866534614604E-4</v>
      </c>
      <c r="Q226" s="307">
        <f t="shared" si="80"/>
        <v>1</v>
      </c>
      <c r="R226" s="179">
        <f t="shared" si="81"/>
        <v>0.48824443386471783</v>
      </c>
      <c r="S226" s="837">
        <f t="shared" si="82"/>
        <v>-2</v>
      </c>
      <c r="T226" s="178">
        <f t="shared" si="83"/>
        <v>4</v>
      </c>
      <c r="U226" s="253">
        <f t="shared" si="84"/>
        <v>-1.5117555661352822</v>
      </c>
      <c r="V226" s="385">
        <f t="shared" si="85"/>
        <v>53.147151387477699</v>
      </c>
      <c r="W226" s="404">
        <f t="shared" si="86"/>
        <v>50.417800260387097</v>
      </c>
      <c r="X226" s="157">
        <f t="shared" si="87"/>
        <v>46234</v>
      </c>
      <c r="Y226" s="387">
        <f t="shared" si="88"/>
        <v>46.4924647160774</v>
      </c>
      <c r="Z226" s="387">
        <f t="shared" si="89"/>
        <v>49.762763258612779</v>
      </c>
      <c r="AA226" s="388">
        <f t="shared" si="90"/>
        <v>56.712345720763537</v>
      </c>
      <c r="AB226" s="199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0.12254091016387594</v>
      </c>
      <c r="AD226" s="233">
        <f>(INDEX(Models!$BJ226:$BT226,,AH226)*(1-AF226)+INDEX(Models!$BJ226:$BT226,,AH226+1)*AF226-ERP_i)*AE226*Ramure*Pc/MaxiM</f>
        <v>6.364163052594695E-3</v>
      </c>
      <c r="AE226" s="307">
        <f t="shared" si="92"/>
        <v>1</v>
      </c>
      <c r="AF226" s="179">
        <f t="shared" si="93"/>
        <v>0.42322702678828827</v>
      </c>
      <c r="AG226" s="837">
        <f t="shared" si="99"/>
        <v>3</v>
      </c>
      <c r="AH226" s="178">
        <f t="shared" si="94"/>
        <v>9</v>
      </c>
      <c r="AI226" s="227">
        <f t="shared" si="95"/>
        <v>3.4232270267882883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46235</v>
      </c>
      <c r="B227" s="1139">
        <f>IF(t&gt;Tmaj,'2025'!Wh/'2025'!Env_an*'2026'!Env_an,0.001*'[10]mon-tableau (1)'!$B$208)</f>
        <v>52.34176163608489</v>
      </c>
      <c r="C227" s="866"/>
      <c r="D227" s="395">
        <f t="shared" si="77"/>
        <v>56.02480583993048</v>
      </c>
      <c r="E227" s="387">
        <f t="shared" si="75"/>
        <v>59.227148199630804</v>
      </c>
      <c r="F227" s="387">
        <f t="shared" si="78"/>
        <v>59.245849616659328</v>
      </c>
      <c r="G227" s="110">
        <f t="shared" si="76"/>
        <v>0.98800110233966898</v>
      </c>
      <c r="H227" s="414" t="b">
        <f>Wh_hp&gt;='2025'!Maxi_hp</f>
        <v>0</v>
      </c>
      <c r="I227" s="392">
        <f>IF(H227,Wh_hp,'2025'!Maxi_hp)</f>
        <v>59.246066858505245</v>
      </c>
      <c r="J227" s="85">
        <f>IF(H227,An,'2025'!An_max)</f>
        <v>2025</v>
      </c>
      <c r="K227" s="199">
        <f t="shared" si="79"/>
        <v>46235</v>
      </c>
      <c r="L227" s="147">
        <f>IF(t&lt;Tvie,1-EXP((T0-t)*PertePVj)+'2025'!Pspv,1-EXP((T0-t)*PertePVj)+Pspv)</f>
        <v>6.5739526422786465E-2</v>
      </c>
      <c r="M227" s="870"/>
      <c r="N227" s="870"/>
      <c r="O227" s="48">
        <f>IF(t&lt;Tnet,'2025'!Resal+('2025'!Salim-'2025'!Resal)*(1-EXP(('2025'!Tnet-t)/('2025'!Tau_j))),Resal+(Salim-Resal)*(1-EXP((Tnet-t)/(Tau_j))))*Salcycl</f>
        <v>5.4068825817959722E-2</v>
      </c>
      <c r="P227" s="171">
        <f>(INDEX(Models!$BJ227:$BT227,,T227)*(1-R227)+INDEX(Models!$BJ227:$BT227,,T227+1)*R227-ERP_i)*Q227*Ramure*Pc/MaxiM</f>
        <v>3.2116044867836011E-4</v>
      </c>
      <c r="Q227" s="307">
        <f t="shared" si="80"/>
        <v>1</v>
      </c>
      <c r="R227" s="179">
        <f t="shared" si="81"/>
        <v>0.49100951048485486</v>
      </c>
      <c r="S227" s="837">
        <f t="shared" si="82"/>
        <v>-2</v>
      </c>
      <c r="T227" s="178">
        <f t="shared" si="83"/>
        <v>4</v>
      </c>
      <c r="U227" s="253">
        <f t="shared" si="84"/>
        <v>-1.5089904895151451</v>
      </c>
      <c r="V227" s="385">
        <f t="shared" si="85"/>
        <v>52.977140820043253</v>
      </c>
      <c r="W227" s="404">
        <f t="shared" si="86"/>
        <v>52.34176163608489</v>
      </c>
      <c r="X227" s="157">
        <f t="shared" si="87"/>
        <v>46235</v>
      </c>
      <c r="Y227" s="387">
        <f t="shared" si="88"/>
        <v>48.234568833182998</v>
      </c>
      <c r="Z227" s="387">
        <f t="shared" si="89"/>
        <v>51.628609148470595</v>
      </c>
      <c r="AA227" s="388">
        <f t="shared" si="90"/>
        <v>58.847313118584964</v>
      </c>
      <c r="AB227" s="199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0.12266836984668678</v>
      </c>
      <c r="AD227" s="233">
        <f>(INDEX(Models!$BJ227:$BT227,,AH227)*(1-AF227)+INDEX(Models!$BJ227:$BT227,,AH227+1)*AF227-ERP_i)*AE227*Ramure*Pc/MaxiM</f>
        <v>6.8440888912875602E-3</v>
      </c>
      <c r="AE227" s="307">
        <f t="shared" si="92"/>
        <v>1</v>
      </c>
      <c r="AF227" s="179">
        <f t="shared" si="93"/>
        <v>0.4259921034084253</v>
      </c>
      <c r="AG227" s="837">
        <f t="shared" si="99"/>
        <v>3</v>
      </c>
      <c r="AH227" s="178">
        <f t="shared" si="94"/>
        <v>9</v>
      </c>
      <c r="AI227" s="227">
        <f t="shared" si="95"/>
        <v>3.4259921034084253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46236</v>
      </c>
      <c r="B228" s="1139">
        <f>IF(t&gt;Tmaj,'2025'!Wh/'2025'!Env_an*'2026'!Env_an,0.001*'[10]mon-tableau (1)'!$B$209)</f>
        <v>50.483168585844723</v>
      </c>
      <c r="C228" s="866"/>
      <c r="D228" s="395">
        <f t="shared" si="77"/>
        <v>54.036689829088502</v>
      </c>
      <c r="E228" s="387">
        <f t="shared" si="75"/>
        <v>57.1410605972127</v>
      </c>
      <c r="F228" s="387">
        <f t="shared" si="78"/>
        <v>57.159715334464437</v>
      </c>
      <c r="G228" s="110">
        <f t="shared" si="76"/>
        <v>0.95602851766336761</v>
      </c>
      <c r="H228" s="414" t="b">
        <f>Wh_hp&gt;='2025'!Maxi_hp</f>
        <v>0</v>
      </c>
      <c r="I228" s="392">
        <f>IF(H228,Wh_hp,'2025'!Maxi_hp)</f>
        <v>57.160543646014055</v>
      </c>
      <c r="J228" s="85">
        <f>IF(H228,An,'2025'!An_max)</f>
        <v>2025</v>
      </c>
      <c r="K228" s="199">
        <f t="shared" si="79"/>
        <v>46236</v>
      </c>
      <c r="L228" s="147">
        <f>IF(t&lt;Tvie,1-EXP((T0-t)*PertePVj)+'2025'!Pspv,1-EXP((T0-t)*PertePVj)+Pspv)</f>
        <v>6.5761268028873276E-2</v>
      </c>
      <c r="M228" s="870"/>
      <c r="N228" s="870"/>
      <c r="O228" s="48">
        <f>IF(t&lt;Tnet,'2025'!Resal+('2025'!Salim-'2025'!Resal)*(1-EXP(('2025'!Tnet-t)/('2025'!Tau_j))),Resal+(Salim-Resal)*(1-EXP((Tnet-t)/(Tau_j))))*Salcycl</f>
        <v>5.4328196496157333E-2</v>
      </c>
      <c r="P228" s="171">
        <f>(INDEX(Models!$BJ228:$BT228,,T228)*(1-R228)+INDEX(Models!$BJ228:$BT228,,T228+1)*R228-ERP_i)*Q228*Ramure*Pc/MaxiM</f>
        <v>3.4822549020721577E-4</v>
      </c>
      <c r="Q228" s="307">
        <f t="shared" si="80"/>
        <v>1</v>
      </c>
      <c r="R228" s="179">
        <f t="shared" si="81"/>
        <v>0.49368638480334637</v>
      </c>
      <c r="S228" s="837">
        <f t="shared" si="82"/>
        <v>-2</v>
      </c>
      <c r="T228" s="178">
        <f t="shared" si="83"/>
        <v>4</v>
      </c>
      <c r="U228" s="253">
        <f t="shared" si="84"/>
        <v>-1.5063136151966536</v>
      </c>
      <c r="V228" s="385">
        <f t="shared" si="85"/>
        <v>52.80393161430198</v>
      </c>
      <c r="W228" s="404">
        <f t="shared" si="86"/>
        <v>50.483168585844723</v>
      </c>
      <c r="X228" s="157">
        <f t="shared" si="87"/>
        <v>46236</v>
      </c>
      <c r="Y228" s="387">
        <f t="shared" si="88"/>
        <v>46.521139823286987</v>
      </c>
      <c r="Z228" s="387">
        <f t="shared" si="89"/>
        <v>49.795772998121379</v>
      </c>
      <c r="AA228" s="388">
        <f t="shared" si="90"/>
        <v>56.766398153740504</v>
      </c>
      <c r="AB228" s="199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0.12279491710466757</v>
      </c>
      <c r="AD228" s="233">
        <f>(INDEX(Models!$BJ228:$BT228,,AH228)*(1-AF228)+INDEX(Models!$BJ228:$BT228,,AH228+1)*AF228-ERP_i)*AE228*Ramure*Pc/MaxiM</f>
        <v>7.3419993118242384E-3</v>
      </c>
      <c r="AE228" s="307">
        <f t="shared" si="92"/>
        <v>1</v>
      </c>
      <c r="AF228" s="179">
        <f t="shared" si="93"/>
        <v>0.42866897772691681</v>
      </c>
      <c r="AG228" s="837">
        <f t="shared" si="99"/>
        <v>3</v>
      </c>
      <c r="AH228" s="178">
        <f t="shared" si="94"/>
        <v>9</v>
      </c>
      <c r="AI228" s="227">
        <f t="shared" si="95"/>
        <v>3.4286689777269168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46237</v>
      </c>
      <c r="B229" s="1139">
        <f>IF(t&gt;Tmaj,'2025'!Wh/'2025'!Env_an*'2026'!Env_an,0.001*'[10]mon-tableau (1)'!$B$210)</f>
        <v>48.620805967251769</v>
      </c>
      <c r="C229" s="866"/>
      <c r="D229" s="395">
        <f t="shared" si="77"/>
        <v>52.044446250031399</v>
      </c>
      <c r="E229" s="387">
        <f t="shared" si="75"/>
        <v>55.049416496490842</v>
      </c>
      <c r="F229" s="387">
        <f t="shared" si="78"/>
        <v>55.067975619859695</v>
      </c>
      <c r="G229" s="110">
        <f t="shared" si="76"/>
        <v>0.92383197179132737</v>
      </c>
      <c r="H229" s="414" t="b">
        <f>Wh_hp&gt;='2025'!Maxi_hp</f>
        <v>0</v>
      </c>
      <c r="I229" s="392">
        <f>IF(H229,Wh_hp,'2025'!Maxi_hp)</f>
        <v>57.449799256977776</v>
      </c>
      <c r="J229" s="85">
        <f>IF(H229,An,'2025'!An_max)</f>
        <v>2019</v>
      </c>
      <c r="K229" s="199">
        <f t="shared" si="79"/>
        <v>46237</v>
      </c>
      <c r="L229" s="147">
        <f>IF(t&lt;Tvie,1-EXP((T0-t)*PertePVj)+'2025'!Pspv,1-EXP((T0-t)*PertePVj)+Pspv)</f>
        <v>6.5783009129001258E-2</v>
      </c>
      <c r="M229" s="870"/>
      <c r="N229" s="870"/>
      <c r="O229" s="48">
        <f>IF(t&lt;Tnet,'2025'!Resal+('2025'!Salim-'2025'!Resal)*(1-EXP(('2025'!Tnet-t)/('2025'!Tau_j))),Resal+(Salim-Resal)*(1-EXP((Tnet-t)/(Tau_j))))*Salcycl</f>
        <v>5.4586777439339394E-2</v>
      </c>
      <c r="P229" s="171">
        <f>(INDEX(Models!$BJ229:$BT229,,T229)*(1-R229)+INDEX(Models!$BJ229:$BT229,,T229+1)*R229-ERP_i)*Q229*Ramure*Pc/MaxiM</f>
        <v>3.7814842762956189E-4</v>
      </c>
      <c r="Q229" s="307">
        <f t="shared" si="80"/>
        <v>1</v>
      </c>
      <c r="R229" s="179">
        <f t="shared" si="81"/>
        <v>0.49627705725515847</v>
      </c>
      <c r="S229" s="837">
        <f t="shared" si="82"/>
        <v>-2</v>
      </c>
      <c r="T229" s="178">
        <f t="shared" si="83"/>
        <v>4</v>
      </c>
      <c r="U229" s="253">
        <f t="shared" si="84"/>
        <v>-1.5037229427448415</v>
      </c>
      <c r="V229" s="385">
        <f t="shared" si="85"/>
        <v>52.627325294226907</v>
      </c>
      <c r="W229" s="404">
        <f t="shared" si="86"/>
        <v>48.620805967251769</v>
      </c>
      <c r="X229" s="157">
        <f t="shared" si="87"/>
        <v>46237</v>
      </c>
      <c r="Y229" s="387">
        <f t="shared" si="88"/>
        <v>44.805724382235859</v>
      </c>
      <c r="Z229" s="387">
        <f t="shared" si="89"/>
        <v>47.960725206316496</v>
      </c>
      <c r="AA229" s="388">
        <f t="shared" si="90"/>
        <v>54.68230622146698</v>
      </c>
      <c r="AB229" s="199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0.12292058399891978</v>
      </c>
      <c r="AD229" s="233">
        <f>(INDEX(Models!$BJ229:$BT229,,AH229)*(1-AF229)+INDEX(Models!$BJ229:$BT229,,AH229+1)*AF229-ERP_i)*AE229*Ramure*Pc/MaxiM</f>
        <v>7.8581446811120809E-3</v>
      </c>
      <c r="AE229" s="307">
        <f t="shared" si="92"/>
        <v>1</v>
      </c>
      <c r="AF229" s="179">
        <f t="shared" si="93"/>
        <v>0.43125965017872891</v>
      </c>
      <c r="AG229" s="837">
        <f t="shared" si="99"/>
        <v>3</v>
      </c>
      <c r="AH229" s="178">
        <f t="shared" si="94"/>
        <v>9</v>
      </c>
      <c r="AI229" s="227">
        <f t="shared" si="95"/>
        <v>3.4312596501787289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46238</v>
      </c>
      <c r="B230" s="1139">
        <f>IF(t&gt;Tmaj,'2025'!Wh/'2025'!Env_an*'2026'!Env_an,0.001*'[10]mon-tableau (1)'!$B$211)</f>
        <v>45.160417386674588</v>
      </c>
      <c r="C230" s="866"/>
      <c r="D230" s="395">
        <f t="shared" si="77"/>
        <v>48.341518941883706</v>
      </c>
      <c r="E230" s="387">
        <f t="shared" si="75"/>
        <v>51.146634543548018</v>
      </c>
      <c r="F230" s="387">
        <f t="shared" si="78"/>
        <v>51.163488089850709</v>
      </c>
      <c r="G230" s="110">
        <f t="shared" si="76"/>
        <v>0.86099540285652121</v>
      </c>
      <c r="H230" s="414" t="b">
        <f>Wh_hp&gt;='2025'!Maxi_hp</f>
        <v>0</v>
      </c>
      <c r="I230" s="392">
        <f>IF(H230,Wh_hp,'2025'!Maxi_hp)</f>
        <v>53.047340954372693</v>
      </c>
      <c r="J230" s="85">
        <f>IF(H230,An,'2025'!An_max)</f>
        <v>2019</v>
      </c>
      <c r="K230" s="199">
        <f t="shared" si="79"/>
        <v>46238</v>
      </c>
      <c r="L230" s="147">
        <f>IF(t&lt;Tvie,1-EXP((T0-t)*PertePVj)+'2025'!Pspv,1-EXP((T0-t)*PertePVj)+Pspv)</f>
        <v>6.5804749723181954E-2</v>
      </c>
      <c r="M230" s="870"/>
      <c r="N230" s="870"/>
      <c r="O230" s="48">
        <f>IF(t&lt;Tnet,'2025'!Resal+('2025'!Salim-'2025'!Resal)*(1-EXP(('2025'!Tnet-t)/('2025'!Tau_j))),Resal+(Salim-Resal)*(1-EXP((Tnet-t)/(Tau_j))))*Salcycl</f>
        <v>5.4844578273785263E-2</v>
      </c>
      <c r="P230" s="171">
        <f>(INDEX(Models!$BJ230:$BT230,,T230)*(1-R230)+INDEX(Models!$BJ230:$BT230,,T230+1)*R230-ERP_i)*Q230*Ramure*Pc/MaxiM</f>
        <v>4.1097509357148921E-4</v>
      </c>
      <c r="Q230" s="307">
        <f t="shared" si="80"/>
        <v>1</v>
      </c>
      <c r="R230" s="179">
        <f t="shared" si="81"/>
        <v>0.49878354240370593</v>
      </c>
      <c r="S230" s="837">
        <f t="shared" si="82"/>
        <v>-2</v>
      </c>
      <c r="T230" s="178">
        <f t="shared" si="83"/>
        <v>4</v>
      </c>
      <c r="U230" s="253">
        <f t="shared" si="84"/>
        <v>-1.5012164575962941</v>
      </c>
      <c r="V230" s="385">
        <f t="shared" si="85"/>
        <v>52.447123778663645</v>
      </c>
      <c r="W230" s="404">
        <f t="shared" si="86"/>
        <v>45.160417386674588</v>
      </c>
      <c r="X230" s="157">
        <f t="shared" si="87"/>
        <v>46238</v>
      </c>
      <c r="Y230" s="387">
        <f t="shared" si="88"/>
        <v>41.633558867158932</v>
      </c>
      <c r="Z230" s="387">
        <f t="shared" si="89"/>
        <v>44.566228371234168</v>
      </c>
      <c r="AA230" s="388">
        <f t="shared" si="90"/>
        <v>50.819310640595411</v>
      </c>
      <c r="AB230" s="199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0.12304539732119407</v>
      </c>
      <c r="AD230" s="233">
        <f>(INDEX(Models!$BJ230:$BT230,,AH230)*(1-AF230)+INDEX(Models!$BJ230:$BT230,,AH230+1)*AF230-ERP_i)*AE230*Ramure*Pc/MaxiM</f>
        <v>8.3927950161024507E-3</v>
      </c>
      <c r="AE230" s="307">
        <f t="shared" si="92"/>
        <v>1</v>
      </c>
      <c r="AF230" s="179">
        <f t="shared" si="93"/>
        <v>0.43376613532727637</v>
      </c>
      <c r="AG230" s="837">
        <f t="shared" si="99"/>
        <v>3</v>
      </c>
      <c r="AH230" s="178">
        <f t="shared" si="94"/>
        <v>9</v>
      </c>
      <c r="AI230" s="227">
        <f t="shared" si="95"/>
        <v>3.4337661353272764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46239</v>
      </c>
      <c r="B231" s="1139">
        <f>IF(t&gt;Tmaj,'2025'!Wh/'2025'!Env_an*'2026'!Env_an,0.001*'[10]mon-tableau (1)'!$B$212)</f>
        <v>44.198516183969822</v>
      </c>
      <c r="C231" s="866"/>
      <c r="D231" s="395">
        <f t="shared" si="77"/>
        <v>47.312962422845722</v>
      </c>
      <c r="E231" s="387">
        <f t="shared" si="75"/>
        <v>50.072010652158546</v>
      </c>
      <c r="F231" s="387">
        <f t="shared" si="78"/>
        <v>50.089455337722974</v>
      </c>
      <c r="G231" s="110">
        <f t="shared" si="76"/>
        <v>0.84560879601381167</v>
      </c>
      <c r="H231" s="414" t="b">
        <f>Wh_hp&gt;='2025'!Maxi_hp</f>
        <v>0</v>
      </c>
      <c r="I231" s="392">
        <f>IF(H231,Wh_hp,'2025'!Maxi_hp)</f>
        <v>58.00298989323845</v>
      </c>
      <c r="J231" s="85">
        <f>IF(H231,An,'2025'!An_max)</f>
        <v>2020</v>
      </c>
      <c r="K231" s="199">
        <f t="shared" si="79"/>
        <v>46239</v>
      </c>
      <c r="L231" s="147">
        <f>IF(t&lt;Tvie,1-EXP((T0-t)*PertePVj)+'2025'!Pspv,1-EXP((T0-t)*PertePVj)+Pspv)</f>
        <v>6.5826489811427358E-2</v>
      </c>
      <c r="M231" s="870"/>
      <c r="N231" s="870"/>
      <c r="O231" s="48">
        <f>IF(t&lt;Tnet,'2025'!Resal+('2025'!Salim-'2025'!Resal)*(1-EXP(('2025'!Tnet-t)/('2025'!Tau_j))),Resal+(Salim-Resal)*(1-EXP((Tnet-t)/(Tau_j))))*Salcycl</f>
        <v>5.51016065338268E-2</v>
      </c>
      <c r="P231" s="171">
        <f>(INDEX(Models!$BJ231:$BT231,,T231)*(1-R231)+INDEX(Models!$BJ231:$BT231,,T231+1)*R231-ERP_i)*Q231*Ramure*Pc/MaxiM</f>
        <v>4.4675271616033115E-4</v>
      </c>
      <c r="Q231" s="307">
        <f t="shared" si="80"/>
        <v>1</v>
      </c>
      <c r="R231" s="179">
        <f t="shared" si="81"/>
        <v>0.50120786356680513</v>
      </c>
      <c r="S231" s="837">
        <f t="shared" si="82"/>
        <v>-2</v>
      </c>
      <c r="T231" s="178">
        <f t="shared" si="83"/>
        <v>4</v>
      </c>
      <c r="U231" s="253">
        <f t="shared" si="84"/>
        <v>-1.4987921364331949</v>
      </c>
      <c r="V231" s="385">
        <f t="shared" si="85"/>
        <v>52.263129372852433</v>
      </c>
      <c r="W231" s="404">
        <f t="shared" si="86"/>
        <v>44.198516183969822</v>
      </c>
      <c r="X231" s="157">
        <f t="shared" si="87"/>
        <v>46239</v>
      </c>
      <c r="Y231" s="387">
        <f t="shared" si="88"/>
        <v>40.742730091984868</v>
      </c>
      <c r="Z231" s="387">
        <f t="shared" si="89"/>
        <v>43.613664536217179</v>
      </c>
      <c r="AA231" s="388">
        <f t="shared" si="90"/>
        <v>49.740124807732116</v>
      </c>
      <c r="AB231" s="199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0.12316937874998213</v>
      </c>
      <c r="AD231" s="233">
        <f>(INDEX(Models!$BJ231:$BT231,,AH231)*(1-AF231)+INDEX(Models!$BJ231:$BT231,,AH231+1)*AF231-ERP_i)*AE231*Ramure*Pc/MaxiM</f>
        <v>8.9462411079182357E-3</v>
      </c>
      <c r="AE231" s="307">
        <f t="shared" si="92"/>
        <v>1</v>
      </c>
      <c r="AF231" s="179">
        <f t="shared" si="93"/>
        <v>0.43619045649037558</v>
      </c>
      <c r="AG231" s="837">
        <f t="shared" si="99"/>
        <v>3</v>
      </c>
      <c r="AH231" s="178">
        <f t="shared" si="94"/>
        <v>9</v>
      </c>
      <c r="AI231" s="227">
        <f t="shared" si="95"/>
        <v>3.4361904564903756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46240</v>
      </c>
      <c r="B232" s="1139">
        <f>IF(t&gt;Tmaj,'2025'!Wh/'2025'!Env_an*'2026'!Env_an,0.001*'[10]mon-tableau (1)'!$B$213)</f>
        <v>46.851948679668453</v>
      </c>
      <c r="C232" s="866"/>
      <c r="D232" s="395">
        <f t="shared" si="77"/>
        <v>50.154536076361794</v>
      </c>
      <c r="E232" s="387">
        <f t="shared" si="75"/>
        <v>53.093689516309354</v>
      </c>
      <c r="F232" s="387">
        <f t="shared" si="78"/>
        <v>53.115783547538094</v>
      </c>
      <c r="G232" s="110">
        <f t="shared" si="76"/>
        <v>0.89963624756747917</v>
      </c>
      <c r="H232" s="414" t="b">
        <f>Wh_hp&gt;='2025'!Maxi_hp</f>
        <v>0</v>
      </c>
      <c r="I232" s="392">
        <f>IF(H232,Wh_hp,'2025'!Maxi_hp)</f>
        <v>57.070736386069342</v>
      </c>
      <c r="J232" s="85">
        <f>IF(H232,An,'2025'!An_max)</f>
        <v>2020</v>
      </c>
      <c r="K232" s="199">
        <f t="shared" si="79"/>
        <v>46240</v>
      </c>
      <c r="L232" s="147">
        <f>IF(t&lt;Tvie,1-EXP((T0-t)*PertePVj)+'2025'!Pspv,1-EXP((T0-t)*PertePVj)+Pspv)</f>
        <v>6.5848229393749125E-2</v>
      </c>
      <c r="M232" s="870"/>
      <c r="N232" s="870"/>
      <c r="O232" s="48">
        <f>IF(t&lt;Tnet,'2025'!Resal+('2025'!Salim-'2025'!Resal)*(1-EXP(('2025'!Tnet-t)/('2025'!Tau_j))),Resal+(Salim-Resal)*(1-EXP((Tnet-t)/(Tau_j))))*Salcycl</f>
        <v>5.5357867699977949E-2</v>
      </c>
      <c r="P232" s="171">
        <f>(INDEX(Models!$BJ232:$BT232,,T232)*(1-R232)+INDEX(Models!$BJ232:$BT232,,T232+1)*R232-ERP_i)*Q232*Ramure*Pc/MaxiM</f>
        <v>4.8553012767485953E-4</v>
      </c>
      <c r="Q232" s="307">
        <f t="shared" si="80"/>
        <v>1</v>
      </c>
      <c r="R232" s="179">
        <f t="shared" si="81"/>
        <v>0.50355204780014939</v>
      </c>
      <c r="S232" s="837">
        <f t="shared" si="82"/>
        <v>-2</v>
      </c>
      <c r="T232" s="178">
        <f t="shared" si="83"/>
        <v>4</v>
      </c>
      <c r="U232" s="253">
        <f t="shared" si="84"/>
        <v>-1.4964479521998506</v>
      </c>
      <c r="V232" s="385">
        <f t="shared" si="85"/>
        <v>52.07514475433652</v>
      </c>
      <c r="W232" s="404">
        <f t="shared" si="86"/>
        <v>46.851948679668453</v>
      </c>
      <c r="X232" s="157">
        <f t="shared" si="87"/>
        <v>46240</v>
      </c>
      <c r="Y232" s="387">
        <f t="shared" si="88"/>
        <v>43.145906430977092</v>
      </c>
      <c r="Z232" s="387">
        <f t="shared" si="89"/>
        <v>46.187255421007258</v>
      </c>
      <c r="AA232" s="388">
        <f t="shared" si="90"/>
        <v>52.682631086703793</v>
      </c>
      <c r="AB232" s="199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0.12329254503266179</v>
      </c>
      <c r="AD232" s="233">
        <f>(INDEX(Models!$BJ232:$BT232,,AH232)*(1-AF232)+INDEX(Models!$BJ232:$BT232,,AH232+1)*AF232-ERP_i)*AE232*Ramure*Pc/MaxiM</f>
        <v>9.5187957070513099E-3</v>
      </c>
      <c r="AE232" s="307">
        <f t="shared" si="92"/>
        <v>1</v>
      </c>
      <c r="AF232" s="179">
        <f t="shared" si="93"/>
        <v>0.43853464072372006</v>
      </c>
      <c r="AG232" s="837">
        <f t="shared" si="99"/>
        <v>3</v>
      </c>
      <c r="AH232" s="178">
        <f t="shared" si="94"/>
        <v>9</v>
      </c>
      <c r="AI232" s="227">
        <f t="shared" si="95"/>
        <v>3.4385346407237201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46241</v>
      </c>
      <c r="B233" s="1139">
        <f>IF(t&gt;Tmaj,'2025'!Wh/'2025'!Env_an*'2026'!Env_an,0.001*'[10]mon-tableau (1)'!$B$214)</f>
        <v>49.885128927246996</v>
      </c>
      <c r="C233" s="866"/>
      <c r="D233" s="395">
        <f t="shared" si="77"/>
        <v>53.402767541419529</v>
      </c>
      <c r="E233" s="387">
        <f t="shared" ref="E233:E296" si="100">Wh_pvt/(1-Psa)</f>
        <v>56.547568100141056</v>
      </c>
      <c r="F233" s="387">
        <f t="shared" si="78"/>
        <v>56.575760712839035</v>
      </c>
      <c r="G233" s="110">
        <f t="shared" ref="G233:G296" si="101">+Wh_hp/MaxiM</f>
        <v>0.96144008120719016</v>
      </c>
      <c r="H233" s="414" t="b">
        <f>Wh_hp&gt;='2025'!Maxi_hp</f>
        <v>0</v>
      </c>
      <c r="I233" s="392">
        <f>IF(H233,Wh_hp,'2025'!Maxi_hp)</f>
        <v>56.576821568015099</v>
      </c>
      <c r="J233" s="85">
        <f>IF(H233,An,'2025'!An_max)</f>
        <v>2025</v>
      </c>
      <c r="K233" s="199">
        <f t="shared" si="79"/>
        <v>46241</v>
      </c>
      <c r="L233" s="147">
        <f>IF(t&lt;Tvie,1-EXP((T0-t)*PertePVj)+'2025'!Pspv,1-EXP((T0-t)*PertePVj)+Pspv)</f>
        <v>6.5869968470159024E-2</v>
      </c>
      <c r="M233" s="870"/>
      <c r="N233" s="870"/>
      <c r="O233" s="48">
        <f>IF(t&lt;Tnet,'2025'!Resal+('2025'!Salim-'2025'!Resal)*(1-EXP(('2025'!Tnet-t)/('2025'!Tau_j))),Resal+(Salim-Resal)*(1-EXP((Tnet-t)/(Tau_j))))*Salcycl</f>
        <v>5.5613365249454143E-2</v>
      </c>
      <c r="P233" s="171">
        <f>(INDEX(Models!$BJ233:$BT233,,T233)*(1-R233)+INDEX(Models!$BJ233:$BT233,,T233+1)*R233-ERP_i)*Q233*Ramure*Pc/MaxiM</f>
        <v>5.2734413581545687E-4</v>
      </c>
      <c r="Q233" s="307">
        <f t="shared" si="80"/>
        <v>1</v>
      </c>
      <c r="R233" s="179">
        <f t="shared" si="81"/>
        <v>0.50581812123153846</v>
      </c>
      <c r="S233" s="837">
        <f t="shared" si="82"/>
        <v>-2</v>
      </c>
      <c r="T233" s="178">
        <f t="shared" si="83"/>
        <v>4</v>
      </c>
      <c r="U233" s="253">
        <f t="shared" si="84"/>
        <v>-1.4941818787684615</v>
      </c>
      <c r="V233" s="385">
        <f t="shared" si="85"/>
        <v>51.884335917826881</v>
      </c>
      <c r="W233" s="404">
        <f t="shared" si="86"/>
        <v>49.885128927246996</v>
      </c>
      <c r="X233" s="157">
        <f t="shared" si="87"/>
        <v>46241</v>
      </c>
      <c r="Y233" s="387">
        <f t="shared" si="88"/>
        <v>45.884142999215278</v>
      </c>
      <c r="Z233" s="387">
        <f t="shared" si="89"/>
        <v>49.119652993138459</v>
      </c>
      <c r="AA233" s="388">
        <f t="shared" si="90"/>
        <v>56.035236569808553</v>
      </c>
      <c r="AB233" s="199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0.12341490819003993</v>
      </c>
      <c r="AD233" s="233">
        <f>(INDEX(Models!$BJ233:$BT233,,AH233)*(1-AF233)+INDEX(Models!$BJ233:$BT233,,AH233+1)*AF233-ERP_i)*AE233*Ramure*Pc/MaxiM</f>
        <v>1.0110529313028216E-2</v>
      </c>
      <c r="AE233" s="307">
        <f t="shared" si="92"/>
        <v>1</v>
      </c>
      <c r="AF233" s="179">
        <f t="shared" si="93"/>
        <v>0.44080071415510869</v>
      </c>
      <c r="AG233" s="837">
        <f t="shared" si="99"/>
        <v>3</v>
      </c>
      <c r="AH233" s="178">
        <f t="shared" si="94"/>
        <v>9</v>
      </c>
      <c r="AI233" s="227">
        <f t="shared" si="95"/>
        <v>3.4408007141551087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46242</v>
      </c>
      <c r="B234" s="1139">
        <f>IF(t&gt;Tmaj,'2025'!Wh/'2025'!Env_an*'2026'!Env_an,0.001*'[10]mon-tableau (1)'!$B$215)</f>
        <v>50.580546891069133</v>
      </c>
      <c r="C234" s="866"/>
      <c r="D234" s="395">
        <f t="shared" si="77"/>
        <v>54.148482860403519</v>
      </c>
      <c r="E234" s="387">
        <f t="shared" si="100"/>
        <v>57.35266746262792</v>
      </c>
      <c r="F234" s="387">
        <f t="shared" si="78"/>
        <v>57.384545692623568</v>
      </c>
      <c r="G234" s="110">
        <f t="shared" si="101"/>
        <v>0.97848720860572491</v>
      </c>
      <c r="H234" s="414" t="b">
        <f>Wh_hp&gt;='2025'!Maxi_hp</f>
        <v>0</v>
      </c>
      <c r="I234" s="392">
        <f>IF(H234,Wh_hp,'2025'!Maxi_hp)</f>
        <v>57.385195071154868</v>
      </c>
      <c r="J234" s="85">
        <f>IF(H234,An,'2025'!An_max)</f>
        <v>2025</v>
      </c>
      <c r="K234" s="199">
        <f t="shared" si="79"/>
        <v>46242</v>
      </c>
      <c r="L234" s="147">
        <f>IF(t&lt;Tvie,1-EXP((T0-t)*PertePVj)+'2025'!Pspv,1-EXP((T0-t)*PertePVj)+Pspv)</f>
        <v>6.5891707040668823E-2</v>
      </c>
      <c r="M234" s="870"/>
      <c r="N234" s="870"/>
      <c r="O234" s="48">
        <f>IF(t&lt;Tnet,'2025'!Resal+('2025'!Salim-'2025'!Resal)*(1-EXP(('2025'!Tnet-t)/('2025'!Tau_j))),Resal+(Salim-Resal)*(1-EXP((Tnet-t)/(Tau_j))))*Salcycl</f>
        <v>5.5868100717587514E-2</v>
      </c>
      <c r="P234" s="171">
        <f>(INDEX(Models!$BJ234:$BT234,,T234)*(1-R234)+INDEX(Models!$BJ234:$BT234,,T234+1)*R234-ERP_i)*Q234*Ramure*Pc/MaxiM</f>
        <v>5.7311872569777537E-4</v>
      </c>
      <c r="Q234" s="307">
        <f t="shared" si="80"/>
        <v>1</v>
      </c>
      <c r="R234" s="179">
        <f t="shared" si="81"/>
        <v>0.50800810473762859</v>
      </c>
      <c r="S234" s="837">
        <f t="shared" si="82"/>
        <v>-2</v>
      </c>
      <c r="T234" s="178">
        <f t="shared" si="83"/>
        <v>4</v>
      </c>
      <c r="U234" s="253">
        <f t="shared" si="84"/>
        <v>-1.4919918952623714</v>
      </c>
      <c r="V234" s="385">
        <f t="shared" si="85"/>
        <v>51.691688730655621</v>
      </c>
      <c r="W234" s="404">
        <f t="shared" si="86"/>
        <v>50.580546891069133</v>
      </c>
      <c r="X234" s="157">
        <f t="shared" si="87"/>
        <v>46242</v>
      </c>
      <c r="Y234" s="387">
        <f t="shared" si="88"/>
        <v>46.49347891407588</v>
      </c>
      <c r="Z234" s="387">
        <f t="shared" si="89"/>
        <v>49.773114385678724</v>
      </c>
      <c r="AA234" s="388">
        <f t="shared" si="90"/>
        <v>56.788574775742973</v>
      </c>
      <c r="AB234" s="199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0.12353647573949812</v>
      </c>
      <c r="AD234" s="233">
        <f>(INDEX(Models!$BJ234:$BT234,,AH234)*(1-AF234)+INDEX(Models!$BJ234:$BT234,,AH234+1)*AF234-ERP_i)*AE234*Ramure*Pc/MaxiM</f>
        <v>1.0714587744745025E-2</v>
      </c>
      <c r="AE234" s="307">
        <f t="shared" si="92"/>
        <v>1</v>
      </c>
      <c r="AF234" s="179">
        <f t="shared" si="93"/>
        <v>0.44299069766119903</v>
      </c>
      <c r="AG234" s="837">
        <f t="shared" si="99"/>
        <v>3</v>
      </c>
      <c r="AH234" s="178">
        <f t="shared" si="94"/>
        <v>9</v>
      </c>
      <c r="AI234" s="227">
        <f t="shared" si="95"/>
        <v>3.442990697661199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46243</v>
      </c>
      <c r="B235" s="1139">
        <f>IF(t&gt;Tmaj,'2025'!Wh/'2025'!Env_an*'2026'!Env_an,0.001*'[10]mon-tableau (1)'!$B$216)</f>
        <v>48.643280598757862</v>
      </c>
      <c r="C235" s="866"/>
      <c r="D235" s="395">
        <f t="shared" si="77"/>
        <v>52.075774288648169</v>
      </c>
      <c r="E235" s="387">
        <f t="shared" si="100"/>
        <v>55.172149746702075</v>
      </c>
      <c r="F235" s="387">
        <f t="shared" si="78"/>
        <v>55.203777007163325</v>
      </c>
      <c r="G235" s="110">
        <f t="shared" si="101"/>
        <v>0.94454106336747512</v>
      </c>
      <c r="H235" s="414" t="b">
        <f>Wh_hp&gt;='2025'!Maxi_hp</f>
        <v>0</v>
      </c>
      <c r="I235" s="392">
        <f>IF(H235,Wh_hp,'2025'!Maxi_hp)</f>
        <v>56.476341657102651</v>
      </c>
      <c r="J235" s="85">
        <f>IF(H235,An,'2025'!An_max)</f>
        <v>2021</v>
      </c>
      <c r="K235" s="199">
        <f t="shared" si="79"/>
        <v>46243</v>
      </c>
      <c r="L235" s="147">
        <f>IF(t&lt;Tvie,1-EXP((T0-t)*PertePVj)+'2025'!Pspv,1-EXP((T0-t)*PertePVj)+Pspv)</f>
        <v>6.5913445105290402E-2</v>
      </c>
      <c r="M235" s="870"/>
      <c r="N235" s="870"/>
      <c r="O235" s="48">
        <f>IF(t&lt;Tnet,'2025'!Resal+('2025'!Salim-'2025'!Resal)*(1-EXP(('2025'!Tnet-t)/('2025'!Tau_j))),Resal+(Salim-Resal)*(1-EXP((Tnet-t)/(Tau_j))))*Salcycl</f>
        <v>5.612207376855001E-2</v>
      </c>
      <c r="P235" s="171">
        <f>(INDEX(Models!$BJ235:$BT235,,T235)*(1-R235)+INDEX(Models!$BJ235:$BT235,,T235+1)*R235-ERP_i)*Q235*Ramure*Pc/MaxiM</f>
        <v>6.221697149738219E-4</v>
      </c>
      <c r="Q235" s="307">
        <f t="shared" si="80"/>
        <v>1</v>
      </c>
      <c r="R235" s="179">
        <f t="shared" si="81"/>
        <v>0.51012400995370832</v>
      </c>
      <c r="S235" s="837">
        <f t="shared" si="82"/>
        <v>-2</v>
      </c>
      <c r="T235" s="178">
        <f t="shared" si="83"/>
        <v>4</v>
      </c>
      <c r="U235" s="253">
        <f t="shared" si="84"/>
        <v>-1.4898759900462917</v>
      </c>
      <c r="V235" s="385">
        <f t="shared" si="85"/>
        <v>51.496843670531277</v>
      </c>
      <c r="W235" s="404">
        <f t="shared" si="86"/>
        <v>48.643280598757862</v>
      </c>
      <c r="X235" s="157">
        <f t="shared" si="87"/>
        <v>46243</v>
      </c>
      <c r="Y235" s="387">
        <f t="shared" si="88"/>
        <v>44.717836975577285</v>
      </c>
      <c r="Z235" s="387">
        <f t="shared" si="89"/>
        <v>47.87333330219905</v>
      </c>
      <c r="AA235" s="388">
        <f t="shared" si="90"/>
        <v>54.628549563694762</v>
      </c>
      <c r="AB235" s="199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0.12365725093285503</v>
      </c>
      <c r="AD235" s="233">
        <f>(INDEX(Models!$BJ235:$BT235,,AH235)*(1-AF235)+INDEX(Models!$BJ235:$BT235,,AH235+1)*AF235-ERP_i)*AE235*Ramure*Pc/MaxiM</f>
        <v>1.1315842388132723E-2</v>
      </c>
      <c r="AE235" s="307">
        <f t="shared" si="92"/>
        <v>1</v>
      </c>
      <c r="AF235" s="179">
        <f t="shared" si="93"/>
        <v>0.44510660287727877</v>
      </c>
      <c r="AG235" s="837">
        <f t="shared" si="99"/>
        <v>3</v>
      </c>
      <c r="AH235" s="178">
        <f t="shared" si="94"/>
        <v>9</v>
      </c>
      <c r="AI235" s="227">
        <f t="shared" si="95"/>
        <v>3.4451066028772788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46244</v>
      </c>
      <c r="B236" s="1139">
        <f>IF(t&gt;Tmaj,'2025'!Wh/'2025'!Env_an*'2026'!Env_an,0.001*'[10]mon-tableau (1)'!$B$217)</f>
        <v>46.839164419231096</v>
      </c>
      <c r="C236" s="866"/>
      <c r="D236" s="395">
        <f t="shared" si="77"/>
        <v>50.14551833010961</v>
      </c>
      <c r="E236" s="387">
        <f t="shared" si="100"/>
        <v>53.141378546058398</v>
      </c>
      <c r="F236" s="387">
        <f t="shared" si="78"/>
        <v>53.172791282886607</v>
      </c>
      <c r="G236" s="110">
        <f t="shared" si="101"/>
        <v>0.91297821350331887</v>
      </c>
      <c r="H236" s="414" t="b">
        <f>Wh_hp&gt;='2025'!Maxi_hp</f>
        <v>0</v>
      </c>
      <c r="I236" s="392">
        <f>IF(H236,Wh_hp,'2025'!Maxi_hp)</f>
        <v>53.175631642322202</v>
      </c>
      <c r="J236" s="85">
        <f>IF(H236,An,'2025'!An_max)</f>
        <v>2025</v>
      </c>
      <c r="K236" s="199">
        <f t="shared" si="79"/>
        <v>46244</v>
      </c>
      <c r="L236" s="147">
        <f>IF(t&lt;Tvie,1-EXP((T0-t)*PertePVj)+'2025'!Pspv,1-EXP((T0-t)*PertePVj)+Pspv)</f>
        <v>6.5935182664035419E-2</v>
      </c>
      <c r="M236" s="870"/>
      <c r="N236" s="870"/>
      <c r="O236" s="48">
        <f>IF(t&lt;Tnet,'2025'!Resal+('2025'!Salim-'2025'!Resal)*(1-EXP(('2025'!Tnet-t)/('2025'!Tau_j))),Resal+(Salim-Resal)*(1-EXP((Tnet-t)/(Tau_j))))*Salcycl</f>
        <v>5.6375282273722578E-2</v>
      </c>
      <c r="P236" s="171">
        <f>(INDEX(Models!$BJ236:$BT236,,T236)*(1-R236)+INDEX(Models!$BJ236:$BT236,,T236+1)*R236-ERP_i)*Q236*Ramure*Pc/MaxiM</f>
        <v>6.7455146397286925E-4</v>
      </c>
      <c r="Q236" s="307">
        <f t="shared" si="80"/>
        <v>1</v>
      </c>
      <c r="R236" s="179">
        <f t="shared" si="81"/>
        <v>0.51216783560596424</v>
      </c>
      <c r="S236" s="837">
        <f t="shared" si="82"/>
        <v>-2</v>
      </c>
      <c r="T236" s="178">
        <f t="shared" si="83"/>
        <v>4</v>
      </c>
      <c r="U236" s="253">
        <f t="shared" si="84"/>
        <v>-1.4878321643940358</v>
      </c>
      <c r="V236" s="385">
        <f t="shared" si="85"/>
        <v>51.299403444833771</v>
      </c>
      <c r="W236" s="404">
        <f t="shared" si="86"/>
        <v>46.839164419231096</v>
      </c>
      <c r="X236" s="157">
        <f t="shared" si="87"/>
        <v>46244</v>
      </c>
      <c r="Y236" s="387">
        <f t="shared" si="88"/>
        <v>43.065109319508011</v>
      </c>
      <c r="Z236" s="387">
        <f t="shared" si="89"/>
        <v>46.105054510385592</v>
      </c>
      <c r="AA236" s="388">
        <f t="shared" si="90"/>
        <v>52.617960006338592</v>
      </c>
      <c r="AB236" s="199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0.12377723300501237</v>
      </c>
      <c r="AD236" s="233">
        <f>(INDEX(Models!$BJ236:$BT236,,AH236)*(1-AF236)+INDEX(Models!$BJ236:$BT236,,AH236+1)*AF236-ERP_i)*AE236*Ramure*Pc/MaxiM</f>
        <v>1.1914347097490483E-2</v>
      </c>
      <c r="AE236" s="307">
        <f t="shared" si="92"/>
        <v>1</v>
      </c>
      <c r="AF236" s="179">
        <f t="shared" si="93"/>
        <v>0.44715042852953468</v>
      </c>
      <c r="AG236" s="837">
        <f t="shared" si="99"/>
        <v>3</v>
      </c>
      <c r="AH236" s="178">
        <f t="shared" si="94"/>
        <v>9</v>
      </c>
      <c r="AI236" s="227">
        <f t="shared" si="95"/>
        <v>3.4471504285295347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46245</v>
      </c>
      <c r="B237" s="1139">
        <f>IF(t&gt;Tmaj,'2025'!Wh/'2025'!Env_an*'2026'!Env_an,0.001*'[10]mon-tableau (1)'!$B$218)</f>
        <v>42.430193624073581</v>
      </c>
      <c r="C237" s="866"/>
      <c r="D237" s="395">
        <f t="shared" si="77"/>
        <v>45.426377561957942</v>
      </c>
      <c r="E237" s="387">
        <f t="shared" si="100"/>
        <v>48.153182619837843</v>
      </c>
      <c r="F237" s="387">
        <f t="shared" si="78"/>
        <v>48.179841770123382</v>
      </c>
      <c r="G237" s="110">
        <f t="shared" si="101"/>
        <v>0.83020613552262679</v>
      </c>
      <c r="H237" s="414" t="b">
        <f>Wh_hp&gt;='2025'!Maxi_hp</f>
        <v>0</v>
      </c>
      <c r="I237" s="392">
        <f>IF(H237,Wh_hp,'2025'!Maxi_hp)</f>
        <v>51.445554600155653</v>
      </c>
      <c r="J237" s="85">
        <f>IF(H237,An,'2025'!An_max)</f>
        <v>2021</v>
      </c>
      <c r="K237" s="199">
        <f t="shared" si="79"/>
        <v>46245</v>
      </c>
      <c r="L237" s="147">
        <f>IF(t&lt;Tvie,1-EXP((T0-t)*PertePVj)+'2025'!Pspv,1-EXP((T0-t)*PertePVj)+Pspv)</f>
        <v>6.5956919716915752E-2</v>
      </c>
      <c r="M237" s="870"/>
      <c r="N237" s="870"/>
      <c r="O237" s="48">
        <f>IF(t&lt;Tnet,'2025'!Resal+('2025'!Salim-'2025'!Resal)*(1-EXP(('2025'!Tnet-t)/('2025'!Tau_j))),Resal+(Salim-Resal)*(1-EXP((Tnet-t)/(Tau_j))))*Salcycl</f>
        <v>5.6627722395996526E-2</v>
      </c>
      <c r="P237" s="171">
        <f>(INDEX(Models!$BJ237:$BT237,,T237)*(1-R237)+INDEX(Models!$BJ237:$BT237,,T237+1)*R237-ERP_i)*Q237*Ramure*Pc/MaxiM</f>
        <v>7.303210053148791E-4</v>
      </c>
      <c r="Q237" s="307">
        <f t="shared" si="80"/>
        <v>1</v>
      </c>
      <c r="R237" s="179">
        <f t="shared" si="81"/>
        <v>0.51414156415484369</v>
      </c>
      <c r="S237" s="837">
        <f t="shared" si="82"/>
        <v>-2</v>
      </c>
      <c r="T237" s="178">
        <f t="shared" si="83"/>
        <v>4</v>
      </c>
      <c r="U237" s="253">
        <f t="shared" si="84"/>
        <v>-1.4858584358451563</v>
      </c>
      <c r="V237" s="385">
        <f t="shared" si="85"/>
        <v>51.098971341004287</v>
      </c>
      <c r="W237" s="404">
        <f t="shared" si="86"/>
        <v>42.430193624073581</v>
      </c>
      <c r="X237" s="157">
        <f t="shared" si="87"/>
        <v>46245</v>
      </c>
      <c r="Y237" s="387">
        <f t="shared" si="88"/>
        <v>39.052759343264754</v>
      </c>
      <c r="Z237" s="387">
        <f t="shared" si="89"/>
        <v>41.810447684521016</v>
      </c>
      <c r="AA237" s="388">
        <f t="shared" si="90"/>
        <v>47.723178533120851</v>
      </c>
      <c r="AB237" s="199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0.12389641742945272</v>
      </c>
      <c r="AD237" s="233">
        <f>(INDEX(Models!$BJ237:$BT237,,AH237)*(1-AF237)+INDEX(Models!$BJ237:$BT237,,AH237+1)*AF237-ERP_i)*AE237*Ramure*Pc/MaxiM</f>
        <v>1.2510179460553994E-2</v>
      </c>
      <c r="AE237" s="307">
        <f t="shared" si="92"/>
        <v>1</v>
      </c>
      <c r="AF237" s="179">
        <f t="shared" si="93"/>
        <v>0.44912415707841413</v>
      </c>
      <c r="AG237" s="837">
        <f t="shared" si="99"/>
        <v>3</v>
      </c>
      <c r="AH237" s="178">
        <f t="shared" si="94"/>
        <v>9</v>
      </c>
      <c r="AI237" s="227">
        <f t="shared" si="95"/>
        <v>3.4491241570784141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46246</v>
      </c>
      <c r="B238" s="1139">
        <f>IF(t&gt;Tmaj,'2025'!Wh/'2025'!Env_an*'2026'!Env_an,0.001*'[10]mon-tableau (1)'!$B$219)</f>
        <v>45.111881120350589</v>
      </c>
      <c r="C238" s="866"/>
      <c r="D238" s="395">
        <f t="shared" si="77"/>
        <v>48.29855487017506</v>
      </c>
      <c r="E238" s="387">
        <f t="shared" si="100"/>
        <v>51.21142968393729</v>
      </c>
      <c r="F238" s="387">
        <f t="shared" si="78"/>
        <v>51.245321934736367</v>
      </c>
      <c r="G238" s="110">
        <f t="shared" si="101"/>
        <v>0.88625526037213931</v>
      </c>
      <c r="H238" s="414" t="b">
        <f>Wh_hp&gt;='2025'!Maxi_hp</f>
        <v>0</v>
      </c>
      <c r="I238" s="392">
        <f>IF(H238,Wh_hp,'2025'!Maxi_hp)</f>
        <v>51.249478040919371</v>
      </c>
      <c r="J238" s="85">
        <f>IF(H238,An,'2025'!An_max)</f>
        <v>2025</v>
      </c>
      <c r="K238" s="199">
        <f t="shared" si="79"/>
        <v>46246</v>
      </c>
      <c r="L238" s="147">
        <f>IF(t&lt;Tvie,1-EXP((T0-t)*PertePVj)+'2025'!Pspv,1-EXP((T0-t)*PertePVj)+Pspv)</f>
        <v>6.5978656263943058E-2</v>
      </c>
      <c r="M238" s="870"/>
      <c r="N238" s="870"/>
      <c r="O238" s="48">
        <f>IF(t&lt;Tnet,'2025'!Resal+('2025'!Salim-'2025'!Resal)*(1-EXP(('2025'!Tnet-t)/('2025'!Tau_j))),Resal+(Salim-Resal)*(1-EXP((Tnet-t)/(Tau_j))))*Salcycl</f>
        <v>5.6879388678263462E-2</v>
      </c>
      <c r="P238" s="171">
        <f>(INDEX(Models!$BJ238:$BT238,,T238)*(1-R238)+INDEX(Models!$BJ238:$BT238,,T238+1)*R238-ERP_i)*Q238*Ramure*Pc/MaxiM</f>
        <v>7.8953842269262374E-4</v>
      </c>
      <c r="Q238" s="307">
        <f t="shared" si="80"/>
        <v>1</v>
      </c>
      <c r="R238" s="179">
        <f t="shared" si="81"/>
        <v>0.51604715873743623</v>
      </c>
      <c r="S238" s="837">
        <f t="shared" si="82"/>
        <v>-2</v>
      </c>
      <c r="T238" s="178">
        <f t="shared" si="83"/>
        <v>4</v>
      </c>
      <c r="U238" s="253">
        <f t="shared" si="84"/>
        <v>-1.4839528412625638</v>
      </c>
      <c r="V238" s="385">
        <f t="shared" si="85"/>
        <v>50.89515121491192</v>
      </c>
      <c r="W238" s="404">
        <f t="shared" si="86"/>
        <v>45.111881120350589</v>
      </c>
      <c r="X238" s="157">
        <f t="shared" si="87"/>
        <v>46246</v>
      </c>
      <c r="Y238" s="387">
        <f t="shared" si="88"/>
        <v>41.468131803596414</v>
      </c>
      <c r="Z238" s="387">
        <f t="shared" si="89"/>
        <v>44.397413487067809</v>
      </c>
      <c r="AA238" s="388">
        <f t="shared" si="90"/>
        <v>50.682834930649925</v>
      </c>
      <c r="AB238" s="199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0.12401479617670465</v>
      </c>
      <c r="AD238" s="233">
        <f>(INDEX(Models!$BJ238:$BT238,,AH238)*(1-AF238)+INDEX(Models!$BJ238:$BT238,,AH238+1)*AF238-ERP_i)*AE238*Ramure*Pc/MaxiM</f>
        <v>1.310344080197719E-2</v>
      </c>
      <c r="AE238" s="307">
        <f t="shared" si="92"/>
        <v>1</v>
      </c>
      <c r="AF238" s="179">
        <f t="shared" si="93"/>
        <v>0.45102975166100645</v>
      </c>
      <c r="AG238" s="837">
        <f t="shared" si="99"/>
        <v>3</v>
      </c>
      <c r="AH238" s="178">
        <f t="shared" si="94"/>
        <v>9</v>
      </c>
      <c r="AI238" s="227">
        <f t="shared" si="95"/>
        <v>3.4510297516610065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46247</v>
      </c>
      <c r="B239" s="1139">
        <f>IF(t&gt;Tmaj,'2025'!Wh/'2025'!Env_an*'2026'!Env_an,0.001*'[10]mon-tableau (1)'!$B$220)</f>
        <v>30.427430631968043</v>
      </c>
      <c r="C239" s="866"/>
      <c r="D239" s="395">
        <f t="shared" si="77"/>
        <v>32.577562539949596</v>
      </c>
      <c r="E239" s="387">
        <f t="shared" si="100"/>
        <v>34.55149915863494</v>
      </c>
      <c r="F239" s="387">
        <f t="shared" si="78"/>
        <v>34.564136337250979</v>
      </c>
      <c r="G239" s="110">
        <f t="shared" si="101"/>
        <v>0.60000175911574427</v>
      </c>
      <c r="H239" s="414" t="b">
        <f>Wh_hp&gt;='2025'!Maxi_hp</f>
        <v>0</v>
      </c>
      <c r="I239" s="392">
        <f>IF(H239,Wh_hp,'2025'!Maxi_hp)</f>
        <v>52.158181392668176</v>
      </c>
      <c r="J239" s="85">
        <f>IF(H239,An,'2025'!An_max)</f>
        <v>2019</v>
      </c>
      <c r="K239" s="199">
        <f t="shared" si="79"/>
        <v>46247</v>
      </c>
      <c r="L239" s="147">
        <f>IF(t&lt;Tvie,1-EXP((T0-t)*PertePVj)+'2025'!Pspv,1-EXP((T0-t)*PertePVj)+Pspv)</f>
        <v>6.6000392305129107E-2</v>
      </c>
      <c r="M239" s="870"/>
      <c r="N239" s="870"/>
      <c r="O239" s="48">
        <f>IF(t&lt;Tnet,'2025'!Resal+('2025'!Salim-'2025'!Resal)*(1-EXP(('2025'!Tnet-t)/('2025'!Tau_j))),Resal+(Salim-Resal)*(1-EXP((Tnet-t)/(Tau_j))))*Salcycl</f>
        <v>5.713027413434317E-2</v>
      </c>
      <c r="P239" s="171">
        <f>(INDEX(Models!$BJ239:$BT239,,T239)*(1-R239)+INDEX(Models!$BJ239:$BT239,,T239+1)*R239-ERP_i)*Q239*Ramure*Pc/MaxiM</f>
        <v>8.522672481995143E-4</v>
      </c>
      <c r="Q239" s="307">
        <f t="shared" si="80"/>
        <v>1</v>
      </c>
      <c r="R239" s="179">
        <f t="shared" si="81"/>
        <v>0.51788656039627723</v>
      </c>
      <c r="S239" s="837">
        <f t="shared" si="82"/>
        <v>-2</v>
      </c>
      <c r="T239" s="178">
        <f t="shared" si="83"/>
        <v>4</v>
      </c>
      <c r="U239" s="253">
        <f t="shared" si="84"/>
        <v>-1.4821134396037228</v>
      </c>
      <c r="V239" s="385">
        <f t="shared" si="85"/>
        <v>50.687547473018689</v>
      </c>
      <c r="W239" s="404">
        <f t="shared" si="86"/>
        <v>30.427430631968043</v>
      </c>
      <c r="X239" s="157">
        <f t="shared" si="87"/>
        <v>46247</v>
      </c>
      <c r="Y239" s="387">
        <f t="shared" si="88"/>
        <v>28.109427718150766</v>
      </c>
      <c r="Z239" s="387">
        <f t="shared" si="89"/>
        <v>30.095759662603474</v>
      </c>
      <c r="AA239" s="388">
        <f t="shared" si="90"/>
        <v>34.361081764498849</v>
      </c>
      <c r="AB239" s="199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0.1241323579719838</v>
      </c>
      <c r="AD239" s="233">
        <f>(INDEX(Models!$BJ239:$BT239,,AH239)*(1-AF239)+INDEX(Models!$BJ239:$BT239,,AH239+1)*AF239-ERP_i)*AE239*Ramure*Pc/MaxiM</f>
        <v>1.3694256226947525E-2</v>
      </c>
      <c r="AE239" s="307">
        <f t="shared" si="92"/>
        <v>1</v>
      </c>
      <c r="AF239" s="179">
        <f t="shared" si="93"/>
        <v>0.45286915331984767</v>
      </c>
      <c r="AG239" s="837">
        <f t="shared" si="99"/>
        <v>3</v>
      </c>
      <c r="AH239" s="178">
        <f t="shared" si="94"/>
        <v>9</v>
      </c>
      <c r="AI239" s="227">
        <f t="shared" si="95"/>
        <v>3.4528691533198477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46248</v>
      </c>
      <c r="B240" s="1139">
        <f>IF(t&gt;Tmaj,'2025'!Wh/'2025'!Env_an*'2026'!Env_an,0.001*'[10]mon-tableau (1)'!$B$221)</f>
        <v>32.739415693770795</v>
      </c>
      <c r="C240" s="866"/>
      <c r="D240" s="395">
        <f t="shared" si="77"/>
        <v>35.053738069909244</v>
      </c>
      <c r="E240" s="387">
        <f t="shared" si="100"/>
        <v>37.187574889116085</v>
      </c>
      <c r="F240" s="387">
        <f t="shared" si="78"/>
        <v>37.204586658353307</v>
      </c>
      <c r="G240" s="110">
        <f t="shared" si="101"/>
        <v>0.64831717181661941</v>
      </c>
      <c r="H240" s="414" t="b">
        <f>Wh_hp&gt;='2025'!Maxi_hp</f>
        <v>0</v>
      </c>
      <c r="I240" s="392">
        <f>IF(H240,Wh_hp,'2025'!Maxi_hp)</f>
        <v>56.516623137013951</v>
      </c>
      <c r="J240" s="85">
        <f>IF(H240,An,'2025'!An_max)</f>
        <v>2019</v>
      </c>
      <c r="K240" s="199">
        <f t="shared" si="79"/>
        <v>46248</v>
      </c>
      <c r="L240" s="147">
        <f>IF(t&lt;Tvie,1-EXP((T0-t)*PertePVj)+'2025'!Pspv,1-EXP((T0-t)*PertePVj)+Pspv)</f>
        <v>6.6022127840485778E-2</v>
      </c>
      <c r="M240" s="870"/>
      <c r="N240" s="870"/>
      <c r="O240" s="48">
        <f>IF(t&lt;Tnet,'2025'!Resal+('2025'!Salim-'2025'!Resal)*(1-EXP(('2025'!Tnet-t)/('2025'!Tau_j))),Resal+(Salim-Resal)*(1-EXP((Tnet-t)/(Tau_j))))*Salcycl</f>
        <v>5.7380370340615168E-2</v>
      </c>
      <c r="P240" s="171">
        <f>(INDEX(Models!$BJ240:$BT240,,T240)*(1-R240)+INDEX(Models!$BJ240:$BT240,,T240+1)*R240-ERP_i)*Q240*Ramure*Pc/MaxiM</f>
        <v>9.1812840063446456E-4</v>
      </c>
      <c r="Q240" s="307">
        <f t="shared" si="80"/>
        <v>1</v>
      </c>
      <c r="R240" s="179">
        <f t="shared" si="81"/>
        <v>0.51966168558160586</v>
      </c>
      <c r="S240" s="837">
        <f t="shared" si="82"/>
        <v>-2</v>
      </c>
      <c r="T240" s="178">
        <f t="shared" si="83"/>
        <v>4</v>
      </c>
      <c r="U240" s="253">
        <f t="shared" si="84"/>
        <v>-1.4803383144183941</v>
      </c>
      <c r="V240" s="385">
        <f t="shared" si="85"/>
        <v>50.475787623103734</v>
      </c>
      <c r="W240" s="404">
        <f t="shared" si="86"/>
        <v>32.739415693770795</v>
      </c>
      <c r="X240" s="157">
        <f t="shared" si="87"/>
        <v>46248</v>
      </c>
      <c r="Y240" s="387">
        <f t="shared" si="88"/>
        <v>30.214529966162065</v>
      </c>
      <c r="Z240" s="387">
        <f t="shared" si="89"/>
        <v>32.350370246246818</v>
      </c>
      <c r="AA240" s="388">
        <f t="shared" si="90"/>
        <v>36.940150245031369</v>
      </c>
      <c r="AB240" s="199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0.12424908854835794</v>
      </c>
      <c r="AD240" s="233">
        <f>(INDEX(Models!$BJ240:$BT240,,AH240)*(1-AF240)+INDEX(Models!$BJ240:$BT240,,AH240+1)*AF240-ERP_i)*AE240*Ramure*Pc/MaxiM</f>
        <v>1.4271683200452764E-2</v>
      </c>
      <c r="AE240" s="307">
        <f t="shared" si="92"/>
        <v>1</v>
      </c>
      <c r="AF240" s="179">
        <f t="shared" si="93"/>
        <v>0.4546442785051763</v>
      </c>
      <c r="AG240" s="837">
        <f t="shared" si="99"/>
        <v>3</v>
      </c>
      <c r="AH240" s="178">
        <f t="shared" si="94"/>
        <v>9</v>
      </c>
      <c r="AI240" s="227">
        <f t="shared" si="95"/>
        <v>3.4546442785051763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46249</v>
      </c>
      <c r="B241" s="1139">
        <f>IF(t&gt;Tmaj,'2025'!Wh/'2025'!Env_an*'2026'!Env_an,0.001*'[10]mon-tableau (1)'!$B$222)</f>
        <v>38.397511966509477</v>
      </c>
      <c r="C241" s="866"/>
      <c r="D241" s="395">
        <f t="shared" si="77"/>
        <v>41.112757269847933</v>
      </c>
      <c r="E241" s="387">
        <f t="shared" si="100"/>
        <v>43.626964743195508</v>
      </c>
      <c r="F241" s="387">
        <f t="shared" si="78"/>
        <v>43.655473165554966</v>
      </c>
      <c r="G241" s="110">
        <f t="shared" si="101"/>
        <v>0.76373004664271871</v>
      </c>
      <c r="H241" s="414" t="b">
        <f>Wh_hp&gt;='2025'!Maxi_hp</f>
        <v>0</v>
      </c>
      <c r="I241" s="392">
        <f>IF(H241,Wh_hp,'2025'!Maxi_hp)</f>
        <v>51.583884574540299</v>
      </c>
      <c r="J241" s="85">
        <f>IF(H241,An,'2025'!An_max)</f>
        <v>2020</v>
      </c>
      <c r="K241" s="199">
        <f t="shared" si="79"/>
        <v>46249</v>
      </c>
      <c r="L241" s="147">
        <f>IF(t&lt;Tvie,1-EXP((T0-t)*PertePVj)+'2025'!Pspv,1-EXP((T0-t)*PertePVj)+Pspv)</f>
        <v>6.6043862870024839E-2</v>
      </c>
      <c r="M241" s="870"/>
      <c r="N241" s="870"/>
      <c r="O241" s="48">
        <f>IF(t&lt;Tnet,'2025'!Resal+('2025'!Salim-'2025'!Resal)*(1-EXP(('2025'!Tnet-t)/('2025'!Tau_j))),Resal+(Salim-Resal)*(1-EXP((Tnet-t)/(Tau_j))))*Salcycl</f>
        <v>5.7629667526657748E-2</v>
      </c>
      <c r="P241" s="171">
        <f>(INDEX(Models!$BJ241:$BT241,,T241)*(1-R241)+INDEX(Models!$BJ241:$BT241,,T241+1)*R241-ERP_i)*Q241*Ramure*Pc/MaxiM</f>
        <v>9.8521162385603622E-4</v>
      </c>
      <c r="Q241" s="307">
        <f t="shared" si="80"/>
        <v>1</v>
      </c>
      <c r="R241" s="179">
        <f t="shared" si="81"/>
        <v>0.52137442391386202</v>
      </c>
      <c r="S241" s="837">
        <f t="shared" si="82"/>
        <v>-2</v>
      </c>
      <c r="T241" s="178">
        <f t="shared" si="83"/>
        <v>4</v>
      </c>
      <c r="U241" s="253">
        <f t="shared" si="84"/>
        <v>-1.478625576086138</v>
      </c>
      <c r="V241" s="385">
        <f t="shared" si="85"/>
        <v>50.259576575020503</v>
      </c>
      <c r="W241" s="404">
        <f t="shared" si="86"/>
        <v>38.397511966509477</v>
      </c>
      <c r="X241" s="157">
        <f t="shared" si="87"/>
        <v>46249</v>
      </c>
      <c r="Y241" s="387">
        <f t="shared" si="88"/>
        <v>35.350551089834582</v>
      </c>
      <c r="Z241" s="387">
        <f t="shared" si="89"/>
        <v>37.850333312724921</v>
      </c>
      <c r="AA241" s="388">
        <f t="shared" si="90"/>
        <v>43.226152511601882</v>
      </c>
      <c r="AB241" s="199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0.12436497089196391</v>
      </c>
      <c r="AD241" s="233">
        <f>(INDEX(Models!$BJ241:$BT241,,AH241)*(1-AF241)+INDEX(Models!$BJ241:$BT241,,AH241+1)*AF241-ERP_i)*AE241*Ramure*Pc/MaxiM</f>
        <v>1.4836727662544172E-2</v>
      </c>
      <c r="AE241" s="307">
        <f t="shared" si="92"/>
        <v>1</v>
      </c>
      <c r="AF241" s="179">
        <f t="shared" si="93"/>
        <v>0.45635701683743246</v>
      </c>
      <c r="AG241" s="837">
        <f t="shared" si="99"/>
        <v>3</v>
      </c>
      <c r="AH241" s="178">
        <f t="shared" si="94"/>
        <v>9</v>
      </c>
      <c r="AI241" s="227">
        <f t="shared" si="95"/>
        <v>3.4563570168374325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46250</v>
      </c>
      <c r="B242" s="1139">
        <f>IF(t&gt;Tmaj,'2025'!Wh/'2025'!Env_an*'2026'!Env_an,0.001*'[10]mon-tableau (1)'!$B$223)</f>
        <v>30.634918562365758</v>
      </c>
      <c r="C242" s="866"/>
      <c r="D242" s="395">
        <f t="shared" si="77"/>
        <v>32.802002449932033</v>
      </c>
      <c r="E242" s="387">
        <f t="shared" si="100"/>
        <v>34.817155140063363</v>
      </c>
      <c r="F242" s="387">
        <f t="shared" si="78"/>
        <v>34.833524271344295</v>
      </c>
      <c r="G242" s="110">
        <f t="shared" si="101"/>
        <v>0.61186922167030577</v>
      </c>
      <c r="H242" s="414" t="b">
        <f>Wh_hp&gt;='2025'!Maxi_hp</f>
        <v>0</v>
      </c>
      <c r="I242" s="392">
        <f>IF(H242,Wh_hp,'2025'!Maxi_hp)</f>
        <v>55.530808319610884</v>
      </c>
      <c r="J242" s="85">
        <f>IF(H242,An,'2025'!An_max)</f>
        <v>2019</v>
      </c>
      <c r="K242" s="199">
        <f t="shared" si="79"/>
        <v>46250</v>
      </c>
      <c r="L242" s="147">
        <f>IF(t&lt;Tvie,1-EXP((T0-t)*PertePVj)+'2025'!Pspv,1-EXP((T0-t)*PertePVj)+Pspv)</f>
        <v>6.6065597393757947E-2</v>
      </c>
      <c r="M242" s="870"/>
      <c r="N242" s="870"/>
      <c r="O242" s="48">
        <f>IF(t&lt;Tnet,'2025'!Resal+('2025'!Salim-'2025'!Resal)*(1-EXP(('2025'!Tnet-t)/('2025'!Tau_j))),Resal+(Salim-Resal)*(1-EXP((Tnet-t)/(Tau_j))))*Salcycl</f>
        <v>5.7878154663260649E-2</v>
      </c>
      <c r="P242" s="171">
        <f>(INDEX(Models!$BJ242:$BT242,,T242)*(1-R242)+INDEX(Models!$BJ242:$BT242,,T242+1)*R242-ERP_i)*Q242*Ramure*Pc/MaxiM</f>
        <v>1.0535525762535923E-3</v>
      </c>
      <c r="Q242" s="307">
        <f t="shared" si="80"/>
        <v>1</v>
      </c>
      <c r="R242" s="179">
        <f t="shared" si="81"/>
        <v>0.5230266361930882</v>
      </c>
      <c r="S242" s="837">
        <f t="shared" si="82"/>
        <v>-2</v>
      </c>
      <c r="T242" s="178">
        <f t="shared" si="83"/>
        <v>4</v>
      </c>
      <c r="U242" s="253">
        <f t="shared" si="84"/>
        <v>-1.4769733638069118</v>
      </c>
      <c r="V242" s="385">
        <f t="shared" si="85"/>
        <v>50.03852077819294</v>
      </c>
      <c r="W242" s="404">
        <f t="shared" si="86"/>
        <v>30.634918562365758</v>
      </c>
      <c r="X242" s="157">
        <f t="shared" si="87"/>
        <v>46250</v>
      </c>
      <c r="Y242" s="387">
        <f t="shared" si="88"/>
        <v>28.287102623520848</v>
      </c>
      <c r="Z242" s="387">
        <f t="shared" si="89"/>
        <v>30.288104330007243</v>
      </c>
      <c r="AA242" s="388">
        <f t="shared" si="90"/>
        <v>34.59441683520528</v>
      </c>
      <c r="AB242" s="199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0.1244799854760287</v>
      </c>
      <c r="AD242" s="233">
        <f>(INDEX(Models!$BJ242:$BT242,,AH242)*(1-AF242)+INDEX(Models!$BJ242:$BT242,,AH242+1)*AF242-ERP_i)*AE242*Ramure*Pc/MaxiM</f>
        <v>1.5389470034926248E-2</v>
      </c>
      <c r="AE242" s="307">
        <f t="shared" si="92"/>
        <v>1</v>
      </c>
      <c r="AF242" s="179">
        <f t="shared" si="93"/>
        <v>0.45800922911665864</v>
      </c>
      <c r="AG242" s="837">
        <f t="shared" si="99"/>
        <v>3</v>
      </c>
      <c r="AH242" s="178">
        <f t="shared" si="94"/>
        <v>9</v>
      </c>
      <c r="AI242" s="227">
        <f t="shared" si="95"/>
        <v>3.4580092291166586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46251</v>
      </c>
      <c r="B243" s="1139">
        <f>IF(t&gt;Tmaj,'2025'!Wh/'2025'!Env_an*'2026'!Env_an,0.001*'[10]mon-tableau (1)'!$B$224)</f>
        <v>22.199809437281942</v>
      </c>
      <c r="C243" s="866"/>
      <c r="D243" s="395">
        <f t="shared" si="77"/>
        <v>23.770755215087771</v>
      </c>
      <c r="E243" s="387">
        <f t="shared" si="100"/>
        <v>25.237718273194822</v>
      </c>
      <c r="F243" s="387">
        <f t="shared" si="78"/>
        <v>25.243618609965733</v>
      </c>
      <c r="G243" s="110">
        <f t="shared" si="101"/>
        <v>0.44527338681736311</v>
      </c>
      <c r="H243" s="414" t="b">
        <f>Wh_hp&gt;='2025'!Maxi_hp</f>
        <v>0</v>
      </c>
      <c r="I243" s="392">
        <f>IF(H243,Wh_hp,'2025'!Maxi_hp)</f>
        <v>54.275394990879882</v>
      </c>
      <c r="J243" s="85">
        <f>IF(H243,An,'2025'!An_max)</f>
        <v>2019</v>
      </c>
      <c r="K243" s="199">
        <f t="shared" si="79"/>
        <v>46251</v>
      </c>
      <c r="L243" s="147">
        <f>IF(t&lt;Tvie,1-EXP((T0-t)*PertePVj)+'2025'!Pspv,1-EXP((T0-t)*PertePVj)+Pspv)</f>
        <v>6.608733141169687E-2</v>
      </c>
      <c r="M243" s="870"/>
      <c r="N243" s="870"/>
      <c r="O243" s="48">
        <f>IF(t&lt;Tnet,'2025'!Resal+('2025'!Salim-'2025'!Resal)*(1-EXP(('2025'!Tnet-t)/('2025'!Tau_j))),Resal+(Salim-Resal)*(1-EXP((Tnet-t)/(Tau_j))))*Salcycl</f>
        <v>5.812581954625913E-2</v>
      </c>
      <c r="P243" s="171">
        <f>(INDEX(Models!$BJ243:$BT243,,T243)*(1-R243)+INDEX(Models!$BJ243:$BT243,,T243+1)*R243-ERP_i)*Q243*Ramure*Pc/MaxiM</f>
        <v>1.123190598900421E-3</v>
      </c>
      <c r="Q243" s="307">
        <f t="shared" si="80"/>
        <v>1</v>
      </c>
      <c r="R243" s="179">
        <f t="shared" si="81"/>
        <v>0.52462015264188189</v>
      </c>
      <c r="S243" s="837">
        <f t="shared" si="82"/>
        <v>-2</v>
      </c>
      <c r="T243" s="178">
        <f t="shared" si="83"/>
        <v>4</v>
      </c>
      <c r="U243" s="253">
        <f t="shared" si="84"/>
        <v>-1.4753798473581181</v>
      </c>
      <c r="V243" s="385">
        <f t="shared" si="85"/>
        <v>49.812227161992553</v>
      </c>
      <c r="W243" s="404">
        <f t="shared" si="86"/>
        <v>22.199809437281942</v>
      </c>
      <c r="X243" s="157">
        <f t="shared" si="87"/>
        <v>46251</v>
      </c>
      <c r="Y243" s="387">
        <f t="shared" si="88"/>
        <v>20.569571724186698</v>
      </c>
      <c r="Z243" s="387">
        <f t="shared" si="89"/>
        <v>22.025155473347997</v>
      </c>
      <c r="AA243" s="388">
        <f t="shared" si="90"/>
        <v>25.15993522209741</v>
      </c>
      <c r="AB243" s="199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0.12459411048070601</v>
      </c>
      <c r="AD243" s="233">
        <f>(INDEX(Models!$BJ243:$BT243,,AH243)*(1-AF243)+INDEX(Models!$BJ243:$BT243,,AH243+1)*AF243-ERP_i)*AE243*Ramure*Pc/MaxiM</f>
        <v>1.5930005046705057E-2</v>
      </c>
      <c r="AE243" s="307">
        <f t="shared" si="92"/>
        <v>1</v>
      </c>
      <c r="AF243" s="179">
        <f t="shared" si="93"/>
        <v>0.45960274556545233</v>
      </c>
      <c r="AG243" s="837">
        <f t="shared" si="99"/>
        <v>3</v>
      </c>
      <c r="AH243" s="178">
        <f t="shared" si="94"/>
        <v>9</v>
      </c>
      <c r="AI243" s="227">
        <f t="shared" si="95"/>
        <v>3.4596027455654523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46252</v>
      </c>
      <c r="B244" s="1139">
        <f>IF(t&gt;Tmaj,'2025'!Wh/'2025'!Env_an*'2026'!Env_an,0.001*'[10]mon-tableau (1)'!$B$225)</f>
        <v>37.428084552630132</v>
      </c>
      <c r="C244" s="866"/>
      <c r="D244" s="395">
        <f t="shared" si="77"/>
        <v>40.077575599958436</v>
      </c>
      <c r="E244" s="387">
        <f t="shared" si="100"/>
        <v>42.562034282527165</v>
      </c>
      <c r="F244" s="387">
        <f t="shared" si="78"/>
        <v>42.595089615721292</v>
      </c>
      <c r="G244" s="110">
        <f t="shared" si="101"/>
        <v>0.75458236723101724</v>
      </c>
      <c r="H244" s="414" t="b">
        <f>Wh_hp&gt;='2025'!Maxi_hp</f>
        <v>0</v>
      </c>
      <c r="I244" s="392">
        <f>IF(H244,Wh_hp,'2025'!Maxi_hp)</f>
        <v>53.81892121253842</v>
      </c>
      <c r="J244" s="85">
        <f>IF(H244,An,'2025'!An_max)</f>
        <v>2021</v>
      </c>
      <c r="K244" s="199">
        <f t="shared" si="79"/>
        <v>46252</v>
      </c>
      <c r="L244" s="147">
        <f>IF(t&lt;Tvie,1-EXP((T0-t)*PertePVj)+'2025'!Pspv,1-EXP((T0-t)*PertePVj)+Pspv)</f>
        <v>6.61090649238536E-2</v>
      </c>
      <c r="M244" s="870"/>
      <c r="N244" s="870"/>
      <c r="O244" s="48">
        <f>IF(t&lt;Tnet,'2025'!Resal+('2025'!Salim-'2025'!Resal)*(1-EXP(('2025'!Tnet-t)/('2025'!Tau_j))),Resal+(Salim-Resal)*(1-EXP((Tnet-t)/(Tau_j))))*Salcycl</f>
        <v>5.8372648874742881E-2</v>
      </c>
      <c r="P244" s="171">
        <f>(INDEX(Models!$BJ244:$BT244,,T244)*(1-R244)+INDEX(Models!$BJ244:$BT244,,T244+1)*R244-ERP_i)*Q244*Ramure*Pc/MaxiM</f>
        <v>1.194168929302137E-3</v>
      </c>
      <c r="Q244" s="307">
        <f t="shared" si="80"/>
        <v>1</v>
      </c>
      <c r="R244" s="179">
        <f t="shared" si="81"/>
        <v>0.52615677136862105</v>
      </c>
      <c r="S244" s="837">
        <f t="shared" si="82"/>
        <v>-2</v>
      </c>
      <c r="T244" s="178">
        <f t="shared" si="83"/>
        <v>4</v>
      </c>
      <c r="U244" s="253">
        <f t="shared" si="84"/>
        <v>-1.473843228631379</v>
      </c>
      <c r="V244" s="385">
        <f t="shared" si="85"/>
        <v>49.58030311514846</v>
      </c>
      <c r="W244" s="404">
        <f t="shared" si="86"/>
        <v>37.428084552630132</v>
      </c>
      <c r="X244" s="157">
        <f t="shared" si="87"/>
        <v>46252</v>
      </c>
      <c r="Y244" s="387">
        <f t="shared" si="88"/>
        <v>34.446010905137918</v>
      </c>
      <c r="Z244" s="387">
        <f t="shared" si="89"/>
        <v>36.8844043896082</v>
      </c>
      <c r="AA244" s="388">
        <f t="shared" si="90"/>
        <v>42.139509807988183</v>
      </c>
      <c r="AB244" s="199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0.12470732199603791</v>
      </c>
      <c r="AD244" s="233">
        <f>(INDEX(Models!$BJ244:$BT244,,AH244)*(1-AF244)+INDEX(Models!$BJ244:$BT244,,AH244+1)*AF244-ERP_i)*AE244*Ramure*Pc/MaxiM</f>
        <v>1.645844100306772E-2</v>
      </c>
      <c r="AE244" s="307">
        <f t="shared" si="92"/>
        <v>1</v>
      </c>
      <c r="AF244" s="179">
        <f t="shared" si="93"/>
        <v>0.46113936429219127</v>
      </c>
      <c r="AG244" s="837">
        <f t="shared" si="99"/>
        <v>3</v>
      </c>
      <c r="AH244" s="178">
        <f t="shared" si="94"/>
        <v>9</v>
      </c>
      <c r="AI244" s="227">
        <f t="shared" si="95"/>
        <v>3.4611393642921913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46253</v>
      </c>
      <c r="B245" s="1139">
        <f>IF(t&gt;Tmaj,'2025'!Wh/'2025'!Env_an*'2026'!Env_an,0.001*'[10]mon-tableau (1)'!$B$226)</f>
        <v>38.750683625515684</v>
      </c>
      <c r="C245" s="866"/>
      <c r="D245" s="395">
        <f t="shared" si="77"/>
        <v>41.49476558347942</v>
      </c>
      <c r="E245" s="387">
        <f t="shared" si="100"/>
        <v>44.07859219641179</v>
      </c>
      <c r="F245" s="387">
        <f t="shared" si="78"/>
        <v>44.117333776600709</v>
      </c>
      <c r="G245" s="110">
        <f t="shared" si="101"/>
        <v>0.78503790510008609</v>
      </c>
      <c r="H245" s="414" t="b">
        <f>Wh_hp&gt;='2025'!Maxi_hp</f>
        <v>0</v>
      </c>
      <c r="I245" s="392">
        <f>IF(H245,Wh_hp,'2025'!Maxi_hp)</f>
        <v>48.769575691470848</v>
      </c>
      <c r="J245" s="85">
        <f>IF(H245,An,'2025'!An_max)</f>
        <v>2021</v>
      </c>
      <c r="K245" s="199">
        <f t="shared" si="79"/>
        <v>46253</v>
      </c>
      <c r="L245" s="147">
        <f>IF(t&lt;Tvie,1-EXP((T0-t)*PertePVj)+'2025'!Pspv,1-EXP((T0-t)*PertePVj)+Pspv)</f>
        <v>6.6130797930239571E-2</v>
      </c>
      <c r="M245" s="870"/>
      <c r="N245" s="870"/>
      <c r="O245" s="48">
        <f>IF(t&lt;Tnet,'2025'!Resal+('2025'!Salim-'2025'!Resal)*(1-EXP(('2025'!Tnet-t)/('2025'!Tau_j))),Resal+(Salim-Resal)*(1-EXP((Tnet-t)/(Tau_j))))*Salcycl</f>
        <v>5.8618628322315389E-2</v>
      </c>
      <c r="P245" s="171">
        <f>(INDEX(Models!$BJ245:$BT245,,T245)*(1-R245)+INDEX(Models!$BJ245:$BT245,,T245+1)*R245-ERP_i)*Q245*Ramure*Pc/MaxiM</f>
        <v>1.2665349327160458E-3</v>
      </c>
      <c r="Q245" s="307">
        <f t="shared" si="80"/>
        <v>1</v>
      </c>
      <c r="R245" s="179">
        <f t="shared" si="81"/>
        <v>0.52763825703783596</v>
      </c>
      <c r="S245" s="837">
        <f t="shared" si="82"/>
        <v>-2</v>
      </c>
      <c r="T245" s="178">
        <f t="shared" si="83"/>
        <v>4</v>
      </c>
      <c r="U245" s="253">
        <f t="shared" si="84"/>
        <v>-1.472361742962164</v>
      </c>
      <c r="V245" s="385">
        <f t="shared" si="85"/>
        <v>49.342356483244075</v>
      </c>
      <c r="W245" s="404">
        <f t="shared" si="86"/>
        <v>38.750683625515684</v>
      </c>
      <c r="X245" s="157">
        <f t="shared" si="87"/>
        <v>46253</v>
      </c>
      <c r="Y245" s="387">
        <f t="shared" si="88"/>
        <v>35.632898387535249</v>
      </c>
      <c r="Z245" s="387">
        <f t="shared" si="89"/>
        <v>38.156198221936286</v>
      </c>
      <c r="AA245" s="388">
        <f t="shared" si="90"/>
        <v>43.598094712032953</v>
      </c>
      <c r="AB245" s="199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0.12481959420567805</v>
      </c>
      <c r="AD245" s="233">
        <f>(INDEX(Models!$BJ245:$BT245,,AH245)*(1-AF245)+INDEX(Models!$BJ245:$BT245,,AH245+1)*AF245-ERP_i)*AE245*Ramure*Pc/MaxiM</f>
        <v>1.6974899074816825E-2</v>
      </c>
      <c r="AE245" s="307">
        <f t="shared" si="92"/>
        <v>1</v>
      </c>
      <c r="AF245" s="179">
        <f t="shared" si="93"/>
        <v>0.4626208499614064</v>
      </c>
      <c r="AG245" s="837">
        <f t="shared" si="99"/>
        <v>3</v>
      </c>
      <c r="AH245" s="178">
        <f t="shared" si="94"/>
        <v>9</v>
      </c>
      <c r="AI245" s="227">
        <f t="shared" si="95"/>
        <v>3.4626208499614064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46254</v>
      </c>
      <c r="B246" s="1139">
        <f>IF(t&gt;Tmaj,'2025'!Wh/'2025'!Env_an*'2026'!Env_an,0.001*'[10]mon-tableau (1)'!$B$227)</f>
        <v>45.672318707358642</v>
      </c>
      <c r="C246" s="866"/>
      <c r="D246" s="395">
        <f t="shared" si="77"/>
        <v>48.907685886252217</v>
      </c>
      <c r="E246" s="387">
        <f t="shared" si="100"/>
        <v>51.966636607303847</v>
      </c>
      <c r="F246" s="387">
        <f t="shared" si="78"/>
        <v>52.029422719702403</v>
      </c>
      <c r="G246" s="110">
        <f t="shared" si="101"/>
        <v>0.93010333897537267</v>
      </c>
      <c r="H246" s="414" t="b">
        <f>Wh_hp&gt;='2025'!Maxi_hp</f>
        <v>0</v>
      </c>
      <c r="I246" s="392">
        <f>IF(H246,Wh_hp,'2025'!Maxi_hp)</f>
        <v>52.529091636366658</v>
      </c>
      <c r="J246" s="85">
        <f>IF(H246,An,'2025'!An_max)</f>
        <v>2021</v>
      </c>
      <c r="K246" s="199">
        <f t="shared" si="79"/>
        <v>46254</v>
      </c>
      <c r="L246" s="147">
        <f>IF(t&lt;Tvie,1-EXP((T0-t)*PertePVj)+'2025'!Pspv,1-EXP((T0-t)*PertePVj)+Pspv)</f>
        <v>6.6152530430866885E-2</v>
      </c>
      <c r="M246" s="870"/>
      <c r="N246" s="870"/>
      <c r="O246" s="48">
        <f>IF(t&lt;Tnet,'2025'!Resal+('2025'!Salim-'2025'!Resal)*(1-EXP(('2025'!Tnet-t)/('2025'!Tau_j))),Resal+(Salim-Resal)*(1-EXP((Tnet-t)/(Tau_j))))*Salcycl</f>
        <v>5.8863742600222452E-2</v>
      </c>
      <c r="P246" s="171">
        <f>(INDEX(Models!$BJ246:$BT246,,T246)*(1-R246)+INDEX(Models!$BJ246:$BT246,,T246+1)*R246-ERP_i)*Q246*Ramure*Pc/MaxiM</f>
        <v>1.340340353740585E-3</v>
      </c>
      <c r="Q246" s="307">
        <f t="shared" si="80"/>
        <v>1</v>
      </c>
      <c r="R246" s="179">
        <f t="shared" si="81"/>
        <v>0.52906633973483563</v>
      </c>
      <c r="S246" s="837">
        <f t="shared" si="82"/>
        <v>-2</v>
      </c>
      <c r="T246" s="178">
        <f t="shared" si="83"/>
        <v>4</v>
      </c>
      <c r="U246" s="253">
        <f t="shared" si="84"/>
        <v>-1.4709336602651644</v>
      </c>
      <c r="V246" s="385">
        <f t="shared" si="85"/>
        <v>49.0979955613873</v>
      </c>
      <c r="W246" s="404">
        <f t="shared" si="86"/>
        <v>45.672318707358642</v>
      </c>
      <c r="X246" s="157">
        <f t="shared" si="87"/>
        <v>46254</v>
      </c>
      <c r="Y246" s="387">
        <f t="shared" si="88"/>
        <v>41.848351244279343</v>
      </c>
      <c r="Z246" s="387">
        <f t="shared" si="89"/>
        <v>44.812833581470976</v>
      </c>
      <c r="AA246" s="388">
        <f t="shared" si="90"/>
        <v>51.210622747842372</v>
      </c>
      <c r="AB246" s="199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0.12493089954937027</v>
      </c>
      <c r="AD246" s="233">
        <f>(INDEX(Models!$BJ246:$BT246,,AH246)*(1-AF246)+INDEX(Models!$BJ246:$BT246,,AH246+1)*AF246-ERP_i)*AE246*Ramure*Pc/MaxiM</f>
        <v>1.7479512618317771E-2</v>
      </c>
      <c r="AE246" s="307">
        <f t="shared" si="92"/>
        <v>1</v>
      </c>
      <c r="AF246" s="179">
        <f t="shared" si="93"/>
        <v>0.46404893265840608</v>
      </c>
      <c r="AG246" s="837">
        <f t="shared" si="99"/>
        <v>3</v>
      </c>
      <c r="AH246" s="178">
        <f t="shared" si="94"/>
        <v>9</v>
      </c>
      <c r="AI246" s="227">
        <f t="shared" si="95"/>
        <v>3.4640489326584061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46255</v>
      </c>
      <c r="B247" s="1139">
        <f>IF(t&gt;Tmaj,'2025'!Wh/'2025'!Env_an*'2026'!Env_an,0.001*'[10]mon-tableau (1)'!$B$228)</f>
        <v>29.988703187095936</v>
      </c>
      <c r="C247" s="866"/>
      <c r="D247" s="395">
        <f t="shared" si="77"/>
        <v>32.113810939711215</v>
      </c>
      <c r="E247" s="387">
        <f t="shared" si="100"/>
        <v>34.131239402484518</v>
      </c>
      <c r="F247" s="387">
        <f t="shared" si="78"/>
        <v>34.15292060402053</v>
      </c>
      <c r="G247" s="110">
        <f t="shared" si="101"/>
        <v>0.61343594186041739</v>
      </c>
      <c r="H247" s="414" t="b">
        <f>Wh_hp&gt;='2025'!Maxi_hp</f>
        <v>0</v>
      </c>
      <c r="I247" s="392">
        <f>IF(H247,Wh_hp,'2025'!Maxi_hp)</f>
        <v>51.419921349849517</v>
      </c>
      <c r="J247" s="85">
        <f>IF(H247,An,'2025'!An_max)</f>
        <v>2020</v>
      </c>
      <c r="K247" s="199">
        <f t="shared" si="79"/>
        <v>46255</v>
      </c>
      <c r="L247" s="147">
        <f>IF(t&lt;Tvie,1-EXP((T0-t)*PertePVj)+'2025'!Pspv,1-EXP((T0-t)*PertePVj)+Pspv)</f>
        <v>6.6174262425747088E-2</v>
      </c>
      <c r="M247" s="870"/>
      <c r="N247" s="870"/>
      <c r="O247" s="48">
        <f>IF(t&lt;Tnet,'2025'!Resal+('2025'!Salim-'2025'!Resal)*(1-EXP(('2025'!Tnet-t)/('2025'!Tau_j))),Resal+(Salim-Resal)*(1-EXP((Tnet-t)/(Tau_j))))*Salcycl</f>
        <v>5.9107975511327321E-2</v>
      </c>
      <c r="P247" s="171">
        <f>(INDEX(Models!$BJ247:$BT247,,T247)*(1-R247)+INDEX(Models!$BJ247:$BT247,,T247+1)*R247-ERP_i)*Q247*Ramure*Pc/MaxiM</f>
        <v>1.4156003905327961E-3</v>
      </c>
      <c r="Q247" s="307">
        <f t="shared" si="80"/>
        <v>1</v>
      </c>
      <c r="R247" s="179">
        <f t="shared" si="81"/>
        <v>0.53044271401196541</v>
      </c>
      <c r="S247" s="837">
        <f t="shared" si="82"/>
        <v>-2</v>
      </c>
      <c r="T247" s="178">
        <f t="shared" si="83"/>
        <v>4</v>
      </c>
      <c r="U247" s="253">
        <f t="shared" si="84"/>
        <v>-1.4695572859880346</v>
      </c>
      <c r="V247" s="385">
        <f t="shared" si="85"/>
        <v>48.848252754764808</v>
      </c>
      <c r="W247" s="404">
        <f t="shared" si="86"/>
        <v>29.988703187095936</v>
      </c>
      <c r="X247" s="157">
        <f t="shared" si="87"/>
        <v>46255</v>
      </c>
      <c r="Y247" s="387">
        <f t="shared" si="88"/>
        <v>27.680052090449273</v>
      </c>
      <c r="Z247" s="387">
        <f t="shared" si="89"/>
        <v>29.641560493237424</v>
      </c>
      <c r="AA247" s="388">
        <f t="shared" si="90"/>
        <v>33.877664632300572</v>
      </c>
      <c r="AB247" s="199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0.12504120886255674</v>
      </c>
      <c r="AD247" s="233">
        <f>(INDEX(Models!$BJ247:$BT247,,AH247)*(1-AF247)+INDEX(Models!$BJ247:$BT247,,AH247+1)*AF247-ERP_i)*AE247*Ramure*Pc/MaxiM</f>
        <v>1.797190346743582E-2</v>
      </c>
      <c r="AE247" s="307">
        <f t="shared" si="92"/>
        <v>1</v>
      </c>
      <c r="AF247" s="179">
        <f t="shared" si="93"/>
        <v>0.46542530693553585</v>
      </c>
      <c r="AG247" s="837">
        <f t="shared" si="99"/>
        <v>3</v>
      </c>
      <c r="AH247" s="178">
        <f t="shared" si="94"/>
        <v>9</v>
      </c>
      <c r="AI247" s="227">
        <f t="shared" si="95"/>
        <v>3.4654253069355359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46256</v>
      </c>
      <c r="B248" s="1139">
        <f>IF(t&gt;Tmaj,'2025'!Wh/'2025'!Env_an*'2026'!Env_an,0.001*'[10]mon-tableau (1)'!$B$229)</f>
        <v>24.052142796317995</v>
      </c>
      <c r="C248" s="866"/>
      <c r="D248" s="395">
        <f t="shared" si="77"/>
        <v>25.757163858350225</v>
      </c>
      <c r="E248" s="387">
        <f t="shared" si="100"/>
        <v>27.382341709515593</v>
      </c>
      <c r="F248" s="387">
        <f t="shared" si="78"/>
        <v>27.393722683429544</v>
      </c>
      <c r="G248" s="110">
        <f t="shared" si="101"/>
        <v>0.49442496955052945</v>
      </c>
      <c r="H248" s="414" t="b">
        <f>Wh_hp&gt;='2025'!Maxi_hp</f>
        <v>0</v>
      </c>
      <c r="I248" s="392">
        <f>IF(H248,Wh_hp,'2025'!Maxi_hp)</f>
        <v>55.310874432474641</v>
      </c>
      <c r="J248" s="85">
        <f>IF(H248,An,'2025'!An_max)</f>
        <v>2019</v>
      </c>
      <c r="K248" s="199">
        <f t="shared" si="79"/>
        <v>46256</v>
      </c>
      <c r="L248" s="147">
        <f>IF(t&lt;Tvie,1-EXP((T0-t)*PertePVj)+'2025'!Pspv,1-EXP((T0-t)*PertePVj)+Pspv)</f>
        <v>6.619599391489206E-2</v>
      </c>
      <c r="M248" s="870"/>
      <c r="N248" s="870"/>
      <c r="O248" s="48">
        <f>IF(t&lt;Tnet,'2025'!Resal+('2025'!Salim-'2025'!Resal)*(1-EXP(('2025'!Tnet-t)/('2025'!Tau_j))),Resal+(Salim-Resal)*(1-EXP((Tnet-t)/(Tau_j))))*Salcycl</f>
        <v>5.9351309994082953E-2</v>
      </c>
      <c r="P248" s="171">
        <f>(INDEX(Models!$BJ248:$BT248,,T248)*(1-R248)+INDEX(Models!$BJ248:$BT248,,T248+1)*R248-ERP_i)*Q248*Ramure*Pc/MaxiM</f>
        <v>1.4917140940298784E-3</v>
      </c>
      <c r="Q248" s="307">
        <f t="shared" si="80"/>
        <v>1</v>
      </c>
      <c r="R248" s="179">
        <f t="shared" si="81"/>
        <v>0.53176903810423104</v>
      </c>
      <c r="S248" s="837">
        <f t="shared" si="82"/>
        <v>-2</v>
      </c>
      <c r="T248" s="178">
        <f t="shared" si="83"/>
        <v>4</v>
      </c>
      <c r="U248" s="253">
        <f t="shared" si="84"/>
        <v>-1.468230961895769</v>
      </c>
      <c r="V248" s="385">
        <f t="shared" si="85"/>
        <v>48.594321242402565</v>
      </c>
      <c r="W248" s="404">
        <f t="shared" si="86"/>
        <v>24.052142796317995</v>
      </c>
      <c r="X248" s="157">
        <f t="shared" si="87"/>
        <v>46256</v>
      </c>
      <c r="Y248" s="387">
        <f t="shared" si="88"/>
        <v>22.26401061511805</v>
      </c>
      <c r="Z248" s="387">
        <f t="shared" si="89"/>
        <v>23.842273614200884</v>
      </c>
      <c r="AA248" s="388">
        <f t="shared" si="90"/>
        <v>27.252999952939742</v>
      </c>
      <c r="AB248" s="199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0.1251504914918897</v>
      </c>
      <c r="AD248" s="233">
        <f>(INDEX(Models!$BJ248:$BT248,,AH248)*(1-AF248)+INDEX(Models!$BJ248:$BT248,,AH248+1)*AF248-ERP_i)*AE248*Ramure*Pc/MaxiM</f>
        <v>1.8444649992975258E-2</v>
      </c>
      <c r="AE248" s="307">
        <f t="shared" si="92"/>
        <v>1</v>
      </c>
      <c r="AF248" s="179">
        <f t="shared" si="93"/>
        <v>0.46675163102780148</v>
      </c>
      <c r="AG248" s="837">
        <f t="shared" si="99"/>
        <v>3</v>
      </c>
      <c r="AH248" s="178">
        <f t="shared" si="94"/>
        <v>9</v>
      </c>
      <c r="AI248" s="227">
        <f t="shared" si="95"/>
        <v>3.4667516310278015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46257</v>
      </c>
      <c r="B249" s="1139">
        <f>IF(t&gt;Tmaj,'2025'!Wh/'2025'!Env_an*'2026'!Env_an,0.001*'[10]mon-tableau (1)'!$B$230)</f>
        <v>42.635170103768061</v>
      </c>
      <c r="C249" s="866"/>
      <c r="D249" s="395">
        <f t="shared" si="77"/>
        <v>45.658577208616649</v>
      </c>
      <c r="E249" s="387">
        <f t="shared" si="100"/>
        <v>48.55197011721225</v>
      </c>
      <c r="F249" s="387">
        <f t="shared" si="78"/>
        <v>48.615344812714454</v>
      </c>
      <c r="G249" s="110">
        <f t="shared" si="101"/>
        <v>0.88182402329357534</v>
      </c>
      <c r="H249" s="414" t="b">
        <f>Wh_hp&gt;='2025'!Maxi_hp</f>
        <v>0</v>
      </c>
      <c r="I249" s="392">
        <f>IF(H249,Wh_hp,'2025'!Maxi_hp)</f>
        <v>52.494512682759208</v>
      </c>
      <c r="J249" s="85">
        <f>IF(H249,An,'2025'!An_max)</f>
        <v>2019</v>
      </c>
      <c r="K249" s="199">
        <f t="shared" si="79"/>
        <v>46257</v>
      </c>
      <c r="L249" s="147">
        <f>IF(t&lt;Tvie,1-EXP((T0-t)*PertePVj)+'2025'!Pspv,1-EXP((T0-t)*PertePVj)+Pspv)</f>
        <v>6.6217724898313568E-2</v>
      </c>
      <c r="M249" s="870"/>
      <c r="N249" s="870"/>
      <c r="O249" s="48">
        <f>IF(t&lt;Tnet,'2025'!Resal+('2025'!Salim-'2025'!Resal)*(1-EXP(('2025'!Tnet-t)/('2025'!Tau_j))),Resal+(Salim-Resal)*(1-EXP((Tnet-t)/(Tau_j))))*Salcycl</f>
        <v>5.9593728155839736E-2</v>
      </c>
      <c r="P249" s="171">
        <f>(INDEX(Models!$BJ249:$BT249,,T249)*(1-R249)+INDEX(Models!$BJ249:$BT249,,T249+1)*R249-ERP_i)*Q249*Ramure*Pc/MaxiM</f>
        <v>1.5677427424610737E-3</v>
      </c>
      <c r="Q249" s="307">
        <f t="shared" si="80"/>
        <v>1</v>
      </c>
      <c r="R249" s="179">
        <f t="shared" si="81"/>
        <v>0.53304693330237196</v>
      </c>
      <c r="S249" s="837">
        <f t="shared" si="82"/>
        <v>-2</v>
      </c>
      <c r="T249" s="178">
        <f t="shared" si="83"/>
        <v>4</v>
      </c>
      <c r="U249" s="253">
        <f t="shared" si="84"/>
        <v>-1.466953066697628</v>
      </c>
      <c r="V249" s="385">
        <f t="shared" si="85"/>
        <v>48.336053761080123</v>
      </c>
      <c r="W249" s="404">
        <f t="shared" si="86"/>
        <v>42.635170103768061</v>
      </c>
      <c r="X249" s="157">
        <f t="shared" si="87"/>
        <v>46257</v>
      </c>
      <c r="Y249" s="387">
        <f t="shared" si="88"/>
        <v>39.085650468445259</v>
      </c>
      <c r="Z249" s="387">
        <f t="shared" si="89"/>
        <v>41.857348881664024</v>
      </c>
      <c r="AA249" s="388">
        <f t="shared" si="90"/>
        <v>47.851118516861497</v>
      </c>
      <c r="AB249" s="199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0.12525871538583636</v>
      </c>
      <c r="AD249" s="233">
        <f>(INDEX(Models!$BJ249:$BT249,,AH249)*(1-AF249)+INDEX(Models!$BJ249:$BT249,,AH249+1)*AF249-ERP_i)*AE249*Ramure*Pc/MaxiM</f>
        <v>1.8905183203282425E-2</v>
      </c>
      <c r="AE249" s="307">
        <f t="shared" si="92"/>
        <v>1</v>
      </c>
      <c r="AF249" s="179">
        <f t="shared" si="93"/>
        <v>0.4680295262259424</v>
      </c>
      <c r="AG249" s="837">
        <f t="shared" si="99"/>
        <v>3</v>
      </c>
      <c r="AH249" s="178">
        <f t="shared" si="94"/>
        <v>9</v>
      </c>
      <c r="AI249" s="227">
        <f t="shared" si="95"/>
        <v>3.4680295262259424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46258</v>
      </c>
      <c r="B250" s="1139">
        <f>IF(t&gt;Tmaj,'2025'!Wh/'2025'!Env_an*'2026'!Env_an,0.001*'[10]mon-tableau (1)'!$B$231)</f>
        <v>43.049162723430143</v>
      </c>
      <c r="C250" s="866"/>
      <c r="D250" s="395">
        <f t="shared" si="77"/>
        <v>46.103000358369123</v>
      </c>
      <c r="E250" s="387">
        <f t="shared" si="100"/>
        <v>49.037148500183008</v>
      </c>
      <c r="F250" s="387">
        <f t="shared" si="78"/>
        <v>49.105813141732909</v>
      </c>
      <c r="G250" s="110">
        <f t="shared" si="101"/>
        <v>0.89527081736003733</v>
      </c>
      <c r="H250" s="414" t="b">
        <f>Wh_hp&gt;='2025'!Maxi_hp</f>
        <v>0</v>
      </c>
      <c r="I250" s="392">
        <f>IF(H250,Wh_hp,'2025'!Maxi_hp)</f>
        <v>52.36810981673333</v>
      </c>
      <c r="J250" s="85">
        <f>IF(H250,An,'2025'!An_max)</f>
        <v>2019</v>
      </c>
      <c r="K250" s="199">
        <f t="shared" si="79"/>
        <v>46258</v>
      </c>
      <c r="L250" s="147">
        <f>IF(t&lt;Tvie,1-EXP((T0-t)*PertePVj)+'2025'!Pspv,1-EXP((T0-t)*PertePVj)+Pspv)</f>
        <v>6.6239455376023271E-2</v>
      </c>
      <c r="M250" s="870"/>
      <c r="N250" s="870"/>
      <c r="O250" s="48">
        <f>IF(t&lt;Tnet,'2025'!Resal+('2025'!Salim-'2025'!Resal)*(1-EXP(('2025'!Tnet-t)/('2025'!Tau_j))),Resal+(Salim-Resal)*(1-EXP((Tnet-t)/(Tau_j))))*Salcycl</f>
        <v>5.9835211295023366E-2</v>
      </c>
      <c r="P250" s="171">
        <f>(INDEX(Models!$BJ250:$BT250,,T250)*(1-R250)+INDEX(Models!$BJ250:$BT250,,T250+1)*R250-ERP_i)*Q250*Ramure*Pc/MaxiM</f>
        <v>1.6437023461902212E-3</v>
      </c>
      <c r="Q250" s="307">
        <f t="shared" si="80"/>
        <v>1</v>
      </c>
      <c r="R250" s="179">
        <f t="shared" si="81"/>
        <v>0.53427798347190203</v>
      </c>
      <c r="S250" s="837">
        <f t="shared" si="82"/>
        <v>-2</v>
      </c>
      <c r="T250" s="178">
        <f t="shared" si="83"/>
        <v>4</v>
      </c>
      <c r="U250" s="253">
        <f t="shared" si="84"/>
        <v>-1.465722016528098</v>
      </c>
      <c r="V250" s="385">
        <f t="shared" si="85"/>
        <v>48.07325639975619</v>
      </c>
      <c r="W250" s="404">
        <f t="shared" si="86"/>
        <v>43.049162723430143</v>
      </c>
      <c r="X250" s="157">
        <f t="shared" si="87"/>
        <v>46258</v>
      </c>
      <c r="Y250" s="387">
        <f t="shared" si="88"/>
        <v>39.444374982784922</v>
      </c>
      <c r="Z250" s="387">
        <f t="shared" si="89"/>
        <v>42.242494834335801</v>
      </c>
      <c r="AA250" s="388">
        <f t="shared" si="90"/>
        <v>48.297330600652835</v>
      </c>
      <c r="AB250" s="199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0.12536584715999169</v>
      </c>
      <c r="AD250" s="233">
        <f>(INDEX(Models!$BJ250:$BT250,,AH250)*(1-AF250)+INDEX(Models!$BJ250:$BT250,,AH250+1)*AF250-ERP_i)*AE250*Ramure*Pc/MaxiM</f>
        <v>1.9353551109145432E-2</v>
      </c>
      <c r="AE250" s="307">
        <f t="shared" si="92"/>
        <v>1</v>
      </c>
      <c r="AF250" s="179">
        <f t="shared" si="93"/>
        <v>0.46926057639547247</v>
      </c>
      <c r="AG250" s="837">
        <f t="shared" si="99"/>
        <v>3</v>
      </c>
      <c r="AH250" s="178">
        <f t="shared" si="94"/>
        <v>9</v>
      </c>
      <c r="AI250" s="227">
        <f t="shared" si="95"/>
        <v>3.4692605763954725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46259</v>
      </c>
      <c r="B251" s="1139">
        <f>IF(t&gt;Tmaj,'2025'!Wh/'2025'!Env_an*'2026'!Env_an,0.001*'[10]mon-tableau (1)'!$B$232)</f>
        <v>32.799604347851286</v>
      </c>
      <c r="C251" s="866"/>
      <c r="D251" s="395">
        <f t="shared" si="77"/>
        <v>35.127172431057929</v>
      </c>
      <c r="E251" s="387">
        <f t="shared" si="100"/>
        <v>37.372343626672986</v>
      </c>
      <c r="F251" s="387">
        <f t="shared" si="78"/>
        <v>37.407824701177525</v>
      </c>
      <c r="G251" s="110">
        <f t="shared" si="101"/>
        <v>0.68557229972021172</v>
      </c>
      <c r="H251" s="414" t="b">
        <f>Wh_hp&gt;='2025'!Maxi_hp</f>
        <v>0</v>
      </c>
      <c r="I251" s="392">
        <f>IF(H251,Wh_hp,'2025'!Maxi_hp)</f>
        <v>49.230030482850516</v>
      </c>
      <c r="J251" s="85">
        <f>IF(H251,An,'2025'!An_max)</f>
        <v>2021</v>
      </c>
      <c r="K251" s="199">
        <f t="shared" si="79"/>
        <v>46259</v>
      </c>
      <c r="L251" s="147">
        <f>IF(t&lt;Tvie,1-EXP((T0-t)*PertePVj)+'2025'!Pspv,1-EXP((T0-t)*PertePVj)+Pspv)</f>
        <v>6.6261185348033047E-2</v>
      </c>
      <c r="M251" s="870"/>
      <c r="N251" s="870"/>
      <c r="O251" s="48">
        <f>IF(t&lt;Tnet,'2025'!Resal+('2025'!Salim-'2025'!Resal)*(1-EXP(('2025'!Tnet-t)/('2025'!Tau_j))),Resal+(Salim-Resal)*(1-EXP((Tnet-t)/(Tau_j))))*Salcycl</f>
        <v>6.0075739911924005E-2</v>
      </c>
      <c r="P251" s="171">
        <f>(INDEX(Models!$BJ251:$BT251,,T251)*(1-R251)+INDEX(Models!$BJ251:$BT251,,T251+1)*R251-ERP_i)*Q251*Ramure*Pc/MaxiM</f>
        <v>1.7196119185500602E-3</v>
      </c>
      <c r="Q251" s="307">
        <f t="shared" si="80"/>
        <v>1</v>
      </c>
      <c r="R251" s="179">
        <f t="shared" si="81"/>
        <v>0.53546373470705233</v>
      </c>
      <c r="S251" s="837">
        <f t="shared" si="82"/>
        <v>-2</v>
      </c>
      <c r="T251" s="178">
        <f t="shared" si="83"/>
        <v>4</v>
      </c>
      <c r="U251" s="253">
        <f t="shared" si="84"/>
        <v>-1.4645362652929477</v>
      </c>
      <c r="V251" s="385">
        <f t="shared" si="85"/>
        <v>47.805735392441854</v>
      </c>
      <c r="W251" s="404">
        <f t="shared" si="86"/>
        <v>32.799604347851286</v>
      </c>
      <c r="X251" s="157">
        <f t="shared" si="87"/>
        <v>46259</v>
      </c>
      <c r="Y251" s="387">
        <f t="shared" si="88"/>
        <v>30.213082384015248</v>
      </c>
      <c r="Z251" s="387">
        <f t="shared" si="89"/>
        <v>32.35710233945516</v>
      </c>
      <c r="AA251" s="388">
        <f t="shared" si="90"/>
        <v>36.999497864680968</v>
      </c>
      <c r="AB251" s="199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0.12547185213714362</v>
      </c>
      <c r="AD251" s="233">
        <f>(INDEX(Models!$BJ251:$BT251,,AH251)*(1-AF251)+INDEX(Models!$BJ251:$BT251,,AH251+1)*AF251-ERP_i)*AE251*Ramure*Pc/MaxiM</f>
        <v>1.9789809201339791E-2</v>
      </c>
      <c r="AE251" s="307">
        <f t="shared" si="92"/>
        <v>1</v>
      </c>
      <c r="AF251" s="179">
        <f t="shared" si="93"/>
        <v>0.470446327630623</v>
      </c>
      <c r="AG251" s="837">
        <f t="shared" si="99"/>
        <v>3</v>
      </c>
      <c r="AH251" s="178">
        <f t="shared" si="94"/>
        <v>9</v>
      </c>
      <c r="AI251" s="227">
        <f t="shared" si="95"/>
        <v>3.470446327630623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46260</v>
      </c>
      <c r="B252" s="1139">
        <f>IF(t&gt;Tmaj,'2025'!Wh/'2025'!Env_an*'2026'!Env_an,0.001*'[10]mon-tableau (1)'!$B$233)</f>
        <v>39.72811483225054</v>
      </c>
      <c r="C252" s="866"/>
      <c r="D252" s="395">
        <f t="shared" si="77"/>
        <v>42.548343028714775</v>
      </c>
      <c r="E252" s="387">
        <f t="shared" si="100"/>
        <v>45.279382269200639</v>
      </c>
      <c r="F252" s="387">
        <f t="shared" si="78"/>
        <v>45.341695778659449</v>
      </c>
      <c r="G252" s="110">
        <f t="shared" si="101"/>
        <v>0.8354429705910128</v>
      </c>
      <c r="H252" s="414" t="b">
        <f>Wh_hp&gt;='2025'!Maxi_hp</f>
        <v>0</v>
      </c>
      <c r="I252" s="392">
        <f>IF(H252,Wh_hp,'2025'!Maxi_hp)</f>
        <v>51.409197401417927</v>
      </c>
      <c r="J252" s="85">
        <f>IF(H252,An,'2025'!An_max)</f>
        <v>2021</v>
      </c>
      <c r="K252" s="199">
        <f t="shared" si="79"/>
        <v>46260</v>
      </c>
      <c r="L252" s="147">
        <f>IF(t&lt;Tvie,1-EXP((T0-t)*PertePVj)+'2025'!Pspv,1-EXP((T0-t)*PertePVj)+Pspv)</f>
        <v>6.6282914814354554E-2</v>
      </c>
      <c r="M252" s="870"/>
      <c r="N252" s="870"/>
      <c r="O252" s="48">
        <f>IF(t&lt;Tnet,'2025'!Resal+('2025'!Salim-'2025'!Resal)*(1-EXP(('2025'!Tnet-t)/('2025'!Tau_j))),Resal+(Salim-Resal)*(1-EXP((Tnet-t)/(Tau_j))))*Salcycl</f>
        <v>6.0315293708049014E-2</v>
      </c>
      <c r="P252" s="171">
        <f>(INDEX(Models!$BJ252:$BT252,,T252)*(1-R252)+INDEX(Models!$BJ252:$BT252,,T252+1)*R252-ERP_i)*Q252*Ramure*Pc/MaxiM</f>
        <v>1.7954918941325852E-3</v>
      </c>
      <c r="Q252" s="307">
        <f t="shared" si="80"/>
        <v>1</v>
      </c>
      <c r="R252" s="179">
        <f t="shared" si="81"/>
        <v>0.53660569510901746</v>
      </c>
      <c r="S252" s="837">
        <f t="shared" si="82"/>
        <v>-2</v>
      </c>
      <c r="T252" s="178">
        <f t="shared" si="83"/>
        <v>4</v>
      </c>
      <c r="U252" s="253">
        <f t="shared" si="84"/>
        <v>-1.4633943048909825</v>
      </c>
      <c r="V252" s="385">
        <f t="shared" si="85"/>
        <v>47.533297194265437</v>
      </c>
      <c r="W252" s="404">
        <f t="shared" si="86"/>
        <v>39.72811483225054</v>
      </c>
      <c r="X252" s="157">
        <f t="shared" si="87"/>
        <v>46260</v>
      </c>
      <c r="Y252" s="387">
        <f t="shared" si="88"/>
        <v>36.447081098672321</v>
      </c>
      <c r="Z252" s="387">
        <f t="shared" si="89"/>
        <v>39.034394547279554</v>
      </c>
      <c r="AA252" s="388">
        <f t="shared" si="90"/>
        <v>44.640158028295502</v>
      </c>
      <c r="AB252" s="199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0.12557669436256685</v>
      </c>
      <c r="AD252" s="233">
        <f>(INDEX(Models!$BJ252:$BT252,,AH252)*(1-AF252)+INDEX(Models!$BJ252:$BT252,,AH252+1)*AF252-ERP_i)*AE252*Ramure*Pc/MaxiM</f>
        <v>2.0214001027161799E-2</v>
      </c>
      <c r="AE252" s="307">
        <f t="shared" si="92"/>
        <v>1</v>
      </c>
      <c r="AF252" s="179">
        <f t="shared" si="93"/>
        <v>0.47158828803258768</v>
      </c>
      <c r="AG252" s="837">
        <f t="shared" si="99"/>
        <v>3</v>
      </c>
      <c r="AH252" s="178">
        <f t="shared" si="94"/>
        <v>9</v>
      </c>
      <c r="AI252" s="227">
        <f t="shared" si="95"/>
        <v>3.4715882880325877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46261</v>
      </c>
      <c r="B253" s="1139">
        <f>IF(t&gt;Tmaj,'2025'!Wh/'2025'!Env_an*'2026'!Env_an,0.001*'[10]mon-tableau (1)'!$B$234)</f>
        <v>46.222075041955812</v>
      </c>
      <c r="C253" s="866"/>
      <c r="D253" s="395">
        <f t="shared" si="77"/>
        <v>49.50444996196093</v>
      </c>
      <c r="E253" s="387">
        <f t="shared" si="100"/>
        <v>52.695356774748952</v>
      </c>
      <c r="F253" s="387">
        <f t="shared" si="78"/>
        <v>52.791061033734401</v>
      </c>
      <c r="G253" s="110">
        <f t="shared" si="101"/>
        <v>0.97806867341363868</v>
      </c>
      <c r="H253" s="414" t="b">
        <f>Wh_hp&gt;='2025'!Maxi_hp</f>
        <v>0</v>
      </c>
      <c r="I253" s="392">
        <f>IF(H253,Wh_hp,'2025'!Maxi_hp)</f>
        <v>52.792945343373624</v>
      </c>
      <c r="J253" s="85">
        <f>IF(H253,An,'2025'!An_max)</f>
        <v>2025</v>
      </c>
      <c r="K253" s="199">
        <f t="shared" si="79"/>
        <v>46261</v>
      </c>
      <c r="L253" s="147">
        <f>IF(t&lt;Tvie,1-EXP((T0-t)*PertePVj)+'2025'!Pspv,1-EXP((T0-t)*PertePVj)+Pspv)</f>
        <v>6.6304643774999672E-2</v>
      </c>
      <c r="M253" s="870"/>
      <c r="N253" s="870"/>
      <c r="O253" s="48">
        <f>IF(t&lt;Tnet,'2025'!Resal+('2025'!Salim-'2025'!Resal)*(1-EXP(('2025'!Tnet-t)/('2025'!Tau_j))),Resal+(Salim-Resal)*(1-EXP((Tnet-t)/(Tau_j))))*Salcycl</f>
        <v>6.0553851574206757E-2</v>
      </c>
      <c r="P253" s="171">
        <f>(INDEX(Models!$BJ253:$BT253,,T253)*(1-R253)+INDEX(Models!$BJ253:$BT253,,T253+1)*R253-ERP_i)*Q253*Ramure*Pc/MaxiM</f>
        <v>1.8713651339353026E-3</v>
      </c>
      <c r="Q253" s="307">
        <f t="shared" si="80"/>
        <v>1</v>
      </c>
      <c r="R253" s="179">
        <f t="shared" si="81"/>
        <v>0.53770533467836357</v>
      </c>
      <c r="S253" s="837">
        <f t="shared" si="82"/>
        <v>-2</v>
      </c>
      <c r="T253" s="178">
        <f t="shared" si="83"/>
        <v>4</v>
      </c>
      <c r="U253" s="253">
        <f t="shared" si="84"/>
        <v>-1.4622946653216364</v>
      </c>
      <c r="V253" s="385">
        <f t="shared" si="85"/>
        <v>47.255748431032153</v>
      </c>
      <c r="W253" s="404">
        <f t="shared" si="86"/>
        <v>46.222075041955812</v>
      </c>
      <c r="X253" s="157">
        <f t="shared" si="87"/>
        <v>46261</v>
      </c>
      <c r="Y253" s="387">
        <f t="shared" si="88"/>
        <v>42.234762041534445</v>
      </c>
      <c r="Z253" s="387">
        <f t="shared" si="89"/>
        <v>45.233985325034418</v>
      </c>
      <c r="AA253" s="388">
        <f t="shared" si="90"/>
        <v>51.736209556234449</v>
      </c>
      <c r="AB253" s="199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0.12568033659544506</v>
      </c>
      <c r="AD253" s="233">
        <f>(INDEX(Models!$BJ253:$BT253,,AH253)*(1-AF253)+INDEX(Models!$BJ253:$BT253,,AH253+1)*AF253-ERP_i)*AE253*Ramure*Pc/MaxiM</f>
        <v>2.062616959161304E-2</v>
      </c>
      <c r="AE253" s="307">
        <f t="shared" si="92"/>
        <v>1</v>
      </c>
      <c r="AF253" s="179">
        <f t="shared" si="93"/>
        <v>0.47268792760193401</v>
      </c>
      <c r="AG253" s="837">
        <f t="shared" si="99"/>
        <v>3</v>
      </c>
      <c r="AH253" s="178">
        <f t="shared" si="94"/>
        <v>9</v>
      </c>
      <c r="AI253" s="227">
        <f t="shared" si="95"/>
        <v>3.472687927601934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46262</v>
      </c>
      <c r="B254" s="1139">
        <f>IF(t&gt;Tmaj,'2025'!Wh/'2025'!Env_an*'2026'!Env_an,0.001*'[10]mon-tableau (1)'!$B$235)</f>
        <v>44.577558769250928</v>
      </c>
      <c r="C254" s="866"/>
      <c r="D254" s="395">
        <f t="shared" si="77"/>
        <v>47.744262495364346</v>
      </c>
      <c r="E254" s="387">
        <f t="shared" si="100"/>
        <v>50.834566534753066</v>
      </c>
      <c r="F254" s="387">
        <f t="shared" si="78"/>
        <v>50.926460624564015</v>
      </c>
      <c r="G254" s="110">
        <f t="shared" si="101"/>
        <v>0.94887020007518064</v>
      </c>
      <c r="H254" s="414" t="b">
        <f>Wh_hp&gt;='2025'!Maxi_hp</f>
        <v>0</v>
      </c>
      <c r="I254" s="392">
        <f>IF(H254,Wh_hp,'2025'!Maxi_hp)</f>
        <v>52.903282092675809</v>
      </c>
      <c r="J254" s="85">
        <f>IF(H254,An,'2025'!An_max)</f>
        <v>2021</v>
      </c>
      <c r="K254" s="199">
        <f t="shared" si="79"/>
        <v>46262</v>
      </c>
      <c r="L254" s="147">
        <f>IF(t&lt;Tvie,1-EXP((T0-t)*PertePVj)+'2025'!Pspv,1-EXP((T0-t)*PertePVj)+Pspv)</f>
        <v>6.6326372229980168E-2</v>
      </c>
      <c r="M254" s="870"/>
      <c r="N254" s="870"/>
      <c r="O254" s="48">
        <f>IF(t&lt;Tnet,'2025'!Resal+('2025'!Salim-'2025'!Resal)*(1-EXP(('2025'!Tnet-t)/('2025'!Tau_j))),Resal+(Salim-Resal)*(1-EXP((Tnet-t)/(Tau_j))))*Salcycl</f>
        <v>6.0791391567704842E-2</v>
      </c>
      <c r="P254" s="171">
        <f>(INDEX(Models!$BJ254:$BT254,,T254)*(1-R254)+INDEX(Models!$BJ254:$BT254,,T254+1)*R254-ERP_i)*Q254*Ramure*Pc/MaxiM</f>
        <v>1.9462296597243048E-3</v>
      </c>
      <c r="Q254" s="307">
        <f t="shared" si="80"/>
        <v>1</v>
      </c>
      <c r="R254" s="179">
        <f t="shared" si="81"/>
        <v>0.53876408531194731</v>
      </c>
      <c r="S254" s="837">
        <f t="shared" si="82"/>
        <v>-2</v>
      </c>
      <c r="T254" s="178">
        <f t="shared" si="83"/>
        <v>4</v>
      </c>
      <c r="U254" s="253">
        <f t="shared" si="84"/>
        <v>-1.4612359146880527</v>
      </c>
      <c r="V254" s="385">
        <f t="shared" si="85"/>
        <v>46.972944252465467</v>
      </c>
      <c r="W254" s="404">
        <f t="shared" si="86"/>
        <v>44.577558769250928</v>
      </c>
      <c r="X254" s="157">
        <f t="shared" si="87"/>
        <v>46262</v>
      </c>
      <c r="Y254" s="387">
        <f t="shared" si="88"/>
        <v>40.756980994223234</v>
      </c>
      <c r="Z254" s="387">
        <f t="shared" si="89"/>
        <v>43.652278250127885</v>
      </c>
      <c r="AA254" s="388">
        <f t="shared" si="90"/>
        <v>49.93298606801271</v>
      </c>
      <c r="AB254" s="199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0.1257827402777395</v>
      </c>
      <c r="AD254" s="233">
        <f>(INDEX(Models!$BJ254:$BT254,,AH254)*(1-AF254)+INDEX(Models!$BJ254:$BT254,,AH254+1)*AF254-ERP_i)*AE254*Ramure*Pc/MaxiM</f>
        <v>2.1040848787113268E-2</v>
      </c>
      <c r="AE254" s="307">
        <f t="shared" si="92"/>
        <v>1</v>
      </c>
      <c r="AF254" s="179">
        <f t="shared" si="93"/>
        <v>0.47374667823551775</v>
      </c>
      <c r="AG254" s="837">
        <f t="shared" si="99"/>
        <v>3</v>
      </c>
      <c r="AH254" s="178">
        <f t="shared" si="94"/>
        <v>9</v>
      </c>
      <c r="AI254" s="227">
        <f t="shared" si="95"/>
        <v>3.4737466782355177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46263</v>
      </c>
      <c r="B255" s="1139">
        <f>IF(t&gt;Tmaj,'2025'!Wh/'2025'!Env_an*'2026'!Env_an,0.001*'[10]mon-tableau (1)'!$B$236)</f>
        <v>31.323457005258984</v>
      </c>
      <c r="C255" s="866"/>
      <c r="D255" s="395">
        <f t="shared" si="77"/>
        <v>33.549395670136434</v>
      </c>
      <c r="E255" s="387">
        <f t="shared" si="100"/>
        <v>35.72991715542252</v>
      </c>
      <c r="F255" s="387">
        <f t="shared" si="78"/>
        <v>35.768217333892849</v>
      </c>
      <c r="G255" s="110">
        <f t="shared" si="101"/>
        <v>0.67032015163239866</v>
      </c>
      <c r="H255" s="414" t="b">
        <f>Wh_hp&gt;='2025'!Maxi_hp</f>
        <v>0</v>
      </c>
      <c r="I255" s="392">
        <f>IF(H255,Wh_hp,'2025'!Maxi_hp)</f>
        <v>52.164540919966655</v>
      </c>
      <c r="J255" s="85">
        <f>IF(H255,An,'2025'!An_max)</f>
        <v>2021</v>
      </c>
      <c r="K255" s="199">
        <f t="shared" si="79"/>
        <v>46263</v>
      </c>
      <c r="L255" s="147">
        <f>IF(t&lt;Tvie,1-EXP((T0-t)*PertePVj)+'2025'!Pspv,1-EXP((T0-t)*PertePVj)+Pspv)</f>
        <v>6.6348100179307812E-2</v>
      </c>
      <c r="M255" s="870"/>
      <c r="N255" s="870"/>
      <c r="O255" s="48">
        <f>IF(t&lt;Tnet,'2025'!Resal+('2025'!Salim-'2025'!Resal)*(1-EXP(('2025'!Tnet-t)/('2025'!Tau_j))),Resal+(Salim-Resal)*(1-EXP((Tnet-t)/(Tau_j))))*Salcycl</f>
        <v>6.1027890879258959E-2</v>
      </c>
      <c r="P255" s="171">
        <f>(INDEX(Models!$BJ255:$BT255,,T255)*(1-R255)+INDEX(Models!$BJ255:$BT255,,T255+1)*R255-ERP_i)*Q255*Ramure*Pc/MaxiM</f>
        <v>2.0205829076116559E-3</v>
      </c>
      <c r="Q255" s="307">
        <f t="shared" si="80"/>
        <v>1</v>
      </c>
      <c r="R255" s="179">
        <f t="shared" si="81"/>
        <v>0.53978334089515978</v>
      </c>
      <c r="S255" s="837">
        <f t="shared" si="82"/>
        <v>-2</v>
      </c>
      <c r="T255" s="178">
        <f t="shared" si="83"/>
        <v>4</v>
      </c>
      <c r="U255" s="253">
        <f t="shared" si="84"/>
        <v>-1.4602166591048402</v>
      </c>
      <c r="V255" s="385">
        <f t="shared" si="85"/>
        <v>46.684668778916411</v>
      </c>
      <c r="W255" s="404">
        <f t="shared" si="86"/>
        <v>31.323457005258984</v>
      </c>
      <c r="X255" s="157">
        <f t="shared" si="87"/>
        <v>46263</v>
      </c>
      <c r="Y255" s="387">
        <f t="shared" si="88"/>
        <v>28.859026395990583</v>
      </c>
      <c r="Z255" s="387">
        <f t="shared" si="89"/>
        <v>30.909835241092487</v>
      </c>
      <c r="AA255" s="388">
        <f t="shared" si="90"/>
        <v>35.361245514755687</v>
      </c>
      <c r="AB255" s="199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0.12588386548221836</v>
      </c>
      <c r="AD255" s="233">
        <f>(INDEX(Models!$BJ255:$BT255,,AH255)*(1-AF255)+INDEX(Models!$BJ255:$BT255,,AH255+1)*AF255-ERP_i)*AE255*Ramure*Pc/MaxiM</f>
        <v>2.1470403911177049E-2</v>
      </c>
      <c r="AE255" s="307">
        <f t="shared" si="92"/>
        <v>1</v>
      </c>
      <c r="AF255" s="179">
        <f t="shared" si="93"/>
        <v>0.47476593381873045</v>
      </c>
      <c r="AG255" s="837">
        <f t="shared" si="99"/>
        <v>3</v>
      </c>
      <c r="AH255" s="178">
        <f t="shared" si="94"/>
        <v>9</v>
      </c>
      <c r="AI255" s="227">
        <f t="shared" si="95"/>
        <v>3.4747659338187304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46264</v>
      </c>
      <c r="B256" s="1139">
        <f>IF(t&gt;Tmaj,'2025'!Wh/'2025'!Env_an*'2026'!Env_an,0.001*'[10]mon-tableau (1)'!$B$237)</f>
        <v>43.613647606194718</v>
      </c>
      <c r="C256" s="866"/>
      <c r="D256" s="395">
        <f t="shared" si="77"/>
        <v>46.7140511270701</v>
      </c>
      <c r="E256" s="387">
        <f t="shared" si="100"/>
        <v>49.762678299964641</v>
      </c>
      <c r="F256" s="387">
        <f t="shared" si="78"/>
        <v>49.858173150852792</v>
      </c>
      <c r="G256" s="110">
        <f t="shared" si="101"/>
        <v>0.9399684285026586</v>
      </c>
      <c r="H256" s="414" t="b">
        <f>Wh_hp&gt;='2025'!Maxi_hp</f>
        <v>0</v>
      </c>
      <c r="I256" s="392">
        <f>IF(H256,Wh_hp,'2025'!Maxi_hp)</f>
        <v>50.422665541987861</v>
      </c>
      <c r="J256" s="85">
        <f>IF(H256,An,'2025'!An_max)</f>
        <v>2021</v>
      </c>
      <c r="K256" s="199">
        <f t="shared" si="79"/>
        <v>46264</v>
      </c>
      <c r="L256" s="147">
        <f>IF(t&lt;Tvie,1-EXP((T0-t)*PertePVj)+'2025'!Pspv,1-EXP((T0-t)*PertePVj)+Pspv)</f>
        <v>6.636982762299426E-2</v>
      </c>
      <c r="M256" s="870"/>
      <c r="N256" s="870"/>
      <c r="O256" s="48">
        <f>IF(t&lt;Tnet,'2025'!Resal+('2025'!Salim-'2025'!Resal)*(1-EXP(('2025'!Tnet-t)/('2025'!Tau_j))),Resal+(Salim-Resal)*(1-EXP((Tnet-t)/(Tau_j))))*Salcycl</f>
        <v>6.1263325790418953E-2</v>
      </c>
      <c r="P256" s="171">
        <f>(INDEX(Models!$BJ256:$BT256,,T256)*(1-R256)+INDEX(Models!$BJ256:$BT256,,T256+1)*R256-ERP_i)*Q256*Ramure*Pc/MaxiM</f>
        <v>2.0944432930793014E-3</v>
      </c>
      <c r="Q256" s="307">
        <f t="shared" si="80"/>
        <v>1</v>
      </c>
      <c r="R256" s="179">
        <f t="shared" si="81"/>
        <v>0.54076445748080437</v>
      </c>
      <c r="S256" s="837">
        <f t="shared" si="82"/>
        <v>-2</v>
      </c>
      <c r="T256" s="178">
        <f t="shared" si="83"/>
        <v>4</v>
      </c>
      <c r="U256" s="253">
        <f t="shared" si="84"/>
        <v>-1.4592355425191956</v>
      </c>
      <c r="V256" s="385">
        <f t="shared" si="85"/>
        <v>46.390729204962263</v>
      </c>
      <c r="W256" s="404">
        <f t="shared" si="86"/>
        <v>43.613647606194718</v>
      </c>
      <c r="X256" s="157">
        <f t="shared" si="87"/>
        <v>46264</v>
      </c>
      <c r="Y256" s="387">
        <f t="shared" si="88"/>
        <v>39.869296235527663</v>
      </c>
      <c r="Z256" s="387">
        <f t="shared" si="89"/>
        <v>42.703521603228765</v>
      </c>
      <c r="AA256" s="388">
        <f t="shared" si="90"/>
        <v>48.85895169070308</v>
      </c>
      <c r="AB256" s="199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0.12598367084174611</v>
      </c>
      <c r="AD256" s="233">
        <f>(INDEX(Models!$BJ256:$BT256,,AH256)*(1-AF256)+INDEX(Models!$BJ256:$BT256,,AH256+1)*AF256-ERP_i)*AE256*Ramure*Pc/MaxiM</f>
        <v>2.1915450582385053E-2</v>
      </c>
      <c r="AE256" s="307">
        <f t="shared" si="92"/>
        <v>1</v>
      </c>
      <c r="AF256" s="179">
        <f t="shared" si="93"/>
        <v>0.47574705040437504</v>
      </c>
      <c r="AG256" s="837">
        <f t="shared" si="99"/>
        <v>3</v>
      </c>
      <c r="AH256" s="178">
        <f t="shared" si="94"/>
        <v>9</v>
      </c>
      <c r="AI256" s="227">
        <f t="shared" si="95"/>
        <v>3.475747050404375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46265</v>
      </c>
      <c r="B257" s="1139">
        <f>IF(t&gt;Tmaj,'2025'!Wh/'2025'!Env_an*'2026'!Env_an,0.001*'[10]mon-tableau (1)'!$B$238)</f>
        <v>20.48048259749098</v>
      </c>
      <c r="C257" s="866"/>
      <c r="D257" s="395">
        <f t="shared" si="77"/>
        <v>21.93690802342925</v>
      </c>
      <c r="E257" s="387">
        <f t="shared" si="100"/>
        <v>23.374377835966186</v>
      </c>
      <c r="F257" s="387">
        <f t="shared" si="78"/>
        <v>23.384831702247919</v>
      </c>
      <c r="G257" s="110">
        <f t="shared" si="101"/>
        <v>0.44358451526431475</v>
      </c>
      <c r="H257" s="414" t="b">
        <f>Wh_hp&gt;='2025'!Maxi_hp</f>
        <v>0</v>
      </c>
      <c r="I257" s="392">
        <f>IF(H257,Wh_hp,'2025'!Maxi_hp)</f>
        <v>50.324433414295505</v>
      </c>
      <c r="J257" s="85">
        <f>IF(H257,An,'2025'!An_max)</f>
        <v>2021</v>
      </c>
      <c r="K257" s="199">
        <f t="shared" si="79"/>
        <v>46265</v>
      </c>
      <c r="L257" s="147">
        <f>IF(t&lt;Tvie,1-EXP((T0-t)*PertePVj)+'2025'!Pspv,1-EXP((T0-t)*PertePVj)+Pspv)</f>
        <v>6.6391554561051391E-2</v>
      </c>
      <c r="M257" s="870"/>
      <c r="N257" s="870"/>
      <c r="O257" s="48">
        <f>IF(t&lt;Tnet,'2025'!Resal+('2025'!Salim-'2025'!Resal)*(1-EXP(('2025'!Tnet-t)/('2025'!Tau_j))),Resal+(Salim-Resal)*(1-EXP((Tnet-t)/(Tau_j))))*Salcycl</f>
        <v>6.1497671622519019E-2</v>
      </c>
      <c r="P257" s="171">
        <f>(INDEX(Models!$BJ257:$BT257,,T257)*(1-R257)+INDEX(Models!$BJ257:$BT257,,T257+1)*R257-ERP_i)*Q257*Ramure*Pc/MaxiM</f>
        <v>2.1678312534039136E-3</v>
      </c>
      <c r="Q257" s="307">
        <f t="shared" si="80"/>
        <v>1</v>
      </c>
      <c r="R257" s="179">
        <f t="shared" si="81"/>
        <v>0.5417087535463847</v>
      </c>
      <c r="S257" s="837">
        <f t="shared" si="82"/>
        <v>-2</v>
      </c>
      <c r="T257" s="178">
        <f t="shared" si="83"/>
        <v>4</v>
      </c>
      <c r="U257" s="253">
        <f t="shared" si="84"/>
        <v>-1.4582912464536153</v>
      </c>
      <c r="V257" s="385">
        <f t="shared" si="85"/>
        <v>46.090932886444769</v>
      </c>
      <c r="W257" s="404">
        <f t="shared" si="86"/>
        <v>20.48048259749098</v>
      </c>
      <c r="X257" s="157">
        <f t="shared" si="87"/>
        <v>46265</v>
      </c>
      <c r="Y257" s="387">
        <f t="shared" si="88"/>
        <v>18.991576508343737</v>
      </c>
      <c r="Z257" s="387">
        <f t="shared" si="89"/>
        <v>20.342121583330997</v>
      </c>
      <c r="AA257" s="388">
        <f t="shared" si="90"/>
        <v>23.276925551807089</v>
      </c>
      <c r="AB257" s="199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0.12608211346228462</v>
      </c>
      <c r="AD257" s="233">
        <f>(INDEX(Models!$BJ257:$BT257,,AH257)*(1-AF257)+INDEX(Models!$BJ257:$BT257,,AH257+1)*AF257-ERP_i)*AE257*Ramure*Pc/MaxiM</f>
        <v>2.2376632631021715E-2</v>
      </c>
      <c r="AE257" s="307">
        <f t="shared" si="92"/>
        <v>1</v>
      </c>
      <c r="AF257" s="179">
        <f t="shared" si="93"/>
        <v>0.47669134646995515</v>
      </c>
      <c r="AG257" s="837">
        <f t="shared" si="99"/>
        <v>3</v>
      </c>
      <c r="AH257" s="178">
        <f t="shared" si="94"/>
        <v>9</v>
      </c>
      <c r="AI257" s="227">
        <f t="shared" si="95"/>
        <v>3.4766913464699551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46266</v>
      </c>
      <c r="B258" s="1139">
        <f>IF(t&gt;Tmaj,'2025'!Wh/'2025'!Env_an*'2026'!Env_an,0.001*'[11]mon-tableau (3)'!$B$202)</f>
        <v>41.266123510482572</v>
      </c>
      <c r="C258" s="866"/>
      <c r="D258" s="395">
        <f t="shared" si="77"/>
        <v>44.201703677186586</v>
      </c>
      <c r="E258" s="387">
        <f t="shared" si="100"/>
        <v>47.109836403397807</v>
      </c>
      <c r="F258" s="387">
        <f t="shared" si="78"/>
        <v>47.200689352418983</v>
      </c>
      <c r="G258" s="110">
        <f t="shared" si="101"/>
        <v>0.90101521832013287</v>
      </c>
      <c r="H258" s="414" t="b">
        <f>Wh_hp&gt;='2025'!Maxi_hp</f>
        <v>0</v>
      </c>
      <c r="I258" s="392">
        <f>IF(H258,Wh_hp,'2025'!Maxi_hp)</f>
        <v>47.209660882087292</v>
      </c>
      <c r="J258" s="85">
        <f>IF(H258,An,'2025'!An_max)</f>
        <v>2025</v>
      </c>
      <c r="K258" s="199">
        <f t="shared" si="79"/>
        <v>46266</v>
      </c>
      <c r="L258" s="147">
        <f>IF(t&lt;Tvie,1-EXP((T0-t)*PertePVj)+'2025'!Pspv,1-EXP((T0-t)*PertePVj)+Pspv)</f>
        <v>6.6413280993490864E-2</v>
      </c>
      <c r="M258" s="870"/>
      <c r="N258" s="870"/>
      <c r="O258" s="48">
        <f>IF(t&lt;Tnet,'2025'!Resal+('2025'!Salim-'2025'!Resal)*(1-EXP(('2025'!Tnet-t)/('2025'!Tau_j))),Resal+(Salim-Resal)*(1-EXP((Tnet-t)/(Tau_j))))*Salcycl</f>
        <v>6.1730902678351719E-2</v>
      </c>
      <c r="P258" s="171">
        <f>(INDEX(Models!$BJ258:$BT258,,T258)*(1-R258)+INDEX(Models!$BJ258:$BT258,,T258+1)*R258-ERP_i)*Q258*Ramure*Pc/MaxiM</f>
        <v>2.2407692722121678E-3</v>
      </c>
      <c r="Q258" s="307">
        <f t="shared" si="80"/>
        <v>1</v>
      </c>
      <c r="R258" s="179">
        <f t="shared" si="81"/>
        <v>0.54261751032205474</v>
      </c>
      <c r="S258" s="837">
        <f t="shared" si="82"/>
        <v>-2</v>
      </c>
      <c r="T258" s="178">
        <f t="shared" si="83"/>
        <v>4</v>
      </c>
      <c r="U258" s="253">
        <f t="shared" si="84"/>
        <v>-1.4573824896779453</v>
      </c>
      <c r="V258" s="385">
        <f t="shared" si="85"/>
        <v>45.785087342869815</v>
      </c>
      <c r="W258" s="404">
        <f t="shared" si="86"/>
        <v>41.266123510482572</v>
      </c>
      <c r="X258" s="157">
        <f t="shared" si="87"/>
        <v>46266</v>
      </c>
      <c r="Y258" s="387">
        <f t="shared" si="88"/>
        <v>37.749784351148499</v>
      </c>
      <c r="Z258" s="387">
        <f t="shared" si="89"/>
        <v>40.43521997755122</v>
      </c>
      <c r="AA258" s="388">
        <f t="shared" si="90"/>
        <v>46.27403880676259</v>
      </c>
      <c r="AB258" s="199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0.12617914882238626</v>
      </c>
      <c r="AD258" s="233">
        <f>(INDEX(Models!$BJ258:$BT258,,AH258)*(1-AF258)+INDEX(Models!$BJ258:$BT258,,AH258+1)*AF258-ERP_i)*AE258*Ramure*Pc/MaxiM</f>
        <v>2.2854624876309123E-2</v>
      </c>
      <c r="AE258" s="307">
        <f t="shared" si="92"/>
        <v>1</v>
      </c>
      <c r="AF258" s="179">
        <f t="shared" si="93"/>
        <v>0.47760010324562518</v>
      </c>
      <c r="AG258" s="837">
        <f t="shared" si="99"/>
        <v>3</v>
      </c>
      <c r="AH258" s="178">
        <f t="shared" si="94"/>
        <v>9</v>
      </c>
      <c r="AI258" s="227">
        <f t="shared" si="95"/>
        <v>3.4776001032456252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46267</v>
      </c>
      <c r="B259" s="1139">
        <f>IF(t&gt;Tmaj,'2025'!Wh/'2025'!Env_an*'2026'!Env_an,0.001*'[11]mon-tableau (3)'!$B$203)</f>
        <v>35.868965568191683</v>
      </c>
      <c r="C259" s="866"/>
      <c r="D259" s="395">
        <f t="shared" si="77"/>
        <v>38.421498057533135</v>
      </c>
      <c r="E259" s="387">
        <f t="shared" si="100"/>
        <v>40.959469335586853</v>
      </c>
      <c r="F259" s="387">
        <f t="shared" si="78"/>
        <v>41.025739104426656</v>
      </c>
      <c r="G259" s="110">
        <f t="shared" si="101"/>
        <v>0.7882455468181</v>
      </c>
      <c r="H259" s="414" t="b">
        <f>Wh_hp&gt;='2025'!Maxi_hp</f>
        <v>0</v>
      </c>
      <c r="I259" s="392">
        <f>IF(H259,Wh_hp,'2025'!Maxi_hp)</f>
        <v>49.191044286339199</v>
      </c>
      <c r="J259" s="85">
        <f>IF(H259,An,'2025'!An_max)</f>
        <v>2019</v>
      </c>
      <c r="K259" s="199">
        <f t="shared" si="79"/>
        <v>46267</v>
      </c>
      <c r="L259" s="147">
        <f>IF(t&lt;Tvie,1-EXP((T0-t)*PertePVj)+'2025'!Pspv,1-EXP((T0-t)*PertePVj)+Pspv)</f>
        <v>6.6435006920324557E-2</v>
      </c>
      <c r="M259" s="870"/>
      <c r="N259" s="870"/>
      <c r="O259" s="48">
        <f>IF(t&lt;Tnet,'2025'!Resal+('2025'!Salim-'2025'!Resal)*(1-EXP(('2025'!Tnet-t)/('2025'!Tau_j))),Resal+(Salim-Resal)*(1-EXP((Tnet-t)/(Tau_j))))*Salcycl</f>
        <v>6.1962992177944348E-2</v>
      </c>
      <c r="P259" s="171">
        <f>(INDEX(Models!$BJ259:$BT259,,T259)*(1-R259)+INDEX(Models!$BJ259:$BT259,,T259+1)*R259-ERP_i)*Q259*Ramure*Pc/MaxiM</f>
        <v>2.3132819125422721E-3</v>
      </c>
      <c r="Q259" s="307">
        <f t="shared" si="80"/>
        <v>1</v>
      </c>
      <c r="R259" s="179">
        <f t="shared" si="81"/>
        <v>0.54349197218194401</v>
      </c>
      <c r="S259" s="837">
        <f t="shared" si="82"/>
        <v>-2</v>
      </c>
      <c r="T259" s="178">
        <f t="shared" si="83"/>
        <v>4</v>
      </c>
      <c r="U259" s="253">
        <f t="shared" si="84"/>
        <v>-1.456508027818056</v>
      </c>
      <c r="V259" s="385">
        <f t="shared" si="85"/>
        <v>45.473000258351298</v>
      </c>
      <c r="W259" s="404">
        <f t="shared" si="86"/>
        <v>35.868965568191683</v>
      </c>
      <c r="X259" s="157">
        <f t="shared" si="87"/>
        <v>46267</v>
      </c>
      <c r="Y259" s="387">
        <f t="shared" si="88"/>
        <v>32.918220292475553</v>
      </c>
      <c r="Z259" s="387">
        <f t="shared" si="89"/>
        <v>35.260769776599943</v>
      </c>
      <c r="AA259" s="388">
        <f t="shared" si="90"/>
        <v>40.356815825329605</v>
      </c>
      <c r="AB259" s="199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0.12627473066225339</v>
      </c>
      <c r="AD259" s="233">
        <f>(INDEX(Models!$BJ259:$BT259,,AH259)*(1-AF259)+INDEX(Models!$BJ259:$BT259,,AH259+1)*AF259-ERP_i)*AE259*Ramure*Pc/MaxiM</f>
        <v>2.3350136110393261E-2</v>
      </c>
      <c r="AE259" s="307">
        <f t="shared" si="92"/>
        <v>1</v>
      </c>
      <c r="AF259" s="179">
        <f t="shared" si="93"/>
        <v>0.47847456510551467</v>
      </c>
      <c r="AG259" s="837">
        <f t="shared" si="99"/>
        <v>3</v>
      </c>
      <c r="AH259" s="178">
        <f t="shared" si="94"/>
        <v>9</v>
      </c>
      <c r="AI259" s="227">
        <f t="shared" si="95"/>
        <v>3.4784745651055147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46268</v>
      </c>
      <c r="B260" s="1139">
        <f>IF(t&gt;Tmaj,'2025'!Wh/'2025'!Env_an*'2026'!Env_an,0.001*'[11]mon-tableau (3)'!$B$204)</f>
        <v>29.519114453428724</v>
      </c>
      <c r="C260" s="866"/>
      <c r="D260" s="395">
        <f t="shared" si="77"/>
        <v>31.620510238877497</v>
      </c>
      <c r="E260" s="387">
        <f t="shared" si="100"/>
        <v>33.717535693032509</v>
      </c>
      <c r="F260" s="387">
        <f t="shared" si="78"/>
        <v>33.758228859829316</v>
      </c>
      <c r="G260" s="110">
        <f t="shared" si="101"/>
        <v>0.65296380772423257</v>
      </c>
      <c r="H260" s="414" t="b">
        <f>Wh_hp&gt;='2025'!Maxi_hp</f>
        <v>0</v>
      </c>
      <c r="I260" s="392">
        <f>IF(H260,Wh_hp,'2025'!Maxi_hp)</f>
        <v>51.164853972749853</v>
      </c>
      <c r="J260" s="85">
        <f>IF(H260,An,'2025'!An_max)</f>
        <v>2019</v>
      </c>
      <c r="K260" s="199">
        <f t="shared" si="79"/>
        <v>46268</v>
      </c>
      <c r="L260" s="147">
        <f>IF(t&lt;Tvie,1-EXP((T0-t)*PertePVj)+'2025'!Pspv,1-EXP((T0-t)*PertePVj)+Pspv)</f>
        <v>6.645673234156424E-2</v>
      </c>
      <c r="M260" s="870"/>
      <c r="N260" s="870"/>
      <c r="O260" s="48">
        <f>IF(t&lt;Tnet,'2025'!Resal+('2025'!Salim-'2025'!Resal)*(1-EXP(('2025'!Tnet-t)/('2025'!Tau_j))),Resal+(Salim-Resal)*(1-EXP((Tnet-t)/(Tau_j))))*Salcycl</f>
        <v>6.2193912189981014E-2</v>
      </c>
      <c r="P260" s="171">
        <f>(INDEX(Models!$BJ260:$BT260,,T260)*(1-R260)+INDEX(Models!$BJ260:$BT260,,T260+1)*R260-ERP_i)*Q260*Ramure*Pc/MaxiM</f>
        <v>2.3853958593739706E-3</v>
      </c>
      <c r="Q260" s="307">
        <f t="shared" si="80"/>
        <v>1</v>
      </c>
      <c r="R260" s="179">
        <f t="shared" si="81"/>
        <v>0.54433334709201953</v>
      </c>
      <c r="S260" s="837">
        <f t="shared" si="82"/>
        <v>-2</v>
      </c>
      <c r="T260" s="178">
        <f t="shared" si="83"/>
        <v>4</v>
      </c>
      <c r="U260" s="253">
        <f t="shared" si="84"/>
        <v>-1.4556666529079805</v>
      </c>
      <c r="V260" s="385">
        <f t="shared" si="85"/>
        <v>45.154479477412615</v>
      </c>
      <c r="W260" s="404">
        <f t="shared" si="86"/>
        <v>29.519114453428724</v>
      </c>
      <c r="X260" s="157">
        <f t="shared" si="87"/>
        <v>46268</v>
      </c>
      <c r="Y260" s="387">
        <f t="shared" si="88"/>
        <v>27.200262843362207</v>
      </c>
      <c r="Z260" s="387">
        <f t="shared" si="89"/>
        <v>29.136585079326203</v>
      </c>
      <c r="AA260" s="388">
        <f t="shared" si="90"/>
        <v>33.351127388432751</v>
      </c>
      <c r="AB260" s="199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0.12636881086569474</v>
      </c>
      <c r="AD260" s="233">
        <f>(INDEX(Models!$BJ260:$BT260,,AH260)*(1-AF260)+INDEX(Models!$BJ260:$BT260,,AH260+1)*AF260-ERP_i)*AE260*Ramure*Pc/MaxiM</f>
        <v>2.3863912313913233E-2</v>
      </c>
      <c r="AE260" s="307">
        <f t="shared" si="92"/>
        <v>1</v>
      </c>
      <c r="AF260" s="179">
        <f t="shared" si="93"/>
        <v>0.47931594001558997</v>
      </c>
      <c r="AG260" s="837">
        <f t="shared" si="99"/>
        <v>3</v>
      </c>
      <c r="AH260" s="178">
        <f t="shared" si="94"/>
        <v>9</v>
      </c>
      <c r="AI260" s="227">
        <f t="shared" si="95"/>
        <v>3.47931594001559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46269</v>
      </c>
      <c r="B261" s="1139">
        <f>IF(t&gt;Tmaj,'2025'!Wh/'2025'!Env_an*'2026'!Env_an,0.001*'[11]mon-tableau (3)'!$B$205)</f>
        <v>42.960733146359409</v>
      </c>
      <c r="C261" s="866"/>
      <c r="D261" s="395">
        <f t="shared" si="77"/>
        <v>46.020076858790567</v>
      </c>
      <c r="E261" s="387">
        <f t="shared" si="100"/>
        <v>49.084083714223119</v>
      </c>
      <c r="F261" s="387">
        <f t="shared" si="78"/>
        <v>49.197774800794875</v>
      </c>
      <c r="G261" s="110">
        <f t="shared" si="101"/>
        <v>0.95818930988026241</v>
      </c>
      <c r="H261" s="414" t="b">
        <f>Wh_hp&gt;='2025'!Maxi_hp</f>
        <v>0</v>
      </c>
      <c r="I261" s="392">
        <f>IF(H261,Wh_hp,'2025'!Maxi_hp)</f>
        <v>50.630743838713244</v>
      </c>
      <c r="J261" s="85">
        <f>IF(H261,An,'2025'!An_max)</f>
        <v>2019</v>
      </c>
      <c r="K261" s="199">
        <f t="shared" si="79"/>
        <v>46269</v>
      </c>
      <c r="L261" s="147">
        <f>IF(t&lt;Tvie,1-EXP((T0-t)*PertePVj)+'2025'!Pspv,1-EXP((T0-t)*PertePVj)+Pspv)</f>
        <v>6.6478457257221568E-2</v>
      </c>
      <c r="M261" s="870"/>
      <c r="N261" s="870"/>
      <c r="O261" s="48">
        <f>IF(t&lt;Tnet,'2025'!Resal+('2025'!Salim-'2025'!Resal)*(1-EXP(('2025'!Tnet-t)/('2025'!Tau_j))),Resal+(Salim-Resal)*(1-EXP((Tnet-t)/(Tau_j))))*Salcycl</f>
        <v>6.2423633560560819E-2</v>
      </c>
      <c r="P261" s="171">
        <f>(INDEX(Models!$BJ261:$BT261,,T261)*(1-R261)+INDEX(Models!$BJ261:$BT261,,T261+1)*R261-ERP_i)*Q261*Ramure*Pc/MaxiM</f>
        <v>2.4571715300963264E-3</v>
      </c>
      <c r="Q261" s="307">
        <f t="shared" si="80"/>
        <v>1</v>
      </c>
      <c r="R261" s="179">
        <f t="shared" si="81"/>
        <v>0.54514280710808949</v>
      </c>
      <c r="S261" s="837">
        <f t="shared" si="82"/>
        <v>-2</v>
      </c>
      <c r="T261" s="178">
        <f t="shared" si="83"/>
        <v>4</v>
      </c>
      <c r="U261" s="253">
        <f t="shared" si="84"/>
        <v>-1.4548571928919105</v>
      </c>
      <c r="V261" s="385">
        <f t="shared" si="85"/>
        <v>44.828755832771414</v>
      </c>
      <c r="W261" s="404">
        <f t="shared" si="86"/>
        <v>42.960733146359409</v>
      </c>
      <c r="X261" s="157">
        <f t="shared" si="87"/>
        <v>46269</v>
      </c>
      <c r="Y261" s="387">
        <f t="shared" si="88"/>
        <v>39.198646283409083</v>
      </c>
      <c r="Z261" s="387">
        <f t="shared" si="89"/>
        <v>41.990082165902237</v>
      </c>
      <c r="AA261" s="388">
        <f t="shared" si="90"/>
        <v>48.068945379138611</v>
      </c>
      <c r="AB261" s="199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0.1264613393385271</v>
      </c>
      <c r="AD261" s="233">
        <f>(INDEX(Models!$BJ261:$BT261,,AH261)*(1-AF261)+INDEX(Models!$BJ261:$BT261,,AH261+1)*AF261-ERP_i)*AE261*Ramure*Pc/MaxiM</f>
        <v>2.4397053461866623E-2</v>
      </c>
      <c r="AE261" s="307">
        <f t="shared" si="92"/>
        <v>1</v>
      </c>
      <c r="AF261" s="179">
        <f t="shared" si="93"/>
        <v>0.48012540003165993</v>
      </c>
      <c r="AG261" s="837">
        <f t="shared" si="99"/>
        <v>3</v>
      </c>
      <c r="AH261" s="178">
        <f t="shared" si="94"/>
        <v>9</v>
      </c>
      <c r="AI261" s="227">
        <f t="shared" si="95"/>
        <v>3.4801254000316599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46270</v>
      </c>
      <c r="B262" s="1139">
        <f>IF(t&gt;Tmaj,'2025'!Wh/'2025'!Env_an*'2026'!Env_an,0.001*'[11]mon-tableau (3)'!$B$206)</f>
        <v>37.092025485858215</v>
      </c>
      <c r="C262" s="866"/>
      <c r="D262" s="395">
        <f t="shared" si="77"/>
        <v>39.734368188852635</v>
      </c>
      <c r="E262" s="387">
        <f t="shared" si="100"/>
        <v>42.390204623344886</v>
      </c>
      <c r="F262" s="387">
        <f t="shared" si="78"/>
        <v>42.472050001894722</v>
      </c>
      <c r="G262" s="110">
        <f t="shared" si="101"/>
        <v>0.83311006086147654</v>
      </c>
      <c r="H262" s="414" t="b">
        <f>Wh_hp&gt;='2025'!Maxi_hp</f>
        <v>0</v>
      </c>
      <c r="I262" s="392">
        <f>IF(H262,Wh_hp,'2025'!Maxi_hp)</f>
        <v>48.60501068816032</v>
      </c>
      <c r="J262" s="85">
        <f>IF(H262,An,'2025'!An_max)</f>
        <v>2020</v>
      </c>
      <c r="K262" s="199">
        <f t="shared" si="79"/>
        <v>46270</v>
      </c>
      <c r="L262" s="147">
        <f>IF(t&lt;Tvie,1-EXP((T0-t)*PertePVj)+'2025'!Pspv,1-EXP((T0-t)*PertePVj)+Pspv)</f>
        <v>6.6500181667308422E-2</v>
      </c>
      <c r="M262" s="870"/>
      <c r="N262" s="870"/>
      <c r="O262" s="48">
        <f>IF(t&lt;Tnet,'2025'!Resal+('2025'!Salim-'2025'!Resal)*(1-EXP(('2025'!Tnet-t)/('2025'!Tau_j))),Resal+(Salim-Resal)*(1-EXP((Tnet-t)/(Tau_j))))*Salcycl</f>
        <v>6.2652125841111059E-2</v>
      </c>
      <c r="P262" s="171">
        <f>(INDEX(Models!$BJ262:$BT262,,T262)*(1-R262)+INDEX(Models!$BJ262:$BT262,,T262+1)*R262-ERP_i)*Q262*Ramure*Pc/MaxiM</f>
        <v>2.5279207150444107E-3</v>
      </c>
      <c r="Q262" s="307">
        <f t="shared" si="80"/>
        <v>1</v>
      </c>
      <c r="R262" s="179">
        <f t="shared" si="81"/>
        <v>0.54592148891797021</v>
      </c>
      <c r="S262" s="837">
        <f t="shared" si="82"/>
        <v>-2</v>
      </c>
      <c r="T262" s="178">
        <f t="shared" si="83"/>
        <v>4</v>
      </c>
      <c r="U262" s="253">
        <f t="shared" si="84"/>
        <v>-1.4540785110820298</v>
      </c>
      <c r="V262" s="385">
        <f t="shared" si="85"/>
        <v>44.495555084933876</v>
      </c>
      <c r="W262" s="404">
        <f t="shared" si="86"/>
        <v>37.092025485858215</v>
      </c>
      <c r="X262" s="157">
        <f t="shared" si="87"/>
        <v>46270</v>
      </c>
      <c r="Y262" s="387">
        <f t="shared" si="88"/>
        <v>33.970677972963095</v>
      </c>
      <c r="Z262" s="387">
        <f t="shared" si="89"/>
        <v>36.390663721432269</v>
      </c>
      <c r="AA262" s="388">
        <f t="shared" si="90"/>
        <v>41.663241218511018</v>
      </c>
      <c r="AB262" s="199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0.12655226388714413</v>
      </c>
      <c r="AD262" s="233">
        <f>(INDEX(Models!$BJ262:$BT262,,AH262)*(1-AF262)+INDEX(Models!$BJ262:$BT262,,AH262+1)*AF262-ERP_i)*AE262*Ramure*Pc/MaxiM</f>
        <v>2.4981306388370334E-2</v>
      </c>
      <c r="AE262" s="307">
        <f t="shared" si="92"/>
        <v>1</v>
      </c>
      <c r="AF262" s="179">
        <f t="shared" si="93"/>
        <v>0.48090408184154043</v>
      </c>
      <c r="AG262" s="837">
        <f t="shared" si="99"/>
        <v>3</v>
      </c>
      <c r="AH262" s="178">
        <f t="shared" si="94"/>
        <v>9</v>
      </c>
      <c r="AI262" s="227">
        <f t="shared" si="95"/>
        <v>3.4809040818415404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46271</v>
      </c>
      <c r="B263" s="1139">
        <f>IF(t&gt;Tmaj,'2025'!Wh/'2025'!Env_an*'2026'!Env_an,0.001*'[11]mon-tableau (3)'!$B$207)</f>
        <v>41.607530027348034</v>
      </c>
      <c r="C263" s="866"/>
      <c r="D263" s="395">
        <f t="shared" si="77"/>
        <v>44.57258319793381</v>
      </c>
      <c r="E263" s="387">
        <f t="shared" si="100"/>
        <v>47.563335138561413</v>
      </c>
      <c r="F263" s="387">
        <f t="shared" si="78"/>
        <v>47.677003268070536</v>
      </c>
      <c r="G263" s="110">
        <f t="shared" si="101"/>
        <v>0.94209646423431304</v>
      </c>
      <c r="H263" s="414" t="b">
        <f>Wh_hp&gt;='2025'!Maxi_hp</f>
        <v>0</v>
      </c>
      <c r="I263" s="392">
        <f>IF(H263,Wh_hp,'2025'!Maxi_hp)</f>
        <v>51.979212378770349</v>
      </c>
      <c r="J263" s="85">
        <f>IF(H263,An,'2025'!An_max)</f>
        <v>2019</v>
      </c>
      <c r="K263" s="199">
        <f t="shared" si="79"/>
        <v>46271</v>
      </c>
      <c r="L263" s="147">
        <f>IF(t&lt;Tvie,1-EXP((T0-t)*PertePVj)+'2025'!Pspv,1-EXP((T0-t)*PertePVj)+Pspv)</f>
        <v>6.6521905571836459E-2</v>
      </c>
      <c r="M263" s="870"/>
      <c r="N263" s="870"/>
      <c r="O263" s="48">
        <f>IF(t&lt;Tnet,'2025'!Resal+('2025'!Salim-'2025'!Resal)*(1-EXP(('2025'!Tnet-t)/('2025'!Tau_j))),Resal+(Salim-Resal)*(1-EXP((Tnet-t)/(Tau_j))))*Salcycl</f>
        <v>6.2879357217380805E-2</v>
      </c>
      <c r="P263" s="171">
        <f>(INDEX(Models!$BJ263:$BT263,,T263)*(1-R263)+INDEX(Models!$BJ263:$BT263,,T263+1)*R263-ERP_i)*Q263*Ramure*Pc/MaxiM</f>
        <v>2.5983085037123658E-3</v>
      </c>
      <c r="Q263" s="307">
        <f t="shared" si="80"/>
        <v>1</v>
      </c>
      <c r="R263" s="179">
        <f t="shared" si="81"/>
        <v>0.54667049442225446</v>
      </c>
      <c r="S263" s="837">
        <f t="shared" si="82"/>
        <v>-2</v>
      </c>
      <c r="T263" s="178">
        <f t="shared" si="83"/>
        <v>4</v>
      </c>
      <c r="U263" s="253">
        <f t="shared" si="84"/>
        <v>-1.4533295055777455</v>
      </c>
      <c r="V263" s="385">
        <f t="shared" si="85"/>
        <v>44.155348027011932</v>
      </c>
      <c r="W263" s="404">
        <f t="shared" si="86"/>
        <v>41.607530027348034</v>
      </c>
      <c r="X263" s="157">
        <f t="shared" si="87"/>
        <v>46271</v>
      </c>
      <c r="Y263" s="387">
        <f t="shared" si="88"/>
        <v>37.955263270020026</v>
      </c>
      <c r="Z263" s="387">
        <f t="shared" si="89"/>
        <v>40.660047082594822</v>
      </c>
      <c r="AA263" s="388">
        <f t="shared" si="90"/>
        <v>46.555965830733484</v>
      </c>
      <c r="AB263" s="199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0.12664153010110107</v>
      </c>
      <c r="AD263" s="233">
        <f>(INDEX(Models!$BJ263:$BT263,,AH263)*(1-AF263)+INDEX(Models!$BJ263:$BT263,,AH263+1)*AF263-ERP_i)*AE263*Ramure*Pc/MaxiM</f>
        <v>2.5625486396157929E-2</v>
      </c>
      <c r="AE263" s="307">
        <f t="shared" si="92"/>
        <v>1</v>
      </c>
      <c r="AF263" s="179">
        <f t="shared" si="93"/>
        <v>0.4816530873458249</v>
      </c>
      <c r="AG263" s="837">
        <f t="shared" si="99"/>
        <v>3</v>
      </c>
      <c r="AH263" s="178">
        <f t="shared" si="94"/>
        <v>9</v>
      </c>
      <c r="AI263" s="227">
        <f t="shared" si="95"/>
        <v>3.4816530873458249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46272</v>
      </c>
      <c r="B264" s="1139">
        <f>IF(t&gt;Tmaj,'2025'!Wh/'2025'!Env_an*'2026'!Env_an,0.001*'[11]mon-tableau (3)'!$B$208)</f>
        <v>33.549770753587254</v>
      </c>
      <c r="C264" s="866"/>
      <c r="D264" s="395">
        <f t="shared" si="77"/>
        <v>35.941444929661735</v>
      </c>
      <c r="E264" s="387">
        <f t="shared" si="100"/>
        <v>38.362309784040612</v>
      </c>
      <c r="F264" s="387">
        <f t="shared" si="78"/>
        <v>38.43055013558174</v>
      </c>
      <c r="G264" s="110">
        <f t="shared" si="101"/>
        <v>0.7651406903823168</v>
      </c>
      <c r="H264" s="414" t="b">
        <f>Wh_hp&gt;='2025'!Maxi_hp</f>
        <v>0</v>
      </c>
      <c r="I264" s="392">
        <f>IF(H264,Wh_hp,'2025'!Maxi_hp)</f>
        <v>50.735283993858943</v>
      </c>
      <c r="J264" s="85">
        <f>IF(H264,An,'2025'!An_max)</f>
        <v>2019</v>
      </c>
      <c r="K264" s="199">
        <f t="shared" si="79"/>
        <v>46272</v>
      </c>
      <c r="L264" s="147">
        <f>IF(t&lt;Tvie,1-EXP((T0-t)*PertePVj)+'2025'!Pspv,1-EXP((T0-t)*PertePVj)+Pspv)</f>
        <v>6.6543628970817559E-2</v>
      </c>
      <c r="M264" s="870"/>
      <c r="N264" s="870"/>
      <c r="O264" s="48">
        <f>IF(t&lt;Tnet,'2025'!Resal+('2025'!Salim-'2025'!Resal)*(1-EXP(('2025'!Tnet-t)/('2025'!Tau_j))),Resal+(Salim-Resal)*(1-EXP((Tnet-t)/(Tau_j))))*Salcycl</f>
        <v>6.3105294441524878E-2</v>
      </c>
      <c r="P264" s="171">
        <f>(INDEX(Models!$BJ264:$BT264,,T264)*(1-R264)+INDEX(Models!$BJ264:$BT264,,T264+1)*R264-ERP_i)*Q264*Ramure*Pc/MaxiM</f>
        <v>2.6683292467978943E-3</v>
      </c>
      <c r="Q264" s="307">
        <f t="shared" si="80"/>
        <v>1</v>
      </c>
      <c r="R264" s="179">
        <f t="shared" si="81"/>
        <v>0.54739089134850705</v>
      </c>
      <c r="S264" s="837">
        <f t="shared" si="82"/>
        <v>-2</v>
      </c>
      <c r="T264" s="178">
        <f t="shared" si="83"/>
        <v>4</v>
      </c>
      <c r="U264" s="253">
        <f t="shared" si="84"/>
        <v>-1.452609108651493</v>
      </c>
      <c r="V264" s="385">
        <f t="shared" si="85"/>
        <v>43.808635088431437</v>
      </c>
      <c r="W264" s="404">
        <f t="shared" si="86"/>
        <v>33.549770753587254</v>
      </c>
      <c r="X264" s="157">
        <f t="shared" si="87"/>
        <v>46272</v>
      </c>
      <c r="Y264" s="387">
        <f t="shared" si="88"/>
        <v>30.778133261677826</v>
      </c>
      <c r="Z264" s="387">
        <f t="shared" si="89"/>
        <v>32.972224751911426</v>
      </c>
      <c r="AA264" s="388">
        <f t="shared" si="90"/>
        <v>37.757154216091365</v>
      </c>
      <c r="AB264" s="199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0.12672908124364668</v>
      </c>
      <c r="AD264" s="233">
        <f>(INDEX(Models!$BJ264:$BT264,,AH264)*(1-AF264)+INDEX(Models!$BJ264:$BT264,,AH264+1)*AF264-ERP_i)*AE264*Ramure*Pc/MaxiM</f>
        <v>2.6331078109520983E-2</v>
      </c>
      <c r="AE264" s="307">
        <f t="shared" si="92"/>
        <v>1</v>
      </c>
      <c r="AF264" s="179">
        <f t="shared" si="93"/>
        <v>0.48237348427207749</v>
      </c>
      <c r="AG264" s="837">
        <f t="shared" si="99"/>
        <v>3</v>
      </c>
      <c r="AH264" s="178">
        <f t="shared" si="94"/>
        <v>9</v>
      </c>
      <c r="AI264" s="227">
        <f t="shared" si="95"/>
        <v>3.4823734842720775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46273</v>
      </c>
      <c r="B265" s="1139">
        <f>IF(t&gt;Tmaj,'2025'!Wh/'2025'!Env_an*'2026'!Env_an,0.001*'[11]mon-tableau (3)'!$B$209)</f>
        <v>36.108892640534719</v>
      </c>
      <c r="C265" s="866"/>
      <c r="D265" s="395">
        <f t="shared" si="77"/>
        <v>38.683900059475718</v>
      </c>
      <c r="E265" s="387">
        <f t="shared" si="100"/>
        <v>41.299386170059314</v>
      </c>
      <c r="F265" s="387">
        <f t="shared" si="78"/>
        <v>41.385330302080632</v>
      </c>
      <c r="G265" s="110">
        <f t="shared" si="101"/>
        <v>0.83038093802971114</v>
      </c>
      <c r="H265" s="414" t="b">
        <f>Wh_hp&gt;='2025'!Maxi_hp</f>
        <v>0</v>
      </c>
      <c r="I265" s="392">
        <f>IF(H265,Wh_hp,'2025'!Maxi_hp)</f>
        <v>44.572005255446598</v>
      </c>
      <c r="J265" s="85">
        <f>IF(H265,An,'2025'!An_max)</f>
        <v>2019</v>
      </c>
      <c r="K265" s="199">
        <f t="shared" si="79"/>
        <v>46273</v>
      </c>
      <c r="L265" s="147">
        <f>IF(t&lt;Tvie,1-EXP((T0-t)*PertePVj)+'2025'!Pspv,1-EXP((T0-t)*PertePVj)+Pspv)</f>
        <v>6.6565351864263378E-2</v>
      </c>
      <c r="M265" s="870"/>
      <c r="N265" s="870"/>
      <c r="O265" s="48">
        <f>IF(t&lt;Tnet,'2025'!Resal+('2025'!Salim-'2025'!Resal)*(1-EXP(('2025'!Tnet-t)/('2025'!Tau_j))),Resal+(Salim-Resal)*(1-EXP((Tnet-t)/(Tau_j))))*Salcycl</f>
        <v>6.3329902769347676E-2</v>
      </c>
      <c r="P265" s="171">
        <f>(INDEX(Models!$BJ265:$BT265,,T265)*(1-R265)+INDEX(Models!$BJ265:$BT265,,T265+1)*R265-ERP_i)*Q265*Ramure*Pc/MaxiM</f>
        <v>2.7379738364485444E-3</v>
      </c>
      <c r="Q265" s="307">
        <f t="shared" si="80"/>
        <v>1</v>
      </c>
      <c r="R265" s="179">
        <f t="shared" si="81"/>
        <v>0.5480837138940915</v>
      </c>
      <c r="S265" s="837">
        <f t="shared" si="82"/>
        <v>-2</v>
      </c>
      <c r="T265" s="178">
        <f t="shared" si="83"/>
        <v>4</v>
      </c>
      <c r="U265" s="253">
        <f t="shared" si="84"/>
        <v>-1.4519162861059085</v>
      </c>
      <c r="V265" s="385">
        <f t="shared" si="85"/>
        <v>43.455916130889712</v>
      </c>
      <c r="W265" s="404">
        <f t="shared" si="86"/>
        <v>36.108892640534719</v>
      </c>
      <c r="X265" s="157">
        <f t="shared" si="87"/>
        <v>46273</v>
      </c>
      <c r="Y265" s="387">
        <f t="shared" si="88"/>
        <v>33.038248701265452</v>
      </c>
      <c r="Z265" s="387">
        <f t="shared" si="89"/>
        <v>35.39428150353077</v>
      </c>
      <c r="AA265" s="388">
        <f t="shared" si="90"/>
        <v>40.534681372051665</v>
      </c>
      <c r="AB265" s="199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0.12681485815416224</v>
      </c>
      <c r="AD265" s="233">
        <f>(INDEX(Models!$BJ265:$BT265,,AH265)*(1-AF265)+INDEX(Models!$BJ265:$BT265,,AH265+1)*AF265-ERP_i)*AE265*Ramure*Pc/MaxiM</f>
        <v>2.7099633909205317E-2</v>
      </c>
      <c r="AE265" s="307">
        <f t="shared" si="92"/>
        <v>1</v>
      </c>
      <c r="AF265" s="179">
        <f t="shared" si="93"/>
        <v>0.48306630681766194</v>
      </c>
      <c r="AG265" s="837">
        <f t="shared" si="99"/>
        <v>3</v>
      </c>
      <c r="AH265" s="178">
        <f t="shared" si="94"/>
        <v>9</v>
      </c>
      <c r="AI265" s="227">
        <f t="shared" si="95"/>
        <v>3.4830663068176619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46274</v>
      </c>
      <c r="B266" s="1139">
        <f>IF(t&gt;Tmaj,'2025'!Wh/'2025'!Env_an*'2026'!Env_an,0.001*'[11]mon-tableau (3)'!$B$210)</f>
        <v>20.533964801092534</v>
      </c>
      <c r="C266" s="866"/>
      <c r="D266" s="395">
        <f t="shared" si="77"/>
        <v>21.998800567971045</v>
      </c>
      <c r="E266" s="387">
        <f t="shared" si="100"/>
        <v>23.491776892375437</v>
      </c>
      <c r="F266" s="387">
        <f t="shared" si="78"/>
        <v>23.508412124222517</v>
      </c>
      <c r="G266" s="110">
        <f t="shared" si="101"/>
        <v>0.4754505619795153</v>
      </c>
      <c r="H266" s="414" t="b">
        <f>Wh_hp&gt;='2025'!Maxi_hp</f>
        <v>0</v>
      </c>
      <c r="I266" s="392">
        <f>IF(H266,Wh_hp,'2025'!Maxi_hp)</f>
        <v>45.910285028445344</v>
      </c>
      <c r="J266" s="85">
        <f>IF(H266,An,'2025'!An_max)</f>
        <v>2020</v>
      </c>
      <c r="K266" s="199">
        <f t="shared" si="79"/>
        <v>46274</v>
      </c>
      <c r="L266" s="147">
        <f>IF(t&lt;Tvie,1-EXP((T0-t)*PertePVj)+'2025'!Pspv,1-EXP((T0-t)*PertePVj)+Pspv)</f>
        <v>6.6587074252185685E-2</v>
      </c>
      <c r="M266" s="870"/>
      <c r="N266" s="870"/>
      <c r="O266" s="48">
        <f>IF(t&lt;Tnet,'2025'!Resal+('2025'!Salim-'2025'!Resal)*(1-EXP(('2025'!Tnet-t)/('2025'!Tau_j))),Resal+(Salim-Resal)*(1-EXP((Tnet-t)/(Tau_j))))*Salcycl</f>
        <v>6.3553145904810496E-2</v>
      </c>
      <c r="P266" s="171">
        <f>(INDEX(Models!$BJ266:$BT266,,T266)*(1-R266)+INDEX(Models!$BJ266:$BT266,,T266+1)*R266-ERP_i)*Q266*Ramure*Pc/MaxiM</f>
        <v>2.8072295800104442E-3</v>
      </c>
      <c r="Q266" s="307">
        <f t="shared" si="80"/>
        <v>1</v>
      </c>
      <c r="R266" s="179">
        <f t="shared" si="81"/>
        <v>0.54874996339318871</v>
      </c>
      <c r="S266" s="837">
        <f t="shared" si="82"/>
        <v>-2</v>
      </c>
      <c r="T266" s="178">
        <f t="shared" si="83"/>
        <v>4</v>
      </c>
      <c r="U266" s="253">
        <f t="shared" si="84"/>
        <v>-1.4512500366068113</v>
      </c>
      <c r="V266" s="385">
        <f t="shared" si="85"/>
        <v>43.097690451038225</v>
      </c>
      <c r="W266" s="404">
        <f t="shared" si="86"/>
        <v>20.533964801092534</v>
      </c>
      <c r="X266" s="157">
        <f t="shared" si="87"/>
        <v>46274</v>
      </c>
      <c r="Y266" s="387">
        <f t="shared" si="88"/>
        <v>19.023610983770617</v>
      </c>
      <c r="Z266" s="387">
        <f t="shared" si="89"/>
        <v>20.380702322639934</v>
      </c>
      <c r="AA266" s="388">
        <f t="shared" si="90"/>
        <v>23.34288660144146</v>
      </c>
      <c r="AB266" s="199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0.12689879916644953</v>
      </c>
      <c r="AD266" s="233">
        <f>(INDEX(Models!$BJ266:$BT266,,AH266)*(1-AF266)+INDEX(Models!$BJ266:$BT266,,AH266+1)*AF266-ERP_i)*AE266*Ramure*Pc/MaxiM</f>
        <v>2.7932772327381478E-2</v>
      </c>
      <c r="AE266" s="307">
        <f t="shared" si="92"/>
        <v>1</v>
      </c>
      <c r="AF266" s="179">
        <f t="shared" si="93"/>
        <v>0.48373255631675915</v>
      </c>
      <c r="AG266" s="837">
        <f t="shared" si="99"/>
        <v>3</v>
      </c>
      <c r="AH266" s="178">
        <f t="shared" si="94"/>
        <v>9</v>
      </c>
      <c r="AI266" s="227">
        <f t="shared" si="95"/>
        <v>3.4837325563167592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46275</v>
      </c>
      <c r="B267" s="1139">
        <f>IF(t&gt;Tmaj,'2025'!Wh/'2025'!Env_an*'2026'!Env_an,0.001*'[11]mon-tableau (3)'!$B$211)</f>
        <v>40.383493730603931</v>
      </c>
      <c r="C267" s="866"/>
      <c r="D267" s="395">
        <f t="shared" si="77"/>
        <v>43.265346366417319</v>
      </c>
      <c r="E267" s="387">
        <f t="shared" si="100"/>
        <v>46.212551168054546</v>
      </c>
      <c r="F267" s="387">
        <f t="shared" si="78"/>
        <v>46.335342036516273</v>
      </c>
      <c r="G267" s="110">
        <f t="shared" si="101"/>
        <v>0.94477254513552866</v>
      </c>
      <c r="H267" s="414" t="b">
        <f>Wh_hp&gt;='2025'!Maxi_hp</f>
        <v>0</v>
      </c>
      <c r="I267" s="392">
        <f>IF(H267,Wh_hp,'2025'!Maxi_hp)</f>
        <v>46.3414710055131</v>
      </c>
      <c r="J267" s="85">
        <f>IF(H267,An,'2025'!An_max)</f>
        <v>2025</v>
      </c>
      <c r="K267" s="199">
        <f t="shared" si="79"/>
        <v>46275</v>
      </c>
      <c r="L267" s="147">
        <f>IF(t&lt;Tvie,1-EXP((T0-t)*PertePVj)+'2025'!Pspv,1-EXP((T0-t)*PertePVj)+Pspv)</f>
        <v>6.660879613459636E-2</v>
      </c>
      <c r="M267" s="870"/>
      <c r="N267" s="870"/>
      <c r="O267" s="48">
        <f>IF(t&lt;Tnet,'2025'!Resal+('2025'!Salim-'2025'!Resal)*(1-EXP(('2025'!Tnet-t)/('2025'!Tau_j))),Resal+(Salim-Resal)*(1-EXP((Tnet-t)/(Tau_j))))*Salcycl</f>
        <v>6.3774985953914412E-2</v>
      </c>
      <c r="P267" s="171">
        <f>(INDEX(Models!$BJ267:$BT267,,T267)*(1-R267)+INDEX(Models!$BJ267:$BT267,,T267+1)*R267-ERP_i)*Q267*Ramure*Pc/MaxiM</f>
        <v>2.8760800630954165E-3</v>
      </c>
      <c r="Q267" s="307">
        <f t="shared" si="80"/>
        <v>1</v>
      </c>
      <c r="R267" s="179">
        <f t="shared" si="81"/>
        <v>0.54939060900391956</v>
      </c>
      <c r="S267" s="837">
        <f t="shared" si="82"/>
        <v>-2</v>
      </c>
      <c r="T267" s="178">
        <f t="shared" si="83"/>
        <v>4</v>
      </c>
      <c r="U267" s="253">
        <f t="shared" si="84"/>
        <v>-1.4506093909960804</v>
      </c>
      <c r="V267" s="385">
        <f t="shared" si="85"/>
        <v>42.734456785130419</v>
      </c>
      <c r="W267" s="404">
        <f t="shared" si="86"/>
        <v>40.383493730603931</v>
      </c>
      <c r="X267" s="157">
        <f t="shared" si="87"/>
        <v>46275</v>
      </c>
      <c r="Y267" s="387">
        <f t="shared" si="88"/>
        <v>36.754139113075254</v>
      </c>
      <c r="Z267" s="387">
        <f t="shared" si="89"/>
        <v>39.376993227349132</v>
      </c>
      <c r="AA267" s="388">
        <f t="shared" si="90"/>
        <v>45.104386058900843</v>
      </c>
      <c r="AB267" s="199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0.12698084004674037</v>
      </c>
      <c r="AD267" s="233">
        <f>(INDEX(Models!$BJ267:$BT267,,AH267)*(1-AF267)+INDEX(Models!$BJ267:$BT267,,AH267+1)*AF267-ERP_i)*AE267*Ramure*Pc/MaxiM</f>
        <v>2.8832176122862797E-2</v>
      </c>
      <c r="AE267" s="307">
        <f t="shared" si="92"/>
        <v>1</v>
      </c>
      <c r="AF267" s="179">
        <f t="shared" si="93"/>
        <v>0.48437320192749</v>
      </c>
      <c r="AG267" s="837">
        <f t="shared" si="99"/>
        <v>3</v>
      </c>
      <c r="AH267" s="178">
        <f t="shared" si="94"/>
        <v>9</v>
      </c>
      <c r="AI267" s="227">
        <f t="shared" si="95"/>
        <v>3.48437320192749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46276</v>
      </c>
      <c r="B268" s="1139">
        <f>IF(t&gt;Tmaj,'2025'!Wh/'2025'!Env_an*'2026'!Env_an,0.001*'[11]mon-tableau (3)'!$B$212)</f>
        <v>40.232492315297961</v>
      </c>
      <c r="C268" s="866"/>
      <c r="D268" s="395">
        <f t="shared" si="77"/>
        <v>43.104572272957263</v>
      </c>
      <c r="E268" s="387">
        <f t="shared" si="100"/>
        <v>46.051666314504658</v>
      </c>
      <c r="F268" s="387">
        <f t="shared" si="78"/>
        <v>46.177789574167853</v>
      </c>
      <c r="G268" s="110">
        <f t="shared" si="101"/>
        <v>0.94942198805291145</v>
      </c>
      <c r="H268" s="414" t="b">
        <f>Wh_hp&gt;='2025'!Maxi_hp</f>
        <v>0</v>
      </c>
      <c r="I268" s="392">
        <f>IF(H268,Wh_hp,'2025'!Maxi_hp)</f>
        <v>46.183499511133455</v>
      </c>
      <c r="J268" s="85">
        <f>IF(H268,An,'2025'!An_max)</f>
        <v>2025</v>
      </c>
      <c r="K268" s="199">
        <f t="shared" si="79"/>
        <v>46276</v>
      </c>
      <c r="L268" s="147">
        <f>IF(t&lt;Tvie,1-EXP((T0-t)*PertePVj)+'2025'!Pspv,1-EXP((T0-t)*PertePVj)+Pspv)</f>
        <v>6.663051751150717E-2</v>
      </c>
      <c r="M268" s="870"/>
      <c r="N268" s="870"/>
      <c r="O268" s="48">
        <f>IF(t&lt;Tnet,'2025'!Resal+('2025'!Salim-'2025'!Resal)*(1-EXP(('2025'!Tnet-t)/('2025'!Tau_j))),Resal+(Salim-Resal)*(1-EXP((Tnet-t)/(Tau_j))))*Salcycl</f>
        <v>6.3995383390050453E-2</v>
      </c>
      <c r="P268" s="171">
        <f>(INDEX(Models!$BJ268:$BT268,,T268)*(1-R268)+INDEX(Models!$BJ268:$BT268,,T268+1)*R268-ERP_i)*Q268*Ramure*Pc/MaxiM</f>
        <v>2.9430541023099254E-3</v>
      </c>
      <c r="Q268" s="307">
        <f t="shared" si="80"/>
        <v>1</v>
      </c>
      <c r="R268" s="179">
        <f t="shared" si="81"/>
        <v>0.55000658841179084</v>
      </c>
      <c r="S268" s="837">
        <f t="shared" si="82"/>
        <v>-2</v>
      </c>
      <c r="T268" s="178">
        <f t="shared" si="83"/>
        <v>4</v>
      </c>
      <c r="U268" s="253">
        <f t="shared" si="84"/>
        <v>-1.4499934115882092</v>
      </c>
      <c r="V268" s="385">
        <f t="shared" si="85"/>
        <v>42.366774971342153</v>
      </c>
      <c r="W268" s="404">
        <f t="shared" si="86"/>
        <v>40.232492315297961</v>
      </c>
      <c r="X268" s="157">
        <f t="shared" si="87"/>
        <v>46276</v>
      </c>
      <c r="Y268" s="387">
        <f t="shared" si="88"/>
        <v>36.583210305762307</v>
      </c>
      <c r="Z268" s="387">
        <f t="shared" si="89"/>
        <v>39.194778693884849</v>
      </c>
      <c r="AA268" s="388">
        <f t="shared" si="90"/>
        <v>44.899786617954618</v>
      </c>
      <c r="AB268" s="199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0.12706091395517768</v>
      </c>
      <c r="AD268" s="233">
        <f>(INDEX(Models!$BJ268:$BT268,,AH268)*(1-AF268)+INDEX(Models!$BJ268:$BT268,,AH268+1)*AF268-ERP_i)*AE268*Ramure*Pc/MaxiM</f>
        <v>2.9821873087419973E-2</v>
      </c>
      <c r="AE268" s="307">
        <f t="shared" si="92"/>
        <v>1</v>
      </c>
      <c r="AF268" s="179">
        <f t="shared" si="93"/>
        <v>0.48498918133536151</v>
      </c>
      <c r="AG268" s="837">
        <f t="shared" si="99"/>
        <v>3</v>
      </c>
      <c r="AH268" s="178">
        <f t="shared" si="94"/>
        <v>9</v>
      </c>
      <c r="AI268" s="227">
        <f t="shared" si="95"/>
        <v>3.4849891813353615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46277</v>
      </c>
      <c r="B269" s="1139">
        <f>IF(t&gt;Tmaj,'2025'!Wh/'2025'!Env_an*'2026'!Env_an,0.001*'[11]mon-tableau (3)'!$B$213)</f>
        <v>27.96654176822976</v>
      </c>
      <c r="C269" s="866"/>
      <c r="D269" s="395">
        <f t="shared" si="77"/>
        <v>29.963688689600936</v>
      </c>
      <c r="E269" s="387">
        <f t="shared" si="100"/>
        <v>32.019818848047962</v>
      </c>
      <c r="F269" s="387">
        <f t="shared" si="78"/>
        <v>32.070271226319107</v>
      </c>
      <c r="G269" s="110">
        <f t="shared" si="101"/>
        <v>0.66498998200592585</v>
      </c>
      <c r="H269" s="414" t="b">
        <f>Wh_hp&gt;='2025'!Maxi_hp</f>
        <v>0</v>
      </c>
      <c r="I269" s="392">
        <f>IF(H269,Wh_hp,'2025'!Maxi_hp)</f>
        <v>47.332460641090549</v>
      </c>
      <c r="J269" s="85">
        <f>IF(H269,An,'2025'!An_max)</f>
        <v>2019</v>
      </c>
      <c r="K269" s="199">
        <f t="shared" si="79"/>
        <v>46277</v>
      </c>
      <c r="L269" s="147">
        <f>IF(t&lt;Tvie,1-EXP((T0-t)*PertePVj)+'2025'!Pspv,1-EXP((T0-t)*PertePVj)+Pspv)</f>
        <v>6.6652238382929663E-2</v>
      </c>
      <c r="M269" s="870"/>
      <c r="N269" s="870"/>
      <c r="O269" s="48">
        <f>IF(t&lt;Tnet,'2025'!Resal+('2025'!Salim-'2025'!Resal)*(1-EXP(('2025'!Tnet-t)/('2025'!Tau_j))),Resal+(Salim-Resal)*(1-EXP((Tnet-t)/(Tau_j))))*Salcycl</f>
        <v>6.4214297032863174E-2</v>
      </c>
      <c r="P269" s="171">
        <f>(INDEX(Models!$BJ269:$BT269,,T269)*(1-R269)+INDEX(Models!$BJ269:$BT269,,T269+1)*R269-ERP_i)*Q269*Ramure*Pc/MaxiM</f>
        <v>3.0092472354249847E-3</v>
      </c>
      <c r="Q269" s="307">
        <f t="shared" si="80"/>
        <v>1</v>
      </c>
      <c r="R269" s="179">
        <f t="shared" si="81"/>
        <v>0.55059880854601273</v>
      </c>
      <c r="S269" s="837">
        <f t="shared" si="82"/>
        <v>-2</v>
      </c>
      <c r="T269" s="178">
        <f t="shared" si="83"/>
        <v>4</v>
      </c>
      <c r="U269" s="253">
        <f t="shared" si="84"/>
        <v>-1.4494011914539873</v>
      </c>
      <c r="V269" s="385">
        <f t="shared" si="85"/>
        <v>41.995093863648982</v>
      </c>
      <c r="W269" s="404">
        <f t="shared" si="86"/>
        <v>27.96654176822976</v>
      </c>
      <c r="X269" s="157">
        <f t="shared" si="87"/>
        <v>46277</v>
      </c>
      <c r="Y269" s="387">
        <f t="shared" si="88"/>
        <v>25.705213073182286</v>
      </c>
      <c r="Z269" s="387">
        <f t="shared" si="89"/>
        <v>27.540873970326725</v>
      </c>
      <c r="AA269" s="388">
        <f t="shared" si="90"/>
        <v>31.552414918255238</v>
      </c>
      <c r="AB269" s="199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0.12713895143434994</v>
      </c>
      <c r="AD269" s="233">
        <f>(INDEX(Models!$BJ269:$BT269,,AH269)*(1-AF269)+INDEX(Models!$BJ269:$BT269,,AH269+1)*AF269-ERP_i)*AE269*Ramure*Pc/MaxiM</f>
        <v>3.0887694828050368E-2</v>
      </c>
      <c r="AE269" s="307">
        <f t="shared" si="92"/>
        <v>1</v>
      </c>
      <c r="AF269" s="179">
        <f t="shared" si="93"/>
        <v>0.48558140146958317</v>
      </c>
      <c r="AG269" s="837">
        <f t="shared" si="99"/>
        <v>3</v>
      </c>
      <c r="AH269" s="178">
        <f t="shared" si="94"/>
        <v>9</v>
      </c>
      <c r="AI269" s="227">
        <f t="shared" si="95"/>
        <v>3.4855814014695832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46278</v>
      </c>
      <c r="B270" s="1139">
        <f>IF(t&gt;Tmaj,'2025'!Wh/'2025'!Env_an*'2026'!Env_an,0.001*'[11]mon-tableau (3)'!$B$214)</f>
        <v>11.611386222154211</v>
      </c>
      <c r="C270" s="866"/>
      <c r="D270" s="395">
        <f t="shared" si="77"/>
        <v>12.440868152129497</v>
      </c>
      <c r="E270" s="387">
        <f t="shared" si="100"/>
        <v>13.297658695718338</v>
      </c>
      <c r="F270" s="387">
        <f t="shared" si="78"/>
        <v>13.297658695718338</v>
      </c>
      <c r="G270" s="110">
        <f t="shared" si="101"/>
        <v>0.27812855550415444</v>
      </c>
      <c r="H270" s="414" t="b">
        <f>Wh_hp&gt;='2025'!Maxi_hp</f>
        <v>0</v>
      </c>
      <c r="I270" s="392">
        <f>IF(H270,Wh_hp,'2025'!Maxi_hp)</f>
        <v>44.332714285498227</v>
      </c>
      <c r="J270" s="85">
        <f>IF(H270,An,'2025'!An_max)</f>
        <v>2020</v>
      </c>
      <c r="K270" s="199">
        <f t="shared" si="79"/>
        <v>46278</v>
      </c>
      <c r="L270" s="147">
        <f>IF(t&lt;Tvie,1-EXP((T0-t)*PertePVj)+'2025'!Pspv,1-EXP((T0-t)*PertePVj)+Pspv)</f>
        <v>6.6673958748875828E-2</v>
      </c>
      <c r="M270" s="870"/>
      <c r="N270" s="870"/>
      <c r="O270" s="48">
        <f>IF(t&lt;Tnet,'2025'!Resal+('2025'!Salim-'2025'!Resal)*(1-EXP(('2025'!Tnet-t)/('2025'!Tau_j))),Resal+(Salim-Resal)*(1-EXP((Tnet-t)/(Tau_j))))*Salcycl</f>
        <v>6.4431684042598927E-2</v>
      </c>
      <c r="P270" s="171">
        <f>(INDEX(Models!$BJ270:$BT270,,T270)*(1-R270)+INDEX(Models!$BJ270:$BT270,,T270+1)*R270-ERP_i)*Q270*Ramure*Pc/MaxiM</f>
        <v>3.074621926829859E-3</v>
      </c>
      <c r="Q270" s="307">
        <f t="shared" si="80"/>
        <v>1</v>
      </c>
      <c r="R270" s="179">
        <f t="shared" si="81"/>
        <v>0.5511681463055067</v>
      </c>
      <c r="S270" s="837">
        <f t="shared" si="82"/>
        <v>-2</v>
      </c>
      <c r="T270" s="178">
        <f t="shared" si="83"/>
        <v>4</v>
      </c>
      <c r="U270" s="253">
        <f t="shared" si="84"/>
        <v>-1.4488318536944933</v>
      </c>
      <c r="V270" s="385">
        <f t="shared" si="85"/>
        <v>41.619910542776971</v>
      </c>
      <c r="W270" s="404">
        <f t="shared" si="86"/>
        <v>11.611386222154211</v>
      </c>
      <c r="X270" s="157">
        <f t="shared" si="87"/>
        <v>46278</v>
      </c>
      <c r="Y270" s="387">
        <f t="shared" si="88"/>
        <v>10.832180760553006</v>
      </c>
      <c r="Z270" s="387">
        <f t="shared" si="89"/>
        <v>11.605998634766969</v>
      </c>
      <c r="AA270" s="388">
        <f t="shared" si="90"/>
        <v>13.297658695718338</v>
      </c>
      <c r="AB270" s="199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0.12721488042824108</v>
      </c>
      <c r="AD270" s="233">
        <f>(INDEX(Models!$BJ270:$BT270,,AH270)*(1-AF270)+INDEX(Models!$BJ270:$BT270,,AH270+1)*AF270-ERP_i)*AE270*Ramure*Pc/MaxiM</f>
        <v>3.203158051824586E-2</v>
      </c>
      <c r="AE270" s="307">
        <f t="shared" si="92"/>
        <v>1</v>
      </c>
      <c r="AF270" s="179">
        <f t="shared" si="93"/>
        <v>0.48615073922907737</v>
      </c>
      <c r="AG270" s="837">
        <f t="shared" si="99"/>
        <v>3</v>
      </c>
      <c r="AH270" s="178">
        <f t="shared" si="94"/>
        <v>9</v>
      </c>
      <c r="AI270" s="227">
        <f t="shared" si="95"/>
        <v>3.4861507392290774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46279</v>
      </c>
      <c r="B271" s="1139">
        <f>IF(t&gt;Tmaj,'2025'!Wh/'2025'!Env_an*'2026'!Env_an,0.001*'[11]mon-tableau (3)'!$B$215)</f>
        <v>33.949502738450249</v>
      </c>
      <c r="C271" s="866"/>
      <c r="D271" s="395">
        <f t="shared" ref="D271:D334" si="102">Wh/(1-Ppv)</f>
        <v>36.375597927013551</v>
      </c>
      <c r="E271" s="387">
        <f t="shared" si="100"/>
        <v>38.889721173954861</v>
      </c>
      <c r="F271" s="387">
        <f t="shared" ref="F271:F334" si="103">Wh_sa/(1-Pvg*MEDIAN((-Sdif+Wh/Env_an)/Csdif,0,1))</f>
        <v>38.981179034596458</v>
      </c>
      <c r="G271" s="110">
        <f t="shared" si="101"/>
        <v>0.82252919063596808</v>
      </c>
      <c r="H271" s="414" t="b">
        <f>Wh_hp&gt;='2025'!Maxi_hp</f>
        <v>0</v>
      </c>
      <c r="I271" s="392">
        <f>IF(H271,Wh_hp,'2025'!Maxi_hp)</f>
        <v>43.753374021516187</v>
      </c>
      <c r="J271" s="85">
        <f>IF(H271,An,'2025'!An_max)</f>
        <v>2020</v>
      </c>
      <c r="K271" s="199">
        <f t="shared" ref="K271:K334" si="104">t</f>
        <v>46279</v>
      </c>
      <c r="L271" s="147">
        <f>IF(t&lt;Tvie,1-EXP((T0-t)*PertePVj)+'2025'!Pspv,1-EXP((T0-t)*PertePVj)+Pspv)</f>
        <v>6.6695678609357323E-2</v>
      </c>
      <c r="M271" s="870"/>
      <c r="N271" s="870"/>
      <c r="O271" s="48">
        <f>IF(t&lt;Tnet,'2025'!Resal+('2025'!Salim-'2025'!Resal)*(1-EXP(('2025'!Tnet-t)/('2025'!Tau_j))),Resal+(Salim-Resal)*(1-EXP((Tnet-t)/(Tau_j))))*Salcycl</f>
        <v>6.4647499931808836E-2</v>
      </c>
      <c r="P271" s="171">
        <f>(INDEX(Models!$BJ271:$BT271,,T271)*(1-R271)+INDEX(Models!$BJ271:$BT271,,T271+1)*R271-ERP_i)*Q271*Ramure*Pc/MaxiM</f>
        <v>3.1391358293412701E-3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0.55171544929171645</v>
      </c>
      <c r="S271" s="837">
        <f t="shared" ref="S271:S334" si="107">INDEX(Echel_vg,T271)</f>
        <v>-2</v>
      </c>
      <c r="T271" s="178">
        <f t="shared" ref="T271:T334" si="108">MIN(MATCH(Hp_vg,Echel_vg),10)</f>
        <v>4</v>
      </c>
      <c r="U271" s="253">
        <f t="shared" ref="U271:U334" si="109">IF(OR(t&lt;Ttai,Notai),Hdd+PousH*Croivg,Hdtf+PousH*(Croivg-Croi_tai))</f>
        <v>-1.4482845507082835</v>
      </c>
      <c r="V271" s="385">
        <f t="shared" ref="V271:V334" si="110">MaxiM*(1-Ppv)*(1-Pvg)*(1-Psa)</f>
        <v>41.241721546557152</v>
      </c>
      <c r="W271" s="404">
        <f t="shared" ref="W271:W334" si="111">Wh*(A271&gt;Tmaj)</f>
        <v>33.949502738450249</v>
      </c>
      <c r="X271" s="157">
        <f t="shared" ref="X271:X334" si="112">t</f>
        <v>46279</v>
      </c>
      <c r="Y271" s="387">
        <f t="shared" ref="Y271:Y334" si="113">Wh_pvt_s*(1-Ppv)</f>
        <v>30.96121004275204</v>
      </c>
      <c r="Z271" s="387">
        <f t="shared" ref="Z271:Z334" si="114">Wh_sa_s*(1-Psa_s)</f>
        <v>33.173756226285548</v>
      </c>
      <c r="AA271" s="388">
        <f t="shared" ref="AA271:AA334" si="115">Wh_hp*(1-Pvg_s*MEDIAN((-Sdif+Wh/Env_an)/Csdif,0,1))</f>
        <v>38.012288171470445</v>
      </c>
      <c r="AB271" s="199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0.12728862633469096</v>
      </c>
      <c r="AD271" s="233">
        <f>(INDEX(Models!$BJ271:$BT271,,AH271)*(1-AF271)+INDEX(Models!$BJ271:$BT271,,AH271+1)*AF271-ERP_i)*AE271*Ramure*Pc/MaxiM</f>
        <v>3.3255534317374894E-2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0.4866980422152869</v>
      </c>
      <c r="AG271" s="837">
        <f t="shared" si="99"/>
        <v>3</v>
      </c>
      <c r="AH271" s="178">
        <f t="shared" ref="AH271:AH334" si="119">MIN(MATCH(Hp_vg_s,Echel_vg),10)</f>
        <v>9</v>
      </c>
      <c r="AI271" s="227">
        <f t="shared" ref="AI271:AI334" si="120">IF(OR(t&lt;Ttai,Notai),Hdd_s+PousH*Croivg,Hdtai_s+PousH*(Croivg-Croi_tai))</f>
        <v>3.4866980422152869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46280</v>
      </c>
      <c r="B272" s="1139">
        <f>IF(t&gt;Tmaj,'2025'!Wh/'2025'!Env_an*'2026'!Env_an,0.001*'[11]mon-tableau (3)'!$B$216)</f>
        <v>37.0481658136951</v>
      </c>
      <c r="C272" s="866"/>
      <c r="D272" s="395">
        <f t="shared" si="102"/>
        <v>39.696621080140254</v>
      </c>
      <c r="E272" s="387">
        <f t="shared" si="100"/>
        <v>42.45000019841639</v>
      </c>
      <c r="F272" s="387">
        <f t="shared" si="103"/>
        <v>42.568161039493852</v>
      </c>
      <c r="G272" s="110">
        <f t="shared" si="101"/>
        <v>0.90629900812152986</v>
      </c>
      <c r="H272" s="414" t="b">
        <f>Wh_hp&gt;='2025'!Maxi_hp</f>
        <v>0</v>
      </c>
      <c r="I272" s="392">
        <f>IF(H272,Wh_hp,'2025'!Maxi_hp)</f>
        <v>44.298163479728281</v>
      </c>
      <c r="J272" s="85">
        <f>IF(H272,An,'2025'!An_max)</f>
        <v>2020</v>
      </c>
      <c r="K272" s="199">
        <f t="shared" si="104"/>
        <v>46280</v>
      </c>
      <c r="L272" s="147">
        <f>IF(t&lt;Tvie,1-EXP((T0-t)*PertePVj)+'2025'!Pspv,1-EXP((T0-t)*PertePVj)+Pspv)</f>
        <v>6.6717397964386027E-2</v>
      </c>
      <c r="M272" s="870"/>
      <c r="N272" s="870"/>
      <c r="O272" s="48">
        <f>IF(t&lt;Tnet,'2025'!Resal+('2025'!Salim-'2025'!Resal)*(1-EXP(('2025'!Tnet-t)/('2025'!Tau_j))),Resal+(Salim-Resal)*(1-EXP((Tnet-t)/(Tau_j))))*Salcycl</f>
        <v>6.4861698596148626E-2</v>
      </c>
      <c r="P272" s="171">
        <f>(INDEX(Models!$BJ272:$BT272,,T272)*(1-R272)+INDEX(Models!$BJ272:$BT272,,T272+1)*R272-ERP_i)*Q272*Ramure*Pc/MaxiM</f>
        <v>3.2027416175056185E-3</v>
      </c>
      <c r="Q272" s="307">
        <f t="shared" si="105"/>
        <v>1</v>
      </c>
      <c r="R272" s="179">
        <f t="shared" si="106"/>
        <v>0.55224153654557373</v>
      </c>
      <c r="S272" s="837">
        <f t="shared" si="107"/>
        <v>-2</v>
      </c>
      <c r="T272" s="178">
        <f t="shared" si="108"/>
        <v>4</v>
      </c>
      <c r="U272" s="253">
        <f t="shared" si="109"/>
        <v>-1.4477584634544263</v>
      </c>
      <c r="V272" s="385">
        <f t="shared" si="110"/>
        <v>40.861022876202433</v>
      </c>
      <c r="W272" s="404">
        <f t="shared" si="111"/>
        <v>37.0481658136951</v>
      </c>
      <c r="X272" s="157">
        <f t="shared" si="112"/>
        <v>46280</v>
      </c>
      <c r="Y272" s="387">
        <f t="shared" si="113"/>
        <v>33.629875658506343</v>
      </c>
      <c r="Z272" s="387">
        <f t="shared" si="114"/>
        <v>36.033968259083686</v>
      </c>
      <c r="AA272" s="388">
        <f t="shared" si="115"/>
        <v>41.293056572921124</v>
      </c>
      <c r="AB272" s="199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0.12736011209415299</v>
      </c>
      <c r="AD272" s="233">
        <f>(INDEX(Models!$BJ272:$BT272,,AH272)*(1-AF272)+INDEX(Models!$BJ272:$BT272,,AH272+1)*AF272-ERP_i)*AE272*Ramure*Pc/MaxiM</f>
        <v>3.4561620453282503E-2</v>
      </c>
      <c r="AE272" s="307">
        <f t="shared" si="117"/>
        <v>1</v>
      </c>
      <c r="AF272" s="179">
        <f t="shared" si="118"/>
        <v>0.48722412946914417</v>
      </c>
      <c r="AG272" s="837">
        <f t="shared" ref="AG272:AG335" si="124">INDEX(Echel_vg,AH272)</f>
        <v>3</v>
      </c>
      <c r="AH272" s="178">
        <f t="shared" si="119"/>
        <v>9</v>
      </c>
      <c r="AI272" s="227">
        <f t="shared" si="120"/>
        <v>3.4872241294691442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46281</v>
      </c>
      <c r="B273" s="1139">
        <f>IF(t&gt;Tmaj,'2025'!Wh/'2025'!Env_an*'2026'!Env_an,0.001*'[11]mon-tableau (3)'!$B$217)</f>
        <v>25.571363287624195</v>
      </c>
      <c r="C273" s="866"/>
      <c r="D273" s="395">
        <f t="shared" si="102"/>
        <v>27.400016167319706</v>
      </c>
      <c r="E273" s="387">
        <f t="shared" si="100"/>
        <v>29.307156905789906</v>
      </c>
      <c r="F273" s="387">
        <f t="shared" si="103"/>
        <v>29.352579049481591</v>
      </c>
      <c r="G273" s="110">
        <f t="shared" si="101"/>
        <v>0.63064306908913415</v>
      </c>
      <c r="H273" s="414" t="b">
        <f>Wh_hp&gt;='2025'!Maxi_hp</f>
        <v>0</v>
      </c>
      <c r="I273" s="392">
        <f>IF(H273,Wh_hp,'2025'!Maxi_hp)</f>
        <v>41.309842416196986</v>
      </c>
      <c r="J273" s="85">
        <f>IF(H273,An,'2025'!An_max)</f>
        <v>2019</v>
      </c>
      <c r="K273" s="199">
        <f t="shared" si="104"/>
        <v>46281</v>
      </c>
      <c r="L273" s="147">
        <f>IF(t&lt;Tvie,1-EXP((T0-t)*PertePVj)+'2025'!Pspv,1-EXP((T0-t)*PertePVj)+Pspv)</f>
        <v>6.6739116813973487E-2</v>
      </c>
      <c r="M273" s="870"/>
      <c r="N273" s="870"/>
      <c r="O273" s="48">
        <f>IF(t&lt;Tnet,'2025'!Resal+('2025'!Salim-'2025'!Resal)*(1-EXP(('2025'!Tnet-t)/('2025'!Tau_j))),Resal+(Salim-Resal)*(1-EXP((Tnet-t)/(Tau_j))))*Salcycl</f>
        <v>6.5074232365863696E-2</v>
      </c>
      <c r="P273" s="171">
        <f>(INDEX(Models!$BJ273:$BT273,,T273)*(1-R273)+INDEX(Models!$BJ273:$BT273,,T273+1)*R273-ERP_i)*Q273*Ramure*Pc/MaxiM</f>
        <v>3.2653868178526865E-3</v>
      </c>
      <c r="Q273" s="307">
        <f t="shared" si="105"/>
        <v>1</v>
      </c>
      <c r="R273" s="179">
        <f t="shared" si="106"/>
        <v>0.55274719928622762</v>
      </c>
      <c r="S273" s="837">
        <f t="shared" si="107"/>
        <v>-2</v>
      </c>
      <c r="T273" s="178">
        <f t="shared" si="108"/>
        <v>4</v>
      </c>
      <c r="U273" s="253">
        <f t="shared" si="109"/>
        <v>-1.4472528007137724</v>
      </c>
      <c r="V273" s="385">
        <f t="shared" si="110"/>
        <v>40.478309996451792</v>
      </c>
      <c r="W273" s="404">
        <f t="shared" si="111"/>
        <v>25.571363287624195</v>
      </c>
      <c r="X273" s="157">
        <f t="shared" si="112"/>
        <v>46281</v>
      </c>
      <c r="Y273" s="387">
        <f t="shared" si="113"/>
        <v>23.495617685632823</v>
      </c>
      <c r="Z273" s="387">
        <f t="shared" si="114"/>
        <v>25.17583036955536</v>
      </c>
      <c r="AA273" s="388">
        <f t="shared" si="115"/>
        <v>28.852480569084729</v>
      </c>
      <c r="AB273" s="199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0.12742925831718185</v>
      </c>
      <c r="AD273" s="233">
        <f>(INDEX(Models!$BJ273:$BT273,,AH273)*(1-AF273)+INDEX(Models!$BJ273:$BT273,,AH273+1)*AF273-ERP_i)*AE273*Ramure*Pc/MaxiM</f>
        <v>3.5951957631076843E-2</v>
      </c>
      <c r="AE273" s="307">
        <f t="shared" si="117"/>
        <v>1</v>
      </c>
      <c r="AF273" s="179">
        <f t="shared" si="118"/>
        <v>0.48772979220979806</v>
      </c>
      <c r="AG273" s="837">
        <f t="shared" si="124"/>
        <v>3</v>
      </c>
      <c r="AH273" s="178">
        <f t="shared" si="119"/>
        <v>9</v>
      </c>
      <c r="AI273" s="227">
        <f t="shared" si="120"/>
        <v>3.4877297922097981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46282</v>
      </c>
      <c r="B274" s="1139">
        <f>IF(t&gt;Tmaj,'2025'!Wh/'2025'!Env_an*'2026'!Env_an,0.001*'[11]mon-tableau (3)'!$B$218)</f>
        <v>40.14309697564795</v>
      </c>
      <c r="C274" s="866"/>
      <c r="D274" s="395">
        <f t="shared" si="102"/>
        <v>43.014801015610985</v>
      </c>
      <c r="E274" s="387">
        <f t="shared" si="100"/>
        <v>46.019164571297203</v>
      </c>
      <c r="F274" s="387">
        <f t="shared" si="103"/>
        <v>46.17278204682993</v>
      </c>
      <c r="G274" s="110">
        <f t="shared" si="101"/>
        <v>1.0012226029271671</v>
      </c>
      <c r="H274" s="414" t="b">
        <f>Wh_hp&gt;='2025'!Maxi_hp</f>
        <v>1</v>
      </c>
      <c r="I274" s="392">
        <f>IF(H274,Wh_hp,'2025'!Maxi_hp)</f>
        <v>46.17278204682993</v>
      </c>
      <c r="J274" s="85">
        <f>IF(H274,An,'2025'!An_max)</f>
        <v>2026</v>
      </c>
      <c r="K274" s="199">
        <f t="shared" si="104"/>
        <v>46282</v>
      </c>
      <c r="L274" s="147">
        <f>IF(t&lt;Tvie,1-EXP((T0-t)*PertePVj)+'2025'!Pspv,1-EXP((T0-t)*PertePVj)+Pspv)</f>
        <v>6.6760835158131582E-2</v>
      </c>
      <c r="M274" s="870"/>
      <c r="N274" s="870"/>
      <c r="O274" s="48">
        <f>IF(t&lt;Tnet,'2025'!Resal+('2025'!Salim-'2025'!Resal)*(1-EXP(('2025'!Tnet-t)/('2025'!Tau_j))),Resal+(Salim-Resal)*(1-EXP((Tnet-t)/(Tau_j))))*Salcycl</f>
        <v>6.528505207936959E-2</v>
      </c>
      <c r="P274" s="171">
        <f>(INDEX(Models!$BJ274:$BT274,,T274)*(1-R274)+INDEX(Models!$BJ274:$BT274,,T274+1)*R274-ERP_i)*Q274*Ramure*Pc/MaxiM</f>
        <v>3.3270136371017162E-3</v>
      </c>
      <c r="Q274" s="307">
        <f t="shared" si="105"/>
        <v>1</v>
      </c>
      <c r="R274" s="179">
        <f t="shared" si="106"/>
        <v>0.55323320164936529</v>
      </c>
      <c r="S274" s="837">
        <f t="shared" si="107"/>
        <v>-2</v>
      </c>
      <c r="T274" s="178">
        <f t="shared" si="108"/>
        <v>4</v>
      </c>
      <c r="U274" s="253">
        <f t="shared" si="109"/>
        <v>-1.4467667983506347</v>
      </c>
      <c r="V274" s="385">
        <f t="shared" si="110"/>
        <v>40.094077838720253</v>
      </c>
      <c r="W274" s="404">
        <f t="shared" si="111"/>
        <v>40.14309697564795</v>
      </c>
      <c r="X274" s="157">
        <f t="shared" si="112"/>
        <v>46282</v>
      </c>
      <c r="Y274" s="387">
        <f t="shared" si="113"/>
        <v>36.189229526242563</v>
      </c>
      <c r="Z274" s="387">
        <f t="shared" si="114"/>
        <v>38.778087000211357</v>
      </c>
      <c r="AA274" s="388">
        <f t="shared" si="115"/>
        <v>44.444594253749067</v>
      </c>
      <c r="AB274" s="199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0.12749598345269444</v>
      </c>
      <c r="AD274" s="233">
        <f>(INDEX(Models!$BJ274:$BT274,,AH274)*(1-AF274)+INDEX(Models!$BJ274:$BT274,,AH274+1)*AF274-ERP_i)*AE274*Ramure*Pc/MaxiM</f>
        <v>3.742871268463048E-2</v>
      </c>
      <c r="AE274" s="307">
        <f t="shared" si="117"/>
        <v>1</v>
      </c>
      <c r="AF274" s="179">
        <f t="shared" si="118"/>
        <v>0.48821579457293574</v>
      </c>
      <c r="AG274" s="837">
        <f t="shared" si="124"/>
        <v>3</v>
      </c>
      <c r="AH274" s="178">
        <f t="shared" si="119"/>
        <v>9</v>
      </c>
      <c r="AI274" s="227">
        <f t="shared" si="120"/>
        <v>3.4882157945729357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46283</v>
      </c>
      <c r="B275" s="1139">
        <f>IF(t&gt;Tmaj,'2025'!Wh/'2025'!Env_an*'2026'!Env_an,0.001*'[11]mon-tableau (3)'!$B$219)</f>
        <v>40.459028869660855</v>
      </c>
      <c r="C275" s="866"/>
      <c r="D275" s="395">
        <f t="shared" si="102"/>
        <v>43.354342548554229</v>
      </c>
      <c r="E275" s="387">
        <f t="shared" si="100"/>
        <v>46.392797393425624</v>
      </c>
      <c r="F275" s="387">
        <f t="shared" si="103"/>
        <v>46.550502444170569</v>
      </c>
      <c r="G275" s="110">
        <f t="shared" si="101"/>
        <v>1.0189736869084018</v>
      </c>
      <c r="H275" s="414" t="b">
        <f>Wh_hp&gt;='2025'!Maxi_hp</f>
        <v>1</v>
      </c>
      <c r="I275" s="392">
        <f>IF(H275,Wh_hp,'2025'!Maxi_hp)</f>
        <v>46.550502444170569</v>
      </c>
      <c r="J275" s="85">
        <f>IF(H275,An,'2025'!An_max)</f>
        <v>2026</v>
      </c>
      <c r="K275" s="199">
        <f t="shared" si="104"/>
        <v>46283</v>
      </c>
      <c r="L275" s="147">
        <f>IF(t&lt;Tvie,1-EXP((T0-t)*PertePVj)+'2025'!Pspv,1-EXP((T0-t)*PertePVj)+Pspv)</f>
        <v>6.6782552996872191E-2</v>
      </c>
      <c r="M275" s="870"/>
      <c r="N275" s="870"/>
      <c r="O275" s="48">
        <f>IF(t&lt;Tnet,'2025'!Resal+('2025'!Salim-'2025'!Resal)*(1-EXP(('2025'!Tnet-t)/('2025'!Tau_j))),Resal+(Salim-Resal)*(1-EXP((Tnet-t)/(Tau_j))))*Salcycl</f>
        <v>6.5494107180136957E-2</v>
      </c>
      <c r="P275" s="171">
        <f>(INDEX(Models!$BJ275:$BT275,,T275)*(1-R275)+INDEX(Models!$BJ275:$BT275,,T275+1)*R275-ERP_i)*Q275*Ramure*Pc/MaxiM</f>
        <v>3.3878270365412444E-3</v>
      </c>
      <c r="Q275" s="307">
        <f t="shared" si="105"/>
        <v>1</v>
      </c>
      <c r="R275" s="179">
        <f t="shared" si="106"/>
        <v>0.55370028142316619</v>
      </c>
      <c r="S275" s="837">
        <f t="shared" si="107"/>
        <v>-2</v>
      </c>
      <c r="T275" s="178">
        <f t="shared" si="108"/>
        <v>4</v>
      </c>
      <c r="U275" s="253">
        <f t="shared" si="109"/>
        <v>-1.4462997185768338</v>
      </c>
      <c r="V275" s="385">
        <f t="shared" si="110"/>
        <v>39.705665994589936</v>
      </c>
      <c r="W275" s="404">
        <f t="shared" si="111"/>
        <v>40.459028869660855</v>
      </c>
      <c r="X275" s="157">
        <f t="shared" si="112"/>
        <v>46283</v>
      </c>
      <c r="Y275" s="387">
        <f t="shared" si="113"/>
        <v>36.422298688001476</v>
      </c>
      <c r="Z275" s="387">
        <f t="shared" si="114"/>
        <v>39.028737412663695</v>
      </c>
      <c r="AA275" s="388">
        <f t="shared" si="115"/>
        <v>44.735164066956493</v>
      </c>
      <c r="AB275" s="199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0.12756020399862197</v>
      </c>
      <c r="AD275" s="233">
        <f>(INDEX(Models!$BJ275:$BT275,,AH275)*(1-AF275)+INDEX(Models!$BJ275:$BT275,,AH275+1)*AF275-ERP_i)*AE275*Ramure*Pc/MaxiM</f>
        <v>3.8997181166653599E-2</v>
      </c>
      <c r="AE275" s="307">
        <f t="shared" si="117"/>
        <v>1</v>
      </c>
      <c r="AF275" s="179">
        <f t="shared" si="118"/>
        <v>0.48868287434673663</v>
      </c>
      <c r="AG275" s="837">
        <f t="shared" si="124"/>
        <v>3</v>
      </c>
      <c r="AH275" s="178">
        <f t="shared" si="119"/>
        <v>9</v>
      </c>
      <c r="AI275" s="227">
        <f t="shared" si="120"/>
        <v>3.4886828743467366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46284</v>
      </c>
      <c r="B276" s="1139">
        <f>IF(t&gt;Tmaj,'2025'!Wh/'2025'!Env_an*'2026'!Env_an,0.001*'[11]mon-tableau (3)'!$B$220)</f>
        <v>38.794494410126525</v>
      </c>
      <c r="C276" s="866"/>
      <c r="D276" s="395">
        <f t="shared" si="102"/>
        <v>41.571658738573284</v>
      </c>
      <c r="E276" s="387">
        <f t="shared" si="100"/>
        <v>44.495042943045043</v>
      </c>
      <c r="F276" s="387">
        <f t="shared" si="103"/>
        <v>44.645984307272137</v>
      </c>
      <c r="G276" s="110">
        <f t="shared" si="101"/>
        <v>0.98680256292412516</v>
      </c>
      <c r="H276" s="414" t="b">
        <f>Wh_hp&gt;='2025'!Maxi_hp</f>
        <v>0</v>
      </c>
      <c r="I276" s="392">
        <f>IF(H276,Wh_hp,'2025'!Maxi_hp)</f>
        <v>44.647648994902973</v>
      </c>
      <c r="J276" s="85">
        <f>IF(H276,An,'2025'!An_max)</f>
        <v>2025</v>
      </c>
      <c r="K276" s="199">
        <f t="shared" si="104"/>
        <v>46284</v>
      </c>
      <c r="L276" s="147">
        <f>IF(t&lt;Tvie,1-EXP((T0-t)*PertePVj)+'2025'!Pspv,1-EXP((T0-t)*PertePVj)+Pspv)</f>
        <v>6.6804270330206861E-2</v>
      </c>
      <c r="M276" s="870"/>
      <c r="N276" s="870"/>
      <c r="O276" s="48">
        <f>IF(t&lt;Tnet,'2025'!Resal+('2025'!Salim-'2025'!Resal)*(1-EXP(('2025'!Tnet-t)/('2025'!Tau_j))),Resal+(Salim-Resal)*(1-EXP((Tnet-t)/(Tau_j))))*Salcycl</f>
        <v>6.5701345837867339E-2</v>
      </c>
      <c r="P276" s="171">
        <f>(INDEX(Models!$BJ276:$BT276,,T276)*(1-R276)+INDEX(Models!$BJ276:$BT276,,T276+1)*R276-ERP_i)*Q276*Ramure*Pc/MaxiM</f>
        <v>3.4454942218125261E-3</v>
      </c>
      <c r="Q276" s="307">
        <f t="shared" si="105"/>
        <v>1</v>
      </c>
      <c r="R276" s="179">
        <f t="shared" si="106"/>
        <v>0.5541491507801326</v>
      </c>
      <c r="S276" s="837">
        <f t="shared" si="107"/>
        <v>-2</v>
      </c>
      <c r="T276" s="178">
        <f t="shared" si="108"/>
        <v>4</v>
      </c>
      <c r="U276" s="253">
        <f t="shared" si="109"/>
        <v>-1.4458508492198674</v>
      </c>
      <c r="V276" s="385">
        <f t="shared" si="110"/>
        <v>39.310779592605641</v>
      </c>
      <c r="W276" s="404">
        <f t="shared" si="111"/>
        <v>38.794494410126525</v>
      </c>
      <c r="X276" s="157">
        <f t="shared" si="112"/>
        <v>46284</v>
      </c>
      <c r="Y276" s="387">
        <f t="shared" si="113"/>
        <v>34.896077088787941</v>
      </c>
      <c r="Z276" s="387">
        <f t="shared" si="114"/>
        <v>37.394167139122843</v>
      </c>
      <c r="AA276" s="388">
        <f t="shared" si="115"/>
        <v>42.864629846241961</v>
      </c>
      <c r="AB276" s="199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0.12762183475611474</v>
      </c>
      <c r="AD276" s="233">
        <f>(INDEX(Models!$BJ276:$BT276,,AH276)*(1-AF276)+INDEX(Models!$BJ276:$BT276,,AH276+1)*AF276-ERP_i)*AE276*Ramure*Pc/MaxiM</f>
        <v>4.0662455476719282E-2</v>
      </c>
      <c r="AE276" s="307">
        <f t="shared" si="117"/>
        <v>1</v>
      </c>
      <c r="AF276" s="179">
        <f t="shared" si="118"/>
        <v>0.48913174370370305</v>
      </c>
      <c r="AG276" s="837">
        <f t="shared" si="124"/>
        <v>3</v>
      </c>
      <c r="AH276" s="178">
        <f t="shared" si="119"/>
        <v>9</v>
      </c>
      <c r="AI276" s="227">
        <f t="shared" si="120"/>
        <v>3.489131743703703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46285</v>
      </c>
      <c r="B277" s="1139">
        <f>IF(t&gt;Tmaj,'2025'!Wh/'2025'!Env_an*'2026'!Env_an,0.001*'[11]mon-tableau (3)'!$B$221)</f>
        <v>39.771668229129737</v>
      </c>
      <c r="C277" s="866"/>
      <c r="D277" s="395">
        <f t="shared" si="102"/>
        <v>42.619776892426117</v>
      </c>
      <c r="E277" s="387">
        <f t="shared" si="100"/>
        <v>45.626895708544993</v>
      </c>
      <c r="F277" s="387">
        <f t="shared" si="103"/>
        <v>45.787183013416701</v>
      </c>
      <c r="G277" s="110">
        <f t="shared" si="101"/>
        <v>1.0221378580498537</v>
      </c>
      <c r="H277" s="414" t="b">
        <f>Wh_hp&gt;='2025'!Maxi_hp</f>
        <v>1</v>
      </c>
      <c r="I277" s="392">
        <f>IF(H277,Wh_hp,'2025'!Maxi_hp)</f>
        <v>45.787183013416701</v>
      </c>
      <c r="J277" s="85">
        <f>IF(H277,An,'2025'!An_max)</f>
        <v>2026</v>
      </c>
      <c r="K277" s="199">
        <f t="shared" si="104"/>
        <v>46285</v>
      </c>
      <c r="L277" s="147">
        <f>IF(t&lt;Tvie,1-EXP((T0-t)*PertePVj)+'2025'!Pspv,1-EXP((T0-t)*PertePVj)+Pspv)</f>
        <v>6.6825987158147471E-2</v>
      </c>
      <c r="M277" s="870"/>
      <c r="N277" s="870"/>
      <c r="O277" s="48">
        <f>IF(t&lt;Tnet,'2025'!Resal+('2025'!Salim-'2025'!Resal)*(1-EXP(('2025'!Tnet-t)/('2025'!Tau_j))),Resal+(Salim-Resal)*(1-EXP((Tnet-t)/(Tau_j))))*Salcycl</f>
        <v>6.5906715094704693E-2</v>
      </c>
      <c r="P277" s="171">
        <f>(INDEX(Models!$BJ277:$BT277,,T277)*(1-R277)+INDEX(Models!$BJ277:$BT277,,T277+1)*R277-ERP_i)*Q277*Ramure*Pc/MaxiM</f>
        <v>3.5007024744182339E-3</v>
      </c>
      <c r="Q277" s="307">
        <f t="shared" si="105"/>
        <v>1</v>
      </c>
      <c r="R277" s="179">
        <f t="shared" si="106"/>
        <v>0.55458049700321488</v>
      </c>
      <c r="S277" s="837">
        <f t="shared" si="107"/>
        <v>-2</v>
      </c>
      <c r="T277" s="178">
        <f t="shared" si="108"/>
        <v>4</v>
      </c>
      <c r="U277" s="253">
        <f t="shared" si="109"/>
        <v>-1.4454195029967851</v>
      </c>
      <c r="V277" s="385">
        <f t="shared" si="110"/>
        <v>38.910278017693692</v>
      </c>
      <c r="W277" s="404">
        <f t="shared" si="111"/>
        <v>39.771668229129737</v>
      </c>
      <c r="X277" s="157">
        <f t="shared" si="112"/>
        <v>46285</v>
      </c>
      <c r="Y277" s="387">
        <f t="shared" si="113"/>
        <v>35.691910090016876</v>
      </c>
      <c r="Z277" s="387">
        <f t="shared" si="114"/>
        <v>38.247861169346216</v>
      </c>
      <c r="AA277" s="388">
        <f t="shared" si="115"/>
        <v>43.846175451199237</v>
      </c>
      <c r="AB277" s="199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0.12768078912798089</v>
      </c>
      <c r="AD277" s="233">
        <f>(INDEX(Models!$BJ277:$BT277,,AH277)*(1-AF277)+INDEX(Models!$BJ277:$BT277,,AH277+1)*AF277-ERP_i)*AE277*Ramure*Pc/MaxiM</f>
        <v>4.2391941029626283E-2</v>
      </c>
      <c r="AE277" s="307">
        <f t="shared" si="117"/>
        <v>1</v>
      </c>
      <c r="AF277" s="179">
        <f t="shared" si="118"/>
        <v>0.48956308992678554</v>
      </c>
      <c r="AG277" s="837">
        <f t="shared" si="124"/>
        <v>3</v>
      </c>
      <c r="AH277" s="178">
        <f t="shared" si="119"/>
        <v>9</v>
      </c>
      <c r="AI277" s="227">
        <f t="shared" si="120"/>
        <v>3.4895630899267855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46286</v>
      </c>
      <c r="B278" s="1139">
        <f>IF(t&gt;Tmaj,'2025'!Wh/'2025'!Env_an*'2026'!Env_an,0.001*'[11]mon-tableau (3)'!$B$222)</f>
        <v>38.627422289200695</v>
      </c>
      <c r="C278" s="866"/>
      <c r="D278" s="395">
        <f t="shared" si="102"/>
        <v>41.394553100584929</v>
      </c>
      <c r="E278" s="387">
        <f t="shared" si="100"/>
        <v>44.324877917665816</v>
      </c>
      <c r="F278" s="387">
        <f t="shared" si="103"/>
        <v>44.482939873798387</v>
      </c>
      <c r="G278" s="110">
        <f t="shared" si="101"/>
        <v>1.0031780250081224</v>
      </c>
      <c r="H278" s="414" t="b">
        <f>Wh_hp&gt;='2025'!Maxi_hp</f>
        <v>1</v>
      </c>
      <c r="I278" s="392">
        <f>IF(H278,Wh_hp,'2025'!Maxi_hp)</f>
        <v>44.482939873798387</v>
      </c>
      <c r="J278" s="85">
        <f>IF(H278,An,'2025'!An_max)</f>
        <v>2026</v>
      </c>
      <c r="K278" s="199">
        <f t="shared" si="104"/>
        <v>46286</v>
      </c>
      <c r="L278" s="147">
        <f>IF(t&lt;Tvie,1-EXP((T0-t)*PertePVj)+'2025'!Pspv,1-EXP((T0-t)*PertePVj)+Pspv)</f>
        <v>6.6847703480705789E-2</v>
      </c>
      <c r="M278" s="870"/>
      <c r="N278" s="870"/>
      <c r="O278" s="48">
        <f>IF(t&lt;Tnet,'2025'!Resal+('2025'!Salim-'2025'!Resal)*(1-EXP(('2025'!Tnet-t)/('2025'!Tau_j))),Resal+(Salim-Resal)*(1-EXP((Tnet-t)/(Tau_j))))*Salcycl</f>
        <v>6.6110161036969234E-2</v>
      </c>
      <c r="P278" s="171">
        <f>(INDEX(Models!$BJ278:$BT278,,T278)*(1-R278)+INDEX(Models!$BJ278:$BT278,,T278+1)*R278-ERP_i)*Q278*Ramure*Pc/MaxiM</f>
        <v>3.5533163181435501E-3</v>
      </c>
      <c r="Q278" s="307">
        <f t="shared" si="105"/>
        <v>1</v>
      </c>
      <c r="R278" s="179">
        <f t="shared" si="106"/>
        <v>0.55499498320483753</v>
      </c>
      <c r="S278" s="837">
        <f t="shared" si="107"/>
        <v>-2</v>
      </c>
      <c r="T278" s="178">
        <f t="shared" si="108"/>
        <v>4</v>
      </c>
      <c r="U278" s="253">
        <f t="shared" si="109"/>
        <v>-1.4450050167951625</v>
      </c>
      <c r="V278" s="385">
        <f t="shared" si="110"/>
        <v>38.505052270147111</v>
      </c>
      <c r="W278" s="404">
        <f t="shared" si="111"/>
        <v>38.627422289200695</v>
      </c>
      <c r="X278" s="157">
        <f t="shared" si="112"/>
        <v>46286</v>
      </c>
      <c r="Y278" s="387">
        <f t="shared" si="113"/>
        <v>34.607182502056673</v>
      </c>
      <c r="Z278" s="387">
        <f t="shared" si="114"/>
        <v>37.086317668769858</v>
      </c>
      <c r="AA278" s="388">
        <f t="shared" si="115"/>
        <v>42.517356342672677</v>
      </c>
      <c r="AB278" s="199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0.12773697946153673</v>
      </c>
      <c r="AD278" s="233">
        <f>(INDEX(Models!$BJ278:$BT278,,AH278)*(1-AF278)+INDEX(Models!$BJ278:$BT278,,AH278+1)*AF278-ERP_i)*AE278*Ramure*Pc/MaxiM</f>
        <v>4.4187356696797152E-2</v>
      </c>
      <c r="AE278" s="307">
        <f t="shared" si="117"/>
        <v>1</v>
      </c>
      <c r="AF278" s="179">
        <f t="shared" si="118"/>
        <v>0.48997757612840775</v>
      </c>
      <c r="AG278" s="837">
        <f t="shared" si="124"/>
        <v>3</v>
      </c>
      <c r="AH278" s="178">
        <f t="shared" si="119"/>
        <v>9</v>
      </c>
      <c r="AI278" s="227">
        <f t="shared" si="120"/>
        <v>3.4899775761284078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46287</v>
      </c>
      <c r="B279" s="1139">
        <f>IF(t&gt;Tmaj,'2025'!Wh/'2025'!Env_an*'2026'!Env_an,0.001*'[11]mon-tableau (3)'!$B$223)</f>
        <v>37.330665652431769</v>
      </c>
      <c r="C279" s="866"/>
      <c r="D279" s="395">
        <f t="shared" si="102"/>
        <v>40.005832435952769</v>
      </c>
      <c r="E279" s="387">
        <f t="shared" si="100"/>
        <v>42.847092968277778</v>
      </c>
      <c r="F279" s="387">
        <f t="shared" si="103"/>
        <v>42.997574989548447</v>
      </c>
      <c r="G279" s="110">
        <f t="shared" si="101"/>
        <v>0.97980888472458461</v>
      </c>
      <c r="H279" s="414" t="b">
        <f>Wh_hp&gt;='2025'!Maxi_hp</f>
        <v>0</v>
      </c>
      <c r="I279" s="392">
        <f>IF(H279,Wh_hp,'2025'!Maxi_hp)</f>
        <v>43.000133825585301</v>
      </c>
      <c r="J279" s="85">
        <f>IF(H279,An,'2025'!An_max)</f>
        <v>2025</v>
      </c>
      <c r="K279" s="199">
        <f t="shared" si="104"/>
        <v>46287</v>
      </c>
      <c r="L279" s="147">
        <f>IF(t&lt;Tvie,1-EXP((T0-t)*PertePVj)+'2025'!Pspv,1-EXP((T0-t)*PertePVj)+Pspv)</f>
        <v>6.6869419297893584E-2</v>
      </c>
      <c r="M279" s="870"/>
      <c r="N279" s="870"/>
      <c r="O279" s="48">
        <f>IF(t&lt;Tnet,'2025'!Resal+('2025'!Salim-'2025'!Resal)*(1-EXP(('2025'!Tnet-t)/('2025'!Tau_j))),Resal+(Salim-Resal)*(1-EXP((Tnet-t)/(Tau_j))))*Salcycl</f>
        <v>6.6311628992626409E-2</v>
      </c>
      <c r="P279" s="171">
        <f>(INDEX(Models!$BJ279:$BT279,,T279)*(1-R279)+INDEX(Models!$BJ279:$BT279,,T279+1)*R279-ERP_i)*Q279*Ramure*Pc/MaxiM</f>
        <v>3.6031878093092345E-3</v>
      </c>
      <c r="Q279" s="307">
        <f t="shared" si="105"/>
        <v>1</v>
      </c>
      <c r="R279" s="179">
        <f t="shared" si="106"/>
        <v>0.55539324903757192</v>
      </c>
      <c r="S279" s="837">
        <f t="shared" si="107"/>
        <v>-2</v>
      </c>
      <c r="T279" s="178">
        <f t="shared" si="108"/>
        <v>4</v>
      </c>
      <c r="U279" s="253">
        <f t="shared" si="109"/>
        <v>-1.4446067509624281</v>
      </c>
      <c r="V279" s="385">
        <f t="shared" si="110"/>
        <v>38.095992358083727</v>
      </c>
      <c r="W279" s="404">
        <f t="shared" si="111"/>
        <v>37.330665652431769</v>
      </c>
      <c r="X279" s="157">
        <f t="shared" si="112"/>
        <v>46287</v>
      </c>
      <c r="Y279" s="387">
        <f t="shared" si="113"/>
        <v>33.429815522546804</v>
      </c>
      <c r="Z279" s="387">
        <f t="shared" si="114"/>
        <v>35.825442026981399</v>
      </c>
      <c r="AA279" s="388">
        <f t="shared" si="115"/>
        <v>41.074345702798666</v>
      </c>
      <c r="AB279" s="199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0.12779031743552829</v>
      </c>
      <c r="AD279" s="233">
        <f>(INDEX(Models!$BJ279:$BT279,,AH279)*(1-AF279)+INDEX(Models!$BJ279:$BT279,,AH279+1)*AF279-ERP_i)*AE279*Ramure*Pc/MaxiM</f>
        <v>4.605039367499595E-2</v>
      </c>
      <c r="AE279" s="307">
        <f t="shared" si="117"/>
        <v>1</v>
      </c>
      <c r="AF279" s="179">
        <f t="shared" si="118"/>
        <v>0.49037584196114237</v>
      </c>
      <c r="AG279" s="837">
        <f t="shared" si="124"/>
        <v>3</v>
      </c>
      <c r="AH279" s="178">
        <f t="shared" si="119"/>
        <v>9</v>
      </c>
      <c r="AI279" s="227">
        <f t="shared" si="120"/>
        <v>3.4903758419611424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46288</v>
      </c>
      <c r="B280" s="1139">
        <f>IF(t&gt;Tmaj,'2025'!Wh/'2025'!Env_an*'2026'!Env_an,0.001*'[11]mon-tableau (3)'!$B$224)</f>
        <v>24.041522505700762</v>
      </c>
      <c r="C280" s="866"/>
      <c r="D280" s="395">
        <f t="shared" si="102"/>
        <v>25.764970623921009</v>
      </c>
      <c r="E280" s="387">
        <f t="shared" si="100"/>
        <v>27.600724147353823</v>
      </c>
      <c r="F280" s="387">
        <f t="shared" si="103"/>
        <v>27.649453385597798</v>
      </c>
      <c r="G280" s="110">
        <f t="shared" si="101"/>
        <v>0.63677066623023404</v>
      </c>
      <c r="H280" s="414" t="b">
        <f>Wh_hp&gt;='2025'!Maxi_hp</f>
        <v>0</v>
      </c>
      <c r="I280" s="392">
        <f>IF(H280,Wh_hp,'2025'!Maxi_hp)</f>
        <v>39.136561933282216</v>
      </c>
      <c r="J280" s="85">
        <f>IF(H280,An,'2025'!An_max)</f>
        <v>2019</v>
      </c>
      <c r="K280" s="199">
        <f t="shared" si="104"/>
        <v>46288</v>
      </c>
      <c r="L280" s="147">
        <f>IF(t&lt;Tvie,1-EXP((T0-t)*PertePVj)+'2025'!Pspv,1-EXP((T0-t)*PertePVj)+Pspv)</f>
        <v>6.6891134609722513E-2</v>
      </c>
      <c r="M280" s="870"/>
      <c r="N280" s="870"/>
      <c r="O280" s="48">
        <f>IF(t&lt;Tnet,'2025'!Resal+('2025'!Salim-'2025'!Resal)*(1-EXP(('2025'!Tnet-t)/('2025'!Tau_j))),Resal+(Salim-Resal)*(1-EXP((Tnet-t)/(Tau_j))))*Salcycl</f>
        <v>6.6511063754420174E-2</v>
      </c>
      <c r="P280" s="171">
        <f>(INDEX(Models!$BJ280:$BT280,,T280)*(1-R280)+INDEX(Models!$BJ280:$BT280,,T280+1)*R280-ERP_i)*Q280*Ramure*Pc/MaxiM</f>
        <v>3.6501756858390031E-3</v>
      </c>
      <c r="Q280" s="307">
        <f t="shared" si="105"/>
        <v>1</v>
      </c>
      <c r="R280" s="179">
        <f t="shared" si="106"/>
        <v>0.55577591139536309</v>
      </c>
      <c r="S280" s="837">
        <f t="shared" si="107"/>
        <v>-2</v>
      </c>
      <c r="T280" s="178">
        <f t="shared" si="108"/>
        <v>4</v>
      </c>
      <c r="U280" s="253">
        <f t="shared" si="109"/>
        <v>-1.4442240886046369</v>
      </c>
      <c r="V280" s="385">
        <f t="shared" si="110"/>
        <v>37.683986576618565</v>
      </c>
      <c r="W280" s="404">
        <f t="shared" si="111"/>
        <v>24.041522505700762</v>
      </c>
      <c r="X280" s="157">
        <f t="shared" si="112"/>
        <v>46288</v>
      </c>
      <c r="Y280" s="387">
        <f t="shared" si="113"/>
        <v>21.980362128610022</v>
      </c>
      <c r="Z280" s="387">
        <f t="shared" si="114"/>
        <v>23.556053257962162</v>
      </c>
      <c r="AA280" s="388">
        <f t="shared" si="115"/>
        <v>27.008888914362167</v>
      </c>
      <c r="AB280" s="199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0.12784071449025569</v>
      </c>
      <c r="AD280" s="233">
        <f>(INDEX(Models!$BJ280:$BT280,,AH280)*(1-AF280)+INDEX(Models!$BJ280:$BT280,,AH280+1)*AF280-ERP_i)*AE280*Ramure*Pc/MaxiM</f>
        <v>4.798295525183633E-2</v>
      </c>
      <c r="AE280" s="307">
        <f t="shared" si="117"/>
        <v>1</v>
      </c>
      <c r="AF280" s="179">
        <f t="shared" si="118"/>
        <v>0.49075850431893375</v>
      </c>
      <c r="AG280" s="837">
        <f t="shared" si="124"/>
        <v>3</v>
      </c>
      <c r="AH280" s="178">
        <f t="shared" si="119"/>
        <v>9</v>
      </c>
      <c r="AI280" s="227">
        <f t="shared" si="120"/>
        <v>3.4907585043189338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46289</v>
      </c>
      <c r="B281" s="1139">
        <f>IF(t&gt;Tmaj,'2025'!Wh/'2025'!Env_an*'2026'!Env_an,0.001*'[11]mon-tableau (3)'!$B$225)</f>
        <v>16.133220243306024</v>
      </c>
      <c r="C281" s="866"/>
      <c r="D281" s="395">
        <f t="shared" si="102"/>
        <v>17.290153693802459</v>
      </c>
      <c r="E281" s="387">
        <f t="shared" si="100"/>
        <v>18.525993243571019</v>
      </c>
      <c r="F281" s="387">
        <f t="shared" si="103"/>
        <v>18.538993209875809</v>
      </c>
      <c r="G281" s="110">
        <f t="shared" si="101"/>
        <v>0.43157860857451835</v>
      </c>
      <c r="H281" s="414" t="b">
        <f>Wh_hp&gt;='2025'!Maxi_hp</f>
        <v>0</v>
      </c>
      <c r="I281" s="392">
        <f>IF(H281,Wh_hp,'2025'!Maxi_hp)</f>
        <v>35.871023448312265</v>
      </c>
      <c r="J281" s="85">
        <f>IF(H281,An,'2025'!An_max)</f>
        <v>2021</v>
      </c>
      <c r="K281" s="199">
        <f t="shared" si="104"/>
        <v>46289</v>
      </c>
      <c r="L281" s="147">
        <f>IF(t&lt;Tvie,1-EXP((T0-t)*PertePVj)+'2025'!Pspv,1-EXP((T0-t)*PertePVj)+Pspv)</f>
        <v>6.6912849416204456E-2</v>
      </c>
      <c r="M281" s="870"/>
      <c r="N281" s="870"/>
      <c r="O281" s="48">
        <f>IF(t&lt;Tnet,'2025'!Resal+('2025'!Salim-'2025'!Resal)*(1-EXP(('2025'!Tnet-t)/('2025'!Tau_j))),Resal+(Salim-Resal)*(1-EXP((Tnet-t)/(Tau_j))))*Salcycl</f>
        <v>6.6708409828305837E-2</v>
      </c>
      <c r="P281" s="171">
        <f>(INDEX(Models!$BJ281:$BT281,,T281)*(1-R281)+INDEX(Models!$BJ281:$BT281,,T281+1)*R281-ERP_i)*Q281*Ramure*Pc/MaxiM</f>
        <v>3.6941168211982755E-3</v>
      </c>
      <c r="Q281" s="307">
        <f t="shared" si="105"/>
        <v>1</v>
      </c>
      <c r="R281" s="179">
        <f t="shared" si="106"/>
        <v>0.55614356510435359</v>
      </c>
      <c r="S281" s="837">
        <f t="shared" si="107"/>
        <v>-2</v>
      </c>
      <c r="T281" s="178">
        <f t="shared" si="108"/>
        <v>4</v>
      </c>
      <c r="U281" s="253">
        <f t="shared" si="109"/>
        <v>-1.4438564348956464</v>
      </c>
      <c r="V281" s="385">
        <f t="shared" si="110"/>
        <v>37.269922615208102</v>
      </c>
      <c r="W281" s="404">
        <f t="shared" si="111"/>
        <v>16.133220243306024</v>
      </c>
      <c r="X281" s="157">
        <f t="shared" si="112"/>
        <v>46289</v>
      </c>
      <c r="Y281" s="387">
        <f t="shared" si="113"/>
        <v>14.943078133085002</v>
      </c>
      <c r="Z281" s="387">
        <f t="shared" si="114"/>
        <v>16.014665000729796</v>
      </c>
      <c r="AA281" s="388">
        <f t="shared" si="115"/>
        <v>18.363084686373341</v>
      </c>
      <c r="AB281" s="199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0.12788808229949686</v>
      </c>
      <c r="AD281" s="233">
        <f>(INDEX(Models!$BJ281:$BT281,,AH281)*(1-AF281)+INDEX(Models!$BJ281:$BT281,,AH281+1)*AF281-ERP_i)*AE281*Ramure*Pc/MaxiM</f>
        <v>4.998679384447316E-2</v>
      </c>
      <c r="AE281" s="307">
        <f t="shared" si="117"/>
        <v>1</v>
      </c>
      <c r="AF281" s="179">
        <f t="shared" si="118"/>
        <v>0.49112615802792403</v>
      </c>
      <c r="AG281" s="837">
        <f t="shared" si="124"/>
        <v>3</v>
      </c>
      <c r="AH281" s="178">
        <f t="shared" si="119"/>
        <v>9</v>
      </c>
      <c r="AI281" s="227">
        <f t="shared" si="120"/>
        <v>3.491126158027924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46290</v>
      </c>
      <c r="B282" s="1139">
        <f>IF(t&gt;Tmaj,'2025'!Wh/'2025'!Env_an*'2026'!Env_an,0.001*'[11]mon-tableau (3)'!$B$226)</f>
        <v>26.947036852926868</v>
      </c>
      <c r="C282" s="866"/>
      <c r="D282" s="395">
        <f t="shared" si="102"/>
        <v>28.880114732664836</v>
      </c>
      <c r="E282" s="387">
        <f t="shared" si="100"/>
        <v>30.950837550108847</v>
      </c>
      <c r="F282" s="387">
        <f t="shared" si="103"/>
        <v>31.022172143592073</v>
      </c>
      <c r="G282" s="110">
        <f t="shared" si="101"/>
        <v>0.73011795627606424</v>
      </c>
      <c r="H282" s="414" t="b">
        <f>Wh_hp&gt;='2025'!Maxi_hp</f>
        <v>0</v>
      </c>
      <c r="I282" s="392">
        <f>IF(H282,Wh_hp,'2025'!Maxi_hp)</f>
        <v>31.047714069590146</v>
      </c>
      <c r="J282" s="85">
        <f>IF(H282,An,'2025'!An_max)</f>
        <v>2025</v>
      </c>
      <c r="K282" s="199">
        <f t="shared" si="104"/>
        <v>46290</v>
      </c>
      <c r="L282" s="147">
        <f>IF(t&lt;Tvie,1-EXP((T0-t)*PertePVj)+'2025'!Pspv,1-EXP((T0-t)*PertePVj)+Pspv)</f>
        <v>6.6934563717351181E-2</v>
      </c>
      <c r="M282" s="870"/>
      <c r="N282" s="870"/>
      <c r="O282" s="48">
        <f>IF(t&lt;Tnet,'2025'!Resal+('2025'!Salim-'2025'!Resal)*(1-EXP(('2025'!Tnet-t)/('2025'!Tau_j))),Resal+(Salim-Resal)*(1-EXP((Tnet-t)/(Tau_j))))*Salcycl</f>
        <v>6.6903611706518359E-2</v>
      </c>
      <c r="P282" s="171">
        <f>(INDEX(Models!$BJ282:$BT282,,T282)*(1-R282)+INDEX(Models!$BJ282:$BT282,,T282+1)*R282-ERP_i)*Q282*Ramure*Pc/MaxiM</f>
        <v>3.733179277743295E-3</v>
      </c>
      <c r="Q282" s="307">
        <f t="shared" si="105"/>
        <v>1</v>
      </c>
      <c r="R282" s="179">
        <f t="shared" si="106"/>
        <v>0.55649678360245924</v>
      </c>
      <c r="S282" s="837">
        <f t="shared" si="107"/>
        <v>-2</v>
      </c>
      <c r="T282" s="178">
        <f t="shared" si="108"/>
        <v>4</v>
      </c>
      <c r="U282" s="253">
        <f t="shared" si="109"/>
        <v>-1.4435032163975408</v>
      </c>
      <c r="V282" s="385">
        <f t="shared" si="110"/>
        <v>36.854748463692722</v>
      </c>
      <c r="W282" s="404">
        <f t="shared" si="111"/>
        <v>26.947036852926868</v>
      </c>
      <c r="X282" s="157">
        <f t="shared" si="112"/>
        <v>46290</v>
      </c>
      <c r="Y282" s="387">
        <f t="shared" si="113"/>
        <v>24.433361032850229</v>
      </c>
      <c r="Z282" s="387">
        <f t="shared" si="114"/>
        <v>26.186117374782654</v>
      </c>
      <c r="AA282" s="388">
        <f t="shared" si="115"/>
        <v>30.027620991089147</v>
      </c>
      <c r="AB282" s="199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0.12793233328229628</v>
      </c>
      <c r="AD282" s="233">
        <f>(INDEX(Models!$BJ282:$BT282,,AH282)*(1-AF282)+INDEX(Models!$BJ282:$BT282,,AH282+1)*AF282-ERP_i)*AE282*Ramure*Pc/MaxiM</f>
        <v>5.2048207915456821E-2</v>
      </c>
      <c r="AE282" s="307">
        <f t="shared" si="117"/>
        <v>1</v>
      </c>
      <c r="AF282" s="179">
        <f t="shared" si="118"/>
        <v>0.49147937652602991</v>
      </c>
      <c r="AG282" s="837">
        <f t="shared" si="124"/>
        <v>3</v>
      </c>
      <c r="AH282" s="178">
        <f t="shared" si="119"/>
        <v>9</v>
      </c>
      <c r="AI282" s="227">
        <f t="shared" si="120"/>
        <v>3.4914793765260299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46291</v>
      </c>
      <c r="B283" s="1139">
        <f>IF(t&gt;Tmaj,'2025'!Wh/'2025'!Env_an*'2026'!Env_an,0.001*'[11]mon-tableau (3)'!$B$227)</f>
        <v>28.934587876424189</v>
      </c>
      <c r="C283" s="866"/>
      <c r="D283" s="395">
        <f t="shared" si="102"/>
        <v>31.010966773674145</v>
      </c>
      <c r="E283" s="387">
        <f t="shared" si="100"/>
        <v>33.241348723260025</v>
      </c>
      <c r="F283" s="387">
        <f t="shared" si="103"/>
        <v>33.330005122616122</v>
      </c>
      <c r="G283" s="110">
        <f t="shared" si="101"/>
        <v>0.79316637897537534</v>
      </c>
      <c r="H283" s="414" t="b">
        <f>Wh_hp&gt;='2025'!Maxi_hp</f>
        <v>0</v>
      </c>
      <c r="I283" s="392">
        <f>IF(H283,Wh_hp,'2025'!Maxi_hp)</f>
        <v>33.351224128843597</v>
      </c>
      <c r="J283" s="85">
        <f>IF(H283,An,'2025'!An_max)</f>
        <v>2025</v>
      </c>
      <c r="K283" s="199">
        <f t="shared" si="104"/>
        <v>46291</v>
      </c>
      <c r="L283" s="147">
        <f>IF(t&lt;Tvie,1-EXP((T0-t)*PertePVj)+'2025'!Pspv,1-EXP((T0-t)*PertePVj)+Pspv)</f>
        <v>6.6956277513174345E-2</v>
      </c>
      <c r="M283" s="870"/>
      <c r="N283" s="870"/>
      <c r="O283" s="48">
        <f>IF(t&lt;Tnet,'2025'!Resal+('2025'!Salim-'2025'!Resal)*(1-EXP(('2025'!Tnet-t)/('2025'!Tau_j))),Resal+(Salim-Resal)*(1-EXP((Tnet-t)/(Tau_j))))*Salcycl</f>
        <v>6.7096614164310689E-2</v>
      </c>
      <c r="P283" s="171">
        <f>(INDEX(Models!$BJ283:$BT283,,T283)*(1-R283)+INDEX(Models!$BJ283:$BT283,,T283+1)*R283-ERP_i)*Q283*Ramure*Pc/MaxiM</f>
        <v>3.7687952967472736E-3</v>
      </c>
      <c r="Q283" s="307">
        <f t="shared" si="105"/>
        <v>1</v>
      </c>
      <c r="R283" s="179">
        <f t="shared" si="106"/>
        <v>0.55683611960698842</v>
      </c>
      <c r="S283" s="837">
        <f t="shared" si="107"/>
        <v>-2</v>
      </c>
      <c r="T283" s="178">
        <f t="shared" si="108"/>
        <v>4</v>
      </c>
      <c r="U283" s="253">
        <f t="shared" si="109"/>
        <v>-1.4431638803930116</v>
      </c>
      <c r="V283" s="385">
        <f t="shared" si="110"/>
        <v>36.439288541189015</v>
      </c>
      <c r="W283" s="404">
        <f t="shared" si="111"/>
        <v>28.934587876424189</v>
      </c>
      <c r="X283" s="157">
        <f t="shared" si="112"/>
        <v>46291</v>
      </c>
      <c r="Y283" s="387">
        <f t="shared" si="113"/>
        <v>26.082312417939065</v>
      </c>
      <c r="Z283" s="387">
        <f t="shared" si="114"/>
        <v>27.954008787950812</v>
      </c>
      <c r="AA283" s="388">
        <f t="shared" si="115"/>
        <v>32.056370968222019</v>
      </c>
      <c r="AB283" s="199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0.1279733811521567</v>
      </c>
      <c r="AD283" s="233">
        <f>(INDEX(Models!$BJ283:$BT283,,AH283)*(1-AF283)+INDEX(Models!$BJ283:$BT283,,AH283+1)*AF283-ERP_i)*AE283*Ramure*Pc/MaxiM</f>
        <v>5.4142356848683799E-2</v>
      </c>
      <c r="AE283" s="307">
        <f t="shared" si="117"/>
        <v>1</v>
      </c>
      <c r="AF283" s="179">
        <f t="shared" si="118"/>
        <v>0.49181871253055887</v>
      </c>
      <c r="AG283" s="837">
        <f t="shared" si="124"/>
        <v>3</v>
      </c>
      <c r="AH283" s="178">
        <f t="shared" si="119"/>
        <v>9</v>
      </c>
      <c r="AI283" s="227">
        <f t="shared" si="120"/>
        <v>3.4918187125305589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46292</v>
      </c>
      <c r="B284" s="1139">
        <f>IF(t&gt;Tmaj,'2025'!Wh/'2025'!Env_an*'2026'!Env_an,0.001*'[11]mon-tableau (3)'!$B$228)</f>
        <v>14.136730665330164</v>
      </c>
      <c r="C284" s="866"/>
      <c r="D284" s="395">
        <f t="shared" si="102"/>
        <v>15.151551116685074</v>
      </c>
      <c r="E284" s="387">
        <f t="shared" si="100"/>
        <v>16.244607941178398</v>
      </c>
      <c r="F284" s="387">
        <f t="shared" si="103"/>
        <v>16.252763753296115</v>
      </c>
      <c r="G284" s="110">
        <f t="shared" si="101"/>
        <v>0.39112546042332186</v>
      </c>
      <c r="H284" s="414" t="b">
        <f>Wh_hp&gt;='2025'!Maxi_hp</f>
        <v>0</v>
      </c>
      <c r="I284" s="392">
        <f>IF(H284,Wh_hp,'2025'!Maxi_hp)</f>
        <v>32.510091909422549</v>
      </c>
      <c r="J284" s="85">
        <f>IF(H284,An,'2025'!An_max)</f>
        <v>2019</v>
      </c>
      <c r="K284" s="199">
        <f t="shared" si="104"/>
        <v>46292</v>
      </c>
      <c r="L284" s="147">
        <f>IF(t&lt;Tvie,1-EXP((T0-t)*PertePVj)+'2025'!Pspv,1-EXP((T0-t)*PertePVj)+Pspv)</f>
        <v>6.6977990803685827E-2</v>
      </c>
      <c r="M284" s="870"/>
      <c r="N284" s="870"/>
      <c r="O284" s="48">
        <f>IF(t&lt;Tnet,'2025'!Resal+('2025'!Salim-'2025'!Resal)*(1-EXP(('2025'!Tnet-t)/('2025'!Tau_j))),Resal+(Salim-Resal)*(1-EXP((Tnet-t)/(Tau_j))))*Salcycl</f>
        <v>6.7287362579095455E-2</v>
      </c>
      <c r="P284" s="171">
        <f>(INDEX(Models!$BJ284:$BT284,,T284)*(1-R284)+INDEX(Models!$BJ284:$BT284,,T284+1)*R284-ERP_i)*Q284*Ramure*Pc/MaxiM</f>
        <v>3.8007461687562969E-3</v>
      </c>
      <c r="Q284" s="307">
        <f t="shared" si="105"/>
        <v>1</v>
      </c>
      <c r="R284" s="179">
        <f t="shared" si="106"/>
        <v>0.55716210576968539</v>
      </c>
      <c r="S284" s="837">
        <f t="shared" si="107"/>
        <v>-2</v>
      </c>
      <c r="T284" s="178">
        <f t="shared" si="108"/>
        <v>4</v>
      </c>
      <c r="U284" s="253">
        <f t="shared" si="109"/>
        <v>-1.4428378942303146</v>
      </c>
      <c r="V284" s="385">
        <f t="shared" si="110"/>
        <v>36.024428260902575</v>
      </c>
      <c r="W284" s="404">
        <f t="shared" si="111"/>
        <v>14.136730665330164</v>
      </c>
      <c r="X284" s="157">
        <f t="shared" si="112"/>
        <v>46292</v>
      </c>
      <c r="Y284" s="387">
        <f t="shared" si="113"/>
        <v>13.124765462970329</v>
      </c>
      <c r="Z284" s="387">
        <f t="shared" si="114"/>
        <v>14.066940901293131</v>
      </c>
      <c r="AA284" s="388">
        <f t="shared" si="115"/>
        <v>16.132019078204518</v>
      </c>
      <c r="AB284" s="199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0.12801114150066009</v>
      </c>
      <c r="AD284" s="233">
        <f>(INDEX(Models!$BJ284:$BT284,,AH284)*(1-AF284)+INDEX(Models!$BJ284:$BT284,,AH284+1)*AF284-ERP_i)*AE284*Ramure*Pc/MaxiM</f>
        <v>5.6269057529547702E-2</v>
      </c>
      <c r="AE284" s="307">
        <f t="shared" si="117"/>
        <v>1</v>
      </c>
      <c r="AF284" s="179">
        <f t="shared" si="118"/>
        <v>0.49214469869325583</v>
      </c>
      <c r="AG284" s="837">
        <f t="shared" si="124"/>
        <v>3</v>
      </c>
      <c r="AH284" s="178">
        <f t="shared" si="119"/>
        <v>9</v>
      </c>
      <c r="AI284" s="227">
        <f t="shared" si="120"/>
        <v>3.4921446986932558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46293</v>
      </c>
      <c r="B285" s="1139">
        <f>IF(t&gt;Tmaj,'2025'!Wh/'2025'!Env_an*'2026'!Env_an,0.001*'[11]mon-tableau (3)'!$B$229)</f>
        <v>16.634088596239497</v>
      </c>
      <c r="C285" s="866"/>
      <c r="D285" s="395">
        <f t="shared" si="102"/>
        <v>17.828599476575203</v>
      </c>
      <c r="E285" s="387">
        <f t="shared" si="100"/>
        <v>19.118645434725785</v>
      </c>
      <c r="F285" s="387">
        <f t="shared" si="103"/>
        <v>19.136136144935435</v>
      </c>
      <c r="G285" s="110">
        <f t="shared" si="101"/>
        <v>0.46574191063201953</v>
      </c>
      <c r="H285" s="414" t="b">
        <f>Wh_hp&gt;='2025'!Maxi_hp</f>
        <v>0</v>
      </c>
      <c r="I285" s="392">
        <f>IF(H285,Wh_hp,'2025'!Maxi_hp)</f>
        <v>28.599911688914776</v>
      </c>
      <c r="J285" s="85">
        <f>IF(H285,An,'2025'!An_max)</f>
        <v>2019</v>
      </c>
      <c r="K285" s="199">
        <f t="shared" si="104"/>
        <v>46293</v>
      </c>
      <c r="L285" s="147">
        <f>IF(t&lt;Tvie,1-EXP((T0-t)*PertePVj)+'2025'!Pspv,1-EXP((T0-t)*PertePVj)+Pspv)</f>
        <v>6.6999703588897175E-2</v>
      </c>
      <c r="M285" s="870"/>
      <c r="N285" s="870"/>
      <c r="O285" s="48">
        <f>IF(t&lt;Tnet,'2025'!Resal+('2025'!Salim-'2025'!Resal)*(1-EXP(('2025'!Tnet-t)/('2025'!Tau_j))),Resal+(Salim-Resal)*(1-EXP((Tnet-t)/(Tau_j))))*Salcycl</f>
        <v>6.7475803270425946E-2</v>
      </c>
      <c r="P285" s="171">
        <f>(INDEX(Models!$BJ285:$BT285,,T285)*(1-R285)+INDEX(Models!$BJ285:$BT285,,T285+1)*R285-ERP_i)*Q285*Ramure*Pc/MaxiM</f>
        <v>3.8287997752174123E-3</v>
      </c>
      <c r="Q285" s="307">
        <f t="shared" si="105"/>
        <v>1</v>
      </c>
      <c r="R285" s="179">
        <f t="shared" si="106"/>
        <v>0.55747525531868658</v>
      </c>
      <c r="S285" s="837">
        <f t="shared" si="107"/>
        <v>-2</v>
      </c>
      <c r="T285" s="178">
        <f t="shared" si="108"/>
        <v>4</v>
      </c>
      <c r="U285" s="253">
        <f t="shared" si="109"/>
        <v>-1.4425247446813134</v>
      </c>
      <c r="V285" s="385">
        <f t="shared" si="110"/>
        <v>35.611052105243957</v>
      </c>
      <c r="W285" s="404">
        <f t="shared" si="111"/>
        <v>16.634088596239497</v>
      </c>
      <c r="X285" s="157">
        <f t="shared" si="112"/>
        <v>46293</v>
      </c>
      <c r="Y285" s="387">
        <f t="shared" si="113"/>
        <v>15.350752687059989</v>
      </c>
      <c r="Z285" s="387">
        <f t="shared" si="114"/>
        <v>16.453105905870014</v>
      </c>
      <c r="AA285" s="388">
        <f t="shared" si="115"/>
        <v>18.86922599454472</v>
      </c>
      <c r="AB285" s="199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0.12804553241204639</v>
      </c>
      <c r="AD285" s="233">
        <f>(INDEX(Models!$BJ285:$BT285,,AH285)*(1-AF285)+INDEX(Models!$BJ285:$BT285,,AH285+1)*AF285-ERP_i)*AE285*Ramure*Pc/MaxiM</f>
        <v>5.8427903245196915E-2</v>
      </c>
      <c r="AE285" s="307">
        <f t="shared" si="117"/>
        <v>1</v>
      </c>
      <c r="AF285" s="179">
        <f t="shared" si="118"/>
        <v>0.4924578482422568</v>
      </c>
      <c r="AG285" s="837">
        <f t="shared" si="124"/>
        <v>3</v>
      </c>
      <c r="AH285" s="178">
        <f t="shared" si="119"/>
        <v>9</v>
      </c>
      <c r="AI285" s="227">
        <f t="shared" si="120"/>
        <v>3.4924578482422568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46294</v>
      </c>
      <c r="B286" s="1139">
        <f>IF(t&gt;Tmaj,'2025'!Wh/'2025'!Env_an*'2026'!Env_an,0.001*'[11]mon-tableau (3)'!$B$230)</f>
        <v>22.241457668424218</v>
      </c>
      <c r="C286" s="866"/>
      <c r="D286" s="395">
        <f t="shared" si="102"/>
        <v>23.83919421809258</v>
      </c>
      <c r="E286" s="387">
        <f t="shared" si="100"/>
        <v>25.569258411061625</v>
      </c>
      <c r="F286" s="387">
        <f t="shared" si="103"/>
        <v>25.616046340482736</v>
      </c>
      <c r="G286" s="110">
        <f t="shared" si="101"/>
        <v>0.63057619312894619</v>
      </c>
      <c r="H286" s="414" t="b">
        <f>Wh_hp&gt;='2025'!Maxi_hp</f>
        <v>0</v>
      </c>
      <c r="I286" s="392">
        <f>IF(H286,Wh_hp,'2025'!Maxi_hp)</f>
        <v>39.642846116741424</v>
      </c>
      <c r="J286" s="85">
        <f>IF(H286,An,'2025'!An_max)</f>
        <v>2019</v>
      </c>
      <c r="K286" s="199">
        <f t="shared" si="104"/>
        <v>46294</v>
      </c>
      <c r="L286" s="147">
        <f>IF(t&lt;Tvie,1-EXP((T0-t)*PertePVj)+'2025'!Pspv,1-EXP((T0-t)*PertePVj)+Pspv)</f>
        <v>6.7021415868820378E-2</v>
      </c>
      <c r="M286" s="870"/>
      <c r="N286" s="870"/>
      <c r="O286" s="48">
        <f>IF(t&lt;Tnet,'2025'!Resal+('2025'!Salim-'2025'!Resal)*(1-EXP(('2025'!Tnet-t)/('2025'!Tau_j))),Resal+(Salim-Resal)*(1-EXP((Tnet-t)/(Tau_j))))*Salcycl</f>
        <v>6.7661883858962268E-2</v>
      </c>
      <c r="P286" s="171">
        <f>(INDEX(Models!$BJ286:$BT286,,T286)*(1-R286)+INDEX(Models!$BJ286:$BT286,,T286+1)*R286-ERP_i)*Q286*Ramure*Pc/MaxiM</f>
        <v>3.8527108406795989E-3</v>
      </c>
      <c r="Q286" s="307">
        <f t="shared" si="105"/>
        <v>1</v>
      </c>
      <c r="R286" s="179">
        <f t="shared" si="106"/>
        <v>0.557776062686961</v>
      </c>
      <c r="S286" s="837">
        <f t="shared" si="107"/>
        <v>-2</v>
      </c>
      <c r="T286" s="178">
        <f t="shared" si="108"/>
        <v>4</v>
      </c>
      <c r="U286" s="253">
        <f t="shared" si="109"/>
        <v>-1.442223937313039</v>
      </c>
      <c r="V286" s="385">
        <f t="shared" si="110"/>
        <v>35.200043636038529</v>
      </c>
      <c r="W286" s="404">
        <f t="shared" si="111"/>
        <v>22.241457668424218</v>
      </c>
      <c r="X286" s="157">
        <f t="shared" si="112"/>
        <v>46294</v>
      </c>
      <c r="Y286" s="387">
        <f t="shared" si="113"/>
        <v>20.239440631517926</v>
      </c>
      <c r="Z286" s="387">
        <f t="shared" si="114"/>
        <v>21.693360357639463</v>
      </c>
      <c r="AA286" s="388">
        <f t="shared" si="115"/>
        <v>24.879888818514328</v>
      </c>
      <c r="AB286" s="199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0.12807647510480893</v>
      </c>
      <c r="AD286" s="233">
        <f>(INDEX(Models!$BJ286:$BT286,,AH286)*(1-AF286)+INDEX(Models!$BJ286:$BT286,,AH286+1)*AF286-ERP_i)*AE286*Ramure*Pc/MaxiM</f>
        <v>6.0618242790967829E-2</v>
      </c>
      <c r="AE286" s="307">
        <f t="shared" si="117"/>
        <v>1</v>
      </c>
      <c r="AF286" s="179">
        <f t="shared" si="118"/>
        <v>0.49275865561053145</v>
      </c>
      <c r="AG286" s="837">
        <f t="shared" si="124"/>
        <v>3</v>
      </c>
      <c r="AH286" s="178">
        <f t="shared" si="119"/>
        <v>9</v>
      </c>
      <c r="AI286" s="227">
        <f t="shared" si="120"/>
        <v>3.4927586556105314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46295</v>
      </c>
      <c r="B287" s="1139">
        <f>IF(t&gt;Tmaj,'2025'!Wh/'2025'!Env_an*'2026'!Env_an,0.001*'[11]mon-tableau (3)'!$B$231)</f>
        <v>25.696452499326906</v>
      </c>
      <c r="C287" s="866"/>
      <c r="D287" s="395">
        <f t="shared" si="102"/>
        <v>27.543022899248136</v>
      </c>
      <c r="E287" s="387">
        <f t="shared" si="100"/>
        <v>29.547703180378988</v>
      </c>
      <c r="F287" s="387">
        <f t="shared" si="103"/>
        <v>29.619561529719014</v>
      </c>
      <c r="G287" s="110">
        <f t="shared" si="101"/>
        <v>0.73749683632448937</v>
      </c>
      <c r="H287" s="414" t="b">
        <f>Wh_hp&gt;='2025'!Maxi_hp</f>
        <v>0</v>
      </c>
      <c r="I287" s="392">
        <f>IF(H287,Wh_hp,'2025'!Maxi_hp)</f>
        <v>32.062263093878606</v>
      </c>
      <c r="J287" s="85">
        <f>IF(H287,An,'2025'!An_max)</f>
        <v>2020</v>
      </c>
      <c r="K287" s="199">
        <f t="shared" si="104"/>
        <v>46295</v>
      </c>
      <c r="L287" s="147">
        <f>IF(t&lt;Tvie,1-EXP((T0-t)*PertePVj)+'2025'!Pspv,1-EXP((T0-t)*PertePVj)+Pspv)</f>
        <v>6.7043127643467093E-2</v>
      </c>
      <c r="M287" s="870"/>
      <c r="N287" s="870"/>
      <c r="O287" s="48">
        <f>IF(t&lt;Tnet,'2025'!Resal+('2025'!Salim-'2025'!Resal)*(1-EXP(('2025'!Tnet-t)/('2025'!Tau_j))),Resal+(Salim-Resal)*(1-EXP((Tnet-t)/(Tau_j))))*Salcycl</f>
        <v>6.7845553642289461E-2</v>
      </c>
      <c r="P287" s="171">
        <f>(INDEX(Models!$BJ287:$BT287,,T287)*(1-R287)+INDEX(Models!$BJ287:$BT287,,T287+1)*R287-ERP_i)*Q287*Ramure*Pc/MaxiM</f>
        <v>3.872221330591662E-3</v>
      </c>
      <c r="Q287" s="307">
        <f t="shared" si="105"/>
        <v>1</v>
      </c>
      <c r="R287" s="179">
        <f t="shared" si="106"/>
        <v>0.55806500412689353</v>
      </c>
      <c r="S287" s="837">
        <f t="shared" si="107"/>
        <v>-2</v>
      </c>
      <c r="T287" s="178">
        <f t="shared" si="108"/>
        <v>4</v>
      </c>
      <c r="U287" s="253">
        <f t="shared" si="109"/>
        <v>-1.4419349958731065</v>
      </c>
      <c r="V287" s="385">
        <f t="shared" si="110"/>
        <v>34.792285504950108</v>
      </c>
      <c r="W287" s="404">
        <f t="shared" si="111"/>
        <v>25.696452499326906</v>
      </c>
      <c r="X287" s="157">
        <f t="shared" si="112"/>
        <v>46295</v>
      </c>
      <c r="Y287" s="387">
        <f t="shared" si="113"/>
        <v>23.145199988909013</v>
      </c>
      <c r="Z287" s="387">
        <f t="shared" si="114"/>
        <v>24.808435067793777</v>
      </c>
      <c r="AA287" s="388">
        <f t="shared" si="115"/>
        <v>28.453430304401184</v>
      </c>
      <c r="AB287" s="199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0.12810389459592142</v>
      </c>
      <c r="AD287" s="233">
        <f>(INDEX(Models!$BJ287:$BT287,,AH287)*(1-AF287)+INDEX(Models!$BJ287:$BT287,,AH287+1)*AF287-ERP_i)*AE287*Ramure*Pc/MaxiM</f>
        <v>6.2839158516955901E-2</v>
      </c>
      <c r="AE287" s="307">
        <f t="shared" si="117"/>
        <v>1</v>
      </c>
      <c r="AF287" s="179">
        <f t="shared" si="118"/>
        <v>0.49304759705046397</v>
      </c>
      <c r="AG287" s="837">
        <f t="shared" si="124"/>
        <v>3</v>
      </c>
      <c r="AH287" s="178">
        <f t="shared" si="119"/>
        <v>9</v>
      </c>
      <c r="AI287" s="227">
        <f t="shared" si="120"/>
        <v>3.493047597050464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46296</v>
      </c>
      <c r="B288" s="1139">
        <f>IF(t&gt;Tmaj,'2025'!Wh/'2025'!Env_an*'2026'!Env_an,0.001*'[12]mon-tableau (1)'!$B$208)</f>
        <v>30.927683055608725</v>
      </c>
      <c r="C288" s="866"/>
      <c r="D288" s="395">
        <f t="shared" si="102"/>
        <v>33.150945902359005</v>
      </c>
      <c r="E288" s="387">
        <f t="shared" si="100"/>
        <v>35.570705918675259</v>
      </c>
      <c r="F288" s="387">
        <f t="shared" si="103"/>
        <v>35.689487538206222</v>
      </c>
      <c r="G288" s="110">
        <f t="shared" si="101"/>
        <v>0.89885274465401777</v>
      </c>
      <c r="H288" s="414" t="b">
        <f>Wh_hp&gt;='2025'!Maxi_hp</f>
        <v>0</v>
      </c>
      <c r="I288" s="392">
        <f>IF(H288,Wh_hp,'2025'!Maxi_hp)</f>
        <v>38.101768879016269</v>
      </c>
      <c r="J288" s="85">
        <f>IF(H288,An,'2025'!An_max)</f>
        <v>2020</v>
      </c>
      <c r="K288" s="199">
        <f t="shared" si="104"/>
        <v>46296</v>
      </c>
      <c r="L288" s="147">
        <f>IF(t&lt;Tvie,1-EXP((T0-t)*PertePVj)+'2025'!Pspv,1-EXP((T0-t)*PertePVj)+Pspv)</f>
        <v>6.706483891284909E-2</v>
      </c>
      <c r="M288" s="870"/>
      <c r="N288" s="870"/>
      <c r="O288" s="48">
        <f>IF(t&lt;Tnet,'2025'!Resal+('2025'!Salim-'2025'!Resal)*(1-EXP(('2025'!Tnet-t)/('2025'!Tau_j))),Resal+(Salim-Resal)*(1-EXP((Tnet-t)/(Tau_j))))*Salcycl</f>
        <v>6.8026763985188074E-2</v>
      </c>
      <c r="P288" s="171">
        <f>(INDEX(Models!$BJ288:$BT288,,T288)*(1-R288)+INDEX(Models!$BJ288:$BT288,,T288+1)*R288-ERP_i)*Q288*Ramure*Pc/MaxiM</f>
        <v>3.8870610174516641E-3</v>
      </c>
      <c r="Q288" s="307">
        <f t="shared" si="105"/>
        <v>1</v>
      </c>
      <c r="R288" s="179">
        <f t="shared" si="106"/>
        <v>0.55834253831074099</v>
      </c>
      <c r="S288" s="837">
        <f t="shared" si="107"/>
        <v>-2</v>
      </c>
      <c r="T288" s="178">
        <f t="shared" si="108"/>
        <v>4</v>
      </c>
      <c r="U288" s="253">
        <f t="shared" si="109"/>
        <v>-1.441657461689259</v>
      </c>
      <c r="V288" s="385">
        <f t="shared" si="110"/>
        <v>34.388659466106162</v>
      </c>
      <c r="W288" s="404">
        <f t="shared" si="111"/>
        <v>30.927683055608725</v>
      </c>
      <c r="X288" s="157">
        <f t="shared" si="112"/>
        <v>46296</v>
      </c>
      <c r="Y288" s="387">
        <f t="shared" si="113"/>
        <v>27.411973231148057</v>
      </c>
      <c r="Z288" s="387">
        <f t="shared" si="114"/>
        <v>29.382506281792228</v>
      </c>
      <c r="AA288" s="388">
        <f t="shared" si="115"/>
        <v>33.700470778467995</v>
      </c>
      <c r="AB288" s="199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0.12812772038290379</v>
      </c>
      <c r="AD288" s="233">
        <f>(INDEX(Models!$BJ288:$BT288,,AH288)*(1-AF288)+INDEX(Models!$BJ288:$BT288,,AH288+1)*AF288-ERP_i)*AE288*Ramure*Pc/MaxiM</f>
        <v>6.5089443470849967E-2</v>
      </c>
      <c r="AE288" s="307">
        <f t="shared" si="117"/>
        <v>1</v>
      </c>
      <c r="AF288" s="179">
        <f t="shared" si="118"/>
        <v>0.49332513123431143</v>
      </c>
      <c r="AG288" s="837">
        <f t="shared" si="124"/>
        <v>3</v>
      </c>
      <c r="AH288" s="178">
        <f t="shared" si="119"/>
        <v>9</v>
      </c>
      <c r="AI288" s="227">
        <f t="shared" si="120"/>
        <v>3.4933251312343114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46297</v>
      </c>
      <c r="B289" s="1139">
        <f>IF(t&gt;Tmaj,'2025'!Wh/'2025'!Env_an*'2026'!Env_an,0.001*'[12]mon-tableau (1)'!$B$209)</f>
        <v>32.678908905916217</v>
      </c>
      <c r="C289" s="866"/>
      <c r="D289" s="395">
        <f t="shared" si="102"/>
        <v>35.028875288057137</v>
      </c>
      <c r="E289" s="387">
        <f t="shared" si="100"/>
        <v>37.592917872143374</v>
      </c>
      <c r="F289" s="387">
        <f t="shared" si="103"/>
        <v>37.731897856876884</v>
      </c>
      <c r="G289" s="110">
        <f t="shared" si="101"/>
        <v>0.96134200400409719</v>
      </c>
      <c r="H289" s="414" t="b">
        <f>Wh_hp&gt;='2025'!Maxi_hp</f>
        <v>0</v>
      </c>
      <c r="I289" s="392">
        <f>IF(H289,Wh_hp,'2025'!Maxi_hp)</f>
        <v>37.73653298451557</v>
      </c>
      <c r="J289" s="85">
        <f>IF(H289,An,'2025'!An_max)</f>
        <v>2025</v>
      </c>
      <c r="K289" s="199">
        <f t="shared" si="104"/>
        <v>46297</v>
      </c>
      <c r="L289" s="147">
        <f>IF(t&lt;Tvie,1-EXP((T0-t)*PertePVj)+'2025'!Pspv,1-EXP((T0-t)*PertePVj)+Pspv)</f>
        <v>6.7086549676978136E-2</v>
      </c>
      <c r="M289" s="870"/>
      <c r="N289" s="870"/>
      <c r="O289" s="48">
        <f>IF(t&lt;Tnet,'2025'!Resal+('2025'!Salim-'2025'!Resal)*(1-EXP(('2025'!Tnet-t)/('2025'!Tau_j))),Resal+(Salim-Resal)*(1-EXP((Tnet-t)/(Tau_j))))*Salcycl</f>
        <v>6.820546872170867E-2</v>
      </c>
      <c r="P289" s="171">
        <f>(INDEX(Models!$BJ289:$BT289,,T289)*(1-R289)+INDEX(Models!$BJ289:$BT289,,T289+1)*R289-ERP_i)*Q289*Ramure*Pc/MaxiM</f>
        <v>3.8974439711089172E-3</v>
      </c>
      <c r="Q289" s="307">
        <f t="shared" si="105"/>
        <v>1</v>
      </c>
      <c r="R289" s="179">
        <f t="shared" si="106"/>
        <v>0.55860910691676002</v>
      </c>
      <c r="S289" s="837">
        <f t="shared" si="107"/>
        <v>-2</v>
      </c>
      <c r="T289" s="178">
        <f t="shared" si="108"/>
        <v>4</v>
      </c>
      <c r="U289" s="253">
        <f t="shared" si="109"/>
        <v>-1.44139089308324</v>
      </c>
      <c r="V289" s="385">
        <f t="shared" si="110"/>
        <v>33.985706148170806</v>
      </c>
      <c r="W289" s="404">
        <f t="shared" si="111"/>
        <v>32.678908905916217</v>
      </c>
      <c r="X289" s="157">
        <f t="shared" si="112"/>
        <v>46297</v>
      </c>
      <c r="Y289" s="387">
        <f t="shared" si="113"/>
        <v>28.735541374435591</v>
      </c>
      <c r="Z289" s="387">
        <f t="shared" si="114"/>
        <v>30.801937054810274</v>
      </c>
      <c r="AA289" s="388">
        <f t="shared" si="115"/>
        <v>35.329313997666084</v>
      </c>
      <c r="AB289" s="199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0.12814788713856415</v>
      </c>
      <c r="AD289" s="233">
        <f>(INDEX(Models!$BJ289:$BT289,,AH289)*(1-AF289)+INDEX(Models!$BJ289:$BT289,,AH289+1)*AF289-ERP_i)*AE289*Ramure*Pc/MaxiM</f>
        <v>6.7376147688602381E-2</v>
      </c>
      <c r="AE289" s="307">
        <f t="shared" si="117"/>
        <v>1</v>
      </c>
      <c r="AF289" s="179">
        <f t="shared" si="118"/>
        <v>0.49359169984033047</v>
      </c>
      <c r="AG289" s="837">
        <f t="shared" si="124"/>
        <v>3</v>
      </c>
      <c r="AH289" s="178">
        <f t="shared" si="119"/>
        <v>9</v>
      </c>
      <c r="AI289" s="227">
        <f t="shared" si="120"/>
        <v>3.4935916998403305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46298</v>
      </c>
      <c r="B290" s="1139">
        <f>IF(t&gt;Tmaj,'2025'!Wh/'2025'!Env_an*'2026'!Env_an,0.001*'[12]mon-tableau (1)'!$B$210)</f>
        <v>30.840309114169777</v>
      </c>
      <c r="C290" s="866"/>
      <c r="D290" s="395">
        <f t="shared" si="102"/>
        <v>33.058829647317474</v>
      </c>
      <c r="E290" s="387">
        <f t="shared" si="100"/>
        <v>35.485377402440086</v>
      </c>
      <c r="F290" s="387">
        <f t="shared" si="103"/>
        <v>35.608158324562666</v>
      </c>
      <c r="G290" s="110">
        <f t="shared" si="101"/>
        <v>0.91799230788941766</v>
      </c>
      <c r="H290" s="414" t="b">
        <f>Wh_hp&gt;='2025'!Maxi_hp</f>
        <v>0</v>
      </c>
      <c r="I290" s="392">
        <f>IF(H290,Wh_hp,'2025'!Maxi_hp)</f>
        <v>36.052378620144729</v>
      </c>
      <c r="J290" s="85">
        <f>IF(H290,An,'2025'!An_max)</f>
        <v>2018</v>
      </c>
      <c r="K290" s="199">
        <f t="shared" si="104"/>
        <v>46298</v>
      </c>
      <c r="L290" s="147">
        <f>IF(t&lt;Tvie,1-EXP((T0-t)*PertePVj)+'2025'!Pspv,1-EXP((T0-t)*PertePVj)+Pspv)</f>
        <v>6.7108259935865999E-2</v>
      </c>
      <c r="M290" s="870"/>
      <c r="N290" s="870"/>
      <c r="O290" s="48">
        <f>IF(t&lt;Tnet,'2025'!Resal+('2025'!Salim-'2025'!Resal)*(1-EXP(('2025'!Tnet-t)/('2025'!Tau_j))),Resal+(Salim-Resal)*(1-EXP((Tnet-t)/(Tau_j))))*Salcycl</f>
        <v>6.8381624566172791E-2</v>
      </c>
      <c r="P290" s="171">
        <f>(INDEX(Models!$BJ290:$BT290,,T290)*(1-R290)+INDEX(Models!$BJ290:$BT290,,T290+1)*R290-ERP_i)*Q290*Ramure*Pc/MaxiM</f>
        <v>3.9030294017132041E-3</v>
      </c>
      <c r="Q290" s="307">
        <f t="shared" si="105"/>
        <v>1</v>
      </c>
      <c r="R290" s="179">
        <f t="shared" si="106"/>
        <v>0.55886513520086334</v>
      </c>
      <c r="S290" s="837">
        <f t="shared" si="107"/>
        <v>-2</v>
      </c>
      <c r="T290" s="178">
        <f t="shared" si="108"/>
        <v>4</v>
      </c>
      <c r="U290" s="253">
        <f t="shared" si="109"/>
        <v>-1.4411348647991367</v>
      </c>
      <c r="V290" s="385">
        <f t="shared" si="110"/>
        <v>33.580053466501283</v>
      </c>
      <c r="W290" s="404">
        <f t="shared" si="111"/>
        <v>30.840309114169777</v>
      </c>
      <c r="X290" s="157">
        <f t="shared" si="112"/>
        <v>46298</v>
      </c>
      <c r="Y290" s="387">
        <f t="shared" si="113"/>
        <v>27.17806478034786</v>
      </c>
      <c r="Z290" s="387">
        <f t="shared" si="114"/>
        <v>29.133139048352422</v>
      </c>
      <c r="AA290" s="388">
        <f t="shared" si="115"/>
        <v>33.415860616519737</v>
      </c>
      <c r="AB290" s="199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0.12816433541292885</v>
      </c>
      <c r="AD290" s="233">
        <f>(INDEX(Models!$BJ290:$BT290,,AH290)*(1-AF290)+INDEX(Models!$BJ290:$BT290,,AH290+1)*AF290-ERP_i)*AE290*Ramure*Pc/MaxiM</f>
        <v>6.9689999585259135E-2</v>
      </c>
      <c r="AE290" s="307">
        <f t="shared" si="117"/>
        <v>1</v>
      </c>
      <c r="AF290" s="179">
        <f t="shared" si="118"/>
        <v>0.49384772812443378</v>
      </c>
      <c r="AG290" s="837">
        <f t="shared" si="124"/>
        <v>3</v>
      </c>
      <c r="AH290" s="178">
        <f t="shared" si="119"/>
        <v>9</v>
      </c>
      <c r="AI290" s="227">
        <f t="shared" si="120"/>
        <v>3.4938477281244338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46299</v>
      </c>
      <c r="B291" s="1139">
        <f>IF(t&gt;Tmaj,'2025'!Wh/'2025'!Env_an*'2026'!Env_an,0.001*'[12]mon-tableau (1)'!$B$211)</f>
        <v>32.986151355871051</v>
      </c>
      <c r="C291" s="866"/>
      <c r="D291" s="395">
        <f t="shared" si="102"/>
        <v>35.359857519372426</v>
      </c>
      <c r="E291" s="387">
        <f t="shared" si="100"/>
        <v>37.962375438492671</v>
      </c>
      <c r="F291" s="387">
        <f t="shared" si="103"/>
        <v>38.110058753159983</v>
      </c>
      <c r="G291" s="110">
        <f t="shared" si="101"/>
        <v>0.99434862675291624</v>
      </c>
      <c r="H291" s="414" t="b">
        <f>Wh_hp&gt;='2025'!Maxi_hp</f>
        <v>0</v>
      </c>
      <c r="I291" s="392">
        <f>IF(H291,Wh_hp,'2025'!Maxi_hp)</f>
        <v>38.110744788476701</v>
      </c>
      <c r="J291" s="85">
        <f>IF(H291,An,'2025'!An_max)</f>
        <v>2025</v>
      </c>
      <c r="K291" s="199">
        <f t="shared" si="104"/>
        <v>46299</v>
      </c>
      <c r="L291" s="147">
        <f>IF(t&lt;Tvie,1-EXP((T0-t)*PertePVj)+'2025'!Pspv,1-EXP((T0-t)*PertePVj)+Pspv)</f>
        <v>6.7129969689524449E-2</v>
      </c>
      <c r="M291" s="870"/>
      <c r="N291" s="870"/>
      <c r="O291" s="48">
        <f>IF(t&lt;Tnet,'2025'!Resal+('2025'!Salim-'2025'!Resal)*(1-EXP(('2025'!Tnet-t)/('2025'!Tau_j))),Resal+(Salim-Resal)*(1-EXP((Tnet-t)/(Tau_j))))*Salcycl</f>
        <v>6.8555191530016088E-2</v>
      </c>
      <c r="P291" s="171">
        <f>(INDEX(Models!$BJ291:$BT291,,T291)*(1-R291)+INDEX(Models!$BJ291:$BT291,,T291+1)*R291-ERP_i)*Q291*Ramure*Pc/MaxiM</f>
        <v>3.906543723162785E-3</v>
      </c>
      <c r="Q291" s="307">
        <f t="shared" si="105"/>
        <v>1</v>
      </c>
      <c r="R291" s="179">
        <f t="shared" si="106"/>
        <v>0.55911103255372585</v>
      </c>
      <c r="S291" s="837">
        <f t="shared" si="107"/>
        <v>-2</v>
      </c>
      <c r="T291" s="178">
        <f t="shared" si="108"/>
        <v>4</v>
      </c>
      <c r="U291" s="253">
        <f t="shared" si="109"/>
        <v>-1.4408889674462741</v>
      </c>
      <c r="V291" s="385">
        <f t="shared" si="110"/>
        <v>33.172583393119538</v>
      </c>
      <c r="W291" s="404">
        <f t="shared" si="111"/>
        <v>32.986151355871051</v>
      </c>
      <c r="X291" s="157">
        <f t="shared" si="112"/>
        <v>46299</v>
      </c>
      <c r="Y291" s="387">
        <f t="shared" si="113"/>
        <v>28.780144075760994</v>
      </c>
      <c r="Z291" s="387">
        <f t="shared" si="114"/>
        <v>30.851183059426248</v>
      </c>
      <c r="AA291" s="388">
        <f t="shared" si="115"/>
        <v>35.386980494872368</v>
      </c>
      <c r="AB291" s="199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0.12817701233659551</v>
      </c>
      <c r="AD291" s="233">
        <f>(INDEX(Models!$BJ291:$BT291,,AH291)*(1-AF291)+INDEX(Models!$BJ291:$BT291,,AH291+1)*AF291-ERP_i)*AE291*Ramure*Pc/MaxiM</f>
        <v>7.2031321219723055E-2</v>
      </c>
      <c r="AE291" s="307">
        <f t="shared" si="117"/>
        <v>1</v>
      </c>
      <c r="AF291" s="179">
        <f t="shared" si="118"/>
        <v>0.49409362547729607</v>
      </c>
      <c r="AG291" s="837">
        <f t="shared" si="124"/>
        <v>3</v>
      </c>
      <c r="AH291" s="178">
        <f t="shared" si="119"/>
        <v>9</v>
      </c>
      <c r="AI291" s="227">
        <f t="shared" si="120"/>
        <v>3.4940936254772961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46300</v>
      </c>
      <c r="B292" s="1139">
        <f>IF(t&gt;Tmaj,'2025'!Wh/'2025'!Env_an*'2026'!Env_an,0.001*'[12]mon-tableau (1)'!$B$212)</f>
        <v>33.326086971719562</v>
      </c>
      <c r="C292" s="866"/>
      <c r="D292" s="395">
        <f t="shared" si="102"/>
        <v>35.725086511147147</v>
      </c>
      <c r="E292" s="387">
        <f t="shared" si="100"/>
        <v>38.361525852025665</v>
      </c>
      <c r="F292" s="387">
        <f t="shared" si="103"/>
        <v>38.512022634162179</v>
      </c>
      <c r="G292" s="110">
        <f t="shared" si="101"/>
        <v>1.0171470124477859</v>
      </c>
      <c r="H292" s="414" t="b">
        <f>Wh_hp&gt;='2025'!Maxi_hp</f>
        <v>1</v>
      </c>
      <c r="I292" s="392">
        <f>IF(H292,Wh_hp,'2025'!Maxi_hp)</f>
        <v>38.512022634162179</v>
      </c>
      <c r="J292" s="85">
        <f>IF(H292,An,'2025'!An_max)</f>
        <v>2026</v>
      </c>
      <c r="K292" s="199">
        <f t="shared" si="104"/>
        <v>46300</v>
      </c>
      <c r="L292" s="147">
        <f>IF(t&lt;Tvie,1-EXP((T0-t)*PertePVj)+'2025'!Pspv,1-EXP((T0-t)*PertePVj)+Pspv)</f>
        <v>6.7151678937965142E-2</v>
      </c>
      <c r="M292" s="870"/>
      <c r="N292" s="870"/>
      <c r="O292" s="48">
        <f>IF(t&lt;Tnet,'2025'!Resal+('2025'!Salim-'2025'!Resal)*(1-EXP(('2025'!Tnet-t)/('2025'!Tau_j))),Resal+(Salim-Resal)*(1-EXP((Tnet-t)/(Tau_j))))*Salcycl</f>
        <v>6.8726133341208126E-2</v>
      </c>
      <c r="P292" s="171">
        <f>(INDEX(Models!$BJ292:$BT292,,T292)*(1-R292)+INDEX(Models!$BJ292:$BT292,,T292+1)*R292-ERP_i)*Q292*Ramure*Pc/MaxiM</f>
        <v>3.9077870192933441E-3</v>
      </c>
      <c r="Q292" s="307">
        <f t="shared" si="105"/>
        <v>1</v>
      </c>
      <c r="R292" s="179">
        <f t="shared" si="106"/>
        <v>0.55934719304330027</v>
      </c>
      <c r="S292" s="837">
        <f t="shared" si="107"/>
        <v>-2</v>
      </c>
      <c r="T292" s="178">
        <f t="shared" si="108"/>
        <v>4</v>
      </c>
      <c r="U292" s="253">
        <f t="shared" si="109"/>
        <v>-1.4406528069566997</v>
      </c>
      <c r="V292" s="385">
        <f t="shared" si="110"/>
        <v>32.764277497625066</v>
      </c>
      <c r="W292" s="404">
        <f t="shared" si="111"/>
        <v>33.326086971719562</v>
      </c>
      <c r="X292" s="157">
        <f t="shared" si="112"/>
        <v>46300</v>
      </c>
      <c r="Y292" s="387">
        <f t="shared" si="113"/>
        <v>28.990449459811774</v>
      </c>
      <c r="Z292" s="387">
        <f t="shared" si="114"/>
        <v>31.077345378942795</v>
      </c>
      <c r="AA292" s="388">
        <f t="shared" si="115"/>
        <v>35.646755876308184</v>
      </c>
      <c r="AB292" s="199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0.12818587231951573</v>
      </c>
      <c r="AD292" s="233">
        <f>(INDEX(Models!$BJ292:$BT292,,AH292)*(1-AF292)+INDEX(Models!$BJ292:$BT292,,AH292+1)*AF292-ERP_i)*AE292*Ramure*Pc/MaxiM</f>
        <v>7.4399280065658061E-2</v>
      </c>
      <c r="AE292" s="307">
        <f t="shared" si="117"/>
        <v>1</v>
      </c>
      <c r="AF292" s="179">
        <f t="shared" si="118"/>
        <v>0.49432978596687072</v>
      </c>
      <c r="AG292" s="837">
        <f t="shared" si="124"/>
        <v>3</v>
      </c>
      <c r="AH292" s="178">
        <f t="shared" si="119"/>
        <v>9</v>
      </c>
      <c r="AI292" s="227">
        <f t="shared" si="120"/>
        <v>3.4943297859668707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46301</v>
      </c>
      <c r="B293" s="1139">
        <f>IF(t&gt;Tmaj,'2025'!Wh/'2025'!Env_an*'2026'!Env_an,0.001*'[12]mon-tableau (1)'!$B$213)</f>
        <v>14.326158073212452</v>
      </c>
      <c r="C293" s="866"/>
      <c r="D293" s="395">
        <f t="shared" si="102"/>
        <v>15.35779306038536</v>
      </c>
      <c r="E293" s="387">
        <f t="shared" si="100"/>
        <v>16.494147769079589</v>
      </c>
      <c r="F293" s="387">
        <f t="shared" si="103"/>
        <v>16.507299811822332</v>
      </c>
      <c r="G293" s="110">
        <f t="shared" si="101"/>
        <v>0.44138705698380687</v>
      </c>
      <c r="H293" s="414" t="b">
        <f>Wh_hp&gt;='2025'!Maxi_hp</f>
        <v>0</v>
      </c>
      <c r="I293" s="392">
        <f>IF(H293,Wh_hp,'2025'!Maxi_hp)</f>
        <v>33.993896318509428</v>
      </c>
      <c r="J293" s="85">
        <f>IF(H293,An,'2025'!An_max)</f>
        <v>2018</v>
      </c>
      <c r="K293" s="199">
        <f t="shared" si="104"/>
        <v>46301</v>
      </c>
      <c r="L293" s="147">
        <f>IF(t&lt;Tvie,1-EXP((T0-t)*PertePVj)+'2025'!Pspv,1-EXP((T0-t)*PertePVj)+Pspv)</f>
        <v>6.7173387681199959E-2</v>
      </c>
      <c r="M293" s="870"/>
      <c r="N293" s="870"/>
      <c r="O293" s="48">
        <f>IF(t&lt;Tnet,'2025'!Resal+('2025'!Salim-'2025'!Resal)*(1-EXP(('2025'!Tnet-t)/('2025'!Tau_j))),Resal+(Salim-Resal)*(1-EXP((Tnet-t)/(Tau_j))))*Salcycl</f>
        <v>6.8894417862829821E-2</v>
      </c>
      <c r="P293" s="171">
        <f>(INDEX(Models!$BJ293:$BT293,,T293)*(1-R293)+INDEX(Models!$BJ293:$BT293,,T293+1)*R293-ERP_i)*Q293*Ramure*Pc/MaxiM</f>
        <v>3.9065487872244247E-3</v>
      </c>
      <c r="Q293" s="307">
        <f t="shared" si="105"/>
        <v>1</v>
      </c>
      <c r="R293" s="179">
        <f t="shared" si="106"/>
        <v>0.55957399594275503</v>
      </c>
      <c r="S293" s="837">
        <f t="shared" si="107"/>
        <v>-2</v>
      </c>
      <c r="T293" s="178">
        <f t="shared" si="108"/>
        <v>4</v>
      </c>
      <c r="U293" s="253">
        <f t="shared" si="109"/>
        <v>-1.440426004057245</v>
      </c>
      <c r="V293" s="385">
        <f t="shared" si="110"/>
        <v>32.356116304447177</v>
      </c>
      <c r="W293" s="404">
        <f t="shared" si="111"/>
        <v>14.326158073212452</v>
      </c>
      <c r="X293" s="157">
        <f t="shared" si="112"/>
        <v>46301</v>
      </c>
      <c r="Y293" s="387">
        <f t="shared" si="113"/>
        <v>13.214254869549315</v>
      </c>
      <c r="Z293" s="387">
        <f t="shared" si="114"/>
        <v>14.16582105939453</v>
      </c>
      <c r="AA293" s="388">
        <f t="shared" si="115"/>
        <v>16.248764434417463</v>
      </c>
      <c r="AB293" s="199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0.12819087773904389</v>
      </c>
      <c r="AD293" s="233">
        <f>(INDEX(Models!$BJ293:$BT293,,AH293)*(1-AF293)+INDEX(Models!$BJ293:$BT293,,AH293+1)*AF293-ERP_i)*AE293*Ramure*Pc/MaxiM</f>
        <v>7.6792714623204347E-2</v>
      </c>
      <c r="AE293" s="307">
        <f t="shared" si="117"/>
        <v>1</v>
      </c>
      <c r="AF293" s="179">
        <f t="shared" si="118"/>
        <v>0.4945565888663257</v>
      </c>
      <c r="AG293" s="837">
        <f t="shared" si="124"/>
        <v>3</v>
      </c>
      <c r="AH293" s="178">
        <f t="shared" si="119"/>
        <v>9</v>
      </c>
      <c r="AI293" s="227">
        <f t="shared" si="120"/>
        <v>3.4945565888663257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46302</v>
      </c>
      <c r="B294" s="1139">
        <f>IF(t&gt;Tmaj,'2025'!Wh/'2025'!Env_an*'2026'!Env_an,0.001*'[12]mon-tableau (1)'!$B$214)</f>
        <v>24.611686071541168</v>
      </c>
      <c r="C294" s="866"/>
      <c r="D294" s="395">
        <f t="shared" si="102"/>
        <v>26.384601928947795</v>
      </c>
      <c r="E294" s="387">
        <f t="shared" si="100"/>
        <v>28.341893596941642</v>
      </c>
      <c r="F294" s="387">
        <f t="shared" si="103"/>
        <v>28.416407774696243</v>
      </c>
      <c r="G294" s="110">
        <f t="shared" si="101"/>
        <v>0.76935208569880642</v>
      </c>
      <c r="H294" s="414" t="b">
        <f>Wh_hp&gt;='2025'!Maxi_hp</f>
        <v>0</v>
      </c>
      <c r="I294" s="392">
        <f>IF(H294,Wh_hp,'2025'!Maxi_hp)</f>
        <v>37.024189714848987</v>
      </c>
      <c r="J294" s="85">
        <f>IF(H294,An,'2025'!An_max)</f>
        <v>2021</v>
      </c>
      <c r="K294" s="199">
        <f t="shared" si="104"/>
        <v>46302</v>
      </c>
      <c r="L294" s="147">
        <f>IF(t&lt;Tvie,1-EXP((T0-t)*PertePVj)+'2025'!Pspv,1-EXP((T0-t)*PertePVj)+Pspv)</f>
        <v>6.7195095919240555E-2</v>
      </c>
      <c r="M294" s="870"/>
      <c r="N294" s="870"/>
      <c r="O294" s="48">
        <f>IF(t&lt;Tnet,'2025'!Resal+('2025'!Salim-'2025'!Resal)*(1-EXP(('2025'!Tnet-t)/('2025'!Tau_j))),Resal+(Salim-Resal)*(1-EXP((Tnet-t)/(Tau_j))))*Salcycl</f>
        <v>6.9060017507265536E-2</v>
      </c>
      <c r="P294" s="171">
        <f>(INDEX(Models!$BJ294:$BT294,,T294)*(1-R294)+INDEX(Models!$BJ294:$BT294,,T294+1)*R294-ERP_i)*Q294*Ramure*Pc/MaxiM</f>
        <v>3.9026079823069161E-3</v>
      </c>
      <c r="Q294" s="307">
        <f t="shared" si="105"/>
        <v>1</v>
      </c>
      <c r="R294" s="179">
        <f t="shared" si="106"/>
        <v>0.55979180624388691</v>
      </c>
      <c r="S294" s="837">
        <f t="shared" si="107"/>
        <v>-2</v>
      </c>
      <c r="T294" s="178">
        <f t="shared" si="108"/>
        <v>4</v>
      </c>
      <c r="U294" s="253">
        <f t="shared" si="109"/>
        <v>-1.4402081937561131</v>
      </c>
      <c r="V294" s="385">
        <f t="shared" si="110"/>
        <v>31.949079312881675</v>
      </c>
      <c r="W294" s="404">
        <f t="shared" si="111"/>
        <v>24.611686071541168</v>
      </c>
      <c r="X294" s="157">
        <f t="shared" si="112"/>
        <v>46302</v>
      </c>
      <c r="Y294" s="387">
        <f t="shared" si="113"/>
        <v>21.879065479179602</v>
      </c>
      <c r="Z294" s="387">
        <f t="shared" si="114"/>
        <v>23.455135563143841</v>
      </c>
      <c r="AA294" s="388">
        <f t="shared" si="115"/>
        <v>26.904015049962222</v>
      </c>
      <c r="AB294" s="199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0.12819199961097355</v>
      </c>
      <c r="AD294" s="233">
        <f>(INDEX(Models!$BJ294:$BT294,,AH294)*(1-AF294)+INDEX(Models!$BJ294:$BT294,,AH294+1)*AF294-ERP_i)*AE294*Ramure*Pc/MaxiM</f>
        <v>7.9210106019929422E-2</v>
      </c>
      <c r="AE294" s="307">
        <f t="shared" si="117"/>
        <v>1</v>
      </c>
      <c r="AF294" s="179">
        <f t="shared" si="118"/>
        <v>0.49477439916745736</v>
      </c>
      <c r="AG294" s="837">
        <f t="shared" si="124"/>
        <v>3</v>
      </c>
      <c r="AH294" s="178">
        <f t="shared" si="119"/>
        <v>9</v>
      </c>
      <c r="AI294" s="227">
        <f t="shared" si="120"/>
        <v>3.4947743991674574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46303</v>
      </c>
      <c r="B295" s="1139">
        <f>IF(t&gt;Tmaj,'2025'!Wh/'2025'!Env_an*'2026'!Env_an,0.001*'[12]mon-tableau (1)'!$B$215)</f>
        <v>15.080894534863239</v>
      </c>
      <c r="C295" s="866"/>
      <c r="D295" s="395">
        <f t="shared" si="102"/>
        <v>16.167631014268938</v>
      </c>
      <c r="E295" s="387">
        <f t="shared" si="100"/>
        <v>17.370035405638298</v>
      </c>
      <c r="F295" s="387">
        <f t="shared" si="103"/>
        <v>17.387268311622631</v>
      </c>
      <c r="G295" s="110">
        <f t="shared" si="101"/>
        <v>0.47669851035854116</v>
      </c>
      <c r="H295" s="414" t="b">
        <f>Wh_hp&gt;='2025'!Maxi_hp</f>
        <v>0</v>
      </c>
      <c r="I295" s="392">
        <f>IF(H295,Wh_hp,'2025'!Maxi_hp)</f>
        <v>36.120260428293889</v>
      </c>
      <c r="J295" s="85">
        <f>IF(H295,An,'2025'!An_max)</f>
        <v>2021</v>
      </c>
      <c r="K295" s="199">
        <f t="shared" si="104"/>
        <v>46303</v>
      </c>
      <c r="L295" s="147">
        <f>IF(t&lt;Tvie,1-EXP((T0-t)*PertePVj)+'2025'!Pspv,1-EXP((T0-t)*PertePVj)+Pspv)</f>
        <v>6.7216803652098811E-2</v>
      </c>
      <c r="M295" s="870"/>
      <c r="N295" s="870"/>
      <c r="O295" s="48">
        <f>IF(t&lt;Tnet,'2025'!Resal+('2025'!Salim-'2025'!Resal)*(1-EXP(('2025'!Tnet-t)/('2025'!Tau_j))),Resal+(Salim-Resal)*(1-EXP((Tnet-t)/(Tau_j))))*Salcycl</f>
        <v>6.9222909642375319E-2</v>
      </c>
      <c r="P295" s="171">
        <f>(INDEX(Models!$BJ295:$BT295,,T295)*(1-R295)+INDEX(Models!$BJ295:$BT295,,T295+1)*R295-ERP_i)*Q295*Ramure*Pc/MaxiM</f>
        <v>3.8957331990088265E-3</v>
      </c>
      <c r="Q295" s="307">
        <f t="shared" si="105"/>
        <v>1</v>
      </c>
      <c r="R295" s="179">
        <f t="shared" si="106"/>
        <v>0.56000097515609282</v>
      </c>
      <c r="S295" s="837">
        <f t="shared" si="107"/>
        <v>-2</v>
      </c>
      <c r="T295" s="178">
        <f t="shared" si="108"/>
        <v>4</v>
      </c>
      <c r="U295" s="253">
        <f t="shared" si="109"/>
        <v>-1.4399990248439072</v>
      </c>
      <c r="V295" s="385">
        <f t="shared" si="110"/>
        <v>31.5441450229734</v>
      </c>
      <c r="W295" s="404">
        <f t="shared" si="111"/>
        <v>15.080894534863239</v>
      </c>
      <c r="X295" s="157">
        <f t="shared" si="112"/>
        <v>46303</v>
      </c>
      <c r="Y295" s="387">
        <f t="shared" si="113"/>
        <v>13.845793299700828</v>
      </c>
      <c r="Z295" s="387">
        <f t="shared" si="114"/>
        <v>14.843527792857824</v>
      </c>
      <c r="AA295" s="388">
        <f t="shared" si="115"/>
        <v>17.026088806615459</v>
      </c>
      <c r="AB295" s="199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0.1281892182372269</v>
      </c>
      <c r="AD295" s="233">
        <f>(INDEX(Models!$BJ295:$BT295,,AH295)*(1-AF295)+INDEX(Models!$BJ295:$BT295,,AH295+1)*AF295-ERP_i)*AE295*Ramure*Pc/MaxiM</f>
        <v>8.1649548238545158E-2</v>
      </c>
      <c r="AE295" s="307">
        <f t="shared" si="117"/>
        <v>1</v>
      </c>
      <c r="AF295" s="179">
        <f t="shared" si="118"/>
        <v>0.49498356807966326</v>
      </c>
      <c r="AG295" s="837">
        <f t="shared" si="124"/>
        <v>3</v>
      </c>
      <c r="AH295" s="178">
        <f t="shared" si="119"/>
        <v>9</v>
      </c>
      <c r="AI295" s="227">
        <f t="shared" si="120"/>
        <v>3.4949835680796633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46304</v>
      </c>
      <c r="B296" s="1139">
        <f>IF(t&gt;Tmaj,'2025'!Wh/'2025'!Env_an*'2026'!Env_an,0.001*'[12]mon-tableau (1)'!$B$216)</f>
        <v>30.480309532165506</v>
      </c>
      <c r="C296" s="866"/>
      <c r="D296" s="395">
        <f t="shared" si="102"/>
        <v>32.677495681039233</v>
      </c>
      <c r="E296" s="387">
        <f t="shared" si="100"/>
        <v>35.113799107805413</v>
      </c>
      <c r="F296" s="387">
        <f t="shared" si="103"/>
        <v>35.246966660967317</v>
      </c>
      <c r="G296" s="110">
        <f t="shared" si="101"/>
        <v>0.97863766127849827</v>
      </c>
      <c r="H296" s="414" t="b">
        <f>Wh_hp&gt;='2025'!Maxi_hp</f>
        <v>0</v>
      </c>
      <c r="I296" s="392">
        <f>IF(H296,Wh_hp,'2025'!Maxi_hp)</f>
        <v>35.249367567192941</v>
      </c>
      <c r="J296" s="85">
        <f>IF(H296,An,'2025'!An_max)</f>
        <v>2025</v>
      </c>
      <c r="K296" s="199">
        <f t="shared" si="104"/>
        <v>46304</v>
      </c>
      <c r="L296" s="147">
        <f>IF(t&lt;Tvie,1-EXP((T0-t)*PertePVj)+'2025'!Pspv,1-EXP((T0-t)*PertePVj)+Pspv)</f>
        <v>6.7238510879786384E-2</v>
      </c>
      <c r="M296" s="870"/>
      <c r="N296" s="870"/>
      <c r="O296" s="48">
        <f>IF(t&lt;Tnet,'2025'!Resal+('2025'!Salim-'2025'!Resal)*(1-EXP(('2025'!Tnet-t)/('2025'!Tau_j))),Resal+(Salim-Resal)*(1-EXP((Tnet-t)/(Tau_j))))*Salcycl</f>
        <v>6.9383076985953904E-2</v>
      </c>
      <c r="P296" s="171">
        <f>(INDEX(Models!$BJ296:$BT296,,T296)*(1-R296)+INDEX(Models!$BJ296:$BT296,,T296+1)*R296-ERP_i)*Q296*Ramure*Pc/MaxiM</f>
        <v>3.896389879650344E-3</v>
      </c>
      <c r="Q296" s="307">
        <f t="shared" si="105"/>
        <v>1</v>
      </c>
      <c r="R296" s="179">
        <f t="shared" si="106"/>
        <v>0.56020184059102029</v>
      </c>
      <c r="S296" s="837">
        <f t="shared" si="107"/>
        <v>-2</v>
      </c>
      <c r="T296" s="178">
        <f t="shared" si="108"/>
        <v>4</v>
      </c>
      <c r="U296" s="253">
        <f t="shared" si="109"/>
        <v>-1.4397981594089797</v>
      </c>
      <c r="V296" s="385">
        <f t="shared" si="110"/>
        <v>31.141956221517521</v>
      </c>
      <c r="W296" s="404">
        <f t="shared" si="111"/>
        <v>30.480309532165506</v>
      </c>
      <c r="X296" s="157">
        <f t="shared" si="112"/>
        <v>46304</v>
      </c>
      <c r="Y296" s="387">
        <f t="shared" si="113"/>
        <v>26.324682488205056</v>
      </c>
      <c r="Z296" s="387">
        <f t="shared" si="114"/>
        <v>28.22230848427786</v>
      </c>
      <c r="AA296" s="388">
        <f t="shared" si="115"/>
        <v>32.371808613040727</v>
      </c>
      <c r="AB296" s="199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0.12818252382387041</v>
      </c>
      <c r="AD296" s="233">
        <f>(INDEX(Models!$BJ296:$BT296,,AH296)*(1-AF296)+INDEX(Models!$BJ296:$BT296,,AH296+1)*AF296-ERP_i)*AE296*Ramure*Pc/MaxiM</f>
        <v>8.4125122481723297E-2</v>
      </c>
      <c r="AE296" s="307">
        <f t="shared" si="117"/>
        <v>1</v>
      </c>
      <c r="AF296" s="179">
        <f t="shared" si="118"/>
        <v>0.49518443351459052</v>
      </c>
      <c r="AG296" s="837">
        <f t="shared" si="124"/>
        <v>3</v>
      </c>
      <c r="AH296" s="178">
        <f t="shared" si="119"/>
        <v>9</v>
      </c>
      <c r="AI296" s="227">
        <f t="shared" si="120"/>
        <v>3.4951844335145905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46305</v>
      </c>
      <c r="B297" s="1139">
        <f>IF(t&gt;Tmaj,'2025'!Wh/'2025'!Env_an*'2026'!Env_an,0.001*'[12]mon-tableau (1)'!$B$217)</f>
        <v>26.050311701772024</v>
      </c>
      <c r="C297" s="866"/>
      <c r="D297" s="395">
        <f t="shared" si="102"/>
        <v>27.928809506556629</v>
      </c>
      <c r="E297" s="387">
        <f t="shared" ref="E297:E360" si="125">Wh_pvt/(1-Psa)</f>
        <v>30.016147662771289</v>
      </c>
      <c r="F297" s="387">
        <f t="shared" si="103"/>
        <v>30.108121093832537</v>
      </c>
      <c r="G297" s="110">
        <f t="shared" ref="G297:G360" si="126">+Wh_hp/MaxiM</f>
        <v>0.84662158607223414</v>
      </c>
      <c r="H297" s="414" t="b">
        <f>Wh_hp&gt;='2025'!Maxi_hp</f>
        <v>0</v>
      </c>
      <c r="I297" s="392">
        <f>IF(H297,Wh_hp,'2025'!Maxi_hp)</f>
        <v>30.122957959918466</v>
      </c>
      <c r="J297" s="85">
        <f>IF(H297,An,'2025'!An_max)</f>
        <v>2025</v>
      </c>
      <c r="K297" s="199">
        <f t="shared" si="104"/>
        <v>46305</v>
      </c>
      <c r="L297" s="147">
        <f>IF(t&lt;Tvie,1-EXP((T0-t)*PertePVj)+'2025'!Pspv,1-EXP((T0-t)*PertePVj)+Pspv)</f>
        <v>6.7260217602315042E-2</v>
      </c>
      <c r="M297" s="870"/>
      <c r="N297" s="870"/>
      <c r="O297" s="48">
        <f>IF(t&lt;Tnet,'2025'!Resal+('2025'!Salim-'2025'!Resal)*(1-EXP(('2025'!Tnet-t)/('2025'!Tau_j))),Resal+(Salim-Resal)*(1-EXP((Tnet-t)/(Tau_j))))*Salcycl</f>
        <v>6.9540507984759276E-2</v>
      </c>
      <c r="P297" s="171">
        <f>(INDEX(Models!$BJ297:$BT297,,T297)*(1-R297)+INDEX(Models!$BJ297:$BT297,,T297+1)*R297-ERP_i)*Q297*Ramure*Pc/MaxiM</f>
        <v>3.9067448856089674E-3</v>
      </c>
      <c r="Q297" s="307">
        <f t="shared" si="105"/>
        <v>1</v>
      </c>
      <c r="R297" s="179">
        <f t="shared" si="106"/>
        <v>0.56039472763304765</v>
      </c>
      <c r="S297" s="837">
        <f t="shared" si="107"/>
        <v>-2</v>
      </c>
      <c r="T297" s="178">
        <f t="shared" si="108"/>
        <v>4</v>
      </c>
      <c r="U297" s="253">
        <f t="shared" si="109"/>
        <v>-1.4396052723669523</v>
      </c>
      <c r="V297" s="385">
        <f t="shared" si="110"/>
        <v>30.743427704361558</v>
      </c>
      <c r="W297" s="404">
        <f t="shared" si="111"/>
        <v>26.050311701772024</v>
      </c>
      <c r="X297" s="157">
        <f t="shared" si="112"/>
        <v>46305</v>
      </c>
      <c r="Y297" s="387">
        <f t="shared" si="113"/>
        <v>22.824676550060335</v>
      </c>
      <c r="Z297" s="387">
        <f t="shared" si="114"/>
        <v>24.47057258712351</v>
      </c>
      <c r="AA297" s="388">
        <f t="shared" si="115"/>
        <v>28.068116944217866</v>
      </c>
      <c r="AB297" s="199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0.1281719170631952</v>
      </c>
      <c r="AD297" s="233">
        <f>(INDEX(Models!$BJ297:$BT297,,AH297)*(1-AF297)+INDEX(Models!$BJ297:$BT297,,AH297+1)*AF297-ERP_i)*AE297*Ramure*Pc/MaxiM</f>
        <v>8.6653022358391438E-2</v>
      </c>
      <c r="AE297" s="307">
        <f t="shared" si="117"/>
        <v>1</v>
      </c>
      <c r="AF297" s="179">
        <f t="shared" si="118"/>
        <v>0.49537732055661809</v>
      </c>
      <c r="AG297" s="837">
        <f t="shared" si="124"/>
        <v>3</v>
      </c>
      <c r="AH297" s="178">
        <f t="shared" si="119"/>
        <v>9</v>
      </c>
      <c r="AI297" s="227">
        <f t="shared" si="120"/>
        <v>3.4953773205566181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46306</v>
      </c>
      <c r="B298" s="1139">
        <f>IF(t&gt;Tmaj,'2025'!Wh/'2025'!Env_an*'2026'!Env_an,0.001*'[12]mon-tableau (1)'!$B$218)</f>
        <v>22.534049049766992</v>
      </c>
      <c r="C298" s="866"/>
      <c r="D298" s="395">
        <f t="shared" si="102"/>
        <v>24.159550056163962</v>
      </c>
      <c r="E298" s="387">
        <f t="shared" si="125"/>
        <v>25.969499440167013</v>
      </c>
      <c r="F298" s="387">
        <f t="shared" si="103"/>
        <v>26.034126009018177</v>
      </c>
      <c r="G298" s="110">
        <f t="shared" si="126"/>
        <v>0.74140884859443623</v>
      </c>
      <c r="H298" s="414" t="b">
        <f>Wh_hp&gt;='2025'!Maxi_hp</f>
        <v>0</v>
      </c>
      <c r="I298" s="392">
        <f>IF(H298,Wh_hp,'2025'!Maxi_hp)</f>
        <v>35.228282069749262</v>
      </c>
      <c r="J298" s="85">
        <f>IF(H298,An,'2025'!An_max)</f>
        <v>2019</v>
      </c>
      <c r="K298" s="199">
        <f t="shared" si="104"/>
        <v>46306</v>
      </c>
      <c r="L298" s="147">
        <f>IF(t&lt;Tvie,1-EXP((T0-t)*PertePVj)+'2025'!Pspv,1-EXP((T0-t)*PertePVj)+Pspv)</f>
        <v>6.7281923819696554E-2</v>
      </c>
      <c r="M298" s="870"/>
      <c r="N298" s="870"/>
      <c r="O298" s="48">
        <f>IF(t&lt;Tnet,'2025'!Resal+('2025'!Salim-'2025'!Resal)*(1-EXP(('2025'!Tnet-t)/('2025'!Tau_j))),Resal+(Salim-Resal)*(1-EXP((Tnet-t)/(Tau_j))))*Salcycl</f>
        <v>6.9695197174405463E-2</v>
      </c>
      <c r="P298" s="171">
        <f>(INDEX(Models!$BJ298:$BT298,,T298)*(1-R298)+INDEX(Models!$BJ298:$BT298,,T298+1)*R298-ERP_i)*Q298*Ramure*Pc/MaxiM</f>
        <v>3.9270677319777564E-3</v>
      </c>
      <c r="Q298" s="307">
        <f t="shared" si="105"/>
        <v>1</v>
      </c>
      <c r="R298" s="179">
        <f t="shared" si="106"/>
        <v>0.5605799489957608</v>
      </c>
      <c r="S298" s="837">
        <f t="shared" si="107"/>
        <v>-2</v>
      </c>
      <c r="T298" s="178">
        <f t="shared" si="108"/>
        <v>4</v>
      </c>
      <c r="U298" s="253">
        <f t="shared" si="109"/>
        <v>-1.4394200510042392</v>
      </c>
      <c r="V298" s="385">
        <f t="shared" si="110"/>
        <v>30.349534393211307</v>
      </c>
      <c r="W298" s="404">
        <f t="shared" si="111"/>
        <v>22.534049049766992</v>
      </c>
      <c r="X298" s="157">
        <f t="shared" si="112"/>
        <v>46306</v>
      </c>
      <c r="Y298" s="387">
        <f t="shared" si="113"/>
        <v>19.976394898267912</v>
      </c>
      <c r="Z298" s="387">
        <f t="shared" si="114"/>
        <v>21.417398685008738</v>
      </c>
      <c r="AA298" s="388">
        <f t="shared" si="115"/>
        <v>24.565671513012187</v>
      </c>
      <c r="AB298" s="199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0.12815740967373279</v>
      </c>
      <c r="AD298" s="233">
        <f>(INDEX(Models!$BJ298:$BT298,,AH298)*(1-AF298)+INDEX(Models!$BJ298:$BT298,,AH298+1)*AF298-ERP_i)*AE298*Ramure*Pc/MaxiM</f>
        <v>8.9231416268183664E-2</v>
      </c>
      <c r="AE298" s="307">
        <f t="shared" si="117"/>
        <v>1</v>
      </c>
      <c r="AF298" s="179">
        <f t="shared" si="118"/>
        <v>0.49556254191933125</v>
      </c>
      <c r="AG298" s="837">
        <f t="shared" si="124"/>
        <v>3</v>
      </c>
      <c r="AH298" s="178">
        <f t="shared" si="119"/>
        <v>9</v>
      </c>
      <c r="AI298" s="227">
        <f t="shared" si="120"/>
        <v>3.4955625419193312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46307</v>
      </c>
      <c r="B299" s="1139">
        <f>IF(t&gt;Tmaj,'2025'!Wh/'2025'!Env_an*'2026'!Env_an,0.001*'[12]mon-tableau (1)'!$B$219)</f>
        <v>24.325008266420458</v>
      </c>
      <c r="C299" s="866"/>
      <c r="D299" s="395">
        <f t="shared" si="102"/>
        <v>26.080307629173447</v>
      </c>
      <c r="E299" s="387">
        <f t="shared" si="125"/>
        <v>28.038733100114364</v>
      </c>
      <c r="F299" s="387">
        <f t="shared" si="103"/>
        <v>28.120114343432071</v>
      </c>
      <c r="G299" s="110">
        <f t="shared" si="126"/>
        <v>0.81101627954172406</v>
      </c>
      <c r="H299" s="414" t="b">
        <f>Wh_hp&gt;='2025'!Maxi_hp</f>
        <v>0</v>
      </c>
      <c r="I299" s="392">
        <f>IF(H299,Wh_hp,'2025'!Maxi_hp)</f>
        <v>34.24330519553645</v>
      </c>
      <c r="J299" s="85">
        <f>IF(H299,An,'2025'!An_max)</f>
        <v>2021</v>
      </c>
      <c r="K299" s="199">
        <f t="shared" si="104"/>
        <v>46307</v>
      </c>
      <c r="L299" s="147">
        <f>IF(t&lt;Tvie,1-EXP((T0-t)*PertePVj)+'2025'!Pspv,1-EXP((T0-t)*PertePVj)+Pspv)</f>
        <v>6.7303629531942688E-2</v>
      </c>
      <c r="M299" s="870"/>
      <c r="N299" s="870"/>
      <c r="O299" s="48">
        <f>IF(t&lt;Tnet,'2025'!Resal+('2025'!Salim-'2025'!Resal)*(1-EXP(('2025'!Tnet-t)/('2025'!Tau_j))),Resal+(Salim-Resal)*(1-EXP((Tnet-t)/(Tau_j))))*Salcycl</f>
        <v>6.9847145516461637E-2</v>
      </c>
      <c r="P299" s="171">
        <f>(INDEX(Models!$BJ299:$BT299,,T299)*(1-R299)+INDEX(Models!$BJ299:$BT299,,T299+1)*R299-ERP_i)*Q299*Ramure*Pc/MaxiM</f>
        <v>3.9576299301939078E-3</v>
      </c>
      <c r="Q299" s="307">
        <f t="shared" si="105"/>
        <v>1</v>
      </c>
      <c r="R299" s="179">
        <f t="shared" si="106"/>
        <v>0.56075780546462273</v>
      </c>
      <c r="S299" s="837">
        <f t="shared" si="107"/>
        <v>-2</v>
      </c>
      <c r="T299" s="178">
        <f t="shared" si="108"/>
        <v>4</v>
      </c>
      <c r="U299" s="253">
        <f t="shared" si="109"/>
        <v>-1.4392421945353773</v>
      </c>
      <c r="V299" s="385">
        <f t="shared" si="110"/>
        <v>29.961250339843779</v>
      </c>
      <c r="W299" s="404">
        <f t="shared" si="111"/>
        <v>24.325008266420458</v>
      </c>
      <c r="X299" s="157">
        <f t="shared" si="112"/>
        <v>46307</v>
      </c>
      <c r="Y299" s="387">
        <f t="shared" si="113"/>
        <v>21.330750229612825</v>
      </c>
      <c r="Z299" s="387">
        <f t="shared" si="114"/>
        <v>22.869983099546491</v>
      </c>
      <c r="AA299" s="388">
        <f t="shared" si="115"/>
        <v>26.231226941566586</v>
      </c>
      <c r="AB299" s="199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0.12813902489226661</v>
      </c>
      <c r="AD299" s="233">
        <f>(INDEX(Models!$BJ299:$BT299,,AH299)*(1-AF299)+INDEX(Models!$BJ299:$BT299,,AH299+1)*AF299-ERP_i)*AE299*Ramure*Pc/MaxiM</f>
        <v>9.1857988544178093E-2</v>
      </c>
      <c r="AE299" s="307">
        <f t="shared" si="117"/>
        <v>1</v>
      </c>
      <c r="AF299" s="179">
        <f t="shared" si="118"/>
        <v>0.49574039838819317</v>
      </c>
      <c r="AG299" s="837">
        <f t="shared" si="124"/>
        <v>3</v>
      </c>
      <c r="AH299" s="178">
        <f t="shared" si="119"/>
        <v>9</v>
      </c>
      <c r="AI299" s="227">
        <f t="shared" si="120"/>
        <v>3.4957403983881932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46308</v>
      </c>
      <c r="B300" s="1139">
        <f>IF(t&gt;Tmaj,'2025'!Wh/'2025'!Env_an*'2026'!Env_an,0.001*'[12]mon-tableau (1)'!$B$220)</f>
        <v>20.077511053927438</v>
      </c>
      <c r="C300" s="866"/>
      <c r="D300" s="395">
        <f t="shared" si="102"/>
        <v>21.52681079667833</v>
      </c>
      <c r="E300" s="387">
        <f t="shared" si="125"/>
        <v>23.147017804246268</v>
      </c>
      <c r="F300" s="387">
        <f t="shared" si="103"/>
        <v>23.197208648019465</v>
      </c>
      <c r="G300" s="110">
        <f t="shared" si="126"/>
        <v>0.67751500328048375</v>
      </c>
      <c r="H300" s="414" t="b">
        <f>Wh_hp&gt;='2025'!Maxi_hp</f>
        <v>0</v>
      </c>
      <c r="I300" s="392">
        <f>IF(H300,Wh_hp,'2025'!Maxi_hp)</f>
        <v>32.914868339815627</v>
      </c>
      <c r="J300" s="85">
        <f>IF(H300,An,'2025'!An_max)</f>
        <v>2021</v>
      </c>
      <c r="K300" s="199">
        <f t="shared" si="104"/>
        <v>46308</v>
      </c>
      <c r="L300" s="147">
        <f>IF(t&lt;Tvie,1-EXP((T0-t)*PertePVj)+'2025'!Pspv,1-EXP((T0-t)*PertePVj)+Pspv)</f>
        <v>6.7325334739065212E-2</v>
      </c>
      <c r="M300" s="870"/>
      <c r="N300" s="870"/>
      <c r="O300" s="48">
        <f>IF(t&lt;Tnet,'2025'!Resal+('2025'!Salim-'2025'!Resal)*(1-EXP(('2025'!Tnet-t)/('2025'!Tau_j))),Resal+(Salim-Resal)*(1-EXP((Tnet-t)/(Tau_j))))*Salcycl</f>
        <v>6.9996360709184566E-2</v>
      </c>
      <c r="P300" s="171">
        <f>(INDEX(Models!$BJ300:$BT300,,T300)*(1-R300)+INDEX(Models!$BJ300:$BT300,,T300+1)*R300-ERP_i)*Q300*Ramure*Pc/MaxiM</f>
        <v>3.998701247288499E-3</v>
      </c>
      <c r="Q300" s="307">
        <f t="shared" si="105"/>
        <v>1</v>
      </c>
      <c r="R300" s="179">
        <f t="shared" si="106"/>
        <v>0.56092858632605447</v>
      </c>
      <c r="S300" s="837">
        <f t="shared" si="107"/>
        <v>-2</v>
      </c>
      <c r="T300" s="178">
        <f t="shared" si="108"/>
        <v>4</v>
      </c>
      <c r="U300" s="253">
        <f t="shared" si="109"/>
        <v>-1.4390714136739455</v>
      </c>
      <c r="V300" s="385">
        <f t="shared" si="110"/>
        <v>29.579548766324464</v>
      </c>
      <c r="W300" s="404">
        <f t="shared" si="111"/>
        <v>20.077511053927438</v>
      </c>
      <c r="X300" s="157">
        <f t="shared" si="112"/>
        <v>46308</v>
      </c>
      <c r="Y300" s="387">
        <f t="shared" si="113"/>
        <v>17.898726818800487</v>
      </c>
      <c r="Z300" s="387">
        <f t="shared" si="114"/>
        <v>19.190750521558289</v>
      </c>
      <c r="AA300" s="388">
        <f t="shared" si="115"/>
        <v>22.010689591912488</v>
      </c>
      <c r="AB300" s="199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0.12811679791215377</v>
      </c>
      <c r="AD300" s="233">
        <f>(INDEX(Models!$BJ300:$BT300,,AH300)*(1-AF300)+INDEX(Models!$BJ300:$BT300,,AH300+1)*AF300-ERP_i)*AE300*Ramure*Pc/MaxiM</f>
        <v>9.4529895752026402E-2</v>
      </c>
      <c r="AE300" s="307">
        <f t="shared" si="117"/>
        <v>1</v>
      </c>
      <c r="AF300" s="179">
        <f t="shared" si="118"/>
        <v>0.49591117924962491</v>
      </c>
      <c r="AG300" s="837">
        <f t="shared" si="124"/>
        <v>3</v>
      </c>
      <c r="AH300" s="178">
        <f t="shared" si="119"/>
        <v>9</v>
      </c>
      <c r="AI300" s="227">
        <f t="shared" si="120"/>
        <v>3.4959111792496249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46309</v>
      </c>
      <c r="B301" s="1139">
        <f>IF(t&gt;Tmaj,'2025'!Wh/'2025'!Env_an*'2026'!Env_an,0.001*'[12]mon-tableau (1)'!$B$221)</f>
        <v>16.861595366211727</v>
      </c>
      <c r="C301" s="866"/>
      <c r="D301" s="395">
        <f t="shared" si="102"/>
        <v>18.079174225863003</v>
      </c>
      <c r="E301" s="387">
        <f t="shared" si="125"/>
        <v>19.442958922315544</v>
      </c>
      <c r="F301" s="387">
        <f t="shared" si="103"/>
        <v>19.474212219904793</v>
      </c>
      <c r="G301" s="110">
        <f t="shared" si="126"/>
        <v>0.5759308086620526</v>
      </c>
      <c r="H301" s="414" t="b">
        <f>Wh_hp&gt;='2025'!Maxi_hp</f>
        <v>0</v>
      </c>
      <c r="I301" s="392">
        <f>IF(H301,Wh_hp,'2025'!Maxi_hp)</f>
        <v>34.821662172601158</v>
      </c>
      <c r="J301" s="85">
        <f>IF(H301,An,'2025'!An_max)</f>
        <v>2021</v>
      </c>
      <c r="K301" s="199">
        <f t="shared" si="104"/>
        <v>46309</v>
      </c>
      <c r="L301" s="147">
        <f>IF(t&lt;Tvie,1-EXP((T0-t)*PertePVj)+'2025'!Pspv,1-EXP((T0-t)*PertePVj)+Pspv)</f>
        <v>6.7347039441075784E-2</v>
      </c>
      <c r="M301" s="870"/>
      <c r="N301" s="870"/>
      <c r="O301" s="48">
        <f>IF(t&lt;Tnet,'2025'!Resal+('2025'!Salim-'2025'!Resal)*(1-EXP(('2025'!Tnet-t)/('2025'!Tau_j))),Resal+(Salim-Resal)*(1-EXP((Tnet-t)/(Tau_j))))*Salcycl</f>
        <v>7.0142857468431158E-2</v>
      </c>
      <c r="P301" s="171">
        <f>(INDEX(Models!$BJ301:$BT301,,T301)*(1-R301)+INDEX(Models!$BJ301:$BT301,,T301+1)*R301-ERP_i)*Q301*Ramure*Pc/MaxiM</f>
        <v>4.0505454933857637E-3</v>
      </c>
      <c r="Q301" s="307">
        <f t="shared" si="105"/>
        <v>1</v>
      </c>
      <c r="R301" s="179">
        <f t="shared" si="106"/>
        <v>0.5610925697831477</v>
      </c>
      <c r="S301" s="837">
        <f t="shared" si="107"/>
        <v>-2</v>
      </c>
      <c r="T301" s="178">
        <f t="shared" si="108"/>
        <v>4</v>
      </c>
      <c r="U301" s="253">
        <f t="shared" si="109"/>
        <v>-1.4389074302168523</v>
      </c>
      <c r="V301" s="385">
        <f t="shared" si="110"/>
        <v>29.205402092139789</v>
      </c>
      <c r="W301" s="404">
        <f t="shared" si="111"/>
        <v>16.861595366211727</v>
      </c>
      <c r="X301" s="157">
        <f t="shared" si="112"/>
        <v>46309</v>
      </c>
      <c r="Y301" s="387">
        <f t="shared" si="113"/>
        <v>15.226061597386419</v>
      </c>
      <c r="Z301" s="387">
        <f t="shared" si="114"/>
        <v>16.325538266947312</v>
      </c>
      <c r="AA301" s="388">
        <f t="shared" si="115"/>
        <v>18.723896734304866</v>
      </c>
      <c r="AB301" s="199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0.12809077626258303</v>
      </c>
      <c r="AD301" s="233">
        <f>(INDEX(Models!$BJ301:$BT301,,AH301)*(1-AF301)+INDEX(Models!$BJ301:$BT301,,AH301+1)*AF301-ERP_i)*AE301*Ramure*Pc/MaxiM</f>
        <v>9.7243722846694358E-2</v>
      </c>
      <c r="AE301" s="307">
        <f t="shared" si="117"/>
        <v>1</v>
      </c>
      <c r="AF301" s="179">
        <f t="shared" si="118"/>
        <v>0.49607516270671814</v>
      </c>
      <c r="AG301" s="837">
        <f t="shared" si="124"/>
        <v>3</v>
      </c>
      <c r="AH301" s="178">
        <f t="shared" si="119"/>
        <v>9</v>
      </c>
      <c r="AI301" s="227">
        <f t="shared" si="120"/>
        <v>3.4960751627067181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46310</v>
      </c>
      <c r="B302" s="1139">
        <f>IF(t&gt;Tmaj,'2025'!Wh/'2025'!Env_an*'2026'!Env_an,0.001*'[12]mon-tableau (1)'!$B$222)</f>
        <v>28.588136115323117</v>
      </c>
      <c r="C302" s="866"/>
      <c r="D302" s="395">
        <f t="shared" si="102"/>
        <v>30.653203954196272</v>
      </c>
      <c r="E302" s="387">
        <f t="shared" si="125"/>
        <v>32.970597023865096</v>
      </c>
      <c r="F302" s="387">
        <f t="shared" si="103"/>
        <v>33.105074510936348</v>
      </c>
      <c r="G302" s="110">
        <f t="shared" si="126"/>
        <v>0.99122331473316005</v>
      </c>
      <c r="H302" s="414" t="b">
        <f>Wh_hp&gt;='2025'!Maxi_hp</f>
        <v>0</v>
      </c>
      <c r="I302" s="392">
        <f>IF(H302,Wh_hp,'2025'!Maxi_hp)</f>
        <v>33.106109253398763</v>
      </c>
      <c r="J302" s="85">
        <f>IF(H302,An,'2025'!An_max)</f>
        <v>2025</v>
      </c>
      <c r="K302" s="199">
        <f t="shared" si="104"/>
        <v>46310</v>
      </c>
      <c r="L302" s="147">
        <f>IF(t&lt;Tvie,1-EXP((T0-t)*PertePVj)+'2025'!Pspv,1-EXP((T0-t)*PertePVj)+Pspv)</f>
        <v>6.7368743637986284E-2</v>
      </c>
      <c r="M302" s="870"/>
      <c r="N302" s="870"/>
      <c r="O302" s="48">
        <f>IF(t&lt;Tnet,'2025'!Resal+('2025'!Salim-'2025'!Resal)*(1-EXP(('2025'!Tnet-t)/('2025'!Tau_j))),Resal+(Salim-Resal)*(1-EXP((Tnet-t)/(Tau_j))))*Salcycl</f>
        <v>7.0286657775454411E-2</v>
      </c>
      <c r="P302" s="171">
        <f>(INDEX(Models!$BJ302:$BT302,,T302)*(1-R302)+INDEX(Models!$BJ302:$BT302,,T302+1)*R302-ERP_i)*Q302*Ramure*Pc/MaxiM</f>
        <v>4.1134158130841638E-3</v>
      </c>
      <c r="Q302" s="307">
        <f t="shared" si="105"/>
        <v>1</v>
      </c>
      <c r="R302" s="179">
        <f t="shared" si="106"/>
        <v>0.56125002335826002</v>
      </c>
      <c r="S302" s="837">
        <f t="shared" si="107"/>
        <v>-2</v>
      </c>
      <c r="T302" s="178">
        <f t="shared" si="108"/>
        <v>4</v>
      </c>
      <c r="U302" s="253">
        <f t="shared" si="109"/>
        <v>-1.43874997664174</v>
      </c>
      <c r="V302" s="385">
        <f t="shared" si="110"/>
        <v>28.839781980529082</v>
      </c>
      <c r="W302" s="404">
        <f t="shared" si="111"/>
        <v>28.588136115323117</v>
      </c>
      <c r="X302" s="157">
        <f t="shared" si="112"/>
        <v>46310</v>
      </c>
      <c r="Y302" s="387">
        <f t="shared" si="113"/>
        <v>24.26254761999785</v>
      </c>
      <c r="Z302" s="387">
        <f t="shared" si="114"/>
        <v>26.015155994921969</v>
      </c>
      <c r="AA302" s="388">
        <f t="shared" si="115"/>
        <v>29.83598232827552</v>
      </c>
      <c r="AB302" s="199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0.12806102012376369</v>
      </c>
      <c r="AD302" s="233">
        <f>(INDEX(Models!$BJ302:$BT302,,AH302)*(1-AF302)+INDEX(Models!$BJ302:$BT302,,AH302+1)*AF302-ERP_i)*AE302*Ramure*Pc/MaxiM</f>
        <v>9.9995439916735165E-2</v>
      </c>
      <c r="AE302" s="307">
        <f t="shared" si="117"/>
        <v>1</v>
      </c>
      <c r="AF302" s="179">
        <f t="shared" si="118"/>
        <v>0.49623261628183046</v>
      </c>
      <c r="AG302" s="837">
        <f t="shared" si="124"/>
        <v>3</v>
      </c>
      <c r="AH302" s="178">
        <f t="shared" si="119"/>
        <v>9</v>
      </c>
      <c r="AI302" s="227">
        <f t="shared" si="120"/>
        <v>3.4962326162818305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46311</v>
      </c>
      <c r="B303" s="1139">
        <f>IF(t&gt;Tmaj,'2025'!Wh/'2025'!Env_an*'2026'!Env_an,0.001*'[12]mon-tableau (1)'!$B$223)</f>
        <v>26.612305526645123</v>
      </c>
      <c r="C303" s="866"/>
      <c r="D303" s="395">
        <f t="shared" si="102"/>
        <v>28.535313036897776</v>
      </c>
      <c r="E303" s="387">
        <f t="shared" si="125"/>
        <v>30.697252739850143</v>
      </c>
      <c r="F303" s="387">
        <f t="shared" si="103"/>
        <v>30.814196285835433</v>
      </c>
      <c r="G303" s="110">
        <f t="shared" si="126"/>
        <v>0.93399195016361769</v>
      </c>
      <c r="H303" s="414" t="b">
        <f>Wh_hp&gt;='2025'!Maxi_hp</f>
        <v>0</v>
      </c>
      <c r="I303" s="392">
        <f>IF(H303,Wh_hp,'2025'!Maxi_hp)</f>
        <v>31.863522294539795</v>
      </c>
      <c r="J303" s="85">
        <f>IF(H303,An,'2025'!An_max)</f>
        <v>2021</v>
      </c>
      <c r="K303" s="199">
        <f t="shared" si="104"/>
        <v>46311</v>
      </c>
      <c r="L303" s="147">
        <f>IF(t&lt;Tvie,1-EXP((T0-t)*PertePVj)+'2025'!Pspv,1-EXP((T0-t)*PertePVj)+Pspv)</f>
        <v>6.7390447329808367E-2</v>
      </c>
      <c r="M303" s="870"/>
      <c r="N303" s="870"/>
      <c r="O303" s="48">
        <f>IF(t&lt;Tnet,'2025'!Resal+('2025'!Salim-'2025'!Resal)*(1-EXP(('2025'!Tnet-t)/('2025'!Tau_j))),Resal+(Salim-Resal)*(1-EXP((Tnet-t)/(Tau_j))))*Salcycl</f>
        <v>7.0427791088477784E-2</v>
      </c>
      <c r="P303" s="171">
        <f>(INDEX(Models!$BJ303:$BT303,,T303)*(1-R303)+INDEX(Models!$BJ303:$BT303,,T303+1)*R303-ERP_i)*Q303*Ramure*Pc/MaxiM</f>
        <v>4.187814924887432E-3</v>
      </c>
      <c r="Q303" s="307">
        <f t="shared" si="105"/>
        <v>1</v>
      </c>
      <c r="R303" s="179">
        <f t="shared" si="106"/>
        <v>0.56140120428274631</v>
      </c>
      <c r="S303" s="837">
        <f t="shared" si="107"/>
        <v>-2</v>
      </c>
      <c r="T303" s="178">
        <f t="shared" si="108"/>
        <v>4</v>
      </c>
      <c r="U303" s="253">
        <f t="shared" si="109"/>
        <v>-1.4385987957172537</v>
      </c>
      <c r="V303" s="385">
        <f t="shared" si="110"/>
        <v>28.481846304494546</v>
      </c>
      <c r="W303" s="404">
        <f t="shared" si="111"/>
        <v>26.612305526645123</v>
      </c>
      <c r="X303" s="157">
        <f t="shared" si="112"/>
        <v>46311</v>
      </c>
      <c r="Y303" s="387">
        <f t="shared" si="113"/>
        <v>22.724254510561089</v>
      </c>
      <c r="Z303" s="387">
        <f t="shared" si="114"/>
        <v>24.36631111647781</v>
      </c>
      <c r="AA303" s="388">
        <f t="shared" si="115"/>
        <v>27.943901880828403</v>
      </c>
      <c r="AB303" s="199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0.12802760257346479</v>
      </c>
      <c r="AD303" s="233">
        <f>(INDEX(Models!$BJ303:$BT303,,AH303)*(1-AF303)+INDEX(Models!$BJ303:$BT303,,AH303+1)*AF303-ERP_i)*AE303*Ramure*Pc/MaxiM</f>
        <v>0.10278687589669207</v>
      </c>
      <c r="AE303" s="307">
        <f t="shared" si="117"/>
        <v>1</v>
      </c>
      <c r="AF303" s="179">
        <f t="shared" si="118"/>
        <v>0.49638379720631676</v>
      </c>
      <c r="AG303" s="837">
        <f t="shared" si="124"/>
        <v>3</v>
      </c>
      <c r="AH303" s="178">
        <f t="shared" si="119"/>
        <v>9</v>
      </c>
      <c r="AI303" s="227">
        <f t="shared" si="120"/>
        <v>3.4963837972063168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46312</v>
      </c>
      <c r="B304" s="1139">
        <f>IF(t&gt;Tmaj,'2025'!Wh/'2025'!Env_an*'2026'!Env_an,0.001*'[12]mon-tableau (1)'!$B$224)</f>
        <v>16.97324294251624</v>
      </c>
      <c r="C304" s="866"/>
      <c r="D304" s="395">
        <f t="shared" si="102"/>
        <v>18.200154496884771</v>
      </c>
      <c r="E304" s="387">
        <f t="shared" si="125"/>
        <v>19.581982436704045</v>
      </c>
      <c r="F304" s="387">
        <f t="shared" si="103"/>
        <v>19.618539975982987</v>
      </c>
      <c r="G304" s="110">
        <f t="shared" si="126"/>
        <v>0.60193040136433085</v>
      </c>
      <c r="H304" s="414" t="b">
        <f>Wh_hp&gt;='2025'!Maxi_hp</f>
        <v>0</v>
      </c>
      <c r="I304" s="392">
        <f>IF(H304,Wh_hp,'2025'!Maxi_hp)</f>
        <v>29.854260667658959</v>
      </c>
      <c r="J304" s="85">
        <f>IF(H304,An,'2025'!An_max)</f>
        <v>2021</v>
      </c>
      <c r="K304" s="199">
        <f t="shared" si="104"/>
        <v>46312</v>
      </c>
      <c r="L304" s="147">
        <f>IF(t&lt;Tvie,1-EXP((T0-t)*PertePVj)+'2025'!Pspv,1-EXP((T0-t)*PertePVj)+Pspv)</f>
        <v>6.7412150516553915E-2</v>
      </c>
      <c r="M304" s="870"/>
      <c r="N304" s="870"/>
      <c r="O304" s="48">
        <f>IF(t&lt;Tnet,'2025'!Resal+('2025'!Salim-'2025'!Resal)*(1-EXP(('2025'!Tnet-t)/('2025'!Tau_j))),Resal+(Salim-Resal)*(1-EXP((Tnet-t)/(Tau_j))))*Salcycl</f>
        <v>7.0566294515166494E-2</v>
      </c>
      <c r="P304" s="171">
        <f>(INDEX(Models!$BJ304:$BT304,,T304)*(1-R304)+INDEX(Models!$BJ304:$BT304,,T304+1)*R304-ERP_i)*Q304*Ramure*Pc/MaxiM</f>
        <v>4.2992091305385054E-3</v>
      </c>
      <c r="Q304" s="307">
        <f t="shared" si="105"/>
        <v>1</v>
      </c>
      <c r="R304" s="179">
        <f t="shared" si="106"/>
        <v>0.56154635987408907</v>
      </c>
      <c r="S304" s="837">
        <f t="shared" si="107"/>
        <v>-2</v>
      </c>
      <c r="T304" s="178">
        <f t="shared" si="108"/>
        <v>4</v>
      </c>
      <c r="U304" s="253">
        <f t="shared" si="109"/>
        <v>-1.4384536401259109</v>
      </c>
      <c r="V304" s="385">
        <f t="shared" si="110"/>
        <v>28.129203052077102</v>
      </c>
      <c r="W304" s="404">
        <f t="shared" si="111"/>
        <v>16.97324294251624</v>
      </c>
      <c r="X304" s="157">
        <f t="shared" si="112"/>
        <v>46312</v>
      </c>
      <c r="Y304" s="387">
        <f t="shared" si="113"/>
        <v>15.223612166130923</v>
      </c>
      <c r="Z304" s="387">
        <f t="shared" si="114"/>
        <v>16.324051588880529</v>
      </c>
      <c r="AA304" s="388">
        <f t="shared" si="115"/>
        <v>18.720041058735237</v>
      </c>
      <c r="AB304" s="199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0.12799060976079862</v>
      </c>
      <c r="AD304" s="233">
        <f>(INDEX(Models!$BJ304:$BT304,,AH304)*(1-AF304)+INDEX(Models!$BJ304:$BT304,,AH304+1)*AF304-ERP_i)*AE304*Ramure*Pc/MaxiM</f>
        <v>0.1056645174976419</v>
      </c>
      <c r="AE304" s="307">
        <f t="shared" si="117"/>
        <v>1</v>
      </c>
      <c r="AF304" s="179">
        <f t="shared" si="118"/>
        <v>0.49652895279765952</v>
      </c>
      <c r="AG304" s="837">
        <f t="shared" si="124"/>
        <v>3</v>
      </c>
      <c r="AH304" s="178">
        <f t="shared" si="119"/>
        <v>9</v>
      </c>
      <c r="AI304" s="227">
        <f t="shared" si="120"/>
        <v>3.4965289527976595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46313</v>
      </c>
      <c r="B305" s="1139">
        <f>IF(t&gt;Tmaj,'2025'!Wh/'2025'!Env_an*'2026'!Env_an,0.001*'[12]mon-tableau (1)'!$B$225)</f>
        <v>26.553588082175587</v>
      </c>
      <c r="C305" s="866"/>
      <c r="D305" s="395">
        <f t="shared" si="102"/>
        <v>28.473677897531545</v>
      </c>
      <c r="E305" s="387">
        <f t="shared" si="125"/>
        <v>30.639993222965092</v>
      </c>
      <c r="F305" s="387">
        <f t="shared" si="103"/>
        <v>30.768258031953099</v>
      </c>
      <c r="G305" s="110">
        <f t="shared" si="126"/>
        <v>0.95553038018807079</v>
      </c>
      <c r="H305" s="414" t="b">
        <f>Wh_hp&gt;='2025'!Maxi_hp</f>
        <v>0</v>
      </c>
      <c r="I305" s="392">
        <f>IF(H305,Wh_hp,'2025'!Maxi_hp)</f>
        <v>32.364301744109355</v>
      </c>
      <c r="J305" s="85">
        <f>IF(H305,An,'2025'!An_max)</f>
        <v>2020</v>
      </c>
      <c r="K305" s="199">
        <f t="shared" si="104"/>
        <v>46313</v>
      </c>
      <c r="L305" s="147">
        <f>IF(t&lt;Tvie,1-EXP((T0-t)*PertePVj)+'2025'!Pspv,1-EXP((T0-t)*PertePVj)+Pspv)</f>
        <v>6.7433853198234583E-2</v>
      </c>
      <c r="M305" s="870"/>
      <c r="N305" s="870"/>
      <c r="O305" s="48">
        <f>IF(t&lt;Tnet,'2025'!Resal+('2025'!Salim-'2025'!Resal)*(1-EXP(('2025'!Tnet-t)/('2025'!Tau_j))),Resal+(Salim-Resal)*(1-EXP((Tnet-t)/(Tau_j))))*Salcycl</f>
        <v>7.0702212943371923E-2</v>
      </c>
      <c r="P305" s="171">
        <f>(INDEX(Models!$BJ305:$BT305,,T305)*(1-R305)+INDEX(Models!$BJ305:$BT305,,T305+1)*R305-ERP_i)*Q305*Ramure*Pc/MaxiM</f>
        <v>4.4497048254073515E-3</v>
      </c>
      <c r="Q305" s="307">
        <f t="shared" si="105"/>
        <v>1</v>
      </c>
      <c r="R305" s="179">
        <f t="shared" si="106"/>
        <v>0.5616857279007057</v>
      </c>
      <c r="S305" s="837">
        <f t="shared" si="107"/>
        <v>-2</v>
      </c>
      <c r="T305" s="178">
        <f t="shared" si="108"/>
        <v>4</v>
      </c>
      <c r="U305" s="253">
        <f t="shared" si="109"/>
        <v>-1.4383142720992943</v>
      </c>
      <c r="V305" s="385">
        <f t="shared" si="110"/>
        <v>27.781530263846967</v>
      </c>
      <c r="W305" s="404">
        <f t="shared" si="111"/>
        <v>26.553588082175587</v>
      </c>
      <c r="X305" s="157">
        <f t="shared" si="112"/>
        <v>46313</v>
      </c>
      <c r="Y305" s="387">
        <f t="shared" si="113"/>
        <v>22.475073330629087</v>
      </c>
      <c r="Z305" s="387">
        <f t="shared" si="114"/>
        <v>24.100245765629953</v>
      </c>
      <c r="AA305" s="388">
        <f t="shared" si="115"/>
        <v>27.63631633788404</v>
      </c>
      <c r="AB305" s="199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0.12795014100366259</v>
      </c>
      <c r="AD305" s="233">
        <f>(INDEX(Models!$BJ305:$BT305,,AH305)*(1-AF305)+INDEX(Models!$BJ305:$BT305,,AH305+1)*AF305-ERP_i)*AE305*Ramure*Pc/MaxiM</f>
        <v>0.10865190677746048</v>
      </c>
      <c r="AE305" s="307">
        <f t="shared" si="117"/>
        <v>1</v>
      </c>
      <c r="AF305" s="179">
        <f t="shared" si="118"/>
        <v>0.49666832082427614</v>
      </c>
      <c r="AG305" s="837">
        <f t="shared" si="124"/>
        <v>3</v>
      </c>
      <c r="AH305" s="178">
        <f t="shared" si="119"/>
        <v>9</v>
      </c>
      <c r="AI305" s="227">
        <f t="shared" si="120"/>
        <v>3.4966683208242761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46314</v>
      </c>
      <c r="B306" s="1139">
        <f>IF(t&gt;Tmaj,'2025'!Wh/'2025'!Env_an*'2026'!Env_an,0.001*'[12]mon-tableau (1)'!$B$226)</f>
        <v>14.368475020804189</v>
      </c>
      <c r="C306" s="866"/>
      <c r="D306" s="395">
        <f t="shared" si="102"/>
        <v>15.407817936849106</v>
      </c>
      <c r="E306" s="387">
        <f t="shared" si="125"/>
        <v>16.582445391134321</v>
      </c>
      <c r="F306" s="387">
        <f t="shared" si="103"/>
        <v>16.607070317907503</v>
      </c>
      <c r="G306" s="110">
        <f t="shared" si="126"/>
        <v>0.52200445151418695</v>
      </c>
      <c r="H306" s="414" t="b">
        <f>Wh_hp&gt;='2025'!Maxi_hp</f>
        <v>0</v>
      </c>
      <c r="I306" s="392">
        <f>IF(H306,Wh_hp,'2025'!Maxi_hp)</f>
        <v>30.618334526163864</v>
      </c>
      <c r="J306" s="85">
        <f>IF(H306,An,'2025'!An_max)</f>
        <v>2020</v>
      </c>
      <c r="K306" s="199">
        <f t="shared" si="104"/>
        <v>46314</v>
      </c>
      <c r="L306" s="147">
        <f>IF(t&lt;Tvie,1-EXP((T0-t)*PertePVj)+'2025'!Pspv,1-EXP((T0-t)*PertePVj)+Pspv)</f>
        <v>6.7455555374862031E-2</v>
      </c>
      <c r="M306" s="870"/>
      <c r="N306" s="870"/>
      <c r="O306" s="48">
        <f>IF(t&lt;Tnet,'2025'!Resal+('2025'!Salim-'2025'!Resal)*(1-EXP(('2025'!Tnet-t)/('2025'!Tau_j))),Resal+(Salim-Resal)*(1-EXP((Tnet-t)/(Tau_j))))*Salcycl</f>
        <v>7.0835599127811441E-2</v>
      </c>
      <c r="P306" s="171">
        <f>(INDEX(Models!$BJ306:$BT306,,T306)*(1-R306)+INDEX(Models!$BJ306:$BT306,,T306+1)*R306-ERP_i)*Q306*Ramure*Pc/MaxiM</f>
        <v>4.6407743065873391E-3</v>
      </c>
      <c r="Q306" s="307">
        <f t="shared" si="105"/>
        <v>1</v>
      </c>
      <c r="R306" s="179">
        <f t="shared" si="106"/>
        <v>0.56181953693470787</v>
      </c>
      <c r="S306" s="837">
        <f t="shared" si="107"/>
        <v>-2</v>
      </c>
      <c r="T306" s="178">
        <f t="shared" si="108"/>
        <v>4</v>
      </c>
      <c r="U306" s="253">
        <f t="shared" si="109"/>
        <v>-1.4381804630652921</v>
      </c>
      <c r="V306" s="385">
        <f t="shared" si="110"/>
        <v>27.43852526526225</v>
      </c>
      <c r="W306" s="404">
        <f t="shared" si="111"/>
        <v>14.368475020804189</v>
      </c>
      <c r="X306" s="157">
        <f t="shared" si="112"/>
        <v>46314</v>
      </c>
      <c r="Y306" s="387">
        <f t="shared" si="113"/>
        <v>13.023715914096782</v>
      </c>
      <c r="Z306" s="387">
        <f t="shared" si="114"/>
        <v>13.965785747972607</v>
      </c>
      <c r="AA306" s="388">
        <f t="shared" si="115"/>
        <v>16.01408872579384</v>
      </c>
      <c r="AB306" s="199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0.12790630880682199</v>
      </c>
      <c r="AD306" s="233">
        <f>(INDEX(Models!$BJ306:$BT306,,AH306)*(1-AF306)+INDEX(Models!$BJ306:$BT306,,AH306+1)*AF306-ERP_i)*AE306*Ramure*Pc/MaxiM</f>
        <v>0.11175236224284987</v>
      </c>
      <c r="AE306" s="307">
        <f t="shared" si="117"/>
        <v>1</v>
      </c>
      <c r="AF306" s="179">
        <f t="shared" si="118"/>
        <v>0.49680212985827854</v>
      </c>
      <c r="AG306" s="837">
        <f t="shared" si="124"/>
        <v>3</v>
      </c>
      <c r="AH306" s="178">
        <f t="shared" si="119"/>
        <v>9</v>
      </c>
      <c r="AI306" s="227">
        <f t="shared" si="120"/>
        <v>3.4968021298582785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46315</v>
      </c>
      <c r="B307" s="1139">
        <f>IF(t&gt;Tmaj,'2025'!Wh/'2025'!Env_an*'2026'!Env_an,0.001*'[12]mon-tableau (1)'!$B$227)</f>
        <v>7.9574605640192653</v>
      </c>
      <c r="C307" s="866"/>
      <c r="D307" s="395">
        <f t="shared" si="102"/>
        <v>8.5332616540973962</v>
      </c>
      <c r="E307" s="387">
        <f t="shared" si="125"/>
        <v>9.18509588751626</v>
      </c>
      <c r="F307" s="387">
        <f t="shared" si="103"/>
        <v>9.18509588751626</v>
      </c>
      <c r="G307" s="110">
        <f t="shared" si="126"/>
        <v>0.29220332049765263</v>
      </c>
      <c r="H307" s="414" t="b">
        <f>Wh_hp&gt;='2025'!Maxi_hp</f>
        <v>0</v>
      </c>
      <c r="I307" s="392">
        <f>IF(H307,Wh_hp,'2025'!Maxi_hp)</f>
        <v>26.917739526991838</v>
      </c>
      <c r="J307" s="85">
        <f>IF(H307,An,'2025'!An_max)</f>
        <v>2020</v>
      </c>
      <c r="K307" s="199">
        <f t="shared" si="104"/>
        <v>46315</v>
      </c>
      <c r="L307" s="147">
        <f>IF(t&lt;Tvie,1-EXP((T0-t)*PertePVj)+'2025'!Pspv,1-EXP((T0-t)*PertePVj)+Pspv)</f>
        <v>6.7477257046448247E-2</v>
      </c>
      <c r="M307" s="870"/>
      <c r="N307" s="870"/>
      <c r="O307" s="48">
        <f>IF(t&lt;Tnet,'2025'!Resal+('2025'!Salim-'2025'!Resal)*(1-EXP(('2025'!Tnet-t)/('2025'!Tau_j))),Resal+(Salim-Resal)*(1-EXP((Tnet-t)/(Tau_j))))*Salcycl</f>
        <v>7.0966513730661276E-2</v>
      </c>
      <c r="P307" s="171">
        <f>(INDEX(Models!$BJ307:$BT307,,T307)*(1-R307)+INDEX(Models!$BJ307:$BT307,,T307+1)*R307-ERP_i)*Q307*Ramure*Pc/MaxiM</f>
        <v>4.8739169889980179E-3</v>
      </c>
      <c r="Q307" s="307">
        <f t="shared" si="105"/>
        <v>1</v>
      </c>
      <c r="R307" s="179">
        <f t="shared" si="106"/>
        <v>0.56194800669289857</v>
      </c>
      <c r="S307" s="837">
        <f t="shared" si="107"/>
        <v>-2</v>
      </c>
      <c r="T307" s="178">
        <f t="shared" si="108"/>
        <v>4</v>
      </c>
      <c r="U307" s="253">
        <f t="shared" si="109"/>
        <v>-1.4380519933071014</v>
      </c>
      <c r="V307" s="385">
        <f t="shared" si="110"/>
        <v>27.099885614922794</v>
      </c>
      <c r="W307" s="404">
        <f t="shared" si="111"/>
        <v>7.9574605640192653</v>
      </c>
      <c r="X307" s="157">
        <f t="shared" si="112"/>
        <v>46315</v>
      </c>
      <c r="Y307" s="387">
        <f t="shared" si="113"/>
        <v>7.4701566909127965</v>
      </c>
      <c r="Z307" s="387">
        <f t="shared" si="114"/>
        <v>8.0106965190498087</v>
      </c>
      <c r="AA307" s="388">
        <f t="shared" si="115"/>
        <v>9.18509588751626</v>
      </c>
      <c r="AB307" s="199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0.12785923879821576</v>
      </c>
      <c r="AD307" s="233">
        <f>(INDEX(Models!$BJ307:$BT307,,AH307)*(1-AF307)+INDEX(Models!$BJ307:$BT307,,AH307+1)*AF307-ERP_i)*AE307*Ramure*Pc/MaxiM</f>
        <v>0.11496934937335544</v>
      </c>
      <c r="AE307" s="307">
        <f t="shared" si="117"/>
        <v>1</v>
      </c>
      <c r="AF307" s="179">
        <f t="shared" si="118"/>
        <v>0.49693059961646924</v>
      </c>
      <c r="AG307" s="837">
        <f t="shared" si="124"/>
        <v>3</v>
      </c>
      <c r="AH307" s="178">
        <f t="shared" si="119"/>
        <v>9</v>
      </c>
      <c r="AI307" s="227">
        <f t="shared" si="120"/>
        <v>3.4969305996164692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46316</v>
      </c>
      <c r="B308" s="1139">
        <f>IF(t&gt;Tmaj,'2025'!Wh/'2025'!Env_an*'2026'!Env_an,0.001*'[12]mon-tableau (1)'!$B$228)</f>
        <v>13.930568328199858</v>
      </c>
      <c r="C308" s="866"/>
      <c r="D308" s="395">
        <f t="shared" si="102"/>
        <v>14.938930579105907</v>
      </c>
      <c r="E308" s="387">
        <f t="shared" si="125"/>
        <v>16.082302265806934</v>
      </c>
      <c r="F308" s="387">
        <f t="shared" si="103"/>
        <v>16.108434101396561</v>
      </c>
      <c r="G308" s="110">
        <f t="shared" si="126"/>
        <v>0.51863161959240156</v>
      </c>
      <c r="H308" s="414" t="b">
        <f>Wh_hp&gt;='2025'!Maxi_hp</f>
        <v>0</v>
      </c>
      <c r="I308" s="392">
        <f>IF(H308,Wh_hp,'2025'!Maxi_hp)</f>
        <v>22.474187536944374</v>
      </c>
      <c r="J308" s="85">
        <f>IF(H308,An,'2025'!An_max)</f>
        <v>2019</v>
      </c>
      <c r="K308" s="199">
        <f t="shared" si="104"/>
        <v>46316</v>
      </c>
      <c r="L308" s="147">
        <f>IF(t&lt;Tvie,1-EXP((T0-t)*PertePVj)+'2025'!Pspv,1-EXP((T0-t)*PertePVj)+Pspv)</f>
        <v>6.7498958213004778E-2</v>
      </c>
      <c r="M308" s="870"/>
      <c r="N308" s="870"/>
      <c r="O308" s="48">
        <f>IF(t&lt;Tnet,'2025'!Resal+('2025'!Salim-'2025'!Resal)*(1-EXP(('2025'!Tnet-t)/('2025'!Tau_j))),Resal+(Salim-Resal)*(1-EXP((Tnet-t)/(Tau_j))))*Salcycl</f>
        <v>7.1095025314378266E-2</v>
      </c>
      <c r="P308" s="171">
        <f>(INDEX(Models!$BJ308:$BT308,,T308)*(1-R308)+INDEX(Models!$BJ308:$BT308,,T308+1)*R308-ERP_i)*Q308*Ramure*Pc/MaxiM</f>
        <v>5.1506623056194016E-3</v>
      </c>
      <c r="Q308" s="307">
        <f t="shared" si="105"/>
        <v>1</v>
      </c>
      <c r="R308" s="179">
        <f t="shared" si="106"/>
        <v>0.56207134836629802</v>
      </c>
      <c r="S308" s="837">
        <f t="shared" si="107"/>
        <v>-2</v>
      </c>
      <c r="T308" s="178">
        <f t="shared" si="108"/>
        <v>4</v>
      </c>
      <c r="U308" s="253">
        <f t="shared" si="109"/>
        <v>-1.437928651633702</v>
      </c>
      <c r="V308" s="385">
        <f t="shared" si="110"/>
        <v>26.765309104930555</v>
      </c>
      <c r="W308" s="404">
        <f t="shared" si="111"/>
        <v>13.930568328199858</v>
      </c>
      <c r="X308" s="157">
        <f t="shared" si="112"/>
        <v>46316</v>
      </c>
      <c r="Y308" s="387">
        <f t="shared" si="113"/>
        <v>12.613118847886376</v>
      </c>
      <c r="Z308" s="387">
        <f t="shared" si="114"/>
        <v>13.526117701397167</v>
      </c>
      <c r="AA308" s="388">
        <f t="shared" si="115"/>
        <v>15.508207239566394</v>
      </c>
      <c r="AB308" s="199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0.12780906958170407</v>
      </c>
      <c r="AD308" s="233">
        <f>(INDEX(Models!$BJ308:$BT308,,AH308)*(1-AF308)+INDEX(Models!$BJ308:$BT308,,AH308+1)*AF308-ERP_i)*AE308*Ramure*Pc/MaxiM</f>
        <v>0.11830649482870144</v>
      </c>
      <c r="AE308" s="307">
        <f t="shared" si="117"/>
        <v>1</v>
      </c>
      <c r="AF308" s="179">
        <f t="shared" si="118"/>
        <v>0.49705394128986846</v>
      </c>
      <c r="AG308" s="837">
        <f t="shared" si="124"/>
        <v>3</v>
      </c>
      <c r="AH308" s="178">
        <f t="shared" si="119"/>
        <v>9</v>
      </c>
      <c r="AI308" s="227">
        <f t="shared" si="120"/>
        <v>3.4970539412898685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46317</v>
      </c>
      <c r="B309" s="1139">
        <f>IF(t&gt;Tmaj,'2025'!Wh/'2025'!Env_an*'2026'!Env_an,0.001*'[12]mon-tableau (1)'!$B$229)</f>
        <v>24.716385397892225</v>
      </c>
      <c r="C309" s="866"/>
      <c r="D309" s="395">
        <f t="shared" si="102"/>
        <v>26.506094352782945</v>
      </c>
      <c r="E309" s="387">
        <f t="shared" si="125"/>
        <v>28.538651664223231</v>
      </c>
      <c r="F309" s="387">
        <f t="shared" si="103"/>
        <v>28.681037098559951</v>
      </c>
      <c r="G309" s="110">
        <f t="shared" si="126"/>
        <v>0.93452758571075101</v>
      </c>
      <c r="H309" s="414" t="b">
        <f>Wh_hp&gt;='2025'!Maxi_hp</f>
        <v>0</v>
      </c>
      <c r="I309" s="392">
        <f>IF(H309,Wh_hp,'2025'!Maxi_hp)</f>
        <v>28.691335764635802</v>
      </c>
      <c r="J309" s="85">
        <f>IF(H309,An,'2025'!An_max)</f>
        <v>2025</v>
      </c>
      <c r="K309" s="199">
        <f t="shared" si="104"/>
        <v>46317</v>
      </c>
      <c r="L309" s="147">
        <f>IF(t&lt;Tvie,1-EXP((T0-t)*PertePVj)+'2025'!Pspv,1-EXP((T0-t)*PertePVj)+Pspv)</f>
        <v>6.7520658874543504E-2</v>
      </c>
      <c r="M309" s="870"/>
      <c r="N309" s="870"/>
      <c r="O309" s="48">
        <f>IF(t&lt;Tnet,'2025'!Resal+('2025'!Salim-'2025'!Resal)*(1-EXP(('2025'!Tnet-t)/('2025'!Tau_j))),Resal+(Salim-Resal)*(1-EXP((Tnet-t)/(Tau_j))))*Salcycl</f>
        <v>7.12212102854302E-2</v>
      </c>
      <c r="P309" s="171">
        <f>(INDEX(Models!$BJ309:$BT309,,T309)*(1-R309)+INDEX(Models!$BJ309:$BT309,,T309+1)*R309-ERP_i)*Q309*Ramure*Pc/MaxiM</f>
        <v>5.4725730616732296E-3</v>
      </c>
      <c r="Q309" s="307">
        <f t="shared" si="105"/>
        <v>1</v>
      </c>
      <c r="R309" s="179">
        <f t="shared" si="106"/>
        <v>0.56218976493848238</v>
      </c>
      <c r="S309" s="837">
        <f t="shared" si="107"/>
        <v>-2</v>
      </c>
      <c r="T309" s="178">
        <f t="shared" si="108"/>
        <v>4</v>
      </c>
      <c r="U309" s="253">
        <f t="shared" si="109"/>
        <v>-1.4378102350615176</v>
      </c>
      <c r="V309" s="385">
        <f t="shared" si="110"/>
        <v>26.434493779892481</v>
      </c>
      <c r="W309" s="404">
        <f t="shared" si="111"/>
        <v>24.716385397892225</v>
      </c>
      <c r="X309" s="157">
        <f t="shared" si="112"/>
        <v>46317</v>
      </c>
      <c r="Y309" s="387">
        <f t="shared" si="113"/>
        <v>20.750895279622256</v>
      </c>
      <c r="Z309" s="387">
        <f t="shared" si="114"/>
        <v>22.253463818916298</v>
      </c>
      <c r="AA309" s="388">
        <f t="shared" si="115"/>
        <v>25.512886998575294</v>
      </c>
      <c r="AB309" s="199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0.12775595250514027</v>
      </c>
      <c r="AD309" s="233">
        <f>(INDEX(Models!$BJ309:$BT309,,AH309)*(1-AF309)+INDEX(Models!$BJ309:$BT309,,AH309+1)*AF309-ERP_i)*AE309*Ramure*Pc/MaxiM</f>
        <v>0.12176760195507036</v>
      </c>
      <c r="AE309" s="307">
        <f t="shared" si="117"/>
        <v>1</v>
      </c>
      <c r="AF309" s="179">
        <f t="shared" si="118"/>
        <v>0.49717235786205283</v>
      </c>
      <c r="AG309" s="837">
        <f t="shared" si="124"/>
        <v>3</v>
      </c>
      <c r="AH309" s="178">
        <f t="shared" si="119"/>
        <v>9</v>
      </c>
      <c r="AI309" s="227">
        <f t="shared" si="120"/>
        <v>3.4971723578620528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46318</v>
      </c>
      <c r="B310" s="1139">
        <f>IF(t&gt;Tmaj,'2025'!Wh/'2025'!Env_an*'2026'!Env_an,0.001*'[12]mon-tableau (1)'!$B$230)</f>
        <v>16.718899539586157</v>
      </c>
      <c r="C310" s="866"/>
      <c r="D310" s="395">
        <f t="shared" si="102"/>
        <v>17.929929258999284</v>
      </c>
      <c r="E310" s="387">
        <f t="shared" si="125"/>
        <v>19.3074200956666</v>
      </c>
      <c r="F310" s="387">
        <f t="shared" si="103"/>
        <v>19.362507461034777</v>
      </c>
      <c r="G310" s="110">
        <f t="shared" si="126"/>
        <v>0.63847149954304605</v>
      </c>
      <c r="H310" s="414" t="b">
        <f>Wh_hp&gt;='2025'!Maxi_hp</f>
        <v>0</v>
      </c>
      <c r="I310" s="392">
        <f>IF(H310,Wh_hp,'2025'!Maxi_hp)</f>
        <v>30.859930652265835</v>
      </c>
      <c r="J310" s="85">
        <f>IF(H310,An,'2025'!An_max)</f>
        <v>2021</v>
      </c>
      <c r="K310" s="199">
        <f t="shared" si="104"/>
        <v>46318</v>
      </c>
      <c r="L310" s="147">
        <f>IF(t&lt;Tvie,1-EXP((T0-t)*PertePVj)+'2025'!Pspv,1-EXP((T0-t)*PertePVj)+Pspv)</f>
        <v>6.7542359031076193E-2</v>
      </c>
      <c r="M310" s="870"/>
      <c r="N310" s="870"/>
      <c r="O310" s="48">
        <f>IF(t&lt;Tnet,'2025'!Resal+('2025'!Salim-'2025'!Resal)*(1-EXP(('2025'!Tnet-t)/('2025'!Tau_j))),Resal+(Salim-Resal)*(1-EXP((Tnet-t)/(Tau_j))))*Salcycl</f>
        <v>7.1345152787993901E-2</v>
      </c>
      <c r="P310" s="171">
        <f>(INDEX(Models!$BJ310:$BT310,,T310)*(1-R310)+INDEX(Models!$BJ310:$BT310,,T310+1)*R310-ERP_i)*Q310*Ramure*Pc/MaxiM</f>
        <v>5.8505501003752831E-3</v>
      </c>
      <c r="Q310" s="307">
        <f t="shared" si="105"/>
        <v>1</v>
      </c>
      <c r="R310" s="179">
        <f t="shared" si="106"/>
        <v>0.56230345149303274</v>
      </c>
      <c r="S310" s="837">
        <f t="shared" si="107"/>
        <v>-2</v>
      </c>
      <c r="T310" s="178">
        <f t="shared" si="108"/>
        <v>4</v>
      </c>
      <c r="U310" s="253">
        <f t="shared" si="109"/>
        <v>-1.4376965485069673</v>
      </c>
      <c r="V310" s="385">
        <f t="shared" si="110"/>
        <v>26.106893705175388</v>
      </c>
      <c r="W310" s="404">
        <f t="shared" si="111"/>
        <v>16.718899539586157</v>
      </c>
      <c r="X310" s="157">
        <f t="shared" si="112"/>
        <v>46318</v>
      </c>
      <c r="Y310" s="387">
        <f t="shared" si="113"/>
        <v>14.789263560245141</v>
      </c>
      <c r="Z310" s="387">
        <f t="shared" si="114"/>
        <v>15.860520532468913</v>
      </c>
      <c r="AA310" s="388">
        <f t="shared" si="115"/>
        <v>18.182415987635814</v>
      </c>
      <c r="AB310" s="199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0.12770005134333129</v>
      </c>
      <c r="AD310" s="233">
        <f>(INDEX(Models!$BJ310:$BT310,,AH310)*(1-AF310)+INDEX(Models!$BJ310:$BT310,,AH310+1)*AF310-ERP_i)*AE310*Ramure*Pc/MaxiM</f>
        <v>0.12533153912883718</v>
      </c>
      <c r="AE310" s="307">
        <f t="shared" si="117"/>
        <v>1</v>
      </c>
      <c r="AF310" s="179">
        <f t="shared" si="118"/>
        <v>0.49728604441660318</v>
      </c>
      <c r="AG310" s="837">
        <f t="shared" si="124"/>
        <v>3</v>
      </c>
      <c r="AH310" s="178">
        <f t="shared" si="119"/>
        <v>9</v>
      </c>
      <c r="AI310" s="227">
        <f t="shared" si="120"/>
        <v>3.4972860444166032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46319</v>
      </c>
      <c r="B311" s="1139">
        <f>IF(t&gt;Tmaj,'2025'!Wh/'2025'!Env_an*'2026'!Env_an,0.001*'[12]mon-tableau (1)'!$B$231)</f>
        <v>19.783600540127271</v>
      </c>
      <c r="C311" s="866"/>
      <c r="D311" s="395">
        <f t="shared" si="102"/>
        <v>21.217114938937414</v>
      </c>
      <c r="E311" s="387">
        <f t="shared" si="125"/>
        <v>22.850144983355591</v>
      </c>
      <c r="F311" s="387">
        <f t="shared" si="103"/>
        <v>22.946251471165638</v>
      </c>
      <c r="G311" s="110">
        <f t="shared" si="126"/>
        <v>0.7657185737933373</v>
      </c>
      <c r="H311" s="414" t="b">
        <f>Wh_hp&gt;='2025'!Maxi_hp</f>
        <v>0</v>
      </c>
      <c r="I311" s="392">
        <f>IF(H311,Wh_hp,'2025'!Maxi_hp)</f>
        <v>31.094214113391882</v>
      </c>
      <c r="J311" s="85">
        <f>IF(H311,An,'2025'!An_max)</f>
        <v>2021</v>
      </c>
      <c r="K311" s="199">
        <f t="shared" si="104"/>
        <v>46319</v>
      </c>
      <c r="L311" s="147">
        <f>IF(t&lt;Tvie,1-EXP((T0-t)*PertePVj)+'2025'!Pspv,1-EXP((T0-t)*PertePVj)+Pspv)</f>
        <v>6.7564058682614503E-2</v>
      </c>
      <c r="M311" s="870"/>
      <c r="N311" s="870"/>
      <c r="O311" s="48">
        <f>IF(t&lt;Tnet,'2025'!Resal+('2025'!Salim-'2025'!Resal)*(1-EXP(('2025'!Tnet-t)/('2025'!Tau_j))),Resal+(Salim-Resal)*(1-EXP((Tnet-t)/(Tau_j))))*Salcycl</f>
        <v>7.1466944547078498E-2</v>
      </c>
      <c r="P311" s="171">
        <f>(INDEX(Models!$BJ311:$BT311,,T311)*(1-R311)+INDEX(Models!$BJ311:$BT311,,T311+1)*R311-ERP_i)*Q311*Ramure*Pc/MaxiM</f>
        <v>6.2736400518205128E-3</v>
      </c>
      <c r="Q311" s="307">
        <f t="shared" si="105"/>
        <v>1</v>
      </c>
      <c r="R311" s="179">
        <f t="shared" si="106"/>
        <v>0.56241259551038247</v>
      </c>
      <c r="S311" s="837">
        <f t="shared" si="107"/>
        <v>-2</v>
      </c>
      <c r="T311" s="178">
        <f t="shared" si="108"/>
        <v>4</v>
      </c>
      <c r="U311" s="253">
        <f t="shared" si="109"/>
        <v>-1.4375874044896175</v>
      </c>
      <c r="V311" s="385">
        <f t="shared" si="110"/>
        <v>25.782543053170546</v>
      </c>
      <c r="W311" s="404">
        <f t="shared" si="111"/>
        <v>19.783600540127271</v>
      </c>
      <c r="X311" s="157">
        <f t="shared" si="112"/>
        <v>46319</v>
      </c>
      <c r="Y311" s="387">
        <f t="shared" si="113"/>
        <v>17.057664815350417</v>
      </c>
      <c r="Z311" s="387">
        <f t="shared" si="114"/>
        <v>18.293658641311719</v>
      </c>
      <c r="AA311" s="388">
        <f t="shared" si="115"/>
        <v>20.970345929899821</v>
      </c>
      <c r="AB311" s="199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0.12764154189615162</v>
      </c>
      <c r="AD311" s="233">
        <f>(INDEX(Models!$BJ311:$BT311,,AH311)*(1-AF311)+INDEX(Models!$BJ311:$BT311,,AH311+1)*AF311-ERP_i)*AE311*Ramure*Pc/MaxiM</f>
        <v>0.12898317714825089</v>
      </c>
      <c r="AE311" s="307">
        <f t="shared" si="117"/>
        <v>1</v>
      </c>
      <c r="AF311" s="179">
        <f t="shared" si="118"/>
        <v>0.49739518843395292</v>
      </c>
      <c r="AG311" s="837">
        <f t="shared" si="124"/>
        <v>3</v>
      </c>
      <c r="AH311" s="178">
        <f t="shared" si="119"/>
        <v>9</v>
      </c>
      <c r="AI311" s="227">
        <f t="shared" si="120"/>
        <v>3.4973951884339529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46320</v>
      </c>
      <c r="B312" s="1139">
        <f>IF(t&gt;Tmaj,'2025'!Wh/'2025'!Env_an*'2026'!Env_an,0.001*'[12]mon-tableau (1)'!$B$232)</f>
        <v>18.302565729879181</v>
      </c>
      <c r="C312" s="866"/>
      <c r="D312" s="395">
        <f t="shared" si="102"/>
        <v>19.629221543492818</v>
      </c>
      <c r="E312" s="387">
        <f t="shared" si="125"/>
        <v>21.142761762657557</v>
      </c>
      <c r="F312" s="387">
        <f t="shared" si="103"/>
        <v>21.228417024103315</v>
      </c>
      <c r="G312" s="110">
        <f t="shared" si="126"/>
        <v>0.7168882612542169</v>
      </c>
      <c r="H312" s="414" t="b">
        <f>Wh_hp&gt;='2025'!Maxi_hp</f>
        <v>0</v>
      </c>
      <c r="I312" s="392">
        <f>IF(H312,Wh_hp,'2025'!Maxi_hp)</f>
        <v>29.799774376559132</v>
      </c>
      <c r="J312" s="85">
        <f>IF(H312,An,'2025'!An_max)</f>
        <v>2021</v>
      </c>
      <c r="K312" s="199">
        <f t="shared" si="104"/>
        <v>46320</v>
      </c>
      <c r="L312" s="147">
        <f>IF(t&lt;Tvie,1-EXP((T0-t)*PertePVj)+'2025'!Pspv,1-EXP((T0-t)*PertePVj)+Pspv)</f>
        <v>6.7585757829170201E-2</v>
      </c>
      <c r="M312" s="870"/>
      <c r="N312" s="870"/>
      <c r="O312" s="48">
        <f>IF(t&lt;Tnet,'2025'!Resal+('2025'!Salim-'2025'!Resal)*(1-EXP(('2025'!Tnet-t)/('2025'!Tau_j))),Resal+(Salim-Resal)*(1-EXP((Tnet-t)/(Tau_j))))*Salcycl</f>
        <v>7.158668466093962E-2</v>
      </c>
      <c r="P312" s="171">
        <f>(INDEX(Models!$BJ312:$BT312,,T312)*(1-R312)+INDEX(Models!$BJ312:$BT312,,T312+1)*R312-ERP_i)*Q312*Ramure*Pc/MaxiM</f>
        <v>6.7434640963586791E-3</v>
      </c>
      <c r="Q312" s="307">
        <f t="shared" si="105"/>
        <v>1</v>
      </c>
      <c r="R312" s="179">
        <f t="shared" si="106"/>
        <v>0.56251737715435413</v>
      </c>
      <c r="S312" s="837">
        <f t="shared" si="107"/>
        <v>-2</v>
      </c>
      <c r="T312" s="178">
        <f t="shared" si="108"/>
        <v>4</v>
      </c>
      <c r="U312" s="253">
        <f t="shared" si="109"/>
        <v>-1.4374826228456459</v>
      </c>
      <c r="V312" s="385">
        <f t="shared" si="110"/>
        <v>25.461139248310623</v>
      </c>
      <c r="W312" s="404">
        <f t="shared" si="111"/>
        <v>18.302565729879181</v>
      </c>
      <c r="X312" s="157">
        <f t="shared" si="112"/>
        <v>46320</v>
      </c>
      <c r="Y312" s="387">
        <f t="shared" si="113"/>
        <v>15.896993057674047</v>
      </c>
      <c r="Z312" s="387">
        <f t="shared" si="114"/>
        <v>17.049281680493166</v>
      </c>
      <c r="AA312" s="388">
        <f t="shared" si="115"/>
        <v>19.542529550909361</v>
      </c>
      <c r="AB312" s="199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0.12758061150278144</v>
      </c>
      <c r="AD312" s="233">
        <f>(INDEX(Models!$BJ312:$BT312,,AH312)*(1-AF312)+INDEX(Models!$BJ312:$BT312,,AH312+1)*AF312-ERP_i)*AE312*Ramure*Pc/MaxiM</f>
        <v>0.13272648351185842</v>
      </c>
      <c r="AE312" s="307">
        <f t="shared" si="117"/>
        <v>1</v>
      </c>
      <c r="AF312" s="179">
        <f t="shared" si="118"/>
        <v>0.49749997007792457</v>
      </c>
      <c r="AG312" s="837">
        <f t="shared" si="124"/>
        <v>3</v>
      </c>
      <c r="AH312" s="178">
        <f t="shared" si="119"/>
        <v>9</v>
      </c>
      <c r="AI312" s="227">
        <f t="shared" si="120"/>
        <v>3.4974999700779246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46321</v>
      </c>
      <c r="B313" s="1139">
        <f>IF(t&gt;Tmaj,'2025'!Wh/'2025'!Env_an*'2026'!Env_an,0.001*'[12]mon-tableau (1)'!$B$233)</f>
        <v>14.512078336900824</v>
      </c>
      <c r="C313" s="866"/>
      <c r="D313" s="395">
        <f t="shared" si="102"/>
        <v>15.564344049739439</v>
      </c>
      <c r="E313" s="387">
        <f t="shared" si="125"/>
        <v>16.766583166021256</v>
      </c>
      <c r="F313" s="387">
        <f t="shared" si="103"/>
        <v>16.814935725775769</v>
      </c>
      <c r="G313" s="110">
        <f t="shared" si="126"/>
        <v>0.5746569331497613</v>
      </c>
      <c r="H313" s="414" t="b">
        <f>Wh_hp&gt;='2025'!Maxi_hp</f>
        <v>0</v>
      </c>
      <c r="I313" s="392">
        <f>IF(H313,Wh_hp,'2025'!Maxi_hp)</f>
        <v>29.263227957076836</v>
      </c>
      <c r="J313" s="85">
        <f>IF(H313,An,'2025'!An_max)</f>
        <v>2019</v>
      </c>
      <c r="K313" s="199">
        <f t="shared" si="104"/>
        <v>46321</v>
      </c>
      <c r="L313" s="147">
        <f>IF(t&lt;Tvie,1-EXP((T0-t)*PertePVj)+'2025'!Pspv,1-EXP((T0-t)*PertePVj)+Pspv)</f>
        <v>6.7607456470755056E-2</v>
      </c>
      <c r="M313" s="870"/>
      <c r="N313" s="870"/>
      <c r="O313" s="48">
        <f>IF(t&lt;Tnet,'2025'!Resal+('2025'!Salim-'2025'!Resal)*(1-EXP(('2025'!Tnet-t)/('2025'!Tau_j))),Resal+(Salim-Resal)*(1-EXP((Tnet-t)/(Tau_j))))*Salcycl</f>
        <v>7.1704479343068825E-2</v>
      </c>
      <c r="P313" s="171">
        <f>(INDEX(Models!$BJ313:$BT313,,T313)*(1-R313)+INDEX(Models!$BJ313:$BT313,,T313+1)*R313-ERP_i)*Q313*Ramure*Pc/MaxiM</f>
        <v>7.2616540554059708E-3</v>
      </c>
      <c r="Q313" s="307">
        <f t="shared" si="105"/>
        <v>1</v>
      </c>
      <c r="R313" s="179">
        <f t="shared" si="106"/>
        <v>0.56261796954867549</v>
      </c>
      <c r="S313" s="837">
        <f t="shared" si="107"/>
        <v>-2</v>
      </c>
      <c r="T313" s="178">
        <f t="shared" si="108"/>
        <v>4</v>
      </c>
      <c r="U313" s="253">
        <f t="shared" si="109"/>
        <v>-1.4373820304513245</v>
      </c>
      <c r="V313" s="385">
        <f t="shared" si="110"/>
        <v>25.142381091930154</v>
      </c>
      <c r="W313" s="404">
        <f t="shared" si="111"/>
        <v>14.512078336900824</v>
      </c>
      <c r="X313" s="157">
        <f t="shared" si="112"/>
        <v>46321</v>
      </c>
      <c r="Y313" s="387">
        <f t="shared" si="113"/>
        <v>12.93914891240836</v>
      </c>
      <c r="Z313" s="387">
        <f t="shared" si="114"/>
        <v>13.877362064084886</v>
      </c>
      <c r="AA313" s="388">
        <f t="shared" si="115"/>
        <v>15.90560429989687</v>
      </c>
      <c r="AB313" s="199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0.12751745847374907</v>
      </c>
      <c r="AD313" s="233">
        <f>(INDEX(Models!$BJ313:$BT313,,AH313)*(1-AF313)+INDEX(Models!$BJ313:$BT313,,AH313+1)*AF313-ERP_i)*AE313*Ramure*Pc/MaxiM</f>
        <v>0.13656464662815077</v>
      </c>
      <c r="AE313" s="307">
        <f t="shared" si="117"/>
        <v>1</v>
      </c>
      <c r="AF313" s="179">
        <f t="shared" si="118"/>
        <v>0.49760056247224593</v>
      </c>
      <c r="AG313" s="837">
        <f t="shared" si="124"/>
        <v>3</v>
      </c>
      <c r="AH313" s="178">
        <f t="shared" si="119"/>
        <v>9</v>
      </c>
      <c r="AI313" s="227">
        <f t="shared" si="120"/>
        <v>3.4976005624722459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46322</v>
      </c>
      <c r="B314" s="1139">
        <f>IF(t&gt;Tmaj,'2025'!Wh/'2025'!Env_an*'2026'!Env_an,0.001*'[12]mon-tableau (1)'!$B$234)</f>
        <v>11.609109691736146</v>
      </c>
      <c r="C314" s="866"/>
      <c r="D314" s="395">
        <f t="shared" si="102"/>
        <v>12.451171922742367</v>
      </c>
      <c r="E314" s="387">
        <f t="shared" si="125"/>
        <v>13.414615534519838</v>
      </c>
      <c r="F314" s="387">
        <f t="shared" si="103"/>
        <v>13.439814141405691</v>
      </c>
      <c r="G314" s="110">
        <f t="shared" si="126"/>
        <v>0.46482972973926812</v>
      </c>
      <c r="H314" s="414" t="b">
        <f>Wh_hp&gt;='2025'!Maxi_hp</f>
        <v>0</v>
      </c>
      <c r="I314" s="392">
        <f>IF(H314,Wh_hp,'2025'!Maxi_hp)</f>
        <v>29.643885541046256</v>
      </c>
      <c r="J314" s="85">
        <f>IF(H314,An,'2025'!An_max)</f>
        <v>2021</v>
      </c>
      <c r="K314" s="199">
        <f t="shared" si="104"/>
        <v>46322</v>
      </c>
      <c r="L314" s="147">
        <f>IF(t&lt;Tvie,1-EXP((T0-t)*PertePVj)+'2025'!Pspv,1-EXP((T0-t)*PertePVj)+Pspv)</f>
        <v>6.7629154607380726E-2</v>
      </c>
      <c r="M314" s="870"/>
      <c r="N314" s="870"/>
      <c r="O314" s="48">
        <f>IF(t&lt;Tnet,'2025'!Resal+('2025'!Salim-'2025'!Resal)*(1-EXP(('2025'!Tnet-t)/('2025'!Tau_j))),Resal+(Salim-Resal)*(1-EXP((Tnet-t)/(Tau_j))))*Salcycl</f>
        <v>7.1820441614464603E-2</v>
      </c>
      <c r="P314" s="171">
        <f>(INDEX(Models!$BJ314:$BT314,,T314)*(1-R314)+INDEX(Models!$BJ314:$BT314,,T314+1)*R314-ERP_i)*Q314*Ramure*Pc/MaxiM</f>
        <v>7.8299040246872127E-3</v>
      </c>
      <c r="Q314" s="307">
        <f t="shared" si="105"/>
        <v>1</v>
      </c>
      <c r="R314" s="179">
        <f t="shared" si="106"/>
        <v>0.56271453904376356</v>
      </c>
      <c r="S314" s="837">
        <f t="shared" si="107"/>
        <v>-2</v>
      </c>
      <c r="T314" s="178">
        <f t="shared" si="108"/>
        <v>4</v>
      </c>
      <c r="U314" s="253">
        <f t="shared" si="109"/>
        <v>-1.4372854609562364</v>
      </c>
      <c r="V314" s="385">
        <f t="shared" si="110"/>
        <v>24.825967567036134</v>
      </c>
      <c r="W314" s="404">
        <f t="shared" si="111"/>
        <v>11.609109691736146</v>
      </c>
      <c r="X314" s="157">
        <f t="shared" si="112"/>
        <v>46322</v>
      </c>
      <c r="Y314" s="387">
        <f t="shared" si="113"/>
        <v>10.565944243109344</v>
      </c>
      <c r="Z314" s="387">
        <f t="shared" si="114"/>
        <v>11.3323408762959</v>
      </c>
      <c r="AA314" s="388">
        <f t="shared" si="115"/>
        <v>12.987646136896277</v>
      </c>
      <c r="AB314" s="199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0.12745229144316317</v>
      </c>
      <c r="AD314" s="233">
        <f>(INDEX(Models!$BJ314:$BT314,,AH314)*(1-AF314)+INDEX(Models!$BJ314:$BT314,,AH314+1)*AF314-ERP_i)*AE314*Ramure*Pc/MaxiM</f>
        <v>0.14050110366739746</v>
      </c>
      <c r="AE314" s="307">
        <f t="shared" si="117"/>
        <v>1</v>
      </c>
      <c r="AF314" s="179">
        <f t="shared" si="118"/>
        <v>0.49769713196733401</v>
      </c>
      <c r="AG314" s="837">
        <f t="shared" si="124"/>
        <v>3</v>
      </c>
      <c r="AH314" s="178">
        <f t="shared" si="119"/>
        <v>9</v>
      </c>
      <c r="AI314" s="227">
        <f t="shared" si="120"/>
        <v>3.497697131967334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46323</v>
      </c>
      <c r="B315" s="1139">
        <f>IF(t&gt;Tmaj,'2025'!Wh/'2025'!Env_an*'2026'!Env_an,0.001*'[12]mon-tableau (1)'!$B$235)</f>
        <v>15.811802002231415</v>
      </c>
      <c r="C315" s="866"/>
      <c r="D315" s="395">
        <f t="shared" si="102"/>
        <v>16.959099539270071</v>
      </c>
      <c r="E315" s="387">
        <f t="shared" si="125"/>
        <v>18.273605719171776</v>
      </c>
      <c r="F315" s="387">
        <f t="shared" si="103"/>
        <v>18.350043351908862</v>
      </c>
      <c r="G315" s="110">
        <f t="shared" si="126"/>
        <v>0.64229895812494542</v>
      </c>
      <c r="H315" s="414" t="b">
        <f>Wh_hp&gt;='2025'!Maxi_hp</f>
        <v>0</v>
      </c>
      <c r="I315" s="392">
        <f>IF(H315,Wh_hp,'2025'!Maxi_hp)</f>
        <v>28.741781736753882</v>
      </c>
      <c r="J315" s="85">
        <f>IF(H315,An,'2025'!An_max)</f>
        <v>2021</v>
      </c>
      <c r="K315" s="199">
        <f t="shared" si="104"/>
        <v>46323</v>
      </c>
      <c r="L315" s="147">
        <f>IF(t&lt;Tvie,1-EXP((T0-t)*PertePVj)+'2025'!Pspv,1-EXP((T0-t)*PertePVj)+Pspv)</f>
        <v>6.76508522390592E-2</v>
      </c>
      <c r="M315" s="870"/>
      <c r="N315" s="870"/>
      <c r="O315" s="48">
        <f>IF(t&lt;Tnet,'2025'!Resal+('2025'!Salim-'2025'!Resal)*(1-EXP(('2025'!Tnet-t)/('2025'!Tau_j))),Resal+(Salim-Resal)*(1-EXP((Tnet-t)/(Tau_j))))*Salcycl</f>
        <v>7.1934690947314833E-2</v>
      </c>
      <c r="P315" s="171">
        <f>(INDEX(Models!$BJ315:$BT315,,T315)*(1-R315)+INDEX(Models!$BJ315:$BT315,,T315+1)*R315-ERP_i)*Q315*Ramure*Pc/MaxiM</f>
        <v>8.4499774475367724E-3</v>
      </c>
      <c r="Q315" s="307">
        <f t="shared" si="105"/>
        <v>1</v>
      </c>
      <c r="R315" s="179">
        <f t="shared" si="106"/>
        <v>0.56280724547405847</v>
      </c>
      <c r="S315" s="837">
        <f t="shared" si="107"/>
        <v>-2</v>
      </c>
      <c r="T315" s="178">
        <f t="shared" si="108"/>
        <v>4</v>
      </c>
      <c r="U315" s="253">
        <f t="shared" si="109"/>
        <v>-1.4371927545259415</v>
      </c>
      <c r="V315" s="385">
        <f t="shared" si="110"/>
        <v>24.51159786994787</v>
      </c>
      <c r="W315" s="404">
        <f t="shared" si="111"/>
        <v>15.811802002231415</v>
      </c>
      <c r="X315" s="157">
        <f t="shared" si="112"/>
        <v>46323</v>
      </c>
      <c r="Y315" s="387">
        <f t="shared" si="113"/>
        <v>13.865506795803975</v>
      </c>
      <c r="Z315" s="387">
        <f t="shared" si="114"/>
        <v>14.871581991684476</v>
      </c>
      <c r="AA315" s="388">
        <f t="shared" si="115"/>
        <v>17.042553236674763</v>
      </c>
      <c r="AB315" s="199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0.12738532864421162</v>
      </c>
      <c r="AD315" s="233">
        <f>(INDEX(Models!$BJ315:$BT315,,AH315)*(1-AF315)+INDEX(Models!$BJ315:$BT315,,AH315+1)*AF315-ERP_i)*AE315*Ramure*Pc/MaxiM</f>
        <v>0.14453956239862642</v>
      </c>
      <c r="AE315" s="307">
        <f t="shared" si="117"/>
        <v>1</v>
      </c>
      <c r="AF315" s="179">
        <f t="shared" si="118"/>
        <v>0.49778983839762869</v>
      </c>
      <c r="AG315" s="837">
        <f t="shared" si="124"/>
        <v>3</v>
      </c>
      <c r="AH315" s="178">
        <f t="shared" si="119"/>
        <v>9</v>
      </c>
      <c r="AI315" s="227">
        <f t="shared" si="120"/>
        <v>3.4977898383976287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46324</v>
      </c>
      <c r="B316" s="1139">
        <f>IF(t&gt;Tmaj,'2025'!Wh/'2025'!Env_an*'2026'!Env_an,0.001*'[12]mon-tableau (1)'!$B$236)</f>
        <v>20.090733795359487</v>
      </c>
      <c r="C316" s="866"/>
      <c r="D316" s="395">
        <f t="shared" si="102"/>
        <v>21.549010255670524</v>
      </c>
      <c r="E316" s="387">
        <f t="shared" si="125"/>
        <v>23.222101173075824</v>
      </c>
      <c r="F316" s="387">
        <f t="shared" si="103"/>
        <v>23.383705144471879</v>
      </c>
      <c r="G316" s="110">
        <f t="shared" si="126"/>
        <v>0.82838102127144375</v>
      </c>
      <c r="H316" s="414" t="b">
        <f>Wh_hp&gt;='2025'!Maxi_hp</f>
        <v>0</v>
      </c>
      <c r="I316" s="392">
        <f>IF(H316,Wh_hp,'2025'!Maxi_hp)</f>
        <v>25.210255189313802</v>
      </c>
      <c r="J316" s="85">
        <f>IF(H316,An,'2025'!An_max)</f>
        <v>2019</v>
      </c>
      <c r="K316" s="199">
        <f t="shared" si="104"/>
        <v>46324</v>
      </c>
      <c r="L316" s="147">
        <f>IF(t&lt;Tvie,1-EXP((T0-t)*PertePVj)+'2025'!Pspv,1-EXP((T0-t)*PertePVj)+Pspv)</f>
        <v>6.7672549365802026E-2</v>
      </c>
      <c r="M316" s="870"/>
      <c r="N316" s="870"/>
      <c r="O316" s="48">
        <f>IF(t&lt;Tnet,'2025'!Resal+('2025'!Salim-'2025'!Resal)*(1-EXP(('2025'!Tnet-t)/('2025'!Tau_j))),Resal+(Salim-Resal)*(1-EXP((Tnet-t)/(Tau_j))))*Salcycl</f>
        <v>7.2047352861640074E-2</v>
      </c>
      <c r="P316" s="171">
        <f>(INDEX(Models!$BJ316:$BT316,,T316)*(1-R316)+INDEX(Models!$BJ316:$BT316,,T316+1)*R316-ERP_i)*Q316*Ramure*Pc/MaxiM</f>
        <v>9.1237150003804085E-3</v>
      </c>
      <c r="Q316" s="307">
        <f t="shared" si="105"/>
        <v>1</v>
      </c>
      <c r="R316" s="179">
        <f t="shared" si="106"/>
        <v>0.56289624240618918</v>
      </c>
      <c r="S316" s="837">
        <f t="shared" si="107"/>
        <v>-2</v>
      </c>
      <c r="T316" s="178">
        <f t="shared" si="108"/>
        <v>4</v>
      </c>
      <c r="U316" s="253">
        <f t="shared" si="109"/>
        <v>-1.4371037575938108</v>
      </c>
      <c r="V316" s="385">
        <f t="shared" si="110"/>
        <v>24.19897141793016</v>
      </c>
      <c r="W316" s="404">
        <f t="shared" si="111"/>
        <v>20.090733795359487</v>
      </c>
      <c r="X316" s="157">
        <f t="shared" si="112"/>
        <v>46324</v>
      </c>
      <c r="Y316" s="387">
        <f t="shared" si="113"/>
        <v>16.882861126086809</v>
      </c>
      <c r="Z316" s="387">
        <f t="shared" si="114"/>
        <v>18.108295657928515</v>
      </c>
      <c r="AA316" s="388">
        <f t="shared" si="115"/>
        <v>20.750136587934186</v>
      </c>
      <c r="AB316" s="199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0.12731679711168031</v>
      </c>
      <c r="AD316" s="233">
        <f>(INDEX(Models!$BJ316:$BT316,,AH316)*(1-AF316)+INDEX(Models!$BJ316:$BT316,,AH316+1)*AF316-ERP_i)*AE316*Ramure*Pc/MaxiM</f>
        <v>0.14868402512786019</v>
      </c>
      <c r="AE316" s="307">
        <f t="shared" si="117"/>
        <v>1</v>
      </c>
      <c r="AF316" s="179">
        <f t="shared" si="118"/>
        <v>0.49787883532975963</v>
      </c>
      <c r="AG316" s="837">
        <f t="shared" si="124"/>
        <v>3</v>
      </c>
      <c r="AH316" s="178">
        <f t="shared" si="119"/>
        <v>9</v>
      </c>
      <c r="AI316" s="227">
        <f t="shared" si="120"/>
        <v>3.4978788353297596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46325</v>
      </c>
      <c r="B317" s="1139">
        <f>IF(t&gt;Tmaj,'2025'!Wh/'2025'!Env_an*'2026'!Env_an,0.001*'[12]mon-tableau (1)'!$B$237)</f>
        <v>17.328707012993817</v>
      </c>
      <c r="C317" s="866"/>
      <c r="D317" s="395">
        <f t="shared" si="102"/>
        <v>18.58693560392177</v>
      </c>
      <c r="E317" s="387">
        <f t="shared" si="125"/>
        <v>20.032448187924839</v>
      </c>
      <c r="F317" s="387">
        <f t="shared" si="103"/>
        <v>20.153129363944728</v>
      </c>
      <c r="G317" s="110">
        <f t="shared" si="126"/>
        <v>0.72260406451645942</v>
      </c>
      <c r="H317" s="414" t="b">
        <f>Wh_hp&gt;='2025'!Maxi_hp</f>
        <v>0</v>
      </c>
      <c r="I317" s="392">
        <f>IF(H317,Wh_hp,'2025'!Maxi_hp)</f>
        <v>25.555453874343382</v>
      </c>
      <c r="J317" s="85">
        <f>IF(H317,An,'2025'!An_max)</f>
        <v>2020</v>
      </c>
      <c r="K317" s="199">
        <f t="shared" si="104"/>
        <v>46325</v>
      </c>
      <c r="L317" s="147">
        <f>IF(t&lt;Tvie,1-EXP((T0-t)*PertePVj)+'2025'!Pspv,1-EXP((T0-t)*PertePVj)+Pspv)</f>
        <v>6.7694245987621082E-2</v>
      </c>
      <c r="M317" s="870"/>
      <c r="N317" s="870"/>
      <c r="O317" s="48">
        <f>IF(t&lt;Tnet,'2025'!Resal+('2025'!Salim-'2025'!Resal)*(1-EXP(('2025'!Tnet-t)/('2025'!Tau_j))),Resal+(Salim-Resal)*(1-EXP((Tnet-t)/(Tau_j))))*Salcycl</f>
        <v>7.2158558476861284E-2</v>
      </c>
      <c r="P317" s="171">
        <f>(INDEX(Models!$BJ317:$BT317,,T317)*(1-R317)+INDEX(Models!$BJ317:$BT317,,T317+1)*R317-ERP_i)*Q317*Ramure*Pc/MaxiM</f>
        <v>9.8530899495315773E-3</v>
      </c>
      <c r="Q317" s="307">
        <f t="shared" si="105"/>
        <v>1</v>
      </c>
      <c r="R317" s="179">
        <f t="shared" si="106"/>
        <v>0.56298167737824878</v>
      </c>
      <c r="S317" s="837">
        <f t="shared" si="107"/>
        <v>-2</v>
      </c>
      <c r="T317" s="178">
        <f t="shared" si="108"/>
        <v>4</v>
      </c>
      <c r="U317" s="253">
        <f t="shared" si="109"/>
        <v>-1.4370183226217512</v>
      </c>
      <c r="V317" s="385">
        <f t="shared" si="110"/>
        <v>23.887673798383151</v>
      </c>
      <c r="W317" s="404">
        <f t="shared" si="111"/>
        <v>17.328707012993817</v>
      </c>
      <c r="X317" s="157">
        <f t="shared" si="112"/>
        <v>46325</v>
      </c>
      <c r="Y317" s="387">
        <f t="shared" si="113"/>
        <v>14.873870101416626</v>
      </c>
      <c r="Z317" s="387">
        <f t="shared" si="114"/>
        <v>15.95385423441153</v>
      </c>
      <c r="AA317" s="388">
        <f t="shared" si="115"/>
        <v>18.279917672023721</v>
      </c>
      <c r="AB317" s="199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0.12724693181589586</v>
      </c>
      <c r="AD317" s="233">
        <f>(INDEX(Models!$BJ317:$BT317,,AH317)*(1-AF317)+INDEX(Models!$BJ317:$BT317,,AH317+1)*AF317-ERP_i)*AE317*Ramure*Pc/MaxiM</f>
        <v>0.15293953791078399</v>
      </c>
      <c r="AE317" s="307">
        <f t="shared" si="117"/>
        <v>1</v>
      </c>
      <c r="AF317" s="179">
        <f t="shared" si="118"/>
        <v>0.49796427030181922</v>
      </c>
      <c r="AG317" s="837">
        <f t="shared" si="124"/>
        <v>3</v>
      </c>
      <c r="AH317" s="178">
        <f t="shared" si="119"/>
        <v>9</v>
      </c>
      <c r="AI317" s="227">
        <f t="shared" si="120"/>
        <v>3.4979642703018192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46326</v>
      </c>
      <c r="B318" s="1139">
        <f>IF(t&gt;Tmaj,'2025'!Wh/'2025'!Env_an*'2026'!Env_an,0.001*'[12]mon-tableau (1)'!$B$238)</f>
        <v>16.889608101448367</v>
      </c>
      <c r="C318" s="866"/>
      <c r="D318" s="395">
        <f t="shared" si="102"/>
        <v>18.116375538561481</v>
      </c>
      <c r="E318" s="387">
        <f t="shared" si="125"/>
        <v>19.527605180398567</v>
      </c>
      <c r="F318" s="387">
        <f t="shared" si="103"/>
        <v>19.651764377043566</v>
      </c>
      <c r="G318" s="110">
        <f t="shared" si="126"/>
        <v>0.71322109908031728</v>
      </c>
      <c r="H318" s="414" t="b">
        <f>Wh_hp&gt;='2025'!Maxi_hp</f>
        <v>0</v>
      </c>
      <c r="I318" s="392">
        <f>IF(H318,Wh_hp,'2025'!Maxi_hp)</f>
        <v>27.871025086088434</v>
      </c>
      <c r="J318" s="85">
        <f>IF(H318,An,'2025'!An_max)</f>
        <v>2020</v>
      </c>
      <c r="K318" s="199">
        <f t="shared" si="104"/>
        <v>46326</v>
      </c>
      <c r="L318" s="147">
        <f>IF(t&lt;Tvie,1-EXP((T0-t)*PertePVj)+'2025'!Pspv,1-EXP((T0-t)*PertePVj)+Pspv)</f>
        <v>6.7715942104527915E-2</v>
      </c>
      <c r="M318" s="870"/>
      <c r="N318" s="870"/>
      <c r="O318" s="48">
        <f>IF(t&lt;Tnet,'2025'!Resal+('2025'!Salim-'2025'!Resal)*(1-EXP(('2025'!Tnet-t)/('2025'!Tau_j))),Resal+(Salim-Resal)*(1-EXP((Tnet-t)/(Tau_j))))*Salcycl</f>
        <v>7.2268444020654882E-2</v>
      </c>
      <c r="P318" s="171">
        <f>(INDEX(Models!$BJ318:$BT318,,T318)*(1-R318)+INDEX(Models!$BJ318:$BT318,,T318+1)*R318-ERP_i)*Q318*Ramure*Pc/MaxiM</f>
        <v>1.0622909399891753E-2</v>
      </c>
      <c r="Q318" s="307">
        <f t="shared" si="105"/>
        <v>1</v>
      </c>
      <c r="R318" s="179">
        <f t="shared" si="106"/>
        <v>0.56306369213045415</v>
      </c>
      <c r="S318" s="837">
        <f t="shared" si="107"/>
        <v>-2</v>
      </c>
      <c r="T318" s="178">
        <f t="shared" si="108"/>
        <v>4</v>
      </c>
      <c r="U318" s="253">
        <f t="shared" si="109"/>
        <v>-1.4369363078695458</v>
      </c>
      <c r="V318" s="385">
        <f t="shared" si="110"/>
        <v>23.578154149865256</v>
      </c>
      <c r="W318" s="404">
        <f t="shared" si="111"/>
        <v>16.889608101448367</v>
      </c>
      <c r="X318" s="157">
        <f t="shared" si="112"/>
        <v>46326</v>
      </c>
      <c r="Y318" s="387">
        <f t="shared" si="113"/>
        <v>14.495329413443516</v>
      </c>
      <c r="Z318" s="387">
        <f t="shared" si="114"/>
        <v>15.548189728959986</v>
      </c>
      <c r="AA318" s="388">
        <f t="shared" si="115"/>
        <v>17.813659201470518</v>
      </c>
      <c r="AB318" s="199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0.12717597473311476</v>
      </c>
      <c r="AD318" s="233">
        <f>(INDEX(Models!$BJ318:$BT318,,AH318)*(1-AF318)+INDEX(Models!$BJ318:$BT318,,AH318+1)*AF318-ERP_i)*AE318*Ramure*Pc/MaxiM</f>
        <v>0.15726603646940579</v>
      </c>
      <c r="AE318" s="307">
        <f t="shared" si="117"/>
        <v>1</v>
      </c>
      <c r="AF318" s="179">
        <f t="shared" si="118"/>
        <v>0.49804628505402437</v>
      </c>
      <c r="AG318" s="837">
        <f t="shared" si="124"/>
        <v>3</v>
      </c>
      <c r="AH318" s="178">
        <f t="shared" si="119"/>
        <v>9</v>
      </c>
      <c r="AI318" s="227">
        <f t="shared" si="120"/>
        <v>3.4980462850540244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46327</v>
      </c>
      <c r="B319" s="1139">
        <f>IF(t&gt;Tmaj,'2025'!Wh/'2025'!Env_an*'2026'!Env_an,0.001*'[13]mon-tableau (3)'!$B$202)</f>
        <v>15.950778195128803</v>
      </c>
      <c r="C319" s="866"/>
      <c r="D319" s="395">
        <f t="shared" si="102"/>
        <v>17.10975240495527</v>
      </c>
      <c r="E319" s="387">
        <f t="shared" si="125"/>
        <v>18.444729353582638</v>
      </c>
      <c r="F319" s="387">
        <f t="shared" si="103"/>
        <v>18.561279577499491</v>
      </c>
      <c r="G319" s="110">
        <f t="shared" si="126"/>
        <v>0.68188600820043777</v>
      </c>
      <c r="H319" s="414" t="b">
        <f>Wh_hp&gt;='2025'!Maxi_hp</f>
        <v>0</v>
      </c>
      <c r="I319" s="392">
        <f>IF(H319,Wh_hp,'2025'!Maxi_hp)</f>
        <v>26.847448093899022</v>
      </c>
      <c r="J319" s="85">
        <f>IF(H319,An,'2025'!An_max)</f>
        <v>2020</v>
      </c>
      <c r="K319" s="199">
        <f t="shared" si="104"/>
        <v>46327</v>
      </c>
      <c r="L319" s="147">
        <f>IF(t&lt;Tvie,1-EXP((T0-t)*PertePVj)+'2025'!Pspv,1-EXP((T0-t)*PertePVj)+Pspv)</f>
        <v>6.7737637716534516E-2</v>
      </c>
      <c r="M319" s="870"/>
      <c r="N319" s="870"/>
      <c r="O319" s="48">
        <f>IF(t&lt;Tnet,'2025'!Resal+('2025'!Salim-'2025'!Resal)*(1-EXP(('2025'!Tnet-t)/('2025'!Tau_j))),Resal+(Salim-Resal)*(1-EXP((Tnet-t)/(Tau_j))))*Salcycl</f>
        <v>7.2377150297847456E-2</v>
      </c>
      <c r="P319" s="171">
        <f>(INDEX(Models!$BJ319:$BT319,,T319)*(1-R319)+INDEX(Models!$BJ319:$BT319,,T319+1)*R319-ERP_i)*Q319*Ramure*Pc/MaxiM</f>
        <v>1.1404278862832103E-2</v>
      </c>
      <c r="Q319" s="307">
        <f t="shared" si="105"/>
        <v>1</v>
      </c>
      <c r="R319" s="179">
        <f t="shared" si="106"/>
        <v>0.56314242282745242</v>
      </c>
      <c r="S319" s="837">
        <f t="shared" si="107"/>
        <v>-2</v>
      </c>
      <c r="T319" s="178">
        <f t="shared" si="108"/>
        <v>4</v>
      </c>
      <c r="U319" s="253">
        <f t="shared" si="109"/>
        <v>-1.4368575771725476</v>
      </c>
      <c r="V319" s="385">
        <f t="shared" si="110"/>
        <v>23.27150381484724</v>
      </c>
      <c r="W319" s="404">
        <f t="shared" si="111"/>
        <v>15.950778195128803</v>
      </c>
      <c r="X319" s="157">
        <f t="shared" si="112"/>
        <v>46327</v>
      </c>
      <c r="Y319" s="387">
        <f t="shared" si="113"/>
        <v>13.760507709306237</v>
      </c>
      <c r="Z319" s="387">
        <f t="shared" si="114"/>
        <v>14.760338147301704</v>
      </c>
      <c r="AA319" s="388">
        <f t="shared" si="115"/>
        <v>16.909621635537519</v>
      </c>
      <c r="AB319" s="199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0.12710417385796782</v>
      </c>
      <c r="AD319" s="233">
        <f>(INDEX(Models!$BJ319:$BT319,,AH319)*(1-AF319)+INDEX(Models!$BJ319:$BT319,,AH319+1)*AF319-ERP_i)*AE319*Ramure*Pc/MaxiM</f>
        <v>0.16161245446926958</v>
      </c>
      <c r="AE319" s="307">
        <f t="shared" si="117"/>
        <v>1</v>
      </c>
      <c r="AF319" s="179">
        <f t="shared" si="118"/>
        <v>0.49812501575102264</v>
      </c>
      <c r="AG319" s="837">
        <f t="shared" si="124"/>
        <v>3</v>
      </c>
      <c r="AH319" s="178">
        <f t="shared" si="119"/>
        <v>9</v>
      </c>
      <c r="AI319" s="227">
        <f t="shared" si="120"/>
        <v>3.4981250157510226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46328</v>
      </c>
      <c r="B320" s="1139">
        <f>IF(t&gt;Tmaj,'2025'!Wh/'2025'!Env_an*'2026'!Env_an,0.001*'[13]mon-tableau (3)'!$B$203)</f>
        <v>21.611576673785141</v>
      </c>
      <c r="C320" s="866"/>
      <c r="D320" s="395">
        <f t="shared" si="102"/>
        <v>23.182400676902656</v>
      </c>
      <c r="E320" s="387">
        <f t="shared" si="125"/>
        <v>24.994093066974706</v>
      </c>
      <c r="F320" s="387">
        <f t="shared" si="103"/>
        <v>25.276379764141247</v>
      </c>
      <c r="G320" s="110">
        <f t="shared" si="126"/>
        <v>0.93995917762441616</v>
      </c>
      <c r="H320" s="414" t="b">
        <f>Wh_hp&gt;='2025'!Maxi_hp</f>
        <v>0</v>
      </c>
      <c r="I320" s="392">
        <f>IF(H320,Wh_hp,'2025'!Maxi_hp)</f>
        <v>26.326466731477012</v>
      </c>
      <c r="J320" s="85">
        <f>IF(H320,An,'2025'!An_max)</f>
        <v>2021</v>
      </c>
      <c r="K320" s="199">
        <f t="shared" si="104"/>
        <v>46328</v>
      </c>
      <c r="L320" s="147">
        <f>IF(t&lt;Tvie,1-EXP((T0-t)*PertePVj)+'2025'!Pspv,1-EXP((T0-t)*PertePVj)+Pspv)</f>
        <v>6.7759332823652541E-2</v>
      </c>
      <c r="M320" s="870"/>
      <c r="N320" s="870"/>
      <c r="O320" s="48">
        <f>IF(t&lt;Tnet,'2025'!Resal+('2025'!Salim-'2025'!Resal)*(1-EXP(('2025'!Tnet-t)/('2025'!Tau_j))),Resal+(Salim-Resal)*(1-EXP((Tnet-t)/(Tau_j))))*Salcycl</f>
        <v>7.2484822122467082E-2</v>
      </c>
      <c r="P320" s="171">
        <f>(INDEX(Models!$BJ320:$BT320,,T320)*(1-R320)+INDEX(Models!$BJ320:$BT320,,T320+1)*R320-ERP_i)*Q320*Ramure*Pc/MaxiM</f>
        <v>1.2197118859189914E-2</v>
      </c>
      <c r="Q320" s="307">
        <f t="shared" si="105"/>
        <v>1</v>
      </c>
      <c r="R320" s="179">
        <f t="shared" si="106"/>
        <v>0.5632180002725482</v>
      </c>
      <c r="S320" s="837">
        <f t="shared" si="107"/>
        <v>-2</v>
      </c>
      <c r="T320" s="178">
        <f t="shared" si="108"/>
        <v>4</v>
      </c>
      <c r="U320" s="253">
        <f t="shared" si="109"/>
        <v>-1.4367819997274518</v>
      </c>
      <c r="V320" s="385">
        <f t="shared" si="110"/>
        <v>22.968108819073105</v>
      </c>
      <c r="W320" s="404">
        <f t="shared" si="111"/>
        <v>21.611576673785141</v>
      </c>
      <c r="X320" s="157">
        <f t="shared" si="112"/>
        <v>46328</v>
      </c>
      <c r="Y320" s="387">
        <f t="shared" si="113"/>
        <v>17.444237858995784</v>
      </c>
      <c r="Z320" s="387">
        <f t="shared" si="114"/>
        <v>18.712161433412284</v>
      </c>
      <c r="AA320" s="388">
        <f t="shared" si="115"/>
        <v>21.43510044363369</v>
      </c>
      <c r="AB320" s="199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0.1270317821641061</v>
      </c>
      <c r="AD320" s="233">
        <f>(INDEX(Models!$BJ320:$BT320,,AH320)*(1-AF320)+INDEX(Models!$BJ320:$BT320,,AH320+1)*AF320-ERP_i)*AE320*Ramure*Pc/MaxiM</f>
        <v>0.16597502083471416</v>
      </c>
      <c r="AE320" s="307">
        <f t="shared" si="117"/>
        <v>1</v>
      </c>
      <c r="AF320" s="179">
        <f t="shared" si="118"/>
        <v>0.49820059319611865</v>
      </c>
      <c r="AG320" s="837">
        <f t="shared" si="124"/>
        <v>3</v>
      </c>
      <c r="AH320" s="178">
        <f t="shared" si="119"/>
        <v>9</v>
      </c>
      <c r="AI320" s="227">
        <f t="shared" si="120"/>
        <v>3.4982005931961186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46329</v>
      </c>
      <c r="B321" s="1139">
        <f>IF(t&gt;Tmaj,'2025'!Wh/'2025'!Env_an*'2026'!Env_an,0.001*'[13]mon-tableau (3)'!$B$204)</f>
        <v>5.6913793818974723</v>
      </c>
      <c r="C321" s="866"/>
      <c r="D321" s="395">
        <f t="shared" si="102"/>
        <v>6.1051958277378207</v>
      </c>
      <c r="E321" s="387">
        <f t="shared" si="125"/>
        <v>6.583071577242066</v>
      </c>
      <c r="F321" s="387">
        <f t="shared" si="103"/>
        <v>6.583071577242066</v>
      </c>
      <c r="G321" s="110">
        <f t="shared" si="126"/>
        <v>0.24780731205374101</v>
      </c>
      <c r="H321" s="414" t="b">
        <f>Wh_hp&gt;='2025'!Maxi_hp</f>
        <v>0</v>
      </c>
      <c r="I321" s="392">
        <f>IF(H321,Wh_hp,'2025'!Maxi_hp)</f>
        <v>25.417463869453393</v>
      </c>
      <c r="J321" s="85">
        <f>IF(H321,An,'2025'!An_max)</f>
        <v>2020</v>
      </c>
      <c r="K321" s="199">
        <f t="shared" si="104"/>
        <v>46329</v>
      </c>
      <c r="L321" s="147">
        <f>IF(t&lt;Tvie,1-EXP((T0-t)*PertePVj)+'2025'!Pspv,1-EXP((T0-t)*PertePVj)+Pspv)</f>
        <v>6.7781027425893647E-2</v>
      </c>
      <c r="M321" s="870"/>
      <c r="N321" s="870"/>
      <c r="O321" s="48">
        <f>IF(t&lt;Tnet,'2025'!Resal+('2025'!Salim-'2025'!Resal)*(1-EXP(('2025'!Tnet-t)/('2025'!Tau_j))),Resal+(Salim-Resal)*(1-EXP((Tnet-t)/(Tau_j))))*Salcycl</f>
        <v>7.2591607716416109E-2</v>
      </c>
      <c r="P321" s="171">
        <f>(INDEX(Models!$BJ321:$BT321,,T321)*(1-R321)+INDEX(Models!$BJ321:$BT321,,T321+1)*R321-ERP_i)*Q321*Ramure*Pc/MaxiM</f>
        <v>1.3001282442011883E-2</v>
      </c>
      <c r="Q321" s="307">
        <f t="shared" si="105"/>
        <v>1</v>
      </c>
      <c r="R321" s="179">
        <f t="shared" si="106"/>
        <v>0.56329055011409879</v>
      </c>
      <c r="S321" s="837">
        <f t="shared" si="107"/>
        <v>-2</v>
      </c>
      <c r="T321" s="178">
        <f t="shared" si="108"/>
        <v>4</v>
      </c>
      <c r="U321" s="253">
        <f t="shared" si="109"/>
        <v>-1.4367094498859012</v>
      </c>
      <c r="V321" s="385">
        <f t="shared" si="110"/>
        <v>22.668355120411295</v>
      </c>
      <c r="W321" s="404">
        <f t="shared" si="111"/>
        <v>5.6913793818974723</v>
      </c>
      <c r="X321" s="157">
        <f t="shared" si="112"/>
        <v>46329</v>
      </c>
      <c r="Y321" s="387">
        <f t="shared" si="113"/>
        <v>5.357733730488798</v>
      </c>
      <c r="Z321" s="387">
        <f t="shared" si="114"/>
        <v>5.7472910207938162</v>
      </c>
      <c r="AA321" s="388">
        <f t="shared" si="115"/>
        <v>6.583071577242066</v>
      </c>
      <c r="AB321" s="199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0.12695905651969147</v>
      </c>
      <c r="AD321" s="233">
        <f>(INDEX(Models!$BJ321:$BT321,,AH321)*(1-AF321)+INDEX(Models!$BJ321:$BT321,,AH321+1)*AF321-ERP_i)*AE321*Ramure*Pc/MaxiM</f>
        <v>0.17034945941134924</v>
      </c>
      <c r="AE321" s="307">
        <f t="shared" si="117"/>
        <v>1</v>
      </c>
      <c r="AF321" s="179">
        <f t="shared" si="118"/>
        <v>0.49827314303766901</v>
      </c>
      <c r="AG321" s="837">
        <f t="shared" si="124"/>
        <v>3</v>
      </c>
      <c r="AH321" s="178">
        <f t="shared" si="119"/>
        <v>9</v>
      </c>
      <c r="AI321" s="227">
        <f t="shared" si="120"/>
        <v>3.498273143037669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46330</v>
      </c>
      <c r="B322" s="1139">
        <f>IF(t&gt;Tmaj,'2025'!Wh/'2025'!Env_an*'2026'!Env_an,0.001*'[13]mon-tableau (3)'!$B$205)</f>
        <v>11.774017752508533</v>
      </c>
      <c r="C322" s="866"/>
      <c r="D322" s="395">
        <f t="shared" si="102"/>
        <v>12.630392755220255</v>
      </c>
      <c r="E322" s="387">
        <f t="shared" si="125"/>
        <v>13.620576789495601</v>
      </c>
      <c r="F322" s="387">
        <f t="shared" si="103"/>
        <v>13.681680245114352</v>
      </c>
      <c r="G322" s="110">
        <f t="shared" si="126"/>
        <v>0.5213259224880572</v>
      </c>
      <c r="H322" s="414" t="b">
        <f>Wh_hp&gt;='2025'!Maxi_hp</f>
        <v>0</v>
      </c>
      <c r="I322" s="392">
        <f>IF(H322,Wh_hp,'2025'!Maxi_hp)</f>
        <v>18.882274393596006</v>
      </c>
      <c r="J322" s="85">
        <f>IF(H322,An,'2025'!An_max)</f>
        <v>2018</v>
      </c>
      <c r="K322" s="199">
        <f t="shared" si="104"/>
        <v>46330</v>
      </c>
      <c r="L322" s="147">
        <f>IF(t&lt;Tvie,1-EXP((T0-t)*PertePVj)+'2025'!Pspv,1-EXP((T0-t)*PertePVj)+Pspv)</f>
        <v>6.7802721523269716E-2</v>
      </c>
      <c r="M322" s="870"/>
      <c r="N322" s="870"/>
      <c r="O322" s="48">
        <f>IF(t&lt;Tnet,'2025'!Resal+('2025'!Salim-'2025'!Resal)*(1-EXP(('2025'!Tnet-t)/('2025'!Tau_j))),Resal+(Salim-Resal)*(1-EXP((Tnet-t)/(Tau_j))))*Salcycl</f>
        <v>7.2697658078547139E-2</v>
      </c>
      <c r="P322" s="171">
        <f>(INDEX(Models!$BJ322:$BT322,,T322)*(1-R322)+INDEX(Models!$BJ322:$BT322,,T322+1)*R322-ERP_i)*Q322*Ramure*Pc/MaxiM</f>
        <v>1.3816549185900003E-2</v>
      </c>
      <c r="Q322" s="307">
        <f t="shared" si="105"/>
        <v>1</v>
      </c>
      <c r="R322" s="179">
        <f t="shared" si="106"/>
        <v>0.56336019304433993</v>
      </c>
      <c r="S322" s="837">
        <f t="shared" si="107"/>
        <v>-2</v>
      </c>
      <c r="T322" s="178">
        <f t="shared" si="108"/>
        <v>4</v>
      </c>
      <c r="U322" s="253">
        <f t="shared" si="109"/>
        <v>-1.4366398069556601</v>
      </c>
      <c r="V322" s="385">
        <f t="shared" si="110"/>
        <v>22.37262862164053</v>
      </c>
      <c r="W322" s="404">
        <f t="shared" si="111"/>
        <v>11.774017752508533</v>
      </c>
      <c r="X322" s="157">
        <f t="shared" si="112"/>
        <v>46330</v>
      </c>
      <c r="Y322" s="387">
        <f t="shared" si="113"/>
        <v>10.506766638959297</v>
      </c>
      <c r="Z322" s="387">
        <f t="shared" si="114"/>
        <v>11.270969012190234</v>
      </c>
      <c r="AA322" s="388">
        <f t="shared" si="115"/>
        <v>12.908935516059589</v>
      </c>
      <c r="AB322" s="199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0.12688625656481234</v>
      </c>
      <c r="AD322" s="233">
        <f>(INDEX(Models!$BJ322:$BT322,,AH322)*(1-AF322)+INDEX(Models!$BJ322:$BT322,,AH322+1)*AF322-ERP_i)*AE322*Ramure*Pc/MaxiM</f>
        <v>0.17473096159644341</v>
      </c>
      <c r="AE322" s="307">
        <f t="shared" si="117"/>
        <v>1</v>
      </c>
      <c r="AF322" s="179">
        <f t="shared" si="118"/>
        <v>0.49834278596791037</v>
      </c>
      <c r="AG322" s="837">
        <f t="shared" si="124"/>
        <v>3</v>
      </c>
      <c r="AH322" s="178">
        <f t="shared" si="119"/>
        <v>9</v>
      </c>
      <c r="AI322" s="227">
        <f t="shared" si="120"/>
        <v>3.4983427859679104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46331</v>
      </c>
      <c r="B323" s="1139">
        <f>IF(t&gt;Tmaj,'2025'!Wh/'2025'!Env_an*'2026'!Env_an,0.001*'[13]mon-tableau (3)'!$B$206)</f>
        <v>20.624046015779232</v>
      </c>
      <c r="C323" s="866"/>
      <c r="D323" s="395">
        <f t="shared" si="102"/>
        <v>22.124636549391173</v>
      </c>
      <c r="E323" s="387">
        <f t="shared" si="125"/>
        <v>23.861854130046378</v>
      </c>
      <c r="F323" s="387">
        <f t="shared" si="103"/>
        <v>24.182566265449751</v>
      </c>
      <c r="G323" s="110">
        <f t="shared" si="126"/>
        <v>0.9326977005345366</v>
      </c>
      <c r="H323" s="414" t="b">
        <f>Wh_hp&gt;='2025'!Maxi_hp</f>
        <v>0</v>
      </c>
      <c r="I323" s="392">
        <f>IF(H323,Wh_hp,'2025'!Maxi_hp)</f>
        <v>24.206970594247611</v>
      </c>
      <c r="J323" s="85">
        <f>IF(H323,An,'2025'!An_max)</f>
        <v>2025</v>
      </c>
      <c r="K323" s="199">
        <f t="shared" si="104"/>
        <v>46331</v>
      </c>
      <c r="L323" s="147">
        <f>IF(t&lt;Tvie,1-EXP((T0-t)*PertePVj)+'2025'!Pspv,1-EXP((T0-t)*PertePVj)+Pspv)</f>
        <v>6.7824415115792513E-2</v>
      </c>
      <c r="M323" s="870"/>
      <c r="N323" s="870"/>
      <c r="O323" s="48">
        <f>IF(t&lt;Tnet,'2025'!Resal+('2025'!Salim-'2025'!Resal)*(1-EXP(('2025'!Tnet-t)/('2025'!Tau_j))),Resal+(Salim-Resal)*(1-EXP((Tnet-t)/(Tau_j))))*Salcycl</f>
        <v>7.2803126328214993E-2</v>
      </c>
      <c r="P323" s="171">
        <f>(INDEX(Models!$BJ323:$BT323,,T323)*(1-R323)+INDEX(Models!$BJ323:$BT323,,T323+1)*R323-ERP_i)*Q323*Ramure*Pc/MaxiM</f>
        <v>1.4642618948788448E-2</v>
      </c>
      <c r="Q323" s="307">
        <f t="shared" si="105"/>
        <v>1</v>
      </c>
      <c r="R323" s="179">
        <f t="shared" si="106"/>
        <v>0.56342704499088514</v>
      </c>
      <c r="S323" s="837">
        <f t="shared" si="107"/>
        <v>-2</v>
      </c>
      <c r="T323" s="178">
        <f t="shared" si="108"/>
        <v>4</v>
      </c>
      <c r="U323" s="253">
        <f t="shared" si="109"/>
        <v>-1.4365729550091149</v>
      </c>
      <c r="V323" s="385">
        <f t="shared" si="110"/>
        <v>22.081315197091666</v>
      </c>
      <c r="W323" s="404">
        <f t="shared" si="111"/>
        <v>20.624046015779232</v>
      </c>
      <c r="X323" s="157">
        <f t="shared" si="112"/>
        <v>46331</v>
      </c>
      <c r="Y323" s="387">
        <f t="shared" si="113"/>
        <v>16.49047677013861</v>
      </c>
      <c r="Z323" s="387">
        <f t="shared" si="114"/>
        <v>17.690311822731353</v>
      </c>
      <c r="AA323" s="388">
        <f t="shared" si="115"/>
        <v>20.25949179373406</v>
      </c>
      <c r="AB323" s="199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0.12681364355829075</v>
      </c>
      <c r="AD323" s="233">
        <f>(INDEX(Models!$BJ323:$BT323,,AH323)*(1-AF323)+INDEX(Models!$BJ323:$BT323,,AH323+1)*AF323-ERP_i)*AE323*Ramure*Pc/MaxiM</f>
        <v>0.17911415957117671</v>
      </c>
      <c r="AE323" s="307">
        <f t="shared" si="117"/>
        <v>1</v>
      </c>
      <c r="AF323" s="179">
        <f t="shared" si="118"/>
        <v>0.49840963791445558</v>
      </c>
      <c r="AG323" s="837">
        <f t="shared" si="124"/>
        <v>3</v>
      </c>
      <c r="AH323" s="178">
        <f t="shared" si="119"/>
        <v>9</v>
      </c>
      <c r="AI323" s="227">
        <f t="shared" si="120"/>
        <v>3.4984096379144556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46332</v>
      </c>
      <c r="B324" s="1139">
        <f>IF(t&gt;Tmaj,'2025'!Wh/'2025'!Env_an*'2026'!Env_an,0.001*'[13]mon-tableau (3)'!$B$207)</f>
        <v>20.679186471013427</v>
      </c>
      <c r="C324" s="866"/>
      <c r="D324" s="395">
        <f t="shared" si="102"/>
        <v>22.184305245090741</v>
      </c>
      <c r="E324" s="387">
        <f t="shared" si="125"/>
        <v>23.928918857979003</v>
      </c>
      <c r="F324" s="387">
        <f t="shared" si="103"/>
        <v>24.276708938678759</v>
      </c>
      <c r="G324" s="110">
        <f t="shared" si="126"/>
        <v>0.94770292163133274</v>
      </c>
      <c r="H324" s="414" t="b">
        <f>Wh_hp&gt;='2025'!Maxi_hp</f>
        <v>0</v>
      </c>
      <c r="I324" s="392">
        <f>IF(H324,Wh_hp,'2025'!Maxi_hp)</f>
        <v>24.296525780382741</v>
      </c>
      <c r="J324" s="85">
        <f>IF(H324,An,'2025'!An_max)</f>
        <v>2025</v>
      </c>
      <c r="K324" s="199">
        <f t="shared" si="104"/>
        <v>46332</v>
      </c>
      <c r="L324" s="147">
        <f>IF(t&lt;Tvie,1-EXP((T0-t)*PertePVj)+'2025'!Pspv,1-EXP((T0-t)*PertePVj)+Pspv)</f>
        <v>6.7846108203473587E-2</v>
      </c>
      <c r="M324" s="870"/>
      <c r="N324" s="870"/>
      <c r="O324" s="48">
        <f>IF(t&lt;Tnet,'2025'!Resal+('2025'!Salim-'2025'!Resal)*(1-EXP(('2025'!Tnet-t)/('2025'!Tau_j))),Resal+(Salim-Resal)*(1-EXP((Tnet-t)/(Tau_j))))*Salcycl</f>
        <v>7.2908167027635112E-2</v>
      </c>
      <c r="P324" s="171">
        <f>(INDEX(Models!$BJ324:$BT324,,T324)*(1-R324)+INDEX(Models!$BJ324:$BT324,,T324+1)*R324-ERP_i)*Q324*Ramure*Pc/MaxiM</f>
        <v>1.5456827620317807E-2</v>
      </c>
      <c r="Q324" s="307">
        <f t="shared" si="105"/>
        <v>1</v>
      </c>
      <c r="R324" s="179">
        <f t="shared" si="106"/>
        <v>0.56349121730114193</v>
      </c>
      <c r="S324" s="837">
        <f t="shared" si="107"/>
        <v>-2</v>
      </c>
      <c r="T324" s="178">
        <f t="shared" si="108"/>
        <v>4</v>
      </c>
      <c r="U324" s="253">
        <f t="shared" si="109"/>
        <v>-1.4365087826988581</v>
      </c>
      <c r="V324" s="385">
        <f t="shared" si="110"/>
        <v>21.79529387262361</v>
      </c>
      <c r="W324" s="404">
        <f t="shared" si="111"/>
        <v>20.679186471013427</v>
      </c>
      <c r="X324" s="157">
        <f t="shared" si="112"/>
        <v>46332</v>
      </c>
      <c r="Y324" s="387">
        <f t="shared" si="113"/>
        <v>16.400738066004383</v>
      </c>
      <c r="Z324" s="387">
        <f t="shared" si="114"/>
        <v>17.594453244619817</v>
      </c>
      <c r="AA324" s="388">
        <f t="shared" si="115"/>
        <v>20.148046455401321</v>
      </c>
      <c r="AB324" s="199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0.12674147920166881</v>
      </c>
      <c r="AD324" s="233">
        <f>(INDEX(Models!$BJ324:$BT324,,AH324)*(1-AF324)+INDEX(Models!$BJ324:$BT324,,AH324+1)*AF324-ERP_i)*AE324*Ramure*Pc/MaxiM</f>
        <v>0.18349006440348878</v>
      </c>
      <c r="AE324" s="307">
        <f t="shared" si="117"/>
        <v>1</v>
      </c>
      <c r="AF324" s="179">
        <f t="shared" si="118"/>
        <v>0.49847381022471238</v>
      </c>
      <c r="AG324" s="837">
        <f t="shared" si="124"/>
        <v>3</v>
      </c>
      <c r="AH324" s="178">
        <f t="shared" si="119"/>
        <v>9</v>
      </c>
      <c r="AI324" s="227">
        <f t="shared" si="120"/>
        <v>3.4984738102247124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46333</v>
      </c>
      <c r="B325" s="1139">
        <f>IF(t&gt;Tmaj,'2025'!Wh/'2025'!Env_an*'2026'!Env_an,0.001*'[13]mon-tableau (3)'!$B$208)</f>
        <v>20.543536267680668</v>
      </c>
      <c r="C325" s="866"/>
      <c r="D325" s="395">
        <f t="shared" si="102"/>
        <v>22.039294732024828</v>
      </c>
      <c r="E325" s="387">
        <f t="shared" si="125"/>
        <v>23.775191235939875</v>
      </c>
      <c r="F325" s="387">
        <f t="shared" si="103"/>
        <v>24.142114536583907</v>
      </c>
      <c r="G325" s="110">
        <f t="shared" si="126"/>
        <v>0.95382215395536207</v>
      </c>
      <c r="H325" s="414" t="b">
        <f>Wh_hp&gt;='2025'!Maxi_hp</f>
        <v>0</v>
      </c>
      <c r="I325" s="392">
        <f>IF(H325,Wh_hp,'2025'!Maxi_hp)</f>
        <v>24.160153571130351</v>
      </c>
      <c r="J325" s="85">
        <f>IF(H325,An,'2025'!An_max)</f>
        <v>2025</v>
      </c>
      <c r="K325" s="199">
        <f t="shared" si="104"/>
        <v>46333</v>
      </c>
      <c r="L325" s="147">
        <f>IF(t&lt;Tvie,1-EXP((T0-t)*PertePVj)+'2025'!Pspv,1-EXP((T0-t)*PertePVj)+Pspv)</f>
        <v>6.7867800786324928E-2</v>
      </c>
      <c r="M325" s="870"/>
      <c r="N325" s="870"/>
      <c r="O325" s="48">
        <f>IF(t&lt;Tnet,'2025'!Resal+('2025'!Salim-'2025'!Resal)*(1-EXP(('2025'!Tnet-t)/('2025'!Tau_j))),Resal+(Salim-Resal)*(1-EXP((Tnet-t)/(Tau_j))))*Salcycl</f>
        <v>7.3012935487600669E-2</v>
      </c>
      <c r="P325" s="171">
        <f>(INDEX(Models!$BJ325:$BT325,,T325)*(1-R325)+INDEX(Models!$BJ325:$BT325,,T325+1)*R325-ERP_i)*Q325*Ramure*Pc/MaxiM</f>
        <v>1.6246651337399869E-2</v>
      </c>
      <c r="Q325" s="307">
        <f t="shared" si="105"/>
        <v>1</v>
      </c>
      <c r="R325" s="179">
        <f t="shared" si="106"/>
        <v>0.56355281691988157</v>
      </c>
      <c r="S325" s="837">
        <f t="shared" si="107"/>
        <v>-2</v>
      </c>
      <c r="T325" s="178">
        <f t="shared" si="108"/>
        <v>4</v>
      </c>
      <c r="U325" s="253">
        <f t="shared" si="109"/>
        <v>-1.4364471830801184</v>
      </c>
      <c r="V325" s="385">
        <f t="shared" si="110"/>
        <v>21.515196087939206</v>
      </c>
      <c r="W325" s="404">
        <f t="shared" si="111"/>
        <v>20.543536267680668</v>
      </c>
      <c r="X325" s="157">
        <f t="shared" si="112"/>
        <v>46333</v>
      </c>
      <c r="Y325" s="387">
        <f t="shared" si="113"/>
        <v>16.19885808612478</v>
      </c>
      <c r="Z325" s="387">
        <f t="shared" si="114"/>
        <v>17.378284002837535</v>
      </c>
      <c r="AA325" s="388">
        <f t="shared" si="115"/>
        <v>19.898874983492583</v>
      </c>
      <c r="AB325" s="199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0.12667002444841943</v>
      </c>
      <c r="AD325" s="233">
        <f>(INDEX(Models!$BJ325:$BT325,,AH325)*(1-AF325)+INDEX(Models!$BJ325:$BT325,,AH325+1)*AF325-ERP_i)*AE325*Ramure*Pc/MaxiM</f>
        <v>0.18788240877354273</v>
      </c>
      <c r="AE325" s="307">
        <f t="shared" si="117"/>
        <v>1</v>
      </c>
      <c r="AF325" s="179">
        <f t="shared" si="118"/>
        <v>0.49853540984345202</v>
      </c>
      <c r="AG325" s="837">
        <f t="shared" si="124"/>
        <v>3</v>
      </c>
      <c r="AH325" s="178">
        <f t="shared" si="119"/>
        <v>9</v>
      </c>
      <c r="AI325" s="227">
        <f t="shared" si="120"/>
        <v>3.498535409843452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46334</v>
      </c>
      <c r="B326" s="1139">
        <f>IF(t&gt;Tmaj,'2025'!Wh/'2025'!Env_an*'2026'!Env_an,0.001*'[13]mon-tableau (3)'!$B$209)</f>
        <v>13.588371017149987</v>
      </c>
      <c r="C326" s="866"/>
      <c r="D326" s="395">
        <f t="shared" si="102"/>
        <v>14.578068708727248</v>
      </c>
      <c r="E326" s="387">
        <f t="shared" si="125"/>
        <v>15.728067018239269</v>
      </c>
      <c r="F326" s="387">
        <f t="shared" si="103"/>
        <v>15.85898465831948</v>
      </c>
      <c r="G326" s="110">
        <f t="shared" si="126"/>
        <v>0.63406401234225573</v>
      </c>
      <c r="H326" s="414" t="b">
        <f>Wh_hp&gt;='2025'!Maxi_hp</f>
        <v>0</v>
      </c>
      <c r="I326" s="392">
        <f>IF(H326,Wh_hp,'2025'!Maxi_hp)</f>
        <v>20.498806693630254</v>
      </c>
      <c r="J326" s="85">
        <f>IF(H326,An,'2025'!An_max)</f>
        <v>2021</v>
      </c>
      <c r="K326" s="199">
        <f t="shared" si="104"/>
        <v>46334</v>
      </c>
      <c r="L326" s="147">
        <f>IF(t&lt;Tvie,1-EXP((T0-t)*PertePVj)+'2025'!Pspv,1-EXP((T0-t)*PertePVj)+Pspv)</f>
        <v>6.7889492864358081E-2</v>
      </c>
      <c r="M326" s="870"/>
      <c r="N326" s="870"/>
      <c r="O326" s="48">
        <f>IF(t&lt;Tnet,'2025'!Resal+('2025'!Salim-'2025'!Resal)*(1-EXP(('2025'!Tnet-t)/('2025'!Tau_j))),Resal+(Salim-Resal)*(1-EXP((Tnet-t)/(Tau_j))))*Salcycl</f>
        <v>7.3117587061296868E-2</v>
      </c>
      <c r="P326" s="171">
        <f>(INDEX(Models!$BJ326:$BT326,,T326)*(1-R326)+INDEX(Models!$BJ326:$BT326,,T326+1)*R326-ERP_i)*Q326*Ramure*Pc/MaxiM</f>
        <v>1.7010250638420904E-2</v>
      </c>
      <c r="Q326" s="307">
        <f t="shared" si="105"/>
        <v>1</v>
      </c>
      <c r="R326" s="179">
        <f t="shared" si="106"/>
        <v>0.56361194656019409</v>
      </c>
      <c r="S326" s="837">
        <f t="shared" si="107"/>
        <v>-2</v>
      </c>
      <c r="T326" s="178">
        <f t="shared" si="108"/>
        <v>4</v>
      </c>
      <c r="U326" s="253">
        <f t="shared" si="109"/>
        <v>-1.4363880534398059</v>
      </c>
      <c r="V326" s="385">
        <f t="shared" si="110"/>
        <v>21.241408385681158</v>
      </c>
      <c r="W326" s="404">
        <f t="shared" si="111"/>
        <v>13.588371017149987</v>
      </c>
      <c r="X326" s="157">
        <f t="shared" si="112"/>
        <v>46334</v>
      </c>
      <c r="Y326" s="387">
        <f t="shared" si="113"/>
        <v>11.706093867860664</v>
      </c>
      <c r="Z326" s="387">
        <f t="shared" si="114"/>
        <v>12.558697470145757</v>
      </c>
      <c r="AA326" s="388">
        <f t="shared" si="115"/>
        <v>14.379082701417962</v>
      </c>
      <c r="AB326" s="199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0.12659953830661899</v>
      </c>
      <c r="AD326" s="233">
        <f>(INDEX(Models!$BJ326:$BT326,,AH326)*(1-AF326)+INDEX(Models!$BJ326:$BT326,,AH326+1)*AF326-ERP_i)*AE326*Ramure*Pc/MaxiM</f>
        <v>0.1922850365448168</v>
      </c>
      <c r="AE326" s="307">
        <f t="shared" si="117"/>
        <v>1</v>
      </c>
      <c r="AF326" s="179">
        <f t="shared" si="118"/>
        <v>0.49859453948376453</v>
      </c>
      <c r="AG326" s="837">
        <f t="shared" si="124"/>
        <v>3</v>
      </c>
      <c r="AH326" s="178">
        <f t="shared" si="119"/>
        <v>9</v>
      </c>
      <c r="AI326" s="227">
        <f t="shared" si="120"/>
        <v>3.4985945394837645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46335</v>
      </c>
      <c r="B327" s="1139">
        <f>IF(t&gt;Tmaj,'2025'!Wh/'2025'!Env_an*'2026'!Env_an,0.001*'[13]mon-tableau (3)'!$B$210)</f>
        <v>8.0393142835814437</v>
      </c>
      <c r="C327" s="866"/>
      <c r="D327" s="395">
        <f t="shared" si="102"/>
        <v>8.6250517647619063</v>
      </c>
      <c r="E327" s="387">
        <f t="shared" si="125"/>
        <v>9.3064944758792087</v>
      </c>
      <c r="F327" s="387">
        <f t="shared" si="103"/>
        <v>9.3261873242192745</v>
      </c>
      <c r="G327" s="110">
        <f t="shared" si="126"/>
        <v>0.37728812125053907</v>
      </c>
      <c r="H327" s="414" t="b">
        <f>Wh_hp&gt;='2025'!Maxi_hp</f>
        <v>0</v>
      </c>
      <c r="I327" s="392">
        <f>IF(H327,Wh_hp,'2025'!Maxi_hp)</f>
        <v>19.612077061652013</v>
      </c>
      <c r="J327" s="85">
        <f>IF(H327,An,'2025'!An_max)</f>
        <v>2020</v>
      </c>
      <c r="K327" s="199">
        <f t="shared" si="104"/>
        <v>46335</v>
      </c>
      <c r="L327" s="147">
        <f>IF(t&lt;Tvie,1-EXP((T0-t)*PertePVj)+'2025'!Pspv,1-EXP((T0-t)*PertePVj)+Pspv)</f>
        <v>6.7911184437584926E-2</v>
      </c>
      <c r="M327" s="870"/>
      <c r="N327" s="870"/>
      <c r="O327" s="48">
        <f>IF(t&lt;Tnet,'2025'!Resal+('2025'!Salim-'2025'!Resal)*(1-EXP(('2025'!Tnet-t)/('2025'!Tau_j))),Resal+(Salim-Resal)*(1-EXP((Tnet-t)/(Tau_j))))*Salcycl</f>
        <v>7.32222764310968E-2</v>
      </c>
      <c r="P327" s="171">
        <f>(INDEX(Models!$BJ327:$BT327,,T327)*(1-R327)+INDEX(Models!$BJ327:$BT327,,T327+1)*R327-ERP_i)*Q327*Ramure*Pc/MaxiM</f>
        <v>1.7745679086246167E-2</v>
      </c>
      <c r="Q327" s="307">
        <f t="shared" si="105"/>
        <v>1</v>
      </c>
      <c r="R327" s="179">
        <f t="shared" si="106"/>
        <v>0.56366870486805132</v>
      </c>
      <c r="S327" s="837">
        <f t="shared" si="107"/>
        <v>-2</v>
      </c>
      <c r="T327" s="178">
        <f t="shared" si="108"/>
        <v>4</v>
      </c>
      <c r="U327" s="253">
        <f t="shared" si="109"/>
        <v>-1.4363312951319487</v>
      </c>
      <c r="V327" s="385">
        <f t="shared" si="110"/>
        <v>20.974317292560833</v>
      </c>
      <c r="W327" s="404">
        <f t="shared" si="111"/>
        <v>8.0393142835814437</v>
      </c>
      <c r="X327" s="157">
        <f t="shared" si="112"/>
        <v>46335</v>
      </c>
      <c r="Y327" s="387">
        <f t="shared" si="113"/>
        <v>7.415220543318811</v>
      </c>
      <c r="Z327" s="387">
        <f t="shared" si="114"/>
        <v>7.9554870946976495</v>
      </c>
      <c r="AA327" s="388">
        <f t="shared" si="115"/>
        <v>9.1079139688166695</v>
      </c>
      <c r="AB327" s="199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0.12653027664343952</v>
      </c>
      <c r="AD327" s="233">
        <f>(INDEX(Models!$BJ327:$BT327,,AH327)*(1-AF327)+INDEX(Models!$BJ327:$BT327,,AH327+1)*AF327-ERP_i)*AE327*Ramure*Pc/MaxiM</f>
        <v>0.19669114650988712</v>
      </c>
      <c r="AE327" s="307">
        <f t="shared" si="117"/>
        <v>1</v>
      </c>
      <c r="AF327" s="179">
        <f t="shared" si="118"/>
        <v>0.49865129779162176</v>
      </c>
      <c r="AG327" s="837">
        <f t="shared" si="124"/>
        <v>3</v>
      </c>
      <c r="AH327" s="178">
        <f t="shared" si="119"/>
        <v>9</v>
      </c>
      <c r="AI327" s="227">
        <f t="shared" si="120"/>
        <v>3.4986512977916218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46336</v>
      </c>
      <c r="B328" s="1139">
        <f>IF(t&gt;Tmaj,'2025'!Wh/'2025'!Env_an*'2026'!Env_an,0.001*'[13]mon-tableau (3)'!$B$211)</f>
        <v>18.09250051661348</v>
      </c>
      <c r="C328" s="866"/>
      <c r="D328" s="395">
        <f t="shared" si="102"/>
        <v>19.411156172293772</v>
      </c>
      <c r="E328" s="387">
        <f t="shared" si="125"/>
        <v>20.947151215975897</v>
      </c>
      <c r="F328" s="387">
        <f t="shared" si="103"/>
        <v>21.268620133032488</v>
      </c>
      <c r="G328" s="110">
        <f t="shared" si="126"/>
        <v>0.87047142365475705</v>
      </c>
      <c r="H328" s="414" t="b">
        <f>Wh_hp&gt;='2025'!Maxi_hp</f>
        <v>0</v>
      </c>
      <c r="I328" s="392">
        <f>IF(H328,Wh_hp,'2025'!Maxi_hp)</f>
        <v>21.317221339647375</v>
      </c>
      <c r="J328" s="85">
        <f>IF(H328,An,'2025'!An_max)</f>
        <v>2025</v>
      </c>
      <c r="K328" s="199">
        <f t="shared" si="104"/>
        <v>46336</v>
      </c>
      <c r="L328" s="147">
        <f>IF(t&lt;Tvie,1-EXP((T0-t)*PertePVj)+'2025'!Pspv,1-EXP((T0-t)*PertePVj)+Pspv)</f>
        <v>6.7932875506017232E-2</v>
      </c>
      <c r="M328" s="870"/>
      <c r="N328" s="870"/>
      <c r="O328" s="48">
        <f>IF(t&lt;Tnet,'2025'!Resal+('2025'!Salim-'2025'!Resal)*(1-EXP(('2025'!Tnet-t)/('2025'!Tau_j))),Resal+(Salim-Resal)*(1-EXP((Tnet-t)/(Tau_j))))*Salcycl</f>
        <v>7.3327156893327666E-2</v>
      </c>
      <c r="P328" s="171">
        <f>(INDEX(Models!$BJ328:$BT328,,T328)*(1-R328)+INDEX(Models!$BJ328:$BT328,,T328+1)*R328-ERP_i)*Q328*Ramure*Pc/MaxiM</f>
        <v>1.8450887192535279E-2</v>
      </c>
      <c r="Q328" s="307">
        <f t="shared" si="105"/>
        <v>1</v>
      </c>
      <c r="R328" s="179">
        <f t="shared" si="106"/>
        <v>0.56372318658070064</v>
      </c>
      <c r="S328" s="837">
        <f t="shared" si="107"/>
        <v>-2</v>
      </c>
      <c r="T328" s="178">
        <f t="shared" si="108"/>
        <v>4</v>
      </c>
      <c r="U328" s="253">
        <f t="shared" si="109"/>
        <v>-1.4362768134192994</v>
      </c>
      <c r="V328" s="385">
        <f t="shared" si="110"/>
        <v>20.714309308727753</v>
      </c>
      <c r="W328" s="404">
        <f t="shared" si="111"/>
        <v>18.09250051661348</v>
      </c>
      <c r="X328" s="157">
        <f t="shared" si="112"/>
        <v>46336</v>
      </c>
      <c r="Y328" s="387">
        <f t="shared" si="113"/>
        <v>14.464169906320421</v>
      </c>
      <c r="Z328" s="387">
        <f t="shared" si="114"/>
        <v>15.518377943190506</v>
      </c>
      <c r="AA328" s="388">
        <f t="shared" si="115"/>
        <v>17.764981793344116</v>
      </c>
      <c r="AB328" s="199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0.12646249099986859</v>
      </c>
      <c r="AD328" s="233">
        <f>(INDEX(Models!$BJ328:$BT328,,AH328)*(1-AF328)+INDEX(Models!$BJ328:$BT328,,AH328+1)*AF328-ERP_i)*AE328*Ramure*Pc/MaxiM</f>
        <v>0.20109327010813782</v>
      </c>
      <c r="AE328" s="307">
        <f t="shared" si="117"/>
        <v>1</v>
      </c>
      <c r="AF328" s="179">
        <f t="shared" si="118"/>
        <v>0.49870577950427109</v>
      </c>
      <c r="AG328" s="837">
        <f t="shared" si="124"/>
        <v>3</v>
      </c>
      <c r="AH328" s="178">
        <f t="shared" si="119"/>
        <v>9</v>
      </c>
      <c r="AI328" s="227">
        <f t="shared" si="120"/>
        <v>3.4987057795042711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46337</v>
      </c>
      <c r="B329" s="1139">
        <f>IF(t&gt;Tmaj,'2025'!Wh/'2025'!Env_an*'2026'!Env_an,0.001*'[13]mon-tableau (3)'!$B$212)</f>
        <v>18.652226145332151</v>
      </c>
      <c r="C329" s="866"/>
      <c r="D329" s="395">
        <f t="shared" si="102"/>
        <v>20.012142612702643</v>
      </c>
      <c r="E329" s="387">
        <f t="shared" si="125"/>
        <v>21.598145859077377</v>
      </c>
      <c r="F329" s="387">
        <f t="shared" si="103"/>
        <v>21.965132868282634</v>
      </c>
      <c r="G329" s="110">
        <f t="shared" si="126"/>
        <v>0.90932482592468922</v>
      </c>
      <c r="H329" s="414" t="b">
        <f>Wh_hp&gt;='2025'!Maxi_hp</f>
        <v>0</v>
      </c>
      <c r="I329" s="392">
        <f>IF(H329,Wh_hp,'2025'!Maxi_hp)</f>
        <v>22.000992490342256</v>
      </c>
      <c r="J329" s="85">
        <f>IF(H329,An,'2025'!An_max)</f>
        <v>2025</v>
      </c>
      <c r="K329" s="199">
        <f t="shared" si="104"/>
        <v>46337</v>
      </c>
      <c r="L329" s="147">
        <f>IF(t&lt;Tvie,1-EXP((T0-t)*PertePVj)+'2025'!Pspv,1-EXP((T0-t)*PertePVj)+Pspv)</f>
        <v>6.7954566069666655E-2</v>
      </c>
      <c r="M329" s="870"/>
      <c r="N329" s="870"/>
      <c r="O329" s="48">
        <f>IF(t&lt;Tnet,'2025'!Resal+('2025'!Salim-'2025'!Resal)*(1-EXP(('2025'!Tnet-t)/('2025'!Tau_j))),Resal+(Salim-Resal)*(1-EXP((Tnet-t)/(Tau_j))))*Salcycl</f>
        <v>7.3432379646059309E-2</v>
      </c>
      <c r="P329" s="171">
        <f>(INDEX(Models!$BJ329:$BT329,,T329)*(1-R329)+INDEX(Models!$BJ329:$BT329,,T329+1)*R329-ERP_i)*Q329*Ramure*Pc/MaxiM</f>
        <v>1.9123727793643467E-2</v>
      </c>
      <c r="Q329" s="307">
        <f t="shared" si="105"/>
        <v>1</v>
      </c>
      <c r="R329" s="179">
        <f t="shared" si="106"/>
        <v>0.56377548267909661</v>
      </c>
      <c r="S329" s="837">
        <f t="shared" si="107"/>
        <v>-2</v>
      </c>
      <c r="T329" s="178">
        <f t="shared" si="108"/>
        <v>4</v>
      </c>
      <c r="U329" s="253">
        <f t="shared" si="109"/>
        <v>-1.4362245173209034</v>
      </c>
      <c r="V329" s="385">
        <f t="shared" si="110"/>
        <v>20.461770910462249</v>
      </c>
      <c r="W329" s="404">
        <f t="shared" si="111"/>
        <v>18.652226145332151</v>
      </c>
      <c r="X329" s="157">
        <f t="shared" si="112"/>
        <v>46337</v>
      </c>
      <c r="Y329" s="387">
        <f t="shared" si="113"/>
        <v>14.674103938058368</v>
      </c>
      <c r="Z329" s="387">
        <f t="shared" si="114"/>
        <v>15.743979213737768</v>
      </c>
      <c r="AA329" s="388">
        <f t="shared" si="115"/>
        <v>18.021880527931234</v>
      </c>
      <c r="AB329" s="199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0.12639642742404483</v>
      </c>
      <c r="AD329" s="233">
        <f>(INDEX(Models!$BJ329:$BT329,,AH329)*(1-AF329)+INDEX(Models!$BJ329:$BT329,,AH329+1)*AF329-ERP_i)*AE329*Ramure*Pc/MaxiM</f>
        <v>0.20548325277735102</v>
      </c>
      <c r="AE329" s="307">
        <f t="shared" si="117"/>
        <v>1</v>
      </c>
      <c r="AF329" s="179">
        <f t="shared" si="118"/>
        <v>0.49875807560266683</v>
      </c>
      <c r="AG329" s="837">
        <f t="shared" si="124"/>
        <v>3</v>
      </c>
      <c r="AH329" s="178">
        <f t="shared" si="119"/>
        <v>9</v>
      </c>
      <c r="AI329" s="227">
        <f t="shared" si="120"/>
        <v>3.4987580756026668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46338</v>
      </c>
      <c r="B330" s="1139">
        <f>IF(t&gt;Tmaj,'2025'!Wh/'2025'!Env_an*'2026'!Env_an,0.001*'[13]mon-tableau (3)'!$B$213)</f>
        <v>18.518649267372503</v>
      </c>
      <c r="C330" s="866"/>
      <c r="D330" s="395">
        <f t="shared" si="102"/>
        <v>19.869289156142571</v>
      </c>
      <c r="E330" s="387">
        <f t="shared" si="125"/>
        <v>21.44641782661575</v>
      </c>
      <c r="F330" s="387">
        <f t="shared" si="103"/>
        <v>21.825976864760957</v>
      </c>
      <c r="G330" s="110">
        <f t="shared" si="126"/>
        <v>0.91377899740280177</v>
      </c>
      <c r="H330" s="414" t="b">
        <f>Wh_hp&gt;='2025'!Maxi_hp</f>
        <v>0</v>
      </c>
      <c r="I330" s="392">
        <f>IF(H330,Wh_hp,'2025'!Maxi_hp)</f>
        <v>21.860455336200847</v>
      </c>
      <c r="J330" s="85">
        <f>IF(H330,An,'2025'!An_max)</f>
        <v>2025</v>
      </c>
      <c r="K330" s="199">
        <f t="shared" si="104"/>
        <v>46338</v>
      </c>
      <c r="L330" s="147">
        <f>IF(t&lt;Tvie,1-EXP((T0-t)*PertePVj)+'2025'!Pspv,1-EXP((T0-t)*PertePVj)+Pspv)</f>
        <v>6.7976256128544965E-2</v>
      </c>
      <c r="M330" s="870"/>
      <c r="N330" s="870"/>
      <c r="O330" s="48">
        <f>IF(t&lt;Tnet,'2025'!Resal+('2025'!Salim-'2025'!Resal)*(1-EXP(('2025'!Tnet-t)/('2025'!Tau_j))),Resal+(Salim-Resal)*(1-EXP((Tnet-t)/(Tau_j))))*Salcycl</f>
        <v>7.3538093084986267E-2</v>
      </c>
      <c r="P330" s="171">
        <f>(INDEX(Models!$BJ330:$BT330,,T330)*(1-R330)+INDEX(Models!$BJ330:$BT330,,T330+1)*R330-ERP_i)*Q330*Ramure*Pc/MaxiM</f>
        <v>1.9761963057092356E-2</v>
      </c>
      <c r="Q330" s="307">
        <f t="shared" si="105"/>
        <v>1</v>
      </c>
      <c r="R330" s="179">
        <f t="shared" si="106"/>
        <v>0.56382568053458515</v>
      </c>
      <c r="S330" s="837">
        <f t="shared" si="107"/>
        <v>-2</v>
      </c>
      <c r="T330" s="178">
        <f t="shared" si="108"/>
        <v>4</v>
      </c>
      <c r="U330" s="253">
        <f t="shared" si="109"/>
        <v>-1.4361743194654149</v>
      </c>
      <c r="V330" s="385">
        <f t="shared" si="110"/>
        <v>20.217088540792485</v>
      </c>
      <c r="W330" s="404">
        <f t="shared" si="111"/>
        <v>18.518649267372503</v>
      </c>
      <c r="X330" s="157">
        <f t="shared" si="112"/>
        <v>46338</v>
      </c>
      <c r="Y330" s="387">
        <f t="shared" si="113"/>
        <v>14.490453647998159</v>
      </c>
      <c r="Z330" s="387">
        <f t="shared" si="114"/>
        <v>15.547300960174557</v>
      </c>
      <c r="AA330" s="388">
        <f t="shared" si="115"/>
        <v>17.795440315533931</v>
      </c>
      <c r="AB330" s="199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0.12633232533150282</v>
      </c>
      <c r="AD330" s="233">
        <f>(INDEX(Models!$BJ330:$BT330,,AH330)*(1-AF330)+INDEX(Models!$BJ330:$BT330,,AH330+1)*AF330-ERP_i)*AE330*Ramure*Pc/MaxiM</f>
        <v>0.20985224005023675</v>
      </c>
      <c r="AE330" s="307">
        <f t="shared" si="117"/>
        <v>1</v>
      </c>
      <c r="AF330" s="179">
        <f t="shared" si="118"/>
        <v>0.49880827345815559</v>
      </c>
      <c r="AG330" s="837">
        <f t="shared" si="124"/>
        <v>3</v>
      </c>
      <c r="AH330" s="178">
        <f t="shared" si="119"/>
        <v>9</v>
      </c>
      <c r="AI330" s="227">
        <f t="shared" si="120"/>
        <v>3.4988082734581556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46339</v>
      </c>
      <c r="B331" s="1139">
        <f>IF(t&gt;Tmaj,'2025'!Wh/'2025'!Env_an*'2026'!Env_an,0.001*'[13]mon-tableau (3)'!$B$214)</f>
        <v>16.43496093933333</v>
      </c>
      <c r="C331" s="866"/>
      <c r="D331" s="395">
        <f t="shared" si="102"/>
        <v>17.634039392082084</v>
      </c>
      <c r="E331" s="387">
        <f t="shared" si="125"/>
        <v>19.035929824067267</v>
      </c>
      <c r="F331" s="387">
        <f t="shared" si="103"/>
        <v>19.329774684147221</v>
      </c>
      <c r="G331" s="110">
        <f t="shared" si="126"/>
        <v>0.81824643810649855</v>
      </c>
      <c r="H331" s="414" t="b">
        <f>Wh_hp&gt;='2025'!Maxi_hp</f>
        <v>0</v>
      </c>
      <c r="I331" s="392">
        <f>IF(H331,Wh_hp,'2025'!Maxi_hp)</f>
        <v>23.471862617221571</v>
      </c>
      <c r="J331" s="85">
        <f>IF(H331,An,'2025'!An_max)</f>
        <v>2020</v>
      </c>
      <c r="K331" s="199">
        <f t="shared" si="104"/>
        <v>46339</v>
      </c>
      <c r="L331" s="147">
        <f>IF(t&lt;Tvie,1-EXP((T0-t)*PertePVj)+'2025'!Pspv,1-EXP((T0-t)*PertePVj)+Pspv)</f>
        <v>6.7997945682663929E-2</v>
      </c>
      <c r="M331" s="870"/>
      <c r="N331" s="870"/>
      <c r="O331" s="48">
        <f>IF(t&lt;Tnet,'2025'!Resal+('2025'!Salim-'2025'!Resal)*(1-EXP(('2025'!Tnet-t)/('2025'!Tau_j))),Resal+(Salim-Resal)*(1-EXP((Tnet-t)/(Tau_j))))*Salcycl</f>
        <v>7.3644442112450095E-2</v>
      </c>
      <c r="P331" s="171">
        <f>(INDEX(Models!$BJ331:$BT331,,T331)*(1-R331)+INDEX(Models!$BJ331:$BT331,,T331+1)*R331-ERP_i)*Q331*Ramure*Pc/MaxiM</f>
        <v>2.0363614330232035E-2</v>
      </c>
      <c r="Q331" s="307">
        <f t="shared" si="105"/>
        <v>1</v>
      </c>
      <c r="R331" s="179">
        <f t="shared" si="106"/>
        <v>0.56387386405003603</v>
      </c>
      <c r="S331" s="837">
        <f t="shared" si="107"/>
        <v>-2</v>
      </c>
      <c r="T331" s="178">
        <f t="shared" si="108"/>
        <v>4</v>
      </c>
      <c r="U331" s="253">
        <f t="shared" si="109"/>
        <v>-1.436126135949964</v>
      </c>
      <c r="V331" s="385">
        <f t="shared" si="110"/>
        <v>19.980306991036997</v>
      </c>
      <c r="W331" s="404">
        <f t="shared" si="111"/>
        <v>16.43496093933333</v>
      </c>
      <c r="X331" s="157">
        <f t="shared" si="112"/>
        <v>46339</v>
      </c>
      <c r="Y331" s="387">
        <f t="shared" si="113"/>
        <v>13.223684711500455</v>
      </c>
      <c r="Z331" s="387">
        <f t="shared" si="114"/>
        <v>14.188471635061378</v>
      </c>
      <c r="AA331" s="388">
        <f t="shared" si="115"/>
        <v>16.238973592502735</v>
      </c>
      <c r="AB331" s="199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0.12627041640045764</v>
      </c>
      <c r="AD331" s="233">
        <f>(INDEX(Models!$BJ331:$BT331,,AH331)*(1-AF331)+INDEX(Models!$BJ331:$BT331,,AH331+1)*AF331-ERP_i)*AE331*Ramure*Pc/MaxiM</f>
        <v>0.21419425674004594</v>
      </c>
      <c r="AE331" s="307">
        <f t="shared" si="117"/>
        <v>1</v>
      </c>
      <c r="AF331" s="179">
        <f t="shared" si="118"/>
        <v>0.49885645697360648</v>
      </c>
      <c r="AG331" s="837">
        <f t="shared" si="124"/>
        <v>3</v>
      </c>
      <c r="AH331" s="178">
        <f t="shared" si="119"/>
        <v>9</v>
      </c>
      <c r="AI331" s="227">
        <f t="shared" si="120"/>
        <v>3.4988564569736065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46340</v>
      </c>
      <c r="B332" s="1139">
        <f>IF(t&gt;Tmaj,'2025'!Wh/'2025'!Env_an*'2026'!Env_an,0.001*'[13]mon-tableau (3)'!$B$215)</f>
        <v>9.4895129059772714</v>
      </c>
      <c r="C332" s="866"/>
      <c r="D332" s="395">
        <f t="shared" si="102"/>
        <v>10.182095309753471</v>
      </c>
      <c r="E332" s="387">
        <f t="shared" si="125"/>
        <v>10.992834051963815</v>
      </c>
      <c r="F332" s="387">
        <f t="shared" si="103"/>
        <v>11.052433402505205</v>
      </c>
      <c r="G332" s="110">
        <f t="shared" si="126"/>
        <v>0.47295271616103429</v>
      </c>
      <c r="H332" s="414" t="b">
        <f>Wh_hp&gt;='2025'!Maxi_hp</f>
        <v>0</v>
      </c>
      <c r="I332" s="392">
        <f>IF(H332,Wh_hp,'2025'!Maxi_hp)</f>
        <v>17.097007227824616</v>
      </c>
      <c r="J332" s="85">
        <f>IF(H332,An,'2025'!An_max)</f>
        <v>2020</v>
      </c>
      <c r="K332" s="199">
        <f t="shared" si="104"/>
        <v>46340</v>
      </c>
      <c r="L332" s="147">
        <f>IF(t&lt;Tvie,1-EXP((T0-t)*PertePVj)+'2025'!Pspv,1-EXP((T0-t)*PertePVj)+Pspv)</f>
        <v>6.8019634732035206E-2</v>
      </c>
      <c r="M332" s="870"/>
      <c r="N332" s="870"/>
      <c r="O332" s="48">
        <f>IF(t&lt;Tnet,'2025'!Resal+('2025'!Salim-'2025'!Resal)*(1-EXP(('2025'!Tnet-t)/('2025'!Tau_j))),Resal+(Salim-Resal)*(1-EXP((Tnet-t)/(Tau_j))))*Salcycl</f>
        <v>7.3751567464580073E-2</v>
      </c>
      <c r="P332" s="171">
        <f>(INDEX(Models!$BJ332:$BT332,,T332)*(1-R332)+INDEX(Models!$BJ332:$BT332,,T332+1)*R332-ERP_i)*Q332*Ramure*Pc/MaxiM</f>
        <v>2.0917940350395556E-2</v>
      </c>
      <c r="Q332" s="307">
        <f t="shared" si="105"/>
        <v>1</v>
      </c>
      <c r="R332" s="179">
        <f t="shared" si="106"/>
        <v>0.56392011379562246</v>
      </c>
      <c r="S332" s="837">
        <f t="shared" si="107"/>
        <v>-2</v>
      </c>
      <c r="T332" s="178">
        <f t="shared" si="108"/>
        <v>4</v>
      </c>
      <c r="U332" s="253">
        <f t="shared" si="109"/>
        <v>-1.4360798862043775</v>
      </c>
      <c r="V332" s="385">
        <f t="shared" si="110"/>
        <v>19.751201716340116</v>
      </c>
      <c r="W332" s="404">
        <f t="shared" si="111"/>
        <v>9.4895129059772714</v>
      </c>
      <c r="X332" s="157">
        <f t="shared" si="112"/>
        <v>46340</v>
      </c>
      <c r="Y332" s="387">
        <f t="shared" si="113"/>
        <v>8.4936612396735462</v>
      </c>
      <c r="Z332" s="387">
        <f t="shared" si="114"/>
        <v>9.1135624270704803</v>
      </c>
      <c r="AA332" s="388">
        <f t="shared" si="115"/>
        <v>10.429934033599716</v>
      </c>
      <c r="AB332" s="199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0.12621092351002272</v>
      </c>
      <c r="AD332" s="233">
        <f>(INDEX(Models!$BJ332:$BT332,,AH332)*(1-AF332)+INDEX(Models!$BJ332:$BT332,,AH332+1)*AF332-ERP_i)*AE332*Ramure*Pc/MaxiM</f>
        <v>0.21848232486830449</v>
      </c>
      <c r="AE332" s="307">
        <f t="shared" si="117"/>
        <v>1</v>
      </c>
      <c r="AF332" s="179">
        <f t="shared" si="118"/>
        <v>0.49890270671919268</v>
      </c>
      <c r="AG332" s="837">
        <f t="shared" si="124"/>
        <v>3</v>
      </c>
      <c r="AH332" s="178">
        <f t="shared" si="119"/>
        <v>9</v>
      </c>
      <c r="AI332" s="227">
        <f t="shared" si="120"/>
        <v>3.4989027067191927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46341</v>
      </c>
      <c r="B333" s="1139">
        <f>IF(t&gt;Tmaj,'2025'!Wh/'2025'!Env_an*'2026'!Env_an,0.001*'[13]mon-tableau (3)'!$B$216)</f>
        <v>11.566565369169172</v>
      </c>
      <c r="C333" s="866"/>
      <c r="D333" s="395">
        <f t="shared" si="102"/>
        <v>12.411028147552662</v>
      </c>
      <c r="E333" s="387">
        <f t="shared" si="125"/>
        <v>13.400806417018162</v>
      </c>
      <c r="F333" s="387">
        <f t="shared" si="103"/>
        <v>13.521873748099871</v>
      </c>
      <c r="G333" s="110">
        <f t="shared" si="126"/>
        <v>0.58480993248920699</v>
      </c>
      <c r="H333" s="414" t="b">
        <f>Wh_hp&gt;='2025'!Maxi_hp</f>
        <v>0</v>
      </c>
      <c r="I333" s="392">
        <f>IF(H333,Wh_hp,'2025'!Maxi_hp)</f>
        <v>21.895850327793376</v>
      </c>
      <c r="J333" s="85">
        <f>IF(H333,An,'2025'!An_max)</f>
        <v>2020</v>
      </c>
      <c r="K333" s="199">
        <f t="shared" si="104"/>
        <v>46341</v>
      </c>
      <c r="L333" s="147">
        <f>IF(t&lt;Tvie,1-EXP((T0-t)*PertePVj)+'2025'!Pspv,1-EXP((T0-t)*PertePVj)+Pspv)</f>
        <v>6.8041323276670673E-2</v>
      </c>
      <c r="M333" s="870"/>
      <c r="N333" s="870"/>
      <c r="O333" s="48">
        <f>IF(t&lt;Tnet,'2025'!Resal+('2025'!Salim-'2025'!Resal)*(1-EXP(('2025'!Tnet-t)/('2025'!Tau_j))),Resal+(Salim-Resal)*(1-EXP((Tnet-t)/(Tau_j))))*Salcycl</f>
        <v>7.385960506141967E-2</v>
      </c>
      <c r="P333" s="171">
        <f>(INDEX(Models!$BJ333:$BT333,,T333)*(1-R333)+INDEX(Models!$BJ333:$BT333,,T333+1)*R333-ERP_i)*Q333*Ramure*Pc/MaxiM</f>
        <v>2.1443586271841758E-2</v>
      </c>
      <c r="Q333" s="307">
        <f t="shared" si="105"/>
        <v>1</v>
      </c>
      <c r="R333" s="179">
        <f t="shared" si="106"/>
        <v>0.56396450713943569</v>
      </c>
      <c r="S333" s="837">
        <f t="shared" si="107"/>
        <v>-2</v>
      </c>
      <c r="T333" s="178">
        <f t="shared" si="108"/>
        <v>4</v>
      </c>
      <c r="U333" s="253">
        <f t="shared" si="109"/>
        <v>-1.4360354928605643</v>
      </c>
      <c r="V333" s="385">
        <f t="shared" si="110"/>
        <v>19.529066638919776</v>
      </c>
      <c r="W333" s="404">
        <f t="shared" si="111"/>
        <v>11.566565369169172</v>
      </c>
      <c r="X333" s="157">
        <f t="shared" si="112"/>
        <v>46341</v>
      </c>
      <c r="Y333" s="387">
        <f t="shared" si="113"/>
        <v>9.9878037668208428</v>
      </c>
      <c r="Z333" s="387">
        <f t="shared" si="114"/>
        <v>10.717002820271958</v>
      </c>
      <c r="AA333" s="388">
        <f t="shared" si="115"/>
        <v>12.26417876010022</v>
      </c>
      <c r="AB333" s="199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0.12615405972895474</v>
      </c>
      <c r="AD333" s="233">
        <f>(INDEX(Models!$BJ333:$BT333,,AH333)*(1-AF333)+INDEX(Models!$BJ333:$BT333,,AH333+1)*AF333-ERP_i)*AE333*Ramure*Pc/MaxiM</f>
        <v>0.22276439678538637</v>
      </c>
      <c r="AE333" s="307">
        <f t="shared" si="117"/>
        <v>1</v>
      </c>
      <c r="AF333" s="179">
        <f t="shared" si="118"/>
        <v>0.49894710006300613</v>
      </c>
      <c r="AG333" s="837">
        <f t="shared" si="124"/>
        <v>3</v>
      </c>
      <c r="AH333" s="178">
        <f t="shared" si="119"/>
        <v>9</v>
      </c>
      <c r="AI333" s="227">
        <f t="shared" si="120"/>
        <v>3.4989471000630061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46342</v>
      </c>
      <c r="B334" s="1139">
        <f>IF(t&gt;Tmaj,'2025'!Wh/'2025'!Env_an*'2026'!Env_an,0.001*'[13]mon-tableau (3)'!$B$217)</f>
        <v>18.131873304442909</v>
      </c>
      <c r="C334" s="866"/>
      <c r="D334" s="395">
        <f t="shared" si="102"/>
        <v>19.456115085697455</v>
      </c>
      <c r="E334" s="387">
        <f t="shared" si="125"/>
        <v>21.010212914647656</v>
      </c>
      <c r="F334" s="387">
        <f t="shared" si="103"/>
        <v>21.439466978414618</v>
      </c>
      <c r="G334" s="110">
        <f t="shared" si="126"/>
        <v>0.93697633853362883</v>
      </c>
      <c r="H334" s="414" t="b">
        <f>Wh_hp&gt;='2025'!Maxi_hp</f>
        <v>0</v>
      </c>
      <c r="I334" s="392">
        <f>IF(H334,Wh_hp,'2025'!Maxi_hp)</f>
        <v>21.46541573827</v>
      </c>
      <c r="J334" s="85">
        <f>IF(H334,An,'2025'!An_max)</f>
        <v>2025</v>
      </c>
      <c r="K334" s="199">
        <f t="shared" si="104"/>
        <v>46342</v>
      </c>
      <c r="L334" s="147">
        <f>IF(t&lt;Tvie,1-EXP((T0-t)*PertePVj)+'2025'!Pspv,1-EXP((T0-t)*PertePVj)+Pspv)</f>
        <v>6.8063011316581989E-2</v>
      </c>
      <c r="M334" s="870"/>
      <c r="N334" s="870"/>
      <c r="O334" s="48">
        <f>IF(t&lt;Tnet,'2025'!Resal+('2025'!Salim-'2025'!Resal)*(1-EXP(('2025'!Tnet-t)/('2025'!Tau_j))),Resal+(Salim-Resal)*(1-EXP((Tnet-t)/(Tau_j))))*Salcycl</f>
        <v>7.3968685384750904E-2</v>
      </c>
      <c r="P334" s="171">
        <f>(INDEX(Models!$BJ334:$BT334,,T334)*(1-R334)+INDEX(Models!$BJ334:$BT334,,T334+1)*R334-ERP_i)*Q334*Ramure*Pc/MaxiM</f>
        <v>2.1939382154283961E-2</v>
      </c>
      <c r="Q334" s="307">
        <f t="shared" si="105"/>
        <v>1</v>
      </c>
      <c r="R334" s="179">
        <f t="shared" si="106"/>
        <v>0.56400711837312101</v>
      </c>
      <c r="S334" s="837">
        <f t="shared" si="107"/>
        <v>-2</v>
      </c>
      <c r="T334" s="178">
        <f t="shared" si="108"/>
        <v>4</v>
      </c>
      <c r="U334" s="253">
        <f t="shared" si="109"/>
        <v>-1.435992881626879</v>
      </c>
      <c r="V334" s="385">
        <f t="shared" si="110"/>
        <v>19.313605421812859</v>
      </c>
      <c r="W334" s="404">
        <f t="shared" si="111"/>
        <v>18.131873304442909</v>
      </c>
      <c r="X334" s="157">
        <f t="shared" si="112"/>
        <v>46342</v>
      </c>
      <c r="Y334" s="387">
        <f t="shared" si="113"/>
        <v>13.842968446042574</v>
      </c>
      <c r="Z334" s="387">
        <f t="shared" si="114"/>
        <v>14.853974693717277</v>
      </c>
      <c r="AA334" s="388">
        <f t="shared" si="115"/>
        <v>16.997339694245301</v>
      </c>
      <c r="AB334" s="199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0.12610002736214609</v>
      </c>
      <c r="AD334" s="233">
        <f>(INDEX(Models!$BJ334:$BT334,,AH334)*(1-AF334)+INDEX(Models!$BJ334:$BT334,,AH334+1)*AF334-ERP_i)*AE334*Ramure*Pc/MaxiM</f>
        <v>0.22703926716526376</v>
      </c>
      <c r="AE334" s="307">
        <f t="shared" si="117"/>
        <v>1</v>
      </c>
      <c r="AF334" s="179">
        <f t="shared" si="118"/>
        <v>0.49898971129669167</v>
      </c>
      <c r="AG334" s="837">
        <f t="shared" si="124"/>
        <v>3</v>
      </c>
      <c r="AH334" s="178">
        <f t="shared" si="119"/>
        <v>9</v>
      </c>
      <c r="AI334" s="227">
        <f t="shared" si="120"/>
        <v>3.4989897112966917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46343</v>
      </c>
      <c r="B335" s="1139">
        <f>IF(t&gt;Tmaj,'2025'!Wh/'2025'!Env_an*'2026'!Env_an,0.001*'[13]mon-tableau (3)'!$B$218)</f>
        <v>11.908462751387781</v>
      </c>
      <c r="C335" s="866"/>
      <c r="D335" s="395">
        <f t="shared" ref="D335:D379" si="127">Wh/(1-Ppv)</f>
        <v>12.77848183919213</v>
      </c>
      <c r="E335" s="387">
        <f t="shared" si="125"/>
        <v>13.800832806462397</v>
      </c>
      <c r="F335" s="387">
        <f t="shared" ref="F335:F379" si="128">Wh_sa/(1-Pvg*MEDIAN((-Sdif+Wh/Env_an)/Csdif,0,1))</f>
        <v>13.945145061701879</v>
      </c>
      <c r="G335" s="110">
        <f t="shared" si="126"/>
        <v>0.61573890711448398</v>
      </c>
      <c r="H335" s="414" t="b">
        <f>Wh_hp&gt;='2025'!Maxi_hp</f>
        <v>0</v>
      </c>
      <c r="I335" s="392">
        <f>IF(H335,Wh_hp,'2025'!Maxi_hp)</f>
        <v>21.938135822618069</v>
      </c>
      <c r="J335" s="85">
        <f>IF(H335,An,'2025'!An_max)</f>
        <v>2018</v>
      </c>
      <c r="K335" s="199">
        <f t="shared" ref="K335:K379" si="129">t</f>
        <v>46343</v>
      </c>
      <c r="L335" s="147">
        <f>IF(t&lt;Tvie,1-EXP((T0-t)*PertePVj)+'2025'!Pspv,1-EXP((T0-t)*PertePVj)+Pspv)</f>
        <v>6.8084698851781034E-2</v>
      </c>
      <c r="M335" s="870"/>
      <c r="N335" s="870"/>
      <c r="O335" s="48">
        <f>IF(t&lt;Tnet,'2025'!Resal+('2025'!Salim-'2025'!Resal)*(1-EXP(('2025'!Tnet-t)/('2025'!Tau_j))),Resal+(Salim-Resal)*(1-EXP((Tnet-t)/(Tau_j))))*Salcycl</f>
        <v>7.4078932888132623E-2</v>
      </c>
      <c r="P335" s="171">
        <f>(INDEX(Models!$BJ335:$BT335,,T335)*(1-R335)+INDEX(Models!$BJ335:$BT335,,T335+1)*R335-ERP_i)*Q335*Ramure*Pc/MaxiM</f>
        <v>2.2404194352293304E-2</v>
      </c>
      <c r="Q335" s="307">
        <f t="shared" ref="Q335:Q379" si="130">IF(OR(t&lt;Ttai,Notai),Dd+PousD*Croivg,Dens+PousD*(Croivg-Croi_tai))</f>
        <v>1</v>
      </c>
      <c r="R335" s="179">
        <f t="shared" ref="R335:R379" si="131">(Hp_vg-S335)/(INDEX(Echel_vg,T335+1)-S335)</f>
        <v>0.56404801883271283</v>
      </c>
      <c r="S335" s="837">
        <f t="shared" ref="S335:S379" si="132">INDEX(Echel_vg,T335)</f>
        <v>-2</v>
      </c>
      <c r="T335" s="178">
        <f t="shared" ref="T335:T379" si="133">MIN(MATCH(Hp_vg,Echel_vg),10)</f>
        <v>4</v>
      </c>
      <c r="U335" s="253">
        <f t="shared" ref="U335:U379" si="134">IF(OR(t&lt;Ttai,Notai),Hdd+PousH*Croivg,Hdtf+PousH*(Croivg-Croi_tai))</f>
        <v>-1.4359519811672872</v>
      </c>
      <c r="V335" s="385">
        <f t="shared" ref="V335:V379" si="135">MaxiM*(1-Ppv)*(1-Pvg)*(1-Psa)</f>
        <v>19.104522060113496</v>
      </c>
      <c r="W335" s="404">
        <f t="shared" ref="W335:W379" si="136">Wh*(A335&gt;Tmaj)</f>
        <v>11.908462751387781</v>
      </c>
      <c r="X335" s="157">
        <f t="shared" ref="X335:X379" si="137">t</f>
        <v>46343</v>
      </c>
      <c r="Y335" s="387">
        <f t="shared" ref="Y335:Y379" si="138">Wh_pvt_s*(1-Ppv)</f>
        <v>10.144143151395962</v>
      </c>
      <c r="Z335" s="387">
        <f t="shared" ref="Z335:Z379" si="139">Wh_sa_s*(1-Psa_s)</f>
        <v>10.88526300501483</v>
      </c>
      <c r="AA335" s="388">
        <f t="shared" ref="AA335:AA379" si="140">Wh_hp*(1-Pvg_s*MEDIAN((-Sdif+Wh/Env_an)/Csdif,0,1))</f>
        <v>12.455232864910908</v>
      </c>
      <c r="AB335" s="199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0.12604901706165803</v>
      </c>
      <c r="AD335" s="233">
        <f>(INDEX(Models!$BJ335:$BT335,,AH335)*(1-AF335)+INDEX(Models!$BJ335:$BT335,,AH335+1)*AF335-ERP_i)*AE335*Ramure*Pc/MaxiM</f>
        <v>0.23130594397103513</v>
      </c>
      <c r="AE335" s="307">
        <f t="shared" ref="AE335:AE379" si="142">IF(OR(t&lt;Ttai,Notai),Dd_s+PousD*Croivg,Dens_s+PousD*(Croivg-Croi_tai))</f>
        <v>1</v>
      </c>
      <c r="AF335" s="179">
        <f t="shared" ref="AF335:AF379" si="143">(Hp_vg_s-AG335)/(INDEX(Echel_vg,AH335+1)-AG335)</f>
        <v>0.49903061175628327</v>
      </c>
      <c r="AG335" s="837">
        <f t="shared" si="124"/>
        <v>3</v>
      </c>
      <c r="AH335" s="178">
        <f t="shared" ref="AH335:AH379" si="144">MIN(MATCH(Hp_vg_s,Echel_vg),10)</f>
        <v>9</v>
      </c>
      <c r="AI335" s="227">
        <f t="shared" ref="AI335:AI379" si="145">IF(OR(t&lt;Ttai,Notai),Hdd_s+PousH*Croivg,Hdtai_s+PousH*(Croivg-Croi_tai))</f>
        <v>3.4990306117562833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46344</v>
      </c>
      <c r="B336" s="1139">
        <f>IF(t&gt;Tmaj,'2025'!Wh/'2025'!Env_an*'2026'!Env_an,0.001*'[13]mon-tableau (3)'!$B$219)</f>
        <v>11.26918632356022</v>
      </c>
      <c r="C336" s="866"/>
      <c r="D336" s="395">
        <f t="shared" si="127"/>
        <v>12.092782000904075</v>
      </c>
      <c r="E336" s="387">
        <f t="shared" si="125"/>
        <v>13.061846470069177</v>
      </c>
      <c r="F336" s="387">
        <f t="shared" si="128"/>
        <v>13.189300673477545</v>
      </c>
      <c r="G336" s="110">
        <f t="shared" si="126"/>
        <v>0.58827453619631043</v>
      </c>
      <c r="H336" s="414" t="b">
        <f>Wh_hp&gt;='2025'!Maxi_hp</f>
        <v>0</v>
      </c>
      <c r="I336" s="392">
        <f>IF(H336,Wh_hp,'2025'!Maxi_hp)</f>
        <v>20.856889266520181</v>
      </c>
      <c r="J336" s="85">
        <f>IF(H336,An,'2025'!An_max)</f>
        <v>2020</v>
      </c>
      <c r="K336" s="199">
        <f t="shared" si="129"/>
        <v>46344</v>
      </c>
      <c r="L336" s="147">
        <f>IF(t&lt;Tvie,1-EXP((T0-t)*PertePVj)+'2025'!Pspv,1-EXP((T0-t)*PertePVj)+Pspv)</f>
        <v>6.8106385882279352E-2</v>
      </c>
      <c r="M336" s="870"/>
      <c r="N336" s="870"/>
      <c r="O336" s="48">
        <f>IF(t&lt;Tnet,'2025'!Resal+('2025'!Salim-'2025'!Resal)*(1-EXP(('2025'!Tnet-t)/('2025'!Tau_j))),Resal+(Salim-Resal)*(1-EXP((Tnet-t)/(Tau_j))))*Salcycl</f>
        <v>7.4190465443433634E-2</v>
      </c>
      <c r="P336" s="171">
        <f>(INDEX(Models!$BJ336:$BT336,,T336)*(1-R336)+INDEX(Models!$BJ336:$BT336,,T336+1)*R336-ERP_i)*Q336*Ramure*Pc/MaxiM</f>
        <v>2.2836926588687714E-2</v>
      </c>
      <c r="Q336" s="307">
        <f t="shared" si="130"/>
        <v>1</v>
      </c>
      <c r="R336" s="179">
        <f t="shared" si="131"/>
        <v>0.56408727701484151</v>
      </c>
      <c r="S336" s="837">
        <f t="shared" si="132"/>
        <v>-2</v>
      </c>
      <c r="T336" s="178">
        <f t="shared" si="133"/>
        <v>4</v>
      </c>
      <c r="U336" s="253">
        <f t="shared" si="134"/>
        <v>-1.4359127229851585</v>
      </c>
      <c r="V336" s="385">
        <f t="shared" si="135"/>
        <v>18.901520880336417</v>
      </c>
      <c r="W336" s="404">
        <f t="shared" si="136"/>
        <v>11.26918632356022</v>
      </c>
      <c r="X336" s="157">
        <f t="shared" si="137"/>
        <v>46344</v>
      </c>
      <c r="Y336" s="387">
        <f t="shared" si="138"/>
        <v>9.6715568326419561</v>
      </c>
      <c r="Z336" s="387">
        <f t="shared" si="139"/>
        <v>10.378391574019526</v>
      </c>
      <c r="AA336" s="388">
        <f t="shared" si="140"/>
        <v>11.874606300653733</v>
      </c>
      <c r="AB336" s="199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0.12600120700859249</v>
      </c>
      <c r="AD336" s="233">
        <f>(INDEX(Models!$BJ336:$BT336,,AH336)*(1-AF336)+INDEX(Models!$BJ336:$BT336,,AH336+1)*AF336-ERP_i)*AE336*Ramure*Pc/MaxiM</f>
        <v>0.23556366189463049</v>
      </c>
      <c r="AE336" s="307">
        <f t="shared" si="142"/>
        <v>1</v>
      </c>
      <c r="AF336" s="179">
        <f t="shared" si="143"/>
        <v>0.49906986993841196</v>
      </c>
      <c r="AG336" s="837">
        <f t="shared" ref="AG336:AG379" si="149">INDEX(Echel_vg,AH336)</f>
        <v>3</v>
      </c>
      <c r="AH336" s="178">
        <f t="shared" si="144"/>
        <v>9</v>
      </c>
      <c r="AI336" s="227">
        <f t="shared" si="145"/>
        <v>3.499069869938412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46345</v>
      </c>
      <c r="B337" s="1139">
        <f>IF(t&gt;Tmaj,'2025'!Wh/'2025'!Env_an*'2026'!Env_an,0.001*'[13]mon-tableau (3)'!$B$220)</f>
        <v>8.2922539052215747</v>
      </c>
      <c r="C337" s="866"/>
      <c r="D337" s="395">
        <f t="shared" si="127"/>
        <v>8.8984909403268873</v>
      </c>
      <c r="E337" s="387">
        <f t="shared" si="125"/>
        <v>9.612750960731308</v>
      </c>
      <c r="F337" s="387">
        <f t="shared" si="128"/>
        <v>9.6587068401544975</v>
      </c>
      <c r="G337" s="110">
        <f t="shared" si="126"/>
        <v>0.43510260868271655</v>
      </c>
      <c r="H337" s="414" t="b">
        <f>Wh_hp&gt;='2025'!Maxi_hp</f>
        <v>0</v>
      </c>
      <c r="I337" s="392">
        <f>IF(H337,Wh_hp,'2025'!Maxi_hp)</f>
        <v>22.157788716528341</v>
      </c>
      <c r="J337" s="85">
        <f>IF(H337,An,'2025'!An_max)</f>
        <v>2021</v>
      </c>
      <c r="K337" s="199">
        <f t="shared" si="129"/>
        <v>46345</v>
      </c>
      <c r="L337" s="147">
        <f>IF(t&lt;Tvie,1-EXP((T0-t)*PertePVj)+'2025'!Pspv,1-EXP((T0-t)*PertePVj)+Pspv)</f>
        <v>6.8128072408088824E-2</v>
      </c>
      <c r="M337" s="870"/>
      <c r="N337" s="870"/>
      <c r="O337" s="48">
        <f>IF(t&lt;Tnet,'2025'!Resal+('2025'!Salim-'2025'!Resal)*(1-EXP(('2025'!Tnet-t)/('2025'!Tau_j))),Resal+(Salim-Resal)*(1-EXP((Tnet-t)/(Tau_j))))*Salcycl</f>
        <v>7.4303393827866576E-2</v>
      </c>
      <c r="P337" s="171">
        <f>(INDEX(Models!$BJ337:$BT337,,T337)*(1-R337)+INDEX(Models!$BJ337:$BT337,,T337+1)*R337-ERP_i)*Q337*Ramure*Pc/MaxiM</f>
        <v>2.3236520603659425E-2</v>
      </c>
      <c r="Q337" s="307">
        <f t="shared" si="130"/>
        <v>1</v>
      </c>
      <c r="R337" s="179">
        <f t="shared" si="131"/>
        <v>0.56412495868848023</v>
      </c>
      <c r="S337" s="837">
        <f t="shared" si="132"/>
        <v>-2</v>
      </c>
      <c r="T337" s="178">
        <f t="shared" si="133"/>
        <v>4</v>
      </c>
      <c r="U337" s="253">
        <f t="shared" si="134"/>
        <v>-1.4358750413115198</v>
      </c>
      <c r="V337" s="385">
        <f t="shared" si="135"/>
        <v>18.704306527676703</v>
      </c>
      <c r="W337" s="404">
        <f t="shared" si="136"/>
        <v>8.2922539052215747</v>
      </c>
      <c r="X337" s="157">
        <f t="shared" si="137"/>
        <v>46345</v>
      </c>
      <c r="Y337" s="387">
        <f t="shared" si="138"/>
        <v>7.4806769583574084</v>
      </c>
      <c r="Z337" s="387">
        <f t="shared" si="139"/>
        <v>8.0275805471343418</v>
      </c>
      <c r="AA337" s="388">
        <f t="shared" si="140"/>
        <v>9.1844204035933661</v>
      </c>
      <c r="AB337" s="199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0.12595676217155921</v>
      </c>
      <c r="AD337" s="233">
        <f>(INDEX(Models!$BJ337:$BT337,,AH337)*(1-AF337)+INDEX(Models!$BJ337:$BT337,,AH337+1)*AF337-ERP_i)*AE337*Ramure*Pc/MaxiM</f>
        <v>0.23981189552925428</v>
      </c>
      <c r="AE337" s="307">
        <f t="shared" si="142"/>
        <v>1</v>
      </c>
      <c r="AF337" s="179">
        <f t="shared" si="143"/>
        <v>0.49910755161205067</v>
      </c>
      <c r="AG337" s="837">
        <f t="shared" si="149"/>
        <v>3</v>
      </c>
      <c r="AH337" s="178">
        <f t="shared" si="144"/>
        <v>9</v>
      </c>
      <c r="AI337" s="227">
        <f t="shared" si="145"/>
        <v>3.4991075516120507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46346</v>
      </c>
      <c r="B338" s="1139">
        <f>IF(t&gt;Tmaj,'2025'!Wh/'2025'!Env_an*'2026'!Env_an,0.001*'[13]mon-tableau (3)'!$B$221)</f>
        <v>13.565011388201489</v>
      </c>
      <c r="C338" s="866"/>
      <c r="D338" s="395">
        <f t="shared" si="127"/>
        <v>14.557072352458212</v>
      </c>
      <c r="E338" s="387">
        <f t="shared" si="125"/>
        <v>15.72747691858074</v>
      </c>
      <c r="F338" s="387">
        <f t="shared" si="128"/>
        <v>15.96041306084263</v>
      </c>
      <c r="G338" s="110">
        <f t="shared" si="126"/>
        <v>0.72604759708498345</v>
      </c>
      <c r="H338" s="414" t="b">
        <f>Wh_hp&gt;='2025'!Maxi_hp</f>
        <v>0</v>
      </c>
      <c r="I338" s="392">
        <f>IF(H338,Wh_hp,'2025'!Maxi_hp)</f>
        <v>22.532430665642437</v>
      </c>
      <c r="J338" s="85">
        <f>IF(H338,An,'2025'!An_max)</f>
        <v>2019</v>
      </c>
      <c r="K338" s="199">
        <f t="shared" si="129"/>
        <v>46346</v>
      </c>
      <c r="L338" s="147">
        <f>IF(t&lt;Tvie,1-EXP((T0-t)*PertePVj)+'2025'!Pspv,1-EXP((T0-t)*PertePVj)+Pspv)</f>
        <v>6.8149758429221219E-2</v>
      </c>
      <c r="M338" s="870"/>
      <c r="N338" s="870"/>
      <c r="O338" s="48">
        <f>IF(t&lt;Tnet,'2025'!Resal+('2025'!Salim-'2025'!Resal)*(1-EXP(('2025'!Tnet-t)/('2025'!Tau_j))),Resal+(Salim-Resal)*(1-EXP((Tnet-t)/(Tau_j))))*Salcycl</f>
        <v>7.4417821255219216E-2</v>
      </c>
      <c r="P338" s="171">
        <f>(INDEX(Models!$BJ338:$BT338,,T338)*(1-R338)+INDEX(Models!$BJ338:$BT338,,T338+1)*R338-ERP_i)*Q338*Ramure*Pc/MaxiM</f>
        <v>2.3607715308031876E-2</v>
      </c>
      <c r="Q338" s="307">
        <f t="shared" si="130"/>
        <v>1</v>
      </c>
      <c r="R338" s="179">
        <f t="shared" si="131"/>
        <v>0.56416112700239496</v>
      </c>
      <c r="S338" s="837">
        <f t="shared" si="132"/>
        <v>-2</v>
      </c>
      <c r="T338" s="178">
        <f t="shared" si="133"/>
        <v>4</v>
      </c>
      <c r="U338" s="253">
        <f t="shared" si="134"/>
        <v>-1.435838872997605</v>
      </c>
      <c r="V338" s="385">
        <f t="shared" si="135"/>
        <v>18.512474770400583</v>
      </c>
      <c r="W338" s="404">
        <f t="shared" si="136"/>
        <v>13.565011388201489</v>
      </c>
      <c r="X338" s="157">
        <f t="shared" si="137"/>
        <v>46346</v>
      </c>
      <c r="Y338" s="387">
        <f t="shared" si="138"/>
        <v>11.038930622528026</v>
      </c>
      <c r="Z338" s="387">
        <f t="shared" si="139"/>
        <v>11.846249676257194</v>
      </c>
      <c r="AA338" s="388">
        <f t="shared" si="140"/>
        <v>13.552756281677851</v>
      </c>
      <c r="AB338" s="199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0.12591583364689471</v>
      </c>
      <c r="AD338" s="233">
        <f>(INDEX(Models!$BJ338:$BT338,,AH338)*(1-AF338)+INDEX(Models!$BJ338:$BT338,,AH338+1)*AF338-ERP_i)*AE338*Ramure*Pc/MaxiM</f>
        <v>0.24401226555074756</v>
      </c>
      <c r="AE338" s="307">
        <f t="shared" si="142"/>
        <v>1</v>
      </c>
      <c r="AF338" s="179">
        <f t="shared" si="143"/>
        <v>0.49914371992596518</v>
      </c>
      <c r="AG338" s="837">
        <f t="shared" si="149"/>
        <v>3</v>
      </c>
      <c r="AH338" s="178">
        <f t="shared" si="144"/>
        <v>9</v>
      </c>
      <c r="AI338" s="227">
        <f t="shared" si="145"/>
        <v>3.4991437199259652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46347</v>
      </c>
      <c r="B339" s="1139">
        <f>IF(t&gt;Tmaj,'2025'!Wh/'2025'!Env_an*'2026'!Env_an,0.001*'[13]mon-tableau (3)'!$B$222)</f>
        <v>3.2397290051455534</v>
      </c>
      <c r="C339" s="866"/>
      <c r="D339" s="395">
        <f t="shared" si="127"/>
        <v>3.4767436392631059</v>
      </c>
      <c r="E339" s="387">
        <f t="shared" si="125"/>
        <v>3.7567485453632741</v>
      </c>
      <c r="F339" s="387">
        <f t="shared" si="128"/>
        <v>3.7567485453632741</v>
      </c>
      <c r="G339" s="110">
        <f t="shared" si="126"/>
        <v>0.1725518340706205</v>
      </c>
      <c r="H339" s="414" t="b">
        <f>Wh_hp&gt;='2025'!Maxi_hp</f>
        <v>0</v>
      </c>
      <c r="I339" s="392">
        <f>IF(H339,Wh_hp,'2025'!Maxi_hp)</f>
        <v>21.71388989490131</v>
      </c>
      <c r="J339" s="85">
        <f>IF(H339,An,'2025'!An_max)</f>
        <v>2019</v>
      </c>
      <c r="K339" s="199">
        <f t="shared" si="129"/>
        <v>46347</v>
      </c>
      <c r="L339" s="147">
        <f>IF(t&lt;Tvie,1-EXP((T0-t)*PertePVj)+'2025'!Pspv,1-EXP((T0-t)*PertePVj)+Pspv)</f>
        <v>6.8171443945688082E-2</v>
      </c>
      <c r="M339" s="870"/>
      <c r="N339" s="870"/>
      <c r="O339" s="48">
        <f>IF(t&lt;Tnet,'2025'!Resal+('2025'!Salim-'2025'!Resal)*(1-EXP(('2025'!Tnet-t)/('2025'!Tau_j))),Resal+(Salim-Resal)*(1-EXP((Tnet-t)/(Tau_j))))*Salcycl</f>
        <v>7.4533842954637303E-2</v>
      </c>
      <c r="P339" s="171">
        <f>(INDEX(Models!$BJ339:$BT339,,T339)*(1-R339)+INDEX(Models!$BJ339:$BT339,,T339+1)*R339-ERP_i)*Q339*Ramure*Pc/MaxiM</f>
        <v>2.3976078888168873E-2</v>
      </c>
      <c r="Q339" s="307">
        <f t="shared" si="130"/>
        <v>1</v>
      </c>
      <c r="R339" s="179">
        <f t="shared" si="131"/>
        <v>0.56419584258845412</v>
      </c>
      <c r="S339" s="837">
        <f t="shared" si="132"/>
        <v>-2</v>
      </c>
      <c r="T339" s="178">
        <f t="shared" si="133"/>
        <v>4</v>
      </c>
      <c r="U339" s="253">
        <f t="shared" si="134"/>
        <v>-1.4358041574115459</v>
      </c>
      <c r="V339" s="385">
        <f t="shared" si="135"/>
        <v>18.325235567462919</v>
      </c>
      <c r="W339" s="404">
        <f t="shared" si="136"/>
        <v>3.2397290051455534</v>
      </c>
      <c r="X339" s="157">
        <f t="shared" si="137"/>
        <v>46347</v>
      </c>
      <c r="Y339" s="387">
        <f t="shared" si="138"/>
        <v>3.0599893554534066</v>
      </c>
      <c r="Z339" s="387">
        <f t="shared" si="139"/>
        <v>3.2838544553844455</v>
      </c>
      <c r="AA339" s="388">
        <f t="shared" si="140"/>
        <v>3.7567485453632741</v>
      </c>
      <c r="AB339" s="199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0.12587855808515389</v>
      </c>
      <c r="AD339" s="233">
        <f>(INDEX(Models!$BJ339:$BT339,,AH339)*(1-AF339)+INDEX(Models!$BJ339:$BT339,,AH339+1)*AF339-ERP_i)*AE339*Ramure*Pc/MaxiM</f>
        <v>0.24816717539325794</v>
      </c>
      <c r="AE339" s="307">
        <f t="shared" si="142"/>
        <v>1</v>
      </c>
      <c r="AF339" s="179">
        <f t="shared" si="143"/>
        <v>0.49917843551202434</v>
      </c>
      <c r="AG339" s="837">
        <f t="shared" si="149"/>
        <v>3</v>
      </c>
      <c r="AH339" s="178">
        <f t="shared" si="144"/>
        <v>9</v>
      </c>
      <c r="AI339" s="227">
        <f t="shared" si="145"/>
        <v>3.4991784355120243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46348</v>
      </c>
      <c r="B340" s="1139">
        <f>IF(t&gt;Tmaj,'2025'!Wh/'2025'!Env_an*'2026'!Env_an,0.001*'[13]mon-tableau (3)'!$B$223)</f>
        <v>8.5874404462037521</v>
      </c>
      <c r="C340" s="866"/>
      <c r="D340" s="395">
        <f t="shared" si="127"/>
        <v>9.2159016133849576</v>
      </c>
      <c r="E340" s="387">
        <f t="shared" si="125"/>
        <v>9.9593851068264456</v>
      </c>
      <c r="F340" s="387">
        <f t="shared" si="128"/>
        <v>10.019780499359962</v>
      </c>
      <c r="G340" s="110">
        <f t="shared" si="126"/>
        <v>0.464616891242076</v>
      </c>
      <c r="H340" s="414" t="b">
        <f>Wh_hp&gt;='2025'!Maxi_hp</f>
        <v>0</v>
      </c>
      <c r="I340" s="392">
        <f>IF(H340,Wh_hp,'2025'!Maxi_hp)</f>
        <v>22.055020906483698</v>
      </c>
      <c r="J340" s="85">
        <f>IF(H340,An,'2025'!An_max)</f>
        <v>2020</v>
      </c>
      <c r="K340" s="199">
        <f t="shared" si="129"/>
        <v>46348</v>
      </c>
      <c r="L340" s="147">
        <f>IF(t&lt;Tvie,1-EXP((T0-t)*PertePVj)+'2025'!Pspv,1-EXP((T0-t)*PertePVj)+Pspv)</f>
        <v>6.8193128957501403E-2</v>
      </c>
      <c r="M340" s="870"/>
      <c r="N340" s="870"/>
      <c r="O340" s="48">
        <f>IF(t&lt;Tnet,'2025'!Resal+('2025'!Salim-'2025'!Resal)*(1-EXP(('2025'!Tnet-t)/('2025'!Tau_j))),Resal+(Salim-Resal)*(1-EXP((Tnet-t)/(Tau_j))))*Salcycl</f>
        <v>7.4651545799939351E-2</v>
      </c>
      <c r="P340" s="171">
        <f>(INDEX(Models!$BJ340:$BT340,,T340)*(1-R340)+INDEX(Models!$BJ340:$BT340,,T340+1)*R340-ERP_i)*Q340*Ramure*Pc/MaxiM</f>
        <v>2.4341616732813477E-2</v>
      </c>
      <c r="Q340" s="307">
        <f t="shared" si="130"/>
        <v>1</v>
      </c>
      <c r="R340" s="179">
        <f t="shared" si="131"/>
        <v>0.56422916366095022</v>
      </c>
      <c r="S340" s="837">
        <f t="shared" si="132"/>
        <v>-2</v>
      </c>
      <c r="T340" s="178">
        <f t="shared" si="133"/>
        <v>4</v>
      </c>
      <c r="U340" s="253">
        <f t="shared" si="134"/>
        <v>-1.4357708363390498</v>
      </c>
      <c r="V340" s="385">
        <f t="shared" si="135"/>
        <v>18.142294227992146</v>
      </c>
      <c r="W340" s="404">
        <f t="shared" si="136"/>
        <v>8.5874404462037521</v>
      </c>
      <c r="X340" s="157">
        <f t="shared" si="137"/>
        <v>46348</v>
      </c>
      <c r="Y340" s="387">
        <f t="shared" si="138"/>
        <v>7.6516956015161925</v>
      </c>
      <c r="Z340" s="387">
        <f t="shared" si="139"/>
        <v>8.2116754440279376</v>
      </c>
      <c r="AA340" s="388">
        <f t="shared" si="140"/>
        <v>9.3938443198612038</v>
      </c>
      <c r="AB340" s="199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0.12584505720771125</v>
      </c>
      <c r="AD340" s="233">
        <f>(INDEX(Models!$BJ340:$BT340,,AH340)*(1-AF340)+INDEX(Models!$BJ340:$BT340,,AH340+1)*AF340-ERP_i)*AE340*Ramure*Pc/MaxiM</f>
        <v>0.25227584326246233</v>
      </c>
      <c r="AE340" s="307">
        <f t="shared" si="142"/>
        <v>1</v>
      </c>
      <c r="AF340" s="179">
        <f t="shared" si="143"/>
        <v>0.49921175658452066</v>
      </c>
      <c r="AG340" s="837">
        <f t="shared" si="149"/>
        <v>3</v>
      </c>
      <c r="AH340" s="178">
        <f t="shared" si="144"/>
        <v>9</v>
      </c>
      <c r="AI340" s="227">
        <f t="shared" si="145"/>
        <v>3.4992117565845207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46349</v>
      </c>
      <c r="B341" s="1139">
        <f>IF(t&gt;Tmaj,'2025'!Wh/'2025'!Env_an*'2026'!Env_an,0.001*'[13]mon-tableau (3)'!$B$224)</f>
        <v>12.773270903802334</v>
      </c>
      <c r="C341" s="866"/>
      <c r="D341" s="395">
        <f t="shared" si="127"/>
        <v>13.708385890204378</v>
      </c>
      <c r="E341" s="387">
        <f t="shared" si="125"/>
        <v>14.816208753309938</v>
      </c>
      <c r="F341" s="387">
        <f t="shared" si="128"/>
        <v>15.034319094347076</v>
      </c>
      <c r="G341" s="110">
        <f t="shared" si="126"/>
        <v>0.70371627182642982</v>
      </c>
      <c r="H341" s="414" t="b">
        <f>Wh_hp&gt;='2025'!Maxi_hp</f>
        <v>0</v>
      </c>
      <c r="I341" s="392">
        <f>IF(H341,Wh_hp,'2025'!Maxi_hp)</f>
        <v>21.439200666327118</v>
      </c>
      <c r="J341" s="85">
        <f>IF(H341,An,'2025'!An_max)</f>
        <v>2020</v>
      </c>
      <c r="K341" s="199">
        <f t="shared" si="129"/>
        <v>46349</v>
      </c>
      <c r="L341" s="147">
        <f>IF(t&lt;Tvie,1-EXP((T0-t)*PertePVj)+'2025'!Pspv,1-EXP((T0-t)*PertePVj)+Pspv)</f>
        <v>6.821481346467273E-2</v>
      </c>
      <c r="M341" s="870"/>
      <c r="N341" s="870"/>
      <c r="O341" s="48">
        <f>IF(t&lt;Tnet,'2025'!Resal+('2025'!Salim-'2025'!Resal)*(1-EXP(('2025'!Tnet-t)/('2025'!Tau_j))),Resal+(Salim-Resal)*(1-EXP((Tnet-t)/(Tau_j))))*Salcycl</f>
        <v>7.4771007992046001E-2</v>
      </c>
      <c r="P341" s="171">
        <f>(INDEX(Models!$BJ341:$BT341,,T341)*(1-R341)+INDEX(Models!$BJ341:$BT341,,T341+1)*R341-ERP_i)*Q341*Ramure*Pc/MaxiM</f>
        <v>2.4704207438981485E-2</v>
      </c>
      <c r="Q341" s="307">
        <f t="shared" si="130"/>
        <v>1</v>
      </c>
      <c r="R341" s="179">
        <f t="shared" si="131"/>
        <v>0.56426114611207989</v>
      </c>
      <c r="S341" s="837">
        <f t="shared" si="132"/>
        <v>-2</v>
      </c>
      <c r="T341" s="178">
        <f t="shared" si="133"/>
        <v>4</v>
      </c>
      <c r="U341" s="253">
        <f t="shared" si="134"/>
        <v>-1.4357388538879201</v>
      </c>
      <c r="V341" s="385">
        <f t="shared" si="135"/>
        <v>17.963359264004939</v>
      </c>
      <c r="W341" s="404">
        <f t="shared" si="136"/>
        <v>12.773270903802334</v>
      </c>
      <c r="X341" s="157">
        <f t="shared" si="137"/>
        <v>46349</v>
      </c>
      <c r="Y341" s="387">
        <f t="shared" si="138"/>
        <v>10.402776073342308</v>
      </c>
      <c r="Z341" s="387">
        <f t="shared" si="139"/>
        <v>11.16435013527434</v>
      </c>
      <c r="AA341" s="388">
        <f t="shared" si="140"/>
        <v>12.771159104298681</v>
      </c>
      <c r="AB341" s="199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0.1258154374166007</v>
      </c>
      <c r="AD341" s="233">
        <f>(INDEX(Models!$BJ341:$BT341,,AH341)*(1-AF341)+INDEX(Models!$BJ341:$BT341,,AH341+1)*AF341-ERP_i)*AE341*Ramure*Pc/MaxiM</f>
        <v>0.25633619018659592</v>
      </c>
      <c r="AE341" s="307">
        <f t="shared" si="142"/>
        <v>1</v>
      </c>
      <c r="AF341" s="179">
        <f t="shared" si="143"/>
        <v>0.49924373903565034</v>
      </c>
      <c r="AG341" s="837">
        <f t="shared" si="149"/>
        <v>3</v>
      </c>
      <c r="AH341" s="178">
        <f t="shared" si="144"/>
        <v>9</v>
      </c>
      <c r="AI341" s="227">
        <f t="shared" si="145"/>
        <v>3.4992437390356503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46350</v>
      </c>
      <c r="B342" s="1139">
        <f>IF(t&gt;Tmaj,'2025'!Wh/'2025'!Env_an*'2026'!Env_an,0.001*'[13]mon-tableau (3)'!$B$225)</f>
        <v>11.552344957693858</v>
      </c>
      <c r="C342" s="866"/>
      <c r="D342" s="395">
        <f t="shared" si="127"/>
        <v>12.398366029890044</v>
      </c>
      <c r="E342" s="387">
        <f t="shared" si="125"/>
        <v>13.402078497198842</v>
      </c>
      <c r="F342" s="387">
        <f t="shared" si="128"/>
        <v>13.571888732595637</v>
      </c>
      <c r="G342" s="110">
        <f t="shared" si="126"/>
        <v>0.64118591201881625</v>
      </c>
      <c r="H342" s="414" t="b">
        <f>Wh_hp&gt;='2025'!Maxi_hp</f>
        <v>0</v>
      </c>
      <c r="I342" s="392">
        <f>IF(H342,Wh_hp,'2025'!Maxi_hp)</f>
        <v>20.206281401845153</v>
      </c>
      <c r="J342" s="85">
        <f>IF(H342,An,'2025'!An_max)</f>
        <v>2020</v>
      </c>
      <c r="K342" s="199">
        <f t="shared" si="129"/>
        <v>46350</v>
      </c>
      <c r="L342" s="147">
        <f>IF(t&lt;Tvie,1-EXP((T0-t)*PertePVj)+'2025'!Pspv,1-EXP((T0-t)*PertePVj)+Pspv)</f>
        <v>6.8236497467214052E-2</v>
      </c>
      <c r="M342" s="870"/>
      <c r="N342" s="870"/>
      <c r="O342" s="48">
        <f>IF(t&lt;Tnet,'2025'!Resal+('2025'!Salim-'2025'!Resal)*(1-EXP(('2025'!Tnet-t)/('2025'!Tau_j))),Resal+(Salim-Resal)*(1-EXP((Tnet-t)/(Tau_j))))*Salcycl</f>
        <v>7.4892298796681703E-2</v>
      </c>
      <c r="P342" s="171">
        <f>(INDEX(Models!$BJ342:$BT342,,T342)*(1-R342)+INDEX(Models!$BJ342:$BT342,,T342+1)*R342-ERP_i)*Q342*Ramure*Pc/MaxiM</f>
        <v>2.5063852342435845E-2</v>
      </c>
      <c r="Q342" s="307">
        <f t="shared" si="130"/>
        <v>1</v>
      </c>
      <c r="R342" s="179">
        <f t="shared" si="131"/>
        <v>0.56429184360372697</v>
      </c>
      <c r="S342" s="837">
        <f t="shared" si="132"/>
        <v>-2</v>
      </c>
      <c r="T342" s="178">
        <f t="shared" si="133"/>
        <v>4</v>
      </c>
      <c r="U342" s="253">
        <f t="shared" si="134"/>
        <v>-1.435708156396273</v>
      </c>
      <c r="V342" s="385">
        <f t="shared" si="135"/>
        <v>17.788137721051751</v>
      </c>
      <c r="W342" s="404">
        <f t="shared" si="136"/>
        <v>11.552344957693858</v>
      </c>
      <c r="X342" s="157">
        <f t="shared" si="137"/>
        <v>46350</v>
      </c>
      <c r="Y342" s="387">
        <f t="shared" si="138"/>
        <v>9.6182971954172913</v>
      </c>
      <c r="Z342" s="387">
        <f t="shared" si="139"/>
        <v>10.322680776046873</v>
      </c>
      <c r="AA342" s="388">
        <f t="shared" si="140"/>
        <v>11.808007561639707</v>
      </c>
      <c r="AB342" s="199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0.12578978949998026</v>
      </c>
      <c r="AD342" s="233">
        <f>(INDEX(Models!$BJ342:$BT342,,AH342)*(1-AF342)+INDEX(Models!$BJ342:$BT342,,AH342+1)*AF342-ERP_i)*AE342*Ramure*Pc/MaxiM</f>
        <v>0.26034742319941923</v>
      </c>
      <c r="AE342" s="307">
        <f t="shared" si="142"/>
        <v>1</v>
      </c>
      <c r="AF342" s="179">
        <f t="shared" si="143"/>
        <v>0.49927443652729764</v>
      </c>
      <c r="AG342" s="837">
        <f t="shared" si="149"/>
        <v>3</v>
      </c>
      <c r="AH342" s="178">
        <f t="shared" si="144"/>
        <v>9</v>
      </c>
      <c r="AI342" s="227">
        <f t="shared" si="145"/>
        <v>3.4992744365272976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46351</v>
      </c>
      <c r="B343" s="1139">
        <f>IF(t&gt;Tmaj,'2025'!Wh/'2025'!Env_an*'2026'!Env_an,0.001*'[13]mon-tableau (3)'!$B$226)</f>
        <v>4.7418780177981477</v>
      </c>
      <c r="C343" s="866"/>
      <c r="D343" s="395">
        <f t="shared" si="127"/>
        <v>5.089261768576602</v>
      </c>
      <c r="E343" s="387">
        <f t="shared" si="125"/>
        <v>5.5019966814559815</v>
      </c>
      <c r="F343" s="387">
        <f t="shared" si="128"/>
        <v>5.5019966814559815</v>
      </c>
      <c r="G343" s="110">
        <f t="shared" si="126"/>
        <v>0.26233244339637046</v>
      </c>
      <c r="H343" s="414" t="b">
        <f>Wh_hp&gt;='2025'!Maxi_hp</f>
        <v>0</v>
      </c>
      <c r="I343" s="392">
        <f>IF(H343,Wh_hp,'2025'!Maxi_hp)</f>
        <v>18.507554622634164</v>
      </c>
      <c r="J343" s="85">
        <f>IF(H343,An,'2025'!An_max)</f>
        <v>2020</v>
      </c>
      <c r="K343" s="199">
        <f t="shared" si="129"/>
        <v>46351</v>
      </c>
      <c r="L343" s="147">
        <f>IF(t&lt;Tvie,1-EXP((T0-t)*PertePVj)+'2025'!Pspv,1-EXP((T0-t)*PertePVj)+Pspv)</f>
        <v>6.8258180965136805E-2</v>
      </c>
      <c r="M343" s="870"/>
      <c r="N343" s="870"/>
      <c r="O343" s="48">
        <f>IF(t&lt;Tnet,'2025'!Resal+('2025'!Salim-'2025'!Resal)*(1-EXP(('2025'!Tnet-t)/('2025'!Tau_j))),Resal+(Salim-Resal)*(1-EXP((Tnet-t)/(Tau_j))))*Salcycl</f>
        <v>7.5015478339066979E-2</v>
      </c>
      <c r="P343" s="171">
        <f>(INDEX(Models!$BJ343:$BT343,,T343)*(1-R343)+INDEX(Models!$BJ343:$BT343,,T343+1)*R343-ERP_i)*Q343*Ramure*Pc/MaxiM</f>
        <v>2.5420708799543175E-2</v>
      </c>
      <c r="Q343" s="307">
        <f t="shared" si="130"/>
        <v>1</v>
      </c>
      <c r="R343" s="179">
        <f t="shared" si="131"/>
        <v>0.56432130765568322</v>
      </c>
      <c r="S343" s="837">
        <f t="shared" si="132"/>
        <v>-2</v>
      </c>
      <c r="T343" s="178">
        <f t="shared" si="133"/>
        <v>4</v>
      </c>
      <c r="U343" s="253">
        <f t="shared" si="134"/>
        <v>-1.4356786923443168</v>
      </c>
      <c r="V343" s="385">
        <f t="shared" si="135"/>
        <v>17.616334669525234</v>
      </c>
      <c r="W343" s="404">
        <f t="shared" si="136"/>
        <v>4.7418780177981477</v>
      </c>
      <c r="X343" s="157">
        <f t="shared" si="137"/>
        <v>46351</v>
      </c>
      <c r="Y343" s="387">
        <f t="shared" si="138"/>
        <v>4.4816972745412276</v>
      </c>
      <c r="Z343" s="387">
        <f t="shared" si="139"/>
        <v>4.8100205260546911</v>
      </c>
      <c r="AA343" s="388">
        <f t="shared" si="140"/>
        <v>5.5019966814559815</v>
      </c>
      <c r="AB343" s="199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0.12576818843485274</v>
      </c>
      <c r="AD343" s="233">
        <f>(INDEX(Models!$BJ343:$BT343,,AH343)*(1-AF343)+INDEX(Models!$BJ343:$BT343,,AH343+1)*AF343-ERP_i)*AE343*Ramure*Pc/MaxiM</f>
        <v>0.26431038729071699</v>
      </c>
      <c r="AE343" s="307">
        <f t="shared" si="142"/>
        <v>1</v>
      </c>
      <c r="AF343" s="179">
        <f t="shared" si="143"/>
        <v>0.49930390057925367</v>
      </c>
      <c r="AG343" s="837">
        <f t="shared" si="149"/>
        <v>3</v>
      </c>
      <c r="AH343" s="178">
        <f t="shared" si="144"/>
        <v>9</v>
      </c>
      <c r="AI343" s="227">
        <f t="shared" si="145"/>
        <v>3.4993039005792537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46352</v>
      </c>
      <c r="B344" s="1139">
        <f>IF(t&gt;Tmaj,'2025'!Wh/'2025'!Env_an*'2026'!Env_an,0.001*'[13]mon-tableau (3)'!$B$227)</f>
        <v>10.183291424347717</v>
      </c>
      <c r="C344" s="866"/>
      <c r="D344" s="395">
        <f t="shared" si="127"/>
        <v>10.929560315838904</v>
      </c>
      <c r="E344" s="387">
        <f t="shared" si="125"/>
        <v>11.817537115139073</v>
      </c>
      <c r="F344" s="387">
        <f t="shared" si="128"/>
        <v>11.942265915997547</v>
      </c>
      <c r="G344" s="110">
        <f t="shared" si="126"/>
        <v>0.57460597958287007</v>
      </c>
      <c r="H344" s="414" t="b">
        <f>Wh_hp&gt;='2025'!Maxi_hp</f>
        <v>0</v>
      </c>
      <c r="I344" s="392">
        <f>IF(H344,Wh_hp,'2025'!Maxi_hp)</f>
        <v>20.367586395989942</v>
      </c>
      <c r="J344" s="85">
        <f>IF(H344,An,'2025'!An_max)</f>
        <v>2020</v>
      </c>
      <c r="K344" s="199">
        <f t="shared" si="129"/>
        <v>46352</v>
      </c>
      <c r="L344" s="147">
        <f>IF(t&lt;Tvie,1-EXP((T0-t)*PertePVj)+'2025'!Pspv,1-EXP((T0-t)*PertePVj)+Pspv)</f>
        <v>6.827986395845298E-2</v>
      </c>
      <c r="M344" s="870"/>
      <c r="N344" s="870"/>
      <c r="O344" s="48">
        <f>IF(t&lt;Tnet,'2025'!Resal+('2025'!Salim-'2025'!Resal)*(1-EXP(('2025'!Tnet-t)/('2025'!Tau_j))),Resal+(Salim-Resal)*(1-EXP((Tnet-t)/(Tau_j))))*Salcycl</f>
        <v>7.5140597456860123E-2</v>
      </c>
      <c r="P344" s="171">
        <f>(INDEX(Models!$BJ344:$BT344,,T344)*(1-R344)+INDEX(Models!$BJ344:$BT344,,T344+1)*R344-ERP_i)*Q344*Ramure*Pc/MaxiM</f>
        <v>2.5774967899029597E-2</v>
      </c>
      <c r="Q344" s="307">
        <f t="shared" si="130"/>
        <v>1</v>
      </c>
      <c r="R344" s="179">
        <f t="shared" si="131"/>
        <v>0.56434958773044097</v>
      </c>
      <c r="S344" s="837">
        <f t="shared" si="132"/>
        <v>-2</v>
      </c>
      <c r="T344" s="178">
        <f t="shared" si="133"/>
        <v>4</v>
      </c>
      <c r="U344" s="253">
        <f t="shared" si="134"/>
        <v>-1.435650412269559</v>
      </c>
      <c r="V344" s="385">
        <f t="shared" si="135"/>
        <v>17.447655518089856</v>
      </c>
      <c r="W344" s="404">
        <f t="shared" si="136"/>
        <v>10.183291424347717</v>
      </c>
      <c r="X344" s="157">
        <f t="shared" si="137"/>
        <v>46352</v>
      </c>
      <c r="Y344" s="387">
        <f t="shared" si="138"/>
        <v>8.6703587896916012</v>
      </c>
      <c r="Z344" s="387">
        <f t="shared" si="139"/>
        <v>9.3057544366573346</v>
      </c>
      <c r="AA344" s="388">
        <f t="shared" si="140"/>
        <v>10.644280029977548</v>
      </c>
      <c r="AB344" s="199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0.12575069328789884</v>
      </c>
      <c r="AD344" s="233">
        <f>(INDEX(Models!$BJ344:$BT344,,AH344)*(1-AF344)+INDEX(Models!$BJ344:$BT344,,AH344+1)*AF344-ERP_i)*AE344*Ramure*Pc/MaxiM</f>
        <v>0.2682262982991403</v>
      </c>
      <c r="AE344" s="307">
        <f t="shared" si="142"/>
        <v>1</v>
      </c>
      <c r="AF344" s="179">
        <f t="shared" si="143"/>
        <v>0.49933218065401164</v>
      </c>
      <c r="AG344" s="837">
        <f t="shared" si="149"/>
        <v>3</v>
      </c>
      <c r="AH344" s="178">
        <f t="shared" si="144"/>
        <v>9</v>
      </c>
      <c r="AI344" s="227">
        <f t="shared" si="145"/>
        <v>3.4993321806540116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46353</v>
      </c>
      <c r="B345" s="1139">
        <f>IF(t&gt;Tmaj,'2025'!Wh/'2025'!Env_an*'2026'!Env_an,0.001*'[13]mon-tableau (3)'!$B$228)</f>
        <v>12.089143131626482</v>
      </c>
      <c r="C345" s="866"/>
      <c r="D345" s="395">
        <f t="shared" si="127"/>
        <v>12.975381772425628</v>
      </c>
      <c r="E345" s="387">
        <f t="shared" si="125"/>
        <v>14.031500509845245</v>
      </c>
      <c r="F345" s="387">
        <f t="shared" si="128"/>
        <v>14.243946702010421</v>
      </c>
      <c r="G345" s="110">
        <f t="shared" si="126"/>
        <v>0.69161373946384652</v>
      </c>
      <c r="H345" s="414" t="b">
        <f>Wh_hp&gt;='2025'!Maxi_hp</f>
        <v>0</v>
      </c>
      <c r="I345" s="392">
        <f>IF(H345,Wh_hp,'2025'!Maxi_hp)</f>
        <v>18.723509974078482</v>
      </c>
      <c r="J345" s="85">
        <f>IF(H345,An,'2025'!An_max)</f>
        <v>2018</v>
      </c>
      <c r="K345" s="199">
        <f t="shared" si="129"/>
        <v>46353</v>
      </c>
      <c r="L345" s="147">
        <f>IF(t&lt;Tvie,1-EXP((T0-t)*PertePVj)+'2025'!Pspv,1-EXP((T0-t)*PertePVj)+Pspv)</f>
        <v>6.8301546447174122E-2</v>
      </c>
      <c r="M345" s="870"/>
      <c r="N345" s="870"/>
      <c r="O345" s="48">
        <f>IF(t&lt;Tnet,'2025'!Resal+('2025'!Salim-'2025'!Resal)*(1-EXP(('2025'!Tnet-t)/('2025'!Tau_j))),Resal+(Salim-Resal)*(1-EXP((Tnet-t)/(Tau_j))))*Salcycl</f>
        <v>7.5267697612139847E-2</v>
      </c>
      <c r="P345" s="171">
        <f>(INDEX(Models!$BJ345:$BT345,,T345)*(1-R345)+INDEX(Models!$BJ345:$BT345,,T345+1)*R345-ERP_i)*Q345*Ramure*Pc/MaxiM</f>
        <v>2.6128576114770308E-2</v>
      </c>
      <c r="Q345" s="307">
        <f t="shared" si="130"/>
        <v>1</v>
      </c>
      <c r="R345" s="179">
        <f t="shared" si="131"/>
        <v>0.56437673131468591</v>
      </c>
      <c r="S345" s="837">
        <f t="shared" si="132"/>
        <v>-2</v>
      </c>
      <c r="T345" s="178">
        <f t="shared" si="133"/>
        <v>4</v>
      </c>
      <c r="U345" s="253">
        <f t="shared" si="134"/>
        <v>-1.4356232686853141</v>
      </c>
      <c r="V345" s="385">
        <f t="shared" si="135"/>
        <v>17.280637237923536</v>
      </c>
      <c r="W345" s="404">
        <f t="shared" si="136"/>
        <v>12.089143131626482</v>
      </c>
      <c r="X345" s="157">
        <f t="shared" si="137"/>
        <v>46353</v>
      </c>
      <c r="Y345" s="387">
        <f t="shared" si="138"/>
        <v>9.8001969967636136</v>
      </c>
      <c r="Z345" s="387">
        <f t="shared" si="139"/>
        <v>10.51863610956177</v>
      </c>
      <c r="AA345" s="388">
        <f t="shared" si="140"/>
        <v>12.031437092786978</v>
      </c>
      <c r="AB345" s="199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0.12573734721450319</v>
      </c>
      <c r="AD345" s="233">
        <f>(INDEX(Models!$BJ345:$BT345,,AH345)*(1-AF345)+INDEX(Models!$BJ345:$BT345,,AH345+1)*AF345-ERP_i)*AE345*Ramure*Pc/MaxiM</f>
        <v>0.27211467120252508</v>
      </c>
      <c r="AE345" s="307">
        <f t="shared" si="142"/>
        <v>1</v>
      </c>
      <c r="AF345" s="179">
        <f t="shared" si="143"/>
        <v>0.49935932423825635</v>
      </c>
      <c r="AG345" s="837">
        <f t="shared" si="149"/>
        <v>3</v>
      </c>
      <c r="AH345" s="178">
        <f t="shared" si="144"/>
        <v>9</v>
      </c>
      <c r="AI345" s="227">
        <f t="shared" si="145"/>
        <v>3.4993593242382564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46354</v>
      </c>
      <c r="B346" s="1139">
        <f>IF(t&gt;Tmaj,'2025'!Wh/'2025'!Env_an*'2026'!Env_an,0.001*'[13]mon-tableau (3)'!$B$229)</f>
        <v>9.5350979357850552</v>
      </c>
      <c r="C346" s="866"/>
      <c r="D346" s="395">
        <f t="shared" si="127"/>
        <v>10.234341165048656</v>
      </c>
      <c r="E346" s="387">
        <f t="shared" si="125"/>
        <v>11.068901000220746</v>
      </c>
      <c r="F346" s="387">
        <f t="shared" si="128"/>
        <v>11.177643282374547</v>
      </c>
      <c r="G346" s="110">
        <f t="shared" si="126"/>
        <v>0.54770661779246566</v>
      </c>
      <c r="H346" s="414" t="b">
        <f>Wh_hp&gt;='2025'!Maxi_hp</f>
        <v>0</v>
      </c>
      <c r="I346" s="392">
        <f>IF(H346,Wh_hp,'2025'!Maxi_hp)</f>
        <v>15.043607934783193</v>
      </c>
      <c r="J346" s="85">
        <f>IF(H346,An,'2025'!An_max)</f>
        <v>2018</v>
      </c>
      <c r="K346" s="199">
        <f t="shared" si="129"/>
        <v>46354</v>
      </c>
      <c r="L346" s="147">
        <f>IF(t&lt;Tvie,1-EXP((T0-t)*PertePVj)+'2025'!Pspv,1-EXP((T0-t)*PertePVj)+Pspv)</f>
        <v>6.8323228431312111E-2</v>
      </c>
      <c r="M346" s="870"/>
      <c r="N346" s="870"/>
      <c r="O346" s="48">
        <f>IF(t&lt;Tnet,'2025'!Resal+('2025'!Salim-'2025'!Resal)*(1-EXP(('2025'!Tnet-t)/('2025'!Tau_j))),Resal+(Salim-Resal)*(1-EXP((Tnet-t)/(Tau_j))))*Salcycl</f>
        <v>7.5396810862744884E-2</v>
      </c>
      <c r="P346" s="171">
        <f>(INDEX(Models!$BJ346:$BT346,,T346)*(1-R346)+INDEX(Models!$BJ346:$BT346,,T346+1)*R346-ERP_i)*Q346*Ramure*Pc/MaxiM</f>
        <v>2.6484245249465275E-2</v>
      </c>
      <c r="Q346" s="307">
        <f t="shared" si="130"/>
        <v>1</v>
      </c>
      <c r="R346" s="179">
        <f t="shared" si="131"/>
        <v>0.56440278399761423</v>
      </c>
      <c r="S346" s="837">
        <f t="shared" si="132"/>
        <v>-2</v>
      </c>
      <c r="T346" s="178">
        <f t="shared" si="133"/>
        <v>4</v>
      </c>
      <c r="U346" s="253">
        <f t="shared" si="134"/>
        <v>-1.4355972160023858</v>
      </c>
      <c r="V346" s="385">
        <f t="shared" si="135"/>
        <v>17.114566230750189</v>
      </c>
      <c r="W346" s="404">
        <f t="shared" si="136"/>
        <v>9.5350979357850552</v>
      </c>
      <c r="X346" s="157">
        <f t="shared" si="137"/>
        <v>46354</v>
      </c>
      <c r="Y346" s="387">
        <f t="shared" si="138"/>
        <v>8.1817527933393723</v>
      </c>
      <c r="Z346" s="387">
        <f t="shared" si="139"/>
        <v>8.7817503269546435</v>
      </c>
      <c r="AA346" s="388">
        <f t="shared" si="140"/>
        <v>10.044645271076289</v>
      </c>
      <c r="AB346" s="199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0.12572817755527627</v>
      </c>
      <c r="AD346" s="233">
        <f>(INDEX(Models!$BJ346:$BT346,,AH346)*(1-AF346)+INDEX(Models!$BJ346:$BT346,,AH346+1)*AF346-ERP_i)*AE346*Ramure*Pc/MaxiM</f>
        <v>0.27594231612630088</v>
      </c>
      <c r="AE346" s="307">
        <f t="shared" si="142"/>
        <v>1</v>
      </c>
      <c r="AF346" s="179">
        <f t="shared" si="143"/>
        <v>0.49938537692118468</v>
      </c>
      <c r="AG346" s="837">
        <f t="shared" si="149"/>
        <v>3</v>
      </c>
      <c r="AH346" s="178">
        <f t="shared" si="144"/>
        <v>9</v>
      </c>
      <c r="AI346" s="227">
        <f t="shared" si="145"/>
        <v>3.4993853769211847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46355</v>
      </c>
      <c r="B347" s="1139">
        <f>IF(t&gt;Tmaj,'2025'!Wh/'2025'!Env_an*'2026'!Env_an,0.001*'[13]mon-tableau (3)'!$B$230)</f>
        <v>10.796980734504062</v>
      </c>
      <c r="C347" s="866"/>
      <c r="D347" s="395">
        <f t="shared" si="127"/>
        <v>11.589032088550317</v>
      </c>
      <c r="E347" s="387">
        <f t="shared" si="125"/>
        <v>12.535838387504475</v>
      </c>
      <c r="F347" s="387">
        <f t="shared" si="128"/>
        <v>12.700004180679901</v>
      </c>
      <c r="G347" s="110">
        <f t="shared" si="126"/>
        <v>0.62799892390755296</v>
      </c>
      <c r="H347" s="414" t="b">
        <f>Wh_hp&gt;='2025'!Maxi_hp</f>
        <v>0</v>
      </c>
      <c r="I347" s="392">
        <f>IF(H347,Wh_hp,'2025'!Maxi_hp)</f>
        <v>19.948122922418964</v>
      </c>
      <c r="J347" s="85">
        <f>IF(H347,An,'2025'!An_max)</f>
        <v>2018</v>
      </c>
      <c r="K347" s="199">
        <f t="shared" si="129"/>
        <v>46355</v>
      </c>
      <c r="L347" s="147">
        <f>IF(t&lt;Tvie,1-EXP((T0-t)*PertePVj)+'2025'!Pspv,1-EXP((T0-t)*PertePVj)+Pspv)</f>
        <v>6.8344909910878715E-2</v>
      </c>
      <c r="M347" s="870"/>
      <c r="N347" s="870"/>
      <c r="O347" s="48">
        <f>IF(t&lt;Tnet,'2025'!Resal+('2025'!Salim-'2025'!Resal)*(1-EXP(('2025'!Tnet-t)/('2025'!Tau_j))),Resal+(Salim-Resal)*(1-EXP((Tnet-t)/(Tau_j))))*Salcycl</f>
        <v>7.5527959892807806E-2</v>
      </c>
      <c r="P347" s="171">
        <f>(INDEX(Models!$BJ347:$BT347,,T347)*(1-R347)+INDEX(Models!$BJ347:$BT347,,T347+1)*R347-ERP_i)*Q347*Ramure*Pc/MaxiM</f>
        <v>2.6851355465363286E-2</v>
      </c>
      <c r="Q347" s="307">
        <f t="shared" si="130"/>
        <v>1</v>
      </c>
      <c r="R347" s="179">
        <f t="shared" si="131"/>
        <v>0.56442778954619532</v>
      </c>
      <c r="S347" s="837">
        <f t="shared" si="132"/>
        <v>-2</v>
      </c>
      <c r="T347" s="178">
        <f t="shared" si="133"/>
        <v>4</v>
      </c>
      <c r="U347" s="253">
        <f t="shared" si="134"/>
        <v>-1.4355722104538047</v>
      </c>
      <c r="V347" s="385">
        <f t="shared" si="135"/>
        <v>16.950132143249682</v>
      </c>
      <c r="W347" s="404">
        <f t="shared" si="136"/>
        <v>10.796980734504062</v>
      </c>
      <c r="X347" s="157">
        <f t="shared" si="137"/>
        <v>46355</v>
      </c>
      <c r="Y347" s="387">
        <f t="shared" si="138"/>
        <v>8.9514704863845527</v>
      </c>
      <c r="Z347" s="387">
        <f t="shared" si="139"/>
        <v>9.6081377986441989</v>
      </c>
      <c r="AA347" s="388">
        <f t="shared" si="140"/>
        <v>10.989812099553959</v>
      </c>
      <c r="AB347" s="199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0.12572319602860516</v>
      </c>
      <c r="AD347" s="233">
        <f>(INDEX(Models!$BJ347:$BT347,,AH347)*(1-AF347)+INDEX(Models!$BJ347:$BT347,,AH347+1)*AF347-ERP_i)*AE347*Ramure*Pc/MaxiM</f>
        <v>0.27972316641683925</v>
      </c>
      <c r="AE347" s="307">
        <f t="shared" si="142"/>
        <v>1</v>
      </c>
      <c r="AF347" s="179">
        <f t="shared" si="143"/>
        <v>0.49941038246976577</v>
      </c>
      <c r="AG347" s="837">
        <f t="shared" si="149"/>
        <v>3</v>
      </c>
      <c r="AH347" s="178">
        <f t="shared" si="144"/>
        <v>9</v>
      </c>
      <c r="AI347" s="227">
        <f t="shared" si="145"/>
        <v>3.4994103824697658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46356</v>
      </c>
      <c r="B348" s="1139">
        <f>IF(t&gt;Tmaj,'2025'!Wh/'2025'!Env_an*'2026'!Env_an,0.001*'[13]mon-tableau (3)'!$B$231)</f>
        <v>4.3868674173753268</v>
      </c>
      <c r="C348" s="866"/>
      <c r="D348" s="395">
        <f t="shared" si="127"/>
        <v>4.7087914349773881</v>
      </c>
      <c r="E348" s="387">
        <f t="shared" si="125"/>
        <v>5.0942265125500468</v>
      </c>
      <c r="F348" s="387">
        <f t="shared" si="128"/>
        <v>5.0942265125500468</v>
      </c>
      <c r="G348" s="110">
        <f t="shared" si="126"/>
        <v>0.25419138198053842</v>
      </c>
      <c r="H348" s="414" t="b">
        <f>Wh_hp&gt;='2025'!Maxi_hp</f>
        <v>0</v>
      </c>
      <c r="I348" s="392">
        <f>IF(H348,Wh_hp,'2025'!Maxi_hp)</f>
        <v>19.841900082377851</v>
      </c>
      <c r="J348" s="85">
        <f>IF(H348,An,'2025'!An_max)</f>
        <v>2021</v>
      </c>
      <c r="K348" s="199">
        <f t="shared" si="129"/>
        <v>46356</v>
      </c>
      <c r="L348" s="147">
        <f>IF(t&lt;Tvie,1-EXP((T0-t)*PertePVj)+'2025'!Pspv,1-EXP((T0-t)*PertePVj)+Pspv)</f>
        <v>6.8366590885885592E-2</v>
      </c>
      <c r="M348" s="870"/>
      <c r="N348" s="870"/>
      <c r="O348" s="48">
        <f>IF(t&lt;Tnet,'2025'!Resal+('2025'!Salim-'2025'!Resal)*(1-EXP(('2025'!Tnet-t)/('2025'!Tau_j))),Resal+(Salim-Resal)*(1-EXP((Tnet-t)/(Tau_j))))*Salcycl</f>
        <v>7.5661158101844789E-2</v>
      </c>
      <c r="P348" s="171">
        <f>(INDEX(Models!$BJ348:$BT348,,T348)*(1-R348)+INDEX(Models!$BJ348:$BT348,,T348+1)*R348-ERP_i)*Q348*Ramure*Pc/MaxiM</f>
        <v>2.7228783025565782E-2</v>
      </c>
      <c r="Q348" s="307">
        <f t="shared" si="130"/>
        <v>1</v>
      </c>
      <c r="R348" s="179">
        <f t="shared" si="131"/>
        <v>0.56445178997748791</v>
      </c>
      <c r="S348" s="837">
        <f t="shared" si="132"/>
        <v>-2</v>
      </c>
      <c r="T348" s="178">
        <f t="shared" si="133"/>
        <v>4</v>
      </c>
      <c r="U348" s="253">
        <f t="shared" si="134"/>
        <v>-1.4355482100225121</v>
      </c>
      <c r="V348" s="385">
        <f t="shared" si="135"/>
        <v>16.788210218049077</v>
      </c>
      <c r="W348" s="404">
        <f t="shared" si="136"/>
        <v>4.3868674173753268</v>
      </c>
      <c r="X348" s="157">
        <f t="shared" si="137"/>
        <v>46356</v>
      </c>
      <c r="Y348" s="387">
        <f t="shared" si="138"/>
        <v>4.1492791903208941</v>
      </c>
      <c r="Z348" s="387">
        <f t="shared" si="139"/>
        <v>4.4537681342561806</v>
      </c>
      <c r="AA348" s="388">
        <f t="shared" si="140"/>
        <v>5.0942265125500468</v>
      </c>
      <c r="AB348" s="199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0.12572239901701351</v>
      </c>
      <c r="AD348" s="233">
        <f>(INDEX(Models!$BJ348:$BT348,,AH348)*(1-AF348)+INDEX(Models!$BJ348:$BT348,,AH348+1)*AF348-ERP_i)*AE348*Ramure*Pc/MaxiM</f>
        <v>0.28344087807390378</v>
      </c>
      <c r="AE348" s="307">
        <f t="shared" si="142"/>
        <v>1</v>
      </c>
      <c r="AF348" s="179">
        <f t="shared" si="143"/>
        <v>0.49943438290105835</v>
      </c>
      <c r="AG348" s="837">
        <f t="shared" si="149"/>
        <v>3</v>
      </c>
      <c r="AH348" s="178">
        <f t="shared" si="144"/>
        <v>9</v>
      </c>
      <c r="AI348" s="227">
        <f t="shared" si="145"/>
        <v>3.4994343829010583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46357</v>
      </c>
      <c r="B349" s="1139">
        <f>IF(t&gt;Tmaj,'2025'!Wh/'2025'!Env_an*'2026'!Env_an,0.001*'[14]mon-tableau (2)'!$B$208)</f>
        <v>3.7986096306632668</v>
      </c>
      <c r="C349" s="866"/>
      <c r="D349" s="395">
        <f t="shared" si="127"/>
        <v>4.0774600768430718</v>
      </c>
      <c r="E349" s="387">
        <f t="shared" si="125"/>
        <v>4.4118634896731024</v>
      </c>
      <c r="F349" s="387">
        <f t="shared" si="128"/>
        <v>4.4118634896731024</v>
      </c>
      <c r="G349" s="110">
        <f t="shared" si="126"/>
        <v>0.22211558050729888</v>
      </c>
      <c r="H349" s="414" t="b">
        <f>Wh_hp&gt;='2025'!Maxi_hp</f>
        <v>0</v>
      </c>
      <c r="I349" s="392">
        <f>IF(H349,Wh_hp,'2025'!Maxi_hp)</f>
        <v>18.774902602934571</v>
      </c>
      <c r="J349" s="85">
        <f>IF(H349,An,'2025'!An_max)</f>
        <v>2020</v>
      </c>
      <c r="K349" s="199">
        <f t="shared" si="129"/>
        <v>46357</v>
      </c>
      <c r="L349" s="147">
        <f>IF(t&lt;Tvie,1-EXP((T0-t)*PertePVj)+'2025'!Pspv,1-EXP((T0-t)*PertePVj)+Pspv)</f>
        <v>6.838827135634451E-2</v>
      </c>
      <c r="M349" s="870"/>
      <c r="N349" s="870"/>
      <c r="O349" s="48">
        <f>IF(t&lt;Tnet,'2025'!Resal+('2025'!Salim-'2025'!Resal)*(1-EXP(('2025'!Tnet-t)/('2025'!Tau_j))),Resal+(Salim-Resal)*(1-EXP((Tnet-t)/(Tau_j))))*Salcycl</f>
        <v>7.5796409751292704E-2</v>
      </c>
      <c r="P349" s="171">
        <f>(INDEX(Models!$BJ349:$BT349,,T349)*(1-R349)+INDEX(Models!$BJ349:$BT349,,T349+1)*R349-ERP_i)*Q349*Ramure*Pc/MaxiM</f>
        <v>2.7615277124816935E-2</v>
      </c>
      <c r="Q349" s="307">
        <f t="shared" si="130"/>
        <v>1</v>
      </c>
      <c r="R349" s="179">
        <f t="shared" si="131"/>
        <v>0.56447482562813356</v>
      </c>
      <c r="S349" s="837">
        <f t="shared" si="132"/>
        <v>-2</v>
      </c>
      <c r="T349" s="178">
        <f t="shared" si="133"/>
        <v>4</v>
      </c>
      <c r="U349" s="253">
        <f t="shared" si="134"/>
        <v>-1.4355251743718664</v>
      </c>
      <c r="V349" s="385">
        <f t="shared" si="135"/>
        <v>16.629675255501148</v>
      </c>
      <c r="W349" s="404">
        <f t="shared" si="136"/>
        <v>3.7986096306632668</v>
      </c>
      <c r="X349" s="157">
        <f t="shared" si="137"/>
        <v>46357</v>
      </c>
      <c r="Y349" s="387">
        <f t="shared" si="138"/>
        <v>3.5933927900383074</v>
      </c>
      <c r="Z349" s="387">
        <f t="shared" si="139"/>
        <v>3.8571785643681946</v>
      </c>
      <c r="AA349" s="388">
        <f t="shared" si="140"/>
        <v>4.4118634896731024</v>
      </c>
      <c r="AB349" s="199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0.12572576794437651</v>
      </c>
      <c r="AD349" s="233">
        <f>(INDEX(Models!$BJ349:$BT349,,AH349)*(1-AF349)+INDEX(Models!$BJ349:$BT349,,AH349+1)*AF349-ERP_i)*AE349*Ramure*Pc/MaxiM</f>
        <v>0.28707781335040927</v>
      </c>
      <c r="AE349" s="307">
        <f t="shared" si="142"/>
        <v>1</v>
      </c>
      <c r="AF349" s="179">
        <f t="shared" si="143"/>
        <v>0.499457418551704</v>
      </c>
      <c r="AG349" s="837">
        <f t="shared" si="149"/>
        <v>3</v>
      </c>
      <c r="AH349" s="178">
        <f t="shared" si="144"/>
        <v>9</v>
      </c>
      <c r="AI349" s="227">
        <f t="shared" si="145"/>
        <v>3.499457418551704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46358</v>
      </c>
      <c r="B350" s="1139">
        <f>IF(t&gt;Tmaj,'2025'!Wh/'2025'!Env_an*'2026'!Env_an,0.001*'[14]mon-tableau (2)'!$B$209)</f>
        <v>5.2463077525409689</v>
      </c>
      <c r="C350" s="866"/>
      <c r="D350" s="395">
        <f t="shared" si="127"/>
        <v>5.6315626814470585</v>
      </c>
      <c r="E350" s="387">
        <f t="shared" si="125"/>
        <v>6.0943275860267043</v>
      </c>
      <c r="F350" s="387">
        <f t="shared" si="128"/>
        <v>6.0988258339344954</v>
      </c>
      <c r="G350" s="110">
        <f t="shared" si="126"/>
        <v>0.30974209552954174</v>
      </c>
      <c r="H350" s="414" t="b">
        <f>Wh_hp&gt;='2025'!Maxi_hp</f>
        <v>0</v>
      </c>
      <c r="I350" s="392">
        <f>IF(H350,Wh_hp,'2025'!Maxi_hp)</f>
        <v>8.2901078959824659</v>
      </c>
      <c r="J350" s="85">
        <f>IF(H350,An,'2025'!An_max)</f>
        <v>2021</v>
      </c>
      <c r="K350" s="199">
        <f t="shared" si="129"/>
        <v>46358</v>
      </c>
      <c r="L350" s="147">
        <f>IF(t&lt;Tvie,1-EXP((T0-t)*PertePVj)+'2025'!Pspv,1-EXP((T0-t)*PertePVj)+Pspv)</f>
        <v>6.8409951322267126E-2</v>
      </c>
      <c r="M350" s="870"/>
      <c r="N350" s="870"/>
      <c r="O350" s="48">
        <f>IF(t&lt;Tnet,'2025'!Resal+('2025'!Salim-'2025'!Resal)*(1-EXP(('2025'!Tnet-t)/('2025'!Tau_j))),Resal+(Salim-Resal)*(1-EXP((Tnet-t)/(Tau_j))))*Salcycl</f>
        <v>7.5933710166924767E-2</v>
      </c>
      <c r="P350" s="171">
        <f>(INDEX(Models!$BJ350:$BT350,,T350)*(1-R350)+INDEX(Models!$BJ350:$BT350,,T350+1)*R350-ERP_i)*Q350*Ramure*Pc/MaxiM</f>
        <v>2.8009451482467904E-2</v>
      </c>
      <c r="Q350" s="307">
        <f t="shared" si="130"/>
        <v>1</v>
      </c>
      <c r="R350" s="179">
        <f t="shared" si="131"/>
        <v>0.56449693522112421</v>
      </c>
      <c r="S350" s="837">
        <f t="shared" si="132"/>
        <v>-2</v>
      </c>
      <c r="T350" s="178">
        <f t="shared" si="133"/>
        <v>4</v>
      </c>
      <c r="U350" s="253">
        <f t="shared" si="134"/>
        <v>-1.4355030647788758</v>
      </c>
      <c r="V350" s="385">
        <f t="shared" si="135"/>
        <v>16.475401578210022</v>
      </c>
      <c r="W350" s="404">
        <f t="shared" si="136"/>
        <v>5.2463077525409689</v>
      </c>
      <c r="X350" s="157">
        <f t="shared" si="137"/>
        <v>46358</v>
      </c>
      <c r="Y350" s="387">
        <f t="shared" si="138"/>
        <v>4.9292261906360944</v>
      </c>
      <c r="Z350" s="387">
        <f t="shared" si="139"/>
        <v>5.2911966992696735</v>
      </c>
      <c r="AA350" s="388">
        <f t="shared" si="140"/>
        <v>6.0521537834318933</v>
      </c>
      <c r="AB350" s="199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0.12573326974033319</v>
      </c>
      <c r="AD350" s="233">
        <f>(INDEX(Models!$BJ350:$BT350,,AH350)*(1-AF350)+INDEX(Models!$BJ350:$BT350,,AH350+1)*AF350-ERP_i)*AE350*Ramure*Pc/MaxiM</f>
        <v>0.29061504855605419</v>
      </c>
      <c r="AE350" s="307">
        <f t="shared" si="142"/>
        <v>1</v>
      </c>
      <c r="AF350" s="179">
        <f t="shared" si="143"/>
        <v>0.49947952814469465</v>
      </c>
      <c r="AG350" s="837">
        <f t="shared" si="149"/>
        <v>3</v>
      </c>
      <c r="AH350" s="178">
        <f t="shared" si="144"/>
        <v>9</v>
      </c>
      <c r="AI350" s="227">
        <f t="shared" si="145"/>
        <v>3.4994795281446947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46359</v>
      </c>
      <c r="B351" s="1139">
        <f>IF(t&gt;Tmaj,'2025'!Wh/'2025'!Env_an*'2026'!Env_an,0.001*'[14]mon-tableau (2)'!$B$210)</f>
        <v>8.244753929604002</v>
      </c>
      <c r="C351" s="866"/>
      <c r="D351" s="395">
        <f t="shared" si="127"/>
        <v>8.8504013253903793</v>
      </c>
      <c r="E351" s="387">
        <f t="shared" si="125"/>
        <v>9.5791136810407878</v>
      </c>
      <c r="F351" s="387">
        <f t="shared" si="128"/>
        <v>9.6594804045996856</v>
      </c>
      <c r="G351" s="110">
        <f t="shared" si="126"/>
        <v>0.49476900409593116</v>
      </c>
      <c r="H351" s="414" t="b">
        <f>Wh_hp&gt;='2025'!Maxi_hp</f>
        <v>0</v>
      </c>
      <c r="I351" s="392">
        <f>IF(H351,Wh_hp,'2025'!Maxi_hp)</f>
        <v>13.468073041251417</v>
      </c>
      <c r="J351" s="85">
        <f>IF(H351,An,'2025'!An_max)</f>
        <v>2021</v>
      </c>
      <c r="K351" s="199">
        <f t="shared" si="129"/>
        <v>46359</v>
      </c>
      <c r="L351" s="147">
        <f>IF(t&lt;Tvie,1-EXP((T0-t)*PertePVj)+'2025'!Pspv,1-EXP((T0-t)*PertePVj)+Pspv)</f>
        <v>6.843163078366532E-2</v>
      </c>
      <c r="M351" s="870"/>
      <c r="N351" s="870"/>
      <c r="O351" s="48">
        <f>IF(t&lt;Tnet,'2025'!Resal+('2025'!Salim-'2025'!Resal)*(1-EXP(('2025'!Tnet-t)/('2025'!Tau_j))),Resal+(Salim-Resal)*(1-EXP((Tnet-t)/(Tau_j))))*Salcycl</f>
        <v>7.6073045995131386E-2</v>
      </c>
      <c r="P351" s="171">
        <f>(INDEX(Models!$BJ351:$BT351,,T351)*(1-R351)+INDEX(Models!$BJ351:$BT351,,T351+1)*R351-ERP_i)*Q351*Ramure*Pc/MaxiM</f>
        <v>2.8409777271110392E-2</v>
      </c>
      <c r="Q351" s="307">
        <f t="shared" si="130"/>
        <v>1</v>
      </c>
      <c r="R351" s="179">
        <f t="shared" si="131"/>
        <v>0.56451815592995191</v>
      </c>
      <c r="S351" s="837">
        <f t="shared" si="132"/>
        <v>-2</v>
      </c>
      <c r="T351" s="178">
        <f t="shared" si="133"/>
        <v>4</v>
      </c>
      <c r="U351" s="253">
        <f t="shared" si="134"/>
        <v>-1.4354818440700481</v>
      </c>
      <c r="V351" s="385">
        <f t="shared" si="135"/>
        <v>16.326262995369522</v>
      </c>
      <c r="W351" s="404">
        <f t="shared" si="136"/>
        <v>8.244753929604002</v>
      </c>
      <c r="X351" s="157">
        <f t="shared" si="137"/>
        <v>46359</v>
      </c>
      <c r="Y351" s="387">
        <f t="shared" si="138"/>
        <v>7.1895378008697746</v>
      </c>
      <c r="Z351" s="387">
        <f t="shared" si="139"/>
        <v>7.7176705848416098</v>
      </c>
      <c r="AA351" s="388">
        <f t="shared" si="140"/>
        <v>8.8277096795562606</v>
      </c>
      <c r="AB351" s="199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0.12574485738756747</v>
      </c>
      <c r="AD351" s="233">
        <f>(INDEX(Models!$BJ351:$BT351,,AH351)*(1-AF351)+INDEX(Models!$BJ351:$BT351,,AH351+1)*AF351-ERP_i)*AE351*Ramure*Pc/MaxiM</f>
        <v>0.29403240536234793</v>
      </c>
      <c r="AE351" s="307">
        <f t="shared" si="142"/>
        <v>1</v>
      </c>
      <c r="AF351" s="179">
        <f t="shared" si="143"/>
        <v>0.49950074885352258</v>
      </c>
      <c r="AG351" s="837">
        <f t="shared" si="149"/>
        <v>3</v>
      </c>
      <c r="AH351" s="178">
        <f t="shared" si="144"/>
        <v>9</v>
      </c>
      <c r="AI351" s="227">
        <f t="shared" si="145"/>
        <v>3.4995007488535226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46360</v>
      </c>
      <c r="B352" s="1139">
        <f>IF(t&gt;Tmaj,'2025'!Wh/'2025'!Env_an*'2026'!Env_an,0.001*'[14]mon-tableau (2)'!$B$211)</f>
        <v>14.006106702189085</v>
      </c>
      <c r="C352" s="866"/>
      <c r="D352" s="395">
        <f t="shared" si="127"/>
        <v>15.035324421890419</v>
      </c>
      <c r="E352" s="387">
        <f t="shared" si="125"/>
        <v>16.275772591413411</v>
      </c>
      <c r="F352" s="387">
        <f t="shared" si="128"/>
        <v>16.663568684862401</v>
      </c>
      <c r="G352" s="110">
        <f t="shared" si="126"/>
        <v>0.86056442958442847</v>
      </c>
      <c r="H352" s="414" t="b">
        <f>Wh_hp&gt;='2025'!Maxi_hp</f>
        <v>0</v>
      </c>
      <c r="I352" s="392">
        <f>IF(H352,Wh_hp,'2025'!Maxi_hp)</f>
        <v>16.724996040685195</v>
      </c>
      <c r="J352" s="85">
        <f>IF(H352,An,'2025'!An_max)</f>
        <v>2025</v>
      </c>
      <c r="K352" s="199">
        <f t="shared" si="129"/>
        <v>46360</v>
      </c>
      <c r="L352" s="147">
        <f>IF(t&lt;Tvie,1-EXP((T0-t)*PertePVj)+'2025'!Pspv,1-EXP((T0-t)*PertePVj)+Pspv)</f>
        <v>6.8453309740550861E-2</v>
      </c>
      <c r="M352" s="870"/>
      <c r="N352" s="870"/>
      <c r="O352" s="48">
        <f>IF(t&lt;Tnet,'2025'!Resal+('2025'!Salim-'2025'!Resal)*(1-EXP(('2025'!Tnet-t)/('2025'!Tau_j))),Resal+(Salim-Resal)*(1-EXP((Tnet-t)/(Tau_j))))*Salcycl</f>
        <v>7.6214395510626254E-2</v>
      </c>
      <c r="P352" s="171">
        <f>(INDEX(Models!$BJ352:$BT352,,T352)*(1-R352)+INDEX(Models!$BJ352:$BT352,,T352+1)*R352-ERP_i)*Q352*Ramure*Pc/MaxiM</f>
        <v>2.8808696071487696E-2</v>
      </c>
      <c r="Q352" s="307">
        <f t="shared" si="130"/>
        <v>1</v>
      </c>
      <c r="R352" s="179">
        <f t="shared" si="131"/>
        <v>0.56453852344024091</v>
      </c>
      <c r="S352" s="837">
        <f t="shared" si="132"/>
        <v>-2</v>
      </c>
      <c r="T352" s="178">
        <f t="shared" si="133"/>
        <v>4</v>
      </c>
      <c r="U352" s="253">
        <f t="shared" si="134"/>
        <v>-1.4354614765597591</v>
      </c>
      <c r="V352" s="385">
        <f t="shared" si="135"/>
        <v>16.183230778068737</v>
      </c>
      <c r="W352" s="404">
        <f t="shared" si="136"/>
        <v>14.006106702189085</v>
      </c>
      <c r="X352" s="157">
        <f t="shared" si="137"/>
        <v>46360</v>
      </c>
      <c r="Y352" s="387">
        <f t="shared" si="138"/>
        <v>10.311789327522357</v>
      </c>
      <c r="Z352" s="387">
        <f t="shared" si="139"/>
        <v>11.069535682264489</v>
      </c>
      <c r="AA352" s="388">
        <f t="shared" si="140"/>
        <v>12.661902498495515</v>
      </c>
      <c r="AB352" s="199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0.12576047054699957</v>
      </c>
      <c r="AD352" s="233">
        <f>(INDEX(Models!$BJ352:$BT352,,AH352)*(1-AF352)+INDEX(Models!$BJ352:$BT352,,AH352+1)*AF352-ERP_i)*AE352*Ramure*Pc/MaxiM</f>
        <v>0.29727680832802739</v>
      </c>
      <c r="AE352" s="307">
        <f t="shared" si="142"/>
        <v>1</v>
      </c>
      <c r="AF352" s="179">
        <f t="shared" si="143"/>
        <v>0.49952111636381158</v>
      </c>
      <c r="AG352" s="837">
        <f t="shared" si="149"/>
        <v>3</v>
      </c>
      <c r="AH352" s="178">
        <f t="shared" si="144"/>
        <v>9</v>
      </c>
      <c r="AI352" s="227">
        <f t="shared" si="145"/>
        <v>3.4995211163638116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46361</v>
      </c>
      <c r="B353" s="1139">
        <f>IF(t&gt;Tmaj,'2025'!Wh/'2025'!Env_an*'2026'!Env_an,0.001*'[14]mon-tableau (2)'!$B$212)</f>
        <v>16.438843824085211</v>
      </c>
      <c r="C353" s="866"/>
      <c r="D353" s="395">
        <f t="shared" si="127"/>
        <v>17.647238255251473</v>
      </c>
      <c r="E353" s="387">
        <f t="shared" si="125"/>
        <v>19.106139691532718</v>
      </c>
      <c r="F353" s="387">
        <f t="shared" si="128"/>
        <v>19.680771499615481</v>
      </c>
      <c r="G353" s="110">
        <f t="shared" si="126"/>
        <v>1.0244001947458024</v>
      </c>
      <c r="H353" s="414" t="b">
        <f>Wh_hp&gt;='2025'!Maxi_hp</f>
        <v>1</v>
      </c>
      <c r="I353" s="392">
        <f>IF(H353,Wh_hp,'2025'!Maxi_hp)</f>
        <v>19.680771499615481</v>
      </c>
      <c r="J353" s="85">
        <f>IF(H353,An,'2025'!An_max)</f>
        <v>2026</v>
      </c>
      <c r="K353" s="199">
        <f t="shared" si="129"/>
        <v>46361</v>
      </c>
      <c r="L353" s="147">
        <f>IF(t&lt;Tvie,1-EXP((T0-t)*PertePVj)+'2025'!Pspv,1-EXP((T0-t)*PertePVj)+Pspv)</f>
        <v>6.8474988192935293E-2</v>
      </c>
      <c r="M353" s="870"/>
      <c r="N353" s="870"/>
      <c r="O353" s="48">
        <f>IF(t&lt;Tnet,'2025'!Resal+('2025'!Salim-'2025'!Resal)*(1-EXP(('2025'!Tnet-t)/('2025'!Tau_j))),Resal+(Salim-Resal)*(1-EXP((Tnet-t)/(Tau_j))))*Salcycl</f>
        <v>7.6357728972733768E-2</v>
      </c>
      <c r="P353" s="171">
        <f>(INDEX(Models!$BJ353:$BT353,,T353)*(1-R353)+INDEX(Models!$BJ353:$BT353,,T353+1)*R353-ERP_i)*Q353*Ramure*Pc/MaxiM</f>
        <v>2.9197626124260051E-2</v>
      </c>
      <c r="Q353" s="307">
        <f t="shared" si="130"/>
        <v>1</v>
      </c>
      <c r="R353" s="179">
        <f t="shared" si="131"/>
        <v>0.56455807200895736</v>
      </c>
      <c r="S353" s="837">
        <f t="shared" si="132"/>
        <v>-2</v>
      </c>
      <c r="T353" s="178">
        <f t="shared" si="133"/>
        <v>4</v>
      </c>
      <c r="U353" s="253">
        <f t="shared" si="134"/>
        <v>-1.4354419279910426</v>
      </c>
      <c r="V353" s="385">
        <f t="shared" si="135"/>
        <v>16.047286898617187</v>
      </c>
      <c r="W353" s="404">
        <f t="shared" si="136"/>
        <v>16.438843824085211</v>
      </c>
      <c r="X353" s="157">
        <f t="shared" si="137"/>
        <v>46361</v>
      </c>
      <c r="Y353" s="387">
        <f t="shared" si="138"/>
        <v>11.213122241384792</v>
      </c>
      <c r="Z353" s="387">
        <f t="shared" si="139"/>
        <v>12.037381819337801</v>
      </c>
      <c r="AA353" s="388">
        <f t="shared" si="140"/>
        <v>13.769282696058083</v>
      </c>
      <c r="AB353" s="199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0.12578003625534503</v>
      </c>
      <c r="AD353" s="233">
        <f>(INDEX(Models!$BJ353:$BT353,,AH353)*(1-AF353)+INDEX(Models!$BJ353:$BT353,,AH353+1)*AF353-ERP_i)*AE353*Ramure*Pc/MaxiM</f>
        <v>0.30036875351522158</v>
      </c>
      <c r="AE353" s="307">
        <f t="shared" si="142"/>
        <v>1</v>
      </c>
      <c r="AF353" s="179">
        <f t="shared" si="143"/>
        <v>0.4995406649325278</v>
      </c>
      <c r="AG353" s="837">
        <f t="shared" si="149"/>
        <v>3</v>
      </c>
      <c r="AH353" s="178">
        <f t="shared" si="144"/>
        <v>9</v>
      </c>
      <c r="AI353" s="227">
        <f t="shared" si="145"/>
        <v>3.4995406649325278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46362</v>
      </c>
      <c r="B354" s="1139">
        <f>IF(t&gt;Tmaj,'2025'!Wh/'2025'!Env_an*'2026'!Env_an,0.001*'[14]mon-tableau (2)'!$B$213)</f>
        <v>11.803646770171904</v>
      </c>
      <c r="C354" s="866"/>
      <c r="D354" s="395">
        <f t="shared" si="127"/>
        <v>12.671609795823288</v>
      </c>
      <c r="E354" s="387">
        <f t="shared" si="125"/>
        <v>13.721333063005362</v>
      </c>
      <c r="F354" s="387">
        <f t="shared" si="128"/>
        <v>13.982121560653688</v>
      </c>
      <c r="G354" s="110">
        <f t="shared" si="126"/>
        <v>0.73321475835815808</v>
      </c>
      <c r="H354" s="414" t="b">
        <f>Wh_hp&gt;='2025'!Maxi_hp</f>
        <v>0</v>
      </c>
      <c r="I354" s="392">
        <f>IF(H354,Wh_hp,'2025'!Maxi_hp)</f>
        <v>16.269133792401302</v>
      </c>
      <c r="J354" s="85">
        <f>IF(H354,An,'2025'!An_max)</f>
        <v>2020</v>
      </c>
      <c r="K354" s="199">
        <f t="shared" si="129"/>
        <v>46362</v>
      </c>
      <c r="L354" s="147">
        <f>IF(t&lt;Tvie,1-EXP((T0-t)*PertePVj)+'2025'!Pspv,1-EXP((T0-t)*PertePVj)+Pspv)</f>
        <v>6.8496666140830498E-2</v>
      </c>
      <c r="M354" s="870"/>
      <c r="N354" s="870"/>
      <c r="O354" s="48">
        <f>IF(t&lt;Tnet,'2025'!Resal+('2025'!Salim-'2025'!Resal)*(1-EXP(('2025'!Tnet-t)/('2025'!Tau_j))),Resal+(Salim-Resal)*(1-EXP((Tnet-t)/(Tau_j))))*Salcycl</f>
        <v>7.6503009027036592E-2</v>
      </c>
      <c r="P354" s="171">
        <f>(INDEX(Models!$BJ354:$BT354,,T354)*(1-R354)+INDEX(Models!$BJ354:$BT354,,T354+1)*R354-ERP_i)*Q354*Ramure*Pc/MaxiM</f>
        <v>2.957430983891601E-2</v>
      </c>
      <c r="Q354" s="307">
        <f t="shared" si="130"/>
        <v>1</v>
      </c>
      <c r="R354" s="179">
        <f t="shared" si="131"/>
        <v>0.56457683452128959</v>
      </c>
      <c r="S354" s="837">
        <f t="shared" si="132"/>
        <v>-2</v>
      </c>
      <c r="T354" s="178">
        <f t="shared" si="133"/>
        <v>4</v>
      </c>
      <c r="U354" s="253">
        <f t="shared" si="134"/>
        <v>-1.4354231654787104</v>
      </c>
      <c r="V354" s="385">
        <f t="shared" si="135"/>
        <v>15.919303368251031</v>
      </c>
      <c r="W354" s="404">
        <f t="shared" si="136"/>
        <v>11.803646770171904</v>
      </c>
      <c r="X354" s="157">
        <f t="shared" si="137"/>
        <v>46362</v>
      </c>
      <c r="Y354" s="387">
        <f t="shared" si="138"/>
        <v>9.2080772152652965</v>
      </c>
      <c r="Z354" s="387">
        <f t="shared" si="139"/>
        <v>9.8851790225126894</v>
      </c>
      <c r="AA354" s="388">
        <f t="shared" si="140"/>
        <v>11.30773079023272</v>
      </c>
      <c r="AB354" s="199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0.12580346968896608</v>
      </c>
      <c r="AD354" s="233">
        <f>(INDEX(Models!$BJ354:$BT354,,AH354)*(1-AF354)+INDEX(Models!$BJ354:$BT354,,AH354+1)*AF354-ERP_i)*AE354*Ramure*Pc/MaxiM</f>
        <v>0.30328508346033128</v>
      </c>
      <c r="AE354" s="307">
        <f t="shared" si="142"/>
        <v>1</v>
      </c>
      <c r="AF354" s="179">
        <f t="shared" si="143"/>
        <v>0.49955942744486004</v>
      </c>
      <c r="AG354" s="837">
        <f t="shared" si="149"/>
        <v>3</v>
      </c>
      <c r="AH354" s="178">
        <f t="shared" si="144"/>
        <v>9</v>
      </c>
      <c r="AI354" s="227">
        <f t="shared" si="145"/>
        <v>3.49955942744486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46363</v>
      </c>
      <c r="B355" s="1139">
        <f>IF(t&gt;Tmaj,'2025'!Wh/'2025'!Env_an*'2026'!Env_an,0.001*'[14]mon-tableau (2)'!$B$214)</f>
        <v>14.531204176402607</v>
      </c>
      <c r="C355" s="866"/>
      <c r="D355" s="395">
        <f t="shared" si="127"/>
        <v>15.60009698131601</v>
      </c>
      <c r="E355" s="387">
        <f t="shared" si="125"/>
        <v>16.895110424862004</v>
      </c>
      <c r="F355" s="387">
        <f t="shared" si="128"/>
        <v>17.355049012524326</v>
      </c>
      <c r="G355" s="110">
        <f t="shared" si="126"/>
        <v>0.91644283992627895</v>
      </c>
      <c r="H355" s="414" t="b">
        <f>Wh_hp&gt;='2025'!Maxi_hp</f>
        <v>0</v>
      </c>
      <c r="I355" s="392">
        <f>IF(H355,Wh_hp,'2025'!Maxi_hp)</f>
        <v>17.395805417330042</v>
      </c>
      <c r="J355" s="85">
        <f>IF(H355,An,'2025'!An_max)</f>
        <v>2025</v>
      </c>
      <c r="K355" s="199">
        <f t="shared" si="129"/>
        <v>46363</v>
      </c>
      <c r="L355" s="147">
        <f>IF(t&lt;Tvie,1-EXP((T0-t)*PertePVj)+'2025'!Pspv,1-EXP((T0-t)*PertePVj)+Pspv)</f>
        <v>6.8518343584248242E-2</v>
      </c>
      <c r="M355" s="870"/>
      <c r="N355" s="870"/>
      <c r="O355" s="48">
        <f>IF(t&lt;Tnet,'2025'!Resal+('2025'!Salim-'2025'!Resal)*(1-EXP(('2025'!Tnet-t)/('2025'!Tau_j))),Resal+(Salim-Resal)*(1-EXP((Tnet-t)/(Tau_j))))*Salcycl</f>
        <v>7.6650191148813954E-2</v>
      </c>
      <c r="P355" s="171">
        <f>(INDEX(Models!$BJ355:$BT355,,T355)*(1-R355)+INDEX(Models!$BJ355:$BT355,,T355+1)*R355-ERP_i)*Q355*Ramure*Pc/MaxiM</f>
        <v>2.9936374621258182E-2</v>
      </c>
      <c r="Q355" s="307">
        <f t="shared" si="130"/>
        <v>1</v>
      </c>
      <c r="R355" s="179">
        <f t="shared" si="131"/>
        <v>0.56459484254528869</v>
      </c>
      <c r="S355" s="837">
        <f t="shared" si="132"/>
        <v>-2</v>
      </c>
      <c r="T355" s="178">
        <f t="shared" si="133"/>
        <v>4</v>
      </c>
      <c r="U355" s="253">
        <f t="shared" si="134"/>
        <v>-1.4354051574547113</v>
      </c>
      <c r="V355" s="385">
        <f t="shared" si="135"/>
        <v>15.800151547976983</v>
      </c>
      <c r="W355" s="404">
        <f t="shared" si="136"/>
        <v>14.531204176402607</v>
      </c>
      <c r="X355" s="157">
        <f t="shared" si="137"/>
        <v>46363</v>
      </c>
      <c r="Y355" s="387">
        <f t="shared" si="138"/>
        <v>10.303543623785179</v>
      </c>
      <c r="Z355" s="387">
        <f t="shared" si="139"/>
        <v>11.061456286141141</v>
      </c>
      <c r="AA355" s="388">
        <f t="shared" si="140"/>
        <v>12.653677004718142</v>
      </c>
      <c r="AB355" s="199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0.12583067498746139</v>
      </c>
      <c r="AD355" s="233">
        <f>(INDEX(Models!$BJ355:$BT355,,AH355)*(1-AF355)+INDEX(Models!$BJ355:$BT355,,AH355+1)*AF355-ERP_i)*AE355*Ramure*Pc/MaxiM</f>
        <v>0.3060017955330005</v>
      </c>
      <c r="AE355" s="307">
        <f t="shared" si="142"/>
        <v>1</v>
      </c>
      <c r="AF355" s="179">
        <f t="shared" si="143"/>
        <v>0.49957743546885913</v>
      </c>
      <c r="AG355" s="837">
        <f t="shared" si="149"/>
        <v>3</v>
      </c>
      <c r="AH355" s="178">
        <f t="shared" si="144"/>
        <v>9</v>
      </c>
      <c r="AI355" s="227">
        <f t="shared" si="145"/>
        <v>3.4995774354688591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46364</v>
      </c>
      <c r="B356" s="1139">
        <f>IF(t&gt;Tmaj,'2025'!Wh/'2025'!Env_an*'2026'!Env_an,0.001*'[14]mon-tableau (2)'!$B$215)</f>
        <v>4.3403136839430898</v>
      </c>
      <c r="C356" s="866"/>
      <c r="D356" s="395">
        <f t="shared" si="127"/>
        <v>4.6596888536006018</v>
      </c>
      <c r="E356" s="387">
        <f t="shared" si="125"/>
        <v>5.0473190397626144</v>
      </c>
      <c r="F356" s="387">
        <f t="shared" si="128"/>
        <v>5.0473190397626144</v>
      </c>
      <c r="G356" s="110">
        <f t="shared" si="126"/>
        <v>0.26824058628627956</v>
      </c>
      <c r="H356" s="414" t="b">
        <f>Wh_hp&gt;='2025'!Maxi_hp</f>
        <v>0</v>
      </c>
      <c r="I356" s="392">
        <f>IF(H356,Wh_hp,'2025'!Maxi_hp)</f>
        <v>15.197501570723485</v>
      </c>
      <c r="J356" s="85">
        <f>IF(H356,An,'2025'!An_max)</f>
        <v>2019</v>
      </c>
      <c r="K356" s="199">
        <f t="shared" si="129"/>
        <v>46364</v>
      </c>
      <c r="L356" s="147">
        <f>IF(t&lt;Tvie,1-EXP((T0-t)*PertePVj)+'2025'!Pspv,1-EXP((T0-t)*PertePVj)+Pspv)</f>
        <v>6.8540020523200074E-2</v>
      </c>
      <c r="M356" s="870"/>
      <c r="N356" s="870"/>
      <c r="O356" s="48">
        <f>IF(t&lt;Tnet,'2025'!Resal+('2025'!Salim-'2025'!Resal)*(1-EXP(('2025'!Tnet-t)/('2025'!Tau_j))),Resal+(Salim-Resal)*(1-EXP((Tnet-t)/(Tau_j))))*Salcycl</f>
        <v>7.6799224124386556E-2</v>
      </c>
      <c r="P356" s="171">
        <f>(INDEX(Models!$BJ356:$BT356,,T356)*(1-R356)+INDEX(Models!$BJ356:$BT356,,T356+1)*R356-ERP_i)*Q356*Ramure*Pc/MaxiM</f>
        <v>3.0281347919397201E-2</v>
      </c>
      <c r="Q356" s="307">
        <f t="shared" si="130"/>
        <v>1</v>
      </c>
      <c r="R356" s="179">
        <f t="shared" si="131"/>
        <v>0.56461212638435621</v>
      </c>
      <c r="S356" s="837">
        <f t="shared" si="132"/>
        <v>-2</v>
      </c>
      <c r="T356" s="178">
        <f t="shared" si="133"/>
        <v>4</v>
      </c>
      <c r="U356" s="253">
        <f t="shared" si="134"/>
        <v>-1.4353878736156438</v>
      </c>
      <c r="V356" s="385">
        <f t="shared" si="135"/>
        <v>15.69070211734611</v>
      </c>
      <c r="W356" s="404">
        <f t="shared" si="136"/>
        <v>4.3403136839430898</v>
      </c>
      <c r="X356" s="157">
        <f t="shared" si="137"/>
        <v>46364</v>
      </c>
      <c r="Y356" s="387">
        <f t="shared" si="138"/>
        <v>4.1096532760105688</v>
      </c>
      <c r="Z356" s="387">
        <f t="shared" si="139"/>
        <v>4.4120556616065851</v>
      </c>
      <c r="AA356" s="388">
        <f t="shared" si="140"/>
        <v>5.0473190397626144</v>
      </c>
      <c r="AB356" s="199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0.12586154613002359</v>
      </c>
      <c r="AD356" s="233">
        <f>(INDEX(Models!$BJ356:$BT356,,AH356)*(1-AF356)+INDEX(Models!$BJ356:$BT356,,AH356+1)*AF356-ERP_i)*AE356*Ramure*Pc/MaxiM</f>
        <v>0.30849423342921217</v>
      </c>
      <c r="AE356" s="307">
        <f t="shared" si="142"/>
        <v>1</v>
      </c>
      <c r="AF356" s="179">
        <f t="shared" si="143"/>
        <v>0.49959471930792665</v>
      </c>
      <c r="AG356" s="837">
        <f t="shared" si="149"/>
        <v>3</v>
      </c>
      <c r="AH356" s="178">
        <f t="shared" si="144"/>
        <v>9</v>
      </c>
      <c r="AI356" s="227">
        <f t="shared" si="145"/>
        <v>3.4995947193079266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46365</v>
      </c>
      <c r="B357" s="1139">
        <f>IF(t&gt;Tmaj,'2025'!Wh/'2025'!Env_an*'2026'!Env_an,0.001*'[14]mon-tableau (2)'!$B$216)</f>
        <v>8.2775845234530099</v>
      </c>
      <c r="C357" s="866"/>
      <c r="D357" s="395">
        <f t="shared" si="127"/>
        <v>8.8868843984796673</v>
      </c>
      <c r="E357" s="387">
        <f t="shared" si="125"/>
        <v>9.6277394348279142</v>
      </c>
      <c r="F357" s="387">
        <f t="shared" si="128"/>
        <v>9.7259276070103091</v>
      </c>
      <c r="G357" s="110">
        <f t="shared" si="126"/>
        <v>0.51989231737167818</v>
      </c>
      <c r="H357" s="414" t="b">
        <f>Wh_hp&gt;='2025'!Maxi_hp</f>
        <v>0</v>
      </c>
      <c r="I357" s="392">
        <f>IF(H357,Wh_hp,'2025'!Maxi_hp)</f>
        <v>9.8635040892331691</v>
      </c>
      <c r="J357" s="85">
        <f>IF(H357,An,'2025'!An_max)</f>
        <v>2025</v>
      </c>
      <c r="K357" s="199">
        <f t="shared" si="129"/>
        <v>46365</v>
      </c>
      <c r="L357" s="147">
        <f>IF(t&lt;Tvie,1-EXP((T0-t)*PertePVj)+'2025'!Pspv,1-EXP((T0-t)*PertePVj)+Pspv)</f>
        <v>6.8561696957697982E-2</v>
      </c>
      <c r="M357" s="870"/>
      <c r="N357" s="870"/>
      <c r="O357" s="48">
        <f>IF(t&lt;Tnet,'2025'!Resal+('2025'!Salim-'2025'!Resal)*(1-EXP(('2025'!Tnet-t)/('2025'!Tau_j))),Resal+(Salim-Resal)*(1-EXP((Tnet-t)/(Tau_j))))*Salcycl</f>
        <v>7.6950050566204187E-2</v>
      </c>
      <c r="P357" s="171">
        <f>(INDEX(Models!$BJ357:$BT357,,T357)*(1-R357)+INDEX(Models!$BJ357:$BT357,,T357+1)*R357-ERP_i)*Q357*Ramure*Pc/MaxiM</f>
        <v>3.0606676351769356E-2</v>
      </c>
      <c r="Q357" s="307">
        <f t="shared" si="130"/>
        <v>1</v>
      </c>
      <c r="R357" s="179">
        <f t="shared" si="131"/>
        <v>0.56462871512766055</v>
      </c>
      <c r="S357" s="837">
        <f t="shared" si="132"/>
        <v>-2</v>
      </c>
      <c r="T357" s="178">
        <f t="shared" si="133"/>
        <v>4</v>
      </c>
      <c r="U357" s="253">
        <f t="shared" si="134"/>
        <v>-1.4353712848723394</v>
      </c>
      <c r="V357" s="385">
        <f t="shared" si="135"/>
        <v>15.591825058350304</v>
      </c>
      <c r="W357" s="404">
        <f t="shared" si="136"/>
        <v>8.2775845234530099</v>
      </c>
      <c r="X357" s="157">
        <f t="shared" si="137"/>
        <v>46365</v>
      </c>
      <c r="Y357" s="387">
        <f t="shared" si="138"/>
        <v>7.1069754820570656</v>
      </c>
      <c r="Z357" s="387">
        <f t="shared" si="139"/>
        <v>7.6301086812126693</v>
      </c>
      <c r="AA357" s="388">
        <f t="shared" si="140"/>
        <v>8.7290624463868056</v>
      </c>
      <c r="AB357" s="199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0.125895967857238</v>
      </c>
      <c r="AD357" s="233">
        <f>(INDEX(Models!$BJ357:$BT357,,AH357)*(1-AF357)+INDEX(Models!$BJ357:$BT357,,AH357+1)*AF357-ERP_i)*AE357*Ramure*Pc/MaxiM</f>
        <v>0.31073731855279935</v>
      </c>
      <c r="AE357" s="307">
        <f t="shared" si="142"/>
        <v>1</v>
      </c>
      <c r="AF357" s="179">
        <f t="shared" si="143"/>
        <v>0.499611308051231</v>
      </c>
      <c r="AG357" s="837">
        <f t="shared" si="149"/>
        <v>3</v>
      </c>
      <c r="AH357" s="178">
        <f t="shared" si="144"/>
        <v>9</v>
      </c>
      <c r="AI357" s="227">
        <f t="shared" si="145"/>
        <v>3.499611308051231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46366</v>
      </c>
      <c r="B358" s="1139">
        <f>IF(t&gt;Tmaj,'2025'!Wh/'2025'!Env_an*'2026'!Env_an,0.001*'[14]mon-tableau (2)'!$B$217)</f>
        <v>12.130523438511753</v>
      </c>
      <c r="C358" s="866"/>
      <c r="D358" s="395">
        <f t="shared" si="127"/>
        <v>13.023735120685027</v>
      </c>
      <c r="E358" s="387">
        <f t="shared" si="125"/>
        <v>14.111791002900736</v>
      </c>
      <c r="F358" s="387">
        <f t="shared" si="128"/>
        <v>14.418927373136572</v>
      </c>
      <c r="G358" s="110">
        <f t="shared" si="126"/>
        <v>0.77471133537081294</v>
      </c>
      <c r="H358" s="414" t="b">
        <f>Wh_hp&gt;='2025'!Maxi_hp</f>
        <v>0</v>
      </c>
      <c r="I358" s="392">
        <f>IF(H358,Wh_hp,'2025'!Maxi_hp)</f>
        <v>16.709769802628212</v>
      </c>
      <c r="J358" s="85">
        <f>IF(H358,An,'2025'!An_max)</f>
        <v>2019</v>
      </c>
      <c r="K358" s="199">
        <f t="shared" si="129"/>
        <v>46366</v>
      </c>
      <c r="L358" s="147">
        <f>IF(t&lt;Tvie,1-EXP((T0-t)*PertePVj)+'2025'!Pspv,1-EXP((T0-t)*PertePVj)+Pspv)</f>
        <v>6.8583372887753513E-2</v>
      </c>
      <c r="M358" s="870"/>
      <c r="N358" s="870"/>
      <c r="O358" s="48">
        <f>IF(t&lt;Tnet,'2025'!Resal+('2025'!Salim-'2025'!Resal)*(1-EXP(('2025'!Tnet-t)/('2025'!Tau_j))),Resal+(Salim-Resal)*(1-EXP((Tnet-t)/(Tau_j))))*Salcycl</f>
        <v>7.7102607457271322E-2</v>
      </c>
      <c r="P358" s="171">
        <f>(INDEX(Models!$BJ358:$BT358,,T358)*(1-R358)+INDEX(Models!$BJ358:$BT358,,T358+1)*R358-ERP_i)*Q358*Ramure*Pc/MaxiM</f>
        <v>3.0909749102886637E-2</v>
      </c>
      <c r="Q358" s="307">
        <f t="shared" si="130"/>
        <v>1</v>
      </c>
      <c r="R358" s="179">
        <f t="shared" si="131"/>
        <v>0.56464463669856269</v>
      </c>
      <c r="S358" s="837">
        <f t="shared" si="132"/>
        <v>-2</v>
      </c>
      <c r="T358" s="178">
        <f t="shared" si="133"/>
        <v>4</v>
      </c>
      <c r="U358" s="253">
        <f t="shared" si="134"/>
        <v>-1.4353553633014373</v>
      </c>
      <c r="V358" s="385">
        <f t="shared" si="135"/>
        <v>15.504389630940617</v>
      </c>
      <c r="W358" s="404">
        <f t="shared" si="136"/>
        <v>12.130523438511753</v>
      </c>
      <c r="X358" s="157">
        <f t="shared" si="137"/>
        <v>46366</v>
      </c>
      <c r="Y358" s="387">
        <f t="shared" si="138"/>
        <v>9.2090862445776445</v>
      </c>
      <c r="Z358" s="387">
        <f t="shared" si="139"/>
        <v>9.8871825738492465</v>
      </c>
      <c r="AA358" s="388">
        <f t="shared" si="140"/>
        <v>11.311709298415828</v>
      </c>
      <c r="AB358" s="199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0.12593381663070868</v>
      </c>
      <c r="AD358" s="233">
        <f>(INDEX(Models!$BJ358:$BT358,,AH358)*(1-AF358)+INDEX(Models!$BJ358:$BT358,,AH358+1)*AF358-ERP_i)*AE358*Ramure*Pc/MaxiM</f>
        <v>0.31270582192472085</v>
      </c>
      <c r="AE358" s="307">
        <f t="shared" si="142"/>
        <v>1</v>
      </c>
      <c r="AF358" s="179">
        <f t="shared" si="143"/>
        <v>0.49962722962213313</v>
      </c>
      <c r="AG358" s="837">
        <f t="shared" si="149"/>
        <v>3</v>
      </c>
      <c r="AH358" s="178">
        <f t="shared" si="144"/>
        <v>9</v>
      </c>
      <c r="AI358" s="227">
        <f t="shared" si="145"/>
        <v>3.4996272296221331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46367</v>
      </c>
      <c r="B359" s="1139">
        <f>IF(t&gt;Tmaj,'2025'!Wh/'2025'!Env_an*'2026'!Env_an,0.001*'[14]mon-tableau (2)'!$B$218)</f>
        <v>12.71110416286435</v>
      </c>
      <c r="C359" s="866"/>
      <c r="D359" s="395">
        <f t="shared" si="127"/>
        <v>13.647383572185333</v>
      </c>
      <c r="E359" s="387">
        <f t="shared" si="125"/>
        <v>14.790013047377624</v>
      </c>
      <c r="F359" s="387">
        <f t="shared" si="128"/>
        <v>15.143588033967905</v>
      </c>
      <c r="G359" s="110">
        <f t="shared" si="126"/>
        <v>0.81734208335369918</v>
      </c>
      <c r="H359" s="414" t="b">
        <f>Wh_hp&gt;='2025'!Maxi_hp</f>
        <v>0</v>
      </c>
      <c r="I359" s="392">
        <f>IF(H359,Wh_hp,'2025'!Maxi_hp)</f>
        <v>15.226876392716589</v>
      </c>
      <c r="J359" s="85">
        <f>IF(H359,An,'2025'!An_max)</f>
        <v>2025</v>
      </c>
      <c r="K359" s="199">
        <f t="shared" si="129"/>
        <v>46367</v>
      </c>
      <c r="L359" s="147">
        <f>IF(t&lt;Tvie,1-EXP((T0-t)*PertePVj)+'2025'!Pspv,1-EXP((T0-t)*PertePVj)+Pspv)</f>
        <v>6.8605048313378547E-2</v>
      </c>
      <c r="M359" s="870"/>
      <c r="N359" s="870"/>
      <c r="O359" s="48">
        <f>IF(t&lt;Tnet,'2025'!Resal+('2025'!Salim-'2025'!Resal)*(1-EXP(('2025'!Tnet-t)/('2025'!Tau_j))),Resal+(Salim-Resal)*(1-EXP((Tnet-t)/(Tau_j))))*Salcycl</f>
        <v>7.7256826720304067E-2</v>
      </c>
      <c r="P359" s="171">
        <f>(INDEX(Models!$BJ359:$BT359,,T359)*(1-R359)+INDEX(Models!$BJ359:$BT359,,T359+1)*R359-ERP_i)*Q359*Ramure*Pc/MaxiM</f>
        <v>3.1192667780331571E-2</v>
      </c>
      <c r="Q359" s="307">
        <f t="shared" si="130"/>
        <v>1</v>
      </c>
      <c r="R359" s="179">
        <f t="shared" si="131"/>
        <v>0.56465991790113068</v>
      </c>
      <c r="S359" s="837">
        <f t="shared" si="132"/>
        <v>-2</v>
      </c>
      <c r="T359" s="178">
        <f t="shared" si="133"/>
        <v>4</v>
      </c>
      <c r="U359" s="253">
        <f t="shared" si="134"/>
        <v>-1.4353400820988693</v>
      </c>
      <c r="V359" s="385">
        <f t="shared" si="135"/>
        <v>15.426843139065307</v>
      </c>
      <c r="W359" s="404">
        <f t="shared" si="136"/>
        <v>12.71110416286435</v>
      </c>
      <c r="X359" s="157">
        <f t="shared" si="137"/>
        <v>46367</v>
      </c>
      <c r="Y359" s="387">
        <f t="shared" si="138"/>
        <v>9.4264757287516758</v>
      </c>
      <c r="Z359" s="387">
        <f t="shared" si="139"/>
        <v>10.120814710968416</v>
      </c>
      <c r="AA359" s="388">
        <f t="shared" si="140"/>
        <v>11.579547800779563</v>
      </c>
      <c r="AB359" s="199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0.12597496162267591</v>
      </c>
      <c r="AD359" s="233">
        <f>(INDEX(Models!$BJ359:$BT359,,AH359)*(1-AF359)+INDEX(Models!$BJ359:$BT359,,AH359+1)*AF359-ERP_i)*AE359*Ramure*Pc/MaxiM</f>
        <v>0.31442247660580214</v>
      </c>
      <c r="AE359" s="307">
        <f t="shared" si="142"/>
        <v>1</v>
      </c>
      <c r="AF359" s="179">
        <f t="shared" si="143"/>
        <v>0.49964251082470135</v>
      </c>
      <c r="AG359" s="837">
        <f t="shared" si="149"/>
        <v>3</v>
      </c>
      <c r="AH359" s="178">
        <f t="shared" si="144"/>
        <v>9</v>
      </c>
      <c r="AI359" s="227">
        <f t="shared" si="145"/>
        <v>3.4996425108247013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46368</v>
      </c>
      <c r="B360" s="1139">
        <f>IF(t&gt;Tmaj,'2025'!Wh/'2025'!Env_an*'2026'!Env_an,0.001*'[14]mon-tableau (2)'!$B$219)</f>
        <v>4.4159484630355124</v>
      </c>
      <c r="C360" s="866"/>
      <c r="D360" s="395">
        <f t="shared" si="127"/>
        <v>4.7413304345296954</v>
      </c>
      <c r="E360" s="387">
        <f t="shared" si="125"/>
        <v>5.1391668892801832</v>
      </c>
      <c r="F360" s="387">
        <f t="shared" si="128"/>
        <v>5.1391668892801832</v>
      </c>
      <c r="G360" s="110">
        <f t="shared" si="126"/>
        <v>0.27850450745590732</v>
      </c>
      <c r="H360" s="414" t="b">
        <f>Wh_hp&gt;='2025'!Maxi_hp</f>
        <v>0</v>
      </c>
      <c r="I360" s="392">
        <f>IF(H360,Wh_hp,'2025'!Maxi_hp)</f>
        <v>18.180866502884243</v>
      </c>
      <c r="J360" s="85">
        <f>IF(H360,An,'2025'!An_max)</f>
        <v>2021</v>
      </c>
      <c r="K360" s="199">
        <f t="shared" si="129"/>
        <v>46368</v>
      </c>
      <c r="L360" s="147">
        <f>IF(t&lt;Tvie,1-EXP((T0-t)*PertePVj)+'2025'!Pspv,1-EXP((T0-t)*PertePVj)+Pspv)</f>
        <v>6.8626723234584741E-2</v>
      </c>
      <c r="M360" s="870"/>
      <c r="N360" s="870"/>
      <c r="O360" s="48">
        <f>IF(t&lt;Tnet,'2025'!Resal+('2025'!Salim-'2025'!Resal)*(1-EXP(('2025'!Tnet-t)/('2025'!Tau_j))),Resal+(Salim-Resal)*(1-EXP((Tnet-t)/(Tau_j))))*Salcycl</f>
        <v>7.7412635806853661E-2</v>
      </c>
      <c r="P360" s="171">
        <f>(INDEX(Models!$BJ360:$BT360,,T360)*(1-R360)+INDEX(Models!$BJ360:$BT360,,T360+1)*R360-ERP_i)*Q360*Ramure*Pc/MaxiM</f>
        <v>3.1458778432718937E-2</v>
      </c>
      <c r="Q360" s="307">
        <f t="shared" si="130"/>
        <v>1</v>
      </c>
      <c r="R360" s="179">
        <f t="shared" si="131"/>
        <v>0.56467458446481134</v>
      </c>
      <c r="S360" s="837">
        <f t="shared" si="132"/>
        <v>-2</v>
      </c>
      <c r="T360" s="178">
        <f t="shared" si="133"/>
        <v>4</v>
      </c>
      <c r="U360" s="253">
        <f t="shared" si="134"/>
        <v>-1.4353254155351887</v>
      </c>
      <c r="V360" s="385">
        <f t="shared" si="135"/>
        <v>15.357123508831215</v>
      </c>
      <c r="W360" s="404">
        <f t="shared" si="136"/>
        <v>4.4159484630355124</v>
      </c>
      <c r="X360" s="157">
        <f t="shared" si="137"/>
        <v>46368</v>
      </c>
      <c r="Y360" s="387">
        <f t="shared" si="138"/>
        <v>4.1832936695463863</v>
      </c>
      <c r="Z360" s="387">
        <f t="shared" si="139"/>
        <v>4.4915328514412929</v>
      </c>
      <c r="AA360" s="388">
        <f t="shared" si="140"/>
        <v>5.1391668892801832</v>
      </c>
      <c r="AB360" s="199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0.12601926572764036</v>
      </c>
      <c r="AD360" s="233">
        <f>(INDEX(Models!$BJ360:$BT360,,AH360)*(1-AF360)+INDEX(Models!$BJ360:$BT360,,AH360+1)*AF360-ERP_i)*AE360*Ramure*Pc/MaxiM</f>
        <v>0.31592228747208617</v>
      </c>
      <c r="AE360" s="307">
        <f t="shared" si="142"/>
        <v>1</v>
      </c>
      <c r="AF360" s="179">
        <f t="shared" si="143"/>
        <v>0.49965717738838178</v>
      </c>
      <c r="AG360" s="837">
        <f t="shared" si="149"/>
        <v>3</v>
      </c>
      <c r="AH360" s="178">
        <f t="shared" si="144"/>
        <v>9</v>
      </c>
      <c r="AI360" s="227">
        <f t="shared" si="145"/>
        <v>3.4996571773883818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46369</v>
      </c>
      <c r="B361" s="1139">
        <f>IF(t&gt;Tmaj,'2025'!Wh/'2025'!Env_an*'2026'!Env_an,0.001*'[14]mon-tableau (2)'!$B$220)</f>
        <v>5.3171972078646332</v>
      </c>
      <c r="C361" s="866"/>
      <c r="D361" s="395">
        <f t="shared" si="127"/>
        <v>5.7091190850545637</v>
      </c>
      <c r="E361" s="387">
        <f t="shared" ref="E361:E379" si="150">Wh_pvt/(1-Psa)</f>
        <v>6.1892163383385386</v>
      </c>
      <c r="F361" s="387">
        <f t="shared" si="128"/>
        <v>6.2025951192610487</v>
      </c>
      <c r="G361" s="110">
        <f t="shared" ref="G361:G379" si="151">+Wh_hp/MaxiM</f>
        <v>0.33734026320220567</v>
      </c>
      <c r="H361" s="414" t="b">
        <f>Wh_hp&gt;='2025'!Maxi_hp</f>
        <v>0</v>
      </c>
      <c r="I361" s="392">
        <f>IF(H361,Wh_hp,'2025'!Maxi_hp)</f>
        <v>18.504532146725122</v>
      </c>
      <c r="J361" s="85">
        <f>IF(H361,An,'2025'!An_max)</f>
        <v>2021</v>
      </c>
      <c r="K361" s="199">
        <f t="shared" si="129"/>
        <v>46369</v>
      </c>
      <c r="L361" s="147">
        <f>IF(t&lt;Tvie,1-EXP((T0-t)*PertePVj)+'2025'!Pspv,1-EXP((T0-t)*PertePVj)+Pspv)</f>
        <v>6.8648397651383863E-2</v>
      </c>
      <c r="M361" s="870"/>
      <c r="N361" s="870"/>
      <c r="O361" s="48">
        <f>IF(t&lt;Tnet,'2025'!Resal+('2025'!Salim-'2025'!Resal)*(1-EXP(('2025'!Tnet-t)/('2025'!Tau_j))),Resal+(Salim-Resal)*(1-EXP((Tnet-t)/(Tau_j))))*Salcycl</f>
        <v>7.7569958301514919E-2</v>
      </c>
      <c r="P361" s="171">
        <f>(INDEX(Models!$BJ361:$BT361,,T361)*(1-R361)+INDEX(Models!$BJ361:$BT361,,T361+1)*R361-ERP_i)*Q361*Ramure*Pc/MaxiM</f>
        <v>3.1698688325853375E-2</v>
      </c>
      <c r="Q361" s="307">
        <f t="shared" si="130"/>
        <v>1</v>
      </c>
      <c r="R361" s="179">
        <f t="shared" si="131"/>
        <v>0.56468866108733762</v>
      </c>
      <c r="S361" s="837">
        <f t="shared" si="132"/>
        <v>-2</v>
      </c>
      <c r="T361" s="178">
        <f t="shared" si="133"/>
        <v>4</v>
      </c>
      <c r="U361" s="253">
        <f t="shared" si="134"/>
        <v>-1.4353113389126624</v>
      </c>
      <c r="V361" s="385">
        <f t="shared" si="135"/>
        <v>15.295471829322871</v>
      </c>
      <c r="W361" s="404">
        <f t="shared" si="136"/>
        <v>5.3171972078646332</v>
      </c>
      <c r="X361" s="157">
        <f t="shared" si="137"/>
        <v>46369</v>
      </c>
      <c r="Y361" s="387">
        <f t="shared" si="138"/>
        <v>4.9395517588257354</v>
      </c>
      <c r="Z361" s="387">
        <f t="shared" si="139"/>
        <v>5.3036380099304337</v>
      </c>
      <c r="AA361" s="388">
        <f t="shared" si="140"/>
        <v>6.0686980592990514</v>
      </c>
      <c r="AB361" s="199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0.12606658658792855</v>
      </c>
      <c r="AD361" s="233">
        <f>(INDEX(Models!$BJ361:$BT361,,AH361)*(1-AF361)+INDEX(Models!$BJ361:$BT361,,AH361+1)*AF361-ERP_i)*AE361*Ramure*Pc/MaxiM</f>
        <v>0.31724573382781152</v>
      </c>
      <c r="AE361" s="307">
        <f t="shared" si="142"/>
        <v>1</v>
      </c>
      <c r="AF361" s="179">
        <f t="shared" si="143"/>
        <v>0.49967125401090806</v>
      </c>
      <c r="AG361" s="837">
        <f t="shared" si="149"/>
        <v>3</v>
      </c>
      <c r="AH361" s="178">
        <f t="shared" si="144"/>
        <v>9</v>
      </c>
      <c r="AI361" s="227">
        <f t="shared" si="145"/>
        <v>3.4996712540109081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46370</v>
      </c>
      <c r="B362" s="1139">
        <f>IF(t&gt;Tmaj,'2025'!Wh/'2025'!Env_an*'2026'!Env_an,0.001*'[14]mon-tableau (2)'!$B$221)</f>
        <v>12.522247656242678</v>
      </c>
      <c r="C362" s="866"/>
      <c r="D362" s="395">
        <f t="shared" si="127"/>
        <v>13.445554871482194</v>
      </c>
      <c r="E362" s="387">
        <f t="shared" si="150"/>
        <v>14.578741725349875</v>
      </c>
      <c r="F362" s="387">
        <f t="shared" si="128"/>
        <v>14.933823047881969</v>
      </c>
      <c r="G362" s="110">
        <f t="shared" si="151"/>
        <v>0.81471651697067937</v>
      </c>
      <c r="H362" s="414" t="b">
        <f>Wh_hp&gt;='2025'!Maxi_hp</f>
        <v>0</v>
      </c>
      <c r="I362" s="392">
        <f>IF(H362,Wh_hp,'2025'!Maxi_hp)</f>
        <v>18.47305077116031</v>
      </c>
      <c r="J362" s="85">
        <f>IF(H362,An,'2025'!An_max)</f>
        <v>2021</v>
      </c>
      <c r="K362" s="199">
        <f t="shared" si="129"/>
        <v>46370</v>
      </c>
      <c r="L362" s="147">
        <f>IF(t&lt;Tvie,1-EXP((T0-t)*PertePVj)+'2025'!Pspv,1-EXP((T0-t)*PertePVj)+Pspv)</f>
        <v>6.8670071563787682E-2</v>
      </c>
      <c r="M362" s="870"/>
      <c r="N362" s="870"/>
      <c r="O362" s="48">
        <f>IF(t&lt;Tnet,'2025'!Resal+('2025'!Salim-'2025'!Resal)*(1-EXP(('2025'!Tnet-t)/('2025'!Tau_j))),Resal+(Salim-Resal)*(1-EXP((Tnet-t)/(Tau_j))))*Salcycl</f>
        <v>7.7728714536266702E-2</v>
      </c>
      <c r="P362" s="171">
        <f>(INDEX(Models!$BJ362:$BT362,,T362)*(1-R362)+INDEX(Models!$BJ362:$BT362,,T362+1)*R362-ERP_i)*Q362*Ramure*Pc/MaxiM</f>
        <v>3.19116019158244E-2</v>
      </c>
      <c r="Q362" s="307">
        <f t="shared" si="130"/>
        <v>1</v>
      </c>
      <c r="R362" s="179">
        <f t="shared" si="131"/>
        <v>0.5647021714759346</v>
      </c>
      <c r="S362" s="837">
        <f t="shared" si="132"/>
        <v>-2</v>
      </c>
      <c r="T362" s="178">
        <f t="shared" si="133"/>
        <v>4</v>
      </c>
      <c r="U362" s="253">
        <f t="shared" si="134"/>
        <v>-1.4352978285240654</v>
      </c>
      <c r="V362" s="385">
        <f t="shared" si="135"/>
        <v>15.241992445775917</v>
      </c>
      <c r="W362" s="404">
        <f t="shared" si="136"/>
        <v>12.522247656242678</v>
      </c>
      <c r="X362" s="157">
        <f t="shared" si="137"/>
        <v>46370</v>
      </c>
      <c r="Y362" s="387">
        <f t="shared" si="138"/>
        <v>9.2709295305745414</v>
      </c>
      <c r="Z362" s="387">
        <f t="shared" si="139"/>
        <v>9.954506182509645</v>
      </c>
      <c r="AA362" s="388">
        <f t="shared" si="140"/>
        <v>11.391117174051219</v>
      </c>
      <c r="AB362" s="199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0.12611677762512627</v>
      </c>
      <c r="AD362" s="233">
        <f>(INDEX(Models!$BJ362:$BT362,,AH362)*(1-AF362)+INDEX(Models!$BJ362:$BT362,,AH362+1)*AF362-ERP_i)*AE362*Ramure*Pc/MaxiM</f>
        <v>0.3183874013545776</v>
      </c>
      <c r="AE362" s="307">
        <f t="shared" si="142"/>
        <v>1</v>
      </c>
      <c r="AF362" s="179">
        <f t="shared" si="143"/>
        <v>0.49968476439950482</v>
      </c>
      <c r="AG362" s="837">
        <f t="shared" si="149"/>
        <v>3</v>
      </c>
      <c r="AH362" s="178">
        <f t="shared" si="144"/>
        <v>9</v>
      </c>
      <c r="AI362" s="227">
        <f t="shared" si="145"/>
        <v>3.4996847643995048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46371</v>
      </c>
      <c r="B363" s="1139">
        <f>IF(t&gt;Tmaj,'2025'!Wh/'2025'!Env_an*'2026'!Env_an,0.001*'[14]mon-tableau (2)'!$B$222)</f>
        <v>6.1404607375921687</v>
      </c>
      <c r="C363" s="866"/>
      <c r="D363" s="395">
        <f t="shared" si="127"/>
        <v>6.5933708892189378</v>
      </c>
      <c r="E363" s="387">
        <f t="shared" si="150"/>
        <v>7.1502992784675294</v>
      </c>
      <c r="F363" s="387">
        <f t="shared" si="128"/>
        <v>7.1845809057046708</v>
      </c>
      <c r="G363" s="110">
        <f t="shared" si="151"/>
        <v>0.39296897097331562</v>
      </c>
      <c r="H363" s="414" t="b">
        <f>Wh_hp&gt;='2025'!Maxi_hp</f>
        <v>0</v>
      </c>
      <c r="I363" s="392">
        <f>IF(H363,Wh_hp,'2025'!Maxi_hp)</f>
        <v>17.873939107740306</v>
      </c>
      <c r="J363" s="85">
        <f>IF(H363,An,'2025'!An_max)</f>
        <v>2021</v>
      </c>
      <c r="K363" s="199">
        <f t="shared" si="129"/>
        <v>46371</v>
      </c>
      <c r="L363" s="147">
        <f>IF(t&lt;Tvie,1-EXP((T0-t)*PertePVj)+'2025'!Pspv,1-EXP((T0-t)*PertePVj)+Pspv)</f>
        <v>6.8691744971807855E-2</v>
      </c>
      <c r="M363" s="870"/>
      <c r="N363" s="870"/>
      <c r="O363" s="48">
        <f>IF(t&lt;Tnet,'2025'!Resal+('2025'!Salim-'2025'!Resal)*(1-EXP(('2025'!Tnet-t)/('2025'!Tau_j))),Resal+(Salim-Resal)*(1-EXP((Tnet-t)/(Tau_j))))*Salcycl</f>
        <v>7.7888822209964029E-2</v>
      </c>
      <c r="P363" s="171">
        <f>(INDEX(Models!$BJ363:$BT363,,T363)*(1-R363)+INDEX(Models!$BJ363:$BT363,,T363+1)*R363-ERP_i)*Q363*Ramure*Pc/MaxiM</f>
        <v>3.209678914791738E-2</v>
      </c>
      <c r="Q363" s="307">
        <f t="shared" si="130"/>
        <v>1</v>
      </c>
      <c r="R363" s="179">
        <f t="shared" si="131"/>
        <v>0.56471513838689358</v>
      </c>
      <c r="S363" s="837">
        <f t="shared" si="132"/>
        <v>-2</v>
      </c>
      <c r="T363" s="178">
        <f t="shared" si="133"/>
        <v>4</v>
      </c>
      <c r="U363" s="253">
        <f t="shared" si="134"/>
        <v>-1.4352848616131064</v>
      </c>
      <c r="V363" s="385">
        <f t="shared" si="135"/>
        <v>15.196789567110221</v>
      </c>
      <c r="W363" s="404">
        <f t="shared" si="136"/>
        <v>6.1404607375921687</v>
      </c>
      <c r="X363" s="157">
        <f t="shared" si="137"/>
        <v>46371</v>
      </c>
      <c r="Y363" s="387">
        <f t="shared" si="138"/>
        <v>5.5692778291237053</v>
      </c>
      <c r="Z363" s="387">
        <f t="shared" si="139"/>
        <v>5.9800584812330637</v>
      </c>
      <c r="AA363" s="388">
        <f t="shared" si="140"/>
        <v>6.8435008564354911</v>
      </c>
      <c r="AB363" s="199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0.12616968906936923</v>
      </c>
      <c r="AD363" s="233">
        <f>(INDEX(Models!$BJ363:$BT363,,AH363)*(1-AF363)+INDEX(Models!$BJ363:$BT363,,AH363+1)*AF363-ERP_i)*AE363*Ramure*Pc/MaxiM</f>
        <v>0.31934232141971014</v>
      </c>
      <c r="AE363" s="307">
        <f t="shared" si="142"/>
        <v>1</v>
      </c>
      <c r="AF363" s="179">
        <f t="shared" si="143"/>
        <v>0.49969773131046402</v>
      </c>
      <c r="AG363" s="837">
        <f t="shared" si="149"/>
        <v>3</v>
      </c>
      <c r="AH363" s="178">
        <f t="shared" si="144"/>
        <v>9</v>
      </c>
      <c r="AI363" s="227">
        <f t="shared" si="145"/>
        <v>3.499697731310464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46372</v>
      </c>
      <c r="B364" s="1139">
        <f>IF(t&gt;Tmaj,'2025'!Wh/'2025'!Env_an*'2026'!Env_an,0.001*'[14]mon-tableau (2)'!$B$223)</f>
        <v>5.4224253402395162</v>
      </c>
      <c r="C364" s="866"/>
      <c r="D364" s="395">
        <f t="shared" si="127"/>
        <v>5.8225098957931278</v>
      </c>
      <c r="E364" s="387">
        <f t="shared" si="150"/>
        <v>6.3154304897050606</v>
      </c>
      <c r="F364" s="387">
        <f t="shared" si="128"/>
        <v>6.3322598699698256</v>
      </c>
      <c r="G364" s="110">
        <f t="shared" si="151"/>
        <v>0.34706646767587085</v>
      </c>
      <c r="H364" s="414" t="b">
        <f>Wh_hp&gt;='2025'!Maxi_hp</f>
        <v>0</v>
      </c>
      <c r="I364" s="392">
        <f>IF(H364,Wh_hp,'2025'!Maxi_hp)</f>
        <v>18.022426039936903</v>
      </c>
      <c r="J364" s="85">
        <f>IF(H364,An,'2025'!An_max)</f>
        <v>2021</v>
      </c>
      <c r="K364" s="199">
        <f t="shared" si="129"/>
        <v>46372</v>
      </c>
      <c r="L364" s="147">
        <f>IF(t&lt;Tvie,1-EXP((T0-t)*PertePVj)+'2025'!Pspv,1-EXP((T0-t)*PertePVj)+Pspv)</f>
        <v>6.8713417875456151E-2</v>
      </c>
      <c r="M364" s="870"/>
      <c r="N364" s="870"/>
      <c r="O364" s="48">
        <f>IF(t&lt;Tnet,'2025'!Resal+('2025'!Salim-'2025'!Resal)*(1-EXP(('2025'!Tnet-t)/('2025'!Tau_j))),Resal+(Salim-Resal)*(1-EXP((Tnet-t)/(Tau_j))))*Salcycl</f>
        <v>7.8050197008019434E-2</v>
      </c>
      <c r="P364" s="171">
        <f>(INDEX(Models!$BJ364:$BT364,,T364)*(1-R364)+INDEX(Models!$BJ364:$BT364,,T364+1)*R364-ERP_i)*Q364*Ramure*Pc/MaxiM</f>
        <v>3.2253591824773498E-2</v>
      </c>
      <c r="Q364" s="307">
        <f t="shared" si="130"/>
        <v>1</v>
      </c>
      <c r="R364" s="179">
        <f t="shared" si="131"/>
        <v>0.564727583663577</v>
      </c>
      <c r="S364" s="837">
        <f t="shared" si="132"/>
        <v>-2</v>
      </c>
      <c r="T364" s="178">
        <f t="shared" si="133"/>
        <v>4</v>
      </c>
      <c r="U364" s="253">
        <f t="shared" si="134"/>
        <v>-1.435272416336423</v>
      </c>
      <c r="V364" s="385">
        <f t="shared" si="135"/>
        <v>15.159967266138334</v>
      </c>
      <c r="W364" s="404">
        <f t="shared" si="136"/>
        <v>5.4224253402395162</v>
      </c>
      <c r="X364" s="157">
        <f t="shared" si="137"/>
        <v>46372</v>
      </c>
      <c r="Y364" s="387">
        <f t="shared" si="138"/>
        <v>5.0168652665255822</v>
      </c>
      <c r="Z364" s="387">
        <f t="shared" si="139"/>
        <v>5.3870262525211183</v>
      </c>
      <c r="AA364" s="388">
        <f t="shared" si="140"/>
        <v>6.1652339496023458</v>
      </c>
      <c r="AB364" s="199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0.12622516897861136</v>
      </c>
      <c r="AD364" s="233">
        <f>(INDEX(Models!$BJ364:$BT364,,AH364)*(1-AF364)+INDEX(Models!$BJ364:$BT364,,AH364+1)*AF364-ERP_i)*AE364*Ramure*Pc/MaxiM</f>
        <v>0.32010601548820233</v>
      </c>
      <c r="AE364" s="307">
        <f t="shared" si="142"/>
        <v>1</v>
      </c>
      <c r="AF364" s="179">
        <f t="shared" si="143"/>
        <v>0.49971017658714745</v>
      </c>
      <c r="AG364" s="837">
        <f t="shared" si="149"/>
        <v>3</v>
      </c>
      <c r="AH364" s="178">
        <f t="shared" si="144"/>
        <v>9</v>
      </c>
      <c r="AI364" s="227">
        <f t="shared" si="145"/>
        <v>3.4997101765871474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46373</v>
      </c>
      <c r="B365" s="1139">
        <f>IF(t&gt;Tmaj,'2025'!Wh/'2025'!Env_an*'2026'!Env_an,0.001*'[14]mon-tableau (2)'!$B$224)</f>
        <v>3.3606586911952885</v>
      </c>
      <c r="C365" s="866"/>
      <c r="D365" s="395">
        <f t="shared" si="127"/>
        <v>3.6087032337412555</v>
      </c>
      <c r="E365" s="387">
        <f t="shared" si="150"/>
        <v>3.9148982005738731</v>
      </c>
      <c r="F365" s="387">
        <f t="shared" si="128"/>
        <v>3.9148982005738731</v>
      </c>
      <c r="G365" s="110">
        <f t="shared" si="151"/>
        <v>0.21490321075460495</v>
      </c>
      <c r="H365" s="414" t="b">
        <f>Wh_hp&gt;='2025'!Maxi_hp</f>
        <v>0</v>
      </c>
      <c r="I365" s="392">
        <f>IF(H365,Wh_hp,'2025'!Maxi_hp)</f>
        <v>18.022391356123773</v>
      </c>
      <c r="J365" s="85">
        <f>IF(H365,An,'2025'!An_max)</f>
        <v>2021</v>
      </c>
      <c r="K365" s="199">
        <f t="shared" si="129"/>
        <v>46373</v>
      </c>
      <c r="L365" s="147">
        <f>IF(t&lt;Tvie,1-EXP((T0-t)*PertePVj)+'2025'!Pspv,1-EXP((T0-t)*PertePVj)+Pspv)</f>
        <v>6.8735090274744337E-2</v>
      </c>
      <c r="M365" s="870"/>
      <c r="N365" s="870"/>
      <c r="O365" s="48">
        <f>IF(t&lt;Tnet,'2025'!Resal+('2025'!Salim-'2025'!Resal)*(1-EXP(('2025'!Tnet-t)/('2025'!Tau_j))),Resal+(Salim-Resal)*(1-EXP((Tnet-t)/(Tau_j))))*Salcycl</f>
        <v>7.8212753217371908E-2</v>
      </c>
      <c r="P365" s="171">
        <f>(INDEX(Models!$BJ365:$BT365,,T365)*(1-R365)+INDEX(Models!$BJ365:$BT365,,T365+1)*R365-ERP_i)*Q365*Ramure*Pc/MaxiM</f>
        <v>3.238142963382707E-2</v>
      </c>
      <c r="Q365" s="307">
        <f t="shared" si="130"/>
        <v>1</v>
      </c>
      <c r="R365" s="179">
        <f t="shared" si="131"/>
        <v>0.5647395282729144</v>
      </c>
      <c r="S365" s="837">
        <f t="shared" si="132"/>
        <v>-2</v>
      </c>
      <c r="T365" s="178">
        <f t="shared" si="133"/>
        <v>4</v>
      </c>
      <c r="U365" s="253">
        <f t="shared" si="134"/>
        <v>-1.4352604717270856</v>
      </c>
      <c r="V365" s="385">
        <f t="shared" si="135"/>
        <v>15.131629475635272</v>
      </c>
      <c r="W365" s="404">
        <f t="shared" si="136"/>
        <v>3.3606586911952885</v>
      </c>
      <c r="X365" s="157">
        <f t="shared" si="137"/>
        <v>46373</v>
      </c>
      <c r="Y365" s="387">
        <f t="shared" si="138"/>
        <v>3.1854035994252921</v>
      </c>
      <c r="Z365" s="387">
        <f t="shared" si="139"/>
        <v>3.4205128596169896</v>
      </c>
      <c r="AA365" s="388">
        <f t="shared" si="140"/>
        <v>3.9148982005738731</v>
      </c>
      <c r="AB365" s="199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0.12628306424019226</v>
      </c>
      <c r="AD365" s="233">
        <f>(INDEX(Models!$BJ365:$BT365,,AH365)*(1-AF365)+INDEX(Models!$BJ365:$BT365,,AH365+1)*AF365-ERP_i)*AE365*Ramure*Pc/MaxiM</f>
        <v>0.32067453725496931</v>
      </c>
      <c r="AE365" s="307">
        <f t="shared" si="142"/>
        <v>1</v>
      </c>
      <c r="AF365" s="179">
        <f t="shared" si="143"/>
        <v>0.49972212119648507</v>
      </c>
      <c r="AG365" s="837">
        <f t="shared" si="149"/>
        <v>3</v>
      </c>
      <c r="AH365" s="178">
        <f t="shared" si="144"/>
        <v>9</v>
      </c>
      <c r="AI365" s="227">
        <f t="shared" si="145"/>
        <v>3.4997221211964851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46374</v>
      </c>
      <c r="B366" s="1139">
        <f>IF(t&gt;Tmaj,'2025'!Wh/'2025'!Env_an*'2026'!Env_an,0.001*'[14]mon-tableau (2)'!$B$225)</f>
        <v>13.083454455932694</v>
      </c>
      <c r="C366" s="866"/>
      <c r="D366" s="395">
        <f t="shared" si="127"/>
        <v>14.049449085306176</v>
      </c>
      <c r="E366" s="387">
        <f t="shared" si="150"/>
        <v>15.244237616466656</v>
      </c>
      <c r="F366" s="387">
        <f t="shared" si="128"/>
        <v>15.655120978677012</v>
      </c>
      <c r="G366" s="110">
        <f t="shared" si="151"/>
        <v>0.86023020524820171</v>
      </c>
      <c r="H366" s="414" t="b">
        <f>Wh_hp&gt;='2025'!Maxi_hp</f>
        <v>0</v>
      </c>
      <c r="I366" s="392">
        <f>IF(H366,Wh_hp,'2025'!Maxi_hp)</f>
        <v>18.412762938360004</v>
      </c>
      <c r="J366" s="85">
        <f>IF(H366,An,'2025'!An_max)</f>
        <v>2021</v>
      </c>
      <c r="K366" s="199">
        <f t="shared" si="129"/>
        <v>46374</v>
      </c>
      <c r="L366" s="147">
        <f>IF(t&lt;Tvie,1-EXP((T0-t)*PertePVj)+'2025'!Pspv,1-EXP((T0-t)*PertePVj)+Pspv)</f>
        <v>6.8756762169684071E-2</v>
      </c>
      <c r="M366" s="870"/>
      <c r="N366" s="870"/>
      <c r="O366" s="48">
        <f>IF(t&lt;Tnet,'2025'!Resal+('2025'!Salim-'2025'!Resal)*(1-EXP(('2025'!Tnet-t)/('2025'!Tau_j))),Resal+(Salim-Resal)*(1-EXP((Tnet-t)/(Tau_j))))*Salcycl</f>
        <v>7.8376404331947896E-2</v>
      </c>
      <c r="P366" s="171">
        <f>(INDEX(Models!$BJ366:$BT366,,T366)*(1-R366)+INDEX(Models!$BJ366:$BT366,,T366+1)*R366-ERP_i)*Q366*Ramure*Pc/MaxiM</f>
        <v>3.2473026699851457E-2</v>
      </c>
      <c r="Q366" s="307">
        <f t="shared" si="130"/>
        <v>1</v>
      </c>
      <c r="R366" s="179">
        <f t="shared" si="131"/>
        <v>0.56475099234045145</v>
      </c>
      <c r="S366" s="837">
        <f t="shared" si="132"/>
        <v>-2</v>
      </c>
      <c r="T366" s="178">
        <f t="shared" si="133"/>
        <v>4</v>
      </c>
      <c r="U366" s="253">
        <f t="shared" si="134"/>
        <v>-1.4352490076595485</v>
      </c>
      <c r="V366" s="385">
        <f t="shared" si="135"/>
        <v>15.111985872690308</v>
      </c>
      <c r="W366" s="404">
        <f t="shared" si="136"/>
        <v>13.083454455932694</v>
      </c>
      <c r="X366" s="157">
        <f t="shared" si="137"/>
        <v>46374</v>
      </c>
      <c r="Y366" s="387">
        <f t="shared" si="138"/>
        <v>9.4318552765105093</v>
      </c>
      <c r="Z366" s="387">
        <f t="shared" si="139"/>
        <v>10.128240284982461</v>
      </c>
      <c r="AA366" s="388">
        <f t="shared" si="140"/>
        <v>11.59292817818009</v>
      </c>
      <c r="AB366" s="199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0.12634322154729005</v>
      </c>
      <c r="AD366" s="233">
        <f>(INDEX(Models!$BJ366:$BT366,,AH366)*(1-AF366)+INDEX(Models!$BJ366:$BT366,,AH366+1)*AF366-ERP_i)*AE366*Ramure*Pc/MaxiM</f>
        <v>0.32104413904924067</v>
      </c>
      <c r="AE366" s="307">
        <f t="shared" si="142"/>
        <v>1</v>
      </c>
      <c r="AF366" s="179">
        <f t="shared" si="143"/>
        <v>0.49973358526402212</v>
      </c>
      <c r="AG366" s="837">
        <f t="shared" si="149"/>
        <v>3</v>
      </c>
      <c r="AH366" s="178">
        <f t="shared" si="144"/>
        <v>9</v>
      </c>
      <c r="AI366" s="227">
        <f t="shared" si="145"/>
        <v>3.4997335852640221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46375</v>
      </c>
      <c r="B367" s="1139">
        <f>IF(t&gt;Tmaj,'2025'!Wh/'2025'!Env_an*'2026'!Env_an,0.001*'[14]mon-tableau (2)'!$B$226)</f>
        <v>12.830735647799978</v>
      </c>
      <c r="C367" s="866"/>
      <c r="D367" s="395">
        <f t="shared" si="127"/>
        <v>13.778391856682411</v>
      </c>
      <c r="E367" s="387">
        <f t="shared" si="150"/>
        <v>14.95280073051318</v>
      </c>
      <c r="F367" s="387">
        <f t="shared" si="128"/>
        <v>15.344810932778909</v>
      </c>
      <c r="G367" s="110">
        <f t="shared" si="151"/>
        <v>0.8435663323733753</v>
      </c>
      <c r="H367" s="414" t="b">
        <f>Wh_hp&gt;='2025'!Maxi_hp</f>
        <v>0</v>
      </c>
      <c r="I367" s="392">
        <f>IF(H367,Wh_hp,'2025'!Maxi_hp)</f>
        <v>17.957139739546754</v>
      </c>
      <c r="J367" s="85">
        <f>IF(H367,An,'2025'!An_max)</f>
        <v>2021</v>
      </c>
      <c r="K367" s="199">
        <f t="shared" si="129"/>
        <v>46375</v>
      </c>
      <c r="L367" s="147">
        <f>IF(t&lt;Tvie,1-EXP((T0-t)*PertePVj)+'2025'!Pspv,1-EXP((T0-t)*PertePVj)+Pspv)</f>
        <v>6.8778433560287233E-2</v>
      </c>
      <c r="M367" s="870"/>
      <c r="N367" s="870"/>
      <c r="O367" s="48">
        <f>IF(t&lt;Tnet,'2025'!Resal+('2025'!Salim-'2025'!Resal)*(1-EXP(('2025'!Tnet-t)/('2025'!Tau_j))),Resal+(Salim-Resal)*(1-EXP((Tnet-t)/(Tau_j))))*Salcycl</f>
        <v>7.8541063643965542E-2</v>
      </c>
      <c r="P367" s="171">
        <f>(INDEX(Models!$BJ367:$BT367,,T367)*(1-R367)+INDEX(Models!$BJ367:$BT367,,T367+1)*R367-ERP_i)*Q367*Ramure*Pc/MaxiM</f>
        <v>3.253423252202417E-2</v>
      </c>
      <c r="Q367" s="307">
        <f t="shared" si="130"/>
        <v>1</v>
      </c>
      <c r="R367" s="179">
        <f t="shared" si="131"/>
        <v>0.56476199518400416</v>
      </c>
      <c r="S367" s="837">
        <f t="shared" si="132"/>
        <v>-2</v>
      </c>
      <c r="T367" s="178">
        <f t="shared" si="133"/>
        <v>4</v>
      </c>
      <c r="U367" s="253">
        <f t="shared" si="134"/>
        <v>-1.4352380048159958</v>
      </c>
      <c r="V367" s="385">
        <f t="shared" si="135"/>
        <v>15.101042230743248</v>
      </c>
      <c r="W367" s="404">
        <f t="shared" si="136"/>
        <v>12.830735647799978</v>
      </c>
      <c r="X367" s="157">
        <f t="shared" si="137"/>
        <v>46375</v>
      </c>
      <c r="Y367" s="387">
        <f t="shared" si="138"/>
        <v>9.3342699377724347</v>
      </c>
      <c r="Z367" s="387">
        <f t="shared" si="139"/>
        <v>10.023683164318912</v>
      </c>
      <c r="AA367" s="388">
        <f t="shared" si="140"/>
        <v>11.474068381345923</v>
      </c>
      <c r="AB367" s="199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0.12640548834317455</v>
      </c>
      <c r="AD367" s="233">
        <f>(INDEX(Models!$BJ367:$BT367,,AH367)*(1-AF367)+INDEX(Models!$BJ367:$BT367,,AH367+1)*AF367-ERP_i)*AE367*Ramure*Pc/MaxiM</f>
        <v>0.32124581828064186</v>
      </c>
      <c r="AE367" s="307">
        <f t="shared" si="142"/>
        <v>1</v>
      </c>
      <c r="AF367" s="179">
        <f t="shared" si="143"/>
        <v>0.49974458810757483</v>
      </c>
      <c r="AG367" s="837">
        <f t="shared" si="149"/>
        <v>3</v>
      </c>
      <c r="AH367" s="178">
        <f t="shared" si="144"/>
        <v>9</v>
      </c>
      <c r="AI367" s="227">
        <f t="shared" si="145"/>
        <v>3.4997445881075748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46376</v>
      </c>
      <c r="B368" s="1139">
        <f>IF(t&gt;Tmaj,'2025'!Wh/'2025'!Env_an*'2026'!Env_an,0.001*'[14]mon-tableau (2)'!$B$227)</f>
        <v>4.077703612110315</v>
      </c>
      <c r="C368" s="866"/>
      <c r="D368" s="395">
        <f t="shared" si="127"/>
        <v>4.3789777378431047</v>
      </c>
      <c r="E368" s="387">
        <f t="shared" si="150"/>
        <v>4.7530764367354994</v>
      </c>
      <c r="F368" s="387">
        <f t="shared" si="128"/>
        <v>4.7530764367354994</v>
      </c>
      <c r="G368" s="110">
        <f t="shared" si="151"/>
        <v>0.26127159603214895</v>
      </c>
      <c r="H368" s="414" t="b">
        <f>Wh_hp&gt;='2025'!Maxi_hp</f>
        <v>0</v>
      </c>
      <c r="I368" s="392">
        <f>IF(H368,Wh_hp,'2025'!Maxi_hp)</f>
        <v>18.802231330650311</v>
      </c>
      <c r="J368" s="85">
        <f>IF(H368,An,'2025'!An_max)</f>
        <v>2021</v>
      </c>
      <c r="K368" s="199">
        <f t="shared" si="129"/>
        <v>46376</v>
      </c>
      <c r="L368" s="147">
        <f>IF(t&lt;Tvie,1-EXP((T0-t)*PertePVj)+'2025'!Pspv,1-EXP((T0-t)*PertePVj)+Pspv)</f>
        <v>6.8800104446565369E-2</v>
      </c>
      <c r="M368" s="870"/>
      <c r="N368" s="870"/>
      <c r="O368" s="48">
        <f>IF(t&lt;Tnet,'2025'!Resal+('2025'!Salim-'2025'!Resal)*(1-EXP(('2025'!Tnet-t)/('2025'!Tau_j))),Resal+(Salim-Resal)*(1-EXP((Tnet-t)/(Tau_j))))*Salcycl</f>
        <v>7.8706644816621582E-2</v>
      </c>
      <c r="P368" s="171">
        <f>(INDEX(Models!$BJ368:$BT368,,T368)*(1-R368)+INDEX(Models!$BJ368:$BT368,,T368+1)*R368-ERP_i)*Q368*Ramure*Pc/MaxiM</f>
        <v>3.2564742305968813E-2</v>
      </c>
      <c r="Q368" s="307">
        <f t="shared" si="130"/>
        <v>1</v>
      </c>
      <c r="R368" s="179">
        <f t="shared" si="131"/>
        <v>0.5647725553459777</v>
      </c>
      <c r="S368" s="837">
        <f t="shared" si="132"/>
        <v>-2</v>
      </c>
      <c r="T368" s="178">
        <f t="shared" si="133"/>
        <v>4</v>
      </c>
      <c r="U368" s="253">
        <f t="shared" si="134"/>
        <v>-1.4352274446540223</v>
      </c>
      <c r="V368" s="385">
        <f t="shared" si="135"/>
        <v>15.098902080027138</v>
      </c>
      <c r="W368" s="404">
        <f t="shared" si="136"/>
        <v>4.077703612110315</v>
      </c>
      <c r="X368" s="157">
        <f t="shared" si="137"/>
        <v>46376</v>
      </c>
      <c r="Y368" s="387">
        <f t="shared" si="138"/>
        <v>3.866301198835798</v>
      </c>
      <c r="Z368" s="387">
        <f t="shared" si="139"/>
        <v>4.1519562204610878</v>
      </c>
      <c r="AA368" s="388">
        <f t="shared" si="140"/>
        <v>4.7530764367354994</v>
      </c>
      <c r="AB368" s="199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0.12646971372656307</v>
      </c>
      <c r="AD368" s="233">
        <f>(INDEX(Models!$BJ368:$BT368,,AH368)*(1-AF368)+INDEX(Models!$BJ368:$BT368,,AH368+1)*AF368-ERP_i)*AE368*Ramure*Pc/MaxiM</f>
        <v>0.32127745328616547</v>
      </c>
      <c r="AE368" s="307">
        <f t="shared" si="142"/>
        <v>1</v>
      </c>
      <c r="AF368" s="179">
        <f t="shared" si="143"/>
        <v>0.49975514826954814</v>
      </c>
      <c r="AG368" s="837">
        <f t="shared" si="149"/>
        <v>3</v>
      </c>
      <c r="AH368" s="178">
        <f t="shared" si="144"/>
        <v>9</v>
      </c>
      <c r="AI368" s="227">
        <f t="shared" si="145"/>
        <v>3.4997551482695481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46377</v>
      </c>
      <c r="B369" s="1139">
        <f>IF(t&gt;Tmaj,'2025'!Wh/'2025'!Env_an*'2026'!Env_an,0.001*'[14]mon-tableau (2)'!$B$228)</f>
        <v>14.865058658351433</v>
      </c>
      <c r="C369" s="866"/>
      <c r="D369" s="395">
        <f t="shared" si="127"/>
        <v>15.963709477435582</v>
      </c>
      <c r="E369" s="387">
        <f t="shared" si="150"/>
        <v>17.330629282883706</v>
      </c>
      <c r="F369" s="387">
        <f t="shared" si="128"/>
        <v>17.900276021710773</v>
      </c>
      <c r="G369" s="110">
        <f t="shared" si="151"/>
        <v>0.98331836665397376</v>
      </c>
      <c r="H369" s="414" t="b">
        <f>Wh_hp&gt;='2025'!Maxi_hp</f>
        <v>0</v>
      </c>
      <c r="I369" s="392">
        <f>IF(H369,Wh_hp,'2025'!Maxi_hp)</f>
        <v>17.909865836496117</v>
      </c>
      <c r="J369" s="85">
        <f>IF(H369,An,'2025'!An_max)</f>
        <v>2025</v>
      </c>
      <c r="K369" s="199">
        <f t="shared" si="129"/>
        <v>46377</v>
      </c>
      <c r="L369" s="147">
        <f>IF(t&lt;Tvie,1-EXP((T0-t)*PertePVj)+'2025'!Pspv,1-EXP((T0-t)*PertePVj)+Pspv)</f>
        <v>6.8821774828530469E-2</v>
      </c>
      <c r="M369" s="870"/>
      <c r="N369" s="870"/>
      <c r="O369" s="48">
        <f>IF(t&lt;Tnet,'2025'!Resal+('2025'!Salim-'2025'!Resal)*(1-EXP(('2025'!Tnet-t)/('2025'!Tau_j))),Resal+(Salim-Resal)*(1-EXP((Tnet-t)/(Tau_j))))*Salcycl</f>
        <v>7.8873062433926583E-2</v>
      </c>
      <c r="P369" s="171">
        <f>(INDEX(Models!$BJ369:$BT369,,T369)*(1-R369)+INDEX(Models!$BJ369:$BT369,,T369+1)*R369-ERP_i)*Q369*Ramure*Pc/MaxiM</f>
        <v>3.2564349715800481E-2</v>
      </c>
      <c r="Q369" s="307">
        <f t="shared" si="130"/>
        <v>1</v>
      </c>
      <c r="R369" s="179">
        <f t="shared" si="131"/>
        <v>0.56478269062439956</v>
      </c>
      <c r="S369" s="837">
        <f t="shared" si="132"/>
        <v>-2</v>
      </c>
      <c r="T369" s="178">
        <f t="shared" si="133"/>
        <v>4</v>
      </c>
      <c r="U369" s="253">
        <f t="shared" si="134"/>
        <v>-1.4352173093756004</v>
      </c>
      <c r="V369" s="385">
        <f t="shared" si="135"/>
        <v>15.105668817938259</v>
      </c>
      <c r="W369" s="404">
        <f t="shared" si="136"/>
        <v>14.865058658351433</v>
      </c>
      <c r="X369" s="157">
        <f t="shared" si="137"/>
        <v>46377</v>
      </c>
      <c r="Y369" s="387">
        <f t="shared" si="138"/>
        <v>9.9900898303707741</v>
      </c>
      <c r="Z369" s="387">
        <f t="shared" si="139"/>
        <v>10.728440120612973</v>
      </c>
      <c r="AA369" s="388">
        <f t="shared" si="140"/>
        <v>12.282632188049304</v>
      </c>
      <c r="AB369" s="199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0.12653574931182263</v>
      </c>
      <c r="AD369" s="233">
        <f>(INDEX(Models!$BJ369:$BT369,,AH369)*(1-AF369)+INDEX(Models!$BJ369:$BT369,,AH369+1)*AF369-ERP_i)*AE369*Ramure*Pc/MaxiM</f>
        <v>0.32113748031777506</v>
      </c>
      <c r="AE369" s="307">
        <f t="shared" si="142"/>
        <v>1</v>
      </c>
      <c r="AF369" s="179">
        <f t="shared" si="143"/>
        <v>0.49976528354797001</v>
      </c>
      <c r="AG369" s="837">
        <f t="shared" si="149"/>
        <v>3</v>
      </c>
      <c r="AH369" s="178">
        <f t="shared" si="144"/>
        <v>9</v>
      </c>
      <c r="AI369" s="227">
        <f t="shared" si="145"/>
        <v>3.49976528354797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46378</v>
      </c>
      <c r="B370" s="1139">
        <f>IF(t&gt;Tmaj,'2025'!Wh/'2025'!Env_an*'2026'!Env_an,0.001*'[14]mon-tableau (2)'!$B$229)</f>
        <v>13.184223655903272</v>
      </c>
      <c r="C370" s="866"/>
      <c r="D370" s="395">
        <f t="shared" si="127"/>
        <v>14.158976362190007</v>
      </c>
      <c r="E370" s="387">
        <f t="shared" si="150"/>
        <v>15.374152989321152</v>
      </c>
      <c r="F370" s="387">
        <f t="shared" si="128"/>
        <v>15.793938716075569</v>
      </c>
      <c r="G370" s="110">
        <f t="shared" si="151"/>
        <v>0.86655609165859171</v>
      </c>
      <c r="H370" s="414" t="b">
        <f>Wh_hp&gt;='2025'!Maxi_hp</f>
        <v>0</v>
      </c>
      <c r="I370" s="392">
        <f>IF(H370,Wh_hp,'2025'!Maxi_hp)</f>
        <v>17.758391649876643</v>
      </c>
      <c r="J370" s="85">
        <f>IF(H370,An,'2025'!An_max)</f>
        <v>2021</v>
      </c>
      <c r="K370" s="199">
        <f t="shared" si="129"/>
        <v>46378</v>
      </c>
      <c r="L370" s="147">
        <f>IF(t&lt;Tvie,1-EXP((T0-t)*PertePVj)+'2025'!Pspv,1-EXP((T0-t)*PertePVj)+Pspv)</f>
        <v>6.8843444706193968E-2</v>
      </c>
      <c r="M370" s="870"/>
      <c r="N370" s="870"/>
      <c r="O370" s="48">
        <f>IF(t&lt;Tnet,'2025'!Resal+('2025'!Salim-'2025'!Resal)*(1-EXP(('2025'!Tnet-t)/('2025'!Tau_j))),Resal+(Salim-Resal)*(1-EXP((Tnet-t)/(Tau_j))))*Salcycl</f>
        <v>7.9040232523717127E-2</v>
      </c>
      <c r="P370" s="171">
        <f>(INDEX(Models!$BJ370:$BT370,,T370)*(1-R370)+INDEX(Models!$BJ370:$BT370,,T370+1)*R370-ERP_i)*Q370*Ramure*Pc/MaxiM</f>
        <v>3.2532949782596417E-2</v>
      </c>
      <c r="Q370" s="307">
        <f t="shared" si="130"/>
        <v>1</v>
      </c>
      <c r="R370" s="179">
        <f t="shared" si="131"/>
        <v>0.56479241810271574</v>
      </c>
      <c r="S370" s="837">
        <f t="shared" si="132"/>
        <v>-2</v>
      </c>
      <c r="T370" s="178">
        <f t="shared" si="133"/>
        <v>4</v>
      </c>
      <c r="U370" s="253">
        <f t="shared" si="134"/>
        <v>-1.4352075818972843</v>
      </c>
      <c r="V370" s="385">
        <f t="shared" si="135"/>
        <v>15.121445727486044</v>
      </c>
      <c r="W370" s="404">
        <f t="shared" si="136"/>
        <v>13.184223655903272</v>
      </c>
      <c r="X370" s="157">
        <f t="shared" si="137"/>
        <v>46378</v>
      </c>
      <c r="Y370" s="387">
        <f t="shared" si="138"/>
        <v>9.4780034884341973</v>
      </c>
      <c r="Z370" s="387">
        <f t="shared" si="139"/>
        <v>10.17874323554928</v>
      </c>
      <c r="AA370" s="388">
        <f t="shared" si="140"/>
        <v>11.654205911387146</v>
      </c>
      <c r="AB370" s="199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0.12660345003825729</v>
      </c>
      <c r="AD370" s="233">
        <f>(INDEX(Models!$BJ370:$BT370,,AH370)*(1-AF370)+INDEX(Models!$BJ370:$BT370,,AH370+1)*AF370-ERP_i)*AE370*Ramure*Pc/MaxiM</f>
        <v>0.32082491343752834</v>
      </c>
      <c r="AE370" s="307">
        <f t="shared" si="142"/>
        <v>1</v>
      </c>
      <c r="AF370" s="179">
        <f t="shared" si="143"/>
        <v>0.49977501102628619</v>
      </c>
      <c r="AG370" s="837">
        <f t="shared" si="149"/>
        <v>3</v>
      </c>
      <c r="AH370" s="178">
        <f t="shared" si="144"/>
        <v>9</v>
      </c>
      <c r="AI370" s="227">
        <f t="shared" si="145"/>
        <v>3.4997750110262862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46379</v>
      </c>
      <c r="B371" s="1139">
        <f>IF(t&gt;Tmaj,'2025'!Wh/'2025'!Env_an*'2026'!Env_an,0.001*'[14]mon-tableau (2)'!$B$230)</f>
        <v>13.812202516014798</v>
      </c>
      <c r="C371" s="866"/>
      <c r="D371" s="395">
        <f t="shared" si="127"/>
        <v>14.833728952558101</v>
      </c>
      <c r="E371" s="387">
        <f t="shared" si="150"/>
        <v>16.109751311238757</v>
      </c>
      <c r="F371" s="387">
        <f t="shared" si="128"/>
        <v>16.580375219961958</v>
      </c>
      <c r="G371" s="110">
        <f t="shared" si="151"/>
        <v>0.90808200032979669</v>
      </c>
      <c r="H371" s="414" t="b">
        <f>Wh_hp&gt;='2025'!Maxi_hp</f>
        <v>0</v>
      </c>
      <c r="I371" s="392">
        <f>IF(H371,Wh_hp,'2025'!Maxi_hp)</f>
        <v>16.629275482027882</v>
      </c>
      <c r="J371" s="85">
        <f>IF(H371,An,'2025'!An_max)</f>
        <v>2025</v>
      </c>
      <c r="K371" s="199">
        <f t="shared" si="129"/>
        <v>46379</v>
      </c>
      <c r="L371" s="147">
        <f>IF(t&lt;Tvie,1-EXP((T0-t)*PertePVj)+'2025'!Pspv,1-EXP((T0-t)*PertePVj)+Pspv)</f>
        <v>6.8865114079567857E-2</v>
      </c>
      <c r="M371" s="870"/>
      <c r="N371" s="870"/>
      <c r="O371" s="48">
        <f>IF(t&lt;Tnet,'2025'!Resal+('2025'!Salim-'2025'!Resal)*(1-EXP(('2025'!Tnet-t)/('2025'!Tau_j))),Resal+(Salim-Resal)*(1-EXP((Tnet-t)/(Tau_j))))*Salcycl</f>
        <v>7.9208073050168998E-2</v>
      </c>
      <c r="P371" s="171">
        <f>(INDEX(Models!$BJ371:$BT371,,T371)*(1-R371)+INDEX(Models!$BJ371:$BT371,,T371+1)*R371-ERP_i)*Q371*Ramure*Pc/MaxiM</f>
        <v>3.2470225504683856E-2</v>
      </c>
      <c r="Q371" s="307">
        <f t="shared" si="130"/>
        <v>1</v>
      </c>
      <c r="R371" s="179">
        <f t="shared" si="131"/>
        <v>0.56479241810271574</v>
      </c>
      <c r="S371" s="837">
        <f t="shared" si="132"/>
        <v>-2</v>
      </c>
      <c r="T371" s="178">
        <f t="shared" si="133"/>
        <v>4</v>
      </c>
      <c r="U371" s="253">
        <f t="shared" si="134"/>
        <v>-1.4352075818972843</v>
      </c>
      <c r="V371" s="385">
        <f t="shared" si="135"/>
        <v>15.14634089601403</v>
      </c>
      <c r="W371" s="404">
        <f t="shared" si="136"/>
        <v>13.812202516014798</v>
      </c>
      <c r="X371" s="157">
        <f t="shared" si="137"/>
        <v>46379</v>
      </c>
      <c r="Y371" s="387">
        <f t="shared" si="138"/>
        <v>9.7073021026266915</v>
      </c>
      <c r="Z371" s="387">
        <f t="shared" si="139"/>
        <v>10.42523725553572</v>
      </c>
      <c r="AA371" s="388">
        <f t="shared" si="140"/>
        <v>11.937376692776194</v>
      </c>
      <c r="AB371" s="199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0.12667267492325462</v>
      </c>
      <c r="AD371" s="233">
        <f>(INDEX(Models!$BJ371:$BT371,,AH371)*(1-AF371)+INDEX(Models!$BJ371:$BT371,,AH371+1)*AF371-ERP_i)*AE371*Ramure*Pc/MaxiM</f>
        <v>0.32033903590798241</v>
      </c>
      <c r="AE371" s="307">
        <f t="shared" si="142"/>
        <v>1</v>
      </c>
      <c r="AF371" s="179">
        <f t="shared" si="143"/>
        <v>0.49977501102628619</v>
      </c>
      <c r="AG371" s="837">
        <f t="shared" si="149"/>
        <v>3</v>
      </c>
      <c r="AH371" s="178">
        <f t="shared" si="144"/>
        <v>9</v>
      </c>
      <c r="AI371" s="227">
        <f t="shared" si="145"/>
        <v>3.4997750110262862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46380</v>
      </c>
      <c r="B372" s="1139">
        <f>IF(t&gt;Tmaj,'2025'!Wh/'2025'!Env_an*'2026'!Env_an,0.001*'[14]mon-tableau (2)'!$B$231)</f>
        <v>15.724059668698308</v>
      </c>
      <c r="C372" s="866"/>
      <c r="D372" s="395">
        <f t="shared" si="127"/>
        <v>16.887376723631423</v>
      </c>
      <c r="E372" s="387">
        <f t="shared" si="150"/>
        <v>18.343412702192939</v>
      </c>
      <c r="F372" s="387">
        <f t="shared" si="128"/>
        <v>18.957181052151121</v>
      </c>
      <c r="G372" s="110">
        <f t="shared" si="151"/>
        <v>1.0358096498659239</v>
      </c>
      <c r="H372" s="414" t="b">
        <f>Wh_hp&gt;='2025'!Maxi_hp</f>
        <v>1</v>
      </c>
      <c r="I372" s="392">
        <f>IF(H372,Wh_hp,'2025'!Maxi_hp)</f>
        <v>18.957181052151121</v>
      </c>
      <c r="J372" s="85">
        <f>IF(H372,An,'2025'!An_max)</f>
        <v>2026</v>
      </c>
      <c r="K372" s="199">
        <f t="shared" si="129"/>
        <v>46380</v>
      </c>
      <c r="L372" s="147">
        <f>IF(t&lt;Tvie,1-EXP((T0-t)*PertePVj)+'2025'!Pspv,1-EXP((T0-t)*PertePVj)+Pspv)</f>
        <v>6.8886782948663794E-2</v>
      </c>
      <c r="M372" s="870"/>
      <c r="N372" s="870"/>
      <c r="O372" s="48">
        <f>IF(t&lt;Tnet,'2025'!Resal+('2025'!Salim-'2025'!Resal)*(1-EXP(('2025'!Tnet-t)/('2025'!Tau_j))),Resal+(Salim-Resal)*(1-EXP((Tnet-t)/(Tau_j))))*Salcycl</f>
        <v>7.9376504372463255E-2</v>
      </c>
      <c r="P372" s="171">
        <f>(INDEX(Models!$BJ372:$BT372,,T372)*(1-R372)+INDEX(Models!$BJ372:$BT372,,T372+1)*R372-ERP_i)*Q372*Ramure*Pc/MaxiM</f>
        <v>3.2376562120164869E-2</v>
      </c>
      <c r="Q372" s="307">
        <f t="shared" si="130"/>
        <v>1</v>
      </c>
      <c r="R372" s="179">
        <f t="shared" si="131"/>
        <v>0.56479241810271574</v>
      </c>
      <c r="S372" s="837">
        <f t="shared" si="132"/>
        <v>-2</v>
      </c>
      <c r="T372" s="178">
        <f t="shared" si="133"/>
        <v>4</v>
      </c>
      <c r="U372" s="253">
        <f t="shared" si="134"/>
        <v>-1.4352075818972843</v>
      </c>
      <c r="V372" s="385">
        <f t="shared" si="135"/>
        <v>15.180452963277226</v>
      </c>
      <c r="W372" s="404">
        <f t="shared" si="136"/>
        <v>15.724059668698308</v>
      </c>
      <c r="X372" s="157">
        <f t="shared" si="137"/>
        <v>46380</v>
      </c>
      <c r="Y372" s="387">
        <f t="shared" si="138"/>
        <v>10.486522065297461</v>
      </c>
      <c r="Z372" s="387">
        <f t="shared" si="139"/>
        <v>11.262349060521707</v>
      </c>
      <c r="AA372" s="388">
        <f t="shared" si="140"/>
        <v>12.896951036956233</v>
      </c>
      <c r="AB372" s="199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0.12674328775464613</v>
      </c>
      <c r="AD372" s="233">
        <f>(INDEX(Models!$BJ372:$BT372,,AH372)*(1-AF372)+INDEX(Models!$BJ372:$BT372,,AH372+1)*AF372-ERP_i)*AE372*Ramure*Pc/MaxiM</f>
        <v>0.31967991435663473</v>
      </c>
      <c r="AE372" s="307">
        <f t="shared" si="142"/>
        <v>1</v>
      </c>
      <c r="AF372" s="179">
        <f t="shared" si="143"/>
        <v>0.49977501102628619</v>
      </c>
      <c r="AG372" s="837">
        <f t="shared" si="149"/>
        <v>3</v>
      </c>
      <c r="AH372" s="178">
        <f t="shared" si="144"/>
        <v>9</v>
      </c>
      <c r="AI372" s="227">
        <f t="shared" si="145"/>
        <v>3.4997750110262862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46381</v>
      </c>
      <c r="B373" s="1139">
        <f>IF(t&gt;Tmaj,'2025'!Wh/'2025'!Env_an*'2026'!Env_an,0.001*'[14]mon-tableau (2)'!$B$232)</f>
        <v>8.8865129470809361</v>
      </c>
      <c r="C373" s="866"/>
      <c r="D373" s="395">
        <f t="shared" si="127"/>
        <v>9.5441881731363196</v>
      </c>
      <c r="E373" s="387">
        <f t="shared" si="150"/>
        <v>10.3689945035085</v>
      </c>
      <c r="F373" s="387">
        <f t="shared" si="128"/>
        <v>10.506329126733034</v>
      </c>
      <c r="G373" s="110">
        <f t="shared" si="151"/>
        <v>0.57236794044292227</v>
      </c>
      <c r="H373" s="414" t="b">
        <f>Wh_hp&gt;='2025'!Maxi_hp</f>
        <v>0</v>
      </c>
      <c r="I373" s="392">
        <f>IF(H373,Wh_hp,'2025'!Maxi_hp)</f>
        <v>13.907050225818837</v>
      </c>
      <c r="J373" s="85">
        <f>IF(H373,An,'2025'!An_max)</f>
        <v>2018</v>
      </c>
      <c r="K373" s="199">
        <f t="shared" si="129"/>
        <v>46381</v>
      </c>
      <c r="L373" s="147">
        <f>IF(t&lt;Tvie,1-EXP((T0-t)*PertePVj)+'2025'!Pspv,1-EXP((T0-t)*PertePVj)+Pspv)</f>
        <v>6.8908451313493435E-2</v>
      </c>
      <c r="M373" s="870"/>
      <c r="N373" s="870"/>
      <c r="O373" s="48">
        <f>IF(t&lt;Tnet,'2025'!Resal+('2025'!Salim-'2025'!Resal)*(1-EXP(('2025'!Tnet-t)/('2025'!Tau_j))),Resal+(Salim-Resal)*(1-EXP((Tnet-t)/(Tau_j))))*Salcycl</f>
        <v>7.9545449666608925E-2</v>
      </c>
      <c r="P373" s="171">
        <f>(INDEX(Models!$BJ373:$BT373,,T373)*(1-R373)+INDEX(Models!$BJ373:$BT373,,T373+1)*R373-ERP_i)*Q373*Ramure*Pc/MaxiM</f>
        <v>3.2251488714761772E-2</v>
      </c>
      <c r="Q373" s="307">
        <f t="shared" si="130"/>
        <v>1</v>
      </c>
      <c r="R373" s="179">
        <f t="shared" si="131"/>
        <v>0.56479241810271574</v>
      </c>
      <c r="S373" s="837">
        <f t="shared" si="132"/>
        <v>-2</v>
      </c>
      <c r="T373" s="178">
        <f t="shared" si="133"/>
        <v>4</v>
      </c>
      <c r="U373" s="253">
        <f t="shared" si="134"/>
        <v>-1.4352075818972843</v>
      </c>
      <c r="V373" s="385">
        <f t="shared" si="135"/>
        <v>15.224146246152891</v>
      </c>
      <c r="W373" s="404">
        <f t="shared" si="136"/>
        <v>8.8865129470809361</v>
      </c>
      <c r="X373" s="157">
        <f t="shared" si="137"/>
        <v>46381</v>
      </c>
      <c r="Y373" s="387">
        <f t="shared" si="138"/>
        <v>7.4379691543520128</v>
      </c>
      <c r="Z373" s="387">
        <f t="shared" si="139"/>
        <v>7.9884401967183321</v>
      </c>
      <c r="AA373" s="388">
        <f t="shared" si="140"/>
        <v>9.1486244491411917</v>
      </c>
      <c r="AB373" s="199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0.12681515771824797</v>
      </c>
      <c r="AD373" s="233">
        <f>(INDEX(Models!$BJ373:$BT373,,AH373)*(1-AF373)+INDEX(Models!$BJ373:$BT373,,AH373+1)*AF373-ERP_i)*AE373*Ramure*Pc/MaxiM</f>
        <v>0.31884164429345196</v>
      </c>
      <c r="AE373" s="307">
        <f t="shared" si="142"/>
        <v>1</v>
      </c>
      <c r="AF373" s="179">
        <f t="shared" si="143"/>
        <v>0.49977501102628619</v>
      </c>
      <c r="AG373" s="837">
        <f t="shared" si="149"/>
        <v>3</v>
      </c>
      <c r="AH373" s="178">
        <f t="shared" si="144"/>
        <v>9</v>
      </c>
      <c r="AI373" s="227">
        <f t="shared" si="145"/>
        <v>3.4997750110262862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46382</v>
      </c>
      <c r="B374" s="1139">
        <f>IF(t&gt;Tmaj,'2025'!Wh/'2025'!Env_an*'2026'!Env_an,0.001*'[14]mon-tableau (2)'!$B$233)</f>
        <v>13.816099781496737</v>
      </c>
      <c r="C374" s="866"/>
      <c r="D374" s="395">
        <f t="shared" si="127"/>
        <v>14.838950401059888</v>
      </c>
      <c r="E374" s="387">
        <f t="shared" si="150"/>
        <v>16.124296001254162</v>
      </c>
      <c r="F374" s="387">
        <f t="shared" si="128"/>
        <v>16.583817969545184</v>
      </c>
      <c r="G374" s="110">
        <f t="shared" si="151"/>
        <v>0.90025982383717151</v>
      </c>
      <c r="H374" s="414" t="b">
        <f>Wh_hp&gt;='2025'!Maxi_hp</f>
        <v>0</v>
      </c>
      <c r="I374" s="392">
        <f>IF(H374,Wh_hp,'2025'!Maxi_hp)</f>
        <v>17.58318067946076</v>
      </c>
      <c r="J374" s="85">
        <f>IF(H374,An,'2025'!An_max)</f>
        <v>2018</v>
      </c>
      <c r="K374" s="199">
        <f t="shared" si="129"/>
        <v>46382</v>
      </c>
      <c r="L374" s="147">
        <f>IF(t&lt;Tvie,1-EXP((T0-t)*PertePVj)+'2025'!Pspv,1-EXP((T0-t)*PertePVj)+Pspv)</f>
        <v>6.8930119174068549E-2</v>
      </c>
      <c r="M374" s="870"/>
      <c r="N374" s="870"/>
      <c r="O374" s="48">
        <f>IF(t&lt;Tnet,'2025'!Resal+('2025'!Salim-'2025'!Resal)*(1-EXP(('2025'!Tnet-t)/('2025'!Tau_j))),Resal+(Salim-Resal)*(1-EXP((Tnet-t)/(Tau_j))))*Salcycl</f>
        <v>7.9714835307804974E-2</v>
      </c>
      <c r="P374" s="171">
        <f>(INDEX(Models!$BJ374:$BT374,,T374)*(1-R374)+INDEX(Models!$BJ374:$BT374,,T374+1)*R374-ERP_i)*Q374*Ramure*Pc/MaxiM</f>
        <v>3.2095114199044414E-2</v>
      </c>
      <c r="Q374" s="307">
        <f t="shared" si="130"/>
        <v>1</v>
      </c>
      <c r="R374" s="179">
        <f t="shared" si="131"/>
        <v>0.56479241810271574</v>
      </c>
      <c r="S374" s="837">
        <f t="shared" si="132"/>
        <v>-2</v>
      </c>
      <c r="T374" s="178">
        <f t="shared" si="133"/>
        <v>4</v>
      </c>
      <c r="U374" s="253">
        <f t="shared" si="134"/>
        <v>-1.4352075818972843</v>
      </c>
      <c r="V374" s="385">
        <f t="shared" si="135"/>
        <v>15.277561267158047</v>
      </c>
      <c r="W374" s="404">
        <f t="shared" si="136"/>
        <v>13.816099781496737</v>
      </c>
      <c r="X374" s="157">
        <f t="shared" si="137"/>
        <v>46382</v>
      </c>
      <c r="Y374" s="387">
        <f t="shared" si="138"/>
        <v>9.7822707316165829</v>
      </c>
      <c r="Z374" s="387">
        <f t="shared" si="139"/>
        <v>10.506483920346502</v>
      </c>
      <c r="AA374" s="388">
        <f t="shared" si="140"/>
        <v>12.033376983905447</v>
      </c>
      <c r="AB374" s="199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0.12688815995718855</v>
      </c>
      <c r="AD374" s="233">
        <f>(INDEX(Models!$BJ374:$BT374,,AH374)*(1-AF374)+INDEX(Models!$BJ374:$BT374,,AH374+1)*AF374-ERP_i)*AE374*Ramure*Pc/MaxiM</f>
        <v>0.31782359314239828</v>
      </c>
      <c r="AE374" s="307">
        <f t="shared" si="142"/>
        <v>1</v>
      </c>
      <c r="AF374" s="179">
        <f t="shared" si="143"/>
        <v>0.49977501102628619</v>
      </c>
      <c r="AG374" s="837">
        <f t="shared" si="149"/>
        <v>3</v>
      </c>
      <c r="AH374" s="178">
        <f t="shared" si="144"/>
        <v>9</v>
      </c>
      <c r="AI374" s="227">
        <f t="shared" si="145"/>
        <v>3.4997750110262862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46383</v>
      </c>
      <c r="B375" s="1139">
        <f>IF(t&gt;Tmaj,'2025'!Wh/'2025'!Env_an*'2026'!Env_an,0.001*'[14]mon-tableau (2)'!$B$234)</f>
        <v>6.5800418923806197</v>
      </c>
      <c r="C375" s="866"/>
      <c r="D375" s="395">
        <f t="shared" si="127"/>
        <v>7.0673481750851064</v>
      </c>
      <c r="E375" s="387">
        <f t="shared" si="150"/>
        <v>7.6809366603126907</v>
      </c>
      <c r="F375" s="387">
        <f t="shared" si="128"/>
        <v>7.7263364066542533</v>
      </c>
      <c r="G375" s="110">
        <f t="shared" si="151"/>
        <v>0.41770140332731448</v>
      </c>
      <c r="H375" s="414" t="b">
        <f>Wh_hp&gt;='2025'!Maxi_hp</f>
        <v>0</v>
      </c>
      <c r="I375" s="392">
        <f>IF(H375,Wh_hp,'2025'!Maxi_hp)</f>
        <v>17.819544852558497</v>
      </c>
      <c r="J375" s="85">
        <f>IF(H375,An,'2025'!An_max)</f>
        <v>2018</v>
      </c>
      <c r="K375" s="199">
        <f t="shared" si="129"/>
        <v>46383</v>
      </c>
      <c r="L375" s="147">
        <f>IF(t&lt;Tvie,1-EXP((T0-t)*PertePVj)+'2025'!Pspv,1-EXP((T0-t)*PertePVj)+Pspv)</f>
        <v>6.8951786530400905E-2</v>
      </c>
      <c r="M375" s="870"/>
      <c r="N375" s="870"/>
      <c r="O375" s="48">
        <f>IF(t&lt;Tnet,'2025'!Resal+('2025'!Salim-'2025'!Resal)*(1-EXP(('2025'!Tnet-t)/('2025'!Tau_j))),Resal+(Salim-Resal)*(1-EXP((Tnet-t)/(Tau_j))))*Salcycl</f>
        <v>7.9884591211119987E-2</v>
      </c>
      <c r="P375" s="171">
        <f>(INDEX(Models!$BJ375:$BT375,,T375)*(1-R375)+INDEX(Models!$BJ375:$BT375,,T375+1)*R375-ERP_i)*Q375*Ramure*Pc/MaxiM</f>
        <v>3.1902227315636404E-2</v>
      </c>
      <c r="Q375" s="307">
        <f t="shared" si="130"/>
        <v>1</v>
      </c>
      <c r="R375" s="179">
        <f t="shared" si="131"/>
        <v>0.56479241810271574</v>
      </c>
      <c r="S375" s="837">
        <f t="shared" si="132"/>
        <v>-2</v>
      </c>
      <c r="T375" s="178">
        <f t="shared" si="133"/>
        <v>4</v>
      </c>
      <c r="U375" s="253">
        <f t="shared" si="134"/>
        <v>-1.4352075818972843</v>
      </c>
      <c r="V375" s="385">
        <f t="shared" si="135"/>
        <v>15.340565697635896</v>
      </c>
      <c r="W375" s="404">
        <f t="shared" si="136"/>
        <v>6.5800418923806197</v>
      </c>
      <c r="X375" s="157">
        <f t="shared" si="137"/>
        <v>46383</v>
      </c>
      <c r="Y375" s="387">
        <f t="shared" si="138"/>
        <v>5.914052229157071</v>
      </c>
      <c r="Z375" s="387">
        <f t="shared" si="139"/>
        <v>6.3520364934894733</v>
      </c>
      <c r="AA375" s="388">
        <f t="shared" si="140"/>
        <v>7.2757861335549121</v>
      </c>
      <c r="AB375" s="199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0.12696217606029322</v>
      </c>
      <c r="AD375" s="233">
        <f>(INDEX(Models!$BJ375:$BT375,,AH375)*(1-AF375)+INDEX(Models!$BJ375:$BT375,,AH375+1)*AF375-ERP_i)*AE375*Ramure*Pc/MaxiM</f>
        <v>0.31659994576618589</v>
      </c>
      <c r="AE375" s="307">
        <f t="shared" si="142"/>
        <v>1</v>
      </c>
      <c r="AF375" s="179">
        <f t="shared" si="143"/>
        <v>0.49977501102628619</v>
      </c>
      <c r="AG375" s="837">
        <f t="shared" si="149"/>
        <v>3</v>
      </c>
      <c r="AH375" s="178">
        <f t="shared" si="144"/>
        <v>9</v>
      </c>
      <c r="AI375" s="227">
        <f t="shared" si="145"/>
        <v>3.4997750110262862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46384</v>
      </c>
      <c r="B376" s="1139">
        <f>IF(t&gt;Tmaj,'2025'!Wh/'2025'!Env_an*'2026'!Env_an,0.001*'[14]mon-tableau (2)'!$B$235)</f>
        <v>14.634788961290369</v>
      </c>
      <c r="C376" s="866"/>
      <c r="D376" s="395">
        <f t="shared" si="127"/>
        <v>15.718981391518705</v>
      </c>
      <c r="E376" s="387">
        <f t="shared" si="150"/>
        <v>17.086864356458054</v>
      </c>
      <c r="F376" s="387">
        <f t="shared" si="128"/>
        <v>17.604362290158008</v>
      </c>
      <c r="G376" s="110">
        <f t="shared" si="151"/>
        <v>0.94728532899120577</v>
      </c>
      <c r="H376" s="414" t="b">
        <f>Wh_hp&gt;='2025'!Maxi_hp</f>
        <v>0</v>
      </c>
      <c r="I376" s="392">
        <f>IF(H376,Wh_hp,'2025'!Maxi_hp)</f>
        <v>17.633109712566359</v>
      </c>
      <c r="J376" s="85">
        <f>IF(H376,An,'2025'!An_max)</f>
        <v>2025</v>
      </c>
      <c r="K376" s="199">
        <f t="shared" si="129"/>
        <v>46384</v>
      </c>
      <c r="L376" s="147">
        <f>IF(t&lt;Tvie,1-EXP((T0-t)*PertePVj)+'2025'!Pspv,1-EXP((T0-t)*PertePVj)+Pspv)</f>
        <v>6.897345338250227E-2</v>
      </c>
      <c r="M376" s="870"/>
      <c r="N376" s="870"/>
      <c r="O376" s="48">
        <f>IF(t&lt;Tnet,'2025'!Resal+('2025'!Salim-'2025'!Resal)*(1-EXP(('2025'!Tnet-t)/('2025'!Tau_j))),Resal+(Salim-Resal)*(1-EXP((Tnet-t)/(Tau_j))))*Salcycl</f>
        <v>8.0054651128681389E-2</v>
      </c>
      <c r="P376" s="171">
        <f>(INDEX(Models!$BJ376:$BT376,,T376)*(1-R376)+INDEX(Models!$BJ376:$BT376,,T376+1)*R376-ERP_i)*Q376*Ramure*Pc/MaxiM</f>
        <v>3.1680616535963754E-2</v>
      </c>
      <c r="Q376" s="307">
        <f t="shared" si="130"/>
        <v>1</v>
      </c>
      <c r="R376" s="179">
        <f t="shared" si="131"/>
        <v>0.56479241810271574</v>
      </c>
      <c r="S376" s="837">
        <f t="shared" si="132"/>
        <v>-2</v>
      </c>
      <c r="T376" s="178">
        <f t="shared" si="133"/>
        <v>4</v>
      </c>
      <c r="U376" s="253">
        <f t="shared" si="134"/>
        <v>-1.4352075818972843</v>
      </c>
      <c r="V376" s="385">
        <f t="shared" si="135"/>
        <v>15.412823465315412</v>
      </c>
      <c r="W376" s="404">
        <f t="shared" si="136"/>
        <v>14.634788961290369</v>
      </c>
      <c r="X376" s="157">
        <f t="shared" si="137"/>
        <v>46384</v>
      </c>
      <c r="Y376" s="387">
        <f t="shared" si="138"/>
        <v>10.123598759144814</v>
      </c>
      <c r="Z376" s="387">
        <f t="shared" si="139"/>
        <v>10.873587650024319</v>
      </c>
      <c r="AA376" s="388">
        <f t="shared" si="140"/>
        <v>12.455956125095323</v>
      </c>
      <c r="AB376" s="199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0.12703709447747397</v>
      </c>
      <c r="AD376" s="233">
        <f>(INDEX(Models!$BJ376:$BT376,,AH376)*(1-AF376)+INDEX(Models!$BJ376:$BT376,,AH376+1)*AF376-ERP_i)*AE376*Ramure*Pc/MaxiM</f>
        <v>0.31517938694091757</v>
      </c>
      <c r="AE376" s="307">
        <f t="shared" si="142"/>
        <v>1</v>
      </c>
      <c r="AF376" s="179">
        <f t="shared" si="143"/>
        <v>0.49977501102628619</v>
      </c>
      <c r="AG376" s="837">
        <f t="shared" si="149"/>
        <v>3</v>
      </c>
      <c r="AH376" s="178">
        <f t="shared" si="144"/>
        <v>9</v>
      </c>
      <c r="AI376" s="227">
        <f t="shared" si="145"/>
        <v>3.4997750110262862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46385</v>
      </c>
      <c r="B377" s="1139">
        <f>IF(t&gt;Tmaj,'2025'!Wh/'2025'!Env_an*'2026'!Env_an,0.001*'[14]mon-tableau (2)'!$B$236)</f>
        <v>9.8285628675806489</v>
      </c>
      <c r="C377" s="866"/>
      <c r="D377" s="395">
        <f t="shared" si="127"/>
        <v>10.556940222197689</v>
      </c>
      <c r="E377" s="387">
        <f t="shared" si="150"/>
        <v>11.477741492885666</v>
      </c>
      <c r="F377" s="387">
        <f t="shared" si="128"/>
        <v>11.652678861506349</v>
      </c>
      <c r="G377" s="110">
        <f t="shared" si="151"/>
        <v>0.62376824246246454</v>
      </c>
      <c r="H377" s="414" t="b">
        <f>Wh_hp&gt;='2025'!Maxi_hp</f>
        <v>0</v>
      </c>
      <c r="I377" s="392">
        <f>IF(H377,Wh_hp,'2025'!Maxi_hp)</f>
        <v>19.042847861253957</v>
      </c>
      <c r="J377" s="85">
        <f>IF(H377,An,'2025'!An_max)</f>
        <v>2019</v>
      </c>
      <c r="K377" s="199">
        <f t="shared" si="129"/>
        <v>46385</v>
      </c>
      <c r="L377" s="147">
        <f>IF(t&lt;Tvie,1-EXP((T0-t)*PertePVj)+'2025'!Pspv,1-EXP((T0-t)*PertePVj)+Pspv)</f>
        <v>6.8995119730384302E-2</v>
      </c>
      <c r="M377" s="870"/>
      <c r="N377" s="870"/>
      <c r="O377" s="48">
        <f>IF(t&lt;Tnet,'2025'!Resal+('2025'!Salim-'2025'!Resal)*(1-EXP(('2025'!Tnet-t)/('2025'!Tau_j))),Resal+(Salim-Resal)*(1-EXP((Tnet-t)/(Tau_j))))*Salcycl</f>
        <v>8.0224952901990679E-2</v>
      </c>
      <c r="P377" s="171">
        <f>(INDEX(Models!$BJ377:$BT377,,T377)*(1-R377)+INDEX(Models!$BJ377:$BT377,,T377+1)*R377-ERP_i)*Q377*Ramure*Pc/MaxiM</f>
        <v>3.1431404092649655E-2</v>
      </c>
      <c r="Q377" s="307">
        <f t="shared" si="130"/>
        <v>1</v>
      </c>
      <c r="R377" s="179">
        <f t="shared" si="131"/>
        <v>0.56479241810271574</v>
      </c>
      <c r="S377" s="837">
        <f t="shared" si="132"/>
        <v>-2</v>
      </c>
      <c r="T377" s="178">
        <f t="shared" si="133"/>
        <v>4</v>
      </c>
      <c r="U377" s="253">
        <f t="shared" si="134"/>
        <v>-1.4352075818972843</v>
      </c>
      <c r="V377" s="385">
        <f t="shared" si="135"/>
        <v>15.494104556528331</v>
      </c>
      <c r="W377" s="404">
        <f t="shared" si="136"/>
        <v>9.8285628675806489</v>
      </c>
      <c r="X377" s="157">
        <f t="shared" si="137"/>
        <v>46385</v>
      </c>
      <c r="Y377" s="387">
        <f t="shared" si="138"/>
        <v>8.0514043360264651</v>
      </c>
      <c r="Z377" s="387">
        <f t="shared" si="139"/>
        <v>8.6480796252054084</v>
      </c>
      <c r="AA377" s="388">
        <f t="shared" si="140"/>
        <v>9.9074424883395604</v>
      </c>
      <c r="AB377" s="199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0.12711281086075879</v>
      </c>
      <c r="AD377" s="233">
        <f>(INDEX(Models!$BJ377:$BT377,,AH377)*(1-AF377)+INDEX(Models!$BJ377:$BT377,,AH377+1)*AF377-ERP_i)*AE377*Ramure*Pc/MaxiM</f>
        <v>0.31357068026522505</v>
      </c>
      <c r="AE377" s="307">
        <f t="shared" si="142"/>
        <v>1</v>
      </c>
      <c r="AF377" s="179">
        <f t="shared" si="143"/>
        <v>0.49977501102628619</v>
      </c>
      <c r="AG377" s="837">
        <f t="shared" si="149"/>
        <v>3</v>
      </c>
      <c r="AH377" s="178">
        <f t="shared" si="144"/>
        <v>9</v>
      </c>
      <c r="AI377" s="227">
        <f t="shared" si="145"/>
        <v>3.4997750110262862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46386</v>
      </c>
      <c r="B378" s="1139">
        <f>IF(t&gt;Tmaj,'2025'!Wh/'2025'!Env_an*'2026'!Env_an,0.001*'[14]mon-tableau (2)'!$B$237)</f>
        <v>12.484103560605272</v>
      </c>
      <c r="C378" s="866"/>
      <c r="D378" s="395">
        <f t="shared" si="127"/>
        <v>13.409590384831121</v>
      </c>
      <c r="E378" s="387">
        <f t="shared" si="150"/>
        <v>14.581909386588995</v>
      </c>
      <c r="F378" s="387">
        <f t="shared" si="128"/>
        <v>14.914533110326303</v>
      </c>
      <c r="G378" s="110">
        <f t="shared" si="151"/>
        <v>0.79382113562530476</v>
      </c>
      <c r="H378" s="414" t="b">
        <f>Wh_hp&gt;='2025'!Maxi_hp</f>
        <v>0</v>
      </c>
      <c r="I378" s="392">
        <f>IF(H378,Wh_hp,'2025'!Maxi_hp)</f>
        <v>18.153924992563482</v>
      </c>
      <c r="J378" s="85">
        <f>IF(H378,An,'2025'!An_max)</f>
        <v>2019</v>
      </c>
      <c r="K378" s="199">
        <f t="shared" si="129"/>
        <v>46386</v>
      </c>
      <c r="L378" s="147">
        <f>IF(t&lt;Tvie,1-EXP((T0-t)*PertePVj)+'2025'!Pspv,1-EXP((T0-t)*PertePVj)+Pspv)</f>
        <v>6.901678557405877E-2</v>
      </c>
      <c r="M378" s="870"/>
      <c r="N378" s="870"/>
      <c r="O378" s="48">
        <f>IF(t&lt;Tnet,'2025'!Resal+('2025'!Salim-'2025'!Resal)*(1-EXP(('2025'!Tnet-t)/('2025'!Tau_j))),Resal+(Salim-Resal)*(1-EXP((Tnet-t)/(Tau_j))))*Salcycl</f>
        <v>8.0395438668413102E-2</v>
      </c>
      <c r="P378" s="171">
        <f>(INDEX(Models!$BJ378:$BT378,,T378)*(1-R378)+INDEX(Models!$BJ378:$BT378,,T378+1)*R378-ERP_i)*Q378*Ramure*Pc/MaxiM</f>
        <v>3.1155767743829454E-2</v>
      </c>
      <c r="Q378" s="307">
        <f t="shared" si="130"/>
        <v>1</v>
      </c>
      <c r="R378" s="179">
        <f t="shared" si="131"/>
        <v>0.56479241810271574</v>
      </c>
      <c r="S378" s="837">
        <f t="shared" si="132"/>
        <v>-2</v>
      </c>
      <c r="T378" s="178">
        <f t="shared" si="133"/>
        <v>4</v>
      </c>
      <c r="U378" s="253">
        <f t="shared" si="134"/>
        <v>-1.4352075818972843</v>
      </c>
      <c r="V378" s="385">
        <f t="shared" si="135"/>
        <v>15.584179089461268</v>
      </c>
      <c r="W378" s="404">
        <f t="shared" si="136"/>
        <v>12.484103560605272</v>
      </c>
      <c r="X378" s="157">
        <f t="shared" si="137"/>
        <v>46386</v>
      </c>
      <c r="Y378" s="387">
        <f t="shared" si="138"/>
        <v>9.4143725278344199</v>
      </c>
      <c r="Z378" s="387">
        <f t="shared" si="139"/>
        <v>10.112290299067817</v>
      </c>
      <c r="AA378" s="388">
        <f t="shared" si="140"/>
        <v>11.585890810814236</v>
      </c>
      <c r="AB378" s="199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0.12718922833028631</v>
      </c>
      <c r="AD378" s="233">
        <f>(INDEX(Models!$BJ378:$BT378,,AH378)*(1-AF378)+INDEX(Models!$BJ378:$BT378,,AH378+1)*AF378-ERP_i)*AE378*Ramure*Pc/MaxiM</f>
        <v>0.31178295168082254</v>
      </c>
      <c r="AE378" s="307">
        <f t="shared" si="142"/>
        <v>1</v>
      </c>
      <c r="AF378" s="179">
        <f t="shared" si="143"/>
        <v>0.49977501102628619</v>
      </c>
      <c r="AG378" s="837">
        <f t="shared" si="149"/>
        <v>3</v>
      </c>
      <c r="AH378" s="178">
        <f t="shared" si="144"/>
        <v>9</v>
      </c>
      <c r="AI378" s="227">
        <f t="shared" si="145"/>
        <v>3.4997750110262862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46387</v>
      </c>
      <c r="B379" s="1139">
        <f>IF(t&gt;Tmaj,'2025'!Wh/'2025'!Env_an*'2026'!Env_an,0.001*'[14]mon-tableau (2)'!$B$238)</f>
        <v>9.7388173383095857</v>
      </c>
      <c r="C379" s="866"/>
      <c r="D379" s="395">
        <f t="shared" si="127"/>
        <v>10.461030692262348</v>
      </c>
      <c r="E379" s="387">
        <f t="shared" si="150"/>
        <v>11.37768596579822</v>
      </c>
      <c r="F379" s="387">
        <f t="shared" si="128"/>
        <v>11.540974513185143</v>
      </c>
      <c r="G379" s="110">
        <f t="shared" si="151"/>
        <v>0.61046316960649338</v>
      </c>
      <c r="H379" s="414" t="b">
        <f>Wh_hp&gt;='2025'!Maxi_hp</f>
        <v>0</v>
      </c>
      <c r="I379" s="392">
        <f>IF(H379,Wh_hp,'2025'!Maxi_hp)</f>
        <v>18.304438481335758</v>
      </c>
      <c r="J379" s="85">
        <f>IF(H379,An,'2025'!An_max)</f>
        <v>2021</v>
      </c>
      <c r="K379" s="199">
        <f t="shared" si="129"/>
        <v>46387</v>
      </c>
      <c r="L379" s="147">
        <f>IF(t&lt;Tvie,1-EXP((T0-t)*PertePVj)+'2025'!Pspv,1-EXP((T0-t)*PertePVj)+Pspv)</f>
        <v>6.903845091353733E-2</v>
      </c>
      <c r="M379" s="870"/>
      <c r="N379" s="870"/>
      <c r="O379" s="48">
        <f>IF(t&lt;Tnet,'2025'!Resal+('2025'!Salim-'2025'!Resal)*(1-EXP(('2025'!Tnet-t)/('2025'!Tau_j))),Resal+(Salim-Resal)*(1-EXP((Tnet-t)/(Tau_j))))*Salcycl</f>
        <v>8.0566055021326258E-2</v>
      </c>
      <c r="P379" s="171">
        <f>(INDEX(Models!$BJ379:$BT379,,T379)*(1-R379)+INDEX(Models!$BJ379:$BT379,,T379+1)*R379-ERP_i)*Q379*Ramure*Pc/MaxiM</f>
        <v>3.0854929527337701E-2</v>
      </c>
      <c r="Q379" s="308">
        <f t="shared" si="130"/>
        <v>1</v>
      </c>
      <c r="R379" s="179">
        <f t="shared" si="131"/>
        <v>0.56479241810271574</v>
      </c>
      <c r="S379" s="837">
        <f t="shared" si="132"/>
        <v>-2</v>
      </c>
      <c r="T379" s="178">
        <f t="shared" si="133"/>
        <v>4</v>
      </c>
      <c r="U379" s="309">
        <f t="shared" si="134"/>
        <v>-1.4352075818972843</v>
      </c>
      <c r="V379" s="385">
        <f t="shared" si="135"/>
        <v>15.682817308659262</v>
      </c>
      <c r="W379" s="404">
        <f t="shared" si="136"/>
        <v>9.7388173383095857</v>
      </c>
      <c r="X379" s="157">
        <f t="shared" si="137"/>
        <v>46387</v>
      </c>
      <c r="Y379" s="387">
        <f t="shared" si="138"/>
        <v>8.0446517708340561</v>
      </c>
      <c r="Z379" s="387">
        <f t="shared" si="139"/>
        <v>8.6412288227458394</v>
      </c>
      <c r="AA379" s="388">
        <f t="shared" si="140"/>
        <v>9.9013346265596986</v>
      </c>
      <c r="AB379" s="199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0.12726625766527533</v>
      </c>
      <c r="AD379" s="233">
        <f>(INDEX(Models!$BJ379:$BT379,,AH379)*(1-AF379)+INDEX(Models!$BJ379:$BT379,,AH379+1)*AF379-ERP_i)*AE379*Ramure*Pc/MaxiM</f>
        <v>0.30982560603078341</v>
      </c>
      <c r="AE379" s="308">
        <f t="shared" si="142"/>
        <v>1</v>
      </c>
      <c r="AF379" s="179">
        <f t="shared" si="143"/>
        <v>0.49977501102628619</v>
      </c>
      <c r="AG379" s="837">
        <f t="shared" si="149"/>
        <v>3</v>
      </c>
      <c r="AH379" s="178">
        <f t="shared" si="144"/>
        <v>9</v>
      </c>
      <c r="AI379" s="224">
        <f t="shared" si="145"/>
        <v>3.4997750110262862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412"/>
      <c r="C380" s="874"/>
      <c r="D380" s="403"/>
      <c r="E380" s="389"/>
      <c r="F380" s="389"/>
      <c r="G380" s="122"/>
      <c r="H380" s="414" t="b">
        <f>Wh_hp&gt;='2025'!Maxi_hp</f>
        <v>0</v>
      </c>
      <c r="I380" s="392">
        <f>IF(H380,Wh_hp,'2025'!Maxi_hp)</f>
        <v>13.062281165272948</v>
      </c>
      <c r="J380" s="85">
        <f>IF(H380,An,'2025'!An_max)</f>
        <v>2020</v>
      </c>
      <c r="K380" s="236"/>
      <c r="L380" s="216"/>
      <c r="M380" s="875"/>
      <c r="N380" s="875"/>
      <c r="O380" s="153"/>
      <c r="P380" s="324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0.83724438614094265</v>
      </c>
      <c r="C381" s="377"/>
      <c r="D381" s="375">
        <f>MIN(D15:D380)</f>
        <v>0.89430315962329832</v>
      </c>
      <c r="E381" s="375">
        <f>MIN(E15:E380)</f>
        <v>0.91895007289002228</v>
      </c>
      <c r="F381" s="376">
        <f>MIN(F15:F380)</f>
        <v>0.91895007289002228</v>
      </c>
      <c r="G381" s="125">
        <f>+MIN(G15:G380)</f>
        <v>1.4718956130983309E-2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6.1118863404340695E-2</v>
      </c>
      <c r="M381" s="872"/>
      <c r="N381" s="872"/>
      <c r="O381" s="47">
        <f t="shared" si="152"/>
        <v>2.5553188945380768E-2</v>
      </c>
      <c r="P381" s="170">
        <f t="shared" si="152"/>
        <v>4.273452363394524E-5</v>
      </c>
      <c r="Q381" s="312">
        <f t="shared" si="152"/>
        <v>1</v>
      </c>
      <c r="R381" s="313">
        <f t="shared" si="152"/>
        <v>2.8329008410434842E-3</v>
      </c>
      <c r="S381" s="837">
        <f t="shared" si="152"/>
        <v>-3</v>
      </c>
      <c r="T381" s="178">
        <f t="shared" si="152"/>
        <v>3</v>
      </c>
      <c r="U381" s="254">
        <f>MIN(U15:U380)</f>
        <v>-2.1352057996466449</v>
      </c>
      <c r="V381" s="57">
        <f>MIN(V15:V380)</f>
        <v>15.098902080027138</v>
      </c>
      <c r="W381" s="58"/>
      <c r="X381" s="112" t="s">
        <v>7</v>
      </c>
      <c r="Y381" s="375">
        <f>MIN(Y15:Y380)</f>
        <v>0.77195545352966932</v>
      </c>
      <c r="Z381" s="375">
        <f>MIN(Z15:Z380)</f>
        <v>0.82456474191730578</v>
      </c>
      <c r="AA381" s="375">
        <f>MIN(AA15:AA380)</f>
        <v>0.91895007289002228</v>
      </c>
      <c r="AB381" s="202" t="s">
        <v>7</v>
      </c>
      <c r="AC381" s="47">
        <f t="shared" ref="AC381:AH381" si="153">MIN(AC15:AC380)</f>
        <v>0.10170340704232843</v>
      </c>
      <c r="AD381" s="170">
        <f t="shared" si="153"/>
        <v>8.009798687719468E-4</v>
      </c>
      <c r="AE381" s="312">
        <f t="shared" si="153"/>
        <v>1</v>
      </c>
      <c r="AF381" s="313">
        <f t="shared" si="153"/>
        <v>8.9286544618616404E-4</v>
      </c>
      <c r="AG381" s="837">
        <f t="shared" si="153"/>
        <v>2</v>
      </c>
      <c r="AH381" s="178">
        <f t="shared" si="153"/>
        <v>8</v>
      </c>
      <c r="AI381" s="228">
        <f>MIN(AI15:AI380)</f>
        <v>2.7997767932769255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27.949843306331339</v>
      </c>
      <c r="C382" s="377"/>
      <c r="D382" s="377">
        <f>AVERAGE(D15:D380)</f>
        <v>29.892564544674812</v>
      </c>
      <c r="E382" s="377">
        <f>AVERAGE(E15:E380)</f>
        <v>31.887530370157691</v>
      </c>
      <c r="F382" s="378">
        <f>AVERAGE(F15:F380)</f>
        <v>31.954137556664726</v>
      </c>
      <c r="G382" s="126">
        <f>AVERAGE(G15:G380)</f>
        <v>0.70692787883837738</v>
      </c>
      <c r="H382" s="94"/>
      <c r="I382" s="378">
        <f>AVERAGE(I15:I380)</f>
        <v>40.944930898955725</v>
      </c>
      <c r="J382" s="59">
        <f>AVERAGE(J15:J380)</f>
        <v>2021.2759562841529</v>
      </c>
      <c r="K382" s="202" t="s">
        <v>8</v>
      </c>
      <c r="L382" s="147">
        <f t="shared" ref="L382:V382" si="154">AVERAGE(L15:L380)</f>
        <v>6.5084232303368711E-2</v>
      </c>
      <c r="M382" s="870"/>
      <c r="N382" s="870"/>
      <c r="O382" s="48">
        <f t="shared" si="154"/>
        <v>6.8736924715211062E-2</v>
      </c>
      <c r="P382" s="171">
        <f t="shared" si="154"/>
        <v>6.3640297897682337E-3</v>
      </c>
      <c r="Q382" s="314">
        <f t="shared" si="154"/>
        <v>1</v>
      </c>
      <c r="R382" s="179">
        <f t="shared" si="154"/>
        <v>0.60183671560421115</v>
      </c>
      <c r="S382" s="837">
        <f t="shared" si="154"/>
        <v>-2.3452054794520549</v>
      </c>
      <c r="T382" s="178">
        <f t="shared" si="154"/>
        <v>3.6547945205479451</v>
      </c>
      <c r="U382" s="253">
        <f>AVERAGE(U15:U380)</f>
        <v>-1.7433687638478443</v>
      </c>
      <c r="V382" s="59">
        <f t="shared" si="154"/>
        <v>38.233609341738521</v>
      </c>
      <c r="X382" s="112" t="s">
        <v>8</v>
      </c>
      <c r="Y382" s="377">
        <f>AVERAGE(Y15:Y380)</f>
        <v>25.363691656477137</v>
      </c>
      <c r="Z382" s="377">
        <f>AVERAGE(Z15:Z380)</f>
        <v>27.125827957322237</v>
      </c>
      <c r="AA382" s="377">
        <f>AVERAGE(AA15:AA380)</f>
        <v>30.930847499742789</v>
      </c>
      <c r="AB382" s="202" t="s">
        <v>8</v>
      </c>
      <c r="AC382" s="48">
        <f t="shared" ref="AC382:AH382" si="155">AVERAGE(AC15:AC380)</f>
        <v>0.1250944603403242</v>
      </c>
      <c r="AD382" s="171">
        <f t="shared" si="155"/>
        <v>9.078400751288461E-2</v>
      </c>
      <c r="AE382" s="314">
        <f t="shared" si="155"/>
        <v>1</v>
      </c>
      <c r="AF382" s="179">
        <f t="shared" si="155"/>
        <v>0.56969602085654925</v>
      </c>
      <c r="AG382" s="837">
        <f t="shared" si="155"/>
        <v>2.6219178082191781</v>
      </c>
      <c r="AH382" s="178">
        <f t="shared" si="155"/>
        <v>8.6219178082191785</v>
      </c>
      <c r="AI382" s="227">
        <f>AVERAGE(AI15:AI380)</f>
        <v>3.1916138290757279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59.521991108511394</v>
      </c>
      <c r="C383" s="379"/>
      <c r="D383" s="379">
        <f>MAX(D15:D380)</f>
        <v>63.615455504523041</v>
      </c>
      <c r="E383" s="379">
        <f>MAX(E15:E380)</f>
        <v>66.576681696121668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2026</v>
      </c>
      <c r="K383" s="202" t="s">
        <v>9</v>
      </c>
      <c r="L383" s="148">
        <f t="shared" ref="L383:T383" si="156">MAX(L15:L380)</f>
        <v>6.903845091353733E-2</v>
      </c>
      <c r="M383" s="873"/>
      <c r="N383" s="873"/>
      <c r="O383" s="49">
        <f t="shared" si="156"/>
        <v>0.10145853148975088</v>
      </c>
      <c r="P383" s="172">
        <f t="shared" si="156"/>
        <v>3.2564742305968813E-2</v>
      </c>
      <c r="Q383" s="315">
        <f t="shared" si="156"/>
        <v>1</v>
      </c>
      <c r="R383" s="316">
        <f t="shared" si="156"/>
        <v>0.99830928467383018</v>
      </c>
      <c r="S383" s="838">
        <f t="shared" si="156"/>
        <v>-2</v>
      </c>
      <c r="T383" s="235">
        <f t="shared" si="156"/>
        <v>4</v>
      </c>
      <c r="U383" s="255">
        <f>MAX(U15:U380)</f>
        <v>-1.4352075818972843</v>
      </c>
      <c r="V383" s="60">
        <f>MAX(V15:V380)</f>
        <v>58.672583884550043</v>
      </c>
      <c r="X383" s="112" t="s">
        <v>9</v>
      </c>
      <c r="Y383" s="379">
        <f>MAX(Y15:Y380)</f>
        <v>54.897117388250948</v>
      </c>
      <c r="Z383" s="379">
        <f>MAX(Z15:Z380)</f>
        <v>58.713495203929284</v>
      </c>
      <c r="AA383" s="379">
        <f>MAX(AA15:AA380)</f>
        <v>66.518805602153009</v>
      </c>
      <c r="AB383" s="202" t="s">
        <v>9</v>
      </c>
      <c r="AC383" s="49">
        <f t="shared" ref="AC383:AH383" si="157">MAX(AC15:AC380)</f>
        <v>0.13939659774141724</v>
      </c>
      <c r="AD383" s="172">
        <f t="shared" si="157"/>
        <v>0.32127745328616547</v>
      </c>
      <c r="AE383" s="315">
        <f t="shared" si="157"/>
        <v>1</v>
      </c>
      <c r="AF383" s="316">
        <f t="shared" si="157"/>
        <v>0.99503312937197075</v>
      </c>
      <c r="AG383" s="838">
        <f t="shared" si="157"/>
        <v>3</v>
      </c>
      <c r="AH383" s="235">
        <f t="shared" si="157"/>
        <v>9</v>
      </c>
      <c r="AI383" s="229">
        <f>MAX(AI15:AI380)</f>
        <v>3.4997750110262862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0" priority="4" stopIfTrue="1" operator="lessThan">
      <formula>0.01</formula>
    </cfRule>
    <cfRule type="cellIs" dxfId="9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1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4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'2026'!An+1</f>
        <v>2027</v>
      </c>
      <c r="K1" s="1263"/>
      <c r="L1" s="113" t="str">
        <f>"Calcul pertes et enveloppes en "&amp;TEXT(An,0)</f>
        <v>Calcul pertes et enveloppes en 2027</v>
      </c>
      <c r="M1" s="245"/>
      <c r="N1" s="245"/>
      <c r="V1" s="458"/>
      <c r="W1" s="456"/>
      <c r="X1" s="487" t="str">
        <f>"Prévision sans nettoyage ni taille végétation en "&amp;TEXT(An,0)</f>
        <v>Prévision sans nettoyage ni taille végétation en 2027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54" t="s">
        <v>269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2">
        <f>Tmaj</f>
        <v>44947</v>
      </c>
      <c r="F3" s="1272"/>
      <c r="G3" s="8"/>
      <c r="H3" s="26"/>
      <c r="I3" s="6"/>
      <c r="J3" s="34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58">
        <f>AL11-AJ11</f>
        <v>93.681704724986446</v>
      </c>
      <c r="AK3" s="859">
        <f>AM11-AK11</f>
        <v>0</v>
      </c>
      <c r="AL3" s="858"/>
      <c r="AM3" s="859"/>
      <c r="AN3" s="857" t="s">
        <v>270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2" t="str">
        <f>Station</f>
        <v>Crèche Ayguesvives</v>
      </c>
      <c r="F4" s="1213"/>
      <c r="G4" s="1213"/>
      <c r="H4" s="1213"/>
      <c r="I4" s="1214"/>
      <c r="J4" s="158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58">
        <f>AL12-AJ12</f>
        <v>510.71966364421951</v>
      </c>
      <c r="AK4" s="859">
        <f>AM12-AK12</f>
        <v>323.71355879971907</v>
      </c>
      <c r="AL4" s="858"/>
      <c r="AM4" s="859"/>
      <c r="AN4" s="857" t="s">
        <v>271</v>
      </c>
    </row>
    <row r="5" spans="1:40" s="35" customFormat="1" ht="16.5" customHeight="1" x14ac:dyDescent="0.25">
      <c r="D5" s="161" t="s">
        <v>20</v>
      </c>
      <c r="E5" s="1273">
        <f>T0</f>
        <v>43313</v>
      </c>
      <c r="F5" s="1273"/>
      <c r="G5" s="34"/>
      <c r="H5" s="158"/>
      <c r="I5" s="158"/>
      <c r="K5" s="194"/>
      <c r="L5" s="506"/>
      <c r="M5" s="505"/>
      <c r="N5" s="505"/>
      <c r="O5" s="19"/>
      <c r="R5" s="39"/>
      <c r="S5" s="180"/>
      <c r="T5" s="180"/>
      <c r="U5" s="41"/>
      <c r="V5" s="507"/>
      <c r="W5" s="508"/>
      <c r="X5" s="509"/>
      <c r="Y5" s="510"/>
      <c r="Z5" s="238">
        <f>Wh_Psa_s-Wh_Psa</f>
        <v>604.58837856416812</v>
      </c>
      <c r="AA5" s="239">
        <f>Wh_Pvg_s-Wh_Pvg</f>
        <v>323.71355879971907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2484.4386367460506</v>
      </c>
      <c r="AK5" s="516">
        <f>SUMIF(AK15:AK380,"VRAI",Wh)</f>
        <v>0</v>
      </c>
      <c r="AL5" s="516">
        <f>SUMIF(AJ15:AJ380,"VRAI",Wh_s)</f>
        <v>2252.1220964648451</v>
      </c>
      <c r="AM5" s="516">
        <f>SUMIF(AK15:AK380,"VRAI",Wh_s)</f>
        <v>0</v>
      </c>
      <c r="AN5" s="857" t="s">
        <v>267</v>
      </c>
    </row>
    <row r="6" spans="1:40" s="6" customFormat="1" ht="16.5" customHeight="1" x14ac:dyDescent="0.2">
      <c r="B6" s="8"/>
      <c r="C6" s="8"/>
      <c r="D6" s="161" t="s">
        <v>11</v>
      </c>
      <c r="E6" s="1274">
        <f>Tservice</f>
        <v>43354</v>
      </c>
      <c r="F6" s="1274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7598.686290140412</v>
      </c>
      <c r="AK6" s="516">
        <f>SUMIF(AK15:AK380,"FAUX",Wh)</f>
        <v>10083.124926886461</v>
      </c>
      <c r="AL6" s="516">
        <f>SUMIF(AJ15:AJ380,"FAUX",Wh_s)</f>
        <v>6854.5397148449947</v>
      </c>
      <c r="AM6" s="516">
        <f>SUMIF(AK15:AK380,"FAUX",Wh_s)</f>
        <v>9106.6618113098521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AND(YEAR(Tnet)=An,Resal_2027="I")</f>
        <v>0</v>
      </c>
      <c r="F7" s="322" t="b">
        <f>YEAR(Tnet)=An</f>
        <v>1</v>
      </c>
      <c r="J7" s="180"/>
      <c r="K7" s="193"/>
      <c r="L7" s="191" t="s">
        <v>81</v>
      </c>
      <c r="M7" s="868"/>
      <c r="N7" s="868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50"/>
      <c r="Z7" s="518"/>
      <c r="AA7" s="518"/>
      <c r="AB7" s="518"/>
      <c r="AC7" s="518"/>
      <c r="AD7" s="250"/>
      <c r="AE7" s="250"/>
      <c r="AF7" s="493"/>
      <c r="AG7" s="493"/>
      <c r="AH7" s="493"/>
      <c r="AI7" s="518"/>
      <c r="AJ7" s="516">
        <f>SUMIF(AJ15:AJ380,"VRAI",Wh_pvt)</f>
        <v>2673.1823312456695</v>
      </c>
      <c r="AK7" s="516">
        <f>SUMIF(AK15:AK380,"VRAI",Wh_sa)</f>
        <v>0</v>
      </c>
      <c r="AL7" s="516">
        <f>SUMIF(AJ15:AJ380,"VRAI",Wh_pvt_s)</f>
        <v>2423.3011794451049</v>
      </c>
      <c r="AM7" s="516">
        <f>SUMIF(AK15:AK380,"VRAI",Wh_sa_s)</f>
        <v>0</v>
      </c>
      <c r="AN7" s="857" t="s">
        <v>259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AND(YEAR(Tnet)=An,Resal_2027&lt;&gt;"I")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6"/>
      <c r="X8" s="1260" t="s">
        <v>102</v>
      </c>
      <c r="Y8" s="1261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8202.7500356223554</v>
      </c>
      <c r="AK8" s="516">
        <f>SUMIF(AK15:AK380,"FAUX",Wh_sa)</f>
        <v>11601.164365142449</v>
      </c>
      <c r="AL8" s="516">
        <f>SUMIF(AJ15:AJ380,"FAUX",Wh_pvt_s)</f>
        <v>7399.0878278159416</v>
      </c>
      <c r="AM8" s="516">
        <f>SUMIF(AK15:AK380,"FAUX",Wh_sa_s)</f>
        <v>11199.703860000292</v>
      </c>
      <c r="AN8" s="857" t="s">
        <v>260</v>
      </c>
    </row>
    <row r="9" spans="1:40" s="19" customFormat="1" ht="15" customHeight="1" x14ac:dyDescent="0.25">
      <c r="A9" s="34"/>
      <c r="B9" s="212"/>
      <c r="C9" s="212"/>
      <c r="D9" s="186">
        <f>SUM(D$15:D$380)</f>
        <v>10875.932366868032</v>
      </c>
      <c r="E9" s="186">
        <f>SUM(E$15:E$380)</f>
        <v>11601.164365142449</v>
      </c>
      <c r="F9" s="186">
        <f>SUM(F$15:F$380)</f>
        <v>11649.717949675918</v>
      </c>
      <c r="H9" s="1264">
        <f>+SUM(Wh)</f>
        <v>10083.124926886461</v>
      </c>
      <c r="I9" s="1265"/>
      <c r="J9" s="1266"/>
      <c r="K9" s="193"/>
      <c r="L9" s="234"/>
      <c r="M9" s="234"/>
      <c r="N9" s="234"/>
      <c r="O9" s="225">
        <f>Tnet_2027</f>
        <v>46507</v>
      </c>
      <c r="P9" s="246" t="s">
        <v>91</v>
      </c>
      <c r="Q9" s="247"/>
      <c r="R9" s="247"/>
      <c r="S9" s="247"/>
      <c r="T9" s="247"/>
      <c r="U9" s="248"/>
      <c r="V9" s="462"/>
      <c r="W9" s="521"/>
      <c r="X9" s="1258">
        <f>+SUM(Wh_s)</f>
        <v>9106.6618113098521</v>
      </c>
      <c r="Y9" s="1259"/>
      <c r="Z9" s="516">
        <f>SUM(Z$15:Z$380)</f>
        <v>9822.389007261052</v>
      </c>
      <c r="AA9" s="516">
        <f>SUM(AA$15:AA$380)</f>
        <v>11199.703860000292</v>
      </c>
      <c r="AB9" s="516">
        <f>F9</f>
        <v>11649.717949675918</v>
      </c>
      <c r="AC9" s="327">
        <f>IF(An_Tnet,Tnet,'2026'!Tnet_s)</f>
        <v>46507</v>
      </c>
      <c r="AD9" s="318" t="s">
        <v>91</v>
      </c>
      <c r="AE9" s="318"/>
      <c r="AF9" s="318"/>
      <c r="AG9" s="318"/>
      <c r="AH9" s="318"/>
      <c r="AI9" s="319"/>
      <c r="AJ9" s="516">
        <f>SUMIF(AJ15:AJ380,"VRAI",Wh_sa)</f>
        <v>2946.6249978100095</v>
      </c>
      <c r="AK9" s="516">
        <f>SUMIF(AK15:AK380,"VRAI",Wh_hp)</f>
        <v>0</v>
      </c>
      <c r="AL9" s="516">
        <f>SUMIF(AJ15:AJ380,"VRAI",Wh_sa_s)</f>
        <v>2797.5556427954598</v>
      </c>
      <c r="AM9" s="516">
        <f>SUMIF(AK15:AK380,"VRAI",Wh_hp)</f>
        <v>0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IF(Inflex,'2026'!Resal+('2026'!Salim-'2026'!Resal)*(1-EXP(-(Tnet-'2026'!Tnet)/('2026'!Tau_j))),IF(An_Tnet,Resal_2027,'2026'!Resal))</f>
        <v>2.5000000000000001E-2</v>
      </c>
      <c r="P10" s="421" t="b">
        <f>NOT(Acti_tai)</f>
        <v>1</v>
      </c>
      <c r="Q10" s="259">
        <f>IF(Acti_tai,'2026'!PousD,Dens-Dd)</f>
        <v>0</v>
      </c>
      <c r="R10" s="276"/>
      <c r="S10" s="277"/>
      <c r="T10" s="278"/>
      <c r="U10" s="268">
        <f>IF(Acti_tai,'2026'!PousH,Hdtf-Hdd)</f>
        <v>0.7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IF(OR(Inflex,GainD),'2026'!Resal_s+('2026'!Salim-'2026'!Resal_s)*(1-EXP(('2026'!Tnet_s-Tnet)/('2026'!Tau_j))),IF(Acti_net,'2026'!Resal+('2026'!Salim-'2026'!Resal)*(1-EXP(('2026'!Tnet-Tnet)/'2026'!Tau_j)),'2026'!Resal_s))</f>
        <v>9.9501677911626452E-2</v>
      </c>
      <c r="AD10" s="428"/>
      <c r="AE10" s="428"/>
      <c r="AF10" s="262"/>
      <c r="AG10" s="263"/>
      <c r="AH10" s="264"/>
      <c r="AI10" s="473"/>
      <c r="AJ10" s="516">
        <f>SUMIF(AJ15:AJ380,"FAUX",Wh_sa)</f>
        <v>8654.5393673324343</v>
      </c>
      <c r="AK10" s="516">
        <f>SUMIF(AK15:AK380,"FAUX",Wh_hp)</f>
        <v>11649.717949675918</v>
      </c>
      <c r="AL10" s="516">
        <f>SUMIF(AJ15:AJ380,"FAUX",Wh_sa_s)</f>
        <v>8402.1482172048381</v>
      </c>
      <c r="AM10" s="516">
        <f>SUMIF(AK15:AK380,"FAUX",Wh_hp)</f>
        <v>11649.717949675918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50">
        <f>D$9-Prod_an</f>
        <v>792.8074399815705</v>
      </c>
      <c r="E11" s="51">
        <f>(E$9-D$9)*Prod_an/D$9</f>
        <v>672.36578832112446</v>
      </c>
      <c r="F11" s="188">
        <f>(F$9-E$9)*Prod_an/E$9</f>
        <v>42.200234656626883</v>
      </c>
      <c r="G11" s="187" t="s">
        <v>6</v>
      </c>
      <c r="K11" s="196"/>
      <c r="L11" s="213">
        <f>Tvie_2027</f>
        <v>43313</v>
      </c>
      <c r="M11" s="869"/>
      <c r="N11" s="869"/>
      <c r="O11" s="204">
        <f>IF(An_Tnet,Salim_2027,'2026'!Salim)</f>
        <v>0.17333333333333334</v>
      </c>
      <c r="P11" s="258">
        <f>Ttai_2027</f>
        <v>45747</v>
      </c>
      <c r="Q11" s="274">
        <f>Dens_2027</f>
        <v>1</v>
      </c>
      <c r="R11" s="279"/>
      <c r="S11" s="232"/>
      <c r="T11" s="232"/>
      <c r="U11" s="268">
        <f>Htf_2027</f>
        <v>-0.7352075818972843</v>
      </c>
      <c r="V11" s="428"/>
      <c r="W11" s="519"/>
      <c r="X11" s="526" t="s">
        <v>43</v>
      </c>
      <c r="Y11" s="50">
        <f>Z$9-Prod_an_s</f>
        <v>715.72719595119997</v>
      </c>
      <c r="Z11" s="51">
        <f>(AA$9-Z$9)*Prod_an_s/Z$9</f>
        <v>1276.9541668852926</v>
      </c>
      <c r="AA11" s="188">
        <f>(AB$9-AA$9)*Prod_an_s/AA$9</f>
        <v>365.91379345634596</v>
      </c>
      <c r="AB11" s="527" t="s">
        <v>6</v>
      </c>
      <c r="AC11" s="327"/>
      <c r="AD11" s="428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58">
        <f>IF($AJ7=0,0,($AJ9-$AJ7)*$AJ5/$AJ7)</f>
        <v>254.1358731152261</v>
      </c>
      <c r="AK11" s="859">
        <f>IF($AK7=0,0,($AK9-$AK7)*$AK5/$AK7)</f>
        <v>0</v>
      </c>
      <c r="AL11" s="858">
        <f>IF($AL7=0,0,($AL9-$AL7)*$AL5/$AL7)</f>
        <v>347.81757784021255</v>
      </c>
      <c r="AM11" s="859">
        <f>IF($AM7=0,0,($AM9-$AM7)*$AM5/$AM7)</f>
        <v>0</v>
      </c>
      <c r="AN11" s="857" t="s">
        <v>272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Pspv_2027</f>
        <v>0</v>
      </c>
      <c r="M12" s="214"/>
      <c r="N12" s="214"/>
      <c r="O12" s="207">
        <f>IF(An_Tnet,Tau_2027*365,'2026'!Tau_j)</f>
        <v>523.16666666666663</v>
      </c>
      <c r="P12" s="283">
        <f>INDEX(Croivg,MIN(MAX(Ttai-$A$15,0)+1,366))</f>
        <v>2.3909964587625958E-6</v>
      </c>
      <c r="Q12" s="282">
        <f>'2026'!Df</f>
        <v>1</v>
      </c>
      <c r="R12" s="280"/>
      <c r="S12" s="281"/>
      <c r="T12" s="281"/>
      <c r="U12" s="269">
        <f>'2026'!Hdf</f>
        <v>-1.4352075818972843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'2026'!Df_s</f>
        <v>1</v>
      </c>
      <c r="AF12" s="205"/>
      <c r="AG12" s="205"/>
      <c r="AH12" s="205"/>
      <c r="AI12" s="299">
        <f>'2026'!Hdf_s</f>
        <v>3.4997750110262862</v>
      </c>
      <c r="AJ12" s="858">
        <f>IF($AJ8=0,0,($AJ10-$AJ8)*$AJ6/$AJ8)</f>
        <v>418.51883648635499</v>
      </c>
      <c r="AK12" s="859">
        <f>IF($AK8=0,0,($AK10-$AK8)*$AK6/$AK8)</f>
        <v>42.200234656626883</v>
      </c>
      <c r="AL12" s="858">
        <f>IF($AL8=0,0,($AL10-$AL8)*$AL6/$AL8)</f>
        <v>929.23850013057449</v>
      </c>
      <c r="AM12" s="859">
        <f>IF($AM8=0,0,($AM10-$AM8)*$AM6/$AM8)</f>
        <v>365.91379345634596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204</v>
      </c>
      <c r="V13" s="124" t="s">
        <v>41</v>
      </c>
      <c r="W13" s="862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672.65470960158109</v>
      </c>
      <c r="AK13" s="73">
        <f>+AK11+AK12</f>
        <v>42.200234656626883</v>
      </c>
      <c r="AL13" s="73">
        <f>+AL11+AL12</f>
        <v>1277.0560779707871</v>
      </c>
      <c r="AM13" s="73">
        <f>+AM11+AM12</f>
        <v>365.91379345634596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1281" t="s">
        <v>366</v>
      </c>
      <c r="C14" s="416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203</v>
      </c>
      <c r="V14" s="45" t="str">
        <f>"Enveloppe "&amp; TEXT(An,0)</f>
        <v>Enveloppe 2027</v>
      </c>
      <c r="W14" s="863" t="s">
        <v>116</v>
      </c>
      <c r="X14" s="260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129">
        <f>DATE(An,1,1)</f>
        <v>46388</v>
      </c>
      <c r="B15" s="1138">
        <f>IF(t&gt;Tmaj,'2026'!Wh/'2026'!Env_an*'2027'!Env_an,0.001*'[3]mon-tableau (2)'!$B$208)</f>
        <v>6.021421293876994</v>
      </c>
      <c r="C15" s="866"/>
      <c r="D15" s="395">
        <f t="shared" ref="D15:D78" si="0">Wh/(1-Ppv)</f>
        <v>6.4681096983190498</v>
      </c>
      <c r="E15" s="402">
        <f t="shared" ref="E15:E79" si="1">Wh_pvt/(1-Psa)</f>
        <v>7.0361887308113582</v>
      </c>
      <c r="F15" s="402">
        <f t="shared" ref="F15:F78" si="2">Wh_sa/(1-Pvg*MEDIAN((-Sdif+Wh/Env_an)/Csdif,0,1))</f>
        <v>7.0612420527770148</v>
      </c>
      <c r="G15" s="123">
        <f>+Wh_hp/MaxiM</f>
        <v>0.37102280129595172</v>
      </c>
      <c r="H15" s="414" t="b">
        <f>Wh_hp&gt;='2026'!Maxi_hp</f>
        <v>0</v>
      </c>
      <c r="I15" s="398">
        <f>IF(H15,Wh_hp,'2026'!Maxi_hp)</f>
        <v>19.462082173692245</v>
      </c>
      <c r="J15" s="84">
        <f>IF(H15,An,'2026'!An_max)</f>
        <v>2022</v>
      </c>
      <c r="K15" s="199">
        <f t="shared" ref="K15:K78" si="3">t</f>
        <v>46388</v>
      </c>
      <c r="L15" s="146">
        <f>IF(t&lt;Tvie,1-EXP((T0-t)*PertePVj)+'2026'!Pspv,1-EXP((T0-t)*PertePVj)+Pspv)</f>
        <v>6.9060115748831863E-2</v>
      </c>
      <c r="M15" s="870"/>
      <c r="N15" s="870"/>
      <c r="O15" s="48">
        <f>IF(t&lt;Tnet,'2026'!Resal+('2026'!Salim-'2026'!Resal)*(1-EXP(('2026'!Tnet-t)/('2026'!Tau_j))),Resal+(Salim-Resal)*(1-EXP((Tnet-t)/(Tau_j))))*Salcycl</f>
        <v>8.0736753123846663E-2</v>
      </c>
      <c r="P15" s="304">
        <f>(INDEX(Models!$BJ15:$BT15,,T15)*(1-R15)+INDEX(Models!$BJ15:$BT15,,T15+1)*R15-ERP_i)*Q15*Ramure*Pc/MaxiM</f>
        <v>3.0530199841300516E-2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0.56479409180023699</v>
      </c>
      <c r="S15" s="836">
        <f t="shared" ref="S15:S78" si="6">INDEX(Echel_vg,T15)</f>
        <v>-2</v>
      </c>
      <c r="T15" s="251">
        <f t="shared" ref="T15:T78" si="7">MIN(MATCH(Hp_vg,Echel_vg),10)</f>
        <v>4</v>
      </c>
      <c r="U15" s="253">
        <f t="shared" ref="U15:U78" si="8">IF(OR(t&lt;Ttai,Notai),Hdd+PousH*Croivg,Hdtf+PousH*(Croivg-Croi_tai))</f>
        <v>-1.435205908199763</v>
      </c>
      <c r="V15" s="384">
        <f t="shared" ref="V15:V78" si="9">MaxiM*(1-Ppv)*(1-Pvg)*(1-Psa)</f>
        <v>15.789788686031772</v>
      </c>
      <c r="W15" s="404">
        <f t="shared" ref="W15:W78" si="10">Wh*(A15&gt;Tmaj)</f>
        <v>6.021421293876994</v>
      </c>
      <c r="X15" s="156">
        <f t="shared" ref="X15:X78" si="11">t</f>
        <v>46388</v>
      </c>
      <c r="Y15" s="387">
        <f t="shared" ref="Y15:Y78" si="12">Wh_pvt_s*(1-Ppv)</f>
        <v>5.5313505824115339</v>
      </c>
      <c r="Z15" s="387">
        <f>Wh_sa_s*(1-Psa_s)</f>
        <v>5.9416839647608999</v>
      </c>
      <c r="AA15" s="388">
        <f t="shared" ref="AA15:AA78" si="13">Wh_hp*(1-Pvg_s*MEDIAN((-Sdif+Wh/Env_an)/Csdif,0,1))</f>
        <v>6.8087341651540507</v>
      </c>
      <c r="AB15" s="199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0.12734381742065462</v>
      </c>
      <c r="AD15" s="233">
        <f>(INDEX(Models!$BJ15:$BT15,,AH15)*(1-AF15)+INDEX(Models!$BJ15:$BT15,,AH15+1)*AF15-ERP_i)*AE15*Ramure*Pc/MaxiM</f>
        <v>0.30770834627047161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0.49977668472380721</v>
      </c>
      <c r="AG15" s="836">
        <f>INDEX(Echel_vg,AH15)</f>
        <v>3</v>
      </c>
      <c r="AH15" s="251">
        <f t="shared" ref="AH15:AH78" si="16">MIN(MATCH(Hp_vg_s,Echel_vg),10)</f>
        <v>9</v>
      </c>
      <c r="AI15" s="226">
        <f t="shared" ref="AI15:AI78" si="17">IF(OR(t&lt;Ttai,Notai),Hdd_s+PousH*Croivg,Hdtai_s+PousH*(Croivg-Croi_tai))</f>
        <v>3.4997766847238072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46389</v>
      </c>
      <c r="B16" s="1139">
        <f>IF(t&gt;Tmaj,'2026'!Wh/'2026'!Env_an*'2027'!Env_an,0.001*'[3]mon-tableau (2)'!$B$209)</f>
        <v>1.4669505156705998</v>
      </c>
      <c r="C16" s="866"/>
      <c r="D16" s="395">
        <f t="shared" si="0"/>
        <v>1.5758102959856046</v>
      </c>
      <c r="E16" s="387">
        <f t="shared" si="1"/>
        <v>1.714528490595415</v>
      </c>
      <c r="F16" s="387">
        <f t="shared" si="2"/>
        <v>1.714528490595415</v>
      </c>
      <c r="G16" s="110">
        <f t="shared" ref="G16:G79" si="21">+Wh_hp/MaxiM</f>
        <v>8.9448975214776974E-2</v>
      </c>
      <c r="H16" s="414" t="b">
        <f>Wh_hp&gt;='2026'!Maxi_hp</f>
        <v>0</v>
      </c>
      <c r="I16" s="392">
        <f>IF(H16,Wh_hp,'2026'!Maxi_hp)</f>
        <v>17.82763006390077</v>
      </c>
      <c r="J16" s="85">
        <f>IF(H16,An,'2026'!An_max)</f>
        <v>2020</v>
      </c>
      <c r="K16" s="199">
        <f t="shared" si="3"/>
        <v>46389</v>
      </c>
      <c r="L16" s="147">
        <f>IF(t&lt;Tvie,1-EXP((T0-t)*PertePVj)+'2026'!Pspv,1-EXP((T0-t)*PertePVj)+Pspv)</f>
        <v>6.9081780079954025E-2</v>
      </c>
      <c r="M16" s="870"/>
      <c r="N16" s="870"/>
      <c r="O16" s="48">
        <f>IF(t&lt;Tnet,'2026'!Resal+('2026'!Salim-'2026'!Resal)*(1-EXP(('2026'!Tnet-t)/('2026'!Tau_j))),Resal+(Salim-Resal)*(1-EXP((Tnet-t)/(Tau_j))))*Salcycl</f>
        <v>8.0907488776483932E-2</v>
      </c>
      <c r="P16" s="171">
        <f>(INDEX(Models!$BJ16:$BT16,,T16)*(1-R16)+INDEX(Models!$BJ16:$BT16,,T16+1)*R16-ERP_i)*Q16*Ramure*Pc/MaxiM</f>
        <v>3.0192405450995892E-2</v>
      </c>
      <c r="Q16" s="307">
        <f t="shared" si="4"/>
        <v>1</v>
      </c>
      <c r="R16" s="179">
        <f t="shared" si="5"/>
        <v>0.56483499225982881</v>
      </c>
      <c r="S16" s="837">
        <f t="shared" si="6"/>
        <v>-2</v>
      </c>
      <c r="T16" s="178">
        <f t="shared" si="7"/>
        <v>4</v>
      </c>
      <c r="U16" s="253">
        <f t="shared" si="8"/>
        <v>-1.4351650077401712</v>
      </c>
      <c r="V16" s="385">
        <f t="shared" si="9"/>
        <v>15.904707097079207</v>
      </c>
      <c r="W16" s="404">
        <f t="shared" si="10"/>
        <v>1.4669505156705998</v>
      </c>
      <c r="X16" s="157">
        <f t="shared" si="11"/>
        <v>46389</v>
      </c>
      <c r="Y16" s="387">
        <f t="shared" si="12"/>
        <v>1.3927096293229384</v>
      </c>
      <c r="Z16" s="387">
        <f t="shared" ref="Z16:Z78" si="22">Wh_sa_s*(1-Psa_s)</f>
        <v>1.4960601259287356</v>
      </c>
      <c r="AA16" s="388">
        <f t="shared" si="13"/>
        <v>1.714528490595415</v>
      </c>
      <c r="AB16" s="199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0.12742183397069734</v>
      </c>
      <c r="AD16" s="233">
        <f>(INDEX(Models!$BJ16:$BT16,,AH16)*(1-AF16)+INDEX(Models!$BJ16:$BT16,,AH16+1)*AF16-ERP_i)*AE16*Ramure*Pc/MaxiM</f>
        <v>0.30539793695221323</v>
      </c>
      <c r="AE16" s="307">
        <f t="shared" si="15"/>
        <v>1</v>
      </c>
      <c r="AF16" s="179">
        <f t="shared" ref="AF16:AF78" si="23">(Hp_vg_s-AG16)/(INDEX(Echel_vg,AH16+1)-AG16)</f>
        <v>0.49981758518339925</v>
      </c>
      <c r="AG16" s="837">
        <f t="shared" ref="AG16:AG79" si="24">INDEX(Echel_vg,AH16)</f>
        <v>3</v>
      </c>
      <c r="AH16" s="178">
        <f t="shared" si="16"/>
        <v>9</v>
      </c>
      <c r="AI16" s="227">
        <f t="shared" si="17"/>
        <v>3.4998175851833992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46390</v>
      </c>
      <c r="B17" s="1139">
        <f>IF(t&gt;Tmaj,'2026'!Wh/'2026'!Env_an*'2027'!Env_an,0.001*'[3]mon-tableau (2)'!$B$210)</f>
        <v>11.036967889864567</v>
      </c>
      <c r="C17" s="866"/>
      <c r="D17" s="395">
        <f t="shared" si="0"/>
        <v>11.856277496810216</v>
      </c>
      <c r="E17" s="387">
        <f t="shared" si="1"/>
        <v>12.902379491196159</v>
      </c>
      <c r="F17" s="387">
        <f t="shared" si="2"/>
        <v>13.119742642054803</v>
      </c>
      <c r="G17" s="110">
        <f t="shared" si="21"/>
        <v>0.6793380444442696</v>
      </c>
      <c r="H17" s="414" t="b">
        <f>Wh_hp&gt;='2026'!Maxi_hp</f>
        <v>0</v>
      </c>
      <c r="I17" s="392">
        <f>IF(H17,Wh_hp,'2026'!Maxi_hp)</f>
        <v>19.427917678346777</v>
      </c>
      <c r="J17" s="85">
        <f>IF(H17,An,'2026'!An_max)</f>
        <v>2019</v>
      </c>
      <c r="K17" s="199">
        <f t="shared" si="3"/>
        <v>46390</v>
      </c>
      <c r="L17" s="147">
        <f>IF(t&lt;Tvie,1-EXP((T0-t)*PertePVj)+'2026'!Pspv,1-EXP((T0-t)*PertePVj)+Pspv)</f>
        <v>6.9103443906915585E-2</v>
      </c>
      <c r="M17" s="870"/>
      <c r="N17" s="870"/>
      <c r="O17" s="48">
        <f>IF(t&lt;Tnet,'2026'!Resal+('2026'!Salim-'2026'!Resal)*(1-EXP(('2026'!Tnet-t)/('2026'!Tau_j))),Resal+(Salim-Resal)*(1-EXP((Tnet-t)/(Tau_j))))*Salcycl</f>
        <v>8.1078222439492031E-2</v>
      </c>
      <c r="P17" s="171">
        <f>(INDEX(Models!$BJ17:$BT17,,T17)*(1-R17)+INDEX(Models!$BJ17:$BT17,,T17+1)*R17-ERP_i)*Q17*Ramure*Pc/MaxiM</f>
        <v>2.9841401135478132E-2</v>
      </c>
      <c r="Q17" s="307">
        <f t="shared" si="4"/>
        <v>1</v>
      </c>
      <c r="R17" s="179">
        <f t="shared" si="5"/>
        <v>0.56487760349351412</v>
      </c>
      <c r="S17" s="837">
        <f t="shared" si="6"/>
        <v>-2</v>
      </c>
      <c r="T17" s="178">
        <f t="shared" si="7"/>
        <v>4</v>
      </c>
      <c r="U17" s="253">
        <f t="shared" si="8"/>
        <v>-1.4351223965064859</v>
      </c>
      <c r="V17" s="385">
        <f t="shared" si="9"/>
        <v>16.027363402997455</v>
      </c>
      <c r="W17" s="404">
        <f t="shared" si="10"/>
        <v>11.036967889864567</v>
      </c>
      <c r="X17" s="157">
        <f t="shared" si="11"/>
        <v>46390</v>
      </c>
      <c r="Y17" s="387">
        <f t="shared" si="12"/>
        <v>8.8639517843450832</v>
      </c>
      <c r="Z17" s="387">
        <f t="shared" si="22"/>
        <v>9.5219514201948972</v>
      </c>
      <c r="AA17" s="388">
        <f t="shared" si="13"/>
        <v>10.91341439035425</v>
      </c>
      <c r="AB17" s="199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0.12750024148163822</v>
      </c>
      <c r="AD17" s="233">
        <f>(INDEX(Models!$BJ17:$BT17,,AH17)*(1-AF17)+INDEX(Models!$BJ17:$BT17,,AH17+1)*AF17-ERP_i)*AE17*Ramure*Pc/MaxiM</f>
        <v>0.30290288917624109</v>
      </c>
      <c r="AE17" s="307">
        <f t="shared" si="15"/>
        <v>1</v>
      </c>
      <c r="AF17" s="179">
        <f>(Hp_vg_s-AG17)/(INDEX(Echel_vg,AH17+1)-AG17)</f>
        <v>0.49986019641708479</v>
      </c>
      <c r="AG17" s="837">
        <f>INDEX(Echel_vg,AH17)</f>
        <v>3</v>
      </c>
      <c r="AH17" s="178">
        <f t="shared" si="16"/>
        <v>9</v>
      </c>
      <c r="AI17" s="227">
        <f t="shared" si="17"/>
        <v>3.4998601964170848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46391</v>
      </c>
      <c r="B18" s="1139">
        <f>IF(t&gt;Tmaj,'2026'!Wh/'2026'!Env_an*'2027'!Env_an,0.001*'[3]mon-tableau (2)'!$B$211)</f>
        <v>11.094033381338798</v>
      </c>
      <c r="C18" s="866"/>
      <c r="D18" s="395">
        <f t="shared" si="0"/>
        <v>11.917856489096076</v>
      </c>
      <c r="E18" s="387">
        <f t="shared" si="1"/>
        <v>12.971801327147912</v>
      </c>
      <c r="F18" s="387">
        <f t="shared" si="2"/>
        <v>13.186492606628377</v>
      </c>
      <c r="G18" s="110">
        <f t="shared" si="21"/>
        <v>0.67740564054159191</v>
      </c>
      <c r="H18" s="414" t="b">
        <f>Wh_hp&gt;='2026'!Maxi_hp</f>
        <v>0</v>
      </c>
      <c r="I18" s="392">
        <f>IF(H18,Wh_hp,'2026'!Maxi_hp)</f>
        <v>19.204055167696065</v>
      </c>
      <c r="J18" s="85">
        <f>IF(H18,An,'2026'!An_max)</f>
        <v>2019</v>
      </c>
      <c r="K18" s="199">
        <f t="shared" si="3"/>
        <v>46391</v>
      </c>
      <c r="L18" s="147">
        <f>IF(t&lt;Tvie,1-EXP((T0-t)*PertePVj)+'2026'!Pspv,1-EXP((T0-t)*PertePVj)+Pspv)</f>
        <v>6.91251072297282E-2</v>
      </c>
      <c r="M18" s="870"/>
      <c r="N18" s="870"/>
      <c r="O18" s="48">
        <f>IF(t&lt;Tnet,'2026'!Resal+('2026'!Salim-'2026'!Resal)*(1-EXP(('2026'!Tnet-t)/('2026'!Tau_j))),Resal+(Salim-Resal)*(1-EXP((Tnet-t)/(Tau_j))))*Salcycl</f>
        <v>8.1248919211096546E-2</v>
      </c>
      <c r="P18" s="171">
        <f>(INDEX(Models!$BJ18:$BT18,,T18)*(1-R18)+INDEX(Models!$BJ18:$BT18,,T18+1)*R18-ERP_i)*Q18*Ramure*Pc/MaxiM</f>
        <v>2.9478285130597897E-2</v>
      </c>
      <c r="Q18" s="307">
        <f t="shared" si="4"/>
        <v>1</v>
      </c>
      <c r="R18" s="179">
        <f t="shared" si="5"/>
        <v>0.56492199683732736</v>
      </c>
      <c r="S18" s="837">
        <f t="shared" si="6"/>
        <v>-2</v>
      </c>
      <c r="T18" s="178">
        <f t="shared" si="7"/>
        <v>4</v>
      </c>
      <c r="U18" s="253">
        <f t="shared" si="8"/>
        <v>-1.4350780031626726</v>
      </c>
      <c r="V18" s="385">
        <f t="shared" si="9"/>
        <v>16.157528244983581</v>
      </c>
      <c r="W18" s="404">
        <f t="shared" si="10"/>
        <v>11.094033381338798</v>
      </c>
      <c r="X18" s="157">
        <f t="shared" si="11"/>
        <v>46391</v>
      </c>
      <c r="Y18" s="387">
        <f t="shared" si="12"/>
        <v>8.9331646153051008</v>
      </c>
      <c r="Z18" s="387">
        <f>Wh_sa_s*(1-Psa_s)</f>
        <v>9.5965254672624347</v>
      </c>
      <c r="AA18" s="388">
        <f t="shared" si="13"/>
        <v>10.999878805346393</v>
      </c>
      <c r="AB18" s="199">
        <f>t</f>
        <v>46391</v>
      </c>
      <c r="AC18" s="119">
        <f>IF(OR(t&lt;Tnet,NoTnet),'2026'!Resal_s+('2026'!Salim-'2026'!Resal_s)*(1-EXP(('2026'!Tnet_s-t)/'2026'!Tau_j)),Resal_s+(Salim-Resal_s)*(1-EXP((Tnet_s-t)/Tau_j)))*Salcycl</f>
        <v>0.12757898181586058</v>
      </c>
      <c r="AD18" s="233">
        <f>(INDEX(Models!$BJ18:$BT18,,AH18)*(1-AF18)+INDEX(Models!$BJ18:$BT18,,AH18+1)*AF18-ERP_i)*AE18*Ramure*Pc/MaxiM</f>
        <v>0.30023401630784713</v>
      </c>
      <c r="AE18" s="307">
        <f t="shared" si="15"/>
        <v>1</v>
      </c>
      <c r="AF18" s="179">
        <f t="shared" si="23"/>
        <v>0.4999045897608978</v>
      </c>
      <c r="AG18" s="837">
        <f t="shared" si="24"/>
        <v>3</v>
      </c>
      <c r="AH18" s="178">
        <f t="shared" si="16"/>
        <v>9</v>
      </c>
      <c r="AI18" s="227">
        <f t="shared" si="17"/>
        <v>3.4999045897608978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46392</v>
      </c>
      <c r="B19" s="1139">
        <f>IF(t&gt;Tmaj,'2026'!Wh/'2026'!Env_an*'2027'!Env_an,0.001*'[3]mon-tableau (2)'!$B$212)</f>
        <v>11.930019197291596</v>
      </c>
      <c r="C19" s="866"/>
      <c r="D19" s="395">
        <f t="shared" si="0"/>
        <v>12.816219371030112</v>
      </c>
      <c r="E19" s="387">
        <f t="shared" si="1"/>
        <v>13.952201305583587</v>
      </c>
      <c r="F19" s="387">
        <f t="shared" si="2"/>
        <v>14.207463487968321</v>
      </c>
      <c r="G19" s="110">
        <f t="shared" si="21"/>
        <v>0.72382566769938317</v>
      </c>
      <c r="H19" s="414" t="b">
        <f>Wh_hp&gt;='2026'!Maxi_hp</f>
        <v>0</v>
      </c>
      <c r="I19" s="392">
        <f>IF(H19,Wh_hp,'2026'!Maxi_hp)</f>
        <v>19.428700857508826</v>
      </c>
      <c r="J19" s="85">
        <f>IF(H19,An,'2026'!An_max)</f>
        <v>2019</v>
      </c>
      <c r="K19" s="199">
        <f t="shared" si="3"/>
        <v>46392</v>
      </c>
      <c r="L19" s="147">
        <f>IF(t&lt;Tvie,1-EXP((T0-t)*PertePVj)+'2026'!Pspv,1-EXP((T0-t)*PertePVj)+Pspv)</f>
        <v>6.9146770048403638E-2</v>
      </c>
      <c r="M19" s="870"/>
      <c r="N19" s="870"/>
      <c r="O19" s="48">
        <f>IF(t&lt;Tnet,'2026'!Resal+('2026'!Salim-'2026'!Resal)*(1-EXP(('2026'!Tnet-t)/('2026'!Tau_j))),Resal+(Salim-Resal)*(1-EXP((Tnet-t)/(Tau_j))))*Salcycl</f>
        <v>8.1419548763166386E-2</v>
      </c>
      <c r="P19" s="171">
        <f>(INDEX(Models!$BJ19:$BT19,,T19)*(1-R19)+INDEX(Models!$BJ19:$BT19,,T19+1)*R19-ERP_i)*Q19*Ramure*Pc/MaxiM</f>
        <v>2.9104136534261815E-2</v>
      </c>
      <c r="Q19" s="307">
        <f t="shared" si="4"/>
        <v>1</v>
      </c>
      <c r="R19" s="179">
        <f t="shared" si="5"/>
        <v>0.56496824658291378</v>
      </c>
      <c r="S19" s="837">
        <f t="shared" si="6"/>
        <v>-2</v>
      </c>
      <c r="T19" s="178">
        <f t="shared" si="7"/>
        <v>4</v>
      </c>
      <c r="U19" s="253">
        <f t="shared" si="8"/>
        <v>-1.4350317534170862</v>
      </c>
      <c r="V19" s="385">
        <f t="shared" si="9"/>
        <v>16.294972374831225</v>
      </c>
      <c r="W19" s="404">
        <f t="shared" si="10"/>
        <v>11.930019197291596</v>
      </c>
      <c r="X19" s="157">
        <f t="shared" si="11"/>
        <v>46392</v>
      </c>
      <c r="Y19" s="387">
        <f t="shared" si="12"/>
        <v>9.4186909292779752</v>
      </c>
      <c r="Z19" s="387">
        <f t="shared" si="22"/>
        <v>10.118341566873802</v>
      </c>
      <c r="AA19" s="388">
        <f t="shared" si="13"/>
        <v>11.599053602338397</v>
      </c>
      <c r="AB19" s="199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0.12765800437081179</v>
      </c>
      <c r="AD19" s="233">
        <f>(INDEX(Models!$BJ19:$BT19,,AH19)*(1-AF19)+INDEX(Models!$BJ19:$BT19,,AH19+1)*AF19-ERP_i)*AE19*Ramure*Pc/MaxiM</f>
        <v>0.29740213273845295</v>
      </c>
      <c r="AE19" s="307">
        <f t="shared" si="15"/>
        <v>1</v>
      </c>
      <c r="AF19" s="179">
        <f t="shared" si="23"/>
        <v>0.499950839506484</v>
      </c>
      <c r="AG19" s="837">
        <f t="shared" si="24"/>
        <v>3</v>
      </c>
      <c r="AH19" s="178">
        <f t="shared" si="16"/>
        <v>9</v>
      </c>
      <c r="AI19" s="227">
        <f t="shared" si="17"/>
        <v>3.499950839506484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46393</v>
      </c>
      <c r="B20" s="1139">
        <f>IF(t&gt;Tmaj,'2026'!Wh/'2026'!Env_an*'2027'!Env_an,0.001*'[3]mon-tableau (2)'!$B$213)</f>
        <v>5.2810212211579515</v>
      </c>
      <c r="C20" s="866"/>
      <c r="D20" s="395">
        <f t="shared" si="0"/>
        <v>5.6734444820817993</v>
      </c>
      <c r="E20" s="387">
        <f t="shared" si="1"/>
        <v>6.1774643227162356</v>
      </c>
      <c r="F20" s="387">
        <f t="shared" si="2"/>
        <v>6.1828524592169165</v>
      </c>
      <c r="G20" s="110">
        <f t="shared" si="21"/>
        <v>0.31228654151099133</v>
      </c>
      <c r="H20" s="414" t="b">
        <f>Wh_hp&gt;='2026'!Maxi_hp</f>
        <v>0</v>
      </c>
      <c r="I20" s="392">
        <f>IF(H20,Wh_hp,'2026'!Maxi_hp)</f>
        <v>20.454909959477973</v>
      </c>
      <c r="J20" s="85">
        <f>IF(H20,An,'2026'!An_max)</f>
        <v>2022</v>
      </c>
      <c r="K20" s="199">
        <f t="shared" si="3"/>
        <v>46393</v>
      </c>
      <c r="L20" s="147">
        <f>IF(t&lt;Tvie,1-EXP((T0-t)*PertePVj)+'2026'!Pspv,1-EXP((T0-t)*PertePVj)+Pspv)</f>
        <v>6.9168432362953669E-2</v>
      </c>
      <c r="M20" s="870"/>
      <c r="N20" s="870"/>
      <c r="O20" s="48">
        <f>IF(t&lt;Tnet,'2026'!Resal+('2026'!Salim-'2026'!Resal)*(1-EXP(('2026'!Tnet-t)/('2026'!Tau_j))),Resal+(Salim-Resal)*(1-EXP((Tnet-t)/(Tau_j))))*Salcycl</f>
        <v>8.1590085236270302E-2</v>
      </c>
      <c r="P20" s="171">
        <f>(INDEX(Models!$BJ20:$BT20,,T20)*(1-R20)+INDEX(Models!$BJ20:$BT20,,T20+1)*R20-ERP_i)*Q20*Ramure*Pc/MaxiM</f>
        <v>2.8720009882688351E-2</v>
      </c>
      <c r="Q20" s="307">
        <f t="shared" si="4"/>
        <v>1</v>
      </c>
      <c r="R20" s="179">
        <f t="shared" si="5"/>
        <v>0.56501643009836466</v>
      </c>
      <c r="S20" s="837">
        <f t="shared" si="6"/>
        <v>-2</v>
      </c>
      <c r="T20" s="178">
        <f t="shared" si="7"/>
        <v>4</v>
      </c>
      <c r="U20" s="253">
        <f t="shared" si="8"/>
        <v>-1.4349835699016353</v>
      </c>
      <c r="V20" s="385">
        <f t="shared" si="9"/>
        <v>16.439466652144159</v>
      </c>
      <c r="W20" s="404">
        <f t="shared" si="10"/>
        <v>5.2810212211579515</v>
      </c>
      <c r="X20" s="157">
        <f t="shared" si="11"/>
        <v>46393</v>
      </c>
      <c r="Y20" s="387">
        <f t="shared" si="12"/>
        <v>4.9751941217634004</v>
      </c>
      <c r="Z20" s="387">
        <f t="shared" si="22"/>
        <v>5.3448919167977218</v>
      </c>
      <c r="AA20" s="388">
        <f t="shared" si="13"/>
        <v>6.1276169525286965</v>
      </c>
      <c r="AB20" s="199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0.12773726585634013</v>
      </c>
      <c r="AD20" s="233">
        <f>(INDEX(Models!$BJ20:$BT20,,AH20)*(1-AF20)+INDEX(Models!$BJ20:$BT20,,AH20+1)*AF20-ERP_i)*AE20*Ramure*Pc/MaxiM</f>
        <v>0.29441798621112181</v>
      </c>
      <c r="AE20" s="307">
        <f t="shared" si="15"/>
        <v>1</v>
      </c>
      <c r="AF20" s="179">
        <f t="shared" si="23"/>
        <v>0.49999902302193533</v>
      </c>
      <c r="AG20" s="837">
        <f t="shared" si="24"/>
        <v>3</v>
      </c>
      <c r="AH20" s="178">
        <f t="shared" si="16"/>
        <v>9</v>
      </c>
      <c r="AI20" s="227">
        <f t="shared" si="17"/>
        <v>3.4999990230219353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46394</v>
      </c>
      <c r="B21" s="1139">
        <f>IF(t&gt;Tmaj,'2026'!Wh/'2026'!Env_an*'2027'!Env_an,0.001*'[3]mon-tableau (2)'!$B$214)</f>
        <v>13.445252154272842</v>
      </c>
      <c r="C21" s="866"/>
      <c r="D21" s="395">
        <f t="shared" si="0"/>
        <v>14.444680992444665</v>
      </c>
      <c r="E21" s="387">
        <f t="shared" si="1"/>
        <v>15.730842665859061</v>
      </c>
      <c r="F21" s="387">
        <f t="shared" si="2"/>
        <v>16.062609109354735</v>
      </c>
      <c r="G21" s="110">
        <f t="shared" si="21"/>
        <v>0.80405612191484976</v>
      </c>
      <c r="H21" s="414" t="b">
        <f>Wh_hp&gt;='2026'!Maxi_hp</f>
        <v>0</v>
      </c>
      <c r="I21" s="392">
        <f>IF(H21,Wh_hp,'2026'!Maxi_hp)</f>
        <v>16.145247983145396</v>
      </c>
      <c r="J21" s="85">
        <f>IF(H21,An,'2026'!An_max)</f>
        <v>2026</v>
      </c>
      <c r="K21" s="199">
        <f t="shared" si="3"/>
        <v>46394</v>
      </c>
      <c r="L21" s="147">
        <f>IF(t&lt;Tvie,1-EXP((T0-t)*PertePVj)+'2026'!Pspv,1-EXP((T0-t)*PertePVj)+Pspv)</f>
        <v>6.919009417339006E-2</v>
      </c>
      <c r="M21" s="870"/>
      <c r="N21" s="870"/>
      <c r="O21" s="48">
        <f>IF(t&lt;Tnet,'2026'!Resal+('2026'!Salim-'2026'!Resal)*(1-EXP(('2026'!Tnet-t)/('2026'!Tau_j))),Resal+(Salim-Resal)*(1-EXP((Tnet-t)/(Tau_j))))*Salcycl</f>
        <v>8.1760507096404658E-2</v>
      </c>
      <c r="P21" s="171">
        <f>(INDEX(Models!$BJ21:$BT21,,T21)*(1-R21)+INDEX(Models!$BJ21:$BT21,,T21+1)*R21-ERP_i)*Q21*Ramure*Pc/MaxiM</f>
        <v>2.8326930411006892E-2</v>
      </c>
      <c r="Q21" s="307">
        <f t="shared" si="4"/>
        <v>1</v>
      </c>
      <c r="R21" s="179">
        <f t="shared" si="5"/>
        <v>0.56506662795385321</v>
      </c>
      <c r="S21" s="837">
        <f t="shared" si="6"/>
        <v>-2</v>
      </c>
      <c r="T21" s="178">
        <f t="shared" si="7"/>
        <v>4</v>
      </c>
      <c r="U21" s="253">
        <f t="shared" si="8"/>
        <v>-1.4349333720461468</v>
      </c>
      <c r="V21" s="385">
        <f t="shared" si="9"/>
        <v>16.590782048217278</v>
      </c>
      <c r="W21" s="404">
        <f t="shared" si="10"/>
        <v>13.445252154272842</v>
      </c>
      <c r="X21" s="157">
        <f t="shared" si="11"/>
        <v>46394</v>
      </c>
      <c r="Y21" s="387">
        <f t="shared" si="12"/>
        <v>10.270531590200614</v>
      </c>
      <c r="Z21" s="387">
        <f t="shared" si="22"/>
        <v>11.033973237618074</v>
      </c>
      <c r="AA21" s="388">
        <f t="shared" si="13"/>
        <v>12.650980152145374</v>
      </c>
      <c r="AB21" s="199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0.12781673001463723</v>
      </c>
      <c r="AD21" s="233">
        <f>(INDEX(Models!$BJ21:$BT21,,AH21)*(1-AF21)+INDEX(Models!$BJ21:$BT21,,AH21+1)*AF21-ERP_i)*AE21*Ramure*Pc/MaxiM</f>
        <v>0.29129219652470828</v>
      </c>
      <c r="AE21" s="307">
        <f t="shared" si="15"/>
        <v>1</v>
      </c>
      <c r="AF21" s="179">
        <f t="shared" si="23"/>
        <v>0.50004922087742365</v>
      </c>
      <c r="AG21" s="837">
        <f t="shared" si="24"/>
        <v>3</v>
      </c>
      <c r="AH21" s="178">
        <f t="shared" si="16"/>
        <v>9</v>
      </c>
      <c r="AI21" s="227">
        <f t="shared" si="17"/>
        <v>3.5000492208774237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46395</v>
      </c>
      <c r="B22" s="1139">
        <f>IF(t&gt;Tmaj,'2026'!Wh/'2026'!Env_an*'2027'!Env_an,0.001*'[3]mon-tableau (2)'!$B$215)</f>
        <v>7.0008501524671045</v>
      </c>
      <c r="C22" s="866"/>
      <c r="D22" s="395">
        <f t="shared" si="0"/>
        <v>7.5214208964094871</v>
      </c>
      <c r="E22" s="387">
        <f t="shared" si="1"/>
        <v>8.1926513507598866</v>
      </c>
      <c r="F22" s="387">
        <f t="shared" si="2"/>
        <v>8.2313987169879699</v>
      </c>
      <c r="G22" s="110">
        <f t="shared" si="21"/>
        <v>0.40824275735626175</v>
      </c>
      <c r="H22" s="414" t="b">
        <f>Wh_hp&gt;='2026'!Maxi_hp</f>
        <v>0</v>
      </c>
      <c r="I22" s="392">
        <f>IF(H22,Wh_hp,'2026'!Maxi_hp)</f>
        <v>14.685729582313519</v>
      </c>
      <c r="J22" s="85">
        <f>IF(H22,An,'2026'!An_max)</f>
        <v>2021</v>
      </c>
      <c r="K22" s="199">
        <f t="shared" si="3"/>
        <v>46395</v>
      </c>
      <c r="L22" s="147">
        <f>IF(t&lt;Tvie,1-EXP((T0-t)*PertePVj)+'2026'!Pspv,1-EXP((T0-t)*PertePVj)+Pspv)</f>
        <v>6.9211755479724357E-2</v>
      </c>
      <c r="M22" s="870"/>
      <c r="N22" s="870"/>
      <c r="O22" s="48">
        <f>IF(t&lt;Tnet,'2026'!Resal+('2026'!Salim-'2026'!Resal)*(1-EXP(('2026'!Tnet-t)/('2026'!Tau_j))),Resal+(Salim-Resal)*(1-EXP((Tnet-t)/(Tau_j))))*Salcycl</f>
        <v>8.1930796955999058E-2</v>
      </c>
      <c r="P22" s="171">
        <f>(INDEX(Models!$BJ22:$BT22,,T22)*(1-R22)+INDEX(Models!$BJ22:$BT22,,T22+1)*R22-ERP_i)*Q22*Ramure*Pc/MaxiM</f>
        <v>2.7925889997242912E-2</v>
      </c>
      <c r="Q22" s="307">
        <f t="shared" si="4"/>
        <v>1</v>
      </c>
      <c r="R22" s="179">
        <f t="shared" si="5"/>
        <v>0.56511892405224917</v>
      </c>
      <c r="S22" s="837">
        <f t="shared" si="6"/>
        <v>-2</v>
      </c>
      <c r="T22" s="178">
        <f t="shared" si="7"/>
        <v>4</v>
      </c>
      <c r="U22" s="253">
        <f t="shared" si="8"/>
        <v>-1.4348810759477508</v>
      </c>
      <c r="V22" s="385">
        <f t="shared" si="9"/>
        <v>16.748689651385003</v>
      </c>
      <c r="W22" s="404">
        <f t="shared" si="10"/>
        <v>7.0008501524671045</v>
      </c>
      <c r="X22" s="157">
        <f t="shared" si="11"/>
        <v>46395</v>
      </c>
      <c r="Y22" s="387">
        <f t="shared" si="12"/>
        <v>6.3573728548686628</v>
      </c>
      <c r="Z22" s="387">
        <f t="shared" si="22"/>
        <v>6.830095773443321</v>
      </c>
      <c r="AA22" s="388">
        <f t="shared" si="13"/>
        <v>7.8317478763378272</v>
      </c>
      <c r="AB22" s="199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0.12789636728741124</v>
      </c>
      <c r="AD22" s="233">
        <f>(INDEX(Models!$BJ22:$BT22,,AH22)*(1-AF22)+INDEX(Models!$BJ22:$BT22,,AH22+1)*AF22-ERP_i)*AE22*Ramure*Pc/MaxiM</f>
        <v>0.28803520083418171</v>
      </c>
      <c r="AE22" s="307">
        <f t="shared" si="15"/>
        <v>1</v>
      </c>
      <c r="AF22" s="179">
        <f t="shared" si="23"/>
        <v>0.50010151697581984</v>
      </c>
      <c r="AG22" s="837">
        <f t="shared" si="24"/>
        <v>3</v>
      </c>
      <c r="AH22" s="178">
        <f t="shared" si="16"/>
        <v>9</v>
      </c>
      <c r="AI22" s="227">
        <f t="shared" si="17"/>
        <v>3.5001015169758198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46396</v>
      </c>
      <c r="B23" s="1139">
        <f>IF(t&gt;Tmaj,'2026'!Wh/'2026'!Env_an*'2027'!Env_an,0.001*'[3]mon-tableau (2)'!$B$216)</f>
        <v>7.1200094430472234</v>
      </c>
      <c r="C23" s="866"/>
      <c r="D23" s="395">
        <f t="shared" si="0"/>
        <v>7.6496186773333648</v>
      </c>
      <c r="E23" s="387">
        <f t="shared" si="1"/>
        <v>8.3338343201755247</v>
      </c>
      <c r="F23" s="387">
        <f t="shared" si="2"/>
        <v>8.3736372618086428</v>
      </c>
      <c r="G23" s="110">
        <f t="shared" si="21"/>
        <v>0.41130336578183235</v>
      </c>
      <c r="H23" s="414" t="b">
        <f>Wh_hp&gt;='2026'!Maxi_hp</f>
        <v>0</v>
      </c>
      <c r="I23" s="392">
        <f>IF(H23,Wh_hp,'2026'!Maxi_hp)</f>
        <v>18.908516116999923</v>
      </c>
      <c r="J23" s="85">
        <f>IF(H23,An,'2026'!An_max)</f>
        <v>2020</v>
      </c>
      <c r="K23" s="199">
        <f t="shared" si="3"/>
        <v>46396</v>
      </c>
      <c r="L23" s="147">
        <f>IF(t&lt;Tvie,1-EXP((T0-t)*PertePVj)+'2026'!Pspv,1-EXP((T0-t)*PertePVj)+Pspv)</f>
        <v>6.9233416281968441E-2</v>
      </c>
      <c r="M23" s="870"/>
      <c r="N23" s="870"/>
      <c r="O23" s="48">
        <f>IF(t&lt;Tnet,'2026'!Resal+('2026'!Salim-'2026'!Resal)*(1-EXP(('2026'!Tnet-t)/('2026'!Tau_j))),Resal+(Salim-Resal)*(1-EXP((Tnet-t)/(Tau_j))))*Salcycl</f>
        <v>8.2100941362096683E-2</v>
      </c>
      <c r="P23" s="171">
        <f>(INDEX(Models!$BJ23:$BT23,,T23)*(1-R23)+INDEX(Models!$BJ23:$BT23,,T23+1)*R23-ERP_i)*Q23*Ramure*Pc/MaxiM</f>
        <v>2.7514701823665597E-2</v>
      </c>
      <c r="Q23" s="307">
        <f t="shared" si="4"/>
        <v>1</v>
      </c>
      <c r="R23" s="179">
        <f t="shared" si="5"/>
        <v>0.56517340576489827</v>
      </c>
      <c r="S23" s="837">
        <f t="shared" si="6"/>
        <v>-2</v>
      </c>
      <c r="T23" s="178">
        <f t="shared" si="7"/>
        <v>4</v>
      </c>
      <c r="U23" s="253">
        <f t="shared" si="8"/>
        <v>-1.4348265942351017</v>
      </c>
      <c r="V23" s="385">
        <f t="shared" si="9"/>
        <v>16.914946640913886</v>
      </c>
      <c r="W23" s="404">
        <f t="shared" si="10"/>
        <v>7.1200094430472234</v>
      </c>
      <c r="X23" s="157">
        <f t="shared" si="11"/>
        <v>46396</v>
      </c>
      <c r="Y23" s="387">
        <f t="shared" si="12"/>
        <v>6.4622792170506624</v>
      </c>
      <c r="Z23" s="387">
        <f t="shared" si="22"/>
        <v>6.9429643587294487</v>
      </c>
      <c r="AA23" s="388">
        <f t="shared" si="13"/>
        <v>7.9618973655857257</v>
      </c>
      <c r="AB23" s="199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0.12797615443530874</v>
      </c>
      <c r="AD23" s="233">
        <f>(INDEX(Models!$BJ23:$BT23,,AH23)*(1-AF23)+INDEX(Models!$BJ23:$BT23,,AH23+1)*AF23-ERP_i)*AE23*Ramure*Pc/MaxiM</f>
        <v>0.28462470381973898</v>
      </c>
      <c r="AE23" s="307">
        <f t="shared" si="15"/>
        <v>1</v>
      </c>
      <c r="AF23" s="179">
        <f t="shared" si="23"/>
        <v>0.50015599868846872</v>
      </c>
      <c r="AG23" s="837">
        <f t="shared" si="24"/>
        <v>3</v>
      </c>
      <c r="AH23" s="178">
        <f t="shared" si="16"/>
        <v>9</v>
      </c>
      <c r="AI23" s="227">
        <f t="shared" si="17"/>
        <v>3.5001559986884687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46397</v>
      </c>
      <c r="B24" s="1139">
        <f>IF(t&gt;Tmaj,'2026'!Wh/'2026'!Env_an*'2027'!Env_an,0.001*'[3]mon-tableau (2)'!$B$217)</f>
        <v>15.648828588416523</v>
      </c>
      <c r="C24" s="866"/>
      <c r="D24" s="395">
        <f t="shared" si="0"/>
        <v>16.813230128527085</v>
      </c>
      <c r="E24" s="387">
        <f t="shared" si="1"/>
        <v>18.320472444762423</v>
      </c>
      <c r="F24" s="387">
        <f t="shared" si="2"/>
        <v>18.767740112894675</v>
      </c>
      <c r="G24" s="110">
        <f t="shared" si="21"/>
        <v>0.91255832670800996</v>
      </c>
      <c r="H24" s="414" t="b">
        <f>Wh_hp&gt;='2026'!Maxi_hp</f>
        <v>0</v>
      </c>
      <c r="I24" s="392">
        <f>IF(H24,Wh_hp,'2026'!Maxi_hp)</f>
        <v>18.807728187166212</v>
      </c>
      <c r="J24" s="85">
        <f>IF(H24,An,'2026'!An_max)</f>
        <v>2026</v>
      </c>
      <c r="K24" s="199">
        <f t="shared" si="3"/>
        <v>46397</v>
      </c>
      <c r="L24" s="147">
        <f>IF(t&lt;Tvie,1-EXP((T0-t)*PertePVj)+'2026'!Pspv,1-EXP((T0-t)*PertePVj)+Pspv)</f>
        <v>6.9255076580134078E-2</v>
      </c>
      <c r="M24" s="870"/>
      <c r="N24" s="870"/>
      <c r="O24" s="48">
        <f>IF(t&lt;Tnet,'2026'!Resal+('2026'!Salim-'2026'!Resal)*(1-EXP(('2026'!Tnet-t)/('2026'!Tau_j))),Resal+(Salim-Resal)*(1-EXP((Tnet-t)/(Tau_j))))*Salcycl</f>
        <v>8.2270930554863508E-2</v>
      </c>
      <c r="P24" s="171">
        <f>(INDEX(Models!$BJ24:$BT24,,T24)*(1-R24)+INDEX(Models!$BJ24:$BT24,,T24+1)*R24-ERP_i)*Q24*Ramure*Pc/MaxiM</f>
        <v>2.709813102935273E-2</v>
      </c>
      <c r="Q24" s="307">
        <f t="shared" si="4"/>
        <v>1</v>
      </c>
      <c r="R24" s="179">
        <f t="shared" si="5"/>
        <v>0.56523016407275573</v>
      </c>
      <c r="S24" s="837">
        <f t="shared" si="6"/>
        <v>-2</v>
      </c>
      <c r="T24" s="178">
        <f t="shared" si="7"/>
        <v>4</v>
      </c>
      <c r="U24" s="253">
        <f t="shared" si="8"/>
        <v>-1.4347698359272443</v>
      </c>
      <c r="V24" s="385">
        <f t="shared" si="9"/>
        <v>17.090924311549841</v>
      </c>
      <c r="W24" s="404">
        <f t="shared" si="10"/>
        <v>15.648828588416523</v>
      </c>
      <c r="X24" s="157">
        <f t="shared" si="11"/>
        <v>46397</v>
      </c>
      <c r="Y24" s="387">
        <f t="shared" si="12"/>
        <v>11.467007344093327</v>
      </c>
      <c r="Z24" s="387">
        <f t="shared" si="22"/>
        <v>12.32024699308564</v>
      </c>
      <c r="AA24" s="388">
        <f t="shared" si="13"/>
        <v>14.12963222443468</v>
      </c>
      <c r="AB24" s="199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0.12805607411493916</v>
      </c>
      <c r="AD24" s="233">
        <f>(INDEX(Models!$BJ24:$BT24,,AH24)*(1-AF24)+INDEX(Models!$BJ24:$BT24,,AH24+1)*AF24-ERP_i)*AE24*Ramure*Pc/MaxiM</f>
        <v>0.2810041150852875</v>
      </c>
      <c r="AE24" s="307">
        <f t="shared" si="15"/>
        <v>1</v>
      </c>
      <c r="AF24" s="179">
        <f t="shared" si="23"/>
        <v>0.50021275699632639</v>
      </c>
      <c r="AG24" s="837">
        <f t="shared" si="24"/>
        <v>3</v>
      </c>
      <c r="AH24" s="178">
        <f t="shared" si="16"/>
        <v>9</v>
      </c>
      <c r="AI24" s="227">
        <f t="shared" si="17"/>
        <v>3.5002127569963264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46398</v>
      </c>
      <c r="B25" s="1139">
        <f>IF(t&gt;Tmaj,'2026'!Wh/'2026'!Env_an*'2027'!Env_an,0.001*'[3]mon-tableau (2)'!$B$218)</f>
        <v>4.6345939651548678</v>
      </c>
      <c r="C25" s="866"/>
      <c r="D25" s="395">
        <f t="shared" si="0"/>
        <v>4.9795617519004907</v>
      </c>
      <c r="E25" s="387">
        <f t="shared" si="1"/>
        <v>5.426964848755591</v>
      </c>
      <c r="F25" s="387">
        <f t="shared" si="2"/>
        <v>5.426964848755591</v>
      </c>
      <c r="G25" s="110">
        <f t="shared" si="21"/>
        <v>0.26111124244700556</v>
      </c>
      <c r="H25" s="414" t="b">
        <f>Wh_hp&gt;='2026'!Maxi_hp</f>
        <v>0</v>
      </c>
      <c r="I25" s="392">
        <f>IF(H25,Wh_hp,'2026'!Maxi_hp)</f>
        <v>21.391910226810385</v>
      </c>
      <c r="J25" s="85">
        <f>IF(H25,An,'2026'!An_max)</f>
        <v>2022</v>
      </c>
      <c r="K25" s="199">
        <f t="shared" si="3"/>
        <v>46398</v>
      </c>
      <c r="L25" s="147">
        <f>IF(t&lt;Tvie,1-EXP((T0-t)*PertePVj)+'2026'!Pspv,1-EXP((T0-t)*PertePVj)+Pspv)</f>
        <v>6.9276736374232817E-2</v>
      </c>
      <c r="M25" s="870"/>
      <c r="N25" s="870"/>
      <c r="O25" s="48">
        <f>IF(t&lt;Tnet,'2026'!Resal+('2026'!Salim-'2026'!Resal)*(1-EXP(('2026'!Tnet-t)/('2026'!Tau_j))),Resal+(Salim-Resal)*(1-EXP((Tnet-t)/(Tau_j))))*Salcycl</f>
        <v>8.2440758199804939E-2</v>
      </c>
      <c r="P25" s="171">
        <f>(INDEX(Models!$BJ25:$BT25,,T25)*(1-R25)+INDEX(Models!$BJ25:$BT25,,T25+1)*R25-ERP_i)*Q25*Ramure*Pc/MaxiM</f>
        <v>2.6683476701865303E-2</v>
      </c>
      <c r="Q25" s="307">
        <f t="shared" si="4"/>
        <v>1</v>
      </c>
      <c r="R25" s="179">
        <f t="shared" si="5"/>
        <v>0.56528929371306824</v>
      </c>
      <c r="S25" s="837">
        <f t="shared" si="6"/>
        <v>-2</v>
      </c>
      <c r="T25" s="178">
        <f t="shared" si="7"/>
        <v>4</v>
      </c>
      <c r="U25" s="253">
        <f t="shared" si="8"/>
        <v>-1.4347107062869318</v>
      </c>
      <c r="V25" s="385">
        <f t="shared" si="9"/>
        <v>17.275881508543538</v>
      </c>
      <c r="W25" s="404">
        <f t="shared" si="10"/>
        <v>4.6345939651548678</v>
      </c>
      <c r="X25" s="157">
        <f t="shared" si="11"/>
        <v>46398</v>
      </c>
      <c r="Y25" s="387">
        <f t="shared" si="12"/>
        <v>4.4037866095946807</v>
      </c>
      <c r="Z25" s="387">
        <f t="shared" si="22"/>
        <v>4.7315746599468165</v>
      </c>
      <c r="AA25" s="388">
        <f t="shared" si="13"/>
        <v>5.426964848755591</v>
      </c>
      <c r="AB25" s="199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0.12813611441913583</v>
      </c>
      <c r="AD25" s="233">
        <f>(INDEX(Models!$BJ25:$BT25,,AH25)*(1-AF25)+INDEX(Models!$BJ25:$BT25,,AH25+1)*AF25-ERP_i)*AE25*Ramure*Pc/MaxiM</f>
        <v>0.27722467456709632</v>
      </c>
      <c r="AE25" s="307">
        <f t="shared" si="15"/>
        <v>1</v>
      </c>
      <c r="AF25" s="179">
        <f t="shared" si="23"/>
        <v>0.50027188663663846</v>
      </c>
      <c r="AG25" s="837">
        <f t="shared" si="24"/>
        <v>3</v>
      </c>
      <c r="AH25" s="178">
        <f t="shared" si="16"/>
        <v>9</v>
      </c>
      <c r="AI25" s="227">
        <f t="shared" si="17"/>
        <v>3.5002718866366385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46399</v>
      </c>
      <c r="B26" s="1139">
        <f>IF(t&gt;Tmaj,'2026'!Wh/'2026'!Env_an*'2027'!Env_an,0.001*'[3]mon-tableau (2)'!$B$219)</f>
        <v>16.714637542185606</v>
      </c>
      <c r="C26" s="866"/>
      <c r="D26" s="395">
        <f t="shared" si="0"/>
        <v>17.959179896456149</v>
      </c>
      <c r="E26" s="387">
        <f t="shared" si="1"/>
        <v>19.576394052716871</v>
      </c>
      <c r="F26" s="387">
        <f t="shared" si="2"/>
        <v>20.07117070980383</v>
      </c>
      <c r="G26" s="110">
        <f t="shared" si="21"/>
        <v>0.95521717055706334</v>
      </c>
      <c r="H26" s="414" t="b">
        <f>Wh_hp&gt;='2026'!Maxi_hp</f>
        <v>0</v>
      </c>
      <c r="I26" s="392">
        <f>IF(H26,Wh_hp,'2026'!Maxi_hp)</f>
        <v>20.743234517449725</v>
      </c>
      <c r="J26" s="85">
        <f>IF(H26,An,'2026'!An_max)</f>
        <v>2020</v>
      </c>
      <c r="K26" s="199">
        <f t="shared" si="3"/>
        <v>46399</v>
      </c>
      <c r="L26" s="147">
        <f>IF(t&lt;Tvie,1-EXP((T0-t)*PertePVj)+'2026'!Pspv,1-EXP((T0-t)*PertePVj)+Pspv)</f>
        <v>6.9298395664276646E-2</v>
      </c>
      <c r="M26" s="870"/>
      <c r="N26" s="870"/>
      <c r="O26" s="48">
        <f>IF(t&lt;Tnet,'2026'!Resal+('2026'!Salim-'2026'!Resal)*(1-EXP(('2026'!Tnet-t)/('2026'!Tau_j))),Resal+(Salim-Resal)*(1-EXP((Tnet-t)/(Tau_j))))*Salcycl</f>
        <v>8.2610421097254166E-2</v>
      </c>
      <c r="P26" s="171">
        <f>(INDEX(Models!$BJ26:$BT26,,T26)*(1-R26)+INDEX(Models!$BJ26:$BT26,,T26+1)*R26-ERP_i)*Q26*Ramure*Pc/MaxiM</f>
        <v>2.6272201770497539E-2</v>
      </c>
      <c r="Q26" s="307">
        <f t="shared" si="4"/>
        <v>1</v>
      </c>
      <c r="R26" s="179">
        <f t="shared" si="5"/>
        <v>0.56535089333180766</v>
      </c>
      <c r="S26" s="837">
        <f t="shared" si="6"/>
        <v>-2</v>
      </c>
      <c r="T26" s="178">
        <f t="shared" si="7"/>
        <v>4</v>
      </c>
      <c r="U26" s="253">
        <f t="shared" si="8"/>
        <v>-1.4346491066681923</v>
      </c>
      <c r="V26" s="385">
        <f t="shared" si="9"/>
        <v>17.469175895295407</v>
      </c>
      <c r="W26" s="404">
        <f t="shared" si="10"/>
        <v>16.714637542185606</v>
      </c>
      <c r="X26" s="157">
        <f t="shared" si="11"/>
        <v>46399</v>
      </c>
      <c r="Y26" s="387">
        <f t="shared" si="12"/>
        <v>12.108956501861027</v>
      </c>
      <c r="Z26" s="387">
        <f t="shared" si="22"/>
        <v>13.01056799026756</v>
      </c>
      <c r="AA26" s="388">
        <f t="shared" si="13"/>
        <v>14.924077518841409</v>
      </c>
      <c r="AB26" s="199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0.12821626838630887</v>
      </c>
      <c r="AD26" s="233">
        <f>(INDEX(Models!$BJ26:$BT26,,AH26)*(1-AF26)+INDEX(Models!$BJ26:$BT26,,AH26+1)*AF26-ERP_i)*AE26*Ramure*Pc/MaxiM</f>
        <v>0.27330608448804045</v>
      </c>
      <c r="AE26" s="307">
        <f t="shared" si="15"/>
        <v>1</v>
      </c>
      <c r="AF26" s="179">
        <f t="shared" si="23"/>
        <v>0.5003334862553781</v>
      </c>
      <c r="AG26" s="837">
        <f t="shared" si="24"/>
        <v>3</v>
      </c>
      <c r="AH26" s="178">
        <f t="shared" si="16"/>
        <v>9</v>
      </c>
      <c r="AI26" s="227">
        <f t="shared" si="17"/>
        <v>3.5003334862553781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46400</v>
      </c>
      <c r="B27" s="1139">
        <f>IF(t&gt;Tmaj,'2026'!Wh/'2026'!Env_an*'2027'!Env_an,0.001*'[3]mon-tableau (2)'!$B$220)</f>
        <v>10.88732351463675</v>
      </c>
      <c r="C27" s="866"/>
      <c r="D27" s="395">
        <f t="shared" si="0"/>
        <v>11.698246606362572</v>
      </c>
      <c r="E27" s="387">
        <f t="shared" si="1"/>
        <v>12.75402364935888</v>
      </c>
      <c r="F27" s="387">
        <f t="shared" si="2"/>
        <v>12.904773606489416</v>
      </c>
      <c r="G27" s="110">
        <f t="shared" si="21"/>
        <v>0.60729896662558736</v>
      </c>
      <c r="H27" s="414" t="b">
        <f>Wh_hp&gt;='2026'!Maxi_hp</f>
        <v>0</v>
      </c>
      <c r="I27" s="392">
        <f>IF(H27,Wh_hp,'2026'!Maxi_hp)</f>
        <v>14.753138664755877</v>
      </c>
      <c r="J27" s="85">
        <f>IF(H27,An,'2026'!An_max)</f>
        <v>2020</v>
      </c>
      <c r="K27" s="199">
        <f t="shared" si="3"/>
        <v>46400</v>
      </c>
      <c r="L27" s="147">
        <f>IF(t&lt;Tvie,1-EXP((T0-t)*PertePVj)+'2026'!Pspv,1-EXP((T0-t)*PertePVj)+Pspv)</f>
        <v>6.9320054450277002E-2</v>
      </c>
      <c r="M27" s="870"/>
      <c r="N27" s="870"/>
      <c r="O27" s="48">
        <f>IF(t&lt;Tnet,'2026'!Resal+('2026'!Salim-'2026'!Resal)*(1-EXP(('2026'!Tnet-t)/('2026'!Tau_j))),Resal+(Salim-Resal)*(1-EXP((Tnet-t)/(Tau_j))))*Salcycl</f>
        <v>8.2779918872847649E-2</v>
      </c>
      <c r="P27" s="171">
        <f>(INDEX(Models!$BJ27:$BT27,,T27)*(1-R27)+INDEX(Models!$BJ27:$BT27,,T27+1)*R27-ERP_i)*Q27*Ramure*Pc/MaxiM</f>
        <v>2.5865641056023202E-2</v>
      </c>
      <c r="Q27" s="307">
        <f t="shared" si="4"/>
        <v>1</v>
      </c>
      <c r="R27" s="179">
        <f t="shared" si="5"/>
        <v>0.56541506564206445</v>
      </c>
      <c r="S27" s="837">
        <f t="shared" si="6"/>
        <v>-2</v>
      </c>
      <c r="T27" s="178">
        <f t="shared" si="7"/>
        <v>4</v>
      </c>
      <c r="U27" s="253">
        <f t="shared" si="8"/>
        <v>-1.4345849343579355</v>
      </c>
      <c r="V27" s="385">
        <f t="shared" si="9"/>
        <v>17.670165602631197</v>
      </c>
      <c r="W27" s="404">
        <f t="shared" si="10"/>
        <v>10.88732351463675</v>
      </c>
      <c r="X27" s="157">
        <f t="shared" si="11"/>
        <v>46400</v>
      </c>
      <c r="Y27" s="387">
        <f t="shared" si="12"/>
        <v>9.1961752879872769</v>
      </c>
      <c r="Z27" s="387">
        <f t="shared" si="22"/>
        <v>9.8811361864635305</v>
      </c>
      <c r="AA27" s="388">
        <f t="shared" si="13"/>
        <v>11.335432937953593</v>
      </c>
      <c r="AB27" s="199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0.1282965334849053</v>
      </c>
      <c r="AD27" s="233">
        <f>(INDEX(Models!$BJ27:$BT27,,AH27)*(1-AF27)+INDEX(Models!$BJ27:$BT27,,AH27+1)*AF27-ERP_i)*AE27*Ramure*Pc/MaxiM</f>
        <v>0.26926709101361745</v>
      </c>
      <c r="AE27" s="307">
        <f t="shared" si="15"/>
        <v>1</v>
      </c>
      <c r="AF27" s="179">
        <f t="shared" si="23"/>
        <v>0.5003976585656349</v>
      </c>
      <c r="AG27" s="837">
        <f t="shared" si="24"/>
        <v>3</v>
      </c>
      <c r="AH27" s="178">
        <f t="shared" si="16"/>
        <v>9</v>
      </c>
      <c r="AI27" s="227">
        <f t="shared" si="17"/>
        <v>3.5003976585656349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46401</v>
      </c>
      <c r="B28" s="1139">
        <f>IF(t&gt;Tmaj,'2026'!Wh/'2026'!Env_an*'2027'!Env_an,0.001*'[3]mon-tableau (2)'!$B$221)</f>
        <v>13.130898838734867</v>
      </c>
      <c r="C28" s="866"/>
      <c r="D28" s="395">
        <f t="shared" si="0"/>
        <v>14.109259024904652</v>
      </c>
      <c r="E28" s="387">
        <f t="shared" si="1"/>
        <v>15.385472484597937</v>
      </c>
      <c r="F28" s="387">
        <f t="shared" si="2"/>
        <v>15.632547669637324</v>
      </c>
      <c r="G28" s="110">
        <f t="shared" si="21"/>
        <v>0.72725514634669874</v>
      </c>
      <c r="H28" s="414" t="b">
        <f>Wh_hp&gt;='2026'!Maxi_hp</f>
        <v>0</v>
      </c>
      <c r="I28" s="392">
        <f>IF(H28,Wh_hp,'2026'!Maxi_hp)</f>
        <v>22.064358181548073</v>
      </c>
      <c r="J28" s="85">
        <f>IF(H28,An,'2026'!An_max)</f>
        <v>2022</v>
      </c>
      <c r="K28" s="199">
        <f t="shared" si="3"/>
        <v>46401</v>
      </c>
      <c r="L28" s="147">
        <f>IF(t&lt;Tvie,1-EXP((T0-t)*PertePVj)+'2026'!Pspv,1-EXP((T0-t)*PertePVj)+Pspv)</f>
        <v>6.9341712732245875E-2</v>
      </c>
      <c r="M28" s="870"/>
      <c r="N28" s="870"/>
      <c r="O28" s="48">
        <f>IF(t&lt;Tnet,'2026'!Resal+('2026'!Salim-'2026'!Resal)*(1-EXP(('2026'!Tnet-t)/('2026'!Tau_j))),Resal+(Salim-Resal)*(1-EXP((Tnet-t)/(Tau_j))))*Salcycl</f>
        <v>8.2949253652812652E-2</v>
      </c>
      <c r="P28" s="171">
        <f>(INDEX(Models!$BJ28:$BT28,,T28)*(1-R28)+INDEX(Models!$BJ28:$BT28,,T28+1)*R28-ERP_i)*Q28*Ramure*Pc/MaxiM</f>
        <v>2.5465003273141423E-2</v>
      </c>
      <c r="Q28" s="307">
        <f t="shared" si="4"/>
        <v>1</v>
      </c>
      <c r="R28" s="179">
        <f t="shared" si="5"/>
        <v>0.56548191758860966</v>
      </c>
      <c r="S28" s="837">
        <f t="shared" si="6"/>
        <v>-2</v>
      </c>
      <c r="T28" s="178">
        <f t="shared" si="7"/>
        <v>4</v>
      </c>
      <c r="U28" s="253">
        <f t="shared" si="8"/>
        <v>-1.4345180824113903</v>
      </c>
      <c r="V28" s="385">
        <f t="shared" si="9"/>
        <v>17.878209245206978</v>
      </c>
      <c r="W28" s="404">
        <f t="shared" si="10"/>
        <v>13.130898838734867</v>
      </c>
      <c r="X28" s="157">
        <f t="shared" si="11"/>
        <v>46401</v>
      </c>
      <c r="Y28" s="387">
        <f t="shared" si="12"/>
        <v>10.594181497165438</v>
      </c>
      <c r="Z28" s="387">
        <f t="shared" si="22"/>
        <v>11.383535334185929</v>
      </c>
      <c r="AA28" s="388">
        <f t="shared" si="13"/>
        <v>13.060158087687938</v>
      </c>
      <c r="AB28" s="199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0.12837691107909274</v>
      </c>
      <c r="AD28" s="233">
        <f>(INDEX(Models!$BJ28:$BT28,,AH28)*(1-AF28)+INDEX(Models!$BJ28:$BT28,,AH28+1)*AF28-ERP_i)*AE28*Ramure*Pc/MaxiM</f>
        <v>0.26512540753007419</v>
      </c>
      <c r="AE28" s="307">
        <f t="shared" si="15"/>
        <v>1</v>
      </c>
      <c r="AF28" s="179">
        <f t="shared" si="23"/>
        <v>0.50046451051218011</v>
      </c>
      <c r="AG28" s="837">
        <f t="shared" si="24"/>
        <v>3</v>
      </c>
      <c r="AH28" s="178">
        <f t="shared" si="16"/>
        <v>9</v>
      </c>
      <c r="AI28" s="227">
        <f t="shared" si="17"/>
        <v>3.5004645105121801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46402</v>
      </c>
      <c r="B29" s="1139">
        <f>IF(t&gt;Tmaj,'2026'!Wh/'2026'!Env_an*'2027'!Env_an,0.001*'[3]mon-tableau (2)'!$B$222)</f>
        <v>5.4314349060513312</v>
      </c>
      <c r="C29" s="866"/>
      <c r="D29" s="395">
        <f t="shared" si="0"/>
        <v>5.8362573897708705</v>
      </c>
      <c r="E29" s="387">
        <f t="shared" si="1"/>
        <v>6.3653339526055399</v>
      </c>
      <c r="F29" s="387">
        <f t="shared" si="2"/>
        <v>6.365379758530584</v>
      </c>
      <c r="G29" s="110">
        <f t="shared" si="21"/>
        <v>0.29267657373136202</v>
      </c>
      <c r="H29" s="414" t="b">
        <f>Wh_hp&gt;='2026'!Maxi_hp</f>
        <v>0</v>
      </c>
      <c r="I29" s="392">
        <f>IF(H29,Wh_hp,'2026'!Maxi_hp)</f>
        <v>22.222811190623492</v>
      </c>
      <c r="J29" s="85">
        <f>IF(H29,An,'2026'!An_max)</f>
        <v>2022</v>
      </c>
      <c r="K29" s="199">
        <f t="shared" si="3"/>
        <v>46402</v>
      </c>
      <c r="L29" s="147">
        <f>IF(t&lt;Tvie,1-EXP((T0-t)*PertePVj)+'2026'!Pspv,1-EXP((T0-t)*PertePVj)+Pspv)</f>
        <v>6.9363370510194811E-2</v>
      </c>
      <c r="M29" s="870"/>
      <c r="N29" s="870"/>
      <c r="O29" s="48">
        <f>IF(t&lt;Tnet,'2026'!Resal+('2026'!Salim-'2026'!Resal)*(1-EXP(('2026'!Tnet-t)/('2026'!Tau_j))),Resal+(Salim-Resal)*(1-EXP((Tnet-t)/(Tau_j))))*Salcycl</f>
        <v>8.3118429727964294E-2</v>
      </c>
      <c r="P29" s="171">
        <f>(INDEX(Models!$BJ29:$BT29,,T29)*(1-R29)+INDEX(Models!$BJ29:$BT29,,T29+1)*R29-ERP_i)*Q29*Ramure*Pc/MaxiM</f>
        <v>2.5071374604277268E-2</v>
      </c>
      <c r="Q29" s="307">
        <f t="shared" si="4"/>
        <v>1</v>
      </c>
      <c r="R29" s="179">
        <f t="shared" si="5"/>
        <v>0.56555156051885103</v>
      </c>
      <c r="S29" s="837">
        <f t="shared" si="6"/>
        <v>-2</v>
      </c>
      <c r="T29" s="178">
        <f t="shared" si="7"/>
        <v>4</v>
      </c>
      <c r="U29" s="253">
        <f t="shared" si="8"/>
        <v>-1.434448439481149</v>
      </c>
      <c r="V29" s="385">
        <f t="shared" si="9"/>
        <v>18.092665924335289</v>
      </c>
      <c r="W29" s="404">
        <f t="shared" si="10"/>
        <v>5.4314349060513312</v>
      </c>
      <c r="X29" s="157">
        <f t="shared" si="11"/>
        <v>46402</v>
      </c>
      <c r="Y29" s="387">
        <f t="shared" si="12"/>
        <v>5.1625058269980402</v>
      </c>
      <c r="Z29" s="387">
        <f t="shared" si="22"/>
        <v>5.5472841530299917</v>
      </c>
      <c r="AA29" s="388">
        <f t="shared" si="13"/>
        <v>6.3649030930527255</v>
      </c>
      <c r="AB29" s="199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0.12845740588182136</v>
      </c>
      <c r="AD29" s="233">
        <f>(INDEX(Models!$BJ29:$BT29,,AH29)*(1-AF29)+INDEX(Models!$BJ29:$BT29,,AH29+1)*AF29-ERP_i)*AE29*Ramure*Pc/MaxiM</f>
        <v>0.26089766214430227</v>
      </c>
      <c r="AE29" s="307">
        <f t="shared" si="15"/>
        <v>1</v>
      </c>
      <c r="AF29" s="179">
        <f t="shared" si="23"/>
        <v>0.50053415344242147</v>
      </c>
      <c r="AG29" s="837">
        <f t="shared" si="24"/>
        <v>3</v>
      </c>
      <c r="AH29" s="178">
        <f t="shared" si="16"/>
        <v>9</v>
      </c>
      <c r="AI29" s="227">
        <f t="shared" si="17"/>
        <v>3.5005341534424215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46403</v>
      </c>
      <c r="B30" s="1139">
        <f>IF(t&gt;Tmaj,'2026'!Wh/'2026'!Env_an*'2027'!Env_an,0.001*'[3]mon-tableau (2)'!$B$223)</f>
        <v>3.4748360198612325</v>
      </c>
      <c r="C30" s="866"/>
      <c r="D30" s="395">
        <f t="shared" si="0"/>
        <v>3.7339137275939009</v>
      </c>
      <c r="E30" s="387">
        <f t="shared" si="1"/>
        <v>4.07315656436701</v>
      </c>
      <c r="F30" s="387">
        <f t="shared" si="2"/>
        <v>4.07315656436701</v>
      </c>
      <c r="G30" s="110">
        <f t="shared" si="21"/>
        <v>0.18506397468912758</v>
      </c>
      <c r="H30" s="414" t="b">
        <f>Wh_hp&gt;='2026'!Maxi_hp</f>
        <v>0</v>
      </c>
      <c r="I30" s="392">
        <f>IF(H30,Wh_hp,'2026'!Maxi_hp)</f>
        <v>22.179762474374062</v>
      </c>
      <c r="J30" s="85">
        <f>IF(H30,An,'2026'!An_max)</f>
        <v>2022</v>
      </c>
      <c r="K30" s="199">
        <f t="shared" si="3"/>
        <v>46403</v>
      </c>
      <c r="L30" s="147">
        <f>IF(t&lt;Tvie,1-EXP((T0-t)*PertePVj)+'2026'!Pspv,1-EXP((T0-t)*PertePVj)+Pspv)</f>
        <v>6.9385027784135689E-2</v>
      </c>
      <c r="M30" s="870"/>
      <c r="N30" s="870"/>
      <c r="O30" s="48">
        <f>IF(t&lt;Tnet,'2026'!Resal+('2026'!Salim-'2026'!Resal)*(1-EXP(('2026'!Tnet-t)/('2026'!Tau_j))),Resal+(Salim-Resal)*(1-EXP((Tnet-t)/(Tau_j))))*Salcycl</f>
        <v>8.3287453210340659E-2</v>
      </c>
      <c r="P30" s="171">
        <f>(INDEX(Models!$BJ30:$BT30,,T30)*(1-R30)+INDEX(Models!$BJ30:$BT30,,T30+1)*R30-ERP_i)*Q30*Ramure*Pc/MaxiM</f>
        <v>2.4675827606237908E-2</v>
      </c>
      <c r="Q30" s="307">
        <f t="shared" si="4"/>
        <v>1</v>
      </c>
      <c r="R30" s="179">
        <f t="shared" si="5"/>
        <v>0.56562411036040161</v>
      </c>
      <c r="S30" s="837">
        <f t="shared" si="6"/>
        <v>-2</v>
      </c>
      <c r="T30" s="178">
        <f t="shared" si="7"/>
        <v>4</v>
      </c>
      <c r="U30" s="253">
        <f t="shared" si="8"/>
        <v>-1.4343758896395984</v>
      </c>
      <c r="V30" s="385">
        <f t="shared" si="9"/>
        <v>18.313081035724121</v>
      </c>
      <c r="W30" s="404">
        <f t="shared" si="10"/>
        <v>3.4748360198612325</v>
      </c>
      <c r="X30" s="157">
        <f t="shared" si="11"/>
        <v>46403</v>
      </c>
      <c r="Y30" s="387">
        <f t="shared" si="12"/>
        <v>3.3033118940930573</v>
      </c>
      <c r="Z30" s="387">
        <f t="shared" si="22"/>
        <v>3.5496010624325365</v>
      </c>
      <c r="AA30" s="388">
        <f t="shared" si="13"/>
        <v>4.07315656436701</v>
      </c>
      <c r="AB30" s="199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0.12853802540139689</v>
      </c>
      <c r="AD30" s="233">
        <f>(INDEX(Models!$BJ30:$BT30,,AH30)*(1-AF30)+INDEX(Models!$BJ30:$BT30,,AH30+1)*AF30-ERP_i)*AE30*Ramure*Pc/MaxiM</f>
        <v>0.25657155288980438</v>
      </c>
      <c r="AE30" s="307">
        <f t="shared" si="15"/>
        <v>1</v>
      </c>
      <c r="AF30" s="179">
        <f t="shared" si="23"/>
        <v>0.50060670328397183</v>
      </c>
      <c r="AG30" s="837">
        <f t="shared" si="24"/>
        <v>3</v>
      </c>
      <c r="AH30" s="178">
        <f t="shared" si="16"/>
        <v>9</v>
      </c>
      <c r="AI30" s="227">
        <f t="shared" si="17"/>
        <v>3.5006067032839718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46404</v>
      </c>
      <c r="B31" s="1139">
        <f>IF(t&gt;Tmaj,'2026'!Wh/'2026'!Env_an*'2027'!Env_an,0.001*'[3]mon-tableau (2)'!$B$224)</f>
        <v>5.9650153388709217</v>
      </c>
      <c r="C31" s="866"/>
      <c r="D31" s="395">
        <f t="shared" si="0"/>
        <v>6.4099056374723871</v>
      </c>
      <c r="E31" s="387">
        <f t="shared" si="1"/>
        <v>6.9935627281854673</v>
      </c>
      <c r="F31" s="387">
        <f t="shared" si="2"/>
        <v>6.9988441691320737</v>
      </c>
      <c r="G31" s="110">
        <f t="shared" si="21"/>
        <v>0.31418312170113716</v>
      </c>
      <c r="H31" s="414" t="b">
        <f>Wh_hp&gt;='2026'!Maxi_hp</f>
        <v>0</v>
      </c>
      <c r="I31" s="392">
        <f>IF(H31,Wh_hp,'2026'!Maxi_hp)</f>
        <v>17.368757233641855</v>
      </c>
      <c r="J31" s="85">
        <f>IF(H31,An,'2026'!An_max)</f>
        <v>2022</v>
      </c>
      <c r="K31" s="199">
        <f t="shared" si="3"/>
        <v>46404</v>
      </c>
      <c r="L31" s="147">
        <f>IF(t&lt;Tvie,1-EXP((T0-t)*PertePVj)+'2026'!Pspv,1-EXP((T0-t)*PertePVj)+Pspv)</f>
        <v>6.9406684554080056E-2</v>
      </c>
      <c r="M31" s="870"/>
      <c r="N31" s="870"/>
      <c r="O31" s="48">
        <f>IF(t&lt;Tnet,'2026'!Resal+('2026'!Salim-'2026'!Resal)*(1-EXP(('2026'!Tnet-t)/('2026'!Tau_j))),Resal+(Salim-Resal)*(1-EXP((Tnet-t)/(Tau_j))))*Salcycl</f>
        <v>8.3456331686398419E-2</v>
      </c>
      <c r="P31" s="171">
        <f>(INDEX(Models!$BJ31:$BT31,,T31)*(1-R31)+INDEX(Models!$BJ31:$BT31,,T31+1)*R31-ERP_i)*Q31*Ramure*Pc/MaxiM</f>
        <v>2.4277955788655117E-2</v>
      </c>
      <c r="Q31" s="307">
        <f t="shared" si="4"/>
        <v>1</v>
      </c>
      <c r="R31" s="179">
        <f t="shared" si="5"/>
        <v>0.5656996878054974</v>
      </c>
      <c r="S31" s="837">
        <f t="shared" si="6"/>
        <v>-2</v>
      </c>
      <c r="T31" s="178">
        <f t="shared" si="7"/>
        <v>4</v>
      </c>
      <c r="U31" s="253">
        <f t="shared" si="8"/>
        <v>-1.4343003121945026</v>
      </c>
      <c r="V31" s="385">
        <f t="shared" si="9"/>
        <v>18.538845308290625</v>
      </c>
      <c r="W31" s="404">
        <f t="shared" si="10"/>
        <v>5.9650153388709217</v>
      </c>
      <c r="X31" s="157">
        <f t="shared" si="11"/>
        <v>46404</v>
      </c>
      <c r="Y31" s="387">
        <f t="shared" si="12"/>
        <v>5.630884090209773</v>
      </c>
      <c r="Z31" s="387">
        <f t="shared" si="22"/>
        <v>6.050853790532094</v>
      </c>
      <c r="AA31" s="388">
        <f t="shared" si="13"/>
        <v>6.9439800255044855</v>
      </c>
      <c r="AB31" s="199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0.12861877938761862</v>
      </c>
      <c r="AD31" s="233">
        <f>(INDEX(Models!$BJ31:$BT31,,AH31)*(1-AF31)+INDEX(Models!$BJ31:$BT31,,AH31+1)*AF31-ERP_i)*AE31*Ramure*Pc/MaxiM</f>
        <v>0.25220186438488829</v>
      </c>
      <c r="AE31" s="307">
        <f t="shared" si="15"/>
        <v>1</v>
      </c>
      <c r="AF31" s="179">
        <f t="shared" si="23"/>
        <v>0.50068228072906784</v>
      </c>
      <c r="AG31" s="837">
        <f t="shared" si="24"/>
        <v>3</v>
      </c>
      <c r="AH31" s="178">
        <f t="shared" si="16"/>
        <v>9</v>
      </c>
      <c r="AI31" s="227">
        <f t="shared" si="17"/>
        <v>3.5006822807290678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46405</v>
      </c>
      <c r="B32" s="1139">
        <f>IF(t&gt;Tmaj,'2026'!Wh/'2026'!Env_an*'2027'!Env_an,0.001*'[3]mon-tableau (2)'!$B$225)</f>
        <v>13.867782158889066</v>
      </c>
      <c r="C32" s="866"/>
      <c r="D32" s="395">
        <f t="shared" si="0"/>
        <v>14.902433382840883</v>
      </c>
      <c r="E32" s="387">
        <f t="shared" si="1"/>
        <v>16.262375756816862</v>
      </c>
      <c r="F32" s="387">
        <f t="shared" si="2"/>
        <v>16.509531814383681</v>
      </c>
      <c r="G32" s="110">
        <f t="shared" si="21"/>
        <v>0.73217171518549418</v>
      </c>
      <c r="H32" s="414" t="b">
        <f>Wh_hp&gt;='2026'!Maxi_hp</f>
        <v>0</v>
      </c>
      <c r="I32" s="392">
        <f>IF(H32,Wh_hp,'2026'!Maxi_hp)</f>
        <v>21.743395935695009</v>
      </c>
      <c r="J32" s="85">
        <f>IF(H32,An,'2026'!An_max)</f>
        <v>2021</v>
      </c>
      <c r="K32" s="199">
        <f t="shared" si="3"/>
        <v>46405</v>
      </c>
      <c r="L32" s="147">
        <f>IF(t&lt;Tvie,1-EXP((T0-t)*PertePVj)+'2026'!Pspv,1-EXP((T0-t)*PertePVj)+Pspv)</f>
        <v>6.9428340820039902E-2</v>
      </c>
      <c r="M32" s="870"/>
      <c r="N32" s="870"/>
      <c r="O32" s="48">
        <f>IF(t&lt;Tnet,'2026'!Resal+('2026'!Salim-'2026'!Resal)*(1-EXP(('2026'!Tnet-t)/('2026'!Tau_j))),Resal+(Salim-Resal)*(1-EXP((Tnet-t)/(Tau_j))))*Salcycl</f>
        <v>8.3625073870643898E-2</v>
      </c>
      <c r="P32" s="171">
        <f>(INDEX(Models!$BJ32:$BT32,,T32)*(1-R32)+INDEX(Models!$BJ32:$BT32,,T32+1)*R32-ERP_i)*Q32*Ramure*Pc/MaxiM</f>
        <v>2.3878921792956437E-2</v>
      </c>
      <c r="Q32" s="307">
        <f t="shared" si="4"/>
        <v>1</v>
      </c>
      <c r="R32" s="179">
        <f t="shared" si="5"/>
        <v>0.56577841850249566</v>
      </c>
      <c r="S32" s="837">
        <f t="shared" si="6"/>
        <v>-2</v>
      </c>
      <c r="T32" s="178">
        <f t="shared" si="7"/>
        <v>4</v>
      </c>
      <c r="U32" s="253">
        <f t="shared" si="8"/>
        <v>-1.4342215814975043</v>
      </c>
      <c r="V32" s="385">
        <f t="shared" si="9"/>
        <v>18.769319205973105</v>
      </c>
      <c r="W32" s="404">
        <f t="shared" si="10"/>
        <v>13.867782158889066</v>
      </c>
      <c r="X32" s="157">
        <f t="shared" si="11"/>
        <v>46405</v>
      </c>
      <c r="Y32" s="387">
        <f t="shared" si="12"/>
        <v>11.306458908236726</v>
      </c>
      <c r="Z32" s="387">
        <f t="shared" si="22"/>
        <v>12.150014237700105</v>
      </c>
      <c r="AA32" s="388">
        <f t="shared" si="13"/>
        <v>13.944691570533655</v>
      </c>
      <c r="AB32" s="199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0.1286996792833954</v>
      </c>
      <c r="AD32" s="233">
        <f>(INDEX(Models!$BJ32:$BT32,,AH32)*(1-AF32)+INDEX(Models!$BJ32:$BT32,,AH32+1)*AF32-ERP_i)*AE32*Ramure*Pc/MaxiM</f>
        <v>0.24780141015869564</v>
      </c>
      <c r="AE32" s="307">
        <f t="shared" si="15"/>
        <v>1</v>
      </c>
      <c r="AF32" s="179">
        <f t="shared" si="23"/>
        <v>0.5007610114260661</v>
      </c>
      <c r="AG32" s="837">
        <f t="shared" si="24"/>
        <v>3</v>
      </c>
      <c r="AH32" s="178">
        <f t="shared" si="16"/>
        <v>9</v>
      </c>
      <c r="AI32" s="227">
        <f t="shared" si="17"/>
        <v>3.5007610114260661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46406</v>
      </c>
      <c r="B33" s="1139">
        <f>IF(t&gt;Tmaj,'2026'!Wh/'2026'!Env_an*'2027'!Env_an,0.001*'[3]mon-tableau (2)'!$B$226)</f>
        <v>8.9795905414155914</v>
      </c>
      <c r="C33" s="866"/>
      <c r="D33" s="395">
        <f t="shared" si="0"/>
        <v>9.6497668136402623</v>
      </c>
      <c r="E33" s="387">
        <f t="shared" si="1"/>
        <v>10.53230773523393</v>
      </c>
      <c r="F33" s="387">
        <f t="shared" si="2"/>
        <v>10.593608261037541</v>
      </c>
      <c r="G33" s="110">
        <f t="shared" si="21"/>
        <v>0.46410498708815345</v>
      </c>
      <c r="H33" s="414" t="b">
        <f>Wh_hp&gt;='2026'!Maxi_hp</f>
        <v>0</v>
      </c>
      <c r="I33" s="392">
        <f>IF(H33,Wh_hp,'2026'!Maxi_hp)</f>
        <v>22.082454622527671</v>
      </c>
      <c r="J33" s="85">
        <f>IF(H33,An,'2026'!An_max)</f>
        <v>2021</v>
      </c>
      <c r="K33" s="199">
        <f t="shared" si="3"/>
        <v>46406</v>
      </c>
      <c r="L33" s="147">
        <f>IF(t&lt;Tvie,1-EXP((T0-t)*PertePVj)+'2026'!Pspv,1-EXP((T0-t)*PertePVj)+Pspv)</f>
        <v>6.9449996582026663E-2</v>
      </c>
      <c r="M33" s="870"/>
      <c r="N33" s="870"/>
      <c r="O33" s="48">
        <f>IF(t&lt;Tnet,'2026'!Resal+('2026'!Salim-'2026'!Resal)*(1-EXP(('2026'!Tnet-t)/('2026'!Tau_j))),Resal+(Salim-Resal)*(1-EXP((Tnet-t)/(Tau_j))))*Salcycl</f>
        <v>8.3793689263492316E-2</v>
      </c>
      <c r="P33" s="171">
        <f>(INDEX(Models!$BJ33:$BT33,,T33)*(1-R33)+INDEX(Models!$BJ33:$BT33,,T33+1)*R33-ERP_i)*Q33*Ramure*Pc/MaxiM</f>
        <v>2.3479785718654278E-2</v>
      </c>
      <c r="Q33" s="307">
        <f t="shared" si="4"/>
        <v>1</v>
      </c>
      <c r="R33" s="179">
        <f t="shared" si="5"/>
        <v>0.56586043325470103</v>
      </c>
      <c r="S33" s="837">
        <f t="shared" si="6"/>
        <v>-2</v>
      </c>
      <c r="T33" s="178">
        <f t="shared" si="7"/>
        <v>4</v>
      </c>
      <c r="U33" s="253">
        <f t="shared" si="8"/>
        <v>-1.434139566745299</v>
      </c>
      <c r="V33" s="385">
        <f t="shared" si="9"/>
        <v>19.003863644787412</v>
      </c>
      <c r="W33" s="404">
        <f t="shared" si="10"/>
        <v>8.9795905414155914</v>
      </c>
      <c r="X33" s="157">
        <f t="shared" si="11"/>
        <v>46406</v>
      </c>
      <c r="Y33" s="387">
        <f t="shared" si="12"/>
        <v>8.0732365684065286</v>
      </c>
      <c r="Z33" s="387">
        <f t="shared" si="22"/>
        <v>8.6757686730997605</v>
      </c>
      <c r="AA33" s="388">
        <f t="shared" si="13"/>
        <v>9.9581919826612264</v>
      </c>
      <c r="AB33" s="199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0.12878073768756068</v>
      </c>
      <c r="AD33" s="233">
        <f>(INDEX(Models!$BJ33:$BT33,,AH33)*(1-AF33)+INDEX(Models!$BJ33:$BT33,,AH33+1)*AF33-ERP_i)*AE33*Ramure*Pc/MaxiM</f>
        <v>0.24338189375761543</v>
      </c>
      <c r="AE33" s="307">
        <f t="shared" si="15"/>
        <v>1</v>
      </c>
      <c r="AF33" s="179">
        <f t="shared" si="23"/>
        <v>0.50084302617827126</v>
      </c>
      <c r="AG33" s="837">
        <f t="shared" si="24"/>
        <v>3</v>
      </c>
      <c r="AH33" s="178">
        <f t="shared" si="16"/>
        <v>9</v>
      </c>
      <c r="AI33" s="227">
        <f t="shared" si="17"/>
        <v>3.5008430261782713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46407</v>
      </c>
      <c r="B34" s="1139">
        <f>IF(t&gt;Tmaj,'2026'!Wh/'2026'!Env_an*'2027'!Env_an,0.001*'[3]mon-tableau (2)'!$B$227)</f>
        <v>15.692510315962579</v>
      </c>
      <c r="C34" s="866"/>
      <c r="D34" s="395">
        <f t="shared" si="0"/>
        <v>16.864086244114301</v>
      </c>
      <c r="E34" s="387">
        <f t="shared" si="1"/>
        <v>18.409814551133156</v>
      </c>
      <c r="F34" s="387">
        <f t="shared" si="2"/>
        <v>18.728181163679363</v>
      </c>
      <c r="G34" s="110">
        <f t="shared" si="21"/>
        <v>0.81049500375673944</v>
      </c>
      <c r="H34" s="414" t="b">
        <f>Wh_hp&gt;='2026'!Maxi_hp</f>
        <v>0</v>
      </c>
      <c r="I34" s="392">
        <f>IF(H34,Wh_hp,'2026'!Maxi_hp)</f>
        <v>18.797445957009543</v>
      </c>
      <c r="J34" s="85">
        <f>IF(H34,An,'2026'!An_max)</f>
        <v>2026</v>
      </c>
      <c r="K34" s="199">
        <f t="shared" si="3"/>
        <v>46407</v>
      </c>
      <c r="L34" s="147">
        <f>IF(t&lt;Tvie,1-EXP((T0-t)*PertePVj)+'2026'!Pspv,1-EXP((T0-t)*PertePVj)+Pspv)</f>
        <v>6.9471651840052218E-2</v>
      </c>
      <c r="M34" s="870"/>
      <c r="N34" s="870"/>
      <c r="O34" s="48">
        <f>IF(t&lt;Tnet,'2026'!Resal+('2026'!Salim-'2026'!Resal)*(1-EXP(('2026'!Tnet-t)/('2026'!Tau_j))),Resal+(Salim-Resal)*(1-EXP((Tnet-t)/(Tau_j))))*Salcycl</f>
        <v>8.396218781702583E-2</v>
      </c>
      <c r="P34" s="171">
        <f>(INDEX(Models!$BJ34:$BT34,,T34)*(1-R34)+INDEX(Models!$BJ34:$BT34,,T34+1)*R34-ERP_i)*Q34*Ramure*Pc/MaxiM</f>
        <v>2.3081637486345945E-2</v>
      </c>
      <c r="Q34" s="307">
        <f t="shared" si="4"/>
        <v>1</v>
      </c>
      <c r="R34" s="179">
        <f t="shared" si="5"/>
        <v>0.56594586822676063</v>
      </c>
      <c r="S34" s="837">
        <f t="shared" si="6"/>
        <v>-2</v>
      </c>
      <c r="T34" s="178">
        <f t="shared" si="7"/>
        <v>4</v>
      </c>
      <c r="U34" s="253">
        <f t="shared" si="8"/>
        <v>-1.4340541317732394</v>
      </c>
      <c r="V34" s="385">
        <f t="shared" si="9"/>
        <v>19.241837458133727</v>
      </c>
      <c r="W34" s="404">
        <f t="shared" si="10"/>
        <v>15.692510315962579</v>
      </c>
      <c r="X34" s="157">
        <f t="shared" si="11"/>
        <v>46407</v>
      </c>
      <c r="Y34" s="387">
        <f t="shared" si="12"/>
        <v>12.509673177897</v>
      </c>
      <c r="Z34" s="387">
        <f t="shared" si="22"/>
        <v>13.443623939704759</v>
      </c>
      <c r="AA34" s="388">
        <f t="shared" si="13"/>
        <v>15.432254640844988</v>
      </c>
      <c r="AB34" s="199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0.12886196783436063</v>
      </c>
      <c r="AD34" s="233">
        <f>(INDEX(Models!$BJ34:$BT34,,AH34)*(1-AF34)+INDEX(Models!$BJ34:$BT34,,AH34+1)*AF34-ERP_i)*AE34*Ramure*Pc/MaxiM</f>
        <v>0.23895527415160134</v>
      </c>
      <c r="AE34" s="307">
        <f t="shared" si="15"/>
        <v>1</v>
      </c>
      <c r="AF34" s="179">
        <f t="shared" si="23"/>
        <v>0.50092846115033129</v>
      </c>
      <c r="AG34" s="837">
        <f t="shared" si="24"/>
        <v>3</v>
      </c>
      <c r="AH34" s="178">
        <f t="shared" si="16"/>
        <v>9</v>
      </c>
      <c r="AI34" s="227">
        <f t="shared" si="17"/>
        <v>3.5009284611503313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46408</v>
      </c>
      <c r="B35" s="1139">
        <f>IF(t&gt;Tmaj,'2026'!Wh/'2026'!Env_an*'2027'!Env_an,0.001*'[3]mon-tableau (2)'!$B$228)</f>
        <v>7.2703214251471833</v>
      </c>
      <c r="C35" s="866"/>
      <c r="D35" s="395">
        <f t="shared" si="0"/>
        <v>7.8132929904417026</v>
      </c>
      <c r="E35" s="387">
        <f t="shared" si="1"/>
        <v>8.5310119723542037</v>
      </c>
      <c r="F35" s="387">
        <f t="shared" si="2"/>
        <v>8.551289517708355</v>
      </c>
      <c r="G35" s="110">
        <f t="shared" si="21"/>
        <v>0.36557131863871756</v>
      </c>
      <c r="H35" s="414" t="b">
        <f>Wh_hp&gt;='2026'!Maxi_hp</f>
        <v>0</v>
      </c>
      <c r="I35" s="392">
        <f>IF(H35,Wh_hp,'2026'!Maxi_hp)</f>
        <v>16.890929824623914</v>
      </c>
      <c r="J35" s="85">
        <f>IF(H35,An,'2026'!An_max)</f>
        <v>2022</v>
      </c>
      <c r="K35" s="199">
        <f t="shared" si="3"/>
        <v>46408</v>
      </c>
      <c r="L35" s="147">
        <f>IF(t&lt;Tvie,1-EXP((T0-t)*PertePVj)+'2026'!Pspv,1-EXP((T0-t)*PertePVj)+Pspv)</f>
        <v>6.9493306594128335E-2</v>
      </c>
      <c r="M35" s="870"/>
      <c r="N35" s="870"/>
      <c r="O35" s="48">
        <f>IF(t&lt;Tnet,'2026'!Resal+('2026'!Salim-'2026'!Resal)*(1-EXP(('2026'!Tnet-t)/('2026'!Tau_j))),Resal+(Salim-Resal)*(1-EXP((Tnet-t)/(Tau_j))))*Salcycl</f>
        <v>8.4130579612167605E-2</v>
      </c>
      <c r="P35" s="171">
        <f>(INDEX(Models!$BJ35:$BT35,,T35)*(1-R35)+INDEX(Models!$BJ35:$BT35,,T35+1)*R35-ERP_i)*Q35*Ramure*Pc/MaxiM</f>
        <v>2.2685520719472642E-2</v>
      </c>
      <c r="Q35" s="307">
        <f t="shared" si="4"/>
        <v>1</v>
      </c>
      <c r="R35" s="179">
        <f t="shared" si="5"/>
        <v>0.56603486515889134</v>
      </c>
      <c r="S35" s="837">
        <f t="shared" si="6"/>
        <v>-2</v>
      </c>
      <c r="T35" s="178">
        <f t="shared" si="7"/>
        <v>4</v>
      </c>
      <c r="U35" s="253">
        <f t="shared" si="8"/>
        <v>-1.4339651348411087</v>
      </c>
      <c r="V35" s="385">
        <f t="shared" si="9"/>
        <v>19.482598851556553</v>
      </c>
      <c r="W35" s="404">
        <f t="shared" si="10"/>
        <v>7.2703214251471833</v>
      </c>
      <c r="X35" s="157">
        <f t="shared" si="11"/>
        <v>46408</v>
      </c>
      <c r="Y35" s="387">
        <f t="shared" si="12"/>
        <v>6.7611086557560522</v>
      </c>
      <c r="Z35" s="387">
        <f t="shared" si="22"/>
        <v>7.2660505331872649</v>
      </c>
      <c r="AA35" s="388">
        <f t="shared" si="13"/>
        <v>8.3416512683216339</v>
      </c>
      <c r="AB35" s="199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0.12894338309479383</v>
      </c>
      <c r="AD35" s="233">
        <f>(INDEX(Models!$BJ35:$BT35,,AH35)*(1-AF35)+INDEX(Models!$BJ35:$BT35,,AH35+1)*AF35-ERP_i)*AE35*Ramure*Pc/MaxiM</f>
        <v>0.23453296575084978</v>
      </c>
      <c r="AE35" s="307">
        <f t="shared" si="15"/>
        <v>1</v>
      </c>
      <c r="AF35" s="179">
        <f t="shared" si="23"/>
        <v>0.50101745808246179</v>
      </c>
      <c r="AG35" s="837">
        <f t="shared" si="24"/>
        <v>3</v>
      </c>
      <c r="AH35" s="178">
        <f t="shared" si="16"/>
        <v>9</v>
      </c>
      <c r="AI35" s="227">
        <f t="shared" si="17"/>
        <v>3.5010174580824618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46409</v>
      </c>
      <c r="B36" s="1139">
        <f>IF(t&gt;Tmaj,'2026'!Wh/'2026'!Env_an*'2027'!Env_an,0.001*'[3]mon-tableau (2)'!$B$229)</f>
        <v>19.713263129135338</v>
      </c>
      <c r="C36" s="866"/>
      <c r="D36" s="395">
        <f t="shared" si="0"/>
        <v>21.18600761923263</v>
      </c>
      <c r="E36" s="387">
        <f t="shared" si="1"/>
        <v>23.136378268438992</v>
      </c>
      <c r="F36" s="387">
        <f t="shared" si="2"/>
        <v>23.663422088062685</v>
      </c>
      <c r="G36" s="110">
        <f t="shared" si="21"/>
        <v>0.99935900302222846</v>
      </c>
      <c r="H36" s="414" t="b">
        <f>Wh_hp&gt;='2026'!Maxi_hp</f>
        <v>0</v>
      </c>
      <c r="I36" s="392">
        <f>IF(H36,Wh_hp,'2026'!Maxi_hp)</f>
        <v>23.663708309517038</v>
      </c>
      <c r="J36" s="85">
        <f>IF(H36,An,'2026'!An_max)</f>
        <v>2026</v>
      </c>
      <c r="K36" s="199">
        <f t="shared" si="3"/>
        <v>46409</v>
      </c>
      <c r="L36" s="147">
        <f>IF(t&lt;Tvie,1-EXP((T0-t)*PertePVj)+'2026'!Pspv,1-EXP((T0-t)*PertePVj)+Pspv)</f>
        <v>6.9514960844266671E-2</v>
      </c>
      <c r="M36" s="870"/>
      <c r="N36" s="870"/>
      <c r="O36" s="48">
        <f>IF(t&lt;Tnet,'2026'!Resal+('2026'!Salim-'2026'!Resal)*(1-EXP(('2026'!Tnet-t)/('2026'!Tau_j))),Resal+(Salim-Resal)*(1-EXP((Tnet-t)/(Tau_j))))*Salcycl</f>
        <v>8.4298874550599853E-2</v>
      </c>
      <c r="P36" s="171">
        <f>(INDEX(Models!$BJ36:$BT36,,T36)*(1-R36)+INDEX(Models!$BJ36:$BT36,,T36+1)*R36-ERP_i)*Q36*Ramure*Pc/MaxiM</f>
        <v>2.2292280346116349E-2</v>
      </c>
      <c r="Q36" s="307">
        <f t="shared" si="4"/>
        <v>1</v>
      </c>
      <c r="R36" s="179">
        <f t="shared" si="5"/>
        <v>0.56612757158918625</v>
      </c>
      <c r="S36" s="837">
        <f t="shared" si="6"/>
        <v>-2</v>
      </c>
      <c r="T36" s="178">
        <f t="shared" si="7"/>
        <v>4</v>
      </c>
      <c r="U36" s="253">
        <f t="shared" si="8"/>
        <v>-1.4338724284108137</v>
      </c>
      <c r="V36" s="385">
        <f t="shared" si="9"/>
        <v>19.725508516643263</v>
      </c>
      <c r="W36" s="404">
        <f t="shared" si="10"/>
        <v>19.713263129135338</v>
      </c>
      <c r="X36" s="157">
        <f t="shared" si="11"/>
        <v>46409</v>
      </c>
      <c r="Y36" s="387">
        <f t="shared" si="12"/>
        <v>14.768227809988918</v>
      </c>
      <c r="Z36" s="387">
        <f t="shared" si="22"/>
        <v>15.871537089289182</v>
      </c>
      <c r="AA36" s="388">
        <f t="shared" si="13"/>
        <v>18.222723988167491</v>
      </c>
      <c r="AB36" s="199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0.12902499650463883</v>
      </c>
      <c r="AD36" s="233">
        <f>(INDEX(Models!$BJ36:$BT36,,AH36)*(1-AF36)+INDEX(Models!$BJ36:$BT36,,AH36+1)*AF36-ERP_i)*AE36*Ramure*Pc/MaxiM</f>
        <v>0.23012425685599383</v>
      </c>
      <c r="AE36" s="307">
        <f t="shared" si="15"/>
        <v>1</v>
      </c>
      <c r="AF36" s="179">
        <f t="shared" si="23"/>
        <v>0.50111016451275692</v>
      </c>
      <c r="AG36" s="837">
        <f t="shared" si="24"/>
        <v>3</v>
      </c>
      <c r="AH36" s="178">
        <f t="shared" si="16"/>
        <v>9</v>
      </c>
      <c r="AI36" s="227">
        <f t="shared" si="17"/>
        <v>3.5011101645127569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46410</v>
      </c>
      <c r="B37" s="1139">
        <f>IF(t&gt;Tmaj,'2026'!Wh/'2026'!Env_an*'2027'!Env_an,0.001*'[3]mon-tableau (2)'!$B$230)</f>
        <v>19.740280833034205</v>
      </c>
      <c r="C37" s="866"/>
      <c r="D37" s="395">
        <f t="shared" si="0"/>
        <v>21.215537486567509</v>
      </c>
      <c r="E37" s="387">
        <f t="shared" si="1"/>
        <v>23.17288332396479</v>
      </c>
      <c r="F37" s="387">
        <f t="shared" si="2"/>
        <v>23.682944853563953</v>
      </c>
      <c r="G37" s="110">
        <f t="shared" si="21"/>
        <v>0.98802376400775571</v>
      </c>
      <c r="H37" s="414" t="b">
        <f>Wh_hp&gt;='2026'!Maxi_hp</f>
        <v>0</v>
      </c>
      <c r="I37" s="392">
        <f>IF(H37,Wh_hp,'2026'!Maxi_hp)</f>
        <v>23.688231001299805</v>
      </c>
      <c r="J37" s="85">
        <f>IF(H37,An,'2026'!An_max)</f>
        <v>2026</v>
      </c>
      <c r="K37" s="199">
        <f t="shared" si="3"/>
        <v>46410</v>
      </c>
      <c r="L37" s="147">
        <f>IF(t&lt;Tvie,1-EXP((T0-t)*PertePVj)+'2026'!Pspv,1-EXP((T0-t)*PertePVj)+Pspv)</f>
        <v>6.9536614590478996E-2</v>
      </c>
      <c r="M37" s="870"/>
      <c r="N37" s="870"/>
      <c r="O37" s="48">
        <f>IF(t&lt;Tnet,'2026'!Resal+('2026'!Salim-'2026'!Resal)*(1-EXP(('2026'!Tnet-t)/('2026'!Tau_j))),Resal+(Salim-Resal)*(1-EXP((Tnet-t)/(Tau_j))))*Salcycl</f>
        <v>8.4467082064537194E-2</v>
      </c>
      <c r="P37" s="171">
        <f>(INDEX(Models!$BJ37:$BT37,,T37)*(1-R37)+INDEX(Models!$BJ37:$BT37,,T37+1)*R37-ERP_i)*Q37*Ramure*Pc/MaxiM</f>
        <v>2.1900293524873354E-2</v>
      </c>
      <c r="Q37" s="307">
        <f t="shared" si="4"/>
        <v>1</v>
      </c>
      <c r="R37" s="179">
        <f t="shared" si="5"/>
        <v>0.56622414108427455</v>
      </c>
      <c r="S37" s="837">
        <f t="shared" si="6"/>
        <v>-2</v>
      </c>
      <c r="T37" s="178">
        <f t="shared" si="7"/>
        <v>4</v>
      </c>
      <c r="U37" s="253">
        <f t="shared" si="8"/>
        <v>-1.4337758589157255</v>
      </c>
      <c r="V37" s="385">
        <f t="shared" si="9"/>
        <v>19.972144234200435</v>
      </c>
      <c r="W37" s="404">
        <f t="shared" si="10"/>
        <v>19.740280833034205</v>
      </c>
      <c r="X37" s="157">
        <f t="shared" si="11"/>
        <v>46410</v>
      </c>
      <c r="Y37" s="387">
        <f t="shared" si="12"/>
        <v>14.93126096556257</v>
      </c>
      <c r="Z37" s="387">
        <f t="shared" si="22"/>
        <v>16.047123615714266</v>
      </c>
      <c r="AA37" s="388">
        <f t="shared" si="13"/>
        <v>18.426052689581738</v>
      </c>
      <c r="AB37" s="199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0.1291068203236248</v>
      </c>
      <c r="AD37" s="233">
        <f>(INDEX(Models!$BJ37:$BT37,,AH37)*(1-AF37)+INDEX(Models!$BJ37:$BT37,,AH37+1)*AF37-ERP_i)*AE37*Ramure*Pc/MaxiM</f>
        <v>0.22571292822317257</v>
      </c>
      <c r="AE37" s="307">
        <f t="shared" si="15"/>
        <v>1</v>
      </c>
      <c r="AF37" s="179">
        <f t="shared" si="23"/>
        <v>0.50120673400784499</v>
      </c>
      <c r="AG37" s="837">
        <f t="shared" si="24"/>
        <v>3</v>
      </c>
      <c r="AH37" s="178">
        <f t="shared" si="16"/>
        <v>9</v>
      </c>
      <c r="AI37" s="227">
        <f t="shared" si="17"/>
        <v>3.501206734007845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46411</v>
      </c>
      <c r="B38" s="1139">
        <f>IF(t&gt;Tmaj,'2026'!Wh/'2026'!Env_an*'2027'!Env_an,0.001*'[3]mon-tableau (2)'!$B$231)</f>
        <v>20.156488436814104</v>
      </c>
      <c r="C38" s="866"/>
      <c r="D38" s="395">
        <f t="shared" si="0"/>
        <v>21.663353802784393</v>
      </c>
      <c r="E38" s="387">
        <f t="shared" si="1"/>
        <v>23.666361279676245</v>
      </c>
      <c r="F38" s="387">
        <f t="shared" si="2"/>
        <v>24.183406349987962</v>
      </c>
      <c r="G38" s="110">
        <f t="shared" si="21"/>
        <v>0.99651624855211429</v>
      </c>
      <c r="H38" s="414" t="b">
        <f>Wh_hp&gt;='2026'!Maxi_hp</f>
        <v>0</v>
      </c>
      <c r="I38" s="392">
        <f>IF(H38,Wh_hp,'2026'!Maxi_hp)</f>
        <v>24.184957587937166</v>
      </c>
      <c r="J38" s="85">
        <f>IF(H38,An,'2026'!An_max)</f>
        <v>2026</v>
      </c>
      <c r="K38" s="199">
        <f t="shared" si="3"/>
        <v>46411</v>
      </c>
      <c r="L38" s="147">
        <f>IF(t&lt;Tvie,1-EXP((T0-t)*PertePVj)+'2026'!Pspv,1-EXP((T0-t)*PertePVj)+Pspv)</f>
        <v>6.9558267832777076E-2</v>
      </c>
      <c r="M38" s="870"/>
      <c r="N38" s="870"/>
      <c r="O38" s="48">
        <f>IF(t&lt;Tnet,'2026'!Resal+('2026'!Salim-'2026'!Resal)*(1-EXP(('2026'!Tnet-t)/('2026'!Tau_j))),Resal+(Salim-Resal)*(1-EXP((Tnet-t)/(Tau_j))))*Salcycl</f>
        <v>8.4635210847218714E-2</v>
      </c>
      <c r="P38" s="171">
        <f>(INDEX(Models!$BJ38:$BT38,,T38)*(1-R38)+INDEX(Models!$BJ38:$BT38,,T38+1)*R38-ERP_i)*Q38*Ramure*Pc/MaxiM</f>
        <v>2.1483838802816835E-2</v>
      </c>
      <c r="Q38" s="307">
        <f t="shared" si="4"/>
        <v>1</v>
      </c>
      <c r="R38" s="179">
        <f t="shared" si="5"/>
        <v>0.56632473347859569</v>
      </c>
      <c r="S38" s="837">
        <f t="shared" si="6"/>
        <v>-2</v>
      </c>
      <c r="T38" s="178">
        <f t="shared" si="7"/>
        <v>4</v>
      </c>
      <c r="U38" s="253">
        <f t="shared" si="8"/>
        <v>-1.4336752665214043</v>
      </c>
      <c r="V38" s="385">
        <f t="shared" si="9"/>
        <v>20.224811172196354</v>
      </c>
      <c r="W38" s="404">
        <f t="shared" si="10"/>
        <v>20.156488436814104</v>
      </c>
      <c r="X38" s="157">
        <f t="shared" si="11"/>
        <v>46411</v>
      </c>
      <c r="Y38" s="387">
        <f t="shared" si="12"/>
        <v>15.279443090794055</v>
      </c>
      <c r="Z38" s="387">
        <f t="shared" si="22"/>
        <v>16.421708703031356</v>
      </c>
      <c r="AA38" s="388">
        <f t="shared" si="13"/>
        <v>18.857945259172293</v>
      </c>
      <c r="AB38" s="199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0.12918886562977891</v>
      </c>
      <c r="AD38" s="233">
        <f>(INDEX(Models!$BJ38:$BT38,,AH38)*(1-AF38)+INDEX(Models!$BJ38:$BT38,,AH38+1)*AF38-ERP_i)*AE38*Ramure*Pc/MaxiM</f>
        <v>0.2212792543535532</v>
      </c>
      <c r="AE38" s="307">
        <f t="shared" si="15"/>
        <v>1</v>
      </c>
      <c r="AF38" s="179">
        <f t="shared" si="23"/>
        <v>0.50130732640216635</v>
      </c>
      <c r="AG38" s="837">
        <f t="shared" si="24"/>
        <v>3</v>
      </c>
      <c r="AH38" s="178">
        <f t="shared" si="16"/>
        <v>9</v>
      </c>
      <c r="AI38" s="227">
        <f t="shared" si="17"/>
        <v>3.5013073264021664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46412</v>
      </c>
      <c r="B39" s="1139">
        <f>IF(t&gt;Tmaj,'2026'!Wh/'2026'!Env_an*'2027'!Env_an,0.001*'[3]mon-tableau (2)'!$B$232)</f>
        <v>20.374109228609456</v>
      </c>
      <c r="C39" s="866"/>
      <c r="D39" s="395">
        <f t="shared" si="0"/>
        <v>21.897753153733365</v>
      </c>
      <c r="E39" s="387">
        <f t="shared" si="1"/>
        <v>23.926826224998031</v>
      </c>
      <c r="F39" s="387">
        <f t="shared" si="2"/>
        <v>24.43704563581246</v>
      </c>
      <c r="G39" s="110">
        <f t="shared" si="21"/>
        <v>0.99450520149497357</v>
      </c>
      <c r="H39" s="414" t="b">
        <f>Wh_hp&gt;='2026'!Maxi_hp</f>
        <v>0</v>
      </c>
      <c r="I39" s="392">
        <f>IF(H39,Wh_hp,'2026'!Maxi_hp)</f>
        <v>24.439488262582806</v>
      </c>
      <c r="J39" s="85">
        <f>IF(H39,An,'2026'!An_max)</f>
        <v>2026</v>
      </c>
      <c r="K39" s="199">
        <f t="shared" si="3"/>
        <v>46412</v>
      </c>
      <c r="L39" s="147">
        <f>IF(t&lt;Tvie,1-EXP((T0-t)*PertePVj)+'2026'!Pspv,1-EXP((T0-t)*PertePVj)+Pspv)</f>
        <v>6.957992057117246E-2</v>
      </c>
      <c r="M39" s="870"/>
      <c r="N39" s="870"/>
      <c r="O39" s="48">
        <f>IF(t&lt;Tnet,'2026'!Resal+('2026'!Salim-'2026'!Resal)*(1-EXP(('2026'!Tnet-t)/('2026'!Tau_j))),Resal+(Salim-Resal)*(1-EXP((Tnet-t)/(Tau_j))))*Salcycl</f>
        <v>8.4803268606713444E-2</v>
      </c>
      <c r="P39" s="171">
        <f>(INDEX(Models!$BJ39:$BT39,,T39)*(1-R39)+INDEX(Models!$BJ39:$BT39,,T39+1)*R39-ERP_i)*Q39*Ramure*Pc/MaxiM</f>
        <v>2.1039190246560858E-2</v>
      </c>
      <c r="Q39" s="307">
        <f t="shared" si="4"/>
        <v>1</v>
      </c>
      <c r="R39" s="179">
        <f t="shared" si="5"/>
        <v>0.56642951512256734</v>
      </c>
      <c r="S39" s="837">
        <f t="shared" si="6"/>
        <v>-2</v>
      </c>
      <c r="T39" s="178">
        <f t="shared" si="7"/>
        <v>4</v>
      </c>
      <c r="U39" s="253">
        <f t="shared" si="8"/>
        <v>-1.4335704848774327</v>
      </c>
      <c r="V39" s="385">
        <f t="shared" si="9"/>
        <v>20.483326231223192</v>
      </c>
      <c r="W39" s="404">
        <f t="shared" si="10"/>
        <v>20.374109228609456</v>
      </c>
      <c r="X39" s="157">
        <f t="shared" si="11"/>
        <v>46412</v>
      </c>
      <c r="Y39" s="387">
        <f t="shared" si="12"/>
        <v>15.536817589416057</v>
      </c>
      <c r="Z39" s="387">
        <f t="shared" si="22"/>
        <v>16.698712692178677</v>
      </c>
      <c r="AA39" s="388">
        <f t="shared" si="13"/>
        <v>19.177856043067266</v>
      </c>
      <c r="AB39" s="199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0.12927114195253281</v>
      </c>
      <c r="AD39" s="233">
        <f>(INDEX(Models!$BJ39:$BT39,,AH39)*(1-AF39)+INDEX(Models!$BJ39:$BT39,,AH39+1)*AF39-ERP_i)*AE39*Ramure*Pc/MaxiM</f>
        <v>0.21686570138105465</v>
      </c>
      <c r="AE39" s="307">
        <f t="shared" si="15"/>
        <v>1</v>
      </c>
      <c r="AF39" s="179">
        <f t="shared" si="23"/>
        <v>0.50141210804613756</v>
      </c>
      <c r="AG39" s="837">
        <f t="shared" si="24"/>
        <v>3</v>
      </c>
      <c r="AH39" s="178">
        <f t="shared" si="16"/>
        <v>9</v>
      </c>
      <c r="AI39" s="227">
        <f t="shared" si="17"/>
        <v>3.5014121080461376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46413</v>
      </c>
      <c r="B40" s="1139">
        <f>IF(t&gt;Tmaj,'2026'!Wh/'2026'!Env_an*'2027'!Env_an,0.001*'[3]mon-tableau (2)'!$B$233)</f>
        <v>20.449954464134052</v>
      </c>
      <c r="C40" s="866"/>
      <c r="D40" s="395">
        <f t="shared" si="0"/>
        <v>21.979781850881047</v>
      </c>
      <c r="E40" s="387">
        <f t="shared" si="1"/>
        <v>24.020865066170167</v>
      </c>
      <c r="F40" s="387">
        <f t="shared" si="2"/>
        <v>24.514758693028483</v>
      </c>
      <c r="G40" s="110">
        <f t="shared" si="21"/>
        <v>0.98523992184093068</v>
      </c>
      <c r="H40" s="414" t="b">
        <f>Wh_hp&gt;='2026'!Maxi_hp</f>
        <v>0</v>
      </c>
      <c r="I40" s="392">
        <f>IF(H40,Wh_hp,'2026'!Maxi_hp)</f>
        <v>24.521261632785023</v>
      </c>
      <c r="J40" s="85">
        <f>IF(H40,An,'2026'!An_max)</f>
        <v>2026</v>
      </c>
      <c r="K40" s="199">
        <f t="shared" si="3"/>
        <v>46413</v>
      </c>
      <c r="L40" s="147">
        <f>IF(t&lt;Tvie,1-EXP((T0-t)*PertePVj)+'2026'!Pspv,1-EXP((T0-t)*PertePVj)+Pspv)</f>
        <v>6.9601572805677026E-2</v>
      </c>
      <c r="M40" s="870"/>
      <c r="N40" s="870"/>
      <c r="O40" s="48">
        <f>IF(t&lt;Tnet,'2026'!Resal+('2026'!Salim-'2026'!Resal)*(1-EXP(('2026'!Tnet-t)/('2026'!Tau_j))),Resal+(Salim-Resal)*(1-EXP((Tnet-t)/(Tau_j))))*Salcycl</f>
        <v>8.4971261845339818E-2</v>
      </c>
      <c r="P40" s="171">
        <f>(INDEX(Models!$BJ40:$BT40,,T40)*(1-R40)+INDEX(Models!$BJ40:$BT40,,T40+1)*R40-ERP_i)*Q40*Ramure*Pc/MaxiM</f>
        <v>2.0568030374321731E-2</v>
      </c>
      <c r="Q40" s="307">
        <f t="shared" si="4"/>
        <v>1</v>
      </c>
      <c r="R40" s="179">
        <f t="shared" si="5"/>
        <v>0.56653865913991708</v>
      </c>
      <c r="S40" s="837">
        <f t="shared" si="6"/>
        <v>-2</v>
      </c>
      <c r="T40" s="178">
        <f t="shared" si="7"/>
        <v>4</v>
      </c>
      <c r="U40" s="253">
        <f t="shared" si="8"/>
        <v>-1.4334613408600829</v>
      </c>
      <c r="V40" s="385">
        <f t="shared" si="9"/>
        <v>20.747396128049669</v>
      </c>
      <c r="W40" s="404">
        <f t="shared" si="10"/>
        <v>20.449954464134052</v>
      </c>
      <c r="X40" s="157">
        <f t="shared" si="11"/>
        <v>46413</v>
      </c>
      <c r="Y40" s="387">
        <f t="shared" si="12"/>
        <v>15.725129187058911</v>
      </c>
      <c r="Z40" s="387">
        <f t="shared" si="22"/>
        <v>16.901500182539067</v>
      </c>
      <c r="AA40" s="388">
        <f t="shared" si="13"/>
        <v>19.412589643787925</v>
      </c>
      <c r="AB40" s="199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0.12935365694769185</v>
      </c>
      <c r="AD40" s="233">
        <f>(INDEX(Models!$BJ40:$BT40,,AH40)*(1-AF40)+INDEX(Models!$BJ40:$BT40,,AH40+1)*AF40-ERP_i)*AE40*Ramure*Pc/MaxiM</f>
        <v>0.21247807680217118</v>
      </c>
      <c r="AE40" s="307">
        <f t="shared" si="15"/>
        <v>1</v>
      </c>
      <c r="AF40" s="179">
        <f t="shared" si="23"/>
        <v>0.5015212520634873</v>
      </c>
      <c r="AG40" s="837">
        <f t="shared" si="24"/>
        <v>3</v>
      </c>
      <c r="AH40" s="178">
        <f t="shared" si="16"/>
        <v>9</v>
      </c>
      <c r="AI40" s="227">
        <f t="shared" si="17"/>
        <v>3.5015212520634873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46414</v>
      </c>
      <c r="B41" s="1139">
        <f>IF(t&gt;Tmaj,'2026'!Wh/'2026'!Env_an*'2027'!Env_an,0.001*'[3]mon-tableau (2)'!$B$234)</f>
        <v>19.936586996071579</v>
      </c>
      <c r="C41" s="866"/>
      <c r="D41" s="395">
        <f t="shared" si="0"/>
        <v>21.428508881399399</v>
      </c>
      <c r="E41" s="387">
        <f t="shared" si="1"/>
        <v>23.42269860059757</v>
      </c>
      <c r="F41" s="387">
        <f t="shared" si="2"/>
        <v>23.866575888865146</v>
      </c>
      <c r="G41" s="110">
        <f t="shared" si="21"/>
        <v>0.94718121661788945</v>
      </c>
      <c r="H41" s="414" t="b">
        <f>Wh_hp&gt;='2026'!Maxi_hp</f>
        <v>0</v>
      </c>
      <c r="I41" s="392">
        <f>IF(H41,Wh_hp,'2026'!Maxi_hp)</f>
        <v>23.88896704435151</v>
      </c>
      <c r="J41" s="85">
        <f>IF(H41,An,'2026'!An_max)</f>
        <v>2026</v>
      </c>
      <c r="K41" s="199">
        <f t="shared" si="3"/>
        <v>46414</v>
      </c>
      <c r="L41" s="147">
        <f>IF(t&lt;Tvie,1-EXP((T0-t)*PertePVj)+'2026'!Pspv,1-EXP((T0-t)*PertePVj)+Pspv)</f>
        <v>6.962322453630243E-2</v>
      </c>
      <c r="M41" s="870"/>
      <c r="N41" s="870"/>
      <c r="O41" s="48">
        <f>IF(t&lt;Tnet,'2026'!Resal+('2026'!Salim-'2026'!Resal)*(1-EXP(('2026'!Tnet-t)/('2026'!Tau_j))),Resal+(Salim-Resal)*(1-EXP((Tnet-t)/(Tau_j))))*Salcycl</f>
        <v>8.5139195666689441E-2</v>
      </c>
      <c r="P41" s="171">
        <f>(INDEX(Models!$BJ41:$BT41,,T41)*(1-R41)+INDEX(Models!$BJ41:$BT41,,T41+1)*R41-ERP_i)*Q41*Ramure*Pc/MaxiM</f>
        <v>2.0071975212804936E-2</v>
      </c>
      <c r="Q41" s="307">
        <f t="shared" si="4"/>
        <v>1</v>
      </c>
      <c r="R41" s="179">
        <f t="shared" si="5"/>
        <v>0.56665234569446743</v>
      </c>
      <c r="S41" s="837">
        <f t="shared" si="6"/>
        <v>-2</v>
      </c>
      <c r="T41" s="178">
        <f t="shared" si="7"/>
        <v>4</v>
      </c>
      <c r="U41" s="253">
        <f t="shared" si="8"/>
        <v>-1.4333476543055326</v>
      </c>
      <c r="V41" s="385">
        <f t="shared" si="9"/>
        <v>21.016727777218854</v>
      </c>
      <c r="W41" s="404">
        <f t="shared" si="10"/>
        <v>19.936586996071579</v>
      </c>
      <c r="X41" s="157">
        <f t="shared" si="11"/>
        <v>46414</v>
      </c>
      <c r="Y41" s="387">
        <f t="shared" si="12"/>
        <v>15.60301188061487</v>
      </c>
      <c r="Z41" s="387">
        <f t="shared" si="22"/>
        <v>16.770637758921236</v>
      </c>
      <c r="AA41" s="388">
        <f t="shared" si="13"/>
        <v>19.264115877804301</v>
      </c>
      <c r="AB41" s="199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0.12943641611686935</v>
      </c>
      <c r="AD41" s="233">
        <f>(INDEX(Models!$BJ41:$BT41,,AH41)*(1-AF41)+INDEX(Models!$BJ41:$BT41,,AH41+1)*AF41-ERP_i)*AE41*Ramure*Pc/MaxiM</f>
        <v>0.20812162663355535</v>
      </c>
      <c r="AE41" s="307">
        <f t="shared" si="15"/>
        <v>1</v>
      </c>
      <c r="AF41" s="179">
        <f t="shared" si="23"/>
        <v>0.5016349386180381</v>
      </c>
      <c r="AG41" s="837">
        <f t="shared" si="24"/>
        <v>3</v>
      </c>
      <c r="AH41" s="178">
        <f t="shared" si="16"/>
        <v>9</v>
      </c>
      <c r="AI41" s="227">
        <f t="shared" si="17"/>
        <v>3.5016349386180381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46415</v>
      </c>
      <c r="B42" s="1139">
        <f>IF(t&gt;Tmaj,'2026'!Wh/'2026'!Env_an*'2027'!Env_an,0.001*'[3]mon-tableau (2)'!$B$235)</f>
        <v>4.1659292959696987</v>
      </c>
      <c r="C42" s="866"/>
      <c r="D42" s="395">
        <f t="shared" si="0"/>
        <v>4.4777840068183838</v>
      </c>
      <c r="E42" s="387">
        <f t="shared" si="1"/>
        <v>4.8953959057059278</v>
      </c>
      <c r="F42" s="387">
        <f t="shared" si="2"/>
        <v>4.8953959057059278</v>
      </c>
      <c r="G42" s="110">
        <f t="shared" si="21"/>
        <v>0.19184017840029177</v>
      </c>
      <c r="H42" s="414" t="b">
        <f>Wh_hp&gt;='2026'!Maxi_hp</f>
        <v>0</v>
      </c>
      <c r="I42" s="392">
        <f>IF(H42,Wh_hp,'2026'!Maxi_hp)</f>
        <v>17.198833933173557</v>
      </c>
      <c r="J42" s="85">
        <f>IF(H42,An,'2026'!An_max)</f>
        <v>2020</v>
      </c>
      <c r="K42" s="199">
        <f t="shared" si="3"/>
        <v>46415</v>
      </c>
      <c r="L42" s="147">
        <f>IF(t&lt;Tvie,1-EXP((T0-t)*PertePVj)+'2026'!Pspv,1-EXP((T0-t)*PertePVj)+Pspv)</f>
        <v>6.9644875763060443E-2</v>
      </c>
      <c r="M42" s="870"/>
      <c r="N42" s="870"/>
      <c r="O42" s="48">
        <f>IF(t&lt;Tnet,'2026'!Resal+('2026'!Salim-'2026'!Resal)*(1-EXP(('2026'!Tnet-t)/('2026'!Tau_j))),Resal+(Salim-Resal)*(1-EXP((Tnet-t)/(Tau_j))))*Salcycl</f>
        <v>8.5307073611919318E-2</v>
      </c>
      <c r="P42" s="171">
        <f>(INDEX(Models!$BJ42:$BT42,,T42)*(1-R42)+INDEX(Models!$BJ42:$BT42,,T42+1)*R42-ERP_i)*Q42*Ramure*Pc/MaxiM</f>
        <v>1.9552570959120663E-2</v>
      </c>
      <c r="Q42" s="307">
        <f t="shared" si="4"/>
        <v>1</v>
      </c>
      <c r="R42" s="179">
        <f t="shared" si="5"/>
        <v>0.5667707622666518</v>
      </c>
      <c r="S42" s="837">
        <f t="shared" si="6"/>
        <v>-2</v>
      </c>
      <c r="T42" s="178">
        <f t="shared" si="7"/>
        <v>4</v>
      </c>
      <c r="U42" s="253">
        <f t="shared" si="8"/>
        <v>-1.4332292377333482</v>
      </c>
      <c r="V42" s="385">
        <f t="shared" si="9"/>
        <v>21.291028302095025</v>
      </c>
      <c r="W42" s="404">
        <f t="shared" si="10"/>
        <v>4.1659292959696987</v>
      </c>
      <c r="X42" s="157">
        <f t="shared" si="11"/>
        <v>46415</v>
      </c>
      <c r="Y42" s="387">
        <f t="shared" si="12"/>
        <v>3.9645660685203818</v>
      </c>
      <c r="Z42" s="387">
        <f t="shared" si="22"/>
        <v>4.2613470547303614</v>
      </c>
      <c r="AA42" s="388">
        <f t="shared" si="13"/>
        <v>4.8953959057059278</v>
      </c>
      <c r="AB42" s="199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0.12951942257347104</v>
      </c>
      <c r="AD42" s="233">
        <f>(INDEX(Models!$BJ42:$BT42,,AH42)*(1-AF42)+INDEX(Models!$BJ42:$BT42,,AH42+1)*AF42-ERP_i)*AE42*Ramure*Pc/MaxiM</f>
        <v>0.20380106125549749</v>
      </c>
      <c r="AE42" s="307">
        <f t="shared" si="15"/>
        <v>1</v>
      </c>
      <c r="AF42" s="179">
        <f t="shared" si="23"/>
        <v>0.50175335519022202</v>
      </c>
      <c r="AG42" s="837">
        <f t="shared" si="24"/>
        <v>3</v>
      </c>
      <c r="AH42" s="178">
        <f t="shared" si="16"/>
        <v>9</v>
      </c>
      <c r="AI42" s="227">
        <f t="shared" si="17"/>
        <v>3.501753355190222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46416</v>
      </c>
      <c r="B43" s="1139">
        <f>IF(t&gt;Tmaj,'2026'!Wh/'2026'!Env_an*'2027'!Env_an,0.001*'[3]mon-tableau (2)'!$B$236)</f>
        <v>6.5078489044679895</v>
      </c>
      <c r="C43" s="866"/>
      <c r="D43" s="395">
        <f t="shared" si="0"/>
        <v>6.9951787071432259</v>
      </c>
      <c r="E43" s="387">
        <f t="shared" si="1"/>
        <v>7.6489739737318878</v>
      </c>
      <c r="F43" s="387">
        <f t="shared" si="2"/>
        <v>7.6493288634339409</v>
      </c>
      <c r="G43" s="110">
        <f t="shared" si="21"/>
        <v>0.29598613824774361</v>
      </c>
      <c r="H43" s="414" t="b">
        <f>Wh_hp&gt;='2026'!Maxi_hp</f>
        <v>0</v>
      </c>
      <c r="I43" s="392">
        <f>IF(H43,Wh_hp,'2026'!Maxi_hp)</f>
        <v>20.008035676598013</v>
      </c>
      <c r="J43" s="85">
        <f>IF(H43,An,'2026'!An_max)</f>
        <v>2020</v>
      </c>
      <c r="K43" s="199">
        <f t="shared" si="3"/>
        <v>46416</v>
      </c>
      <c r="L43" s="147">
        <f>IF(t&lt;Tvie,1-EXP((T0-t)*PertePVj)+'2026'!Pspv,1-EXP((T0-t)*PertePVj)+Pspv)</f>
        <v>6.9666526485962832E-2</v>
      </c>
      <c r="M43" s="870"/>
      <c r="N43" s="870"/>
      <c r="O43" s="48">
        <f>IF(t&lt;Tnet,'2026'!Resal+('2026'!Salim-'2026'!Resal)*(1-EXP(('2026'!Tnet-t)/('2026'!Tau_j))),Resal+(Salim-Resal)*(1-EXP((Tnet-t)/(Tau_j))))*Salcycl</f>
        <v>8.5474897526639115E-2</v>
      </c>
      <c r="P43" s="171">
        <f>(INDEX(Models!$BJ43:$BT43,,T43)*(1-R43)+INDEX(Models!$BJ43:$BT43,,T43+1)*R43-ERP_i)*Q43*Ramure*Pc/MaxiM</f>
        <v>1.9011291521743183E-2</v>
      </c>
      <c r="Q43" s="307">
        <f t="shared" si="4"/>
        <v>1</v>
      </c>
      <c r="R43" s="179">
        <f t="shared" si="5"/>
        <v>0.56689410394005124</v>
      </c>
      <c r="S43" s="837">
        <f t="shared" si="6"/>
        <v>-2</v>
      </c>
      <c r="T43" s="178">
        <f t="shared" si="7"/>
        <v>4</v>
      </c>
      <c r="U43" s="253">
        <f t="shared" si="8"/>
        <v>-1.4331058960599488</v>
      </c>
      <c r="V43" s="385">
        <f t="shared" si="9"/>
        <v>21.570005048491769</v>
      </c>
      <c r="W43" s="404">
        <f t="shared" si="10"/>
        <v>6.5078489044679895</v>
      </c>
      <c r="X43" s="157">
        <f t="shared" si="11"/>
        <v>46416</v>
      </c>
      <c r="Y43" s="387">
        <f t="shared" si="12"/>
        <v>6.1911027820173432</v>
      </c>
      <c r="Z43" s="387">
        <f t="shared" si="22"/>
        <v>6.6547135605391388</v>
      </c>
      <c r="AA43" s="388">
        <f t="shared" si="13"/>
        <v>7.6456043505595508</v>
      </c>
      <c r="AB43" s="199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0.12960267685678672</v>
      </c>
      <c r="AD43" s="233">
        <f>(INDEX(Models!$BJ43:$BT43,,AH43)*(1-AF43)+INDEX(Models!$BJ43:$BT43,,AH43+1)*AF43-ERP_i)*AE43*Ramure*Pc/MaxiM</f>
        <v>0.19952058237185399</v>
      </c>
      <c r="AE43" s="307">
        <f t="shared" si="15"/>
        <v>1</v>
      </c>
      <c r="AF43" s="179">
        <f t="shared" si="23"/>
        <v>0.50187669686362169</v>
      </c>
      <c r="AG43" s="837">
        <f t="shared" si="24"/>
        <v>3</v>
      </c>
      <c r="AH43" s="178">
        <f t="shared" si="16"/>
        <v>9</v>
      </c>
      <c r="AI43" s="227">
        <f t="shared" si="17"/>
        <v>3.5018766968636217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46417</v>
      </c>
      <c r="B44" s="1139">
        <f>IF(t&gt;Tmaj,'2026'!Wh/'2026'!Env_an*'2027'!Env_an,0.001*'[3]mon-tableau (2)'!$B$237)</f>
        <v>4.7318035036450699</v>
      </c>
      <c r="C44" s="866"/>
      <c r="D44" s="395">
        <f t="shared" si="0"/>
        <v>5.0862553663845382</v>
      </c>
      <c r="E44" s="387">
        <f t="shared" si="1"/>
        <v>5.5626560704138672</v>
      </c>
      <c r="F44" s="387">
        <f t="shared" si="2"/>
        <v>5.5626560704138672</v>
      </c>
      <c r="G44" s="110">
        <f t="shared" si="21"/>
        <v>0.21253037201170841</v>
      </c>
      <c r="H44" s="414" t="b">
        <f>Wh_hp&gt;='2026'!Maxi_hp</f>
        <v>0</v>
      </c>
      <c r="I44" s="392">
        <f>IF(H44,Wh_hp,'2026'!Maxi_hp)</f>
        <v>10.958880369584882</v>
      </c>
      <c r="J44" s="85">
        <f>IF(H44,An,'2026'!An_max)</f>
        <v>2020</v>
      </c>
      <c r="K44" s="199">
        <f t="shared" si="3"/>
        <v>46417</v>
      </c>
      <c r="L44" s="147">
        <f>IF(t&lt;Tvie,1-EXP((T0-t)*PertePVj)+'2026'!Pspv,1-EXP((T0-t)*PertePVj)+Pspv)</f>
        <v>6.9688176705021254E-2</v>
      </c>
      <c r="M44" s="870"/>
      <c r="N44" s="870"/>
      <c r="O44" s="48">
        <f>IF(t&lt;Tnet,'2026'!Resal+('2026'!Salim-'2026'!Resal)*(1-EXP(('2026'!Tnet-t)/('2026'!Tau_j))),Resal+(Salim-Resal)*(1-EXP((Tnet-t)/(Tau_j))))*Salcycl</f>
        <v>8.5642667459375058E-2</v>
      </c>
      <c r="P44" s="171">
        <f>(INDEX(Models!$BJ44:$BT44,,T44)*(1-R44)+INDEX(Models!$BJ44:$BT44,,T44+1)*R44-ERP_i)*Q44*Ramure*Pc/MaxiM</f>
        <v>1.8430912071106635E-2</v>
      </c>
      <c r="Q44" s="307">
        <f t="shared" si="4"/>
        <v>1</v>
      </c>
      <c r="R44" s="179">
        <f t="shared" si="5"/>
        <v>0.56702257369824194</v>
      </c>
      <c r="S44" s="837">
        <f t="shared" si="6"/>
        <v>-2</v>
      </c>
      <c r="T44" s="178">
        <f t="shared" si="7"/>
        <v>4</v>
      </c>
      <c r="U44" s="253">
        <f t="shared" si="8"/>
        <v>-1.4329774263017581</v>
      </c>
      <c r="V44" s="385">
        <f t="shared" si="9"/>
        <v>21.853780263819239</v>
      </c>
      <c r="W44" s="404">
        <f t="shared" si="10"/>
        <v>4.7318035036450699</v>
      </c>
      <c r="X44" s="157">
        <f t="shared" si="11"/>
        <v>46417</v>
      </c>
      <c r="Y44" s="387">
        <f t="shared" si="12"/>
        <v>4.5038781353330233</v>
      </c>
      <c r="Z44" s="387">
        <f t="shared" si="22"/>
        <v>4.8412564718152096</v>
      </c>
      <c r="AA44" s="388">
        <f t="shared" si="13"/>
        <v>5.5626560704138672</v>
      </c>
      <c r="AB44" s="199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0.12968617679521302</v>
      </c>
      <c r="AD44" s="233">
        <f>(INDEX(Models!$BJ44:$BT44,,AH44)*(1-AF44)+INDEX(Models!$BJ44:$BT44,,AH44+1)*AF44-ERP_i)*AE44*Ramure*Pc/MaxiM</f>
        <v>0.19523808824275601</v>
      </c>
      <c r="AE44" s="307">
        <f t="shared" si="15"/>
        <v>1</v>
      </c>
      <c r="AF44" s="179">
        <f t="shared" si="23"/>
        <v>0.50200516662181238</v>
      </c>
      <c r="AG44" s="837">
        <f t="shared" si="24"/>
        <v>3</v>
      </c>
      <c r="AH44" s="178">
        <f t="shared" si="16"/>
        <v>9</v>
      </c>
      <c r="AI44" s="227">
        <f t="shared" si="17"/>
        <v>3.5020051666218124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46418</v>
      </c>
      <c r="B45" s="1139">
        <f>IF(t&gt;Tmaj,'2026'!Wh/'2026'!Env_an*'2027'!Env_an,0.001*'[3]mon-tableau (2)'!$B$238)</f>
        <v>10.598527376501952</v>
      </c>
      <c r="C45" s="866"/>
      <c r="D45" s="395">
        <f t="shared" si="0"/>
        <v>11.392711303956769</v>
      </c>
      <c r="E45" s="387">
        <f t="shared" si="1"/>
        <v>12.46208781477899</v>
      </c>
      <c r="F45" s="387">
        <f t="shared" si="2"/>
        <v>12.519033161086762</v>
      </c>
      <c r="G45" s="110">
        <f t="shared" si="21"/>
        <v>0.47228204253030925</v>
      </c>
      <c r="H45" s="414" t="b">
        <f>Wh_hp&gt;='2026'!Maxi_hp</f>
        <v>0</v>
      </c>
      <c r="I45" s="392">
        <f>IF(H45,Wh_hp,'2026'!Maxi_hp)</f>
        <v>19.380623642476806</v>
      </c>
      <c r="J45" s="85">
        <f>IF(H45,An,'2026'!An_max)</f>
        <v>2020</v>
      </c>
      <c r="K45" s="199">
        <f t="shared" si="3"/>
        <v>46418</v>
      </c>
      <c r="L45" s="147">
        <f>IF(t&lt;Tvie,1-EXP((T0-t)*PertePVj)+'2026'!Pspv,1-EXP((T0-t)*PertePVj)+Pspv)</f>
        <v>6.9709826420247367E-2</v>
      </c>
      <c r="M45" s="870"/>
      <c r="N45" s="870"/>
      <c r="O45" s="48">
        <f>IF(t&lt;Tnet,'2026'!Resal+('2026'!Salim-'2026'!Resal)*(1-EXP(('2026'!Tnet-t)/('2026'!Tau_j))),Resal+(Salim-Resal)*(1-EXP((Tnet-t)/(Tau_j))))*Salcycl</f>
        <v>8.5810381592242468E-2</v>
      </c>
      <c r="P45" s="171">
        <f>(INDEX(Models!$BJ45:$BT45,,T45)*(1-R45)+INDEX(Models!$BJ45:$BT45,,T45+1)*R45-ERP_i)*Q45*Ramure*Pc/MaxiM</f>
        <v>1.7821636206101256E-2</v>
      </c>
      <c r="Q45" s="307">
        <f t="shared" si="4"/>
        <v>1</v>
      </c>
      <c r="R45" s="179">
        <f t="shared" si="5"/>
        <v>0.56715638273224411</v>
      </c>
      <c r="S45" s="837">
        <f t="shared" si="6"/>
        <v>-2</v>
      </c>
      <c r="T45" s="178">
        <f t="shared" si="7"/>
        <v>4</v>
      </c>
      <c r="U45" s="253">
        <f t="shared" si="8"/>
        <v>-1.4328436172677559</v>
      </c>
      <c r="V45" s="385">
        <f t="shared" si="9"/>
        <v>22.141877243137582</v>
      </c>
      <c r="W45" s="404">
        <f t="shared" si="10"/>
        <v>10.598527376501952</v>
      </c>
      <c r="X45" s="157">
        <f t="shared" si="11"/>
        <v>46418</v>
      </c>
      <c r="Y45" s="387">
        <f t="shared" si="12"/>
        <v>9.6409576648807924</v>
      </c>
      <c r="Z45" s="387">
        <f t="shared" si="22"/>
        <v>10.363387616771687</v>
      </c>
      <c r="AA45" s="388">
        <f t="shared" si="13"/>
        <v>11.908790358104216</v>
      </c>
      <c r="AB45" s="199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0.12976991741909752</v>
      </c>
      <c r="AD45" s="233">
        <f>(INDEX(Models!$BJ45:$BT45,,AH45)*(1-AF45)+INDEX(Models!$BJ45:$BT45,,AH45+1)*AF45-ERP_i)*AE45*Ramure*Pc/MaxiM</f>
        <v>0.19098180865153719</v>
      </c>
      <c r="AE45" s="307">
        <f t="shared" si="15"/>
        <v>1</v>
      </c>
      <c r="AF45" s="179">
        <f t="shared" si="23"/>
        <v>0.50213897565581433</v>
      </c>
      <c r="AG45" s="837">
        <f t="shared" si="24"/>
        <v>3</v>
      </c>
      <c r="AH45" s="178">
        <f t="shared" si="16"/>
        <v>9</v>
      </c>
      <c r="AI45" s="227">
        <f t="shared" si="17"/>
        <v>3.5021389756558143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46419</v>
      </c>
      <c r="B46" s="1139">
        <f>IF(t&gt;Tmaj,'2026'!Wh/'2026'!Env_an*'2027'!Env_an,0.001*'[4]mon-tableau'!$B$190)</f>
        <v>10.410108487728431</v>
      </c>
      <c r="C46" s="866"/>
      <c r="D46" s="395">
        <f t="shared" si="0"/>
        <v>11.190433960771598</v>
      </c>
      <c r="E46" s="387">
        <f t="shared" si="1"/>
        <v>12.243068989609664</v>
      </c>
      <c r="F46" s="387">
        <f t="shared" si="2"/>
        <v>12.292571334125146</v>
      </c>
      <c r="G46" s="110">
        <f t="shared" si="21"/>
        <v>0.45790210586973568</v>
      </c>
      <c r="H46" s="414" t="b">
        <f>Wh_hp&gt;='2026'!Maxi_hp</f>
        <v>0</v>
      </c>
      <c r="I46" s="392">
        <f>IF(H46,Wh_hp,'2026'!Maxi_hp)</f>
        <v>21.672609398761253</v>
      </c>
      <c r="J46" s="85">
        <f>IF(H46,An,'2026'!An_max)</f>
        <v>2019</v>
      </c>
      <c r="K46" s="199">
        <f t="shared" si="3"/>
        <v>46419</v>
      </c>
      <c r="L46" s="147">
        <f>IF(t&lt;Tvie,1-EXP((T0-t)*PertePVj)+'2026'!Pspv,1-EXP((T0-t)*PertePVj)+Pspv)</f>
        <v>6.973147563165305E-2</v>
      </c>
      <c r="M46" s="870"/>
      <c r="N46" s="870"/>
      <c r="O46" s="48">
        <f>IF(t&lt;Tnet,'2026'!Resal+('2026'!Salim-'2026'!Resal)*(1-EXP(('2026'!Tnet-t)/('2026'!Tau_j))),Resal+(Salim-Resal)*(1-EXP((Tnet-t)/(Tau_j))))*Salcycl</f>
        <v>8.5978036204109265E-2</v>
      </c>
      <c r="P46" s="171">
        <f>(INDEX(Models!$BJ46:$BT46,,T46)*(1-R46)+INDEX(Models!$BJ46:$BT46,,T46+1)*R46-ERP_i)*Q46*Ramure*Pc/MaxiM</f>
        <v>1.7185058779155583E-2</v>
      </c>
      <c r="Q46" s="307">
        <f t="shared" si="4"/>
        <v>1</v>
      </c>
      <c r="R46" s="179">
        <f t="shared" si="5"/>
        <v>0.56729575075886074</v>
      </c>
      <c r="S46" s="837">
        <f t="shared" si="6"/>
        <v>-2</v>
      </c>
      <c r="T46" s="178">
        <f t="shared" si="7"/>
        <v>4</v>
      </c>
      <c r="U46" s="253">
        <f t="shared" si="8"/>
        <v>-1.4327042492411393</v>
      </c>
      <c r="V46" s="385">
        <f t="shared" si="9"/>
        <v>22.43400463714832</v>
      </c>
      <c r="W46" s="404">
        <f t="shared" si="10"/>
        <v>10.410108487728431</v>
      </c>
      <c r="X46" s="157">
        <f t="shared" si="11"/>
        <v>46419</v>
      </c>
      <c r="Y46" s="387">
        <f t="shared" si="12"/>
        <v>9.515001802207502</v>
      </c>
      <c r="Z46" s="387">
        <f t="shared" si="22"/>
        <v>10.22823147614093</v>
      </c>
      <c r="AA46" s="388">
        <f t="shared" si="13"/>
        <v>11.754613816514571</v>
      </c>
      <c r="AB46" s="199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0.1298538909231674</v>
      </c>
      <c r="AD46" s="233">
        <f>(INDEX(Models!$BJ46:$BT46,,AH46)*(1-AF46)+INDEX(Models!$BJ46:$BT46,,AH46+1)*AF46-ERP_i)*AE46*Ramure*Pc/MaxiM</f>
        <v>0.18675542848147519</v>
      </c>
      <c r="AE46" s="307">
        <f t="shared" si="15"/>
        <v>1</v>
      </c>
      <c r="AF46" s="179">
        <f t="shared" si="23"/>
        <v>0.50227834368243141</v>
      </c>
      <c r="AG46" s="837">
        <f t="shared" si="24"/>
        <v>3</v>
      </c>
      <c r="AH46" s="178">
        <f t="shared" si="16"/>
        <v>9</v>
      </c>
      <c r="AI46" s="227">
        <f t="shared" si="17"/>
        <v>3.5022783436824314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46420</v>
      </c>
      <c r="B47" s="1139">
        <f>IF(t&gt;Tmaj,'2026'!Wh/'2026'!Env_an*'2027'!Env_an,0.001*'[4]mon-tableau'!$B$191)</f>
        <v>5.4334462921721514</v>
      </c>
      <c r="C47" s="866"/>
      <c r="D47" s="395">
        <f t="shared" si="0"/>
        <v>5.8408648653754414</v>
      </c>
      <c r="E47" s="387">
        <f t="shared" si="1"/>
        <v>6.3914612977952263</v>
      </c>
      <c r="F47" s="387">
        <f t="shared" si="2"/>
        <v>6.3914612977952263</v>
      </c>
      <c r="G47" s="110">
        <f t="shared" si="21"/>
        <v>0.23509464989035045</v>
      </c>
      <c r="H47" s="414" t="b">
        <f>Wh_hp&gt;='2026'!Maxi_hp</f>
        <v>0</v>
      </c>
      <c r="I47" s="392">
        <f>IF(H47,Wh_hp,'2026'!Maxi_hp)</f>
        <v>24.150188849551444</v>
      </c>
      <c r="J47" s="85">
        <f>IF(H47,An,'2026'!An_max)</f>
        <v>2021</v>
      </c>
      <c r="K47" s="199">
        <f t="shared" si="3"/>
        <v>46420</v>
      </c>
      <c r="L47" s="147">
        <f>IF(t&lt;Tvie,1-EXP((T0-t)*PertePVj)+'2026'!Pspv,1-EXP((T0-t)*PertePVj)+Pspv)</f>
        <v>6.9753124339249961E-2</v>
      </c>
      <c r="M47" s="870"/>
      <c r="N47" s="870"/>
      <c r="O47" s="48">
        <f>IF(t&lt;Tnet,'2026'!Resal+('2026'!Salim-'2026'!Resal)*(1-EXP(('2026'!Tnet-t)/('2026'!Tau_j))),Resal+(Salim-Resal)*(1-EXP((Tnet-t)/(Tau_j))))*Salcycl</f>
        <v>8.6145625666186387E-2</v>
      </c>
      <c r="P47" s="171">
        <f>(INDEX(Models!$BJ47:$BT47,,T47)*(1-R47)+INDEX(Models!$BJ47:$BT47,,T47+1)*R47-ERP_i)*Q47*Ramure*Pc/MaxiM</f>
        <v>1.6522686599844481E-2</v>
      </c>
      <c r="Q47" s="307">
        <f t="shared" si="4"/>
        <v>1</v>
      </c>
      <c r="R47" s="179">
        <f t="shared" si="5"/>
        <v>0.5674409063502035</v>
      </c>
      <c r="S47" s="837">
        <f t="shared" si="6"/>
        <v>-2</v>
      </c>
      <c r="T47" s="178">
        <f t="shared" si="7"/>
        <v>4</v>
      </c>
      <c r="U47" s="253">
        <f t="shared" si="8"/>
        <v>-1.4325590936497965</v>
      </c>
      <c r="V47" s="385">
        <f t="shared" si="9"/>
        <v>22.729871413159866</v>
      </c>
      <c r="W47" s="404">
        <f t="shared" si="10"/>
        <v>5.4334462921721514</v>
      </c>
      <c r="X47" s="157">
        <f t="shared" si="11"/>
        <v>46420</v>
      </c>
      <c r="Y47" s="387">
        <f t="shared" si="12"/>
        <v>5.1730722198992796</v>
      </c>
      <c r="Z47" s="387">
        <f t="shared" si="22"/>
        <v>5.5609670456832978</v>
      </c>
      <c r="AA47" s="388">
        <f t="shared" si="13"/>
        <v>6.3914612977952263</v>
      </c>
      <c r="AB47" s="199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0.12993808667798915</v>
      </c>
      <c r="AD47" s="233">
        <f>(INDEX(Models!$BJ47:$BT47,,AH47)*(1-AF47)+INDEX(Models!$BJ47:$BT47,,AH47+1)*AF47-ERP_i)*AE47*Ramure*Pc/MaxiM</f>
        <v>0.18256221023135155</v>
      </c>
      <c r="AE47" s="307">
        <f t="shared" si="15"/>
        <v>1</v>
      </c>
      <c r="AF47" s="179">
        <f t="shared" si="23"/>
        <v>0.50242349927377417</v>
      </c>
      <c r="AG47" s="837">
        <f t="shared" si="24"/>
        <v>3</v>
      </c>
      <c r="AH47" s="178">
        <f t="shared" si="16"/>
        <v>9</v>
      </c>
      <c r="AI47" s="227">
        <f t="shared" si="17"/>
        <v>3.5024234992737742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46421</v>
      </c>
      <c r="B48" s="1139">
        <f>IF(t&gt;Tmaj,'2026'!Wh/'2026'!Env_an*'2027'!Env_an,0.001*'[4]mon-tableau'!$B$192)</f>
        <v>12.98039866788138</v>
      </c>
      <c r="C48" s="866"/>
      <c r="D48" s="395">
        <f t="shared" si="0"/>
        <v>13.954038532546784</v>
      </c>
      <c r="E48" s="387">
        <f t="shared" si="1"/>
        <v>15.272232951083165</v>
      </c>
      <c r="F48" s="387">
        <f t="shared" si="2"/>
        <v>15.363870610466741</v>
      </c>
      <c r="G48" s="110">
        <f t="shared" si="21"/>
        <v>0.55805246466335745</v>
      </c>
      <c r="H48" s="414" t="b">
        <f>Wh_hp&gt;='2026'!Maxi_hp</f>
        <v>0</v>
      </c>
      <c r="I48" s="392">
        <f>IF(H48,Wh_hp,'2026'!Maxi_hp)</f>
        <v>22.38607837569748</v>
      </c>
      <c r="J48" s="85">
        <f>IF(H48,An,'2026'!An_max)</f>
        <v>2020</v>
      </c>
      <c r="K48" s="199">
        <f t="shared" si="3"/>
        <v>46421</v>
      </c>
      <c r="L48" s="147">
        <f>IF(t&lt;Tvie,1-EXP((T0-t)*PertePVj)+'2026'!Pspv,1-EXP((T0-t)*PertePVj)+Pspv)</f>
        <v>6.9774772543049868E-2</v>
      </c>
      <c r="M48" s="870"/>
      <c r="N48" s="870"/>
      <c r="O48" s="48">
        <f>IF(t&lt;Tnet,'2026'!Resal+('2026'!Salim-'2026'!Resal)*(1-EXP(('2026'!Tnet-t)/('2026'!Tau_j))),Resal+(Salim-Resal)*(1-EXP((Tnet-t)/(Tau_j))))*Salcycl</f>
        <v>8.6313142469640572E-2</v>
      </c>
      <c r="P48" s="171">
        <f>(INDEX(Models!$BJ48:$BT48,,T48)*(1-R48)+INDEX(Models!$BJ48:$BT48,,T48+1)*R48-ERP_i)*Q48*Ramure*Pc/MaxiM</f>
        <v>1.5835937940992851E-2</v>
      </c>
      <c r="Q48" s="307">
        <f t="shared" si="4"/>
        <v>1</v>
      </c>
      <c r="R48" s="179">
        <f t="shared" si="5"/>
        <v>0.56759208727468979</v>
      </c>
      <c r="S48" s="837">
        <f t="shared" si="6"/>
        <v>-2</v>
      </c>
      <c r="T48" s="178">
        <f t="shared" si="7"/>
        <v>4</v>
      </c>
      <c r="U48" s="253">
        <f t="shared" si="8"/>
        <v>-1.4324079127253102</v>
      </c>
      <c r="V48" s="385">
        <f t="shared" si="9"/>
        <v>23.029186877523053</v>
      </c>
      <c r="W48" s="404">
        <f t="shared" si="10"/>
        <v>12.98039866788138</v>
      </c>
      <c r="X48" s="157">
        <f t="shared" si="11"/>
        <v>46421</v>
      </c>
      <c r="Y48" s="387">
        <f t="shared" si="12"/>
        <v>11.598121894085763</v>
      </c>
      <c r="Z48" s="387">
        <f t="shared" si="22"/>
        <v>12.468079290638796</v>
      </c>
      <c r="AA48" s="388">
        <f t="shared" si="13"/>
        <v>14.331496120075451</v>
      </c>
      <c r="AB48" s="199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0.13002249128940524</v>
      </c>
      <c r="AD48" s="233">
        <f>(INDEX(Models!$BJ48:$BT48,,AH48)*(1-AF48)+INDEX(Models!$BJ48:$BT48,,AH48+1)*AF48-ERP_i)*AE48*Ramure*Pc/MaxiM</f>
        <v>0.17840501898098979</v>
      </c>
      <c r="AE48" s="307">
        <f t="shared" si="15"/>
        <v>1</v>
      </c>
      <c r="AF48" s="179">
        <f t="shared" si="23"/>
        <v>0.50257468019826002</v>
      </c>
      <c r="AG48" s="837">
        <f t="shared" si="24"/>
        <v>3</v>
      </c>
      <c r="AH48" s="178">
        <f t="shared" si="16"/>
        <v>9</v>
      </c>
      <c r="AI48" s="227">
        <f t="shared" si="17"/>
        <v>3.50257468019826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46422</v>
      </c>
      <c r="B49" s="1139">
        <f>IF(t&gt;Tmaj,'2026'!Wh/'2026'!Env_an*'2027'!Env_an,0.001*'[4]mon-tableau'!$B$193)</f>
        <v>10.812583766059712</v>
      </c>
      <c r="C49" s="866"/>
      <c r="D49" s="395">
        <f t="shared" si="0"/>
        <v>11.623889653149975</v>
      </c>
      <c r="E49" s="387">
        <f t="shared" si="1"/>
        <v>12.724293938488035</v>
      </c>
      <c r="F49" s="387">
        <f t="shared" si="2"/>
        <v>12.769389227427236</v>
      </c>
      <c r="G49" s="110">
        <f t="shared" si="21"/>
        <v>0.45803733046393025</v>
      </c>
      <c r="H49" s="414" t="b">
        <f>Wh_hp&gt;='2026'!Maxi_hp</f>
        <v>0</v>
      </c>
      <c r="I49" s="392">
        <f>IF(H49,Wh_hp,'2026'!Maxi_hp)</f>
        <v>23.379370808970474</v>
      </c>
      <c r="J49" s="85">
        <f>IF(H49,An,'2026'!An_max)</f>
        <v>2019</v>
      </c>
      <c r="K49" s="199">
        <f t="shared" si="3"/>
        <v>46422</v>
      </c>
      <c r="L49" s="147">
        <f>IF(t&lt;Tvie,1-EXP((T0-t)*PertePVj)+'2026'!Pspv,1-EXP((T0-t)*PertePVj)+Pspv)</f>
        <v>6.9796420243064317E-2</v>
      </c>
      <c r="M49" s="870"/>
      <c r="N49" s="870"/>
      <c r="O49" s="48">
        <f>IF(t&lt;Tnet,'2026'!Resal+('2026'!Salim-'2026'!Resal)*(1-EXP(('2026'!Tnet-t)/('2026'!Tau_j))),Resal+(Salim-Resal)*(1-EXP((Tnet-t)/(Tau_j))))*Salcycl</f>
        <v>8.6480577284496082E-2</v>
      </c>
      <c r="P49" s="171">
        <f>(INDEX(Models!$BJ49:$BT49,,T49)*(1-R49)+INDEX(Models!$BJ49:$BT49,,T49+1)*R49-ERP_i)*Q49*Ramure*Pc/MaxiM</f>
        <v>1.5126142601460968E-2</v>
      </c>
      <c r="Q49" s="307">
        <f t="shared" si="4"/>
        <v>1</v>
      </c>
      <c r="R49" s="179">
        <f t="shared" si="5"/>
        <v>0.56774954084980211</v>
      </c>
      <c r="S49" s="837">
        <f t="shared" si="6"/>
        <v>-2</v>
      </c>
      <c r="T49" s="178">
        <f t="shared" si="7"/>
        <v>4</v>
      </c>
      <c r="U49" s="253">
        <f t="shared" si="8"/>
        <v>-1.4322504591501979</v>
      </c>
      <c r="V49" s="385">
        <f t="shared" si="9"/>
        <v>23.331660685538434</v>
      </c>
      <c r="W49" s="404">
        <f t="shared" si="10"/>
        <v>10.812583766059712</v>
      </c>
      <c r="X49" s="157">
        <f t="shared" si="11"/>
        <v>46422</v>
      </c>
      <c r="Y49" s="387">
        <f t="shared" si="12"/>
        <v>9.9122565259717543</v>
      </c>
      <c r="Z49" s="387">
        <f t="shared" si="22"/>
        <v>10.656007718828441</v>
      </c>
      <c r="AA49" s="388">
        <f t="shared" si="13"/>
        <v>12.249792566946876</v>
      </c>
      <c r="AB49" s="199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0.13010708870441454</v>
      </c>
      <c r="AD49" s="233">
        <f>(INDEX(Models!$BJ49:$BT49,,AH49)*(1-AF49)+INDEX(Models!$BJ49:$BT49,,AH49+1)*AF49-ERP_i)*AE49*Ramure*Pc/MaxiM</f>
        <v>0.17428634712298482</v>
      </c>
      <c r="AE49" s="307">
        <f t="shared" si="15"/>
        <v>1</v>
      </c>
      <c r="AF49" s="179">
        <f t="shared" si="23"/>
        <v>0.50273213377337278</v>
      </c>
      <c r="AG49" s="837">
        <f t="shared" si="24"/>
        <v>3</v>
      </c>
      <c r="AH49" s="178">
        <f t="shared" si="16"/>
        <v>9</v>
      </c>
      <c r="AI49" s="227">
        <f t="shared" si="17"/>
        <v>3.5027321337733728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46423</v>
      </c>
      <c r="B50" s="1139">
        <f>IF(t&gt;Tmaj,'2026'!Wh/'2026'!Env_an*'2027'!Env_an,0.001*'[4]mon-tableau'!$B$194)</f>
        <v>9.357669149887796</v>
      </c>
      <c r="C50" s="866"/>
      <c r="D50" s="395">
        <f t="shared" si="0"/>
        <v>10.060041828728172</v>
      </c>
      <c r="E50" s="387">
        <f t="shared" si="1"/>
        <v>11.014418249587814</v>
      </c>
      <c r="F50" s="387">
        <f t="shared" si="2"/>
        <v>11.036180059014896</v>
      </c>
      <c r="G50" s="110">
        <f t="shared" si="21"/>
        <v>0.39096293986513903</v>
      </c>
      <c r="H50" s="414" t="b">
        <f>Wh_hp&gt;='2026'!Maxi_hp</f>
        <v>0</v>
      </c>
      <c r="I50" s="392">
        <f>IF(H50,Wh_hp,'2026'!Maxi_hp)</f>
        <v>27.78824906234189</v>
      </c>
      <c r="J50" s="85">
        <f>IF(H50,An,'2026'!An_max)</f>
        <v>2020</v>
      </c>
      <c r="K50" s="199">
        <f t="shared" si="3"/>
        <v>46423</v>
      </c>
      <c r="L50" s="147">
        <f>IF(t&lt;Tvie,1-EXP((T0-t)*PertePVj)+'2026'!Pspv,1-EXP((T0-t)*PertePVj)+Pspv)</f>
        <v>6.9818067439305298E-2</v>
      </c>
      <c r="M50" s="870"/>
      <c r="N50" s="870"/>
      <c r="O50" s="48">
        <f>IF(t&lt;Tnet,'2026'!Resal+('2026'!Salim-'2026'!Resal)*(1-EXP(('2026'!Tnet-t)/('2026'!Tau_j))),Resal+(Salim-Resal)*(1-EXP((Tnet-t)/(Tau_j))))*Salcycl</f>
        <v>8.664791904877564E-2</v>
      </c>
      <c r="P50" s="171">
        <f>(INDEX(Models!$BJ50:$BT50,,T50)*(1-R50)+INDEX(Models!$BJ50:$BT50,,T50+1)*R50-ERP_i)*Q50*Ramure*Pc/MaxiM</f>
        <v>1.4394542425608713E-2</v>
      </c>
      <c r="Q50" s="307">
        <f t="shared" si="4"/>
        <v>1</v>
      </c>
      <c r="R50" s="179">
        <f t="shared" si="5"/>
        <v>0.56791352430689535</v>
      </c>
      <c r="S50" s="837">
        <f t="shared" si="6"/>
        <v>-2</v>
      </c>
      <c r="T50" s="178">
        <f t="shared" si="7"/>
        <v>4</v>
      </c>
      <c r="U50" s="253">
        <f t="shared" si="8"/>
        <v>-1.4320864756931047</v>
      </c>
      <c r="V50" s="385">
        <f t="shared" si="9"/>
        <v>23.637002859685772</v>
      </c>
      <c r="W50" s="404">
        <f t="shared" si="10"/>
        <v>9.357669149887796</v>
      </c>
      <c r="X50" s="157">
        <f t="shared" si="11"/>
        <v>46423</v>
      </c>
      <c r="Y50" s="387">
        <f t="shared" si="12"/>
        <v>8.7209559934639191</v>
      </c>
      <c r="Z50" s="387">
        <f t="shared" si="22"/>
        <v>9.3755379331611284</v>
      </c>
      <c r="AA50" s="388">
        <f t="shared" si="13"/>
        <v>10.778857435224491</v>
      </c>
      <c r="AB50" s="199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0.13019186036150929</v>
      </c>
      <c r="AD50" s="233">
        <f>(INDEX(Models!$BJ50:$BT50,,AH50)*(1-AF50)+INDEX(Models!$BJ50:$BT50,,AH50+1)*AF50-ERP_i)*AE50*Ramure*Pc/MaxiM</f>
        <v>0.17020833849461323</v>
      </c>
      <c r="AE50" s="307">
        <f t="shared" si="15"/>
        <v>1</v>
      </c>
      <c r="AF50" s="179">
        <f t="shared" si="23"/>
        <v>0.50289611723046557</v>
      </c>
      <c r="AG50" s="837">
        <f t="shared" si="24"/>
        <v>3</v>
      </c>
      <c r="AH50" s="178">
        <f t="shared" si="16"/>
        <v>9</v>
      </c>
      <c r="AI50" s="227">
        <f t="shared" si="17"/>
        <v>3.5028961172304656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46424</v>
      </c>
      <c r="B51" s="1139">
        <f>IF(t&gt;Tmaj,'2026'!Wh/'2026'!Env_an*'2027'!Env_an,0.001*'[4]mon-tableau'!$B$195)</f>
        <v>17.354312363559547</v>
      </c>
      <c r="C51" s="866"/>
      <c r="D51" s="395">
        <f t="shared" si="0"/>
        <v>18.65733532942761</v>
      </c>
      <c r="E51" s="387">
        <f t="shared" si="1"/>
        <v>20.431061064307869</v>
      </c>
      <c r="F51" s="387">
        <f t="shared" si="2"/>
        <v>20.601594004698224</v>
      </c>
      <c r="G51" s="110">
        <f t="shared" si="21"/>
        <v>0.72082382741134809</v>
      </c>
      <c r="H51" s="414" t="b">
        <f>Wh_hp&gt;='2026'!Maxi_hp</f>
        <v>0</v>
      </c>
      <c r="I51" s="392">
        <f>IF(H51,Wh_hp,'2026'!Maxi_hp)</f>
        <v>28.842415345268009</v>
      </c>
      <c r="J51" s="85">
        <f>IF(H51,An,'2026'!An_max)</f>
        <v>2020</v>
      </c>
      <c r="K51" s="199">
        <f t="shared" si="3"/>
        <v>46424</v>
      </c>
      <c r="L51" s="147">
        <f>IF(t&lt;Tvie,1-EXP((T0-t)*PertePVj)+'2026'!Pspv,1-EXP((T0-t)*PertePVj)+Pspv)</f>
        <v>6.9839714131784247E-2</v>
      </c>
      <c r="M51" s="870"/>
      <c r="N51" s="870"/>
      <c r="O51" s="48">
        <f>IF(t&lt;Tnet,'2026'!Resal+('2026'!Salim-'2026'!Resal)*(1-EXP(('2026'!Tnet-t)/('2026'!Tau_j))),Resal+(Salim-Resal)*(1-EXP((Tnet-t)/(Tau_j))))*Salcycl</f>
        <v>8.6815155086530385E-2</v>
      </c>
      <c r="P51" s="171">
        <f>(INDEX(Models!$BJ51:$BT51,,T51)*(1-R51)+INDEX(Models!$BJ51:$BT51,,T51+1)*R51-ERP_i)*Q51*Ramure*Pc/MaxiM</f>
        <v>1.3642004421415216E-2</v>
      </c>
      <c r="Q51" s="307">
        <f t="shared" si="4"/>
        <v>1</v>
      </c>
      <c r="R51" s="179">
        <f t="shared" si="5"/>
        <v>0.56808430516832709</v>
      </c>
      <c r="S51" s="837">
        <f t="shared" si="6"/>
        <v>-2</v>
      </c>
      <c r="T51" s="178">
        <f t="shared" si="7"/>
        <v>4</v>
      </c>
      <c r="U51" s="253">
        <f t="shared" si="8"/>
        <v>-1.4319156948316729</v>
      </c>
      <c r="V51" s="385">
        <f t="shared" si="9"/>
        <v>23.945435929402926</v>
      </c>
      <c r="W51" s="404">
        <f t="shared" si="10"/>
        <v>17.354312363559547</v>
      </c>
      <c r="X51" s="157">
        <f t="shared" si="11"/>
        <v>46424</v>
      </c>
      <c r="Y51" s="387">
        <f t="shared" si="12"/>
        <v>14.985891186396882</v>
      </c>
      <c r="Z51" s="387">
        <f t="shared" si="22"/>
        <v>16.111084738915707</v>
      </c>
      <c r="AA51" s="388">
        <f t="shared" si="13"/>
        <v>18.524381628713456</v>
      </c>
      <c r="AB51" s="199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0.13027678538305712</v>
      </c>
      <c r="AD51" s="233">
        <f>(INDEX(Models!$BJ51:$BT51,,AH51)*(1-AF51)+INDEX(Models!$BJ51:$BT51,,AH51+1)*AF51-ERP_i)*AE51*Ramure*Pc/MaxiM</f>
        <v>0.16616930636707436</v>
      </c>
      <c r="AE51" s="307">
        <f t="shared" si="15"/>
        <v>1</v>
      </c>
      <c r="AF51" s="179">
        <f t="shared" si="23"/>
        <v>0.50306689809189775</v>
      </c>
      <c r="AG51" s="837">
        <f t="shared" si="24"/>
        <v>3</v>
      </c>
      <c r="AH51" s="178">
        <f t="shared" si="16"/>
        <v>9</v>
      </c>
      <c r="AI51" s="227">
        <f t="shared" si="17"/>
        <v>3.5030668980918978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46425</v>
      </c>
      <c r="B52" s="1139">
        <f>IF(t&gt;Tmaj,'2026'!Wh/'2026'!Env_an*'2027'!Env_an,0.001*'[4]mon-tableau'!$B$196)</f>
        <v>12.017390457067524</v>
      </c>
      <c r="C52" s="866"/>
      <c r="D52" s="395">
        <f t="shared" si="0"/>
        <v>12.919999174755876</v>
      </c>
      <c r="E52" s="387">
        <f t="shared" si="1"/>
        <v>14.150874367454788</v>
      </c>
      <c r="F52" s="387">
        <f t="shared" si="2"/>
        <v>14.201936322307995</v>
      </c>
      <c r="G52" s="110">
        <f t="shared" si="21"/>
        <v>0.49079959931908229</v>
      </c>
      <c r="H52" s="414" t="b">
        <f>Wh_hp&gt;='2026'!Maxi_hp</f>
        <v>0</v>
      </c>
      <c r="I52" s="392">
        <f>IF(H52,Wh_hp,'2026'!Maxi_hp)</f>
        <v>20.460774580395299</v>
      </c>
      <c r="J52" s="85">
        <f>IF(H52,An,'2026'!An_max)</f>
        <v>2021</v>
      </c>
      <c r="K52" s="199">
        <f t="shared" si="3"/>
        <v>46425</v>
      </c>
      <c r="L52" s="147">
        <f>IF(t&lt;Tvie,1-EXP((T0-t)*PertePVj)+'2026'!Pspv,1-EXP((T0-t)*PertePVj)+Pspv)</f>
        <v>6.9861360320513155E-2</v>
      </c>
      <c r="M52" s="870"/>
      <c r="N52" s="870"/>
      <c r="O52" s="48">
        <f>IF(t&lt;Tnet,'2026'!Resal+('2026'!Salim-'2026'!Resal)*(1-EXP(('2026'!Tnet-t)/('2026'!Tau_j))),Resal+(Salim-Resal)*(1-EXP((Tnet-t)/(Tau_j))))*Salcycl</f>
        <v>8.698227125312967E-2</v>
      </c>
      <c r="P52" s="171">
        <f>(INDEX(Models!$BJ52:$BT52,,T52)*(1-R52)+INDEX(Models!$BJ52:$BT52,,T52+1)*R52-ERP_i)*Q52*Ramure*Pc/MaxiM</f>
        <v>1.2879199111815913E-2</v>
      </c>
      <c r="Q52" s="307">
        <f t="shared" si="4"/>
        <v>1</v>
      </c>
      <c r="R52" s="179">
        <f t="shared" si="5"/>
        <v>0.56826216163718923</v>
      </c>
      <c r="S52" s="837">
        <f t="shared" si="6"/>
        <v>-2</v>
      </c>
      <c r="T52" s="178">
        <f t="shared" si="7"/>
        <v>4</v>
      </c>
      <c r="U52" s="253">
        <f t="shared" si="8"/>
        <v>-1.4317378383628108</v>
      </c>
      <c r="V52" s="385">
        <f t="shared" si="9"/>
        <v>24.257194020766697</v>
      </c>
      <c r="W52" s="404">
        <f t="shared" si="10"/>
        <v>12.017390457067524</v>
      </c>
      <c r="X52" s="157">
        <f t="shared" si="11"/>
        <v>46425</v>
      </c>
      <c r="Y52" s="387">
        <f t="shared" si="12"/>
        <v>10.967745857436652</v>
      </c>
      <c r="Z52" s="387">
        <f t="shared" si="22"/>
        <v>11.791517295976425</v>
      </c>
      <c r="AA52" s="388">
        <f t="shared" si="13"/>
        <v>13.55910751078083</v>
      </c>
      <c r="AB52" s="199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0.130361840806926</v>
      </c>
      <c r="AD52" s="233">
        <f>(INDEX(Models!$BJ52:$BT52,,AH52)*(1-AF52)+INDEX(Models!$BJ52:$BT52,,AH52+1)*AF52-ERP_i)*AE52*Ramure*Pc/MaxiM</f>
        <v>0.16213872505020685</v>
      </c>
      <c r="AE52" s="307">
        <f t="shared" si="15"/>
        <v>1</v>
      </c>
      <c r="AF52" s="179">
        <f t="shared" si="23"/>
        <v>0.50324475456075968</v>
      </c>
      <c r="AG52" s="837">
        <f t="shared" si="24"/>
        <v>3</v>
      </c>
      <c r="AH52" s="178">
        <f t="shared" si="16"/>
        <v>9</v>
      </c>
      <c r="AI52" s="227">
        <f t="shared" si="17"/>
        <v>3.5032447545607597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46426</v>
      </c>
      <c r="B53" s="1139">
        <f>IF(t&gt;Tmaj,'2026'!Wh/'2026'!Env_an*'2027'!Env_an,0.001*'[4]mon-tableau'!$B$197)</f>
        <v>24.964400471047909</v>
      </c>
      <c r="C53" s="866"/>
      <c r="D53" s="395">
        <f t="shared" si="0"/>
        <v>26.840064886714266</v>
      </c>
      <c r="E53" s="387">
        <f t="shared" si="1"/>
        <v>29.402467981357951</v>
      </c>
      <c r="F53" s="387">
        <f t="shared" si="2"/>
        <v>29.763398061400451</v>
      </c>
      <c r="G53" s="110">
        <f t="shared" si="21"/>
        <v>1.0159745529718149</v>
      </c>
      <c r="H53" s="414" t="b">
        <f>Wh_hp&gt;='2026'!Maxi_hp</f>
        <v>1</v>
      </c>
      <c r="I53" s="392">
        <f>IF(H53,Wh_hp,'2026'!Maxi_hp)</f>
        <v>29.763398061400451</v>
      </c>
      <c r="J53" s="85">
        <f>IF(H53,An,'2026'!An_max)</f>
        <v>2027</v>
      </c>
      <c r="K53" s="199">
        <f t="shared" si="3"/>
        <v>46426</v>
      </c>
      <c r="L53" s="147">
        <f>IF(t&lt;Tvie,1-EXP((T0-t)*PertePVj)+'2026'!Pspv,1-EXP((T0-t)*PertePVj)+Pspv)</f>
        <v>6.9883006005503567E-2</v>
      </c>
      <c r="M53" s="870"/>
      <c r="N53" s="870"/>
      <c r="O53" s="48">
        <f>IF(t&lt;Tnet,'2026'!Resal+('2026'!Salim-'2026'!Resal)*(1-EXP(('2026'!Tnet-t)/('2026'!Tau_j))),Resal+(Salim-Resal)*(1-EXP((Tnet-t)/(Tau_j))))*Salcycl</f>
        <v>8.7149252105922767E-2</v>
      </c>
      <c r="P53" s="171">
        <f>(INDEX(Models!$BJ53:$BT53,,T53)*(1-R53)+INDEX(Models!$BJ53:$BT53,,T53+1)*R53-ERP_i)*Q53*Ramure*Pc/MaxiM</f>
        <v>1.2126642236814466E-2</v>
      </c>
      <c r="Q53" s="307">
        <f t="shared" si="4"/>
        <v>1</v>
      </c>
      <c r="R53" s="179">
        <f t="shared" si="5"/>
        <v>0.56844738299990194</v>
      </c>
      <c r="S53" s="837">
        <f t="shared" si="6"/>
        <v>-2</v>
      </c>
      <c r="T53" s="178">
        <f t="shared" si="7"/>
        <v>4</v>
      </c>
      <c r="U53" s="253">
        <f t="shared" si="8"/>
        <v>-1.4315526170000981</v>
      </c>
      <c r="V53" s="385">
        <f t="shared" si="9"/>
        <v>24.571875740415784</v>
      </c>
      <c r="W53" s="404">
        <f t="shared" si="10"/>
        <v>24.964400471047909</v>
      </c>
      <c r="X53" s="157">
        <f t="shared" si="11"/>
        <v>46426</v>
      </c>
      <c r="Y53" s="387">
        <f t="shared" si="12"/>
        <v>20.265925163526735</v>
      </c>
      <c r="Z53" s="387">
        <f t="shared" si="22"/>
        <v>21.788576377356943</v>
      </c>
      <c r="AA53" s="388">
        <f t="shared" si="13"/>
        <v>25.057214941260586</v>
      </c>
      <c r="AB53" s="199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0.1304470018541975</v>
      </c>
      <c r="AD53" s="233">
        <f>(INDEX(Models!$BJ53:$BT53,,AH53)*(1-AF53)+INDEX(Models!$BJ53:$BT53,,AH53+1)*AF53-ERP_i)*AE53*Ramure*Pc/MaxiM</f>
        <v>0.15811981919642507</v>
      </c>
      <c r="AE53" s="307">
        <f t="shared" si="15"/>
        <v>1</v>
      </c>
      <c r="AF53" s="179">
        <f t="shared" si="23"/>
        <v>0.50342997592347238</v>
      </c>
      <c r="AG53" s="837">
        <f t="shared" si="24"/>
        <v>3</v>
      </c>
      <c r="AH53" s="178">
        <f t="shared" si="16"/>
        <v>9</v>
      </c>
      <c r="AI53" s="227">
        <f t="shared" si="17"/>
        <v>3.5034299759234724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46427</v>
      </c>
      <c r="B54" s="1139">
        <f>IF(t&gt;Tmaj,'2026'!Wh/'2026'!Env_an*'2027'!Env_an,0.001*'[4]mon-tableau'!$B$198)</f>
        <v>24.979518563947885</v>
      </c>
      <c r="C54" s="866"/>
      <c r="D54" s="395">
        <f t="shared" si="0"/>
        <v>26.856943856154995</v>
      </c>
      <c r="E54" s="387">
        <f t="shared" si="1"/>
        <v>29.426336215575652</v>
      </c>
      <c r="F54" s="387">
        <f t="shared" si="2"/>
        <v>29.76518784171283</v>
      </c>
      <c r="G54" s="110">
        <f t="shared" si="21"/>
        <v>1.0036136555808277</v>
      </c>
      <c r="H54" s="414" t="b">
        <f>Wh_hp&gt;='2026'!Maxi_hp</f>
        <v>1</v>
      </c>
      <c r="I54" s="392">
        <f>IF(H54,Wh_hp,'2026'!Maxi_hp)</f>
        <v>29.76518784171283</v>
      </c>
      <c r="J54" s="85">
        <f>IF(H54,An,'2026'!An_max)</f>
        <v>2027</v>
      </c>
      <c r="K54" s="199">
        <f t="shared" si="3"/>
        <v>46427</v>
      </c>
      <c r="L54" s="147">
        <f>IF(t&lt;Tvie,1-EXP((T0-t)*PertePVj)+'2026'!Pspv,1-EXP((T0-t)*PertePVj)+Pspv)</f>
        <v>6.9904651186767364E-2</v>
      </c>
      <c r="M54" s="870"/>
      <c r="N54" s="870"/>
      <c r="O54" s="48">
        <f>IF(t&lt;Tnet,'2026'!Resal+('2026'!Salim-'2026'!Resal)*(1-EXP(('2026'!Tnet-t)/('2026'!Tau_j))),Resal+(Salim-Resal)*(1-EXP((Tnet-t)/(Tau_j))))*Salcycl</f>
        <v>8.7316081098150852E-2</v>
      </c>
      <c r="P54" s="171">
        <f>(INDEX(Models!$BJ54:$BT54,,T54)*(1-R54)+INDEX(Models!$BJ54:$BT54,,T54+1)*R54-ERP_i)*Q54*Ramure*Pc/MaxiM</f>
        <v>1.1384158834781917E-2</v>
      </c>
      <c r="Q54" s="307">
        <f t="shared" si="4"/>
        <v>1</v>
      </c>
      <c r="R54" s="179">
        <f t="shared" si="5"/>
        <v>0.56864027004192952</v>
      </c>
      <c r="S54" s="837">
        <f t="shared" si="6"/>
        <v>-2</v>
      </c>
      <c r="T54" s="178">
        <f t="shared" si="7"/>
        <v>4</v>
      </c>
      <c r="U54" s="253">
        <f t="shared" si="8"/>
        <v>-1.4313597299580705</v>
      </c>
      <c r="V54" s="385">
        <f t="shared" si="9"/>
        <v>24.889576207979484</v>
      </c>
      <c r="W54" s="404">
        <f t="shared" si="10"/>
        <v>24.979518563947885</v>
      </c>
      <c r="X54" s="157">
        <f t="shared" si="11"/>
        <v>46427</v>
      </c>
      <c r="Y54" s="387">
        <f t="shared" si="12"/>
        <v>20.36112832005027</v>
      </c>
      <c r="Z54" s="387">
        <f t="shared" si="22"/>
        <v>21.891441932303305</v>
      </c>
      <c r="AA54" s="388">
        <f t="shared" si="13"/>
        <v>25.177980134004716</v>
      </c>
      <c r="AB54" s="199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0.13053224222949872</v>
      </c>
      <c r="AD54" s="233">
        <f>(INDEX(Models!$BJ54:$BT54,,AH54)*(1-AF54)+INDEX(Models!$BJ54:$BT54,,AH54+1)*AF54-ERP_i)*AE54*Ramure*Pc/MaxiM</f>
        <v>0.15411317852594281</v>
      </c>
      <c r="AE54" s="307">
        <f t="shared" si="15"/>
        <v>1</v>
      </c>
      <c r="AF54" s="179">
        <f t="shared" si="23"/>
        <v>0.50362286296549996</v>
      </c>
      <c r="AG54" s="837">
        <f t="shared" si="24"/>
        <v>3</v>
      </c>
      <c r="AH54" s="178">
        <f t="shared" si="16"/>
        <v>9</v>
      </c>
      <c r="AI54" s="227">
        <f t="shared" si="17"/>
        <v>3.5036228629655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46428</v>
      </c>
      <c r="B55" s="1139">
        <f>IF(t&gt;Tmaj,'2026'!Wh/'2026'!Env_an*'2027'!Env_an,0.001*'[4]mon-tableau'!$B$199)</f>
        <v>24.217839672013341</v>
      </c>
      <c r="C55" s="866"/>
      <c r="D55" s="395">
        <f t="shared" si="0"/>
        <v>26.038624212603604</v>
      </c>
      <c r="E55" s="387">
        <f t="shared" si="1"/>
        <v>28.534938873653839</v>
      </c>
      <c r="F55" s="387">
        <f t="shared" si="2"/>
        <v>28.824699000737983</v>
      </c>
      <c r="G55" s="110">
        <f t="shared" si="21"/>
        <v>0.96004794585774345</v>
      </c>
      <c r="H55" s="414" t="b">
        <f>Wh_hp&gt;='2026'!Maxi_hp</f>
        <v>0</v>
      </c>
      <c r="I55" s="392">
        <f>IF(H55,Wh_hp,'2026'!Maxi_hp)</f>
        <v>28.837766128629362</v>
      </c>
      <c r="J55" s="85">
        <f>IF(H55,An,'2026'!An_max)</f>
        <v>2026</v>
      </c>
      <c r="K55" s="199">
        <f t="shared" si="3"/>
        <v>46428</v>
      </c>
      <c r="L55" s="147">
        <f>IF(t&lt;Tvie,1-EXP((T0-t)*PertePVj)+'2026'!Pspv,1-EXP((T0-t)*PertePVj)+Pspv)</f>
        <v>6.992629586431609E-2</v>
      </c>
      <c r="M55" s="870"/>
      <c r="N55" s="870"/>
      <c r="O55" s="48">
        <f>IF(t&lt;Tnet,'2026'!Resal+('2026'!Salim-'2026'!Resal)*(1-EXP(('2026'!Tnet-t)/('2026'!Tau_j))),Resal+(Salim-Resal)*(1-EXP((Tnet-t)/(Tau_j))))*Salcycl</f>
        <v>8.7482740793780669E-2</v>
      </c>
      <c r="P55" s="171">
        <f>(INDEX(Models!$BJ55:$BT55,,T55)*(1-R55)+INDEX(Models!$BJ55:$BT55,,T55+1)*R55-ERP_i)*Q55*Ramure*Pc/MaxiM</f>
        <v>1.0651580599700013E-2</v>
      </c>
      <c r="Q55" s="307">
        <f t="shared" si="4"/>
        <v>1</v>
      </c>
      <c r="R55" s="179">
        <f t="shared" si="5"/>
        <v>0.568841135476857</v>
      </c>
      <c r="S55" s="837">
        <f t="shared" si="6"/>
        <v>-2</v>
      </c>
      <c r="T55" s="178">
        <f t="shared" si="7"/>
        <v>4</v>
      </c>
      <c r="U55" s="253">
        <f t="shared" si="8"/>
        <v>-1.431158864523143</v>
      </c>
      <c r="V55" s="385">
        <f t="shared" si="9"/>
        <v>25.210390664403814</v>
      </c>
      <c r="W55" s="404">
        <f t="shared" si="10"/>
        <v>24.217839672013341</v>
      </c>
      <c r="X55" s="157">
        <f t="shared" si="11"/>
        <v>46428</v>
      </c>
      <c r="Y55" s="387">
        <f t="shared" si="12"/>
        <v>20.005261114582083</v>
      </c>
      <c r="Z55" s="387">
        <f t="shared" si="22"/>
        <v>21.50932880440152</v>
      </c>
      <c r="AA55" s="388">
        <f t="shared" si="13"/>
        <v>24.740927792694002</v>
      </c>
      <c r="AB55" s="199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0.13061753445021462</v>
      </c>
      <c r="AD55" s="233">
        <f>(INDEX(Models!$BJ55:$BT55,,AH55)*(1-AF55)+INDEX(Models!$BJ55:$BT55,,AH55+1)*AF55-ERP_i)*AE55*Ramure*Pc/MaxiM</f>
        <v>0.15011940604437596</v>
      </c>
      <c r="AE55" s="307">
        <f t="shared" si="15"/>
        <v>1</v>
      </c>
      <c r="AF55" s="179">
        <f t="shared" si="23"/>
        <v>0.50382372840042766</v>
      </c>
      <c r="AG55" s="837">
        <f t="shared" si="24"/>
        <v>3</v>
      </c>
      <c r="AH55" s="178">
        <f t="shared" si="16"/>
        <v>9</v>
      </c>
      <c r="AI55" s="227">
        <f t="shared" si="17"/>
        <v>3.5038237284004277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46429</v>
      </c>
      <c r="B56" s="1139">
        <f>IF(t&gt;Tmaj,'2026'!Wh/'2026'!Env_an*'2027'!Env_an,0.001*'[4]mon-tableau'!$B$200)</f>
        <v>12.759768959739047</v>
      </c>
      <c r="C56" s="866"/>
      <c r="D56" s="395">
        <f t="shared" si="0"/>
        <v>13.719413685576484</v>
      </c>
      <c r="E56" s="387">
        <f t="shared" si="1"/>
        <v>15.037432841159534</v>
      </c>
      <c r="F56" s="387">
        <f t="shared" si="2"/>
        <v>15.080149664157867</v>
      </c>
      <c r="G56" s="110">
        <f t="shared" si="21"/>
        <v>0.49615264370066525</v>
      </c>
      <c r="H56" s="414" t="b">
        <f>Wh_hp&gt;='2026'!Maxi_hp</f>
        <v>0</v>
      </c>
      <c r="I56" s="392">
        <f>IF(H56,Wh_hp,'2026'!Maxi_hp)</f>
        <v>26.884629340458861</v>
      </c>
      <c r="J56" s="85">
        <f>IF(H56,An,'2026'!An_max)</f>
        <v>2021</v>
      </c>
      <c r="K56" s="199">
        <f t="shared" si="3"/>
        <v>46429</v>
      </c>
      <c r="L56" s="147">
        <f>IF(t&lt;Tvie,1-EXP((T0-t)*PertePVj)+'2026'!Pspv,1-EXP((T0-t)*PertePVj)+Pspv)</f>
        <v>6.9947940038161516E-2</v>
      </c>
      <c r="M56" s="870"/>
      <c r="N56" s="870"/>
      <c r="O56" s="48">
        <f>IF(t&lt;Tnet,'2026'!Resal+('2026'!Salim-'2026'!Resal)*(1-EXP(('2026'!Tnet-t)/('2026'!Tau_j))),Resal+(Salim-Resal)*(1-EXP((Tnet-t)/(Tau_j))))*Salcycl</f>
        <v>8.7649213100752799E-2</v>
      </c>
      <c r="P56" s="171">
        <f>(INDEX(Models!$BJ56:$BT56,,T56)*(1-R56)+INDEX(Models!$BJ56:$BT56,,T56+1)*R56-ERP_i)*Q56*Ramure*Pc/MaxiM</f>
        <v>9.928745019165592E-3</v>
      </c>
      <c r="Q56" s="307">
        <f t="shared" si="4"/>
        <v>1</v>
      </c>
      <c r="R56" s="179">
        <f t="shared" si="5"/>
        <v>0.56905030438906268</v>
      </c>
      <c r="S56" s="837">
        <f t="shared" si="6"/>
        <v>-2</v>
      </c>
      <c r="T56" s="178">
        <f t="shared" si="7"/>
        <v>4</v>
      </c>
      <c r="U56" s="253">
        <f t="shared" si="8"/>
        <v>-1.4309496956109373</v>
      </c>
      <c r="V56" s="385">
        <f t="shared" si="9"/>
        <v>25.534414477657815</v>
      </c>
      <c r="W56" s="404">
        <f t="shared" si="10"/>
        <v>12.759768959739047</v>
      </c>
      <c r="X56" s="157">
        <f t="shared" si="11"/>
        <v>46429</v>
      </c>
      <c r="Y56" s="387">
        <f t="shared" si="12"/>
        <v>11.683843427134958</v>
      </c>
      <c r="Z56" s="387">
        <f t="shared" si="22"/>
        <v>12.562569269094856</v>
      </c>
      <c r="AA56" s="388">
        <f t="shared" si="13"/>
        <v>14.451409707249143</v>
      </c>
      <c r="AB56" s="199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0.13070285020061409</v>
      </c>
      <c r="AD56" s="233">
        <f>(INDEX(Models!$BJ56:$BT56,,AH56)*(1-AF56)+INDEX(Models!$BJ56:$BT56,,AH56+1)*AF56-ERP_i)*AE56*Ramure*Pc/MaxiM</f>
        <v>0.14613911516199415</v>
      </c>
      <c r="AE56" s="307">
        <f t="shared" si="15"/>
        <v>1</v>
      </c>
      <c r="AF56" s="179">
        <f t="shared" si="23"/>
        <v>0.50403289731263312</v>
      </c>
      <c r="AG56" s="837">
        <f t="shared" si="24"/>
        <v>3</v>
      </c>
      <c r="AH56" s="178">
        <f t="shared" si="16"/>
        <v>9</v>
      </c>
      <c r="AI56" s="227">
        <f t="shared" si="17"/>
        <v>3.5040328973126331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46430</v>
      </c>
      <c r="B57" s="1139">
        <f>IF(t&gt;Tmaj,'2026'!Wh/'2026'!Env_an*'2027'!Env_an,0.001*'[4]mon-tableau'!$B$201)</f>
        <v>21.794929665227407</v>
      </c>
      <c r="C57" s="866"/>
      <c r="D57" s="395">
        <f t="shared" si="0"/>
        <v>23.434641796050553</v>
      </c>
      <c r="E57" s="387">
        <f t="shared" si="1"/>
        <v>25.690681292989595</v>
      </c>
      <c r="F57" s="387">
        <f t="shared" si="2"/>
        <v>25.875569269867231</v>
      </c>
      <c r="G57" s="110">
        <f t="shared" si="21"/>
        <v>0.84099066586267623</v>
      </c>
      <c r="H57" s="414" t="b">
        <f>Wh_hp&gt;='2026'!Maxi_hp</f>
        <v>0</v>
      </c>
      <c r="I57" s="392">
        <f>IF(H57,Wh_hp,'2026'!Maxi_hp)</f>
        <v>30.634138699782948</v>
      </c>
      <c r="J57" s="85">
        <f>IF(H57,An,'2026'!An_max)</f>
        <v>2019</v>
      </c>
      <c r="K57" s="199">
        <f t="shared" si="3"/>
        <v>46430</v>
      </c>
      <c r="L57" s="147">
        <f>IF(t&lt;Tvie,1-EXP((T0-t)*PertePVj)+'2026'!Pspv,1-EXP((T0-t)*PertePVj)+Pspv)</f>
        <v>6.9969583708315408E-2</v>
      </c>
      <c r="M57" s="870"/>
      <c r="N57" s="870"/>
      <c r="O57" s="48">
        <f>IF(t&lt;Tnet,'2026'!Resal+('2026'!Salim-'2026'!Resal)*(1-EXP(('2026'!Tnet-t)/('2026'!Tau_j))),Resal+(Salim-Resal)*(1-EXP((Tnet-t)/(Tau_j))))*Salcycl</f>
        <v>8.7815479519987014E-2</v>
      </c>
      <c r="P57" s="171">
        <f>(INDEX(Models!$BJ57:$BT57,,T57)*(1-R57)+INDEX(Models!$BJ57:$BT57,,T57+1)*R57-ERP_i)*Q57*Ramure*Pc/MaxiM</f>
        <v>9.2154945634765392E-3</v>
      </c>
      <c r="Q57" s="307">
        <f t="shared" si="4"/>
        <v>1</v>
      </c>
      <c r="R57" s="179">
        <f t="shared" si="5"/>
        <v>0.56926811469019478</v>
      </c>
      <c r="S57" s="837">
        <f t="shared" si="6"/>
        <v>-2</v>
      </c>
      <c r="T57" s="178">
        <f t="shared" si="7"/>
        <v>4</v>
      </c>
      <c r="U57" s="253">
        <f t="shared" si="8"/>
        <v>-1.4307318853098052</v>
      </c>
      <c r="V57" s="385">
        <f t="shared" si="9"/>
        <v>25.861743146945646</v>
      </c>
      <c r="W57" s="404">
        <f t="shared" si="10"/>
        <v>21.794929665227407</v>
      </c>
      <c r="X57" s="157">
        <f t="shared" si="11"/>
        <v>46430</v>
      </c>
      <c r="Y57" s="387">
        <f t="shared" si="12"/>
        <v>18.611797791777974</v>
      </c>
      <c r="Z57" s="387">
        <f t="shared" si="22"/>
        <v>20.012031290319406</v>
      </c>
      <c r="AA57" s="388">
        <f t="shared" si="13"/>
        <v>23.023192259542785</v>
      </c>
      <c r="AB57" s="199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0.13078816070674548</v>
      </c>
      <c r="AD57" s="233">
        <f>(INDEX(Models!$BJ57:$BT57,,AH57)*(1-AF57)+INDEX(Models!$BJ57:$BT57,,AH57+1)*AF57-ERP_i)*AE57*Ramure*Pc/MaxiM</f>
        <v>0.14217292695580497</v>
      </c>
      <c r="AE57" s="307">
        <f t="shared" si="15"/>
        <v>1</v>
      </c>
      <c r="AF57" s="179">
        <f t="shared" si="23"/>
        <v>0.50425070761376523</v>
      </c>
      <c r="AG57" s="837">
        <f t="shared" si="24"/>
        <v>3</v>
      </c>
      <c r="AH57" s="178">
        <f t="shared" si="16"/>
        <v>9</v>
      </c>
      <c r="AI57" s="227">
        <f t="shared" si="17"/>
        <v>3.5042507076137652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46431</v>
      </c>
      <c r="B58" s="1139">
        <f>IF(t&gt;Tmaj,'2026'!Wh/'2026'!Env_an*'2027'!Env_an,0.001*'[4]mon-tableau'!$B$202)</f>
        <v>25.380396247995304</v>
      </c>
      <c r="C58" s="866"/>
      <c r="D58" s="395">
        <f t="shared" si="0"/>
        <v>27.290491209783728</v>
      </c>
      <c r="E58" s="387">
        <f t="shared" si="1"/>
        <v>29.923177929351507</v>
      </c>
      <c r="F58" s="387">
        <f t="shared" si="2"/>
        <v>30.169386019184678</v>
      </c>
      <c r="G58" s="110">
        <f t="shared" si="21"/>
        <v>0.9686530851572297</v>
      </c>
      <c r="H58" s="414" t="b">
        <f>Wh_hp&gt;='2026'!Maxi_hp</f>
        <v>0</v>
      </c>
      <c r="I58" s="392">
        <f>IF(H58,Wh_hp,'2026'!Maxi_hp)</f>
        <v>31.578425450237262</v>
      </c>
      <c r="J58" s="85">
        <f>IF(H58,An,'2026'!An_max)</f>
        <v>2019</v>
      </c>
      <c r="K58" s="199">
        <f t="shared" si="3"/>
        <v>46431</v>
      </c>
      <c r="L58" s="147">
        <f>IF(t&lt;Tvie,1-EXP((T0-t)*PertePVj)+'2026'!Pspv,1-EXP((T0-t)*PertePVj)+Pspv)</f>
        <v>6.9991226874789536E-2</v>
      </c>
      <c r="M58" s="870"/>
      <c r="N58" s="870"/>
      <c r="O58" s="48">
        <f>IF(t&lt;Tnet,'2026'!Resal+('2026'!Salim-'2026'!Resal)*(1-EXP(('2026'!Tnet-t)/('2026'!Tau_j))),Resal+(Salim-Resal)*(1-EXP((Tnet-t)/(Tau_j))))*Salcycl</f>
        <v>8.7981521407369964E-2</v>
      </c>
      <c r="P58" s="171">
        <f>(INDEX(Models!$BJ58:$BT58,,T58)*(1-R58)+INDEX(Models!$BJ58:$BT58,,T58+1)*R58-ERP_i)*Q58*Ramure*Pc/MaxiM</f>
        <v>8.5387306836254839E-3</v>
      </c>
      <c r="Q58" s="307">
        <f t="shared" si="4"/>
        <v>1</v>
      </c>
      <c r="R58" s="179">
        <f t="shared" si="5"/>
        <v>0.56949491758964954</v>
      </c>
      <c r="S58" s="837">
        <f t="shared" si="6"/>
        <v>-2</v>
      </c>
      <c r="T58" s="178">
        <f t="shared" si="7"/>
        <v>4</v>
      </c>
      <c r="U58" s="253">
        <f t="shared" si="8"/>
        <v>-1.4305050824103505</v>
      </c>
      <c r="V58" s="385">
        <f t="shared" si="9"/>
        <v>26.191757585360687</v>
      </c>
      <c r="W58" s="404">
        <f t="shared" si="10"/>
        <v>25.380396247995304</v>
      </c>
      <c r="X58" s="157">
        <f t="shared" si="11"/>
        <v>46431</v>
      </c>
      <c r="Y58" s="387">
        <f t="shared" si="12"/>
        <v>21.163266078313395</v>
      </c>
      <c r="Z58" s="387">
        <f t="shared" si="22"/>
        <v>22.755985416348441</v>
      </c>
      <c r="AA58" s="388">
        <f t="shared" si="13"/>
        <v>26.182591107499213</v>
      </c>
      <c r="AB58" s="199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0.1308734371278221</v>
      </c>
      <c r="AD58" s="233">
        <f>(INDEX(Models!$BJ58:$BT58,,AH58)*(1-AF58)+INDEX(Models!$BJ58:$BT58,,AH58+1)*AF58-ERP_i)*AE58*Ramure*Pc/MaxiM</f>
        <v>0.13826583872527404</v>
      </c>
      <c r="AE58" s="307">
        <f t="shared" si="15"/>
        <v>1</v>
      </c>
      <c r="AF58" s="179">
        <f t="shared" si="23"/>
        <v>0.50447751051322021</v>
      </c>
      <c r="AG58" s="837">
        <f t="shared" si="24"/>
        <v>3</v>
      </c>
      <c r="AH58" s="178">
        <f t="shared" si="16"/>
        <v>9</v>
      </c>
      <c r="AI58" s="227">
        <f t="shared" si="17"/>
        <v>3.5044775105132202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46432</v>
      </c>
      <c r="B59" s="1139">
        <f>IF(t&gt;Tmaj,'2026'!Wh/'2026'!Env_an*'2027'!Env_an,0.001*'[4]mon-tableau'!$B$203)</f>
        <v>14.899542625564248</v>
      </c>
      <c r="C59" s="866"/>
      <c r="D59" s="395">
        <f t="shared" si="0"/>
        <v>16.021235281133361</v>
      </c>
      <c r="E59" s="387">
        <f t="shared" si="1"/>
        <v>17.569982121951071</v>
      </c>
      <c r="F59" s="387">
        <f t="shared" si="2"/>
        <v>17.622120605566167</v>
      </c>
      <c r="G59" s="110">
        <f t="shared" si="21"/>
        <v>0.55894402643118546</v>
      </c>
      <c r="H59" s="414" t="b">
        <f>Wh_hp&gt;='2026'!Maxi_hp</f>
        <v>0</v>
      </c>
      <c r="I59" s="392">
        <f>IF(H59,Wh_hp,'2026'!Maxi_hp)</f>
        <v>31.770566290205203</v>
      </c>
      <c r="J59" s="85">
        <f>IF(H59,An,'2026'!An_max)</f>
        <v>2019</v>
      </c>
      <c r="K59" s="199">
        <f t="shared" si="3"/>
        <v>46432</v>
      </c>
      <c r="L59" s="147">
        <f>IF(t&lt;Tvie,1-EXP((T0-t)*PertePVj)+'2026'!Pspv,1-EXP((T0-t)*PertePVj)+Pspv)</f>
        <v>7.0012869537595557E-2</v>
      </c>
      <c r="M59" s="870"/>
      <c r="N59" s="870"/>
      <c r="O59" s="48">
        <f>IF(t&lt;Tnet,'2026'!Resal+('2026'!Salim-'2026'!Resal)*(1-EXP(('2026'!Tnet-t)/('2026'!Tau_j))),Resal+(Salim-Resal)*(1-EXP((Tnet-t)/(Tau_j))))*Salcycl</f>
        <v>8.8147320245863067E-2</v>
      </c>
      <c r="P59" s="171">
        <f>(INDEX(Models!$BJ59:$BT59,,T59)*(1-R59)+INDEX(Models!$BJ59:$BT59,,T59+1)*R59-ERP_i)*Q59*Ramure*Pc/MaxiM</f>
        <v>7.9129070931497399E-3</v>
      </c>
      <c r="Q59" s="307">
        <f t="shared" si="4"/>
        <v>1</v>
      </c>
      <c r="R59" s="179">
        <f t="shared" si="5"/>
        <v>0.56973107807922396</v>
      </c>
      <c r="S59" s="837">
        <f t="shared" si="6"/>
        <v>-2</v>
      </c>
      <c r="T59" s="178">
        <f t="shared" si="7"/>
        <v>4</v>
      </c>
      <c r="U59" s="253">
        <f t="shared" si="8"/>
        <v>-1.430268921920776</v>
      </c>
      <c r="V59" s="385">
        <f t="shared" si="9"/>
        <v>26.524137279519547</v>
      </c>
      <c r="W59" s="404">
        <f t="shared" si="10"/>
        <v>14.899542625564248</v>
      </c>
      <c r="X59" s="157">
        <f t="shared" si="11"/>
        <v>46432</v>
      </c>
      <c r="Y59" s="387">
        <f t="shared" si="12"/>
        <v>13.526144738413647</v>
      </c>
      <c r="Z59" s="387">
        <f t="shared" si="22"/>
        <v>14.544442923299629</v>
      </c>
      <c r="AA59" s="388">
        <f t="shared" si="13"/>
        <v>16.73619205733069</v>
      </c>
      <c r="AB59" s="199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0.13095865095973513</v>
      </c>
      <c r="AD59" s="233">
        <f>(INDEX(Models!$BJ59:$BT59,,AH59)*(1-AF59)+INDEX(Models!$BJ59:$BT59,,AH59+1)*AF59-ERP_i)*AE59*Ramure*Pc/MaxiM</f>
        <v>0.13445481738803236</v>
      </c>
      <c r="AE59" s="307">
        <f t="shared" si="15"/>
        <v>1</v>
      </c>
      <c r="AF59" s="179">
        <f t="shared" si="23"/>
        <v>0.50471367100279441</v>
      </c>
      <c r="AG59" s="837">
        <f t="shared" si="24"/>
        <v>3</v>
      </c>
      <c r="AH59" s="178">
        <f t="shared" si="16"/>
        <v>9</v>
      </c>
      <c r="AI59" s="227">
        <f t="shared" si="17"/>
        <v>3.5047136710027944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46433</v>
      </c>
      <c r="B60" s="1139">
        <f>IF(t&gt;Tmaj,'2026'!Wh/'2026'!Env_an*'2027'!Env_an,0.001*'[4]mon-tableau'!$B$204)</f>
        <v>18.124359494211685</v>
      </c>
      <c r="C60" s="866"/>
      <c r="D60" s="395">
        <f t="shared" si="0"/>
        <v>19.489281830533333</v>
      </c>
      <c r="E60" s="387">
        <f t="shared" si="1"/>
        <v>21.377159917130921</v>
      </c>
      <c r="F60" s="387">
        <f t="shared" si="2"/>
        <v>21.461462494628051</v>
      </c>
      <c r="G60" s="110">
        <f t="shared" si="21"/>
        <v>0.67248808729441745</v>
      </c>
      <c r="H60" s="414" t="b">
        <f>Wh_hp&gt;='2026'!Maxi_hp</f>
        <v>0</v>
      </c>
      <c r="I60" s="392">
        <f>IF(H60,Wh_hp,'2026'!Maxi_hp)</f>
        <v>31.929826724148288</v>
      </c>
      <c r="J60" s="85">
        <f>IF(H60,An,'2026'!An_max)</f>
        <v>2019</v>
      </c>
      <c r="K60" s="199">
        <f t="shared" si="3"/>
        <v>46433</v>
      </c>
      <c r="L60" s="147">
        <f>IF(t&lt;Tvie,1-EXP((T0-t)*PertePVj)+'2026'!Pspv,1-EXP((T0-t)*PertePVj)+Pspv)</f>
        <v>7.0034511696745128E-2</v>
      </c>
      <c r="M60" s="870"/>
      <c r="N60" s="870"/>
      <c r="O60" s="48">
        <f>IF(t&lt;Tnet,'2026'!Resal+('2026'!Salim-'2026'!Resal)*(1-EXP(('2026'!Tnet-t)/('2026'!Tau_j))),Resal+(Salim-Resal)*(1-EXP((Tnet-t)/(Tau_j))))*Salcycl</f>
        <v>8.8312857924812901E-2</v>
      </c>
      <c r="P60" s="171">
        <f>(INDEX(Models!$BJ60:$BT60,,T60)*(1-R60)+INDEX(Models!$BJ60:$BT60,,T60+1)*R60-ERP_i)*Q60*Ramure*Pc/MaxiM</f>
        <v>7.3364064233644027E-3</v>
      </c>
      <c r="Q60" s="307">
        <f t="shared" si="4"/>
        <v>1</v>
      </c>
      <c r="R60" s="179">
        <f t="shared" si="5"/>
        <v>0.56997697543208647</v>
      </c>
      <c r="S60" s="837">
        <f t="shared" si="6"/>
        <v>-2</v>
      </c>
      <c r="T60" s="178">
        <f t="shared" si="7"/>
        <v>4</v>
      </c>
      <c r="U60" s="253">
        <f t="shared" si="8"/>
        <v>-1.4300230245679135</v>
      </c>
      <c r="V60" s="385">
        <f t="shared" si="9"/>
        <v>26.858977418840531</v>
      </c>
      <c r="W60" s="404">
        <f t="shared" si="10"/>
        <v>18.124359494211685</v>
      </c>
      <c r="X60" s="157">
        <f t="shared" si="11"/>
        <v>46433</v>
      </c>
      <c r="Y60" s="387">
        <f t="shared" si="12"/>
        <v>16.128982329779607</v>
      </c>
      <c r="Z60" s="387">
        <f t="shared" si="22"/>
        <v>17.343635363509389</v>
      </c>
      <c r="AA60" s="388">
        <f t="shared" si="13"/>
        <v>19.959158877603823</v>
      </c>
      <c r="AB60" s="199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0.13104377444629259</v>
      </c>
      <c r="AD60" s="233">
        <f>(INDEX(Models!$BJ60:$BT60,,AH60)*(1-AF60)+INDEX(Models!$BJ60:$BT60,,AH60+1)*AF60-ERP_i)*AE60*Ramure*Pc/MaxiM</f>
        <v>0.13073751993116633</v>
      </c>
      <c r="AE60" s="307">
        <f t="shared" si="15"/>
        <v>1</v>
      </c>
      <c r="AF60" s="179">
        <f t="shared" si="23"/>
        <v>0.50495956835565714</v>
      </c>
      <c r="AG60" s="837">
        <f t="shared" si="24"/>
        <v>3</v>
      </c>
      <c r="AH60" s="178">
        <f t="shared" si="16"/>
        <v>9</v>
      </c>
      <c r="AI60" s="227">
        <f t="shared" si="17"/>
        <v>3.5049595683556571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46434</v>
      </c>
      <c r="B61" s="1139">
        <f>IF(t&gt;Tmaj,'2026'!Wh/'2026'!Env_an*'2027'!Env_an,0.001*'[4]mon-tableau'!$B$205)</f>
        <v>9.2366127261848039</v>
      </c>
      <c r="C61" s="866"/>
      <c r="D61" s="395">
        <f t="shared" si="0"/>
        <v>9.9324413613583573</v>
      </c>
      <c r="E61" s="387">
        <f t="shared" si="1"/>
        <v>10.896547353229787</v>
      </c>
      <c r="F61" s="387">
        <f t="shared" si="2"/>
        <v>10.900748261335954</v>
      </c>
      <c r="G61" s="110">
        <f t="shared" si="21"/>
        <v>0.33744461806337084</v>
      </c>
      <c r="H61" s="414" t="b">
        <f>Wh_hp&gt;='2026'!Maxi_hp</f>
        <v>0</v>
      </c>
      <c r="I61" s="392">
        <f>IF(H61,Wh_hp,'2026'!Maxi_hp)</f>
        <v>32.591538912686424</v>
      </c>
      <c r="J61" s="85">
        <f>IF(H61,An,'2026'!An_max)</f>
        <v>2019</v>
      </c>
      <c r="K61" s="199">
        <f t="shared" si="3"/>
        <v>46434</v>
      </c>
      <c r="L61" s="147">
        <f>IF(t&lt;Tvie,1-EXP((T0-t)*PertePVj)+'2026'!Pspv,1-EXP((T0-t)*PertePVj)+Pspv)</f>
        <v>7.0056153352250128E-2</v>
      </c>
      <c r="M61" s="870"/>
      <c r="N61" s="870"/>
      <c r="O61" s="48">
        <f>IF(t&lt;Tnet,'2026'!Resal+('2026'!Salim-'2026'!Resal)*(1-EXP(('2026'!Tnet-t)/('2026'!Tau_j))),Resal+(Salim-Resal)*(1-EXP((Tnet-t)/(Tau_j))))*Salcycl</f>
        <v>8.8478117023523359E-2</v>
      </c>
      <c r="P61" s="171">
        <f>(INDEX(Models!$BJ61:$BT61,,T61)*(1-R61)+INDEX(Models!$BJ61:$BT61,,T61+1)*R61-ERP_i)*Q61*Ramure*Pc/MaxiM</f>
        <v>6.807657589719446E-3</v>
      </c>
      <c r="Q61" s="307">
        <f t="shared" si="4"/>
        <v>1</v>
      </c>
      <c r="R61" s="179">
        <f t="shared" si="5"/>
        <v>0.57023300371618979</v>
      </c>
      <c r="S61" s="837">
        <f t="shared" si="6"/>
        <v>-2</v>
      </c>
      <c r="T61" s="178">
        <f t="shared" si="7"/>
        <v>4</v>
      </c>
      <c r="U61" s="253">
        <f t="shared" si="8"/>
        <v>-1.4297669962838102</v>
      </c>
      <c r="V61" s="385">
        <f t="shared" si="9"/>
        <v>27.196373139986427</v>
      </c>
      <c r="W61" s="404">
        <f t="shared" si="10"/>
        <v>9.2366127261848039</v>
      </c>
      <c r="X61" s="157">
        <f t="shared" si="11"/>
        <v>46434</v>
      </c>
      <c r="Y61" s="387">
        <f t="shared" si="12"/>
        <v>8.7444416676273882</v>
      </c>
      <c r="Z61" s="387">
        <f t="shared" si="22"/>
        <v>9.4031932133851353</v>
      </c>
      <c r="AA61" s="388">
        <f t="shared" si="13"/>
        <v>10.822309460474777</v>
      </c>
      <c r="AB61" s="199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0.13112878099379216</v>
      </c>
      <c r="AD61" s="233">
        <f>(INDEX(Models!$BJ61:$BT61,,AH61)*(1-AF61)+INDEX(Models!$BJ61:$BT61,,AH61+1)*AF61-ERP_i)*AE61*Ramure*Pc/MaxiM</f>
        <v>0.12711168264482281</v>
      </c>
      <c r="AE61" s="307">
        <f t="shared" si="15"/>
        <v>1</v>
      </c>
      <c r="AF61" s="179">
        <f t="shared" si="23"/>
        <v>0.50521559663976046</v>
      </c>
      <c r="AG61" s="837">
        <f t="shared" si="24"/>
        <v>3</v>
      </c>
      <c r="AH61" s="178">
        <f t="shared" si="16"/>
        <v>9</v>
      </c>
      <c r="AI61" s="227">
        <f t="shared" si="17"/>
        <v>3.5052155966397605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46435</v>
      </c>
      <c r="B62" s="1139">
        <f>IF(t&gt;Tmaj,'2026'!Wh/'2026'!Env_an*'2027'!Env_an,0.001*'[4]mon-tableau'!$B$206)</f>
        <v>10.721493968347186</v>
      </c>
      <c r="C62" s="866"/>
      <c r="D62" s="395">
        <f t="shared" si="0"/>
        <v>11.529452576766877</v>
      </c>
      <c r="E62" s="387">
        <f t="shared" si="1"/>
        <v>12.650864153897265</v>
      </c>
      <c r="F62" s="387">
        <f t="shared" si="2"/>
        <v>12.661086971177335</v>
      </c>
      <c r="G62" s="110">
        <f t="shared" si="21"/>
        <v>0.38720676901648277</v>
      </c>
      <c r="H62" s="414" t="b">
        <f>Wh_hp&gt;='2026'!Maxi_hp</f>
        <v>0</v>
      </c>
      <c r="I62" s="392">
        <f>IF(H62,Wh_hp,'2026'!Maxi_hp)</f>
        <v>33.211013673025583</v>
      </c>
      <c r="J62" s="85">
        <f>IF(H62,An,'2026'!An_max)</f>
        <v>2019</v>
      </c>
      <c r="K62" s="199">
        <f t="shared" si="3"/>
        <v>46435</v>
      </c>
      <c r="L62" s="147">
        <f>IF(t&lt;Tvie,1-EXP((T0-t)*PertePVj)+'2026'!Pspv,1-EXP((T0-t)*PertePVj)+Pspv)</f>
        <v>7.0077794504122104E-2</v>
      </c>
      <c r="M62" s="870"/>
      <c r="N62" s="870"/>
      <c r="O62" s="48">
        <f>IF(t&lt;Tnet,'2026'!Resal+('2026'!Salim-'2026'!Resal)*(1-EXP(('2026'!Tnet-t)/('2026'!Tau_j))),Resal+(Salim-Resal)*(1-EXP((Tnet-t)/(Tau_j))))*Salcycl</f>
        <v>8.8643081096157539E-2</v>
      </c>
      <c r="P62" s="171">
        <f>(INDEX(Models!$BJ62:$BT62,,T62)*(1-R62)+INDEX(Models!$BJ62:$BT62,,T62+1)*R62-ERP_i)*Q62*Ramure*Pc/MaxiM</f>
        <v>6.3251339033543732E-3</v>
      </c>
      <c r="Q62" s="307">
        <f t="shared" si="4"/>
        <v>1</v>
      </c>
      <c r="R62" s="179">
        <f t="shared" si="5"/>
        <v>0.57049957232220883</v>
      </c>
      <c r="S62" s="837">
        <f t="shared" si="6"/>
        <v>-2</v>
      </c>
      <c r="T62" s="178">
        <f t="shared" si="7"/>
        <v>4</v>
      </c>
      <c r="U62" s="253">
        <f t="shared" si="8"/>
        <v>-1.4295004276777912</v>
      </c>
      <c r="V62" s="385">
        <f t="shared" si="9"/>
        <v>27.536419513248863</v>
      </c>
      <c r="W62" s="404">
        <f t="shared" si="10"/>
        <v>10.721493968347186</v>
      </c>
      <c r="X62" s="157">
        <f t="shared" si="11"/>
        <v>46435</v>
      </c>
      <c r="Y62" s="387">
        <f t="shared" si="12"/>
        <v>10.067580923841803</v>
      </c>
      <c r="Z62" s="387">
        <f t="shared" si="22"/>
        <v>10.826261448906147</v>
      </c>
      <c r="AA62" s="388">
        <f t="shared" si="13"/>
        <v>12.461362213948403</v>
      </c>
      <c r="AB62" s="199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0.13121364558459234</v>
      </c>
      <c r="AD62" s="233">
        <f>(INDEX(Models!$BJ62:$BT62,,AH62)*(1-AF62)+INDEX(Models!$BJ62:$BT62,,AH62+1)*AF62-ERP_i)*AE62*Ramure*Pc/MaxiM</f>
        <v>0.12357511620116203</v>
      </c>
      <c r="AE62" s="307">
        <f t="shared" si="15"/>
        <v>1</v>
      </c>
      <c r="AF62" s="179">
        <f t="shared" si="23"/>
        <v>0.50548216524577905</v>
      </c>
      <c r="AG62" s="837">
        <f t="shared" si="24"/>
        <v>3</v>
      </c>
      <c r="AH62" s="178">
        <f t="shared" si="16"/>
        <v>9</v>
      </c>
      <c r="AI62" s="227">
        <f t="shared" si="17"/>
        <v>3.505482165245779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46436</v>
      </c>
      <c r="B63" s="1139">
        <f>IF(t&gt;Tmaj,'2026'!Wh/'2026'!Env_an*'2027'!Env_an,0.001*'[4]mon-tableau'!$B$207)</f>
        <v>25.285127530487987</v>
      </c>
      <c r="C63" s="866"/>
      <c r="D63" s="395">
        <f t="shared" si="0"/>
        <v>27.191216444342295</v>
      </c>
      <c r="E63" s="387">
        <f t="shared" si="1"/>
        <v>29.841360037227364</v>
      </c>
      <c r="F63" s="387">
        <f t="shared" si="2"/>
        <v>29.994475151992297</v>
      </c>
      <c r="G63" s="110">
        <f t="shared" si="21"/>
        <v>0.90623934986218058</v>
      </c>
      <c r="H63" s="414" t="b">
        <f>Wh_hp&gt;='2026'!Maxi_hp</f>
        <v>0</v>
      </c>
      <c r="I63" s="392">
        <f>IF(H63,Wh_hp,'2026'!Maxi_hp)</f>
        <v>33.126742104724151</v>
      </c>
      <c r="J63" s="85">
        <f>IF(H63,An,'2026'!An_max)</f>
        <v>2019</v>
      </c>
      <c r="K63" s="199">
        <f t="shared" si="3"/>
        <v>46436</v>
      </c>
      <c r="L63" s="147">
        <f>IF(t&lt;Tvie,1-EXP((T0-t)*PertePVj)+'2026'!Pspv,1-EXP((T0-t)*PertePVj)+Pspv)</f>
        <v>7.0099435152372935E-2</v>
      </c>
      <c r="M63" s="870"/>
      <c r="N63" s="870"/>
      <c r="O63" s="48">
        <f>IF(t&lt;Tnet,'2026'!Resal+('2026'!Salim-'2026'!Resal)*(1-EXP(('2026'!Tnet-t)/('2026'!Tau_j))),Resal+(Salim-Resal)*(1-EXP((Tnet-t)/(Tau_j))))*Salcycl</f>
        <v>8.8807734955075407E-2</v>
      </c>
      <c r="P63" s="171">
        <f>(INDEX(Models!$BJ63:$BT63,,T63)*(1-R63)+INDEX(Models!$BJ63:$BT63,,T63+1)*R63-ERP_i)*Q63*Ramure*Pc/MaxiM</f>
        <v>5.8873513431523528E-3</v>
      </c>
      <c r="Q63" s="307">
        <f t="shared" si="4"/>
        <v>1</v>
      </c>
      <c r="R63" s="179">
        <f t="shared" si="5"/>
        <v>0.57077710650605629</v>
      </c>
      <c r="S63" s="837">
        <f t="shared" si="6"/>
        <v>-2</v>
      </c>
      <c r="T63" s="178">
        <f t="shared" si="7"/>
        <v>4</v>
      </c>
      <c r="U63" s="253">
        <f t="shared" si="8"/>
        <v>-1.4292228934939437</v>
      </c>
      <c r="V63" s="385">
        <f t="shared" si="9"/>
        <v>27.879211512849761</v>
      </c>
      <c r="W63" s="404">
        <f t="shared" si="10"/>
        <v>25.285127530487987</v>
      </c>
      <c r="X63" s="157">
        <f t="shared" si="11"/>
        <v>46436</v>
      </c>
      <c r="Y63" s="387">
        <f t="shared" si="12"/>
        <v>21.70600156694535</v>
      </c>
      <c r="Z63" s="387">
        <f t="shared" si="22"/>
        <v>23.342282376720657</v>
      </c>
      <c r="AA63" s="388">
        <f t="shared" si="13"/>
        <v>26.87030955605076</v>
      </c>
      <c r="AB63" s="199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0.13129834518544456</v>
      </c>
      <c r="AD63" s="233">
        <f>(INDEX(Models!$BJ63:$BT63,,AH63)*(1-AF63)+INDEX(Models!$BJ63:$BT63,,AH63+1)*AF63-ERP_i)*AE63*Ramure*Pc/MaxiM</f>
        <v>0.12012570114801809</v>
      </c>
      <c r="AE63" s="307">
        <f t="shared" si="15"/>
        <v>1</v>
      </c>
      <c r="AF63" s="179">
        <f t="shared" si="23"/>
        <v>0.50575969942962695</v>
      </c>
      <c r="AG63" s="837">
        <f t="shared" si="24"/>
        <v>3</v>
      </c>
      <c r="AH63" s="178">
        <f t="shared" si="16"/>
        <v>9</v>
      </c>
      <c r="AI63" s="227">
        <f t="shared" si="17"/>
        <v>3.505759699429627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46437</v>
      </c>
      <c r="B64" s="1139">
        <f>IF(t&gt;Tmaj,'2026'!Wh/'2026'!Env_an*'2027'!Env_an,0.001*'[4]mon-tableau'!$B$208)</f>
        <v>15.246693011620875</v>
      </c>
      <c r="C64" s="866"/>
      <c r="D64" s="395">
        <f t="shared" si="0"/>
        <v>16.396428187132909</v>
      </c>
      <c r="E64" s="387">
        <f t="shared" si="1"/>
        <v>17.997722744066159</v>
      </c>
      <c r="F64" s="387">
        <f t="shared" si="2"/>
        <v>18.031707749831412</v>
      </c>
      <c r="G64" s="110">
        <f t="shared" si="21"/>
        <v>0.53823422611726768</v>
      </c>
      <c r="H64" s="414" t="b">
        <f>Wh_hp&gt;='2026'!Maxi_hp</f>
        <v>0</v>
      </c>
      <c r="I64" s="392">
        <f>IF(H64,Wh_hp,'2026'!Maxi_hp)</f>
        <v>32.228087820026474</v>
      </c>
      <c r="J64" s="85">
        <f>IF(H64,An,'2026'!An_max)</f>
        <v>2021</v>
      </c>
      <c r="K64" s="199">
        <f t="shared" si="3"/>
        <v>46437</v>
      </c>
      <c r="L64" s="147">
        <f>IF(t&lt;Tvie,1-EXP((T0-t)*PertePVj)+'2026'!Pspv,1-EXP((T0-t)*PertePVj)+Pspv)</f>
        <v>7.0121075297014279E-2</v>
      </c>
      <c r="M64" s="870"/>
      <c r="N64" s="870"/>
      <c r="O64" s="48">
        <f>IF(t&lt;Tnet,'2026'!Resal+('2026'!Salim-'2026'!Resal)*(1-EXP(('2026'!Tnet-t)/('2026'!Tau_j))),Resal+(Salim-Resal)*(1-EXP((Tnet-t)/(Tau_j))))*Salcycl</f>
        <v>8.8972064949783519E-2</v>
      </c>
      <c r="P64" s="171">
        <f>(INDEX(Models!$BJ64:$BT64,,T64)*(1-R64)+INDEX(Models!$BJ64:$BT64,,T64+1)*R64-ERP_i)*Q64*Ramure*Pc/MaxiM</f>
        <v>5.4928669688152961E-3</v>
      </c>
      <c r="Q64" s="307">
        <f t="shared" si="4"/>
        <v>1</v>
      </c>
      <c r="R64" s="179">
        <f t="shared" si="5"/>
        <v>0.57106604794598881</v>
      </c>
      <c r="S64" s="837">
        <f t="shared" si="6"/>
        <v>-2</v>
      </c>
      <c r="T64" s="178">
        <f t="shared" si="7"/>
        <v>4</v>
      </c>
      <c r="U64" s="253">
        <f t="shared" si="8"/>
        <v>-1.4289339520540112</v>
      </c>
      <c r="V64" s="385">
        <f t="shared" si="9"/>
        <v>28.224843994909008</v>
      </c>
      <c r="W64" s="404">
        <f t="shared" si="10"/>
        <v>15.246693011620875</v>
      </c>
      <c r="X64" s="157">
        <f t="shared" si="11"/>
        <v>46437</v>
      </c>
      <c r="Y64" s="387">
        <f t="shared" si="12"/>
        <v>13.980866606169942</v>
      </c>
      <c r="Z64" s="387">
        <f t="shared" si="22"/>
        <v>15.03514730225292</v>
      </c>
      <c r="AA64" s="388">
        <f t="shared" si="13"/>
        <v>17.30929151073315</v>
      </c>
      <c r="AB64" s="199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0.13138285914649242</v>
      </c>
      <c r="AD64" s="233">
        <f>(INDEX(Models!$BJ64:$BT64,,AH64)*(1-AF64)+INDEX(Models!$BJ64:$BT64,,AH64+1)*AF64-ERP_i)*AE64*Ramure*Pc/MaxiM</f>
        <v>0.116761383678671</v>
      </c>
      <c r="AE64" s="307">
        <f t="shared" si="15"/>
        <v>1</v>
      </c>
      <c r="AF64" s="179">
        <f t="shared" si="23"/>
        <v>0.50604864086955947</v>
      </c>
      <c r="AG64" s="837">
        <f t="shared" si="24"/>
        <v>3</v>
      </c>
      <c r="AH64" s="178">
        <f t="shared" si="16"/>
        <v>9</v>
      </c>
      <c r="AI64" s="227">
        <f t="shared" si="17"/>
        <v>3.5060486408695595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46438</v>
      </c>
      <c r="B65" s="1139">
        <f>IF(t&gt;Tmaj,'2026'!Wh/'2026'!Env_an*'2027'!Env_an,0.001*'[4]mon-tableau'!$B$209)</f>
        <v>18.226083232013455</v>
      </c>
      <c r="C65" s="866"/>
      <c r="D65" s="395">
        <f t="shared" si="0"/>
        <v>19.600946860140294</v>
      </c>
      <c r="E65" s="387">
        <f t="shared" si="1"/>
        <v>21.519072150072496</v>
      </c>
      <c r="F65" s="387">
        <f t="shared" si="2"/>
        <v>21.572591750146447</v>
      </c>
      <c r="G65" s="110">
        <f t="shared" si="21"/>
        <v>0.63615501390889206</v>
      </c>
      <c r="H65" s="414" t="b">
        <f>Wh_hp&gt;='2026'!Maxi_hp</f>
        <v>0</v>
      </c>
      <c r="I65" s="392">
        <f>IF(H65,Wh_hp,'2026'!Maxi_hp)</f>
        <v>33.595449120875671</v>
      </c>
      <c r="J65" s="85">
        <f>IF(H65,An,'2026'!An_max)</f>
        <v>2020</v>
      </c>
      <c r="K65" s="199">
        <f t="shared" si="3"/>
        <v>46438</v>
      </c>
      <c r="L65" s="147">
        <f>IF(t&lt;Tvie,1-EXP((T0-t)*PertePVj)+'2026'!Pspv,1-EXP((T0-t)*PertePVj)+Pspv)</f>
        <v>7.0142714938057793E-2</v>
      </c>
      <c r="M65" s="870"/>
      <c r="N65" s="870"/>
      <c r="O65" s="48">
        <f>IF(t&lt;Tnet,'2026'!Resal+('2026'!Salim-'2026'!Resal)*(1-EXP(('2026'!Tnet-t)/('2026'!Tau_j))),Resal+(Salim-Resal)*(1-EXP((Tnet-t)/(Tau_j))))*Salcycl</f>
        <v>8.9136059238768911E-2</v>
      </c>
      <c r="P65" s="171">
        <f>(INDEX(Models!$BJ65:$BT65,,T65)*(1-R65)+INDEX(Models!$BJ65:$BT65,,T65+1)*R65-ERP_i)*Q65*Ramure*Pc/MaxiM</f>
        <v>5.1401717953733321E-3</v>
      </c>
      <c r="Q65" s="307">
        <f t="shared" si="4"/>
        <v>1</v>
      </c>
      <c r="R65" s="179">
        <f t="shared" si="5"/>
        <v>0.57136685531426323</v>
      </c>
      <c r="S65" s="837">
        <f t="shared" si="6"/>
        <v>-2</v>
      </c>
      <c r="T65" s="178">
        <f t="shared" si="7"/>
        <v>4</v>
      </c>
      <c r="U65" s="253">
        <f t="shared" si="8"/>
        <v>-1.4286331446857368</v>
      </c>
      <c r="V65" s="385">
        <f t="shared" si="9"/>
        <v>28.574002113798461</v>
      </c>
      <c r="W65" s="404">
        <f t="shared" si="10"/>
        <v>18.226083232013455</v>
      </c>
      <c r="X65" s="157">
        <f t="shared" si="11"/>
        <v>46438</v>
      </c>
      <c r="Y65" s="387">
        <f t="shared" si="12"/>
        <v>16.468054233491177</v>
      </c>
      <c r="Z65" s="387">
        <f t="shared" si="22"/>
        <v>17.710302965894559</v>
      </c>
      <c r="AA65" s="388">
        <f t="shared" si="13"/>
        <v>20.391057592461493</v>
      </c>
      <c r="AB65" s="199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0.13146716958702517</v>
      </c>
      <c r="AD65" s="233">
        <f>(INDEX(Models!$BJ65:$BT65,,AH65)*(1-AF65)+INDEX(Models!$BJ65:$BT65,,AH65+1)*AF65-ERP_i)*AE65*Ramure*Pc/MaxiM</f>
        <v>0.11347783885176106</v>
      </c>
      <c r="AE65" s="307">
        <f t="shared" si="15"/>
        <v>1</v>
      </c>
      <c r="AF65" s="179">
        <f t="shared" si="23"/>
        <v>0.50634944823783368</v>
      </c>
      <c r="AG65" s="837">
        <f t="shared" si="24"/>
        <v>3</v>
      </c>
      <c r="AH65" s="178">
        <f t="shared" si="16"/>
        <v>9</v>
      </c>
      <c r="AI65" s="227">
        <f t="shared" si="17"/>
        <v>3.5063494482378337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46439</v>
      </c>
      <c r="B66" s="1139">
        <f>IF(t&gt;Tmaj,'2026'!Wh/'2026'!Env_an*'2027'!Env_an,0.001*'[4]mon-tableau'!$B$210)</f>
        <v>18.691963518203433</v>
      </c>
      <c r="C66" s="866"/>
      <c r="D66" s="395">
        <f t="shared" si="0"/>
        <v>20.102438103046733</v>
      </c>
      <c r="E66" s="387">
        <f t="shared" si="1"/>
        <v>22.073604544519107</v>
      </c>
      <c r="F66" s="387">
        <f t="shared" si="2"/>
        <v>22.126563957049228</v>
      </c>
      <c r="G66" s="110">
        <f t="shared" si="21"/>
        <v>0.64459907807012162</v>
      </c>
      <c r="H66" s="414" t="b">
        <f>Wh_hp&gt;='2026'!Maxi_hp</f>
        <v>0</v>
      </c>
      <c r="I66" s="392">
        <f>IF(H66,Wh_hp,'2026'!Maxi_hp)</f>
        <v>33.354248852750764</v>
      </c>
      <c r="J66" s="85">
        <f>IF(H66,An,'2026'!An_max)</f>
        <v>2019</v>
      </c>
      <c r="K66" s="199">
        <f t="shared" si="3"/>
        <v>46439</v>
      </c>
      <c r="L66" s="147">
        <f>IF(t&lt;Tvie,1-EXP((T0-t)*PertePVj)+'2026'!Pspv,1-EXP((T0-t)*PertePVj)+Pspv)</f>
        <v>7.0164354075515245E-2</v>
      </c>
      <c r="M66" s="870"/>
      <c r="N66" s="870"/>
      <c r="O66" s="48">
        <f>IF(t&lt;Tnet,'2026'!Resal+('2026'!Salim-'2026'!Resal)*(1-EXP(('2026'!Tnet-t)/('2026'!Tau_j))),Resal+(Salim-Resal)*(1-EXP((Tnet-t)/(Tau_j))))*Salcycl</f>
        <v>8.9299708051615703E-2</v>
      </c>
      <c r="P66" s="171">
        <f>(INDEX(Models!$BJ66:$BT66,,T66)*(1-R66)+INDEX(Models!$BJ66:$BT66,,T66+1)*R66-ERP_i)*Q66*Ramure*Pc/MaxiM</f>
        <v>4.8397255665342895E-3</v>
      </c>
      <c r="Q66" s="307">
        <f t="shared" si="4"/>
        <v>1</v>
      </c>
      <c r="R66" s="179">
        <f t="shared" si="5"/>
        <v>0.57168000486326465</v>
      </c>
      <c r="S66" s="837">
        <f t="shared" si="6"/>
        <v>-2</v>
      </c>
      <c r="T66" s="178">
        <f t="shared" si="7"/>
        <v>4</v>
      </c>
      <c r="U66" s="253">
        <f t="shared" si="8"/>
        <v>-1.4283199951367354</v>
      </c>
      <c r="V66" s="385">
        <f t="shared" si="9"/>
        <v>28.926706926684339</v>
      </c>
      <c r="W66" s="404">
        <f t="shared" si="10"/>
        <v>18.691963518203433</v>
      </c>
      <c r="X66" s="157">
        <f t="shared" si="11"/>
        <v>46439</v>
      </c>
      <c r="Y66" s="387">
        <f t="shared" si="12"/>
        <v>16.892957417106782</v>
      </c>
      <c r="Z66" s="387">
        <f t="shared" si="22"/>
        <v>18.167681020994884</v>
      </c>
      <c r="AA66" s="388">
        <f t="shared" si="13"/>
        <v>20.919693035542153</v>
      </c>
      <c r="AB66" s="199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0.13155126176429319</v>
      </c>
      <c r="AD66" s="233">
        <f>(INDEX(Models!$BJ66:$BT66,,AH66)*(1-AF66)+INDEX(Models!$BJ66:$BT66,,AH66+1)*AF66-ERP_i)*AE66*Ramure*Pc/MaxiM</f>
        <v>0.11029057490021221</v>
      </c>
      <c r="AE66" s="307">
        <f t="shared" si="15"/>
        <v>1</v>
      </c>
      <c r="AF66" s="179">
        <f t="shared" si="23"/>
        <v>0.50666259778683509</v>
      </c>
      <c r="AG66" s="837">
        <f t="shared" si="24"/>
        <v>3</v>
      </c>
      <c r="AH66" s="178">
        <f t="shared" si="16"/>
        <v>9</v>
      </c>
      <c r="AI66" s="227">
        <f t="shared" si="17"/>
        <v>3.5066625977868351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46440</v>
      </c>
      <c r="B67" s="1139">
        <f>IF(t&gt;Tmaj,'2026'!Wh/'2026'!Env_an*'2027'!Env_an,0.001*'[4]mon-tableau'!$B$211)</f>
        <v>27.601790437251871</v>
      </c>
      <c r="C67" s="866"/>
      <c r="D67" s="395">
        <f t="shared" si="0"/>
        <v>29.685281379747249</v>
      </c>
      <c r="E67" s="387">
        <f t="shared" si="1"/>
        <v>32.60194973753368</v>
      </c>
      <c r="F67" s="387">
        <f t="shared" si="2"/>
        <v>32.739649146008752</v>
      </c>
      <c r="G67" s="110">
        <f t="shared" si="21"/>
        <v>0.94223777019371013</v>
      </c>
      <c r="H67" s="414" t="b">
        <f>Wh_hp&gt;='2026'!Maxi_hp</f>
        <v>0</v>
      </c>
      <c r="I67" s="392">
        <f>IF(H67,Wh_hp,'2026'!Maxi_hp)</f>
        <v>33.45014285747294</v>
      </c>
      <c r="J67" s="85">
        <f>IF(H67,An,'2026'!An_max)</f>
        <v>2020</v>
      </c>
      <c r="K67" s="199">
        <f t="shared" si="3"/>
        <v>46440</v>
      </c>
      <c r="L67" s="147">
        <f>IF(t&lt;Tvie,1-EXP((T0-t)*PertePVj)+'2026'!Pspv,1-EXP((T0-t)*PertePVj)+Pspv)</f>
        <v>7.0185992709398293E-2</v>
      </c>
      <c r="M67" s="870"/>
      <c r="N67" s="870"/>
      <c r="O67" s="48">
        <f>IF(t&lt;Tnet,'2026'!Resal+('2026'!Salim-'2026'!Resal)*(1-EXP(('2026'!Tnet-t)/('2026'!Tau_j))),Resal+(Salim-Resal)*(1-EXP((Tnet-t)/(Tau_j))))*Salcycl</f>
        <v>8.946300393895007E-2</v>
      </c>
      <c r="P67" s="171">
        <f>(INDEX(Models!$BJ67:$BT67,,T67)*(1-R67)+INDEX(Models!$BJ67:$BT67,,T67+1)*R67-ERP_i)*Q67*Ramure*Pc/MaxiM</f>
        <v>4.5816278585488566E-3</v>
      </c>
      <c r="Q67" s="307">
        <f t="shared" si="4"/>
        <v>1</v>
      </c>
      <c r="R67" s="179">
        <f t="shared" si="5"/>
        <v>0.57200599102596161</v>
      </c>
      <c r="S67" s="837">
        <f t="shared" si="6"/>
        <v>-2</v>
      </c>
      <c r="T67" s="178">
        <f t="shared" si="7"/>
        <v>4</v>
      </c>
      <c r="U67" s="253">
        <f t="shared" si="8"/>
        <v>-1.4279940089740384</v>
      </c>
      <c r="V67" s="385">
        <f t="shared" si="9"/>
        <v>29.282816405038311</v>
      </c>
      <c r="W67" s="404">
        <f t="shared" si="10"/>
        <v>27.601790437251871</v>
      </c>
      <c r="X67" s="157">
        <f t="shared" si="11"/>
        <v>46440</v>
      </c>
      <c r="Y67" s="387">
        <f t="shared" si="12"/>
        <v>23.832664540463366</v>
      </c>
      <c r="Z67" s="387">
        <f t="shared" si="22"/>
        <v>25.631647139743254</v>
      </c>
      <c r="AA67" s="388">
        <f t="shared" si="13"/>
        <v>29.517139465919442</v>
      </c>
      <c r="AB67" s="199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0.13163512442194431</v>
      </c>
      <c r="AD67" s="233">
        <f>(INDEX(Models!$BJ67:$BT67,,AH67)*(1-AF67)+INDEX(Models!$BJ67:$BT67,,AH67+1)*AF67-ERP_i)*AE67*Ramure*Pc/MaxiM</f>
        <v>0.10722152177881862</v>
      </c>
      <c r="AE67" s="307">
        <f t="shared" si="15"/>
        <v>1</v>
      </c>
      <c r="AF67" s="179">
        <f t="shared" si="23"/>
        <v>0.50698858394953206</v>
      </c>
      <c r="AG67" s="837">
        <f t="shared" si="24"/>
        <v>3</v>
      </c>
      <c r="AH67" s="178">
        <f t="shared" si="16"/>
        <v>9</v>
      </c>
      <c r="AI67" s="227">
        <f t="shared" si="17"/>
        <v>3.5069885839495321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46441</v>
      </c>
      <c r="B68" s="1139">
        <f>IF(t&gt;Tmaj,'2026'!Wh/'2026'!Env_an*'2027'!Env_an,0.001*'[4]mon-tableau'!$B$212)</f>
        <v>29.194607291999088</v>
      </c>
      <c r="C68" s="866"/>
      <c r="D68" s="395">
        <f t="shared" si="0"/>
        <v>31.399060973543449</v>
      </c>
      <c r="E68" s="387">
        <f t="shared" si="1"/>
        <v>34.490285282071454</v>
      </c>
      <c r="F68" s="387">
        <f t="shared" si="2"/>
        <v>34.638206012476395</v>
      </c>
      <c r="G68" s="110">
        <f t="shared" si="21"/>
        <v>0.98481552164154429</v>
      </c>
      <c r="H68" s="414" t="b">
        <f>Wh_hp&gt;='2026'!Maxi_hp</f>
        <v>0</v>
      </c>
      <c r="I68" s="392">
        <f>IF(H68,Wh_hp,'2026'!Maxi_hp)</f>
        <v>34.640347301047598</v>
      </c>
      <c r="J68" s="85">
        <f>IF(H68,An,'2026'!An_max)</f>
        <v>2026</v>
      </c>
      <c r="K68" s="199">
        <f t="shared" si="3"/>
        <v>46441</v>
      </c>
      <c r="L68" s="147">
        <f>IF(t&lt;Tvie,1-EXP((T0-t)*PertePVj)+'2026'!Pspv,1-EXP((T0-t)*PertePVj)+Pspv)</f>
        <v>7.0207630839718815E-2</v>
      </c>
      <c r="M68" s="870"/>
      <c r="N68" s="870"/>
      <c r="O68" s="48">
        <f>IF(t&lt;Tnet,'2026'!Resal+('2026'!Salim-'2026'!Resal)*(1-EXP(('2026'!Tnet-t)/('2026'!Tau_j))),Resal+(Salim-Resal)*(1-EXP((Tnet-t)/(Tau_j))))*Salcycl</f>
        <v>8.962594200793321E-2</v>
      </c>
      <c r="P68" s="171">
        <f>(INDEX(Models!$BJ68:$BT68,,T68)*(1-R68)+INDEX(Models!$BJ68:$BT68,,T68+1)*R68-ERP_i)*Q68*Ramure*Pc/MaxiM</f>
        <v>4.3645460043501101E-3</v>
      </c>
      <c r="Q68" s="307">
        <f t="shared" si="4"/>
        <v>1</v>
      </c>
      <c r="R68" s="179">
        <f t="shared" si="5"/>
        <v>0.57234532703049057</v>
      </c>
      <c r="S68" s="837">
        <f t="shared" si="6"/>
        <v>-2</v>
      </c>
      <c r="T68" s="178">
        <f t="shared" si="7"/>
        <v>4</v>
      </c>
      <c r="U68" s="253">
        <f t="shared" si="8"/>
        <v>-1.4276546729695094</v>
      </c>
      <c r="V68" s="385">
        <f t="shared" si="9"/>
        <v>29.641945903525635</v>
      </c>
      <c r="W68" s="404">
        <f t="shared" si="10"/>
        <v>29.194607291999088</v>
      </c>
      <c r="X68" s="157">
        <f t="shared" si="11"/>
        <v>46441</v>
      </c>
      <c r="Y68" s="387">
        <f t="shared" si="12"/>
        <v>25.111237911512042</v>
      </c>
      <c r="Z68" s="387">
        <f t="shared" si="22"/>
        <v>27.007360723115667</v>
      </c>
      <c r="AA68" s="388">
        <f t="shared" si="13"/>
        <v>31.104392415119385</v>
      </c>
      <c r="AB68" s="199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0.13171875011492629</v>
      </c>
      <c r="AD68" s="233">
        <f>(INDEX(Models!$BJ68:$BT68,,AH68)*(1-AF68)+INDEX(Models!$BJ68:$BT68,,AH68+1)*AF68-ERP_i)*AE68*Ramure*Pc/MaxiM</f>
        <v>0.10426863073377046</v>
      </c>
      <c r="AE68" s="307">
        <f t="shared" si="15"/>
        <v>1</v>
      </c>
      <c r="AF68" s="179">
        <f t="shared" si="23"/>
        <v>0.50732791995406101</v>
      </c>
      <c r="AG68" s="837">
        <f t="shared" si="24"/>
        <v>3</v>
      </c>
      <c r="AH68" s="178">
        <f t="shared" si="16"/>
        <v>9</v>
      </c>
      <c r="AI68" s="227">
        <f t="shared" si="17"/>
        <v>3.507327919954061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46442</v>
      </c>
      <c r="B69" s="1139">
        <f>IF(t&gt;Tmaj,'2026'!Wh/'2026'!Env_an*'2027'!Env_an,0.001*'[4]mon-tableau'!$B$213)</f>
        <v>17.555351257520712</v>
      </c>
      <c r="C69" s="866"/>
      <c r="D69" s="395">
        <f t="shared" si="0"/>
        <v>18.881376518021707</v>
      </c>
      <c r="E69" s="387">
        <f t="shared" si="1"/>
        <v>20.743944606094217</v>
      </c>
      <c r="F69" s="387">
        <f t="shared" si="2"/>
        <v>20.779382177434762</v>
      </c>
      <c r="G69" s="110">
        <f t="shared" si="21"/>
        <v>0.58365143338222014</v>
      </c>
      <c r="H69" s="414" t="b">
        <f>Wh_hp&gt;='2026'!Maxi_hp</f>
        <v>0</v>
      </c>
      <c r="I69" s="392">
        <f>IF(H69,Wh_hp,'2026'!Maxi_hp)</f>
        <v>35.350844224345899</v>
      </c>
      <c r="J69" s="85">
        <f>IF(H69,An,'2026'!An_max)</f>
        <v>2020</v>
      </c>
      <c r="K69" s="199">
        <f t="shared" si="3"/>
        <v>46442</v>
      </c>
      <c r="L69" s="147">
        <f>IF(t&lt;Tvie,1-EXP((T0-t)*PertePVj)+'2026'!Pspv,1-EXP((T0-t)*PertePVj)+Pspv)</f>
        <v>7.0229268466488359E-2</v>
      </c>
      <c r="M69" s="870"/>
      <c r="N69" s="870"/>
      <c r="O69" s="48">
        <f>IF(t&lt;Tnet,'2026'!Resal+('2026'!Salim-'2026'!Resal)*(1-EXP(('2026'!Tnet-t)/('2026'!Tau_j))),Resal+(Salim-Resal)*(1-EXP((Tnet-t)/(Tau_j))))*Salcycl</f>
        <v>8.9788520141213649E-2</v>
      </c>
      <c r="P69" s="171">
        <f>(INDEX(Models!$BJ69:$BT69,,T69)*(1-R69)+INDEX(Models!$BJ69:$BT69,,T69+1)*R69-ERP_i)*Q69*Ramure*Pc/MaxiM</f>
        <v>4.1871930142159501E-3</v>
      </c>
      <c r="Q69" s="307">
        <f t="shared" si="4"/>
        <v>1</v>
      </c>
      <c r="R69" s="179">
        <f t="shared" si="5"/>
        <v>0.57269854552859623</v>
      </c>
      <c r="S69" s="837">
        <f t="shared" si="6"/>
        <v>-2</v>
      </c>
      <c r="T69" s="178">
        <f t="shared" si="7"/>
        <v>4</v>
      </c>
      <c r="U69" s="253">
        <f t="shared" si="8"/>
        <v>-1.4273014544714038</v>
      </c>
      <c r="V69" s="385">
        <f t="shared" si="9"/>
        <v>30.003710138226193</v>
      </c>
      <c r="W69" s="404">
        <f t="shared" si="10"/>
        <v>17.555351257520712</v>
      </c>
      <c r="X69" s="157">
        <f t="shared" si="11"/>
        <v>46442</v>
      </c>
      <c r="Y69" s="387">
        <f t="shared" si="12"/>
        <v>16.080684241450985</v>
      </c>
      <c r="Z69" s="387">
        <f t="shared" si="22"/>
        <v>17.295322057437115</v>
      </c>
      <c r="AA69" s="388">
        <f t="shared" si="13"/>
        <v>19.920945172512152</v>
      </c>
      <c r="AB69" s="199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0.13180213550800765</v>
      </c>
      <c r="AD69" s="233">
        <f>(INDEX(Models!$BJ69:$BT69,,AH69)*(1-AF69)+INDEX(Models!$BJ69:$BT69,,AH69+1)*AF69-ERP_i)*AE69*Ramure*Pc/MaxiM</f>
        <v>0.10143024180790181</v>
      </c>
      <c r="AE69" s="307">
        <f t="shared" si="15"/>
        <v>1</v>
      </c>
      <c r="AF69" s="179">
        <f t="shared" si="23"/>
        <v>0.50768113845216645</v>
      </c>
      <c r="AG69" s="837">
        <f t="shared" si="24"/>
        <v>3</v>
      </c>
      <c r="AH69" s="178">
        <f t="shared" si="16"/>
        <v>9</v>
      </c>
      <c r="AI69" s="227">
        <f t="shared" si="17"/>
        <v>3.5076811384521664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46443</v>
      </c>
      <c r="B70" s="1139">
        <f>IF(t&gt;Tmaj,'2026'!Wh/'2026'!Env_an*'2027'!Env_an,0.001*'[4]mon-tableau'!$B$214)</f>
        <v>25.957193245134544</v>
      </c>
      <c r="C70" s="866"/>
      <c r="D70" s="395">
        <f t="shared" si="0"/>
        <v>27.918492635476674</v>
      </c>
      <c r="E70" s="387">
        <f t="shared" si="1"/>
        <v>30.678001552197721</v>
      </c>
      <c r="F70" s="387">
        <f t="shared" si="2"/>
        <v>30.776744320721015</v>
      </c>
      <c r="G70" s="110">
        <f t="shared" si="21"/>
        <v>0.85404228411089045</v>
      </c>
      <c r="H70" s="414" t="b">
        <f>Wh_hp&gt;='2026'!Maxi_hp</f>
        <v>0</v>
      </c>
      <c r="I70" s="392">
        <f>IF(H70,Wh_hp,'2026'!Maxi_hp)</f>
        <v>35.147494250668068</v>
      </c>
      <c r="J70" s="85">
        <f>IF(H70,An,'2026'!An_max)</f>
        <v>2019</v>
      </c>
      <c r="K70" s="199">
        <f t="shared" si="3"/>
        <v>46443</v>
      </c>
      <c r="L70" s="147">
        <f>IF(t&lt;Tvie,1-EXP((T0-t)*PertePVj)+'2026'!Pspv,1-EXP((T0-t)*PertePVj)+Pspv)</f>
        <v>7.0250905589718804E-2</v>
      </c>
      <c r="M70" s="870"/>
      <c r="N70" s="870"/>
      <c r="O70" s="48">
        <f>IF(t&lt;Tnet,'2026'!Resal+('2026'!Salim-'2026'!Resal)*(1-EXP(('2026'!Tnet-t)/('2026'!Tau_j))),Resal+(Salim-Resal)*(1-EXP((Tnet-t)/(Tau_j))))*Salcycl</f>
        <v>8.9950739197461244E-2</v>
      </c>
      <c r="P70" s="171">
        <f>(INDEX(Models!$BJ70:$BT70,,T70)*(1-R70)+INDEX(Models!$BJ70:$BT70,,T70+1)*R70-ERP_i)*Q70*Ramure*Pc/MaxiM</f>
        <v>4.0483077908527575E-3</v>
      </c>
      <c r="Q70" s="307">
        <f t="shared" si="4"/>
        <v>1</v>
      </c>
      <c r="R70" s="179">
        <f t="shared" si="5"/>
        <v>0.57306619923758673</v>
      </c>
      <c r="S70" s="837">
        <f t="shared" si="6"/>
        <v>-2</v>
      </c>
      <c r="T70" s="178">
        <f t="shared" si="7"/>
        <v>4</v>
      </c>
      <c r="U70" s="253">
        <f t="shared" si="8"/>
        <v>-1.4269338007624133</v>
      </c>
      <c r="V70" s="385">
        <f t="shared" si="9"/>
        <v>30.367723910334352</v>
      </c>
      <c r="W70" s="404">
        <f t="shared" si="10"/>
        <v>25.957193245134544</v>
      </c>
      <c r="X70" s="157">
        <f t="shared" si="11"/>
        <v>46443</v>
      </c>
      <c r="Y70" s="387">
        <f t="shared" si="12"/>
        <v>22.897624369780925</v>
      </c>
      <c r="Z70" s="387">
        <f t="shared" si="22"/>
        <v>24.627745815987453</v>
      </c>
      <c r="AA70" s="388">
        <f t="shared" si="13"/>
        <v>28.369229659723221</v>
      </c>
      <c r="AB70" s="199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0.13188528164540481</v>
      </c>
      <c r="AD70" s="233">
        <f>(INDEX(Models!$BJ70:$BT70,,AH70)*(1-AF70)+INDEX(Models!$BJ70:$BT70,,AH70+1)*AF70-ERP_i)*AE70*Ramure*Pc/MaxiM</f>
        <v>9.8704548236466808E-2</v>
      </c>
      <c r="AE70" s="307">
        <f t="shared" si="15"/>
        <v>1</v>
      </c>
      <c r="AF70" s="179">
        <f t="shared" si="23"/>
        <v>0.50804879216115717</v>
      </c>
      <c r="AG70" s="837">
        <f t="shared" si="24"/>
        <v>3</v>
      </c>
      <c r="AH70" s="178">
        <f t="shared" si="16"/>
        <v>9</v>
      </c>
      <c r="AI70" s="227">
        <f t="shared" si="17"/>
        <v>3.5080487921611572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46444</v>
      </c>
      <c r="B71" s="1139">
        <f>IF(t&gt;Tmaj,'2026'!Wh/'2026'!Env_an*'2027'!Env_an,0.001*'[4]mon-tableau'!$B$215)</f>
        <v>31.646485863195981</v>
      </c>
      <c r="C71" s="866"/>
      <c r="D71" s="395">
        <f t="shared" si="0"/>
        <v>34.038454600879788</v>
      </c>
      <c r="E71" s="387">
        <f t="shared" si="1"/>
        <v>37.409524211770204</v>
      </c>
      <c r="F71" s="387">
        <f t="shared" si="2"/>
        <v>37.557751891620654</v>
      </c>
      <c r="G71" s="110">
        <f t="shared" si="21"/>
        <v>1.0297031171721021</v>
      </c>
      <c r="H71" s="414" t="b">
        <f>Wh_hp&gt;='2026'!Maxi_hp</f>
        <v>1</v>
      </c>
      <c r="I71" s="392">
        <f>IF(H71,Wh_hp,'2026'!Maxi_hp)</f>
        <v>37.557751891620654</v>
      </c>
      <c r="J71" s="85">
        <f>IF(H71,An,'2026'!An_max)</f>
        <v>2027</v>
      </c>
      <c r="K71" s="199">
        <f t="shared" si="3"/>
        <v>46444</v>
      </c>
      <c r="L71" s="147">
        <f>IF(t&lt;Tvie,1-EXP((T0-t)*PertePVj)+'2026'!Pspv,1-EXP((T0-t)*PertePVj)+Pspv)</f>
        <v>7.0272542209421696E-2</v>
      </c>
      <c r="M71" s="870"/>
      <c r="N71" s="870"/>
      <c r="O71" s="48">
        <f>IF(t&lt;Tnet,'2026'!Resal+('2026'!Salim-'2026'!Resal)*(1-EXP(('2026'!Tnet-t)/('2026'!Tau_j))),Resal+(Salim-Resal)*(1-EXP((Tnet-t)/(Tau_j))))*Salcycl</f>
        <v>9.0112603191830259E-2</v>
      </c>
      <c r="P71" s="171">
        <f>(INDEX(Models!$BJ71:$BT71,,T71)*(1-R71)+INDEX(Models!$BJ71:$BT71,,T71+1)*R71-ERP_i)*Q71*Ramure*Pc/MaxiM</f>
        <v>3.9466600737495007E-3</v>
      </c>
      <c r="Q71" s="307">
        <f t="shared" si="4"/>
        <v>1</v>
      </c>
      <c r="R71" s="179">
        <f t="shared" si="5"/>
        <v>0.57344886159537811</v>
      </c>
      <c r="S71" s="837">
        <f t="shared" si="6"/>
        <v>-2</v>
      </c>
      <c r="T71" s="178">
        <f t="shared" si="7"/>
        <v>4</v>
      </c>
      <c r="U71" s="253">
        <f t="shared" si="8"/>
        <v>-1.4265511384046219</v>
      </c>
      <c r="V71" s="385">
        <f t="shared" si="9"/>
        <v>30.733602079507602</v>
      </c>
      <c r="W71" s="404">
        <f t="shared" si="10"/>
        <v>31.646485863195981</v>
      </c>
      <c r="X71" s="157">
        <f t="shared" si="11"/>
        <v>46444</v>
      </c>
      <c r="Y71" s="387">
        <f t="shared" si="12"/>
        <v>27.397835731220272</v>
      </c>
      <c r="Z71" s="387">
        <f t="shared" si="22"/>
        <v>29.468674396611885</v>
      </c>
      <c r="AA71" s="388">
        <f t="shared" si="13"/>
        <v>33.948841735230346</v>
      </c>
      <c r="AB71" s="199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0.13196819418935213</v>
      </c>
      <c r="AD71" s="233">
        <f>(INDEX(Models!$BJ71:$BT71,,AH71)*(1-AF71)+INDEX(Models!$BJ71:$BT71,,AH71+1)*AF71-ERP_i)*AE71*Ramure*Pc/MaxiM</f>
        <v>9.608962130652654E-2</v>
      </c>
      <c r="AE71" s="307">
        <f t="shared" si="15"/>
        <v>1</v>
      </c>
      <c r="AF71" s="179">
        <f t="shared" si="23"/>
        <v>0.50843145451894856</v>
      </c>
      <c r="AG71" s="837">
        <f t="shared" si="24"/>
        <v>3</v>
      </c>
      <c r="AH71" s="178">
        <f t="shared" si="16"/>
        <v>9</v>
      </c>
      <c r="AI71" s="227">
        <f t="shared" si="17"/>
        <v>3.5084314545189486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46445</v>
      </c>
      <c r="B72" s="1139">
        <f>IF(t&gt;Tmaj,'2026'!Wh/'2026'!Env_an*'2027'!Env_an,0.001*'[4]mon-tableau'!$B$216)</f>
        <v>24.139999487533554</v>
      </c>
      <c r="C72" s="866"/>
      <c r="D72" s="395">
        <f t="shared" si="0"/>
        <v>25.965202029237219</v>
      </c>
      <c r="E72" s="387">
        <f t="shared" si="1"/>
        <v>28.541786690382132</v>
      </c>
      <c r="F72" s="387">
        <f t="shared" si="2"/>
        <v>28.617327878967959</v>
      </c>
      <c r="G72" s="110">
        <f t="shared" si="21"/>
        <v>0.77521575684431088</v>
      </c>
      <c r="H72" s="414" t="b">
        <f>Wh_hp&gt;='2026'!Maxi_hp</f>
        <v>0</v>
      </c>
      <c r="I72" s="392">
        <f>IF(H72,Wh_hp,'2026'!Maxi_hp)</f>
        <v>35.744529564271296</v>
      </c>
      <c r="J72" s="85">
        <f>IF(H72,An,'2026'!An_max)</f>
        <v>2019</v>
      </c>
      <c r="K72" s="199">
        <f t="shared" si="3"/>
        <v>46445</v>
      </c>
      <c r="L72" s="147">
        <f>IF(t&lt;Tvie,1-EXP((T0-t)*PertePVj)+'2026'!Pspv,1-EXP((T0-t)*PertePVj)+Pspv)</f>
        <v>7.0294178325608914E-2</v>
      </c>
      <c r="M72" s="870"/>
      <c r="N72" s="870"/>
      <c r="O72" s="48">
        <f>IF(t&lt;Tnet,'2026'!Resal+('2026'!Salim-'2026'!Resal)*(1-EXP(('2026'!Tnet-t)/('2026'!Tau_j))),Resal+(Salim-Resal)*(1-EXP((Tnet-t)/(Tau_j))))*Salcycl</f>
        <v>9.0274119454937865E-2</v>
      </c>
      <c r="P72" s="171">
        <f>(INDEX(Models!$BJ72:$BT72,,T72)*(1-R72)+INDEX(Models!$BJ72:$BT72,,T72+1)*R72-ERP_i)*Q72*Ramure*Pc/MaxiM</f>
        <v>3.8804348960740373E-3</v>
      </c>
      <c r="Q72" s="307">
        <f t="shared" si="4"/>
        <v>1</v>
      </c>
      <c r="R72" s="179">
        <f t="shared" si="5"/>
        <v>0.57384712742811228</v>
      </c>
      <c r="S72" s="837">
        <f t="shared" si="6"/>
        <v>-2</v>
      </c>
      <c r="T72" s="178">
        <f t="shared" si="7"/>
        <v>4</v>
      </c>
      <c r="U72" s="253">
        <f t="shared" si="8"/>
        <v>-1.4261528725718877</v>
      </c>
      <c r="V72" s="385">
        <f t="shared" si="9"/>
        <v>31.100978904150949</v>
      </c>
      <c r="W72" s="404">
        <f t="shared" si="10"/>
        <v>24.139999487533554</v>
      </c>
      <c r="X72" s="157">
        <f t="shared" si="11"/>
        <v>46445</v>
      </c>
      <c r="Y72" s="387">
        <f t="shared" si="12"/>
        <v>21.622602657902799</v>
      </c>
      <c r="Z72" s="387">
        <f t="shared" si="22"/>
        <v>23.257467205014059</v>
      </c>
      <c r="AA72" s="388">
        <f t="shared" si="13"/>
        <v>26.795887876666185</v>
      </c>
      <c r="AB72" s="199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0.13205088362581854</v>
      </c>
      <c r="AD72" s="233">
        <f>(INDEX(Models!$BJ72:$BT72,,AH72)*(1-AF72)+INDEX(Models!$BJ72:$BT72,,AH72+1)*AF72-ERP_i)*AE72*Ramure*Pc/MaxiM</f>
        <v>9.3564576866652038E-2</v>
      </c>
      <c r="AE72" s="307">
        <f t="shared" si="15"/>
        <v>1</v>
      </c>
      <c r="AF72" s="179">
        <f t="shared" si="23"/>
        <v>0.50882972035168272</v>
      </c>
      <c r="AG72" s="837">
        <f t="shared" si="24"/>
        <v>3</v>
      </c>
      <c r="AH72" s="178">
        <f t="shared" si="16"/>
        <v>9</v>
      </c>
      <c r="AI72" s="227">
        <f t="shared" si="17"/>
        <v>3.5088297203516827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46446</v>
      </c>
      <c r="B73" s="1139">
        <f>IF(t&gt;Tmaj,'2026'!Wh/'2026'!Env_an*'2027'!Env_an,0.001*'[4]mon-tableau'!$B$217)</f>
        <v>28.721392630529525</v>
      </c>
      <c r="C73" s="866"/>
      <c r="D73" s="395">
        <f t="shared" si="0"/>
        <v>30.893708918722147</v>
      </c>
      <c r="E73" s="387">
        <f t="shared" si="1"/>
        <v>33.965378028541842</v>
      </c>
      <c r="F73" s="387">
        <f t="shared" si="2"/>
        <v>34.079490417127104</v>
      </c>
      <c r="G73" s="110">
        <f t="shared" si="21"/>
        <v>0.91221688917195975</v>
      </c>
      <c r="H73" s="414" t="b">
        <f>Wh_hp&gt;='2026'!Maxi_hp</f>
        <v>0</v>
      </c>
      <c r="I73" s="392">
        <f>IF(H73,Wh_hp,'2026'!Maxi_hp)</f>
        <v>34.089213725174943</v>
      </c>
      <c r="J73" s="85">
        <f>IF(H73,An,'2026'!An_max)</f>
        <v>2026</v>
      </c>
      <c r="K73" s="199">
        <f t="shared" si="3"/>
        <v>46446</v>
      </c>
      <c r="L73" s="147">
        <f>IF(t&lt;Tvie,1-EXP((T0-t)*PertePVj)+'2026'!Pspv,1-EXP((T0-t)*PertePVj)+Pspv)</f>
        <v>7.0315813938292115E-2</v>
      </c>
      <c r="M73" s="870"/>
      <c r="N73" s="870"/>
      <c r="O73" s="48">
        <f>IF(t&lt;Tnet,'2026'!Resal+('2026'!Salim-'2026'!Resal)*(1-EXP(('2026'!Tnet-t)/('2026'!Tau_j))),Resal+(Salim-Resal)*(1-EXP((Tnet-t)/(Tau_j))))*Salcycl</f>
        <v>9.0435298769190861E-2</v>
      </c>
      <c r="P73" s="171">
        <f>(INDEX(Models!$BJ73:$BT73,,T73)*(1-R73)+INDEX(Models!$BJ73:$BT73,,T73+1)*R73-ERP_i)*Q73*Ramure*Pc/MaxiM</f>
        <v>3.825801587408174E-3</v>
      </c>
      <c r="Q73" s="307">
        <f t="shared" si="4"/>
        <v>1</v>
      </c>
      <c r="R73" s="179">
        <f t="shared" si="5"/>
        <v>0.57426161362973493</v>
      </c>
      <c r="S73" s="837">
        <f t="shared" si="6"/>
        <v>-2</v>
      </c>
      <c r="T73" s="178">
        <f t="shared" si="7"/>
        <v>4</v>
      </c>
      <c r="U73" s="253">
        <f t="shared" si="8"/>
        <v>-1.4257383863702651</v>
      </c>
      <c r="V73" s="385">
        <f t="shared" si="9"/>
        <v>31.470186304387386</v>
      </c>
      <c r="W73" s="404">
        <f t="shared" si="10"/>
        <v>28.721392630529525</v>
      </c>
      <c r="X73" s="157">
        <f t="shared" si="11"/>
        <v>46446</v>
      </c>
      <c r="Y73" s="387">
        <f t="shared" si="12"/>
        <v>25.304590135392061</v>
      </c>
      <c r="Z73" s="387">
        <f t="shared" si="22"/>
        <v>27.218479688878418</v>
      </c>
      <c r="AA73" s="388">
        <f t="shared" si="13"/>
        <v>31.362514244542666</v>
      </c>
      <c r="AB73" s="199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0.13213336543594703</v>
      </c>
      <c r="AD73" s="233">
        <f>(INDEX(Models!$BJ73:$BT73,,AH73)*(1-AF73)+INDEX(Models!$BJ73:$BT73,,AH73+1)*AF73-ERP_i)*AE73*Ramure*Pc/MaxiM</f>
        <v>9.1091001449481471E-2</v>
      </c>
      <c r="AE73" s="307">
        <f t="shared" si="15"/>
        <v>1</v>
      </c>
      <c r="AF73" s="179">
        <f t="shared" si="23"/>
        <v>0.50924420655330538</v>
      </c>
      <c r="AG73" s="837">
        <f t="shared" si="24"/>
        <v>3</v>
      </c>
      <c r="AH73" s="178">
        <f t="shared" si="16"/>
        <v>9</v>
      </c>
      <c r="AI73" s="227">
        <f t="shared" si="17"/>
        <v>3.5092442065533054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46447</v>
      </c>
      <c r="B74" s="1139">
        <f>IF(t&gt;Tmaj,'2026'!Wh/'2026'!Env_an*'2027'!Env_an,0.001*'[5]mon-tableau'!$B$208)</f>
        <v>31.551428802092055</v>
      </c>
      <c r="C74" s="866"/>
      <c r="D74" s="395">
        <f t="shared" si="0"/>
        <v>33.938582090635983</v>
      </c>
      <c r="E74" s="387">
        <f t="shared" si="1"/>
        <v>37.31959381434892</v>
      </c>
      <c r="F74" s="387">
        <f t="shared" si="2"/>
        <v>37.459441700373858</v>
      </c>
      <c r="G74" s="110">
        <f t="shared" si="21"/>
        <v>0.99086183921594817</v>
      </c>
      <c r="H74" s="414" t="b">
        <f>Wh_hp&gt;='2026'!Maxi_hp</f>
        <v>0</v>
      </c>
      <c r="I74" s="392">
        <f>IF(H74,Wh_hp,'2026'!Maxi_hp)</f>
        <v>37.460527328014031</v>
      </c>
      <c r="J74" s="85">
        <f>IF(H74,An,'2026'!An_max)</f>
        <v>2026</v>
      </c>
      <c r="K74" s="199">
        <f t="shared" si="3"/>
        <v>46447</v>
      </c>
      <c r="L74" s="147">
        <f>IF(t&lt;Tvie,1-EXP((T0-t)*PertePVj)+'2026'!Pspv,1-EXP((T0-t)*PertePVj)+Pspv)</f>
        <v>7.0337449047482958E-2</v>
      </c>
      <c r="M74" s="870"/>
      <c r="N74" s="870"/>
      <c r="O74" s="48">
        <f>IF(t&lt;Tnet,'2026'!Resal+('2026'!Salim-'2026'!Resal)*(1-EXP(('2026'!Tnet-t)/('2026'!Tau_j))),Resal+(Salim-Resal)*(1-EXP((Tnet-t)/(Tau_j))))*Salcycl</f>
        <v>9.0596155481547105E-2</v>
      </c>
      <c r="P74" s="171">
        <f>(INDEX(Models!$BJ74:$BT74,,T74)*(1-R74)+INDEX(Models!$BJ74:$BT74,,T74+1)*R74-ERP_i)*Q74*Ramure*Pc/MaxiM</f>
        <v>3.7824285582366023E-3</v>
      </c>
      <c r="Q74" s="307">
        <f t="shared" si="4"/>
        <v>1</v>
      </c>
      <c r="R74" s="179">
        <f t="shared" si="5"/>
        <v>0.57469295985281721</v>
      </c>
      <c r="S74" s="837">
        <f t="shared" si="6"/>
        <v>-2</v>
      </c>
      <c r="T74" s="178">
        <f t="shared" si="7"/>
        <v>4</v>
      </c>
      <c r="U74" s="253">
        <f t="shared" si="8"/>
        <v>-1.4253070401471828</v>
      </c>
      <c r="V74" s="385">
        <f t="shared" si="9"/>
        <v>31.840840100572173</v>
      </c>
      <c r="W74" s="404">
        <f t="shared" si="10"/>
        <v>31.551428802092055</v>
      </c>
      <c r="X74" s="157">
        <f t="shared" si="11"/>
        <v>46447</v>
      </c>
      <c r="Y74" s="387">
        <f t="shared" si="12"/>
        <v>27.575478628152958</v>
      </c>
      <c r="Z74" s="387">
        <f t="shared" si="22"/>
        <v>29.66181503159353</v>
      </c>
      <c r="AA74" s="388">
        <f t="shared" si="13"/>
        <v>34.181090476384412</v>
      </c>
      <c r="AB74" s="199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0.13221566023217521</v>
      </c>
      <c r="AD74" s="233">
        <f>(INDEX(Models!$BJ74:$BT74,,AH74)*(1-AF74)+INDEX(Models!$BJ74:$BT74,,AH74+1)*AF74-ERP_i)*AE74*Ramure*Pc/MaxiM</f>
        <v>8.8668693149473829E-2</v>
      </c>
      <c r="AE74" s="307">
        <f t="shared" si="15"/>
        <v>1</v>
      </c>
      <c r="AF74" s="179">
        <f t="shared" si="23"/>
        <v>0.50967555277638787</v>
      </c>
      <c r="AG74" s="837">
        <f t="shared" si="24"/>
        <v>3</v>
      </c>
      <c r="AH74" s="178">
        <f t="shared" si="16"/>
        <v>9</v>
      </c>
      <c r="AI74" s="227">
        <f t="shared" si="17"/>
        <v>3.5096755527763879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46448</v>
      </c>
      <c r="B75" s="1139">
        <f>IF(t&gt;Tmaj,'2026'!Wh/'2026'!Env_an*'2027'!Env_an,0.001*'[5]mon-tableau'!$B$209)</f>
        <v>14.635829386757024</v>
      </c>
      <c r="C75" s="866"/>
      <c r="D75" s="395">
        <f t="shared" si="0"/>
        <v>15.743529710666326</v>
      </c>
      <c r="E75" s="387">
        <f t="shared" si="1"/>
        <v>17.314980316184478</v>
      </c>
      <c r="F75" s="387">
        <f t="shared" si="2"/>
        <v>17.329309627326747</v>
      </c>
      <c r="G75" s="110">
        <f t="shared" si="21"/>
        <v>0.4530224709552616</v>
      </c>
      <c r="H75" s="414" t="b">
        <f>Wh_hp&gt;='2026'!Maxi_hp</f>
        <v>0</v>
      </c>
      <c r="I75" s="392">
        <f>IF(H75,Wh_hp,'2026'!Maxi_hp)</f>
        <v>26.22963515117911</v>
      </c>
      <c r="J75" s="85">
        <f>IF(H75,An,'2026'!An_max)</f>
        <v>2020</v>
      </c>
      <c r="K75" s="199">
        <f t="shared" si="3"/>
        <v>46448</v>
      </c>
      <c r="L75" s="147">
        <f>IF(t&lt;Tvie,1-EXP((T0-t)*PertePVj)+'2026'!Pspv,1-EXP((T0-t)*PertePVj)+Pspv)</f>
        <v>7.03590836531931E-2</v>
      </c>
      <c r="M75" s="870"/>
      <c r="N75" s="870"/>
      <c r="O75" s="48">
        <f>IF(t&lt;Tnet,'2026'!Resal+('2026'!Salim-'2026'!Resal)*(1-EXP(('2026'!Tnet-t)/('2026'!Tau_j))),Resal+(Salim-Resal)*(1-EXP((Tnet-t)/(Tau_j))))*Salcycl</f>
        <v>9.0756707592055466E-2</v>
      </c>
      <c r="P75" s="171">
        <f>(INDEX(Models!$BJ75:$BT75,,T75)*(1-R75)+INDEX(Models!$BJ75:$BT75,,T75+1)*R75-ERP_i)*Q75*Ramure*Pc/MaxiM</f>
        <v>3.749995095548618E-3</v>
      </c>
      <c r="Q75" s="307">
        <f t="shared" si="4"/>
        <v>1</v>
      </c>
      <c r="R75" s="179">
        <f t="shared" si="5"/>
        <v>0.57514182920978341</v>
      </c>
      <c r="S75" s="837">
        <f t="shared" si="6"/>
        <v>-2</v>
      </c>
      <c r="T75" s="178">
        <f t="shared" si="7"/>
        <v>4</v>
      </c>
      <c r="U75" s="253">
        <f t="shared" si="8"/>
        <v>-1.4248581707902166</v>
      </c>
      <c r="V75" s="385">
        <f t="shared" si="9"/>
        <v>32.212556212990819</v>
      </c>
      <c r="W75" s="404">
        <f t="shared" si="10"/>
        <v>14.635829386757024</v>
      </c>
      <c r="X75" s="157">
        <f t="shared" si="11"/>
        <v>46448</v>
      </c>
      <c r="Y75" s="387">
        <f t="shared" si="12"/>
        <v>13.712715436086683</v>
      </c>
      <c r="Z75" s="387">
        <f t="shared" si="22"/>
        <v>14.750550664199778</v>
      </c>
      <c r="AA75" s="388">
        <f t="shared" si="13"/>
        <v>16.99955417860512</v>
      </c>
      <c r="AB75" s="199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0.13229779385837293</v>
      </c>
      <c r="AD75" s="233">
        <f>(INDEX(Models!$BJ75:$BT75,,AH75)*(1-AF75)+INDEX(Models!$BJ75:$BT75,,AH75+1)*AF75-ERP_i)*AE75*Ramure*Pc/MaxiM</f>
        <v>8.6297331613440664E-2</v>
      </c>
      <c r="AE75" s="307">
        <f t="shared" si="15"/>
        <v>1</v>
      </c>
      <c r="AF75" s="179">
        <f t="shared" si="23"/>
        <v>0.51012442213335385</v>
      </c>
      <c r="AG75" s="837">
        <f t="shared" si="24"/>
        <v>3</v>
      </c>
      <c r="AH75" s="178">
        <f t="shared" si="16"/>
        <v>9</v>
      </c>
      <c r="AI75" s="227">
        <f t="shared" si="17"/>
        <v>3.5101244221333538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46449</v>
      </c>
      <c r="B76" s="1139">
        <f>IF(t&gt;Tmaj,'2026'!Wh/'2026'!Env_an*'2027'!Env_an,0.001*'[5]mon-tableau'!$B$210)</f>
        <v>30.229557061054088</v>
      </c>
      <c r="C76" s="866"/>
      <c r="D76" s="395">
        <f t="shared" si="0"/>
        <v>32.518212173982484</v>
      </c>
      <c r="E76" s="387">
        <f t="shared" si="1"/>
        <v>35.770343681210967</v>
      </c>
      <c r="F76" s="387">
        <f t="shared" si="2"/>
        <v>35.890332410282397</v>
      </c>
      <c r="G76" s="110">
        <f t="shared" si="21"/>
        <v>0.92735693685455456</v>
      </c>
      <c r="H76" s="414" t="b">
        <f>Wh_hp&gt;='2026'!Maxi_hp</f>
        <v>0</v>
      </c>
      <c r="I76" s="392">
        <f>IF(H76,Wh_hp,'2026'!Maxi_hp)</f>
        <v>35.898321286854959</v>
      </c>
      <c r="J76" s="85">
        <f>IF(H76,An,'2026'!An_max)</f>
        <v>2026</v>
      </c>
      <c r="K76" s="199">
        <f t="shared" si="3"/>
        <v>46449</v>
      </c>
      <c r="L76" s="147">
        <f>IF(t&lt;Tvie,1-EXP((T0-t)*PertePVj)+'2026'!Pspv,1-EXP((T0-t)*PertePVj)+Pspv)</f>
        <v>7.038071775543453E-2</v>
      </c>
      <c r="M76" s="870"/>
      <c r="N76" s="870"/>
      <c r="O76" s="48">
        <f>IF(t&lt;Tnet,'2026'!Resal+('2026'!Salim-'2026'!Resal)*(1-EXP(('2026'!Tnet-t)/('2026'!Tau_j))),Resal+(Salim-Resal)*(1-EXP((Tnet-t)/(Tau_j))))*Salcycl</f>
        <v>9.0916976817774386E-2</v>
      </c>
      <c r="P76" s="171">
        <f>(INDEX(Models!$BJ76:$BT76,,T76)*(1-R76)+INDEX(Models!$BJ76:$BT76,,T76+1)*R76-ERP_i)*Q76*Ramure*Pc/MaxiM</f>
        <v>3.7281922779649934E-3</v>
      </c>
      <c r="Q76" s="307">
        <f t="shared" si="4"/>
        <v>1</v>
      </c>
      <c r="R76" s="179">
        <f t="shared" si="5"/>
        <v>0.57560890898358452</v>
      </c>
      <c r="S76" s="837">
        <f t="shared" si="6"/>
        <v>-2</v>
      </c>
      <c r="T76" s="178">
        <f t="shared" si="7"/>
        <v>4</v>
      </c>
      <c r="U76" s="253">
        <f t="shared" si="8"/>
        <v>-1.4243910910164155</v>
      </c>
      <c r="V76" s="385">
        <f t="shared" si="9"/>
        <v>32.58495064667833</v>
      </c>
      <c r="W76" s="404">
        <f t="shared" si="10"/>
        <v>30.229557061054088</v>
      </c>
      <c r="X76" s="157">
        <f t="shared" si="11"/>
        <v>46449</v>
      </c>
      <c r="Y76" s="387">
        <f t="shared" si="12"/>
        <v>26.76768943395237</v>
      </c>
      <c r="Z76" s="387">
        <f t="shared" si="22"/>
        <v>28.79424937198139</v>
      </c>
      <c r="AA76" s="388">
        <f t="shared" si="13"/>
        <v>33.187619752832134</v>
      </c>
      <c r="AB76" s="199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0.13237979745371248</v>
      </c>
      <c r="AD76" s="233">
        <f>(INDEX(Models!$BJ76:$BT76,,AH76)*(1-AF76)+INDEX(Models!$BJ76:$BT76,,AH76+1)*AF76-ERP_i)*AE76*Ramure*Pc/MaxiM</f>
        <v>8.3976491267488629E-2</v>
      </c>
      <c r="AE76" s="307">
        <f t="shared" si="15"/>
        <v>1</v>
      </c>
      <c r="AF76" s="179">
        <f t="shared" si="23"/>
        <v>0.51059150190715474</v>
      </c>
      <c r="AG76" s="837">
        <f t="shared" si="24"/>
        <v>3</v>
      </c>
      <c r="AH76" s="178">
        <f t="shared" si="16"/>
        <v>9</v>
      </c>
      <c r="AI76" s="227">
        <f t="shared" si="17"/>
        <v>3.5105915019071547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46450</v>
      </c>
      <c r="B77" s="1139">
        <f>IF(t&gt;Tmaj,'2026'!Wh/'2026'!Env_an*'2027'!Env_an,0.001*'[5]mon-tableau'!$B$211)</f>
        <v>5.7420530762150417</v>
      </c>
      <c r="C77" s="866"/>
      <c r="D77" s="395">
        <f t="shared" si="0"/>
        <v>6.1769229780001558</v>
      </c>
      <c r="E77" s="387">
        <f t="shared" si="1"/>
        <v>6.7958703880792788</v>
      </c>
      <c r="F77" s="387">
        <f t="shared" si="2"/>
        <v>6.7958703880792788</v>
      </c>
      <c r="G77" s="110">
        <f t="shared" si="21"/>
        <v>0.1735777058428232</v>
      </c>
      <c r="H77" s="414" t="b">
        <f>Wh_hp&gt;='2026'!Maxi_hp</f>
        <v>0</v>
      </c>
      <c r="I77" s="392">
        <f>IF(H77,Wh_hp,'2026'!Maxi_hp)</f>
        <v>29.720518011114656</v>
      </c>
      <c r="J77" s="85">
        <f>IF(H77,An,'2026'!An_max)</f>
        <v>2021</v>
      </c>
      <c r="K77" s="199">
        <f t="shared" si="3"/>
        <v>46450</v>
      </c>
      <c r="L77" s="147">
        <f>IF(t&lt;Tvie,1-EXP((T0-t)*PertePVj)+'2026'!Pspv,1-EXP((T0-t)*PertePVj)+Pspv)</f>
        <v>7.0402351354218684E-2</v>
      </c>
      <c r="M77" s="870"/>
      <c r="N77" s="870"/>
      <c r="O77" s="48">
        <f>IF(t&lt;Tnet,'2026'!Resal+('2026'!Salim-'2026'!Resal)*(1-EXP(('2026'!Tnet-t)/('2026'!Tau_j))),Resal+(Salim-Resal)*(1-EXP((Tnet-t)/(Tau_j))))*Salcycl</f>
        <v>9.1076988631923581E-2</v>
      </c>
      <c r="P77" s="171">
        <f>(INDEX(Models!$BJ77:$BT77,,T77)*(1-R77)+INDEX(Models!$BJ77:$BT77,,T77+1)*R77-ERP_i)*Q77*Ramure*Pc/MaxiM</f>
        <v>3.7167237528623514E-3</v>
      </c>
      <c r="Q77" s="307">
        <f t="shared" si="4"/>
        <v>1</v>
      </c>
      <c r="R77" s="179">
        <f t="shared" si="5"/>
        <v>0.57609491134672197</v>
      </c>
      <c r="S77" s="837">
        <f t="shared" si="6"/>
        <v>-2</v>
      </c>
      <c r="T77" s="178">
        <f t="shared" si="7"/>
        <v>4</v>
      </c>
      <c r="U77" s="253">
        <f t="shared" si="8"/>
        <v>-1.423905088653278</v>
      </c>
      <c r="V77" s="385">
        <f t="shared" si="9"/>
        <v>32.957639481286002</v>
      </c>
      <c r="W77" s="404">
        <f t="shared" si="10"/>
        <v>5.7420530762150417</v>
      </c>
      <c r="X77" s="157">
        <f t="shared" si="11"/>
        <v>46450</v>
      </c>
      <c r="Y77" s="387">
        <f t="shared" si="12"/>
        <v>5.4806082132290799</v>
      </c>
      <c r="Z77" s="387">
        <f t="shared" si="22"/>
        <v>5.8956777926591322</v>
      </c>
      <c r="AA77" s="388">
        <f t="shared" si="13"/>
        <v>6.7958703880792788</v>
      </c>
      <c r="AB77" s="199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0.13246170748035244</v>
      </c>
      <c r="AD77" s="233">
        <f>(INDEX(Models!$BJ77:$BT77,,AH77)*(1-AF77)+INDEX(Models!$BJ77:$BT77,,AH77+1)*AF77-ERP_i)*AE77*Ramure*Pc/MaxiM</f>
        <v>8.1705653628113467E-2</v>
      </c>
      <c r="AE77" s="307">
        <f t="shared" si="15"/>
        <v>1</v>
      </c>
      <c r="AF77" s="179">
        <f t="shared" si="23"/>
        <v>0.51107750427029242</v>
      </c>
      <c r="AG77" s="837">
        <f t="shared" si="24"/>
        <v>3</v>
      </c>
      <c r="AH77" s="178">
        <f t="shared" si="16"/>
        <v>9</v>
      </c>
      <c r="AI77" s="227">
        <f t="shared" si="17"/>
        <v>3.5110775042702924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46451</v>
      </c>
      <c r="B78" s="1139">
        <f>IF(t&gt;Tmaj,'2026'!Wh/'2026'!Env_an*'2027'!Env_an,0.001*'[5]mon-tableau'!$B$212)</f>
        <v>12.861055553427724</v>
      </c>
      <c r="C78" s="866"/>
      <c r="D78" s="395">
        <f t="shared" si="0"/>
        <v>13.835399513628943</v>
      </c>
      <c r="E78" s="387">
        <f t="shared" si="1"/>
        <v>15.224427102223153</v>
      </c>
      <c r="F78" s="387">
        <f t="shared" si="2"/>
        <v>15.231368777402107</v>
      </c>
      <c r="G78" s="110">
        <f t="shared" si="21"/>
        <v>0.3846091575065701</v>
      </c>
      <c r="H78" s="414" t="b">
        <f>Wh_hp&gt;='2026'!Maxi_hp</f>
        <v>0</v>
      </c>
      <c r="I78" s="392">
        <f>IF(H78,Wh_hp,'2026'!Maxi_hp)</f>
        <v>38.596496043622651</v>
      </c>
      <c r="J78" s="85">
        <f>IF(H78,An,'2026'!An_max)</f>
        <v>2019</v>
      </c>
      <c r="K78" s="199">
        <f t="shared" si="3"/>
        <v>46451</v>
      </c>
      <c r="L78" s="147">
        <f>IF(t&lt;Tvie,1-EXP((T0-t)*PertePVj)+'2026'!Pspv,1-EXP((T0-t)*PertePVj)+Pspv)</f>
        <v>7.0423984449557442E-2</v>
      </c>
      <c r="M78" s="870"/>
      <c r="N78" s="870"/>
      <c r="O78" s="48">
        <f>IF(t&lt;Tnet,'2026'!Resal+('2026'!Salim-'2026'!Resal)*(1-EXP(('2026'!Tnet-t)/('2026'!Tau_j))),Resal+(Salim-Resal)*(1-EXP((Tnet-t)/(Tau_j))))*Salcycl</f>
        <v>9.1236772278372097E-2</v>
      </c>
      <c r="P78" s="171">
        <f>(INDEX(Models!$BJ78:$BT78,,T78)*(1-R78)+INDEX(Models!$BJ78:$BT78,,T78+1)*R78-ERP_i)*Q78*Ramure*Pc/MaxiM</f>
        <v>3.7153063921252197E-3</v>
      </c>
      <c r="Q78" s="307">
        <f t="shared" si="4"/>
        <v>1</v>
      </c>
      <c r="R78" s="179">
        <f t="shared" si="5"/>
        <v>0.57660057408737586</v>
      </c>
      <c r="S78" s="837">
        <f t="shared" si="6"/>
        <v>-2</v>
      </c>
      <c r="T78" s="178">
        <f t="shared" si="7"/>
        <v>4</v>
      </c>
      <c r="U78" s="253">
        <f t="shared" si="8"/>
        <v>-1.4233994259126241</v>
      </c>
      <c r="V78" s="385">
        <f t="shared" si="9"/>
        <v>33.33023885477477</v>
      </c>
      <c r="W78" s="404">
        <f t="shared" si="10"/>
        <v>12.861055553427724</v>
      </c>
      <c r="X78" s="157">
        <f t="shared" si="11"/>
        <v>46451</v>
      </c>
      <c r="Y78" s="387">
        <f t="shared" si="12"/>
        <v>12.162316412181157</v>
      </c>
      <c r="Z78" s="387">
        <f t="shared" si="22"/>
        <v>13.083724417071281</v>
      </c>
      <c r="AA78" s="388">
        <f t="shared" si="13"/>
        <v>15.082860533349072</v>
      </c>
      <c r="AB78" s="199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0.13254356571537521</v>
      </c>
      <c r="AD78" s="233">
        <f>(INDEX(Models!$BJ78:$BT78,,AH78)*(1-AF78)+INDEX(Models!$BJ78:$BT78,,AH78+1)*AF78-ERP_i)*AE78*Ramure*Pc/MaxiM</f>
        <v>7.9484218749735686E-2</v>
      </c>
      <c r="AE78" s="307">
        <f t="shared" si="15"/>
        <v>1</v>
      </c>
      <c r="AF78" s="179">
        <f t="shared" si="23"/>
        <v>0.5115831670109463</v>
      </c>
      <c r="AG78" s="837">
        <f t="shared" si="24"/>
        <v>3</v>
      </c>
      <c r="AH78" s="178">
        <f t="shared" si="16"/>
        <v>9</v>
      </c>
      <c r="AI78" s="227">
        <f t="shared" si="17"/>
        <v>3.5115831670109463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46452</v>
      </c>
      <c r="B79" s="1139">
        <f>IF(t&gt;Tmaj,'2026'!Wh/'2026'!Env_an*'2027'!Env_an,0.001*'[5]mon-tableau'!$B$213)</f>
        <v>18.8538866890426</v>
      </c>
      <c r="C79" s="866"/>
      <c r="D79" s="395">
        <f t="shared" ref="D79:D142" si="25">Wh/(1-Ppv)</f>
        <v>20.28271506722977</v>
      </c>
      <c r="E79" s="387">
        <f t="shared" si="1"/>
        <v>22.322951605427761</v>
      </c>
      <c r="F79" s="387">
        <f t="shared" ref="F79:F142" si="26">Wh_sa/(1-Pvg*MEDIAN((-Sdif+Wh/Env_an)/Csdif,0,1))</f>
        <v>22.353793721790556</v>
      </c>
      <c r="G79" s="110">
        <f t="shared" si="21"/>
        <v>0.55807395763103118</v>
      </c>
      <c r="H79" s="414" t="b">
        <f>Wh_hp&gt;='2026'!Maxi_hp</f>
        <v>0</v>
      </c>
      <c r="I79" s="392">
        <f>IF(H79,Wh_hp,'2026'!Maxi_hp)</f>
        <v>24.169421383322462</v>
      </c>
      <c r="J79" s="85">
        <f>IF(H79,An,'2026'!An_max)</f>
        <v>2019</v>
      </c>
      <c r="K79" s="199">
        <f t="shared" ref="K79:K142" si="27">t</f>
        <v>46452</v>
      </c>
      <c r="L79" s="147">
        <f>IF(t&lt;Tvie,1-EXP((T0-t)*PertePVj)+'2026'!Pspv,1-EXP((T0-t)*PertePVj)+Pspv)</f>
        <v>7.0445617041462461E-2</v>
      </c>
      <c r="M79" s="870"/>
      <c r="N79" s="870"/>
      <c r="O79" s="48">
        <f>IF(t&lt;Tnet,'2026'!Resal+('2026'!Salim-'2026'!Resal)*(1-EXP(('2026'!Tnet-t)/('2026'!Tau_j))),Resal+(Salim-Resal)*(1-EXP((Tnet-t)/(Tau_j))))*Salcycl</f>
        <v>9.1396360761805032E-2</v>
      </c>
      <c r="P79" s="171">
        <f>(INDEX(Models!$BJ79:$BT79,,T79)*(1-R79)+INDEX(Models!$BJ79:$BT79,,T79+1)*R79-ERP_i)*Q79*Ramure*Pc/MaxiM</f>
        <v>3.7234291278767173E-3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0.57712666134123336</v>
      </c>
      <c r="S79" s="837">
        <f t="shared" ref="S79:S142" si="30">INDEX(Echel_vg,T79)</f>
        <v>-2</v>
      </c>
      <c r="T79" s="178">
        <f t="shared" ref="T79:T142" si="31">MIN(MATCH(Hp_vg,Echel_vg),10)</f>
        <v>4</v>
      </c>
      <c r="U79" s="253">
        <f t="shared" ref="U79:U142" si="32">IF(OR(t&lt;Ttai,Notai),Hdd+PousH*Croivg,Hdtf+PousH*(Croivg-Croi_tai))</f>
        <v>-1.4228733386587666</v>
      </c>
      <c r="V79" s="385">
        <f t="shared" ref="V79:V142" si="33">MaxiM*(1-Ppv)*(1-Pvg)*(1-Psa)</f>
        <v>33.704560967621781</v>
      </c>
      <c r="W79" s="404">
        <f t="shared" ref="W79:W142" si="34">Wh*(A79&gt;Tmaj)</f>
        <v>18.8538866890426</v>
      </c>
      <c r="X79" s="157">
        <f t="shared" ref="X79:X142" si="35">t</f>
        <v>46452</v>
      </c>
      <c r="Y79" s="387">
        <f t="shared" ref="Y79:Y142" si="36">Wh_pvt_s*(1-Ppv)</f>
        <v>17.506938694474663</v>
      </c>
      <c r="Z79" s="387">
        <f t="shared" ref="Z79:Z142" si="37">Wh_sa_s*(1-Psa_s)</f>
        <v>18.833689577961522</v>
      </c>
      <c r="AA79" s="388">
        <f t="shared" ref="AA79:AA142" si="38">Wh_hp*(1-Pvg_s*MEDIAN((-Sdif+Wh/Env_an)/Csdif,0,1))</f>
        <v>21.713444220096015</v>
      </c>
      <c r="AB79" s="199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0.13262541920775747</v>
      </c>
      <c r="AD79" s="233">
        <f>(INDEX(Models!$BJ79:$BT79,,AH79)*(1-AF79)+INDEX(Models!$BJ79:$BT79,,AH79+1)*AF79-ERP_i)*AE79*Ramure*Pc/MaxiM</f>
        <v>7.7306497342284577E-2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0.51210925426480358</v>
      </c>
      <c r="AG79" s="837">
        <f t="shared" si="24"/>
        <v>3</v>
      </c>
      <c r="AH79" s="178">
        <f t="shared" ref="AH79:AH142" si="42">MIN(MATCH(Hp_vg_s,Echel_vg),10)</f>
        <v>9</v>
      </c>
      <c r="AI79" s="227">
        <f t="shared" ref="AI79:AI142" si="43">IF(OR(t&lt;Ttai,Notai),Hdd_s+PousH*Croivg,Hdtai_s+PousH*(Croivg-Croi_tai))</f>
        <v>3.5121092542648036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46453</v>
      </c>
      <c r="B80" s="1139">
        <f>IF(t&gt;Tmaj,'2026'!Wh/'2026'!Env_an*'2027'!Env_an,0.001*'[5]mon-tableau'!$B$214)</f>
        <v>32.1292078572856</v>
      </c>
      <c r="C80" s="866"/>
      <c r="D80" s="395">
        <f t="shared" si="25"/>
        <v>34.564901373525842</v>
      </c>
      <c r="E80" s="387">
        <f t="shared" ref="E80:E143" si="47">Wh_pvt/(1-Psa)</f>
        <v>38.048458038499305</v>
      </c>
      <c r="F80" s="387">
        <f t="shared" si="26"/>
        <v>38.17951738605521</v>
      </c>
      <c r="G80" s="110">
        <f t="shared" ref="G80:G143" si="48">+Wh_hp/MaxiM</f>
        <v>0.94240387171318796</v>
      </c>
      <c r="H80" s="414" t="b">
        <f>Wh_hp&gt;='2026'!Maxi_hp</f>
        <v>0</v>
      </c>
      <c r="I80" s="392">
        <f>IF(H80,Wh_hp,'2026'!Maxi_hp)</f>
        <v>38.18616898348121</v>
      </c>
      <c r="J80" s="85">
        <f>IF(H80,An,'2026'!An_max)</f>
        <v>2026</v>
      </c>
      <c r="K80" s="199">
        <f t="shared" si="27"/>
        <v>46453</v>
      </c>
      <c r="L80" s="147">
        <f>IF(t&lt;Tvie,1-EXP((T0-t)*PertePVj)+'2026'!Pspv,1-EXP((T0-t)*PertePVj)+Pspv)</f>
        <v>7.0467249129945508E-2</v>
      </c>
      <c r="M80" s="870"/>
      <c r="N80" s="870"/>
      <c r="O80" s="48">
        <f>IF(t&lt;Tnet,'2026'!Resal+('2026'!Salim-'2026'!Resal)*(1-EXP(('2026'!Tnet-t)/('2026'!Tau_j))),Resal+(Salim-Resal)*(1-EXP((Tnet-t)/(Tau_j))))*Salcycl</f>
        <v>9.1555790814140947E-2</v>
      </c>
      <c r="P80" s="171">
        <f>(INDEX(Models!$BJ80:$BT80,,T80)*(1-R80)+INDEX(Models!$BJ80:$BT80,,T80+1)*R80-ERP_i)*Q80*Ramure*Pc/MaxiM</f>
        <v>3.738795938414714E-3</v>
      </c>
      <c r="Q80" s="307">
        <f t="shared" si="28"/>
        <v>1</v>
      </c>
      <c r="R80" s="179">
        <f t="shared" si="29"/>
        <v>0.57767396432744311</v>
      </c>
      <c r="S80" s="837">
        <f t="shared" si="30"/>
        <v>-2</v>
      </c>
      <c r="T80" s="178">
        <f t="shared" si="31"/>
        <v>4</v>
      </c>
      <c r="U80" s="253">
        <f t="shared" si="32"/>
        <v>-1.4223260356725569</v>
      </c>
      <c r="V80" s="385">
        <f t="shared" si="33"/>
        <v>34.082351275521702</v>
      </c>
      <c r="W80" s="404">
        <f t="shared" si="34"/>
        <v>32.1292078572856</v>
      </c>
      <c r="X80" s="157">
        <f t="shared" si="35"/>
        <v>46453</v>
      </c>
      <c r="Y80" s="387">
        <f t="shared" si="36"/>
        <v>28.655703658774776</v>
      </c>
      <c r="Z80" s="387">
        <f t="shared" si="37"/>
        <v>30.828073171120298</v>
      </c>
      <c r="AA80" s="388">
        <f t="shared" si="38"/>
        <v>35.545178564497654</v>
      </c>
      <c r="AB80" s="199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0.13270732020147386</v>
      </c>
      <c r="AD80" s="233">
        <f>(INDEX(Models!$BJ80:$BT80,,AH80)*(1-AF80)+INDEX(Models!$BJ80:$BT80,,AH80+1)*AF80-ERP_i)*AE80*Ramure*Pc/MaxiM</f>
        <v>7.5151108792500823E-2</v>
      </c>
      <c r="AE80" s="307">
        <f t="shared" si="40"/>
        <v>1</v>
      </c>
      <c r="AF80" s="179">
        <f t="shared" si="41"/>
        <v>0.51265655725101356</v>
      </c>
      <c r="AG80" s="837">
        <f t="shared" ref="AG80:AG143" si="49">INDEX(Echel_vg,AH80)</f>
        <v>3</v>
      </c>
      <c r="AH80" s="178">
        <f t="shared" si="42"/>
        <v>9</v>
      </c>
      <c r="AI80" s="227">
        <f t="shared" si="43"/>
        <v>3.5126565572510136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46454</v>
      </c>
      <c r="B81" s="1139">
        <f>IF(t&gt;Tmaj,'2026'!Wh/'2026'!Env_an*'2027'!Env_an,0.001*'[5]mon-tableau'!$B$215)</f>
        <v>25.908312352680984</v>
      </c>
      <c r="C81" s="866"/>
      <c r="D81" s="395">
        <f t="shared" si="25"/>
        <v>27.873052635035418</v>
      </c>
      <c r="E81" s="387">
        <f t="shared" si="47"/>
        <v>30.687565897138995</v>
      </c>
      <c r="F81" s="387">
        <f t="shared" si="26"/>
        <v>30.762039100929179</v>
      </c>
      <c r="G81" s="110">
        <f t="shared" si="48"/>
        <v>0.75076106317549618</v>
      </c>
      <c r="H81" s="414" t="b">
        <f>Wh_hp&gt;='2026'!Maxi_hp</f>
        <v>0</v>
      </c>
      <c r="I81" s="392">
        <f>IF(H81,Wh_hp,'2026'!Maxi_hp)</f>
        <v>30.785304650646509</v>
      </c>
      <c r="J81" s="85">
        <f>IF(H81,An,'2026'!An_max)</f>
        <v>2026</v>
      </c>
      <c r="K81" s="199">
        <f t="shared" si="27"/>
        <v>46454</v>
      </c>
      <c r="L81" s="147">
        <f>IF(t&lt;Tvie,1-EXP((T0-t)*PertePVj)+'2026'!Pspv,1-EXP((T0-t)*PertePVj)+Pspv)</f>
        <v>7.0488880715018132E-2</v>
      </c>
      <c r="M81" s="870"/>
      <c r="N81" s="870"/>
      <c r="O81" s="48">
        <f>IF(t&lt;Tnet,'2026'!Resal+('2026'!Salim-'2026'!Resal)*(1-EXP(('2026'!Tnet-t)/('2026'!Tau_j))),Resal+(Salim-Resal)*(1-EXP((Tnet-t)/(Tau_j))))*Salcycl</f>
        <v>9.1715102837986145E-2</v>
      </c>
      <c r="P81" s="171">
        <f>(INDEX(Models!$BJ81:$BT81,,T81)*(1-R81)+INDEX(Models!$BJ81:$BT81,,T81+1)*R81-ERP_i)*Q81*Ramure*Pc/MaxiM</f>
        <v>3.7512134945027081E-3</v>
      </c>
      <c r="Q81" s="307">
        <f t="shared" si="28"/>
        <v>1</v>
      </c>
      <c r="R81" s="179">
        <f t="shared" si="29"/>
        <v>0.57824330208693731</v>
      </c>
      <c r="S81" s="837">
        <f t="shared" si="30"/>
        <v>-2</v>
      </c>
      <c r="T81" s="178">
        <f t="shared" si="31"/>
        <v>4</v>
      </c>
      <c r="U81" s="253">
        <f t="shared" si="32"/>
        <v>-1.4217566979130627</v>
      </c>
      <c r="V81" s="385">
        <f t="shared" si="33"/>
        <v>34.463379854007655</v>
      </c>
      <c r="W81" s="404">
        <f t="shared" si="34"/>
        <v>25.908312352680984</v>
      </c>
      <c r="X81" s="157">
        <f t="shared" si="35"/>
        <v>46454</v>
      </c>
      <c r="Y81" s="387">
        <f t="shared" si="36"/>
        <v>23.628427826353217</v>
      </c>
      <c r="Z81" s="387">
        <f t="shared" si="37"/>
        <v>25.420274525095703</v>
      </c>
      <c r="AA81" s="388">
        <f t="shared" si="38"/>
        <v>29.31268639558019</v>
      </c>
      <c r="AB81" s="199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0.13278932602613294</v>
      </c>
      <c r="AD81" s="233">
        <f>(INDEX(Models!$BJ81:$BT81,,AH81)*(1-AF81)+INDEX(Models!$BJ81:$BT81,,AH81+1)*AF81-ERP_i)*AE81*Ramure*Pc/MaxiM</f>
        <v>7.3003861119182056E-2</v>
      </c>
      <c r="AE81" s="307">
        <f t="shared" si="40"/>
        <v>1</v>
      </c>
      <c r="AF81" s="179">
        <f t="shared" si="41"/>
        <v>0.51322589501050775</v>
      </c>
      <c r="AG81" s="837">
        <f t="shared" si="49"/>
        <v>3</v>
      </c>
      <c r="AH81" s="178">
        <f t="shared" si="42"/>
        <v>9</v>
      </c>
      <c r="AI81" s="227">
        <f t="shared" si="43"/>
        <v>3.5132258950105077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46455</v>
      </c>
      <c r="B82" s="1139">
        <f>IF(t&gt;Tmaj,'2026'!Wh/'2026'!Env_an*'2027'!Env_an,0.001*'[5]mon-tableau'!$B$216)</f>
        <v>26.966388705953054</v>
      </c>
      <c r="C82" s="866"/>
      <c r="D82" s="395">
        <f t="shared" si="25"/>
        <v>29.01204268385947</v>
      </c>
      <c r="E82" s="387">
        <f t="shared" si="47"/>
        <v>31.947167653334745</v>
      </c>
      <c r="F82" s="387">
        <f t="shared" si="26"/>
        <v>32.028706877869773</v>
      </c>
      <c r="G82" s="110">
        <f t="shared" si="48"/>
        <v>0.77290687154375814</v>
      </c>
      <c r="H82" s="414" t="b">
        <f>Wh_hp&gt;='2026'!Maxi_hp</f>
        <v>0</v>
      </c>
      <c r="I82" s="392">
        <f>IF(H82,Wh_hp,'2026'!Maxi_hp)</f>
        <v>39.162385004311176</v>
      </c>
      <c r="J82" s="85">
        <f>IF(H82,An,'2026'!An_max)</f>
        <v>2021</v>
      </c>
      <c r="K82" s="199">
        <f t="shared" si="27"/>
        <v>46455</v>
      </c>
      <c r="L82" s="147">
        <f>IF(t&lt;Tvie,1-EXP((T0-t)*PertePVj)+'2026'!Pspv,1-EXP((T0-t)*PertePVj)+Pspv)</f>
        <v>7.0510511796692321E-2</v>
      </c>
      <c r="M82" s="870"/>
      <c r="N82" s="870"/>
      <c r="O82" s="48">
        <f>IF(t&lt;Tnet,'2026'!Resal+('2026'!Salim-'2026'!Resal)*(1-EXP(('2026'!Tnet-t)/('2026'!Tau_j))),Resal+(Salim-Resal)*(1-EXP((Tnet-t)/(Tau_j))))*Salcycl</f>
        <v>9.1874340828110829E-2</v>
      </c>
      <c r="P82" s="171">
        <f>(INDEX(Models!$BJ82:$BT82,,T82)*(1-R82)+INDEX(Models!$BJ82:$BT82,,T82+1)*R82-ERP_i)*Q82*Ramure*Pc/MaxiM</f>
        <v>3.7608392510051032E-3</v>
      </c>
      <c r="Q82" s="307">
        <f t="shared" si="28"/>
        <v>1</v>
      </c>
      <c r="R82" s="179">
        <f t="shared" si="29"/>
        <v>0.57883552222115897</v>
      </c>
      <c r="S82" s="837">
        <f t="shared" si="30"/>
        <v>-2</v>
      </c>
      <c r="T82" s="178">
        <f t="shared" si="31"/>
        <v>4</v>
      </c>
      <c r="U82" s="253">
        <f t="shared" si="32"/>
        <v>-1.421164477778841</v>
      </c>
      <c r="V82" s="385">
        <f t="shared" si="33"/>
        <v>34.847070594992061</v>
      </c>
      <c r="W82" s="404">
        <f t="shared" si="34"/>
        <v>26.966388705953054</v>
      </c>
      <c r="X82" s="157">
        <f t="shared" si="35"/>
        <v>46455</v>
      </c>
      <c r="Y82" s="387">
        <f t="shared" si="36"/>
        <v>24.576349129433535</v>
      </c>
      <c r="Z82" s="387">
        <f t="shared" si="37"/>
        <v>26.440696147020802</v>
      </c>
      <c r="AA82" s="388">
        <f t="shared" si="38"/>
        <v>30.492246668413927</v>
      </c>
      <c r="AB82" s="199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0.13287149895681555</v>
      </c>
      <c r="AD82" s="233">
        <f>(INDEX(Models!$BJ82:$BT82,,AH82)*(1-AF82)+INDEX(Models!$BJ82:$BT82,,AH82+1)*AF82-ERP_i)*AE82*Ramure*Pc/MaxiM</f>
        <v>7.0866259720767016E-2</v>
      </c>
      <c r="AE82" s="307">
        <f t="shared" si="40"/>
        <v>1</v>
      </c>
      <c r="AF82" s="179">
        <f t="shared" si="41"/>
        <v>0.51381811514472941</v>
      </c>
      <c r="AG82" s="837">
        <f t="shared" si="49"/>
        <v>3</v>
      </c>
      <c r="AH82" s="178">
        <f t="shared" si="42"/>
        <v>9</v>
      </c>
      <c r="AI82" s="227">
        <f t="shared" si="43"/>
        <v>3.5138181151447294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46456</v>
      </c>
      <c r="B83" s="1139">
        <f>IF(t&gt;Tmaj,'2026'!Wh/'2026'!Env_an*'2027'!Env_an,0.001*'[5]mon-tableau'!$B$217)</f>
        <v>18.90946671440156</v>
      </c>
      <c r="C83" s="866"/>
      <c r="D83" s="395">
        <f t="shared" si="25"/>
        <v>20.344400894850839</v>
      </c>
      <c r="E83" s="387">
        <f t="shared" si="47"/>
        <v>22.406555821265314</v>
      </c>
      <c r="F83" s="387">
        <f t="shared" si="26"/>
        <v>22.435139601077271</v>
      </c>
      <c r="G83" s="110">
        <f t="shared" si="48"/>
        <v>0.53535981616963146</v>
      </c>
      <c r="H83" s="414" t="b">
        <f>Wh_hp&gt;='2026'!Maxi_hp</f>
        <v>0</v>
      </c>
      <c r="I83" s="392">
        <f>IF(H83,Wh_hp,'2026'!Maxi_hp)</f>
        <v>39.155466400635383</v>
      </c>
      <c r="J83" s="85">
        <f>IF(H83,An,'2026'!An_max)</f>
        <v>2021</v>
      </c>
      <c r="K83" s="199">
        <f t="shared" si="27"/>
        <v>46456</v>
      </c>
      <c r="L83" s="147">
        <f>IF(t&lt;Tvie,1-EXP((T0-t)*PertePVj)+'2026'!Pspv,1-EXP((T0-t)*PertePVj)+Pspv)</f>
        <v>7.0532142374979512E-2</v>
      </c>
      <c r="M83" s="870"/>
      <c r="N83" s="870"/>
      <c r="O83" s="48">
        <f>IF(t&lt;Tnet,'2026'!Resal+('2026'!Salim-'2026'!Resal)*(1-EXP(('2026'!Tnet-t)/('2026'!Tau_j))),Resal+(Salim-Resal)*(1-EXP((Tnet-t)/(Tau_j))))*Salcycl</f>
        <v>9.2033552272114641E-2</v>
      </c>
      <c r="P83" s="171">
        <f>(INDEX(Models!$BJ83:$BT83,,T83)*(1-R83)+INDEX(Models!$BJ83:$BT83,,T83+1)*R83-ERP_i)*Q83*Ramure*Pc/MaxiM</f>
        <v>3.7678256617153798E-3</v>
      </c>
      <c r="Q83" s="307">
        <f t="shared" si="28"/>
        <v>1</v>
      </c>
      <c r="R83" s="179">
        <f t="shared" si="29"/>
        <v>0.57945150162903047</v>
      </c>
      <c r="S83" s="837">
        <f t="shared" si="30"/>
        <v>-2</v>
      </c>
      <c r="T83" s="178">
        <f t="shared" si="31"/>
        <v>4</v>
      </c>
      <c r="U83" s="253">
        <f t="shared" si="32"/>
        <v>-1.4205484983709695</v>
      </c>
      <c r="V83" s="385">
        <f t="shared" si="33"/>
        <v>35.232847638965723</v>
      </c>
      <c r="W83" s="404">
        <f t="shared" si="34"/>
        <v>18.90946671440156</v>
      </c>
      <c r="X83" s="157">
        <f t="shared" si="35"/>
        <v>46456</v>
      </c>
      <c r="Y83" s="387">
        <f t="shared" si="36"/>
        <v>17.660033183580456</v>
      </c>
      <c r="Z83" s="387">
        <f t="shared" si="37"/>
        <v>19.000154807618021</v>
      </c>
      <c r="AA83" s="388">
        <f t="shared" si="38"/>
        <v>21.913661730427908</v>
      </c>
      <c r="AB83" s="199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0.13295390604503021</v>
      </c>
      <c r="AD83" s="233">
        <f>(INDEX(Models!$BJ83:$BT83,,AH83)*(1-AF83)+INDEX(Models!$BJ83:$BT83,,AH83+1)*AF83-ERP_i)*AE83*Ramure*Pc/MaxiM</f>
        <v>6.8739603928358831E-2</v>
      </c>
      <c r="AE83" s="307">
        <f t="shared" si="40"/>
        <v>1</v>
      </c>
      <c r="AF83" s="179">
        <f t="shared" si="41"/>
        <v>0.51443409455260092</v>
      </c>
      <c r="AG83" s="837">
        <f t="shared" si="49"/>
        <v>3</v>
      </c>
      <c r="AH83" s="178">
        <f t="shared" si="42"/>
        <v>9</v>
      </c>
      <c r="AI83" s="227">
        <f t="shared" si="43"/>
        <v>3.5144340945526009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46457</v>
      </c>
      <c r="B84" s="1139">
        <f>IF(t&gt;Tmaj,'2026'!Wh/'2026'!Env_an*'2027'!Env_an,0.001*'[5]mon-tableau'!$B$218)</f>
        <v>13.445489834235268</v>
      </c>
      <c r="C84" s="866"/>
      <c r="D84" s="395">
        <f t="shared" si="25"/>
        <v>14.46612986926174</v>
      </c>
      <c r="E84" s="387">
        <f t="shared" si="47"/>
        <v>15.935244486431131</v>
      </c>
      <c r="F84" s="387">
        <f t="shared" si="26"/>
        <v>15.941899935996306</v>
      </c>
      <c r="G84" s="110">
        <f t="shared" si="48"/>
        <v>0.37620192656092161</v>
      </c>
      <c r="H84" s="414" t="b">
        <f>Wh_hp&gt;='2026'!Maxi_hp</f>
        <v>0</v>
      </c>
      <c r="I84" s="392">
        <f>IF(H84,Wh_hp,'2026'!Maxi_hp)</f>
        <v>33.082890956820819</v>
      </c>
      <c r="J84" s="85">
        <f>IF(H84,An,'2026'!An_max)</f>
        <v>2019</v>
      </c>
      <c r="K84" s="199">
        <f t="shared" si="27"/>
        <v>46457</v>
      </c>
      <c r="L84" s="147">
        <f>IF(t&lt;Tvie,1-EXP((T0-t)*PertePVj)+'2026'!Pspv,1-EXP((T0-t)*PertePVj)+Pspv)</f>
        <v>7.0553772449891583E-2</v>
      </c>
      <c r="M84" s="870"/>
      <c r="N84" s="870"/>
      <c r="O84" s="48">
        <f>IF(t&lt;Tnet,'2026'!Resal+('2026'!Salim-'2026'!Resal)*(1-EXP(('2026'!Tnet-t)/('2026'!Tau_j))),Resal+(Salim-Resal)*(1-EXP((Tnet-t)/(Tau_j))))*Salcycl</f>
        <v>9.2192788031607673E-2</v>
      </c>
      <c r="P84" s="171">
        <f>(INDEX(Models!$BJ84:$BT84,,T84)*(1-R84)+INDEX(Models!$BJ84:$BT84,,T84+1)*R84-ERP_i)*Q84*Ramure*Pc/MaxiM</f>
        <v>3.7723199156861117E-3</v>
      </c>
      <c r="Q84" s="307">
        <f t="shared" si="28"/>
        <v>1</v>
      </c>
      <c r="R84" s="179">
        <f t="shared" si="29"/>
        <v>0.5800921472397611</v>
      </c>
      <c r="S84" s="837">
        <f t="shared" si="30"/>
        <v>-2</v>
      </c>
      <c r="T84" s="178">
        <f t="shared" si="31"/>
        <v>4</v>
      </c>
      <c r="U84" s="253">
        <f t="shared" si="32"/>
        <v>-1.4199078527602389</v>
      </c>
      <c r="V84" s="385">
        <f t="shared" si="33"/>
        <v>35.620135368785455</v>
      </c>
      <c r="W84" s="404">
        <f t="shared" si="34"/>
        <v>13.445489834235268</v>
      </c>
      <c r="X84" s="157">
        <f t="shared" si="35"/>
        <v>46457</v>
      </c>
      <c r="Y84" s="387">
        <f t="shared" si="36"/>
        <v>12.751199018433393</v>
      </c>
      <c r="Z84" s="387">
        <f t="shared" si="37"/>
        <v>13.71913580416996</v>
      </c>
      <c r="AA84" s="388">
        <f t="shared" si="38"/>
        <v>15.824354411746596</v>
      </c>
      <c r="AB84" s="199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0.13303661892291205</v>
      </c>
      <c r="AD84" s="233">
        <f>(INDEX(Models!$BJ84:$BT84,,AH84)*(1-AF84)+INDEX(Models!$BJ84:$BT84,,AH84+1)*AF84-ERP_i)*AE84*Ramure*Pc/MaxiM</f>
        <v>6.6624999225774806E-2</v>
      </c>
      <c r="AE84" s="307">
        <f t="shared" si="40"/>
        <v>1</v>
      </c>
      <c r="AF84" s="179">
        <f t="shared" si="41"/>
        <v>0.51507474016333177</v>
      </c>
      <c r="AG84" s="837">
        <f t="shared" si="49"/>
        <v>3</v>
      </c>
      <c r="AH84" s="178">
        <f t="shared" si="42"/>
        <v>9</v>
      </c>
      <c r="AI84" s="227">
        <f t="shared" si="43"/>
        <v>3.5150747401633318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46458</v>
      </c>
      <c r="B85" s="1139">
        <f>IF(t&gt;Tmaj,'2026'!Wh/'2026'!Env_an*'2027'!Env_an,0.001*'[5]mon-tableau'!$B$219)</f>
        <v>12.741627711663885</v>
      </c>
      <c r="C85" s="866"/>
      <c r="D85" s="395">
        <f t="shared" si="25"/>
        <v>13.709156976667204</v>
      </c>
      <c r="E85" s="387">
        <f t="shared" si="47"/>
        <v>15.104047516638666</v>
      </c>
      <c r="F85" s="387">
        <f t="shared" si="26"/>
        <v>15.108434622284783</v>
      </c>
      <c r="G85" s="110">
        <f t="shared" si="48"/>
        <v>0.35261873664413479</v>
      </c>
      <c r="H85" s="414" t="b">
        <f>Wh_hp&gt;='2026'!Maxi_hp</f>
        <v>0</v>
      </c>
      <c r="I85" s="392">
        <f>IF(H85,Wh_hp,'2026'!Maxi_hp)</f>
        <v>39.998388958381668</v>
      </c>
      <c r="J85" s="85">
        <f>IF(H85,An,'2026'!An_max)</f>
        <v>2020</v>
      </c>
      <c r="K85" s="199">
        <f t="shared" si="27"/>
        <v>46458</v>
      </c>
      <c r="L85" s="147">
        <f>IF(t&lt;Tvie,1-EXP((T0-t)*PertePVj)+'2026'!Pspv,1-EXP((T0-t)*PertePVj)+Pspv)</f>
        <v>7.0575402021440192E-2</v>
      </c>
      <c r="M85" s="870"/>
      <c r="N85" s="870"/>
      <c r="O85" s="48">
        <f>IF(t&lt;Tnet,'2026'!Resal+('2026'!Salim-'2026'!Resal)*(1-EXP(('2026'!Tnet-t)/('2026'!Tau_j))),Resal+(Salim-Resal)*(1-EXP((Tnet-t)/(Tau_j))))*Salcycl</f>
        <v>9.2352102205375486E-2</v>
      </c>
      <c r="P85" s="171">
        <f>(INDEX(Models!$BJ85:$BT85,,T85)*(1-R85)+INDEX(Models!$BJ85:$BT85,,T85+1)*R85-ERP_i)*Q85*Ramure*Pc/MaxiM</f>
        <v>3.774463741949537E-3</v>
      </c>
      <c r="Q85" s="307">
        <f t="shared" si="28"/>
        <v>1</v>
      </c>
      <c r="R85" s="179">
        <f t="shared" si="29"/>
        <v>0.58075839673885854</v>
      </c>
      <c r="S85" s="837">
        <f t="shared" si="30"/>
        <v>-2</v>
      </c>
      <c r="T85" s="178">
        <f t="shared" si="31"/>
        <v>4</v>
      </c>
      <c r="U85" s="253">
        <f t="shared" si="32"/>
        <v>-1.4192416032611415</v>
      </c>
      <c r="V85" s="385">
        <f t="shared" si="33"/>
        <v>36.008358408280358</v>
      </c>
      <c r="W85" s="404">
        <f t="shared" si="34"/>
        <v>12.741627711663885</v>
      </c>
      <c r="X85" s="157">
        <f t="shared" si="35"/>
        <v>46458</v>
      </c>
      <c r="Y85" s="387">
        <f t="shared" si="36"/>
        <v>12.112439172361084</v>
      </c>
      <c r="Z85" s="387">
        <f t="shared" si="37"/>
        <v>13.032191313534071</v>
      </c>
      <c r="AA85" s="388">
        <f t="shared" si="38"/>
        <v>15.03343831637754</v>
      </c>
      <c r="AB85" s="199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0.13311971358297295</v>
      </c>
      <c r="AD85" s="233">
        <f>(INDEX(Models!$BJ85:$BT85,,AH85)*(1-AF85)+INDEX(Models!$BJ85:$BT85,,AH85+1)*AF85-ERP_i)*AE85*Ramure*Pc/MaxiM</f>
        <v>6.4523369223526972E-2</v>
      </c>
      <c r="AE85" s="307">
        <f t="shared" si="40"/>
        <v>1</v>
      </c>
      <c r="AF85" s="179">
        <f t="shared" si="41"/>
        <v>0.51574098966242898</v>
      </c>
      <c r="AG85" s="837">
        <f t="shared" si="49"/>
        <v>3</v>
      </c>
      <c r="AH85" s="178">
        <f t="shared" si="42"/>
        <v>9</v>
      </c>
      <c r="AI85" s="227">
        <f t="shared" si="43"/>
        <v>3.515740989662429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46459</v>
      </c>
      <c r="B86" s="1139">
        <f>IF(t&gt;Tmaj,'2026'!Wh/'2026'!Env_an*'2027'!Env_an,0.001*'[5]mon-tableau'!$B$220)</f>
        <v>8.4115812924624329</v>
      </c>
      <c r="C86" s="866"/>
      <c r="D86" s="395">
        <f t="shared" si="25"/>
        <v>9.0505212204391992</v>
      </c>
      <c r="E86" s="387">
        <f t="shared" si="47"/>
        <v>9.9731530909812278</v>
      </c>
      <c r="F86" s="387">
        <f t="shared" si="26"/>
        <v>9.9731530909812278</v>
      </c>
      <c r="G86" s="110">
        <f t="shared" si="48"/>
        <v>0.23023452806122</v>
      </c>
      <c r="H86" s="414" t="b">
        <f>Wh_hp&gt;='2026'!Maxi_hp</f>
        <v>0</v>
      </c>
      <c r="I86" s="392">
        <f>IF(H86,Wh_hp,'2026'!Maxi_hp)</f>
        <v>40.074289078669288</v>
      </c>
      <c r="J86" s="85">
        <f>IF(H86,An,'2026'!An_max)</f>
        <v>2021</v>
      </c>
      <c r="K86" s="199">
        <f t="shared" si="27"/>
        <v>46459</v>
      </c>
      <c r="L86" s="147">
        <f>IF(t&lt;Tvie,1-EXP((T0-t)*PertePVj)+'2026'!Pspv,1-EXP((T0-t)*PertePVj)+Pspv)</f>
        <v>7.0597031089637108E-2</v>
      </c>
      <c r="M86" s="870"/>
      <c r="N86" s="870"/>
      <c r="O86" s="48">
        <f>IF(t&lt;Tnet,'2026'!Resal+('2026'!Salim-'2026'!Resal)*(1-EXP(('2026'!Tnet-t)/('2026'!Tau_j))),Resal+(Salim-Resal)*(1-EXP((Tnet-t)/(Tau_j))))*Salcycl</f>
        <v>9.2511551976111717E-2</v>
      </c>
      <c r="P86" s="171">
        <f>(INDEX(Models!$BJ86:$BT86,,T86)*(1-R86)+INDEX(Models!$BJ86:$BT86,,T86+1)*R86-ERP_i)*Q86*Ramure*Pc/MaxiM</f>
        <v>3.7715664736127944E-3</v>
      </c>
      <c r="Q86" s="307">
        <f t="shared" si="28"/>
        <v>1</v>
      </c>
      <c r="R86" s="179">
        <f t="shared" si="29"/>
        <v>0.58145121928444254</v>
      </c>
      <c r="S86" s="837">
        <f t="shared" si="30"/>
        <v>-2</v>
      </c>
      <c r="T86" s="178">
        <f t="shared" si="31"/>
        <v>4</v>
      </c>
      <c r="U86" s="253">
        <f t="shared" si="32"/>
        <v>-1.4185487807155575</v>
      </c>
      <c r="V86" s="385">
        <f t="shared" si="33"/>
        <v>36.39704489607</v>
      </c>
      <c r="W86" s="404">
        <f t="shared" si="34"/>
        <v>8.4115812924624329</v>
      </c>
      <c r="X86" s="157">
        <f t="shared" si="35"/>
        <v>46459</v>
      </c>
      <c r="Y86" s="387">
        <f t="shared" si="36"/>
        <v>8.034406579135787</v>
      </c>
      <c r="Z86" s="387">
        <f t="shared" si="37"/>
        <v>8.6446964856970165</v>
      </c>
      <c r="AA86" s="388">
        <f t="shared" si="38"/>
        <v>9.9731530909812278</v>
      </c>
      <c r="AB86" s="199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0.13320327013585517</v>
      </c>
      <c r="AD86" s="233">
        <f>(INDEX(Models!$BJ86:$BT86,,AH86)*(1-AF86)+INDEX(Models!$BJ86:$BT86,,AH86+1)*AF86-ERP_i)*AE86*Ramure*Pc/MaxiM</f>
        <v>6.2433878683219472E-2</v>
      </c>
      <c r="AE86" s="307">
        <f t="shared" si="40"/>
        <v>1</v>
      </c>
      <c r="AF86" s="179">
        <f t="shared" si="41"/>
        <v>0.51643381220801299</v>
      </c>
      <c r="AG86" s="837">
        <f t="shared" si="49"/>
        <v>3</v>
      </c>
      <c r="AH86" s="178">
        <f t="shared" si="42"/>
        <v>9</v>
      </c>
      <c r="AI86" s="227">
        <f t="shared" si="43"/>
        <v>3.516433812208013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46460</v>
      </c>
      <c r="B87" s="1139">
        <f>IF(t&gt;Tmaj,'2026'!Wh/'2026'!Env_an*'2027'!Env_an,0.001*'[5]mon-tableau'!$B$221)</f>
        <v>11.583945732224384</v>
      </c>
      <c r="C87" s="866"/>
      <c r="D87" s="395">
        <f t="shared" si="25"/>
        <v>12.464147093719298</v>
      </c>
      <c r="E87" s="387">
        <f t="shared" si="47"/>
        <v>13.737188832300951</v>
      </c>
      <c r="F87" s="387">
        <f t="shared" si="26"/>
        <v>13.738289966157858</v>
      </c>
      <c r="G87" s="110">
        <f t="shared" si="48"/>
        <v>0.31374408212444421</v>
      </c>
      <c r="H87" s="414" t="b">
        <f>Wh_hp&gt;='2026'!Maxi_hp</f>
        <v>0</v>
      </c>
      <c r="I87" s="392">
        <f>IF(H87,Wh_hp,'2026'!Maxi_hp)</f>
        <v>37.860664680473128</v>
      </c>
      <c r="J87" s="85">
        <f>IF(H87,An,'2026'!An_max)</f>
        <v>2020</v>
      </c>
      <c r="K87" s="199">
        <f t="shared" si="27"/>
        <v>46460</v>
      </c>
      <c r="L87" s="147">
        <f>IF(t&lt;Tvie,1-EXP((T0-t)*PertePVj)+'2026'!Pspv,1-EXP((T0-t)*PertePVj)+Pspv)</f>
        <v>7.0618659654493987E-2</v>
      </c>
      <c r="M87" s="870"/>
      <c r="N87" s="870"/>
      <c r="O87" s="48">
        <f>IF(t&lt;Tnet,'2026'!Resal+('2026'!Salim-'2026'!Resal)*(1-EXP(('2026'!Tnet-t)/('2026'!Tau_j))),Resal+(Salim-Resal)*(1-EXP((Tnet-t)/(Tau_j))))*Salcycl</f>
        <v>9.2671197442396991E-2</v>
      </c>
      <c r="P87" s="171">
        <f>(INDEX(Models!$BJ87:$BT87,,T87)*(1-R87)+INDEX(Models!$BJ87:$BT87,,T87+1)*R87-ERP_i)*Q87*Ramure*Pc/MaxiM</f>
        <v>3.7643706491840611E-3</v>
      </c>
      <c r="Q87" s="307">
        <f t="shared" si="28"/>
        <v>1</v>
      </c>
      <c r="R87" s="179">
        <f t="shared" si="29"/>
        <v>0.58217161621069535</v>
      </c>
      <c r="S87" s="837">
        <f t="shared" si="30"/>
        <v>-2</v>
      </c>
      <c r="T87" s="178">
        <f t="shared" si="31"/>
        <v>4</v>
      </c>
      <c r="U87" s="253">
        <f t="shared" si="32"/>
        <v>-1.4178283837893046</v>
      </c>
      <c r="V87" s="385">
        <f t="shared" si="33"/>
        <v>36.78560063807393</v>
      </c>
      <c r="W87" s="404">
        <f t="shared" si="34"/>
        <v>11.583945732224384</v>
      </c>
      <c r="X87" s="157">
        <f t="shared" si="35"/>
        <v>46460</v>
      </c>
      <c r="Y87" s="387">
        <f t="shared" si="36"/>
        <v>11.052057240791511</v>
      </c>
      <c r="Z87" s="387">
        <f t="shared" si="37"/>
        <v>11.891843273594031</v>
      </c>
      <c r="AA87" s="388">
        <f t="shared" si="38"/>
        <v>13.720629995392082</v>
      </c>
      <c r="AB87" s="199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0.13328737254865333</v>
      </c>
      <c r="AD87" s="233">
        <f>(INDEX(Models!$BJ87:$BT87,,AH87)*(1-AF87)+INDEX(Models!$BJ87:$BT87,,AH87+1)*AF87-ERP_i)*AE87*Ramure*Pc/MaxiM</f>
        <v>6.0372928503860175E-2</v>
      </c>
      <c r="AE87" s="307">
        <f t="shared" si="40"/>
        <v>1</v>
      </c>
      <c r="AF87" s="179">
        <f t="shared" si="41"/>
        <v>0.51715420913426557</v>
      </c>
      <c r="AG87" s="837">
        <f t="shared" si="49"/>
        <v>3</v>
      </c>
      <c r="AH87" s="178">
        <f t="shared" si="42"/>
        <v>9</v>
      </c>
      <c r="AI87" s="227">
        <f t="shared" si="43"/>
        <v>3.5171542091342656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46461</v>
      </c>
      <c r="B88" s="1139">
        <f>IF(t&gt;Tmaj,'2026'!Wh/'2026'!Env_an*'2027'!Env_an,0.001*'[5]mon-tableau'!$B$222)</f>
        <v>13.384478305320215</v>
      </c>
      <c r="C88" s="866"/>
      <c r="D88" s="395">
        <f t="shared" si="25"/>
        <v>14.401827546867473</v>
      </c>
      <c r="E88" s="387">
        <f t="shared" si="47"/>
        <v>15.875574625288985</v>
      </c>
      <c r="F88" s="387">
        <f t="shared" si="26"/>
        <v>15.880687970440835</v>
      </c>
      <c r="G88" s="110">
        <f t="shared" si="48"/>
        <v>0.3588189926333743</v>
      </c>
      <c r="H88" s="414" t="b">
        <f>Wh_hp&gt;='2026'!Maxi_hp</f>
        <v>0</v>
      </c>
      <c r="I88" s="392">
        <f>IF(H88,Wh_hp,'2026'!Maxi_hp)</f>
        <v>32.051148513928005</v>
      </c>
      <c r="J88" s="85">
        <f>IF(H88,An,'2026'!An_max)</f>
        <v>2020</v>
      </c>
      <c r="K88" s="199">
        <f t="shared" si="27"/>
        <v>46461</v>
      </c>
      <c r="L88" s="147">
        <f>IF(t&lt;Tvie,1-EXP((T0-t)*PertePVj)+'2026'!Pspv,1-EXP((T0-t)*PertePVj)+Pspv)</f>
        <v>7.0640287716022598E-2</v>
      </c>
      <c r="M88" s="870"/>
      <c r="N88" s="870"/>
      <c r="O88" s="48">
        <f>IF(t&lt;Tnet,'2026'!Resal+('2026'!Salim-'2026'!Resal)*(1-EXP(('2026'!Tnet-t)/('2026'!Tau_j))),Resal+(Salim-Resal)*(1-EXP((Tnet-t)/(Tau_j))))*Salcycl</f>
        <v>9.2831101437670718E-2</v>
      </c>
      <c r="P88" s="171">
        <f>(INDEX(Models!$BJ88:$BT88,,T88)*(1-R88)+INDEX(Models!$BJ88:$BT88,,T88+1)*R88-ERP_i)*Q88*Ramure*Pc/MaxiM</f>
        <v>3.7530672152389592E-3</v>
      </c>
      <c r="Q88" s="307">
        <f t="shared" si="28"/>
        <v>1</v>
      </c>
      <c r="R88" s="179">
        <f t="shared" si="29"/>
        <v>0.5829206217149796</v>
      </c>
      <c r="S88" s="837">
        <f t="shared" si="30"/>
        <v>-2</v>
      </c>
      <c r="T88" s="178">
        <f t="shared" si="31"/>
        <v>4</v>
      </c>
      <c r="U88" s="253">
        <f t="shared" si="32"/>
        <v>-1.4170793782850204</v>
      </c>
      <c r="V88" s="385">
        <f t="shared" si="33"/>
        <v>37.173451082225355</v>
      </c>
      <c r="W88" s="404">
        <f t="shared" si="34"/>
        <v>13.384478305320215</v>
      </c>
      <c r="X88" s="157">
        <f t="shared" si="35"/>
        <v>46461</v>
      </c>
      <c r="Y88" s="387">
        <f t="shared" si="36"/>
        <v>12.726431384292194</v>
      </c>
      <c r="Z88" s="387">
        <f t="shared" si="37"/>
        <v>13.693762722956809</v>
      </c>
      <c r="AA88" s="388">
        <f t="shared" si="38"/>
        <v>15.801202402042081</v>
      </c>
      <c r="AB88" s="199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0.13337210836644411</v>
      </c>
      <c r="AD88" s="233">
        <f>(INDEX(Models!$BJ88:$BT88,,AH88)*(1-AF88)+INDEX(Models!$BJ88:$BT88,,AH88+1)*AF88-ERP_i)*AE88*Ramure*Pc/MaxiM</f>
        <v>5.8340415517231729E-2</v>
      </c>
      <c r="AE88" s="307">
        <f t="shared" si="40"/>
        <v>1</v>
      </c>
      <c r="AF88" s="179">
        <f t="shared" si="41"/>
        <v>0.51790321463855005</v>
      </c>
      <c r="AG88" s="837">
        <f t="shared" si="49"/>
        <v>3</v>
      </c>
      <c r="AH88" s="178">
        <f t="shared" si="42"/>
        <v>9</v>
      </c>
      <c r="AI88" s="227">
        <f t="shared" si="43"/>
        <v>3.51790321463855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46462</v>
      </c>
      <c r="B89" s="1139">
        <f>IF(t&gt;Tmaj,'2026'!Wh/'2026'!Env_an*'2027'!Env_an,0.001*'[5]mon-tableau'!$B$223)</f>
        <v>11.745010442991543</v>
      </c>
      <c r="C89" s="866"/>
      <c r="D89" s="395">
        <f t="shared" si="25"/>
        <v>12.63803844481132</v>
      </c>
      <c r="E89" s="387">
        <f t="shared" si="47"/>
        <v>13.933757034083277</v>
      </c>
      <c r="F89" s="387">
        <f t="shared" si="26"/>
        <v>13.934702000013351</v>
      </c>
      <c r="G89" s="110">
        <f t="shared" si="48"/>
        <v>0.3115520824787737</v>
      </c>
      <c r="H89" s="414" t="b">
        <f>Wh_hp&gt;='2026'!Maxi_hp</f>
        <v>0</v>
      </c>
      <c r="I89" s="392">
        <f>IF(H89,Wh_hp,'2026'!Maxi_hp)</f>
        <v>45.887721120206436</v>
      </c>
      <c r="J89" s="85">
        <f>IF(H89,An,'2026'!An_max)</f>
        <v>2020</v>
      </c>
      <c r="K89" s="199">
        <f t="shared" si="27"/>
        <v>46462</v>
      </c>
      <c r="L89" s="147">
        <f>IF(t&lt;Tvie,1-EXP((T0-t)*PertePVj)+'2026'!Pspv,1-EXP((T0-t)*PertePVj)+Pspv)</f>
        <v>7.0661915274234599E-2</v>
      </c>
      <c r="M89" s="870"/>
      <c r="N89" s="870"/>
      <c r="O89" s="48">
        <f>IF(t&lt;Tnet,'2026'!Resal+('2026'!Salim-'2026'!Resal)*(1-EXP(('2026'!Tnet-t)/('2026'!Tau_j))),Resal+(Salim-Resal)*(1-EXP((Tnet-t)/(Tau_j))))*Salcycl</f>
        <v>9.2991329337988801E-2</v>
      </c>
      <c r="P89" s="171">
        <f>(INDEX(Models!$BJ89:$BT89,,T89)*(1-R89)+INDEX(Models!$BJ89:$BT89,,T89+1)*R89-ERP_i)*Q89*Ramure*Pc/MaxiM</f>
        <v>3.7378377491635814E-3</v>
      </c>
      <c r="Q89" s="307">
        <f t="shared" si="28"/>
        <v>1</v>
      </c>
      <c r="R89" s="179">
        <f t="shared" si="29"/>
        <v>0.58369930352486032</v>
      </c>
      <c r="S89" s="837">
        <f t="shared" si="30"/>
        <v>-2</v>
      </c>
      <c r="T89" s="178">
        <f t="shared" si="31"/>
        <v>4</v>
      </c>
      <c r="U89" s="253">
        <f t="shared" si="32"/>
        <v>-1.4163006964751397</v>
      </c>
      <c r="V89" s="385">
        <f t="shared" si="33"/>
        <v>37.56002193182411</v>
      </c>
      <c r="W89" s="404">
        <f t="shared" si="34"/>
        <v>11.745010442991543</v>
      </c>
      <c r="X89" s="157">
        <f t="shared" si="35"/>
        <v>46462</v>
      </c>
      <c r="Y89" s="387">
        <f t="shared" si="36"/>
        <v>11.210297636971331</v>
      </c>
      <c r="Z89" s="387">
        <f t="shared" si="37"/>
        <v>12.06266892664722</v>
      </c>
      <c r="AA89" s="388">
        <f t="shared" si="38"/>
        <v>13.920459618634895</v>
      </c>
      <c r="AB89" s="199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0.13345756841970283</v>
      </c>
      <c r="AD89" s="233">
        <f>(INDEX(Models!$BJ89:$BT89,,AH89)*(1-AF89)+INDEX(Models!$BJ89:$BT89,,AH89+1)*AF89-ERP_i)*AE89*Ramure*Pc/MaxiM</f>
        <v>5.633611653092814E-2</v>
      </c>
      <c r="AE89" s="307">
        <f t="shared" si="40"/>
        <v>1</v>
      </c>
      <c r="AF89" s="179">
        <f t="shared" si="41"/>
        <v>0.51868189644843055</v>
      </c>
      <c r="AG89" s="837">
        <f t="shared" si="49"/>
        <v>3</v>
      </c>
      <c r="AH89" s="178">
        <f t="shared" si="42"/>
        <v>9</v>
      </c>
      <c r="AI89" s="227">
        <f t="shared" si="43"/>
        <v>3.5186818964484305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46463</v>
      </c>
      <c r="B90" s="1139">
        <f>IF(t&gt;Tmaj,'2026'!Wh/'2026'!Env_an*'2027'!Env_an,0.001*'[5]mon-tableau'!$B$224)</f>
        <v>10.298839053321053</v>
      </c>
      <c r="C90" s="866"/>
      <c r="D90" s="395">
        <f t="shared" si="25"/>
        <v>11.082165787887787</v>
      </c>
      <c r="E90" s="387">
        <f t="shared" si="47"/>
        <v>12.220532176212995</v>
      </c>
      <c r="F90" s="387">
        <f t="shared" si="26"/>
        <v>12.220532176212995</v>
      </c>
      <c r="G90" s="110">
        <f t="shared" si="48"/>
        <v>0.27040742406889368</v>
      </c>
      <c r="H90" s="414" t="b">
        <f>Wh_hp&gt;='2026'!Maxi_hp</f>
        <v>0</v>
      </c>
      <c r="I90" s="392">
        <f>IF(H90,Wh_hp,'2026'!Maxi_hp)</f>
        <v>24.980493555127275</v>
      </c>
      <c r="J90" s="85">
        <f>IF(H90,An,'2026'!An_max)</f>
        <v>2021</v>
      </c>
      <c r="K90" s="199">
        <f t="shared" si="27"/>
        <v>46463</v>
      </c>
      <c r="L90" s="147">
        <f>IF(t&lt;Tvie,1-EXP((T0-t)*PertePVj)+'2026'!Pspv,1-EXP((T0-t)*PertePVj)+Pspv)</f>
        <v>7.0683542329141757E-2</v>
      </c>
      <c r="M90" s="870"/>
      <c r="N90" s="870"/>
      <c r="O90" s="48">
        <f>IF(t&lt;Tnet,'2026'!Resal+('2026'!Salim-'2026'!Resal)*(1-EXP(('2026'!Tnet-t)/('2026'!Tau_j))),Resal+(Salim-Resal)*(1-EXP((Tnet-t)/(Tau_j))))*Salcycl</f>
        <v>9.3151948860378933E-2</v>
      </c>
      <c r="P90" s="171">
        <f>(INDEX(Models!$BJ90:$BT90,,T90)*(1-R90)+INDEX(Models!$BJ90:$BT90,,T90+1)*R90-ERP_i)*Q90*Ramure*Pc/MaxiM</f>
        <v>3.718854375034887E-3</v>
      </c>
      <c r="Q90" s="307">
        <f t="shared" si="28"/>
        <v>1</v>
      </c>
      <c r="R90" s="179">
        <f t="shared" si="29"/>
        <v>0.58450876354093029</v>
      </c>
      <c r="S90" s="837">
        <f t="shared" si="30"/>
        <v>-2</v>
      </c>
      <c r="T90" s="178">
        <f t="shared" si="31"/>
        <v>4</v>
      </c>
      <c r="U90" s="253">
        <f t="shared" si="32"/>
        <v>-1.4154912364590697</v>
      </c>
      <c r="V90" s="385">
        <f t="shared" si="33"/>
        <v>37.944739150488999</v>
      </c>
      <c r="W90" s="404">
        <f t="shared" si="34"/>
        <v>10.298839053321053</v>
      </c>
      <c r="X90" s="157">
        <f t="shared" si="35"/>
        <v>46463</v>
      </c>
      <c r="Y90" s="387">
        <f t="shared" si="36"/>
        <v>9.8401187059211956</v>
      </c>
      <c r="Z90" s="387">
        <f t="shared" si="37"/>
        <v>10.588555302876527</v>
      </c>
      <c r="AA90" s="388">
        <f t="shared" si="38"/>
        <v>12.220532176212995</v>
      </c>
      <c r="AB90" s="199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0.13354384652029122</v>
      </c>
      <c r="AD90" s="233">
        <f>(INDEX(Models!$BJ90:$BT90,,AH90)*(1-AF90)+INDEX(Models!$BJ90:$BT90,,AH90+1)*AF90-ERP_i)*AE90*Ramure*Pc/MaxiM</f>
        <v>5.435969843080099E-2</v>
      </c>
      <c r="AE90" s="307">
        <f t="shared" si="40"/>
        <v>1</v>
      </c>
      <c r="AF90" s="179">
        <f t="shared" si="41"/>
        <v>0.51949135646450051</v>
      </c>
      <c r="AG90" s="837">
        <f t="shared" si="49"/>
        <v>3</v>
      </c>
      <c r="AH90" s="178">
        <f t="shared" si="42"/>
        <v>9</v>
      </c>
      <c r="AI90" s="227">
        <f t="shared" si="43"/>
        <v>3.5194913564645005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46464</v>
      </c>
      <c r="B91" s="1139">
        <f>IF(t&gt;Tmaj,'2026'!Wh/'2026'!Env_an*'2027'!Env_an,0.001*'[5]mon-tableau'!$B$225)</f>
        <v>12.92338019435031</v>
      </c>
      <c r="C91" s="866"/>
      <c r="D91" s="395">
        <f t="shared" si="25"/>
        <v>13.906652400923578</v>
      </c>
      <c r="E91" s="387">
        <f t="shared" si="47"/>
        <v>15.337876090441839</v>
      </c>
      <c r="F91" s="387">
        <f t="shared" si="26"/>
        <v>15.340888470405993</v>
      </c>
      <c r="G91" s="110">
        <f t="shared" si="48"/>
        <v>0.33600675293732934</v>
      </c>
      <c r="H91" s="414" t="b">
        <f>Wh_hp&gt;='2026'!Maxi_hp</f>
        <v>0</v>
      </c>
      <c r="I91" s="392">
        <f>IF(H91,Wh_hp,'2026'!Maxi_hp)</f>
        <v>30.158532920094469</v>
      </c>
      <c r="J91" s="85">
        <f>IF(H91,An,'2026'!An_max)</f>
        <v>2019</v>
      </c>
      <c r="K91" s="199">
        <f t="shared" si="27"/>
        <v>46464</v>
      </c>
      <c r="L91" s="147">
        <f>IF(t&lt;Tvie,1-EXP((T0-t)*PertePVj)+'2026'!Pspv,1-EXP((T0-t)*PertePVj)+Pspv)</f>
        <v>7.0705168880755731E-2</v>
      </c>
      <c r="M91" s="870"/>
      <c r="N91" s="870"/>
      <c r="O91" s="48">
        <f>IF(t&lt;Tnet,'2026'!Resal+('2026'!Salim-'2026'!Resal)*(1-EXP(('2026'!Tnet-t)/('2026'!Tau_j))),Resal+(Salim-Resal)*(1-EXP((Tnet-t)/(Tau_j))))*Salcycl</f>
        <v>9.3313029853602791E-2</v>
      </c>
      <c r="P91" s="171">
        <f>(INDEX(Models!$BJ91:$BT91,,T91)*(1-R91)+INDEX(Models!$BJ91:$BT91,,T91+1)*R91-ERP_i)*Q91*Ramure*Pc/MaxiM</f>
        <v>3.6962797307416168E-3</v>
      </c>
      <c r="Q91" s="307">
        <f t="shared" si="28"/>
        <v>1</v>
      </c>
      <c r="R91" s="179">
        <f t="shared" si="29"/>
        <v>0.58535013845100581</v>
      </c>
      <c r="S91" s="837">
        <f t="shared" si="30"/>
        <v>-2</v>
      </c>
      <c r="T91" s="178">
        <f t="shared" si="31"/>
        <v>4</v>
      </c>
      <c r="U91" s="253">
        <f t="shared" si="32"/>
        <v>-1.4146498615489942</v>
      </c>
      <c r="V91" s="385">
        <f t="shared" si="33"/>
        <v>38.327028970012421</v>
      </c>
      <c r="W91" s="404">
        <f t="shared" si="34"/>
        <v>12.92338019435031</v>
      </c>
      <c r="X91" s="157">
        <f t="shared" si="35"/>
        <v>46464</v>
      </c>
      <c r="Y91" s="387">
        <f t="shared" si="36"/>
        <v>12.316747267084924</v>
      </c>
      <c r="Z91" s="387">
        <f t="shared" si="37"/>
        <v>13.253863956448152</v>
      </c>
      <c r="AA91" s="388">
        <f t="shared" si="38"/>
        <v>15.298174975502777</v>
      </c>
      <c r="AB91" s="199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0.13363103914867053</v>
      </c>
      <c r="AD91" s="233">
        <f>(INDEX(Models!$BJ91:$BT91,,AH91)*(1-AF91)+INDEX(Models!$BJ91:$BT91,,AH91+1)*AF91-ERP_i)*AE91*Ramure*Pc/MaxiM</f>
        <v>5.2410727504012329E-2</v>
      </c>
      <c r="AE91" s="307">
        <f t="shared" si="40"/>
        <v>1</v>
      </c>
      <c r="AF91" s="179">
        <f t="shared" si="41"/>
        <v>0.52033273137457625</v>
      </c>
      <c r="AG91" s="837">
        <f t="shared" si="49"/>
        <v>3</v>
      </c>
      <c r="AH91" s="178">
        <f t="shared" si="42"/>
        <v>9</v>
      </c>
      <c r="AI91" s="227">
        <f t="shared" si="43"/>
        <v>3.5203327313745763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46465</v>
      </c>
      <c r="B92" s="1139">
        <f>IF(t&gt;Tmaj,'2026'!Wh/'2026'!Env_an*'2027'!Env_an,0.001*'[5]mon-tableau'!$B$226)</f>
        <v>26.02333534092503</v>
      </c>
      <c r="C92" s="866"/>
      <c r="D92" s="395">
        <f t="shared" si="25"/>
        <v>28.003966109126349</v>
      </c>
      <c r="E92" s="387">
        <f t="shared" si="47"/>
        <v>30.89154200303868</v>
      </c>
      <c r="F92" s="387">
        <f t="shared" si="26"/>
        <v>30.951966547016113</v>
      </c>
      <c r="G92" s="110">
        <f t="shared" si="48"/>
        <v>0.67117048483754382</v>
      </c>
      <c r="H92" s="414" t="b">
        <f>Wh_hp&gt;='2026'!Maxi_hp</f>
        <v>0</v>
      </c>
      <c r="I92" s="392">
        <f>IF(H92,Wh_hp,'2026'!Maxi_hp)</f>
        <v>42.613877662343725</v>
      </c>
      <c r="J92" s="85">
        <f>IF(H92,An,'2026'!An_max)</f>
        <v>2020</v>
      </c>
      <c r="K92" s="199">
        <f t="shared" si="27"/>
        <v>46465</v>
      </c>
      <c r="L92" s="147">
        <f>IF(t&lt;Tvie,1-EXP((T0-t)*PertePVj)+'2026'!Pspv,1-EXP((T0-t)*PertePVj)+Pspv)</f>
        <v>7.0726794929088288E-2</v>
      </c>
      <c r="M92" s="870"/>
      <c r="N92" s="870"/>
      <c r="O92" s="48">
        <f>IF(t&lt;Tnet,'2026'!Resal+('2026'!Salim-'2026'!Resal)*(1-EXP(('2026'!Tnet-t)/('2026'!Tau_j))),Resal+(Salim-Resal)*(1-EXP((Tnet-t)/(Tau_j))))*Salcycl</f>
        <v>9.3474644083105032E-2</v>
      </c>
      <c r="P92" s="171">
        <f>(INDEX(Models!$BJ92:$BT92,,T92)*(1-R92)+INDEX(Models!$BJ92:$BT92,,T92+1)*R92-ERP_i)*Q92*Ramure*Pc/MaxiM</f>
        <v>3.6702669778951058E-3</v>
      </c>
      <c r="Q92" s="307">
        <f t="shared" si="28"/>
        <v>1</v>
      </c>
      <c r="R92" s="179">
        <f t="shared" si="29"/>
        <v>0.58622460031089507</v>
      </c>
      <c r="S92" s="837">
        <f t="shared" si="30"/>
        <v>-2</v>
      </c>
      <c r="T92" s="178">
        <f t="shared" si="31"/>
        <v>4</v>
      </c>
      <c r="U92" s="253">
        <f t="shared" si="32"/>
        <v>-1.4137753996891049</v>
      </c>
      <c r="V92" s="385">
        <f t="shared" si="33"/>
        <v>38.706317899929445</v>
      </c>
      <c r="W92" s="404">
        <f t="shared" si="34"/>
        <v>26.02333534092503</v>
      </c>
      <c r="X92" s="157">
        <f t="shared" si="35"/>
        <v>46465</v>
      </c>
      <c r="Y92" s="387">
        <f t="shared" si="36"/>
        <v>24.24755680996622</v>
      </c>
      <c r="Z92" s="387">
        <f t="shared" si="37"/>
        <v>26.093033434786186</v>
      </c>
      <c r="AA92" s="388">
        <f t="shared" si="38"/>
        <v>30.120758528048349</v>
      </c>
      <c r="AB92" s="199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0.13371924513493103</v>
      </c>
      <c r="AD92" s="233">
        <f>(INDEX(Models!$BJ92:$BT92,,AH92)*(1-AF92)+INDEX(Models!$BJ92:$BT92,,AH92+1)*AF92-ERP_i)*AE92*Ramure*Pc/MaxiM</f>
        <v>5.0488677993470212E-2</v>
      </c>
      <c r="AE92" s="307">
        <f t="shared" si="40"/>
        <v>1</v>
      </c>
      <c r="AF92" s="179">
        <f t="shared" si="41"/>
        <v>0.52120719323446529</v>
      </c>
      <c r="AG92" s="837">
        <f t="shared" si="49"/>
        <v>3</v>
      </c>
      <c r="AH92" s="178">
        <f t="shared" si="42"/>
        <v>9</v>
      </c>
      <c r="AI92" s="227">
        <f t="shared" si="43"/>
        <v>3.5212071932344653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46466</v>
      </c>
      <c r="B93" s="1139">
        <f>IF(t&gt;Tmaj,'2026'!Wh/'2026'!Env_an*'2027'!Env_an,0.001*'[5]mon-tableau'!$B$227)</f>
        <v>29.348321239388373</v>
      </c>
      <c r="C93" s="866"/>
      <c r="D93" s="395">
        <f t="shared" si="25"/>
        <v>31.582750985866891</v>
      </c>
      <c r="E93" s="387">
        <f t="shared" si="47"/>
        <v>34.845582048392629</v>
      </c>
      <c r="F93" s="387">
        <f t="shared" si="26"/>
        <v>34.927487798161913</v>
      </c>
      <c r="G93" s="110">
        <f t="shared" si="48"/>
        <v>0.74990720794170385</v>
      </c>
      <c r="H93" s="414" t="b">
        <f>Wh_hp&gt;='2026'!Maxi_hp</f>
        <v>0</v>
      </c>
      <c r="I93" s="392">
        <f>IF(H93,Wh_hp,'2026'!Maxi_hp)</f>
        <v>46.721665369048949</v>
      </c>
      <c r="J93" s="85">
        <f>IF(H93,An,'2026'!An_max)</f>
        <v>2019</v>
      </c>
      <c r="K93" s="199">
        <f t="shared" si="27"/>
        <v>46466</v>
      </c>
      <c r="L93" s="147">
        <f>IF(t&lt;Tvie,1-EXP((T0-t)*PertePVj)+'2026'!Pspv,1-EXP((T0-t)*PertePVj)+Pspv)</f>
        <v>7.0748420474150975E-2</v>
      </c>
      <c r="M93" s="870"/>
      <c r="N93" s="870"/>
      <c r="O93" s="48">
        <f>IF(t&lt;Tnet,'2026'!Resal+('2026'!Salim-'2026'!Resal)*(1-EXP(('2026'!Tnet-t)/('2026'!Tau_j))),Resal+(Salim-Resal)*(1-EXP((Tnet-t)/(Tau_j))))*Salcycl</f>
        <v>9.3636865011880246E-2</v>
      </c>
      <c r="P93" s="171">
        <f>(INDEX(Models!$BJ93:$BT93,,T93)*(1-R93)+INDEX(Models!$BJ93:$BT93,,T93+1)*R93-ERP_i)*Q93*Ramure*Pc/MaxiM</f>
        <v>3.6406742321191637E-3</v>
      </c>
      <c r="Q93" s="307">
        <f t="shared" si="28"/>
        <v>1</v>
      </c>
      <c r="R93" s="179">
        <f t="shared" si="29"/>
        <v>0.58713335708656511</v>
      </c>
      <c r="S93" s="837">
        <f t="shared" si="30"/>
        <v>-2</v>
      </c>
      <c r="T93" s="178">
        <f t="shared" si="31"/>
        <v>4</v>
      </c>
      <c r="U93" s="253">
        <f t="shared" si="32"/>
        <v>-1.4128666429134349</v>
      </c>
      <c r="V93" s="385">
        <f t="shared" si="33"/>
        <v>39.085111264968184</v>
      </c>
      <c r="W93" s="404">
        <f t="shared" si="34"/>
        <v>29.348321239388373</v>
      </c>
      <c r="X93" s="157">
        <f t="shared" si="35"/>
        <v>46466</v>
      </c>
      <c r="Y93" s="387">
        <f t="shared" si="36"/>
        <v>27.233605054448571</v>
      </c>
      <c r="Z93" s="387">
        <f t="shared" si="37"/>
        <v>29.307031222206291</v>
      </c>
      <c r="AA93" s="388">
        <f t="shared" si="38"/>
        <v>33.834358144604799</v>
      </c>
      <c r="AB93" s="199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0.13380856533613392</v>
      </c>
      <c r="AD93" s="233">
        <f>(INDEX(Models!$BJ93:$BT93,,AH93)*(1-AF93)+INDEX(Models!$BJ93:$BT93,,AH93+1)*AF93-ERP_i)*AE93*Ramure*Pc/MaxiM</f>
        <v>4.8589128031682971E-2</v>
      </c>
      <c r="AE93" s="307">
        <f t="shared" si="40"/>
        <v>1</v>
      </c>
      <c r="AF93" s="179">
        <f t="shared" si="41"/>
        <v>0.52211595001013533</v>
      </c>
      <c r="AG93" s="837">
        <f t="shared" si="49"/>
        <v>3</v>
      </c>
      <c r="AH93" s="178">
        <f t="shared" si="42"/>
        <v>9</v>
      </c>
      <c r="AI93" s="227">
        <f t="shared" si="43"/>
        <v>3.5221159500101353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46467</v>
      </c>
      <c r="B94" s="1139">
        <f>IF(t&gt;Tmaj,'2026'!Wh/'2026'!Env_an*'2027'!Env_an,0.001*'[5]mon-tableau'!$B$228)</f>
        <v>39.338273880617201</v>
      </c>
      <c r="C94" s="866"/>
      <c r="D94" s="395">
        <f t="shared" si="25"/>
        <v>42.334272254987532</v>
      </c>
      <c r="E94" s="387">
        <f t="shared" si="47"/>
        <v>46.716245196587032</v>
      </c>
      <c r="F94" s="387">
        <f t="shared" si="26"/>
        <v>46.884520055150013</v>
      </c>
      <c r="G94" s="110">
        <f t="shared" si="48"/>
        <v>0.99675081001204935</v>
      </c>
      <c r="H94" s="414" t="b">
        <f>Wh_hp&gt;='2026'!Maxi_hp</f>
        <v>0</v>
      </c>
      <c r="I94" s="392">
        <f>IF(H94,Wh_hp,'2026'!Maxi_hp)</f>
        <v>47.092775229679972</v>
      </c>
      <c r="J94" s="85">
        <f>IF(H94,An,'2026'!An_max)</f>
        <v>2020</v>
      </c>
      <c r="K94" s="199">
        <f t="shared" si="27"/>
        <v>46467</v>
      </c>
      <c r="L94" s="147">
        <f>IF(t&lt;Tvie,1-EXP((T0-t)*PertePVj)+'2026'!Pspv,1-EXP((T0-t)*PertePVj)+Pspv)</f>
        <v>7.0770045515955782E-2</v>
      </c>
      <c r="M94" s="870"/>
      <c r="N94" s="870"/>
      <c r="O94" s="48">
        <f>IF(t&lt;Tnet,'2026'!Resal+('2026'!Salim-'2026'!Resal)*(1-EXP(('2026'!Tnet-t)/('2026'!Tau_j))),Resal+(Salim-Resal)*(1-EXP((Tnet-t)/(Tau_j))))*Salcycl</f>
        <v>9.3799767578915769E-2</v>
      </c>
      <c r="P94" s="171">
        <f>(INDEX(Models!$BJ94:$BT94,,T94)*(1-R94)+INDEX(Models!$BJ94:$BT94,,T94+1)*R94-ERP_i)*Q94*Ramure*Pc/MaxiM</f>
        <v>3.6057858891535097E-3</v>
      </c>
      <c r="Q94" s="307">
        <f t="shared" si="28"/>
        <v>1</v>
      </c>
      <c r="R94" s="179">
        <f t="shared" si="29"/>
        <v>0.58807765315214544</v>
      </c>
      <c r="S94" s="837">
        <f t="shared" si="30"/>
        <v>-2</v>
      </c>
      <c r="T94" s="178">
        <f t="shared" si="31"/>
        <v>4</v>
      </c>
      <c r="U94" s="253">
        <f t="shared" si="32"/>
        <v>-1.4119223468478546</v>
      </c>
      <c r="V94" s="385">
        <f t="shared" si="33"/>
        <v>39.465848532663571</v>
      </c>
      <c r="W94" s="404">
        <f t="shared" si="34"/>
        <v>39.338273880617201</v>
      </c>
      <c r="X94" s="157">
        <f t="shared" si="35"/>
        <v>46467</v>
      </c>
      <c r="Y94" s="387">
        <f t="shared" si="36"/>
        <v>35.977806275651652</v>
      </c>
      <c r="Z94" s="387">
        <f t="shared" si="37"/>
        <v>38.717871827139234</v>
      </c>
      <c r="AA94" s="388">
        <f t="shared" si="38"/>
        <v>44.703650499045992</v>
      </c>
      <c r="AB94" s="199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0.13389910231233787</v>
      </c>
      <c r="AD94" s="233">
        <f>(INDEX(Models!$BJ94:$BT94,,AH94)*(1-AF94)+INDEX(Models!$BJ94:$BT94,,AH94+1)*AF94-ERP_i)*AE94*Ramure*Pc/MaxiM</f>
        <v>4.6731572016392789E-2</v>
      </c>
      <c r="AE94" s="307">
        <f t="shared" si="40"/>
        <v>1</v>
      </c>
      <c r="AF94" s="179">
        <f t="shared" si="41"/>
        <v>0.52306024607571588</v>
      </c>
      <c r="AG94" s="837">
        <f t="shared" si="49"/>
        <v>3</v>
      </c>
      <c r="AH94" s="178">
        <f t="shared" si="42"/>
        <v>9</v>
      </c>
      <c r="AI94" s="227">
        <f t="shared" si="43"/>
        <v>3.5230602460757159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46468</v>
      </c>
      <c r="B95" s="1139">
        <f>IF(t&gt;Tmaj,'2026'!Wh/'2026'!Env_an*'2027'!Env_an,0.001*'[5]mon-tableau'!$B$229)</f>
        <v>36.381606645073859</v>
      </c>
      <c r="C95" s="866"/>
      <c r="D95" s="395">
        <f t="shared" si="25"/>
        <v>39.153336741189435</v>
      </c>
      <c r="E95" s="387">
        <f t="shared" si="47"/>
        <v>43.213859076083594</v>
      </c>
      <c r="F95" s="387">
        <f t="shared" si="26"/>
        <v>43.349286673354996</v>
      </c>
      <c r="G95" s="110">
        <f t="shared" si="48"/>
        <v>0.91261047000431761</v>
      </c>
      <c r="H95" s="414" t="b">
        <f>Wh_hp&gt;='2026'!Maxi_hp</f>
        <v>0</v>
      </c>
      <c r="I95" s="392">
        <f>IF(H95,Wh_hp,'2026'!Maxi_hp)</f>
        <v>46.552413422501928</v>
      </c>
      <c r="J95" s="85">
        <f>IF(H95,An,'2026'!An_max)</f>
        <v>2020</v>
      </c>
      <c r="K95" s="199">
        <f t="shared" si="27"/>
        <v>46468</v>
      </c>
      <c r="L95" s="147">
        <f>IF(t&lt;Tvie,1-EXP((T0-t)*PertePVj)+'2026'!Pspv,1-EXP((T0-t)*PertePVj)+Pspv)</f>
        <v>7.0791670054514255E-2</v>
      </c>
      <c r="M95" s="870"/>
      <c r="N95" s="870"/>
      <c r="O95" s="48">
        <f>IF(t&lt;Tnet,'2026'!Resal+('2026'!Salim-'2026'!Resal)*(1-EXP(('2026'!Tnet-t)/('2026'!Tau_j))),Resal+(Salim-Resal)*(1-EXP((Tnet-t)/(Tau_j))))*Salcycl</f>
        <v>9.3963427976776689E-2</v>
      </c>
      <c r="P95" s="171">
        <f>(INDEX(Models!$BJ95:$BT95,,T95)*(1-R95)+INDEX(Models!$BJ95:$BT95,,T95+1)*R95-ERP_i)*Q95*Ramure*Pc/MaxiM</f>
        <v>3.5673942994553674E-3</v>
      </c>
      <c r="Q95" s="307">
        <f t="shared" si="28"/>
        <v>1</v>
      </c>
      <c r="R95" s="179">
        <f t="shared" si="29"/>
        <v>0.58905876973779003</v>
      </c>
      <c r="S95" s="837">
        <f t="shared" si="30"/>
        <v>-2</v>
      </c>
      <c r="T95" s="178">
        <f t="shared" si="31"/>
        <v>4</v>
      </c>
      <c r="U95" s="253">
        <f t="shared" si="32"/>
        <v>-1.41094123026221</v>
      </c>
      <c r="V95" s="385">
        <f t="shared" si="33"/>
        <v>39.847700213026009</v>
      </c>
      <c r="W95" s="404">
        <f t="shared" si="34"/>
        <v>36.381606645073859</v>
      </c>
      <c r="X95" s="157">
        <f t="shared" si="35"/>
        <v>46468</v>
      </c>
      <c r="Y95" s="387">
        <f t="shared" si="36"/>
        <v>33.510740324035837</v>
      </c>
      <c r="Z95" s="387">
        <f t="shared" si="37"/>
        <v>36.063753675133135</v>
      </c>
      <c r="AA95" s="388">
        <f t="shared" si="38"/>
        <v>41.643622652345734</v>
      </c>
      <c r="AB95" s="199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0.13399096000353111</v>
      </c>
      <c r="AD95" s="233">
        <f>(INDEX(Models!$BJ95:$BT95,,AH95)*(1-AF95)+INDEX(Models!$BJ95:$BT95,,AH95+1)*AF95-ERP_i)*AE95*Ramure*Pc/MaxiM</f>
        <v>4.4930104557200208E-2</v>
      </c>
      <c r="AE95" s="307">
        <f t="shared" si="40"/>
        <v>1</v>
      </c>
      <c r="AF95" s="179">
        <f t="shared" si="41"/>
        <v>0.52404136266136048</v>
      </c>
      <c r="AG95" s="837">
        <f t="shared" si="49"/>
        <v>3</v>
      </c>
      <c r="AH95" s="178">
        <f t="shared" si="42"/>
        <v>9</v>
      </c>
      <c r="AI95" s="227">
        <f t="shared" si="43"/>
        <v>3.5240413626613605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46469</v>
      </c>
      <c r="B96" s="1139">
        <f>IF(t&gt;Tmaj,'2026'!Wh/'2026'!Env_an*'2027'!Env_an,0.001*'[5]mon-tableau'!$B$230)</f>
        <v>41.104220543330733</v>
      </c>
      <c r="C96" s="866"/>
      <c r="D96" s="395">
        <f t="shared" si="25"/>
        <v>44.236772095300381</v>
      </c>
      <c r="E96" s="387">
        <f t="shared" si="47"/>
        <v>48.833354332753558</v>
      </c>
      <c r="F96" s="387">
        <f t="shared" si="26"/>
        <v>49.006133505479994</v>
      </c>
      <c r="G96" s="110">
        <f t="shared" si="48"/>
        <v>1.0217330990973441</v>
      </c>
      <c r="H96" s="414" t="b">
        <f>Wh_hp&gt;='2026'!Maxi_hp</f>
        <v>1</v>
      </c>
      <c r="I96" s="392">
        <f>IF(H96,Wh_hp,'2026'!Maxi_hp)</f>
        <v>49.006133505479994</v>
      </c>
      <c r="J96" s="85">
        <f>IF(H96,An,'2026'!An_max)</f>
        <v>2027</v>
      </c>
      <c r="K96" s="199">
        <f t="shared" si="27"/>
        <v>46469</v>
      </c>
      <c r="L96" s="147">
        <f>IF(t&lt;Tvie,1-EXP((T0-t)*PertePVj)+'2026'!Pspv,1-EXP((T0-t)*PertePVj)+Pspv)</f>
        <v>7.0813294089838053E-2</v>
      </c>
      <c r="M96" s="870"/>
      <c r="N96" s="870"/>
      <c r="O96" s="48">
        <f>IF(t&lt;Tnet,'2026'!Resal+('2026'!Salim-'2026'!Resal)*(1-EXP(('2026'!Tnet-t)/('2026'!Tau_j))),Resal+(Salim-Resal)*(1-EXP((Tnet-t)/(Tau_j))))*Salcycl</f>
        <v>9.4127923429788873E-2</v>
      </c>
      <c r="P96" s="171">
        <f>(INDEX(Models!$BJ96:$BT96,,T96)*(1-R96)+INDEX(Models!$BJ96:$BT96,,T96+1)*R96-ERP_i)*Q96*Ramure*Pc/MaxiM</f>
        <v>3.5256642458257677E-3</v>
      </c>
      <c r="Q96" s="307">
        <f t="shared" si="28"/>
        <v>1</v>
      </c>
      <c r="R96" s="179">
        <f t="shared" si="29"/>
        <v>0.59007802532100251</v>
      </c>
      <c r="S96" s="837">
        <f t="shared" si="30"/>
        <v>-2</v>
      </c>
      <c r="T96" s="178">
        <f t="shared" si="31"/>
        <v>4</v>
      </c>
      <c r="U96" s="253">
        <f t="shared" si="32"/>
        <v>-1.4099219746789975</v>
      </c>
      <c r="V96" s="385">
        <f t="shared" si="33"/>
        <v>40.229900136977548</v>
      </c>
      <c r="W96" s="404">
        <f t="shared" si="34"/>
        <v>41.104220543330733</v>
      </c>
      <c r="X96" s="157">
        <f t="shared" si="35"/>
        <v>46469</v>
      </c>
      <c r="Y96" s="387">
        <f t="shared" si="36"/>
        <v>37.727459387361968</v>
      </c>
      <c r="Z96" s="387">
        <f t="shared" si="37"/>
        <v>40.602668061643179</v>
      </c>
      <c r="AA96" s="388">
        <f t="shared" si="38"/>
        <v>46.889859380218169</v>
      </c>
      <c r="AB96" s="199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0.13408424340951253</v>
      </c>
      <c r="AD96" s="233">
        <f>(INDEX(Models!$BJ96:$BT96,,AH96)*(1-AF96)+INDEX(Models!$BJ96:$BT96,,AH96+1)*AF96-ERP_i)*AE96*Ramure*Pc/MaxiM</f>
        <v>4.3183862383780629E-2</v>
      </c>
      <c r="AE96" s="307">
        <f t="shared" si="40"/>
        <v>1</v>
      </c>
      <c r="AF96" s="179">
        <f t="shared" si="41"/>
        <v>0.52506061824457273</v>
      </c>
      <c r="AG96" s="837">
        <f t="shared" si="49"/>
        <v>3</v>
      </c>
      <c r="AH96" s="178">
        <f t="shared" si="42"/>
        <v>9</v>
      </c>
      <c r="AI96" s="227">
        <f t="shared" si="43"/>
        <v>3.5250606182445727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46470</v>
      </c>
      <c r="B97" s="1139">
        <f>IF(t&gt;Tmaj,'2026'!Wh/'2026'!Env_an*'2027'!Env_an,0.001*'[5]mon-tableau'!$B$231)</f>
        <v>40.515995356557667</v>
      </c>
      <c r="C97" s="866"/>
      <c r="D97" s="395">
        <f t="shared" si="25"/>
        <v>43.604733028562535</v>
      </c>
      <c r="E97" s="387">
        <f t="shared" si="47"/>
        <v>48.144431931374413</v>
      </c>
      <c r="F97" s="387">
        <f t="shared" si="26"/>
        <v>48.312028038984586</v>
      </c>
      <c r="G97" s="110">
        <f t="shared" si="48"/>
        <v>0.99763211996646928</v>
      </c>
      <c r="H97" s="414" t="b">
        <f>Wh_hp&gt;='2026'!Maxi_hp</f>
        <v>0</v>
      </c>
      <c r="I97" s="392">
        <f>IF(H97,Wh_hp,'2026'!Maxi_hp)</f>
        <v>48.312348548182484</v>
      </c>
      <c r="J97" s="85">
        <f>IF(H97,An,'2026'!An_max)</f>
        <v>2026</v>
      </c>
      <c r="K97" s="199">
        <f t="shared" si="27"/>
        <v>46470</v>
      </c>
      <c r="L97" s="147">
        <f>IF(t&lt;Tvie,1-EXP((T0-t)*PertePVj)+'2026'!Pspv,1-EXP((T0-t)*PertePVj)+Pspv)</f>
        <v>7.0834917621938942E-2</v>
      </c>
      <c r="M97" s="870"/>
      <c r="N97" s="870"/>
      <c r="O97" s="48">
        <f>IF(t&lt;Tnet,'2026'!Resal+('2026'!Salim-'2026'!Resal)*(1-EXP(('2026'!Tnet-t)/('2026'!Tau_j))),Resal+(Salim-Resal)*(1-EXP((Tnet-t)/(Tau_j))))*Salcycl</f>
        <v>9.4293331974148312E-2</v>
      </c>
      <c r="P97" s="171">
        <f>(INDEX(Models!$BJ97:$BT97,,T97)*(1-R97)+INDEX(Models!$BJ97:$BT97,,T97+1)*R97-ERP_i)*Q97*Ramure*Pc/MaxiM</f>
        <v>3.4807507858689401E-3</v>
      </c>
      <c r="Q97" s="307">
        <f t="shared" si="28"/>
        <v>1</v>
      </c>
      <c r="R97" s="179">
        <f t="shared" si="29"/>
        <v>0.59113677595458625</v>
      </c>
      <c r="S97" s="837">
        <f t="shared" si="30"/>
        <v>-2</v>
      </c>
      <c r="T97" s="178">
        <f t="shared" si="31"/>
        <v>4</v>
      </c>
      <c r="U97" s="253">
        <f t="shared" si="32"/>
        <v>-1.4088632240454138</v>
      </c>
      <c r="V97" s="385">
        <f t="shared" si="33"/>
        <v>40.611682612597065</v>
      </c>
      <c r="W97" s="404">
        <f t="shared" si="34"/>
        <v>40.515995356557667</v>
      </c>
      <c r="X97" s="157">
        <f t="shared" si="35"/>
        <v>46470</v>
      </c>
      <c r="Y97" s="387">
        <f t="shared" si="36"/>
        <v>37.25935322788694</v>
      </c>
      <c r="Z97" s="387">
        <f t="shared" si="37"/>
        <v>40.099820725642338</v>
      </c>
      <c r="AA97" s="388">
        <f t="shared" si="38"/>
        <v>46.314219018230673</v>
      </c>
      <c r="AB97" s="199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0.13417905827456925</v>
      </c>
      <c r="AD97" s="233">
        <f>(INDEX(Models!$BJ97:$BT97,,AH97)*(1-AF97)+INDEX(Models!$BJ97:$BT97,,AH97+1)*AF97-ERP_i)*AE97*Ramure*Pc/MaxiM</f>
        <v>4.1491866476876034E-2</v>
      </c>
      <c r="AE97" s="307">
        <f t="shared" si="40"/>
        <v>1</v>
      </c>
      <c r="AF97" s="179">
        <f t="shared" si="41"/>
        <v>0.52611936887815647</v>
      </c>
      <c r="AG97" s="837">
        <f t="shared" si="49"/>
        <v>3</v>
      </c>
      <c r="AH97" s="178">
        <f t="shared" si="42"/>
        <v>9</v>
      </c>
      <c r="AI97" s="227">
        <f t="shared" si="43"/>
        <v>3.5261193688781565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46471</v>
      </c>
      <c r="B98" s="1139">
        <f>IF(t&gt;Tmaj,'2026'!Wh/'2026'!Env_an*'2027'!Env_an,0.001*'[5]mon-tableau'!$B$232)</f>
        <v>37.082845311034134</v>
      </c>
      <c r="C98" s="866"/>
      <c r="D98" s="395">
        <f t="shared" si="25"/>
        <v>39.910785506695831</v>
      </c>
      <c r="E98" s="387">
        <f t="shared" si="47"/>
        <v>44.074004136195974</v>
      </c>
      <c r="F98" s="387">
        <f t="shared" si="26"/>
        <v>44.205076801600583</v>
      </c>
      <c r="G98" s="110">
        <f t="shared" si="48"/>
        <v>0.90420557422423919</v>
      </c>
      <c r="H98" s="414" t="b">
        <f>Wh_hp&gt;='2026'!Maxi_hp</f>
        <v>0</v>
      </c>
      <c r="I98" s="392">
        <f>IF(H98,Wh_hp,'2026'!Maxi_hp)</f>
        <v>46.669924770661282</v>
      </c>
      <c r="J98" s="85">
        <f>IF(H98,An,'2026'!An_max)</f>
        <v>2020</v>
      </c>
      <c r="K98" s="199">
        <f t="shared" si="27"/>
        <v>46471</v>
      </c>
      <c r="L98" s="147">
        <f>IF(t&lt;Tvie,1-EXP((T0-t)*PertePVj)+'2026'!Pspv,1-EXP((T0-t)*PertePVj)+Pspv)</f>
        <v>7.0856540650828692E-2</v>
      </c>
      <c r="M98" s="870"/>
      <c r="N98" s="870"/>
      <c r="O98" s="48">
        <f>IF(t&lt;Tnet,'2026'!Resal+('2026'!Salim-'2026'!Resal)*(1-EXP(('2026'!Tnet-t)/('2026'!Tau_j))),Resal+(Salim-Resal)*(1-EXP((Tnet-t)/(Tau_j))))*Salcycl</f>
        <v>9.4459732241143984E-2</v>
      </c>
      <c r="P98" s="171">
        <f>(INDEX(Models!$BJ98:$BT98,,T98)*(1-R98)+INDEX(Models!$BJ98:$BT98,,T98+1)*R98-ERP_i)*Q98*Ramure*Pc/MaxiM</f>
        <v>3.4327990790549092E-3</v>
      </c>
      <c r="Q98" s="307">
        <f t="shared" si="28"/>
        <v>1</v>
      </c>
      <c r="R98" s="179">
        <f t="shared" si="29"/>
        <v>0.59223641552393236</v>
      </c>
      <c r="S98" s="837">
        <f t="shared" si="30"/>
        <v>-2</v>
      </c>
      <c r="T98" s="178">
        <f t="shared" si="31"/>
        <v>4</v>
      </c>
      <c r="U98" s="253">
        <f t="shared" si="32"/>
        <v>-1.4077635844760676</v>
      </c>
      <c r="V98" s="385">
        <f t="shared" si="33"/>
        <v>40.992282439060006</v>
      </c>
      <c r="W98" s="404">
        <f t="shared" si="34"/>
        <v>37.082845311034134</v>
      </c>
      <c r="X98" s="157">
        <f t="shared" si="35"/>
        <v>46471</v>
      </c>
      <c r="Y98" s="387">
        <f t="shared" si="36"/>
        <v>34.33376145210476</v>
      </c>
      <c r="Z98" s="387">
        <f t="shared" si="37"/>
        <v>36.952056333856362</v>
      </c>
      <c r="AA98" s="388">
        <f t="shared" si="38"/>
        <v>42.683390378720638</v>
      </c>
      <c r="AB98" s="199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0.13427551077858085</v>
      </c>
      <c r="AD98" s="233">
        <f>(INDEX(Models!$BJ98:$BT98,,AH98)*(1-AF98)+INDEX(Models!$BJ98:$BT98,,AH98+1)*AF98-ERP_i)*AE98*Ramure*Pc/MaxiM</f>
        <v>3.9853036748337949E-2</v>
      </c>
      <c r="AE98" s="307">
        <f t="shared" si="40"/>
        <v>1</v>
      </c>
      <c r="AF98" s="179">
        <f t="shared" si="41"/>
        <v>0.5272190084475028</v>
      </c>
      <c r="AG98" s="837">
        <f t="shared" si="49"/>
        <v>3</v>
      </c>
      <c r="AH98" s="178">
        <f t="shared" si="42"/>
        <v>9</v>
      </c>
      <c r="AI98" s="227">
        <f t="shared" si="43"/>
        <v>3.5272190084475028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46472</v>
      </c>
      <c r="B99" s="1139">
        <f>IF(t&gt;Tmaj,'2026'!Wh/'2026'!Env_an*'2027'!Env_an,0.001*'[5]mon-tableau'!$B$233)</f>
        <v>40.042580633081684</v>
      </c>
      <c r="C99" s="866"/>
      <c r="D99" s="395">
        <f t="shared" si="25"/>
        <v>43.097233372515348</v>
      </c>
      <c r="E99" s="387">
        <f t="shared" si="47"/>
        <v>47.601643794644815</v>
      </c>
      <c r="F99" s="387">
        <f t="shared" si="26"/>
        <v>47.755742857474637</v>
      </c>
      <c r="G99" s="110">
        <f t="shared" si="48"/>
        <v>0.96774097363089773</v>
      </c>
      <c r="H99" s="414" t="b">
        <f>Wh_hp&gt;='2026'!Maxi_hp</f>
        <v>0</v>
      </c>
      <c r="I99" s="392">
        <f>IF(H99,Wh_hp,'2026'!Maxi_hp)</f>
        <v>49.897175948996292</v>
      </c>
      <c r="J99" s="85">
        <f>IF(H99,An,'2026'!An_max)</f>
        <v>2019</v>
      </c>
      <c r="K99" s="199">
        <f t="shared" si="27"/>
        <v>46472</v>
      </c>
      <c r="L99" s="147">
        <f>IF(t&lt;Tvie,1-EXP((T0-t)*PertePVj)+'2026'!Pspv,1-EXP((T0-t)*PertePVj)+Pspv)</f>
        <v>7.0878163176519071E-2</v>
      </c>
      <c r="M99" s="870"/>
      <c r="N99" s="870"/>
      <c r="O99" s="48">
        <f>IF(t&lt;Tnet,'2026'!Resal+('2026'!Salim-'2026'!Resal)*(1-EXP(('2026'!Tnet-t)/('2026'!Tau_j))),Resal+(Salim-Resal)*(1-EXP((Tnet-t)/(Tau_j))))*Salcycl</f>
        <v>9.4627203244527613E-2</v>
      </c>
      <c r="P99" s="171">
        <f>(INDEX(Models!$BJ99:$BT99,,T99)*(1-R99)+INDEX(Models!$BJ99:$BT99,,T99+1)*R99-ERP_i)*Q99*Ramure*Pc/MaxiM</f>
        <v>3.3819442749853162E-3</v>
      </c>
      <c r="Q99" s="307">
        <f t="shared" si="28"/>
        <v>1</v>
      </c>
      <c r="R99" s="179">
        <f t="shared" si="29"/>
        <v>0.59337837592589748</v>
      </c>
      <c r="S99" s="837">
        <f t="shared" si="30"/>
        <v>-2</v>
      </c>
      <c r="T99" s="178">
        <f t="shared" si="31"/>
        <v>4</v>
      </c>
      <c r="U99" s="253">
        <f t="shared" si="32"/>
        <v>-1.4066216240741025</v>
      </c>
      <c r="V99" s="385">
        <f t="shared" si="33"/>
        <v>41.370934925198036</v>
      </c>
      <c r="W99" s="404">
        <f t="shared" si="34"/>
        <v>40.042580633081684</v>
      </c>
      <c r="X99" s="157">
        <f t="shared" si="35"/>
        <v>46472</v>
      </c>
      <c r="Y99" s="387">
        <f t="shared" si="36"/>
        <v>37.006284810937153</v>
      </c>
      <c r="Z99" s="387">
        <f t="shared" si="37"/>
        <v>39.829313384190527</v>
      </c>
      <c r="AA99" s="388">
        <f t="shared" si="38"/>
        <v>46.012134470881989</v>
      </c>
      <c r="AB99" s="199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0.13437370723595005</v>
      </c>
      <c r="AD99" s="233">
        <f>(INDEX(Models!$BJ99:$BT99,,AH99)*(1-AF99)+INDEX(Models!$BJ99:$BT99,,AH99+1)*AF99-ERP_i)*AE99*Ramure*Pc/MaxiM</f>
        <v>3.8266205469176431E-2</v>
      </c>
      <c r="AE99" s="307">
        <f t="shared" si="40"/>
        <v>1</v>
      </c>
      <c r="AF99" s="179">
        <f t="shared" si="41"/>
        <v>0.52836096884946793</v>
      </c>
      <c r="AG99" s="837">
        <f t="shared" si="49"/>
        <v>3</v>
      </c>
      <c r="AH99" s="178">
        <f t="shared" si="42"/>
        <v>9</v>
      </c>
      <c r="AI99" s="227">
        <f t="shared" si="43"/>
        <v>3.5283609688494679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46473</v>
      </c>
      <c r="B100" s="1139">
        <f>IF(t&gt;Tmaj,'2026'!Wh/'2026'!Env_an*'2027'!Env_an,0.001*'[5]mon-tableau'!$B$234)</f>
        <v>39.526447890722274</v>
      </c>
      <c r="C100" s="866"/>
      <c r="D100" s="395">
        <f t="shared" si="25"/>
        <v>42.542717417398499</v>
      </c>
      <c r="E100" s="387">
        <f t="shared" si="47"/>
        <v>46.997924394821261</v>
      </c>
      <c r="F100" s="387">
        <f t="shared" si="26"/>
        <v>47.142873636377573</v>
      </c>
      <c r="G100" s="110">
        <f t="shared" si="48"/>
        <v>0.94657123319069958</v>
      </c>
      <c r="H100" s="414" t="b">
        <f>Wh_hp&gt;='2026'!Maxi_hp</f>
        <v>0</v>
      </c>
      <c r="I100" s="392">
        <f>IF(H100,Wh_hp,'2026'!Maxi_hp)</f>
        <v>49.221953168491268</v>
      </c>
      <c r="J100" s="85">
        <f>IF(H100,An,'2026'!An_max)</f>
        <v>2019</v>
      </c>
      <c r="K100" s="199">
        <f t="shared" si="27"/>
        <v>46473</v>
      </c>
      <c r="L100" s="147">
        <f>IF(t&lt;Tvie,1-EXP((T0-t)*PertePVj)+'2026'!Pspv,1-EXP((T0-t)*PertePVj)+Pspv)</f>
        <v>7.0899785199021514E-2</v>
      </c>
      <c r="M100" s="870"/>
      <c r="N100" s="870"/>
      <c r="O100" s="48">
        <f>IF(t&lt;Tnet,'2026'!Resal+('2026'!Salim-'2026'!Resal)*(1-EXP(('2026'!Tnet-t)/('2026'!Tau_j))),Resal+(Salim-Resal)*(1-EXP((Tnet-t)/(Tau_j))))*Salcycl</f>
        <v>9.479582417290075E-2</v>
      </c>
      <c r="P100" s="171">
        <f>(INDEX(Models!$BJ100:$BT100,,T100)*(1-R100)+INDEX(Models!$BJ100:$BT100,,T100+1)*R100-ERP_i)*Q100*Ramure*Pc/MaxiM</f>
        <v>3.3275171011523659E-3</v>
      </c>
      <c r="Q100" s="307">
        <f t="shared" si="28"/>
        <v>1</v>
      </c>
      <c r="R100" s="179">
        <f t="shared" si="29"/>
        <v>0.59456412716104778</v>
      </c>
      <c r="S100" s="837">
        <f t="shared" si="30"/>
        <v>-2</v>
      </c>
      <c r="T100" s="178">
        <f t="shared" si="31"/>
        <v>4</v>
      </c>
      <c r="U100" s="253">
        <f t="shared" si="32"/>
        <v>-1.4054358728389522</v>
      </c>
      <c r="V100" s="385">
        <f t="shared" si="33"/>
        <v>41.746909183959239</v>
      </c>
      <c r="W100" s="404">
        <f t="shared" si="34"/>
        <v>39.526447890722274</v>
      </c>
      <c r="X100" s="157">
        <f t="shared" si="35"/>
        <v>46473</v>
      </c>
      <c r="Y100" s="387">
        <f t="shared" si="36"/>
        <v>36.622597243309961</v>
      </c>
      <c r="Z100" s="387">
        <f t="shared" si="37"/>
        <v>39.417273465117916</v>
      </c>
      <c r="AA100" s="388">
        <f t="shared" si="38"/>
        <v>45.541395929164942</v>
      </c>
      <c r="AB100" s="199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0.13447375380351714</v>
      </c>
      <c r="AD100" s="233">
        <f>(INDEX(Models!$BJ100:$BT100,,AH100)*(1-AF100)+INDEX(Models!$BJ100:$BT100,,AH100+1)*AF100-ERP_i)*AE100*Ramure*Pc/MaxiM</f>
        <v>3.6764210703330281E-2</v>
      </c>
      <c r="AE100" s="307">
        <f t="shared" si="40"/>
        <v>1</v>
      </c>
      <c r="AF100" s="179">
        <f t="shared" si="41"/>
        <v>0.52954672008461845</v>
      </c>
      <c r="AG100" s="837">
        <f t="shared" si="49"/>
        <v>3</v>
      </c>
      <c r="AH100" s="178">
        <f t="shared" si="42"/>
        <v>9</v>
      </c>
      <c r="AI100" s="227">
        <f t="shared" si="43"/>
        <v>3.5295467200846184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46474</v>
      </c>
      <c r="B101" s="1139">
        <f>IF(t&gt;Tmaj,'2026'!Wh/'2026'!Env_an*'2027'!Env_an,0.001*'[5]mon-tableau'!$B$235)</f>
        <v>30.739807650344005</v>
      </c>
      <c r="C101" s="866"/>
      <c r="D101" s="395">
        <f t="shared" si="25"/>
        <v>33.086337229842051</v>
      </c>
      <c r="E101" s="387">
        <f t="shared" si="47"/>
        <v>36.55810203679318</v>
      </c>
      <c r="F101" s="387">
        <f t="shared" si="26"/>
        <v>36.631702567986842</v>
      </c>
      <c r="G101" s="110">
        <f t="shared" si="48"/>
        <v>0.72890291210879921</v>
      </c>
      <c r="H101" s="414" t="b">
        <f>Wh_hp&gt;='2026'!Maxi_hp</f>
        <v>0</v>
      </c>
      <c r="I101" s="392">
        <f>IF(H101,Wh_hp,'2026'!Maxi_hp)</f>
        <v>48.35240667023605</v>
      </c>
      <c r="J101" s="85">
        <f>IF(H101,An,'2026'!An_max)</f>
        <v>2021</v>
      </c>
      <c r="K101" s="199">
        <f t="shared" si="27"/>
        <v>46474</v>
      </c>
      <c r="L101" s="147">
        <f>IF(t&lt;Tvie,1-EXP((T0-t)*PertePVj)+'2026'!Pspv,1-EXP((T0-t)*PertePVj)+Pspv)</f>
        <v>7.0921406718348012E-2</v>
      </c>
      <c r="M101" s="870"/>
      <c r="N101" s="870"/>
      <c r="O101" s="48">
        <f>IF(t&lt;Tnet,'2026'!Resal+('2026'!Salim-'2026'!Resal)*(1-EXP(('2026'!Tnet-t)/('2026'!Tau_j))),Resal+(Salim-Resal)*(1-EXP((Tnet-t)/(Tau_j))))*Salcycl</f>
        <v>9.4965674187818636E-2</v>
      </c>
      <c r="P101" s="171">
        <f>(INDEX(Models!$BJ101:$BT101,,T101)*(1-R101)+INDEX(Models!$BJ101:$BT101,,T101+1)*R101-ERP_i)*Q101*Ramure*Pc/MaxiM</f>
        <v>3.2721162312251122E-3</v>
      </c>
      <c r="Q101" s="307">
        <f t="shared" si="28"/>
        <v>1</v>
      </c>
      <c r="R101" s="179">
        <f t="shared" si="29"/>
        <v>0.59579517733057785</v>
      </c>
      <c r="S101" s="837">
        <f t="shared" si="30"/>
        <v>-2</v>
      </c>
      <c r="T101" s="178">
        <f t="shared" si="31"/>
        <v>4</v>
      </c>
      <c r="U101" s="253">
        <f t="shared" si="32"/>
        <v>-1.4042048226694221</v>
      </c>
      <c r="V101" s="385">
        <f t="shared" si="33"/>
        <v>42.11933753668707</v>
      </c>
      <c r="W101" s="404">
        <f t="shared" si="34"/>
        <v>30.739807650344005</v>
      </c>
      <c r="X101" s="157">
        <f t="shared" si="35"/>
        <v>46474</v>
      </c>
      <c r="Y101" s="387">
        <f t="shared" si="36"/>
        <v>28.814348410767611</v>
      </c>
      <c r="Z101" s="387">
        <f t="shared" si="37"/>
        <v>31.013897660682066</v>
      </c>
      <c r="AA101" s="388">
        <f t="shared" si="38"/>
        <v>35.836640679771385</v>
      </c>
      <c r="AB101" s="199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0.13457575619836493</v>
      </c>
      <c r="AD101" s="233">
        <f>(INDEX(Models!$BJ101:$BT101,,AH101)*(1-AF101)+INDEX(Models!$BJ101:$BT101,,AH101+1)*AF101-ERP_i)*AE101*Ramure*Pc/MaxiM</f>
        <v>3.5346686594053163E-2</v>
      </c>
      <c r="AE101" s="307">
        <f t="shared" si="40"/>
        <v>1</v>
      </c>
      <c r="AF101" s="179">
        <f t="shared" si="41"/>
        <v>0.53077777025414807</v>
      </c>
      <c r="AG101" s="837">
        <f t="shared" si="49"/>
        <v>3</v>
      </c>
      <c r="AH101" s="178">
        <f t="shared" si="42"/>
        <v>9</v>
      </c>
      <c r="AI101" s="227">
        <f t="shared" si="43"/>
        <v>3.5307777702541481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46475</v>
      </c>
      <c r="B102" s="1139">
        <f>IF(t&gt;Tmaj,'2026'!Wh/'2026'!Env_an*'2027'!Env_an,0.001*'[5]mon-tableau'!$B$236)</f>
        <v>25.379717665952608</v>
      </c>
      <c r="C102" s="866"/>
      <c r="D102" s="395">
        <f t="shared" si="25"/>
        <v>27.317719390302397</v>
      </c>
      <c r="E102" s="387">
        <f t="shared" si="47"/>
        <v>30.189889878675885</v>
      </c>
      <c r="F102" s="387">
        <f t="shared" si="26"/>
        <v>30.231186022500307</v>
      </c>
      <c r="G102" s="110">
        <f t="shared" si="48"/>
        <v>0.59623964540647922</v>
      </c>
      <c r="H102" s="414" t="b">
        <f>Wh_hp&gt;='2026'!Maxi_hp</f>
        <v>0</v>
      </c>
      <c r="I102" s="392">
        <f>IF(H102,Wh_hp,'2026'!Maxi_hp)</f>
        <v>50.374159928114452</v>
      </c>
      <c r="J102" s="85">
        <f>IF(H102,An,'2026'!An_max)</f>
        <v>2021</v>
      </c>
      <c r="K102" s="199">
        <f t="shared" si="27"/>
        <v>46475</v>
      </c>
      <c r="L102" s="147">
        <f>IF(t&lt;Tvie,1-EXP((T0-t)*PertePVj)+'2026'!Pspv,1-EXP((T0-t)*PertePVj)+Pspv)</f>
        <v>7.0943027734510111E-2</v>
      </c>
      <c r="M102" s="870"/>
      <c r="N102" s="870"/>
      <c r="O102" s="48">
        <f>IF(t&lt;Tnet,'2026'!Resal+('2026'!Salim-'2026'!Resal)*(1-EXP(('2026'!Tnet-t)/('2026'!Tau_j))),Resal+(Salim-Resal)*(1-EXP((Tnet-t)/(Tau_j))))*Salcycl</f>
        <v>9.5136832228135959E-2</v>
      </c>
      <c r="P102" s="171">
        <f>(INDEX(Models!$BJ102:$BT102,,T102)*(1-R102)+INDEX(Models!$BJ102:$BT102,,T102+1)*R102-ERP_i)*Q102*Ramure*Pc/MaxiM</f>
        <v>3.2158076955387123E-3</v>
      </c>
      <c r="Q102" s="307">
        <f t="shared" si="28"/>
        <v>1</v>
      </c>
      <c r="R102" s="179">
        <f t="shared" si="29"/>
        <v>0.59707307252871877</v>
      </c>
      <c r="S102" s="837">
        <f t="shared" si="30"/>
        <v>-2</v>
      </c>
      <c r="T102" s="178">
        <f t="shared" si="31"/>
        <v>4</v>
      </c>
      <c r="U102" s="253">
        <f t="shared" si="32"/>
        <v>-1.4029269274712812</v>
      </c>
      <c r="V102" s="385">
        <f t="shared" si="33"/>
        <v>42.487456737150424</v>
      </c>
      <c r="W102" s="404">
        <f t="shared" si="34"/>
        <v>25.379717665952608</v>
      </c>
      <c r="X102" s="157">
        <f t="shared" si="35"/>
        <v>46475</v>
      </c>
      <c r="Y102" s="387">
        <f t="shared" si="36"/>
        <v>23.952682574740468</v>
      </c>
      <c r="Z102" s="387">
        <f t="shared" si="37"/>
        <v>25.781715534981942</v>
      </c>
      <c r="AA102" s="388">
        <f t="shared" si="38"/>
        <v>29.794423051459329</v>
      </c>
      <c r="AB102" s="199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0.13467981942616758</v>
      </c>
      <c r="AD102" s="233">
        <f>(INDEX(Models!$BJ102:$BT102,,AH102)*(1-AF102)+INDEX(Models!$BJ102:$BT102,,AH102+1)*AF102-ERP_i)*AE102*Ramure*Pc/MaxiM</f>
        <v>3.4011546680279364E-2</v>
      </c>
      <c r="AE102" s="307">
        <f t="shared" si="40"/>
        <v>1</v>
      </c>
      <c r="AF102" s="179">
        <f t="shared" si="41"/>
        <v>0.53205566545228899</v>
      </c>
      <c r="AG102" s="837">
        <f t="shared" si="49"/>
        <v>3</v>
      </c>
      <c r="AH102" s="178">
        <f t="shared" si="42"/>
        <v>9</v>
      </c>
      <c r="AI102" s="227">
        <f t="shared" si="43"/>
        <v>3.532055665452289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46476</v>
      </c>
      <c r="B103" s="1139">
        <f>IF(t&gt;Tmaj,'2026'!Wh/'2026'!Env_an*'2027'!Env_an,0.001*'[5]mon-tableau'!$B$237)</f>
        <v>7.1525297833978261</v>
      </c>
      <c r="C103" s="866"/>
      <c r="D103" s="395">
        <f t="shared" si="25"/>
        <v>7.6988779489453165</v>
      </c>
      <c r="E103" s="387">
        <f t="shared" si="47"/>
        <v>8.5099566102406143</v>
      </c>
      <c r="F103" s="387">
        <f t="shared" si="26"/>
        <v>8.5099566102406143</v>
      </c>
      <c r="G103" s="110">
        <f t="shared" si="48"/>
        <v>0.16639098158684318</v>
      </c>
      <c r="H103" s="414" t="b">
        <f>Wh_hp&gt;='2026'!Maxi_hp</f>
        <v>0</v>
      </c>
      <c r="I103" s="392">
        <f>IF(H103,Wh_hp,'2026'!Maxi_hp)</f>
        <v>50.454310720909646</v>
      </c>
      <c r="J103" s="85">
        <f>IF(H103,An,'2026'!An_max)</f>
        <v>2019</v>
      </c>
      <c r="K103" s="199">
        <f t="shared" si="27"/>
        <v>46476</v>
      </c>
      <c r="L103" s="147">
        <f>IF(t&lt;Tvie,1-EXP((T0-t)*PertePVj)+'2026'!Pspv,1-EXP((T0-t)*PertePVj)+Pspv)</f>
        <v>7.096464824751969E-2</v>
      </c>
      <c r="M103" s="870"/>
      <c r="N103" s="870"/>
      <c r="O103" s="48">
        <f>IF(t&lt;Tnet,'2026'!Resal+('2026'!Salim-'2026'!Resal)*(1-EXP(('2026'!Tnet-t)/('2026'!Tau_j))),Resal+(Salim-Resal)*(1-EXP((Tnet-t)/(Tau_j))))*Salcycl</f>
        <v>9.530937682094294E-2</v>
      </c>
      <c r="P103" s="171">
        <f>(INDEX(Models!$BJ103:$BT103,,T103)*(1-R103)+INDEX(Models!$BJ103:$BT103,,T103+1)*R103-ERP_i)*Q103*Ramure*Pc/MaxiM</f>
        <v>3.158650385804027E-3</v>
      </c>
      <c r="Q103" s="307">
        <f t="shared" si="28"/>
        <v>1</v>
      </c>
      <c r="R103" s="179">
        <f t="shared" si="29"/>
        <v>0.5983993966209844</v>
      </c>
      <c r="S103" s="837">
        <f t="shared" si="30"/>
        <v>-2</v>
      </c>
      <c r="T103" s="178">
        <f t="shared" si="31"/>
        <v>4</v>
      </c>
      <c r="U103" s="253">
        <f t="shared" si="32"/>
        <v>-1.4016006033790156</v>
      </c>
      <c r="V103" s="385">
        <f t="shared" si="33"/>
        <v>42.850504122525109</v>
      </c>
      <c r="W103" s="404">
        <f t="shared" si="34"/>
        <v>7.1525297833978261</v>
      </c>
      <c r="X103" s="157">
        <f t="shared" si="35"/>
        <v>46476</v>
      </c>
      <c r="Y103" s="387">
        <f t="shared" si="36"/>
        <v>6.8404252299808332</v>
      </c>
      <c r="Z103" s="387">
        <f t="shared" si="37"/>
        <v>7.3629331941754828</v>
      </c>
      <c r="AA103" s="388">
        <f t="shared" si="38"/>
        <v>8.5099566102406143</v>
      </c>
      <c r="AB103" s="199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0.13478604752048204</v>
      </c>
      <c r="AD103" s="233">
        <f>(INDEX(Models!$BJ103:$BT103,,AH103)*(1-AF103)+INDEX(Models!$BJ103:$BT103,,AH103+1)*AF103-ERP_i)*AE103*Ramure*Pc/MaxiM</f>
        <v>3.2756724481691479E-2</v>
      </c>
      <c r="AE103" s="307">
        <f t="shared" si="40"/>
        <v>1</v>
      </c>
      <c r="AF103" s="179">
        <f t="shared" si="41"/>
        <v>0.53338198954455462</v>
      </c>
      <c r="AG103" s="837">
        <f t="shared" si="49"/>
        <v>3</v>
      </c>
      <c r="AH103" s="178">
        <f t="shared" si="42"/>
        <v>9</v>
      </c>
      <c r="AI103" s="227">
        <f t="shared" si="43"/>
        <v>3.5333819895445546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46477</v>
      </c>
      <c r="B104" s="1139">
        <f>IF(t&gt;Tmaj,'2026'!Wh/'2026'!Env_an*'2027'!Env_an,0.001*'[5]mon-tableau'!$B$238)</f>
        <v>24.974685974511932</v>
      </c>
      <c r="C104" s="866"/>
      <c r="D104" s="395">
        <f t="shared" si="25"/>
        <v>26.883010574736371</v>
      </c>
      <c r="E104" s="387">
        <f t="shared" si="47"/>
        <v>29.720858805300402</v>
      </c>
      <c r="F104" s="387">
        <f t="shared" si="26"/>
        <v>29.757504680178695</v>
      </c>
      <c r="G104" s="110">
        <f t="shared" si="48"/>
        <v>0.57693270503816174</v>
      </c>
      <c r="H104" s="414" t="b">
        <f>Wh_hp&gt;='2026'!Maxi_hp</f>
        <v>0</v>
      </c>
      <c r="I104" s="392">
        <f>IF(H104,Wh_hp,'2026'!Maxi_hp)</f>
        <v>45.640923003520236</v>
      </c>
      <c r="J104" s="85">
        <f>IF(H104,An,'2026'!An_max)</f>
        <v>2021</v>
      </c>
      <c r="K104" s="199">
        <f t="shared" si="27"/>
        <v>46477</v>
      </c>
      <c r="L104" s="147">
        <f>IF(t&lt;Tvie,1-EXP((T0-t)*PertePVj)+'2026'!Pspv,1-EXP((T0-t)*PertePVj)+Pspv)</f>
        <v>7.0986268257388185E-2</v>
      </c>
      <c r="M104" s="870"/>
      <c r="N104" s="870"/>
      <c r="O104" s="48">
        <f>IF(t&lt;Tnet,'2026'!Resal+('2026'!Salim-'2026'!Resal)*(1-EXP(('2026'!Tnet-t)/('2026'!Tau_j))),Resal+(Salim-Resal)*(1-EXP((Tnet-t)/(Tau_j))))*Salcycl</f>
        <v>9.5483385899263806E-2</v>
      </c>
      <c r="P104" s="171">
        <f>(INDEX(Models!$BJ104:$BT104,,T104)*(1-R104)+INDEX(Models!$BJ104:$BT104,,T104+1)*R104-ERP_i)*Q104*Ramure*Pc/MaxiM</f>
        <v>3.1006962536240393E-3</v>
      </c>
      <c r="Q104" s="307">
        <f t="shared" si="28"/>
        <v>1</v>
      </c>
      <c r="R104" s="179">
        <f t="shared" si="29"/>
        <v>0.5997757708981144</v>
      </c>
      <c r="S104" s="837">
        <f t="shared" si="30"/>
        <v>-2</v>
      </c>
      <c r="T104" s="178">
        <f t="shared" si="31"/>
        <v>4</v>
      </c>
      <c r="U104" s="253">
        <f t="shared" si="32"/>
        <v>-1.4002242291018856</v>
      </c>
      <c r="V104" s="385">
        <f t="shared" si="33"/>
        <v>43.207717631708697</v>
      </c>
      <c r="W104" s="404">
        <f t="shared" si="34"/>
        <v>24.974685974511932</v>
      </c>
      <c r="X104" s="157">
        <f t="shared" si="35"/>
        <v>46477</v>
      </c>
      <c r="Y104" s="387">
        <f t="shared" si="36"/>
        <v>23.615987439604648</v>
      </c>
      <c r="Z104" s="387">
        <f t="shared" si="37"/>
        <v>25.420493403586828</v>
      </c>
      <c r="AA104" s="388">
        <f t="shared" si="38"/>
        <v>29.384271254458472</v>
      </c>
      <c r="AB104" s="199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0.13489454329313064</v>
      </c>
      <c r="AD104" s="233">
        <f>(INDEX(Models!$BJ104:$BT104,,AH104)*(1-AF104)+INDEX(Models!$BJ104:$BT104,,AH104+1)*AF104-ERP_i)*AE104*Ramure*Pc/MaxiM</f>
        <v>3.158018436458486E-2</v>
      </c>
      <c r="AE104" s="307">
        <f t="shared" si="40"/>
        <v>1</v>
      </c>
      <c r="AF104" s="179">
        <f t="shared" si="41"/>
        <v>0.53475836382168485</v>
      </c>
      <c r="AG104" s="837">
        <f t="shared" si="49"/>
        <v>3</v>
      </c>
      <c r="AH104" s="178">
        <f t="shared" si="42"/>
        <v>9</v>
      </c>
      <c r="AI104" s="227">
        <f t="shared" si="43"/>
        <v>3.5347583638216848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46478</v>
      </c>
      <c r="B105" s="1139">
        <f>IF(t&gt;Tmaj,'2026'!Wh/'2026'!Env_an*'2027'!Env_an,0.001*'[6]mon-tableau'!$B$202)</f>
        <v>27.221170379146756</v>
      </c>
      <c r="C105" s="866"/>
      <c r="D105" s="395">
        <f t="shared" si="25"/>
        <v>29.301831544760482</v>
      </c>
      <c r="E105" s="387">
        <f t="shared" si="47"/>
        <v>32.401306024361268</v>
      </c>
      <c r="F105" s="387">
        <f t="shared" si="26"/>
        <v>32.447123778197863</v>
      </c>
      <c r="G105" s="110">
        <f t="shared" si="48"/>
        <v>0.62391592539740692</v>
      </c>
      <c r="H105" s="414" t="b">
        <f>Wh_hp&gt;='2026'!Maxi_hp</f>
        <v>0</v>
      </c>
      <c r="I105" s="392">
        <f>IF(H105,Wh_hp,'2026'!Maxi_hp)</f>
        <v>47.789967168011586</v>
      </c>
      <c r="J105" s="85">
        <f>IF(H105,An,'2026'!An_max)</f>
        <v>2020</v>
      </c>
      <c r="K105" s="199">
        <f t="shared" si="27"/>
        <v>46478</v>
      </c>
      <c r="L105" s="147">
        <f>IF(t&lt;Tvie,1-EXP((T0-t)*PertePVj)+'2026'!Pspv,1-EXP((T0-t)*PertePVj)+Pspv)</f>
        <v>7.1007887764127586E-2</v>
      </c>
      <c r="M105" s="870"/>
      <c r="N105" s="870"/>
      <c r="O105" s="48">
        <f>IF(t&lt;Tnet,'2026'!Resal+('2026'!Salim-'2026'!Resal)*(1-EXP(('2026'!Tnet-t)/('2026'!Tau_j))),Resal+(Salim-Resal)*(1-EXP((Tnet-t)/(Tau_j))))*Salcycl</f>
        <v>9.5658936626517962E-2</v>
      </c>
      <c r="P105" s="171">
        <f>(INDEX(Models!$BJ105:$BT105,,T105)*(1-R105)+INDEX(Models!$BJ105:$BT105,,T105+1)*R105-ERP_i)*Q105*Ramure*Pc/MaxiM</f>
        <v>3.0419905040752994E-3</v>
      </c>
      <c r="Q105" s="307">
        <f t="shared" si="28"/>
        <v>1</v>
      </c>
      <c r="R105" s="179">
        <f t="shared" si="29"/>
        <v>0.60120385359511364</v>
      </c>
      <c r="S105" s="837">
        <f t="shared" si="30"/>
        <v>-2</v>
      </c>
      <c r="T105" s="178">
        <f t="shared" si="31"/>
        <v>4</v>
      </c>
      <c r="U105" s="253">
        <f t="shared" si="32"/>
        <v>-1.3987961464048864</v>
      </c>
      <c r="V105" s="385">
        <f t="shared" si="33"/>
        <v>43.558335842881853</v>
      </c>
      <c r="W105" s="404">
        <f t="shared" si="34"/>
        <v>27.221170379146756</v>
      </c>
      <c r="X105" s="157">
        <f t="shared" si="35"/>
        <v>46478</v>
      </c>
      <c r="Y105" s="387">
        <f t="shared" si="36"/>
        <v>25.704731881044971</v>
      </c>
      <c r="Z105" s="387">
        <f t="shared" si="37"/>
        <v>27.669483456839625</v>
      </c>
      <c r="AA105" s="388">
        <f t="shared" si="38"/>
        <v>31.988042140149048</v>
      </c>
      <c r="AB105" s="199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0.1350054080955797</v>
      </c>
      <c r="AD105" s="233">
        <f>(INDEX(Models!$BJ105:$BT105,,AH105)*(1-AF105)+INDEX(Models!$BJ105:$BT105,,AH105+1)*AF105-ERP_i)*AE105*Ramure*Pc/MaxiM</f>
        <v>3.0479931175159548E-2</v>
      </c>
      <c r="AE105" s="307">
        <f t="shared" si="40"/>
        <v>1</v>
      </c>
      <c r="AF105" s="179">
        <f t="shared" si="41"/>
        <v>0.53618644651868408</v>
      </c>
      <c r="AG105" s="837">
        <f t="shared" si="49"/>
        <v>3</v>
      </c>
      <c r="AH105" s="178">
        <f t="shared" si="42"/>
        <v>9</v>
      </c>
      <c r="AI105" s="227">
        <f t="shared" si="43"/>
        <v>3.5361864465186841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46479</v>
      </c>
      <c r="B106" s="1139">
        <f>IF(t&gt;Tmaj,'2026'!Wh/'2026'!Env_an*'2027'!Env_an,0.001*'[6]mon-tableau'!$B$203)</f>
        <v>18.441337561814766</v>
      </c>
      <c r="C106" s="866"/>
      <c r="D106" s="395">
        <f t="shared" si="25"/>
        <v>19.851370626046648</v>
      </c>
      <c r="E106" s="387">
        <f t="shared" si="47"/>
        <v>21.95550025921267</v>
      </c>
      <c r="F106" s="387">
        <f t="shared" si="26"/>
        <v>21.966737493257774</v>
      </c>
      <c r="G106" s="110">
        <f t="shared" si="48"/>
        <v>0.41902222832645081</v>
      </c>
      <c r="H106" s="414" t="b">
        <f>Wh_hp&gt;='2026'!Maxi_hp</f>
        <v>0</v>
      </c>
      <c r="I106" s="392">
        <f>IF(H106,Wh_hp,'2026'!Maxi_hp)</f>
        <v>42.365894595773121</v>
      </c>
      <c r="J106" s="85">
        <f>IF(H106,An,'2026'!An_max)</f>
        <v>2020</v>
      </c>
      <c r="K106" s="199">
        <f t="shared" si="27"/>
        <v>46479</v>
      </c>
      <c r="L106" s="147">
        <f>IF(t&lt;Tvie,1-EXP((T0-t)*PertePVj)+'2026'!Pspv,1-EXP((T0-t)*PertePVj)+Pspv)</f>
        <v>7.102950676774944E-2</v>
      </c>
      <c r="M106" s="870"/>
      <c r="N106" s="870"/>
      <c r="O106" s="48">
        <f>IF(t&lt;Tnet,'2026'!Resal+('2026'!Salim-'2026'!Resal)*(1-EXP(('2026'!Tnet-t)/('2026'!Tau_j))),Resal+(Salim-Resal)*(1-EXP((Tnet-t)/(Tau_j))))*Salcycl</f>
        <v>9.5836105227577989E-2</v>
      </c>
      <c r="P106" s="171">
        <f>(INDEX(Models!$BJ106:$BT106,,T106)*(1-R106)+INDEX(Models!$BJ106:$BT106,,T106+1)*R106-ERP_i)*Q106*Ramure*Pc/MaxiM</f>
        <v>2.9825717838221533E-3</v>
      </c>
      <c r="Q106" s="307">
        <f t="shared" si="28"/>
        <v>1</v>
      </c>
      <c r="R106" s="179">
        <f t="shared" si="29"/>
        <v>0.60268533926432877</v>
      </c>
      <c r="S106" s="837">
        <f t="shared" si="30"/>
        <v>-2</v>
      </c>
      <c r="T106" s="178">
        <f t="shared" si="31"/>
        <v>4</v>
      </c>
      <c r="U106" s="253">
        <f t="shared" si="32"/>
        <v>-1.3973146607356712</v>
      </c>
      <c r="V106" s="385">
        <f t="shared" si="33"/>
        <v>43.90159799151256</v>
      </c>
      <c r="W106" s="404">
        <f t="shared" si="34"/>
        <v>18.441337561814766</v>
      </c>
      <c r="X106" s="157">
        <f t="shared" si="35"/>
        <v>46479</v>
      </c>
      <c r="Y106" s="387">
        <f t="shared" si="36"/>
        <v>17.559996696274972</v>
      </c>
      <c r="Z106" s="387">
        <f t="shared" si="37"/>
        <v>18.902642036752855</v>
      </c>
      <c r="AA106" s="388">
        <f t="shared" si="38"/>
        <v>21.855765578184798</v>
      </c>
      <c r="AB106" s="199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0.13511874159098705</v>
      </c>
      <c r="AD106" s="233">
        <f>(INDEX(Models!$BJ106:$BT106,,AH106)*(1-AF106)+INDEX(Models!$BJ106:$BT106,,AH106+1)*AF106-ERP_i)*AE106*Ramure*Pc/MaxiM</f>
        <v>2.9454018788322458E-2</v>
      </c>
      <c r="AE106" s="307">
        <f t="shared" si="40"/>
        <v>1</v>
      </c>
      <c r="AF106" s="179">
        <f t="shared" si="41"/>
        <v>0.53766793218789921</v>
      </c>
      <c r="AG106" s="837">
        <f t="shared" si="49"/>
        <v>3</v>
      </c>
      <c r="AH106" s="178">
        <f t="shared" si="42"/>
        <v>9</v>
      </c>
      <c r="AI106" s="227">
        <f t="shared" si="43"/>
        <v>3.5376679321878992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46480</v>
      </c>
      <c r="B107" s="1139">
        <f>IF(t&gt;Tmaj,'2026'!Wh/'2026'!Env_an*'2027'!Env_an,0.001*'[6]mon-tableau'!$B$204)</f>
        <v>22.830722445785405</v>
      </c>
      <c r="C107" s="866"/>
      <c r="D107" s="395">
        <f t="shared" si="25"/>
        <v>24.576941817576937</v>
      </c>
      <c r="E107" s="387">
        <f t="shared" si="47"/>
        <v>27.187332661125009</v>
      </c>
      <c r="F107" s="387">
        <f t="shared" si="26"/>
        <v>27.21187909298207</v>
      </c>
      <c r="G107" s="110">
        <f t="shared" si="48"/>
        <v>0.5150302469486755</v>
      </c>
      <c r="H107" s="414" t="b">
        <f>Wh_hp&gt;='2026'!Maxi_hp</f>
        <v>0</v>
      </c>
      <c r="I107" s="392">
        <f>IF(H107,Wh_hp,'2026'!Maxi_hp)</f>
        <v>48.937909271344878</v>
      </c>
      <c r="J107" s="85">
        <f>IF(H107,An,'2026'!An_max)</f>
        <v>2021</v>
      </c>
      <c r="K107" s="199">
        <f t="shared" si="27"/>
        <v>46480</v>
      </c>
      <c r="L107" s="147">
        <f>IF(t&lt;Tvie,1-EXP((T0-t)*PertePVj)+'2026'!Pspv,1-EXP((T0-t)*PertePVj)+Pspv)</f>
        <v>7.1051125268265514E-2</v>
      </c>
      <c r="M107" s="870"/>
      <c r="N107" s="870"/>
      <c r="O107" s="48">
        <f>IF(t&lt;Tnet,'2026'!Resal+('2026'!Salim-'2026'!Resal)*(1-EXP(('2026'!Tnet-t)/('2026'!Tau_j))),Resal+(Salim-Resal)*(1-EXP((Tnet-t)/(Tau_j))))*Salcycl</f>
        <v>9.6014966826100306E-2</v>
      </c>
      <c r="P107" s="171">
        <f>(INDEX(Models!$BJ107:$BT107,,T107)*(1-R107)+INDEX(Models!$BJ107:$BT107,,T107+1)*R107-ERP_i)*Q107*Ramure*Pc/MaxiM</f>
        <v>2.9223066555646229E-3</v>
      </c>
      <c r="Q107" s="307">
        <f t="shared" si="28"/>
        <v>1</v>
      </c>
      <c r="R107" s="179">
        <f t="shared" si="29"/>
        <v>0.6042219579910677</v>
      </c>
      <c r="S107" s="837">
        <f t="shared" si="30"/>
        <v>-2</v>
      </c>
      <c r="T107" s="178">
        <f t="shared" si="31"/>
        <v>4</v>
      </c>
      <c r="U107" s="253">
        <f t="shared" si="32"/>
        <v>-1.3957780420089323</v>
      </c>
      <c r="V107" s="385">
        <f t="shared" si="33"/>
        <v>44.239259696979367</v>
      </c>
      <c r="W107" s="404">
        <f t="shared" si="34"/>
        <v>22.830722445785405</v>
      </c>
      <c r="X107" s="157">
        <f t="shared" si="35"/>
        <v>46480</v>
      </c>
      <c r="Y107" s="387">
        <f t="shared" si="36"/>
        <v>21.667622144531709</v>
      </c>
      <c r="Z107" s="387">
        <f t="shared" si="37"/>
        <v>23.324881200581647</v>
      </c>
      <c r="AA107" s="388">
        <f t="shared" si="38"/>
        <v>26.972497189320187</v>
      </c>
      <c r="AB107" s="199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0.13523464153637285</v>
      </c>
      <c r="AD107" s="233">
        <f>(INDEX(Models!$BJ107:$BT107,,AH107)*(1-AF107)+INDEX(Models!$BJ107:$BT107,,AH107+1)*AF107-ERP_i)*AE107*Ramure*Pc/MaxiM</f>
        <v>2.8498941694110189E-2</v>
      </c>
      <c r="AE107" s="307">
        <f t="shared" si="40"/>
        <v>1</v>
      </c>
      <c r="AF107" s="179">
        <f t="shared" si="41"/>
        <v>0.53920455091463815</v>
      </c>
      <c r="AG107" s="837">
        <f t="shared" si="49"/>
        <v>3</v>
      </c>
      <c r="AH107" s="178">
        <f t="shared" si="42"/>
        <v>9</v>
      </c>
      <c r="AI107" s="227">
        <f t="shared" si="43"/>
        <v>3.5392045509146381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46481</v>
      </c>
      <c r="B108" s="1139">
        <f>IF(t&gt;Tmaj,'2026'!Wh/'2026'!Env_an*'2027'!Env_an,0.001*'[6]mon-tableau'!$B$205)</f>
        <v>39.538050629129785</v>
      </c>
      <c r="C108" s="866"/>
      <c r="D108" s="395">
        <f t="shared" si="25"/>
        <v>42.563128966769327</v>
      </c>
      <c r="E108" s="387">
        <f t="shared" si="47"/>
        <v>47.093296674423875</v>
      </c>
      <c r="F108" s="387">
        <f t="shared" si="26"/>
        <v>47.206514705352724</v>
      </c>
      <c r="G108" s="110">
        <f t="shared" si="48"/>
        <v>0.88662117056558265</v>
      </c>
      <c r="H108" s="414" t="b">
        <f>Wh_hp&gt;='2026'!Maxi_hp</f>
        <v>0</v>
      </c>
      <c r="I108" s="392">
        <f>IF(H108,Wh_hp,'2026'!Maxi_hp)</f>
        <v>53.242583375883534</v>
      </c>
      <c r="J108" s="85">
        <f>IF(H108,An,'2026'!An_max)</f>
        <v>2020</v>
      </c>
      <c r="K108" s="199">
        <f t="shared" si="27"/>
        <v>46481</v>
      </c>
      <c r="L108" s="147">
        <f>IF(t&lt;Tvie,1-EXP((T0-t)*PertePVj)+'2026'!Pspv,1-EXP((T0-t)*PertePVj)+Pspv)</f>
        <v>7.1072743265687466E-2</v>
      </c>
      <c r="M108" s="870"/>
      <c r="N108" s="870"/>
      <c r="O108" s="48">
        <f>IF(t&lt;Tnet,'2026'!Resal+('2026'!Salim-'2026'!Resal)*(1-EXP(('2026'!Tnet-t)/('2026'!Tau_j))),Resal+(Salim-Resal)*(1-EXP((Tnet-t)/(Tau_j))))*Salcycl</f>
        <v>9.6195595287659294E-2</v>
      </c>
      <c r="P108" s="171">
        <f>(INDEX(Models!$BJ108:$BT108,,T108)*(1-R108)+INDEX(Models!$BJ108:$BT108,,T108+1)*R108-ERP_i)*Q108*Ramure*Pc/MaxiM</f>
        <v>2.8598960844318168E-3</v>
      </c>
      <c r="Q108" s="307">
        <f t="shared" si="28"/>
        <v>1</v>
      </c>
      <c r="R108" s="179">
        <f t="shared" si="29"/>
        <v>0.60581547443986161</v>
      </c>
      <c r="S108" s="837">
        <f t="shared" si="30"/>
        <v>-2</v>
      </c>
      <c r="T108" s="178">
        <f t="shared" si="31"/>
        <v>4</v>
      </c>
      <c r="U108" s="253">
        <f t="shared" si="32"/>
        <v>-1.3941845255601384</v>
      </c>
      <c r="V108" s="385">
        <f t="shared" si="33"/>
        <v>44.573443176376053</v>
      </c>
      <c r="W108" s="404">
        <f t="shared" si="34"/>
        <v>39.538050629129785</v>
      </c>
      <c r="X108" s="157">
        <f t="shared" si="35"/>
        <v>46481</v>
      </c>
      <c r="Y108" s="387">
        <f t="shared" si="36"/>
        <v>37.037487940526333</v>
      </c>
      <c r="Z108" s="387">
        <f t="shared" si="37"/>
        <v>39.871246830169852</v>
      </c>
      <c r="AA108" s="388">
        <f t="shared" si="38"/>
        <v>46.112756092990324</v>
      </c>
      <c r="AB108" s="199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0.13535320357416794</v>
      </c>
      <c r="AD108" s="233">
        <f>(INDEX(Models!$BJ108:$BT108,,AH108)*(1-AF108)+INDEX(Models!$BJ108:$BT108,,AH108+1)*AF108-ERP_i)*AE108*Ramure*Pc/MaxiM</f>
        <v>2.7628425853605053E-2</v>
      </c>
      <c r="AE108" s="307">
        <f t="shared" si="40"/>
        <v>1</v>
      </c>
      <c r="AF108" s="179">
        <f t="shared" si="41"/>
        <v>0.54079806736343183</v>
      </c>
      <c r="AG108" s="837">
        <f t="shared" si="49"/>
        <v>3</v>
      </c>
      <c r="AH108" s="178">
        <f t="shared" si="42"/>
        <v>9</v>
      </c>
      <c r="AI108" s="227">
        <f t="shared" si="43"/>
        <v>3.5407980673634318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46482</v>
      </c>
      <c r="B109" s="1139">
        <f>IF(t&gt;Tmaj,'2026'!Wh/'2026'!Env_an*'2027'!Env_an,0.001*'[6]mon-tableau'!$B$206)</f>
        <v>45.75086528196109</v>
      </c>
      <c r="C109" s="866"/>
      <c r="D109" s="395">
        <f t="shared" si="25"/>
        <v>49.252435714992835</v>
      </c>
      <c r="E109" s="387">
        <f t="shared" si="47"/>
        <v>54.505577722272172</v>
      </c>
      <c r="F109" s="387">
        <f t="shared" si="26"/>
        <v>54.658447129725701</v>
      </c>
      <c r="G109" s="110">
        <f t="shared" si="48"/>
        <v>1.0188640814749232</v>
      </c>
      <c r="H109" s="414" t="b">
        <f>Wh_hp&gt;='2026'!Maxi_hp</f>
        <v>0</v>
      </c>
      <c r="I109" s="392">
        <f>IF(H109,Wh_hp,'2026'!Maxi_hp)</f>
        <v>55.141802022819732</v>
      </c>
      <c r="J109" s="85">
        <f>IF(H109,An,'2026'!An_max)</f>
        <v>2020</v>
      </c>
      <c r="K109" s="199">
        <f t="shared" si="27"/>
        <v>46482</v>
      </c>
      <c r="L109" s="147">
        <f>IF(t&lt;Tvie,1-EXP((T0-t)*PertePVj)+'2026'!Pspv,1-EXP((T0-t)*PertePVj)+Pspv)</f>
        <v>7.1094360760027064E-2</v>
      </c>
      <c r="M109" s="870"/>
      <c r="N109" s="870"/>
      <c r="O109" s="48">
        <f>IF(t&lt;Tnet,'2026'!Resal+('2026'!Salim-'2026'!Resal)*(1-EXP(('2026'!Tnet-t)/('2026'!Tau_j))),Resal+(Salim-Resal)*(1-EXP((Tnet-t)/(Tau_j))))*Salcycl</f>
        <v>9.637806306808093E-2</v>
      </c>
      <c r="P109" s="171">
        <f>(INDEX(Models!$BJ109:$BT109,,T109)*(1-R109)+INDEX(Models!$BJ109:$BT109,,T109+1)*R109-ERP_i)*Q109*Ramure*Pc/MaxiM</f>
        <v>2.7968121211111958E-3</v>
      </c>
      <c r="Q109" s="307">
        <f t="shared" si="28"/>
        <v>1</v>
      </c>
      <c r="R109" s="179">
        <f t="shared" si="29"/>
        <v>0.6074676867190878</v>
      </c>
      <c r="S109" s="837">
        <f t="shared" si="30"/>
        <v>-2</v>
      </c>
      <c r="T109" s="178">
        <f t="shared" si="31"/>
        <v>4</v>
      </c>
      <c r="U109" s="253">
        <f t="shared" si="32"/>
        <v>-1.3925323132809122</v>
      </c>
      <c r="V109" s="385">
        <f t="shared" si="33"/>
        <v>44.903796407987457</v>
      </c>
      <c r="W109" s="404">
        <f t="shared" si="34"/>
        <v>45.75086528196109</v>
      </c>
      <c r="X109" s="157">
        <f t="shared" si="35"/>
        <v>46482</v>
      </c>
      <c r="Y109" s="387">
        <f t="shared" si="36"/>
        <v>42.716871571022139</v>
      </c>
      <c r="Z109" s="387">
        <f t="shared" si="37"/>
        <v>45.986233441292185</v>
      </c>
      <c r="AA109" s="388">
        <f t="shared" si="38"/>
        <v>53.192455931082698</v>
      </c>
      <c r="AB109" s="199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0.13547452103221277</v>
      </c>
      <c r="AD109" s="233">
        <f>(INDEX(Models!$BJ109:$BT109,,AH109)*(1-AF109)+INDEX(Models!$BJ109:$BT109,,AH109+1)*AF109-ERP_i)*AE109*Ramure*Pc/MaxiM</f>
        <v>2.6820944897384978E-2</v>
      </c>
      <c r="AE109" s="307">
        <f t="shared" si="40"/>
        <v>1</v>
      </c>
      <c r="AF109" s="179">
        <f t="shared" si="41"/>
        <v>0.54245027964265802</v>
      </c>
      <c r="AG109" s="837">
        <f t="shared" si="49"/>
        <v>3</v>
      </c>
      <c r="AH109" s="178">
        <f t="shared" si="42"/>
        <v>9</v>
      </c>
      <c r="AI109" s="227">
        <f t="shared" si="43"/>
        <v>3.542450279642658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46483</v>
      </c>
      <c r="B110" s="1139">
        <f>IF(t&gt;Tmaj,'2026'!Wh/'2026'!Env_an*'2027'!Env_an,0.001*'[6]mon-tableau'!$B$207)</f>
        <v>11.622288275981848</v>
      </c>
      <c r="C110" s="866"/>
      <c r="D110" s="395">
        <f t="shared" si="25"/>
        <v>12.512098386455008</v>
      </c>
      <c r="E110" s="387">
        <f t="shared" si="47"/>
        <v>13.849433491808817</v>
      </c>
      <c r="F110" s="387">
        <f t="shared" si="26"/>
        <v>13.849433491808817</v>
      </c>
      <c r="G110" s="110">
        <f t="shared" si="48"/>
        <v>0.25625725471677058</v>
      </c>
      <c r="H110" s="414" t="b">
        <f>Wh_hp&gt;='2026'!Maxi_hp</f>
        <v>0</v>
      </c>
      <c r="I110" s="392">
        <f>IF(H110,Wh_hp,'2026'!Maxi_hp)</f>
        <v>55.305797154452193</v>
      </c>
      <c r="J110" s="85">
        <f>IF(H110,An,'2026'!An_max)</f>
        <v>2020</v>
      </c>
      <c r="K110" s="199">
        <f t="shared" si="27"/>
        <v>46483</v>
      </c>
      <c r="L110" s="147">
        <f>IF(t&lt;Tvie,1-EXP((T0-t)*PertePVj)+'2026'!Pspv,1-EXP((T0-t)*PertePVj)+Pspv)</f>
        <v>7.1115977751295967E-2</v>
      </c>
      <c r="M110" s="870"/>
      <c r="N110" s="870"/>
      <c r="O110" s="48">
        <f>IF(t&lt;Tnet,'2026'!Resal+('2026'!Salim-'2026'!Resal)*(1-EXP(('2026'!Tnet-t)/('2026'!Tau_j))),Resal+(Salim-Resal)*(1-EXP((Tnet-t)/(Tau_j))))*Salcycl</f>
        <v>9.6562441066255167E-2</v>
      </c>
      <c r="P110" s="171">
        <f>(INDEX(Models!$BJ110:$BT110,,T110)*(1-R110)+INDEX(Models!$BJ110:$BT110,,T110+1)*R110-ERP_i)*Q110*Ramure*Pc/MaxiM</f>
        <v>2.7330640612124894E-3</v>
      </c>
      <c r="Q110" s="307">
        <f t="shared" si="28"/>
        <v>1</v>
      </c>
      <c r="R110" s="179">
        <f t="shared" si="29"/>
        <v>0.60918042505134395</v>
      </c>
      <c r="S110" s="837">
        <f t="shared" si="30"/>
        <v>-2</v>
      </c>
      <c r="T110" s="178">
        <f t="shared" si="31"/>
        <v>4</v>
      </c>
      <c r="U110" s="253">
        <f t="shared" si="32"/>
        <v>-1.390819574948656</v>
      </c>
      <c r="V110" s="385">
        <f t="shared" si="33"/>
        <v>45.230031947373298</v>
      </c>
      <c r="W110" s="404">
        <f t="shared" si="34"/>
        <v>11.622288275981848</v>
      </c>
      <c r="X110" s="157">
        <f t="shared" si="35"/>
        <v>46483</v>
      </c>
      <c r="Y110" s="387">
        <f t="shared" si="36"/>
        <v>11.120105836699569</v>
      </c>
      <c r="Z110" s="387">
        <f t="shared" si="37"/>
        <v>11.971468526048364</v>
      </c>
      <c r="AA110" s="388">
        <f t="shared" si="38"/>
        <v>13.849433491808817</v>
      </c>
      <c r="AB110" s="199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0.13559868473112405</v>
      </c>
      <c r="AD110" s="233">
        <f>(INDEX(Models!$BJ110:$BT110,,AH110)*(1-AF110)+INDEX(Models!$BJ110:$BT110,,AH110+1)*AF110-ERP_i)*AE110*Ramure*Pc/MaxiM</f>
        <v>2.6075205879376347E-2</v>
      </c>
      <c r="AE110" s="307">
        <f t="shared" si="40"/>
        <v>1</v>
      </c>
      <c r="AF110" s="179">
        <f t="shared" si="41"/>
        <v>0.54416301797491462</v>
      </c>
      <c r="AG110" s="837">
        <f t="shared" si="49"/>
        <v>3</v>
      </c>
      <c r="AH110" s="178">
        <f t="shared" si="42"/>
        <v>9</v>
      </c>
      <c r="AI110" s="227">
        <f t="shared" si="43"/>
        <v>3.5441630179749146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46484</v>
      </c>
      <c r="B111" s="1139">
        <f>IF(t&gt;Tmaj,'2026'!Wh/'2026'!Env_an*'2027'!Env_an,0.001*'[6]mon-tableau'!$B$208)</f>
        <v>35.158094051203399</v>
      </c>
      <c r="C111" s="866"/>
      <c r="D111" s="395">
        <f t="shared" si="25"/>
        <v>37.850701926533631</v>
      </c>
      <c r="E111" s="387">
        <f t="shared" si="47"/>
        <v>41.904956077405124</v>
      </c>
      <c r="F111" s="387">
        <f t="shared" si="26"/>
        <v>41.980469430427028</v>
      </c>
      <c r="G111" s="110">
        <f t="shared" si="48"/>
        <v>0.77115299770178669</v>
      </c>
      <c r="H111" s="414" t="b">
        <f>Wh_hp&gt;='2026'!Maxi_hp</f>
        <v>0</v>
      </c>
      <c r="I111" s="392">
        <f>IF(H111,Wh_hp,'2026'!Maxi_hp)</f>
        <v>54.130419749791777</v>
      </c>
      <c r="J111" s="85">
        <f>IF(H111,An,'2026'!An_max)</f>
        <v>2021</v>
      </c>
      <c r="K111" s="199">
        <f t="shared" si="27"/>
        <v>46484</v>
      </c>
      <c r="L111" s="147">
        <f>IF(t&lt;Tvie,1-EXP((T0-t)*PertePVj)+'2026'!Pspv,1-EXP((T0-t)*PertePVj)+Pspv)</f>
        <v>7.1137594239505941E-2</v>
      </c>
      <c r="M111" s="870"/>
      <c r="N111" s="870"/>
      <c r="O111" s="48">
        <f>IF(t&lt;Tnet,'2026'!Resal+('2026'!Salim-'2026'!Resal)*(1-EXP(('2026'!Tnet-t)/('2026'!Tau_j))),Resal+(Salim-Resal)*(1-EXP((Tnet-t)/(Tau_j))))*Salcycl</f>
        <v>9.6748798480605455E-2</v>
      </c>
      <c r="P111" s="171">
        <f>(INDEX(Models!$BJ111:$BT111,,T111)*(1-R111)+INDEX(Models!$BJ111:$BT111,,T111+1)*R111-ERP_i)*Q111*Ramure*Pc/MaxiM</f>
        <v>2.6686584672901345E-3</v>
      </c>
      <c r="Q111" s="307">
        <f t="shared" si="28"/>
        <v>1</v>
      </c>
      <c r="R111" s="179">
        <f t="shared" si="29"/>
        <v>0.61095555023667258</v>
      </c>
      <c r="S111" s="837">
        <f t="shared" si="30"/>
        <v>-2</v>
      </c>
      <c r="T111" s="178">
        <f t="shared" si="31"/>
        <v>4</v>
      </c>
      <c r="U111" s="253">
        <f t="shared" si="32"/>
        <v>-1.3890444497633274</v>
      </c>
      <c r="V111" s="385">
        <f t="shared" si="33"/>
        <v>45.551862657659335</v>
      </c>
      <c r="W111" s="404">
        <f t="shared" si="34"/>
        <v>35.158094051203399</v>
      </c>
      <c r="X111" s="157">
        <f t="shared" si="35"/>
        <v>46484</v>
      </c>
      <c r="Y111" s="387">
        <f t="shared" si="36"/>
        <v>33.12481659280872</v>
      </c>
      <c r="Z111" s="387">
        <f t="shared" si="37"/>
        <v>35.661704454157778</v>
      </c>
      <c r="AA111" s="388">
        <f t="shared" si="38"/>
        <v>41.262025112355225</v>
      </c>
      <c r="AB111" s="199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0.13572578279781342</v>
      </c>
      <c r="AD111" s="233">
        <f>(INDEX(Models!$BJ111:$BT111,,AH111)*(1-AF111)+INDEX(Models!$BJ111:$BT111,,AH111+1)*AF111-ERP_i)*AE111*Ramure*Pc/MaxiM</f>
        <v>2.5389979864127221E-2</v>
      </c>
      <c r="AE111" s="307">
        <f t="shared" si="40"/>
        <v>1</v>
      </c>
      <c r="AF111" s="179">
        <f t="shared" si="41"/>
        <v>0.54593814316024325</v>
      </c>
      <c r="AG111" s="837">
        <f t="shared" si="49"/>
        <v>3</v>
      </c>
      <c r="AH111" s="178">
        <f t="shared" si="42"/>
        <v>9</v>
      </c>
      <c r="AI111" s="227">
        <f t="shared" si="43"/>
        <v>3.5459381431602432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46485</v>
      </c>
      <c r="B112" s="1139">
        <f>IF(t&gt;Tmaj,'2026'!Wh/'2026'!Env_an*'2027'!Env_an,0.001*'[6]mon-tableau'!$B$209)</f>
        <v>27.461611916917338</v>
      </c>
      <c r="C112" s="866"/>
      <c r="D112" s="395">
        <f t="shared" si="25"/>
        <v>29.565467213772742</v>
      </c>
      <c r="E112" s="387">
        <f t="shared" si="47"/>
        <v>32.7391044134814</v>
      </c>
      <c r="F112" s="387">
        <f t="shared" si="26"/>
        <v>32.775517359330244</v>
      </c>
      <c r="G112" s="110">
        <f t="shared" si="48"/>
        <v>0.59780190457856652</v>
      </c>
      <c r="H112" s="414" t="b">
        <f>Wh_hp&gt;='2026'!Maxi_hp</f>
        <v>0</v>
      </c>
      <c r="I112" s="392">
        <f>IF(H112,Wh_hp,'2026'!Maxi_hp)</f>
        <v>52.014022850554703</v>
      </c>
      <c r="J112" s="85">
        <f>IF(H112,An,'2026'!An_max)</f>
        <v>2021</v>
      </c>
      <c r="K112" s="199">
        <f t="shared" si="27"/>
        <v>46485</v>
      </c>
      <c r="L112" s="147">
        <f>IF(t&lt;Tvie,1-EXP((T0-t)*PertePVj)+'2026'!Pspv,1-EXP((T0-t)*PertePVj)+Pspv)</f>
        <v>7.1159210224668645E-2</v>
      </c>
      <c r="M112" s="870"/>
      <c r="N112" s="870"/>
      <c r="O112" s="48">
        <f>IF(t&lt;Tnet,'2026'!Resal+('2026'!Salim-'2026'!Resal)*(1-EXP(('2026'!Tnet-t)/('2026'!Tau_j))),Resal+(Salim-Resal)*(1-EXP((Tnet-t)/(Tau_j))))*Salcycl</f>
        <v>9.6937202668311462E-2</v>
      </c>
      <c r="P112" s="171">
        <f>(INDEX(Models!$BJ112:$BT112,,T112)*(1-R112)+INDEX(Models!$BJ112:$BT112,,T112+1)*R112-ERP_i)*Q112*Ramure*Pc/MaxiM</f>
        <v>2.6035992055663533E-3</v>
      </c>
      <c r="Q112" s="307">
        <f t="shared" si="28"/>
        <v>1</v>
      </c>
      <c r="R112" s="179">
        <f t="shared" si="29"/>
        <v>0.61279495189551358</v>
      </c>
      <c r="S112" s="837">
        <f t="shared" si="30"/>
        <v>-2</v>
      </c>
      <c r="T112" s="178">
        <f t="shared" si="31"/>
        <v>4</v>
      </c>
      <c r="U112" s="253">
        <f t="shared" si="32"/>
        <v>-1.3872050481044864</v>
      </c>
      <c r="V112" s="385">
        <f t="shared" si="33"/>
        <v>45.869001736928318</v>
      </c>
      <c r="W112" s="404">
        <f t="shared" si="34"/>
        <v>27.461611916917338</v>
      </c>
      <c r="X112" s="157">
        <f t="shared" si="35"/>
        <v>46485</v>
      </c>
      <c r="Y112" s="387">
        <f t="shared" si="36"/>
        <v>26.029352356390618</v>
      </c>
      <c r="Z112" s="387">
        <f t="shared" si="37"/>
        <v>28.023481142216649</v>
      </c>
      <c r="AA112" s="388">
        <f t="shared" si="38"/>
        <v>32.429176057450519</v>
      </c>
      <c r="AB112" s="199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0.13585590048383833</v>
      </c>
      <c r="AD112" s="233">
        <f>(INDEX(Models!$BJ112:$BT112,,AH112)*(1-AF112)+INDEX(Models!$BJ112:$BT112,,AH112+1)*AF112-ERP_i)*AE112*Ramure*Pc/MaxiM</f>
        <v>2.4764102914717815E-2</v>
      </c>
      <c r="AE112" s="307">
        <f t="shared" si="40"/>
        <v>1</v>
      </c>
      <c r="AF112" s="179">
        <f t="shared" si="41"/>
        <v>0.54777754481908403</v>
      </c>
      <c r="AG112" s="837">
        <f t="shared" si="49"/>
        <v>3</v>
      </c>
      <c r="AH112" s="178">
        <f t="shared" si="42"/>
        <v>9</v>
      </c>
      <c r="AI112" s="227">
        <f t="shared" si="43"/>
        <v>3.547777544819084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46486</v>
      </c>
      <c r="B113" s="1139">
        <f>IF(t&gt;Tmaj,'2026'!Wh/'2026'!Env_an*'2027'!Env_an,0.001*'[6]mon-tableau'!$B$210)</f>
        <v>33.322593260646464</v>
      </c>
      <c r="C113" s="866"/>
      <c r="D113" s="395">
        <f t="shared" si="25"/>
        <v>35.876297758391644</v>
      </c>
      <c r="E113" s="387">
        <f t="shared" si="47"/>
        <v>39.735739498954452</v>
      </c>
      <c r="F113" s="387">
        <f t="shared" si="26"/>
        <v>39.796564459009623</v>
      </c>
      <c r="G113" s="110">
        <f t="shared" si="48"/>
        <v>0.72083293203452592</v>
      </c>
      <c r="H113" s="414" t="b">
        <f>Wh_hp&gt;='2026'!Maxi_hp</f>
        <v>0</v>
      </c>
      <c r="I113" s="392">
        <f>IF(H113,Wh_hp,'2026'!Maxi_hp)</f>
        <v>51.39394262397834</v>
      </c>
      <c r="J113" s="85">
        <f>IF(H113,An,'2026'!An_max)</f>
        <v>2020</v>
      </c>
      <c r="K113" s="199">
        <f t="shared" si="27"/>
        <v>46486</v>
      </c>
      <c r="L113" s="147">
        <f>IF(t&lt;Tvie,1-EXP((T0-t)*PertePVj)+'2026'!Pspv,1-EXP((T0-t)*PertePVj)+Pspv)</f>
        <v>7.1180825706795736E-2</v>
      </c>
      <c r="M113" s="870"/>
      <c r="N113" s="870"/>
      <c r="O113" s="48">
        <f>IF(t&lt;Tnet,'2026'!Resal+('2026'!Salim-'2026'!Resal)*(1-EXP(('2026'!Tnet-t)/('2026'!Tau_j))),Resal+(Salim-Resal)*(1-EXP((Tnet-t)/(Tau_j))))*Salcycl</f>
        <v>9.7127719006320667E-2</v>
      </c>
      <c r="P113" s="171">
        <f>(INDEX(Models!$BJ113:$BT113,,T113)*(1-R113)+INDEX(Models!$BJ113:$BT113,,T113+1)*R113-ERP_i)*Q113*Ramure*Pc/MaxiM</f>
        <v>2.5378874782214901E-3</v>
      </c>
      <c r="Q113" s="307">
        <f t="shared" si="28"/>
        <v>1</v>
      </c>
      <c r="R113" s="179">
        <f t="shared" si="29"/>
        <v>0.61470054647810612</v>
      </c>
      <c r="S113" s="837">
        <f t="shared" si="30"/>
        <v>-2</v>
      </c>
      <c r="T113" s="178">
        <f t="shared" si="31"/>
        <v>4</v>
      </c>
      <c r="U113" s="253">
        <f t="shared" si="32"/>
        <v>-1.3852994535218939</v>
      </c>
      <c r="V113" s="385">
        <f t="shared" si="33"/>
        <v>46.181162731467147</v>
      </c>
      <c r="W113" s="404">
        <f t="shared" si="34"/>
        <v>33.322593260646464</v>
      </c>
      <c r="X113" s="157">
        <f t="shared" si="35"/>
        <v>46486</v>
      </c>
      <c r="Y113" s="387">
        <f t="shared" si="36"/>
        <v>31.471751274744591</v>
      </c>
      <c r="Z113" s="387">
        <f t="shared" si="37"/>
        <v>33.883614965952212</v>
      </c>
      <c r="AA113" s="388">
        <f t="shared" si="38"/>
        <v>39.216653111416719</v>
      </c>
      <c r="AB113" s="199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0.13598911998719118</v>
      </c>
      <c r="AD113" s="233">
        <f>(INDEX(Models!$BJ113:$BT113,,AH113)*(1-AF113)+INDEX(Models!$BJ113:$BT113,,AH113+1)*AF113-ERP_i)*AE113*Ramure*Pc/MaxiM</f>
        <v>2.4196477008775648E-2</v>
      </c>
      <c r="AE113" s="307">
        <f t="shared" si="40"/>
        <v>1</v>
      </c>
      <c r="AF113" s="179">
        <f t="shared" si="41"/>
        <v>0.54968313940167635</v>
      </c>
      <c r="AG113" s="837">
        <f t="shared" si="49"/>
        <v>3</v>
      </c>
      <c r="AH113" s="178">
        <f t="shared" si="42"/>
        <v>9</v>
      </c>
      <c r="AI113" s="227">
        <f t="shared" si="43"/>
        <v>3.5496831394016763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46487</v>
      </c>
      <c r="B114" s="1139">
        <f>IF(t&gt;Tmaj,'2026'!Wh/'2026'!Env_an*'2027'!Env_an,0.001*'[6]mon-tableau'!$B$211)</f>
        <v>47.18393647838456</v>
      </c>
      <c r="C114" s="866"/>
      <c r="D114" s="395">
        <f t="shared" si="25"/>
        <v>50.801098694993321</v>
      </c>
      <c r="E114" s="387">
        <f t="shared" si="47"/>
        <v>56.27810720454945</v>
      </c>
      <c r="F114" s="387">
        <f t="shared" si="26"/>
        <v>56.417502682718592</v>
      </c>
      <c r="G114" s="110">
        <f t="shared" si="48"/>
        <v>1.0149681881709371</v>
      </c>
      <c r="H114" s="414" t="b">
        <f>Wh_hp&gt;='2026'!Maxi_hp</f>
        <v>1</v>
      </c>
      <c r="I114" s="392">
        <f>IF(H114,Wh_hp,'2026'!Maxi_hp)</f>
        <v>56.417502682718592</v>
      </c>
      <c r="J114" s="85">
        <f>IF(H114,An,'2026'!An_max)</f>
        <v>2027</v>
      </c>
      <c r="K114" s="199">
        <f t="shared" si="27"/>
        <v>46487</v>
      </c>
      <c r="L114" s="147">
        <f>IF(t&lt;Tvie,1-EXP((T0-t)*PertePVj)+'2026'!Pspv,1-EXP((T0-t)*PertePVj)+Pspv)</f>
        <v>7.1202440685898982E-2</v>
      </c>
      <c r="M114" s="870"/>
      <c r="N114" s="870"/>
      <c r="O114" s="48">
        <f>IF(t&lt;Tnet,'2026'!Resal+('2026'!Salim-'2026'!Resal)*(1-EXP(('2026'!Tnet-t)/('2026'!Tau_j))),Resal+(Salim-Resal)*(1-EXP((Tnet-t)/(Tau_j))))*Salcycl</f>
        <v>9.7320410753142281E-2</v>
      </c>
      <c r="P114" s="171">
        <f>(INDEX(Models!$BJ114:$BT114,,T114)*(1-R114)+INDEX(Models!$BJ114:$BT114,,T114+1)*R114-ERP_i)*Q114*Ramure*Pc/MaxiM</f>
        <v>2.470784269787322E-3</v>
      </c>
      <c r="Q114" s="307">
        <f t="shared" si="28"/>
        <v>1</v>
      </c>
      <c r="R114" s="179">
        <f t="shared" si="29"/>
        <v>0.61667427502698557</v>
      </c>
      <c r="S114" s="837">
        <f t="shared" si="30"/>
        <v>-2</v>
      </c>
      <c r="T114" s="178">
        <f t="shared" si="31"/>
        <v>4</v>
      </c>
      <c r="U114" s="253">
        <f t="shared" si="32"/>
        <v>-1.3833257249730144</v>
      </c>
      <c r="V114" s="385">
        <f t="shared" si="33"/>
        <v>46.488093940573847</v>
      </c>
      <c r="W114" s="404">
        <f t="shared" si="34"/>
        <v>47.18393647838456</v>
      </c>
      <c r="X114" s="157">
        <f t="shared" si="35"/>
        <v>46487</v>
      </c>
      <c r="Y114" s="387">
        <f t="shared" si="36"/>
        <v>44.195509472028633</v>
      </c>
      <c r="Z114" s="387">
        <f t="shared" si="37"/>
        <v>47.583576236641015</v>
      </c>
      <c r="AA114" s="388">
        <f t="shared" si="38"/>
        <v>55.081585755199306</v>
      </c>
      <c r="AB114" s="199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0.1361255202760849</v>
      </c>
      <c r="AD114" s="233">
        <f>(INDEX(Models!$BJ114:$BT114,,AH114)*(1-AF114)+INDEX(Models!$BJ114:$BT114,,AH114+1)*AF114-ERP_i)*AE114*Ramure*Pc/MaxiM</f>
        <v>2.3679121974473645E-2</v>
      </c>
      <c r="AE114" s="307">
        <f t="shared" si="40"/>
        <v>1</v>
      </c>
      <c r="AF114" s="179">
        <f t="shared" si="41"/>
        <v>0.55165686795055624</v>
      </c>
      <c r="AG114" s="837">
        <f t="shared" si="49"/>
        <v>3</v>
      </c>
      <c r="AH114" s="178">
        <f t="shared" si="42"/>
        <v>9</v>
      </c>
      <c r="AI114" s="227">
        <f t="shared" si="43"/>
        <v>3.5516568679505562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46488</v>
      </c>
      <c r="B115" s="1139">
        <f>IF(t&gt;Tmaj,'2026'!Wh/'2026'!Env_an*'2027'!Env_an,0.001*'[6]mon-tableau'!$B$212)</f>
        <v>36.101531635753155</v>
      </c>
      <c r="C115" s="866"/>
      <c r="D115" s="395">
        <f t="shared" si="25"/>
        <v>38.87001147736413</v>
      </c>
      <c r="E115" s="387">
        <f t="shared" si="47"/>
        <v>43.069996813502733</v>
      </c>
      <c r="F115" s="387">
        <f t="shared" si="26"/>
        <v>43.139833682947803</v>
      </c>
      <c r="G115" s="110">
        <f t="shared" si="48"/>
        <v>0.77096772853214934</v>
      </c>
      <c r="H115" s="414" t="b">
        <f>Wh_hp&gt;='2026'!Maxi_hp</f>
        <v>0</v>
      </c>
      <c r="I115" s="392">
        <f>IF(H115,Wh_hp,'2026'!Maxi_hp)</f>
        <v>55.108352473035232</v>
      </c>
      <c r="J115" s="85">
        <f>IF(H115,An,'2026'!An_max)</f>
        <v>2020</v>
      </c>
      <c r="K115" s="199">
        <f t="shared" si="27"/>
        <v>46488</v>
      </c>
      <c r="L115" s="147">
        <f>IF(t&lt;Tvie,1-EXP((T0-t)*PertePVj)+'2026'!Pspv,1-EXP((T0-t)*PertePVj)+Pspv)</f>
        <v>7.1224055161990152E-2</v>
      </c>
      <c r="M115" s="870"/>
      <c r="N115" s="870"/>
      <c r="O115" s="48">
        <f>IF(t&lt;Tnet,'2026'!Resal+('2026'!Salim-'2026'!Resal)*(1-EXP(('2026'!Tnet-t)/('2026'!Tau_j))),Resal+(Salim-Resal)*(1-EXP((Tnet-t)/(Tau_j))))*Salcycl</f>
        <v>9.7515338910400887E-2</v>
      </c>
      <c r="P115" s="171">
        <f>(INDEX(Models!$BJ115:$BT115,,T115)*(1-R115)+INDEX(Models!$BJ115:$BT115,,T115+1)*R115-ERP_i)*Q115*Ramure*Pc/MaxiM</f>
        <v>2.4030052517369843E-3</v>
      </c>
      <c r="Q115" s="307">
        <f t="shared" si="28"/>
        <v>1</v>
      </c>
      <c r="R115" s="179">
        <f t="shared" si="29"/>
        <v>0.61871810067924149</v>
      </c>
      <c r="S115" s="837">
        <f t="shared" si="30"/>
        <v>-2</v>
      </c>
      <c r="T115" s="178">
        <f t="shared" si="31"/>
        <v>4</v>
      </c>
      <c r="U115" s="253">
        <f t="shared" si="32"/>
        <v>-1.3812818993207585</v>
      </c>
      <c r="V115" s="385">
        <f t="shared" si="33"/>
        <v>46.789476589375482</v>
      </c>
      <c r="W115" s="404">
        <f t="shared" si="34"/>
        <v>36.101531635753155</v>
      </c>
      <c r="X115" s="157">
        <f t="shared" si="35"/>
        <v>46488</v>
      </c>
      <c r="Y115" s="387">
        <f t="shared" si="36"/>
        <v>34.067035466698762</v>
      </c>
      <c r="Z115" s="387">
        <f t="shared" si="37"/>
        <v>36.679498059825917</v>
      </c>
      <c r="AA115" s="388">
        <f t="shared" si="38"/>
        <v>42.466156370476021</v>
      </c>
      <c r="AB115" s="199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0.13626517691328405</v>
      </c>
      <c r="AD115" s="233">
        <f>(INDEX(Models!$BJ115:$BT115,,AH115)*(1-AF115)+INDEX(Models!$BJ115:$BT115,,AH115+1)*AF115-ERP_i)*AE115*Ramure*Pc/MaxiM</f>
        <v>2.3180450852240832E-2</v>
      </c>
      <c r="AE115" s="307">
        <f t="shared" si="40"/>
        <v>1</v>
      </c>
      <c r="AF115" s="179">
        <f t="shared" si="41"/>
        <v>0.55370069360281216</v>
      </c>
      <c r="AG115" s="837">
        <f t="shared" si="49"/>
        <v>3</v>
      </c>
      <c r="AH115" s="178">
        <f t="shared" si="42"/>
        <v>9</v>
      </c>
      <c r="AI115" s="227">
        <f t="shared" si="43"/>
        <v>3.5537006936028122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46489</v>
      </c>
      <c r="B116" s="1139">
        <f>IF(t&gt;Tmaj,'2026'!Wh/'2026'!Env_an*'2027'!Env_an,0.001*'[6]mon-tableau'!$B$213)</f>
        <v>33.166030281756363</v>
      </c>
      <c r="C116" s="866"/>
      <c r="D116" s="395">
        <f t="shared" si="25"/>
        <v>35.710229475721427</v>
      </c>
      <c r="E116" s="387">
        <f t="shared" si="47"/>
        <v>39.577442813751645</v>
      </c>
      <c r="F116" s="387">
        <f t="shared" si="26"/>
        <v>39.630890966742427</v>
      </c>
      <c r="G116" s="110">
        <f t="shared" si="48"/>
        <v>0.70369055993214824</v>
      </c>
      <c r="H116" s="414" t="b">
        <f>Wh_hp&gt;='2026'!Maxi_hp</f>
        <v>0</v>
      </c>
      <c r="I116" s="392">
        <f>IF(H116,Wh_hp,'2026'!Maxi_hp)</f>
        <v>55.432889188888424</v>
      </c>
      <c r="J116" s="85">
        <f>IF(H116,An,'2026'!An_max)</f>
        <v>2019</v>
      </c>
      <c r="K116" s="199">
        <f t="shared" si="27"/>
        <v>46489</v>
      </c>
      <c r="L116" s="147">
        <f>IF(t&lt;Tvie,1-EXP((T0-t)*PertePVj)+'2026'!Pspv,1-EXP((T0-t)*PertePVj)+Pspv)</f>
        <v>7.1245669135080902E-2</v>
      </c>
      <c r="M116" s="870"/>
      <c r="N116" s="870"/>
      <c r="O116" s="48">
        <f>IF(t&lt;Tnet,'2026'!Resal+('2026'!Salim-'2026'!Resal)*(1-EXP(('2026'!Tnet-t)/('2026'!Tau_j))),Resal+(Salim-Resal)*(1-EXP((Tnet-t)/(Tau_j))))*Salcycl</f>
        <v>9.7712562083129562E-2</v>
      </c>
      <c r="P116" s="171">
        <f>(INDEX(Models!$BJ116:$BT116,,T116)*(1-R116)+INDEX(Models!$BJ116:$BT116,,T116+1)*R116-ERP_i)*Q116*Ramure*Pc/MaxiM</f>
        <v>2.3345374991832141E-3</v>
      </c>
      <c r="Q116" s="307">
        <f t="shared" si="28"/>
        <v>1</v>
      </c>
      <c r="R116" s="179">
        <f t="shared" si="29"/>
        <v>0.62083400589532123</v>
      </c>
      <c r="S116" s="837">
        <f t="shared" si="30"/>
        <v>-2</v>
      </c>
      <c r="T116" s="178">
        <f t="shared" si="31"/>
        <v>4</v>
      </c>
      <c r="U116" s="253">
        <f t="shared" si="32"/>
        <v>-1.3791659941046788</v>
      </c>
      <c r="V116" s="385">
        <f t="shared" si="33"/>
        <v>47.085025714064258</v>
      </c>
      <c r="W116" s="404">
        <f t="shared" si="34"/>
        <v>33.166030281756363</v>
      </c>
      <c r="X116" s="157">
        <f t="shared" si="35"/>
        <v>46489</v>
      </c>
      <c r="Y116" s="387">
        <f t="shared" si="36"/>
        <v>31.36969559193648</v>
      </c>
      <c r="Z116" s="387">
        <f t="shared" si="37"/>
        <v>33.776096163904711</v>
      </c>
      <c r="AA116" s="388">
        <f t="shared" si="38"/>
        <v>39.11118038981914</v>
      </c>
      <c r="AB116" s="199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0.13640816187954224</v>
      </c>
      <c r="AD116" s="233">
        <f>(INDEX(Models!$BJ116:$BT116,,AH116)*(1-AF116)+INDEX(Models!$BJ116:$BT116,,AH116+1)*AF116-ERP_i)*AE116*Ramure*Pc/MaxiM</f>
        <v>2.2700201272787515E-2</v>
      </c>
      <c r="AE116" s="307">
        <f t="shared" si="40"/>
        <v>1</v>
      </c>
      <c r="AF116" s="179">
        <f t="shared" si="41"/>
        <v>0.55581659881889145</v>
      </c>
      <c r="AG116" s="837">
        <f t="shared" si="49"/>
        <v>3</v>
      </c>
      <c r="AH116" s="178">
        <f t="shared" si="42"/>
        <v>9</v>
      </c>
      <c r="AI116" s="227">
        <f t="shared" si="43"/>
        <v>3.5558165988188914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46490</v>
      </c>
      <c r="B117" s="1139">
        <f>IF(t&gt;Tmaj,'2026'!Wh/'2026'!Env_an*'2027'!Env_an,0.001*'[6]mon-tableau'!$B$214)</f>
        <v>7.3090717651414536</v>
      </c>
      <c r="C117" s="866"/>
      <c r="D117" s="395">
        <f t="shared" si="25"/>
        <v>7.869941080189454</v>
      </c>
      <c r="E117" s="387">
        <f t="shared" si="47"/>
        <v>8.7241402940950827</v>
      </c>
      <c r="F117" s="387">
        <f t="shared" si="26"/>
        <v>8.7241402940950827</v>
      </c>
      <c r="G117" s="110">
        <f t="shared" si="48"/>
        <v>0.15393345988537011</v>
      </c>
      <c r="H117" s="414" t="b">
        <f>Wh_hp&gt;='2026'!Maxi_hp</f>
        <v>0</v>
      </c>
      <c r="I117" s="392">
        <f>IF(H117,Wh_hp,'2026'!Maxi_hp)</f>
        <v>56.418752922877168</v>
      </c>
      <c r="J117" s="85">
        <f>IF(H117,An,'2026'!An_max)</f>
        <v>2019</v>
      </c>
      <c r="K117" s="199">
        <f t="shared" si="27"/>
        <v>46490</v>
      </c>
      <c r="L117" s="147">
        <f>IF(t&lt;Tvie,1-EXP((T0-t)*PertePVj)+'2026'!Pspv,1-EXP((T0-t)*PertePVj)+Pspv)</f>
        <v>7.1267282605182891E-2</v>
      </c>
      <c r="M117" s="870"/>
      <c r="N117" s="870"/>
      <c r="O117" s="48">
        <f>IF(t&lt;Tnet,'2026'!Resal+('2026'!Salim-'2026'!Resal)*(1-EXP(('2026'!Tnet-t)/('2026'!Tau_j))),Resal+(Salim-Resal)*(1-EXP((Tnet-t)/(Tau_j))))*Salcycl</f>
        <v>9.7912136337811012E-2</v>
      </c>
      <c r="P117" s="171">
        <f>(INDEX(Models!$BJ117:$BT117,,T117)*(1-R117)+INDEX(Models!$BJ117:$BT117,,T117+1)*R117-ERP_i)*Q117*Ramure*Pc/MaxiM</f>
        <v>2.2653651912484924E-3</v>
      </c>
      <c r="Q117" s="307">
        <f t="shared" si="28"/>
        <v>1</v>
      </c>
      <c r="R117" s="179">
        <f t="shared" si="29"/>
        <v>0.62302398940141135</v>
      </c>
      <c r="S117" s="837">
        <f t="shared" si="30"/>
        <v>-2</v>
      </c>
      <c r="T117" s="178">
        <f t="shared" si="31"/>
        <v>4</v>
      </c>
      <c r="U117" s="253">
        <f t="shared" si="32"/>
        <v>-1.3769760105985887</v>
      </c>
      <c r="V117" s="385">
        <f t="shared" si="33"/>
        <v>47.374456819296419</v>
      </c>
      <c r="W117" s="404">
        <f t="shared" si="34"/>
        <v>7.3090717651414536</v>
      </c>
      <c r="X117" s="157">
        <f t="shared" si="35"/>
        <v>46490</v>
      </c>
      <c r="Y117" s="387">
        <f t="shared" si="36"/>
        <v>6.9959757378759475</v>
      </c>
      <c r="Z117" s="387">
        <f t="shared" si="37"/>
        <v>7.5328192997230889</v>
      </c>
      <c r="AA117" s="388">
        <f t="shared" si="38"/>
        <v>8.7241402940950827</v>
      </c>
      <c r="AB117" s="199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0.13655454339476147</v>
      </c>
      <c r="AD117" s="233">
        <f>(INDEX(Models!$BJ117:$BT117,,AH117)*(1-AF117)+INDEX(Models!$BJ117:$BT117,,AH117+1)*AF117-ERP_i)*AE117*Ramure*Pc/MaxiM</f>
        <v>2.2238130013321551E-2</v>
      </c>
      <c r="AE117" s="307">
        <f t="shared" si="40"/>
        <v>1</v>
      </c>
      <c r="AF117" s="179">
        <f t="shared" si="41"/>
        <v>0.55800658232498179</v>
      </c>
      <c r="AG117" s="837">
        <f t="shared" si="49"/>
        <v>3</v>
      </c>
      <c r="AH117" s="178">
        <f t="shared" si="42"/>
        <v>9</v>
      </c>
      <c r="AI117" s="227">
        <f t="shared" si="43"/>
        <v>3.5580065823249818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46491</v>
      </c>
      <c r="B118" s="1139">
        <f>IF(t&gt;Tmaj,'2026'!Wh/'2026'!Env_an*'2027'!Env_an,0.001*'[6]mon-tableau'!$B$215)</f>
        <v>35.73256217599409</v>
      </c>
      <c r="C118" s="866"/>
      <c r="D118" s="395">
        <f t="shared" si="25"/>
        <v>38.475433324353197</v>
      </c>
      <c r="E118" s="387">
        <f t="shared" si="47"/>
        <v>42.661088244877511</v>
      </c>
      <c r="F118" s="387">
        <f t="shared" si="26"/>
        <v>42.721354356289382</v>
      </c>
      <c r="G118" s="110">
        <f t="shared" si="48"/>
        <v>0.74918933110446184</v>
      </c>
      <c r="H118" s="414" t="b">
        <f>Wh_hp&gt;='2026'!Maxi_hp</f>
        <v>0</v>
      </c>
      <c r="I118" s="392">
        <f>IF(H118,Wh_hp,'2026'!Maxi_hp)</f>
        <v>56.195003771164046</v>
      </c>
      <c r="J118" s="85">
        <f>IF(H118,An,'2026'!An_max)</f>
        <v>2021</v>
      </c>
      <c r="K118" s="199">
        <f t="shared" si="27"/>
        <v>46491</v>
      </c>
      <c r="L118" s="147">
        <f>IF(t&lt;Tvie,1-EXP((T0-t)*PertePVj)+'2026'!Pspv,1-EXP((T0-t)*PertePVj)+Pspv)</f>
        <v>7.1288895572307776E-2</v>
      </c>
      <c r="M118" s="870"/>
      <c r="N118" s="870"/>
      <c r="O118" s="48">
        <f>IF(t&lt;Tnet,'2026'!Resal+('2026'!Salim-'2026'!Resal)*(1-EXP(('2026'!Tnet-t)/('2026'!Tau_j))),Resal+(Salim-Resal)*(1-EXP((Tnet-t)/(Tau_j))))*Salcycl</f>
        <v>9.8114115057224366E-2</v>
      </c>
      <c r="P118" s="171">
        <f>(INDEX(Models!$BJ118:$BT118,,T118)*(1-R118)+INDEX(Models!$BJ118:$BT118,,T118+1)*R118-ERP_i)*Q118*Ramure*Pc/MaxiM</f>
        <v>2.1954695966353984E-3</v>
      </c>
      <c r="Q118" s="307">
        <f t="shared" si="28"/>
        <v>1</v>
      </c>
      <c r="R118" s="179">
        <f t="shared" si="29"/>
        <v>0.62529006283280042</v>
      </c>
      <c r="S118" s="837">
        <f t="shared" si="30"/>
        <v>-2</v>
      </c>
      <c r="T118" s="178">
        <f t="shared" si="31"/>
        <v>4</v>
      </c>
      <c r="U118" s="253">
        <f t="shared" si="32"/>
        <v>-1.3747099371671996</v>
      </c>
      <c r="V118" s="385">
        <f t="shared" si="33"/>
        <v>47.6574858915316</v>
      </c>
      <c r="W118" s="404">
        <f t="shared" si="34"/>
        <v>35.73256217599409</v>
      </c>
      <c r="X118" s="157">
        <f t="shared" si="35"/>
        <v>46491</v>
      </c>
      <c r="Y118" s="387">
        <f t="shared" si="36"/>
        <v>33.772292291621397</v>
      </c>
      <c r="Z118" s="387">
        <f t="shared" si="37"/>
        <v>36.364690947066038</v>
      </c>
      <c r="AA118" s="388">
        <f t="shared" si="38"/>
        <v>42.123104005399519</v>
      </c>
      <c r="AB118" s="199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0.13670438573556551</v>
      </c>
      <c r="AD118" s="233">
        <f>(INDEX(Models!$BJ118:$BT118,,AH118)*(1-AF118)+INDEX(Models!$BJ118:$BT118,,AH118+1)*AF118-ERP_i)*AE118*Ramure*Pc/MaxiM</f>
        <v>2.1794013680074241E-2</v>
      </c>
      <c r="AE118" s="307">
        <f t="shared" si="40"/>
        <v>1</v>
      </c>
      <c r="AF118" s="179">
        <f t="shared" si="41"/>
        <v>0.56027265575637086</v>
      </c>
      <c r="AG118" s="837">
        <f t="shared" si="49"/>
        <v>3</v>
      </c>
      <c r="AH118" s="178">
        <f t="shared" si="42"/>
        <v>9</v>
      </c>
      <c r="AI118" s="227">
        <f t="shared" si="43"/>
        <v>3.5602726557563709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46492</v>
      </c>
      <c r="B119" s="1139">
        <f>IF(t&gt;Tmaj,'2026'!Wh/'2026'!Env_an*'2027'!Env_an,0.001*'[6]mon-tableau'!$B$216)</f>
        <v>39.671925623932218</v>
      </c>
      <c r="C119" s="866"/>
      <c r="D119" s="395">
        <f t="shared" si="25"/>
        <v>42.718180799110449</v>
      </c>
      <c r="E119" s="387">
        <f t="shared" si="47"/>
        <v>47.376133491316104</v>
      </c>
      <c r="F119" s="387">
        <f t="shared" si="26"/>
        <v>47.452134423957602</v>
      </c>
      <c r="G119" s="110">
        <f t="shared" si="48"/>
        <v>0.82720568378401871</v>
      </c>
      <c r="H119" s="414" t="b">
        <f>Wh_hp&gt;='2026'!Maxi_hp</f>
        <v>0</v>
      </c>
      <c r="I119" s="392">
        <f>IF(H119,Wh_hp,'2026'!Maxi_hp)</f>
        <v>56.145689401906232</v>
      </c>
      <c r="J119" s="85">
        <f>IF(H119,An,'2026'!An_max)</f>
        <v>2021</v>
      </c>
      <c r="K119" s="199">
        <f t="shared" si="27"/>
        <v>46492</v>
      </c>
      <c r="L119" s="147">
        <f>IF(t&lt;Tvie,1-EXP((T0-t)*PertePVj)+'2026'!Pspv,1-EXP((T0-t)*PertePVj)+Pspv)</f>
        <v>7.1310508036467435E-2</v>
      </c>
      <c r="M119" s="870"/>
      <c r="N119" s="870"/>
      <c r="O119" s="48">
        <f>IF(t&lt;Tnet,'2026'!Resal+('2026'!Salim-'2026'!Resal)*(1-EXP(('2026'!Tnet-t)/('2026'!Tau_j))),Resal+(Salim-Resal)*(1-EXP((Tnet-t)/(Tau_j))))*Salcycl</f>
        <v>9.8318548791227173E-2</v>
      </c>
      <c r="P119" s="171">
        <f>(INDEX(Models!$BJ119:$BT119,,T119)*(1-R119)+INDEX(Models!$BJ119:$BT119,,T119+1)*R119-ERP_i)*Q119*Ramure*Pc/MaxiM</f>
        <v>2.1248290513356904E-3</v>
      </c>
      <c r="Q119" s="307">
        <f t="shared" si="28"/>
        <v>1</v>
      </c>
      <c r="R119" s="179">
        <f t="shared" si="29"/>
        <v>0.62763424706614446</v>
      </c>
      <c r="S119" s="837">
        <f t="shared" si="30"/>
        <v>-2</v>
      </c>
      <c r="T119" s="178">
        <f t="shared" si="31"/>
        <v>4</v>
      </c>
      <c r="U119" s="253">
        <f t="shared" si="32"/>
        <v>-1.3723657529338555</v>
      </c>
      <c r="V119" s="385">
        <f t="shared" si="33"/>
        <v>47.933829436716309</v>
      </c>
      <c r="W119" s="404">
        <f t="shared" si="34"/>
        <v>39.671925623932218</v>
      </c>
      <c r="X119" s="157">
        <f t="shared" si="35"/>
        <v>46492</v>
      </c>
      <c r="Y119" s="387">
        <f t="shared" si="36"/>
        <v>37.42457154019074</v>
      </c>
      <c r="Z119" s="387">
        <f t="shared" si="37"/>
        <v>40.298261005477507</v>
      </c>
      <c r="AA119" s="388">
        <f t="shared" si="38"/>
        <v>46.68785586736707</v>
      </c>
      <c r="AB119" s="199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0.13685774904809098</v>
      </c>
      <c r="AD119" s="233">
        <f>(INDEX(Models!$BJ119:$BT119,,AH119)*(1-AF119)+INDEX(Models!$BJ119:$BT119,,AH119+1)*AF119-ERP_i)*AE119*Ramure*Pc/MaxiM</f>
        <v>2.1367649368420408E-2</v>
      </c>
      <c r="AE119" s="307">
        <f t="shared" si="40"/>
        <v>1</v>
      </c>
      <c r="AF119" s="179">
        <f t="shared" si="41"/>
        <v>0.5626168399897149</v>
      </c>
      <c r="AG119" s="837">
        <f t="shared" si="49"/>
        <v>3</v>
      </c>
      <c r="AH119" s="178">
        <f t="shared" si="42"/>
        <v>9</v>
      </c>
      <c r="AI119" s="227">
        <f t="shared" si="43"/>
        <v>3.5626168399897149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46493</v>
      </c>
      <c r="B120" s="1139">
        <f>IF(t&gt;Tmaj,'2026'!Wh/'2026'!Env_an*'2027'!Env_an,0.001*'[6]mon-tableau'!$B$217)</f>
        <v>42.537177682048146</v>
      </c>
      <c r="C120" s="866"/>
      <c r="D120" s="395">
        <f t="shared" si="25"/>
        <v>45.804510523117891</v>
      </c>
      <c r="E120" s="387">
        <f t="shared" si="47"/>
        <v>50.810654950501821</v>
      </c>
      <c r="F120" s="387">
        <f t="shared" si="26"/>
        <v>50.897618980497448</v>
      </c>
      <c r="G120" s="110">
        <f t="shared" si="48"/>
        <v>0.88215058929900092</v>
      </c>
      <c r="H120" s="414" t="b">
        <f>Wh_hp&gt;='2026'!Maxi_hp</f>
        <v>0</v>
      </c>
      <c r="I120" s="392">
        <f>IF(H120,Wh_hp,'2026'!Maxi_hp)</f>
        <v>50.914904213267242</v>
      </c>
      <c r="J120" s="85">
        <f>IF(H120,An,'2026'!An_max)</f>
        <v>2025</v>
      </c>
      <c r="K120" s="199">
        <f t="shared" si="27"/>
        <v>46493</v>
      </c>
      <c r="L120" s="147">
        <f>IF(t&lt;Tvie,1-EXP((T0-t)*PertePVj)+'2026'!Pspv,1-EXP((T0-t)*PertePVj)+Pspv)</f>
        <v>7.1332119997673527E-2</v>
      </c>
      <c r="M120" s="870"/>
      <c r="N120" s="870"/>
      <c r="O120" s="48">
        <f>IF(t&lt;Tnet,'2026'!Resal+('2026'!Salim-'2026'!Resal)*(1-EXP(('2026'!Tnet-t)/('2026'!Tau_j))),Resal+(Salim-Resal)*(1-EXP((Tnet-t)/(Tau_j))))*Salcycl</f>
        <v>9.8525485102696736E-2</v>
      </c>
      <c r="P120" s="171">
        <f>(INDEX(Models!$BJ120:$BT120,,T120)*(1-R120)+INDEX(Models!$BJ120:$BT120,,T120+1)*R120-ERP_i)*Q120*Ramure*Pc/MaxiM</f>
        <v>2.0534189304586658E-3</v>
      </c>
      <c r="Q120" s="307">
        <f t="shared" si="28"/>
        <v>1</v>
      </c>
      <c r="R120" s="179">
        <f t="shared" si="29"/>
        <v>0.63005856822924389</v>
      </c>
      <c r="S120" s="837">
        <f t="shared" si="30"/>
        <v>-2</v>
      </c>
      <c r="T120" s="178">
        <f t="shared" si="31"/>
        <v>4</v>
      </c>
      <c r="U120" s="253">
        <f t="shared" si="32"/>
        <v>-1.3699414317707561</v>
      </c>
      <c r="V120" s="385">
        <f t="shared" si="33"/>
        <v>48.203204497664913</v>
      </c>
      <c r="W120" s="404">
        <f t="shared" si="34"/>
        <v>42.537177682048146</v>
      </c>
      <c r="X120" s="157">
        <f t="shared" si="35"/>
        <v>46493</v>
      </c>
      <c r="Y120" s="387">
        <f t="shared" si="36"/>
        <v>40.079346185264697</v>
      </c>
      <c r="Z120" s="387">
        <f t="shared" si="37"/>
        <v>43.157889971562589</v>
      </c>
      <c r="AA120" s="388">
        <f t="shared" si="38"/>
        <v>50.009993715073954</v>
      </c>
      <c r="AB120" s="199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0.13701468915494011</v>
      </c>
      <c r="AD120" s="233">
        <f>(INDEX(Models!$BJ120:$BT120,,AH120)*(1-AF120)+INDEX(Models!$BJ120:$BT120,,AH120+1)*AF120-ERP_i)*AE120*Ramure*Pc/MaxiM</f>
        <v>2.0958855325192365E-2</v>
      </c>
      <c r="AE120" s="307">
        <f t="shared" si="40"/>
        <v>1</v>
      </c>
      <c r="AF120" s="179">
        <f t="shared" si="41"/>
        <v>0.56504116115281411</v>
      </c>
      <c r="AG120" s="837">
        <f t="shared" si="49"/>
        <v>3</v>
      </c>
      <c r="AH120" s="178">
        <f t="shared" si="42"/>
        <v>9</v>
      </c>
      <c r="AI120" s="227">
        <f t="shared" si="43"/>
        <v>3.5650411611528141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46494</v>
      </c>
      <c r="B121" s="1139">
        <f>IF(t&gt;Tmaj,'2026'!Wh/'2026'!Env_an*'2027'!Env_an,0.001*'[6]mon-tableau'!$B$218)</f>
        <v>48.279091412306876</v>
      </c>
      <c r="C121" s="866"/>
      <c r="D121" s="395">
        <f t="shared" si="25"/>
        <v>51.988677548878911</v>
      </c>
      <c r="E121" s="387">
        <f t="shared" si="47"/>
        <v>57.684117020543873</v>
      </c>
      <c r="F121" s="387">
        <f t="shared" si="26"/>
        <v>57.797990901883637</v>
      </c>
      <c r="G121" s="110">
        <f t="shared" si="48"/>
        <v>0.99611915195513234</v>
      </c>
      <c r="H121" s="414" t="b">
        <f>Wh_hp&gt;='2026'!Maxi_hp</f>
        <v>0</v>
      </c>
      <c r="I121" s="392">
        <f>IF(H121,Wh_hp,'2026'!Maxi_hp)</f>
        <v>57.798613524662201</v>
      </c>
      <c r="J121" s="85">
        <f>IF(H121,An,'2026'!An_max)</f>
        <v>2025</v>
      </c>
      <c r="K121" s="199">
        <f t="shared" si="27"/>
        <v>46494</v>
      </c>
      <c r="L121" s="147">
        <f>IF(t&lt;Tvie,1-EXP((T0-t)*PertePVj)+'2026'!Pspv,1-EXP((T0-t)*PertePVj)+Pspv)</f>
        <v>7.1353731455937597E-2</v>
      </c>
      <c r="M121" s="870"/>
      <c r="N121" s="870"/>
      <c r="O121" s="48">
        <f>IF(t&lt;Tnet,'2026'!Resal+('2026'!Salim-'2026'!Resal)*(1-EXP(('2026'!Tnet-t)/('2026'!Tau_j))),Resal+(Salim-Resal)*(1-EXP((Tnet-t)/(Tau_j))))*Salcycl</f>
        <v>9.8734968407968637E-2</v>
      </c>
      <c r="P121" s="171">
        <f>(INDEX(Models!$BJ121:$BT121,,T121)*(1-R121)+INDEX(Models!$BJ121:$BT121,,T121+1)*R121-ERP_i)*Q121*Ramure*Pc/MaxiM</f>
        <v>1.9811575725232492E-3</v>
      </c>
      <c r="Q121" s="307">
        <f t="shared" si="28"/>
        <v>1</v>
      </c>
      <c r="R121" s="179">
        <f t="shared" si="29"/>
        <v>0.63256505337779134</v>
      </c>
      <c r="S121" s="837">
        <f t="shared" si="30"/>
        <v>-2</v>
      </c>
      <c r="T121" s="178">
        <f t="shared" si="31"/>
        <v>4</v>
      </c>
      <c r="U121" s="253">
        <f t="shared" si="32"/>
        <v>-1.3674349466222087</v>
      </c>
      <c r="V121" s="385">
        <f t="shared" si="33"/>
        <v>48.466653297079354</v>
      </c>
      <c r="W121" s="404">
        <f t="shared" si="34"/>
        <v>48.279091412306876</v>
      </c>
      <c r="X121" s="157">
        <f t="shared" si="35"/>
        <v>46494</v>
      </c>
      <c r="Y121" s="387">
        <f t="shared" si="36"/>
        <v>45.363947357781839</v>
      </c>
      <c r="Z121" s="387">
        <f t="shared" si="37"/>
        <v>48.849544648366191</v>
      </c>
      <c r="AA121" s="388">
        <f t="shared" si="38"/>
        <v>56.615836605056252</v>
      </c>
      <c r="AB121" s="199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0.13717525735540345</v>
      </c>
      <c r="AD121" s="233">
        <f>(INDEX(Models!$BJ121:$BT121,,AH121)*(1-AF121)+INDEX(Models!$BJ121:$BT121,,AH121+1)*AF121-ERP_i)*AE121*Ramure*Pc/MaxiM</f>
        <v>2.0566910598774499E-2</v>
      </c>
      <c r="AE121" s="307">
        <f t="shared" si="40"/>
        <v>1</v>
      </c>
      <c r="AF121" s="179">
        <f t="shared" si="41"/>
        <v>0.56754764630136201</v>
      </c>
      <c r="AG121" s="837">
        <f t="shared" si="49"/>
        <v>3</v>
      </c>
      <c r="AH121" s="178">
        <f t="shared" si="42"/>
        <v>9</v>
      </c>
      <c r="AI121" s="227">
        <f t="shared" si="43"/>
        <v>3.567547646301362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46495</v>
      </c>
      <c r="B122" s="1139">
        <f>IF(t&gt;Tmaj,'2026'!Wh/'2026'!Env_an*'2027'!Env_an,0.001*'[6]mon-tableau'!$B$219)</f>
        <v>38.789834186741906</v>
      </c>
      <c r="C122" s="866"/>
      <c r="D122" s="395">
        <f t="shared" si="25"/>
        <v>41.771273107763243</v>
      </c>
      <c r="E122" s="387">
        <f t="shared" si="47"/>
        <v>46.358288528360006</v>
      </c>
      <c r="F122" s="387">
        <f t="shared" si="26"/>
        <v>46.42104144449106</v>
      </c>
      <c r="G122" s="110">
        <f t="shared" si="48"/>
        <v>0.79565026546512974</v>
      </c>
      <c r="H122" s="414" t="b">
        <f>Wh_hp&gt;='2026'!Maxi_hp</f>
        <v>0</v>
      </c>
      <c r="I122" s="392">
        <f>IF(H122,Wh_hp,'2026'!Maxi_hp)</f>
        <v>46.446373064358802</v>
      </c>
      <c r="J122" s="85">
        <f>IF(H122,An,'2026'!An_max)</f>
        <v>2025</v>
      </c>
      <c r="K122" s="199">
        <f t="shared" si="27"/>
        <v>46495</v>
      </c>
      <c r="L122" s="147">
        <f>IF(t&lt;Tvie,1-EXP((T0-t)*PertePVj)+'2026'!Pspv,1-EXP((T0-t)*PertePVj)+Pspv)</f>
        <v>7.1375342411271525E-2</v>
      </c>
      <c r="M122" s="870"/>
      <c r="N122" s="870"/>
      <c r="O122" s="48">
        <f>IF(t&lt;Tnet,'2026'!Resal+('2026'!Salim-'2026'!Resal)*(1-EXP(('2026'!Tnet-t)/('2026'!Tau_j))),Resal+(Salim-Resal)*(1-EXP((Tnet-t)/(Tau_j))))*Salcycl</f>
        <v>9.8947039811243739E-2</v>
      </c>
      <c r="P122" s="171">
        <f>(INDEX(Models!$BJ122:$BT122,,T122)*(1-R122)+INDEX(Models!$BJ122:$BT122,,T122+1)*R122-ERP_i)*Q122*Ramure*Pc/MaxiM</f>
        <v>1.9074527961476812E-3</v>
      </c>
      <c r="Q122" s="307">
        <f t="shared" si="28"/>
        <v>1</v>
      </c>
      <c r="R122" s="179">
        <f t="shared" si="29"/>
        <v>0.63515572582960345</v>
      </c>
      <c r="S122" s="837">
        <f t="shared" si="30"/>
        <v>-2</v>
      </c>
      <c r="T122" s="178">
        <f t="shared" si="31"/>
        <v>4</v>
      </c>
      <c r="U122" s="253">
        <f t="shared" si="32"/>
        <v>-1.3648442741703966</v>
      </c>
      <c r="V122" s="385">
        <f t="shared" si="33"/>
        <v>48.725242497010612</v>
      </c>
      <c r="W122" s="404">
        <f t="shared" si="34"/>
        <v>38.789834186741906</v>
      </c>
      <c r="X122" s="157">
        <f t="shared" si="35"/>
        <v>46495</v>
      </c>
      <c r="Y122" s="387">
        <f t="shared" si="36"/>
        <v>36.655503407472573</v>
      </c>
      <c r="Z122" s="387">
        <f t="shared" si="37"/>
        <v>39.472894789001664</v>
      </c>
      <c r="AA122" s="388">
        <f t="shared" si="38"/>
        <v>45.757160318559151</v>
      </c>
      <c r="AB122" s="199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0.13733950021825503</v>
      </c>
      <c r="AD122" s="233">
        <f>(INDEX(Models!$BJ122:$BT122,,AH122)*(1-AF122)+INDEX(Models!$BJ122:$BT122,,AH122+1)*AF122-ERP_i)*AE122*Ramure*Pc/MaxiM</f>
        <v>2.0179491058611977E-2</v>
      </c>
      <c r="AE122" s="307">
        <f t="shared" si="40"/>
        <v>1</v>
      </c>
      <c r="AF122" s="179">
        <f t="shared" si="41"/>
        <v>0.57013831875317367</v>
      </c>
      <c r="AG122" s="837">
        <f t="shared" si="49"/>
        <v>3</v>
      </c>
      <c r="AH122" s="178">
        <f t="shared" si="42"/>
        <v>9</v>
      </c>
      <c r="AI122" s="227">
        <f t="shared" si="43"/>
        <v>3.5701383187531737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46496</v>
      </c>
      <c r="B123" s="1139">
        <f>IF(t&gt;Tmaj,'2026'!Wh/'2026'!Env_an*'2027'!Env_an,0.001*'[6]mon-tableau'!$B$220)</f>
        <v>10.597653600949693</v>
      </c>
      <c r="C123" s="866"/>
      <c r="D123" s="395">
        <f t="shared" si="25"/>
        <v>11.41246912082771</v>
      </c>
      <c r="E123" s="387">
        <f t="shared" si="47"/>
        <v>12.668721554929844</v>
      </c>
      <c r="F123" s="387">
        <f t="shared" si="26"/>
        <v>12.668721554929844</v>
      </c>
      <c r="G123" s="110">
        <f t="shared" si="48"/>
        <v>0.21597629199992888</v>
      </c>
      <c r="H123" s="414" t="b">
        <f>Wh_hp&gt;='2026'!Maxi_hp</f>
        <v>0</v>
      </c>
      <c r="I123" s="392">
        <f>IF(H123,Wh_hp,'2026'!Maxi_hp)</f>
        <v>56.526054792556174</v>
      </c>
      <c r="J123" s="85">
        <f>IF(H123,An,'2026'!An_max)</f>
        <v>2021</v>
      </c>
      <c r="K123" s="199">
        <f t="shared" si="27"/>
        <v>46496</v>
      </c>
      <c r="L123" s="147">
        <f>IF(t&lt;Tvie,1-EXP((T0-t)*PertePVj)+'2026'!Pspv,1-EXP((T0-t)*PertePVj)+Pspv)</f>
        <v>7.1396952863686858E-2</v>
      </c>
      <c r="M123" s="870"/>
      <c r="N123" s="870"/>
      <c r="O123" s="48">
        <f>IF(t&lt;Tnet,'2026'!Resal+('2026'!Salim-'2026'!Resal)*(1-EXP(('2026'!Tnet-t)/('2026'!Tau_j))),Resal+(Salim-Resal)*(1-EXP((Tnet-t)/(Tau_j))))*Salcycl</f>
        <v>9.9161736932585925E-2</v>
      </c>
      <c r="P123" s="171">
        <f>(INDEX(Models!$BJ123:$BT123,,T123)*(1-R123)+INDEX(Models!$BJ123:$BT123,,T123+1)*R123-ERP_i)*Q123*Ramure*Pc/MaxiM</f>
        <v>1.8333704676061161E-3</v>
      </c>
      <c r="Q123" s="307">
        <f t="shared" si="28"/>
        <v>1</v>
      </c>
      <c r="R123" s="179">
        <f t="shared" si="29"/>
        <v>0.63783260014809495</v>
      </c>
      <c r="S123" s="837">
        <f t="shared" si="30"/>
        <v>-2</v>
      </c>
      <c r="T123" s="178">
        <f t="shared" si="31"/>
        <v>4</v>
      </c>
      <c r="U123" s="253">
        <f t="shared" si="32"/>
        <v>-1.362167399851905</v>
      </c>
      <c r="V123" s="385">
        <f t="shared" si="33"/>
        <v>48.978635932018285</v>
      </c>
      <c r="W123" s="404">
        <f t="shared" si="34"/>
        <v>10.597653600949693</v>
      </c>
      <c r="X123" s="157">
        <f t="shared" si="35"/>
        <v>46496</v>
      </c>
      <c r="Y123" s="387">
        <f t="shared" si="36"/>
        <v>10.146546337754101</v>
      </c>
      <c r="Z123" s="387">
        <f t="shared" si="37"/>
        <v>10.926677840488123</v>
      </c>
      <c r="AA123" s="388">
        <f t="shared" si="38"/>
        <v>12.668721554929844</v>
      </c>
      <c r="AB123" s="199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0.13750745936663447</v>
      </c>
      <c r="AD123" s="233">
        <f>(INDEX(Models!$BJ123:$BT123,,AH123)*(1-AF123)+INDEX(Models!$BJ123:$BT123,,AH123+1)*AF123-ERP_i)*AE123*Ramure*Pc/MaxiM</f>
        <v>1.978042847170574E-2</v>
      </c>
      <c r="AE123" s="307">
        <f t="shared" si="40"/>
        <v>1</v>
      </c>
      <c r="AF123" s="179">
        <f t="shared" si="41"/>
        <v>0.57281519307166562</v>
      </c>
      <c r="AG123" s="837">
        <f t="shared" si="49"/>
        <v>3</v>
      </c>
      <c r="AH123" s="178">
        <f t="shared" si="42"/>
        <v>9</v>
      </c>
      <c r="AI123" s="227">
        <f t="shared" si="43"/>
        <v>3.5728151930716656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46497</v>
      </c>
      <c r="B124" s="1139">
        <f>IF(t&gt;Tmaj,'2026'!Wh/'2026'!Env_an*'2027'!Env_an,0.001*'[6]mon-tableau'!$B$221)</f>
        <v>10.00342746120903</v>
      </c>
      <c r="C124" s="866"/>
      <c r="D124" s="395">
        <f t="shared" si="25"/>
        <v>10.772805766519562</v>
      </c>
      <c r="E124" s="387">
        <f t="shared" si="47"/>
        <v>11.961531973677701</v>
      </c>
      <c r="F124" s="387">
        <f t="shared" si="26"/>
        <v>11.961531973677701</v>
      </c>
      <c r="G124" s="110">
        <f t="shared" si="48"/>
        <v>0.20285460703419905</v>
      </c>
      <c r="H124" s="414" t="b">
        <f>Wh_hp&gt;='2026'!Maxi_hp</f>
        <v>0</v>
      </c>
      <c r="I124" s="392">
        <f>IF(H124,Wh_hp,'2026'!Maxi_hp)</f>
        <v>48.602789768147602</v>
      </c>
      <c r="J124" s="85">
        <f>IF(H124,An,'2026'!An_max)</f>
        <v>2019</v>
      </c>
      <c r="K124" s="199">
        <f t="shared" si="27"/>
        <v>46497</v>
      </c>
      <c r="L124" s="147">
        <f>IF(t&lt;Tvie,1-EXP((T0-t)*PertePVj)+'2026'!Pspv,1-EXP((T0-t)*PertePVj)+Pspv)</f>
        <v>7.1418562813195474E-2</v>
      </c>
      <c r="M124" s="870"/>
      <c r="N124" s="870"/>
      <c r="O124" s="48">
        <f>IF(t&lt;Tnet,'2026'!Resal+('2026'!Salim-'2026'!Resal)*(1-EXP(('2026'!Tnet-t)/('2026'!Tau_j))),Resal+(Salim-Resal)*(1-EXP((Tnet-t)/(Tau_j))))*Salcycl</f>
        <v>9.9379093729300302E-2</v>
      </c>
      <c r="P124" s="171">
        <f>(INDEX(Models!$BJ124:$BT124,,T124)*(1-R124)+INDEX(Models!$BJ124:$BT124,,T124+1)*R124-ERP_i)*Q124*Ramure*Pc/MaxiM</f>
        <v>1.7588819591651719E-3</v>
      </c>
      <c r="Q124" s="307">
        <f t="shared" si="28"/>
        <v>1</v>
      </c>
      <c r="R124" s="179">
        <f t="shared" si="29"/>
        <v>0.64059767676823198</v>
      </c>
      <c r="S124" s="837">
        <f t="shared" si="30"/>
        <v>-2</v>
      </c>
      <c r="T124" s="178">
        <f t="shared" si="31"/>
        <v>4</v>
      </c>
      <c r="U124" s="253">
        <f t="shared" si="32"/>
        <v>-1.359402323231768</v>
      </c>
      <c r="V124" s="385">
        <f t="shared" si="33"/>
        <v>49.226550775029679</v>
      </c>
      <c r="W124" s="404">
        <f t="shared" si="34"/>
        <v>10.00342746120903</v>
      </c>
      <c r="X124" s="157">
        <f t="shared" si="35"/>
        <v>46497</v>
      </c>
      <c r="Y124" s="387">
        <f t="shared" si="36"/>
        <v>9.5780186742076765</v>
      </c>
      <c r="Z124" s="387">
        <f t="shared" si="37"/>
        <v>10.31467816460437</v>
      </c>
      <c r="AA124" s="388">
        <f t="shared" si="38"/>
        <v>11.961531973677701</v>
      </c>
      <c r="AB124" s="199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0.137679171254766</v>
      </c>
      <c r="AD124" s="233">
        <f>(INDEX(Models!$BJ124:$BT124,,AH124)*(1-AF124)+INDEX(Models!$BJ124:$BT124,,AH124+1)*AF124-ERP_i)*AE124*Ramure*Pc/MaxiM</f>
        <v>1.9369920435196166E-2</v>
      </c>
      <c r="AE124" s="307">
        <f t="shared" si="40"/>
        <v>1</v>
      </c>
      <c r="AF124" s="179">
        <f t="shared" si="41"/>
        <v>0.5755802696918022</v>
      </c>
      <c r="AG124" s="837">
        <f t="shared" si="49"/>
        <v>3</v>
      </c>
      <c r="AH124" s="178">
        <f t="shared" si="42"/>
        <v>9</v>
      </c>
      <c r="AI124" s="227">
        <f t="shared" si="43"/>
        <v>3.5755802696918022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46498</v>
      </c>
      <c r="B125" s="1139">
        <f>IF(t&gt;Tmaj,'2026'!Wh/'2026'!Env_an*'2027'!Env_an,0.001*'[6]mon-tableau'!$B$222)</f>
        <v>9.5445222354424271</v>
      </c>
      <c r="C125" s="866"/>
      <c r="D125" s="395">
        <f t="shared" si="25"/>
        <v>10.278844669245117</v>
      </c>
      <c r="E125" s="387">
        <f t="shared" si="47"/>
        <v>11.415853903995135</v>
      </c>
      <c r="F125" s="387">
        <f t="shared" si="26"/>
        <v>11.415853903995135</v>
      </c>
      <c r="G125" s="110">
        <f t="shared" si="48"/>
        <v>0.19261570956347498</v>
      </c>
      <c r="H125" s="414" t="b">
        <f>Wh_hp&gt;='2026'!Maxi_hp</f>
        <v>0</v>
      </c>
      <c r="I125" s="392">
        <f>IF(H125,Wh_hp,'2026'!Maxi_hp)</f>
        <v>55.33124831385225</v>
      </c>
      <c r="J125" s="85">
        <f>IF(H125,An,'2026'!An_max)</f>
        <v>2021</v>
      </c>
      <c r="K125" s="199">
        <f t="shared" si="27"/>
        <v>46498</v>
      </c>
      <c r="L125" s="147">
        <f>IF(t&lt;Tvie,1-EXP((T0-t)*PertePVj)+'2026'!Pspv,1-EXP((T0-t)*PertePVj)+Pspv)</f>
        <v>7.1440172259809032E-2</v>
      </c>
      <c r="M125" s="870"/>
      <c r="N125" s="870"/>
      <c r="O125" s="48">
        <f>IF(t&lt;Tnet,'2026'!Resal+('2026'!Salim-'2026'!Resal)*(1-EXP(('2026'!Tnet-t)/('2026'!Tau_j))),Resal+(Salim-Resal)*(1-EXP((Tnet-t)/(Tau_j))))*Salcycl</f>
        <v>9.9599140310660902E-2</v>
      </c>
      <c r="P125" s="171">
        <f>(INDEX(Models!$BJ125:$BT125,,T125)*(1-R125)+INDEX(Models!$BJ125:$BT125,,T125+1)*R125-ERP_i)*Q125*Ramure*Pc/MaxiM</f>
        <v>1.6839609201948201E-3</v>
      </c>
      <c r="Q125" s="307">
        <f t="shared" si="28"/>
        <v>1</v>
      </c>
      <c r="R125" s="179">
        <f t="shared" si="29"/>
        <v>0.64345293625989419</v>
      </c>
      <c r="S125" s="837">
        <f t="shared" si="30"/>
        <v>-2</v>
      </c>
      <c r="T125" s="178">
        <f t="shared" si="31"/>
        <v>4</v>
      </c>
      <c r="U125" s="253">
        <f t="shared" si="32"/>
        <v>-1.3565470637401058</v>
      </c>
      <c r="V125" s="385">
        <f t="shared" si="33"/>
        <v>49.468704575500816</v>
      </c>
      <c r="W125" s="404">
        <f t="shared" si="34"/>
        <v>9.5445222354424271</v>
      </c>
      <c r="X125" s="157">
        <f t="shared" si="35"/>
        <v>46498</v>
      </c>
      <c r="Y125" s="387">
        <f t="shared" si="36"/>
        <v>9.1390020489834622</v>
      </c>
      <c r="Z125" s="387">
        <f t="shared" si="37"/>
        <v>9.8421251662639619</v>
      </c>
      <c r="AA125" s="388">
        <f t="shared" si="38"/>
        <v>11.415853903995135</v>
      </c>
      <c r="AB125" s="199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0.1378546669365158</v>
      </c>
      <c r="AD125" s="233">
        <f>(INDEX(Models!$BJ125:$BT125,,AH125)*(1-AF125)+INDEX(Models!$BJ125:$BT125,,AH125+1)*AF125-ERP_i)*AE125*Ramure*Pc/MaxiM</f>
        <v>1.8948199225673042E-2</v>
      </c>
      <c r="AE125" s="307">
        <f t="shared" si="40"/>
        <v>1</v>
      </c>
      <c r="AF125" s="179">
        <f t="shared" si="41"/>
        <v>0.57843552918346486</v>
      </c>
      <c r="AG125" s="837">
        <f t="shared" si="49"/>
        <v>3</v>
      </c>
      <c r="AH125" s="178">
        <f t="shared" si="42"/>
        <v>9</v>
      </c>
      <c r="AI125" s="227">
        <f t="shared" si="43"/>
        <v>3.5784355291834649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46499</v>
      </c>
      <c r="B126" s="1139">
        <f>IF(t&gt;Tmaj,'2026'!Wh/'2026'!Env_an*'2027'!Env_an,0.001*'[6]mon-tableau'!$B$223)</f>
        <v>28.862814306283994</v>
      </c>
      <c r="C126" s="866"/>
      <c r="D126" s="395">
        <f t="shared" si="25"/>
        <v>31.084142496250692</v>
      </c>
      <c r="E126" s="387">
        <f t="shared" si="47"/>
        <v>34.531102890726039</v>
      </c>
      <c r="F126" s="387">
        <f t="shared" si="26"/>
        <v>34.553389964376017</v>
      </c>
      <c r="G126" s="110">
        <f t="shared" si="48"/>
        <v>0.58012457299379416</v>
      </c>
      <c r="H126" s="414" t="b">
        <f>Wh_hp&gt;='2026'!Maxi_hp</f>
        <v>0</v>
      </c>
      <c r="I126" s="392">
        <f>IF(H126,Wh_hp,'2026'!Maxi_hp)</f>
        <v>59.287065717944621</v>
      </c>
      <c r="J126" s="85">
        <f>IF(H126,An,'2026'!An_max)</f>
        <v>2021</v>
      </c>
      <c r="K126" s="199">
        <f t="shared" si="27"/>
        <v>46499</v>
      </c>
      <c r="L126" s="147">
        <f>IF(t&lt;Tvie,1-EXP((T0-t)*PertePVj)+'2026'!Pspv,1-EXP((T0-t)*PertePVj)+Pspv)</f>
        <v>7.1461781203539076E-2</v>
      </c>
      <c r="M126" s="870"/>
      <c r="N126" s="870"/>
      <c r="O126" s="48">
        <f>IF(t&lt;Tnet,'2026'!Resal+('2026'!Salim-'2026'!Resal)*(1-EXP(('2026'!Tnet-t)/('2026'!Tau_j))),Resal+(Salim-Resal)*(1-EXP((Tnet-t)/(Tau_j))))*Salcycl</f>
        <v>9.9821902746149785E-2</v>
      </c>
      <c r="P126" s="171">
        <f>(INDEX(Models!$BJ126:$BT126,,T126)*(1-R126)+INDEX(Models!$BJ126:$BT126,,T126+1)*R126-ERP_i)*Q126*Ramure*Pc/MaxiM</f>
        <v>1.6085777158993616E-3</v>
      </c>
      <c r="Q126" s="307">
        <f t="shared" si="28"/>
        <v>1</v>
      </c>
      <c r="R126" s="179">
        <f t="shared" si="29"/>
        <v>0.6464003332255297</v>
      </c>
      <c r="S126" s="837">
        <f t="shared" si="30"/>
        <v>-2</v>
      </c>
      <c r="T126" s="178">
        <f t="shared" si="31"/>
        <v>4</v>
      </c>
      <c r="U126" s="253">
        <f t="shared" si="32"/>
        <v>-1.3535996667744703</v>
      </c>
      <c r="V126" s="385">
        <f t="shared" si="33"/>
        <v>49.704815566182646</v>
      </c>
      <c r="W126" s="404">
        <f t="shared" si="34"/>
        <v>28.862814306283994</v>
      </c>
      <c r="X126" s="157">
        <f t="shared" si="35"/>
        <v>46499</v>
      </c>
      <c r="Y126" s="387">
        <f t="shared" si="36"/>
        <v>27.450119319477313</v>
      </c>
      <c r="Z126" s="387">
        <f t="shared" si="37"/>
        <v>29.562724251735386</v>
      </c>
      <c r="AA126" s="388">
        <f t="shared" si="38"/>
        <v>34.296855427543036</v>
      </c>
      <c r="AB126" s="199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0.13803397182605193</v>
      </c>
      <c r="AD126" s="233">
        <f>(INDEX(Models!$BJ126:$BT126,,AH126)*(1-AF126)+INDEX(Models!$BJ126:$BT126,,AH126+1)*AF126-ERP_i)*AE126*Ramure*Pc/MaxiM</f>
        <v>1.8515474296399166E-2</v>
      </c>
      <c r="AE126" s="307">
        <f t="shared" si="40"/>
        <v>1</v>
      </c>
      <c r="AF126" s="179">
        <f t="shared" si="41"/>
        <v>0.58138292614910014</v>
      </c>
      <c r="AG126" s="837">
        <f t="shared" si="49"/>
        <v>3</v>
      </c>
      <c r="AH126" s="178">
        <f t="shared" si="42"/>
        <v>9</v>
      </c>
      <c r="AI126" s="227">
        <f t="shared" si="43"/>
        <v>3.5813829261491001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46500</v>
      </c>
      <c r="B127" s="1139">
        <f>IF(t&gt;Tmaj,'2026'!Wh/'2026'!Env_an*'2027'!Env_an,0.001*'[6]mon-tableau'!$B$224)</f>
        <v>8.3476635191522153</v>
      </c>
      <c r="C127" s="866"/>
      <c r="D127" s="395">
        <f t="shared" si="25"/>
        <v>8.9903222258514415</v>
      </c>
      <c r="E127" s="387">
        <f t="shared" si="47"/>
        <v>9.9897730774907547</v>
      </c>
      <c r="F127" s="387">
        <f t="shared" si="26"/>
        <v>9.9897730774907547</v>
      </c>
      <c r="G127" s="110">
        <f t="shared" si="48"/>
        <v>0.16691569797038086</v>
      </c>
      <c r="H127" s="414" t="b">
        <f>Wh_hp&gt;='2026'!Maxi_hp</f>
        <v>0</v>
      </c>
      <c r="I127" s="392">
        <f>IF(H127,Wh_hp,'2026'!Maxi_hp)</f>
        <v>58.481630214798564</v>
      </c>
      <c r="J127" s="85">
        <f>IF(H127,An,'2026'!An_max)</f>
        <v>2021</v>
      </c>
      <c r="K127" s="199">
        <f t="shared" si="27"/>
        <v>46500</v>
      </c>
      <c r="L127" s="147">
        <f>IF(t&lt;Tvie,1-EXP((T0-t)*PertePVj)+'2026'!Pspv,1-EXP((T0-t)*PertePVj)+Pspv)</f>
        <v>7.1483389644397488E-2</v>
      </c>
      <c r="M127" s="870"/>
      <c r="N127" s="870"/>
      <c r="O127" s="48">
        <f>IF(t&lt;Tnet,'2026'!Resal+('2026'!Salim-'2026'!Resal)*(1-EXP(('2026'!Tnet-t)/('2026'!Tau_j))),Resal+(Salim-Resal)*(1-EXP((Tnet-t)/(Tau_j))))*Salcycl</f>
        <v>0.10004740286756914</v>
      </c>
      <c r="P127" s="171">
        <f>(INDEX(Models!$BJ127:$BT127,,T127)*(1-R127)+INDEX(Models!$BJ127:$BT127,,T127+1)*R127-ERP_i)*Q127*Ramure*Pc/MaxiM</f>
        <v>1.5326949424330312E-3</v>
      </c>
      <c r="Q127" s="307">
        <f t="shared" si="28"/>
        <v>1</v>
      </c>
      <c r="R127" s="179">
        <f t="shared" si="29"/>
        <v>0.6494417898311764</v>
      </c>
      <c r="S127" s="837">
        <f t="shared" si="30"/>
        <v>-2</v>
      </c>
      <c r="T127" s="178">
        <f t="shared" si="31"/>
        <v>4</v>
      </c>
      <c r="U127" s="253">
        <f t="shared" si="32"/>
        <v>-1.3505582101688236</v>
      </c>
      <c r="V127" s="385">
        <f t="shared" si="33"/>
        <v>49.93460290939381</v>
      </c>
      <c r="W127" s="404">
        <f t="shared" si="34"/>
        <v>8.3476635191522153</v>
      </c>
      <c r="X127" s="157">
        <f t="shared" si="35"/>
        <v>46500</v>
      </c>
      <c r="Y127" s="387">
        <f t="shared" si="36"/>
        <v>7.9936139449756487</v>
      </c>
      <c r="Z127" s="387">
        <f t="shared" si="37"/>
        <v>8.6090155586061741</v>
      </c>
      <c r="AA127" s="388">
        <f t="shared" si="38"/>
        <v>9.9897730774907547</v>
      </c>
      <c r="AB127" s="199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0.13821710545114821</v>
      </c>
      <c r="AD127" s="233">
        <f>(INDEX(Models!$BJ127:$BT127,,AH127)*(1-AF127)+INDEX(Models!$BJ127:$BT127,,AH127+1)*AF127-ERP_i)*AE127*Ramure*Pc/MaxiM</f>
        <v>1.8071879774114966E-2</v>
      </c>
      <c r="AE127" s="307">
        <f t="shared" si="40"/>
        <v>1</v>
      </c>
      <c r="AF127" s="179">
        <f t="shared" si="41"/>
        <v>0.58442438275474684</v>
      </c>
      <c r="AG127" s="837">
        <f t="shared" si="49"/>
        <v>3</v>
      </c>
      <c r="AH127" s="178">
        <f t="shared" si="42"/>
        <v>9</v>
      </c>
      <c r="AI127" s="227">
        <f t="shared" si="43"/>
        <v>3.5844243827547468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46501</v>
      </c>
      <c r="B128" s="1139">
        <f>IF(t&gt;Tmaj,'2026'!Wh/'2026'!Env_an*'2027'!Env_an,0.001*'[6]mon-tableau'!$B$225)</f>
        <v>35.680681769568373</v>
      </c>
      <c r="C128" s="866"/>
      <c r="D128" s="395">
        <f t="shared" si="25"/>
        <v>38.428512460124665</v>
      </c>
      <c r="E128" s="387">
        <f t="shared" si="47"/>
        <v>42.711429122283675</v>
      </c>
      <c r="F128" s="387">
        <f t="shared" si="26"/>
        <v>42.748039284031101</v>
      </c>
      <c r="G128" s="110">
        <f t="shared" si="48"/>
        <v>0.71094166408883919</v>
      </c>
      <c r="H128" s="414" t="b">
        <f>Wh_hp&gt;='2026'!Maxi_hp</f>
        <v>0</v>
      </c>
      <c r="I128" s="392">
        <f>IF(H128,Wh_hp,'2026'!Maxi_hp)</f>
        <v>54.722101062954692</v>
      </c>
      <c r="J128" s="85">
        <f>IF(H128,An,'2026'!An_max)</f>
        <v>2021</v>
      </c>
      <c r="K128" s="199">
        <f t="shared" si="27"/>
        <v>46501</v>
      </c>
      <c r="L128" s="147">
        <f>IF(t&lt;Tvie,1-EXP((T0-t)*PertePVj)+'2026'!Pspv,1-EXP((T0-t)*PertePVj)+Pspv)</f>
        <v>7.1504997582396035E-2</v>
      </c>
      <c r="M128" s="870"/>
      <c r="N128" s="870"/>
      <c r="O128" s="48">
        <f>IF(t&lt;Tnet,'2026'!Resal+('2026'!Salim-'2026'!Resal)*(1-EXP(('2026'!Tnet-t)/('2026'!Tau_j))),Resal+(Salim-Resal)*(1-EXP((Tnet-t)/(Tau_j))))*Salcycl</f>
        <v>0.10027565806559494</v>
      </c>
      <c r="P128" s="171">
        <f>(INDEX(Models!$BJ128:$BT128,,T128)*(1-R128)+INDEX(Models!$BJ128:$BT128,,T128+1)*R128-ERP_i)*Q128*Ramure*Pc/MaxiM</f>
        <v>1.4573082176519818E-3</v>
      </c>
      <c r="Q128" s="307">
        <f t="shared" si="28"/>
        <v>1</v>
      </c>
      <c r="R128" s="179">
        <f t="shared" si="29"/>
        <v>0.65257918897239042</v>
      </c>
      <c r="S128" s="837">
        <f t="shared" si="30"/>
        <v>-2</v>
      </c>
      <c r="T128" s="178">
        <f t="shared" si="31"/>
        <v>4</v>
      </c>
      <c r="U128" s="253">
        <f t="shared" si="32"/>
        <v>-1.3474208110276096</v>
      </c>
      <c r="V128" s="385">
        <f t="shared" si="33"/>
        <v>50.157734448300467</v>
      </c>
      <c r="W128" s="404">
        <f t="shared" si="34"/>
        <v>35.680681769568373</v>
      </c>
      <c r="X128" s="157">
        <f t="shared" si="35"/>
        <v>46501</v>
      </c>
      <c r="Y128" s="387">
        <f t="shared" si="36"/>
        <v>33.843998184283798</v>
      </c>
      <c r="Z128" s="387">
        <f t="shared" si="37"/>
        <v>36.45038271198144</v>
      </c>
      <c r="AA128" s="388">
        <f t="shared" si="38"/>
        <v>42.305658507234078</v>
      </c>
      <c r="AB128" s="199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0.13840408119995143</v>
      </c>
      <c r="AD128" s="233">
        <f>(INDEX(Models!$BJ128:$BT128,,AH128)*(1-AF128)+INDEX(Models!$BJ128:$BT128,,AH128+1)*AF128-ERP_i)*AE128*Ramure*Pc/MaxiM</f>
        <v>1.760945897494897E-2</v>
      </c>
      <c r="AE128" s="307">
        <f t="shared" si="40"/>
        <v>1</v>
      </c>
      <c r="AF128" s="179">
        <f t="shared" si="41"/>
        <v>0.58756178189596087</v>
      </c>
      <c r="AG128" s="837">
        <f t="shared" si="49"/>
        <v>3</v>
      </c>
      <c r="AH128" s="178">
        <f t="shared" si="42"/>
        <v>9</v>
      </c>
      <c r="AI128" s="227">
        <f t="shared" si="43"/>
        <v>3.5875617818959609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46502</v>
      </c>
      <c r="B129" s="1139">
        <f>IF(t&gt;Tmaj,'2026'!Wh/'2026'!Env_an*'2027'!Env_an,0.001*'[6]mon-tableau'!$B$226)</f>
        <v>44.513831129615461</v>
      </c>
      <c r="C129" s="866"/>
      <c r="D129" s="395">
        <f t="shared" si="25"/>
        <v>47.943033553973486</v>
      </c>
      <c r="E129" s="387">
        <f t="shared" si="47"/>
        <v>53.300044086620041</v>
      </c>
      <c r="F129" s="387">
        <f t="shared" si="26"/>
        <v>53.361582682932742</v>
      </c>
      <c r="G129" s="110">
        <f t="shared" si="48"/>
        <v>0.88346530587350547</v>
      </c>
      <c r="H129" s="414" t="b">
        <f>Wh_hp&gt;='2026'!Maxi_hp</f>
        <v>0</v>
      </c>
      <c r="I129" s="392">
        <f>IF(H129,Wh_hp,'2026'!Maxi_hp)</f>
        <v>56.337889785916616</v>
      </c>
      <c r="J129" s="85">
        <f>IF(H129,An,'2026'!An_max)</f>
        <v>2020</v>
      </c>
      <c r="K129" s="199">
        <f t="shared" si="27"/>
        <v>46502</v>
      </c>
      <c r="L129" s="147">
        <f>IF(t&lt;Tvie,1-EXP((T0-t)*PertePVj)+'2026'!Pspv,1-EXP((T0-t)*PertePVj)+Pspv)</f>
        <v>7.1526605017546152E-2</v>
      </c>
      <c r="M129" s="870"/>
      <c r="N129" s="870"/>
      <c r="O129" s="48">
        <f>IF(t&lt;Tnet,'2026'!Resal+('2026'!Salim-'2026'!Resal)*(1-EXP(('2026'!Tnet-t)/('2026'!Tau_j))),Resal+(Salim-Resal)*(1-EXP((Tnet-t)/(Tau_j))))*Salcycl</f>
        <v>0.10050668108155143</v>
      </c>
      <c r="P129" s="171">
        <f>(INDEX(Models!$BJ129:$BT129,,T129)*(1-R129)+INDEX(Models!$BJ129:$BT129,,T129+1)*R129-ERP_i)*Q129*Ramure*Pc/MaxiM</f>
        <v>1.383090358132248E-3</v>
      </c>
      <c r="Q129" s="307">
        <f t="shared" si="28"/>
        <v>1</v>
      </c>
      <c r="R129" s="179">
        <f t="shared" si="29"/>
        <v>0.6558143670793426</v>
      </c>
      <c r="S129" s="837">
        <f t="shared" si="30"/>
        <v>-2</v>
      </c>
      <c r="T129" s="178">
        <f t="shared" si="31"/>
        <v>4</v>
      </c>
      <c r="U129" s="253">
        <f t="shared" si="32"/>
        <v>-1.3441856329206574</v>
      </c>
      <c r="V129" s="385">
        <f t="shared" si="33"/>
        <v>50.373894033443058</v>
      </c>
      <c r="W129" s="404">
        <f t="shared" si="34"/>
        <v>44.513831129615461</v>
      </c>
      <c r="X129" s="157">
        <f t="shared" si="35"/>
        <v>46502</v>
      </c>
      <c r="Y129" s="387">
        <f t="shared" si="36"/>
        <v>42.068406668259946</v>
      </c>
      <c r="Z129" s="387">
        <f t="shared" si="37"/>
        <v>45.309221454918422</v>
      </c>
      <c r="AA129" s="388">
        <f t="shared" si="38"/>
        <v>52.599203062289128</v>
      </c>
      <c r="AB129" s="199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0.1385949060623172</v>
      </c>
      <c r="AD129" s="233">
        <f>(INDEX(Models!$BJ129:$BT129,,AH129)*(1-AF129)+INDEX(Models!$BJ129:$BT129,,AH129+1)*AF129-ERP_i)*AE129*Ramure*Pc/MaxiM</f>
        <v>1.7134610890224222E-2</v>
      </c>
      <c r="AE129" s="307">
        <f t="shared" si="40"/>
        <v>1</v>
      </c>
      <c r="AF129" s="179">
        <f t="shared" si="41"/>
        <v>0.59079696000291326</v>
      </c>
      <c r="AG129" s="837">
        <f t="shared" si="49"/>
        <v>3</v>
      </c>
      <c r="AH129" s="178">
        <f t="shared" si="42"/>
        <v>9</v>
      </c>
      <c r="AI129" s="227">
        <f t="shared" si="43"/>
        <v>3.5907969600029133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46503</v>
      </c>
      <c r="B130" s="1139">
        <f>IF(t&gt;Tmaj,'2026'!Wh/'2026'!Env_an*'2027'!Env_an,0.001*'[6]mon-tableau'!$B$227)</f>
        <v>49.361697510691002</v>
      </c>
      <c r="C130" s="866"/>
      <c r="D130" s="395">
        <f t="shared" si="25"/>
        <v>53.165601214853027</v>
      </c>
      <c r="E130" s="387">
        <f t="shared" si="47"/>
        <v>59.121532794844882</v>
      </c>
      <c r="F130" s="387">
        <f t="shared" si="26"/>
        <v>59.196405330091991</v>
      </c>
      <c r="G130" s="110">
        <f t="shared" si="48"/>
        <v>0.9758151503285053</v>
      </c>
      <c r="H130" s="414" t="b">
        <f>Wh_hp&gt;='2026'!Maxi_hp</f>
        <v>0</v>
      </c>
      <c r="I130" s="392">
        <f>IF(H130,Wh_hp,'2026'!Maxi_hp)</f>
        <v>59.198998230251505</v>
      </c>
      <c r="J130" s="85">
        <f>IF(H130,An,'2026'!An_max)</f>
        <v>2025</v>
      </c>
      <c r="K130" s="199">
        <f t="shared" si="27"/>
        <v>46503</v>
      </c>
      <c r="L130" s="147">
        <f>IF(t&lt;Tvie,1-EXP((T0-t)*PertePVj)+'2026'!Pspv,1-EXP((T0-t)*PertePVj)+Pspv)</f>
        <v>7.1548211949859719E-2</v>
      </c>
      <c r="M130" s="870"/>
      <c r="N130" s="870"/>
      <c r="O130" s="48">
        <f>IF(t&lt;Tnet,'2026'!Resal+('2026'!Salim-'2026'!Resal)*(1-EXP(('2026'!Tnet-t)/('2026'!Tau_j))),Resal+(Salim-Resal)*(1-EXP((Tnet-t)/(Tau_j))))*Salcycl</f>
        <v>0.10074047979539502</v>
      </c>
      <c r="P130" s="171">
        <f>(INDEX(Models!$BJ130:$BT130,,T130)*(1-R130)+INDEX(Models!$BJ130:$BT130,,T130+1)*R130-ERP_i)*Q130*Ramure*Pc/MaxiM</f>
        <v>1.3099929370482082E-3</v>
      </c>
      <c r="Q130" s="307">
        <f t="shared" si="28"/>
        <v>1</v>
      </c>
      <c r="R130" s="179">
        <f t="shared" si="29"/>
        <v>0.65914910656834524</v>
      </c>
      <c r="S130" s="837">
        <f t="shared" si="30"/>
        <v>-2</v>
      </c>
      <c r="T130" s="178">
        <f t="shared" si="31"/>
        <v>4</v>
      </c>
      <c r="U130" s="253">
        <f t="shared" si="32"/>
        <v>-1.3408508934316548</v>
      </c>
      <c r="V130" s="385">
        <f t="shared" si="33"/>
        <v>50.582802120338634</v>
      </c>
      <c r="W130" s="404">
        <f t="shared" si="34"/>
        <v>49.361697510691002</v>
      </c>
      <c r="X130" s="157">
        <f t="shared" si="35"/>
        <v>46503</v>
      </c>
      <c r="Y130" s="387">
        <f t="shared" si="36"/>
        <v>46.57219966185086</v>
      </c>
      <c r="Z130" s="387">
        <f t="shared" si="37"/>
        <v>50.161139502631627</v>
      </c>
      <c r="AA130" s="388">
        <f t="shared" si="38"/>
        <v>58.244928717900649</v>
      </c>
      <c r="AB130" s="199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0.13878958036709901</v>
      </c>
      <c r="AD130" s="233">
        <f>(INDEX(Models!$BJ130:$BT130,,AH130)*(1-AF130)+INDEX(Models!$BJ130:$BT130,,AH130+1)*AF130-ERP_i)*AE130*Ramure*Pc/MaxiM</f>
        <v>1.6647327856916697E-2</v>
      </c>
      <c r="AE130" s="307">
        <f t="shared" si="40"/>
        <v>1</v>
      </c>
      <c r="AF130" s="179">
        <f t="shared" si="41"/>
        <v>0.59413169949191547</v>
      </c>
      <c r="AG130" s="837">
        <f t="shared" si="49"/>
        <v>3</v>
      </c>
      <c r="AH130" s="178">
        <f t="shared" si="42"/>
        <v>9</v>
      </c>
      <c r="AI130" s="227">
        <f t="shared" si="43"/>
        <v>3.5941316994919155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46504</v>
      </c>
      <c r="B131" s="1139">
        <f>IF(t&gt;Tmaj,'2026'!Wh/'2026'!Env_an*'2027'!Env_an,0.001*'[6]mon-tableau'!$B$228)</f>
        <v>35.209267876953774</v>
      </c>
      <c r="C131" s="866"/>
      <c r="D131" s="395">
        <f t="shared" si="25"/>
        <v>37.923441712647779</v>
      </c>
      <c r="E131" s="387">
        <f t="shared" si="47"/>
        <v>42.182952068572781</v>
      </c>
      <c r="F131" s="387">
        <f t="shared" si="26"/>
        <v>42.212314178677723</v>
      </c>
      <c r="G131" s="110">
        <f t="shared" si="48"/>
        <v>0.69293543069587182</v>
      </c>
      <c r="H131" s="414" t="b">
        <f>Wh_hp&gt;='2026'!Maxi_hp</f>
        <v>0</v>
      </c>
      <c r="I131" s="392">
        <f>IF(H131,Wh_hp,'2026'!Maxi_hp)</f>
        <v>42.234472981706269</v>
      </c>
      <c r="J131" s="85">
        <f>IF(H131,An,'2026'!An_max)</f>
        <v>2025</v>
      </c>
      <c r="K131" s="199">
        <f t="shared" si="27"/>
        <v>46504</v>
      </c>
      <c r="L131" s="147">
        <f>IF(t&lt;Tvie,1-EXP((T0-t)*PertePVj)+'2026'!Pspv,1-EXP((T0-t)*PertePVj)+Pspv)</f>
        <v>7.1569818379348393E-2</v>
      </c>
      <c r="M131" s="870"/>
      <c r="N131" s="870"/>
      <c r="O131" s="48">
        <f>IF(t&lt;Tnet,'2026'!Resal+('2026'!Salim-'2026'!Resal)*(1-EXP(('2026'!Tnet-t)/('2026'!Tau_j))),Resal+(Salim-Resal)*(1-EXP((Tnet-t)/(Tau_j))))*Salcycl</f>
        <v>0.10097705701110533</v>
      </c>
      <c r="P131" s="171">
        <f>(INDEX(Models!$BJ131:$BT131,,T131)*(1-R131)+INDEX(Models!$BJ131:$BT131,,T131+1)*R131-ERP_i)*Q131*Ramure*Pc/MaxiM</f>
        <v>1.2379674809790651E-3</v>
      </c>
      <c r="Q131" s="307">
        <f t="shared" si="28"/>
        <v>1</v>
      </c>
      <c r="R131" s="179">
        <f t="shared" si="29"/>
        <v>0.66258512795033409</v>
      </c>
      <c r="S131" s="837">
        <f t="shared" si="30"/>
        <v>-2</v>
      </c>
      <c r="T131" s="178">
        <f t="shared" si="31"/>
        <v>4</v>
      </c>
      <c r="U131" s="253">
        <f t="shared" si="32"/>
        <v>-1.3374148720496659</v>
      </c>
      <c r="V131" s="385">
        <f t="shared" si="33"/>
        <v>50.784179905413772</v>
      </c>
      <c r="W131" s="404">
        <f t="shared" si="34"/>
        <v>35.209267876953774</v>
      </c>
      <c r="X131" s="157">
        <f t="shared" si="35"/>
        <v>46504</v>
      </c>
      <c r="Y131" s="387">
        <f t="shared" si="36"/>
        <v>33.4379213618124</v>
      </c>
      <c r="Z131" s="387">
        <f t="shared" si="37"/>
        <v>36.01554755947695</v>
      </c>
      <c r="AA131" s="388">
        <f t="shared" si="38"/>
        <v>41.829326000740444</v>
      </c>
      <c r="AB131" s="199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0.13898809751705254</v>
      </c>
      <c r="AD131" s="233">
        <f>(INDEX(Models!$BJ131:$BT131,,AH131)*(1-AF131)+INDEX(Models!$BJ131:$BT131,,AH131+1)*AF131-ERP_i)*AE131*Ramure*Pc/MaxiM</f>
        <v>1.6147576185472162E-2</v>
      </c>
      <c r="AE131" s="307">
        <f t="shared" si="40"/>
        <v>1</v>
      </c>
      <c r="AF131" s="179">
        <f t="shared" si="41"/>
        <v>0.59756772087390475</v>
      </c>
      <c r="AG131" s="837">
        <f t="shared" si="49"/>
        <v>3</v>
      </c>
      <c r="AH131" s="178">
        <f t="shared" si="42"/>
        <v>9</v>
      </c>
      <c r="AI131" s="227">
        <f t="shared" si="43"/>
        <v>3.5975677208739048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46505</v>
      </c>
      <c r="B132" s="1139">
        <f>IF(t&gt;Tmaj,'2026'!Wh/'2026'!Env_an*'2027'!Env_an,0.001*'[6]mon-tableau'!$B$229)</f>
        <v>21.567388930957083</v>
      </c>
      <c r="C132" s="866"/>
      <c r="D132" s="395">
        <f t="shared" si="25"/>
        <v>23.230493013095746</v>
      </c>
      <c r="E132" s="387">
        <f t="shared" si="47"/>
        <v>25.846592302961117</v>
      </c>
      <c r="F132" s="387">
        <f t="shared" si="26"/>
        <v>25.851896512529382</v>
      </c>
      <c r="G132" s="110">
        <f t="shared" si="48"/>
        <v>0.42266756931387228</v>
      </c>
      <c r="H132" s="414" t="b">
        <f>Wh_hp&gt;='2026'!Maxi_hp</f>
        <v>0</v>
      </c>
      <c r="I132" s="392">
        <f>IF(H132,Wh_hp,'2026'!Maxi_hp)</f>
        <v>48.071799484183821</v>
      </c>
      <c r="J132" s="85">
        <f>IF(H132,An,'2026'!An_max)</f>
        <v>2019</v>
      </c>
      <c r="K132" s="199">
        <f t="shared" si="27"/>
        <v>46505</v>
      </c>
      <c r="L132" s="147">
        <f>IF(t&lt;Tvie,1-EXP((T0-t)*PertePVj)+'2026'!Pspv,1-EXP((T0-t)*PertePVj)+Pspv)</f>
        <v>7.1591424306023943E-2</v>
      </c>
      <c r="M132" s="870"/>
      <c r="N132" s="870"/>
      <c r="O132" s="48">
        <f>IF(t&lt;Tnet,'2026'!Resal+('2026'!Salim-'2026'!Resal)*(1-EXP(('2026'!Tnet-t)/('2026'!Tau_j))),Resal+(Salim-Resal)*(1-EXP((Tnet-t)/(Tau_j))))*Salcycl</f>
        <v>0.10121641024088338</v>
      </c>
      <c r="P132" s="171">
        <f>(INDEX(Models!$BJ132:$BT132,,T132)*(1-R132)+INDEX(Models!$BJ132:$BT132,,T132+1)*R132-ERP_i)*Q132*Ramure*Pc/MaxiM</f>
        <v>1.16696548185686E-3</v>
      </c>
      <c r="Q132" s="307">
        <f t="shared" si="28"/>
        <v>1</v>
      </c>
      <c r="R132" s="179">
        <f t="shared" si="29"/>
        <v>0.66612408161036241</v>
      </c>
      <c r="S132" s="837">
        <f t="shared" si="30"/>
        <v>-2</v>
      </c>
      <c r="T132" s="178">
        <f t="shared" si="31"/>
        <v>4</v>
      </c>
      <c r="U132" s="253">
        <f t="shared" si="32"/>
        <v>-1.3338759183896376</v>
      </c>
      <c r="V132" s="385">
        <f t="shared" si="33"/>
        <v>50.977749342330654</v>
      </c>
      <c r="W132" s="404">
        <f t="shared" si="34"/>
        <v>21.567388930957083</v>
      </c>
      <c r="X132" s="157">
        <f t="shared" si="35"/>
        <v>46505</v>
      </c>
      <c r="Y132" s="387">
        <f t="shared" si="36"/>
        <v>20.603599901546549</v>
      </c>
      <c r="Z132" s="387">
        <f t="shared" si="37"/>
        <v>22.192384302509879</v>
      </c>
      <c r="AA132" s="388">
        <f t="shared" si="38"/>
        <v>25.780829384026831</v>
      </c>
      <c r="AB132" s="199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0.13919044372328321</v>
      </c>
      <c r="AD132" s="233">
        <f>(INDEX(Models!$BJ132:$BT132,,AH132)*(1-AF132)+INDEX(Models!$BJ132:$BT132,,AH132+1)*AF132-ERP_i)*AE132*Ramure*Pc/MaxiM</f>
        <v>1.563529585130732E-2</v>
      </c>
      <c r="AE132" s="307">
        <f t="shared" si="40"/>
        <v>1</v>
      </c>
      <c r="AF132" s="179">
        <f t="shared" si="41"/>
        <v>0.60110667453393285</v>
      </c>
      <c r="AG132" s="837">
        <f t="shared" si="49"/>
        <v>3</v>
      </c>
      <c r="AH132" s="178">
        <f t="shared" si="42"/>
        <v>9</v>
      </c>
      <c r="AI132" s="227">
        <f t="shared" si="43"/>
        <v>3.6011066745339328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46506</v>
      </c>
      <c r="B133" s="1139">
        <f>IF(t&gt;Tmaj,'2026'!Wh/'2026'!Env_an*'2027'!Env_an,0.001*'[6]mon-tableau'!$B$230)</f>
        <v>40.519337023342693</v>
      </c>
      <c r="C133" s="866"/>
      <c r="D133" s="395">
        <f t="shared" si="25"/>
        <v>43.644879043869089</v>
      </c>
      <c r="E133" s="387">
        <f t="shared" si="47"/>
        <v>48.573027037061294</v>
      </c>
      <c r="F133" s="387">
        <f t="shared" si="26"/>
        <v>48.610502402743599</v>
      </c>
      <c r="G133" s="110">
        <f t="shared" si="48"/>
        <v>0.791703626458793</v>
      </c>
      <c r="H133" s="414" t="b">
        <f>Wh_hp&gt;='2026'!Maxi_hp</f>
        <v>0</v>
      </c>
      <c r="I133" s="392">
        <f>IF(H133,Wh_hp,'2026'!Maxi_hp)</f>
        <v>54.803359565450826</v>
      </c>
      <c r="J133" s="85">
        <f>IF(H133,An,'2026'!An_max)</f>
        <v>2019</v>
      </c>
      <c r="K133" s="199">
        <f t="shared" si="27"/>
        <v>46506</v>
      </c>
      <c r="L133" s="147">
        <f>IF(t&lt;Tvie,1-EXP((T0-t)*PertePVj)+'2026'!Pspv,1-EXP((T0-t)*PertePVj)+Pspv)</f>
        <v>7.1613029729897915E-2</v>
      </c>
      <c r="M133" s="870"/>
      <c r="N133" s="870"/>
      <c r="O133" s="48">
        <f>IF(t&lt;Tnet,'2026'!Resal+('2026'!Salim-'2026'!Resal)*(1-EXP(('2026'!Tnet-t)/('2026'!Tau_j))),Resal+(Salim-Resal)*(1-EXP((Tnet-t)/(Tau_j))))*Salcycl</f>
        <v>0.10145853148975088</v>
      </c>
      <c r="P133" s="171">
        <f>(INDEX(Models!$BJ133:$BT133,,T133)*(1-R133)+INDEX(Models!$BJ133:$BT133,,T133+1)*R133-ERP_i)*Q133*Ramure*Pc/MaxiM</f>
        <v>1.0969384048662052E-3</v>
      </c>
      <c r="Q133" s="307">
        <f t="shared" si="28"/>
        <v>1</v>
      </c>
      <c r="R133" s="179">
        <f t="shared" si="29"/>
        <v>0.66976753927594723</v>
      </c>
      <c r="S133" s="837">
        <f t="shared" si="30"/>
        <v>-2</v>
      </c>
      <c r="T133" s="178">
        <f t="shared" si="31"/>
        <v>4</v>
      </c>
      <c r="U133" s="253">
        <f t="shared" si="32"/>
        <v>-1.3302324607240528</v>
      </c>
      <c r="V133" s="385">
        <f t="shared" si="33"/>
        <v>51.163233175762429</v>
      </c>
      <c r="W133" s="404">
        <f t="shared" si="34"/>
        <v>40.519337023342693</v>
      </c>
      <c r="X133" s="157">
        <f t="shared" si="35"/>
        <v>46506</v>
      </c>
      <c r="Y133" s="387">
        <f t="shared" si="36"/>
        <v>38.426027847794842</v>
      </c>
      <c r="Z133" s="387">
        <f t="shared" si="37"/>
        <v>41.390098179227238</v>
      </c>
      <c r="AA133" s="388">
        <f t="shared" si="38"/>
        <v>48.094276725611742</v>
      </c>
      <c r="AB133" s="199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0.13939659774141724</v>
      </c>
      <c r="AD133" s="233">
        <f>(INDEX(Models!$BJ133:$BT133,,AH133)*(1-AF133)+INDEX(Models!$BJ133:$BT133,,AH133+1)*AF133-ERP_i)*AE133*Ramure*Pc/MaxiM</f>
        <v>1.5110400139240705E-2</v>
      </c>
      <c r="AE133" s="307">
        <f t="shared" si="40"/>
        <v>1</v>
      </c>
      <c r="AF133" s="179">
        <f t="shared" si="41"/>
        <v>0.60475013219951768</v>
      </c>
      <c r="AG133" s="837">
        <f t="shared" si="49"/>
        <v>3</v>
      </c>
      <c r="AH133" s="178">
        <f t="shared" si="42"/>
        <v>9</v>
      </c>
      <c r="AI133" s="227">
        <f t="shared" si="43"/>
        <v>3.6047501321995177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46507</v>
      </c>
      <c r="B134" s="1139">
        <f>IF(t&gt;Tmaj,'2026'!Wh/'2026'!Env_an*'2027'!Env_an,0.001*'[6]mon-tableau'!$B$231)</f>
        <v>45.898670348481033</v>
      </c>
      <c r="C134" s="866"/>
      <c r="D134" s="395">
        <f t="shared" si="25"/>
        <v>49.44030880689467</v>
      </c>
      <c r="E134" s="387">
        <f t="shared" si="47"/>
        <v>50.73679573478892</v>
      </c>
      <c r="F134" s="387">
        <f t="shared" si="26"/>
        <v>50.775873897140478</v>
      </c>
      <c r="G134" s="110">
        <f t="shared" si="48"/>
        <v>0.82393055408860638</v>
      </c>
      <c r="H134" s="414" t="b">
        <f>Wh_hp&gt;='2026'!Maxi_hp</f>
        <v>0</v>
      </c>
      <c r="I134" s="392">
        <f>IF(H134,Wh_hp,'2026'!Maxi_hp)</f>
        <v>60.871126204254288</v>
      </c>
      <c r="J134" s="85">
        <f>IF(H134,An,'2026'!An_max)</f>
        <v>2019</v>
      </c>
      <c r="K134" s="199">
        <f t="shared" si="27"/>
        <v>46507</v>
      </c>
      <c r="L134" s="147">
        <f>IF(t&lt;Tvie,1-EXP((T0-t)*PertePVj)+'2026'!Pspv,1-EXP((T0-t)*PertePVj)+Pspv)</f>
        <v>7.1634634650982187E-2</v>
      </c>
      <c r="M134" s="870"/>
      <c r="N134" s="870"/>
      <c r="O134" s="48">
        <f>IF(t&lt;Tnet,'2026'!Resal+('2026'!Salim-'2026'!Resal)*(1-EXP(('2026'!Tnet-t)/('2026'!Tau_j))),Resal+(Salim-Resal)*(1-EXP((Tnet-t)/(Tau_j))))*Salcycl</f>
        <v>2.5553188945380768E-2</v>
      </c>
      <c r="P134" s="171">
        <f>(INDEX(Models!$BJ134:$BT134,,T134)*(1-R134)+INDEX(Models!$BJ134:$BT134,,T134+1)*R134-ERP_i)*Q134*Ramure*Pc/MaxiM</f>
        <v>1.0278376933520288E-3</v>
      </c>
      <c r="Q134" s="307">
        <f t="shared" si="28"/>
        <v>1</v>
      </c>
      <c r="R134" s="179">
        <f t="shared" si="29"/>
        <v>0.67351698519613801</v>
      </c>
      <c r="S134" s="837">
        <f t="shared" si="30"/>
        <v>-2</v>
      </c>
      <c r="T134" s="178">
        <f t="shared" si="31"/>
        <v>4</v>
      </c>
      <c r="U134" s="253">
        <f t="shared" si="32"/>
        <v>-1.326483014803862</v>
      </c>
      <c r="V134" s="385">
        <f t="shared" si="33"/>
        <v>55.692569203255225</v>
      </c>
      <c r="W134" s="404">
        <f t="shared" si="34"/>
        <v>45.898670348481033</v>
      </c>
      <c r="X134" s="157">
        <f t="shared" si="35"/>
        <v>46507</v>
      </c>
      <c r="Y134" s="387">
        <f t="shared" si="36"/>
        <v>41.882358622166258</v>
      </c>
      <c r="Z134" s="387">
        <f t="shared" si="37"/>
        <v>45.114089975147486</v>
      </c>
      <c r="AA134" s="388">
        <f t="shared" si="38"/>
        <v>50.221820197055223</v>
      </c>
      <c r="AB134" s="199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0.10170340704232843</v>
      </c>
      <c r="AD134" s="233">
        <f>(INDEX(Models!$BJ134:$BT134,,AH134)*(1-AF134)+INDEX(Models!$BJ134:$BT134,,AH134+1)*AF134-ERP_i)*AE134*Ramure*Pc/MaxiM</f>
        <v>1.457277524888775E-2</v>
      </c>
      <c r="AE134" s="307">
        <f t="shared" si="40"/>
        <v>1</v>
      </c>
      <c r="AF134" s="179">
        <f t="shared" si="41"/>
        <v>0.60849957811970867</v>
      </c>
      <c r="AG134" s="837">
        <f t="shared" si="49"/>
        <v>3</v>
      </c>
      <c r="AH134" s="178">
        <f t="shared" si="42"/>
        <v>9</v>
      </c>
      <c r="AI134" s="227">
        <f t="shared" si="43"/>
        <v>3.6084995781197087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46508</v>
      </c>
      <c r="B135" s="1139">
        <f>IF(t&gt;Tmaj,'2026'!Wh/'2026'!Env_an*'2027'!Env_an,0.001*[7]mois!$B$208)</f>
        <v>45.264727800701785</v>
      </c>
      <c r="C135" s="866"/>
      <c r="D135" s="395">
        <f t="shared" si="25"/>
        <v>48.758584595130586</v>
      </c>
      <c r="E135" s="387">
        <f t="shared" si="47"/>
        <v>50.05341529179401</v>
      </c>
      <c r="F135" s="387">
        <f t="shared" si="26"/>
        <v>50.088444422401075</v>
      </c>
      <c r="G135" s="110">
        <f t="shared" si="48"/>
        <v>0.80993208073132361</v>
      </c>
      <c r="H135" s="414" t="b">
        <f>Wh_hp&gt;='2026'!Maxi_hp</f>
        <v>0</v>
      </c>
      <c r="I135" s="392">
        <f>IF(H135,Wh_hp,'2026'!Maxi_hp)</f>
        <v>56.86994403885685</v>
      </c>
      <c r="J135" s="85">
        <f>IF(H135,An,'2026'!An_max)</f>
        <v>2019</v>
      </c>
      <c r="K135" s="199">
        <f t="shared" si="27"/>
        <v>46508</v>
      </c>
      <c r="L135" s="147">
        <f>IF(t&lt;Tvie,1-EXP((T0-t)*PertePVj)+'2026'!Pspv,1-EXP((T0-t)*PertePVj)+Pspv)</f>
        <v>7.1656239069288419E-2</v>
      </c>
      <c r="M135" s="870"/>
      <c r="N135" s="870"/>
      <c r="O135" s="48">
        <f>IF(t&lt;Tnet,'2026'!Resal+('2026'!Salim-'2026'!Resal)*(1-EXP(('2026'!Tnet-t)/('2026'!Tau_j))),Resal+(Salim-Resal)*(1-EXP((Tnet-t)/(Tau_j))))*Salcycl</f>
        <v>2.5868977953152919E-2</v>
      </c>
      <c r="P135" s="171">
        <f>(INDEX(Models!$BJ135:$BT135,,T135)*(1-R135)+INDEX(Models!$BJ135:$BT135,,T135+1)*R135-ERP_i)*Q135*Ramure*Pc/MaxiM</f>
        <v>9.5961681664649635E-4</v>
      </c>
      <c r="Q135" s="307">
        <f t="shared" si="28"/>
        <v>1</v>
      </c>
      <c r="R135" s="179">
        <f t="shared" si="29"/>
        <v>0.67737380705742201</v>
      </c>
      <c r="S135" s="837">
        <f t="shared" si="30"/>
        <v>-2</v>
      </c>
      <c r="T135" s="178">
        <f t="shared" si="31"/>
        <v>4</v>
      </c>
      <c r="U135" s="253">
        <f t="shared" si="32"/>
        <v>-1.322626192942578</v>
      </c>
      <c r="V135" s="385">
        <f t="shared" si="33"/>
        <v>55.87251020712052</v>
      </c>
      <c r="W135" s="404">
        <f t="shared" si="34"/>
        <v>45.264727800701785</v>
      </c>
      <c r="X135" s="157">
        <f t="shared" si="35"/>
        <v>46508</v>
      </c>
      <c r="Y135" s="387">
        <f t="shared" si="36"/>
        <v>41.331907840022062</v>
      </c>
      <c r="Z135" s="387">
        <f t="shared" si="37"/>
        <v>44.522201343373851</v>
      </c>
      <c r="AA135" s="388">
        <f t="shared" si="38"/>
        <v>49.576584572506881</v>
      </c>
      <c r="AB135" s="199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0.10195101725373752</v>
      </c>
      <c r="AD135" s="233">
        <f>(INDEX(Models!$BJ135:$BT135,,AH135)*(1-AF135)+INDEX(Models!$BJ135:$BT135,,AH135+1)*AF135-ERP_i)*AE135*Ramure*Pc/MaxiM</f>
        <v>1.4022309752260376E-2</v>
      </c>
      <c r="AE135" s="307">
        <f t="shared" si="40"/>
        <v>1</v>
      </c>
      <c r="AF135" s="179">
        <f t="shared" si="41"/>
        <v>0.61235639998099245</v>
      </c>
      <c r="AG135" s="837">
        <f t="shared" si="49"/>
        <v>3</v>
      </c>
      <c r="AH135" s="178">
        <f t="shared" si="42"/>
        <v>9</v>
      </c>
      <c r="AI135" s="227">
        <f t="shared" si="43"/>
        <v>3.6123563999809924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46509</v>
      </c>
      <c r="B136" s="1139">
        <f>IF(t&gt;Tmaj,'2026'!Wh/'2026'!Env_an*'2027'!Env_an,0.001*[7]mois!$B$209)</f>
        <v>27.666005841387591</v>
      </c>
      <c r="C136" s="866"/>
      <c r="D136" s="395">
        <f t="shared" si="25"/>
        <v>29.802160416317022</v>
      </c>
      <c r="E136" s="387">
        <f t="shared" si="47"/>
        <v>30.603528847638259</v>
      </c>
      <c r="F136" s="387">
        <f t="shared" si="26"/>
        <v>30.611103054342614</v>
      </c>
      <c r="G136" s="110">
        <f t="shared" si="48"/>
        <v>0.49333722508898981</v>
      </c>
      <c r="H136" s="414" t="b">
        <f>Wh_hp&gt;='2026'!Maxi_hp</f>
        <v>0</v>
      </c>
      <c r="I136" s="392">
        <f>IF(H136,Wh_hp,'2026'!Maxi_hp)</f>
        <v>39.790318251802034</v>
      </c>
      <c r="J136" s="85">
        <f>IF(H136,An,'2026'!An_max)</f>
        <v>2021</v>
      </c>
      <c r="K136" s="199">
        <f t="shared" si="27"/>
        <v>46509</v>
      </c>
      <c r="L136" s="147">
        <f>IF(t&lt;Tvie,1-EXP((T0-t)*PertePVj)+'2026'!Pspv,1-EXP((T0-t)*PertePVj)+Pspv)</f>
        <v>7.1677842984828155E-2</v>
      </c>
      <c r="M136" s="870"/>
      <c r="N136" s="870"/>
      <c r="O136" s="48">
        <f>IF(t&lt;Tnet,'2026'!Resal+('2026'!Salim-'2026'!Resal)*(1-EXP(('2026'!Tnet-t)/('2026'!Tau_j))),Resal+(Salim-Resal)*(1-EXP((Tnet-t)/(Tau_j))))*Salcycl</f>
        <v>2.6185491069049702E-2</v>
      </c>
      <c r="P136" s="171">
        <f>(INDEX(Models!$BJ136:$BT136,,T136)*(1-R136)+INDEX(Models!$BJ136:$BT136,,T136+1)*R136-ERP_i)*Q136*Ramure*Pc/MaxiM</f>
        <v>8.9438342449700775E-4</v>
      </c>
      <c r="Q136" s="307">
        <f t="shared" si="28"/>
        <v>1</v>
      </c>
      <c r="R136" s="179">
        <f t="shared" si="29"/>
        <v>0.68133928666703114</v>
      </c>
      <c r="S136" s="837">
        <f t="shared" si="30"/>
        <v>-2</v>
      </c>
      <c r="T136" s="178">
        <f t="shared" si="31"/>
        <v>4</v>
      </c>
      <c r="U136" s="253">
        <f t="shared" si="32"/>
        <v>-1.3186607133329689</v>
      </c>
      <c r="V136" s="385">
        <f t="shared" si="33"/>
        <v>56.043009689982661</v>
      </c>
      <c r="W136" s="404">
        <f t="shared" si="34"/>
        <v>27.666005841387591</v>
      </c>
      <c r="X136" s="157">
        <f t="shared" si="35"/>
        <v>46509</v>
      </c>
      <c r="Y136" s="387">
        <f t="shared" si="36"/>
        <v>25.417731209939223</v>
      </c>
      <c r="Z136" s="387">
        <f t="shared" si="37"/>
        <v>27.380291440704905</v>
      </c>
      <c r="AA136" s="388">
        <f t="shared" si="38"/>
        <v>30.49713989246818</v>
      </c>
      <c r="AB136" s="199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0.10220133634672535</v>
      </c>
      <c r="AD136" s="233">
        <f>(INDEX(Models!$BJ136:$BT136,,AH136)*(1-AF136)+INDEX(Models!$BJ136:$BT136,,AH136+1)*AF136-ERP_i)*AE136*Ramure*Pc/MaxiM</f>
        <v>1.3457087581876179E-2</v>
      </c>
      <c r="AE136" s="307">
        <f t="shared" si="40"/>
        <v>1</v>
      </c>
      <c r="AF136" s="179">
        <f t="shared" si="41"/>
        <v>0.61632187959060181</v>
      </c>
      <c r="AG136" s="837">
        <f t="shared" si="49"/>
        <v>3</v>
      </c>
      <c r="AH136" s="178">
        <f t="shared" si="42"/>
        <v>9</v>
      </c>
      <c r="AI136" s="227">
        <f t="shared" si="43"/>
        <v>3.6163218795906018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46510</v>
      </c>
      <c r="B137" s="1139">
        <f>IF(t&gt;Tmaj,'2026'!Wh/'2026'!Env_an*'2027'!Env_an,0.001*[7]mois!$B$210)</f>
        <v>32.690016993022311</v>
      </c>
      <c r="C137" s="866"/>
      <c r="D137" s="395">
        <f t="shared" si="25"/>
        <v>35.214906278106376</v>
      </c>
      <c r="E137" s="387">
        <f t="shared" si="47"/>
        <v>36.173605926912089</v>
      </c>
      <c r="F137" s="387">
        <f t="shared" si="26"/>
        <v>36.18572700123655</v>
      </c>
      <c r="G137" s="110">
        <f t="shared" si="48"/>
        <v>0.58133726044931799</v>
      </c>
      <c r="H137" s="414" t="b">
        <f>Wh_hp&gt;='2026'!Maxi_hp</f>
        <v>0</v>
      </c>
      <c r="I137" s="392">
        <f>IF(H137,Wh_hp,'2026'!Maxi_hp)</f>
        <v>59.817954676163886</v>
      </c>
      <c r="J137" s="85">
        <f>IF(H137,An,'2026'!An_max)</f>
        <v>2021</v>
      </c>
      <c r="K137" s="199">
        <f t="shared" si="27"/>
        <v>46510</v>
      </c>
      <c r="L137" s="147">
        <f>IF(t&lt;Tvie,1-EXP((T0-t)*PertePVj)+'2026'!Pspv,1-EXP((T0-t)*PertePVj)+Pspv)</f>
        <v>7.1699446397613276E-2</v>
      </c>
      <c r="M137" s="870"/>
      <c r="N137" s="870"/>
      <c r="O137" s="48">
        <f>IF(t&lt;Tnet,'2026'!Resal+('2026'!Salim-'2026'!Resal)*(1-EXP(('2026'!Tnet-t)/('2026'!Tau_j))),Resal+(Salim-Resal)*(1-EXP((Tnet-t)/(Tau_j))))*Salcycl</f>
        <v>2.6502739338255209E-2</v>
      </c>
      <c r="P137" s="171">
        <f>(INDEX(Models!$BJ137:$BT137,,T137)*(1-R137)+INDEX(Models!$BJ137:$BT137,,T137+1)*R137-ERP_i)*Q137*Ramure*Pc/MaxiM</f>
        <v>8.3258368494791991E-4</v>
      </c>
      <c r="Q137" s="307">
        <f t="shared" si="28"/>
        <v>1</v>
      </c>
      <c r="R137" s="179">
        <f t="shared" si="29"/>
        <v>0.68541459043882047</v>
      </c>
      <c r="S137" s="837">
        <f t="shared" si="30"/>
        <v>-2</v>
      </c>
      <c r="T137" s="178">
        <f t="shared" si="31"/>
        <v>4</v>
      </c>
      <c r="U137" s="253">
        <f t="shared" si="32"/>
        <v>-1.3145854095611795</v>
      </c>
      <c r="V137" s="385">
        <f t="shared" si="33"/>
        <v>56.204456022987799</v>
      </c>
      <c r="W137" s="404">
        <f t="shared" si="34"/>
        <v>32.690016993022311</v>
      </c>
      <c r="X137" s="157">
        <f t="shared" si="35"/>
        <v>46510</v>
      </c>
      <c r="Y137" s="387">
        <f t="shared" si="36"/>
        <v>29.99333588489187</v>
      </c>
      <c r="Z137" s="387">
        <f t="shared" si="37"/>
        <v>32.309940749791615</v>
      </c>
      <c r="AA137" s="388">
        <f t="shared" si="38"/>
        <v>35.998102279974376</v>
      </c>
      <c r="AB137" s="199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0.10245433221724227</v>
      </c>
      <c r="AD137" s="233">
        <f>(INDEX(Models!$BJ137:$BT137,,AH137)*(1-AF137)+INDEX(Models!$BJ137:$BT137,,AH137+1)*AF137-ERP_i)*AE137*Ramure*Pc/MaxiM</f>
        <v>1.28877422606485E-2</v>
      </c>
      <c r="AE137" s="307">
        <f t="shared" si="40"/>
        <v>1</v>
      </c>
      <c r="AF137" s="179">
        <f t="shared" si="41"/>
        <v>0.62039718336239069</v>
      </c>
      <c r="AG137" s="837">
        <f t="shared" si="49"/>
        <v>3</v>
      </c>
      <c r="AH137" s="178">
        <f t="shared" si="42"/>
        <v>9</v>
      </c>
      <c r="AI137" s="227">
        <f t="shared" si="43"/>
        <v>3.6203971833623907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46511</v>
      </c>
      <c r="B138" s="1139">
        <f>IF(t&gt;Tmaj,'2026'!Wh/'2026'!Env_an*'2027'!Env_an,0.001*[7]mois!$B$211)</f>
        <v>0.82977453728150319</v>
      </c>
      <c r="C138" s="866"/>
      <c r="D138" s="395">
        <f t="shared" si="25"/>
        <v>0.89388490029061507</v>
      </c>
      <c r="E138" s="387">
        <f t="shared" si="47"/>
        <v>0.91852028636839333</v>
      </c>
      <c r="F138" s="387">
        <f t="shared" si="26"/>
        <v>0.91852028636839333</v>
      </c>
      <c r="G138" s="110">
        <f t="shared" si="48"/>
        <v>1.4712072178150432E-2</v>
      </c>
      <c r="H138" s="414" t="b">
        <f>Wh_hp&gt;='2026'!Maxi_hp</f>
        <v>0</v>
      </c>
      <c r="I138" s="392">
        <f>IF(H138,Wh_hp,'2026'!Maxi_hp)</f>
        <v>56.704587051571465</v>
      </c>
      <c r="J138" s="85">
        <f>IF(H138,An,'2026'!An_max)</f>
        <v>2020</v>
      </c>
      <c r="K138" s="199">
        <f t="shared" si="27"/>
        <v>46511</v>
      </c>
      <c r="L138" s="147">
        <f>IF(t&lt;Tvie,1-EXP((T0-t)*PertePVj)+'2026'!Pspv,1-EXP((T0-t)*PertePVj)+Pspv)</f>
        <v>7.1721049307655438E-2</v>
      </c>
      <c r="M138" s="870"/>
      <c r="N138" s="870"/>
      <c r="O138" s="48">
        <f>IF(t&lt;Tnet,'2026'!Resal+('2026'!Salim-'2026'!Resal)*(1-EXP(('2026'!Tnet-t)/('2026'!Tau_j))),Resal+(Salim-Resal)*(1-EXP((Tnet-t)/(Tau_j))))*Salcycl</f>
        <v>2.6820731608640559E-2</v>
      </c>
      <c r="P138" s="171">
        <f>(INDEX(Models!$BJ138:$BT138,,T138)*(1-R138)+INDEX(Models!$BJ138:$BT138,,T138+1)*R138-ERP_i)*Q138*Ramure*Pc/MaxiM</f>
        <v>7.7416485496422272E-4</v>
      </c>
      <c r="Q138" s="307">
        <f t="shared" si="28"/>
        <v>1</v>
      </c>
      <c r="R138" s="179">
        <f t="shared" si="29"/>
        <v>0.68960075972162693</v>
      </c>
      <c r="S138" s="837">
        <f t="shared" si="30"/>
        <v>-2</v>
      </c>
      <c r="T138" s="178">
        <f t="shared" si="31"/>
        <v>4</v>
      </c>
      <c r="U138" s="253">
        <f t="shared" si="32"/>
        <v>-1.3103992402783731</v>
      </c>
      <c r="V138" s="385">
        <f t="shared" si="33"/>
        <v>56.357265309544744</v>
      </c>
      <c r="W138" s="404">
        <f t="shared" si="34"/>
        <v>0.82977453728150319</v>
      </c>
      <c r="X138" s="157">
        <f t="shared" si="35"/>
        <v>46511</v>
      </c>
      <c r="Y138" s="387">
        <f t="shared" si="36"/>
        <v>0.76506810897467581</v>
      </c>
      <c r="Z138" s="387">
        <f t="shared" si="37"/>
        <v>0.82417909875480844</v>
      </c>
      <c r="AA138" s="388">
        <f t="shared" si="38"/>
        <v>0.91852028636839333</v>
      </c>
      <c r="AB138" s="199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0.10270996625081319</v>
      </c>
      <c r="AD138" s="233">
        <f>(INDEX(Models!$BJ138:$BT138,,AH138)*(1-AF138)+INDEX(Models!$BJ138:$BT138,,AH138+1)*AF138-ERP_i)*AE138*Ramure*Pc/MaxiM</f>
        <v>1.2313801581100689E-2</v>
      </c>
      <c r="AE138" s="307">
        <f t="shared" si="40"/>
        <v>1</v>
      </c>
      <c r="AF138" s="179">
        <f t="shared" si="41"/>
        <v>0.62458335264519738</v>
      </c>
      <c r="AG138" s="837">
        <f t="shared" si="49"/>
        <v>3</v>
      </c>
      <c r="AH138" s="178">
        <f t="shared" si="42"/>
        <v>9</v>
      </c>
      <c r="AI138" s="227">
        <f t="shared" si="43"/>
        <v>3.6245833526451974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46512</v>
      </c>
      <c r="B139" s="1139">
        <f>IF(t&gt;Tmaj,'2026'!Wh/'2026'!Env_an*'2027'!Env_an,0.001*[7]mois!$B$212)</f>
        <v>38.126982823507795</v>
      </c>
      <c r="C139" s="866"/>
      <c r="D139" s="395">
        <f t="shared" si="25"/>
        <v>41.073720443956454</v>
      </c>
      <c r="E139" s="387">
        <f t="shared" si="47"/>
        <v>42.219536473778369</v>
      </c>
      <c r="F139" s="387">
        <f t="shared" si="26"/>
        <v>42.235797591152824</v>
      </c>
      <c r="G139" s="110">
        <f t="shared" si="48"/>
        <v>0.67456620600181594</v>
      </c>
      <c r="H139" s="414" t="b">
        <f>Wh_hp&gt;='2026'!Maxi_hp</f>
        <v>0</v>
      </c>
      <c r="I139" s="392">
        <f>IF(H139,Wh_hp,'2026'!Maxi_hp)</f>
        <v>59.050028688885625</v>
      </c>
      <c r="J139" s="85">
        <f>IF(H139,An,'2026'!An_max)</f>
        <v>2020</v>
      </c>
      <c r="K139" s="199">
        <f t="shared" si="27"/>
        <v>46512</v>
      </c>
      <c r="L139" s="147">
        <f>IF(t&lt;Tvie,1-EXP((T0-t)*PertePVj)+'2026'!Pspv,1-EXP((T0-t)*PertePVj)+Pspv)</f>
        <v>7.1742651714966299E-2</v>
      </c>
      <c r="M139" s="870"/>
      <c r="N139" s="870"/>
      <c r="O139" s="48">
        <f>IF(t&lt;Tnet,'2026'!Resal+('2026'!Salim-'2026'!Resal)*(1-EXP(('2026'!Tnet-t)/('2026'!Tau_j))),Resal+(Salim-Resal)*(1-EXP((Tnet-t)/(Tau_j))))*Salcycl</f>
        <v>2.7139474412125712E-2</v>
      </c>
      <c r="P139" s="171">
        <f>(INDEX(Models!$BJ139:$BT139,,T139)*(1-R139)+INDEX(Models!$BJ139:$BT139,,T139+1)*R139-ERP_i)*Q139*Ramure*Pc/MaxiM</f>
        <v>7.1908086812993283E-4</v>
      </c>
      <c r="Q139" s="307">
        <f t="shared" si="28"/>
        <v>1</v>
      </c>
      <c r="R139" s="179">
        <f t="shared" si="29"/>
        <v>0.69389870101483409</v>
      </c>
      <c r="S139" s="837">
        <f t="shared" si="30"/>
        <v>-2</v>
      </c>
      <c r="T139" s="178">
        <f t="shared" si="31"/>
        <v>4</v>
      </c>
      <c r="U139" s="253">
        <f t="shared" si="32"/>
        <v>-1.3061012989851659</v>
      </c>
      <c r="V139" s="385">
        <f t="shared" si="33"/>
        <v>56.501853169854726</v>
      </c>
      <c r="W139" s="404">
        <f t="shared" si="34"/>
        <v>38.126982823507795</v>
      </c>
      <c r="X139" s="157">
        <f t="shared" si="35"/>
        <v>46512</v>
      </c>
      <c r="Y139" s="387">
        <f t="shared" si="36"/>
        <v>34.947784836062254</v>
      </c>
      <c r="Z139" s="387">
        <f t="shared" si="37"/>
        <v>37.648810322513143</v>
      </c>
      <c r="AA139" s="388">
        <f t="shared" si="38"/>
        <v>41.970429627026753</v>
      </c>
      <c r="AB139" s="199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0.10296819315213088</v>
      </c>
      <c r="AD139" s="233">
        <f>(INDEX(Models!$BJ139:$BT139,,AH139)*(1-AF139)+INDEX(Models!$BJ139:$BT139,,AH139+1)*AF139-ERP_i)*AE139*Ramure*Pc/MaxiM</f>
        <v>1.1734804049654759E-2</v>
      </c>
      <c r="AE139" s="307">
        <f t="shared" si="40"/>
        <v>1</v>
      </c>
      <c r="AF139" s="179">
        <f t="shared" si="41"/>
        <v>0.62888129393840453</v>
      </c>
      <c r="AG139" s="837">
        <f t="shared" si="49"/>
        <v>3</v>
      </c>
      <c r="AH139" s="178">
        <f t="shared" si="42"/>
        <v>9</v>
      </c>
      <c r="AI139" s="227">
        <f t="shared" si="43"/>
        <v>3.6288812939384045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46513</v>
      </c>
      <c r="B140" s="1139">
        <f>IF(t&gt;Tmaj,'2026'!Wh/'2026'!Env_an*'2027'!Env_an,0.001*[7]mois!$B$213)</f>
        <v>35.337043554612372</v>
      </c>
      <c r="C140" s="866"/>
      <c r="D140" s="395">
        <f t="shared" si="25"/>
        <v>38.06903978047113</v>
      </c>
      <c r="E140" s="387">
        <f t="shared" si="47"/>
        <v>39.143890775322376</v>
      </c>
      <c r="F140" s="387">
        <f t="shared" si="26"/>
        <v>39.155980923726901</v>
      </c>
      <c r="G140" s="110">
        <f t="shared" si="48"/>
        <v>0.62367976644991718</v>
      </c>
      <c r="H140" s="414" t="b">
        <f>Wh_hp&gt;='2026'!Maxi_hp</f>
        <v>0</v>
      </c>
      <c r="I140" s="392">
        <f>IF(H140,Wh_hp,'2026'!Maxi_hp)</f>
        <v>64.356840251433624</v>
      </c>
      <c r="J140" s="85">
        <f>IF(H140,An,'2026'!An_max)</f>
        <v>2019</v>
      </c>
      <c r="K140" s="199">
        <f t="shared" si="27"/>
        <v>46513</v>
      </c>
      <c r="L140" s="147">
        <f>IF(t&lt;Tvie,1-EXP((T0-t)*PertePVj)+'2026'!Pspv,1-EXP((T0-t)*PertePVj)+Pspv)</f>
        <v>7.1764253619557627E-2</v>
      </c>
      <c r="M140" s="870"/>
      <c r="N140" s="870"/>
      <c r="O140" s="48">
        <f>IF(t&lt;Tnet,'2026'!Resal+('2026'!Salim-'2026'!Resal)*(1-EXP(('2026'!Tnet-t)/('2026'!Tau_j))),Resal+(Salim-Resal)*(1-EXP((Tnet-t)/(Tau_j))))*Salcycl</f>
        <v>2.7458971848778744E-2</v>
      </c>
      <c r="P140" s="171">
        <f>(INDEX(Models!$BJ140:$BT140,,T140)*(1-R140)+INDEX(Models!$BJ140:$BT140,,T140+1)*R140-ERP_i)*Q140*Ramure*Pc/MaxiM</f>
        <v>6.6729196693316166E-4</v>
      </c>
      <c r="Q140" s="307">
        <f t="shared" si="28"/>
        <v>1</v>
      </c>
      <c r="R140" s="179">
        <f t="shared" si="29"/>
        <v>0.69830917612071186</v>
      </c>
      <c r="S140" s="837">
        <f t="shared" si="30"/>
        <v>-2</v>
      </c>
      <c r="T140" s="178">
        <f t="shared" si="31"/>
        <v>4</v>
      </c>
      <c r="U140" s="253">
        <f t="shared" si="32"/>
        <v>-1.3016908238792881</v>
      </c>
      <c r="V140" s="385">
        <f t="shared" si="33"/>
        <v>56.63863475438081</v>
      </c>
      <c r="W140" s="404">
        <f t="shared" si="34"/>
        <v>35.337043554612372</v>
      </c>
      <c r="X140" s="157">
        <f t="shared" si="35"/>
        <v>46513</v>
      </c>
      <c r="Y140" s="387">
        <f t="shared" si="36"/>
        <v>32.425855804012734</v>
      </c>
      <c r="Z140" s="387">
        <f t="shared" si="37"/>
        <v>34.932780740726642</v>
      </c>
      <c r="AA140" s="388">
        <f t="shared" si="38"/>
        <v>38.953957268194465</v>
      </c>
      <c r="AB140" s="199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0.10322896079036042</v>
      </c>
      <c r="AD140" s="233">
        <f>(INDEX(Models!$BJ140:$BT140,,AH140)*(1-AF140)+INDEX(Models!$BJ140:$BT140,,AH140+1)*AF140-ERP_i)*AE140*Ramure*Pc/MaxiM</f>
        <v>1.1150298404674429E-2</v>
      </c>
      <c r="AE140" s="307">
        <f t="shared" si="40"/>
        <v>1</v>
      </c>
      <c r="AF140" s="179">
        <f t="shared" si="41"/>
        <v>0.6332917690442823</v>
      </c>
      <c r="AG140" s="837">
        <f t="shared" si="49"/>
        <v>3</v>
      </c>
      <c r="AH140" s="178">
        <f t="shared" si="42"/>
        <v>9</v>
      </c>
      <c r="AI140" s="227">
        <f t="shared" si="43"/>
        <v>3.6332917690442823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46514</v>
      </c>
      <c r="B141" s="1139">
        <f>IF(t&gt;Tmaj,'2026'!Wh/'2026'!Env_an*'2027'!Env_an,0.001*[7]mois!$B$214)</f>
        <v>48.535295607551703</v>
      </c>
      <c r="C141" s="866"/>
      <c r="D141" s="395">
        <f t="shared" si="25"/>
        <v>52.288898925013505</v>
      </c>
      <c r="E141" s="387">
        <f t="shared" si="47"/>
        <v>53.782947551743021</v>
      </c>
      <c r="F141" s="387">
        <f t="shared" si="26"/>
        <v>53.809344827745043</v>
      </c>
      <c r="G141" s="110">
        <f t="shared" si="48"/>
        <v>0.85486628874624671</v>
      </c>
      <c r="H141" s="414" t="b">
        <f>Wh_hp&gt;='2026'!Maxi_hp</f>
        <v>0</v>
      </c>
      <c r="I141" s="392">
        <f>IF(H141,Wh_hp,'2026'!Maxi_hp)</f>
        <v>59.662433655928183</v>
      </c>
      <c r="J141" s="85">
        <f>IF(H141,An,'2026'!An_max)</f>
        <v>2020</v>
      </c>
      <c r="K141" s="199">
        <f t="shared" si="27"/>
        <v>46514</v>
      </c>
      <c r="L141" s="147">
        <f>IF(t&lt;Tvie,1-EXP((T0-t)*PertePVj)+'2026'!Pspv,1-EXP((T0-t)*PertePVj)+Pspv)</f>
        <v>7.1785855021441081E-2</v>
      </c>
      <c r="M141" s="870"/>
      <c r="N141" s="870"/>
      <c r="O141" s="48">
        <f>IF(t&lt;Tnet,'2026'!Resal+('2026'!Salim-'2026'!Resal)*(1-EXP(('2026'!Tnet-t)/('2026'!Tau_j))),Resal+(Salim-Resal)*(1-EXP((Tnet-t)/(Tau_j))))*Salcycl</f>
        <v>2.7779225474619751E-2</v>
      </c>
      <c r="P141" s="171">
        <f>(INDEX(Models!$BJ141:$BT141,,T141)*(1-R141)+INDEX(Models!$BJ141:$BT141,,T141+1)*R141-ERP_i)*Q141*Ramure*Pc/MaxiM</f>
        <v>6.1876435800874597E-4</v>
      </c>
      <c r="Q141" s="307">
        <f t="shared" si="28"/>
        <v>1</v>
      </c>
      <c r="R141" s="179">
        <f t="shared" si="29"/>
        <v>0.70283279228792517</v>
      </c>
      <c r="S141" s="837">
        <f t="shared" si="30"/>
        <v>-2</v>
      </c>
      <c r="T141" s="178">
        <f t="shared" si="31"/>
        <v>4</v>
      </c>
      <c r="U141" s="253">
        <f t="shared" si="32"/>
        <v>-1.2971672077120748</v>
      </c>
      <c r="V141" s="385">
        <f t="shared" si="33"/>
        <v>56.768024736431414</v>
      </c>
      <c r="W141" s="404">
        <f t="shared" si="34"/>
        <v>48.535295607551703</v>
      </c>
      <c r="X141" s="157">
        <f t="shared" si="35"/>
        <v>46514</v>
      </c>
      <c r="Y141" s="387">
        <f t="shared" si="36"/>
        <v>44.402630399041072</v>
      </c>
      <c r="Z141" s="387">
        <f t="shared" si="37"/>
        <v>47.836623304277204</v>
      </c>
      <c r="AA141" s="388">
        <f t="shared" si="38"/>
        <v>53.358848457548362</v>
      </c>
      <c r="AB141" s="199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0.1034922100626773</v>
      </c>
      <c r="AD141" s="233">
        <f>(INDEX(Models!$BJ141:$BT141,,AH141)*(1-AF141)+INDEX(Models!$BJ141:$BT141,,AH141+1)*AF141-ERP_i)*AE141*Ramure*Pc/MaxiM</f>
        <v>1.0559843268245727E-2</v>
      </c>
      <c r="AE141" s="307">
        <f t="shared" si="40"/>
        <v>1</v>
      </c>
      <c r="AF141" s="179">
        <f t="shared" si="41"/>
        <v>0.63781538521149539</v>
      </c>
      <c r="AG141" s="837">
        <f t="shared" si="49"/>
        <v>3</v>
      </c>
      <c r="AH141" s="178">
        <f t="shared" si="42"/>
        <v>9</v>
      </c>
      <c r="AI141" s="227">
        <f t="shared" si="43"/>
        <v>3.6378153852114954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46515</v>
      </c>
      <c r="B142" s="1139">
        <f>IF(t&gt;Tmaj,'2026'!Wh/'2026'!Env_an*'2027'!Env_an,0.001*[7]mois!$B$215)</f>
        <v>49.364594828248542</v>
      </c>
      <c r="C142" s="866"/>
      <c r="D142" s="395">
        <f t="shared" si="25"/>
        <v>53.183571817214762</v>
      </c>
      <c r="E142" s="387">
        <f t="shared" si="47"/>
        <v>54.721251808428207</v>
      </c>
      <c r="F142" s="387">
        <f t="shared" si="26"/>
        <v>54.746752525928009</v>
      </c>
      <c r="G142" s="110">
        <f t="shared" si="48"/>
        <v>0.86761992522475806</v>
      </c>
      <c r="H142" s="414" t="b">
        <f>Wh_hp&gt;='2026'!Maxi_hp</f>
        <v>0</v>
      </c>
      <c r="I142" s="392">
        <f>IF(H142,Wh_hp,'2026'!Maxi_hp)</f>
        <v>57.592377924413015</v>
      </c>
      <c r="J142" s="85">
        <f>IF(H142,An,'2026'!An_max)</f>
        <v>2021</v>
      </c>
      <c r="K142" s="199">
        <f t="shared" si="27"/>
        <v>46515</v>
      </c>
      <c r="L142" s="147">
        <f>IF(t&lt;Tvie,1-EXP((T0-t)*PertePVj)+'2026'!Pspv,1-EXP((T0-t)*PertePVj)+Pspv)</f>
        <v>7.1807455920628316E-2</v>
      </c>
      <c r="M142" s="870"/>
      <c r="N142" s="870"/>
      <c r="O142" s="48">
        <f>IF(t&lt;Tnet,'2026'!Resal+('2026'!Salim-'2026'!Resal)*(1-EXP(('2026'!Tnet-t)/('2026'!Tau_j))),Resal+(Salim-Resal)*(1-EXP((Tnet-t)/(Tau_j))))*Salcycl</f>
        <v>2.8100234194141906E-2</v>
      </c>
      <c r="P142" s="171">
        <f>(INDEX(Models!$BJ142:$BT142,,T142)*(1-R142)+INDEX(Models!$BJ142:$BT142,,T142+1)*R142-ERP_i)*Q142*Ramure*Pc/MaxiM</f>
        <v>5.7433113423631041E-4</v>
      </c>
      <c r="Q142" s="307">
        <f t="shared" si="28"/>
        <v>1</v>
      </c>
      <c r="R142" s="179">
        <f t="shared" si="29"/>
        <v>0.70746999240531139</v>
      </c>
      <c r="S142" s="837">
        <f t="shared" si="30"/>
        <v>-2</v>
      </c>
      <c r="T142" s="178">
        <f t="shared" si="31"/>
        <v>4</v>
      </c>
      <c r="U142" s="253">
        <f t="shared" si="32"/>
        <v>-1.2925300075946886</v>
      </c>
      <c r="V142" s="385">
        <f t="shared" si="33"/>
        <v>56.89038830542713</v>
      </c>
      <c r="W142" s="404">
        <f t="shared" si="34"/>
        <v>49.364594828248542</v>
      </c>
      <c r="X142" s="157">
        <f t="shared" si="35"/>
        <v>46515</v>
      </c>
      <c r="Y142" s="387">
        <f t="shared" si="36"/>
        <v>45.174441734966869</v>
      </c>
      <c r="Z142" s="387">
        <f t="shared" si="37"/>
        <v>48.66925728192868</v>
      </c>
      <c r="AA142" s="388">
        <f t="shared" si="38"/>
        <v>54.303693067209927</v>
      </c>
      <c r="AB142" s="199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0.10375787477856602</v>
      </c>
      <c r="AD142" s="233">
        <f>(INDEX(Models!$BJ142:$BT142,,AH142)*(1-AF142)+INDEX(Models!$BJ142:$BT142,,AH142+1)*AF142-ERP_i)*AE142*Ramure*Pc/MaxiM</f>
        <v>9.9786541873442391E-3</v>
      </c>
      <c r="AE142" s="307">
        <f t="shared" si="40"/>
        <v>1</v>
      </c>
      <c r="AF142" s="179">
        <f t="shared" si="41"/>
        <v>0.64245258532888183</v>
      </c>
      <c r="AG142" s="837">
        <f t="shared" si="49"/>
        <v>3</v>
      </c>
      <c r="AH142" s="178">
        <f t="shared" si="42"/>
        <v>9</v>
      </c>
      <c r="AI142" s="227">
        <f t="shared" si="43"/>
        <v>3.6424525853288818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46516</v>
      </c>
      <c r="B143" s="1139">
        <f>IF(t&gt;Tmaj,'2026'!Wh/'2026'!Env_an*'2027'!Env_an,0.001*[7]mois!$B$216)</f>
        <v>54.804753301176106</v>
      </c>
      <c r="C143" s="866"/>
      <c r="D143" s="395">
        <f t="shared" ref="D143:D206" si="50">Wh/(1-Ppv)</f>
        <v>59.045969575084456</v>
      </c>
      <c r="E143" s="387">
        <f t="shared" si="47"/>
        <v>60.773267015188992</v>
      </c>
      <c r="F143" s="387">
        <f t="shared" ref="F143:F206" si="51">Wh_sa/(1-Pvg*MEDIAN((-Sdif+Wh/Env_an)/Csdif,0,1))</f>
        <v>60.803884157345792</v>
      </c>
      <c r="G143" s="110">
        <f t="shared" si="48"/>
        <v>0.96135408895559638</v>
      </c>
      <c r="H143" s="414" t="b">
        <f>Wh_hp&gt;='2026'!Maxi_hp</f>
        <v>0</v>
      </c>
      <c r="I143" s="392">
        <f>IF(H143,Wh_hp,'2026'!Maxi_hp)</f>
        <v>60.805577933085594</v>
      </c>
      <c r="J143" s="85">
        <f>IF(H143,An,'2026'!An_max)</f>
        <v>2025</v>
      </c>
      <c r="K143" s="199">
        <f t="shared" ref="K143:K206" si="52">t</f>
        <v>46516</v>
      </c>
      <c r="L143" s="147">
        <f>IF(t&lt;Tvie,1-EXP((T0-t)*PertePVj)+'2026'!Pspv,1-EXP((T0-t)*PertePVj)+Pspv)</f>
        <v>7.1829056317131101E-2</v>
      </c>
      <c r="M143" s="870"/>
      <c r="N143" s="870"/>
      <c r="O143" s="48">
        <f>IF(t&lt;Tnet,'2026'!Resal+('2026'!Salim-'2026'!Resal)*(1-EXP(('2026'!Tnet-t)/('2026'!Tau_j))),Resal+(Salim-Resal)*(1-EXP((Tnet-t)/(Tau_j))))*Salcycl</f>
        <v>2.8421994158596683E-2</v>
      </c>
      <c r="P143" s="171">
        <f>(INDEX(Models!$BJ143:$BT143,,T143)*(1-R143)+INDEX(Models!$BJ143:$BT143,,T143+1)*R143-ERP_i)*Q143*Ramure*Pc/MaxiM</f>
        <v>5.3294053589631883E-4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0.71222104530959474</v>
      </c>
      <c r="S143" s="837">
        <f t="shared" ref="S143:S206" si="55">INDEX(Echel_vg,T143)</f>
        <v>-2</v>
      </c>
      <c r="T143" s="178">
        <f t="shared" ref="T143:T206" si="56">MIN(MATCH(Hp_vg,Echel_vg),10)</f>
        <v>4</v>
      </c>
      <c r="U143" s="253">
        <f t="shared" ref="U143:U206" si="57">IF(OR(t&lt;Ttai,Notai),Hdd+PousH*Croivg,Hdtf+PousH*(Croivg-Croi_tai))</f>
        <v>-1.2877789546904053</v>
      </c>
      <c r="V143" s="385">
        <f t="shared" ref="V143:V206" si="58">MaxiM*(1-Ppv)*(1-Pvg)*(1-Psa)</f>
        <v>57.006197600568186</v>
      </c>
      <c r="W143" s="404">
        <f t="shared" ref="W143:W206" si="59">Wh*(A143&gt;Tmaj)</f>
        <v>54.804753301176106</v>
      </c>
      <c r="X143" s="157">
        <f t="shared" ref="X143:X206" si="60">t</f>
        <v>46516</v>
      </c>
      <c r="Y143" s="387">
        <f t="shared" ref="Y143:Y206" si="61">Wh_pvt_s*(1-Ppv)</f>
        <v>50.115775376093858</v>
      </c>
      <c r="Z143" s="387">
        <f t="shared" ref="Z143:Z206" si="62">Wh_sa_s*(1-Psa_s)</f>
        <v>53.994122221969782</v>
      </c>
      <c r="AA143" s="388">
        <f t="shared" ref="AA143:AA206" si="63">Wh_hp*(1-Pvg_s*MEDIAN((-Sdif+Wh/Env_an)/Csdif,0,1))</f>
        <v>60.263037861433986</v>
      </c>
      <c r="AB143" s="199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0.10402588156738228</v>
      </c>
      <c r="AD143" s="233">
        <f>(INDEX(Models!$BJ143:$BT143,,AH143)*(1-AF143)+INDEX(Models!$BJ143:$BT143,,AH143+1)*AF143-ERP_i)*AE143*Ramure*Pc/MaxiM</f>
        <v>9.4142984771280937E-3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0.64720363823316518</v>
      </c>
      <c r="AG143" s="837">
        <f t="shared" si="49"/>
        <v>3</v>
      </c>
      <c r="AH143" s="178">
        <f t="shared" ref="AH143:AH206" si="67">MIN(MATCH(Hp_vg_s,Echel_vg),10)</f>
        <v>9</v>
      </c>
      <c r="AI143" s="227">
        <f t="shared" ref="AI143:AI206" si="68">IF(OR(t&lt;Ttai,Notai),Hdd_s+PousH*Croivg,Hdtai_s+PousH*(Croivg-Croi_tai))</f>
        <v>3.6472036382331652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46517</v>
      </c>
      <c r="B144" s="1139">
        <f>IF(t&gt;Tmaj,'2026'!Wh/'2026'!Env_an*'2027'!Env_an,0.001*[7]mois!$B$217)</f>
        <v>50.302296913759925</v>
      </c>
      <c r="C144" s="866"/>
      <c r="D144" s="395">
        <f t="shared" si="50"/>
        <v>54.196339468827169</v>
      </c>
      <c r="E144" s="387">
        <f t="shared" ref="E144:E169" si="72">Wh_pvt/(1-Psa)</f>
        <v>55.800290855161279</v>
      </c>
      <c r="F144" s="387">
        <f t="shared" si="51"/>
        <v>55.823194503809354</v>
      </c>
      <c r="G144" s="110">
        <f t="shared" ref="G144:G169" si="73">+Wh_hp/MaxiM</f>
        <v>0.88063193210993196</v>
      </c>
      <c r="H144" s="414" t="b">
        <f>Wh_hp&gt;='2026'!Maxi_hp</f>
        <v>0</v>
      </c>
      <c r="I144" s="392">
        <f>IF(H144,Wh_hp,'2026'!Maxi_hp)</f>
        <v>55.827644983592869</v>
      </c>
      <c r="J144" s="85">
        <f>IF(H144,An,'2026'!An_max)</f>
        <v>2025</v>
      </c>
      <c r="K144" s="199">
        <f t="shared" si="52"/>
        <v>46517</v>
      </c>
      <c r="L144" s="147">
        <f>IF(t&lt;Tvie,1-EXP((T0-t)*PertePVj)+'2026'!Pspv,1-EXP((T0-t)*PertePVj)+Pspv)</f>
        <v>7.1850656210961095E-2</v>
      </c>
      <c r="M144" s="870"/>
      <c r="N144" s="870"/>
      <c r="O144" s="48">
        <f>IF(t&lt;Tnet,'2026'!Resal+('2026'!Salim-'2026'!Resal)*(1-EXP(('2026'!Tnet-t)/('2026'!Tau_j))),Resal+(Salim-Resal)*(1-EXP((Tnet-t)/(Tau_j))))*Salcycl</f>
        <v>2.8744498671116742E-2</v>
      </c>
      <c r="P144" s="171">
        <f>(INDEX(Models!$BJ144:$BT144,,T144)*(1-R144)+INDEX(Models!$BJ144:$BT144,,T144+1)*R144-ERP_i)*Q144*Ramure*Pc/MaxiM</f>
        <v>4.9457432800221524E-4</v>
      </c>
      <c r="Q144" s="307">
        <f t="shared" si="53"/>
        <v>1</v>
      </c>
      <c r="R144" s="179">
        <f t="shared" si="54"/>
        <v>0.71708603627500045</v>
      </c>
      <c r="S144" s="837">
        <f t="shared" si="55"/>
        <v>-2</v>
      </c>
      <c r="T144" s="178">
        <f t="shared" si="56"/>
        <v>4</v>
      </c>
      <c r="U144" s="253">
        <f t="shared" si="57"/>
        <v>-1.2829139637249996</v>
      </c>
      <c r="V144" s="385">
        <f t="shared" si="58"/>
        <v>57.115866004116555</v>
      </c>
      <c r="W144" s="404">
        <f t="shared" si="59"/>
        <v>50.302296913759925</v>
      </c>
      <c r="X144" s="157">
        <f t="shared" si="60"/>
        <v>46517</v>
      </c>
      <c r="Y144" s="387">
        <f t="shared" si="61"/>
        <v>46.067091591575064</v>
      </c>
      <c r="Z144" s="387">
        <f t="shared" si="62"/>
        <v>49.633274967919121</v>
      </c>
      <c r="AA144" s="388">
        <f t="shared" si="63"/>
        <v>55.412595309801041</v>
      </c>
      <c r="AB144" s="199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0.1042961498116243</v>
      </c>
      <c r="AD144" s="233">
        <f>(INDEX(Models!$BJ144:$BT144,,AH144)*(1-AF144)+INDEX(Models!$BJ144:$BT144,,AH144+1)*AF144-ERP_i)*AE144*Ramure*Pc/MaxiM</f>
        <v>8.8663524128927505E-3</v>
      </c>
      <c r="AE144" s="307">
        <f t="shared" si="65"/>
        <v>1</v>
      </c>
      <c r="AF144" s="179">
        <f t="shared" si="66"/>
        <v>0.65206862919857089</v>
      </c>
      <c r="AG144" s="837">
        <f t="shared" ref="AG144:AG207" si="74">INDEX(Echel_vg,AH144)</f>
        <v>3</v>
      </c>
      <c r="AH144" s="178">
        <f t="shared" si="67"/>
        <v>9</v>
      </c>
      <c r="AI144" s="227">
        <f t="shared" si="68"/>
        <v>3.6520686291985709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46518</v>
      </c>
      <c r="B145" s="1139">
        <f>IF(t&gt;Tmaj,'2026'!Wh/'2026'!Env_an*'2027'!Env_an,0.001*[7]mois!$B$218)</f>
        <v>55.118065503879507</v>
      </c>
      <c r="C145" s="866"/>
      <c r="D145" s="395">
        <f t="shared" si="50"/>
        <v>59.386292282036855</v>
      </c>
      <c r="E145" s="387">
        <f t="shared" si="72"/>
        <v>61.164197145751928</v>
      </c>
      <c r="F145" s="387">
        <f t="shared" si="51"/>
        <v>61.19082263639288</v>
      </c>
      <c r="G145" s="110">
        <f t="shared" si="73"/>
        <v>0.96324577443461135</v>
      </c>
      <c r="H145" s="414" t="b">
        <f>Wh_hp&gt;='2026'!Maxi_hp</f>
        <v>0</v>
      </c>
      <c r="I145" s="392">
        <f>IF(H145,Wh_hp,'2026'!Maxi_hp)</f>
        <v>61.192215093499776</v>
      </c>
      <c r="J145" s="85">
        <f>IF(H145,An,'2026'!An_max)</f>
        <v>2025</v>
      </c>
      <c r="K145" s="199">
        <f t="shared" si="52"/>
        <v>46518</v>
      </c>
      <c r="L145" s="147">
        <f>IF(t&lt;Tvie,1-EXP((T0-t)*PertePVj)+'2026'!Pspv,1-EXP((T0-t)*PertePVj)+Pspv)</f>
        <v>7.1872255602129953E-2</v>
      </c>
      <c r="M145" s="870"/>
      <c r="N145" s="870"/>
      <c r="O145" s="48">
        <f>IF(t&lt;Tnet,'2026'!Resal+('2026'!Salim-'2026'!Resal)*(1-EXP(('2026'!Tnet-t)/('2026'!Tau_j))),Resal+(Salim-Resal)*(1-EXP((Tnet-t)/(Tau_j))))*Salcycl</f>
        <v>2.9067738099764411E-2</v>
      </c>
      <c r="P145" s="171">
        <f>(INDEX(Models!$BJ145:$BT145,,T145)*(1-R145)+INDEX(Models!$BJ145:$BT145,,T145+1)*R145-ERP_i)*Q145*Ramure*Pc/MaxiM</f>
        <v>4.5921881197393336E-4</v>
      </c>
      <c r="Q145" s="307">
        <f t="shared" si="53"/>
        <v>1</v>
      </c>
      <c r="R145" s="179">
        <f t="shared" si="54"/>
        <v>0.72206485775671037</v>
      </c>
      <c r="S145" s="837">
        <f t="shared" si="55"/>
        <v>-2</v>
      </c>
      <c r="T145" s="178">
        <f t="shared" si="56"/>
        <v>4</v>
      </c>
      <c r="U145" s="253">
        <f t="shared" si="57"/>
        <v>-1.2779351422432896</v>
      </c>
      <c r="V145" s="385">
        <f t="shared" si="58"/>
        <v>57.219806444710159</v>
      </c>
      <c r="W145" s="404">
        <f t="shared" si="59"/>
        <v>55.118065503879507</v>
      </c>
      <c r="X145" s="157">
        <f t="shared" si="60"/>
        <v>46518</v>
      </c>
      <c r="Y145" s="387">
        <f t="shared" si="61"/>
        <v>50.452546813590359</v>
      </c>
      <c r="Z145" s="387">
        <f t="shared" si="62"/>
        <v>54.359485661450442</v>
      </c>
      <c r="AA145" s="388">
        <f t="shared" si="63"/>
        <v>60.707593180235783</v>
      </c>
      <c r="AB145" s="199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0.10456859160827432</v>
      </c>
      <c r="AD145" s="233">
        <f>(INDEX(Models!$BJ145:$BT145,,AH145)*(1-AF145)+INDEX(Models!$BJ145:$BT145,,AH145+1)*AF145-ERP_i)*AE145*Ramure*Pc/MaxiM</f>
        <v>8.334421316765912E-3</v>
      </c>
      <c r="AE145" s="307">
        <f t="shared" si="65"/>
        <v>1</v>
      </c>
      <c r="AF145" s="179">
        <f t="shared" si="66"/>
        <v>0.65704745068028059</v>
      </c>
      <c r="AG145" s="837">
        <f t="shared" si="74"/>
        <v>3</v>
      </c>
      <c r="AH145" s="178">
        <f t="shared" si="67"/>
        <v>9</v>
      </c>
      <c r="AI145" s="227">
        <f t="shared" si="68"/>
        <v>3.6570474506802806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46519</v>
      </c>
      <c r="B146" s="1139">
        <f>IF(t&gt;Tmaj,'2026'!Wh/'2026'!Env_an*'2027'!Env_an,0.001*[7]mois!$B$219)</f>
        <v>42.985316782417904</v>
      </c>
      <c r="C146" s="866"/>
      <c r="D146" s="395">
        <f t="shared" si="50"/>
        <v>46.315086900784706</v>
      </c>
      <c r="E146" s="387">
        <f t="shared" si="72"/>
        <v>47.717587920092996</v>
      </c>
      <c r="F146" s="387">
        <f t="shared" si="51"/>
        <v>47.730684056313507</v>
      </c>
      <c r="G146" s="110">
        <f t="shared" si="73"/>
        <v>0.74982443077221239</v>
      </c>
      <c r="H146" s="414" t="b">
        <f>Wh_hp&gt;='2026'!Maxi_hp</f>
        <v>0</v>
      </c>
      <c r="I146" s="392">
        <f>IF(H146,Wh_hp,'2026'!Maxi_hp)</f>
        <v>58.723826865317584</v>
      </c>
      <c r="J146" s="85">
        <f>IF(H146,An,'2026'!An_max)</f>
        <v>2019</v>
      </c>
      <c r="K146" s="199">
        <f t="shared" si="52"/>
        <v>46519</v>
      </c>
      <c r="L146" s="147">
        <f>IF(t&lt;Tvie,1-EXP((T0-t)*PertePVj)+'2026'!Pspv,1-EXP((T0-t)*PertePVj)+Pspv)</f>
        <v>7.1893854490649445E-2</v>
      </c>
      <c r="M146" s="870"/>
      <c r="N146" s="870"/>
      <c r="O146" s="48">
        <f>IF(t&lt;Tnet,'2026'!Resal+('2026'!Salim-'2026'!Resal)*(1-EXP(('2026'!Tnet-t)/('2026'!Tau_j))),Resal+(Salim-Resal)*(1-EXP((Tnet-t)/(Tau_j))))*Salcycl</f>
        <v>2.9391699799597729E-2</v>
      </c>
      <c r="P146" s="171">
        <f>(INDEX(Models!$BJ146:$BT146,,T146)*(1-R146)+INDEX(Models!$BJ146:$BT146,,T146+1)*R146-ERP_i)*Q146*Ramure*Pc/MaxiM</f>
        <v>4.2686456123021014E-4</v>
      </c>
      <c r="Q146" s="307">
        <f t="shared" si="53"/>
        <v>1</v>
      </c>
      <c r="R146" s="179">
        <f t="shared" si="54"/>
        <v>0.72715720046367061</v>
      </c>
      <c r="S146" s="837">
        <f t="shared" si="55"/>
        <v>-2</v>
      </c>
      <c r="T146" s="178">
        <f t="shared" si="56"/>
        <v>4</v>
      </c>
      <c r="U146" s="253">
        <f t="shared" si="57"/>
        <v>-1.2728427995363294</v>
      </c>
      <c r="V146" s="385">
        <f t="shared" si="58"/>
        <v>57.31843140122163</v>
      </c>
      <c r="W146" s="404">
        <f t="shared" si="59"/>
        <v>42.985316782417904</v>
      </c>
      <c r="X146" s="157">
        <f t="shared" si="60"/>
        <v>46519</v>
      </c>
      <c r="Y146" s="387">
        <f t="shared" si="61"/>
        <v>39.455406209837037</v>
      </c>
      <c r="Z146" s="387">
        <f t="shared" si="62"/>
        <v>42.511738986690645</v>
      </c>
      <c r="AA146" s="388">
        <f t="shared" si="63"/>
        <v>47.490824843336654</v>
      </c>
      <c r="AB146" s="199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0.10484311176045234</v>
      </c>
      <c r="AD146" s="233">
        <f>(INDEX(Models!$BJ146:$BT146,,AH146)*(1-AF146)+INDEX(Models!$BJ146:$BT146,,AH146+1)*AF146-ERP_i)*AE146*Ramure*Pc/MaxiM</f>
        <v>7.8181378064797104E-3</v>
      </c>
      <c r="AE146" s="307">
        <f t="shared" si="65"/>
        <v>1</v>
      </c>
      <c r="AF146" s="179">
        <f t="shared" si="66"/>
        <v>0.66213979338724105</v>
      </c>
      <c r="AG146" s="837">
        <f t="shared" si="74"/>
        <v>3</v>
      </c>
      <c r="AH146" s="178">
        <f t="shared" si="67"/>
        <v>9</v>
      </c>
      <c r="AI146" s="227">
        <f t="shared" si="68"/>
        <v>3.662139793387241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46520</v>
      </c>
      <c r="B147" s="1139">
        <f>IF(t&gt;Tmaj,'2026'!Wh/'2026'!Env_an*'2027'!Env_an,0.001*[7]mois!$B$220)</f>
        <v>45.865392963714413</v>
      </c>
      <c r="C147" s="866"/>
      <c r="D147" s="395">
        <f t="shared" si="50"/>
        <v>49.419412386372443</v>
      </c>
      <c r="E147" s="387">
        <f t="shared" si="72"/>
        <v>50.932954817335478</v>
      </c>
      <c r="F147" s="387">
        <f t="shared" si="51"/>
        <v>50.947388043670188</v>
      </c>
      <c r="G147" s="110">
        <f t="shared" si="73"/>
        <v>0.79878825122229313</v>
      </c>
      <c r="H147" s="414" t="b">
        <f>Wh_hp&gt;='2026'!Maxi_hp</f>
        <v>0</v>
      </c>
      <c r="I147" s="392">
        <f>IF(H147,Wh_hp,'2026'!Maxi_hp)</f>
        <v>65.24369285904416</v>
      </c>
      <c r="J147" s="85">
        <f>IF(H147,An,'2026'!An_max)</f>
        <v>2019</v>
      </c>
      <c r="K147" s="199">
        <f t="shared" si="52"/>
        <v>46520</v>
      </c>
      <c r="L147" s="147">
        <f>IF(t&lt;Tvie,1-EXP((T0-t)*PertePVj)+'2026'!Pspv,1-EXP((T0-t)*PertePVj)+Pspv)</f>
        <v>7.1915452876531227E-2</v>
      </c>
      <c r="M147" s="870"/>
      <c r="N147" s="870"/>
      <c r="O147" s="48">
        <f>IF(t&lt;Tnet,'2026'!Resal+('2026'!Salim-'2026'!Resal)*(1-EXP(('2026'!Tnet-t)/('2026'!Tau_j))),Resal+(Salim-Resal)*(1-EXP((Tnet-t)/(Tau_j))))*Salcycl</f>
        <v>2.9716368044837745E-2</v>
      </c>
      <c r="P147" s="171">
        <f>(INDEX(Models!$BJ147:$BT147,,T147)*(1-R147)+INDEX(Models!$BJ147:$BT147,,T147+1)*R147-ERP_i)*Q147*Ramure*Pc/MaxiM</f>
        <v>3.9750616233426945E-4</v>
      </c>
      <c r="Q147" s="307">
        <f t="shared" si="53"/>
        <v>1</v>
      </c>
      <c r="R147" s="179">
        <f t="shared" si="54"/>
        <v>0.73236254483930363</v>
      </c>
      <c r="S147" s="837">
        <f t="shared" si="55"/>
        <v>-2</v>
      </c>
      <c r="T147" s="178">
        <f t="shared" si="56"/>
        <v>4</v>
      </c>
      <c r="U147" s="253">
        <f t="shared" si="57"/>
        <v>-1.2676374551606964</v>
      </c>
      <c r="V147" s="385">
        <f t="shared" si="58"/>
        <v>57.41215290379175</v>
      </c>
      <c r="W147" s="404">
        <f t="shared" si="59"/>
        <v>45.865392963714413</v>
      </c>
      <c r="X147" s="157">
        <f t="shared" si="60"/>
        <v>46520</v>
      </c>
      <c r="Y147" s="387">
        <f t="shared" si="61"/>
        <v>42.092406865715091</v>
      </c>
      <c r="Z147" s="387">
        <f t="shared" si="62"/>
        <v>45.354064989205426</v>
      </c>
      <c r="AA147" s="388">
        <f t="shared" si="63"/>
        <v>50.681706052113363</v>
      </c>
      <c r="AB147" s="199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0.10511960780147778</v>
      </c>
      <c r="AD147" s="233">
        <f>(INDEX(Models!$BJ147:$BT147,,AH147)*(1-AF147)+INDEX(Models!$BJ147:$BT147,,AH147+1)*AF147-ERP_i)*AE147*Ramure*Pc/MaxiM</f>
        <v>7.3171601702889649E-3</v>
      </c>
      <c r="AE147" s="307">
        <f t="shared" si="65"/>
        <v>1</v>
      </c>
      <c r="AF147" s="179">
        <f t="shared" si="66"/>
        <v>0.66734513776287407</v>
      </c>
      <c r="AG147" s="837">
        <f t="shared" si="74"/>
        <v>3</v>
      </c>
      <c r="AH147" s="178">
        <f t="shared" si="67"/>
        <v>9</v>
      </c>
      <c r="AI147" s="227">
        <f t="shared" si="68"/>
        <v>3.6673451377628741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46521</v>
      </c>
      <c r="B148" s="1139">
        <f>IF(t&gt;Tmaj,'2026'!Wh/'2026'!Env_an*'2027'!Env_an,0.001*[7]mois!$B$221)</f>
        <v>47.269887215485319</v>
      </c>
      <c r="C148" s="866"/>
      <c r="D148" s="395">
        <f t="shared" si="50"/>
        <v>50.933923452266093</v>
      </c>
      <c r="E148" s="387">
        <f t="shared" si="72"/>
        <v>52.511458184420185</v>
      </c>
      <c r="F148" s="387">
        <f t="shared" si="51"/>
        <v>52.525997403928564</v>
      </c>
      <c r="G148" s="110">
        <f t="shared" si="73"/>
        <v>0.82198765288256426</v>
      </c>
      <c r="H148" s="414" t="b">
        <f>Wh_hp&gt;='2026'!Maxi_hp</f>
        <v>0</v>
      </c>
      <c r="I148" s="392">
        <f>IF(H148,Wh_hp,'2026'!Maxi_hp)</f>
        <v>63.602775441610461</v>
      </c>
      <c r="J148" s="85">
        <f>IF(H148,An,'2026'!An_max)</f>
        <v>2019</v>
      </c>
      <c r="K148" s="199">
        <f t="shared" si="52"/>
        <v>46521</v>
      </c>
      <c r="L148" s="147">
        <f>IF(t&lt;Tvie,1-EXP((T0-t)*PertePVj)+'2026'!Pspv,1-EXP((T0-t)*PertePVj)+Pspv)</f>
        <v>7.1937050759787069E-2</v>
      </c>
      <c r="M148" s="870"/>
      <c r="N148" s="870"/>
      <c r="O148" s="48">
        <f>IF(t&lt;Tnet,'2026'!Resal+('2026'!Salim-'2026'!Resal)*(1-EXP(('2026'!Tnet-t)/('2026'!Tau_j))),Resal+(Salim-Resal)*(1-EXP((Tnet-t)/(Tau_j))))*Salcycl</f>
        <v>3.0041723972200306E-2</v>
      </c>
      <c r="P148" s="171">
        <f>(INDEX(Models!$BJ148:$BT148,,T148)*(1-R148)+INDEX(Models!$BJ148:$BT148,,T148+1)*R148-ERP_i)*Q148*Ramure*Pc/MaxiM</f>
        <v>3.7114195957742107E-4</v>
      </c>
      <c r="Q148" s="307">
        <f t="shared" si="53"/>
        <v>1</v>
      </c>
      <c r="R148" s="179">
        <f t="shared" si="54"/>
        <v>0.73768015303114676</v>
      </c>
      <c r="S148" s="837">
        <f t="shared" si="55"/>
        <v>-2</v>
      </c>
      <c r="T148" s="178">
        <f t="shared" si="56"/>
        <v>4</v>
      </c>
      <c r="U148" s="253">
        <f t="shared" si="57"/>
        <v>-1.2623198469688532</v>
      </c>
      <c r="V148" s="385">
        <f t="shared" si="58"/>
        <v>57.501382535723998</v>
      </c>
      <c r="W148" s="404">
        <f t="shared" si="59"/>
        <v>47.269887215485319</v>
      </c>
      <c r="X148" s="157">
        <f t="shared" si="60"/>
        <v>46521</v>
      </c>
      <c r="Y148" s="387">
        <f t="shared" si="61"/>
        <v>43.387372426556176</v>
      </c>
      <c r="Z148" s="387">
        <f t="shared" si="62"/>
        <v>46.750462845302224</v>
      </c>
      <c r="AA148" s="388">
        <f t="shared" si="63"/>
        <v>52.258391195563576</v>
      </c>
      <c r="AB148" s="199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0.10539797005325616</v>
      </c>
      <c r="AD148" s="233">
        <f>(INDEX(Models!$BJ148:$BT148,,AH148)*(1-AF148)+INDEX(Models!$BJ148:$BT148,,AH148+1)*AF148-ERP_i)*AE148*Ramure*Pc/MaxiM</f>
        <v>6.8311708555207646E-3</v>
      </c>
      <c r="AE148" s="307">
        <f t="shared" si="65"/>
        <v>1</v>
      </c>
      <c r="AF148" s="179">
        <f t="shared" si="66"/>
        <v>0.67266274595471742</v>
      </c>
      <c r="AG148" s="837">
        <f t="shared" si="74"/>
        <v>3</v>
      </c>
      <c r="AH148" s="178">
        <f t="shared" si="67"/>
        <v>9</v>
      </c>
      <c r="AI148" s="227">
        <f t="shared" si="68"/>
        <v>3.6726627459547174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46522</v>
      </c>
      <c r="B149" s="1139">
        <f>IF(t&gt;Tmaj,'2026'!Wh/'2026'!Env_an*'2027'!Env_an,0.001*[7]mois!$B$222)</f>
        <v>51.132767347248546</v>
      </c>
      <c r="C149" s="866"/>
      <c r="D149" s="395">
        <f t="shared" si="50"/>
        <v>55.097509658153477</v>
      </c>
      <c r="E149" s="387">
        <f t="shared" si="72"/>
        <v>56.823099071342938</v>
      </c>
      <c r="F149" s="387">
        <f t="shared" si="51"/>
        <v>56.839702870896076</v>
      </c>
      <c r="G149" s="110">
        <f t="shared" si="73"/>
        <v>0.88790571558776643</v>
      </c>
      <c r="H149" s="414" t="b">
        <f>Wh_hp&gt;='2026'!Maxi_hp</f>
        <v>0</v>
      </c>
      <c r="I149" s="392">
        <f>IF(H149,Wh_hp,'2026'!Maxi_hp)</f>
        <v>64.554726690936292</v>
      </c>
      <c r="J149" s="85">
        <f>IF(H149,An,'2026'!An_max)</f>
        <v>2019</v>
      </c>
      <c r="K149" s="199">
        <f t="shared" si="52"/>
        <v>46522</v>
      </c>
      <c r="L149" s="147">
        <f>IF(t&lt;Tvie,1-EXP((T0-t)*PertePVj)+'2026'!Pspv,1-EXP((T0-t)*PertePVj)+Pspv)</f>
        <v>7.1958648140428627E-2</v>
      </c>
      <c r="M149" s="870"/>
      <c r="N149" s="870"/>
      <c r="O149" s="48">
        <f>IF(t&lt;Tnet,'2026'!Resal+('2026'!Salim-'2026'!Resal)*(1-EXP(('2026'!Tnet-t)/('2026'!Tau_j))),Resal+(Salim-Resal)*(1-EXP((Tnet-t)/(Tau_j))))*Salcycl</f>
        <v>3.0367745536422353E-2</v>
      </c>
      <c r="P149" s="171">
        <f>(INDEX(Models!$BJ149:$BT149,,T149)*(1-R149)+INDEX(Models!$BJ149:$BT149,,T149+1)*R149-ERP_i)*Q149*Ramure*Pc/MaxiM</f>
        <v>3.4778393444600983E-4</v>
      </c>
      <c r="Q149" s="307">
        <f t="shared" si="53"/>
        <v>1</v>
      </c>
      <c r="R149" s="179">
        <f t="shared" si="54"/>
        <v>0.74310906143220223</v>
      </c>
      <c r="S149" s="837">
        <f t="shared" si="55"/>
        <v>-2</v>
      </c>
      <c r="T149" s="178">
        <f t="shared" si="56"/>
        <v>4</v>
      </c>
      <c r="U149" s="253">
        <f t="shared" si="57"/>
        <v>-1.2568909385677978</v>
      </c>
      <c r="V149" s="385">
        <f t="shared" si="58"/>
        <v>57.584852956756905</v>
      </c>
      <c r="W149" s="404">
        <f t="shared" si="59"/>
        <v>51.132767347248546</v>
      </c>
      <c r="X149" s="157">
        <f t="shared" si="60"/>
        <v>46522</v>
      </c>
      <c r="Y149" s="387">
        <f t="shared" si="61"/>
        <v>46.92310718573593</v>
      </c>
      <c r="Z149" s="387">
        <f t="shared" si="62"/>
        <v>50.561440060524589</v>
      </c>
      <c r="AA149" s="388">
        <f t="shared" si="63"/>
        <v>56.536062716439197</v>
      </c>
      <c r="AB149" s="199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0.10567808172070221</v>
      </c>
      <c r="AD149" s="233">
        <f>(INDEX(Models!$BJ149:$BT149,,AH149)*(1-AF149)+INDEX(Models!$BJ149:$BT149,,AH149+1)*AF149-ERP_i)*AE149*Ramure*Pc/MaxiM</f>
        <v>6.3600603726177794E-3</v>
      </c>
      <c r="AE149" s="307">
        <f t="shared" si="65"/>
        <v>1</v>
      </c>
      <c r="AF149" s="179">
        <f t="shared" si="66"/>
        <v>0.6780916543557729</v>
      </c>
      <c r="AG149" s="837">
        <f t="shared" si="74"/>
        <v>3</v>
      </c>
      <c r="AH149" s="178">
        <f t="shared" si="67"/>
        <v>9</v>
      </c>
      <c r="AI149" s="227">
        <f t="shared" si="68"/>
        <v>3.6780916543557729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46523</v>
      </c>
      <c r="B150" s="1139">
        <f>IF(t&gt;Tmaj,'2026'!Wh/'2026'!Env_an*'2027'!Env_an,0.001*[7]mois!$B$223)</f>
        <v>49.838834152872003</v>
      </c>
      <c r="C150" s="866"/>
      <c r="D150" s="395">
        <f t="shared" si="50"/>
        <v>53.704497005954138</v>
      </c>
      <c r="E150" s="387">
        <f t="shared" si="72"/>
        <v>55.40512447294978</v>
      </c>
      <c r="F150" s="387">
        <f t="shared" si="51"/>
        <v>55.419759656330605</v>
      </c>
      <c r="G150" s="110">
        <f t="shared" si="73"/>
        <v>0.86428392772468376</v>
      </c>
      <c r="H150" s="414" t="b">
        <f>Wh_hp&gt;='2026'!Maxi_hp</f>
        <v>0</v>
      </c>
      <c r="I150" s="392">
        <f>IF(H150,Wh_hp,'2026'!Maxi_hp)</f>
        <v>55.423055868709312</v>
      </c>
      <c r="J150" s="85">
        <f>IF(H150,An,'2026'!An_max)</f>
        <v>2025</v>
      </c>
      <c r="K150" s="199">
        <f t="shared" si="52"/>
        <v>46523</v>
      </c>
      <c r="L150" s="147">
        <f>IF(t&lt;Tvie,1-EXP((T0-t)*PertePVj)+'2026'!Pspv,1-EXP((T0-t)*PertePVj)+Pspv)</f>
        <v>7.1980245018467559E-2</v>
      </c>
      <c r="M150" s="870"/>
      <c r="N150" s="870"/>
      <c r="O150" s="48">
        <f>IF(t&lt;Tnet,'2026'!Resal+('2026'!Salim-'2026'!Resal)*(1-EXP(('2026'!Tnet-t)/('2026'!Tau_j))),Resal+(Salim-Resal)*(1-EXP((Tnet-t)/(Tau_j))))*Salcycl</f>
        <v>3.0694407478967557E-2</v>
      </c>
      <c r="P150" s="171">
        <f>(INDEX(Models!$BJ150:$BT150,,T150)*(1-R150)+INDEX(Models!$BJ150:$BT150,,T150+1)*R150-ERP_i)*Q150*Ramure*Pc/MaxiM</f>
        <v>3.2756059474885971E-4</v>
      </c>
      <c r="Q150" s="307">
        <f t="shared" si="53"/>
        <v>1</v>
      </c>
      <c r="R150" s="179">
        <f t="shared" si="54"/>
        <v>0.74864807387777899</v>
      </c>
      <c r="S150" s="837">
        <f t="shared" si="55"/>
        <v>-2</v>
      </c>
      <c r="T150" s="178">
        <f t="shared" si="56"/>
        <v>4</v>
      </c>
      <c r="U150" s="253">
        <f t="shared" si="57"/>
        <v>-1.251351926122221</v>
      </c>
      <c r="V150" s="385">
        <f t="shared" si="58"/>
        <v>57.661224349595159</v>
      </c>
      <c r="W150" s="404">
        <f t="shared" si="59"/>
        <v>49.838834152872003</v>
      </c>
      <c r="X150" s="157">
        <f t="shared" si="60"/>
        <v>46523</v>
      </c>
      <c r="Y150" s="387">
        <f t="shared" si="61"/>
        <v>45.761612319450769</v>
      </c>
      <c r="Z150" s="387">
        <f t="shared" si="62"/>
        <v>49.311032522536571</v>
      </c>
      <c r="AA150" s="388">
        <f t="shared" si="63"/>
        <v>55.155275536595305</v>
      </c>
      <c r="AB150" s="199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0.10595981902367797</v>
      </c>
      <c r="AD150" s="233">
        <f>(INDEX(Models!$BJ150:$BT150,,AH150)*(1-AF150)+INDEX(Models!$BJ150:$BT150,,AH150+1)*AF150-ERP_i)*AE150*Ramure*Pc/MaxiM</f>
        <v>5.9196098407373506E-3</v>
      </c>
      <c r="AE150" s="307">
        <f t="shared" si="65"/>
        <v>1</v>
      </c>
      <c r="AF150" s="179">
        <f t="shared" si="66"/>
        <v>0.68363066680134921</v>
      </c>
      <c r="AG150" s="837">
        <f t="shared" si="74"/>
        <v>3</v>
      </c>
      <c r="AH150" s="178">
        <f t="shared" si="67"/>
        <v>9</v>
      </c>
      <c r="AI150" s="227">
        <f t="shared" si="68"/>
        <v>3.6836306668013492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46524</v>
      </c>
      <c r="B151" s="1139">
        <f>IF(t&gt;Tmaj,'2026'!Wh/'2026'!Env_an*'2027'!Env_an,0.001*[7]mois!$B$224)</f>
        <v>53.731651798200971</v>
      </c>
      <c r="C151" s="866"/>
      <c r="D151" s="395">
        <f t="shared" si="50"/>
        <v>57.900601741397331</v>
      </c>
      <c r="E151" s="387">
        <f t="shared" si="72"/>
        <v>59.754279971635931</v>
      </c>
      <c r="F151" s="387">
        <f t="shared" si="51"/>
        <v>59.770882600151729</v>
      </c>
      <c r="G151" s="110">
        <f t="shared" si="73"/>
        <v>0.93069705531096847</v>
      </c>
      <c r="H151" s="414" t="b">
        <f>Wh_hp&gt;='2026'!Maxi_hp</f>
        <v>0</v>
      </c>
      <c r="I151" s="392">
        <f>IF(H151,Wh_hp,'2026'!Maxi_hp)</f>
        <v>59.772588258462029</v>
      </c>
      <c r="J151" s="85">
        <f>IF(H151,An,'2026'!An_max)</f>
        <v>2025</v>
      </c>
      <c r="K151" s="199">
        <f t="shared" si="52"/>
        <v>46524</v>
      </c>
      <c r="L151" s="147">
        <f>IF(t&lt;Tvie,1-EXP((T0-t)*PertePVj)+'2026'!Pspv,1-EXP((T0-t)*PertePVj)+Pspv)</f>
        <v>7.2001841393915522E-2</v>
      </c>
      <c r="M151" s="870"/>
      <c r="N151" s="870"/>
      <c r="O151" s="48">
        <f>IF(t&lt;Tnet,'2026'!Resal+('2026'!Salim-'2026'!Resal)*(1-EXP(('2026'!Tnet-t)/('2026'!Tau_j))),Resal+(Salim-Resal)*(1-EXP((Tnet-t)/(Tau_j))))*Salcycl</f>
        <v>3.1021681310836751E-2</v>
      </c>
      <c r="P151" s="171">
        <f>(INDEX(Models!$BJ151:$BT151,,T151)*(1-R151)+INDEX(Models!$BJ151:$BT151,,T151+1)*R151-ERP_i)*Q151*Ramure*Pc/MaxiM</f>
        <v>3.0827965258878868E-4</v>
      </c>
      <c r="Q151" s="307">
        <f t="shared" si="53"/>
        <v>1</v>
      </c>
      <c r="R151" s="179">
        <f t="shared" si="54"/>
        <v>0.75429575558174222</v>
      </c>
      <c r="S151" s="837">
        <f t="shared" si="55"/>
        <v>-2</v>
      </c>
      <c r="T151" s="178">
        <f t="shared" si="56"/>
        <v>4</v>
      </c>
      <c r="U151" s="253">
        <f t="shared" si="57"/>
        <v>-1.2457042444182578</v>
      </c>
      <c r="V151" s="385">
        <f t="shared" si="58"/>
        <v>57.730935931765174</v>
      </c>
      <c r="W151" s="404">
        <f t="shared" si="59"/>
        <v>53.731651798200971</v>
      </c>
      <c r="X151" s="157">
        <f t="shared" si="60"/>
        <v>46524</v>
      </c>
      <c r="Y151" s="387">
        <f t="shared" si="61"/>
        <v>49.328070938932164</v>
      </c>
      <c r="Z151" s="387">
        <f t="shared" si="62"/>
        <v>53.155354330687722</v>
      </c>
      <c r="AA151" s="388">
        <f t="shared" si="63"/>
        <v>59.474059935453681</v>
      </c>
      <c r="AB151" s="199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0.10624305136766442</v>
      </c>
      <c r="AD151" s="233">
        <f>(INDEX(Models!$BJ151:$BT151,,AH151)*(1-AF151)+INDEX(Models!$BJ151:$BT151,,AH151+1)*AF151-ERP_i)*AE151*Ramure*Pc/MaxiM</f>
        <v>5.5114398221047687E-3</v>
      </c>
      <c r="AE151" s="307">
        <f t="shared" si="65"/>
        <v>1</v>
      </c>
      <c r="AF151" s="179">
        <f t="shared" si="66"/>
        <v>0.68927834850531244</v>
      </c>
      <c r="AG151" s="837">
        <f t="shared" si="74"/>
        <v>3</v>
      </c>
      <c r="AH151" s="178">
        <f t="shared" si="67"/>
        <v>9</v>
      </c>
      <c r="AI151" s="227">
        <f t="shared" si="68"/>
        <v>3.6892783485053124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46525</v>
      </c>
      <c r="B152" s="1139">
        <f>IF(t&gt;Tmaj,'2026'!Wh/'2026'!Env_an*'2027'!Env_an,0.001*[7]mois!$B$225)</f>
        <v>52.283243775634411</v>
      </c>
      <c r="C152" s="866"/>
      <c r="D152" s="395">
        <f t="shared" si="50"/>
        <v>56.341125277606118</v>
      </c>
      <c r="E152" s="387">
        <f t="shared" si="72"/>
        <v>58.164557114683056</v>
      </c>
      <c r="F152" s="387">
        <f t="shared" si="51"/>
        <v>58.179127385637194</v>
      </c>
      <c r="G152" s="110">
        <f t="shared" si="73"/>
        <v>0.90460784745680589</v>
      </c>
      <c r="H152" s="414" t="b">
        <f>Wh_hp&gt;='2026'!Maxi_hp</f>
        <v>0</v>
      </c>
      <c r="I152" s="392">
        <f>IF(H152,Wh_hp,'2026'!Maxi_hp)</f>
        <v>64.833198802654493</v>
      </c>
      <c r="J152" s="85">
        <f>IF(H152,An,'2026'!An_max)</f>
        <v>2020</v>
      </c>
      <c r="K152" s="199">
        <f t="shared" si="52"/>
        <v>46525</v>
      </c>
      <c r="L152" s="147">
        <f>IF(t&lt;Tvie,1-EXP((T0-t)*PertePVj)+'2026'!Pspv,1-EXP((T0-t)*PertePVj)+Pspv)</f>
        <v>7.2023437266784396E-2</v>
      </c>
      <c r="M152" s="870"/>
      <c r="N152" s="870"/>
      <c r="O152" s="48">
        <f>IF(t&lt;Tnet,'2026'!Resal+('2026'!Salim-'2026'!Resal)*(1-EXP(('2026'!Tnet-t)/('2026'!Tau_j))),Resal+(Salim-Resal)*(1-EXP((Tnet-t)/(Tau_j))))*Salcycl</f>
        <v>3.1349535310338156E-2</v>
      </c>
      <c r="P152" s="171">
        <f>(INDEX(Models!$BJ152:$BT152,,T152)*(1-R152)+INDEX(Models!$BJ152:$BT152,,T152+1)*R152-ERP_i)*Q152*Ramure*Pc/MaxiM</f>
        <v>2.8993391158366579E-4</v>
      </c>
      <c r="Q152" s="307">
        <f t="shared" si="53"/>
        <v>1</v>
      </c>
      <c r="R152" s="179">
        <f t="shared" si="54"/>
        <v>0.76005042789528221</v>
      </c>
      <c r="S152" s="837">
        <f t="shared" si="55"/>
        <v>-2</v>
      </c>
      <c r="T152" s="178">
        <f t="shared" si="56"/>
        <v>4</v>
      </c>
      <c r="U152" s="253">
        <f t="shared" si="57"/>
        <v>-1.2399495721047178</v>
      </c>
      <c r="V152" s="385">
        <f t="shared" si="58"/>
        <v>57.79430107415358</v>
      </c>
      <c r="W152" s="404">
        <f t="shared" si="59"/>
        <v>52.283243775634411</v>
      </c>
      <c r="X152" s="157">
        <f t="shared" si="60"/>
        <v>46525</v>
      </c>
      <c r="Y152" s="387">
        <f t="shared" si="61"/>
        <v>48.023587637002493</v>
      </c>
      <c r="Z152" s="387">
        <f t="shared" si="62"/>
        <v>51.750862646311049</v>
      </c>
      <c r="AA152" s="388">
        <f t="shared" si="63"/>
        <v>57.921056154805299</v>
      </c>
      <c r="AB152" s="199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0.1065276415541043</v>
      </c>
      <c r="AD152" s="233">
        <f>(INDEX(Models!$BJ152:$BT152,,AH152)*(1-AF152)+INDEX(Models!$BJ152:$BT152,,AH152+1)*AF152-ERP_i)*AE152*Ramure*Pc/MaxiM</f>
        <v>5.1353610140687615E-3</v>
      </c>
      <c r="AE152" s="307">
        <f t="shared" si="65"/>
        <v>1</v>
      </c>
      <c r="AF152" s="179">
        <f t="shared" si="66"/>
        <v>0.69503302081885243</v>
      </c>
      <c r="AG152" s="837">
        <f t="shared" si="74"/>
        <v>3</v>
      </c>
      <c r="AH152" s="178">
        <f t="shared" si="67"/>
        <v>9</v>
      </c>
      <c r="AI152" s="227">
        <f t="shared" si="68"/>
        <v>3.6950330208188524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46526</v>
      </c>
      <c r="B153" s="1139">
        <f>IF(t&gt;Tmaj,'2026'!Wh/'2026'!Env_an*'2027'!Env_an,0.001*[7]mois!$B$226)</f>
        <v>54.184981133610712</v>
      </c>
      <c r="C153" s="866"/>
      <c r="D153" s="395">
        <f t="shared" si="50"/>
        <v>58.391821844108399</v>
      </c>
      <c r="E153" s="387">
        <f t="shared" si="72"/>
        <v>60.302066767593239</v>
      </c>
      <c r="F153" s="387">
        <f t="shared" si="51"/>
        <v>60.317015919408597</v>
      </c>
      <c r="G153" s="110">
        <f t="shared" si="73"/>
        <v>0.93659661933218519</v>
      </c>
      <c r="H153" s="414" t="b">
        <f>Wh_hp&gt;='2026'!Maxi_hp</f>
        <v>0</v>
      </c>
      <c r="I153" s="392">
        <f>IF(H153,Wh_hp,'2026'!Maxi_hp)</f>
        <v>63.754093188120109</v>
      </c>
      <c r="J153" s="85">
        <f>IF(H153,An,'2026'!An_max)</f>
        <v>2020</v>
      </c>
      <c r="K153" s="199">
        <f t="shared" si="52"/>
        <v>46526</v>
      </c>
      <c r="L153" s="147">
        <f>IF(t&lt;Tvie,1-EXP((T0-t)*PertePVj)+'2026'!Pspv,1-EXP((T0-t)*PertePVj)+Pspv)</f>
        <v>7.2045032637085726E-2</v>
      </c>
      <c r="M153" s="870"/>
      <c r="N153" s="870"/>
      <c r="O153" s="48">
        <f>IF(t&lt;Tnet,'2026'!Resal+('2026'!Salim-'2026'!Resal)*(1-EXP(('2026'!Tnet-t)/('2026'!Tau_j))),Resal+(Salim-Resal)*(1-EXP((Tnet-t)/(Tau_j))))*Salcycl</f>
        <v>3.1677934536589104E-2</v>
      </c>
      <c r="P153" s="171">
        <f>(INDEX(Models!$BJ153:$BT153,,T153)*(1-R153)+INDEX(Models!$BJ153:$BT153,,T153+1)*R153-ERP_i)*Q153*Ramure*Pc/MaxiM</f>
        <v>2.7251765734133415E-4</v>
      </c>
      <c r="Q153" s="307">
        <f t="shared" si="53"/>
        <v>1</v>
      </c>
      <c r="R153" s="179">
        <f t="shared" si="54"/>
        <v>0.76591016396949718</v>
      </c>
      <c r="S153" s="837">
        <f t="shared" si="55"/>
        <v>-2</v>
      </c>
      <c r="T153" s="178">
        <f t="shared" si="56"/>
        <v>4</v>
      </c>
      <c r="U153" s="253">
        <f t="shared" si="57"/>
        <v>-1.2340898360305028</v>
      </c>
      <c r="V153" s="385">
        <f t="shared" si="58"/>
        <v>57.851632911538509</v>
      </c>
      <c r="W153" s="404">
        <f t="shared" si="59"/>
        <v>54.184981133610712</v>
      </c>
      <c r="X153" s="157">
        <f t="shared" si="60"/>
        <v>46526</v>
      </c>
      <c r="Y153" s="387">
        <f t="shared" si="61"/>
        <v>49.775128710207937</v>
      </c>
      <c r="Z153" s="387">
        <f t="shared" si="62"/>
        <v>53.639595089037726</v>
      </c>
      <c r="AA153" s="388">
        <f t="shared" si="63"/>
        <v>60.054190080096575</v>
      </c>
      <c r="AB153" s="199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0.10681344603105057</v>
      </c>
      <c r="AD153" s="233">
        <f>(INDEX(Models!$BJ153:$BT153,,AH153)*(1-AF153)+INDEX(Models!$BJ153:$BT153,,AH153+1)*AF153-ERP_i)*AE153*Ramure*Pc/MaxiM</f>
        <v>4.791220458707517E-3</v>
      </c>
      <c r="AE153" s="307">
        <f t="shared" si="65"/>
        <v>1</v>
      </c>
      <c r="AF153" s="179">
        <f t="shared" si="66"/>
        <v>0.70089275689306785</v>
      </c>
      <c r="AG153" s="837">
        <f t="shared" si="74"/>
        <v>3</v>
      </c>
      <c r="AH153" s="178">
        <f t="shared" si="67"/>
        <v>9</v>
      </c>
      <c r="AI153" s="227">
        <f t="shared" si="68"/>
        <v>3.7008927568930678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46527</v>
      </c>
      <c r="B154" s="1139">
        <f>IF(t&gt;Tmaj,'2026'!Wh/'2026'!Env_an*'2027'!Env_an,0.001*[7]mois!$B$227)</f>
        <v>47.189045349546731</v>
      </c>
      <c r="C154" s="866"/>
      <c r="D154" s="395">
        <f t="shared" si="50"/>
        <v>50.853915537769296</v>
      </c>
      <c r="E154" s="387">
        <f t="shared" si="72"/>
        <v>52.53540798048568</v>
      </c>
      <c r="F154" s="387">
        <f t="shared" si="51"/>
        <v>52.545304844818077</v>
      </c>
      <c r="G154" s="110">
        <f t="shared" si="73"/>
        <v>0.81490858861863713</v>
      </c>
      <c r="H154" s="414" t="b">
        <f>Wh_hp&gt;='2026'!Maxi_hp</f>
        <v>0</v>
      </c>
      <c r="I154" s="392">
        <f>IF(H154,Wh_hp,'2026'!Maxi_hp)</f>
        <v>63.57811157089013</v>
      </c>
      <c r="J154" s="85">
        <f>IF(H154,An,'2026'!An_max)</f>
        <v>2021</v>
      </c>
      <c r="K154" s="199">
        <f t="shared" si="52"/>
        <v>46527</v>
      </c>
      <c r="L154" s="147">
        <f>IF(t&lt;Tvie,1-EXP((T0-t)*PertePVj)+'2026'!Pspv,1-EXP((T0-t)*PertePVj)+Pspv)</f>
        <v>7.2066627504831171E-2</v>
      </c>
      <c r="M154" s="870"/>
      <c r="N154" s="870"/>
      <c r="O154" s="48">
        <f>IF(t&lt;Tnet,'2026'!Resal+('2026'!Salim-'2026'!Resal)*(1-EXP(('2026'!Tnet-t)/('2026'!Tau_j))),Resal+(Salim-Resal)*(1-EXP((Tnet-t)/(Tau_j))))*Salcycl</f>
        <v>3.2006840859425123E-2</v>
      </c>
      <c r="P154" s="171">
        <f>(INDEX(Models!$BJ154:$BT154,,T154)*(1-R154)+INDEX(Models!$BJ154:$BT154,,T154+1)*R154-ERP_i)*Q154*Ramure*Pc/MaxiM</f>
        <v>2.5602659429626944E-4</v>
      </c>
      <c r="Q154" s="307">
        <f t="shared" si="53"/>
        <v>1</v>
      </c>
      <c r="R154" s="179">
        <f t="shared" si="54"/>
        <v>0.77187278540022208</v>
      </c>
      <c r="S154" s="837">
        <f t="shared" si="55"/>
        <v>-2</v>
      </c>
      <c r="T154" s="178">
        <f t="shared" si="56"/>
        <v>4</v>
      </c>
      <c r="U154" s="253">
        <f t="shared" si="57"/>
        <v>-1.2281272145997779</v>
      </c>
      <c r="V154" s="385">
        <f t="shared" si="58"/>
        <v>57.903244331559399</v>
      </c>
      <c r="W154" s="404">
        <f t="shared" si="59"/>
        <v>47.189045349546731</v>
      </c>
      <c r="X154" s="157">
        <f t="shared" si="60"/>
        <v>46527</v>
      </c>
      <c r="Y154" s="387">
        <f t="shared" si="61"/>
        <v>43.393035817862817</v>
      </c>
      <c r="Z154" s="387">
        <f t="shared" si="62"/>
        <v>46.763094316977742</v>
      </c>
      <c r="AA154" s="388">
        <f t="shared" si="63"/>
        <v>52.372170258562591</v>
      </c>
      <c r="AB154" s="199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0.10710031518443318</v>
      </c>
      <c r="AD154" s="233">
        <f>(INDEX(Models!$BJ154:$BT154,,AH154)*(1-AF154)+INDEX(Models!$BJ154:$BT154,,AH154+1)*AF154-ERP_i)*AE154*Ramure*Pc/MaxiM</f>
        <v>4.478899274063709E-3</v>
      </c>
      <c r="AE154" s="307">
        <f t="shared" si="65"/>
        <v>1</v>
      </c>
      <c r="AF154" s="179">
        <f t="shared" si="66"/>
        <v>0.70685537832379275</v>
      </c>
      <c r="AG154" s="837">
        <f t="shared" si="74"/>
        <v>3</v>
      </c>
      <c r="AH154" s="178">
        <f t="shared" si="67"/>
        <v>9</v>
      </c>
      <c r="AI154" s="227">
        <f t="shared" si="68"/>
        <v>3.7068553783237927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46528</v>
      </c>
      <c r="B155" s="1139">
        <f>IF(t&gt;Tmaj,'2026'!Wh/'2026'!Env_an*'2027'!Env_an,0.001*[7]mois!$B$228)</f>
        <v>47.873518092470903</v>
      </c>
      <c r="C155" s="866"/>
      <c r="D155" s="395">
        <f t="shared" si="50"/>
        <v>51.592747522777458</v>
      </c>
      <c r="E155" s="387">
        <f t="shared" si="72"/>
        <v>53.316811289449092</v>
      </c>
      <c r="F155" s="387">
        <f t="shared" si="51"/>
        <v>53.326448976856419</v>
      </c>
      <c r="G155" s="110">
        <f t="shared" si="73"/>
        <v>0.82607617278991663</v>
      </c>
      <c r="H155" s="414" t="b">
        <f>Wh_hp&gt;='2026'!Maxi_hp</f>
        <v>0</v>
      </c>
      <c r="I155" s="392">
        <f>IF(H155,Wh_hp,'2026'!Maxi_hp)</f>
        <v>62.178708912121074</v>
      </c>
      <c r="J155" s="85">
        <f>IF(H155,An,'2026'!An_max)</f>
        <v>2020</v>
      </c>
      <c r="K155" s="199">
        <f t="shared" si="52"/>
        <v>46528</v>
      </c>
      <c r="L155" s="147">
        <f>IF(t&lt;Tvie,1-EXP((T0-t)*PertePVj)+'2026'!Pspv,1-EXP((T0-t)*PertePVj)+Pspv)</f>
        <v>7.2088221870032609E-2</v>
      </c>
      <c r="M155" s="870"/>
      <c r="N155" s="870"/>
      <c r="O155" s="48">
        <f>IF(t&lt;Tnet,'2026'!Resal+('2026'!Salim-'2026'!Resal)*(1-EXP(('2026'!Tnet-t)/('2026'!Tau_j))),Resal+(Salim-Resal)*(1-EXP((Tnet-t)/(Tau_j))))*Salcycl</f>
        <v>3.2336213006286973E-2</v>
      </c>
      <c r="P155" s="171">
        <f>(INDEX(Models!$BJ155:$BT155,,T155)*(1-R155)+INDEX(Models!$BJ155:$BT155,,T155+1)*R155-ERP_i)*Q155*Ramure*Pc/MaxiM</f>
        <v>2.4045778356724569E-4</v>
      </c>
      <c r="Q155" s="307">
        <f t="shared" si="53"/>
        <v>1</v>
      </c>
      <c r="R155" s="179">
        <f t="shared" si="54"/>
        <v>0.77793585992954206</v>
      </c>
      <c r="S155" s="837">
        <f t="shared" si="55"/>
        <v>-2</v>
      </c>
      <c r="T155" s="178">
        <f t="shared" si="56"/>
        <v>4</v>
      </c>
      <c r="U155" s="253">
        <f t="shared" si="57"/>
        <v>-1.2220641400704579</v>
      </c>
      <c r="V155" s="385">
        <f t="shared" si="58"/>
        <v>57.949447970711454</v>
      </c>
      <c r="W155" s="404">
        <f t="shared" si="59"/>
        <v>47.873518092470903</v>
      </c>
      <c r="X155" s="157">
        <f t="shared" si="60"/>
        <v>46528</v>
      </c>
      <c r="Y155" s="387">
        <f t="shared" si="61"/>
        <v>44.029063895462038</v>
      </c>
      <c r="Z155" s="387">
        <f t="shared" si="62"/>
        <v>47.449622833966373</v>
      </c>
      <c r="AA155" s="388">
        <f t="shared" si="63"/>
        <v>53.158178260306542</v>
      </c>
      <c r="AB155" s="199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0.10738809366992123</v>
      </c>
      <c r="AD155" s="233">
        <f>(INDEX(Models!$BJ155:$BT155,,AH155)*(1-AF155)+INDEX(Models!$BJ155:$BT155,,AH155+1)*AF155-ERP_i)*AE155*Ramure*Pc/MaxiM</f>
        <v>4.1983104276767311E-3</v>
      </c>
      <c r="AE155" s="307">
        <f t="shared" si="65"/>
        <v>1</v>
      </c>
      <c r="AF155" s="179">
        <f t="shared" si="66"/>
        <v>0.71291845285311251</v>
      </c>
      <c r="AG155" s="837">
        <f t="shared" si="74"/>
        <v>3</v>
      </c>
      <c r="AH155" s="178">
        <f t="shared" si="67"/>
        <v>9</v>
      </c>
      <c r="AI155" s="227">
        <f t="shared" si="68"/>
        <v>3.7129184528531125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46529</v>
      </c>
      <c r="B156" s="1139">
        <f>IF(t&gt;Tmaj,'2026'!Wh/'2026'!Env_an*'2027'!Env_an,0.001*[7]mois!$B$229)</f>
        <v>34.016973960259271</v>
      </c>
      <c r="C156" s="866"/>
      <c r="D156" s="395">
        <f t="shared" si="50"/>
        <v>36.660560201011847</v>
      </c>
      <c r="E156" s="387">
        <f t="shared" si="72"/>
        <v>37.898554637951406</v>
      </c>
      <c r="F156" s="387">
        <f t="shared" si="51"/>
        <v>37.902066499270852</v>
      </c>
      <c r="G156" s="110">
        <f t="shared" si="73"/>
        <v>0.58651694838491542</v>
      </c>
      <c r="H156" s="414" t="b">
        <f>Wh_hp&gt;='2026'!Maxi_hp</f>
        <v>0</v>
      </c>
      <c r="I156" s="392">
        <f>IF(H156,Wh_hp,'2026'!Maxi_hp)</f>
        <v>63.08837322256813</v>
      </c>
      <c r="J156" s="85">
        <f>IF(H156,An,'2026'!An_max)</f>
        <v>2019</v>
      </c>
      <c r="K156" s="199">
        <f t="shared" si="52"/>
        <v>46529</v>
      </c>
      <c r="L156" s="147">
        <f>IF(t&lt;Tvie,1-EXP((T0-t)*PertePVj)+'2026'!Pspv,1-EXP((T0-t)*PertePVj)+Pspv)</f>
        <v>7.2109815732701477E-2</v>
      </c>
      <c r="M156" s="870"/>
      <c r="N156" s="870"/>
      <c r="O156" s="48">
        <f>IF(t&lt;Tnet,'2026'!Resal+('2026'!Salim-'2026'!Resal)*(1-EXP(('2026'!Tnet-t)/('2026'!Tau_j))),Resal+(Salim-Resal)*(1-EXP((Tnet-t)/(Tau_j))))*Salcycl</f>
        <v>3.2666006626538575E-2</v>
      </c>
      <c r="P156" s="171">
        <f>(INDEX(Models!$BJ156:$BT156,,T156)*(1-R156)+INDEX(Models!$BJ156:$BT156,,T156+1)*R156-ERP_i)*Q156*Ramure*Pc/MaxiM</f>
        <v>2.2630979918207453E-4</v>
      </c>
      <c r="Q156" s="307">
        <f t="shared" si="53"/>
        <v>1</v>
      </c>
      <c r="R156" s="179">
        <f t="shared" si="54"/>
        <v>0.7840967002733199</v>
      </c>
      <c r="S156" s="837">
        <f t="shared" si="55"/>
        <v>-2</v>
      </c>
      <c r="T156" s="178">
        <f t="shared" si="56"/>
        <v>4</v>
      </c>
      <c r="U156" s="253">
        <f t="shared" si="57"/>
        <v>-1.2159032997266801</v>
      </c>
      <c r="V156" s="385">
        <f t="shared" si="58"/>
        <v>57.990527198737333</v>
      </c>
      <c r="W156" s="404">
        <f t="shared" si="59"/>
        <v>34.016973960259271</v>
      </c>
      <c r="X156" s="157">
        <f t="shared" si="60"/>
        <v>46529</v>
      </c>
      <c r="Y156" s="387">
        <f t="shared" si="61"/>
        <v>31.331312677816992</v>
      </c>
      <c r="Z156" s="387">
        <f t="shared" si="62"/>
        <v>33.7661861382417</v>
      </c>
      <c r="AA156" s="388">
        <f t="shared" si="63"/>
        <v>37.840750253509015</v>
      </c>
      <c r="AB156" s="199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0.10767662078500881</v>
      </c>
      <c r="AD156" s="233">
        <f>(INDEX(Models!$BJ156:$BT156,,AH156)*(1-AF156)+INDEX(Models!$BJ156:$BT156,,AH156+1)*AF156-ERP_i)*AE156*Ramure*Pc/MaxiM</f>
        <v>3.9513141330854333E-3</v>
      </c>
      <c r="AE156" s="307">
        <f t="shared" si="65"/>
        <v>1</v>
      </c>
      <c r="AF156" s="179">
        <f t="shared" si="66"/>
        <v>0.71907929319689057</v>
      </c>
      <c r="AG156" s="837">
        <f t="shared" si="74"/>
        <v>3</v>
      </c>
      <c r="AH156" s="178">
        <f t="shared" si="67"/>
        <v>9</v>
      </c>
      <c r="AI156" s="227">
        <f t="shared" si="68"/>
        <v>3.7190792931968906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46530</v>
      </c>
      <c r="B157" s="1139">
        <f>IF(t&gt;Tmaj,'2026'!Wh/'2026'!Env_an*'2027'!Env_an,0.001*[7]mois!$B$230)</f>
        <v>17.553911457960279</v>
      </c>
      <c r="C157" s="866"/>
      <c r="D157" s="395">
        <f t="shared" si="50"/>
        <v>18.918531815801988</v>
      </c>
      <c r="E157" s="387">
        <f t="shared" si="72"/>
        <v>19.564071324687827</v>
      </c>
      <c r="F157" s="387">
        <f t="shared" si="51"/>
        <v>19.56408626695006</v>
      </c>
      <c r="G157" s="110">
        <f t="shared" si="73"/>
        <v>0.30244951383896124</v>
      </c>
      <c r="H157" s="414" t="b">
        <f>Wh_hp&gt;='2026'!Maxi_hp</f>
        <v>0</v>
      </c>
      <c r="I157" s="392">
        <f>IF(H157,Wh_hp,'2026'!Maxi_hp)</f>
        <v>57.176818430303342</v>
      </c>
      <c r="J157" s="85">
        <f>IF(H157,An,'2026'!An_max)</f>
        <v>2020</v>
      </c>
      <c r="K157" s="199">
        <f t="shared" si="52"/>
        <v>46530</v>
      </c>
      <c r="L157" s="147">
        <f>IF(t&lt;Tvie,1-EXP((T0-t)*PertePVj)+'2026'!Pspv,1-EXP((T0-t)*PertePVj)+Pspv)</f>
        <v>7.2131409092849763E-2</v>
      </c>
      <c r="M157" s="870"/>
      <c r="N157" s="870"/>
      <c r="O157" s="48">
        <f>IF(t&lt;Tnet,'2026'!Resal+('2026'!Salim-'2026'!Resal)*(1-EXP(('2026'!Tnet-t)/('2026'!Tau_j))),Resal+(Salim-Resal)*(1-EXP((Tnet-t)/(Tau_j))))*Salcycl</f>
        <v>3.2996174373543352E-2</v>
      </c>
      <c r="P157" s="171">
        <f>(INDEX(Models!$BJ157:$BT157,,T157)*(1-R157)+INDEX(Models!$BJ157:$BT157,,T157+1)*R157-ERP_i)*Q157*Ramure*Pc/MaxiM</f>
        <v>2.1269351411837609E-4</v>
      </c>
      <c r="Q157" s="307">
        <f t="shared" si="53"/>
        <v>1</v>
      </c>
      <c r="R157" s="179">
        <f t="shared" si="54"/>
        <v>0.79035236413780119</v>
      </c>
      <c r="S157" s="837">
        <f t="shared" si="55"/>
        <v>-2</v>
      </c>
      <c r="T157" s="178">
        <f t="shared" si="56"/>
        <v>4</v>
      </c>
      <c r="U157" s="253">
        <f t="shared" si="57"/>
        <v>-1.2096476358621988</v>
      </c>
      <c r="V157" s="385">
        <f t="shared" si="58"/>
        <v>58.026845658348648</v>
      </c>
      <c r="W157" s="404">
        <f t="shared" si="59"/>
        <v>17.553911457960279</v>
      </c>
      <c r="X157" s="157">
        <f t="shared" si="60"/>
        <v>46530</v>
      </c>
      <c r="Y157" s="387">
        <f t="shared" si="61"/>
        <v>16.192793471621105</v>
      </c>
      <c r="Z157" s="387">
        <f t="shared" si="62"/>
        <v>17.451602123733792</v>
      </c>
      <c r="AA157" s="388">
        <f t="shared" si="63"/>
        <v>19.563824763102001</v>
      </c>
      <c r="AB157" s="199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0.10796573088059587</v>
      </c>
      <c r="AD157" s="233">
        <f>(INDEX(Models!$BJ157:$BT157,,AH157)*(1-AF157)+INDEX(Models!$BJ157:$BT157,,AH157+1)*AF157-ERP_i)*AE157*Ramure*Pc/MaxiM</f>
        <v>3.7223394644677918E-3</v>
      </c>
      <c r="AE157" s="307">
        <f t="shared" si="65"/>
        <v>1</v>
      </c>
      <c r="AF157" s="179">
        <f t="shared" si="66"/>
        <v>0.72533495706137163</v>
      </c>
      <c r="AG157" s="837">
        <f t="shared" si="74"/>
        <v>3</v>
      </c>
      <c r="AH157" s="178">
        <f t="shared" si="67"/>
        <v>9</v>
      </c>
      <c r="AI157" s="227">
        <f t="shared" si="68"/>
        <v>3.7253349570613716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46531</v>
      </c>
      <c r="B158" s="1139">
        <f>IF(t&gt;Tmaj,'2026'!Wh/'2026'!Env_an*'2027'!Env_an,0.001*[7]mois!$B$231)</f>
        <v>14.624938985806578</v>
      </c>
      <c r="C158" s="866"/>
      <c r="D158" s="395">
        <f t="shared" si="50"/>
        <v>15.762231290881616</v>
      </c>
      <c r="E158" s="387">
        <f t="shared" si="72"/>
        <v>16.305644043924882</v>
      </c>
      <c r="F158" s="387">
        <f t="shared" si="51"/>
        <v>16.305644043924882</v>
      </c>
      <c r="G158" s="110">
        <f t="shared" si="73"/>
        <v>0.25184883348405468</v>
      </c>
      <c r="H158" s="414" t="b">
        <f>Wh_hp&gt;='2026'!Maxi_hp</f>
        <v>0</v>
      </c>
      <c r="I158" s="392">
        <f>IF(H158,Wh_hp,'2026'!Maxi_hp)</f>
        <v>28.621272020184886</v>
      </c>
      <c r="J158" s="85">
        <f>IF(H158,An,'2026'!An_max)</f>
        <v>2021</v>
      </c>
      <c r="K158" s="199">
        <f t="shared" si="52"/>
        <v>46531</v>
      </c>
      <c r="L158" s="147">
        <f>IF(t&lt;Tvie,1-EXP((T0-t)*PertePVj)+'2026'!Pspv,1-EXP((T0-t)*PertePVj)+Pspv)</f>
        <v>7.2153001950488904E-2</v>
      </c>
      <c r="M158" s="870"/>
      <c r="N158" s="870"/>
      <c r="O158" s="48">
        <f>IF(t&lt;Tnet,'2026'!Resal+('2026'!Salim-'2026'!Resal)*(1-EXP(('2026'!Tnet-t)/('2026'!Tau_j))),Resal+(Salim-Resal)*(1-EXP((Tnet-t)/(Tau_j))))*Salcycl</f>
        <v>3.3326666004691238E-2</v>
      </c>
      <c r="P158" s="171">
        <f>(INDEX(Models!$BJ158:$BT158,,T158)*(1-R158)+INDEX(Models!$BJ158:$BT158,,T158+1)*R158-ERP_i)*Q158*Ramure*Pc/MaxiM</f>
        <v>1.9960507833020907E-4</v>
      </c>
      <c r="Q158" s="307">
        <f t="shared" si="53"/>
        <v>1</v>
      </c>
      <c r="R158" s="179">
        <f t="shared" si="54"/>
        <v>0.79669965548096267</v>
      </c>
      <c r="S158" s="837">
        <f t="shared" si="55"/>
        <v>-2</v>
      </c>
      <c r="T158" s="178">
        <f t="shared" si="56"/>
        <v>4</v>
      </c>
      <c r="U158" s="253">
        <f t="shared" si="57"/>
        <v>-1.2033003445190373</v>
      </c>
      <c r="V158" s="385">
        <f t="shared" si="58"/>
        <v>58.058715505785756</v>
      </c>
      <c r="W158" s="404">
        <f t="shared" si="59"/>
        <v>14.624938985806578</v>
      </c>
      <c r="X158" s="157">
        <f t="shared" si="60"/>
        <v>46531</v>
      </c>
      <c r="Y158" s="387">
        <f t="shared" si="61"/>
        <v>13.491333675282061</v>
      </c>
      <c r="Z158" s="387">
        <f t="shared" si="62"/>
        <v>14.540472409398415</v>
      </c>
      <c r="AA158" s="388">
        <f t="shared" si="63"/>
        <v>16.305644043924882</v>
      </c>
      <c r="AB158" s="199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0.10825525381097292</v>
      </c>
      <c r="AD158" s="233">
        <f>(INDEX(Models!$BJ158:$BT158,,AH158)*(1-AF158)+INDEX(Models!$BJ158:$BT158,,AH158+1)*AF158-ERP_i)*AE158*Ramure*Pc/MaxiM</f>
        <v>3.5113676780834813E-3</v>
      </c>
      <c r="AE158" s="307">
        <f t="shared" si="65"/>
        <v>1</v>
      </c>
      <c r="AF158" s="179">
        <f t="shared" si="66"/>
        <v>0.73168224840453311</v>
      </c>
      <c r="AG158" s="837">
        <f t="shared" si="74"/>
        <v>3</v>
      </c>
      <c r="AH158" s="178">
        <f t="shared" si="67"/>
        <v>9</v>
      </c>
      <c r="AI158" s="227">
        <f t="shared" si="68"/>
        <v>3.7316822484045331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46532</v>
      </c>
      <c r="B159" s="1139">
        <f>IF(t&gt;Tmaj,'2026'!Wh/'2026'!Env_an*'2027'!Env_an,0.001*[7]mois!$B$232)</f>
        <v>40.685886908572819</v>
      </c>
      <c r="C159" s="866"/>
      <c r="D159" s="395">
        <f t="shared" si="50"/>
        <v>43.850800655888669</v>
      </c>
      <c r="E159" s="387">
        <f t="shared" si="72"/>
        <v>45.378111188660064</v>
      </c>
      <c r="F159" s="387">
        <f t="shared" si="51"/>
        <v>45.382967089765003</v>
      </c>
      <c r="G159" s="110">
        <f t="shared" si="73"/>
        <v>0.7003807410735492</v>
      </c>
      <c r="H159" s="414" t="b">
        <f>Wh_hp&gt;='2026'!Maxi_hp</f>
        <v>0</v>
      </c>
      <c r="I159" s="392">
        <f>IF(H159,Wh_hp,'2026'!Maxi_hp)</f>
        <v>59.3893737120083</v>
      </c>
      <c r="J159" s="85">
        <f>IF(H159,An,'2026'!An_max)</f>
        <v>2020</v>
      </c>
      <c r="K159" s="199">
        <f t="shared" si="52"/>
        <v>46532</v>
      </c>
      <c r="L159" s="147">
        <f>IF(t&lt;Tvie,1-EXP((T0-t)*PertePVj)+'2026'!Pspv,1-EXP((T0-t)*PertePVj)+Pspv)</f>
        <v>7.2174594305630779E-2</v>
      </c>
      <c r="M159" s="870"/>
      <c r="N159" s="870"/>
      <c r="O159" s="48">
        <f>IF(t&lt;Tnet,'2026'!Resal+('2026'!Salim-'2026'!Resal)*(1-EXP(('2026'!Tnet-t)/('2026'!Tau_j))),Resal+(Salim-Resal)*(1-EXP((Tnet-t)/(Tau_j))))*Salcycl</f>
        <v>3.3657428499427412E-2</v>
      </c>
      <c r="P159" s="171">
        <f>(INDEX(Models!$BJ159:$BT159,,T159)*(1-R159)+INDEX(Models!$BJ159:$BT159,,T159+1)*R159-ERP_i)*Q159*Ramure*Pc/MaxiM</f>
        <v>1.8704279808046169E-4</v>
      </c>
      <c r="Q159" s="307">
        <f t="shared" si="53"/>
        <v>1</v>
      </c>
      <c r="R159" s="179">
        <f t="shared" si="54"/>
        <v>0.80313512706576651</v>
      </c>
      <c r="S159" s="837">
        <f t="shared" si="55"/>
        <v>-2</v>
      </c>
      <c r="T159" s="178">
        <f t="shared" si="56"/>
        <v>4</v>
      </c>
      <c r="U159" s="253">
        <f t="shared" si="57"/>
        <v>-1.1968648729342335</v>
      </c>
      <c r="V159" s="385">
        <f t="shared" si="58"/>
        <v>58.086448546568946</v>
      </c>
      <c r="W159" s="404">
        <f t="shared" si="59"/>
        <v>40.685886908572819</v>
      </c>
      <c r="X159" s="157">
        <f t="shared" si="60"/>
        <v>46532</v>
      </c>
      <c r="Y159" s="387">
        <f t="shared" si="61"/>
        <v>37.465657166015845</v>
      </c>
      <c r="Z159" s="387">
        <f t="shared" si="62"/>
        <v>40.380072518037124</v>
      </c>
      <c r="AA159" s="388">
        <f t="shared" si="63"/>
        <v>45.296816122572906</v>
      </c>
      <c r="AB159" s="199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0.10854501542075502</v>
      </c>
      <c r="AD159" s="233">
        <f>(INDEX(Models!$BJ159:$BT159,,AH159)*(1-AF159)+INDEX(Models!$BJ159:$BT159,,AH159+1)*AF159-ERP_i)*AE159*Ramure*Pc/MaxiM</f>
        <v>3.3184197150449802E-3</v>
      </c>
      <c r="AE159" s="307">
        <f t="shared" si="65"/>
        <v>1</v>
      </c>
      <c r="AF159" s="179">
        <f t="shared" si="66"/>
        <v>0.73811771998933695</v>
      </c>
      <c r="AG159" s="837">
        <f t="shared" si="74"/>
        <v>3</v>
      </c>
      <c r="AH159" s="178">
        <f t="shared" si="67"/>
        <v>9</v>
      </c>
      <c r="AI159" s="227">
        <f t="shared" si="68"/>
        <v>3.738117719989337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46533</v>
      </c>
      <c r="B160" s="1139">
        <f>IF(t&gt;Tmaj,'2026'!Wh/'2026'!Env_an*'2027'!Env_an,0.001*[7]mois!$B$233)</f>
        <v>21.366807793989913</v>
      </c>
      <c r="C160" s="866"/>
      <c r="D160" s="395">
        <f t="shared" si="50"/>
        <v>23.029445961767919</v>
      </c>
      <c r="E160" s="387">
        <f t="shared" si="72"/>
        <v>23.839720050421139</v>
      </c>
      <c r="F160" s="387">
        <f t="shared" si="51"/>
        <v>23.840123519598261</v>
      </c>
      <c r="G160" s="110">
        <f t="shared" si="73"/>
        <v>0.3676355024040911</v>
      </c>
      <c r="H160" s="414" t="b">
        <f>Wh_hp&gt;='2026'!Maxi_hp</f>
        <v>0</v>
      </c>
      <c r="I160" s="392">
        <f>IF(H160,Wh_hp,'2026'!Maxi_hp)</f>
        <v>63.356163340026761</v>
      </c>
      <c r="J160" s="85">
        <f>IF(H160,An,'2026'!An_max)</f>
        <v>2020</v>
      </c>
      <c r="K160" s="199">
        <f t="shared" si="52"/>
        <v>46533</v>
      </c>
      <c r="L160" s="147">
        <f>IF(t&lt;Tvie,1-EXP((T0-t)*PertePVj)+'2026'!Pspv,1-EXP((T0-t)*PertePVj)+Pspv)</f>
        <v>7.2196186158286935E-2</v>
      </c>
      <c r="M160" s="870"/>
      <c r="N160" s="870"/>
      <c r="O160" s="48">
        <f>IF(t&lt;Tnet,'2026'!Resal+('2026'!Salim-'2026'!Resal)*(1-EXP(('2026'!Tnet-t)/('2026'!Tau_j))),Resal+(Salim-Resal)*(1-EXP((Tnet-t)/(Tau_j))))*Salcycl</f>
        <v>3.3988406195185422E-2</v>
      </c>
      <c r="P160" s="171">
        <f>(INDEX(Models!$BJ160:$BT160,,T160)*(1-R160)+INDEX(Models!$BJ160:$BT160,,T160+1)*R160-ERP_i)*Q160*Ramure*Pc/MaxiM</f>
        <v>1.7500566383371922E-4</v>
      </c>
      <c r="Q160" s="307">
        <f t="shared" si="53"/>
        <v>1</v>
      </c>
      <c r="R160" s="179">
        <f t="shared" si="54"/>
        <v>0.80965508434293176</v>
      </c>
      <c r="S160" s="837">
        <f t="shared" si="55"/>
        <v>-2</v>
      </c>
      <c r="T160" s="178">
        <f t="shared" si="56"/>
        <v>4</v>
      </c>
      <c r="U160" s="253">
        <f t="shared" si="57"/>
        <v>-1.1903449156570682</v>
      </c>
      <c r="V160" s="385">
        <f t="shared" si="58"/>
        <v>58.110356305725169</v>
      </c>
      <c r="W160" s="404">
        <f t="shared" si="59"/>
        <v>21.366807793989913</v>
      </c>
      <c r="X160" s="157">
        <f t="shared" si="60"/>
        <v>46533</v>
      </c>
      <c r="Y160" s="387">
        <f t="shared" si="61"/>
        <v>19.705652109676606</v>
      </c>
      <c r="Z160" s="387">
        <f t="shared" si="62"/>
        <v>21.239029001273828</v>
      </c>
      <c r="AA160" s="388">
        <f t="shared" si="63"/>
        <v>23.832876226000199</v>
      </c>
      <c r="AB160" s="199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0.10883483806694909</v>
      </c>
      <c r="AD160" s="233">
        <f>(INDEX(Models!$BJ160:$BT160,,AH160)*(1-AF160)+INDEX(Models!$BJ160:$BT160,,AH160+1)*AF160-ERP_i)*AE160*Ramure*Pc/MaxiM</f>
        <v>3.1435299126649913E-3</v>
      </c>
      <c r="AE160" s="307">
        <f t="shared" si="65"/>
        <v>1</v>
      </c>
      <c r="AF160" s="179">
        <f t="shared" si="66"/>
        <v>0.74463767726650243</v>
      </c>
      <c r="AG160" s="837">
        <f t="shared" si="74"/>
        <v>3</v>
      </c>
      <c r="AH160" s="178">
        <f t="shared" si="67"/>
        <v>9</v>
      </c>
      <c r="AI160" s="227">
        <f t="shared" si="68"/>
        <v>3.7446376772665024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46534</v>
      </c>
      <c r="B161" s="1139">
        <f>IF(t&gt;Tmaj,'2026'!Wh/'2026'!Env_an*'2027'!Env_an,0.001*[7]mois!$B$234)</f>
        <v>40.499686368237285</v>
      </c>
      <c r="C161" s="866"/>
      <c r="D161" s="395">
        <f t="shared" si="50"/>
        <v>43.652147439812559</v>
      </c>
      <c r="E161" s="387">
        <f t="shared" si="72"/>
        <v>45.203511192872178</v>
      </c>
      <c r="F161" s="387">
        <f t="shared" si="51"/>
        <v>45.207699865936789</v>
      </c>
      <c r="G161" s="110">
        <f t="shared" si="73"/>
        <v>0.69665051833035163</v>
      </c>
      <c r="H161" s="414" t="b">
        <f>Wh_hp&gt;='2026'!Maxi_hp</f>
        <v>0</v>
      </c>
      <c r="I161" s="392">
        <f>IF(H161,Wh_hp,'2026'!Maxi_hp)</f>
        <v>62.931716158042121</v>
      </c>
      <c r="J161" s="85">
        <f>IF(H161,An,'2026'!An_max)</f>
        <v>2021</v>
      </c>
      <c r="K161" s="199">
        <f t="shared" si="52"/>
        <v>46534</v>
      </c>
      <c r="L161" s="147">
        <f>IF(t&lt;Tvie,1-EXP((T0-t)*PertePVj)+'2026'!Pspv,1-EXP((T0-t)*PertePVj)+Pspv)</f>
        <v>7.2217777508469139E-2</v>
      </c>
      <c r="M161" s="870"/>
      <c r="N161" s="870"/>
      <c r="O161" s="48">
        <f>IF(t&lt;Tnet,'2026'!Resal+('2026'!Salim-'2026'!Resal)*(1-EXP(('2026'!Tnet-t)/('2026'!Tau_j))),Resal+(Salim-Resal)*(1-EXP((Tnet-t)/(Tau_j))))*Salcycl</f>
        <v>3.4319540940975432E-2</v>
      </c>
      <c r="P161" s="171">
        <f>(INDEX(Models!$BJ161:$BT161,,T161)*(1-R161)+INDEX(Models!$BJ161:$BT161,,T161+1)*R161-ERP_i)*Q161*Ramure*Pc/MaxiM</f>
        <v>1.6349332548783543E-4</v>
      </c>
      <c r="Q161" s="307">
        <f t="shared" si="53"/>
        <v>1</v>
      </c>
      <c r="R161" s="179">
        <f t="shared" si="54"/>
        <v>0.81625559069029796</v>
      </c>
      <c r="S161" s="837">
        <f t="shared" si="55"/>
        <v>-2</v>
      </c>
      <c r="T161" s="178">
        <f t="shared" si="56"/>
        <v>4</v>
      </c>
      <c r="U161" s="253">
        <f t="shared" si="57"/>
        <v>-1.183744409309702</v>
      </c>
      <c r="V161" s="385">
        <f t="shared" si="58"/>
        <v>58.13075001787994</v>
      </c>
      <c r="W161" s="404">
        <f t="shared" si="59"/>
        <v>40.499686368237285</v>
      </c>
      <c r="X161" s="157">
        <f t="shared" si="60"/>
        <v>46534</v>
      </c>
      <c r="Y161" s="387">
        <f t="shared" si="61"/>
        <v>37.302653845760162</v>
      </c>
      <c r="Z161" s="387">
        <f t="shared" si="62"/>
        <v>40.206260630414995</v>
      </c>
      <c r="AA161" s="388">
        <f t="shared" si="63"/>
        <v>45.131179933273984</v>
      </c>
      <c r="AB161" s="199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0.10912454117398281</v>
      </c>
      <c r="AD161" s="233">
        <f>(INDEX(Models!$BJ161:$BT161,,AH161)*(1-AF161)+INDEX(Models!$BJ161:$BT161,,AH161+1)*AF161-ERP_i)*AE161*Ramure*Pc/MaxiM</f>
        <v>2.9867449820442987E-3</v>
      </c>
      <c r="AE161" s="307">
        <f t="shared" si="65"/>
        <v>1</v>
      </c>
      <c r="AF161" s="179">
        <f t="shared" si="66"/>
        <v>0.7512381836138684</v>
      </c>
      <c r="AG161" s="837">
        <f t="shared" si="74"/>
        <v>3</v>
      </c>
      <c r="AH161" s="178">
        <f t="shared" si="67"/>
        <v>9</v>
      </c>
      <c r="AI161" s="227">
        <f t="shared" si="68"/>
        <v>3.7512381836138684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46535</v>
      </c>
      <c r="B162" s="1139">
        <f>IF(t&gt;Tmaj,'2026'!Wh/'2026'!Env_an*'2027'!Env_an,0.001*[7]mois!$B$235)</f>
        <v>54.072015099957284</v>
      </c>
      <c r="C162" s="866"/>
      <c r="D162" s="395">
        <f t="shared" si="50"/>
        <v>58.282290987226112</v>
      </c>
      <c r="E162" s="387">
        <f t="shared" si="72"/>
        <v>60.374307362495614</v>
      </c>
      <c r="F162" s="387">
        <f t="shared" si="51"/>
        <v>60.382593943143405</v>
      </c>
      <c r="G162" s="110">
        <f t="shared" si="73"/>
        <v>0.92989001254524439</v>
      </c>
      <c r="H162" s="414" t="b">
        <f>Wh_hp&gt;='2026'!Maxi_hp</f>
        <v>0</v>
      </c>
      <c r="I162" s="392">
        <f>IF(H162,Wh_hp,'2026'!Maxi_hp)</f>
        <v>62.080985179253567</v>
      </c>
      <c r="J162" s="85">
        <f>IF(H162,An,'2026'!An_max)</f>
        <v>2020</v>
      </c>
      <c r="K162" s="199">
        <f t="shared" si="52"/>
        <v>46535</v>
      </c>
      <c r="L162" s="147">
        <f>IF(t&lt;Tvie,1-EXP((T0-t)*PertePVj)+'2026'!Pspv,1-EXP((T0-t)*PertePVj)+Pspv)</f>
        <v>7.223936835618916E-2</v>
      </c>
      <c r="M162" s="870"/>
      <c r="N162" s="870"/>
      <c r="O162" s="48">
        <f>IF(t&lt;Tnet,'2026'!Resal+('2026'!Salim-'2026'!Resal)*(1-EXP(('2026'!Tnet-t)/('2026'!Tau_j))),Resal+(Salim-Resal)*(1-EXP((Tnet-t)/(Tau_j))))*Salcycl</f>
        <v>3.465077226822242E-2</v>
      </c>
      <c r="P162" s="171">
        <f>(INDEX(Models!$BJ162:$BT162,,T162)*(1-R162)+INDEX(Models!$BJ162:$BT162,,T162+1)*R162-ERP_i)*Q162*Ramure*Pc/MaxiM</f>
        <v>1.5250606692769449E-4</v>
      </c>
      <c r="Q162" s="307">
        <f t="shared" si="53"/>
        <v>1</v>
      </c>
      <c r="R162" s="179">
        <f t="shared" si="54"/>
        <v>0.82293247402445724</v>
      </c>
      <c r="S162" s="837">
        <f t="shared" si="55"/>
        <v>-2</v>
      </c>
      <c r="T162" s="178">
        <f t="shared" si="56"/>
        <v>4</v>
      </c>
      <c r="U162" s="253">
        <f t="shared" si="57"/>
        <v>-1.1770675259755428</v>
      </c>
      <c r="V162" s="385">
        <f t="shared" si="58"/>
        <v>58.147940614179774</v>
      </c>
      <c r="W162" s="404">
        <f t="shared" si="59"/>
        <v>54.072015099957284</v>
      </c>
      <c r="X162" s="157">
        <f t="shared" si="60"/>
        <v>46535</v>
      </c>
      <c r="Y162" s="387">
        <f t="shared" si="61"/>
        <v>49.763292441388629</v>
      </c>
      <c r="Z162" s="387">
        <f t="shared" si="62"/>
        <v>53.638072951228573</v>
      </c>
      <c r="AA162" s="388">
        <f t="shared" si="63"/>
        <v>60.227838128067887</v>
      </c>
      <c r="AB162" s="199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0.10941394181917846</v>
      </c>
      <c r="AD162" s="233">
        <f>(INDEX(Models!$BJ162:$BT162,,AH162)*(1-AF162)+INDEX(Models!$BJ162:$BT162,,AH162+1)*AF162-ERP_i)*AE162*Ramure*Pc/MaxiM</f>
        <v>2.8481229706783621E-3</v>
      </c>
      <c r="AE162" s="307">
        <f t="shared" si="65"/>
        <v>1</v>
      </c>
      <c r="AF162" s="179">
        <f t="shared" si="66"/>
        <v>0.75791506694802768</v>
      </c>
      <c r="AG162" s="837">
        <f t="shared" si="74"/>
        <v>3</v>
      </c>
      <c r="AH162" s="178">
        <f t="shared" si="67"/>
        <v>9</v>
      </c>
      <c r="AI162" s="227">
        <f t="shared" si="68"/>
        <v>3.7579150669480277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46536</v>
      </c>
      <c r="B163" s="1139">
        <f>IF(t&gt;Tmaj,'2026'!Wh/'2026'!Env_an*'2027'!Env_an,0.001*[7]mois!$B$236)</f>
        <v>59.013681456569721</v>
      </c>
      <c r="C163" s="866"/>
      <c r="D163" s="395">
        <f t="shared" si="50"/>
        <v>63.610216698403917</v>
      </c>
      <c r="E163" s="387">
        <f t="shared" si="72"/>
        <v>65.916096047346542</v>
      </c>
      <c r="F163" s="387">
        <f t="shared" si="51"/>
        <v>65.925460607676627</v>
      </c>
      <c r="G163" s="110">
        <f t="shared" si="73"/>
        <v>1.014659991825851</v>
      </c>
      <c r="H163" s="414" t="b">
        <f>Wh_hp&gt;='2026'!Maxi_hp</f>
        <v>1</v>
      </c>
      <c r="I163" s="392">
        <f>IF(H163,Wh_hp,'2026'!Maxi_hp)</f>
        <v>65.925460607676627</v>
      </c>
      <c r="J163" s="85">
        <f>IF(H163,An,'2026'!An_max)</f>
        <v>2027</v>
      </c>
      <c r="K163" s="199">
        <f t="shared" si="52"/>
        <v>46536</v>
      </c>
      <c r="L163" s="147">
        <f>IF(t&lt;Tvie,1-EXP((T0-t)*PertePVj)+'2026'!Pspv,1-EXP((T0-t)*PertePVj)+Pspv)</f>
        <v>7.2260958701458544E-2</v>
      </c>
      <c r="M163" s="870"/>
      <c r="N163" s="870"/>
      <c r="O163" s="48">
        <f>IF(t&lt;Tnet,'2026'!Resal+('2026'!Salim-'2026'!Resal)*(1-EXP(('2026'!Tnet-t)/('2026'!Tau_j))),Resal+(Salim-Resal)*(1-EXP((Tnet-t)/(Tau_j))))*Salcycl</f>
        <v>3.4982037578292643E-2</v>
      </c>
      <c r="P163" s="171">
        <f>(INDEX(Models!$BJ163:$BT163,,T163)*(1-R163)+INDEX(Models!$BJ163:$BT163,,T163+1)*R163-ERP_i)*Q163*Ramure*Pc/MaxiM</f>
        <v>1.4204770423697455E-4</v>
      </c>
      <c r="Q163" s="307">
        <f t="shared" si="53"/>
        <v>1</v>
      </c>
      <c r="R163" s="179">
        <f t="shared" si="54"/>
        <v>0.82968133478816819</v>
      </c>
      <c r="S163" s="837">
        <f t="shared" si="55"/>
        <v>-2</v>
      </c>
      <c r="T163" s="178">
        <f t="shared" si="56"/>
        <v>4</v>
      </c>
      <c r="U163" s="253">
        <f t="shared" si="57"/>
        <v>-1.1703186652118318</v>
      </c>
      <c r="V163" s="385">
        <f t="shared" si="58"/>
        <v>58.161041069901977</v>
      </c>
      <c r="W163" s="404">
        <f t="shared" si="59"/>
        <v>59.013681456569721</v>
      </c>
      <c r="X163" s="157">
        <f t="shared" si="60"/>
        <v>46536</v>
      </c>
      <c r="Y163" s="387">
        <f t="shared" si="61"/>
        <v>54.303485288773274</v>
      </c>
      <c r="Z163" s="387">
        <f t="shared" si="62"/>
        <v>58.533146576181117</v>
      </c>
      <c r="AA163" s="388">
        <f t="shared" si="63"/>
        <v>65.745629903056084</v>
      </c>
      <c r="AB163" s="199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0.10970285534582275</v>
      </c>
      <c r="AD163" s="233">
        <f>(INDEX(Models!$BJ163:$BT163,,AH163)*(1-AF163)+INDEX(Models!$BJ163:$BT163,,AH163+1)*AF163-ERP_i)*AE163*Ramure*Pc/MaxiM</f>
        <v>2.7277883683014389E-3</v>
      </c>
      <c r="AE163" s="307">
        <f t="shared" si="65"/>
        <v>1</v>
      </c>
      <c r="AF163" s="179">
        <f t="shared" si="66"/>
        <v>0.76466392771173863</v>
      </c>
      <c r="AG163" s="837">
        <f t="shared" si="74"/>
        <v>3</v>
      </c>
      <c r="AH163" s="178">
        <f t="shared" si="67"/>
        <v>9</v>
      </c>
      <c r="AI163" s="227">
        <f t="shared" si="68"/>
        <v>3.7646639277117386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46537</v>
      </c>
      <c r="B164" s="1139">
        <f>IF(t&gt;Tmaj,'2026'!Wh/'2026'!Env_an*'2027'!Env_an,0.001*[7]mois!$B$237)</f>
        <v>50.454229530199129</v>
      </c>
      <c r="C164" s="866"/>
      <c r="D164" s="395">
        <f t="shared" si="50"/>
        <v>54.385340548493289</v>
      </c>
      <c r="E164" s="387">
        <f t="shared" si="72"/>
        <v>56.376167505435852</v>
      </c>
      <c r="F164" s="387">
        <f t="shared" si="51"/>
        <v>56.382224472160367</v>
      </c>
      <c r="G164" s="110">
        <f t="shared" si="73"/>
        <v>0.86735027475651105</v>
      </c>
      <c r="H164" s="414" t="b">
        <f>Wh_hp&gt;='2026'!Maxi_hp</f>
        <v>0</v>
      </c>
      <c r="I164" s="392">
        <f>IF(H164,Wh_hp,'2026'!Maxi_hp)</f>
        <v>63.686724886206711</v>
      </c>
      <c r="J164" s="85">
        <f>IF(H164,An,'2026'!An_max)</f>
        <v>2019</v>
      </c>
      <c r="K164" s="199">
        <f t="shared" si="52"/>
        <v>46537</v>
      </c>
      <c r="L164" s="147">
        <f>IF(t&lt;Tvie,1-EXP((T0-t)*PertePVj)+'2026'!Pspv,1-EXP((T0-t)*PertePVj)+Pspv)</f>
        <v>7.228254854428906E-2</v>
      </c>
      <c r="M164" s="870"/>
      <c r="N164" s="870"/>
      <c r="O164" s="48">
        <f>IF(t&lt;Tnet,'2026'!Resal+('2026'!Salim-'2026'!Resal)*(1-EXP(('2026'!Tnet-t)/('2026'!Tau_j))),Resal+(Salim-Resal)*(1-EXP((Tnet-t)/(Tau_j))))*Salcycl</f>
        <v>3.5313272345989299E-2</v>
      </c>
      <c r="P164" s="171">
        <f>(INDEX(Models!$BJ164:$BT164,,T164)*(1-R164)+INDEX(Models!$BJ164:$BT164,,T164+1)*R164-ERP_i)*Q164*Ramure*Pc/MaxiM</f>
        <v>1.3253881316280334E-4</v>
      </c>
      <c r="Q164" s="307">
        <f t="shared" si="53"/>
        <v>1</v>
      </c>
      <c r="R164" s="179">
        <f t="shared" si="54"/>
        <v>0.8364975553042906</v>
      </c>
      <c r="S164" s="837">
        <f t="shared" si="55"/>
        <v>-2</v>
      </c>
      <c r="T164" s="178">
        <f t="shared" si="56"/>
        <v>4</v>
      </c>
      <c r="U164" s="253">
        <f t="shared" si="57"/>
        <v>-1.1635024446957094</v>
      </c>
      <c r="V164" s="385">
        <f t="shared" si="58"/>
        <v>58.169074086282578</v>
      </c>
      <c r="W164" s="404">
        <f t="shared" si="59"/>
        <v>50.454229530199129</v>
      </c>
      <c r="X164" s="157">
        <f t="shared" si="60"/>
        <v>46537</v>
      </c>
      <c r="Y164" s="387">
        <f t="shared" si="61"/>
        <v>46.454413058349687</v>
      </c>
      <c r="Z164" s="387">
        <f t="shared" si="62"/>
        <v>50.073880776368483</v>
      </c>
      <c r="AA164" s="388">
        <f t="shared" si="63"/>
        <v>56.26222451411131</v>
      </c>
      <c r="AB164" s="199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0.10999109600066927</v>
      </c>
      <c r="AD164" s="233">
        <f>(INDEX(Models!$BJ164:$BT164,,AH164)*(1-AF164)+INDEX(Models!$BJ164:$BT164,,AH164+1)*AF164-ERP_i)*AE164*Ramure*Pc/MaxiM</f>
        <v>2.6258443776883259E-3</v>
      </c>
      <c r="AE164" s="307">
        <f t="shared" si="65"/>
        <v>1</v>
      </c>
      <c r="AF164" s="179">
        <f t="shared" si="66"/>
        <v>0.77148014822786104</v>
      </c>
      <c r="AG164" s="837">
        <f t="shared" si="74"/>
        <v>3</v>
      </c>
      <c r="AH164" s="178">
        <f t="shared" si="67"/>
        <v>9</v>
      </c>
      <c r="AI164" s="227">
        <f t="shared" si="68"/>
        <v>3.771480148227861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46538</v>
      </c>
      <c r="B165" s="1139">
        <f>IF(t&gt;Tmaj,'2026'!Wh/'2026'!Env_an*'2027'!Env_an,0.001*[7]mois!$B$238)</f>
        <v>54.081224426119789</v>
      </c>
      <c r="C165" s="866"/>
      <c r="D165" s="395">
        <f t="shared" si="50"/>
        <v>58.296287215084917</v>
      </c>
      <c r="E165" s="387">
        <f t="shared" si="72"/>
        <v>60.451028479573637</v>
      </c>
      <c r="F165" s="387">
        <f t="shared" si="51"/>
        <v>60.457765328991321</v>
      </c>
      <c r="G165" s="110">
        <f t="shared" si="73"/>
        <v>0.92966224540144993</v>
      </c>
      <c r="H165" s="414" t="b">
        <f>Wh_hp&gt;='2026'!Maxi_hp</f>
        <v>0</v>
      </c>
      <c r="I165" s="392">
        <f>IF(H165,Wh_hp,'2026'!Maxi_hp)</f>
        <v>64.708611084195553</v>
      </c>
      <c r="J165" s="85">
        <f>IF(H165,An,'2026'!An_max)</f>
        <v>2019</v>
      </c>
      <c r="K165" s="199">
        <f t="shared" si="52"/>
        <v>46538</v>
      </c>
      <c r="L165" s="147">
        <f>IF(t&lt;Tvie,1-EXP((T0-t)*PertePVj)+'2026'!Pspv,1-EXP((T0-t)*PertePVj)+Pspv)</f>
        <v>7.2304137884692365E-2</v>
      </c>
      <c r="M165" s="870"/>
      <c r="N165" s="870"/>
      <c r="O165" s="48">
        <f>IF(t&lt;Tnet,'2026'!Resal+('2026'!Salim-'2026'!Resal)*(1-EXP(('2026'!Tnet-t)/('2026'!Tau_j))),Resal+(Salim-Resal)*(1-EXP((Tnet-t)/(Tau_j))))*Salcycl</f>
        <v>3.5644410338143487E-2</v>
      </c>
      <c r="P165" s="171">
        <f>(INDEX(Models!$BJ165:$BT165,,T165)*(1-R165)+INDEX(Models!$BJ165:$BT165,,T165+1)*R165-ERP_i)*Q165*Ramure*Pc/MaxiM</f>
        <v>1.2387599470541446E-4</v>
      </c>
      <c r="Q165" s="307">
        <f t="shared" si="53"/>
        <v>1</v>
      </c>
      <c r="R165" s="179">
        <f t="shared" si="54"/>
        <v>0.84337631047376793</v>
      </c>
      <c r="S165" s="837">
        <f t="shared" si="55"/>
        <v>-2</v>
      </c>
      <c r="T165" s="178">
        <f t="shared" si="56"/>
        <v>4</v>
      </c>
      <c r="U165" s="253">
        <f t="shared" si="57"/>
        <v>-1.1566236895262321</v>
      </c>
      <c r="V165" s="385">
        <f t="shared" si="58"/>
        <v>58.17225724754271</v>
      </c>
      <c r="W165" s="404">
        <f t="shared" si="59"/>
        <v>54.081224426119789</v>
      </c>
      <c r="X165" s="157">
        <f t="shared" si="60"/>
        <v>46538</v>
      </c>
      <c r="Y165" s="387">
        <f t="shared" si="61"/>
        <v>49.787904394560393</v>
      </c>
      <c r="Z165" s="387">
        <f t="shared" si="62"/>
        <v>53.668348030609216</v>
      </c>
      <c r="AA165" s="388">
        <f t="shared" si="63"/>
        <v>60.32038865979419</v>
      </c>
      <c r="AB165" s="199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0.11027847759241656</v>
      </c>
      <c r="AD165" s="233">
        <f>(INDEX(Models!$BJ165:$BT165,,AH165)*(1-AF165)+INDEX(Models!$BJ165:$BT165,,AH165+1)*AF165-ERP_i)*AE165*Ramure*Pc/MaxiM</f>
        <v>2.5260578782460262E-3</v>
      </c>
      <c r="AE165" s="307">
        <f t="shared" si="65"/>
        <v>1</v>
      </c>
      <c r="AF165" s="179">
        <f t="shared" si="66"/>
        <v>0.7783589033973386</v>
      </c>
      <c r="AG165" s="837">
        <f t="shared" si="74"/>
        <v>3</v>
      </c>
      <c r="AH165" s="178">
        <f t="shared" si="67"/>
        <v>9</v>
      </c>
      <c r="AI165" s="227">
        <f t="shared" si="68"/>
        <v>3.7783589033973386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46539</v>
      </c>
      <c r="B166" s="1139">
        <f>IF(t&gt;Tmaj,'2026'!Wh/'2026'!Env_an*'2027'!Env_an,0.001*'[8]mon-tableau'!$B$202)</f>
        <v>55.619244827853578</v>
      </c>
      <c r="C166" s="866"/>
      <c r="D166" s="395">
        <f t="shared" si="50"/>
        <v>59.955575388934726</v>
      </c>
      <c r="E166" s="387">
        <f t="shared" si="72"/>
        <v>62.192992154231547</v>
      </c>
      <c r="F166" s="387">
        <f t="shared" si="51"/>
        <v>62.199759214561233</v>
      </c>
      <c r="G166" s="110">
        <f t="shared" si="73"/>
        <v>0.95612986100188091</v>
      </c>
      <c r="H166" s="414" t="b">
        <f>Wh_hp&gt;='2026'!Maxi_hp</f>
        <v>0</v>
      </c>
      <c r="I166" s="392">
        <f>IF(H166,Wh_hp,'2026'!Maxi_hp)</f>
        <v>65.140726705313512</v>
      </c>
      <c r="J166" s="85">
        <f>IF(H166,An,'2026'!An_max)</f>
        <v>2019</v>
      </c>
      <c r="K166" s="199">
        <f t="shared" si="52"/>
        <v>46539</v>
      </c>
      <c r="L166" s="147">
        <f>IF(t&lt;Tvie,1-EXP((T0-t)*PertePVj)+'2026'!Pspv,1-EXP((T0-t)*PertePVj)+Pspv)</f>
        <v>7.2325726722680228E-2</v>
      </c>
      <c r="M166" s="870"/>
      <c r="N166" s="870"/>
      <c r="O166" s="48">
        <f>IF(t&lt;Tnet,'2026'!Resal+('2026'!Salim-'2026'!Resal)*(1-EXP(('2026'!Tnet-t)/('2026'!Tau_j))),Resal+(Salim-Resal)*(1-EXP((Tnet-t)/(Tau_j))))*Salcycl</f>
        <v>3.5975383846274543E-2</v>
      </c>
      <c r="P166" s="171">
        <f>(INDEX(Models!$BJ166:$BT166,,T166)*(1-R166)+INDEX(Models!$BJ166:$BT166,,T166+1)*R166-ERP_i)*Q166*Ramure*Pc/MaxiM</f>
        <v>1.1606866203151822E-4</v>
      </c>
      <c r="Q166" s="307">
        <f t="shared" si="53"/>
        <v>1</v>
      </c>
      <c r="R166" s="179">
        <f t="shared" si="54"/>
        <v>0.85031257978168329</v>
      </c>
      <c r="S166" s="837">
        <f t="shared" si="55"/>
        <v>-2</v>
      </c>
      <c r="T166" s="178">
        <f t="shared" si="56"/>
        <v>4</v>
      </c>
      <c r="U166" s="253">
        <f t="shared" si="57"/>
        <v>-1.1496874202183167</v>
      </c>
      <c r="V166" s="385">
        <f t="shared" si="58"/>
        <v>58.170801405077817</v>
      </c>
      <c r="W166" s="404">
        <f t="shared" si="59"/>
        <v>55.619244827853578</v>
      </c>
      <c r="X166" s="157">
        <f t="shared" si="60"/>
        <v>46539</v>
      </c>
      <c r="Y166" s="387">
        <f t="shared" si="61"/>
        <v>51.204585080997091</v>
      </c>
      <c r="Z166" s="387">
        <f t="shared" si="62"/>
        <v>55.196728588904122</v>
      </c>
      <c r="AA166" s="388">
        <f t="shared" si="63"/>
        <v>62.0581796943829</v>
      </c>
      <c r="AB166" s="199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0.11056481416743567</v>
      </c>
      <c r="AD166" s="233">
        <f>(INDEX(Models!$BJ166:$BT166,,AH166)*(1-AF166)+INDEX(Models!$BJ166:$BT166,,AH166+1)*AF166-ERP_i)*AE166*Ramure*Pc/MaxiM</f>
        <v>2.4283728351105747E-3</v>
      </c>
      <c r="AE166" s="307">
        <f t="shared" si="65"/>
        <v>1</v>
      </c>
      <c r="AF166" s="179">
        <f t="shared" si="66"/>
        <v>0.78529517270525373</v>
      </c>
      <c r="AG166" s="837">
        <f t="shared" si="74"/>
        <v>3</v>
      </c>
      <c r="AH166" s="178">
        <f t="shared" si="67"/>
        <v>9</v>
      </c>
      <c r="AI166" s="227">
        <f t="shared" si="68"/>
        <v>3.7852951727052537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46540</v>
      </c>
      <c r="B167" s="1139">
        <f>IF(t&gt;Tmaj,'2026'!Wh/'2026'!Env_an*'2027'!Env_an,0.001*'[8]mon-tableau'!$B$203)</f>
        <v>43.680295893759663</v>
      </c>
      <c r="C167" s="866"/>
      <c r="D167" s="395">
        <f t="shared" si="50"/>
        <v>47.086907204395303</v>
      </c>
      <c r="E167" s="387">
        <f t="shared" si="72"/>
        <v>48.86085547884084</v>
      </c>
      <c r="F167" s="387">
        <f t="shared" si="51"/>
        <v>48.864290873287167</v>
      </c>
      <c r="G167" s="110">
        <f t="shared" si="73"/>
        <v>0.75094407645226247</v>
      </c>
      <c r="H167" s="414" t="b">
        <f>Wh_hp&gt;='2026'!Maxi_hp</f>
        <v>0</v>
      </c>
      <c r="I167" s="392">
        <f>IF(H167,Wh_hp,'2026'!Maxi_hp)</f>
        <v>63.901540527508928</v>
      </c>
      <c r="J167" s="85">
        <f>IF(H167,An,'2026'!An_max)</f>
        <v>2019</v>
      </c>
      <c r="K167" s="199">
        <f t="shared" si="52"/>
        <v>46540</v>
      </c>
      <c r="L167" s="147">
        <f>IF(t&lt;Tvie,1-EXP((T0-t)*PertePVj)+'2026'!Pspv,1-EXP((T0-t)*PertePVj)+Pspv)</f>
        <v>7.2347315058264305E-2</v>
      </c>
      <c r="M167" s="870"/>
      <c r="N167" s="870"/>
      <c r="O167" s="48">
        <f>IF(t&lt;Tnet,'2026'!Resal+('2026'!Salim-'2026'!Resal)*(1-EXP(('2026'!Tnet-t)/('2026'!Tau_j))),Resal+(Salim-Resal)*(1-EXP((Tnet-t)/(Tau_j))))*Salcycl</f>
        <v>3.6306123932147348E-2</v>
      </c>
      <c r="P167" s="171">
        <f>(INDEX(Models!$BJ167:$BT167,,T167)*(1-R167)+INDEX(Models!$BJ167:$BT167,,T167+1)*R167-ERP_i)*Q167*Ramure*Pc/MaxiM</f>
        <v>1.0912701680907461E-4</v>
      </c>
      <c r="Q167" s="307">
        <f t="shared" si="53"/>
        <v>1</v>
      </c>
      <c r="R167" s="179">
        <f t="shared" si="54"/>
        <v>0.85730116056186079</v>
      </c>
      <c r="S167" s="837">
        <f t="shared" si="55"/>
        <v>-2</v>
      </c>
      <c r="T167" s="178">
        <f t="shared" si="56"/>
        <v>4</v>
      </c>
      <c r="U167" s="253">
        <f t="shared" si="57"/>
        <v>-1.1426988394381392</v>
      </c>
      <c r="V167" s="385">
        <f t="shared" si="58"/>
        <v>58.164917173579781</v>
      </c>
      <c r="W167" s="404">
        <f t="shared" si="59"/>
        <v>43.680295893759663</v>
      </c>
      <c r="X167" s="157">
        <f t="shared" si="60"/>
        <v>46540</v>
      </c>
      <c r="Y167" s="387">
        <f t="shared" si="61"/>
        <v>40.2437927625841</v>
      </c>
      <c r="Z167" s="387">
        <f t="shared" si="62"/>
        <v>43.382392371463617</v>
      </c>
      <c r="AA167" s="388">
        <f t="shared" si="63"/>
        <v>48.790854751492127</v>
      </c>
      <c r="AB167" s="199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0.11084992069877816</v>
      </c>
      <c r="AD167" s="233">
        <f>(INDEX(Models!$BJ167:$BT167,,AH167)*(1-AF167)+INDEX(Models!$BJ167:$BT167,,AH167+1)*AF167-ERP_i)*AE167*Ramure*Pc/MaxiM</f>
        <v>2.3327350098275058E-3</v>
      </c>
      <c r="AE167" s="307">
        <f t="shared" si="65"/>
        <v>1</v>
      </c>
      <c r="AF167" s="179">
        <f t="shared" si="66"/>
        <v>0.79228375348543123</v>
      </c>
      <c r="AG167" s="837">
        <f t="shared" si="74"/>
        <v>3</v>
      </c>
      <c r="AH167" s="178">
        <f t="shared" si="67"/>
        <v>9</v>
      </c>
      <c r="AI167" s="227">
        <f t="shared" si="68"/>
        <v>3.7922837534854312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46541</v>
      </c>
      <c r="B168" s="1139">
        <f>IF(t&gt;Tmaj,'2026'!Wh/'2026'!Env_an*'2027'!Env_an,0.001*'[8]mon-tableau'!$B$204)</f>
        <v>52.934888579271075</v>
      </c>
      <c r="C168" s="866"/>
      <c r="D168" s="395">
        <f t="shared" si="50"/>
        <v>57.064590378945724</v>
      </c>
      <c r="E168" s="387">
        <f t="shared" si="72"/>
        <v>59.234747811808617</v>
      </c>
      <c r="F168" s="387">
        <f t="shared" si="51"/>
        <v>59.240070332795341</v>
      </c>
      <c r="G168" s="110">
        <f t="shared" si="73"/>
        <v>0.91022882699885588</v>
      </c>
      <c r="H168" s="414" t="b">
        <f>Wh_hp&gt;='2026'!Maxi_hp</f>
        <v>0</v>
      </c>
      <c r="I168" s="392">
        <f>IF(H168,Wh_hp,'2026'!Maxi_hp)</f>
        <v>59.942123507520741</v>
      </c>
      <c r="J168" s="85">
        <f>IF(H168,An,'2026'!An_max)</f>
        <v>2020</v>
      </c>
      <c r="K168" s="199">
        <f t="shared" si="52"/>
        <v>46541</v>
      </c>
      <c r="L168" s="147">
        <f>IF(t&lt;Tvie,1-EXP((T0-t)*PertePVj)+'2026'!Pspv,1-EXP((T0-t)*PertePVj)+Pspv)</f>
        <v>7.2368902891456255E-2</v>
      </c>
      <c r="M168" s="870"/>
      <c r="N168" s="870"/>
      <c r="O168" s="48">
        <f>IF(t&lt;Tnet,'2026'!Resal+('2026'!Salim-'2026'!Resal)*(1-EXP(('2026'!Tnet-t)/('2026'!Tau_j))),Resal+(Salim-Resal)*(1-EXP((Tnet-t)/(Tau_j))))*Salcycl</f>
        <v>3.663656068491386E-2</v>
      </c>
      <c r="P168" s="171">
        <f>(INDEX(Models!$BJ168:$BT168,,T168)*(1-R168)+INDEX(Models!$BJ168:$BT168,,T168+1)*R168-ERP_i)*Q168*Ramure*Pc/MaxiM</f>
        <v>1.030620022785923E-4</v>
      </c>
      <c r="Q168" s="307">
        <f t="shared" si="53"/>
        <v>1</v>
      </c>
      <c r="R168" s="179">
        <f t="shared" si="54"/>
        <v>0.86433668245704154</v>
      </c>
      <c r="S168" s="837">
        <f t="shared" si="55"/>
        <v>-2</v>
      </c>
      <c r="T168" s="178">
        <f t="shared" si="56"/>
        <v>4</v>
      </c>
      <c r="U168" s="253">
        <f t="shared" si="57"/>
        <v>-1.1356633175429585</v>
      </c>
      <c r="V168" s="385">
        <f t="shared" si="58"/>
        <v>58.154814912815368</v>
      </c>
      <c r="W168" s="404">
        <f t="shared" si="59"/>
        <v>52.934888579271075</v>
      </c>
      <c r="X168" s="157">
        <f t="shared" si="60"/>
        <v>46541</v>
      </c>
      <c r="Y168" s="387">
        <f t="shared" si="61"/>
        <v>48.750467568871798</v>
      </c>
      <c r="Z168" s="387">
        <f t="shared" si="62"/>
        <v>52.553722833169985</v>
      </c>
      <c r="AA168" s="388">
        <f t="shared" si="63"/>
        <v>59.12443495238211</v>
      </c>
      <c r="AB168" s="199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0.11113361378428523</v>
      </c>
      <c r="AD168" s="233">
        <f>(INDEX(Models!$BJ168:$BT168,,AH168)*(1-AF168)+INDEX(Models!$BJ168:$BT168,,AH168+1)*AF168-ERP_i)*AE168*Ramure*Pc/MaxiM</f>
        <v>2.2390919395821546E-3</v>
      </c>
      <c r="AE168" s="307">
        <f t="shared" si="65"/>
        <v>1</v>
      </c>
      <c r="AF168" s="179">
        <f t="shared" si="66"/>
        <v>0.7993192753806122</v>
      </c>
      <c r="AG168" s="837">
        <f t="shared" si="74"/>
        <v>3</v>
      </c>
      <c r="AH168" s="178">
        <f t="shared" si="67"/>
        <v>9</v>
      </c>
      <c r="AI168" s="227">
        <f t="shared" si="68"/>
        <v>3.7993192753806122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46542</v>
      </c>
      <c r="B169" s="1139">
        <f>IF(t&gt;Tmaj,'2026'!Wh/'2026'!Env_an*'2027'!Env_an,0.001*'[8]mon-tableau'!$B$205)</f>
        <v>30.058196648783753</v>
      </c>
      <c r="C169" s="866"/>
      <c r="D169" s="395">
        <f t="shared" si="50"/>
        <v>32.403933262808074</v>
      </c>
      <c r="E169" s="387">
        <f t="shared" si="72"/>
        <v>33.647778003483964</v>
      </c>
      <c r="F169" s="387">
        <f t="shared" si="51"/>
        <v>33.648799012748441</v>
      </c>
      <c r="G169" s="110">
        <f t="shared" si="73"/>
        <v>0.51695566025511885</v>
      </c>
      <c r="H169" s="414" t="b">
        <f>Wh_hp&gt;='2026'!Maxi_hp</f>
        <v>0</v>
      </c>
      <c r="I169" s="392">
        <f>IF(H169,Wh_hp,'2026'!Maxi_hp)</f>
        <v>57.961791725127831</v>
      </c>
      <c r="J169" s="85">
        <f>IF(H169,An,'2026'!An_max)</f>
        <v>2019</v>
      </c>
      <c r="K169" s="199">
        <f t="shared" si="52"/>
        <v>46542</v>
      </c>
      <c r="L169" s="147">
        <f>IF(t&lt;Tvie,1-EXP((T0-t)*PertePVj)+'2026'!Pspv,1-EXP((T0-t)*PertePVj)+Pspv)</f>
        <v>7.2390490222267734E-2</v>
      </c>
      <c r="M169" s="870"/>
      <c r="N169" s="870"/>
      <c r="O169" s="48">
        <f>IF(t&lt;Tnet,'2026'!Resal+('2026'!Salim-'2026'!Resal)*(1-EXP(('2026'!Tnet-t)/('2026'!Tau_j))),Resal+(Salim-Resal)*(1-EXP((Tnet-t)/(Tau_j))))*Salcycl</f>
        <v>3.6966623488394981E-2</v>
      </c>
      <c r="P169" s="171">
        <f>(INDEX(Models!$BJ169:$BT169,,T169)*(1-R169)+INDEX(Models!$BJ169:$BT169,,T169+1)*R169-ERP_i)*Q169*Ramure*Pc/MaxiM</f>
        <v>9.7885254468112139E-5</v>
      </c>
      <c r="Q169" s="307">
        <f t="shared" si="53"/>
        <v>1</v>
      </c>
      <c r="R169" s="179">
        <f t="shared" si="54"/>
        <v>0.87141362299856517</v>
      </c>
      <c r="S169" s="837">
        <f t="shared" si="55"/>
        <v>-2</v>
      </c>
      <c r="T169" s="178">
        <f t="shared" si="56"/>
        <v>4</v>
      </c>
      <c r="U169" s="253">
        <f t="shared" si="57"/>
        <v>-1.1285863770014348</v>
      </c>
      <c r="V169" s="385">
        <f t="shared" si="58"/>
        <v>58.140704712150729</v>
      </c>
      <c r="W169" s="404">
        <f t="shared" si="59"/>
        <v>30.058196648783753</v>
      </c>
      <c r="X169" s="157">
        <f t="shared" si="60"/>
        <v>46542</v>
      </c>
      <c r="Y169" s="387">
        <f t="shared" si="61"/>
        <v>27.716870965866967</v>
      </c>
      <c r="Z169" s="387">
        <f t="shared" si="62"/>
        <v>29.879890917147133</v>
      </c>
      <c r="AA169" s="388">
        <f t="shared" si="63"/>
        <v>33.626400255343611</v>
      </c>
      <c r="AB169" s="199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0.11141571234943935</v>
      </c>
      <c r="AD169" s="233">
        <f>(INDEX(Models!$BJ169:$BT169,,AH169)*(1-AF169)+INDEX(Models!$BJ169:$BT169,,AH169+1)*AF169-ERP_i)*AE169*Ramure*Pc/MaxiM</f>
        <v>2.1473929224989437E-3</v>
      </c>
      <c r="AE169" s="307">
        <f t="shared" si="65"/>
        <v>1</v>
      </c>
      <c r="AF169" s="179">
        <f t="shared" si="66"/>
        <v>0.80639621592213562</v>
      </c>
      <c r="AG169" s="837">
        <f t="shared" si="74"/>
        <v>3</v>
      </c>
      <c r="AH169" s="178">
        <f t="shared" si="67"/>
        <v>9</v>
      </c>
      <c r="AI169" s="227">
        <f t="shared" si="68"/>
        <v>3.8063962159221356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46543</v>
      </c>
      <c r="B170" s="1139">
        <f>IF(t&gt;Tmaj,'2026'!Wh/'2026'!Env_an*'2027'!Env_an,0.001*'[8]mon-tableau'!$B$206)</f>
        <v>31.397782498217918</v>
      </c>
      <c r="C170" s="866"/>
      <c r="D170" s="395">
        <f t="shared" si="50"/>
        <v>33.848847878902809</v>
      </c>
      <c r="E170" s="387">
        <f t="shared" ref="E170:E232" si="75">Wh_pvt/(1-Psa)</f>
        <v>35.160190840537844</v>
      </c>
      <c r="F170" s="387">
        <f t="shared" si="51"/>
        <v>35.161321358986321</v>
      </c>
      <c r="G170" s="110">
        <f t="shared" ref="G170:G232" si="76">+Wh_hp/MaxiM</f>
        <v>0.5401641832509434</v>
      </c>
      <c r="H170" s="414" t="b">
        <f>Wh_hp&gt;='2026'!Maxi_hp</f>
        <v>0</v>
      </c>
      <c r="I170" s="392">
        <f>IF(H170,Wh_hp,'2026'!Maxi_hp)</f>
        <v>47.729541453271779</v>
      </c>
      <c r="J170" s="85">
        <f>IF(H170,An,'2026'!An_max)</f>
        <v>2021</v>
      </c>
      <c r="K170" s="199">
        <f t="shared" si="52"/>
        <v>46543</v>
      </c>
      <c r="L170" s="147">
        <f>IF(t&lt;Tvie,1-EXP((T0-t)*PertePVj)+'2026'!Pspv,1-EXP((T0-t)*PertePVj)+Pspv)</f>
        <v>7.2412077050710622E-2</v>
      </c>
      <c r="M170" s="870"/>
      <c r="N170" s="870"/>
      <c r="O170" s="48">
        <f>IF(t&lt;Tnet,'2026'!Resal+('2026'!Salim-'2026'!Resal)*(1-EXP(('2026'!Tnet-t)/('2026'!Tau_j))),Resal+(Salim-Resal)*(1-EXP((Tnet-t)/(Tau_j))))*Salcycl</f>
        <v>3.7296241296936421E-2</v>
      </c>
      <c r="P170" s="171">
        <f>(INDEX(Models!$BJ170:$BT170,,T170)*(1-R170)+INDEX(Models!$BJ170:$BT170,,T170+1)*R170-ERP_i)*Q170*Ramure*Pc/MaxiM</f>
        <v>9.3700551164216671E-5</v>
      </c>
      <c r="Q170" s="307">
        <f t="shared" si="53"/>
        <v>1</v>
      </c>
      <c r="R170" s="179">
        <f t="shared" si="54"/>
        <v>0.87852632421694588</v>
      </c>
      <c r="S170" s="837">
        <f t="shared" si="55"/>
        <v>-2</v>
      </c>
      <c r="T170" s="178">
        <f t="shared" si="56"/>
        <v>4</v>
      </c>
      <c r="U170" s="253">
        <f t="shared" si="57"/>
        <v>-1.1214736757830541</v>
      </c>
      <c r="V170" s="385">
        <f t="shared" si="58"/>
        <v>58.122791054941153</v>
      </c>
      <c r="W170" s="404">
        <f t="shared" si="59"/>
        <v>31.397782498217918</v>
      </c>
      <c r="X170" s="157">
        <f t="shared" si="60"/>
        <v>46543</v>
      </c>
      <c r="Y170" s="387">
        <f t="shared" si="61"/>
        <v>28.951739722733876</v>
      </c>
      <c r="Z170" s="387">
        <f t="shared" si="62"/>
        <v>31.21185496969504</v>
      </c>
      <c r="AA170" s="388">
        <f t="shared" si="63"/>
        <v>35.136458146303823</v>
      </c>
      <c r="AB170" s="199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0.1116960383504572</v>
      </c>
      <c r="AD170" s="233">
        <f>(INDEX(Models!$BJ170:$BT170,,AH170)*(1-AF170)+INDEX(Models!$BJ170:$BT170,,AH170+1)*AF170-ERP_i)*AE170*Ramure*Pc/MaxiM</f>
        <v>2.0607330514549891E-3</v>
      </c>
      <c r="AE170" s="307">
        <f t="shared" si="65"/>
        <v>1</v>
      </c>
      <c r="AF170" s="179">
        <f t="shared" si="66"/>
        <v>0.81350891714051654</v>
      </c>
      <c r="AG170" s="837">
        <f t="shared" si="74"/>
        <v>3</v>
      </c>
      <c r="AH170" s="178">
        <f t="shared" si="67"/>
        <v>9</v>
      </c>
      <c r="AI170" s="227">
        <f t="shared" si="68"/>
        <v>3.8135089171405165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46544</v>
      </c>
      <c r="B171" s="1139">
        <f>IF(t&gt;Tmaj,'2026'!Wh/'2026'!Env_an*'2027'!Env_an,0.001*'[8]mon-tableau'!$B$207)</f>
        <v>41.891705473362961</v>
      </c>
      <c r="C171" s="866"/>
      <c r="D171" s="395">
        <f t="shared" si="50"/>
        <v>45.163029121851615</v>
      </c>
      <c r="E171" s="387">
        <f t="shared" si="75"/>
        <v>46.92873902020375</v>
      </c>
      <c r="F171" s="387">
        <f t="shared" si="51"/>
        <v>46.931279142457363</v>
      </c>
      <c r="G171" s="110">
        <f t="shared" si="76"/>
        <v>0.72098546192992652</v>
      </c>
      <c r="H171" s="414" t="b">
        <f>Wh_hp&gt;='2026'!Maxi_hp</f>
        <v>0</v>
      </c>
      <c r="I171" s="392">
        <f>IF(H171,Wh_hp,'2026'!Maxi_hp)</f>
        <v>63.713317790939129</v>
      </c>
      <c r="J171" s="85">
        <f>IF(H171,An,'2026'!An_max)</f>
        <v>2019</v>
      </c>
      <c r="K171" s="199">
        <f t="shared" si="52"/>
        <v>46544</v>
      </c>
      <c r="L171" s="147">
        <f>IF(t&lt;Tvie,1-EXP((T0-t)*PertePVj)+'2026'!Pspv,1-EXP((T0-t)*PertePVj)+Pspv)</f>
        <v>7.2433663376796353E-2</v>
      </c>
      <c r="M171" s="870"/>
      <c r="N171" s="870"/>
      <c r="O171" s="48">
        <f>IF(t&lt;Tnet,'2026'!Resal+('2026'!Salim-'2026'!Resal)*(1-EXP(('2026'!Tnet-t)/('2026'!Tau_j))),Resal+(Salim-Resal)*(1-EXP((Tnet-t)/(Tau_j))))*Salcycl</f>
        <v>3.7625342918162781E-2</v>
      </c>
      <c r="P171" s="171">
        <f>(INDEX(Models!$BJ171:$BT171,,T171)*(1-R171)+INDEX(Models!$BJ171:$BT171,,T171+1)*R171-ERP_i)*Q171*Ramure*Pc/MaxiM</f>
        <v>8.9990464077620893E-5</v>
      </c>
      <c r="Q171" s="307">
        <f t="shared" si="53"/>
        <v>1</v>
      </c>
      <c r="R171" s="179">
        <f t="shared" si="54"/>
        <v>0.88566901018294186</v>
      </c>
      <c r="S171" s="837">
        <f t="shared" si="55"/>
        <v>-2</v>
      </c>
      <c r="T171" s="178">
        <f t="shared" si="56"/>
        <v>4</v>
      </c>
      <c r="U171" s="253">
        <f t="shared" si="57"/>
        <v>-1.1143309898170581</v>
      </c>
      <c r="V171" s="385">
        <f t="shared" si="58"/>
        <v>58.101314255056309</v>
      </c>
      <c r="W171" s="404">
        <f t="shared" si="59"/>
        <v>41.891705473362961</v>
      </c>
      <c r="X171" s="157">
        <f t="shared" si="60"/>
        <v>46544</v>
      </c>
      <c r="Y171" s="387">
        <f t="shared" si="61"/>
        <v>38.611451120939314</v>
      </c>
      <c r="Z171" s="387">
        <f t="shared" si="62"/>
        <v>41.62661967822585</v>
      </c>
      <c r="AA171" s="388">
        <f t="shared" si="63"/>
        <v>46.875473519324011</v>
      </c>
      <c r="AB171" s="199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0.11197441747301755</v>
      </c>
      <c r="AD171" s="233">
        <f>(INDEX(Models!$BJ171:$BT171,,AH171)*(1-AF171)+INDEX(Models!$BJ171:$BT171,,AH171+1)*AF171-ERP_i)*AE171*Ramure*Pc/MaxiM</f>
        <v>1.9770599296024568E-3</v>
      </c>
      <c r="AE171" s="307">
        <f t="shared" si="65"/>
        <v>1</v>
      </c>
      <c r="AF171" s="179">
        <f t="shared" si="66"/>
        <v>0.82065160310651208</v>
      </c>
      <c r="AG171" s="837">
        <f t="shared" si="74"/>
        <v>3</v>
      </c>
      <c r="AH171" s="178">
        <f t="shared" si="67"/>
        <v>9</v>
      </c>
      <c r="AI171" s="227">
        <f t="shared" si="68"/>
        <v>3.8206516031065121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46545</v>
      </c>
      <c r="B172" s="1139">
        <f>IF(t&gt;Tmaj,'2026'!Wh/'2026'!Env_an*'2027'!Env_an,0.001*'[8]mon-tableau'!$B$208)</f>
        <v>31.525682579668846</v>
      </c>
      <c r="C172" s="866"/>
      <c r="D172" s="395">
        <f t="shared" si="50"/>
        <v>33.988314367038832</v>
      </c>
      <c r="E172" s="387">
        <f t="shared" si="75"/>
        <v>35.329193537100245</v>
      </c>
      <c r="F172" s="387">
        <f t="shared" si="51"/>
        <v>35.330256903955146</v>
      </c>
      <c r="G172" s="110">
        <f t="shared" si="76"/>
        <v>0.54279966821507208</v>
      </c>
      <c r="H172" s="414" t="b">
        <f>Wh_hp&gt;='2026'!Maxi_hp</f>
        <v>0</v>
      </c>
      <c r="I172" s="392">
        <f>IF(H172,Wh_hp,'2026'!Maxi_hp)</f>
        <v>57.56714176960822</v>
      </c>
      <c r="J172" s="85">
        <f>IF(H172,An,'2026'!An_max)</f>
        <v>2021</v>
      </c>
      <c r="K172" s="199">
        <f t="shared" si="52"/>
        <v>46545</v>
      </c>
      <c r="L172" s="147">
        <f>IF(t&lt;Tvie,1-EXP((T0-t)*PertePVj)+'2026'!Pspv,1-EXP((T0-t)*PertePVj)+Pspv)</f>
        <v>7.2455249200536809E-2</v>
      </c>
      <c r="M172" s="870"/>
      <c r="N172" s="870"/>
      <c r="O172" s="48">
        <f>IF(t&lt;Tnet,'2026'!Resal+('2026'!Salim-'2026'!Resal)*(1-EXP(('2026'!Tnet-t)/('2026'!Tau_j))),Resal+(Salim-Resal)*(1-EXP((Tnet-t)/(Tau_j))))*Salcycl</f>
        <v>3.7953857300855529E-2</v>
      </c>
      <c r="P172" s="171">
        <f>(INDEX(Models!$BJ172:$BT172,,T172)*(1-R172)+INDEX(Models!$BJ172:$BT172,,T172+1)*R172-ERP_i)*Q172*Ramure*Pc/MaxiM</f>
        <v>8.6762340286086114E-5</v>
      </c>
      <c r="Q172" s="307">
        <f t="shared" si="53"/>
        <v>1</v>
      </c>
      <c r="R172" s="179">
        <f t="shared" si="54"/>
        <v>0.89283580536789819</v>
      </c>
      <c r="S172" s="837">
        <f t="shared" si="55"/>
        <v>-2</v>
      </c>
      <c r="T172" s="178">
        <f t="shared" si="56"/>
        <v>4</v>
      </c>
      <c r="U172" s="253">
        <f t="shared" si="57"/>
        <v>-1.1071641946321018</v>
      </c>
      <c r="V172" s="385">
        <f t="shared" si="58"/>
        <v>58.07648380605454</v>
      </c>
      <c r="W172" s="404">
        <f t="shared" si="59"/>
        <v>31.525682579668846</v>
      </c>
      <c r="X172" s="157">
        <f t="shared" si="60"/>
        <v>46545</v>
      </c>
      <c r="Y172" s="387">
        <f t="shared" si="61"/>
        <v>29.072757691496886</v>
      </c>
      <c r="Z172" s="387">
        <f t="shared" si="62"/>
        <v>31.343779010596187</v>
      </c>
      <c r="AA172" s="388">
        <f t="shared" si="63"/>
        <v>35.307015503329048</v>
      </c>
      <c r="AB172" s="199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0.11225067982195135</v>
      </c>
      <c r="AD172" s="233">
        <f>(INDEX(Models!$BJ172:$BT172,,AH172)*(1-AF172)+INDEX(Models!$BJ172:$BT172,,AH172+1)*AF172-ERP_i)*AE172*Ramure*Pc/MaxiM</f>
        <v>1.8963148047699756E-3</v>
      </c>
      <c r="AE172" s="307">
        <f t="shared" si="65"/>
        <v>1</v>
      </c>
      <c r="AF172" s="179">
        <f t="shared" si="66"/>
        <v>0.82781839829146886</v>
      </c>
      <c r="AG172" s="837">
        <f t="shared" si="74"/>
        <v>3</v>
      </c>
      <c r="AH172" s="178">
        <f t="shared" si="67"/>
        <v>9</v>
      </c>
      <c r="AI172" s="227">
        <f t="shared" si="68"/>
        <v>3.8278183982914689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46546</v>
      </c>
      <c r="B173" s="1139">
        <f>IF(t&gt;Tmaj,'2026'!Wh/'2026'!Env_an*'2027'!Env_an,0.001*'[8]mon-tableau'!$B$209)</f>
        <v>22.177657942558529</v>
      </c>
      <c r="C173" s="866"/>
      <c r="D173" s="395">
        <f t="shared" si="50"/>
        <v>23.910624303521196</v>
      </c>
      <c r="E173" s="387">
        <f t="shared" si="75"/>
        <v>24.862399568845849</v>
      </c>
      <c r="F173" s="387">
        <f t="shared" si="51"/>
        <v>24.862644447508156</v>
      </c>
      <c r="G173" s="110">
        <f t="shared" si="76"/>
        <v>0.38202553938687667</v>
      </c>
      <c r="H173" s="414" t="b">
        <f>Wh_hp&gt;='2026'!Maxi_hp</f>
        <v>0</v>
      </c>
      <c r="I173" s="392">
        <f>IF(H173,Wh_hp,'2026'!Maxi_hp)</f>
        <v>66.080309605009333</v>
      </c>
      <c r="J173" s="85">
        <f>IF(H173,An,'2026'!An_max)</f>
        <v>2019</v>
      </c>
      <c r="K173" s="199">
        <f t="shared" si="52"/>
        <v>46546</v>
      </c>
      <c r="L173" s="147">
        <f>IF(t&lt;Tvie,1-EXP((T0-t)*PertePVj)+'2026'!Pspv,1-EXP((T0-t)*PertePVj)+Pspv)</f>
        <v>7.2476834521943534E-2</v>
      </c>
      <c r="M173" s="870"/>
      <c r="N173" s="870"/>
      <c r="O173" s="48">
        <f>IF(t&lt;Tnet,'2026'!Resal+('2026'!Salim-'2026'!Resal)*(1-EXP(('2026'!Tnet-t)/('2026'!Tau_j))),Resal+(Salim-Resal)*(1-EXP((Tnet-t)/(Tau_j))))*Salcycl</f>
        <v>3.8281713826097692E-2</v>
      </c>
      <c r="P173" s="171">
        <f>(INDEX(Models!$BJ173:$BT173,,T173)*(1-R173)+INDEX(Models!$BJ173:$BT173,,T173+1)*R173-ERP_i)*Q173*Ramure*Pc/MaxiM</f>
        <v>8.4023845067974506E-5</v>
      </c>
      <c r="Q173" s="307">
        <f t="shared" si="53"/>
        <v>1</v>
      </c>
      <c r="R173" s="179">
        <f t="shared" si="54"/>
        <v>0.90002075370247137</v>
      </c>
      <c r="S173" s="837">
        <f t="shared" si="55"/>
        <v>-2</v>
      </c>
      <c r="T173" s="178">
        <f t="shared" si="56"/>
        <v>4</v>
      </c>
      <c r="U173" s="253">
        <f t="shared" si="57"/>
        <v>-1.0999792462975286</v>
      </c>
      <c r="V173" s="385">
        <f t="shared" si="58"/>
        <v>58.048508859860121</v>
      </c>
      <c r="W173" s="404">
        <f t="shared" si="59"/>
        <v>22.177657942558529</v>
      </c>
      <c r="X173" s="157">
        <f t="shared" si="60"/>
        <v>46546</v>
      </c>
      <c r="Y173" s="387">
        <f t="shared" si="61"/>
        <v>20.461421206627051</v>
      </c>
      <c r="Z173" s="387">
        <f t="shared" si="62"/>
        <v>22.060280506396829</v>
      </c>
      <c r="AA173" s="388">
        <f t="shared" si="63"/>
        <v>24.857344792522948</v>
      </c>
      <c r="AB173" s="199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0.11252466059719587</v>
      </c>
      <c r="AD173" s="233">
        <f>(INDEX(Models!$BJ173:$BT173,,AH173)*(1-AF173)+INDEX(Models!$BJ173:$BT173,,AH173+1)*AF173-ERP_i)*AE173*Ramure*Pc/MaxiM</f>
        <v>1.8184409584393367E-3</v>
      </c>
      <c r="AE173" s="307">
        <f t="shared" si="65"/>
        <v>1</v>
      </c>
      <c r="AF173" s="179">
        <f t="shared" si="66"/>
        <v>0.83500334662604203</v>
      </c>
      <c r="AG173" s="837">
        <f t="shared" si="74"/>
        <v>3</v>
      </c>
      <c r="AH173" s="178">
        <f t="shared" si="67"/>
        <v>9</v>
      </c>
      <c r="AI173" s="227">
        <f t="shared" si="68"/>
        <v>3.835003346626042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46547</v>
      </c>
      <c r="B174" s="1139">
        <f>IF(t&gt;Tmaj,'2026'!Wh/'2026'!Env_an*'2027'!Env_an,0.001*'[8]mon-tableau'!$B$210)</f>
        <v>44.110752816963739</v>
      </c>
      <c r="C174" s="866"/>
      <c r="D174" s="395">
        <f t="shared" si="50"/>
        <v>47.558682094777581</v>
      </c>
      <c r="E174" s="387">
        <f t="shared" si="75"/>
        <v>49.468607786433218</v>
      </c>
      <c r="F174" s="387">
        <f t="shared" si="51"/>
        <v>49.471268255462164</v>
      </c>
      <c r="G174" s="110">
        <f t="shared" si="76"/>
        <v>0.76027823959029039</v>
      </c>
      <c r="H174" s="414" t="b">
        <f>Wh_hp&gt;='2026'!Maxi_hp</f>
        <v>0</v>
      </c>
      <c r="I174" s="392">
        <f>IF(H174,Wh_hp,'2026'!Maxi_hp)</f>
        <v>60.192808761372696</v>
      </c>
      <c r="J174" s="85">
        <f>IF(H174,An,'2026'!An_max)</f>
        <v>2021</v>
      </c>
      <c r="K174" s="199">
        <f t="shared" si="52"/>
        <v>46547</v>
      </c>
      <c r="L174" s="147">
        <f>IF(t&lt;Tvie,1-EXP((T0-t)*PertePVj)+'2026'!Pspv,1-EXP((T0-t)*PertePVj)+Pspv)</f>
        <v>7.2498419341028408E-2</v>
      </c>
      <c r="M174" s="870"/>
      <c r="N174" s="870"/>
      <c r="O174" s="48">
        <f>IF(t&lt;Tnet,'2026'!Resal+('2026'!Salim-'2026'!Resal)*(1-EXP(('2026'!Tnet-t)/('2026'!Tau_j))),Resal+(Salim-Resal)*(1-EXP((Tnet-t)/(Tau_j))))*Salcycl</f>
        <v>3.8608842599759455E-2</v>
      </c>
      <c r="P174" s="171">
        <f>(INDEX(Models!$BJ174:$BT174,,T174)*(1-R174)+INDEX(Models!$BJ174:$BT174,,T174+1)*R174-ERP_i)*Q174*Ramure*Pc/MaxiM</f>
        <v>8.1782930668067213E-5</v>
      </c>
      <c r="Q174" s="307">
        <f t="shared" si="53"/>
        <v>1</v>
      </c>
      <c r="R174" s="179">
        <f t="shared" si="54"/>
        <v>0.90721783820449953</v>
      </c>
      <c r="S174" s="837">
        <f t="shared" si="55"/>
        <v>-2</v>
      </c>
      <c r="T174" s="178">
        <f t="shared" si="56"/>
        <v>4</v>
      </c>
      <c r="U174" s="253">
        <f t="shared" si="57"/>
        <v>-1.0927821617955005</v>
      </c>
      <c r="V174" s="385">
        <f t="shared" si="58"/>
        <v>58.017598213181898</v>
      </c>
      <c r="W174" s="404">
        <f t="shared" si="59"/>
        <v>44.110752816963739</v>
      </c>
      <c r="X174" s="157">
        <f t="shared" si="60"/>
        <v>46547</v>
      </c>
      <c r="Y174" s="387">
        <f t="shared" si="61"/>
        <v>40.662393189814118</v>
      </c>
      <c r="Z174" s="387">
        <f t="shared" si="62"/>
        <v>43.840780477079392</v>
      </c>
      <c r="AA174" s="388">
        <f t="shared" si="63"/>
        <v>49.414554484782514</v>
      </c>
      <c r="AB174" s="199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0.1127962007513312</v>
      </c>
      <c r="AD174" s="233">
        <f>(INDEX(Models!$BJ174:$BT174,,AH174)*(1-AF174)+INDEX(Models!$BJ174:$BT174,,AH174+1)*AF174-ERP_i)*AE174*Ramure*Pc/MaxiM</f>
        <v>1.7433837135317144E-3</v>
      </c>
      <c r="AE174" s="307">
        <f t="shared" si="65"/>
        <v>1</v>
      </c>
      <c r="AF174" s="179">
        <f t="shared" si="66"/>
        <v>0.84220043112807019</v>
      </c>
      <c r="AG174" s="837">
        <f t="shared" si="74"/>
        <v>3</v>
      </c>
      <c r="AH174" s="178">
        <f t="shared" si="67"/>
        <v>9</v>
      </c>
      <c r="AI174" s="227">
        <f t="shared" si="68"/>
        <v>3.8422004311280702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46548</v>
      </c>
      <c r="B175" s="1139">
        <f>IF(t&gt;Tmaj,'2026'!Wh/'2026'!Env_an*'2027'!Env_an,0.001*'[8]mon-tableau'!$B$211)</f>
        <v>57.938632815980874</v>
      </c>
      <c r="C175" s="866"/>
      <c r="D175" s="395">
        <f t="shared" si="50"/>
        <v>62.468875926682742</v>
      </c>
      <c r="E175" s="387">
        <f t="shared" si="75"/>
        <v>64.999648603376357</v>
      </c>
      <c r="F175" s="387">
        <f t="shared" si="51"/>
        <v>65.004846287593224</v>
      </c>
      <c r="G175" s="110">
        <f t="shared" si="76"/>
        <v>0.99921818638352089</v>
      </c>
      <c r="H175" s="414" t="b">
        <f>Wh_hp&gt;='2026'!Maxi_hp</f>
        <v>0</v>
      </c>
      <c r="I175" s="392">
        <f>IF(H175,Wh_hp,'2026'!Maxi_hp)</f>
        <v>65.004851205487213</v>
      </c>
      <c r="J175" s="85">
        <f>IF(H175,An,'2026'!An_max)</f>
        <v>2025</v>
      </c>
      <c r="K175" s="199">
        <f t="shared" si="52"/>
        <v>46548</v>
      </c>
      <c r="L175" s="147">
        <f>IF(t&lt;Tvie,1-EXP((T0-t)*PertePVj)+'2026'!Pspv,1-EXP((T0-t)*PertePVj)+Pspv)</f>
        <v>7.2520003657802867E-2</v>
      </c>
      <c r="M175" s="870"/>
      <c r="N175" s="870"/>
      <c r="O175" s="48">
        <f>IF(t&lt;Tnet,'2026'!Resal+('2026'!Salim-'2026'!Resal)*(1-EXP(('2026'!Tnet-t)/('2026'!Tau_j))),Resal+(Salim-Resal)*(1-EXP((Tnet-t)/(Tau_j))))*Salcycl</f>
        <v>3.8935174744347052E-2</v>
      </c>
      <c r="P175" s="171">
        <f>(INDEX(Models!$BJ175:$BT175,,T175)*(1-R175)+INDEX(Models!$BJ175:$BT175,,T175+1)*R175-ERP_i)*Q175*Ramure*Pc/MaxiM</f>
        <v>8.0047804310204377E-5</v>
      </c>
      <c r="Q175" s="307">
        <f t="shared" si="53"/>
        <v>1</v>
      </c>
      <c r="R175" s="179">
        <f t="shared" si="54"/>
        <v>0.91442100103991564</v>
      </c>
      <c r="S175" s="837">
        <f t="shared" si="55"/>
        <v>-2</v>
      </c>
      <c r="T175" s="178">
        <f t="shared" si="56"/>
        <v>4</v>
      </c>
      <c r="U175" s="253">
        <f t="shared" si="57"/>
        <v>-1.0855789989600844</v>
      </c>
      <c r="V175" s="385">
        <f t="shared" si="58"/>
        <v>57.983960285929825</v>
      </c>
      <c r="W175" s="404">
        <f t="shared" si="59"/>
        <v>57.938632815980874</v>
      </c>
      <c r="X175" s="157">
        <f t="shared" si="60"/>
        <v>46548</v>
      </c>
      <c r="Y175" s="387">
        <f t="shared" si="61"/>
        <v>53.384658350513263</v>
      </c>
      <c r="Z175" s="387">
        <f t="shared" si="62"/>
        <v>57.558824514870508</v>
      </c>
      <c r="AA175" s="388">
        <f t="shared" si="63"/>
        <v>64.89633862135608</v>
      </c>
      <c r="AB175" s="199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0.11306514762407487</v>
      </c>
      <c r="AD175" s="233">
        <f>(INDEX(Models!$BJ175:$BT175,,AH175)*(1-AF175)+INDEX(Models!$BJ175:$BT175,,AH175+1)*AF175-ERP_i)*AE175*Ramure*Pc/MaxiM</f>
        <v>1.6710904454169319E-3</v>
      </c>
      <c r="AE175" s="307">
        <f t="shared" si="65"/>
        <v>1</v>
      </c>
      <c r="AF175" s="179">
        <f t="shared" si="66"/>
        <v>0.84940359396348608</v>
      </c>
      <c r="AG175" s="837">
        <f t="shared" si="74"/>
        <v>3</v>
      </c>
      <c r="AH175" s="178">
        <f t="shared" si="67"/>
        <v>9</v>
      </c>
      <c r="AI175" s="227">
        <f t="shared" si="68"/>
        <v>3.8494035939634861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46549</v>
      </c>
      <c r="B176" s="1139">
        <f>IF(t&gt;Tmaj,'2026'!Wh/'2026'!Env_an*'2027'!Env_an,0.001*'[8]mon-tableau'!$B$212)</f>
        <v>54.354845566535786</v>
      </c>
      <c r="C176" s="866"/>
      <c r="D176" s="395">
        <f t="shared" si="50"/>
        <v>58.60623488054366</v>
      </c>
      <c r="E176" s="387">
        <f t="shared" si="75"/>
        <v>61.001180428922098</v>
      </c>
      <c r="F176" s="387">
        <f t="shared" si="51"/>
        <v>61.005563355824947</v>
      </c>
      <c r="G176" s="110">
        <f t="shared" si="76"/>
        <v>0.9379901067340094</v>
      </c>
      <c r="H176" s="414" t="b">
        <f>Wh_hp&gt;='2026'!Maxi_hp</f>
        <v>0</v>
      </c>
      <c r="I176" s="392">
        <f>IF(H176,Wh_hp,'2026'!Maxi_hp)</f>
        <v>61.005921285165762</v>
      </c>
      <c r="J176" s="85">
        <f>IF(H176,An,'2026'!An_max)</f>
        <v>2025</v>
      </c>
      <c r="K176" s="199">
        <f t="shared" si="52"/>
        <v>46549</v>
      </c>
      <c r="L176" s="147">
        <f>IF(t&lt;Tvie,1-EXP((T0-t)*PertePVj)+'2026'!Pspv,1-EXP((T0-t)*PertePVj)+Pspv)</f>
        <v>7.254158747227879E-2</v>
      </c>
      <c r="M176" s="870"/>
      <c r="N176" s="870"/>
      <c r="O176" s="48">
        <f>IF(t&lt;Tnet,'2026'!Resal+('2026'!Salim-'2026'!Resal)*(1-EXP(('2026'!Tnet-t)/('2026'!Tau_j))),Resal+(Salim-Resal)*(1-EXP((Tnet-t)/(Tau_j))))*Salcycl</f>
        <v>3.9260642688201737E-2</v>
      </c>
      <c r="P176" s="171">
        <f>(INDEX(Models!$BJ176:$BT176,,T176)*(1-R176)+INDEX(Models!$BJ176:$BT176,,T176+1)*R176-ERP_i)*Q176*Ramure*Pc/MaxiM</f>
        <v>7.8826895543775185E-5</v>
      </c>
      <c r="Q176" s="307">
        <f t="shared" si="53"/>
        <v>1</v>
      </c>
      <c r="R176" s="179">
        <f t="shared" si="54"/>
        <v>0.92162416387533197</v>
      </c>
      <c r="S176" s="837">
        <f t="shared" si="55"/>
        <v>-2</v>
      </c>
      <c r="T176" s="178">
        <f t="shared" si="56"/>
        <v>4</v>
      </c>
      <c r="U176" s="253">
        <f t="shared" si="57"/>
        <v>-1.078375836124668</v>
      </c>
      <c r="V176" s="385">
        <f t="shared" si="58"/>
        <v>57.947803109367818</v>
      </c>
      <c r="W176" s="404">
        <f t="shared" si="59"/>
        <v>54.354845566535786</v>
      </c>
      <c r="X176" s="157">
        <f t="shared" si="60"/>
        <v>46549</v>
      </c>
      <c r="Y176" s="387">
        <f t="shared" si="61"/>
        <v>50.09459321101042</v>
      </c>
      <c r="Z176" s="387">
        <f t="shared" si="62"/>
        <v>54.012764922236471</v>
      </c>
      <c r="AA176" s="388">
        <f t="shared" si="63"/>
        <v>60.916516288553836</v>
      </c>
      <c r="AB176" s="199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0.11333135554921052</v>
      </c>
      <c r="AD176" s="233">
        <f>(INDEX(Models!$BJ176:$BT176,,AH176)*(1-AF176)+INDEX(Models!$BJ176:$BT176,,AH176+1)*AF176-ERP_i)*AE176*Ramure*Pc/MaxiM</f>
        <v>1.60151059459756E-3</v>
      </c>
      <c r="AE176" s="307">
        <f t="shared" si="65"/>
        <v>1</v>
      </c>
      <c r="AF176" s="179">
        <f t="shared" si="66"/>
        <v>0.85660675679890241</v>
      </c>
      <c r="AG176" s="837">
        <f t="shared" si="74"/>
        <v>3</v>
      </c>
      <c r="AH176" s="178">
        <f t="shared" si="67"/>
        <v>9</v>
      </c>
      <c r="AI176" s="227">
        <f t="shared" si="68"/>
        <v>3.8566067567989024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46550</v>
      </c>
      <c r="B177" s="1139">
        <f>IF(t&gt;Tmaj,'2026'!Wh/'2026'!Env_an*'2027'!Env_an,0.001*'[8]mon-tableau'!$B$213)</f>
        <v>42.894012990790984</v>
      </c>
      <c r="C177" s="866"/>
      <c r="D177" s="395">
        <f t="shared" si="50"/>
        <v>46.250064305805793</v>
      </c>
      <c r="E177" s="387">
        <f t="shared" si="75"/>
        <v>48.156341785185148</v>
      </c>
      <c r="F177" s="387">
        <f t="shared" si="51"/>
        <v>48.158710756065084</v>
      </c>
      <c r="G177" s="110">
        <f t="shared" si="76"/>
        <v>0.74070041109234908</v>
      </c>
      <c r="H177" s="414" t="b">
        <f>Wh_hp&gt;='2026'!Maxi_hp</f>
        <v>0</v>
      </c>
      <c r="I177" s="392">
        <f>IF(H177,Wh_hp,'2026'!Maxi_hp)</f>
        <v>60.932539305572888</v>
      </c>
      <c r="J177" s="85">
        <f>IF(H177,An,'2026'!An_max)</f>
        <v>2019</v>
      </c>
      <c r="K177" s="199">
        <f t="shared" si="52"/>
        <v>46550</v>
      </c>
      <c r="L177" s="147">
        <f>IF(t&lt;Tvie,1-EXP((T0-t)*PertePVj)+'2026'!Pspv,1-EXP((T0-t)*PertePVj)+Pspv)</f>
        <v>7.2563170784467945E-2</v>
      </c>
      <c r="M177" s="870"/>
      <c r="N177" s="870"/>
      <c r="O177" s="48">
        <f>IF(t&lt;Tnet,'2026'!Resal+('2026'!Salim-'2026'!Resal)*(1-EXP(('2026'!Tnet-t)/('2026'!Tau_j))),Resal+(Salim-Resal)*(1-EXP((Tnet-t)/(Tau_j))))*Salcycl</f>
        <v>3.9585180450019283E-2</v>
      </c>
      <c r="P177" s="171">
        <f>(INDEX(Models!$BJ177:$BT177,,T177)*(1-R177)+INDEX(Models!$BJ177:$BT177,,T177+1)*R177-ERP_i)*Q177*Ramure*Pc/MaxiM</f>
        <v>7.8130090943218477E-5</v>
      </c>
      <c r="Q177" s="307">
        <f t="shared" si="53"/>
        <v>1</v>
      </c>
      <c r="R177" s="179">
        <f t="shared" si="54"/>
        <v>0.92882124837736013</v>
      </c>
      <c r="S177" s="837">
        <f t="shared" si="55"/>
        <v>-2</v>
      </c>
      <c r="T177" s="178">
        <f t="shared" si="56"/>
        <v>4</v>
      </c>
      <c r="U177" s="253">
        <f t="shared" si="57"/>
        <v>-1.0711787516226399</v>
      </c>
      <c r="V177" s="385">
        <f t="shared" si="58"/>
        <v>57.908394500459814</v>
      </c>
      <c r="W177" s="404">
        <f t="shared" si="59"/>
        <v>42.894012990790984</v>
      </c>
      <c r="X177" s="157">
        <f t="shared" si="60"/>
        <v>46550</v>
      </c>
      <c r="Y177" s="387">
        <f t="shared" si="61"/>
        <v>39.552298089090804</v>
      </c>
      <c r="Z177" s="387">
        <f t="shared" si="62"/>
        <v>42.646891780808325</v>
      </c>
      <c r="AA177" s="388">
        <f t="shared" si="63"/>
        <v>48.11217975333102</v>
      </c>
      <c r="AB177" s="199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0.11359468642956892</v>
      </c>
      <c r="AD177" s="233">
        <f>(INDEX(Models!$BJ177:$BT177,,AH177)*(1-AF177)+INDEX(Models!$BJ177:$BT177,,AH177+1)*AF177-ERP_i)*AE177*Ramure*Pc/MaxiM</f>
        <v>1.5346205840173742E-3</v>
      </c>
      <c r="AE177" s="307">
        <f t="shared" si="65"/>
        <v>1</v>
      </c>
      <c r="AF177" s="179">
        <f t="shared" si="66"/>
        <v>0.86380384130093057</v>
      </c>
      <c r="AG177" s="837">
        <f t="shared" si="74"/>
        <v>3</v>
      </c>
      <c r="AH177" s="178">
        <f t="shared" si="67"/>
        <v>9</v>
      </c>
      <c r="AI177" s="227">
        <f t="shared" si="68"/>
        <v>3.8638038413009306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46551</v>
      </c>
      <c r="B178" s="1139">
        <f>IF(t&gt;Tmaj,'2026'!Wh/'2026'!Env_an*'2027'!Env_an,0.001*'[8]mon-tableau'!$B$214)</f>
        <v>52.694353663893231</v>
      </c>
      <c r="C178" s="866"/>
      <c r="D178" s="395">
        <f t="shared" si="50"/>
        <v>56.818511306688833</v>
      </c>
      <c r="E178" s="387">
        <f t="shared" si="75"/>
        <v>59.180322456921047</v>
      </c>
      <c r="F178" s="387">
        <f t="shared" si="51"/>
        <v>59.184347636169015</v>
      </c>
      <c r="G178" s="110">
        <f t="shared" si="76"/>
        <v>0.91063382097329837</v>
      </c>
      <c r="H178" s="414" t="b">
        <f>Wh_hp&gt;='2026'!Maxi_hp</f>
        <v>0</v>
      </c>
      <c r="I178" s="392">
        <f>IF(H178,Wh_hp,'2026'!Maxi_hp)</f>
        <v>63.578698622220735</v>
      </c>
      <c r="J178" s="85">
        <f>IF(H178,An,'2026'!An_max)</f>
        <v>2019</v>
      </c>
      <c r="K178" s="199">
        <f t="shared" si="52"/>
        <v>46551</v>
      </c>
      <c r="L178" s="147">
        <f>IF(t&lt;Tvie,1-EXP((T0-t)*PertePVj)+'2026'!Pspv,1-EXP((T0-t)*PertePVj)+Pspv)</f>
        <v>7.2584753594381768E-2</v>
      </c>
      <c r="M178" s="870"/>
      <c r="N178" s="870"/>
      <c r="O178" s="48">
        <f>IF(t&lt;Tnet,'2026'!Resal+('2026'!Salim-'2026'!Resal)*(1-EXP(('2026'!Tnet-t)/('2026'!Tau_j))),Resal+(Salim-Resal)*(1-EXP((Tnet-t)/(Tau_j))))*Salcycl</f>
        <v>3.9908723916660727E-2</v>
      </c>
      <c r="P178" s="171">
        <f>(INDEX(Models!$BJ178:$BT178,,T178)*(1-R178)+INDEX(Models!$BJ178:$BT178,,T178+1)*R178-ERP_i)*Q178*Ramure*Pc/MaxiM</f>
        <v>7.7963099969173658E-5</v>
      </c>
      <c r="Q178" s="307">
        <f t="shared" si="53"/>
        <v>1</v>
      </c>
      <c r="R178" s="179">
        <f t="shared" si="54"/>
        <v>0.9360061967119333</v>
      </c>
      <c r="S178" s="837">
        <f t="shared" si="55"/>
        <v>-2</v>
      </c>
      <c r="T178" s="178">
        <f t="shared" si="56"/>
        <v>4</v>
      </c>
      <c r="U178" s="253">
        <f t="shared" si="57"/>
        <v>-1.0639938032880667</v>
      </c>
      <c r="V178" s="385">
        <f t="shared" si="58"/>
        <v>57.865003460801816</v>
      </c>
      <c r="W178" s="404">
        <f t="shared" si="59"/>
        <v>52.694353663893231</v>
      </c>
      <c r="X178" s="157">
        <f t="shared" si="60"/>
        <v>46551</v>
      </c>
      <c r="Y178" s="387">
        <f t="shared" si="61"/>
        <v>48.576607783886701</v>
      </c>
      <c r="Z178" s="387">
        <f t="shared" si="62"/>
        <v>52.378487384324316</v>
      </c>
      <c r="AA178" s="388">
        <f t="shared" si="63"/>
        <v>59.108258797050844</v>
      </c>
      <c r="AB178" s="199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0.11385501027586188</v>
      </c>
      <c r="AD178" s="233">
        <f>(INDEX(Models!$BJ178:$BT178,,AH178)*(1-AF178)+INDEX(Models!$BJ178:$BT178,,AH178+1)*AF178-ERP_i)*AE178*Ramure*Pc/MaxiM</f>
        <v>1.4737534418390531E-3</v>
      </c>
      <c r="AE178" s="307">
        <f t="shared" si="65"/>
        <v>1</v>
      </c>
      <c r="AF178" s="179">
        <f t="shared" si="66"/>
        <v>0.87098878963550375</v>
      </c>
      <c r="AG178" s="837">
        <f t="shared" si="74"/>
        <v>3</v>
      </c>
      <c r="AH178" s="178">
        <f t="shared" si="67"/>
        <v>9</v>
      </c>
      <c r="AI178" s="227">
        <f t="shared" si="68"/>
        <v>3.8709887896355037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46552</v>
      </c>
      <c r="B179" s="1139">
        <f>IF(t&gt;Tmaj,'2026'!Wh/'2026'!Env_an*'2027'!Env_an,0.001*'[8]mon-tableau'!$B$215)</f>
        <v>45.254600505863792</v>
      </c>
      <c r="C179" s="866"/>
      <c r="D179" s="395">
        <f t="shared" si="50"/>
        <v>48.797616651695385</v>
      </c>
      <c r="E179" s="387">
        <f t="shared" si="75"/>
        <v>50.843095979652936</v>
      </c>
      <c r="F179" s="387">
        <f t="shared" si="51"/>
        <v>50.845826683396595</v>
      </c>
      <c r="G179" s="110">
        <f t="shared" si="76"/>
        <v>0.78269071997035844</v>
      </c>
      <c r="H179" s="414" t="b">
        <f>Wh_hp&gt;='2026'!Maxi_hp</f>
        <v>0</v>
      </c>
      <c r="I179" s="392">
        <f>IF(H179,Wh_hp,'2026'!Maxi_hp)</f>
        <v>54.737043912408573</v>
      </c>
      <c r="J179" s="85">
        <f>IF(H179,An,'2026'!An_max)</f>
        <v>2021</v>
      </c>
      <c r="K179" s="199">
        <f t="shared" si="52"/>
        <v>46552</v>
      </c>
      <c r="L179" s="147">
        <f>IF(t&lt;Tvie,1-EXP((T0-t)*PertePVj)+'2026'!Pspv,1-EXP((T0-t)*PertePVj)+Pspv)</f>
        <v>7.2606335902032137E-2</v>
      </c>
      <c r="M179" s="870"/>
      <c r="N179" s="870"/>
      <c r="O179" s="48">
        <f>IF(t&lt;Tnet,'2026'!Resal+('2026'!Salim-'2026'!Resal)*(1-EXP(('2026'!Tnet-t)/('2026'!Tau_j))),Resal+(Salim-Resal)*(1-EXP((Tnet-t)/(Tau_j))))*Salcycl</f>
        <v>4.0231211112244987E-2</v>
      </c>
      <c r="P179" s="171">
        <f>(INDEX(Models!$BJ179:$BT179,,T179)*(1-R179)+INDEX(Models!$BJ179:$BT179,,T179+1)*R179-ERP_i)*Q179*Ramure*Pc/MaxiM</f>
        <v>7.7880967488794272E-5</v>
      </c>
      <c r="Q179" s="307">
        <f t="shared" si="53"/>
        <v>1</v>
      </c>
      <c r="R179" s="179">
        <f t="shared" si="54"/>
        <v>0.94317299189688963</v>
      </c>
      <c r="S179" s="837">
        <f t="shared" si="55"/>
        <v>-2</v>
      </c>
      <c r="T179" s="178">
        <f t="shared" si="56"/>
        <v>4</v>
      </c>
      <c r="U179" s="253">
        <f t="shared" si="57"/>
        <v>-1.0568270081031104</v>
      </c>
      <c r="V179" s="385">
        <f t="shared" si="58"/>
        <v>57.817865018946044</v>
      </c>
      <c r="W179" s="404">
        <f t="shared" si="59"/>
        <v>45.254600505863792</v>
      </c>
      <c r="X179" s="157">
        <f t="shared" si="60"/>
        <v>46552</v>
      </c>
      <c r="Y179" s="387">
        <f t="shared" si="61"/>
        <v>41.732359619141626</v>
      </c>
      <c r="Z179" s="387">
        <f t="shared" si="62"/>
        <v>44.999616920752558</v>
      </c>
      <c r="AA179" s="388">
        <f t="shared" si="63"/>
        <v>50.796068317640263</v>
      </c>
      <c r="AB179" s="199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0.11411220570539198</v>
      </c>
      <c r="AD179" s="233">
        <f>(INDEX(Models!$BJ179:$BT179,,AH179)*(1-AF179)+INDEX(Models!$BJ179:$BT179,,AH179+1)*AF179-ERP_i)*AE179*Ramure*Pc/MaxiM</f>
        <v>1.4191322199488025E-3</v>
      </c>
      <c r="AE179" s="307">
        <f t="shared" si="65"/>
        <v>1</v>
      </c>
      <c r="AF179" s="179">
        <f t="shared" si="66"/>
        <v>0.87815558482046008</v>
      </c>
      <c r="AG179" s="837">
        <f t="shared" si="74"/>
        <v>3</v>
      </c>
      <c r="AH179" s="178">
        <f t="shared" si="67"/>
        <v>9</v>
      </c>
      <c r="AI179" s="227">
        <f t="shared" si="68"/>
        <v>3.8781555848204601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46553</v>
      </c>
      <c r="B180" s="1139">
        <f>IF(t&gt;Tmaj,'2026'!Wh/'2026'!Env_an*'2027'!Env_an,0.001*'[8]mon-tableau'!$B$216)</f>
        <v>53.449317625660747</v>
      </c>
      <c r="C180" s="866"/>
      <c r="D180" s="395">
        <f t="shared" si="50"/>
        <v>57.635245492324877</v>
      </c>
      <c r="E180" s="387">
        <f t="shared" si="75"/>
        <v>60.071291493902997</v>
      </c>
      <c r="F180" s="387">
        <f t="shared" si="51"/>
        <v>60.075470865224752</v>
      </c>
      <c r="G180" s="110">
        <f t="shared" si="76"/>
        <v>0.92524623497243819</v>
      </c>
      <c r="H180" s="414" t="b">
        <f>Wh_hp&gt;='2026'!Maxi_hp</f>
        <v>0</v>
      </c>
      <c r="I180" s="392">
        <f>IF(H180,Wh_hp,'2026'!Maxi_hp)</f>
        <v>60.075880224135837</v>
      </c>
      <c r="J180" s="85">
        <f>IF(H180,An,'2026'!An_max)</f>
        <v>2025</v>
      </c>
      <c r="K180" s="199">
        <f t="shared" si="52"/>
        <v>46553</v>
      </c>
      <c r="L180" s="147">
        <f>IF(t&lt;Tvie,1-EXP((T0-t)*PertePVj)+'2026'!Pspv,1-EXP((T0-t)*PertePVj)+Pspv)</f>
        <v>7.26279177074306E-2</v>
      </c>
      <c r="M180" s="870"/>
      <c r="N180" s="870"/>
      <c r="O180" s="48">
        <f>IF(t&lt;Tnet,'2026'!Resal+('2026'!Salim-'2026'!Resal)*(1-EXP(('2026'!Tnet-t)/('2026'!Tau_j))),Resal+(Salim-Resal)*(1-EXP((Tnet-t)/(Tau_j))))*Salcycl</f>
        <v>4.0552582456552834E-2</v>
      </c>
      <c r="P180" s="171">
        <f>(INDEX(Models!$BJ180:$BT180,,T180)*(1-R180)+INDEX(Models!$BJ180:$BT180,,T180+1)*R180-ERP_i)*Q180*Ramure*Pc/MaxiM</f>
        <v>7.7885279798479894E-5</v>
      </c>
      <c r="Q180" s="307">
        <f t="shared" si="53"/>
        <v>1</v>
      </c>
      <c r="R180" s="179">
        <f t="shared" si="54"/>
        <v>0.95031567786288562</v>
      </c>
      <c r="S180" s="837">
        <f t="shared" si="55"/>
        <v>-2</v>
      </c>
      <c r="T180" s="178">
        <f t="shared" si="56"/>
        <v>4</v>
      </c>
      <c r="U180" s="253">
        <f t="shared" si="57"/>
        <v>-1.0496843221371144</v>
      </c>
      <c r="V180" s="385">
        <f t="shared" si="58"/>
        <v>57.767187866312078</v>
      </c>
      <c r="W180" s="404">
        <f t="shared" si="59"/>
        <v>53.449317625660747</v>
      </c>
      <c r="X180" s="157">
        <f t="shared" si="60"/>
        <v>46553</v>
      </c>
      <c r="Y180" s="387">
        <f t="shared" si="61"/>
        <v>49.280297414687247</v>
      </c>
      <c r="Z180" s="387">
        <f t="shared" si="62"/>
        <v>53.139724988119916</v>
      </c>
      <c r="AA180" s="388">
        <f t="shared" si="63"/>
        <v>60.001913445330885</v>
      </c>
      <c r="AB180" s="199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0.11436616039692249</v>
      </c>
      <c r="AD180" s="233">
        <f>(INDEX(Models!$BJ180:$BT180,,AH180)*(1-AF180)+INDEX(Models!$BJ180:$BT180,,AH180+1)*AF180-ERP_i)*AE180*Ramure*Pc/MaxiM</f>
        <v>1.3707899558642188E-3</v>
      </c>
      <c r="AE180" s="307">
        <f t="shared" si="65"/>
        <v>1</v>
      </c>
      <c r="AF180" s="179">
        <f t="shared" si="66"/>
        <v>0.88529827078645607</v>
      </c>
      <c r="AG180" s="837">
        <f t="shared" si="74"/>
        <v>3</v>
      </c>
      <c r="AH180" s="178">
        <f t="shared" si="67"/>
        <v>9</v>
      </c>
      <c r="AI180" s="227">
        <f t="shared" si="68"/>
        <v>3.8852982707864561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46554</v>
      </c>
      <c r="B181" s="1139">
        <f>IF(t&gt;Tmaj,'2026'!Wh/'2026'!Env_an*'2027'!Env_an,0.001*'[8]mon-tableau'!$B$217)</f>
        <v>49.615786319699239</v>
      </c>
      <c r="C181" s="866"/>
      <c r="D181" s="395">
        <f t="shared" si="50"/>
        <v>53.502733073161707</v>
      </c>
      <c r="E181" s="387">
        <f t="shared" si="75"/>
        <v>55.782728311629441</v>
      </c>
      <c r="F181" s="387">
        <f t="shared" si="51"/>
        <v>55.78620648450822</v>
      </c>
      <c r="G181" s="110">
        <f t="shared" si="76"/>
        <v>0.85968249586149181</v>
      </c>
      <c r="H181" s="414" t="b">
        <f>Wh_hp&gt;='2026'!Maxi_hp</f>
        <v>0</v>
      </c>
      <c r="I181" s="392">
        <f>IF(H181,Wh_hp,'2026'!Maxi_hp)</f>
        <v>65.146942528286331</v>
      </c>
      <c r="J181" s="85">
        <f>IF(H181,An,'2026'!An_max)</f>
        <v>2019</v>
      </c>
      <c r="K181" s="199">
        <f t="shared" si="52"/>
        <v>46554</v>
      </c>
      <c r="L181" s="147">
        <f>IF(t&lt;Tvie,1-EXP((T0-t)*PertePVj)+'2026'!Pspv,1-EXP((T0-t)*PertePVj)+Pspv)</f>
        <v>7.2649499010588925E-2</v>
      </c>
      <c r="M181" s="870"/>
      <c r="N181" s="870"/>
      <c r="O181" s="48">
        <f>IF(t&lt;Tnet,'2026'!Resal+('2026'!Salim-'2026'!Resal)*(1-EXP(('2026'!Tnet-t)/('2026'!Tau_j))),Resal+(Salim-Resal)*(1-EXP((Tnet-t)/(Tau_j))))*Salcycl</f>
        <v>4.0872781010827759E-2</v>
      </c>
      <c r="P181" s="171">
        <f>(INDEX(Models!$BJ181:$BT181,,T181)*(1-R181)+INDEX(Models!$BJ181:$BT181,,T181+1)*R181-ERP_i)*Q181*Ramure*Pc/MaxiM</f>
        <v>7.7977664411947744E-5</v>
      </c>
      <c r="Q181" s="307">
        <f t="shared" si="53"/>
        <v>1</v>
      </c>
      <c r="R181" s="179">
        <f t="shared" si="54"/>
        <v>0.95742837908126632</v>
      </c>
      <c r="S181" s="837">
        <f t="shared" si="55"/>
        <v>-2</v>
      </c>
      <c r="T181" s="178">
        <f t="shared" si="56"/>
        <v>4</v>
      </c>
      <c r="U181" s="253">
        <f t="shared" si="57"/>
        <v>-1.0425716209187337</v>
      </c>
      <c r="V181" s="385">
        <f t="shared" si="58"/>
        <v>57.713180208948877</v>
      </c>
      <c r="W181" s="404">
        <f t="shared" si="59"/>
        <v>49.615786319699239</v>
      </c>
      <c r="X181" s="157">
        <f t="shared" si="60"/>
        <v>46554</v>
      </c>
      <c r="Y181" s="387">
        <f t="shared" si="61"/>
        <v>45.755191542826701</v>
      </c>
      <c r="Z181" s="387">
        <f t="shared" si="62"/>
        <v>49.339695718080122</v>
      </c>
      <c r="AA181" s="388">
        <f t="shared" si="63"/>
        <v>55.726937364258745</v>
      </c>
      <c r="AB181" s="199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0.11461677149828757</v>
      </c>
      <c r="AD181" s="233">
        <f>(INDEX(Models!$BJ181:$BT181,,AH181)*(1-AF181)+INDEX(Models!$BJ181:$BT181,,AH181+1)*AF181-ERP_i)*AE181*Ramure*Pc/MaxiM</f>
        <v>1.3287630402166147E-3</v>
      </c>
      <c r="AE181" s="307">
        <f t="shared" si="65"/>
        <v>1</v>
      </c>
      <c r="AF181" s="179">
        <f t="shared" si="66"/>
        <v>0.89241097200483654</v>
      </c>
      <c r="AG181" s="837">
        <f t="shared" si="74"/>
        <v>3</v>
      </c>
      <c r="AH181" s="178">
        <f t="shared" si="67"/>
        <v>9</v>
      </c>
      <c r="AI181" s="227">
        <f t="shared" si="68"/>
        <v>3.8924109720048365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46555</v>
      </c>
      <c r="B182" s="1139">
        <f>IF(t&gt;Tmaj,'2026'!Wh/'2026'!Env_an*'2027'!Env_an,0.001*'[8]mon-tableau'!$B$218)</f>
        <v>51.182605464337939</v>
      </c>
      <c r="C182" s="866"/>
      <c r="D182" s="395">
        <f t="shared" si="50"/>
        <v>55.193582719209267</v>
      </c>
      <c r="E182" s="387">
        <f t="shared" si="75"/>
        <v>57.564776768618827</v>
      </c>
      <c r="F182" s="387">
        <f t="shared" si="51"/>
        <v>57.568554607017262</v>
      </c>
      <c r="G182" s="110">
        <f t="shared" si="76"/>
        <v>0.88771193972612128</v>
      </c>
      <c r="H182" s="414" t="b">
        <f>Wh_hp&gt;='2026'!Maxi_hp</f>
        <v>0</v>
      </c>
      <c r="I182" s="392">
        <f>IF(H182,Wh_hp,'2026'!Maxi_hp)</f>
        <v>64.280395132327001</v>
      </c>
      <c r="J182" s="85">
        <f>IF(H182,An,'2026'!An_max)</f>
        <v>2019</v>
      </c>
      <c r="K182" s="199">
        <f t="shared" si="52"/>
        <v>46555</v>
      </c>
      <c r="L182" s="147">
        <f>IF(t&lt;Tvie,1-EXP((T0-t)*PertePVj)+'2026'!Pspv,1-EXP((T0-t)*PertePVj)+Pspv)</f>
        <v>7.2671079811518879E-2</v>
      </c>
      <c r="M182" s="870"/>
      <c r="N182" s="870"/>
      <c r="O182" s="48">
        <f>IF(t&lt;Tnet,'2026'!Resal+('2026'!Salim-'2026'!Resal)*(1-EXP(('2026'!Tnet-t)/('2026'!Tau_j))),Resal+(Salim-Resal)*(1-EXP((Tnet-t)/(Tau_j))))*Salcycl</f>
        <v>4.1191752709135901E-2</v>
      </c>
      <c r="P182" s="171">
        <f>(INDEX(Models!$BJ182:$BT182,,T182)*(1-R182)+INDEX(Models!$BJ182:$BT182,,T182+1)*R182-ERP_i)*Q182*Ramure*Pc/MaxiM</f>
        <v>7.8159784426793657E-5</v>
      </c>
      <c r="Q182" s="307">
        <f t="shared" si="53"/>
        <v>1</v>
      </c>
      <c r="R182" s="179">
        <f t="shared" si="54"/>
        <v>0.96450531962278996</v>
      </c>
      <c r="S182" s="837">
        <f t="shared" si="55"/>
        <v>-2</v>
      </c>
      <c r="T182" s="178">
        <f t="shared" si="56"/>
        <v>4</v>
      </c>
      <c r="U182" s="253">
        <f t="shared" si="57"/>
        <v>-1.03549468037721</v>
      </c>
      <c r="V182" s="385">
        <f t="shared" si="58"/>
        <v>57.656049763131335</v>
      </c>
      <c r="W182" s="404">
        <f t="shared" si="59"/>
        <v>51.182605464337939</v>
      </c>
      <c r="X182" s="157">
        <f t="shared" si="60"/>
        <v>46555</v>
      </c>
      <c r="Y182" s="387">
        <f t="shared" si="61"/>
        <v>47.201673640844902</v>
      </c>
      <c r="Z182" s="387">
        <f t="shared" si="62"/>
        <v>50.900681099486349</v>
      </c>
      <c r="AA182" s="388">
        <f t="shared" si="63"/>
        <v>57.506053299401984</v>
      </c>
      <c r="AB182" s="199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0.11486394598365393</v>
      </c>
      <c r="AD182" s="233">
        <f>(INDEX(Models!$BJ182:$BT182,,AH182)*(1-AF182)+INDEX(Models!$BJ182:$BT182,,AH182+1)*AF182-ERP_i)*AE182*Ramure*Pc/MaxiM</f>
        <v>1.2930909727715506E-3</v>
      </c>
      <c r="AE182" s="307">
        <f t="shared" si="65"/>
        <v>1</v>
      </c>
      <c r="AF182" s="179">
        <f t="shared" si="66"/>
        <v>0.8994879125463604</v>
      </c>
      <c r="AG182" s="837">
        <f t="shared" si="74"/>
        <v>3</v>
      </c>
      <c r="AH182" s="178">
        <f t="shared" si="67"/>
        <v>9</v>
      </c>
      <c r="AI182" s="227">
        <f t="shared" si="68"/>
        <v>3.8994879125463604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46556</v>
      </c>
      <c r="B183" s="1139">
        <f>IF(t&gt;Tmaj,'2026'!Wh/'2026'!Env_an*'2027'!Env_an,0.001*'[8]mon-tableau'!$B$219)</f>
        <v>53.205940388861443</v>
      </c>
      <c r="C183" s="866"/>
      <c r="D183" s="395">
        <f t="shared" si="50"/>
        <v>57.376813597944995</v>
      </c>
      <c r="E183" s="387">
        <f t="shared" si="75"/>
        <v>59.861637021701966</v>
      </c>
      <c r="F183" s="387">
        <f t="shared" si="51"/>
        <v>59.865821216168719</v>
      </c>
      <c r="G183" s="110">
        <f t="shared" si="76"/>
        <v>0.92377044417042276</v>
      </c>
      <c r="H183" s="414" t="b">
        <f>Wh_hp&gt;='2026'!Maxi_hp</f>
        <v>0</v>
      </c>
      <c r="I183" s="392">
        <f>IF(H183,Wh_hp,'2026'!Maxi_hp)</f>
        <v>62.624362697411456</v>
      </c>
      <c r="J183" s="85">
        <f>IF(H183,An,'2026'!An_max)</f>
        <v>2019</v>
      </c>
      <c r="K183" s="199">
        <f t="shared" si="52"/>
        <v>46556</v>
      </c>
      <c r="L183" s="147">
        <f>IF(t&lt;Tvie,1-EXP((T0-t)*PertePVj)+'2026'!Pspv,1-EXP((T0-t)*PertePVj)+Pspv)</f>
        <v>7.269266011023201E-2</v>
      </c>
      <c r="M183" s="870"/>
      <c r="N183" s="870"/>
      <c r="O183" s="48">
        <f>IF(t&lt;Tnet,'2026'!Resal+('2026'!Salim-'2026'!Resal)*(1-EXP(('2026'!Tnet-t)/('2026'!Tau_j))),Resal+(Salim-Resal)*(1-EXP((Tnet-t)/(Tau_j))))*Salcycl</f>
        <v>4.1509446573539853E-2</v>
      </c>
      <c r="P183" s="171">
        <f>(INDEX(Models!$BJ183:$BT183,,T183)*(1-R183)+INDEX(Models!$BJ183:$BT183,,T183+1)*R183-ERP_i)*Q183*Ramure*Pc/MaxiM</f>
        <v>7.8433332926687439E-5</v>
      </c>
      <c r="Q183" s="307">
        <f t="shared" si="53"/>
        <v>1</v>
      </c>
      <c r="R183" s="179">
        <f t="shared" si="54"/>
        <v>0.97154084151797071</v>
      </c>
      <c r="S183" s="837">
        <f t="shared" si="55"/>
        <v>-2</v>
      </c>
      <c r="T183" s="178">
        <f t="shared" si="56"/>
        <v>4</v>
      </c>
      <c r="U183" s="253">
        <f t="shared" si="57"/>
        <v>-1.0284591584820293</v>
      </c>
      <c r="V183" s="385">
        <f t="shared" si="58"/>
        <v>57.596003736491504</v>
      </c>
      <c r="W183" s="404">
        <f t="shared" si="59"/>
        <v>53.205940388861443</v>
      </c>
      <c r="X183" s="157">
        <f t="shared" si="60"/>
        <v>46556</v>
      </c>
      <c r="Y183" s="387">
        <f t="shared" si="61"/>
        <v>49.068606838987897</v>
      </c>
      <c r="Z183" s="387">
        <f t="shared" si="62"/>
        <v>52.915149841066544</v>
      </c>
      <c r="AA183" s="388">
        <f t="shared" si="63"/>
        <v>59.798400232995377</v>
      </c>
      <c r="AB183" s="199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0.11510760095770615</v>
      </c>
      <c r="AD183" s="233">
        <f>(INDEX(Models!$BJ183:$BT183,,AH183)*(1-AF183)+INDEX(Models!$BJ183:$BT183,,AH183+1)*AF183-ERP_i)*AE183*Ramure*Pc/MaxiM</f>
        <v>1.2638161207597686E-3</v>
      </c>
      <c r="AE183" s="307">
        <f t="shared" si="65"/>
        <v>1</v>
      </c>
      <c r="AF183" s="179">
        <f t="shared" si="66"/>
        <v>0.90652343444154138</v>
      </c>
      <c r="AG183" s="837">
        <f t="shared" si="74"/>
        <v>3</v>
      </c>
      <c r="AH183" s="178">
        <f t="shared" si="67"/>
        <v>9</v>
      </c>
      <c r="AI183" s="227">
        <f t="shared" si="68"/>
        <v>3.9065234344415414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46557</v>
      </c>
      <c r="B184" s="1139">
        <f>IF(t&gt;Tmaj,'2026'!Wh/'2026'!Env_an*'2027'!Env_an,0.001*'[8]mon-tableau'!$B$220)</f>
        <v>54.523390212867241</v>
      </c>
      <c r="C184" s="866"/>
      <c r="D184" s="395">
        <f t="shared" si="50"/>
        <v>58.798908124485443</v>
      </c>
      <c r="E184" s="387">
        <f t="shared" si="75"/>
        <v>61.36557323244066</v>
      </c>
      <c r="F184" s="387">
        <f t="shared" si="51"/>
        <v>61.370047595551746</v>
      </c>
      <c r="G184" s="110">
        <f t="shared" si="76"/>
        <v>0.94767929928004113</v>
      </c>
      <c r="H184" s="414" t="b">
        <f>Wh_hp&gt;='2026'!Maxi_hp</f>
        <v>0</v>
      </c>
      <c r="I184" s="392">
        <f>IF(H184,Wh_hp,'2026'!Maxi_hp)</f>
        <v>61.370337224639151</v>
      </c>
      <c r="J184" s="85">
        <f>IF(H184,An,'2026'!An_max)</f>
        <v>2025</v>
      </c>
      <c r="K184" s="199">
        <f t="shared" si="52"/>
        <v>46557</v>
      </c>
      <c r="L184" s="147">
        <f>IF(t&lt;Tvie,1-EXP((T0-t)*PertePVj)+'2026'!Pspv,1-EXP((T0-t)*PertePVj)+Pspv)</f>
        <v>7.2714239906740086E-2</v>
      </c>
      <c r="M184" s="870"/>
      <c r="N184" s="870"/>
      <c r="O184" s="48">
        <f>IF(t&lt;Tnet,'2026'!Resal+('2026'!Salim-'2026'!Resal)*(1-EXP(('2026'!Tnet-t)/('2026'!Tau_j))),Resal+(Salim-Resal)*(1-EXP((Tnet-t)/(Tau_j))))*Salcycl</f>
        <v>4.1825814911451986E-2</v>
      </c>
      <c r="P184" s="171">
        <f>(INDEX(Models!$BJ184:$BT184,,T184)*(1-R184)+INDEX(Models!$BJ184:$BT184,,T184+1)*R184-ERP_i)*Q184*Ramure*Pc/MaxiM</f>
        <v>7.879688451620424E-5</v>
      </c>
      <c r="Q184" s="307">
        <f t="shared" si="53"/>
        <v>1</v>
      </c>
      <c r="R184" s="179">
        <f t="shared" si="54"/>
        <v>0.97852942229814821</v>
      </c>
      <c r="S184" s="837">
        <f t="shared" si="55"/>
        <v>-2</v>
      </c>
      <c r="T184" s="178">
        <f t="shared" si="56"/>
        <v>4</v>
      </c>
      <c r="U184" s="253">
        <f t="shared" si="57"/>
        <v>-1.0214705777018518</v>
      </c>
      <c r="V184" s="385">
        <f t="shared" si="58"/>
        <v>57.533249006379954</v>
      </c>
      <c r="W184" s="404">
        <f t="shared" si="59"/>
        <v>54.523390212867241</v>
      </c>
      <c r="X184" s="157">
        <f t="shared" si="60"/>
        <v>46557</v>
      </c>
      <c r="Y184" s="387">
        <f t="shared" si="61"/>
        <v>50.285449619471407</v>
      </c>
      <c r="Z184" s="387">
        <f t="shared" si="62"/>
        <v>54.228644268638448</v>
      </c>
      <c r="AA184" s="388">
        <f t="shared" si="63"/>
        <v>61.299385143746726</v>
      </c>
      <c r="AB184" s="199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0.11534766390441656</v>
      </c>
      <c r="AD184" s="233">
        <f>(INDEX(Models!$BJ184:$BT184,,AH184)*(1-AF184)+INDEX(Models!$BJ184:$BT184,,AH184+1)*AF184-ERP_i)*AE184*Ramure*Pc/MaxiM</f>
        <v>1.2444186840175474E-3</v>
      </c>
      <c r="AE184" s="307">
        <f t="shared" si="65"/>
        <v>1</v>
      </c>
      <c r="AF184" s="179">
        <f t="shared" si="66"/>
        <v>0.91351201522171888</v>
      </c>
      <c r="AG184" s="837">
        <f t="shared" si="74"/>
        <v>3</v>
      </c>
      <c r="AH184" s="178">
        <f t="shared" si="67"/>
        <v>9</v>
      </c>
      <c r="AI184" s="227">
        <f t="shared" si="68"/>
        <v>3.9135120152217189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46558</v>
      </c>
      <c r="B185" s="1139">
        <f>IF(t&gt;Tmaj,'2026'!Wh/'2026'!Env_an*'2027'!Env_an,0.001*'[8]mon-tableau'!$B$221)</f>
        <v>32.3766257403867</v>
      </c>
      <c r="C185" s="866"/>
      <c r="D185" s="395">
        <f t="shared" si="50"/>
        <v>34.91629075167176</v>
      </c>
      <c r="E185" s="387">
        <f t="shared" si="75"/>
        <v>36.452425621164785</v>
      </c>
      <c r="F185" s="387">
        <f t="shared" si="51"/>
        <v>36.45351131537528</v>
      </c>
      <c r="G185" s="110">
        <f t="shared" si="76"/>
        <v>0.5633574980963586</v>
      </c>
      <c r="H185" s="414" t="b">
        <f>Wh_hp&gt;='2026'!Maxi_hp</f>
        <v>0</v>
      </c>
      <c r="I185" s="392">
        <f>IF(H185,Wh_hp,'2026'!Maxi_hp)</f>
        <v>61.978111723562009</v>
      </c>
      <c r="J185" s="85">
        <f>IF(H185,An,'2026'!An_max)</f>
        <v>2020</v>
      </c>
      <c r="K185" s="199">
        <f t="shared" si="52"/>
        <v>46558</v>
      </c>
      <c r="L185" s="147">
        <f>IF(t&lt;Tvie,1-EXP((T0-t)*PertePVj)+'2026'!Pspv,1-EXP((T0-t)*PertePVj)+Pspv)</f>
        <v>7.2735819201054763E-2</v>
      </c>
      <c r="M185" s="870"/>
      <c r="N185" s="870"/>
      <c r="O185" s="48">
        <f>IF(t&lt;Tnet,'2026'!Resal+('2026'!Salim-'2026'!Resal)*(1-EXP(('2026'!Tnet-t)/('2026'!Tau_j))),Resal+(Salim-Resal)*(1-EXP((Tnet-t)/(Tau_j))))*Salcycl</f>
        <v>4.2140813493660223E-2</v>
      </c>
      <c r="P185" s="171">
        <f>(INDEX(Models!$BJ185:$BT185,,T185)*(1-R185)+INDEX(Models!$BJ185:$BT185,,T185+1)*R185-ERP_i)*Q185*Ramure*Pc/MaxiM</f>
        <v>7.915432304785715E-5</v>
      </c>
      <c r="Q185" s="307">
        <f t="shared" si="53"/>
        <v>1</v>
      </c>
      <c r="R185" s="179">
        <f t="shared" si="54"/>
        <v>0.98546569160606357</v>
      </c>
      <c r="S185" s="837">
        <f t="shared" si="55"/>
        <v>-2</v>
      </c>
      <c r="T185" s="178">
        <f t="shared" si="56"/>
        <v>4</v>
      </c>
      <c r="U185" s="253">
        <f t="shared" si="57"/>
        <v>-1.0145343083939364</v>
      </c>
      <c r="V185" s="385">
        <f t="shared" si="58"/>
        <v>57.467997363469671</v>
      </c>
      <c r="W185" s="404">
        <f t="shared" si="59"/>
        <v>32.3766257403867</v>
      </c>
      <c r="X185" s="157">
        <f t="shared" si="60"/>
        <v>46558</v>
      </c>
      <c r="Y185" s="387">
        <f t="shared" si="61"/>
        <v>29.881202789431185</v>
      </c>
      <c r="Z185" s="387">
        <f t="shared" si="62"/>
        <v>32.225123549671764</v>
      </c>
      <c r="AA185" s="388">
        <f t="shared" si="63"/>
        <v>36.43661603263255</v>
      </c>
      <c r="AB185" s="199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0.11558407287847441</v>
      </c>
      <c r="AD185" s="233">
        <f>(INDEX(Models!$BJ185:$BT185,,AH185)*(1-AF185)+INDEX(Models!$BJ185:$BT185,,AH185+1)*AF185-ERP_i)*AE185*Ramure*Pc/MaxiM</f>
        <v>1.2317783914449943E-3</v>
      </c>
      <c r="AE185" s="307">
        <f t="shared" si="65"/>
        <v>1</v>
      </c>
      <c r="AF185" s="179">
        <f t="shared" si="66"/>
        <v>0.92044828452963401</v>
      </c>
      <c r="AG185" s="837">
        <f t="shared" si="74"/>
        <v>3</v>
      </c>
      <c r="AH185" s="178">
        <f t="shared" si="67"/>
        <v>9</v>
      </c>
      <c r="AI185" s="227">
        <f t="shared" si="68"/>
        <v>3.920448284529634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46559</v>
      </c>
      <c r="B186" s="1139">
        <f>IF(t&gt;Tmaj,'2026'!Wh/'2026'!Env_an*'2027'!Env_an,0.001*'[8]mon-tableau'!$B$222)</f>
        <v>19.221392907775705</v>
      </c>
      <c r="C186" s="866"/>
      <c r="D186" s="395">
        <f t="shared" si="50"/>
        <v>20.729626600606178</v>
      </c>
      <c r="E186" s="387">
        <f t="shared" si="75"/>
        <v>21.648709615146732</v>
      </c>
      <c r="F186" s="387">
        <f t="shared" si="51"/>
        <v>21.64879534373642</v>
      </c>
      <c r="G186" s="110">
        <f t="shared" si="76"/>
        <v>0.3348395228987176</v>
      </c>
      <c r="H186" s="414" t="b">
        <f>Wh_hp&gt;='2026'!Maxi_hp</f>
        <v>0</v>
      </c>
      <c r="I186" s="392">
        <f>IF(H186,Wh_hp,'2026'!Maxi_hp)</f>
        <v>55.551816026089647</v>
      </c>
      <c r="J186" s="85">
        <f>IF(H186,An,'2026'!An_max)</f>
        <v>2020</v>
      </c>
      <c r="K186" s="199">
        <f t="shared" si="52"/>
        <v>46559</v>
      </c>
      <c r="L186" s="147">
        <f>IF(t&lt;Tvie,1-EXP((T0-t)*PertePVj)+'2026'!Pspv,1-EXP((T0-t)*PertePVj)+Pspv)</f>
        <v>7.27573979931877E-2</v>
      </c>
      <c r="M186" s="870"/>
      <c r="N186" s="870"/>
      <c r="O186" s="48">
        <f>IF(t&lt;Tnet,'2026'!Resal+('2026'!Salim-'2026'!Resal)*(1-EXP(('2026'!Tnet-t)/('2026'!Tau_j))),Resal+(Salim-Resal)*(1-EXP((Tnet-t)/(Tau_j))))*Salcycl</f>
        <v>4.2454401711661711E-2</v>
      </c>
      <c r="P186" s="171">
        <f>(INDEX(Models!$BJ186:$BT186,,T186)*(1-R186)+INDEX(Models!$BJ186:$BT186,,T186+1)*R186-ERP_i)*Q186*Ramure*Pc/MaxiM</f>
        <v>7.9506483642819079E-5</v>
      </c>
      <c r="Q186" s="307">
        <f t="shared" si="53"/>
        <v>1</v>
      </c>
      <c r="R186" s="179">
        <f t="shared" si="54"/>
        <v>0.99234444677554068</v>
      </c>
      <c r="S186" s="837">
        <f t="shared" si="55"/>
        <v>-2</v>
      </c>
      <c r="T186" s="178">
        <f t="shared" si="56"/>
        <v>4</v>
      </c>
      <c r="U186" s="253">
        <f t="shared" si="57"/>
        <v>-1.0076555532244593</v>
      </c>
      <c r="V186" s="385">
        <f t="shared" si="58"/>
        <v>57.400454481671211</v>
      </c>
      <c r="W186" s="404">
        <f t="shared" si="59"/>
        <v>19.221392907775705</v>
      </c>
      <c r="X186" s="157">
        <f t="shared" si="60"/>
        <v>46559</v>
      </c>
      <c r="Y186" s="387">
        <f t="shared" si="61"/>
        <v>17.747732023115134</v>
      </c>
      <c r="Z186" s="387">
        <f t="shared" si="62"/>
        <v>19.14033283706344</v>
      </c>
      <c r="AA186" s="388">
        <f t="shared" si="63"/>
        <v>21.647473432352744</v>
      </c>
      <c r="AB186" s="199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0.11581677663788298</v>
      </c>
      <c r="AD186" s="233">
        <f>(INDEX(Models!$BJ186:$BT186,,AH186)*(1-AF186)+INDEX(Models!$BJ186:$BT186,,AH186+1)*AF186-ERP_i)*AE186*Ramure*Pc/MaxiM</f>
        <v>1.2259682118481109E-3</v>
      </c>
      <c r="AE186" s="307">
        <f t="shared" si="65"/>
        <v>1</v>
      </c>
      <c r="AF186" s="179">
        <f t="shared" si="66"/>
        <v>0.92732703969911112</v>
      </c>
      <c r="AG186" s="837">
        <f t="shared" si="74"/>
        <v>3</v>
      </c>
      <c r="AH186" s="178">
        <f t="shared" si="67"/>
        <v>9</v>
      </c>
      <c r="AI186" s="227">
        <f t="shared" si="68"/>
        <v>3.9273270396991111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46560</v>
      </c>
      <c r="B187" s="1139">
        <f>IF(t&gt;Tmaj,'2026'!Wh/'2026'!Env_an*'2027'!Env_an,0.001*'[8]mon-tableau'!$B$223)</f>
        <v>46.41929149227601</v>
      </c>
      <c r="C187" s="866"/>
      <c r="D187" s="395">
        <f t="shared" si="50"/>
        <v>50.062811675904499</v>
      </c>
      <c r="E187" s="387">
        <f t="shared" si="75"/>
        <v>52.299479604273344</v>
      </c>
      <c r="F187" s="387">
        <f t="shared" si="51"/>
        <v>52.30252059395319</v>
      </c>
      <c r="G187" s="110">
        <f t="shared" si="76"/>
        <v>0.80965664078957511</v>
      </c>
      <c r="H187" s="414" t="b">
        <f>Wh_hp&gt;='2026'!Maxi_hp</f>
        <v>0</v>
      </c>
      <c r="I187" s="392">
        <f>IF(H187,Wh_hp,'2026'!Maxi_hp)</f>
        <v>63.856670121040153</v>
      </c>
      <c r="J187" s="85">
        <f>IF(H187,An,'2026'!An_max)</f>
        <v>2020</v>
      </c>
      <c r="K187" s="199">
        <f t="shared" si="52"/>
        <v>46560</v>
      </c>
      <c r="L187" s="147">
        <f>IF(t&lt;Tvie,1-EXP((T0-t)*PertePVj)+'2026'!Pspv,1-EXP((T0-t)*PertePVj)+Pspv)</f>
        <v>7.2778976283150665E-2</v>
      </c>
      <c r="M187" s="870"/>
      <c r="N187" s="870"/>
      <c r="O187" s="48">
        <f>IF(t&lt;Tnet,'2026'!Resal+('2026'!Salim-'2026'!Resal)*(1-EXP(('2026'!Tnet-t)/('2026'!Tau_j))),Resal+(Salim-Resal)*(1-EXP((Tnet-t)/(Tau_j))))*Salcycl</f>
        <v>4.2766542713095899E-2</v>
      </c>
      <c r="P187" s="171">
        <f>(INDEX(Models!$BJ187:$BT187,,T187)*(1-R187)+INDEX(Models!$BJ187:$BT187,,T187+1)*R187-ERP_i)*Q187*Ramure*Pc/MaxiM</f>
        <v>7.985418821098751E-5</v>
      </c>
      <c r="Q187" s="307">
        <f t="shared" si="53"/>
        <v>1</v>
      </c>
      <c r="R187" s="179">
        <f t="shared" si="54"/>
        <v>0.99916066729166353</v>
      </c>
      <c r="S187" s="837">
        <f t="shared" si="55"/>
        <v>-2</v>
      </c>
      <c r="T187" s="178">
        <f t="shared" si="56"/>
        <v>4</v>
      </c>
      <c r="U187" s="253">
        <f t="shared" si="57"/>
        <v>-1.0008393327083365</v>
      </c>
      <c r="V187" s="385">
        <f t="shared" si="58"/>
        <v>57.33082549496757</v>
      </c>
      <c r="W187" s="404">
        <f t="shared" si="59"/>
        <v>46.41929149227601</v>
      </c>
      <c r="X187" s="157">
        <f t="shared" si="60"/>
        <v>46560</v>
      </c>
      <c r="Y187" s="387">
        <f t="shared" si="61"/>
        <v>42.829943272615147</v>
      </c>
      <c r="Z187" s="387">
        <f t="shared" si="62"/>
        <v>46.191730102200921</v>
      </c>
      <c r="AA187" s="388">
        <f t="shared" si="63"/>
        <v>52.255791862032552</v>
      </c>
      <c r="AB187" s="199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0.11604573471668297</v>
      </c>
      <c r="AD187" s="233">
        <f>(INDEX(Models!$BJ187:$BT187,,AH187)*(1-AF187)+INDEX(Models!$BJ187:$BT187,,AH187+1)*AF187-ERP_i)*AE187*Ramure*Pc/MaxiM</f>
        <v>1.2270626823823467E-3</v>
      </c>
      <c r="AE187" s="307">
        <f t="shared" si="65"/>
        <v>1</v>
      </c>
      <c r="AF187" s="179">
        <f t="shared" si="66"/>
        <v>0.93414326021523397</v>
      </c>
      <c r="AG187" s="837">
        <f t="shared" si="74"/>
        <v>3</v>
      </c>
      <c r="AH187" s="178">
        <f t="shared" si="67"/>
        <v>9</v>
      </c>
      <c r="AI187" s="227">
        <f t="shared" si="68"/>
        <v>3.934143260215234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46561</v>
      </c>
      <c r="B188" s="1139">
        <f>IF(t&gt;Tmaj,'2026'!Wh/'2026'!Env_an*'2027'!Env_an,0.001*'[8]mon-tableau'!$B$224)</f>
        <v>41.135259129987816</v>
      </c>
      <c r="C188" s="866"/>
      <c r="D188" s="395">
        <f t="shared" si="50"/>
        <v>44.36506008561156</v>
      </c>
      <c r="E188" s="387">
        <f t="shared" si="75"/>
        <v>46.362214641076015</v>
      </c>
      <c r="F188" s="387">
        <f t="shared" si="51"/>
        <v>46.36443894523822</v>
      </c>
      <c r="G188" s="110">
        <f t="shared" si="76"/>
        <v>0.71837976979571383</v>
      </c>
      <c r="H188" s="414" t="b">
        <f>Wh_hp&gt;='2026'!Maxi_hp</f>
        <v>0</v>
      </c>
      <c r="I188" s="392">
        <f>IF(H188,Wh_hp,'2026'!Maxi_hp)</f>
        <v>56.926407326668489</v>
      </c>
      <c r="J188" s="85">
        <f>IF(H188,An,'2026'!An_max)</f>
        <v>2020</v>
      </c>
      <c r="K188" s="199">
        <f t="shared" si="52"/>
        <v>46561</v>
      </c>
      <c r="L188" s="147">
        <f>IF(t&lt;Tvie,1-EXP((T0-t)*PertePVj)+'2026'!Pspv,1-EXP((T0-t)*PertePVj)+Pspv)</f>
        <v>7.2800554070955315E-2</v>
      </c>
      <c r="M188" s="870"/>
      <c r="N188" s="870"/>
      <c r="O188" s="48">
        <f>IF(t&lt;Tnet,'2026'!Resal+('2026'!Salim-'2026'!Resal)*(1-EXP(('2026'!Tnet-t)/('2026'!Tau_j))),Resal+(Salim-Resal)*(1-EXP((Tnet-t)/(Tau_j))))*Salcycl</f>
        <v>4.307720351423884E-2</v>
      </c>
      <c r="P188" s="171">
        <f>(INDEX(Models!$BJ188:$BT188,,T188)*(1-R188)+INDEX(Models!$BJ188:$BT188,,T188+1)*R188-ERP_i)*Q188*Ramure*Pc/MaxiM</f>
        <v>8.0262457034092875E-5</v>
      </c>
      <c r="Q188" s="307">
        <f t="shared" si="53"/>
        <v>1</v>
      </c>
      <c r="R188" s="179">
        <f t="shared" si="54"/>
        <v>5.9095280553741469E-3</v>
      </c>
      <c r="S188" s="837">
        <f t="shared" si="55"/>
        <v>-1</v>
      </c>
      <c r="T188" s="178">
        <f t="shared" si="56"/>
        <v>5</v>
      </c>
      <c r="U188" s="253">
        <f t="shared" si="57"/>
        <v>-0.99409047194462585</v>
      </c>
      <c r="V188" s="385">
        <f t="shared" si="58"/>
        <v>57.259311323057013</v>
      </c>
      <c r="W188" s="404">
        <f t="shared" si="59"/>
        <v>41.135259129987816</v>
      </c>
      <c r="X188" s="157">
        <f t="shared" si="60"/>
        <v>46561</v>
      </c>
      <c r="Y188" s="387">
        <f t="shared" si="61"/>
        <v>37.962655179842244</v>
      </c>
      <c r="Z188" s="387">
        <f t="shared" si="62"/>
        <v>40.943354039436507</v>
      </c>
      <c r="AA188" s="388">
        <f t="shared" si="63"/>
        <v>46.330210069247229</v>
      </c>
      <c r="AB188" s="199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0.11627091743722473</v>
      </c>
      <c r="AD188" s="233">
        <f>(INDEX(Models!$BJ188:$BT188,,AH188)*(1-AF188)+INDEX(Models!$BJ188:$BT188,,AH188+1)*AF188-ERP_i)*AE188*Ramure*Pc/MaxiM</f>
        <v>1.2351250045885304E-3</v>
      </c>
      <c r="AE188" s="307">
        <f t="shared" si="65"/>
        <v>1</v>
      </c>
      <c r="AF188" s="179">
        <f t="shared" si="66"/>
        <v>0.94089212097894448</v>
      </c>
      <c r="AG188" s="837">
        <f t="shared" si="74"/>
        <v>3</v>
      </c>
      <c r="AH188" s="178">
        <f t="shared" si="67"/>
        <v>9</v>
      </c>
      <c r="AI188" s="227">
        <f t="shared" si="68"/>
        <v>3.9408921209789445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46562</v>
      </c>
      <c r="B189" s="1139">
        <f>IF(t&gt;Tmaj,'2026'!Wh/'2026'!Env_an*'2027'!Env_an,0.001*'[8]mon-tableau'!$B$225)</f>
        <v>43.497838300786128</v>
      </c>
      <c r="C189" s="866"/>
      <c r="D189" s="395">
        <f t="shared" si="50"/>
        <v>46.91423271829234</v>
      </c>
      <c r="E189" s="387">
        <f t="shared" si="75"/>
        <v>49.041985725221785</v>
      </c>
      <c r="F189" s="387">
        <f t="shared" si="51"/>
        <v>49.044589513670608</v>
      </c>
      <c r="G189" s="110">
        <f t="shared" si="76"/>
        <v>0.76061531876021038</v>
      </c>
      <c r="H189" s="414" t="b">
        <f>Wh_hp&gt;='2026'!Maxi_hp</f>
        <v>0</v>
      </c>
      <c r="I189" s="392">
        <f>IF(H189,Wh_hp,'2026'!Maxi_hp)</f>
        <v>63.0959882762929</v>
      </c>
      <c r="J189" s="85">
        <f>IF(H189,An,'2026'!An_max)</f>
        <v>2020</v>
      </c>
      <c r="K189" s="199">
        <f t="shared" si="52"/>
        <v>46562</v>
      </c>
      <c r="L189" s="147">
        <f>IF(t&lt;Tvie,1-EXP((T0-t)*PertePVj)+'2026'!Pspv,1-EXP((T0-t)*PertePVj)+Pspv)</f>
        <v>7.2822131356613307E-2</v>
      </c>
      <c r="M189" s="870"/>
      <c r="N189" s="870"/>
      <c r="O189" s="48">
        <f>IF(t&lt;Tnet,'2026'!Resal+('2026'!Salim-'2026'!Resal)*(1-EXP(('2026'!Tnet-t)/('2026'!Tau_j))),Resal+(Salim-Resal)*(1-EXP((Tnet-t)/(Tau_j))))*Salcycl</f>
        <v>4.3386355088700403E-2</v>
      </c>
      <c r="P189" s="171">
        <f>(INDEX(Models!$BJ189:$BT189,,T189)*(1-R189)+INDEX(Models!$BJ189:$BT189,,T189+1)*R189-ERP_i)*Q189*Ramure*Pc/MaxiM</f>
        <v>8.0677878421003268E-5</v>
      </c>
      <c r="Q189" s="307">
        <f t="shared" si="53"/>
        <v>1</v>
      </c>
      <c r="R189" s="179">
        <f t="shared" si="54"/>
        <v>1.2586411389533536E-2</v>
      </c>
      <c r="S189" s="837">
        <f t="shared" si="55"/>
        <v>-1</v>
      </c>
      <c r="T189" s="178">
        <f t="shared" si="56"/>
        <v>5</v>
      </c>
      <c r="U189" s="253">
        <f t="shared" si="57"/>
        <v>-0.98741358861046646</v>
      </c>
      <c r="V189" s="385">
        <f t="shared" si="58"/>
        <v>57.186119134208688</v>
      </c>
      <c r="W189" s="404">
        <f t="shared" si="59"/>
        <v>43.497838300786128</v>
      </c>
      <c r="X189" s="157">
        <f t="shared" si="60"/>
        <v>46562</v>
      </c>
      <c r="Y189" s="387">
        <f t="shared" si="61"/>
        <v>40.142743632185649</v>
      </c>
      <c r="Z189" s="387">
        <f t="shared" si="62"/>
        <v>43.295623191395919</v>
      </c>
      <c r="AA189" s="388">
        <f t="shared" si="63"/>
        <v>49.004240119982001</v>
      </c>
      <c r="AB189" s="199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0.11649230586188263</v>
      </c>
      <c r="AD189" s="233">
        <f>(INDEX(Models!$BJ189:$BT189,,AH189)*(1-AF189)+INDEX(Models!$BJ189:$BT189,,AH189+1)*AF189-ERP_i)*AE189*Ramure*Pc/MaxiM</f>
        <v>1.2502181119358037E-3</v>
      </c>
      <c r="AE189" s="307">
        <f t="shared" si="65"/>
        <v>1</v>
      </c>
      <c r="AF189" s="179">
        <f t="shared" si="66"/>
        <v>0.94756900431310376</v>
      </c>
      <c r="AG189" s="837">
        <f t="shared" si="74"/>
        <v>3</v>
      </c>
      <c r="AH189" s="178">
        <f t="shared" si="67"/>
        <v>9</v>
      </c>
      <c r="AI189" s="227">
        <f t="shared" si="68"/>
        <v>3.9475690043131038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46563</v>
      </c>
      <c r="B190" s="1139">
        <f>IF(t&gt;Tmaj,'2026'!Wh/'2026'!Env_an*'2027'!Env_an,0.001*'[8]mon-tableau'!$B$226)</f>
        <v>30.465521064017352</v>
      </c>
      <c r="C190" s="866"/>
      <c r="D190" s="395">
        <f t="shared" si="50"/>
        <v>32.859099734850425</v>
      </c>
      <c r="E190" s="387">
        <f t="shared" si="75"/>
        <v>34.360444028992703</v>
      </c>
      <c r="F190" s="387">
        <f t="shared" si="51"/>
        <v>34.361373301163042</v>
      </c>
      <c r="G190" s="110">
        <f t="shared" si="76"/>
        <v>0.53341095064382471</v>
      </c>
      <c r="H190" s="414" t="b">
        <f>Wh_hp&gt;='2026'!Maxi_hp</f>
        <v>0</v>
      </c>
      <c r="I190" s="392">
        <f>IF(H190,Wh_hp,'2026'!Maxi_hp)</f>
        <v>58.333269226080525</v>
      </c>
      <c r="J190" s="85">
        <f>IF(H190,An,'2026'!An_max)</f>
        <v>2021</v>
      </c>
      <c r="K190" s="199">
        <f t="shared" si="52"/>
        <v>46563</v>
      </c>
      <c r="L190" s="147">
        <f>IF(t&lt;Tvie,1-EXP((T0-t)*PertePVj)+'2026'!Pspv,1-EXP((T0-t)*PertePVj)+Pspv)</f>
        <v>7.2843708140136298E-2</v>
      </c>
      <c r="M190" s="870"/>
      <c r="N190" s="870"/>
      <c r="O190" s="48">
        <f>IF(t&lt;Tnet,'2026'!Resal+('2026'!Salim-'2026'!Resal)*(1-EXP(('2026'!Tnet-t)/('2026'!Tau_j))),Resal+(Salim-Resal)*(1-EXP((Tnet-t)/(Tau_j))))*Salcycl</f>
        <v>4.3693972431656368E-2</v>
      </c>
      <c r="P190" s="171">
        <f>(INDEX(Models!$BJ190:$BT190,,T190)*(1-R190)+INDEX(Models!$BJ190:$BT190,,T190+1)*R190-ERP_i)*Q190*Ramure*Pc/MaxiM</f>
        <v>8.1095281354908415E-5</v>
      </c>
      <c r="Q190" s="307">
        <f t="shared" si="53"/>
        <v>1</v>
      </c>
      <c r="R190" s="179">
        <f t="shared" si="54"/>
        <v>1.9186917736899733E-2</v>
      </c>
      <c r="S190" s="837">
        <f t="shared" si="55"/>
        <v>-1</v>
      </c>
      <c r="T190" s="178">
        <f t="shared" si="56"/>
        <v>5</v>
      </c>
      <c r="U190" s="253">
        <f t="shared" si="57"/>
        <v>-0.98081308226310027</v>
      </c>
      <c r="V190" s="385">
        <f t="shared" si="58"/>
        <v>57.111452783433293</v>
      </c>
      <c r="W190" s="404">
        <f t="shared" si="59"/>
        <v>30.465521064017352</v>
      </c>
      <c r="X190" s="157">
        <f t="shared" si="60"/>
        <v>46563</v>
      </c>
      <c r="Y190" s="387">
        <f t="shared" si="61"/>
        <v>28.128236513676029</v>
      </c>
      <c r="Z190" s="387">
        <f t="shared" si="62"/>
        <v>30.338182203618707</v>
      </c>
      <c r="AA190" s="388">
        <f t="shared" si="63"/>
        <v>34.346792653977069</v>
      </c>
      <c r="AB190" s="199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0.1167098916845791</v>
      </c>
      <c r="AD190" s="233">
        <f>(INDEX(Models!$BJ190:$BT190,,AH190)*(1-AF190)+INDEX(Models!$BJ190:$BT190,,AH190+1)*AF190-ERP_i)*AE190*Ramure*Pc/MaxiM</f>
        <v>1.2724169770986754E-3</v>
      </c>
      <c r="AE190" s="307">
        <f t="shared" si="65"/>
        <v>1</v>
      </c>
      <c r="AF190" s="179">
        <f t="shared" si="66"/>
        <v>0.95416951066047018</v>
      </c>
      <c r="AG190" s="837">
        <f t="shared" si="74"/>
        <v>3</v>
      </c>
      <c r="AH190" s="178">
        <f t="shared" si="67"/>
        <v>9</v>
      </c>
      <c r="AI190" s="227">
        <f t="shared" si="68"/>
        <v>3.9541695106604702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46564</v>
      </c>
      <c r="B191" s="1139">
        <f>IF(t&gt;Tmaj,'2026'!Wh/'2026'!Env_an*'2027'!Env_an,0.001*'[8]mon-tableau'!$B$227)</f>
        <v>11.641174543050942</v>
      </c>
      <c r="C191" s="866"/>
      <c r="D191" s="395">
        <f t="shared" si="50"/>
        <v>12.55607663853651</v>
      </c>
      <c r="E191" s="387">
        <f t="shared" si="75"/>
        <v>13.13397185456142</v>
      </c>
      <c r="F191" s="387">
        <f t="shared" si="51"/>
        <v>13.13397185456142</v>
      </c>
      <c r="G191" s="110">
        <f t="shared" si="76"/>
        <v>0.20408756175103954</v>
      </c>
      <c r="H191" s="414" t="b">
        <f>Wh_hp&gt;='2026'!Maxi_hp</f>
        <v>0</v>
      </c>
      <c r="I191" s="392">
        <f>IF(H191,Wh_hp,'2026'!Maxi_hp)</f>
        <v>61.173275923851143</v>
      </c>
      <c r="J191" s="85">
        <f>IF(H191,An,'2026'!An_max)</f>
        <v>2019</v>
      </c>
      <c r="K191" s="199">
        <f t="shared" si="52"/>
        <v>46564</v>
      </c>
      <c r="L191" s="147">
        <f>IF(t&lt;Tvie,1-EXP((T0-t)*PertePVj)+'2026'!Pspv,1-EXP((T0-t)*PertePVj)+Pspv)</f>
        <v>7.2865284421536058E-2</v>
      </c>
      <c r="M191" s="870"/>
      <c r="N191" s="870"/>
      <c r="O191" s="48">
        <f>IF(t&lt;Tnet,'2026'!Resal+('2026'!Salim-'2026'!Resal)*(1-EXP(('2026'!Tnet-t)/('2026'!Tau_j))),Resal+(Salim-Resal)*(1-EXP((Tnet-t)/(Tau_j))))*Salcycl</f>
        <v>4.4000034599145831E-2</v>
      </c>
      <c r="P191" s="171">
        <f>(INDEX(Models!$BJ191:$BT191,,T191)*(1-R191)+INDEX(Models!$BJ191:$BT191,,T191+1)*R191-ERP_i)*Q191*Ramure*Pc/MaxiM</f>
        <v>8.1518656347452775E-5</v>
      </c>
      <c r="Q191" s="307">
        <f t="shared" si="53"/>
        <v>1</v>
      </c>
      <c r="R191" s="179">
        <f t="shared" si="54"/>
        <v>2.5706875014064878E-2</v>
      </c>
      <c r="S191" s="837">
        <f t="shared" si="55"/>
        <v>-1</v>
      </c>
      <c r="T191" s="178">
        <f t="shared" si="56"/>
        <v>5</v>
      </c>
      <c r="U191" s="253">
        <f t="shared" si="57"/>
        <v>-0.97429312498593512</v>
      </c>
      <c r="V191" s="385">
        <f t="shared" si="58"/>
        <v>57.035448266776093</v>
      </c>
      <c r="W191" s="404">
        <f t="shared" si="59"/>
        <v>11.641174543050942</v>
      </c>
      <c r="X191" s="157">
        <f t="shared" si="60"/>
        <v>46564</v>
      </c>
      <c r="Y191" s="387">
        <f t="shared" si="61"/>
        <v>10.753186173845965</v>
      </c>
      <c r="Z191" s="387">
        <f t="shared" si="62"/>
        <v>11.598299570884654</v>
      </c>
      <c r="AA191" s="388">
        <f t="shared" si="63"/>
        <v>13.13397185456142</v>
      </c>
      <c r="AB191" s="199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0.11692367706296163</v>
      </c>
      <c r="AD191" s="233">
        <f>(INDEX(Models!$BJ191:$BT191,,AH191)*(1-AF191)+INDEX(Models!$BJ191:$BT191,,AH191+1)*AF191-ERP_i)*AE191*Ramure*Pc/MaxiM</f>
        <v>1.3017976034463989E-3</v>
      </c>
      <c r="AE191" s="307">
        <f t="shared" si="65"/>
        <v>1</v>
      </c>
      <c r="AF191" s="179">
        <f t="shared" si="66"/>
        <v>0.96068946793763521</v>
      </c>
      <c r="AG191" s="837">
        <f t="shared" si="74"/>
        <v>3</v>
      </c>
      <c r="AH191" s="178">
        <f t="shared" si="67"/>
        <v>9</v>
      </c>
      <c r="AI191" s="227">
        <f t="shared" si="68"/>
        <v>3.9606894679376352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46565</v>
      </c>
      <c r="B192" s="1139">
        <f>IF(t&gt;Tmaj,'2026'!Wh/'2026'!Env_an*'2027'!Env_an,0.001*'[8]mon-tableau'!$B$228)</f>
        <v>17.283261273355613</v>
      </c>
      <c r="C192" s="866"/>
      <c r="D192" s="395">
        <f t="shared" si="50"/>
        <v>18.642019545855408</v>
      </c>
      <c r="E192" s="387">
        <f t="shared" si="75"/>
        <v>19.506233971062741</v>
      </c>
      <c r="F192" s="387">
        <f t="shared" si="51"/>
        <v>19.5062418343825</v>
      </c>
      <c r="G192" s="110">
        <f t="shared" si="76"/>
        <v>0.30341408958109073</v>
      </c>
      <c r="H192" s="414" t="b">
        <f>Wh_hp&gt;='2026'!Maxi_hp</f>
        <v>0</v>
      </c>
      <c r="I192" s="392">
        <f>IF(H192,Wh_hp,'2026'!Maxi_hp)</f>
        <v>60.985394415911713</v>
      </c>
      <c r="J192" s="85">
        <f>IF(H192,An,'2026'!An_max)</f>
        <v>2019</v>
      </c>
      <c r="K192" s="199">
        <f t="shared" si="52"/>
        <v>46565</v>
      </c>
      <c r="L192" s="147">
        <f>IF(t&lt;Tvie,1-EXP((T0-t)*PertePVj)+'2026'!Pspv,1-EXP((T0-t)*PertePVj)+Pspv)</f>
        <v>7.2886860200824244E-2</v>
      </c>
      <c r="M192" s="870"/>
      <c r="N192" s="870"/>
      <c r="O192" s="48">
        <f>IF(t&lt;Tnet,'2026'!Resal+('2026'!Salim-'2026'!Resal)*(1-EXP(('2026'!Tnet-t)/('2026'!Tau_j))),Resal+(Salim-Resal)*(1-EXP((Tnet-t)/(Tau_j))))*Salcycl</f>
        <v>4.4304524722167553E-2</v>
      </c>
      <c r="P192" s="171">
        <f>(INDEX(Models!$BJ192:$BT192,,T192)*(1-R192)+INDEX(Models!$BJ192:$BT192,,T192+1)*R192-ERP_i)*Q192*Ramure*Pc/MaxiM</f>
        <v>8.205689009294175E-5</v>
      </c>
      <c r="Q192" s="307">
        <f t="shared" si="53"/>
        <v>1</v>
      </c>
      <c r="R192" s="179">
        <f t="shared" si="54"/>
        <v>3.2142346598868832E-2</v>
      </c>
      <c r="S192" s="837">
        <f t="shared" si="55"/>
        <v>-1</v>
      </c>
      <c r="T192" s="178">
        <f t="shared" si="56"/>
        <v>5</v>
      </c>
      <c r="U192" s="253">
        <f t="shared" si="57"/>
        <v>-0.96785765340113117</v>
      </c>
      <c r="V192" s="385">
        <f t="shared" si="58"/>
        <v>56.957968079769024</v>
      </c>
      <c r="W192" s="404">
        <f t="shared" si="59"/>
        <v>17.283261273355613</v>
      </c>
      <c r="X192" s="157">
        <f t="shared" si="60"/>
        <v>46565</v>
      </c>
      <c r="Y192" s="387">
        <f t="shared" si="61"/>
        <v>15.966084747328576</v>
      </c>
      <c r="Z192" s="387">
        <f t="shared" si="62"/>
        <v>17.221290543662263</v>
      </c>
      <c r="AA192" s="388">
        <f t="shared" si="63"/>
        <v>19.506113263311001</v>
      </c>
      <c r="AB192" s="199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0.1171336743925432</v>
      </c>
      <c r="AD192" s="233">
        <f>(INDEX(Models!$BJ192:$BT192,,AH192)*(1-AF192)+INDEX(Models!$BJ192:$BT192,,AH192+1)*AF192-ERP_i)*AE192*Ramure*Pc/MaxiM</f>
        <v>1.3416906097770123E-3</v>
      </c>
      <c r="AE192" s="307">
        <f t="shared" si="65"/>
        <v>1</v>
      </c>
      <c r="AF192" s="179">
        <f t="shared" si="66"/>
        <v>0.9671249395224395</v>
      </c>
      <c r="AG192" s="837">
        <f t="shared" si="74"/>
        <v>3</v>
      </c>
      <c r="AH192" s="178">
        <f t="shared" si="67"/>
        <v>9</v>
      </c>
      <c r="AI192" s="227">
        <f t="shared" si="68"/>
        <v>3.9671249395224395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46566</v>
      </c>
      <c r="B193" s="1139">
        <f>IF(t&gt;Tmaj,'2026'!Wh/'2026'!Env_an*'2027'!Env_an,0.001*'[8]mon-tableau'!$B$229)</f>
        <v>58.967383415273211</v>
      </c>
      <c r="C193" s="866"/>
      <c r="D193" s="395">
        <f t="shared" si="50"/>
        <v>63.604702784322122</v>
      </c>
      <c r="E193" s="387">
        <f t="shared" si="75"/>
        <v>66.574416403535167</v>
      </c>
      <c r="F193" s="387">
        <f t="shared" si="51"/>
        <v>66.57992359839362</v>
      </c>
      <c r="G193" s="110">
        <f t="shared" si="76"/>
        <v>1.036719640791316</v>
      </c>
      <c r="H193" s="414" t="b">
        <f>Wh_hp&gt;='2026'!Maxi_hp</f>
        <v>1</v>
      </c>
      <c r="I193" s="392">
        <f>IF(H193,Wh_hp,'2026'!Maxi_hp)</f>
        <v>66.57992359839362</v>
      </c>
      <c r="J193" s="85">
        <f>IF(H193,An,'2026'!An_max)</f>
        <v>2027</v>
      </c>
      <c r="K193" s="199">
        <f t="shared" si="52"/>
        <v>46566</v>
      </c>
      <c r="L193" s="147">
        <f>IF(t&lt;Tvie,1-EXP((T0-t)*PertePVj)+'2026'!Pspv,1-EXP((T0-t)*PertePVj)+Pspv)</f>
        <v>7.2908435478012512E-2</v>
      </c>
      <c r="M193" s="870"/>
      <c r="N193" s="870"/>
      <c r="O193" s="48">
        <f>IF(t&lt;Tnet,'2026'!Resal+('2026'!Salim-'2026'!Resal)*(1-EXP(('2026'!Tnet-t)/('2026'!Tau_j))),Resal+(Salim-Resal)*(1-EXP((Tnet-t)/(Tau_j))))*Salcycl</f>
        <v>4.4607429995516361E-2</v>
      </c>
      <c r="P193" s="171">
        <f>(INDEX(Models!$BJ193:$BT193,,T193)*(1-R193)+INDEX(Models!$BJ193:$BT193,,T193+1)*R193-ERP_i)*Q193*Ramure*Pc/MaxiM</f>
        <v>8.2715547882966788E-5</v>
      </c>
      <c r="Q193" s="307">
        <f t="shared" si="53"/>
        <v>1</v>
      </c>
      <c r="R193" s="179">
        <f t="shared" si="54"/>
        <v>3.8489637942030197E-2</v>
      </c>
      <c r="S193" s="837">
        <f t="shared" si="55"/>
        <v>-1</v>
      </c>
      <c r="T193" s="178">
        <f t="shared" si="56"/>
        <v>5</v>
      </c>
      <c r="U193" s="253">
        <f t="shared" si="57"/>
        <v>-0.9615103620579698</v>
      </c>
      <c r="V193" s="385">
        <f t="shared" si="58"/>
        <v>56.878813803762895</v>
      </c>
      <c r="W193" s="404">
        <f t="shared" si="59"/>
        <v>58.967383415273211</v>
      </c>
      <c r="X193" s="157">
        <f t="shared" si="60"/>
        <v>46566</v>
      </c>
      <c r="Y193" s="387">
        <f t="shared" si="61"/>
        <v>54.407142307225755</v>
      </c>
      <c r="Z193" s="387">
        <f t="shared" si="62"/>
        <v>58.685834699918033</v>
      </c>
      <c r="AA193" s="388">
        <f t="shared" si="63"/>
        <v>66.487467939784395</v>
      </c>
      <c r="AB193" s="199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0.11733990602457682</v>
      </c>
      <c r="AD193" s="233">
        <f>(INDEX(Models!$BJ193:$BT193,,AH193)*(1-AF193)+INDEX(Models!$BJ193:$BT193,,AH193+1)*AF193-ERP_i)*AE193*Ramure*Pc/MaxiM</f>
        <v>1.3886417047714265E-3</v>
      </c>
      <c r="AE193" s="307">
        <f t="shared" si="65"/>
        <v>1</v>
      </c>
      <c r="AF193" s="179">
        <f t="shared" si="66"/>
        <v>0.97347223086560053</v>
      </c>
      <c r="AG193" s="837">
        <f t="shared" si="74"/>
        <v>3</v>
      </c>
      <c r="AH193" s="178">
        <f t="shared" si="67"/>
        <v>9</v>
      </c>
      <c r="AI193" s="227">
        <f t="shared" si="68"/>
        <v>3.9734722308656005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46567</v>
      </c>
      <c r="B194" s="1139">
        <f>IF(t&gt;Tmaj,'2026'!Wh/'2026'!Env_an*'2027'!Env_an,0.001*'[8]mon-tableau'!$B$230)</f>
        <v>54.753579842925525</v>
      </c>
      <c r="C194" s="866"/>
      <c r="D194" s="395">
        <f t="shared" si="50"/>
        <v>59.060891247137207</v>
      </c>
      <c r="E194" s="387">
        <f t="shared" si="75"/>
        <v>61.837956038509766</v>
      </c>
      <c r="F194" s="387">
        <f t="shared" si="51"/>
        <v>61.842854395527617</v>
      </c>
      <c r="G194" s="110">
        <f t="shared" si="76"/>
        <v>0.96400489507128662</v>
      </c>
      <c r="H194" s="414" t="b">
        <f>Wh_hp&gt;='2026'!Maxi_hp</f>
        <v>0</v>
      </c>
      <c r="I194" s="392">
        <f>IF(H194,Wh_hp,'2026'!Maxi_hp)</f>
        <v>61.843062839684734</v>
      </c>
      <c r="J194" s="85">
        <f>IF(H194,An,'2026'!An_max)</f>
        <v>2025</v>
      </c>
      <c r="K194" s="199">
        <f t="shared" si="52"/>
        <v>46567</v>
      </c>
      <c r="L194" s="147">
        <f>IF(t&lt;Tvie,1-EXP((T0-t)*PertePVj)+'2026'!Pspv,1-EXP((T0-t)*PertePVj)+Pspv)</f>
        <v>7.2930010253112521E-2</v>
      </c>
      <c r="M194" s="870"/>
      <c r="N194" s="870"/>
      <c r="O194" s="48">
        <f>IF(t&lt;Tnet,'2026'!Resal+('2026'!Salim-'2026'!Resal)*(1-EXP(('2026'!Tnet-t)/('2026'!Tau_j))),Resal+(Salim-Resal)*(1-EXP((Tnet-t)/(Tau_j))))*Salcycl</f>
        <v>4.4908741641511138E-2</v>
      </c>
      <c r="P194" s="171">
        <f>(INDEX(Models!$BJ194:$BT194,,T194)*(1-R194)+INDEX(Models!$BJ194:$BT194,,T194+1)*R194-ERP_i)*Q194*Ramure*Pc/MaxiM</f>
        <v>8.3499708810181971E-5</v>
      </c>
      <c r="Q194" s="307">
        <f t="shared" si="53"/>
        <v>1</v>
      </c>
      <c r="R194" s="179">
        <f t="shared" si="54"/>
        <v>4.4745301806511373E-2</v>
      </c>
      <c r="S194" s="837">
        <f t="shared" si="55"/>
        <v>-1</v>
      </c>
      <c r="T194" s="178">
        <f t="shared" si="56"/>
        <v>5</v>
      </c>
      <c r="U194" s="253">
        <f t="shared" si="57"/>
        <v>-0.95525469819348863</v>
      </c>
      <c r="V194" s="385">
        <f t="shared" si="58"/>
        <v>56.797787061615196</v>
      </c>
      <c r="W194" s="404">
        <f t="shared" si="59"/>
        <v>54.753579842925525</v>
      </c>
      <c r="X194" s="157">
        <f t="shared" si="60"/>
        <v>46567</v>
      </c>
      <c r="Y194" s="387">
        <f t="shared" si="61"/>
        <v>50.524397196568913</v>
      </c>
      <c r="Z194" s="387">
        <f t="shared" si="62"/>
        <v>54.499010598286432</v>
      </c>
      <c r="AA194" s="388">
        <f t="shared" si="63"/>
        <v>61.758220271420136</v>
      </c>
      <c r="AB194" s="199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0.11754240392987886</v>
      </c>
      <c r="AD194" s="233">
        <f>(INDEX(Models!$BJ194:$BT194,,AH194)*(1-AF194)+INDEX(Models!$BJ194:$BT194,,AH194+1)*AF194-ERP_i)*AE194*Ramure*Pc/MaxiM</f>
        <v>1.4427132797034863E-3</v>
      </c>
      <c r="AE194" s="307">
        <f t="shared" si="65"/>
        <v>1</v>
      </c>
      <c r="AF194" s="179">
        <f t="shared" si="66"/>
        <v>0.97972789473008204</v>
      </c>
      <c r="AG194" s="837">
        <f t="shared" si="74"/>
        <v>3</v>
      </c>
      <c r="AH194" s="178">
        <f t="shared" si="67"/>
        <v>9</v>
      </c>
      <c r="AI194" s="227">
        <f t="shared" si="68"/>
        <v>3.979727894730082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46568</v>
      </c>
      <c r="B195" s="1139">
        <f>IF(t&gt;Tmaj,'2026'!Wh/'2026'!Env_an*'2027'!Env_an,0.001*'[8]mon-tableau'!$B$231)</f>
        <v>13.261364872905762</v>
      </c>
      <c r="C195" s="866"/>
      <c r="D195" s="395">
        <f t="shared" si="50"/>
        <v>14.304932354721917</v>
      </c>
      <c r="E195" s="387">
        <f t="shared" si="75"/>
        <v>14.982257045918024</v>
      </c>
      <c r="F195" s="387">
        <f t="shared" si="51"/>
        <v>14.982257045918024</v>
      </c>
      <c r="G195" s="110">
        <f t="shared" si="76"/>
        <v>0.23380618919006815</v>
      </c>
      <c r="H195" s="414" t="b">
        <f>Wh_hp&gt;='2026'!Maxi_hp</f>
        <v>0</v>
      </c>
      <c r="I195" s="392">
        <f>IF(H195,Wh_hp,'2026'!Maxi_hp)</f>
        <v>57.491267700625883</v>
      </c>
      <c r="J195" s="85">
        <f>IF(H195,An,'2026'!An_max)</f>
        <v>2019</v>
      </c>
      <c r="K195" s="199">
        <f t="shared" si="52"/>
        <v>46568</v>
      </c>
      <c r="L195" s="147">
        <f>IF(t&lt;Tvie,1-EXP((T0-t)*PertePVj)+'2026'!Pspv,1-EXP((T0-t)*PertePVj)+Pspv)</f>
        <v>7.2951584526136037E-2</v>
      </c>
      <c r="M195" s="870"/>
      <c r="N195" s="870"/>
      <c r="O195" s="48">
        <f>IF(t&lt;Tnet,'2026'!Resal+('2026'!Salim-'2026'!Resal)*(1-EXP(('2026'!Tnet-t)/('2026'!Tau_j))),Resal+(Salim-Resal)*(1-EXP((Tnet-t)/(Tau_j))))*Salcycl</f>
        <v>4.5208454848973977E-2</v>
      </c>
      <c r="P195" s="171">
        <f>(INDEX(Models!$BJ195:$BT195,,T195)*(1-R195)+INDEX(Models!$BJ195:$BT195,,T195+1)*R195-ERP_i)*Q195*Ramure*Pc/MaxiM</f>
        <v>8.4414353620820704E-5</v>
      </c>
      <c r="Q195" s="307">
        <f t="shared" si="53"/>
        <v>1</v>
      </c>
      <c r="R195" s="179">
        <f t="shared" si="54"/>
        <v>5.0906142150289324E-2</v>
      </c>
      <c r="S195" s="837">
        <f t="shared" si="55"/>
        <v>-1</v>
      </c>
      <c r="T195" s="178">
        <f t="shared" si="56"/>
        <v>5</v>
      </c>
      <c r="U195" s="253">
        <f t="shared" si="57"/>
        <v>-0.94909385784971068</v>
      </c>
      <c r="V195" s="385">
        <f t="shared" si="58"/>
        <v>56.714689501150161</v>
      </c>
      <c r="W195" s="404">
        <f t="shared" si="59"/>
        <v>13.261364872905762</v>
      </c>
      <c r="X195" s="157">
        <f t="shared" si="60"/>
        <v>46568</v>
      </c>
      <c r="Y195" s="387">
        <f t="shared" si="61"/>
        <v>12.253937307123449</v>
      </c>
      <c r="Z195" s="387">
        <f t="shared" si="62"/>
        <v>13.218227983119746</v>
      </c>
      <c r="AA195" s="388">
        <f t="shared" si="63"/>
        <v>14.982257045918024</v>
      </c>
      <c r="AB195" s="199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0.11774120931124291</v>
      </c>
      <c r="AD195" s="233">
        <f>(INDEX(Models!$BJ195:$BT195,,AH195)*(1-AF195)+INDEX(Models!$BJ195:$BT195,,AH195+1)*AF195-ERP_i)*AE195*Ramure*Pc/MaxiM</f>
        <v>1.5039688875893241E-3</v>
      </c>
      <c r="AE195" s="307">
        <f t="shared" si="65"/>
        <v>1</v>
      </c>
      <c r="AF195" s="179">
        <f t="shared" si="66"/>
        <v>0.98588873507385966</v>
      </c>
      <c r="AG195" s="837">
        <f t="shared" si="74"/>
        <v>3</v>
      </c>
      <c r="AH195" s="178">
        <f t="shared" si="67"/>
        <v>9</v>
      </c>
      <c r="AI195" s="227">
        <f t="shared" si="68"/>
        <v>3.9858887350738597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46569</v>
      </c>
      <c r="B196" s="1139">
        <f>IF(t&gt;Tmaj,'2026'!Wh/'2026'!Env_an*'2027'!Env_an,0.001*[9]mois!$B$208)</f>
        <v>54.091884604846761</v>
      </c>
      <c r="C196" s="866"/>
      <c r="D196" s="395">
        <f t="shared" si="50"/>
        <v>58.34985803159968</v>
      </c>
      <c r="E196" s="387">
        <f t="shared" si="75"/>
        <v>61.131754412805655</v>
      </c>
      <c r="F196" s="387">
        <f t="shared" si="51"/>
        <v>61.136644958494827</v>
      </c>
      <c r="G196" s="110">
        <f t="shared" si="76"/>
        <v>0.95518692421083551</v>
      </c>
      <c r="H196" s="414" t="b">
        <f>Wh_hp&gt;='2026'!Maxi_hp</f>
        <v>0</v>
      </c>
      <c r="I196" s="392">
        <f>IF(H196,Wh_hp,'2026'!Maxi_hp)</f>
        <v>61.13690822771806</v>
      </c>
      <c r="J196" s="85">
        <f>IF(H196,An,'2026'!An_max)</f>
        <v>2025</v>
      </c>
      <c r="K196" s="199">
        <f t="shared" si="52"/>
        <v>46569</v>
      </c>
      <c r="L196" s="147">
        <f>IF(t&lt;Tvie,1-EXP((T0-t)*PertePVj)+'2026'!Pspv,1-EXP((T0-t)*PertePVj)+Pspv)</f>
        <v>7.2973158297094609E-2</v>
      </c>
      <c r="M196" s="870"/>
      <c r="N196" s="870"/>
      <c r="O196" s="48">
        <f>IF(t&lt;Tnet,'2026'!Resal+('2026'!Salim-'2026'!Resal)*(1-EXP(('2026'!Tnet-t)/('2026'!Tau_j))),Resal+(Salim-Resal)*(1-EXP((Tnet-t)/(Tau_j))))*Salcycl</f>
        <v>4.5506568688027646E-2</v>
      </c>
      <c r="P196" s="171">
        <f>(INDEX(Models!$BJ196:$BT196,,T196)*(1-R196)+INDEX(Models!$BJ196:$BT196,,T196+1)*R196-ERP_i)*Q196*Ramure*Pc/MaxiM</f>
        <v>8.5464365584902839E-5</v>
      </c>
      <c r="Q196" s="307">
        <f t="shared" si="53"/>
        <v>1</v>
      </c>
      <c r="R196" s="179">
        <f t="shared" si="54"/>
        <v>5.6969216679609302E-2</v>
      </c>
      <c r="S196" s="837">
        <f t="shared" si="55"/>
        <v>-1</v>
      </c>
      <c r="T196" s="178">
        <f t="shared" si="56"/>
        <v>5</v>
      </c>
      <c r="U196" s="253">
        <f t="shared" si="57"/>
        <v>-0.9430307833203907</v>
      </c>
      <c r="V196" s="385">
        <f t="shared" si="58"/>
        <v>56.629322796258862</v>
      </c>
      <c r="W196" s="404">
        <f t="shared" si="59"/>
        <v>54.091884604846761</v>
      </c>
      <c r="X196" s="157">
        <f t="shared" si="60"/>
        <v>46569</v>
      </c>
      <c r="Y196" s="387">
        <f t="shared" si="61"/>
        <v>49.917652358793603</v>
      </c>
      <c r="Z196" s="387">
        <f t="shared" si="62"/>
        <v>53.847041005951013</v>
      </c>
      <c r="AA196" s="388">
        <f t="shared" si="63"/>
        <v>61.046662969505896</v>
      </c>
      <c r="AB196" s="199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0.1179363721674884</v>
      </c>
      <c r="AD196" s="233">
        <f>(INDEX(Models!$BJ196:$BT196,,AH196)*(1-AF196)+INDEX(Models!$BJ196:$BT196,,AH196+1)*AF196-ERP_i)*AE196*Ramure*Pc/MaxiM</f>
        <v>1.572473521723996E-3</v>
      </c>
      <c r="AE196" s="307">
        <f t="shared" si="65"/>
        <v>1</v>
      </c>
      <c r="AF196" s="179">
        <f t="shared" si="66"/>
        <v>0.99195180960317986</v>
      </c>
      <c r="AG196" s="837">
        <f t="shared" si="74"/>
        <v>3</v>
      </c>
      <c r="AH196" s="178">
        <f t="shared" si="67"/>
        <v>9</v>
      </c>
      <c r="AI196" s="227">
        <f t="shared" si="68"/>
        <v>3.9919518096031799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46570</v>
      </c>
      <c r="B197" s="1139">
        <f>IF(t&gt;Tmaj,'2026'!Wh/'2026'!Env_an*'2027'!Env_an,0.001*[9]mois!$B$209)</f>
        <v>50.366475604133917</v>
      </c>
      <c r="C197" s="866"/>
      <c r="D197" s="395">
        <f t="shared" si="50"/>
        <v>54.332458853463208</v>
      </c>
      <c r="E197" s="387">
        <f t="shared" si="75"/>
        <v>56.94050992659939</v>
      </c>
      <c r="F197" s="387">
        <f t="shared" si="51"/>
        <v>56.944674571464468</v>
      </c>
      <c r="G197" s="110">
        <f t="shared" si="76"/>
        <v>0.89077588549630038</v>
      </c>
      <c r="H197" s="414" t="b">
        <f>Wh_hp&gt;='2026'!Maxi_hp</f>
        <v>0</v>
      </c>
      <c r="I197" s="392">
        <f>IF(H197,Wh_hp,'2026'!Maxi_hp)</f>
        <v>57.066664805016352</v>
      </c>
      <c r="J197" s="85">
        <f>IF(H197,An,'2026'!An_max)</f>
        <v>2021</v>
      </c>
      <c r="K197" s="199">
        <f t="shared" si="52"/>
        <v>46570</v>
      </c>
      <c r="L197" s="147">
        <f>IF(t&lt;Tvie,1-EXP((T0-t)*PertePVj)+'2026'!Pspv,1-EXP((T0-t)*PertePVj)+Pspv)</f>
        <v>7.2994731566000115E-2</v>
      </c>
      <c r="M197" s="870"/>
      <c r="N197" s="870"/>
      <c r="O197" s="48">
        <f>IF(t&lt;Tnet,'2026'!Resal+('2026'!Salim-'2026'!Resal)*(1-EXP(('2026'!Tnet-t)/('2026'!Tau_j))),Resal+(Salim-Resal)*(1-EXP((Tnet-t)/(Tau_j))))*Salcycl</f>
        <v>4.5803086001480413E-2</v>
      </c>
      <c r="P197" s="171">
        <f>(INDEX(Models!$BJ197:$BT197,,T197)*(1-R197)+INDEX(Models!$BJ197:$BT197,,T197+1)*R197-ERP_i)*Q197*Ramure*Pc/MaxiM</f>
        <v>8.6654532676237714E-5</v>
      </c>
      <c r="Q197" s="307">
        <f t="shared" si="53"/>
        <v>1</v>
      </c>
      <c r="R197" s="179">
        <f t="shared" si="54"/>
        <v>6.2931838110334204E-2</v>
      </c>
      <c r="S197" s="837">
        <f t="shared" si="55"/>
        <v>-1</v>
      </c>
      <c r="T197" s="178">
        <f t="shared" si="56"/>
        <v>5</v>
      </c>
      <c r="U197" s="253">
        <f t="shared" si="57"/>
        <v>-0.9370681618896658</v>
      </c>
      <c r="V197" s="385">
        <f t="shared" si="58"/>
        <v>56.541488650198275</v>
      </c>
      <c r="W197" s="404">
        <f t="shared" si="59"/>
        <v>50.366475604133917</v>
      </c>
      <c r="X197" s="157">
        <f t="shared" si="60"/>
        <v>46570</v>
      </c>
      <c r="Y197" s="387">
        <f t="shared" si="61"/>
        <v>46.487513153551369</v>
      </c>
      <c r="Z197" s="387">
        <f t="shared" si="62"/>
        <v>50.148057121706799</v>
      </c>
      <c r="AA197" s="388">
        <f t="shared" si="63"/>
        <v>56.865457033039768</v>
      </c>
      <c r="AB197" s="199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0.11812795081256532</v>
      </c>
      <c r="AD197" s="233">
        <f>(INDEX(Models!$BJ197:$BT197,,AH197)*(1-AF197)+INDEX(Models!$BJ197:$BT197,,AH197+1)*AF197-ERP_i)*AE197*Ramure*Pc/MaxiM</f>
        <v>1.6482939108490196E-3</v>
      </c>
      <c r="AE197" s="307">
        <f t="shared" si="65"/>
        <v>1</v>
      </c>
      <c r="AF197" s="179">
        <f t="shared" si="66"/>
        <v>0.99791443103390476</v>
      </c>
      <c r="AG197" s="837">
        <f t="shared" si="74"/>
        <v>3</v>
      </c>
      <c r="AH197" s="178">
        <f t="shared" si="67"/>
        <v>9</v>
      </c>
      <c r="AI197" s="227">
        <f t="shared" si="68"/>
        <v>3.9979144310339048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46571</v>
      </c>
      <c r="B198" s="1139">
        <f>IF(t&gt;Tmaj,'2026'!Wh/'2026'!Env_an*'2027'!Env_an,0.001*[9]mois!$B$210)</f>
        <v>42.614868577688391</v>
      </c>
      <c r="C198" s="866"/>
      <c r="D198" s="395">
        <f t="shared" si="50"/>
        <v>45.971540574960301</v>
      </c>
      <c r="E198" s="387">
        <f t="shared" si="75"/>
        <v>48.193148997134685</v>
      </c>
      <c r="F198" s="387">
        <f t="shared" si="51"/>
        <v>48.195921154403486</v>
      </c>
      <c r="G198" s="110">
        <f t="shared" si="76"/>
        <v>0.75487729951336302</v>
      </c>
      <c r="H198" s="414" t="b">
        <f>Wh_hp&gt;='2026'!Maxi_hp</f>
        <v>0</v>
      </c>
      <c r="I198" s="392">
        <f>IF(H198,Wh_hp,'2026'!Maxi_hp)</f>
        <v>51.612823612045531</v>
      </c>
      <c r="J198" s="85">
        <f>IF(H198,An,'2026'!An_max)</f>
        <v>2019</v>
      </c>
      <c r="K198" s="199">
        <f t="shared" si="52"/>
        <v>46571</v>
      </c>
      <c r="L198" s="147">
        <f>IF(t&lt;Tvie,1-EXP((T0-t)*PertePVj)+'2026'!Pspv,1-EXP((T0-t)*PertePVj)+Pspv)</f>
        <v>7.3016304332864101E-2</v>
      </c>
      <c r="M198" s="870"/>
      <c r="N198" s="870"/>
      <c r="O198" s="48">
        <f>IF(t&lt;Tnet,'2026'!Resal+('2026'!Salim-'2026'!Resal)*(1-EXP(('2026'!Tnet-t)/('2026'!Tau_j))),Resal+(Salim-Resal)*(1-EXP((Tnet-t)/(Tau_j))))*Salcycl</f>
        <v>4.6098013273763665E-2</v>
      </c>
      <c r="P198" s="171">
        <f>(INDEX(Models!$BJ198:$BT198,,T198)*(1-R198)+INDEX(Models!$BJ198:$BT198,,T198+1)*R198-ERP_i)*Q198*Ramure*Pc/MaxiM</f>
        <v>8.8509322915825118E-5</v>
      </c>
      <c r="Q198" s="307">
        <f t="shared" si="53"/>
        <v>1</v>
      </c>
      <c r="R198" s="179">
        <f t="shared" si="54"/>
        <v>6.8791574184549287E-2</v>
      </c>
      <c r="S198" s="837">
        <f t="shared" si="55"/>
        <v>-1</v>
      </c>
      <c r="T198" s="178">
        <f t="shared" si="56"/>
        <v>5</v>
      </c>
      <c r="U198" s="253">
        <f t="shared" si="57"/>
        <v>-0.93120842581545071</v>
      </c>
      <c r="V198" s="385">
        <f t="shared" si="58"/>
        <v>56.450959459906677</v>
      </c>
      <c r="W198" s="404">
        <f t="shared" si="59"/>
        <v>42.614868577688391</v>
      </c>
      <c r="X198" s="157">
        <f t="shared" si="60"/>
        <v>46571</v>
      </c>
      <c r="Y198" s="387">
        <f t="shared" si="61"/>
        <v>39.346506227357459</v>
      </c>
      <c r="Z198" s="387">
        <f t="shared" si="62"/>
        <v>42.445737083908888</v>
      </c>
      <c r="AA198" s="388">
        <f t="shared" si="63"/>
        <v>48.141667117112817</v>
      </c>
      <c r="AB198" s="199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0.11831601135348327</v>
      </c>
      <c r="AD198" s="233">
        <f>(INDEX(Models!$BJ198:$BT198,,AH198)*(1-AF198)+INDEX(Models!$BJ198:$BT198,,AH198+1)*AF198-ERP_i)*AE198*Ramure*Pc/MaxiM</f>
        <v>1.732220664419851E-3</v>
      </c>
      <c r="AE198" s="307">
        <f t="shared" si="65"/>
        <v>1</v>
      </c>
      <c r="AF198" s="179">
        <f t="shared" si="66"/>
        <v>3.7741671081192862E-3</v>
      </c>
      <c r="AG198" s="837">
        <f t="shared" si="74"/>
        <v>4</v>
      </c>
      <c r="AH198" s="178">
        <f t="shared" si="67"/>
        <v>10</v>
      </c>
      <c r="AI198" s="227">
        <f t="shared" si="68"/>
        <v>4.0037741671081193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46572</v>
      </c>
      <c r="B199" s="1139">
        <f>IF(t&gt;Tmaj,'2026'!Wh/'2026'!Env_an*'2027'!Env_an,0.001*[9]mois!$B$211)</f>
        <v>44.713838564544439</v>
      </c>
      <c r="C199" s="866"/>
      <c r="D199" s="395">
        <f t="shared" si="50"/>
        <v>48.236963987727712</v>
      </c>
      <c r="E199" s="387">
        <f t="shared" si="75"/>
        <v>50.583606301989569</v>
      </c>
      <c r="F199" s="387">
        <f t="shared" si="51"/>
        <v>50.586852399055402</v>
      </c>
      <c r="G199" s="110">
        <f t="shared" si="76"/>
        <v>0.79337457820767954</v>
      </c>
      <c r="H199" s="414" t="b">
        <f>Wh_hp&gt;='2026'!Maxi_hp</f>
        <v>0</v>
      </c>
      <c r="I199" s="392">
        <f>IF(H199,Wh_hp,'2026'!Maxi_hp)</f>
        <v>59.307857255602293</v>
      </c>
      <c r="J199" s="85">
        <f>IF(H199,An,'2026'!An_max)</f>
        <v>2019</v>
      </c>
      <c r="K199" s="199">
        <f t="shared" si="52"/>
        <v>46572</v>
      </c>
      <c r="L199" s="147">
        <f>IF(t&lt;Tvie,1-EXP((T0-t)*PertePVj)+'2026'!Pspv,1-EXP((T0-t)*PertePVj)+Pspv)</f>
        <v>7.3037876597698337E-2</v>
      </c>
      <c r="M199" s="870"/>
      <c r="N199" s="870"/>
      <c r="O199" s="48">
        <f>IF(t&lt;Tnet,'2026'!Resal+('2026'!Salim-'2026'!Resal)*(1-EXP(('2026'!Tnet-t)/('2026'!Tau_j))),Resal+(Salim-Resal)*(1-EXP((Tnet-t)/(Tau_j))))*Salcycl</f>
        <v>4.6391360478573861E-2</v>
      </c>
      <c r="P199" s="171">
        <f>(INDEX(Models!$BJ199:$BT199,,T199)*(1-R199)+INDEX(Models!$BJ199:$BT199,,T199+1)*R199-ERP_i)*Q199*Ramure*Pc/MaxiM</f>
        <v>9.1038763362775692E-5</v>
      </c>
      <c r="Q199" s="307">
        <f t="shared" si="53"/>
        <v>1</v>
      </c>
      <c r="R199" s="179">
        <f t="shared" si="54"/>
        <v>7.4546246498089275E-2</v>
      </c>
      <c r="S199" s="837">
        <f t="shared" si="55"/>
        <v>-1</v>
      </c>
      <c r="T199" s="178">
        <f t="shared" si="56"/>
        <v>5</v>
      </c>
      <c r="U199" s="253">
        <f t="shared" si="57"/>
        <v>-0.92545375350191073</v>
      </c>
      <c r="V199" s="385">
        <f t="shared" si="58"/>
        <v>56.357536850708371</v>
      </c>
      <c r="W199" s="404">
        <f t="shared" si="59"/>
        <v>44.713838564544439</v>
      </c>
      <c r="X199" s="157">
        <f t="shared" si="60"/>
        <v>46572</v>
      </c>
      <c r="Y199" s="387">
        <f t="shared" si="61"/>
        <v>41.282324928812919</v>
      </c>
      <c r="Z199" s="387">
        <f t="shared" si="62"/>
        <v>44.535072023537673</v>
      </c>
      <c r="AA199" s="388">
        <f t="shared" si="63"/>
        <v>50.521955425331122</v>
      </c>
      <c r="AB199" s="199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0.11850062713114412</v>
      </c>
      <c r="AD199" s="233">
        <f>(INDEX(Models!$BJ199:$BT199,,AH199)*(1-AF199)+INDEX(Models!$BJ199:$BT199,,AH199+1)*AF199-ERP_i)*AE199*Ramure*Pc/MaxiM</f>
        <v>1.8200750359666893E-3</v>
      </c>
      <c r="AE199" s="307">
        <f t="shared" si="65"/>
        <v>1</v>
      </c>
      <c r="AF199" s="179">
        <f t="shared" si="66"/>
        <v>9.5288394216597183E-3</v>
      </c>
      <c r="AG199" s="837">
        <f t="shared" si="74"/>
        <v>4</v>
      </c>
      <c r="AH199" s="178">
        <f t="shared" si="67"/>
        <v>10</v>
      </c>
      <c r="AI199" s="227">
        <f t="shared" si="68"/>
        <v>4.0095288394216597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46573</v>
      </c>
      <c r="B200" s="1139">
        <f>IF(t&gt;Tmaj,'2026'!Wh/'2026'!Env_an*'2027'!Env_an,0.001*[9]mois!$B$212)</f>
        <v>53.900699561670713</v>
      </c>
      <c r="C200" s="866"/>
      <c r="D200" s="395">
        <f t="shared" si="50"/>
        <v>58.149036058824059</v>
      </c>
      <c r="E200" s="387">
        <f t="shared" si="75"/>
        <v>60.996546430659357</v>
      </c>
      <c r="F200" s="387">
        <f t="shared" si="51"/>
        <v>61.001951663486658</v>
      </c>
      <c r="G200" s="110">
        <f t="shared" si="76"/>
        <v>0.95804151519060465</v>
      </c>
      <c r="H200" s="414" t="b">
        <f>Wh_hp&gt;='2026'!Maxi_hp</f>
        <v>0</v>
      </c>
      <c r="I200" s="392">
        <f>IF(H200,Wh_hp,'2026'!Maxi_hp)</f>
        <v>62.396203571574965</v>
      </c>
      <c r="J200" s="85">
        <f>IF(H200,An,'2026'!An_max)</f>
        <v>2021</v>
      </c>
      <c r="K200" s="199">
        <f t="shared" si="52"/>
        <v>46573</v>
      </c>
      <c r="L200" s="147">
        <f>IF(t&lt;Tvie,1-EXP((T0-t)*PertePVj)+'2026'!Pspv,1-EXP((T0-t)*PertePVj)+Pspv)</f>
        <v>7.3059448360514367E-2</v>
      </c>
      <c r="M200" s="870"/>
      <c r="N200" s="870"/>
      <c r="O200" s="48">
        <f>IF(t&lt;Tnet,'2026'!Resal+('2026'!Salim-'2026'!Resal)*(1-EXP(('2026'!Tnet-t)/('2026'!Tau_j))),Resal+(Salim-Resal)*(1-EXP((Tnet-t)/(Tau_j))))*Salcycl</f>
        <v>4.6683140906548452E-2</v>
      </c>
      <c r="P200" s="171">
        <f>(INDEX(Models!$BJ200:$BT200,,T200)*(1-R200)+INDEX(Models!$BJ200:$BT200,,T200+1)*R200-ERP_i)*Q200*Ramure*Pc/MaxiM</f>
        <v>9.4256617378033869E-5</v>
      </c>
      <c r="Q200" s="307">
        <f t="shared" si="53"/>
        <v>1</v>
      </c>
      <c r="R200" s="179">
        <f t="shared" si="54"/>
        <v>8.0193928202052622E-2</v>
      </c>
      <c r="S200" s="837">
        <f t="shared" si="55"/>
        <v>-1</v>
      </c>
      <c r="T200" s="178">
        <f t="shared" si="56"/>
        <v>5</v>
      </c>
      <c r="U200" s="253">
        <f t="shared" si="57"/>
        <v>-0.91980607179794738</v>
      </c>
      <c r="V200" s="385">
        <f t="shared" si="58"/>
        <v>56.261022294741089</v>
      </c>
      <c r="W200" s="404">
        <f t="shared" si="59"/>
        <v>53.900699561670713</v>
      </c>
      <c r="X200" s="157">
        <f t="shared" si="60"/>
        <v>46573</v>
      </c>
      <c r="Y200" s="387">
        <f t="shared" si="61"/>
        <v>49.744761195095457</v>
      </c>
      <c r="Z200" s="387">
        <f t="shared" si="62"/>
        <v>53.665535623737227</v>
      </c>
      <c r="AA200" s="388">
        <f t="shared" si="63"/>
        <v>60.892354635546589</v>
      </c>
      <c r="AB200" s="199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0.11868187812843471</v>
      </c>
      <c r="AD200" s="233">
        <f>(INDEX(Models!$BJ200:$BT200,,AH200)*(1-AF200)+INDEX(Models!$BJ200:$BT200,,AH200+1)*AF200-ERP_i)*AE200*Ramure*Pc/MaxiM</f>
        <v>1.9111563661310432E-3</v>
      </c>
      <c r="AE200" s="307">
        <f t="shared" si="65"/>
        <v>1</v>
      </c>
      <c r="AF200" s="179">
        <f t="shared" si="66"/>
        <v>1.5176521125622955E-2</v>
      </c>
      <c r="AG200" s="837">
        <f t="shared" si="74"/>
        <v>4</v>
      </c>
      <c r="AH200" s="178">
        <f t="shared" si="67"/>
        <v>10</v>
      </c>
      <c r="AI200" s="227">
        <f t="shared" si="68"/>
        <v>4.015176521125623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46574</v>
      </c>
      <c r="B201" s="1139">
        <f>IF(t&gt;Tmaj,'2026'!Wh/'2026'!Env_an*'2027'!Env_an,0.001*[9]mois!$B$213)</f>
        <v>41.756468552258156</v>
      </c>
      <c r="C201" s="866"/>
      <c r="D201" s="395">
        <f t="shared" si="50"/>
        <v>45.048671390027323</v>
      </c>
      <c r="E201" s="387">
        <f t="shared" si="75"/>
        <v>47.269058406153391</v>
      </c>
      <c r="F201" s="387">
        <f t="shared" si="51"/>
        <v>47.271998882799707</v>
      </c>
      <c r="G201" s="110">
        <f t="shared" si="76"/>
        <v>0.74348399693184131</v>
      </c>
      <c r="H201" s="414" t="b">
        <f>Wh_hp&gt;='2026'!Maxi_hp</f>
        <v>0</v>
      </c>
      <c r="I201" s="392">
        <f>IF(H201,Wh_hp,'2026'!Maxi_hp)</f>
        <v>61.545383485754634</v>
      </c>
      <c r="J201" s="85">
        <f>IF(H201,An,'2026'!An_max)</f>
        <v>2020</v>
      </c>
      <c r="K201" s="199">
        <f t="shared" si="52"/>
        <v>46574</v>
      </c>
      <c r="L201" s="147">
        <f>IF(t&lt;Tvie,1-EXP((T0-t)*PertePVj)+'2026'!Pspv,1-EXP((T0-t)*PertePVj)+Pspv)</f>
        <v>7.3081019621324073E-2</v>
      </c>
      <c r="M201" s="870"/>
      <c r="N201" s="870"/>
      <c r="O201" s="48">
        <f>IF(t&lt;Tnet,'2026'!Resal+('2026'!Salim-'2026'!Resal)*(1-EXP(('2026'!Tnet-t)/('2026'!Tau_j))),Resal+(Salim-Resal)*(1-EXP((Tnet-t)/(Tau_j))))*Salcycl</f>
        <v>4.697337097446859E-2</v>
      </c>
      <c r="P201" s="171">
        <f>(INDEX(Models!$BJ201:$BT201,,T201)*(1-R201)+INDEX(Models!$BJ201:$BT201,,T201+1)*R201-ERP_i)*Q201*Ramure*Pc/MaxiM</f>
        <v>9.8176526307162745E-5</v>
      </c>
      <c r="Q201" s="307">
        <f t="shared" si="53"/>
        <v>1</v>
      </c>
      <c r="R201" s="179">
        <f t="shared" si="54"/>
        <v>8.5732940647629152E-2</v>
      </c>
      <c r="S201" s="837">
        <f t="shared" si="55"/>
        <v>-1</v>
      </c>
      <c r="T201" s="178">
        <f t="shared" si="56"/>
        <v>5</v>
      </c>
      <c r="U201" s="253">
        <f t="shared" si="57"/>
        <v>-0.91426705935237085</v>
      </c>
      <c r="V201" s="385">
        <f t="shared" si="58"/>
        <v>56.161217347356683</v>
      </c>
      <c r="W201" s="404">
        <f t="shared" si="59"/>
        <v>41.756468552258156</v>
      </c>
      <c r="X201" s="157">
        <f t="shared" si="60"/>
        <v>46574</v>
      </c>
      <c r="Y201" s="387">
        <f t="shared" si="61"/>
        <v>38.560136255060506</v>
      </c>
      <c r="Z201" s="387">
        <f t="shared" si="62"/>
        <v>41.600330850175773</v>
      </c>
      <c r="AA201" s="388">
        <f t="shared" si="63"/>
        <v>47.211934295251424</v>
      </c>
      <c r="AB201" s="199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0.11885985035017026</v>
      </c>
      <c r="AD201" s="233">
        <f>(INDEX(Models!$BJ201:$BT201,,AH201)*(1-AF201)+INDEX(Models!$BJ201:$BT201,,AH201+1)*AF201-ERP_i)*AE201*Ramure*Pc/MaxiM</f>
        <v>2.0054342437810938E-3</v>
      </c>
      <c r="AE201" s="307">
        <f t="shared" si="65"/>
        <v>1</v>
      </c>
      <c r="AF201" s="179">
        <f t="shared" si="66"/>
        <v>2.0715533571199707E-2</v>
      </c>
      <c r="AG201" s="837">
        <f t="shared" si="74"/>
        <v>4</v>
      </c>
      <c r="AH201" s="178">
        <f t="shared" si="67"/>
        <v>10</v>
      </c>
      <c r="AI201" s="227">
        <f t="shared" si="68"/>
        <v>4.0207155335711997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46575</v>
      </c>
      <c r="B202" s="1139">
        <f>IF(t&gt;Tmaj,'2026'!Wh/'2026'!Env_an*'2027'!Env_an,0.001*[9]mois!$B$214)</f>
        <v>51.85057490516963</v>
      </c>
      <c r="C202" s="866"/>
      <c r="D202" s="395">
        <f t="shared" si="50"/>
        <v>55.939928590840026</v>
      </c>
      <c r="E202" s="387">
        <f t="shared" si="75"/>
        <v>58.714917114589227</v>
      </c>
      <c r="F202" s="387">
        <f t="shared" si="51"/>
        <v>58.720306968942388</v>
      </c>
      <c r="G202" s="110">
        <f t="shared" si="76"/>
        <v>0.92493620711878721</v>
      </c>
      <c r="H202" s="414" t="b">
        <f>Wh_hp&gt;='2026'!Maxi_hp</f>
        <v>0</v>
      </c>
      <c r="I202" s="392">
        <f>IF(H202,Wh_hp,'2026'!Maxi_hp)</f>
        <v>58.72082947004634</v>
      </c>
      <c r="J202" s="85">
        <f>IF(H202,An,'2026'!An_max)</f>
        <v>2025</v>
      </c>
      <c r="K202" s="199">
        <f t="shared" si="52"/>
        <v>46575</v>
      </c>
      <c r="L202" s="147">
        <f>IF(t&lt;Tvie,1-EXP((T0-t)*PertePVj)+'2026'!Pspv,1-EXP((T0-t)*PertePVj)+Pspv)</f>
        <v>7.3102590380138888E-2</v>
      </c>
      <c r="M202" s="870"/>
      <c r="N202" s="870"/>
      <c r="O202" s="48">
        <f>IF(t&lt;Tnet,'2026'!Resal+('2026'!Salim-'2026'!Resal)*(1-EXP(('2026'!Tnet-t)/('2026'!Tau_j))),Resal+(Salim-Resal)*(1-EXP((Tnet-t)/(Tau_j))))*Salcycl</f>
        <v>4.7262070017632357E-2</v>
      </c>
      <c r="P202" s="171">
        <f>(INDEX(Models!$BJ202:$BT202,,T202)*(1-R202)+INDEX(Models!$BJ202:$BT202,,T202+1)*R202-ERP_i)*Q202*Ramure*Pc/MaxiM</f>
        <v>1.0281204056035866E-4</v>
      </c>
      <c r="Q202" s="307">
        <f t="shared" si="53"/>
        <v>1</v>
      </c>
      <c r="R202" s="179">
        <f t="shared" si="54"/>
        <v>9.1161849048684629E-2</v>
      </c>
      <c r="S202" s="837">
        <f t="shared" si="55"/>
        <v>-1</v>
      </c>
      <c r="T202" s="178">
        <f t="shared" si="56"/>
        <v>5</v>
      </c>
      <c r="U202" s="253">
        <f t="shared" si="57"/>
        <v>-0.90883815095131537</v>
      </c>
      <c r="V202" s="385">
        <f t="shared" si="58"/>
        <v>56.05792365088486</v>
      </c>
      <c r="W202" s="404">
        <f t="shared" si="59"/>
        <v>51.85057490516963</v>
      </c>
      <c r="X202" s="157">
        <f t="shared" si="60"/>
        <v>46575</v>
      </c>
      <c r="Y202" s="387">
        <f t="shared" si="61"/>
        <v>47.858899017404966</v>
      </c>
      <c r="Z202" s="387">
        <f t="shared" si="62"/>
        <v>51.633437013307486</v>
      </c>
      <c r="AA202" s="388">
        <f t="shared" si="63"/>
        <v>58.610064680395482</v>
      </c>
      <c r="AB202" s="199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0.11903463517967443</v>
      </c>
      <c r="AD202" s="233">
        <f>(INDEX(Models!$BJ202:$BT202,,AH202)*(1-AF202)+INDEX(Models!$BJ202:$BT202,,AH202+1)*AF202-ERP_i)*AE202*Ramure*Pc/MaxiM</f>
        <v>2.1028832875404475E-3</v>
      </c>
      <c r="AE202" s="307">
        <f t="shared" si="65"/>
        <v>1</v>
      </c>
      <c r="AF202" s="179">
        <f t="shared" si="66"/>
        <v>2.6144441972254739E-2</v>
      </c>
      <c r="AG202" s="837">
        <f t="shared" si="74"/>
        <v>4</v>
      </c>
      <c r="AH202" s="178">
        <f t="shared" si="67"/>
        <v>10</v>
      </c>
      <c r="AI202" s="227">
        <f t="shared" si="68"/>
        <v>4.0261444419722547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46576</v>
      </c>
      <c r="B203" s="1139">
        <f>IF(t&gt;Tmaj,'2026'!Wh/'2026'!Env_an*'2027'!Env_an,0.001*[9]mois!$B$215)</f>
        <v>56.902205548070498</v>
      </c>
      <c r="C203" s="866"/>
      <c r="D203" s="395">
        <f t="shared" si="50"/>
        <v>61.391400154712223</v>
      </c>
      <c r="E203" s="387">
        <f t="shared" si="75"/>
        <v>64.456247006582373</v>
      </c>
      <c r="F203" s="387">
        <f t="shared" si="51"/>
        <v>64.463220422098431</v>
      </c>
      <c r="G203" s="110">
        <f t="shared" si="76"/>
        <v>1.017001725951227</v>
      </c>
      <c r="H203" s="414" t="b">
        <f>Wh_hp&gt;='2026'!Maxi_hp</f>
        <v>1</v>
      </c>
      <c r="I203" s="392">
        <f>IF(H203,Wh_hp,'2026'!Maxi_hp)</f>
        <v>64.463220422098431</v>
      </c>
      <c r="J203" s="85">
        <f>IF(H203,An,'2026'!An_max)</f>
        <v>2027</v>
      </c>
      <c r="K203" s="199">
        <f t="shared" si="52"/>
        <v>46576</v>
      </c>
      <c r="L203" s="147">
        <f>IF(t&lt;Tvie,1-EXP((T0-t)*PertePVj)+'2026'!Pspv,1-EXP((T0-t)*PertePVj)+Pspv)</f>
        <v>7.3124160636970692E-2</v>
      </c>
      <c r="M203" s="870"/>
      <c r="N203" s="870"/>
      <c r="O203" s="48">
        <f>IF(t&lt;Tnet,'2026'!Resal+('2026'!Salim-'2026'!Resal)*(1-EXP(('2026'!Tnet-t)/('2026'!Tau_j))),Resal+(Salim-Resal)*(1-EXP((Tnet-t)/(Tau_j))))*Salcycl</f>
        <v>4.7549260067176392E-2</v>
      </c>
      <c r="P203" s="171">
        <f>(INDEX(Models!$BJ203:$BT203,,T203)*(1-R203)+INDEX(Models!$BJ203:$BT203,,T203+1)*R203-ERP_i)*Q203*Ramure*Pc/MaxiM</f>
        <v>1.0817665438360579E-4</v>
      </c>
      <c r="Q203" s="307">
        <f t="shared" si="53"/>
        <v>1</v>
      </c>
      <c r="R203" s="179">
        <f t="shared" si="54"/>
        <v>9.6479457240527977E-2</v>
      </c>
      <c r="S203" s="837">
        <f t="shared" si="55"/>
        <v>-1</v>
      </c>
      <c r="T203" s="178">
        <f t="shared" si="56"/>
        <v>5</v>
      </c>
      <c r="U203" s="253">
        <f t="shared" si="57"/>
        <v>-0.90352054275947202</v>
      </c>
      <c r="V203" s="385">
        <f t="shared" si="58"/>
        <v>55.950942949333204</v>
      </c>
      <c r="W203" s="404">
        <f t="shared" si="59"/>
        <v>56.902205548070498</v>
      </c>
      <c r="X203" s="157">
        <f t="shared" si="60"/>
        <v>46576</v>
      </c>
      <c r="Y203" s="387">
        <f t="shared" si="61"/>
        <v>52.510932250022115</v>
      </c>
      <c r="Z203" s="387">
        <f t="shared" si="62"/>
        <v>56.653685445192799</v>
      </c>
      <c r="AA203" s="388">
        <f t="shared" si="63"/>
        <v>64.321176788957004</v>
      </c>
      <c r="AB203" s="199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0.11920632871693046</v>
      </c>
      <c r="AD203" s="233">
        <f>(INDEX(Models!$BJ203:$BT203,,AH203)*(1-AF203)+INDEX(Models!$BJ203:$BT203,,AH203+1)*AF203-ERP_i)*AE203*Ramure*Pc/MaxiM</f>
        <v>2.2034833539395899E-3</v>
      </c>
      <c r="AE203" s="307">
        <f t="shared" si="65"/>
        <v>1</v>
      </c>
      <c r="AF203" s="179">
        <f t="shared" si="66"/>
        <v>3.1462050164098088E-2</v>
      </c>
      <c r="AG203" s="837">
        <f t="shared" si="74"/>
        <v>4</v>
      </c>
      <c r="AH203" s="178">
        <f t="shared" si="67"/>
        <v>10</v>
      </c>
      <c r="AI203" s="227">
        <f t="shared" si="68"/>
        <v>4.0314620501640981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46577</v>
      </c>
      <c r="B204" s="1139">
        <f>IF(t&gt;Tmaj,'2026'!Wh/'2026'!Env_an*'2027'!Env_an,0.001*[9]mois!$B$216)</f>
        <v>55.890137893745994</v>
      </c>
      <c r="C204" s="866"/>
      <c r="D204" s="395">
        <f t="shared" si="50"/>
        <v>60.300890578379445</v>
      </c>
      <c r="E204" s="387">
        <f t="shared" si="75"/>
        <v>63.330292964684958</v>
      </c>
      <c r="F204" s="387">
        <f t="shared" si="51"/>
        <v>63.337531421263037</v>
      </c>
      <c r="G204" s="110">
        <f t="shared" si="76"/>
        <v>1.0008965028877421</v>
      </c>
      <c r="H204" s="414" t="b">
        <f>Wh_hp&gt;='2026'!Maxi_hp</f>
        <v>1</v>
      </c>
      <c r="I204" s="392">
        <f>IF(H204,Wh_hp,'2026'!Maxi_hp)</f>
        <v>63.337531421263037</v>
      </c>
      <c r="J204" s="85">
        <f>IF(H204,An,'2026'!An_max)</f>
        <v>2027</v>
      </c>
      <c r="K204" s="199">
        <f t="shared" si="52"/>
        <v>46577</v>
      </c>
      <c r="L204" s="147">
        <f>IF(t&lt;Tvie,1-EXP((T0-t)*PertePVj)+'2026'!Pspv,1-EXP((T0-t)*PertePVj)+Pspv)</f>
        <v>7.3145730391831143E-2</v>
      </c>
      <c r="M204" s="870"/>
      <c r="N204" s="870"/>
      <c r="O204" s="48">
        <f>IF(t&lt;Tnet,'2026'!Resal+('2026'!Salim-'2026'!Resal)*(1-EXP(('2026'!Tnet-t)/('2026'!Tau_j))),Resal+(Salim-Resal)*(1-EXP((Tnet-t)/(Tau_j))))*Salcycl</f>
        <v>4.7834965614240992E-2</v>
      </c>
      <c r="P204" s="171">
        <f>(INDEX(Models!$BJ204:$BT204,,T204)*(1-R204)+INDEX(Models!$BJ204:$BT204,,T204+1)*R204-ERP_i)*Q204*Ramure*Pc/MaxiM</f>
        <v>1.1428384428081887E-4</v>
      </c>
      <c r="Q204" s="307">
        <f t="shared" si="53"/>
        <v>1</v>
      </c>
      <c r="R204" s="179">
        <f t="shared" si="54"/>
        <v>0.10168480161616089</v>
      </c>
      <c r="S204" s="837">
        <f t="shared" si="55"/>
        <v>-1</v>
      </c>
      <c r="T204" s="178">
        <f t="shared" si="56"/>
        <v>5</v>
      </c>
      <c r="U204" s="253">
        <f t="shared" si="57"/>
        <v>-0.89831519838383911</v>
      </c>
      <c r="V204" s="385">
        <f t="shared" si="58"/>
        <v>55.84007710337108</v>
      </c>
      <c r="W204" s="404">
        <f t="shared" si="59"/>
        <v>55.890137893745994</v>
      </c>
      <c r="X204" s="157">
        <f t="shared" si="60"/>
        <v>46577</v>
      </c>
      <c r="Y204" s="387">
        <f t="shared" si="61"/>
        <v>51.577514785115298</v>
      </c>
      <c r="Z204" s="387">
        <f t="shared" si="62"/>
        <v>55.647922738619833</v>
      </c>
      <c r="AA204" s="388">
        <f t="shared" si="63"/>
        <v>63.191397818689595</v>
      </c>
      <c r="AB204" s="199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0.1193750311033426</v>
      </c>
      <c r="AD204" s="233">
        <f>(INDEX(Models!$BJ204:$BT204,,AH204)*(1-AF204)+INDEX(Models!$BJ204:$BT204,,AH204+1)*AF204-ERP_i)*AE204*Ramure*Pc/MaxiM</f>
        <v>2.3072197367702313E-3</v>
      </c>
      <c r="AE204" s="307">
        <f t="shared" si="65"/>
        <v>1</v>
      </c>
      <c r="AF204" s="179">
        <f t="shared" si="66"/>
        <v>3.6667394539731113E-2</v>
      </c>
      <c r="AG204" s="837">
        <f t="shared" si="74"/>
        <v>4</v>
      </c>
      <c r="AH204" s="178">
        <f t="shared" si="67"/>
        <v>10</v>
      </c>
      <c r="AI204" s="227">
        <f t="shared" si="68"/>
        <v>4.0366673945397311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46578</v>
      </c>
      <c r="B205" s="1139">
        <f>IF(t&gt;Tmaj,'2026'!Wh/'2026'!Env_an*'2027'!Env_an,0.001*[9]mois!$B$217)</f>
        <v>55.324598514293193</v>
      </c>
      <c r="C205" s="866"/>
      <c r="D205" s="395">
        <f t="shared" si="50"/>
        <v>59.692108935179448</v>
      </c>
      <c r="E205" s="387">
        <f t="shared" si="75"/>
        <v>62.709647860495586</v>
      </c>
      <c r="F205" s="387">
        <f t="shared" si="51"/>
        <v>62.717167826128524</v>
      </c>
      <c r="G205" s="110">
        <f t="shared" si="76"/>
        <v>0.992809986329237</v>
      </c>
      <c r="H205" s="414" t="b">
        <f>Wh_hp&gt;='2026'!Maxi_hp</f>
        <v>0</v>
      </c>
      <c r="I205" s="392">
        <f>IF(H205,Wh_hp,'2026'!Maxi_hp)</f>
        <v>63.097862001735528</v>
      </c>
      <c r="J205" s="85">
        <f>IF(H205,An,'2026'!An_max)</f>
        <v>2019</v>
      </c>
      <c r="K205" s="199">
        <f t="shared" si="52"/>
        <v>46578</v>
      </c>
      <c r="L205" s="147">
        <f>IF(t&lt;Tvie,1-EXP((T0-t)*PertePVj)+'2026'!Pspv,1-EXP((T0-t)*PertePVj)+Pspv)</f>
        <v>7.3167299644731898E-2</v>
      </c>
      <c r="M205" s="870"/>
      <c r="N205" s="870"/>
      <c r="O205" s="48">
        <f>IF(t&lt;Tnet,'2026'!Resal+('2026'!Salim-'2026'!Resal)*(1-EXP(('2026'!Tnet-t)/('2026'!Tau_j))),Resal+(Salim-Resal)*(1-EXP((Tnet-t)/(Tau_j))))*Salcycl</f>
        <v>4.8119213362973784E-2</v>
      </c>
      <c r="P205" s="171">
        <f>(INDEX(Models!$BJ205:$BT205,,T205)*(1-R205)+INDEX(Models!$BJ205:$BT205,,T205+1)*R205-ERP_i)*Q205*Ramure*Pc/MaxiM</f>
        <v>1.2114696653309344E-4</v>
      </c>
      <c r="Q205" s="307">
        <f t="shared" si="53"/>
        <v>1</v>
      </c>
      <c r="R205" s="179">
        <f t="shared" si="54"/>
        <v>0.10677714432312102</v>
      </c>
      <c r="S205" s="837">
        <f t="shared" si="55"/>
        <v>-1</v>
      </c>
      <c r="T205" s="178">
        <f t="shared" si="56"/>
        <v>5</v>
      </c>
      <c r="U205" s="253">
        <f t="shared" si="57"/>
        <v>-0.89322285567687898</v>
      </c>
      <c r="V205" s="385">
        <f t="shared" si="58"/>
        <v>55.725194585313126</v>
      </c>
      <c r="W205" s="404">
        <f t="shared" si="59"/>
        <v>55.324598514293193</v>
      </c>
      <c r="X205" s="157">
        <f t="shared" si="60"/>
        <v>46578</v>
      </c>
      <c r="Y205" s="387">
        <f t="shared" si="61"/>
        <v>51.057330365734089</v>
      </c>
      <c r="Z205" s="387">
        <f t="shared" si="62"/>
        <v>55.087968245146172</v>
      </c>
      <c r="AA205" s="388">
        <f t="shared" si="63"/>
        <v>62.567318409666001</v>
      </c>
      <c r="AB205" s="199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0.11954084583820605</v>
      </c>
      <c r="AD205" s="233">
        <f>(INDEX(Models!$BJ205:$BT205,,AH205)*(1-AF205)+INDEX(Models!$BJ205:$BT205,,AH205+1)*AF205-ERP_i)*AE205*Ramure*Pc/MaxiM</f>
        <v>2.4140804795290171E-3</v>
      </c>
      <c r="AE205" s="307">
        <f t="shared" si="65"/>
        <v>1</v>
      </c>
      <c r="AF205" s="179">
        <f t="shared" si="66"/>
        <v>4.1759737246691131E-2</v>
      </c>
      <c r="AG205" s="837">
        <f t="shared" si="74"/>
        <v>4</v>
      </c>
      <c r="AH205" s="178">
        <f t="shared" si="67"/>
        <v>10</v>
      </c>
      <c r="AI205" s="227">
        <f t="shared" si="68"/>
        <v>4.0417597372466911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46579</v>
      </c>
      <c r="B206" s="1139">
        <f>IF(t&gt;Tmaj,'2026'!Wh/'2026'!Env_an*'2027'!Env_an,0.001*[9]mois!$B$218)</f>
        <v>53.415889253712201</v>
      </c>
      <c r="C206" s="866"/>
      <c r="D206" s="395">
        <f t="shared" si="50"/>
        <v>57.634060956139997</v>
      </c>
      <c r="E206" s="387">
        <f t="shared" si="75"/>
        <v>60.565556981719219</v>
      </c>
      <c r="F206" s="387">
        <f t="shared" si="51"/>
        <v>60.572954162866978</v>
      </c>
      <c r="G206" s="110">
        <f t="shared" si="76"/>
        <v>0.96059994732152576</v>
      </c>
      <c r="H206" s="414" t="b">
        <f>Wh_hp&gt;='2026'!Maxi_hp</f>
        <v>0</v>
      </c>
      <c r="I206" s="392">
        <f>IF(H206,Wh_hp,'2026'!Maxi_hp)</f>
        <v>62.66471285413887</v>
      </c>
      <c r="J206" s="85">
        <f>IF(H206,An,'2026'!An_max)</f>
        <v>2019</v>
      </c>
      <c r="K206" s="199">
        <f t="shared" si="52"/>
        <v>46579</v>
      </c>
      <c r="L206" s="147">
        <f>IF(t&lt;Tvie,1-EXP((T0-t)*PertePVj)+'2026'!Pspv,1-EXP((T0-t)*PertePVj)+Pspv)</f>
        <v>7.3188868395684614E-2</v>
      </c>
      <c r="M206" s="870"/>
      <c r="N206" s="870"/>
      <c r="O206" s="48">
        <f>IF(t&lt;Tnet,'2026'!Resal+('2026'!Salim-'2026'!Resal)*(1-EXP(('2026'!Tnet-t)/('2026'!Tau_j))),Resal+(Salim-Resal)*(1-EXP((Tnet-t)/(Tau_j))))*Salcycl</f>
        <v>4.8402031974444586E-2</v>
      </c>
      <c r="P206" s="171">
        <f>(INDEX(Models!$BJ206:$BT206,,T206)*(1-R206)+INDEX(Models!$BJ206:$BT206,,T206+1)*R206-ERP_i)*Q206*Ramure*Pc/MaxiM</f>
        <v>1.2940242203632796E-4</v>
      </c>
      <c r="Q206" s="307">
        <f t="shared" si="53"/>
        <v>1</v>
      </c>
      <c r="R206" s="179">
        <f t="shared" si="54"/>
        <v>0.11175596580483105</v>
      </c>
      <c r="S206" s="837">
        <f t="shared" si="55"/>
        <v>-1</v>
      </c>
      <c r="T206" s="178">
        <f t="shared" si="56"/>
        <v>5</v>
      </c>
      <c r="U206" s="253">
        <f t="shared" si="57"/>
        <v>-0.88824403419516895</v>
      </c>
      <c r="V206" s="385">
        <f t="shared" si="58"/>
        <v>55.606395116576721</v>
      </c>
      <c r="W206" s="404">
        <f t="shared" si="59"/>
        <v>53.415889253712201</v>
      </c>
      <c r="X206" s="157">
        <f t="shared" si="60"/>
        <v>46579</v>
      </c>
      <c r="Y206" s="387">
        <f t="shared" si="61"/>
        <v>49.301720304678796</v>
      </c>
      <c r="Z206" s="387">
        <f t="shared" si="62"/>
        <v>53.195002329479188</v>
      </c>
      <c r="AA206" s="388">
        <f t="shared" si="63"/>
        <v>60.428532020122482</v>
      </c>
      <c r="AB206" s="199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0.11970387909199182</v>
      </c>
      <c r="AD206" s="233">
        <f>(INDEX(Models!$BJ206:$BT206,,AH206)*(1-AF206)+INDEX(Models!$BJ206:$BT206,,AH206+1)*AF206-ERP_i)*AE206*Ramure*Pc/MaxiM</f>
        <v>2.5264455058629444E-3</v>
      </c>
      <c r="AE206" s="307">
        <f t="shared" si="65"/>
        <v>1</v>
      </c>
      <c r="AF206" s="179">
        <f t="shared" si="66"/>
        <v>4.6738558728401713E-2</v>
      </c>
      <c r="AG206" s="837">
        <f t="shared" si="74"/>
        <v>4</v>
      </c>
      <c r="AH206" s="178">
        <f t="shared" si="67"/>
        <v>10</v>
      </c>
      <c r="AI206" s="227">
        <f t="shared" si="68"/>
        <v>4.0467385587284017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46580</v>
      </c>
      <c r="B207" s="1139">
        <f>IF(t&gt;Tmaj,'2026'!Wh/'2026'!Env_an*'2027'!Env_an,0.001*[9]mois!$B$219)</f>
        <v>53.519547344588744</v>
      </c>
      <c r="C207" s="866"/>
      <c r="D207" s="395">
        <f t="shared" ref="D207:D270" si="77">Wh/(1-Ppv)</f>
        <v>57.747248631965014</v>
      </c>
      <c r="E207" s="387">
        <f t="shared" si="75"/>
        <v>60.702453606476496</v>
      </c>
      <c r="F207" s="387">
        <f t="shared" ref="F207:F270" si="78">Wh_sa/(1-Pvg*MEDIAN((-Sdif+Wh/Env_an)/Csdif,0,1))</f>
        <v>60.710462762517899</v>
      </c>
      <c r="G207" s="110">
        <f t="shared" si="76"/>
        <v>0.96458945735466628</v>
      </c>
      <c r="H207" s="414" t="b">
        <f>Wh_hp&gt;='2026'!Maxi_hp</f>
        <v>0</v>
      </c>
      <c r="I207" s="392">
        <f>IF(H207,Wh_hp,'2026'!Maxi_hp)</f>
        <v>63.499999412795624</v>
      </c>
      <c r="J207" s="85">
        <f>IF(H207,An,'2026'!An_max)</f>
        <v>2019</v>
      </c>
      <c r="K207" s="199">
        <f t="shared" ref="K207:K270" si="79">t</f>
        <v>46580</v>
      </c>
      <c r="L207" s="147">
        <f>IF(t&lt;Tvie,1-EXP((T0-t)*PertePVj)+'2026'!Pspv,1-EXP((T0-t)*PertePVj)+Pspv)</f>
        <v>7.3210436644700949E-2</v>
      </c>
      <c r="M207" s="870"/>
      <c r="N207" s="870"/>
      <c r="O207" s="48">
        <f>IF(t&lt;Tnet,'2026'!Resal+('2026'!Salim-'2026'!Resal)*(1-EXP(('2026'!Tnet-t)/('2026'!Tau_j))),Resal+(Salim-Resal)*(1-EXP((Tnet-t)/(Tau_j))))*Salcycl</f>
        <v>4.868345180360522E-2</v>
      </c>
      <c r="P207" s="171">
        <f>(INDEX(Models!$BJ207:$BT207,,T207)*(1-R207)+INDEX(Models!$BJ207:$BT207,,T207+1)*R207-ERP_i)*Q207*Ramure*Pc/MaxiM</f>
        <v>1.3895154298184214E-4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0.11662095677023654</v>
      </c>
      <c r="S207" s="837">
        <f t="shared" ref="S207:S270" si="82">INDEX(Echel_vg,T207)</f>
        <v>-1</v>
      </c>
      <c r="T207" s="178">
        <f t="shared" ref="T207:T270" si="83">MIN(MATCH(Hp_vg,Echel_vg),10)</f>
        <v>5</v>
      </c>
      <c r="U207" s="253">
        <f t="shared" ref="U207:U270" si="84">IF(OR(t&lt;Ttai,Notai),Hdd+PousH*Croivg,Hdtf+PousH*(Croivg-Croi_tai))</f>
        <v>-0.88337904322976346</v>
      </c>
      <c r="V207" s="385">
        <f t="shared" ref="V207:V270" si="85">MaxiM*(1-Ppv)*(1-Pvg)*(1-Psa)</f>
        <v>55.483885674095497</v>
      </c>
      <c r="W207" s="404">
        <f t="shared" ref="W207:W270" si="86">Wh*(A207&gt;Tmaj)</f>
        <v>53.519547344588744</v>
      </c>
      <c r="X207" s="157">
        <f t="shared" ref="X207:X270" si="87">t</f>
        <v>46580</v>
      </c>
      <c r="Y207" s="387">
        <f t="shared" ref="Y207:Y270" si="88">Wh_pvt_s*(1-Ppv)</f>
        <v>49.397389869994647</v>
      </c>
      <c r="Z207" s="387">
        <f t="shared" ref="Z207:Z270" si="89">Wh_sa_s*(1-Psa_s)</f>
        <v>53.29946713163126</v>
      </c>
      <c r="AA207" s="388">
        <f t="shared" ref="AA207:AA270" si="90">Wh_hp*(1-Pvg_s*MEDIAN((-Sdif+Wh/Env_an)/Csdif,0,1))</f>
        <v>60.558233734732255</v>
      </c>
      <c r="AB207" s="199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0.11986423902151951</v>
      </c>
      <c r="AD207" s="233">
        <f>(INDEX(Models!$BJ207:$BT207,,AH207)*(1-AF207)+INDEX(Models!$BJ207:$BT207,,AH207+1)*AF207-ERP_i)*AE207*Ramure*Pc/MaxiM</f>
        <v>2.641034609400275E-3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5.1603549693806983E-2</v>
      </c>
      <c r="AG207" s="837">
        <f t="shared" si="74"/>
        <v>4</v>
      </c>
      <c r="AH207" s="178">
        <f t="shared" ref="AH207:AH270" si="94">MIN(MATCH(Hp_vg_s,Echel_vg),10)</f>
        <v>10</v>
      </c>
      <c r="AI207" s="227">
        <f t="shared" ref="AI207:AI270" si="95">IF(OR(t&lt;Ttai,Notai),Hdd_s+PousH*Croivg,Hdtai_s+PousH*(Croivg-Croi_tai))</f>
        <v>4.051603549693807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46581</v>
      </c>
      <c r="B208" s="1139">
        <f>IF(t&gt;Tmaj,'2026'!Wh/'2026'!Env_an*'2027'!Env_an,0.001*[9]mois!$B$220)</f>
        <v>53.187557326719649</v>
      </c>
      <c r="C208" s="866"/>
      <c r="D208" s="395">
        <f t="shared" si="77"/>
        <v>57.390369087804338</v>
      </c>
      <c r="E208" s="387">
        <f t="shared" si="75"/>
        <v>60.345075470069141</v>
      </c>
      <c r="F208" s="387">
        <f t="shared" si="78"/>
        <v>60.353610767965577</v>
      </c>
      <c r="G208" s="110">
        <f t="shared" si="76"/>
        <v>0.96078686634230759</v>
      </c>
      <c r="H208" s="414" t="b">
        <f>Wh_hp&gt;='2026'!Maxi_hp</f>
        <v>0</v>
      </c>
      <c r="I208" s="392">
        <f>IF(H208,Wh_hp,'2026'!Maxi_hp)</f>
        <v>60.354032794352193</v>
      </c>
      <c r="J208" s="85">
        <f>IF(H208,An,'2026'!An_max)</f>
        <v>2025</v>
      </c>
      <c r="K208" s="199">
        <f t="shared" si="79"/>
        <v>46581</v>
      </c>
      <c r="L208" s="147">
        <f>IF(t&lt;Tvie,1-EXP((T0-t)*PertePVj)+'2026'!Pspv,1-EXP((T0-t)*PertePVj)+Pspv)</f>
        <v>7.3232004391792671E-2</v>
      </c>
      <c r="M208" s="870"/>
      <c r="N208" s="870"/>
      <c r="O208" s="48">
        <f>IF(t&lt;Tnet,'2026'!Resal+('2026'!Salim-'2026'!Resal)*(1-EXP(('2026'!Tnet-t)/('2026'!Tau_j))),Resal+(Salim-Resal)*(1-EXP((Tnet-t)/(Tau_j))))*Salcycl</f>
        <v>4.8963504631464469E-2</v>
      </c>
      <c r="P208" s="171">
        <f>(INDEX(Models!$BJ208:$BT208,,T208)*(1-R208)+INDEX(Models!$BJ208:$BT208,,T208+1)*R208-ERP_i)*Q208*Ramure*Pc/MaxiM</f>
        <v>1.4981205594116501E-4</v>
      </c>
      <c r="Q208" s="307">
        <f t="shared" si="80"/>
        <v>1</v>
      </c>
      <c r="R208" s="179">
        <f t="shared" si="81"/>
        <v>0.12137200967452022</v>
      </c>
      <c r="S208" s="837">
        <f t="shared" si="82"/>
        <v>-1</v>
      </c>
      <c r="T208" s="178">
        <f t="shared" si="83"/>
        <v>5</v>
      </c>
      <c r="U208" s="253">
        <f t="shared" si="84"/>
        <v>-0.87862799032547978</v>
      </c>
      <c r="V208" s="385">
        <f t="shared" si="85"/>
        <v>55.357866404510837</v>
      </c>
      <c r="W208" s="404">
        <f t="shared" si="86"/>
        <v>53.187557326719649</v>
      </c>
      <c r="X208" s="157">
        <f t="shared" si="87"/>
        <v>46581</v>
      </c>
      <c r="Y208" s="387">
        <f t="shared" si="88"/>
        <v>49.092365909074175</v>
      </c>
      <c r="Z208" s="387">
        <f t="shared" si="89"/>
        <v>52.971580958464656</v>
      </c>
      <c r="AA208" s="388">
        <f t="shared" si="90"/>
        <v>60.196485674505581</v>
      </c>
      <c r="AB208" s="199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0.12002203509200568</v>
      </c>
      <c r="AD208" s="233">
        <f>(INDEX(Models!$BJ208:$BT208,,AH208)*(1-AF208)+INDEX(Models!$BJ208:$BT208,,AH208+1)*AF208-ERP_i)*AE208*Ramure*Pc/MaxiM</f>
        <v>2.7578689785413826E-3</v>
      </c>
      <c r="AE208" s="307">
        <f t="shared" si="92"/>
        <v>1</v>
      </c>
      <c r="AF208" s="179">
        <f t="shared" si="93"/>
        <v>5.6354602598090331E-2</v>
      </c>
      <c r="AG208" s="837">
        <f t="shared" ref="AG208:AG271" si="99">INDEX(Echel_vg,AH208)</f>
        <v>4</v>
      </c>
      <c r="AH208" s="178">
        <f t="shared" si="94"/>
        <v>10</v>
      </c>
      <c r="AI208" s="227">
        <f t="shared" si="95"/>
        <v>4.0563546025980903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46582</v>
      </c>
      <c r="B209" s="1139">
        <f>IF(t&gt;Tmaj,'2026'!Wh/'2026'!Env_an*'2027'!Env_an,0.001*[9]mois!$B$221)</f>
        <v>52.512719226904416</v>
      </c>
      <c r="C209" s="866"/>
      <c r="D209" s="395">
        <f t="shared" si="77"/>
        <v>56.663524800048037</v>
      </c>
      <c r="E209" s="387">
        <f t="shared" si="75"/>
        <v>59.598276442570118</v>
      </c>
      <c r="F209" s="387">
        <f t="shared" si="78"/>
        <v>59.607254560555475</v>
      </c>
      <c r="G209" s="110">
        <f t="shared" si="76"/>
        <v>0.95081499946827996</v>
      </c>
      <c r="H209" s="414" t="b">
        <f>Wh_hp&gt;='2026'!Maxi_hp</f>
        <v>0</v>
      </c>
      <c r="I209" s="392">
        <f>IF(H209,Wh_hp,'2026'!Maxi_hp)</f>
        <v>62.42092802890074</v>
      </c>
      <c r="J209" s="85">
        <f>IF(H209,An,'2026'!An_max)</f>
        <v>2019</v>
      </c>
      <c r="K209" s="199">
        <f t="shared" si="79"/>
        <v>46582</v>
      </c>
      <c r="L209" s="147">
        <f>IF(t&lt;Tvie,1-EXP((T0-t)*PertePVj)+'2026'!Pspv,1-EXP((T0-t)*PertePVj)+Pspv)</f>
        <v>7.3253571636971326E-2</v>
      </c>
      <c r="M209" s="870"/>
      <c r="N209" s="870"/>
      <c r="O209" s="48">
        <f>IF(t&lt;Tnet,'2026'!Resal+('2026'!Salim-'2026'!Resal)*(1-EXP(('2026'!Tnet-t)/('2026'!Tau_j))),Resal+(Salim-Resal)*(1-EXP((Tnet-t)/(Tau_j))))*Salcycl</f>
        <v>4.9242223394665649E-2</v>
      </c>
      <c r="P209" s="171">
        <f>(INDEX(Models!$BJ209:$BT209,,T209)*(1-R209)+INDEX(Models!$BJ209:$BT209,,T209+1)*R209-ERP_i)*Q209*Ramure*Pc/MaxiM</f>
        <v>1.6200165588659116E-4</v>
      </c>
      <c r="Q209" s="307">
        <f t="shared" si="80"/>
        <v>1</v>
      </c>
      <c r="R209" s="179">
        <f t="shared" si="81"/>
        <v>0.12600920979190633</v>
      </c>
      <c r="S209" s="837">
        <f t="shared" si="82"/>
        <v>-1</v>
      </c>
      <c r="T209" s="178">
        <f t="shared" si="83"/>
        <v>5</v>
      </c>
      <c r="U209" s="253">
        <f t="shared" si="84"/>
        <v>-0.87399079020809367</v>
      </c>
      <c r="V209" s="385">
        <f t="shared" si="85"/>
        <v>55.228537148785001</v>
      </c>
      <c r="W209" s="404">
        <f t="shared" si="86"/>
        <v>52.512719226904416</v>
      </c>
      <c r="X209" s="157">
        <f t="shared" si="87"/>
        <v>46582</v>
      </c>
      <c r="Y209" s="387">
        <f t="shared" si="88"/>
        <v>48.472110407135553</v>
      </c>
      <c r="Z209" s="387">
        <f t="shared" si="89"/>
        <v>52.303530851211299</v>
      </c>
      <c r="AA209" s="388">
        <f t="shared" si="90"/>
        <v>59.44781312543639</v>
      </c>
      <c r="AB209" s="199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0.12017737741084733</v>
      </c>
      <c r="AD209" s="233">
        <f>(INDEX(Models!$BJ209:$BT209,,AH209)*(1-AF209)+INDEX(Models!$BJ209:$BT209,,AH209+1)*AF209-ERP_i)*AE209*Ramure*Pc/MaxiM</f>
        <v>2.8769700452079936E-3</v>
      </c>
      <c r="AE209" s="307">
        <f t="shared" si="92"/>
        <v>1</v>
      </c>
      <c r="AF209" s="179">
        <f t="shared" si="93"/>
        <v>6.0991802715476773E-2</v>
      </c>
      <c r="AG209" s="837">
        <f t="shared" si="99"/>
        <v>4</v>
      </c>
      <c r="AH209" s="178">
        <f t="shared" si="94"/>
        <v>10</v>
      </c>
      <c r="AI209" s="227">
        <f t="shared" si="95"/>
        <v>4.0609918027154768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46583</v>
      </c>
      <c r="B210" s="1139">
        <f>IF(t&gt;Tmaj,'2026'!Wh/'2026'!Env_an*'2027'!Env_an,0.001*[9]mois!$B$222)</f>
        <v>50.734933838260268</v>
      </c>
      <c r="C210" s="866"/>
      <c r="D210" s="395">
        <f t="shared" si="77"/>
        <v>54.746490505914103</v>
      </c>
      <c r="E210" s="387">
        <f t="shared" si="75"/>
        <v>57.598760500633091</v>
      </c>
      <c r="F210" s="387">
        <f t="shared" si="78"/>
        <v>57.607729347707306</v>
      </c>
      <c r="G210" s="110">
        <f t="shared" si="76"/>
        <v>0.92082613736064123</v>
      </c>
      <c r="H210" s="414" t="b">
        <f>Wh_hp&gt;='2026'!Maxi_hp</f>
        <v>0</v>
      </c>
      <c r="I210" s="392">
        <f>IF(H210,Wh_hp,'2026'!Maxi_hp)</f>
        <v>64.059383068495961</v>
      </c>
      <c r="J210" s="85">
        <f>IF(H210,An,'2026'!An_max)</f>
        <v>2019</v>
      </c>
      <c r="K210" s="199">
        <f t="shared" si="79"/>
        <v>46583</v>
      </c>
      <c r="L210" s="147">
        <f>IF(t&lt;Tvie,1-EXP((T0-t)*PertePVj)+'2026'!Pspv,1-EXP((T0-t)*PertePVj)+Pspv)</f>
        <v>7.3275138380248794E-2</v>
      </c>
      <c r="M210" s="870"/>
      <c r="N210" s="870"/>
      <c r="O210" s="48">
        <f>IF(t&lt;Tnet,'2026'!Resal+('2026'!Salim-'2026'!Resal)*(1-EXP(('2026'!Tnet-t)/('2026'!Tau_j))),Resal+(Salim-Resal)*(1-EXP((Tnet-t)/(Tau_j))))*Salcycl</f>
        <v>4.9519641914649158E-2</v>
      </c>
      <c r="P210" s="171">
        <f>(INDEX(Models!$BJ210:$BT210,,T210)*(1-R210)+INDEX(Models!$BJ210:$BT210,,T210+1)*R210-ERP_i)*Q210*Ramure*Pc/MaxiM</f>
        <v>1.7553798964348413E-4</v>
      </c>
      <c r="Q210" s="307">
        <f t="shared" si="80"/>
        <v>1</v>
      </c>
      <c r="R210" s="179">
        <f t="shared" si="81"/>
        <v>0.13053282595911964</v>
      </c>
      <c r="S210" s="837">
        <f t="shared" si="82"/>
        <v>-1</v>
      </c>
      <c r="T210" s="178">
        <f t="shared" si="83"/>
        <v>5</v>
      </c>
      <c r="U210" s="253">
        <f t="shared" si="84"/>
        <v>-0.86946717404088036</v>
      </c>
      <c r="V210" s="385">
        <f t="shared" si="85"/>
        <v>55.096097458834372</v>
      </c>
      <c r="W210" s="404">
        <f t="shared" si="86"/>
        <v>50.734933838260268</v>
      </c>
      <c r="X210" s="157">
        <f t="shared" si="87"/>
        <v>46583</v>
      </c>
      <c r="Y210" s="387">
        <f t="shared" si="88"/>
        <v>46.837607898912559</v>
      </c>
      <c r="Z210" s="387">
        <f t="shared" si="89"/>
        <v>50.541007195003594</v>
      </c>
      <c r="AA210" s="388">
        <f t="shared" si="90"/>
        <v>57.45453272520308</v>
      </c>
      <c r="AB210" s="199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0.12033037607782666</v>
      </c>
      <c r="AD210" s="233">
        <f>(INDEX(Models!$BJ210:$BT210,,AH210)*(1-AF210)+INDEX(Models!$BJ210:$BT210,,AH210+1)*AF210-ERP_i)*AE210*Ramure*Pc/MaxiM</f>
        <v>2.9983594225692577E-3</v>
      </c>
      <c r="AE210" s="307">
        <f t="shared" si="92"/>
        <v>1</v>
      </c>
      <c r="AF210" s="179">
        <f t="shared" si="93"/>
        <v>6.5515418882689858E-2</v>
      </c>
      <c r="AG210" s="837">
        <f t="shared" si="99"/>
        <v>4</v>
      </c>
      <c r="AH210" s="178">
        <f t="shared" si="94"/>
        <v>10</v>
      </c>
      <c r="AI210" s="227">
        <f t="shared" si="95"/>
        <v>4.0655154188826899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46584</v>
      </c>
      <c r="B211" s="1139">
        <f>IF(t&gt;Tmaj,'2026'!Wh/'2026'!Env_an*'2027'!Env_an,0.001*[9]mois!$B$223)</f>
        <v>52.246142447328218</v>
      </c>
      <c r="C211" s="866"/>
      <c r="D211" s="395">
        <f t="shared" si="77"/>
        <v>56.378500764904103</v>
      </c>
      <c r="E211" s="387">
        <f t="shared" si="75"/>
        <v>59.333036463320148</v>
      </c>
      <c r="F211" s="387">
        <f t="shared" si="78"/>
        <v>59.343540351476371</v>
      </c>
      <c r="G211" s="110">
        <f t="shared" si="76"/>
        <v>0.95059553405555086</v>
      </c>
      <c r="H211" s="414" t="b">
        <f>Wh_hp&gt;='2026'!Maxi_hp</f>
        <v>0</v>
      </c>
      <c r="I211" s="392">
        <f>IF(H211,Wh_hp,'2026'!Maxi_hp)</f>
        <v>61.939106503544039</v>
      </c>
      <c r="J211" s="85">
        <f>IF(H211,An,'2026'!An_max)</f>
        <v>2019</v>
      </c>
      <c r="K211" s="199">
        <f t="shared" si="79"/>
        <v>46584</v>
      </c>
      <c r="L211" s="147">
        <f>IF(t&lt;Tvie,1-EXP((T0-t)*PertePVj)+'2026'!Pspv,1-EXP((T0-t)*PertePVj)+Pspv)</f>
        <v>7.329670462163651E-2</v>
      </c>
      <c r="M211" s="870"/>
      <c r="N211" s="870"/>
      <c r="O211" s="48">
        <f>IF(t&lt;Tnet,'2026'!Resal+('2026'!Salim-'2026'!Resal)*(1-EXP(('2026'!Tnet-t)/('2026'!Tau_j))),Resal+(Salim-Resal)*(1-EXP((Tnet-t)/(Tau_j))))*Salcycl</f>
        <v>4.9795794628554803E-2</v>
      </c>
      <c r="P211" s="171">
        <f>(INDEX(Models!$BJ211:$BT211,,T211)*(1-R211)+INDEX(Models!$BJ211:$BT211,,T211+1)*R211-ERP_i)*Q211*Ramure*Pc/MaxiM</f>
        <v>1.9043863970472769E-4</v>
      </c>
      <c r="Q211" s="307">
        <f t="shared" si="80"/>
        <v>1</v>
      </c>
      <c r="R211" s="179">
        <f t="shared" si="81"/>
        <v>0.13494330106499752</v>
      </c>
      <c r="S211" s="837">
        <f t="shared" si="82"/>
        <v>-1</v>
      </c>
      <c r="T211" s="178">
        <f t="shared" si="83"/>
        <v>5</v>
      </c>
      <c r="U211" s="253">
        <f t="shared" si="84"/>
        <v>-0.86505669893500248</v>
      </c>
      <c r="V211" s="385">
        <f t="shared" si="85"/>
        <v>54.960746611997941</v>
      </c>
      <c r="W211" s="404">
        <f t="shared" si="86"/>
        <v>52.246142447328218</v>
      </c>
      <c r="X211" s="157">
        <f t="shared" si="87"/>
        <v>46584</v>
      </c>
      <c r="Y211" s="387">
        <f t="shared" si="88"/>
        <v>48.227779015229586</v>
      </c>
      <c r="Z211" s="387">
        <f t="shared" si="89"/>
        <v>52.042308747309114</v>
      </c>
      <c r="AA211" s="388">
        <f t="shared" si="90"/>
        <v>59.171339179947303</v>
      </c>
      <c r="AB211" s="199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0.12048114055620629</v>
      </c>
      <c r="AD211" s="233">
        <f>(INDEX(Models!$BJ211:$BT211,,AH211)*(1-AF211)+INDEX(Models!$BJ211:$BT211,,AH211+1)*AF211-ERP_i)*AE211*Ramure*Pc/MaxiM</f>
        <v>3.1220588389574253E-3</v>
      </c>
      <c r="AE211" s="307">
        <f t="shared" si="92"/>
        <v>1</v>
      </c>
      <c r="AF211" s="179">
        <f t="shared" si="93"/>
        <v>6.9925893988568077E-2</v>
      </c>
      <c r="AG211" s="837">
        <f t="shared" si="99"/>
        <v>4</v>
      </c>
      <c r="AH211" s="178">
        <f t="shared" si="94"/>
        <v>10</v>
      </c>
      <c r="AI211" s="227">
        <f t="shared" si="95"/>
        <v>4.0699258939885681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46585</v>
      </c>
      <c r="B212" s="1139">
        <f>IF(t&gt;Tmaj,'2026'!Wh/'2026'!Env_an*'2027'!Env_an,0.001*[9]mois!$B$224)</f>
        <v>51.352353156965492</v>
      </c>
      <c r="C212" s="866"/>
      <c r="D212" s="395">
        <f t="shared" si="77"/>
        <v>55.415307666612279</v>
      </c>
      <c r="E212" s="387">
        <f t="shared" si="75"/>
        <v>58.336245254137829</v>
      </c>
      <c r="F212" s="387">
        <f t="shared" si="78"/>
        <v>58.347227059244801</v>
      </c>
      <c r="G212" s="110">
        <f t="shared" si="76"/>
        <v>0.9366816657254402</v>
      </c>
      <c r="H212" s="414" t="b">
        <f>Wh_hp&gt;='2026'!Maxi_hp</f>
        <v>0</v>
      </c>
      <c r="I212" s="392">
        <f>IF(H212,Wh_hp,'2026'!Maxi_hp)</f>
        <v>61.436079600146336</v>
      </c>
      <c r="J212" s="85">
        <f>IF(H212,An,'2026'!An_max)</f>
        <v>2021</v>
      </c>
      <c r="K212" s="199">
        <f t="shared" si="79"/>
        <v>46585</v>
      </c>
      <c r="L212" s="147">
        <f>IF(t&lt;Tvie,1-EXP((T0-t)*PertePVj)+'2026'!Pspv,1-EXP((T0-t)*PertePVj)+Pspv)</f>
        <v>7.3318270361146354E-2</v>
      </c>
      <c r="M212" s="870"/>
      <c r="N212" s="870"/>
      <c r="O212" s="48">
        <f>IF(t&lt;Tnet,'2026'!Resal+('2026'!Salim-'2026'!Resal)*(1-EXP(('2026'!Tnet-t)/('2026'!Tau_j))),Resal+(Salim-Resal)*(1-EXP((Tnet-t)/(Tau_j))))*Salcycl</f>
        <v>5.0070716323971344E-2</v>
      </c>
      <c r="P212" s="171">
        <f>(INDEX(Models!$BJ212:$BT212,,T212)*(1-R212)+INDEX(Models!$BJ212:$BT212,,T212+1)*R212-ERP_i)*Q212*Ramure*Pc/MaxiM</f>
        <v>2.0692704167295741E-4</v>
      </c>
      <c r="Q212" s="307">
        <f t="shared" si="80"/>
        <v>1</v>
      </c>
      <c r="R212" s="179">
        <f t="shared" si="81"/>
        <v>0.13924124235820445</v>
      </c>
      <c r="S212" s="837">
        <f t="shared" si="82"/>
        <v>-1</v>
      </c>
      <c r="T212" s="178">
        <f t="shared" si="83"/>
        <v>5</v>
      </c>
      <c r="U212" s="253">
        <f t="shared" si="84"/>
        <v>-0.86075875764179555</v>
      </c>
      <c r="V212" s="385">
        <f t="shared" si="85"/>
        <v>54.822672346085341</v>
      </c>
      <c r="W212" s="404">
        <f t="shared" si="86"/>
        <v>51.352353156965492</v>
      </c>
      <c r="X212" s="157">
        <f t="shared" si="87"/>
        <v>46585</v>
      </c>
      <c r="Y212" s="387">
        <f t="shared" si="88"/>
        <v>47.405656998758609</v>
      </c>
      <c r="Z212" s="387">
        <f t="shared" si="89"/>
        <v>51.156352264799196</v>
      </c>
      <c r="AA212" s="388">
        <f t="shared" si="90"/>
        <v>58.173851066545254</v>
      </c>
      <c r="AB212" s="199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0.12062977906892768</v>
      </c>
      <c r="AD212" s="233">
        <f>(INDEX(Models!$BJ212:$BT212,,AH212)*(1-AF212)+INDEX(Models!$BJ212:$BT212,,AH212+1)*AF212-ERP_i)*AE212*Ramure*Pc/MaxiM</f>
        <v>3.2668747001937952E-3</v>
      </c>
      <c r="AE212" s="307">
        <f t="shared" si="92"/>
        <v>1</v>
      </c>
      <c r="AF212" s="179">
        <f t="shared" si="93"/>
        <v>7.422383528177523E-2</v>
      </c>
      <c r="AG212" s="837">
        <f t="shared" si="99"/>
        <v>4</v>
      </c>
      <c r="AH212" s="178">
        <f t="shared" si="94"/>
        <v>10</v>
      </c>
      <c r="AI212" s="227">
        <f t="shared" si="95"/>
        <v>4.0742238352817752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46586</v>
      </c>
      <c r="B213" s="1139">
        <f>IF(t&gt;Tmaj,'2026'!Wh/'2026'!Env_an*'2027'!Env_an,0.001*[9]mois!$B$225)</f>
        <v>51.62852218727685</v>
      </c>
      <c r="C213" s="866"/>
      <c r="D213" s="395">
        <f t="shared" si="77"/>
        <v>55.714623516419536</v>
      </c>
      <c r="E213" s="387">
        <f t="shared" si="75"/>
        <v>58.668243491030218</v>
      </c>
      <c r="F213" s="387">
        <f t="shared" si="78"/>
        <v>58.680363908967642</v>
      </c>
      <c r="G213" s="110">
        <f t="shared" si="76"/>
        <v>0.94414064845009149</v>
      </c>
      <c r="H213" s="414" t="b">
        <f>Wh_hp&gt;='2026'!Maxi_hp</f>
        <v>0</v>
      </c>
      <c r="I213" s="392">
        <f>IF(H213,Wh_hp,'2026'!Maxi_hp)</f>
        <v>58.681251423823511</v>
      </c>
      <c r="J213" s="85">
        <f>IF(H213,An,'2026'!An_max)</f>
        <v>2025</v>
      </c>
      <c r="K213" s="199">
        <f t="shared" si="79"/>
        <v>46586</v>
      </c>
      <c r="L213" s="147">
        <f>IF(t&lt;Tvie,1-EXP((T0-t)*PertePVj)+'2026'!Pspv,1-EXP((T0-t)*PertePVj)+Pspv)</f>
        <v>7.3339835598789982E-2</v>
      </c>
      <c r="M213" s="870"/>
      <c r="N213" s="870"/>
      <c r="O213" s="48">
        <f>IF(t&lt;Tnet,'2026'!Resal+('2026'!Salim-'2026'!Resal)*(1-EXP(('2026'!Tnet-t)/('2026'!Tau_j))),Resal+(Salim-Resal)*(1-EXP((Tnet-t)/(Tau_j))))*Salcycl</f>
        <v>5.034444187957085E-2</v>
      </c>
      <c r="P213" s="171">
        <f>(INDEX(Models!$BJ213:$BT213,,T213)*(1-R213)+INDEX(Models!$BJ213:$BT213,,T213+1)*R213-ERP_i)*Q213*Ramure*Pc/MaxiM</f>
        <v>2.2445574731242121E-4</v>
      </c>
      <c r="Q213" s="307">
        <f t="shared" si="80"/>
        <v>1</v>
      </c>
      <c r="R213" s="179">
        <f t="shared" si="81"/>
        <v>0.14342741164101103</v>
      </c>
      <c r="S213" s="837">
        <f t="shared" si="82"/>
        <v>-1</v>
      </c>
      <c r="T213" s="178">
        <f t="shared" si="83"/>
        <v>5</v>
      </c>
      <c r="U213" s="253">
        <f t="shared" si="84"/>
        <v>-0.85657258835898897</v>
      </c>
      <c r="V213" s="385">
        <f t="shared" si="85"/>
        <v>54.682104434219774</v>
      </c>
      <c r="W213" s="404">
        <f t="shared" si="86"/>
        <v>51.62852218727685</v>
      </c>
      <c r="X213" s="157">
        <f t="shared" si="87"/>
        <v>46586</v>
      </c>
      <c r="Y213" s="387">
        <f t="shared" si="88"/>
        <v>47.658256899033319</v>
      </c>
      <c r="Z213" s="387">
        <f t="shared" si="89"/>
        <v>51.430134508727015</v>
      </c>
      <c r="AA213" s="388">
        <f t="shared" si="90"/>
        <v>58.494943030568251</v>
      </c>
      <c r="AB213" s="199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0.12077639802383111</v>
      </c>
      <c r="AD213" s="233">
        <f>(INDEX(Models!$BJ213:$BT213,,AH213)*(1-AF213)+INDEX(Models!$BJ213:$BT213,,AH213+1)*AF213-ERP_i)*AE213*Ramure*Pc/MaxiM</f>
        <v>3.4337744823107097E-3</v>
      </c>
      <c r="AE213" s="307">
        <f t="shared" si="92"/>
        <v>1</v>
      </c>
      <c r="AF213" s="179">
        <f t="shared" si="93"/>
        <v>7.841000456458147E-2</v>
      </c>
      <c r="AG213" s="837">
        <f t="shared" si="99"/>
        <v>4</v>
      </c>
      <c r="AH213" s="178">
        <f t="shared" si="94"/>
        <v>10</v>
      </c>
      <c r="AI213" s="227">
        <f t="shared" si="95"/>
        <v>4.0784100045645815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46587</v>
      </c>
      <c r="B214" s="1139">
        <f>IF(t&gt;Tmaj,'2026'!Wh/'2026'!Env_an*'2027'!Env_an,0.001*[9]mois!$B$226)</f>
        <v>41.752739759702678</v>
      </c>
      <c r="C214" s="866"/>
      <c r="D214" s="395">
        <f t="shared" si="77"/>
        <v>45.058278140774867</v>
      </c>
      <c r="E214" s="387">
        <f t="shared" si="75"/>
        <v>47.460591169404488</v>
      </c>
      <c r="F214" s="387">
        <f t="shared" si="78"/>
        <v>47.468263986799812</v>
      </c>
      <c r="G214" s="110">
        <f t="shared" si="76"/>
        <v>0.76549177247981015</v>
      </c>
      <c r="H214" s="414" t="b">
        <f>Wh_hp&gt;='2026'!Maxi_hp</f>
        <v>0</v>
      </c>
      <c r="I214" s="392">
        <f>IF(H214,Wh_hp,'2026'!Maxi_hp)</f>
        <v>60.900356316381583</v>
      </c>
      <c r="J214" s="85">
        <f>IF(H214,An,'2026'!An_max)</f>
        <v>2020</v>
      </c>
      <c r="K214" s="199">
        <f t="shared" si="79"/>
        <v>46587</v>
      </c>
      <c r="L214" s="147">
        <f>IF(t&lt;Tvie,1-EXP((T0-t)*PertePVj)+'2026'!Pspv,1-EXP((T0-t)*PertePVj)+Pspv)</f>
        <v>7.3361400334578941E-2</v>
      </c>
      <c r="M214" s="870"/>
      <c r="N214" s="870"/>
      <c r="O214" s="48">
        <f>IF(t&lt;Tnet,'2026'!Resal+('2026'!Salim-'2026'!Resal)*(1-EXP(('2026'!Tnet-t)/('2026'!Tau_j))),Resal+(Salim-Resal)*(1-EXP((Tnet-t)/(Tau_j))))*Salcycl</f>
        <v>5.0617006013576132E-2</v>
      </c>
      <c r="P214" s="171">
        <f>(INDEX(Models!$BJ214:$BT214,,T214)*(1-R214)+INDEX(Models!$BJ214:$BT214,,T214+1)*R214-ERP_i)*Q214*Ramure*Pc/MaxiM</f>
        <v>2.4304091930563542E-4</v>
      </c>
      <c r="Q214" s="307">
        <f t="shared" si="80"/>
        <v>1</v>
      </c>
      <c r="R214" s="179">
        <f t="shared" si="81"/>
        <v>0.14750271541280024</v>
      </c>
      <c r="S214" s="837">
        <f t="shared" si="82"/>
        <v>-1</v>
      </c>
      <c r="T214" s="178">
        <f t="shared" si="83"/>
        <v>5</v>
      </c>
      <c r="U214" s="253">
        <f t="shared" si="84"/>
        <v>-0.85249728458719976</v>
      </c>
      <c r="V214" s="385">
        <f t="shared" si="85"/>
        <v>54.539241362612273</v>
      </c>
      <c r="W214" s="404">
        <f t="shared" si="86"/>
        <v>41.752739759702678</v>
      </c>
      <c r="X214" s="157">
        <f t="shared" si="87"/>
        <v>46587</v>
      </c>
      <c r="Y214" s="387">
        <f t="shared" si="88"/>
        <v>38.573927049863563</v>
      </c>
      <c r="Z214" s="387">
        <f t="shared" si="89"/>
        <v>41.627800810144699</v>
      </c>
      <c r="AA214" s="388">
        <f t="shared" si="90"/>
        <v>47.353884707988378</v>
      </c>
      <c r="AB214" s="199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0.12092110147148534</v>
      </c>
      <c r="AD214" s="233">
        <f>(INDEX(Models!$BJ214:$BT214,,AH214)*(1-AF214)+INDEX(Models!$BJ214:$BT214,,AH214+1)*AF214-ERP_i)*AE214*Ramure*Pc/MaxiM</f>
        <v>3.6230296694904868E-3</v>
      </c>
      <c r="AE214" s="307">
        <f t="shared" si="92"/>
        <v>1</v>
      </c>
      <c r="AF214" s="179">
        <f t="shared" si="93"/>
        <v>8.24853083363708E-2</v>
      </c>
      <c r="AG214" s="837">
        <f t="shared" si="99"/>
        <v>4</v>
      </c>
      <c r="AH214" s="178">
        <f t="shared" si="94"/>
        <v>10</v>
      </c>
      <c r="AI214" s="227">
        <f t="shared" si="95"/>
        <v>4.0824853083363708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46588</v>
      </c>
      <c r="B215" s="1139">
        <f>IF(t&gt;Tmaj,'2026'!Wh/'2026'!Env_an*'2027'!Env_an,0.001*[9]mois!$B$227)</f>
        <v>40.046432945518056</v>
      </c>
      <c r="C215" s="866"/>
      <c r="D215" s="395">
        <f t="shared" si="77"/>
        <v>43.217889823135636</v>
      </c>
      <c r="E215" s="387">
        <f t="shared" si="75"/>
        <v>45.535100174787566</v>
      </c>
      <c r="F215" s="387">
        <f t="shared" si="78"/>
        <v>45.542555857008303</v>
      </c>
      <c r="G215" s="110">
        <f t="shared" si="76"/>
        <v>0.73615216600356026</v>
      </c>
      <c r="H215" s="414" t="b">
        <f>Wh_hp&gt;='2026'!Maxi_hp</f>
        <v>0</v>
      </c>
      <c r="I215" s="392">
        <f>IF(H215,Wh_hp,'2026'!Maxi_hp)</f>
        <v>59.452822712934505</v>
      </c>
      <c r="J215" s="85">
        <f>IF(H215,An,'2026'!An_max)</f>
        <v>2020</v>
      </c>
      <c r="K215" s="199">
        <f t="shared" si="79"/>
        <v>46588</v>
      </c>
      <c r="L215" s="147">
        <f>IF(t&lt;Tvie,1-EXP((T0-t)*PertePVj)+'2026'!Pspv,1-EXP((T0-t)*PertePVj)+Pspv)</f>
        <v>7.3382964568525E-2</v>
      </c>
      <c r="M215" s="870"/>
      <c r="N215" s="870"/>
      <c r="O215" s="48">
        <f>IF(t&lt;Tnet,'2026'!Resal+('2026'!Salim-'2026'!Resal)*(1-EXP(('2026'!Tnet-t)/('2026'!Tau_j))),Resal+(Salim-Resal)*(1-EXP((Tnet-t)/(Tau_j))))*Salcycl</f>
        <v>5.0888443041900919E-2</v>
      </c>
      <c r="P215" s="171">
        <f>(INDEX(Models!$BJ215:$BT215,,T215)*(1-R215)+INDEX(Models!$BJ215:$BT215,,T215+1)*R215-ERP_i)*Q215*Ramure*Pc/MaxiM</f>
        <v>2.6269839610715869E-4</v>
      </c>
      <c r="Q215" s="307">
        <f t="shared" si="80"/>
        <v>1</v>
      </c>
      <c r="R215" s="179">
        <f t="shared" si="81"/>
        <v>0.15146819502240949</v>
      </c>
      <c r="S215" s="837">
        <f t="shared" si="82"/>
        <v>-1</v>
      </c>
      <c r="T215" s="178">
        <f t="shared" si="83"/>
        <v>5</v>
      </c>
      <c r="U215" s="253">
        <f t="shared" si="84"/>
        <v>-0.84853180497759051</v>
      </c>
      <c r="V215" s="385">
        <f t="shared" si="85"/>
        <v>54.394281419926045</v>
      </c>
      <c r="W215" s="404">
        <f t="shared" si="86"/>
        <v>40.046432945518056</v>
      </c>
      <c r="X215" s="157">
        <f t="shared" si="87"/>
        <v>46588</v>
      </c>
      <c r="Y215" s="387">
        <f t="shared" si="88"/>
        <v>37.002903471710212</v>
      </c>
      <c r="Z215" s="387">
        <f t="shared" si="89"/>
        <v>39.933329581492075</v>
      </c>
      <c r="AA215" s="388">
        <f t="shared" si="90"/>
        <v>45.433716623694011</v>
      </c>
      <c r="AB215" s="199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0.12106399059885493</v>
      </c>
      <c r="AD215" s="233">
        <f>(INDEX(Models!$BJ215:$BT215,,AH215)*(1-AF215)+INDEX(Models!$BJ215:$BT215,,AH215+1)*AF215-ERP_i)*AE215*Ramure*Pc/MaxiM</f>
        <v>3.8349129132244112E-3</v>
      </c>
      <c r="AE215" s="307">
        <f t="shared" si="92"/>
        <v>1</v>
      </c>
      <c r="AF215" s="179">
        <f t="shared" si="93"/>
        <v>8.6450787945979712E-2</v>
      </c>
      <c r="AG215" s="837">
        <f t="shared" si="99"/>
        <v>4</v>
      </c>
      <c r="AH215" s="178">
        <f t="shared" si="94"/>
        <v>10</v>
      </c>
      <c r="AI215" s="227">
        <f t="shared" si="95"/>
        <v>4.0864507879459797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46589</v>
      </c>
      <c r="B216" s="1139">
        <f>IF(t&gt;Tmaj,'2026'!Wh/'2026'!Env_an*'2027'!Env_an,0.001*[9]mois!$B$228)</f>
        <v>50.6532574889711</v>
      </c>
      <c r="C216" s="866"/>
      <c r="D216" s="395">
        <f t="shared" si="77"/>
        <v>54.665988595944569</v>
      </c>
      <c r="E216" s="387">
        <f t="shared" si="75"/>
        <v>57.613421325582721</v>
      </c>
      <c r="F216" s="387">
        <f t="shared" si="78"/>
        <v>57.628209630262852</v>
      </c>
      <c r="G216" s="110">
        <f t="shared" si="76"/>
        <v>0.93371990197660149</v>
      </c>
      <c r="H216" s="414" t="b">
        <f>Wh_hp&gt;='2026'!Maxi_hp</f>
        <v>0</v>
      </c>
      <c r="I216" s="392">
        <f>IF(H216,Wh_hp,'2026'!Maxi_hp)</f>
        <v>57.629516045291702</v>
      </c>
      <c r="J216" s="85">
        <f>IF(H216,An,'2026'!An_max)</f>
        <v>2025</v>
      </c>
      <c r="K216" s="199">
        <f t="shared" si="79"/>
        <v>46589</v>
      </c>
      <c r="L216" s="147">
        <f>IF(t&lt;Tvie,1-EXP((T0-t)*PertePVj)+'2026'!Pspv,1-EXP((T0-t)*PertePVj)+Pspv)</f>
        <v>7.3404528300639815E-2</v>
      </c>
      <c r="M216" s="870"/>
      <c r="N216" s="870"/>
      <c r="O216" s="48">
        <f>IF(t&lt;Tnet,'2026'!Resal+('2026'!Salim-'2026'!Resal)*(1-EXP(('2026'!Tnet-t)/('2026'!Tau_j))),Resal+(Salim-Resal)*(1-EXP((Tnet-t)/(Tau_j))))*Salcycl</f>
        <v>5.1158786647675973E-2</v>
      </c>
      <c r="P216" s="171">
        <f>(INDEX(Models!$BJ216:$BT216,,T216)*(1-R216)+INDEX(Models!$BJ216:$BT216,,T216+1)*R216-ERP_i)*Q216*Ramure*Pc/MaxiM</f>
        <v>2.8344368438905663E-4</v>
      </c>
      <c r="Q216" s="307">
        <f t="shared" si="80"/>
        <v>1</v>
      </c>
      <c r="R216" s="179">
        <f t="shared" si="81"/>
        <v>0.15532501688369338</v>
      </c>
      <c r="S216" s="837">
        <f t="shared" si="82"/>
        <v>-1</v>
      </c>
      <c r="T216" s="178">
        <f t="shared" si="83"/>
        <v>5</v>
      </c>
      <c r="U216" s="253">
        <f t="shared" si="84"/>
        <v>-0.84467498311630662</v>
      </c>
      <c r="V216" s="385">
        <f t="shared" si="85"/>
        <v>54.24742271134987</v>
      </c>
      <c r="W216" s="404">
        <f t="shared" si="86"/>
        <v>50.6532574889711</v>
      </c>
      <c r="X216" s="157">
        <f t="shared" si="87"/>
        <v>46589</v>
      </c>
      <c r="Y216" s="387">
        <f t="shared" si="88"/>
        <v>46.753021585501777</v>
      </c>
      <c r="Z216" s="387">
        <f t="shared" si="89"/>
        <v>50.456777540427147</v>
      </c>
      <c r="AA216" s="388">
        <f t="shared" si="90"/>
        <v>57.415878463393526</v>
      </c>
      <c r="AB216" s="199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0.12120516326164503</v>
      </c>
      <c r="AD216" s="233">
        <f>(INDEX(Models!$BJ216:$BT216,,AH216)*(1-AF216)+INDEX(Models!$BJ216:$BT216,,AH216+1)*AF216-ERP_i)*AE216*Ramure*Pc/MaxiM</f>
        <v>4.0696976123944795E-3</v>
      </c>
      <c r="AE216" s="307">
        <f t="shared" si="92"/>
        <v>1</v>
      </c>
      <c r="AF216" s="179">
        <f t="shared" si="93"/>
        <v>9.0307609807263489E-2</v>
      </c>
      <c r="AG216" s="837">
        <f t="shared" si="99"/>
        <v>4</v>
      </c>
      <c r="AH216" s="178">
        <f t="shared" si="94"/>
        <v>10</v>
      </c>
      <c r="AI216" s="227">
        <f t="shared" si="95"/>
        <v>4.0903076098072635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46590</v>
      </c>
      <c r="B217" s="1139">
        <f>IF(t&gt;Tmaj,'2026'!Wh/'2026'!Env_an*'2027'!Env_an,0.001*[9]mois!$B$229)</f>
        <v>38.150024826050235</v>
      </c>
      <c r="C217" s="866"/>
      <c r="D217" s="395">
        <f t="shared" si="77"/>
        <v>41.173212927054848</v>
      </c>
      <c r="E217" s="387">
        <f t="shared" si="75"/>
        <v>43.405472595482429</v>
      </c>
      <c r="F217" s="387">
        <f t="shared" si="78"/>
        <v>43.413144412162005</v>
      </c>
      <c r="G217" s="110">
        <f t="shared" si="76"/>
        <v>0.70510019181295247</v>
      </c>
      <c r="H217" s="414" t="b">
        <f>Wh_hp&gt;='2026'!Maxi_hp</f>
        <v>0</v>
      </c>
      <c r="I217" s="392">
        <f>IF(H217,Wh_hp,'2026'!Maxi_hp)</f>
        <v>56.185831469090324</v>
      </c>
      <c r="J217" s="85">
        <f>IF(H217,An,'2026'!An_max)</f>
        <v>2021</v>
      </c>
      <c r="K217" s="199">
        <f t="shared" si="79"/>
        <v>46590</v>
      </c>
      <c r="L217" s="147">
        <f>IF(t&lt;Tvie,1-EXP((T0-t)*PertePVj)+'2026'!Pspv,1-EXP((T0-t)*PertePVj)+Pspv)</f>
        <v>7.3426091530935156E-2</v>
      </c>
      <c r="M217" s="870"/>
      <c r="N217" s="870"/>
      <c r="O217" s="48">
        <f>IF(t&lt;Tnet,'2026'!Resal+('2026'!Salim-'2026'!Resal)*(1-EXP(('2026'!Tnet-t)/('2026'!Tau_j))),Resal+(Salim-Resal)*(1-EXP((Tnet-t)/(Tau_j))))*Salcycl</f>
        <v>5.1428069663729745E-2</v>
      </c>
      <c r="P217" s="171">
        <f>(INDEX(Models!$BJ217:$BT217,,T217)*(1-R217)+INDEX(Models!$BJ217:$BT217,,T217+1)*R217-ERP_i)*Q217*Ramure*Pc/MaxiM</f>
        <v>3.0529195084042144E-4</v>
      </c>
      <c r="Q217" s="307">
        <f t="shared" si="80"/>
        <v>1</v>
      </c>
      <c r="R217" s="179">
        <f t="shared" si="81"/>
        <v>0.15907446280388415</v>
      </c>
      <c r="S217" s="837">
        <f t="shared" si="82"/>
        <v>-1</v>
      </c>
      <c r="T217" s="178">
        <f t="shared" si="83"/>
        <v>5</v>
      </c>
      <c r="U217" s="253">
        <f t="shared" si="84"/>
        <v>-0.84092553719611585</v>
      </c>
      <c r="V217" s="385">
        <f t="shared" si="85"/>
        <v>54.098863173434978</v>
      </c>
      <c r="W217" s="404">
        <f t="shared" si="86"/>
        <v>38.150024826050235</v>
      </c>
      <c r="X217" s="157">
        <f t="shared" si="87"/>
        <v>46590</v>
      </c>
      <c r="Y217" s="387">
        <f t="shared" si="88"/>
        <v>35.255797767945694</v>
      </c>
      <c r="Z217" s="387">
        <f t="shared" si="89"/>
        <v>38.049633651132282</v>
      </c>
      <c r="AA217" s="388">
        <f t="shared" si="90"/>
        <v>43.304392790030867</v>
      </c>
      <c r="AB217" s="199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0.12134471355774995</v>
      </c>
      <c r="AD217" s="233">
        <f>(INDEX(Models!$BJ217:$BT217,,AH217)*(1-AF217)+INDEX(Models!$BJ217:$BT217,,AH217+1)*AF217-ERP_i)*AE217*Ramure*Pc/MaxiM</f>
        <v>4.3276574850730793E-3</v>
      </c>
      <c r="AE217" s="307">
        <f t="shared" si="92"/>
        <v>1</v>
      </c>
      <c r="AF217" s="179">
        <f t="shared" si="93"/>
        <v>9.405705572745493E-2</v>
      </c>
      <c r="AG217" s="837">
        <f t="shared" si="99"/>
        <v>4</v>
      </c>
      <c r="AH217" s="178">
        <f t="shared" si="94"/>
        <v>10</v>
      </c>
      <c r="AI217" s="227">
        <f t="shared" si="95"/>
        <v>4.0940570557274549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46591</v>
      </c>
      <c r="B218" s="1139">
        <f>IF(t&gt;Tmaj,'2026'!Wh/'2026'!Env_an*'2027'!Env_an,0.001*[9]mois!$B$230)</f>
        <v>47.637769824944506</v>
      </c>
      <c r="C218" s="866"/>
      <c r="D218" s="395">
        <f t="shared" si="77"/>
        <v>51.414008117229955</v>
      </c>
      <c r="E218" s="387">
        <f t="shared" si="75"/>
        <v>54.216818316067702</v>
      </c>
      <c r="F218" s="387">
        <f t="shared" si="78"/>
        <v>54.23164527716839</v>
      </c>
      <c r="G218" s="110">
        <f t="shared" si="76"/>
        <v>0.88296969172090012</v>
      </c>
      <c r="H218" s="414" t="b">
        <f>Wh_hp&gt;='2026'!Maxi_hp</f>
        <v>0</v>
      </c>
      <c r="I218" s="392">
        <f>IF(H218,Wh_hp,'2026'!Maxi_hp)</f>
        <v>56.993648476218958</v>
      </c>
      <c r="J218" s="85">
        <f>IF(H218,An,'2026'!An_max)</f>
        <v>2019</v>
      </c>
      <c r="K218" s="199">
        <f t="shared" si="79"/>
        <v>46591</v>
      </c>
      <c r="L218" s="147">
        <f>IF(t&lt;Tvie,1-EXP((T0-t)*PertePVj)+'2026'!Pspv,1-EXP((T0-t)*PertePVj)+Pspv)</f>
        <v>7.3447654259422568E-2</v>
      </c>
      <c r="M218" s="870"/>
      <c r="N218" s="870"/>
      <c r="O218" s="48">
        <f>IF(t&lt;Tnet,'2026'!Resal+('2026'!Salim-'2026'!Resal)*(1-EXP(('2026'!Tnet-t)/('2026'!Tau_j))),Resal+(Salim-Resal)*(1-EXP((Tnet-t)/(Tau_j))))*Salcycl</f>
        <v>5.1696323869434908E-2</v>
      </c>
      <c r="P218" s="171">
        <f>(INDEX(Models!$BJ218:$BT218,,T218)*(1-R218)+INDEX(Models!$BJ218:$BT218,,T218+1)*R218-ERP_i)*Q218*Ramure*Pc/MaxiM</f>
        <v>3.2825801317406861E-4</v>
      </c>
      <c r="Q218" s="307">
        <f t="shared" si="80"/>
        <v>1</v>
      </c>
      <c r="R218" s="179">
        <f t="shared" si="81"/>
        <v>0.16271792046946909</v>
      </c>
      <c r="S218" s="837">
        <f t="shared" si="82"/>
        <v>-1</v>
      </c>
      <c r="T218" s="178">
        <f t="shared" si="83"/>
        <v>5</v>
      </c>
      <c r="U218" s="253">
        <f t="shared" si="84"/>
        <v>-0.83728207953053091</v>
      </c>
      <c r="V218" s="385">
        <f t="shared" si="85"/>
        <v>53.948800586519923</v>
      </c>
      <c r="W218" s="404">
        <f t="shared" si="86"/>
        <v>47.637769824944506</v>
      </c>
      <c r="X218" s="157">
        <f t="shared" si="87"/>
        <v>46591</v>
      </c>
      <c r="Y218" s="387">
        <f t="shared" si="88"/>
        <v>43.974677101657726</v>
      </c>
      <c r="Z218" s="387">
        <f t="shared" si="89"/>
        <v>47.460542627529065</v>
      </c>
      <c r="AA218" s="388">
        <f t="shared" si="90"/>
        <v>54.023460125636831</v>
      </c>
      <c r="AB218" s="199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0.12148273144380346</v>
      </c>
      <c r="AD218" s="233">
        <f>(INDEX(Models!$BJ218:$BT218,,AH218)*(1-AF218)+INDEX(Models!$BJ218:$BT218,,AH218+1)*AF218-ERP_i)*AE218*Ramure*Pc/MaxiM</f>
        <v>4.6090661296002413E-3</v>
      </c>
      <c r="AE218" s="307">
        <f t="shared" si="92"/>
        <v>1</v>
      </c>
      <c r="AF218" s="179">
        <f t="shared" si="93"/>
        <v>9.7700513393039756E-2</v>
      </c>
      <c r="AG218" s="837">
        <f t="shared" si="99"/>
        <v>4</v>
      </c>
      <c r="AH218" s="178">
        <f t="shared" si="94"/>
        <v>10</v>
      </c>
      <c r="AI218" s="227">
        <f t="shared" si="95"/>
        <v>4.0977005133930398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46592</v>
      </c>
      <c r="B219" s="1139">
        <f>IF(t&gt;Tmaj,'2026'!Wh/'2026'!Env_an*'2027'!Env_an,0.001*[9]mois!$B$231)</f>
        <v>50.199059548698251</v>
      </c>
      <c r="C219" s="866"/>
      <c r="D219" s="395">
        <f t="shared" si="77"/>
        <v>54.179591700469288</v>
      </c>
      <c r="E219" s="387">
        <f t="shared" si="75"/>
        <v>57.149272481768115</v>
      </c>
      <c r="F219" s="387">
        <f t="shared" si="78"/>
        <v>57.167491069736627</v>
      </c>
      <c r="G219" s="110">
        <f t="shared" si="76"/>
        <v>0.93308227217896333</v>
      </c>
      <c r="H219" s="414" t="b">
        <f>Wh_hp&gt;='2026'!Maxi_hp</f>
        <v>0</v>
      </c>
      <c r="I219" s="392">
        <f>IF(H219,Wh_hp,'2026'!Maxi_hp)</f>
        <v>57.250617661501515</v>
      </c>
      <c r="J219" s="85">
        <f>IF(H219,An,'2026'!An_max)</f>
        <v>2019</v>
      </c>
      <c r="K219" s="199">
        <f t="shared" si="79"/>
        <v>46592</v>
      </c>
      <c r="L219" s="147">
        <f>IF(t&lt;Tvie,1-EXP((T0-t)*PertePVj)+'2026'!Pspv,1-EXP((T0-t)*PertePVj)+Pspv)</f>
        <v>7.346921648611382E-2</v>
      </c>
      <c r="M219" s="870"/>
      <c r="N219" s="870"/>
      <c r="O219" s="48">
        <f>IF(t&lt;Tnet,'2026'!Resal+('2026'!Salim-'2026'!Resal)*(1-EXP(('2026'!Tnet-t)/('2026'!Tau_j))),Resal+(Salim-Resal)*(1-EXP((Tnet-t)/(Tau_j))))*Salcycl</f>
        <v>5.1963579803158758E-2</v>
      </c>
      <c r="P219" s="171">
        <f>(INDEX(Models!$BJ219:$BT219,,T219)*(1-R219)+INDEX(Models!$BJ219:$BT219,,T219+1)*R219-ERP_i)*Q219*Ramure*Pc/MaxiM</f>
        <v>3.5235619460112093E-4</v>
      </c>
      <c r="Q219" s="307">
        <f t="shared" si="80"/>
        <v>1</v>
      </c>
      <c r="R219" s="179">
        <f t="shared" si="81"/>
        <v>0.1662568741294973</v>
      </c>
      <c r="S219" s="837">
        <f t="shared" si="82"/>
        <v>-1</v>
      </c>
      <c r="T219" s="178">
        <f t="shared" si="83"/>
        <v>5</v>
      </c>
      <c r="U219" s="253">
        <f t="shared" si="84"/>
        <v>-0.8337431258705027</v>
      </c>
      <c r="V219" s="385">
        <f t="shared" si="85"/>
        <v>53.797366416805374</v>
      </c>
      <c r="W219" s="404">
        <f t="shared" si="86"/>
        <v>50.199059548698251</v>
      </c>
      <c r="X219" s="157">
        <f t="shared" si="87"/>
        <v>46592</v>
      </c>
      <c r="Y219" s="387">
        <f t="shared" si="88"/>
        <v>46.318787980894399</v>
      </c>
      <c r="Z219" s="387">
        <f t="shared" si="89"/>
        <v>49.991634174559735</v>
      </c>
      <c r="AA219" s="388">
        <f t="shared" si="90"/>
        <v>56.913402481345315</v>
      </c>
      <c r="AB219" s="199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0.12161930239637932</v>
      </c>
      <c r="AD219" s="233">
        <f>(INDEX(Models!$BJ219:$BT219,,AH219)*(1-AF219)+INDEX(Models!$BJ219:$BT219,,AH219+1)*AF219-ERP_i)*AE219*Ramure*Pc/MaxiM</f>
        <v>4.9141946813793039E-3</v>
      </c>
      <c r="AE219" s="307">
        <f t="shared" si="92"/>
        <v>1</v>
      </c>
      <c r="AF219" s="179">
        <f t="shared" si="93"/>
        <v>0.10123946705306786</v>
      </c>
      <c r="AG219" s="837">
        <f t="shared" si="99"/>
        <v>4</v>
      </c>
      <c r="AH219" s="178">
        <f t="shared" si="94"/>
        <v>10</v>
      </c>
      <c r="AI219" s="227">
        <f t="shared" si="95"/>
        <v>4.1012394670530679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46593</v>
      </c>
      <c r="B220" s="1139">
        <f>IF(t&gt;Tmaj,'2026'!Wh/'2026'!Env_an*'2027'!Env_an,0.001*[9]mois!$B$232)</f>
        <v>30.326779065848974</v>
      </c>
      <c r="C220" s="866"/>
      <c r="D220" s="395">
        <f t="shared" si="77"/>
        <v>32.732301365863968</v>
      </c>
      <c r="E220" s="387">
        <f t="shared" si="75"/>
        <v>34.536118212696998</v>
      </c>
      <c r="F220" s="387">
        <f t="shared" si="78"/>
        <v>34.541079130448985</v>
      </c>
      <c r="G220" s="110">
        <f t="shared" si="76"/>
        <v>0.56519723889785523</v>
      </c>
      <c r="H220" s="414" t="b">
        <f>Wh_hp&gt;='2026'!Maxi_hp</f>
        <v>0</v>
      </c>
      <c r="I220" s="392">
        <f>IF(H220,Wh_hp,'2026'!Maxi_hp)</f>
        <v>58.935772550617891</v>
      </c>
      <c r="J220" s="85">
        <f>IF(H220,An,'2026'!An_max)</f>
        <v>2020</v>
      </c>
      <c r="K220" s="199">
        <f t="shared" si="79"/>
        <v>46593</v>
      </c>
      <c r="L220" s="147">
        <f>IF(t&lt;Tvie,1-EXP((T0-t)*PertePVj)+'2026'!Pspv,1-EXP((T0-t)*PertePVj)+Pspv)</f>
        <v>7.3490778211020569E-2</v>
      </c>
      <c r="M220" s="870"/>
      <c r="N220" s="870"/>
      <c r="O220" s="48">
        <f>IF(t&lt;Tnet,'2026'!Resal+('2026'!Salim-'2026'!Resal)*(1-EXP(('2026'!Tnet-t)/('2026'!Tau_j))),Resal+(Salim-Resal)*(1-EXP((Tnet-t)/(Tau_j))))*Salcycl</f>
        <v>5.2229866591372284E-2</v>
      </c>
      <c r="P220" s="171">
        <f>(INDEX(Models!$BJ220:$BT220,,T220)*(1-R220)+INDEX(Models!$BJ220:$BT220,,T220+1)*R220-ERP_i)*Q220*Ramure*Pc/MaxiM</f>
        <v>3.7891112903060988E-4</v>
      </c>
      <c r="Q220" s="307">
        <f t="shared" si="80"/>
        <v>1</v>
      </c>
      <c r="R220" s="179">
        <f t="shared" si="81"/>
        <v>0.16969289551148625</v>
      </c>
      <c r="S220" s="837">
        <f t="shared" si="82"/>
        <v>-1</v>
      </c>
      <c r="T220" s="178">
        <f t="shared" si="83"/>
        <v>5</v>
      </c>
      <c r="U220" s="253">
        <f t="shared" si="84"/>
        <v>-0.83030710448851375</v>
      </c>
      <c r="V220" s="385">
        <f t="shared" si="85"/>
        <v>53.64435712790317</v>
      </c>
      <c r="W220" s="404">
        <f t="shared" si="86"/>
        <v>30.326779065848974</v>
      </c>
      <c r="X220" s="157">
        <f t="shared" si="87"/>
        <v>46593</v>
      </c>
      <c r="Y220" s="387">
        <f t="shared" si="88"/>
        <v>28.050115541949015</v>
      </c>
      <c r="Z220" s="387">
        <f t="shared" si="89"/>
        <v>30.275052727254639</v>
      </c>
      <c r="AA220" s="388">
        <f t="shared" si="90"/>
        <v>34.472198232339437</v>
      </c>
      <c r="AB220" s="199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0.12175450711893757</v>
      </c>
      <c r="AD220" s="233">
        <f>(INDEX(Models!$BJ220:$BT220,,AH220)*(1-AF220)+INDEX(Models!$BJ220:$BT220,,AH220+1)*AF220-ERP_i)*AE220*Ramure*Pc/MaxiM</f>
        <v>5.2610706679956723E-3</v>
      </c>
      <c r="AE220" s="307">
        <f t="shared" si="92"/>
        <v>1</v>
      </c>
      <c r="AF220" s="179">
        <f t="shared" si="93"/>
        <v>0.10467548843505625</v>
      </c>
      <c r="AG220" s="837">
        <f t="shared" si="99"/>
        <v>4</v>
      </c>
      <c r="AH220" s="178">
        <f t="shared" si="94"/>
        <v>10</v>
      </c>
      <c r="AI220" s="227">
        <f t="shared" si="95"/>
        <v>4.1046754884350563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46594</v>
      </c>
      <c r="B221" s="1139">
        <f>IF(t&gt;Tmaj,'2026'!Wh/'2026'!Env_an*'2027'!Env_an,0.001*[9]mois!$B$233)</f>
        <v>51.319932035794849</v>
      </c>
      <c r="C221" s="866"/>
      <c r="D221" s="395">
        <f t="shared" si="77"/>
        <v>55.391921792516456</v>
      </c>
      <c r="E221" s="387">
        <f t="shared" si="75"/>
        <v>58.460835746772311</v>
      </c>
      <c r="F221" s="387">
        <f t="shared" si="78"/>
        <v>58.48327558986302</v>
      </c>
      <c r="G221" s="110">
        <f t="shared" si="76"/>
        <v>0.95941476919235247</v>
      </c>
      <c r="H221" s="414" t="b">
        <f>Wh_hp&gt;='2026'!Maxi_hp</f>
        <v>0</v>
      </c>
      <c r="I221" s="392">
        <f>IF(H221,Wh_hp,'2026'!Maxi_hp)</f>
        <v>58.484434870180216</v>
      </c>
      <c r="J221" s="85">
        <f>IF(H221,An,'2026'!An_max)</f>
        <v>2025</v>
      </c>
      <c r="K221" s="199">
        <f t="shared" si="79"/>
        <v>46594</v>
      </c>
      <c r="L221" s="147">
        <f>IF(t&lt;Tvie,1-EXP((T0-t)*PertePVj)+'2026'!Pspv,1-EXP((T0-t)*PertePVj)+Pspv)</f>
        <v>7.3512339434154472E-2</v>
      </c>
      <c r="M221" s="870"/>
      <c r="N221" s="870"/>
      <c r="O221" s="48">
        <f>IF(t&lt;Tnet,'2026'!Resal+('2026'!Salim-'2026'!Resal)*(1-EXP(('2026'!Tnet-t)/('2026'!Tau_j))),Resal+(Salim-Resal)*(1-EXP((Tnet-t)/(Tau_j))))*Salcycl</f>
        <v>5.2495211795279384E-2</v>
      </c>
      <c r="P221" s="171">
        <f>(INDEX(Models!$BJ221:$BT221,,T221)*(1-R221)+INDEX(Models!$BJ221:$BT221,,T221+1)*R221-ERP_i)*Q221*Ramure*Pc/MaxiM</f>
        <v>4.0729828155146915E-4</v>
      </c>
      <c r="Q221" s="307">
        <f t="shared" si="80"/>
        <v>1</v>
      </c>
      <c r="R221" s="179">
        <f t="shared" si="81"/>
        <v>0.17302763500048879</v>
      </c>
      <c r="S221" s="837">
        <f t="shared" si="82"/>
        <v>-1</v>
      </c>
      <c r="T221" s="178">
        <f t="shared" si="83"/>
        <v>5</v>
      </c>
      <c r="U221" s="253">
        <f t="shared" si="84"/>
        <v>-0.82697236499951121</v>
      </c>
      <c r="V221" s="385">
        <f t="shared" si="85"/>
        <v>53.489608446778604</v>
      </c>
      <c r="W221" s="404">
        <f t="shared" si="86"/>
        <v>51.319932035794849</v>
      </c>
      <c r="X221" s="157">
        <f t="shared" si="87"/>
        <v>46594</v>
      </c>
      <c r="Y221" s="387">
        <f t="shared" si="88"/>
        <v>47.326489862478859</v>
      </c>
      <c r="Z221" s="387">
        <f t="shared" si="89"/>
        <v>51.081619191317188</v>
      </c>
      <c r="AA221" s="388">
        <f t="shared" si="90"/>
        <v>58.172128041699146</v>
      </c>
      <c r="AB221" s="199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0.12188842129514869</v>
      </c>
      <c r="AD221" s="233">
        <f>(INDEX(Models!$BJ221:$BT221,,AH221)*(1-AF221)+INDEX(Models!$BJ221:$BT221,,AH221+1)*AF221-ERP_i)*AE221*Ramure*Pc/MaxiM</f>
        <v>5.647537781963816E-3</v>
      </c>
      <c r="AE221" s="307">
        <f t="shared" si="92"/>
        <v>1</v>
      </c>
      <c r="AF221" s="179">
        <f t="shared" si="93"/>
        <v>0.10801022792405934</v>
      </c>
      <c r="AG221" s="837">
        <f t="shared" si="99"/>
        <v>4</v>
      </c>
      <c r="AH221" s="178">
        <f t="shared" si="94"/>
        <v>10</v>
      </c>
      <c r="AI221" s="227">
        <f t="shared" si="95"/>
        <v>4.1080102279240593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46595</v>
      </c>
      <c r="B222" s="1139">
        <f>IF(t&gt;Tmaj,'2026'!Wh/'2026'!Env_an*'2027'!Env_an,0.001*[9]mois!$B$234)</f>
        <v>54.009236713833793</v>
      </c>
      <c r="C222" s="866"/>
      <c r="D222" s="395">
        <f t="shared" si="77"/>
        <v>58.295966493431763</v>
      </c>
      <c r="E222" s="387">
        <f t="shared" si="75"/>
        <v>61.542950484011911</v>
      </c>
      <c r="F222" s="387">
        <f t="shared" si="78"/>
        <v>61.569890370672333</v>
      </c>
      <c r="G222" s="110">
        <f t="shared" si="76"/>
        <v>1.0126810163838371</v>
      </c>
      <c r="H222" s="414" t="b">
        <f>Wh_hp&gt;='2026'!Maxi_hp</f>
        <v>1</v>
      </c>
      <c r="I222" s="392">
        <f>IF(H222,Wh_hp,'2026'!Maxi_hp)</f>
        <v>61.569890370672333</v>
      </c>
      <c r="J222" s="85">
        <f>IF(H222,An,'2026'!An_max)</f>
        <v>2027</v>
      </c>
      <c r="K222" s="199">
        <f t="shared" si="79"/>
        <v>46595</v>
      </c>
      <c r="L222" s="147">
        <f>IF(t&lt;Tvie,1-EXP((T0-t)*PertePVj)+'2026'!Pspv,1-EXP((T0-t)*PertePVj)+Pspv)</f>
        <v>7.3533900155527188E-2</v>
      </c>
      <c r="M222" s="870"/>
      <c r="N222" s="870"/>
      <c r="O222" s="48">
        <f>IF(t&lt;Tnet,'2026'!Resal+('2026'!Salim-'2026'!Resal)*(1-EXP(('2026'!Tnet-t)/('2026'!Tau_j))),Resal+(Salim-Resal)*(1-EXP((Tnet-t)/(Tau_j))))*Salcycl</f>
        <v>5.27596412756271E-2</v>
      </c>
      <c r="P222" s="171">
        <f>(INDEX(Models!$BJ222:$BT222,,T222)*(1-R222)+INDEX(Models!$BJ222:$BT222,,T222+1)*R222-ERP_i)*Q222*Ramure*Pc/MaxiM</f>
        <v>4.3754969349851639E-4</v>
      </c>
      <c r="Q222" s="307">
        <f t="shared" si="80"/>
        <v>1</v>
      </c>
      <c r="R222" s="179">
        <f t="shared" si="81"/>
        <v>0.17626281310744096</v>
      </c>
      <c r="S222" s="837">
        <f t="shared" si="82"/>
        <v>-1</v>
      </c>
      <c r="T222" s="178">
        <f t="shared" si="83"/>
        <v>5</v>
      </c>
      <c r="U222" s="253">
        <f t="shared" si="84"/>
        <v>-0.82373718689255904</v>
      </c>
      <c r="V222" s="385">
        <f t="shared" si="85"/>
        <v>53.33292106797294</v>
      </c>
      <c r="W222" s="404">
        <f t="shared" si="86"/>
        <v>54.009236713833793</v>
      </c>
      <c r="X222" s="157">
        <f t="shared" si="87"/>
        <v>46595</v>
      </c>
      <c r="Y222" s="387">
        <f t="shared" si="88"/>
        <v>49.777836011654927</v>
      </c>
      <c r="Z222" s="387">
        <f t="shared" si="89"/>
        <v>53.728718212151747</v>
      </c>
      <c r="AA222" s="388">
        <f t="shared" si="90"/>
        <v>61.195911603207506</v>
      </c>
      <c r="AB222" s="199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0.12202111538876677</v>
      </c>
      <c r="AD222" s="233">
        <f>(INDEX(Models!$BJ222:$BT222,,AH222)*(1-AF222)+INDEX(Models!$BJ222:$BT222,,AH222+1)*AF222-ERP_i)*AE222*Ramure*Pc/MaxiM</f>
        <v>6.074052840005709E-3</v>
      </c>
      <c r="AE222" s="307">
        <f t="shared" si="92"/>
        <v>1</v>
      </c>
      <c r="AF222" s="179">
        <f t="shared" si="93"/>
        <v>0.11124540603101174</v>
      </c>
      <c r="AG222" s="837">
        <f t="shared" si="99"/>
        <v>4</v>
      </c>
      <c r="AH222" s="178">
        <f t="shared" si="94"/>
        <v>10</v>
      </c>
      <c r="AI222" s="227">
        <f t="shared" si="95"/>
        <v>4.1112454060310117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46596</v>
      </c>
      <c r="B223" s="1139">
        <f>IF(t&gt;Tmaj,'2026'!Wh/'2026'!Env_an*'2027'!Env_an,0.001*[9]mois!$B$235)</f>
        <v>46.046898739123918</v>
      </c>
      <c r="C223" s="866"/>
      <c r="D223" s="395">
        <f t="shared" si="77"/>
        <v>49.702811954366901</v>
      </c>
      <c r="E223" s="387">
        <f t="shared" si="75"/>
        <v>52.485774578809661</v>
      </c>
      <c r="F223" s="387">
        <f t="shared" si="78"/>
        <v>52.505714175622245</v>
      </c>
      <c r="G223" s="110">
        <f t="shared" si="76"/>
        <v>0.86588694930316401</v>
      </c>
      <c r="H223" s="414" t="b">
        <f>Wh_hp&gt;='2026'!Maxi_hp</f>
        <v>0</v>
      </c>
      <c r="I223" s="392">
        <f>IF(H223,Wh_hp,'2026'!Maxi_hp)</f>
        <v>61.483978261170357</v>
      </c>
      <c r="J223" s="85">
        <f>IF(H223,An,'2026'!An_max)</f>
        <v>2019</v>
      </c>
      <c r="K223" s="199">
        <f t="shared" si="79"/>
        <v>46596</v>
      </c>
      <c r="L223" s="147">
        <f>IF(t&lt;Tvie,1-EXP((T0-t)*PertePVj)+'2026'!Pspv,1-EXP((T0-t)*PertePVj)+Pspv)</f>
        <v>7.3555460375150372E-2</v>
      </c>
      <c r="M223" s="870"/>
      <c r="N223" s="870"/>
      <c r="O223" s="48">
        <f>IF(t&lt;Tnet,'2026'!Resal+('2026'!Salim-'2026'!Resal)*(1-EXP(('2026'!Tnet-t)/('2026'!Tau_j))),Resal+(Salim-Resal)*(1-EXP((Tnet-t)/(Tau_j))))*Salcycl</f>
        <v>5.3023179076151873E-2</v>
      </c>
      <c r="P223" s="171">
        <f>(INDEX(Models!$BJ223:$BT223,,T223)*(1-R223)+INDEX(Models!$BJ223:$BT223,,T223+1)*R223-ERP_i)*Q223*Ramure*Pc/MaxiM</f>
        <v>4.6969763574348638E-4</v>
      </c>
      <c r="Q223" s="307">
        <f t="shared" si="80"/>
        <v>1</v>
      </c>
      <c r="R223" s="179">
        <f t="shared" si="81"/>
        <v>0.1794002122486551</v>
      </c>
      <c r="S223" s="837">
        <f t="shared" si="82"/>
        <v>-1</v>
      </c>
      <c r="T223" s="178">
        <f t="shared" si="83"/>
        <v>5</v>
      </c>
      <c r="U223" s="253">
        <f t="shared" si="84"/>
        <v>-0.8205997877513449</v>
      </c>
      <c r="V223" s="385">
        <f t="shared" si="85"/>
        <v>53.174096083978462</v>
      </c>
      <c r="W223" s="404">
        <f t="shared" si="86"/>
        <v>46.046898739123918</v>
      </c>
      <c r="X223" s="157">
        <f t="shared" si="87"/>
        <v>46596</v>
      </c>
      <c r="Y223" s="387">
        <f t="shared" si="88"/>
        <v>42.475850914749884</v>
      </c>
      <c r="Z223" s="387">
        <f t="shared" si="89"/>
        <v>45.848239260981416</v>
      </c>
      <c r="AA223" s="388">
        <f t="shared" si="90"/>
        <v>52.228032009748617</v>
      </c>
      <c r="AB223" s="199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0.12215265448976483</v>
      </c>
      <c r="AD223" s="233">
        <f>(INDEX(Models!$BJ223:$BT223,,AH223)*(1-AF223)+INDEX(Models!$BJ223:$BT223,,AH223+1)*AF223-ERP_i)*AE223*Ramure*Pc/MaxiM</f>
        <v>6.541087968071603E-3</v>
      </c>
      <c r="AE223" s="307">
        <f t="shared" si="92"/>
        <v>1</v>
      </c>
      <c r="AF223" s="179">
        <f t="shared" si="93"/>
        <v>0.11438280517222577</v>
      </c>
      <c r="AG223" s="837">
        <f t="shared" si="99"/>
        <v>4</v>
      </c>
      <c r="AH223" s="178">
        <f t="shared" si="94"/>
        <v>10</v>
      </c>
      <c r="AI223" s="227">
        <f t="shared" si="95"/>
        <v>4.1143828051722258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46597</v>
      </c>
      <c r="B224" s="1139">
        <f>IF(t&gt;Tmaj,'2026'!Wh/'2026'!Env_an*'2027'!Env_an,0.001*[9]mois!$B$236)</f>
        <v>26.681103143453779</v>
      </c>
      <c r="C224" s="866"/>
      <c r="D224" s="395">
        <f t="shared" si="77"/>
        <v>28.800130957603432</v>
      </c>
      <c r="E224" s="387">
        <f t="shared" si="75"/>
        <v>30.421147583200781</v>
      </c>
      <c r="F224" s="387">
        <f t="shared" si="78"/>
        <v>30.425599043331097</v>
      </c>
      <c r="G224" s="110">
        <f t="shared" si="76"/>
        <v>0.50311427023141597</v>
      </c>
      <c r="H224" s="414" t="b">
        <f>Wh_hp&gt;='2026'!Maxi_hp</f>
        <v>0</v>
      </c>
      <c r="I224" s="392">
        <f>IF(H224,Wh_hp,'2026'!Maxi_hp)</f>
        <v>60.214404913663586</v>
      </c>
      <c r="J224" s="85">
        <f>IF(H224,An,'2026'!An_max)</f>
        <v>2019</v>
      </c>
      <c r="K224" s="199">
        <f t="shared" si="79"/>
        <v>46597</v>
      </c>
      <c r="L224" s="147">
        <f>IF(t&lt;Tvie,1-EXP((T0-t)*PertePVj)+'2026'!Pspv,1-EXP((T0-t)*PertePVj)+Pspv)</f>
        <v>7.3577020093035905E-2</v>
      </c>
      <c r="M224" s="870"/>
      <c r="N224" s="870"/>
      <c r="O224" s="48">
        <f>IF(t&lt;Tnet,'2026'!Resal+('2026'!Salim-'2026'!Resal)*(1-EXP(('2026'!Tnet-t)/('2026'!Tau_j))),Resal+(Salim-Resal)*(1-EXP((Tnet-t)/(Tau_j))))*Salcycl</f>
        <v>5.3285847325907965E-2</v>
      </c>
      <c r="P224" s="171">
        <f>(INDEX(Models!$BJ224:$BT224,,T224)*(1-R224)+INDEX(Models!$BJ224:$BT224,,T224+1)*R224-ERP_i)*Q224*Ramure*Pc/MaxiM</f>
        <v>5.0377473607520103E-4</v>
      </c>
      <c r="Q224" s="307">
        <f t="shared" si="80"/>
        <v>1</v>
      </c>
      <c r="R224" s="179">
        <f t="shared" si="81"/>
        <v>0.1824416688543018</v>
      </c>
      <c r="S224" s="837">
        <f t="shared" si="82"/>
        <v>-1</v>
      </c>
      <c r="T224" s="178">
        <f t="shared" si="83"/>
        <v>5</v>
      </c>
      <c r="U224" s="253">
        <f t="shared" si="84"/>
        <v>-0.8175583311456982</v>
      </c>
      <c r="V224" s="385">
        <f t="shared" si="85"/>
        <v>53.012934986420959</v>
      </c>
      <c r="W224" s="404">
        <f t="shared" si="86"/>
        <v>26.681103143453779</v>
      </c>
      <c r="X224" s="157">
        <f t="shared" si="87"/>
        <v>46597</v>
      </c>
      <c r="Y224" s="387">
        <f t="shared" si="88"/>
        <v>24.689535224309434</v>
      </c>
      <c r="Z224" s="387">
        <f t="shared" si="89"/>
        <v>26.650391624340834</v>
      </c>
      <c r="AA224" s="388">
        <f t="shared" si="90"/>
        <v>30.363311416094376</v>
      </c>
      <c r="AB224" s="199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0.12228309820599714</v>
      </c>
      <c r="AD224" s="233">
        <f>(INDEX(Models!$BJ224:$BT224,,AH224)*(1-AF224)+INDEX(Models!$BJ224:$BT224,,AH224+1)*AF224-ERP_i)*AE224*Ramure*Pc/MaxiM</f>
        <v>7.0491326560946348E-3</v>
      </c>
      <c r="AE224" s="307">
        <f t="shared" si="92"/>
        <v>1</v>
      </c>
      <c r="AF224" s="179">
        <f t="shared" si="93"/>
        <v>0.11742426177787202</v>
      </c>
      <c r="AG224" s="837">
        <f t="shared" si="99"/>
        <v>4</v>
      </c>
      <c r="AH224" s="178">
        <f t="shared" si="94"/>
        <v>10</v>
      </c>
      <c r="AI224" s="227">
        <f t="shared" si="95"/>
        <v>4.117424261777872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46598</v>
      </c>
      <c r="B225" s="1139">
        <f>IF(t&gt;Tmaj,'2026'!Wh/'2026'!Env_an*'2027'!Env_an,0.001*[9]mois!$B$237)</f>
        <v>45.274231920243366</v>
      </c>
      <c r="C225" s="866"/>
      <c r="D225" s="395">
        <f t="shared" si="77"/>
        <v>48.871073499091779</v>
      </c>
      <c r="E225" s="387">
        <f t="shared" si="75"/>
        <v>51.636064228227873</v>
      </c>
      <c r="F225" s="387">
        <f t="shared" si="78"/>
        <v>51.658240153731732</v>
      </c>
      <c r="G225" s="110">
        <f t="shared" si="76"/>
        <v>0.85657288129525166</v>
      </c>
      <c r="H225" s="414" t="b">
        <f>Wh_hp&gt;='2026'!Maxi_hp</f>
        <v>0</v>
      </c>
      <c r="I225" s="392">
        <f>IF(H225,Wh_hp,'2026'!Maxi_hp)</f>
        <v>52.174946254120343</v>
      </c>
      <c r="J225" s="85">
        <f>IF(H225,An,'2026'!An_max)</f>
        <v>2020</v>
      </c>
      <c r="K225" s="199">
        <f t="shared" si="79"/>
        <v>46598</v>
      </c>
      <c r="L225" s="147">
        <f>IF(t&lt;Tvie,1-EXP((T0-t)*PertePVj)+'2026'!Pspv,1-EXP((T0-t)*PertePVj)+Pspv)</f>
        <v>7.3598579309195111E-2</v>
      </c>
      <c r="M225" s="870"/>
      <c r="N225" s="870"/>
      <c r="O225" s="48">
        <f>IF(t&lt;Tnet,'2026'!Resal+('2026'!Salim-'2026'!Resal)*(1-EXP(('2026'!Tnet-t)/('2026'!Tau_j))),Resal+(Salim-Resal)*(1-EXP((Tnet-t)/(Tau_j))))*Salcycl</f>
        <v>5.3547666160515713E-2</v>
      </c>
      <c r="P225" s="171">
        <f>(INDEX(Models!$BJ225:$BT225,,T225)*(1-R225)+INDEX(Models!$BJ225:$BT225,,T225+1)*R225-ERP_i)*Q225*Ramure*Pc/MaxiM</f>
        <v>5.3981411141369663E-4</v>
      </c>
      <c r="Q225" s="307">
        <f t="shared" si="80"/>
        <v>1</v>
      </c>
      <c r="R225" s="179">
        <f t="shared" si="81"/>
        <v>0.18538906581993719</v>
      </c>
      <c r="S225" s="837">
        <f t="shared" si="82"/>
        <v>-1</v>
      </c>
      <c r="T225" s="178">
        <f t="shared" si="83"/>
        <v>5</v>
      </c>
      <c r="U225" s="253">
        <f t="shared" si="84"/>
        <v>-0.81461093418006281</v>
      </c>
      <c r="V225" s="385">
        <f t="shared" si="85"/>
        <v>52.849239661177506</v>
      </c>
      <c r="W225" s="404">
        <f t="shared" si="86"/>
        <v>45.274231920243366</v>
      </c>
      <c r="X225" s="157">
        <f t="shared" si="87"/>
        <v>46598</v>
      </c>
      <c r="Y225" s="387">
        <f t="shared" si="88"/>
        <v>41.744276586220423</v>
      </c>
      <c r="Z225" s="387">
        <f t="shared" si="89"/>
        <v>45.060678507047498</v>
      </c>
      <c r="AA225" s="388">
        <f t="shared" si="90"/>
        <v>51.346080633344293</v>
      </c>
      <c r="AB225" s="199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0.12241250059921885</v>
      </c>
      <c r="AD225" s="233">
        <f>(INDEX(Models!$BJ225:$BT225,,AH225)*(1-AF225)+INDEX(Models!$BJ225:$BT225,,AH225+1)*AF225-ERP_i)*AE225*Ramure*Pc/MaxiM</f>
        <v>7.5986958960507864E-3</v>
      </c>
      <c r="AE225" s="307">
        <f t="shared" si="92"/>
        <v>1</v>
      </c>
      <c r="AF225" s="179">
        <f t="shared" si="93"/>
        <v>0.1203716587435073</v>
      </c>
      <c r="AG225" s="837">
        <f t="shared" si="99"/>
        <v>4</v>
      </c>
      <c r="AH225" s="178">
        <f t="shared" si="94"/>
        <v>10</v>
      </c>
      <c r="AI225" s="227">
        <f t="shared" si="95"/>
        <v>4.1203716587435073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46599</v>
      </c>
      <c r="B226" s="1139">
        <f>IF(t&gt;Tmaj,'2026'!Wh/'2026'!Env_an*'2027'!Env_an,0.001*[9]mois!$B$238)</f>
        <v>49.977164699717974</v>
      </c>
      <c r="C226" s="866"/>
      <c r="D226" s="395">
        <f t="shared" si="77"/>
        <v>53.948889382262202</v>
      </c>
      <c r="E226" s="387">
        <f t="shared" si="75"/>
        <v>57.016891552715137</v>
      </c>
      <c r="F226" s="387">
        <f t="shared" si="78"/>
        <v>57.047588696708786</v>
      </c>
      <c r="G226" s="110">
        <f t="shared" si="76"/>
        <v>0.94860495576849357</v>
      </c>
      <c r="H226" s="414" t="b">
        <f>Wh_hp&gt;='2026'!Maxi_hp</f>
        <v>0</v>
      </c>
      <c r="I226" s="392">
        <f>IF(H226,Wh_hp,'2026'!Maxi_hp)</f>
        <v>57.049609874150576</v>
      </c>
      <c r="J226" s="85">
        <f>IF(H226,An,'2026'!An_max)</f>
        <v>2025</v>
      </c>
      <c r="K226" s="199">
        <f t="shared" si="79"/>
        <v>46599</v>
      </c>
      <c r="L226" s="147">
        <f>IF(t&lt;Tvie,1-EXP((T0-t)*PertePVj)+'2026'!Pspv,1-EXP((T0-t)*PertePVj)+Pspv)</f>
        <v>7.362013802363998E-2</v>
      </c>
      <c r="M226" s="870"/>
      <c r="N226" s="870"/>
      <c r="O226" s="48">
        <f>IF(t&lt;Tnet,'2026'!Resal+('2026'!Salim-'2026'!Resal)*(1-EXP(('2026'!Tnet-t)/('2026'!Tau_j))),Resal+(Salim-Resal)*(1-EXP((Tnet-t)/(Tau_j))))*Salcycl</f>
        <v>5.3808653662159103E-2</v>
      </c>
      <c r="P226" s="171">
        <f>(INDEX(Models!$BJ226:$BT226,,T226)*(1-R226)+INDEX(Models!$BJ226:$BT226,,T226+1)*R226-ERP_i)*Q226*Ramure*Pc/MaxiM</f>
        <v>5.8069940623241506E-4</v>
      </c>
      <c r="Q226" s="307">
        <f t="shared" si="80"/>
        <v>1</v>
      </c>
      <c r="R226" s="179">
        <f t="shared" si="81"/>
        <v>0.18824432531159951</v>
      </c>
      <c r="S226" s="837">
        <f t="shared" si="82"/>
        <v>-1</v>
      </c>
      <c r="T226" s="178">
        <f t="shared" si="83"/>
        <v>5</v>
      </c>
      <c r="U226" s="253">
        <f t="shared" si="84"/>
        <v>-0.81175567468840049</v>
      </c>
      <c r="V226" s="385">
        <f t="shared" si="85"/>
        <v>52.682662164849162</v>
      </c>
      <c r="W226" s="404">
        <f t="shared" si="86"/>
        <v>49.977164699717974</v>
      </c>
      <c r="X226" s="157">
        <f t="shared" si="87"/>
        <v>46599</v>
      </c>
      <c r="Y226" s="387">
        <f t="shared" si="88"/>
        <v>46.019950697915036</v>
      </c>
      <c r="Z226" s="387">
        <f t="shared" si="89"/>
        <v>49.677192463721113</v>
      </c>
      <c r="AA226" s="388">
        <f t="shared" si="90"/>
        <v>56.614824598829919</v>
      </c>
      <c r="AB226" s="199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0.12254091016387594</v>
      </c>
      <c r="AD226" s="233">
        <f>(INDEX(Models!$BJ226:$BT226,,AH226)*(1-AF226)+INDEX(Models!$BJ226:$BT226,,AH226+1)*AF226-ERP_i)*AE226*Ramure*Pc/MaxiM</f>
        <v>8.186620055891233E-3</v>
      </c>
      <c r="AE226" s="307">
        <f t="shared" si="92"/>
        <v>1</v>
      </c>
      <c r="AF226" s="179">
        <f t="shared" si="93"/>
        <v>0.1232269182351704</v>
      </c>
      <c r="AG226" s="837">
        <f t="shared" si="99"/>
        <v>4</v>
      </c>
      <c r="AH226" s="178">
        <f t="shared" si="94"/>
        <v>10</v>
      </c>
      <c r="AI226" s="227">
        <f t="shared" si="95"/>
        <v>4.1232269182351704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46600</v>
      </c>
      <c r="B227" s="1139">
        <f>IF(t&gt;Tmaj,'2026'!Wh/'2026'!Env_an*'2027'!Env_an,0.001*'[10]mon-tableau (1)'!$B$208)</f>
        <v>51.88320534698645</v>
      </c>
      <c r="C227" s="866"/>
      <c r="D227" s="395">
        <f t="shared" si="77"/>
        <v>56.007707963748835</v>
      </c>
      <c r="E227" s="387">
        <f t="shared" si="75"/>
        <v>59.209073019693498</v>
      </c>
      <c r="F227" s="387">
        <f t="shared" si="78"/>
        <v>59.245539636737718</v>
      </c>
      <c r="G227" s="110">
        <f t="shared" si="76"/>
        <v>0.98799593302390709</v>
      </c>
      <c r="H227" s="414" t="b">
        <f>Wh_hp&gt;='2026'!Maxi_hp</f>
        <v>0</v>
      </c>
      <c r="I227" s="392">
        <f>IF(H227,Wh_hp,'2026'!Maxi_hp)</f>
        <v>59.246066858505245</v>
      </c>
      <c r="J227" s="85">
        <f>IF(H227,An,'2026'!An_max)</f>
        <v>2025</v>
      </c>
      <c r="K227" s="199">
        <f t="shared" si="79"/>
        <v>46600</v>
      </c>
      <c r="L227" s="147">
        <f>IF(t&lt;Tvie,1-EXP((T0-t)*PertePVj)+'2026'!Pspv,1-EXP((T0-t)*PertePVj)+Pspv)</f>
        <v>7.3641696236382059E-2</v>
      </c>
      <c r="M227" s="870"/>
      <c r="N227" s="870"/>
      <c r="O227" s="48">
        <f>IF(t&lt;Tnet,'2026'!Resal+('2026'!Salim-'2026'!Resal)*(1-EXP(('2026'!Tnet-t)/('2026'!Tau_j))),Resal+(Salim-Resal)*(1-EXP((Tnet-t)/(Tau_j))))*Salcycl</f>
        <v>5.4068825817959722E-2</v>
      </c>
      <c r="P227" s="171">
        <f>(INDEX(Models!$BJ227:$BT227,,T227)*(1-R227)+INDEX(Models!$BJ227:$BT227,,T227+1)*R227-ERP_i)*Q227*Ramure*Pc/MaxiM</f>
        <v>6.2624646841197469E-4</v>
      </c>
      <c r="Q227" s="307">
        <f t="shared" si="80"/>
        <v>1</v>
      </c>
      <c r="R227" s="179">
        <f t="shared" si="81"/>
        <v>0.19100940193173643</v>
      </c>
      <c r="S227" s="837">
        <f t="shared" si="82"/>
        <v>-1</v>
      </c>
      <c r="T227" s="178">
        <f t="shared" si="83"/>
        <v>5</v>
      </c>
      <c r="U227" s="253">
        <f t="shared" si="84"/>
        <v>-0.80899059806826357</v>
      </c>
      <c r="V227" s="385">
        <f t="shared" si="85"/>
        <v>52.513018093903732</v>
      </c>
      <c r="W227" s="404">
        <f t="shared" si="86"/>
        <v>51.88320534698645</v>
      </c>
      <c r="X227" s="157">
        <f t="shared" si="87"/>
        <v>46600</v>
      </c>
      <c r="Y227" s="387">
        <f t="shared" si="88"/>
        <v>47.734081603260158</v>
      </c>
      <c r="Z227" s="387">
        <f t="shared" si="89"/>
        <v>51.528745852793293</v>
      </c>
      <c r="AA227" s="388">
        <f t="shared" si="90"/>
        <v>58.733486952691628</v>
      </c>
      <c r="AB227" s="199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0.12266836984668678</v>
      </c>
      <c r="AD227" s="233">
        <f>(INDEX(Models!$BJ227:$BT227,,AH227)*(1-AF227)+INDEX(Models!$BJ227:$BT227,,AH227+1)*AF227-ERP_i)*AE227*Ramure*Pc/MaxiM</f>
        <v>8.7935545168854549E-3</v>
      </c>
      <c r="AE227" s="307">
        <f t="shared" si="92"/>
        <v>1</v>
      </c>
      <c r="AF227" s="179">
        <f t="shared" si="93"/>
        <v>0.12599199485530654</v>
      </c>
      <c r="AG227" s="837">
        <f t="shared" si="99"/>
        <v>4</v>
      </c>
      <c r="AH227" s="178">
        <f t="shared" si="94"/>
        <v>10</v>
      </c>
      <c r="AI227" s="227">
        <f t="shared" si="95"/>
        <v>4.1259919948553065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46601</v>
      </c>
      <c r="B228" s="1139">
        <f>IF(t&gt;Tmaj,'2026'!Wh/'2026'!Env_an*'2027'!Env_an,0.001*'[10]mon-tableau (1)'!$B$209)</f>
        <v>50.039732772911826</v>
      </c>
      <c r="C228" s="866"/>
      <c r="D228" s="395">
        <f t="shared" si="77"/>
        <v>54.018943959794306</v>
      </c>
      <c r="E228" s="387">
        <f t="shared" si="75"/>
        <v>57.122295239899053</v>
      </c>
      <c r="F228" s="387">
        <f t="shared" si="78"/>
        <v>57.158535990353414</v>
      </c>
      <c r="G228" s="110">
        <f t="shared" si="76"/>
        <v>0.95600879246712278</v>
      </c>
      <c r="H228" s="414" t="b">
        <f>Wh_hp&gt;='2026'!Maxi_hp</f>
        <v>0</v>
      </c>
      <c r="I228" s="392">
        <f>IF(H228,Wh_hp,'2026'!Maxi_hp)</f>
        <v>57.160543646014055</v>
      </c>
      <c r="J228" s="85">
        <f>IF(H228,An,'2026'!An_max)</f>
        <v>2025</v>
      </c>
      <c r="K228" s="199">
        <f t="shared" si="79"/>
        <v>46601</v>
      </c>
      <c r="L228" s="147">
        <f>IF(t&lt;Tvie,1-EXP((T0-t)*PertePVj)+'2026'!Pspv,1-EXP((T0-t)*PertePVj)+Pspv)</f>
        <v>7.3663253947433005E-2</v>
      </c>
      <c r="M228" s="870"/>
      <c r="N228" s="870"/>
      <c r="O228" s="48">
        <f>IF(t&lt;Tnet,'2026'!Resal+('2026'!Salim-'2026'!Resal)*(1-EXP(('2026'!Tnet-t)/('2026'!Tau_j))),Resal+(Salim-Resal)*(1-EXP((Tnet-t)/(Tau_j))))*Salcycl</f>
        <v>5.4328196496157333E-2</v>
      </c>
      <c r="P228" s="171">
        <f>(INDEX(Models!$BJ228:$BT228,,T228)*(1-R228)+INDEX(Models!$BJ228:$BT228,,T228+1)*R228-ERP_i)*Q228*Ramure*Pc/MaxiM</f>
        <v>6.7651520940118838E-4</v>
      </c>
      <c r="Q228" s="307">
        <f t="shared" si="80"/>
        <v>1</v>
      </c>
      <c r="R228" s="179">
        <f t="shared" si="81"/>
        <v>0.19368627625022805</v>
      </c>
      <c r="S228" s="837">
        <f t="shared" si="82"/>
        <v>-1</v>
      </c>
      <c r="T228" s="178">
        <f t="shared" si="83"/>
        <v>5</v>
      </c>
      <c r="U228" s="253">
        <f t="shared" si="84"/>
        <v>-0.80631372374977195</v>
      </c>
      <c r="V228" s="385">
        <f t="shared" si="85"/>
        <v>52.340110602322028</v>
      </c>
      <c r="W228" s="404">
        <f t="shared" si="86"/>
        <v>50.039732772911826</v>
      </c>
      <c r="X228" s="157">
        <f t="shared" si="87"/>
        <v>46601</v>
      </c>
      <c r="Y228" s="387">
        <f t="shared" si="88"/>
        <v>46.036255943698933</v>
      </c>
      <c r="Z228" s="387">
        <f t="shared" si="89"/>
        <v>49.697106521872236</v>
      </c>
      <c r="AA228" s="388">
        <f t="shared" si="90"/>
        <v>56.653919922397513</v>
      </c>
      <c r="AB228" s="199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0.12279491710466757</v>
      </c>
      <c r="AD228" s="233">
        <f>(INDEX(Models!$BJ228:$BT228,,AH228)*(1-AF228)+INDEX(Models!$BJ228:$BT228,,AH228+1)*AF228-ERP_i)*AE228*Ramure*Pc/MaxiM</f>
        <v>9.4197951367002812E-3</v>
      </c>
      <c r="AE228" s="307">
        <f t="shared" si="92"/>
        <v>1</v>
      </c>
      <c r="AF228" s="179">
        <f t="shared" si="93"/>
        <v>0.12866886917379894</v>
      </c>
      <c r="AG228" s="837">
        <f t="shared" si="99"/>
        <v>4</v>
      </c>
      <c r="AH228" s="178">
        <f t="shared" si="94"/>
        <v>10</v>
      </c>
      <c r="AI228" s="227">
        <f t="shared" si="95"/>
        <v>4.1286688691737989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46602</v>
      </c>
      <c r="B229" s="1139">
        <f>IF(t&gt;Tmaj,'2026'!Wh/'2026'!Env_an*'2027'!Env_an,0.001*'[10]mon-tableau (1)'!$B$210)</f>
        <v>48.192516406823415</v>
      </c>
      <c r="C229" s="866"/>
      <c r="D229" s="395">
        <f t="shared" si="77"/>
        <v>52.02604576419327</v>
      </c>
      <c r="E229" s="387">
        <f t="shared" si="75"/>
        <v>55.02995359349876</v>
      </c>
      <c r="F229" s="387">
        <f t="shared" si="78"/>
        <v>55.065856794473021</v>
      </c>
      <c r="G229" s="110">
        <f t="shared" si="76"/>
        <v>0.92379642592982036</v>
      </c>
      <c r="H229" s="414" t="b">
        <f>Wh_hp&gt;='2026'!Maxi_hp</f>
        <v>0</v>
      </c>
      <c r="I229" s="392">
        <f>IF(H229,Wh_hp,'2026'!Maxi_hp)</f>
        <v>57.449799256977776</v>
      </c>
      <c r="J229" s="85">
        <f>IF(H229,An,'2026'!An_max)</f>
        <v>2019</v>
      </c>
      <c r="K229" s="199">
        <f t="shared" si="79"/>
        <v>46602</v>
      </c>
      <c r="L229" s="147">
        <f>IF(t&lt;Tvie,1-EXP((T0-t)*PertePVj)+'2026'!Pspv,1-EXP((T0-t)*PertePVj)+Pspv)</f>
        <v>7.3684811156804586E-2</v>
      </c>
      <c r="M229" s="870"/>
      <c r="N229" s="870"/>
      <c r="O229" s="48">
        <f>IF(t&lt;Tnet,'2026'!Resal+('2026'!Salim-'2026'!Resal)*(1-EXP(('2026'!Tnet-t)/('2026'!Tau_j))),Resal+(Salim-Resal)*(1-EXP((Tnet-t)/(Tau_j))))*Salcycl</f>
        <v>5.4586777439339394E-2</v>
      </c>
      <c r="P229" s="171">
        <f>(INDEX(Models!$BJ229:$BT229,,T229)*(1-R229)+INDEX(Models!$BJ229:$BT229,,T229+1)*R229-ERP_i)*Q229*Ramure*Pc/MaxiM</f>
        <v>7.3156803430531275E-4</v>
      </c>
      <c r="Q229" s="307">
        <f t="shared" si="80"/>
        <v>1</v>
      </c>
      <c r="R229" s="179">
        <f t="shared" si="81"/>
        <v>0.19627694870204015</v>
      </c>
      <c r="S229" s="837">
        <f t="shared" si="82"/>
        <v>-1</v>
      </c>
      <c r="T229" s="178">
        <f t="shared" si="83"/>
        <v>5</v>
      </c>
      <c r="U229" s="253">
        <f t="shared" si="84"/>
        <v>-0.80372305129795985</v>
      </c>
      <c r="V229" s="385">
        <f t="shared" si="85"/>
        <v>52.163743221318327</v>
      </c>
      <c r="W229" s="404">
        <f t="shared" si="86"/>
        <v>48.192516406823415</v>
      </c>
      <c r="X229" s="157">
        <f t="shared" si="87"/>
        <v>46602</v>
      </c>
      <c r="Y229" s="387">
        <f t="shared" si="88"/>
        <v>44.337019219712694</v>
      </c>
      <c r="Z229" s="387">
        <f t="shared" si="89"/>
        <v>47.863858602040011</v>
      </c>
      <c r="AA229" s="388">
        <f t="shared" si="90"/>
        <v>54.571863994105023</v>
      </c>
      <c r="AB229" s="199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0.12292058399891978</v>
      </c>
      <c r="AD229" s="233">
        <f>(INDEX(Models!$BJ229:$BT229,,AH229)*(1-AF229)+INDEX(Models!$BJ229:$BT229,,AH229+1)*AF229-ERP_i)*AE229*Ramure*Pc/MaxiM</f>
        <v>1.0065657994819835E-2</v>
      </c>
      <c r="AE229" s="307">
        <f t="shared" si="92"/>
        <v>1</v>
      </c>
      <c r="AF229" s="179">
        <f t="shared" si="93"/>
        <v>0.13125954162561015</v>
      </c>
      <c r="AG229" s="837">
        <f t="shared" si="99"/>
        <v>4</v>
      </c>
      <c r="AH229" s="178">
        <f t="shared" si="94"/>
        <v>10</v>
      </c>
      <c r="AI229" s="227">
        <f t="shared" si="95"/>
        <v>4.1312595416256102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46603</v>
      </c>
      <c r="B230" s="1139">
        <f>IF(t&gt;Tmaj,'2026'!Wh/'2026'!Env_an*'2027'!Env_an,0.001*'[10]mon-tableau (1)'!$B$211)</f>
        <v>44.761396183729126</v>
      </c>
      <c r="C230" s="866"/>
      <c r="D230" s="395">
        <f t="shared" si="77"/>
        <v>48.323117671159537</v>
      </c>
      <c r="E230" s="387">
        <f t="shared" si="75"/>
        <v>51.12716550141888</v>
      </c>
      <c r="F230" s="387">
        <f t="shared" si="78"/>
        <v>51.159620193591088</v>
      </c>
      <c r="G230" s="110">
        <f t="shared" si="76"/>
        <v>0.86093031267165321</v>
      </c>
      <c r="H230" s="414" t="b">
        <f>Wh_hp&gt;='2026'!Maxi_hp</f>
        <v>0</v>
      </c>
      <c r="I230" s="392">
        <f>IF(H230,Wh_hp,'2026'!Maxi_hp)</f>
        <v>53.047340954372693</v>
      </c>
      <c r="J230" s="85">
        <f>IF(H230,An,'2026'!An_max)</f>
        <v>2019</v>
      </c>
      <c r="K230" s="199">
        <f t="shared" si="79"/>
        <v>46603</v>
      </c>
      <c r="L230" s="147">
        <f>IF(t&lt;Tvie,1-EXP((T0-t)*PertePVj)+'2026'!Pspv,1-EXP((T0-t)*PertePVj)+Pspv)</f>
        <v>7.3706367864508349E-2</v>
      </c>
      <c r="M230" s="870"/>
      <c r="N230" s="870"/>
      <c r="O230" s="48">
        <f>IF(t&lt;Tnet,'2026'!Resal+('2026'!Salim-'2026'!Resal)*(1-EXP(('2026'!Tnet-t)/('2026'!Tau_j))),Resal+(Salim-Resal)*(1-EXP((Tnet-t)/(Tau_j))))*Salcycl</f>
        <v>5.4844578273785263E-2</v>
      </c>
      <c r="P230" s="171">
        <f>(INDEX(Models!$BJ230:$BT230,,T230)*(1-R230)+INDEX(Models!$BJ230:$BT230,,T230+1)*R230-ERP_i)*Q230*Ramure*Pc/MaxiM</f>
        <v>7.91470135159378E-4</v>
      </c>
      <c r="Q230" s="307">
        <f t="shared" si="80"/>
        <v>1</v>
      </c>
      <c r="R230" s="179">
        <f t="shared" si="81"/>
        <v>0.19878343385058761</v>
      </c>
      <c r="S230" s="837">
        <f t="shared" si="82"/>
        <v>-1</v>
      </c>
      <c r="T230" s="178">
        <f t="shared" si="83"/>
        <v>5</v>
      </c>
      <c r="U230" s="253">
        <f t="shared" si="84"/>
        <v>-0.80121656614941239</v>
      </c>
      <c r="V230" s="385">
        <f t="shared" si="85"/>
        <v>51.983719859209017</v>
      </c>
      <c r="W230" s="404">
        <f t="shared" si="86"/>
        <v>44.761396183729126</v>
      </c>
      <c r="X230" s="157">
        <f t="shared" si="87"/>
        <v>46603</v>
      </c>
      <c r="Y230" s="387">
        <f t="shared" si="88"/>
        <v>41.200392161534246</v>
      </c>
      <c r="Z230" s="387">
        <f t="shared" si="89"/>
        <v>44.478760008908004</v>
      </c>
      <c r="AA230" s="388">
        <f t="shared" si="90"/>
        <v>50.719569602622663</v>
      </c>
      <c r="AB230" s="199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0.12304539732119407</v>
      </c>
      <c r="AD230" s="233">
        <f>(INDEX(Models!$BJ230:$BT230,,AH230)*(1-AF230)+INDEX(Models!$BJ230:$BT230,,AH230+1)*AF230-ERP_i)*AE230*Ramure*Pc/MaxiM</f>
        <v>1.0731480639616072E-2</v>
      </c>
      <c r="AE230" s="307">
        <f t="shared" si="92"/>
        <v>1</v>
      </c>
      <c r="AF230" s="179">
        <f t="shared" si="93"/>
        <v>0.13376602677415761</v>
      </c>
      <c r="AG230" s="837">
        <f t="shared" si="99"/>
        <v>4</v>
      </c>
      <c r="AH230" s="178">
        <f t="shared" si="94"/>
        <v>10</v>
      </c>
      <c r="AI230" s="227">
        <f t="shared" si="95"/>
        <v>4.1337660267741576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46604</v>
      </c>
      <c r="B231" s="1139">
        <f>IF(t&gt;Tmaj,'2026'!Wh/'2026'!Env_an*'2027'!Env_an,0.001*'[10]mon-tableau (1)'!$B$212)</f>
        <v>43.806720070147989</v>
      </c>
      <c r="C231" s="866"/>
      <c r="D231" s="395">
        <f t="shared" si="77"/>
        <v>47.293577350036443</v>
      </c>
      <c r="E231" s="387">
        <f t="shared" si="75"/>
        <v>50.05149514176788</v>
      </c>
      <c r="F231" s="387">
        <f t="shared" si="78"/>
        <v>50.084928304344636</v>
      </c>
      <c r="G231" s="110">
        <f t="shared" si="76"/>
        <v>0.84553237076185472</v>
      </c>
      <c r="H231" s="414" t="b">
        <f>Wh_hp&gt;='2026'!Maxi_hp</f>
        <v>0</v>
      </c>
      <c r="I231" s="392">
        <f>IF(H231,Wh_hp,'2026'!Maxi_hp)</f>
        <v>58.00298989323845</v>
      </c>
      <c r="J231" s="85">
        <f>IF(H231,An,'2026'!An_max)</f>
        <v>2020</v>
      </c>
      <c r="K231" s="199">
        <f t="shared" si="79"/>
        <v>46604</v>
      </c>
      <c r="L231" s="147">
        <f>IF(t&lt;Tvie,1-EXP((T0-t)*PertePVj)+'2026'!Pspv,1-EXP((T0-t)*PertePVj)+Pspv)</f>
        <v>7.3727924070556061E-2</v>
      </c>
      <c r="M231" s="870"/>
      <c r="N231" s="870"/>
      <c r="O231" s="48">
        <f>IF(t&lt;Tnet,'2026'!Resal+('2026'!Salim-'2026'!Resal)*(1-EXP(('2026'!Tnet-t)/('2026'!Tau_j))),Resal+(Salim-Resal)*(1-EXP((Tnet-t)/(Tau_j))))*Salcycl</f>
        <v>5.51016065338268E-2</v>
      </c>
      <c r="P231" s="171">
        <f>(INDEX(Models!$BJ231:$BT231,,T231)*(1-R231)+INDEX(Models!$BJ231:$BT231,,T231+1)*R231-ERP_i)*Q231*Ramure*Pc/MaxiM</f>
        <v>8.5628979612934852E-4</v>
      </c>
      <c r="Q231" s="307">
        <f t="shared" si="80"/>
        <v>1</v>
      </c>
      <c r="R231" s="179">
        <f t="shared" si="81"/>
        <v>0.20120775501368693</v>
      </c>
      <c r="S231" s="837">
        <f t="shared" si="82"/>
        <v>-1</v>
      </c>
      <c r="T231" s="178">
        <f t="shared" si="83"/>
        <v>5</v>
      </c>
      <c r="U231" s="253">
        <f t="shared" si="84"/>
        <v>-0.79879224498631307</v>
      </c>
      <c r="V231" s="385">
        <f t="shared" si="85"/>
        <v>51.799844793360649</v>
      </c>
      <c r="W231" s="404">
        <f t="shared" si="86"/>
        <v>43.806720070147989</v>
      </c>
      <c r="X231" s="157">
        <f t="shared" si="87"/>
        <v>46604</v>
      </c>
      <c r="Y231" s="387">
        <f t="shared" si="88"/>
        <v>40.316098258034749</v>
      </c>
      <c r="Z231" s="387">
        <f t="shared" si="89"/>
        <v>43.525114602618885</v>
      </c>
      <c r="AA231" s="388">
        <f t="shared" si="90"/>
        <v>49.639136165852733</v>
      </c>
      <c r="AB231" s="199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0.12316937874998213</v>
      </c>
      <c r="AD231" s="233">
        <f>(INDEX(Models!$BJ231:$BT231,,AH231)*(1-AF231)+INDEX(Models!$BJ231:$BT231,,AH231+1)*AF231-ERP_i)*AE231*Ramure*Pc/MaxiM</f>
        <v>1.1417623400386368E-2</v>
      </c>
      <c r="AE231" s="307">
        <f t="shared" si="92"/>
        <v>1</v>
      </c>
      <c r="AF231" s="179">
        <f t="shared" si="93"/>
        <v>0.13619034793725771</v>
      </c>
      <c r="AG231" s="837">
        <f t="shared" si="99"/>
        <v>4</v>
      </c>
      <c r="AH231" s="178">
        <f t="shared" si="94"/>
        <v>10</v>
      </c>
      <c r="AI231" s="227">
        <f t="shared" si="95"/>
        <v>4.1361903479372577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46605</v>
      </c>
      <c r="B232" s="1139">
        <f>IF(t&gt;Tmaj,'2026'!Wh/'2026'!Env_an*'2027'!Env_an,0.001*'[10]mon-tableau (1)'!$B$213)</f>
        <v>46.435188283645701</v>
      </c>
      <c r="C232" s="866"/>
      <c r="D232" s="395">
        <f t="shared" si="77"/>
        <v>50.132428829690546</v>
      </c>
      <c r="E232" s="387">
        <f t="shared" si="75"/>
        <v>53.070286741951385</v>
      </c>
      <c r="F232" s="387">
        <f t="shared" si="78"/>
        <v>53.112426167209279</v>
      </c>
      <c r="G232" s="110">
        <f t="shared" si="76"/>
        <v>0.89957938271791948</v>
      </c>
      <c r="H232" s="414" t="b">
        <f>Wh_hp&gt;='2026'!Maxi_hp</f>
        <v>0</v>
      </c>
      <c r="I232" s="392">
        <f>IF(H232,Wh_hp,'2026'!Maxi_hp)</f>
        <v>57.070736386069342</v>
      </c>
      <c r="J232" s="85">
        <f>IF(H232,An,'2026'!An_max)</f>
        <v>2020</v>
      </c>
      <c r="K232" s="199">
        <f t="shared" si="79"/>
        <v>46605</v>
      </c>
      <c r="L232" s="147">
        <f>IF(t&lt;Tvie,1-EXP((T0-t)*PertePVj)+'2026'!Pspv,1-EXP((T0-t)*PertePVj)+Pspv)</f>
        <v>7.374947977495927E-2</v>
      </c>
      <c r="M232" s="870"/>
      <c r="N232" s="870"/>
      <c r="O232" s="48">
        <f>IF(t&lt;Tnet,'2026'!Resal+('2026'!Salim-'2026'!Resal)*(1-EXP(('2026'!Tnet-t)/('2026'!Tau_j))),Resal+(Salim-Resal)*(1-EXP((Tnet-t)/(Tau_j))))*Salcycl</f>
        <v>5.5357867699977949E-2</v>
      </c>
      <c r="P232" s="171">
        <f>(INDEX(Models!$BJ232:$BT232,,T232)*(1-R232)+INDEX(Models!$BJ232:$BT232,,T232+1)*R232-ERP_i)*Q232*Ramure*Pc/MaxiM</f>
        <v>9.2609871160702286E-4</v>
      </c>
      <c r="Q232" s="307">
        <f t="shared" si="80"/>
        <v>1</v>
      </c>
      <c r="R232" s="179">
        <f t="shared" si="81"/>
        <v>0.20355193924703108</v>
      </c>
      <c r="S232" s="837">
        <f t="shared" si="82"/>
        <v>-1</v>
      </c>
      <c r="T232" s="178">
        <f t="shared" si="83"/>
        <v>5</v>
      </c>
      <c r="U232" s="253">
        <f t="shared" si="84"/>
        <v>-0.79644806075296892</v>
      </c>
      <c r="V232" s="385">
        <f t="shared" si="85"/>
        <v>51.61192265659318</v>
      </c>
      <c r="W232" s="404">
        <f t="shared" si="86"/>
        <v>46.435188283645701</v>
      </c>
      <c r="X232" s="157">
        <f t="shared" si="87"/>
        <v>46605</v>
      </c>
      <c r="Y232" s="387">
        <f t="shared" si="88"/>
        <v>42.681985526836414</v>
      </c>
      <c r="Z232" s="387">
        <f t="shared" si="89"/>
        <v>46.080390342416706</v>
      </c>
      <c r="AA232" s="388">
        <f t="shared" si="90"/>
        <v>52.560737428807926</v>
      </c>
      <c r="AB232" s="199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0.12329254503266179</v>
      </c>
      <c r="AD232" s="233">
        <f>(INDEX(Models!$BJ232:$BT232,,AH232)*(1-AF232)+INDEX(Models!$BJ232:$BT232,,AH232+1)*AF232-ERP_i)*AE232*Ramure*Pc/MaxiM</f>
        <v>1.2124470770892794E-2</v>
      </c>
      <c r="AE232" s="307">
        <f t="shared" si="92"/>
        <v>1</v>
      </c>
      <c r="AF232" s="179">
        <f t="shared" si="93"/>
        <v>0.13853453217060174</v>
      </c>
      <c r="AG232" s="837">
        <f t="shared" si="99"/>
        <v>4</v>
      </c>
      <c r="AH232" s="178">
        <f t="shared" si="94"/>
        <v>10</v>
      </c>
      <c r="AI232" s="227">
        <f t="shared" si="95"/>
        <v>4.1385345321706017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46606</v>
      </c>
      <c r="B233" s="1139">
        <f>IF(t&gt;Tmaj,'2026'!Wh/'2026'!Env_an*'2027'!Env_an,0.001*'[10]mon-tableau (1)'!$B$214)</f>
        <v>49.439751888313253</v>
      </c>
      <c r="C233" s="866"/>
      <c r="D233" s="395">
        <f t="shared" si="77"/>
        <v>53.377462544722441</v>
      </c>
      <c r="E233" s="387">
        <f t="shared" ref="E233:E296" si="100">Wh_pvt/(1-Psa)</f>
        <v>56.520772934087297</v>
      </c>
      <c r="F233" s="387">
        <f t="shared" si="78"/>
        <v>56.574283621495546</v>
      </c>
      <c r="G233" s="110">
        <f t="shared" ref="G233:G296" si="101">+Wh_hp/MaxiM</f>
        <v>0.96141497973611245</v>
      </c>
      <c r="H233" s="414" t="b">
        <f>Wh_hp&gt;='2026'!Maxi_hp</f>
        <v>0</v>
      </c>
      <c r="I233" s="392">
        <f>IF(H233,Wh_hp,'2026'!Maxi_hp)</f>
        <v>56.576821568015099</v>
      </c>
      <c r="J233" s="85">
        <f>IF(H233,An,'2026'!An_max)</f>
        <v>2025</v>
      </c>
      <c r="K233" s="199">
        <f t="shared" si="79"/>
        <v>46606</v>
      </c>
      <c r="L233" s="147">
        <f>IF(t&lt;Tvie,1-EXP((T0-t)*PertePVj)+'2026'!Pspv,1-EXP((T0-t)*PertePVj)+Pspv)</f>
        <v>7.3771034977729855E-2</v>
      </c>
      <c r="M233" s="870"/>
      <c r="N233" s="870"/>
      <c r="O233" s="48">
        <f>IF(t&lt;Tnet,'2026'!Resal+('2026'!Salim-'2026'!Resal)*(1-EXP(('2026'!Tnet-t)/('2026'!Tau_j))),Resal+(Salim-Resal)*(1-EXP((Tnet-t)/(Tau_j))))*Salcycl</f>
        <v>5.5613365249454143E-2</v>
      </c>
      <c r="P233" s="171">
        <f>(INDEX(Models!$BJ233:$BT233,,T233)*(1-R233)+INDEX(Models!$BJ233:$BT233,,T233+1)*R233-ERP_i)*Q233*Ramure*Pc/MaxiM</f>
        <v>1.0009460373622936E-3</v>
      </c>
      <c r="Q233" s="307">
        <f t="shared" si="80"/>
        <v>1</v>
      </c>
      <c r="R233" s="179">
        <f t="shared" si="81"/>
        <v>0.20581801267842015</v>
      </c>
      <c r="S233" s="837">
        <f t="shared" si="82"/>
        <v>-1</v>
      </c>
      <c r="T233" s="178">
        <f t="shared" si="83"/>
        <v>5</v>
      </c>
      <c r="U233" s="253">
        <f t="shared" si="84"/>
        <v>-0.79418198732157985</v>
      </c>
      <c r="V233" s="385">
        <f t="shared" si="85"/>
        <v>51.421109854367643</v>
      </c>
      <c r="W233" s="404">
        <f t="shared" si="86"/>
        <v>49.439751888313253</v>
      </c>
      <c r="X233" s="157">
        <f t="shared" si="87"/>
        <v>46606</v>
      </c>
      <c r="Y233" s="387">
        <f t="shared" si="88"/>
        <v>45.375859160195525</v>
      </c>
      <c r="Z233" s="387">
        <f t="shared" si="89"/>
        <v>48.989894371425223</v>
      </c>
      <c r="AA233" s="388">
        <f t="shared" si="90"/>
        <v>55.887209158749904</v>
      </c>
      <c r="AB233" s="199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0.12341490819003993</v>
      </c>
      <c r="AD233" s="233">
        <f>(INDEX(Models!$BJ233:$BT233,,AH233)*(1-AF233)+INDEX(Models!$BJ233:$BT233,,AH233+1)*AF233-ERP_i)*AE233*Ramure*Pc/MaxiM</f>
        <v>1.2852095425560062E-2</v>
      </c>
      <c r="AE233" s="307">
        <f t="shared" si="92"/>
        <v>1</v>
      </c>
      <c r="AF233" s="179">
        <f t="shared" si="93"/>
        <v>0.14080060560199037</v>
      </c>
      <c r="AG233" s="837">
        <f t="shared" si="99"/>
        <v>4</v>
      </c>
      <c r="AH233" s="178">
        <f t="shared" si="94"/>
        <v>10</v>
      </c>
      <c r="AI233" s="227">
        <f t="shared" si="95"/>
        <v>4.1408006056019904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46607</v>
      </c>
      <c r="B234" s="1139">
        <f>IF(t&gt;Tmaj,'2026'!Wh/'2026'!Env_an*'2027'!Env_an,0.001*'[10]mon-tableau (1)'!$B$215)</f>
        <v>50.127171628405534</v>
      </c>
      <c r="C234" s="866"/>
      <c r="D234" s="395">
        <f t="shared" si="77"/>
        <v>54.120892437068925</v>
      </c>
      <c r="E234" s="387">
        <f t="shared" si="100"/>
        <v>57.323444402422496</v>
      </c>
      <c r="F234" s="387">
        <f t="shared" si="78"/>
        <v>57.383646870762654</v>
      </c>
      <c r="G234" s="110">
        <f t="shared" si="101"/>
        <v>0.97847188242891014</v>
      </c>
      <c r="H234" s="414" t="b">
        <f>Wh_hp&gt;='2026'!Maxi_hp</f>
        <v>0</v>
      </c>
      <c r="I234" s="392">
        <f>IF(H234,Wh_hp,'2026'!Maxi_hp)</f>
        <v>57.385195071154868</v>
      </c>
      <c r="J234" s="85">
        <f>IF(H234,An,'2026'!An_max)</f>
        <v>2025</v>
      </c>
      <c r="K234" s="199">
        <f t="shared" si="79"/>
        <v>46607</v>
      </c>
      <c r="L234" s="147">
        <f>IF(t&lt;Tvie,1-EXP((T0-t)*PertePVj)+'2026'!Pspv,1-EXP((T0-t)*PertePVj)+Pspv)</f>
        <v>7.3792589678879361E-2</v>
      </c>
      <c r="M234" s="870"/>
      <c r="N234" s="870"/>
      <c r="O234" s="48">
        <f>IF(t&lt;Tnet,'2026'!Resal+('2026'!Salim-'2026'!Resal)*(1-EXP(('2026'!Tnet-t)/('2026'!Tau_j))),Resal+(Salim-Resal)*(1-EXP((Tnet-t)/(Tau_j))))*Salcycl</f>
        <v>5.5868100717587514E-2</v>
      </c>
      <c r="P234" s="171">
        <f>(INDEX(Models!$BJ234:$BT234,,T234)*(1-R234)+INDEX(Models!$BJ234:$BT234,,T234+1)*R234-ERP_i)*Q234*Ramure*Pc/MaxiM</f>
        <v>1.0823594151812938E-3</v>
      </c>
      <c r="Q234" s="307">
        <f t="shared" si="80"/>
        <v>1</v>
      </c>
      <c r="R234" s="179">
        <f t="shared" si="81"/>
        <v>0.20800799618451027</v>
      </c>
      <c r="S234" s="837">
        <f t="shared" si="82"/>
        <v>-1</v>
      </c>
      <c r="T234" s="178">
        <f t="shared" si="83"/>
        <v>5</v>
      </c>
      <c r="U234" s="253">
        <f t="shared" si="84"/>
        <v>-0.79199200381548973</v>
      </c>
      <c r="V234" s="385">
        <f t="shared" si="85"/>
        <v>51.228353824327755</v>
      </c>
      <c r="W234" s="404">
        <f t="shared" si="86"/>
        <v>50.127171628405534</v>
      </c>
      <c r="X234" s="157">
        <f t="shared" si="87"/>
        <v>46607</v>
      </c>
      <c r="Y234" s="387">
        <f t="shared" si="88"/>
        <v>45.969764347005373</v>
      </c>
      <c r="Z234" s="387">
        <f t="shared" si="89"/>
        <v>49.632257132414253</v>
      </c>
      <c r="AA234" s="388">
        <f t="shared" si="90"/>
        <v>56.627863862663823</v>
      </c>
      <c r="AB234" s="199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0.12353647573949812</v>
      </c>
      <c r="AD234" s="233">
        <f>(INDEX(Models!$BJ234:$BT234,,AH234)*(1-AF234)+INDEX(Models!$BJ234:$BT234,,AH234+1)*AF234-ERP_i)*AE234*Ramure*Pc/MaxiM</f>
        <v>1.3587962042150186E-2</v>
      </c>
      <c r="AE234" s="307">
        <f t="shared" si="92"/>
        <v>1</v>
      </c>
      <c r="AF234" s="179">
        <f t="shared" si="93"/>
        <v>0.14299058910808071</v>
      </c>
      <c r="AG234" s="837">
        <f t="shared" si="99"/>
        <v>4</v>
      </c>
      <c r="AH234" s="178">
        <f t="shared" si="94"/>
        <v>10</v>
      </c>
      <c r="AI234" s="227">
        <f t="shared" si="95"/>
        <v>4.1429905891080807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46608</v>
      </c>
      <c r="B235" s="1139">
        <f>IF(t&gt;Tmaj,'2026'!Wh/'2026'!Env_an*'2027'!Env_an,0.001*'[10]mon-tableau (1)'!$B$216)</f>
        <v>48.205454241172539</v>
      </c>
      <c r="C235" s="866"/>
      <c r="D235" s="395">
        <f t="shared" si="77"/>
        <v>52.04727962812315</v>
      </c>
      <c r="E235" s="387">
        <f t="shared" si="100"/>
        <v>55.141960821065481</v>
      </c>
      <c r="F235" s="387">
        <f t="shared" si="78"/>
        <v>55.201383288396869</v>
      </c>
      <c r="G235" s="110">
        <f t="shared" si="101"/>
        <v>0.94450010664690909</v>
      </c>
      <c r="H235" s="414" t="b">
        <f>Wh_hp&gt;='2026'!Maxi_hp</f>
        <v>0</v>
      </c>
      <c r="I235" s="392">
        <f>IF(H235,Wh_hp,'2026'!Maxi_hp)</f>
        <v>56.476341657102651</v>
      </c>
      <c r="J235" s="85">
        <f>IF(H235,An,'2026'!An_max)</f>
        <v>2021</v>
      </c>
      <c r="K235" s="199">
        <f t="shared" si="79"/>
        <v>46608</v>
      </c>
      <c r="L235" s="147">
        <f>IF(t&lt;Tvie,1-EXP((T0-t)*PertePVj)+'2026'!Pspv,1-EXP((T0-t)*PertePVj)+Pspv)</f>
        <v>7.3814143878419447E-2</v>
      </c>
      <c r="M235" s="870"/>
      <c r="N235" s="870"/>
      <c r="O235" s="48">
        <f>IF(t&lt;Tnet,'2026'!Resal+('2026'!Salim-'2026'!Resal)*(1-EXP(('2026'!Tnet-t)/('2026'!Tau_j))),Resal+(Salim-Resal)*(1-EXP((Tnet-t)/(Tau_j))))*Salcycl</f>
        <v>5.612207376855001E-2</v>
      </c>
      <c r="P235" s="171">
        <f>(INDEX(Models!$BJ235:$BT235,,T235)*(1-R235)+INDEX(Models!$BJ235:$BT235,,T235+1)*R235-ERP_i)*Q235*Ramure*Pc/MaxiM</f>
        <v>1.1690061739452915E-3</v>
      </c>
      <c r="Q235" s="307">
        <f t="shared" si="80"/>
        <v>1</v>
      </c>
      <c r="R235" s="179">
        <f t="shared" si="81"/>
        <v>0.2101239014005899</v>
      </c>
      <c r="S235" s="837">
        <f t="shared" si="82"/>
        <v>-1</v>
      </c>
      <c r="T235" s="178">
        <f t="shared" si="83"/>
        <v>5</v>
      </c>
      <c r="U235" s="253">
        <f t="shared" si="84"/>
        <v>-0.7898760985994101</v>
      </c>
      <c r="V235" s="385">
        <f t="shared" si="85"/>
        <v>51.033333084611108</v>
      </c>
      <c r="W235" s="404">
        <f t="shared" si="86"/>
        <v>48.205454241172539</v>
      </c>
      <c r="X235" s="157">
        <f t="shared" si="87"/>
        <v>46608</v>
      </c>
      <c r="Y235" s="387">
        <f t="shared" si="88"/>
        <v>44.214004048125524</v>
      </c>
      <c r="Z235" s="387">
        <f t="shared" si="89"/>
        <v>47.737723218180463</v>
      </c>
      <c r="AA235" s="388">
        <f t="shared" si="90"/>
        <v>54.473804078366172</v>
      </c>
      <c r="AB235" s="199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0.12365725093285503</v>
      </c>
      <c r="AD235" s="233">
        <f>(INDEX(Models!$BJ235:$BT235,,AH235)*(1-AF235)+INDEX(Models!$BJ235:$BT235,,AH235+1)*AF235-ERP_i)*AE235*Ramure*Pc/MaxiM</f>
        <v>1.4313518552112922E-2</v>
      </c>
      <c r="AE235" s="307">
        <f t="shared" si="92"/>
        <v>1</v>
      </c>
      <c r="AF235" s="179">
        <f t="shared" si="93"/>
        <v>0.14510649432416045</v>
      </c>
      <c r="AG235" s="837">
        <f t="shared" si="99"/>
        <v>4</v>
      </c>
      <c r="AH235" s="178">
        <f t="shared" si="94"/>
        <v>10</v>
      </c>
      <c r="AI235" s="227">
        <f t="shared" si="95"/>
        <v>4.1451064943241605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46609</v>
      </c>
      <c r="B236" s="1139">
        <f>IF(t&gt;Tmaj,'2026'!Wh/'2026'!Env_an*'2027'!Env_an,0.001*'[10]mon-tableau (1)'!$B$217)</f>
        <v>46.415735985202311</v>
      </c>
      <c r="C236" s="866"/>
      <c r="D236" s="395">
        <f t="shared" si="77"/>
        <v>50.116092645483135</v>
      </c>
      <c r="E236" s="387">
        <f t="shared" si="100"/>
        <v>53.110194873064565</v>
      </c>
      <c r="F236" s="387">
        <f t="shared" si="78"/>
        <v>53.168911463016599</v>
      </c>
      <c r="G236" s="110">
        <f t="shared" si="101"/>
        <v>0.91291159689493373</v>
      </c>
      <c r="H236" s="414" t="b">
        <f>Wh_hp&gt;='2026'!Maxi_hp</f>
        <v>0</v>
      </c>
      <c r="I236" s="392">
        <f>IF(H236,Wh_hp,'2026'!Maxi_hp)</f>
        <v>53.175631642322202</v>
      </c>
      <c r="J236" s="85">
        <f>IF(H236,An,'2026'!An_max)</f>
        <v>2025</v>
      </c>
      <c r="K236" s="199">
        <f t="shared" si="79"/>
        <v>46609</v>
      </c>
      <c r="L236" s="147">
        <f>IF(t&lt;Tvie,1-EXP((T0-t)*PertePVj)+'2026'!Pspv,1-EXP((T0-t)*PertePVj)+Pspv)</f>
        <v>7.3835697576361881E-2</v>
      </c>
      <c r="M236" s="870"/>
      <c r="N236" s="870"/>
      <c r="O236" s="48">
        <f>IF(t&lt;Tnet,'2026'!Resal+('2026'!Salim-'2026'!Resal)*(1-EXP(('2026'!Tnet-t)/('2026'!Tau_j))),Resal+(Salim-Resal)*(1-EXP((Tnet-t)/(Tau_j))))*Salcycl</f>
        <v>5.6375282273722578E-2</v>
      </c>
      <c r="P236" s="171">
        <f>(INDEX(Models!$BJ236:$BT236,,T236)*(1-R236)+INDEX(Models!$BJ236:$BT236,,T236+1)*R236-ERP_i)*Q236*Ramure*Pc/MaxiM</f>
        <v>1.2609615055293084E-3</v>
      </c>
      <c r="Q236" s="307">
        <f t="shared" si="80"/>
        <v>1</v>
      </c>
      <c r="R236" s="179">
        <f t="shared" si="81"/>
        <v>0.21216772705284581</v>
      </c>
      <c r="S236" s="837">
        <f t="shared" si="82"/>
        <v>-1</v>
      </c>
      <c r="T236" s="178">
        <f t="shared" si="83"/>
        <v>5</v>
      </c>
      <c r="U236" s="253">
        <f t="shared" si="84"/>
        <v>-0.78783227294715419</v>
      </c>
      <c r="V236" s="385">
        <f t="shared" si="85"/>
        <v>50.835654222647854</v>
      </c>
      <c r="W236" s="404">
        <f t="shared" si="86"/>
        <v>46.415735985202311</v>
      </c>
      <c r="X236" s="157">
        <f t="shared" si="87"/>
        <v>46609</v>
      </c>
      <c r="Y236" s="387">
        <f t="shared" si="88"/>
        <v>42.580050474344091</v>
      </c>
      <c r="Z236" s="387">
        <f t="shared" si="89"/>
        <v>45.974618502266019</v>
      </c>
      <c r="AA236" s="388">
        <f t="shared" si="90"/>
        <v>52.469098309253376</v>
      </c>
      <c r="AB236" s="199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0.12377723300501237</v>
      </c>
      <c r="AD236" s="233">
        <f>(INDEX(Models!$BJ236:$BT236,,AH236)*(1-AF236)+INDEX(Models!$BJ236:$BT236,,AH236+1)*AF236-ERP_i)*AE236*Ramure*Pc/MaxiM</f>
        <v>1.5028758459566754E-2</v>
      </c>
      <c r="AE236" s="307">
        <f t="shared" si="92"/>
        <v>1</v>
      </c>
      <c r="AF236" s="179">
        <f t="shared" si="93"/>
        <v>0.14715031997641592</v>
      </c>
      <c r="AG236" s="837">
        <f t="shared" si="99"/>
        <v>4</v>
      </c>
      <c r="AH236" s="178">
        <f t="shared" si="94"/>
        <v>10</v>
      </c>
      <c r="AI236" s="227">
        <f t="shared" si="95"/>
        <v>4.1471503199764159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46610</v>
      </c>
      <c r="B237" s="1139">
        <f>IF(t&gt;Tmaj,'2026'!Wh/'2026'!Env_an*'2027'!Env_an,0.001*'[10]mon-tableau (1)'!$B$218)</f>
        <v>42.044870743073758</v>
      </c>
      <c r="C237" s="866"/>
      <c r="D237" s="395">
        <f t="shared" si="77"/>
        <v>45.397829630641162</v>
      </c>
      <c r="E237" s="387">
        <f t="shared" si="100"/>
        <v>48.122921044429582</v>
      </c>
      <c r="F237" s="387">
        <f t="shared" si="78"/>
        <v>48.172496179081982</v>
      </c>
      <c r="G237" s="110">
        <f t="shared" si="101"/>
        <v>0.83007956070362454</v>
      </c>
      <c r="H237" s="414" t="b">
        <f>Wh_hp&gt;='2026'!Maxi_hp</f>
        <v>0</v>
      </c>
      <c r="I237" s="392">
        <f>IF(H237,Wh_hp,'2026'!Maxi_hp)</f>
        <v>51.445554600155653</v>
      </c>
      <c r="J237" s="85">
        <f>IF(H237,An,'2026'!An_max)</f>
        <v>2021</v>
      </c>
      <c r="K237" s="199">
        <f t="shared" si="79"/>
        <v>46610</v>
      </c>
      <c r="L237" s="147">
        <f>IF(t&lt;Tvie,1-EXP((T0-t)*PertePVj)+'2026'!Pspv,1-EXP((T0-t)*PertePVj)+Pspv)</f>
        <v>7.3857250772718208E-2</v>
      </c>
      <c r="M237" s="870"/>
      <c r="N237" s="870"/>
      <c r="O237" s="48">
        <f>IF(t&lt;Tnet,'2026'!Resal+('2026'!Salim-'2026'!Resal)*(1-EXP(('2026'!Tnet-t)/('2026'!Tau_j))),Resal+(Salim-Resal)*(1-EXP((Tnet-t)/(Tau_j))))*Salcycl</f>
        <v>5.6627722395996526E-2</v>
      </c>
      <c r="P237" s="171">
        <f>(INDEX(Models!$BJ237:$BT237,,T237)*(1-R237)+INDEX(Models!$BJ237:$BT237,,T237+1)*R237-ERP_i)*Q237*Ramure*Pc/MaxiM</f>
        <v>1.3583059711856961E-3</v>
      </c>
      <c r="Q237" s="307">
        <f t="shared" si="80"/>
        <v>1</v>
      </c>
      <c r="R237" s="179">
        <f t="shared" si="81"/>
        <v>0.21414145560172537</v>
      </c>
      <c r="S237" s="837">
        <f t="shared" si="82"/>
        <v>-1</v>
      </c>
      <c r="T237" s="178">
        <f t="shared" si="83"/>
        <v>5</v>
      </c>
      <c r="U237" s="253">
        <f t="shared" si="84"/>
        <v>-0.78585854439827463</v>
      </c>
      <c r="V237" s="385">
        <f t="shared" si="85"/>
        <v>50.634924369461082</v>
      </c>
      <c r="W237" s="404">
        <f t="shared" si="86"/>
        <v>42.044870743073758</v>
      </c>
      <c r="X237" s="157">
        <f t="shared" si="87"/>
        <v>46610</v>
      </c>
      <c r="Y237" s="387">
        <f t="shared" si="88"/>
        <v>38.621077337872926</v>
      </c>
      <c r="Z237" s="387">
        <f t="shared" si="89"/>
        <v>41.700998436899759</v>
      </c>
      <c r="AA237" s="388">
        <f t="shared" si="90"/>
        <v>47.598251241646793</v>
      </c>
      <c r="AB237" s="199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0.12389641742945272</v>
      </c>
      <c r="AD237" s="233">
        <f>(INDEX(Models!$BJ237:$BT237,,AH237)*(1-AF237)+INDEX(Models!$BJ237:$BT237,,AH237+1)*AF237-ERP_i)*AE237*Ramure*Pc/MaxiM</f>
        <v>1.57337006325932E-2</v>
      </c>
      <c r="AE237" s="307">
        <f t="shared" si="92"/>
        <v>1</v>
      </c>
      <c r="AF237" s="179">
        <f t="shared" si="93"/>
        <v>0.14912404852529626</v>
      </c>
      <c r="AG237" s="837">
        <f t="shared" si="99"/>
        <v>4</v>
      </c>
      <c r="AH237" s="178">
        <f t="shared" si="94"/>
        <v>10</v>
      </c>
      <c r="AI237" s="227">
        <f t="shared" si="95"/>
        <v>4.1491240485252963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46611</v>
      </c>
      <c r="B238" s="1139">
        <f>IF(t&gt;Tmaj,'2026'!Wh/'2026'!Env_an*'2027'!Env_an,0.001*'[10]mon-tableau (1)'!$B$219)</f>
        <v>44.700251363182609</v>
      </c>
      <c r="C238" s="866"/>
      <c r="D238" s="395">
        <f t="shared" si="77"/>
        <v>48.266092527139314</v>
      </c>
      <c r="E238" s="387">
        <f t="shared" si="100"/>
        <v>51.177009544406829</v>
      </c>
      <c r="F238" s="387">
        <f t="shared" si="78"/>
        <v>51.239723961020431</v>
      </c>
      <c r="G238" s="110">
        <f t="shared" si="101"/>
        <v>0.88615844697599178</v>
      </c>
      <c r="H238" s="414" t="b">
        <f>Wh_hp&gt;='2026'!Maxi_hp</f>
        <v>0</v>
      </c>
      <c r="I238" s="392">
        <f>IF(H238,Wh_hp,'2026'!Maxi_hp)</f>
        <v>51.249478040919371</v>
      </c>
      <c r="J238" s="85">
        <f>IF(H238,An,'2026'!An_max)</f>
        <v>2025</v>
      </c>
      <c r="K238" s="199">
        <f t="shared" si="79"/>
        <v>46611</v>
      </c>
      <c r="L238" s="147">
        <f>IF(t&lt;Tvie,1-EXP((T0-t)*PertePVj)+'2026'!Pspv,1-EXP((T0-t)*PertePVj)+Pspv)</f>
        <v>7.3878803467500198E-2</v>
      </c>
      <c r="M238" s="870"/>
      <c r="N238" s="870"/>
      <c r="O238" s="48">
        <f>IF(t&lt;Tnet,'2026'!Resal+('2026'!Salim-'2026'!Resal)*(1-EXP(('2026'!Tnet-t)/('2026'!Tau_j))),Resal+(Salim-Resal)*(1-EXP((Tnet-t)/(Tau_j))))*Salcycl</f>
        <v>5.6879388678263462E-2</v>
      </c>
      <c r="P238" s="171">
        <f>(INDEX(Models!$BJ238:$BT238,,T238)*(1-R238)+INDEX(Models!$BJ238:$BT238,,T238+1)*R238-ERP_i)*Q238*Ramure*Pc/MaxiM</f>
        <v>1.4611260686546023E-3</v>
      </c>
      <c r="Q238" s="307">
        <f t="shared" si="80"/>
        <v>1</v>
      </c>
      <c r="R238" s="179">
        <f t="shared" si="81"/>
        <v>0.21604705018431791</v>
      </c>
      <c r="S238" s="837">
        <f t="shared" si="82"/>
        <v>-1</v>
      </c>
      <c r="T238" s="178">
        <f t="shared" si="83"/>
        <v>5</v>
      </c>
      <c r="U238" s="253">
        <f t="shared" si="84"/>
        <v>-0.78395294981568209</v>
      </c>
      <c r="V238" s="385">
        <f t="shared" si="85"/>
        <v>50.43075118956758</v>
      </c>
      <c r="W238" s="404">
        <f t="shared" si="86"/>
        <v>44.700251363182609</v>
      </c>
      <c r="X238" s="157">
        <f t="shared" si="87"/>
        <v>46611</v>
      </c>
      <c r="Y238" s="387">
        <f t="shared" si="88"/>
        <v>40.997115267280591</v>
      </c>
      <c r="Z238" s="387">
        <f t="shared" si="89"/>
        <v>44.267548805467712</v>
      </c>
      <c r="AA238" s="388">
        <f t="shared" si="90"/>
        <v>50.534585073194236</v>
      </c>
      <c r="AB238" s="199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0.12401479617670465</v>
      </c>
      <c r="AD238" s="233">
        <f>(INDEX(Models!$BJ238:$BT238,,AH238)*(1-AF238)+INDEX(Models!$BJ238:$BT238,,AH238+1)*AF238-ERP_i)*AE238*Ramure*Pc/MaxiM</f>
        <v>1.6428388664968228E-2</v>
      </c>
      <c r="AE238" s="307">
        <f t="shared" si="92"/>
        <v>1</v>
      </c>
      <c r="AF238" s="179">
        <f t="shared" si="93"/>
        <v>0.15102964310788813</v>
      </c>
      <c r="AG238" s="837">
        <f t="shared" si="99"/>
        <v>4</v>
      </c>
      <c r="AH238" s="178">
        <f t="shared" si="94"/>
        <v>10</v>
      </c>
      <c r="AI238" s="227">
        <f t="shared" si="95"/>
        <v>4.1510296431078881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46612</v>
      </c>
      <c r="B239" s="1139">
        <f>IF(t&gt;Tmaj,'2026'!Wh/'2026'!Env_an*'2027'!Env_an,0.001*'[10]mon-tableau (1)'!$B$220)</f>
        <v>30.148411214347171</v>
      </c>
      <c r="C239" s="866"/>
      <c r="D239" s="395">
        <f t="shared" si="77"/>
        <v>32.554176430827106</v>
      </c>
      <c r="E239" s="387">
        <f t="shared" si="100"/>
        <v>34.526696040578493</v>
      </c>
      <c r="F239" s="387">
        <f t="shared" si="78"/>
        <v>34.549958818378009</v>
      </c>
      <c r="G239" s="110">
        <f t="shared" si="101"/>
        <v>0.59975565036936396</v>
      </c>
      <c r="H239" s="414" t="b">
        <f>Wh_hp&gt;='2026'!Maxi_hp</f>
        <v>0</v>
      </c>
      <c r="I239" s="392">
        <f>IF(H239,Wh_hp,'2026'!Maxi_hp)</f>
        <v>52.158181392668176</v>
      </c>
      <c r="J239" s="85">
        <f>IF(H239,An,'2026'!An_max)</f>
        <v>2019</v>
      </c>
      <c r="K239" s="199">
        <f t="shared" si="79"/>
        <v>46612</v>
      </c>
      <c r="L239" s="147">
        <f>IF(t&lt;Tvie,1-EXP((T0-t)*PertePVj)+'2026'!Pspv,1-EXP((T0-t)*PertePVj)+Pspv)</f>
        <v>7.3900355660719508E-2</v>
      </c>
      <c r="M239" s="870"/>
      <c r="N239" s="870"/>
      <c r="O239" s="48">
        <f>IF(t&lt;Tnet,'2026'!Resal+('2026'!Salim-'2026'!Resal)*(1-EXP(('2026'!Tnet-t)/('2026'!Tau_j))),Resal+(Salim-Resal)*(1-EXP((Tnet-t)/(Tau_j))))*Salcycl</f>
        <v>5.713027413434317E-2</v>
      </c>
      <c r="P239" s="171">
        <f>(INDEX(Models!$BJ239:$BT239,,T239)*(1-R239)+INDEX(Models!$BJ239:$BT239,,T239+1)*R239-ERP_i)*Q239*Ramure*Pc/MaxiM</f>
        <v>1.5695148286153577E-3</v>
      </c>
      <c r="Q239" s="307">
        <f t="shared" si="80"/>
        <v>1</v>
      </c>
      <c r="R239" s="179">
        <f t="shared" si="81"/>
        <v>0.21788645184315891</v>
      </c>
      <c r="S239" s="837">
        <f t="shared" si="82"/>
        <v>-1</v>
      </c>
      <c r="T239" s="178">
        <f t="shared" si="83"/>
        <v>5</v>
      </c>
      <c r="U239" s="253">
        <f t="shared" si="84"/>
        <v>-0.78211354815684109</v>
      </c>
      <c r="V239" s="385">
        <f t="shared" si="85"/>
        <v>50.222742864715904</v>
      </c>
      <c r="W239" s="404">
        <f t="shared" si="86"/>
        <v>30.148411214347171</v>
      </c>
      <c r="X239" s="157">
        <f t="shared" si="87"/>
        <v>46612</v>
      </c>
      <c r="Y239" s="387">
        <f t="shared" si="88"/>
        <v>27.819139618955095</v>
      </c>
      <c r="Z239" s="387">
        <f t="shared" si="89"/>
        <v>30.039034988294883</v>
      </c>
      <c r="AA239" s="388">
        <f t="shared" si="90"/>
        <v>34.296317784661383</v>
      </c>
      <c r="AB239" s="199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0.1241323579719838</v>
      </c>
      <c r="AD239" s="233">
        <f>(INDEX(Models!$BJ239:$BT239,,AH239)*(1-AF239)+INDEX(Models!$BJ239:$BT239,,AH239+1)*AF239-ERP_i)*AE239*Ramure*Pc/MaxiM</f>
        <v>1.7112890257320577E-2</v>
      </c>
      <c r="AE239" s="307">
        <f t="shared" si="92"/>
        <v>1</v>
      </c>
      <c r="AF239" s="179">
        <f t="shared" si="93"/>
        <v>0.1528690447667298</v>
      </c>
      <c r="AG239" s="837">
        <f t="shared" si="99"/>
        <v>4</v>
      </c>
      <c r="AH239" s="178">
        <f t="shared" si="94"/>
        <v>10</v>
      </c>
      <c r="AI239" s="227">
        <f t="shared" si="95"/>
        <v>4.1528690447667298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46613</v>
      </c>
      <c r="B240" s="1139">
        <f>IF(t&gt;Tmaj,'2026'!Wh/'2026'!Env_an*'2027'!Env_an,0.001*'[10]mon-tableau (1)'!$B$221)</f>
        <v>32.437654733512012</v>
      </c>
      <c r="C240" s="866"/>
      <c r="D240" s="395">
        <f t="shared" si="77"/>
        <v>35.026910787592797</v>
      </c>
      <c r="E240" s="387">
        <f t="shared" si="100"/>
        <v>37.159114541514221</v>
      </c>
      <c r="F240" s="387">
        <f t="shared" si="78"/>
        <v>37.190281700570324</v>
      </c>
      <c r="G240" s="110">
        <f t="shared" si="101"/>
        <v>0.64806789745004778</v>
      </c>
      <c r="H240" s="414" t="b">
        <f>Wh_hp&gt;='2026'!Maxi_hp</f>
        <v>0</v>
      </c>
      <c r="I240" s="392">
        <f>IF(H240,Wh_hp,'2026'!Maxi_hp)</f>
        <v>56.516623137013951</v>
      </c>
      <c r="J240" s="85">
        <f>IF(H240,An,'2026'!An_max)</f>
        <v>2019</v>
      </c>
      <c r="K240" s="199">
        <f t="shared" si="79"/>
        <v>46613</v>
      </c>
      <c r="L240" s="147">
        <f>IF(t&lt;Tvie,1-EXP((T0-t)*PertePVj)+'2026'!Pspv,1-EXP((T0-t)*PertePVj)+Pspv)</f>
        <v>7.3921907352387795E-2</v>
      </c>
      <c r="M240" s="870"/>
      <c r="N240" s="870"/>
      <c r="O240" s="48">
        <f>IF(t&lt;Tnet,'2026'!Resal+('2026'!Salim-'2026'!Resal)*(1-EXP(('2026'!Tnet-t)/('2026'!Tau_j))),Resal+(Salim-Resal)*(1-EXP((Tnet-t)/(Tau_j))))*Salcycl</f>
        <v>5.7380370340615168E-2</v>
      </c>
      <c r="P240" s="171">
        <f>(INDEX(Models!$BJ240:$BT240,,T240)*(1-R240)+INDEX(Models!$BJ240:$BT240,,T240+1)*R240-ERP_i)*Q240*Ramure*Pc/MaxiM</f>
        <v>1.6827444702011312E-3</v>
      </c>
      <c r="Q240" s="307">
        <f t="shared" si="80"/>
        <v>1</v>
      </c>
      <c r="R240" s="179">
        <f t="shared" si="81"/>
        <v>0.21966157702848743</v>
      </c>
      <c r="S240" s="837">
        <f t="shared" si="82"/>
        <v>-1</v>
      </c>
      <c r="T240" s="178">
        <f t="shared" si="83"/>
        <v>5</v>
      </c>
      <c r="U240" s="253">
        <f t="shared" si="84"/>
        <v>-0.78033842297151257</v>
      </c>
      <c r="V240" s="385">
        <f t="shared" si="85"/>
        <v>50.01054956615625</v>
      </c>
      <c r="W240" s="404">
        <f t="shared" si="86"/>
        <v>32.437654733512012</v>
      </c>
      <c r="X240" s="157">
        <f t="shared" si="87"/>
        <v>46613</v>
      </c>
      <c r="Y240" s="387">
        <f t="shared" si="88"/>
        <v>29.894835509692115</v>
      </c>
      <c r="Z240" s="387">
        <f t="shared" si="89"/>
        <v>32.281117269737194</v>
      </c>
      <c r="AA240" s="388">
        <f t="shared" si="90"/>
        <v>36.861071850017389</v>
      </c>
      <c r="AB240" s="199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0.12424908854835794</v>
      </c>
      <c r="AD240" s="233">
        <f>(INDEX(Models!$BJ240:$BT240,,AH240)*(1-AF240)+INDEX(Models!$BJ240:$BT240,,AH240+1)*AF240-ERP_i)*AE240*Ramure*Pc/MaxiM</f>
        <v>1.7774351988786768E-2</v>
      </c>
      <c r="AE240" s="307">
        <f t="shared" si="92"/>
        <v>1</v>
      </c>
      <c r="AF240" s="179">
        <f t="shared" si="93"/>
        <v>0.15464416995205799</v>
      </c>
      <c r="AG240" s="837">
        <f t="shared" si="99"/>
        <v>4</v>
      </c>
      <c r="AH240" s="178">
        <f t="shared" si="94"/>
        <v>10</v>
      </c>
      <c r="AI240" s="227">
        <f t="shared" si="95"/>
        <v>4.154644169952058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46614</v>
      </c>
      <c r="B241" s="1139">
        <f>IF(t&gt;Tmaj,'2026'!Wh/'2026'!Env_an*'2027'!Env_an,0.001*'[10]mon-tableau (1)'!$B$222)</f>
        <v>38.041766707051309</v>
      </c>
      <c r="C241" s="866"/>
      <c r="D241" s="395">
        <f t="shared" si="77"/>
        <v>41.079313199579474</v>
      </c>
      <c r="E241" s="387">
        <f t="shared" si="100"/>
        <v>43.591475435949725</v>
      </c>
      <c r="F241" s="387">
        <f t="shared" si="78"/>
        <v>43.643485282464304</v>
      </c>
      <c r="G241" s="110">
        <f t="shared" si="101"/>
        <v>0.76352032479461829</v>
      </c>
      <c r="H241" s="414" t="b">
        <f>Wh_hp&gt;='2026'!Maxi_hp</f>
        <v>0</v>
      </c>
      <c r="I241" s="392">
        <f>IF(H241,Wh_hp,'2026'!Maxi_hp)</f>
        <v>51.583884574540299</v>
      </c>
      <c r="J241" s="85">
        <f>IF(H241,An,'2026'!An_max)</f>
        <v>2020</v>
      </c>
      <c r="K241" s="199">
        <f t="shared" si="79"/>
        <v>46614</v>
      </c>
      <c r="L241" s="147">
        <f>IF(t&lt;Tvie,1-EXP((T0-t)*PertePVj)+'2026'!Pspv,1-EXP((T0-t)*PertePVj)+Pspv)</f>
        <v>7.3943458542516716E-2</v>
      </c>
      <c r="M241" s="870"/>
      <c r="N241" s="870"/>
      <c r="O241" s="48">
        <f>IF(t&lt;Tnet,'2026'!Resal+('2026'!Salim-'2026'!Resal)*(1-EXP(('2026'!Tnet-t)/('2026'!Tau_j))),Resal+(Salim-Resal)*(1-EXP((Tnet-t)/(Tau_j))))*Salcycl</f>
        <v>5.7629667526657748E-2</v>
      </c>
      <c r="P241" s="171">
        <f>(INDEX(Models!$BJ241:$BT241,,T241)*(1-R241)+INDEX(Models!$BJ241:$BT241,,T241+1)*R241-ERP_i)*Q241*Ramure*Pc/MaxiM</f>
        <v>1.7978820210854819E-3</v>
      </c>
      <c r="Q241" s="307">
        <f t="shared" si="80"/>
        <v>1</v>
      </c>
      <c r="R241" s="179">
        <f t="shared" si="81"/>
        <v>0.2213743153607437</v>
      </c>
      <c r="S241" s="837">
        <f t="shared" si="82"/>
        <v>-1</v>
      </c>
      <c r="T241" s="178">
        <f t="shared" si="83"/>
        <v>5</v>
      </c>
      <c r="U241" s="253">
        <f t="shared" si="84"/>
        <v>-0.7786256846392563</v>
      </c>
      <c r="V241" s="385">
        <f t="shared" si="85"/>
        <v>49.793931662284152</v>
      </c>
      <c r="W241" s="404">
        <f t="shared" si="86"/>
        <v>38.041766707051309</v>
      </c>
      <c r="X241" s="157">
        <f t="shared" si="87"/>
        <v>46614</v>
      </c>
      <c r="Y241" s="387">
        <f t="shared" si="88"/>
        <v>34.957946005839815</v>
      </c>
      <c r="Z241" s="387">
        <f t="shared" si="89"/>
        <v>37.749256595953533</v>
      </c>
      <c r="AA241" s="388">
        <f t="shared" si="90"/>
        <v>43.110720038697785</v>
      </c>
      <c r="AB241" s="199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0.12436497089196391</v>
      </c>
      <c r="AD241" s="233">
        <f>(INDEX(Models!$BJ241:$BT241,,AH241)*(1-AF241)+INDEX(Models!$BJ241:$BT241,,AH241+1)*AF241-ERP_i)*AE241*Ramure*Pc/MaxiM</f>
        <v>1.84166867894618E-2</v>
      </c>
      <c r="AE241" s="307">
        <f t="shared" si="92"/>
        <v>1</v>
      </c>
      <c r="AF241" s="179">
        <f t="shared" si="93"/>
        <v>0.15635690828431414</v>
      </c>
      <c r="AG241" s="837">
        <f t="shared" si="99"/>
        <v>4</v>
      </c>
      <c r="AH241" s="178">
        <f t="shared" si="94"/>
        <v>10</v>
      </c>
      <c r="AI241" s="227">
        <f t="shared" si="95"/>
        <v>4.1563569082843141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46615</v>
      </c>
      <c r="B242" s="1139">
        <f>IF(t&gt;Tmaj,'2026'!Wh/'2026'!Env_an*'2027'!Env_an,0.001*'[10]mon-tableau (1)'!$B$223)</f>
        <v>30.349607632106931</v>
      </c>
      <c r="C242" s="866"/>
      <c r="D242" s="395">
        <f t="shared" si="77"/>
        <v>32.7737158256923</v>
      </c>
      <c r="E242" s="387">
        <f t="shared" si="100"/>
        <v>34.787130760117449</v>
      </c>
      <c r="F242" s="387">
        <f t="shared" si="78"/>
        <v>34.816869865043252</v>
      </c>
      <c r="G242" s="110">
        <f t="shared" si="101"/>
        <v>0.61157667824169892</v>
      </c>
      <c r="H242" s="414" t="b">
        <f>Wh_hp&gt;='2026'!Maxi_hp</f>
        <v>0</v>
      </c>
      <c r="I242" s="392">
        <f>IF(H242,Wh_hp,'2026'!Maxi_hp)</f>
        <v>55.530808319610884</v>
      </c>
      <c r="J242" s="85">
        <f>IF(H242,An,'2026'!An_max)</f>
        <v>2019</v>
      </c>
      <c r="K242" s="199">
        <f t="shared" si="79"/>
        <v>46615</v>
      </c>
      <c r="L242" s="147">
        <f>IF(t&lt;Tvie,1-EXP((T0-t)*PertePVj)+'2026'!Pspv,1-EXP((T0-t)*PertePVj)+Pspv)</f>
        <v>7.396500923111804E-2</v>
      </c>
      <c r="M242" s="870"/>
      <c r="N242" s="870"/>
      <c r="O242" s="48">
        <f>IF(t&lt;Tnet,'2026'!Resal+('2026'!Salim-'2026'!Resal)*(1-EXP(('2026'!Tnet-t)/('2026'!Tau_j))),Resal+(Salim-Resal)*(1-EXP((Tnet-t)/(Tau_j))))*Salcycl</f>
        <v>5.7878154663260649E-2</v>
      </c>
      <c r="P242" s="171">
        <f>(INDEX(Models!$BJ242:$BT242,,T242)*(1-R242)+INDEX(Models!$BJ242:$BT242,,T242+1)*R242-ERP_i)*Q242*Ramure*Pc/MaxiM</f>
        <v>1.9149884851440346E-3</v>
      </c>
      <c r="Q242" s="307">
        <f t="shared" si="80"/>
        <v>1</v>
      </c>
      <c r="R242" s="179">
        <f t="shared" si="81"/>
        <v>0.22302652763997</v>
      </c>
      <c r="S242" s="837">
        <f t="shared" si="82"/>
        <v>-1</v>
      </c>
      <c r="T242" s="178">
        <f t="shared" si="83"/>
        <v>5</v>
      </c>
      <c r="U242" s="253">
        <f t="shared" si="84"/>
        <v>-0.77697347236003</v>
      </c>
      <c r="V242" s="385">
        <f t="shared" si="85"/>
        <v>49.572499075444227</v>
      </c>
      <c r="W242" s="404">
        <f t="shared" si="86"/>
        <v>30.349607632106931</v>
      </c>
      <c r="X242" s="157">
        <f t="shared" si="87"/>
        <v>46615</v>
      </c>
      <c r="Y242" s="387">
        <f t="shared" si="88"/>
        <v>27.988472149831122</v>
      </c>
      <c r="Z242" s="387">
        <f t="shared" si="89"/>
        <v>30.223989837136113</v>
      </c>
      <c r="AA242" s="388">
        <f t="shared" si="90"/>
        <v>34.521186649935338</v>
      </c>
      <c r="AB242" s="199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0.1244799854760287</v>
      </c>
      <c r="AD242" s="233">
        <f>(INDEX(Models!$BJ242:$BT242,,AH242)*(1-AF242)+INDEX(Models!$BJ242:$BT242,,AH242+1)*AF242-ERP_i)*AE242*Ramure*Pc/MaxiM</f>
        <v>1.903991238454196E-2</v>
      </c>
      <c r="AE242" s="307">
        <f t="shared" si="92"/>
        <v>1</v>
      </c>
      <c r="AF242" s="179">
        <f t="shared" si="93"/>
        <v>0.15800912056354033</v>
      </c>
      <c r="AG242" s="837">
        <f t="shared" si="99"/>
        <v>4</v>
      </c>
      <c r="AH242" s="178">
        <f t="shared" si="94"/>
        <v>10</v>
      </c>
      <c r="AI242" s="227">
        <f t="shared" si="95"/>
        <v>4.1580091205635403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46616</v>
      </c>
      <c r="B243" s="1139">
        <f>IF(t&gt;Tmaj,'2026'!Wh/'2026'!Env_an*'2027'!Env_an,0.001*'[10]mon-tableau (1)'!$B$224)</f>
        <v>21.991964616981697</v>
      </c>
      <c r="C243" s="866"/>
      <c r="D243" s="395">
        <f t="shared" si="77"/>
        <v>23.749077122643662</v>
      </c>
      <c r="E243" s="387">
        <f t="shared" si="100"/>
        <v>25.214702362052989</v>
      </c>
      <c r="F243" s="387">
        <f t="shared" si="78"/>
        <v>25.225380324632187</v>
      </c>
      <c r="G243" s="110">
        <f t="shared" si="101"/>
        <v>0.44495168083670777</v>
      </c>
      <c r="H243" s="414" t="b">
        <f>Wh_hp&gt;='2026'!Maxi_hp</f>
        <v>0</v>
      </c>
      <c r="I243" s="392">
        <f>IF(H243,Wh_hp,'2026'!Maxi_hp)</f>
        <v>54.275394990879882</v>
      </c>
      <c r="J243" s="85">
        <f>IF(H243,An,'2026'!An_max)</f>
        <v>2019</v>
      </c>
      <c r="K243" s="199">
        <f t="shared" si="79"/>
        <v>46616</v>
      </c>
      <c r="L243" s="147">
        <f>IF(t&lt;Tvie,1-EXP((T0-t)*PertePVj)+'2026'!Pspv,1-EXP((T0-t)*PertePVj)+Pspv)</f>
        <v>7.3986559418203202E-2</v>
      </c>
      <c r="M243" s="870"/>
      <c r="N243" s="870"/>
      <c r="O243" s="48">
        <f>IF(t&lt;Tnet,'2026'!Resal+('2026'!Salim-'2026'!Resal)*(1-EXP(('2026'!Tnet-t)/('2026'!Tau_j))),Resal+(Salim-Resal)*(1-EXP((Tnet-t)/(Tau_j))))*Salcycl</f>
        <v>5.812581954625913E-2</v>
      </c>
      <c r="P243" s="171">
        <f>(INDEX(Models!$BJ243:$BT243,,T243)*(1-R243)+INDEX(Models!$BJ243:$BT243,,T243+1)*R243-ERP_i)*Q243*Ramure*Pc/MaxiM</f>
        <v>2.0341311061976629E-3</v>
      </c>
      <c r="Q243" s="307">
        <f t="shared" si="80"/>
        <v>1</v>
      </c>
      <c r="R243" s="179">
        <f t="shared" si="81"/>
        <v>0.22462004408876368</v>
      </c>
      <c r="S243" s="837">
        <f t="shared" si="82"/>
        <v>-1</v>
      </c>
      <c r="T243" s="178">
        <f t="shared" si="83"/>
        <v>5</v>
      </c>
      <c r="U243" s="253">
        <f t="shared" si="84"/>
        <v>-0.77537995591123632</v>
      </c>
      <c r="V243" s="385">
        <f t="shared" si="85"/>
        <v>49.345862194649527</v>
      </c>
      <c r="W243" s="404">
        <f t="shared" si="86"/>
        <v>21.991964616981697</v>
      </c>
      <c r="X243" s="157">
        <f t="shared" si="87"/>
        <v>46616</v>
      </c>
      <c r="Y243" s="387">
        <f t="shared" si="88"/>
        <v>20.365049733284167</v>
      </c>
      <c r="Z243" s="387">
        <f t="shared" si="89"/>
        <v>21.992175103300003</v>
      </c>
      <c r="AA243" s="388">
        <f t="shared" si="90"/>
        <v>25.122260846767233</v>
      </c>
      <c r="AB243" s="199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0.12459411048070601</v>
      </c>
      <c r="AD243" s="233">
        <f>(INDEX(Models!$BJ243:$BT243,,AH243)*(1-AF243)+INDEX(Models!$BJ243:$BT243,,AH243+1)*AF243-ERP_i)*AE243*Ramure*Pc/MaxiM</f>
        <v>1.9644059999664829E-2</v>
      </c>
      <c r="AE243" s="307">
        <f t="shared" si="92"/>
        <v>1</v>
      </c>
      <c r="AF243" s="179">
        <f t="shared" si="93"/>
        <v>0.15960263701233401</v>
      </c>
      <c r="AG243" s="837">
        <f t="shared" si="99"/>
        <v>4</v>
      </c>
      <c r="AH243" s="178">
        <f t="shared" si="94"/>
        <v>10</v>
      </c>
      <c r="AI243" s="227">
        <f t="shared" si="95"/>
        <v>4.159602637012334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46617</v>
      </c>
      <c r="B244" s="1139">
        <f>IF(t&gt;Tmaj,'2026'!Wh/'2026'!Env_an*'2027'!Env_an,0.001*'[10]mon-tableau (1)'!$B$225)</f>
        <v>37.075795230874022</v>
      </c>
      <c r="C244" s="866"/>
      <c r="D244" s="395">
        <f t="shared" si="77"/>
        <v>40.039006383728079</v>
      </c>
      <c r="E244" s="387">
        <f t="shared" si="100"/>
        <v>42.521074112684744</v>
      </c>
      <c r="F244" s="387">
        <f t="shared" si="78"/>
        <v>42.580716331984291</v>
      </c>
      <c r="G244" s="110">
        <f t="shared" si="101"/>
        <v>0.75432774101553091</v>
      </c>
      <c r="H244" s="414" t="b">
        <f>Wh_hp&gt;='2026'!Maxi_hp</f>
        <v>0</v>
      </c>
      <c r="I244" s="392">
        <f>IF(H244,Wh_hp,'2026'!Maxi_hp)</f>
        <v>53.81892121253842</v>
      </c>
      <c r="J244" s="85">
        <f>IF(H244,An,'2026'!An_max)</f>
        <v>2021</v>
      </c>
      <c r="K244" s="199">
        <f t="shared" si="79"/>
        <v>46617</v>
      </c>
      <c r="L244" s="147">
        <f>IF(t&lt;Tvie,1-EXP((T0-t)*PertePVj)+'2026'!Pspv,1-EXP((T0-t)*PertePVj)+Pspv)</f>
        <v>7.4008109103784192E-2</v>
      </c>
      <c r="M244" s="870"/>
      <c r="N244" s="870"/>
      <c r="O244" s="48">
        <f>IF(t&lt;Tnet,'2026'!Resal+('2026'!Salim-'2026'!Resal)*(1-EXP(('2026'!Tnet-t)/('2026'!Tau_j))),Resal+(Salim-Resal)*(1-EXP((Tnet-t)/(Tau_j))))*Salcycl</f>
        <v>5.8372648874742881E-2</v>
      </c>
      <c r="P244" s="171">
        <f>(INDEX(Models!$BJ244:$BT244,,T244)*(1-R244)+INDEX(Models!$BJ244:$BT244,,T244+1)*R244-ERP_i)*Q244*Ramure*Pc/MaxiM</f>
        <v>2.1553837107358568E-3</v>
      </c>
      <c r="Q244" s="307">
        <f t="shared" si="80"/>
        <v>1</v>
      </c>
      <c r="R244" s="179">
        <f t="shared" si="81"/>
        <v>0.22615666281550273</v>
      </c>
      <c r="S244" s="837">
        <f t="shared" si="82"/>
        <v>-1</v>
      </c>
      <c r="T244" s="178">
        <f t="shared" si="83"/>
        <v>5</v>
      </c>
      <c r="U244" s="253">
        <f t="shared" si="84"/>
        <v>-0.77384333718449727</v>
      </c>
      <c r="V244" s="385">
        <f t="shared" si="85"/>
        <v>49.113631855700568</v>
      </c>
      <c r="W244" s="404">
        <f t="shared" si="86"/>
        <v>37.075795230874022</v>
      </c>
      <c r="X244" s="157">
        <f t="shared" si="87"/>
        <v>46617</v>
      </c>
      <c r="Y244" s="387">
        <f t="shared" si="88"/>
        <v>34.058564413972597</v>
      </c>
      <c r="Z244" s="387">
        <f t="shared" si="89"/>
        <v>36.780629235326472</v>
      </c>
      <c r="AA244" s="388">
        <f t="shared" si="90"/>
        <v>42.020949288873162</v>
      </c>
      <c r="AB244" s="199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0.12470732199603791</v>
      </c>
      <c r="AD244" s="233">
        <f>(INDEX(Models!$BJ244:$BT244,,AH244)*(1-AF244)+INDEX(Models!$BJ244:$BT244,,AH244+1)*AF244-ERP_i)*AE244*Ramure*Pc/MaxiM</f>
        <v>2.0229172902988184E-2</v>
      </c>
      <c r="AE244" s="307">
        <f t="shared" si="92"/>
        <v>1</v>
      </c>
      <c r="AF244" s="179">
        <f t="shared" si="93"/>
        <v>0.16113925573907295</v>
      </c>
      <c r="AG244" s="837">
        <f t="shared" si="99"/>
        <v>4</v>
      </c>
      <c r="AH244" s="178">
        <f t="shared" si="94"/>
        <v>10</v>
      </c>
      <c r="AI244" s="227">
        <f t="shared" si="95"/>
        <v>4.161139255739073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46618</v>
      </c>
      <c r="B245" s="1139">
        <f>IF(t&gt;Tmaj,'2026'!Wh/'2026'!Env_an*'2027'!Env_an,0.001*'[10]mon-tableau (1)'!$B$226)</f>
        <v>38.383977719465989</v>
      </c>
      <c r="C245" s="866"/>
      <c r="D245" s="395">
        <f t="shared" si="77"/>
        <v>41.452707490062444</v>
      </c>
      <c r="E245" s="387">
        <f t="shared" si="100"/>
        <v>44.033915198669611</v>
      </c>
      <c r="F245" s="387">
        <f t="shared" si="78"/>
        <v>44.103599718137538</v>
      </c>
      <c r="G245" s="110">
        <f t="shared" si="101"/>
        <v>0.78479351688435561</v>
      </c>
      <c r="H245" s="414" t="b">
        <f>Wh_hp&gt;='2026'!Maxi_hp</f>
        <v>0</v>
      </c>
      <c r="I245" s="392">
        <f>IF(H245,Wh_hp,'2026'!Maxi_hp)</f>
        <v>48.769575691470848</v>
      </c>
      <c r="J245" s="85">
        <f>IF(H245,An,'2026'!An_max)</f>
        <v>2021</v>
      </c>
      <c r="K245" s="199">
        <f t="shared" si="79"/>
        <v>46618</v>
      </c>
      <c r="L245" s="147">
        <f>IF(t&lt;Tvie,1-EXP((T0-t)*PertePVj)+'2026'!Pspv,1-EXP((T0-t)*PertePVj)+Pspv)</f>
        <v>7.4029658287872446E-2</v>
      </c>
      <c r="M245" s="870"/>
      <c r="N245" s="870"/>
      <c r="O245" s="48">
        <f>IF(t&lt;Tnet,'2026'!Resal+('2026'!Salim-'2026'!Resal)*(1-EXP(('2026'!Tnet-t)/('2026'!Tau_j))),Resal+(Salim-Resal)*(1-EXP((Tnet-t)/(Tau_j))))*Salcycl</f>
        <v>5.8618628322315389E-2</v>
      </c>
      <c r="P245" s="171">
        <f>(INDEX(Models!$BJ245:$BT245,,T245)*(1-R245)+INDEX(Models!$BJ245:$BT245,,T245+1)*R245-ERP_i)*Q245*Ramure*Pc/MaxiM</f>
        <v>2.2788270804560448E-3</v>
      </c>
      <c r="Q245" s="307">
        <f t="shared" si="80"/>
        <v>1</v>
      </c>
      <c r="R245" s="179">
        <f t="shared" si="81"/>
        <v>0.22763814848471775</v>
      </c>
      <c r="S245" s="837">
        <f t="shared" si="82"/>
        <v>-1</v>
      </c>
      <c r="T245" s="178">
        <f t="shared" si="83"/>
        <v>5</v>
      </c>
      <c r="U245" s="253">
        <f t="shared" si="84"/>
        <v>-0.77236185151528225</v>
      </c>
      <c r="V245" s="385">
        <f t="shared" si="85"/>
        <v>48.875419339226802</v>
      </c>
      <c r="W245" s="404">
        <f t="shared" si="86"/>
        <v>38.383977719465989</v>
      </c>
      <c r="X245" s="157">
        <f t="shared" si="87"/>
        <v>46618</v>
      </c>
      <c r="Y245" s="387">
        <f t="shared" si="88"/>
        <v>35.225835295183444</v>
      </c>
      <c r="Z245" s="387">
        <f t="shared" si="89"/>
        <v>38.042077276525461</v>
      </c>
      <c r="AA245" s="388">
        <f t="shared" si="90"/>
        <v>43.467697659430698</v>
      </c>
      <c r="AB245" s="199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0.12481959420567805</v>
      </c>
      <c r="AD245" s="233">
        <f>(INDEX(Models!$BJ245:$BT245,,AH245)*(1-AF245)+INDEX(Models!$BJ245:$BT245,,AH245+1)*AF245-ERP_i)*AE245*Ramure*Pc/MaxiM</f>
        <v>2.0795304939511865E-2</v>
      </c>
      <c r="AE245" s="307">
        <f t="shared" si="92"/>
        <v>1</v>
      </c>
      <c r="AF245" s="179">
        <f t="shared" si="93"/>
        <v>0.16262074140828808</v>
      </c>
      <c r="AG245" s="837">
        <f t="shared" si="99"/>
        <v>4</v>
      </c>
      <c r="AH245" s="178">
        <f t="shared" si="94"/>
        <v>10</v>
      </c>
      <c r="AI245" s="227">
        <f t="shared" si="95"/>
        <v>4.1626207414082881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46619</v>
      </c>
      <c r="B246" s="1139">
        <f>IF(t&gt;Tmaj,'2026'!Wh/'2026'!Env_an*'2027'!Env_an,0.001*'[10]mon-tableau (1)'!$B$227)</f>
        <v>45.237754250920673</v>
      </c>
      <c r="C246" s="866"/>
      <c r="D246" s="395">
        <f t="shared" si="77"/>
        <v>48.855568030832174</v>
      </c>
      <c r="E246" s="387">
        <f t="shared" si="100"/>
        <v>51.911259019828854</v>
      </c>
      <c r="F246" s="387">
        <f t="shared" si="78"/>
        <v>52.023884320780397</v>
      </c>
      <c r="G246" s="110">
        <f t="shared" si="101"/>
        <v>0.93000433185477305</v>
      </c>
      <c r="H246" s="414" t="b">
        <f>Wh_hp&gt;='2026'!Maxi_hp</f>
        <v>0</v>
      </c>
      <c r="I246" s="392">
        <f>IF(H246,Wh_hp,'2026'!Maxi_hp)</f>
        <v>52.529091636366658</v>
      </c>
      <c r="J246" s="85">
        <f>IF(H246,An,'2026'!An_max)</f>
        <v>2021</v>
      </c>
      <c r="K246" s="199">
        <f t="shared" si="79"/>
        <v>46619</v>
      </c>
      <c r="L246" s="147">
        <f>IF(t&lt;Tvie,1-EXP((T0-t)*PertePVj)+'2026'!Pspv,1-EXP((T0-t)*PertePVj)+Pspv)</f>
        <v>7.4051206970479622E-2</v>
      </c>
      <c r="M246" s="870"/>
      <c r="N246" s="870"/>
      <c r="O246" s="48">
        <f>IF(t&lt;Tnet,'2026'!Resal+('2026'!Salim-'2026'!Resal)*(1-EXP(('2026'!Tnet-t)/('2026'!Tau_j))),Resal+(Salim-Resal)*(1-EXP((Tnet-t)/(Tau_j))))*Salcycl</f>
        <v>5.8863742600222452E-2</v>
      </c>
      <c r="P246" s="171">
        <f>(INDEX(Models!$BJ246:$BT246,,T246)*(1-R246)+INDEX(Models!$BJ246:$BT246,,T246+1)*R246-ERP_i)*Q246*Ramure*Pc/MaxiM</f>
        <v>2.4045493591785365E-3</v>
      </c>
      <c r="Q246" s="307">
        <f t="shared" si="80"/>
        <v>1</v>
      </c>
      <c r="R246" s="179">
        <f t="shared" si="81"/>
        <v>0.22906623118171721</v>
      </c>
      <c r="S246" s="837">
        <f t="shared" si="82"/>
        <v>-1</v>
      </c>
      <c r="T246" s="178">
        <f t="shared" si="83"/>
        <v>5</v>
      </c>
      <c r="U246" s="253">
        <f t="shared" si="84"/>
        <v>-0.77093376881828279</v>
      </c>
      <c r="V246" s="385">
        <f t="shared" si="85"/>
        <v>48.630836363930342</v>
      </c>
      <c r="W246" s="404">
        <f t="shared" si="86"/>
        <v>45.237754250920673</v>
      </c>
      <c r="X246" s="157">
        <f t="shared" si="87"/>
        <v>46619</v>
      </c>
      <c r="Y246" s="387">
        <f t="shared" si="88"/>
        <v>41.343364414701256</v>
      </c>
      <c r="Z246" s="387">
        <f t="shared" si="89"/>
        <v>44.649730877054211</v>
      </c>
      <c r="AA246" s="388">
        <f t="shared" si="90"/>
        <v>51.024234376532291</v>
      </c>
      <c r="AB246" s="199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0.12493089954937027</v>
      </c>
      <c r="AD246" s="233">
        <f>(INDEX(Models!$BJ246:$BT246,,AH246)*(1-AF246)+INDEX(Models!$BJ246:$BT246,,AH246+1)*AF246-ERP_i)*AE246*Ramure*Pc/MaxiM</f>
        <v>2.1342519065753764E-2</v>
      </c>
      <c r="AE246" s="307">
        <f t="shared" si="92"/>
        <v>1</v>
      </c>
      <c r="AF246" s="179">
        <f t="shared" si="93"/>
        <v>0.16404882410528732</v>
      </c>
      <c r="AG246" s="837">
        <f t="shared" si="99"/>
        <v>4</v>
      </c>
      <c r="AH246" s="178">
        <f t="shared" si="94"/>
        <v>10</v>
      </c>
      <c r="AI246" s="227">
        <f t="shared" si="95"/>
        <v>4.1640488241052873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46620</v>
      </c>
      <c r="B247" s="1139">
        <f>IF(t&gt;Tmaj,'2026'!Wh/'2026'!Env_an*'2027'!Env_an,0.001*'[10]mon-tableau (1)'!$B$228)</f>
        <v>29.701792168768122</v>
      </c>
      <c r="C247" s="866"/>
      <c r="D247" s="395">
        <f t="shared" si="77"/>
        <v>32.077889849360353</v>
      </c>
      <c r="E247" s="387">
        <f t="shared" si="100"/>
        <v>34.093061705771248</v>
      </c>
      <c r="F247" s="387">
        <f t="shared" si="78"/>
        <v>34.131826393380535</v>
      </c>
      <c r="G247" s="110">
        <f t="shared" si="101"/>
        <v>0.61305705927166965</v>
      </c>
      <c r="H247" s="414" t="b">
        <f>Wh_hp&gt;='2026'!Maxi_hp</f>
        <v>0</v>
      </c>
      <c r="I247" s="392">
        <f>IF(H247,Wh_hp,'2026'!Maxi_hp)</f>
        <v>51.419921349849517</v>
      </c>
      <c r="J247" s="85">
        <f>IF(H247,An,'2026'!An_max)</f>
        <v>2020</v>
      </c>
      <c r="K247" s="199">
        <f t="shared" si="79"/>
        <v>46620</v>
      </c>
      <c r="L247" s="147">
        <f>IF(t&lt;Tvie,1-EXP((T0-t)*PertePVj)+'2026'!Pspv,1-EXP((T0-t)*PertePVj)+Pspv)</f>
        <v>7.4072755151617597E-2</v>
      </c>
      <c r="M247" s="870"/>
      <c r="N247" s="870"/>
      <c r="O247" s="48">
        <f>IF(t&lt;Tnet,'2026'!Resal+('2026'!Salim-'2026'!Resal)*(1-EXP(('2026'!Tnet-t)/('2026'!Tau_j))),Resal+(Salim-Resal)*(1-EXP((Tnet-t)/(Tau_j))))*Salcycl</f>
        <v>5.9107975511327321E-2</v>
      </c>
      <c r="P247" s="171">
        <f>(INDEX(Models!$BJ247:$BT247,,T247)*(1-R247)+INDEX(Models!$BJ247:$BT247,,T247+1)*R247-ERP_i)*Q247*Ramure*Pc/MaxiM</f>
        <v>2.5325727893763862E-3</v>
      </c>
      <c r="Q247" s="307">
        <f t="shared" si="80"/>
        <v>1</v>
      </c>
      <c r="R247" s="179">
        <f t="shared" si="81"/>
        <v>0.23044260545884709</v>
      </c>
      <c r="S247" s="837">
        <f t="shared" si="82"/>
        <v>-1</v>
      </c>
      <c r="T247" s="178">
        <f t="shared" si="83"/>
        <v>5</v>
      </c>
      <c r="U247" s="253">
        <f t="shared" si="84"/>
        <v>-0.76955739454115291</v>
      </c>
      <c r="V247" s="385">
        <f t="shared" si="85"/>
        <v>48.380906706022202</v>
      </c>
      <c r="W247" s="404">
        <f t="shared" si="86"/>
        <v>29.701792168768122</v>
      </c>
      <c r="X247" s="157">
        <f t="shared" si="87"/>
        <v>46620</v>
      </c>
      <c r="Y247" s="387">
        <f t="shared" si="88"/>
        <v>27.380635340932905</v>
      </c>
      <c r="Z247" s="387">
        <f t="shared" si="89"/>
        <v>29.571044046140358</v>
      </c>
      <c r="AA247" s="388">
        <f t="shared" si="90"/>
        <v>33.797070611403434</v>
      </c>
      <c r="AB247" s="199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0.12504120886255674</v>
      </c>
      <c r="AD247" s="233">
        <f>(INDEX(Models!$BJ247:$BT247,,AH247)*(1-AF247)+INDEX(Models!$BJ247:$BT247,,AH247+1)*AF247-ERP_i)*AE247*Ramure*Pc/MaxiM</f>
        <v>2.1870249363717016E-2</v>
      </c>
      <c r="AE247" s="307">
        <f t="shared" si="92"/>
        <v>1</v>
      </c>
      <c r="AF247" s="179">
        <f t="shared" si="93"/>
        <v>0.16542519838241709</v>
      </c>
      <c r="AG247" s="837">
        <f t="shared" si="99"/>
        <v>4</v>
      </c>
      <c r="AH247" s="178">
        <f t="shared" si="94"/>
        <v>10</v>
      </c>
      <c r="AI247" s="227">
        <f t="shared" si="95"/>
        <v>4.1654251983824171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46621</v>
      </c>
      <c r="B248" s="1139">
        <f>IF(t&gt;Tmaj,'2026'!Wh/'2026'!Env_an*'2027'!Env_an,0.001*'[10]mon-tableau (1)'!$B$229)</f>
        <v>23.82076854633149</v>
      </c>
      <c r="C248" s="866"/>
      <c r="D248" s="395">
        <f t="shared" si="77"/>
        <v>25.726992089121243</v>
      </c>
      <c r="E248" s="387">
        <f t="shared" si="100"/>
        <v>27.350266217836769</v>
      </c>
      <c r="F248" s="387">
        <f t="shared" si="78"/>
        <v>27.370553785984779</v>
      </c>
      <c r="G248" s="110">
        <f t="shared" si="101"/>
        <v>0.49400679778373352</v>
      </c>
      <c r="H248" s="414" t="b">
        <f>Wh_hp&gt;='2026'!Maxi_hp</f>
        <v>0</v>
      </c>
      <c r="I248" s="392">
        <f>IF(H248,Wh_hp,'2026'!Maxi_hp)</f>
        <v>55.310874432474641</v>
      </c>
      <c r="J248" s="85">
        <f>IF(H248,An,'2026'!An_max)</f>
        <v>2019</v>
      </c>
      <c r="K248" s="199">
        <f t="shared" si="79"/>
        <v>46621</v>
      </c>
      <c r="L248" s="147">
        <f>IF(t&lt;Tvie,1-EXP((T0-t)*PertePVj)+'2026'!Pspv,1-EXP((T0-t)*PertePVj)+Pspv)</f>
        <v>7.4094302831297809E-2</v>
      </c>
      <c r="M248" s="870"/>
      <c r="N248" s="870"/>
      <c r="O248" s="48">
        <f>IF(t&lt;Tnet,'2026'!Resal+('2026'!Salim-'2026'!Resal)*(1-EXP(('2026'!Tnet-t)/('2026'!Tau_j))),Resal+(Salim-Resal)*(1-EXP((Tnet-t)/(Tau_j))))*Salcycl</f>
        <v>5.9351309994082953E-2</v>
      </c>
      <c r="P248" s="171">
        <f>(INDEX(Models!$BJ248:$BT248,,T248)*(1-R248)+INDEX(Models!$BJ248:$BT248,,T248+1)*R248-ERP_i)*Q248*Ramure*Pc/MaxiM</f>
        <v>2.6613600123950656E-3</v>
      </c>
      <c r="Q248" s="307">
        <f t="shared" si="80"/>
        <v>1</v>
      </c>
      <c r="R248" s="179">
        <f t="shared" si="81"/>
        <v>0.23176892955111283</v>
      </c>
      <c r="S248" s="837">
        <f t="shared" si="82"/>
        <v>-1</v>
      </c>
      <c r="T248" s="178">
        <f t="shared" si="83"/>
        <v>5</v>
      </c>
      <c r="U248" s="253">
        <f t="shared" si="84"/>
        <v>-0.76823107044888717</v>
      </c>
      <c r="V248" s="385">
        <f t="shared" si="85"/>
        <v>48.126858749506283</v>
      </c>
      <c r="W248" s="404">
        <f t="shared" si="86"/>
        <v>23.82076854633149</v>
      </c>
      <c r="X248" s="157">
        <f t="shared" si="87"/>
        <v>46621</v>
      </c>
      <c r="Y248" s="387">
        <f t="shared" si="88"/>
        <v>22.032762343730234</v>
      </c>
      <c r="Z248" s="387">
        <f t="shared" si="89"/>
        <v>23.795903201701343</v>
      </c>
      <c r="AA248" s="388">
        <f t="shared" si="90"/>
        <v>27.199996079646585</v>
      </c>
      <c r="AB248" s="199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0.1251504914918897</v>
      </c>
      <c r="AD248" s="233">
        <f>(INDEX(Models!$BJ248:$BT248,,AH248)*(1-AF248)+INDEX(Models!$BJ248:$BT248,,AH248+1)*AF248-ERP_i)*AE248*Ramure*Pc/MaxiM</f>
        <v>2.2374069486429407E-2</v>
      </c>
      <c r="AE248" s="307">
        <f t="shared" si="92"/>
        <v>1</v>
      </c>
      <c r="AF248" s="179">
        <f t="shared" si="93"/>
        <v>0.16675152247468361</v>
      </c>
      <c r="AG248" s="837">
        <f t="shared" si="99"/>
        <v>4</v>
      </c>
      <c r="AH248" s="178">
        <f t="shared" si="94"/>
        <v>10</v>
      </c>
      <c r="AI248" s="227">
        <f t="shared" si="95"/>
        <v>4.1667515224746836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46622</v>
      </c>
      <c r="B249" s="1139">
        <f>IF(t&gt;Tmaj,'2026'!Wh/'2026'!Env_an*'2027'!Env_an,0.001*'[10]mon-tableau (1)'!$B$230)</f>
        <v>42.222828479644107</v>
      </c>
      <c r="C249" s="866"/>
      <c r="D249" s="395">
        <f t="shared" si="77"/>
        <v>45.602712261656926</v>
      </c>
      <c r="E249" s="387">
        <f t="shared" si="100"/>
        <v>48.492564997709835</v>
      </c>
      <c r="F249" s="387">
        <f t="shared" si="78"/>
        <v>48.605299307129727</v>
      </c>
      <c r="G249" s="110">
        <f t="shared" si="101"/>
        <v>0.88164180987546903</v>
      </c>
      <c r="H249" s="414" t="b">
        <f>Wh_hp&gt;='2026'!Maxi_hp</f>
        <v>0</v>
      </c>
      <c r="I249" s="392">
        <f>IF(H249,Wh_hp,'2026'!Maxi_hp)</f>
        <v>52.494512682759208</v>
      </c>
      <c r="J249" s="85">
        <f>IF(H249,An,'2026'!An_max)</f>
        <v>2019</v>
      </c>
      <c r="K249" s="199">
        <f t="shared" si="79"/>
        <v>46622</v>
      </c>
      <c r="L249" s="147">
        <f>IF(t&lt;Tvie,1-EXP((T0-t)*PertePVj)+'2026'!Pspv,1-EXP((T0-t)*PertePVj)+Pspv)</f>
        <v>7.4115850009532136E-2</v>
      </c>
      <c r="M249" s="870"/>
      <c r="N249" s="870"/>
      <c r="O249" s="48">
        <f>IF(t&lt;Tnet,'2026'!Resal+('2026'!Salim-'2026'!Resal)*(1-EXP(('2026'!Tnet-t)/('2026'!Tau_j))),Resal+(Salim-Resal)*(1-EXP((Tnet-t)/(Tau_j))))*Salcycl</f>
        <v>5.9593728155839736E-2</v>
      </c>
      <c r="P249" s="171">
        <f>(INDEX(Models!$BJ249:$BT249,,T249)*(1-R249)+INDEX(Models!$BJ249:$BT249,,T249+1)*R249-ERP_i)*Q249*Ramure*Pc/MaxiM</f>
        <v>2.7893612970586101E-3</v>
      </c>
      <c r="Q249" s="307">
        <f t="shared" si="80"/>
        <v>1</v>
      </c>
      <c r="R249" s="179">
        <f t="shared" si="81"/>
        <v>0.23304682474925364</v>
      </c>
      <c r="S249" s="837">
        <f t="shared" si="82"/>
        <v>-1</v>
      </c>
      <c r="T249" s="178">
        <f t="shared" si="83"/>
        <v>5</v>
      </c>
      <c r="U249" s="253">
        <f t="shared" si="84"/>
        <v>-0.76695317525074636</v>
      </c>
      <c r="V249" s="385">
        <f t="shared" si="85"/>
        <v>47.868576632149306</v>
      </c>
      <c r="W249" s="404">
        <f t="shared" si="86"/>
        <v>42.222828479644107</v>
      </c>
      <c r="X249" s="157">
        <f t="shared" si="87"/>
        <v>46622</v>
      </c>
      <c r="Y249" s="387">
        <f t="shared" si="88"/>
        <v>38.617347225636124</v>
      </c>
      <c r="Z249" s="387">
        <f t="shared" si="89"/>
        <v>41.708616813489783</v>
      </c>
      <c r="AA249" s="388">
        <f t="shared" si="90"/>
        <v>47.681088736867927</v>
      </c>
      <c r="AB249" s="199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0.12525871538583636</v>
      </c>
      <c r="AD249" s="233">
        <f>(INDEX(Models!$BJ249:$BT249,,AH249)*(1-AF249)+INDEX(Models!$BJ249:$BT249,,AH249+1)*AF249-ERP_i)*AE249*Ramure*Pc/MaxiM</f>
        <v>2.2867547672811208E-2</v>
      </c>
      <c r="AE249" s="307">
        <f t="shared" si="92"/>
        <v>1</v>
      </c>
      <c r="AF249" s="179">
        <f t="shared" si="93"/>
        <v>0.16802941767282409</v>
      </c>
      <c r="AG249" s="837">
        <f t="shared" si="99"/>
        <v>4</v>
      </c>
      <c r="AH249" s="178">
        <f t="shared" si="94"/>
        <v>10</v>
      </c>
      <c r="AI249" s="227">
        <f t="shared" si="95"/>
        <v>4.1680294176728241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46623</v>
      </c>
      <c r="B250" s="1139">
        <f>IF(t&gt;Tmaj,'2026'!Wh/'2026'!Env_an*'2027'!Env_an,0.001*'[10]mon-tableau (1)'!$B$231)</f>
        <v>42.630620778613874</v>
      </c>
      <c r="C250" s="866"/>
      <c r="D250" s="395">
        <f t="shared" si="77"/>
        <v>46.044219332370297</v>
      </c>
      <c r="E250" s="387">
        <f t="shared" si="100"/>
        <v>48.974626454361882</v>
      </c>
      <c r="F250" s="387">
        <f t="shared" si="78"/>
        <v>49.096442357951979</v>
      </c>
      <c r="G250" s="110">
        <f t="shared" si="101"/>
        <v>0.89509997426187615</v>
      </c>
      <c r="H250" s="414" t="b">
        <f>Wh_hp&gt;='2026'!Maxi_hp</f>
        <v>0</v>
      </c>
      <c r="I250" s="392">
        <f>IF(H250,Wh_hp,'2026'!Maxi_hp)</f>
        <v>52.36810981673333</v>
      </c>
      <c r="J250" s="85">
        <f>IF(H250,An,'2026'!An_max)</f>
        <v>2019</v>
      </c>
      <c r="K250" s="199">
        <f t="shared" si="79"/>
        <v>46623</v>
      </c>
      <c r="L250" s="147">
        <f>IF(t&lt;Tvie,1-EXP((T0-t)*PertePVj)+'2026'!Pspv,1-EXP((T0-t)*PertePVj)+Pspv)</f>
        <v>7.4137396686332124E-2</v>
      </c>
      <c r="M250" s="870"/>
      <c r="N250" s="870"/>
      <c r="O250" s="48">
        <f>IF(t&lt;Tnet,'2026'!Resal+('2026'!Salim-'2026'!Resal)*(1-EXP(('2026'!Tnet-t)/('2026'!Tau_j))),Resal+(Salim-Resal)*(1-EXP((Tnet-t)/(Tau_j))))*Salcycl</f>
        <v>5.9835211295023366E-2</v>
      </c>
      <c r="P250" s="171">
        <f>(INDEX(Models!$BJ250:$BT250,,T250)*(1-R250)+INDEX(Models!$BJ250:$BT250,,T250+1)*R250-ERP_i)*Q250*Ramure*Pc/MaxiM</f>
        <v>2.916600140961042E-3</v>
      </c>
      <c r="Q250" s="307">
        <f t="shared" si="80"/>
        <v>1</v>
      </c>
      <c r="R250" s="179">
        <f t="shared" si="81"/>
        <v>0.2342778749187836</v>
      </c>
      <c r="S250" s="837">
        <f t="shared" si="82"/>
        <v>-1</v>
      </c>
      <c r="T250" s="178">
        <f t="shared" si="83"/>
        <v>5</v>
      </c>
      <c r="U250" s="253">
        <f t="shared" si="84"/>
        <v>-0.7657221250812164</v>
      </c>
      <c r="V250" s="385">
        <f t="shared" si="85"/>
        <v>47.60586811728318</v>
      </c>
      <c r="W250" s="404">
        <f t="shared" si="86"/>
        <v>42.630620778613874</v>
      </c>
      <c r="X250" s="157">
        <f t="shared" si="87"/>
        <v>46623</v>
      </c>
      <c r="Y250" s="387">
        <f t="shared" si="88"/>
        <v>38.9680872297468</v>
      </c>
      <c r="Z250" s="387">
        <f t="shared" si="89"/>
        <v>42.08841256821453</v>
      </c>
      <c r="AA250" s="388">
        <f t="shared" si="90"/>
        <v>48.121162924578265</v>
      </c>
      <c r="AB250" s="199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0.12536584715999169</v>
      </c>
      <c r="AD250" s="233">
        <f>(INDEX(Models!$BJ250:$BT250,,AH250)*(1-AF250)+INDEX(Models!$BJ250:$BT250,,AH250+1)*AF250-ERP_i)*AE250*Ramure*Pc/MaxiM</f>
        <v>2.3350810928808342E-2</v>
      </c>
      <c r="AE250" s="307">
        <f t="shared" si="92"/>
        <v>1</v>
      </c>
      <c r="AF250" s="179">
        <f t="shared" si="93"/>
        <v>0.16926046784235371</v>
      </c>
      <c r="AG250" s="837">
        <f t="shared" si="99"/>
        <v>4</v>
      </c>
      <c r="AH250" s="178">
        <f t="shared" si="94"/>
        <v>10</v>
      </c>
      <c r="AI250" s="227">
        <f t="shared" si="95"/>
        <v>4.1692604678423537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46624</v>
      </c>
      <c r="B251" s="1139">
        <f>IF(t&gt;Tmaj,'2026'!Wh/'2026'!Env_an*'2027'!Env_an,0.001*'[10]mon-tableau (1)'!$B$232)</f>
        <v>32.479061456376755</v>
      </c>
      <c r="C251" s="866"/>
      <c r="D251" s="395">
        <f t="shared" si="77"/>
        <v>35.080601800882803</v>
      </c>
      <c r="E251" s="387">
        <f t="shared" si="100"/>
        <v>37.322796410846507</v>
      </c>
      <c r="F251" s="387">
        <f t="shared" si="78"/>
        <v>37.385547960848463</v>
      </c>
      <c r="G251" s="110">
        <f t="shared" si="101"/>
        <v>0.68516403443829099</v>
      </c>
      <c r="H251" s="414" t="b">
        <f>Wh_hp&gt;='2026'!Maxi_hp</f>
        <v>0</v>
      </c>
      <c r="I251" s="392">
        <f>IF(H251,Wh_hp,'2026'!Maxi_hp)</f>
        <v>49.230030482850516</v>
      </c>
      <c r="J251" s="85">
        <f>IF(H251,An,'2026'!An_max)</f>
        <v>2021</v>
      </c>
      <c r="K251" s="199">
        <f t="shared" si="79"/>
        <v>46624</v>
      </c>
      <c r="L251" s="147">
        <f>IF(t&lt;Tvie,1-EXP((T0-t)*PertePVj)+'2026'!Pspv,1-EXP((T0-t)*PertePVj)+Pspv)</f>
        <v>7.4158942861709432E-2</v>
      </c>
      <c r="M251" s="870"/>
      <c r="N251" s="870"/>
      <c r="O251" s="48">
        <f>IF(t&lt;Tnet,'2026'!Resal+('2026'!Salim-'2026'!Resal)*(1-EXP(('2026'!Tnet-t)/('2026'!Tau_j))),Resal+(Salim-Resal)*(1-EXP((Tnet-t)/(Tau_j))))*Salcycl</f>
        <v>6.0075739911924005E-2</v>
      </c>
      <c r="P251" s="171">
        <f>(INDEX(Models!$BJ251:$BT251,,T251)*(1-R251)+INDEX(Models!$BJ251:$BT251,,T251+1)*R251-ERP_i)*Q251*Ramure*Pc/MaxiM</f>
        <v>3.0431043475427372E-3</v>
      </c>
      <c r="Q251" s="307">
        <f t="shared" si="80"/>
        <v>1</v>
      </c>
      <c r="R251" s="179">
        <f t="shared" si="81"/>
        <v>0.23546362615393401</v>
      </c>
      <c r="S251" s="837">
        <f t="shared" si="82"/>
        <v>-1</v>
      </c>
      <c r="T251" s="178">
        <f t="shared" si="83"/>
        <v>5</v>
      </c>
      <c r="U251" s="253">
        <f t="shared" si="84"/>
        <v>-0.76453637384606599</v>
      </c>
      <c r="V251" s="385">
        <f t="shared" si="85"/>
        <v>47.338541078472531</v>
      </c>
      <c r="W251" s="404">
        <f t="shared" si="86"/>
        <v>32.479061456376755</v>
      </c>
      <c r="X251" s="157">
        <f t="shared" si="87"/>
        <v>46624</v>
      </c>
      <c r="Y251" s="387">
        <f t="shared" si="88"/>
        <v>29.872338182397129</v>
      </c>
      <c r="Z251" s="387">
        <f t="shared" si="89"/>
        <v>32.265082599307512</v>
      </c>
      <c r="AA251" s="388">
        <f t="shared" si="90"/>
        <v>36.894275705311344</v>
      </c>
      <c r="AB251" s="199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0.12547185213714362</v>
      </c>
      <c r="AD251" s="233">
        <f>(INDEX(Models!$BJ251:$BT251,,AH251)*(1-AF251)+INDEX(Models!$BJ251:$BT251,,AH251+1)*AF251-ERP_i)*AE251*Ramure*Pc/MaxiM</f>
        <v>2.3823996962712136E-2</v>
      </c>
      <c r="AE251" s="307">
        <f t="shared" si="92"/>
        <v>1</v>
      </c>
      <c r="AF251" s="179">
        <f t="shared" si="93"/>
        <v>0.17044621907750468</v>
      </c>
      <c r="AG251" s="837">
        <f t="shared" si="99"/>
        <v>4</v>
      </c>
      <c r="AH251" s="178">
        <f t="shared" si="94"/>
        <v>10</v>
      </c>
      <c r="AI251" s="227">
        <f t="shared" si="95"/>
        <v>4.1704462190775047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46625</v>
      </c>
      <c r="B252" s="1139">
        <f>IF(t&gt;Tmaj,'2026'!Wh/'2026'!Env_an*'2027'!Env_an,0.001*'[10]mon-tableau (1)'!$B$233)</f>
        <v>39.337887307290934</v>
      </c>
      <c r="C252" s="866"/>
      <c r="D252" s="395">
        <f t="shared" si="77"/>
        <v>42.489801543577414</v>
      </c>
      <c r="E252" s="387">
        <f t="shared" si="100"/>
        <v>45.21708319724025</v>
      </c>
      <c r="F252" s="387">
        <f t="shared" si="78"/>
        <v>45.327026100075692</v>
      </c>
      <c r="G252" s="110">
        <f t="shared" si="101"/>
        <v>0.83517267457223454</v>
      </c>
      <c r="H252" s="414" t="b">
        <f>Wh_hp&gt;='2026'!Maxi_hp</f>
        <v>0</v>
      </c>
      <c r="I252" s="392">
        <f>IF(H252,Wh_hp,'2026'!Maxi_hp)</f>
        <v>51.409197401417927</v>
      </c>
      <c r="J252" s="85">
        <f>IF(H252,An,'2026'!An_max)</f>
        <v>2021</v>
      </c>
      <c r="K252" s="199">
        <f t="shared" si="79"/>
        <v>46625</v>
      </c>
      <c r="L252" s="147">
        <f>IF(t&lt;Tvie,1-EXP((T0-t)*PertePVj)+'2026'!Pspv,1-EXP((T0-t)*PertePVj)+Pspv)</f>
        <v>7.4180488535675715E-2</v>
      </c>
      <c r="M252" s="870"/>
      <c r="N252" s="870"/>
      <c r="O252" s="48">
        <f>IF(t&lt;Tnet,'2026'!Resal+('2026'!Salim-'2026'!Resal)*(1-EXP(('2026'!Tnet-t)/('2026'!Tau_j))),Resal+(Salim-Resal)*(1-EXP((Tnet-t)/(Tau_j))))*Salcycl</f>
        <v>6.0315293708049014E-2</v>
      </c>
      <c r="P252" s="171">
        <f>(INDEX(Models!$BJ252:$BT252,,T252)*(1-R252)+INDEX(Models!$BJ252:$BT252,,T252+1)*R252-ERP_i)*Q252*Ramure*Pc/MaxiM</f>
        <v>3.1689031768208395E-3</v>
      </c>
      <c r="Q252" s="307">
        <f t="shared" si="80"/>
        <v>1</v>
      </c>
      <c r="R252" s="179">
        <f t="shared" si="81"/>
        <v>0.23660558655589914</v>
      </c>
      <c r="S252" s="837">
        <f t="shared" si="82"/>
        <v>-1</v>
      </c>
      <c r="T252" s="178">
        <f t="shared" si="83"/>
        <v>5</v>
      </c>
      <c r="U252" s="253">
        <f t="shared" si="84"/>
        <v>-0.76339441344410086</v>
      </c>
      <c r="V252" s="385">
        <f t="shared" si="85"/>
        <v>47.066403635494559</v>
      </c>
      <c r="W252" s="404">
        <f t="shared" si="86"/>
        <v>39.337887307290934</v>
      </c>
      <c r="X252" s="157">
        <f t="shared" si="87"/>
        <v>46625</v>
      </c>
      <c r="Y252" s="387">
        <f t="shared" si="88"/>
        <v>36.012706819977815</v>
      </c>
      <c r="Z252" s="387">
        <f t="shared" si="89"/>
        <v>38.898193842359454</v>
      </c>
      <c r="AA252" s="388">
        <f t="shared" si="90"/>
        <v>44.48439742122796</v>
      </c>
      <c r="AB252" s="199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0.12557669436256685</v>
      </c>
      <c r="AD252" s="233">
        <f>(INDEX(Models!$BJ252:$BT252,,AH252)*(1-AF252)+INDEX(Models!$BJ252:$BT252,,AH252+1)*AF252-ERP_i)*AE252*Ramure*Pc/MaxiM</f>
        <v>2.4287231175600318E-2</v>
      </c>
      <c r="AE252" s="307">
        <f t="shared" si="92"/>
        <v>1</v>
      </c>
      <c r="AF252" s="179">
        <f t="shared" si="93"/>
        <v>0.17158817947946936</v>
      </c>
      <c r="AG252" s="837">
        <f t="shared" si="99"/>
        <v>4</v>
      </c>
      <c r="AH252" s="178">
        <f t="shared" si="94"/>
        <v>10</v>
      </c>
      <c r="AI252" s="227">
        <f t="shared" si="95"/>
        <v>4.1715881794794694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46626</v>
      </c>
      <c r="B253" s="1139">
        <f>IF(t&gt;Tmaj,'2026'!Wh/'2026'!Env_an*'2027'!Env_an,0.001*'[10]mon-tableau (1)'!$B$234)</f>
        <v>45.765794569858784</v>
      </c>
      <c r="C253" s="866"/>
      <c r="D253" s="395">
        <f t="shared" si="77"/>
        <v>49.433889721287301</v>
      </c>
      <c r="E253" s="387">
        <f t="shared" si="100"/>
        <v>52.620248434806456</v>
      </c>
      <c r="F253" s="387">
        <f t="shared" si="78"/>
        <v>52.78870221294968</v>
      </c>
      <c r="G253" s="110">
        <f t="shared" si="101"/>
        <v>0.97802497115286657</v>
      </c>
      <c r="H253" s="414" t="b">
        <f>Wh_hp&gt;='2026'!Maxi_hp</f>
        <v>0</v>
      </c>
      <c r="I253" s="392">
        <f>IF(H253,Wh_hp,'2026'!Maxi_hp)</f>
        <v>52.792945343373624</v>
      </c>
      <c r="J253" s="85">
        <f>IF(H253,An,'2026'!An_max)</f>
        <v>2025</v>
      </c>
      <c r="K253" s="199">
        <f t="shared" si="79"/>
        <v>46626</v>
      </c>
      <c r="L253" s="147">
        <f>IF(t&lt;Tvie,1-EXP((T0-t)*PertePVj)+'2026'!Pspv,1-EXP((T0-t)*PertePVj)+Pspv)</f>
        <v>7.4202033708242743E-2</v>
      </c>
      <c r="M253" s="870"/>
      <c r="N253" s="870"/>
      <c r="O253" s="48">
        <f>IF(t&lt;Tnet,'2026'!Resal+('2026'!Salim-'2026'!Resal)*(1-EXP(('2026'!Tnet-t)/('2026'!Tau_j))),Resal+(Salim-Resal)*(1-EXP((Tnet-t)/(Tau_j))))*Salcycl</f>
        <v>6.0553851574206757E-2</v>
      </c>
      <c r="P253" s="171">
        <f>(INDEX(Models!$BJ253:$BT253,,T253)*(1-R253)+INDEX(Models!$BJ253:$BT253,,T253+1)*R253-ERP_i)*Q253*Ramure*Pc/MaxiM</f>
        <v>3.2940290914886565E-3</v>
      </c>
      <c r="Q253" s="307">
        <f t="shared" si="80"/>
        <v>1</v>
      </c>
      <c r="R253" s="179">
        <f t="shared" si="81"/>
        <v>0.23770522612524525</v>
      </c>
      <c r="S253" s="837">
        <f t="shared" si="82"/>
        <v>-1</v>
      </c>
      <c r="T253" s="178">
        <f t="shared" si="83"/>
        <v>5</v>
      </c>
      <c r="U253" s="253">
        <f t="shared" si="84"/>
        <v>-0.76229477387475475</v>
      </c>
      <c r="V253" s="385">
        <f t="shared" si="85"/>
        <v>46.78926406866119</v>
      </c>
      <c r="W253" s="404">
        <f t="shared" si="86"/>
        <v>45.765794569858784</v>
      </c>
      <c r="X253" s="157">
        <f t="shared" si="87"/>
        <v>46626</v>
      </c>
      <c r="Y253" s="387">
        <f t="shared" si="88"/>
        <v>41.705345074765717</v>
      </c>
      <c r="Z253" s="387">
        <f t="shared" si="89"/>
        <v>45.047998152139641</v>
      </c>
      <c r="AA253" s="388">
        <f t="shared" si="90"/>
        <v>51.523487389869622</v>
      </c>
      <c r="AB253" s="199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0.12568033659544506</v>
      </c>
      <c r="AD253" s="233">
        <f>(INDEX(Models!$BJ253:$BT253,,AH253)*(1-AF253)+INDEX(Models!$BJ253:$BT253,,AH253+1)*AF253-ERP_i)*AE253*Ramure*Pc/MaxiM</f>
        <v>2.4740640905453554E-2</v>
      </c>
      <c r="AE253" s="307">
        <f t="shared" si="92"/>
        <v>1</v>
      </c>
      <c r="AF253" s="179">
        <f t="shared" si="93"/>
        <v>0.17268781904881614</v>
      </c>
      <c r="AG253" s="837">
        <f t="shared" si="99"/>
        <v>4</v>
      </c>
      <c r="AH253" s="178">
        <f t="shared" si="94"/>
        <v>10</v>
      </c>
      <c r="AI253" s="227">
        <f t="shared" si="95"/>
        <v>4.1726878190488161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46627</v>
      </c>
      <c r="B254" s="1139">
        <f>IF(t&gt;Tmaj,'2026'!Wh/'2026'!Env_an*'2027'!Env_an,0.001*'[10]mon-tableau (1)'!$B$235)</f>
        <v>44.135393875475586</v>
      </c>
      <c r="C254" s="866"/>
      <c r="D254" s="395">
        <f t="shared" si="77"/>
        <v>47.673923038800538</v>
      </c>
      <c r="E254" s="387">
        <f t="shared" si="100"/>
        <v>50.759674273404208</v>
      </c>
      <c r="F254" s="387">
        <f t="shared" si="78"/>
        <v>50.920977491196751</v>
      </c>
      <c r="G254" s="110">
        <f t="shared" si="101"/>
        <v>0.94876803743141103</v>
      </c>
      <c r="H254" s="414" t="b">
        <f>Wh_hp&gt;='2026'!Maxi_hp</f>
        <v>0</v>
      </c>
      <c r="I254" s="392">
        <f>IF(H254,Wh_hp,'2026'!Maxi_hp)</f>
        <v>52.903282092675809</v>
      </c>
      <c r="J254" s="85">
        <f>IF(H254,An,'2026'!An_max)</f>
        <v>2021</v>
      </c>
      <c r="K254" s="199">
        <f t="shared" si="79"/>
        <v>46627</v>
      </c>
      <c r="L254" s="147">
        <f>IF(t&lt;Tvie,1-EXP((T0-t)*PertePVj)+'2026'!Pspv,1-EXP((T0-t)*PertePVj)+Pspv)</f>
        <v>7.4223578379422173E-2</v>
      </c>
      <c r="M254" s="870"/>
      <c r="N254" s="870"/>
      <c r="O254" s="48">
        <f>IF(t&lt;Tnet,'2026'!Resal+('2026'!Salim-'2026'!Resal)*(1-EXP(('2026'!Tnet-t)/('2026'!Tau_j))),Resal+(Salim-Resal)*(1-EXP((Tnet-t)/(Tau_j))))*Salcycl</f>
        <v>6.0791391567704842E-2</v>
      </c>
      <c r="P254" s="171">
        <f>(INDEX(Models!$BJ254:$BT254,,T254)*(1-R254)+INDEX(Models!$BJ254:$BT254,,T254+1)*R254-ERP_i)*Q254*Ramure*Pc/MaxiM</f>
        <v>3.4166170143099472E-3</v>
      </c>
      <c r="Q254" s="307">
        <f t="shared" si="80"/>
        <v>1</v>
      </c>
      <c r="R254" s="179">
        <f t="shared" si="81"/>
        <v>0.23876397675882899</v>
      </c>
      <c r="S254" s="837">
        <f t="shared" si="82"/>
        <v>-1</v>
      </c>
      <c r="T254" s="178">
        <f t="shared" si="83"/>
        <v>5</v>
      </c>
      <c r="U254" s="253">
        <f t="shared" si="84"/>
        <v>-0.76123602324117101</v>
      </c>
      <c r="V254" s="385">
        <f t="shared" si="85"/>
        <v>46.507019525334982</v>
      </c>
      <c r="W254" s="404">
        <f t="shared" si="86"/>
        <v>44.135393875475586</v>
      </c>
      <c r="X254" s="157">
        <f t="shared" si="87"/>
        <v>46627</v>
      </c>
      <c r="Y254" s="387">
        <f t="shared" si="88"/>
        <v>40.248189331759363</v>
      </c>
      <c r="Z254" s="387">
        <f t="shared" si="89"/>
        <v>43.475064164309387</v>
      </c>
      <c r="AA254" s="388">
        <f t="shared" si="90"/>
        <v>49.73027434635808</v>
      </c>
      <c r="AB254" s="199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0.1257827402777395</v>
      </c>
      <c r="AD254" s="233">
        <f>(INDEX(Models!$BJ254:$BT254,,AH254)*(1-AF254)+INDEX(Models!$BJ254:$BT254,,AH254+1)*AF254-ERP_i)*AE254*Ramure*Pc/MaxiM</f>
        <v>2.5220678665445966E-2</v>
      </c>
      <c r="AE254" s="307">
        <f t="shared" si="92"/>
        <v>1</v>
      </c>
      <c r="AF254" s="179">
        <f t="shared" si="93"/>
        <v>0.17374656968239943</v>
      </c>
      <c r="AG254" s="837">
        <f t="shared" si="99"/>
        <v>4</v>
      </c>
      <c r="AH254" s="178">
        <f t="shared" si="94"/>
        <v>10</v>
      </c>
      <c r="AI254" s="227">
        <f t="shared" si="95"/>
        <v>4.1737465696823994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46628</v>
      </c>
      <c r="B255" s="1139">
        <f>IF(t&gt;Tmaj,'2026'!Wh/'2026'!Env_an*'2027'!Env_an,0.001*'[10]mon-tableau (1)'!$B$236)</f>
        <v>31.011305827142838</v>
      </c>
      <c r="C255" s="866"/>
      <c r="D255" s="395">
        <f t="shared" si="77"/>
        <v>33.498398531302165</v>
      </c>
      <c r="E255" s="387">
        <f t="shared" si="100"/>
        <v>35.675605490210202</v>
      </c>
      <c r="F255" s="387">
        <f t="shared" si="78"/>
        <v>35.742612232703685</v>
      </c>
      <c r="G255" s="110">
        <f t="shared" si="101"/>
        <v>0.66984029502809939</v>
      </c>
      <c r="H255" s="414" t="b">
        <f>Wh_hp&gt;='2026'!Maxi_hp</f>
        <v>0</v>
      </c>
      <c r="I255" s="392">
        <f>IF(H255,Wh_hp,'2026'!Maxi_hp)</f>
        <v>52.164540919966655</v>
      </c>
      <c r="J255" s="85">
        <f>IF(H255,An,'2026'!An_max)</f>
        <v>2021</v>
      </c>
      <c r="K255" s="199">
        <f t="shared" si="79"/>
        <v>46628</v>
      </c>
      <c r="L255" s="147">
        <f>IF(t&lt;Tvie,1-EXP((T0-t)*PertePVj)+'2026'!Pspv,1-EXP((T0-t)*PertePVj)+Pspv)</f>
        <v>7.4245122549225551E-2</v>
      </c>
      <c r="M255" s="870"/>
      <c r="N255" s="870"/>
      <c r="O255" s="48">
        <f>IF(t&lt;Tnet,'2026'!Resal+('2026'!Salim-'2026'!Resal)*(1-EXP(('2026'!Tnet-t)/('2026'!Tau_j))),Resal+(Salim-Resal)*(1-EXP((Tnet-t)/(Tau_j))))*Salcycl</f>
        <v>6.1027890879258959E-2</v>
      </c>
      <c r="P255" s="171">
        <f>(INDEX(Models!$BJ255:$BT255,,T255)*(1-R255)+INDEX(Models!$BJ255:$BT255,,T255+1)*R255-ERP_i)*Q255*Ramure*Pc/MaxiM</f>
        <v>3.537572822649208E-3</v>
      </c>
      <c r="Q255" s="307">
        <f t="shared" si="80"/>
        <v>1</v>
      </c>
      <c r="R255" s="179">
        <f t="shared" si="81"/>
        <v>0.23978323234204146</v>
      </c>
      <c r="S255" s="837">
        <f t="shared" si="82"/>
        <v>-1</v>
      </c>
      <c r="T255" s="178">
        <f t="shared" si="83"/>
        <v>5</v>
      </c>
      <c r="U255" s="253">
        <f t="shared" si="84"/>
        <v>-0.76021676765795854</v>
      </c>
      <c r="V255" s="385">
        <f t="shared" si="85"/>
        <v>46.219436784987572</v>
      </c>
      <c r="W255" s="404">
        <f t="shared" si="86"/>
        <v>31.011305827142838</v>
      </c>
      <c r="X255" s="157">
        <f t="shared" si="87"/>
        <v>46628</v>
      </c>
      <c r="Y255" s="387">
        <f t="shared" si="88"/>
        <v>28.528968300097599</v>
      </c>
      <c r="Z255" s="387">
        <f t="shared" si="89"/>
        <v>30.816978657090125</v>
      </c>
      <c r="AA255" s="388">
        <f t="shared" si="90"/>
        <v>35.255016399040315</v>
      </c>
      <c r="AB255" s="199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0.12588386548221836</v>
      </c>
      <c r="AD255" s="233">
        <f>(INDEX(Models!$BJ255:$BT255,,AH255)*(1-AF255)+INDEX(Models!$BJ255:$BT255,,AH255+1)*AF255-ERP_i)*AE255*Ramure*Pc/MaxiM</f>
        <v>2.5742271679188126E-2</v>
      </c>
      <c r="AE255" s="307">
        <f t="shared" si="92"/>
        <v>1</v>
      </c>
      <c r="AF255" s="179">
        <f t="shared" si="93"/>
        <v>0.17476582526561213</v>
      </c>
      <c r="AG255" s="837">
        <f t="shared" si="99"/>
        <v>4</v>
      </c>
      <c r="AH255" s="178">
        <f t="shared" si="94"/>
        <v>10</v>
      </c>
      <c r="AI255" s="227">
        <f t="shared" si="95"/>
        <v>4.1747658252656121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46629</v>
      </c>
      <c r="B256" s="1139">
        <f>IF(t&gt;Tmaj,'2026'!Wh/'2026'!Env_an*'2027'!Env_an,0.001*'[10]mon-tableau (1)'!$B$237)</f>
        <v>43.177043686778809</v>
      </c>
      <c r="C256" s="866"/>
      <c r="D256" s="395">
        <f t="shared" si="77"/>
        <v>46.640908468065263</v>
      </c>
      <c r="E256" s="387">
        <f t="shared" si="100"/>
        <v>49.684762244254536</v>
      </c>
      <c r="F256" s="387">
        <f t="shared" si="78"/>
        <v>49.851474709333459</v>
      </c>
      <c r="G256" s="110">
        <f t="shared" si="101"/>
        <v>0.93984214382052045</v>
      </c>
      <c r="H256" s="414" t="b">
        <f>Wh_hp&gt;='2026'!Maxi_hp</f>
        <v>0</v>
      </c>
      <c r="I256" s="392">
        <f>IF(H256,Wh_hp,'2026'!Maxi_hp)</f>
        <v>50.422665541987861</v>
      </c>
      <c r="J256" s="85">
        <f>IF(H256,An,'2026'!An_max)</f>
        <v>2021</v>
      </c>
      <c r="K256" s="199">
        <f t="shared" si="79"/>
        <v>46629</v>
      </c>
      <c r="L256" s="147">
        <f>IF(t&lt;Tvie,1-EXP((T0-t)*PertePVj)+'2026'!Pspv,1-EXP((T0-t)*PertePVj)+Pspv)</f>
        <v>7.4266666217664645E-2</v>
      </c>
      <c r="M256" s="870"/>
      <c r="N256" s="870"/>
      <c r="O256" s="48">
        <f>IF(t&lt;Tnet,'2026'!Resal+('2026'!Salim-'2026'!Resal)*(1-EXP(('2026'!Tnet-t)/('2026'!Tau_j))),Resal+(Salim-Resal)*(1-EXP((Tnet-t)/(Tau_j))))*Salcycl</f>
        <v>6.1263325790418953E-2</v>
      </c>
      <c r="P256" s="171">
        <f>(INDEX(Models!$BJ256:$BT256,,T256)*(1-R256)+INDEX(Models!$BJ256:$BT256,,T256+1)*R256-ERP_i)*Q256*Ramure*Pc/MaxiM</f>
        <v>3.6569167693084634E-3</v>
      </c>
      <c r="Q256" s="307">
        <f t="shared" si="80"/>
        <v>1</v>
      </c>
      <c r="R256" s="179">
        <f t="shared" si="81"/>
        <v>0.24076434892768606</v>
      </c>
      <c r="S256" s="837">
        <f t="shared" si="82"/>
        <v>-1</v>
      </c>
      <c r="T256" s="178">
        <f t="shared" si="83"/>
        <v>5</v>
      </c>
      <c r="U256" s="253">
        <f t="shared" si="84"/>
        <v>-0.75923565107231394</v>
      </c>
      <c r="V256" s="385">
        <f t="shared" si="85"/>
        <v>45.926324705289737</v>
      </c>
      <c r="W256" s="404">
        <f t="shared" si="86"/>
        <v>43.177043686778809</v>
      </c>
      <c r="X256" s="157">
        <f t="shared" si="87"/>
        <v>46629</v>
      </c>
      <c r="Y256" s="387">
        <f t="shared" si="88"/>
        <v>39.364789843124122</v>
      </c>
      <c r="Z256" s="387">
        <f t="shared" si="89"/>
        <v>42.522817756047054</v>
      </c>
      <c r="AA256" s="388">
        <f t="shared" si="90"/>
        <v>48.652200579593121</v>
      </c>
      <c r="AB256" s="199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0.12598367084174611</v>
      </c>
      <c r="AD256" s="233">
        <f>(INDEX(Models!$BJ256:$BT256,,AH256)*(1-AF256)+INDEX(Models!$BJ256:$BT256,,AH256+1)*AF256-ERP_i)*AE256*Ramure*Pc/MaxiM</f>
        <v>2.6306645240769033E-2</v>
      </c>
      <c r="AE256" s="307">
        <f t="shared" si="92"/>
        <v>1</v>
      </c>
      <c r="AF256" s="179">
        <f t="shared" si="93"/>
        <v>0.17574694185125672</v>
      </c>
      <c r="AG256" s="837">
        <f t="shared" si="99"/>
        <v>4</v>
      </c>
      <c r="AH256" s="178">
        <f t="shared" si="94"/>
        <v>10</v>
      </c>
      <c r="AI256" s="227">
        <f t="shared" si="95"/>
        <v>4.1757469418512567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46630</v>
      </c>
      <c r="B257" s="1139">
        <f>IF(t&gt;Tmaj,'2026'!Wh/'2026'!Env_an*'2027'!Env_an,0.001*'[10]mon-tableau (1)'!$B$238)</f>
        <v>20.274553006440033</v>
      </c>
      <c r="C257" s="866"/>
      <c r="D257" s="395">
        <f t="shared" si="77"/>
        <v>21.901582341265318</v>
      </c>
      <c r="E257" s="387">
        <f t="shared" si="100"/>
        <v>23.336737351658591</v>
      </c>
      <c r="F257" s="387">
        <f t="shared" si="78"/>
        <v>23.354916547833714</v>
      </c>
      <c r="G257" s="110">
        <f t="shared" si="101"/>
        <v>0.44301705771581301</v>
      </c>
      <c r="H257" s="414" t="b">
        <f>Wh_hp&gt;='2026'!Maxi_hp</f>
        <v>0</v>
      </c>
      <c r="I257" s="392">
        <f>IF(H257,Wh_hp,'2026'!Maxi_hp)</f>
        <v>50.324433414295505</v>
      </c>
      <c r="J257" s="85">
        <f>IF(H257,An,'2026'!An_max)</f>
        <v>2021</v>
      </c>
      <c r="K257" s="199">
        <f t="shared" si="79"/>
        <v>46630</v>
      </c>
      <c r="L257" s="147">
        <f>IF(t&lt;Tvie,1-EXP((T0-t)*PertePVj)+'2026'!Pspv,1-EXP((T0-t)*PertePVj)+Pspv)</f>
        <v>7.4288209384751114E-2</v>
      </c>
      <c r="M257" s="870"/>
      <c r="N257" s="870"/>
      <c r="O257" s="48">
        <f>IF(t&lt;Tnet,'2026'!Resal+('2026'!Salim-'2026'!Resal)*(1-EXP(('2026'!Tnet-t)/('2026'!Tau_j))),Resal+(Salim-Resal)*(1-EXP((Tnet-t)/(Tau_j))))*Salcycl</f>
        <v>6.1497671622519019E-2</v>
      </c>
      <c r="P257" s="171">
        <f>(INDEX(Models!$BJ257:$BT257,,T257)*(1-R257)+INDEX(Models!$BJ257:$BT257,,T257+1)*R257-ERP_i)*Q257*Ramure*Pc/MaxiM</f>
        <v>3.7746712879448523E-3</v>
      </c>
      <c r="Q257" s="307">
        <f t="shared" si="80"/>
        <v>1</v>
      </c>
      <c r="R257" s="179">
        <f t="shared" si="81"/>
        <v>0.24170864499326639</v>
      </c>
      <c r="S257" s="837">
        <f t="shared" si="82"/>
        <v>-1</v>
      </c>
      <c r="T257" s="178">
        <f t="shared" si="83"/>
        <v>5</v>
      </c>
      <c r="U257" s="253">
        <f t="shared" si="84"/>
        <v>-0.75829135500673361</v>
      </c>
      <c r="V257" s="385">
        <f t="shared" si="85"/>
        <v>45.627492295370757</v>
      </c>
      <c r="W257" s="404">
        <f t="shared" si="86"/>
        <v>20.274553006440033</v>
      </c>
      <c r="X257" s="157">
        <f t="shared" si="87"/>
        <v>46630</v>
      </c>
      <c r="Y257" s="387">
        <f t="shared" si="88"/>
        <v>18.789169476655623</v>
      </c>
      <c r="Z257" s="387">
        <f t="shared" si="89"/>
        <v>20.296997042857061</v>
      </c>
      <c r="AA257" s="388">
        <f t="shared" si="90"/>
        <v>23.225290791643626</v>
      </c>
      <c r="AB257" s="199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0.12608211346228462</v>
      </c>
      <c r="AD257" s="233">
        <f>(INDEX(Models!$BJ257:$BT257,,AH257)*(1-AF257)+INDEX(Models!$BJ257:$BT257,,AH257+1)*AF257-ERP_i)*AE257*Ramure*Pc/MaxiM</f>
        <v>2.6915085538186456E-2</v>
      </c>
      <c r="AE257" s="307">
        <f t="shared" si="92"/>
        <v>1</v>
      </c>
      <c r="AF257" s="179">
        <f t="shared" si="93"/>
        <v>0.17669123791683639</v>
      </c>
      <c r="AG257" s="837">
        <f t="shared" si="99"/>
        <v>4</v>
      </c>
      <c r="AH257" s="178">
        <f t="shared" si="94"/>
        <v>10</v>
      </c>
      <c r="AI257" s="227">
        <f t="shared" si="95"/>
        <v>4.1766912379168364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46631</v>
      </c>
      <c r="B258" s="1139">
        <f>IF(t&gt;Tmaj,'2026'!Wh/'2026'!Env_an*'2027'!Env_an,0.001*'[11]mon-tableau (3)'!$B$202)</f>
        <v>40.849417463576266</v>
      </c>
      <c r="C258" s="866"/>
      <c r="D258" s="395">
        <f t="shared" si="77"/>
        <v>44.128603011711341</v>
      </c>
      <c r="E258" s="387">
        <f t="shared" si="100"/>
        <v>47.03192627539304</v>
      </c>
      <c r="F258" s="387">
        <f t="shared" si="78"/>
        <v>47.189645988230559</v>
      </c>
      <c r="G258" s="110">
        <f t="shared" si="101"/>
        <v>0.900804411246513</v>
      </c>
      <c r="H258" s="414" t="b">
        <f>Wh_hp&gt;='2026'!Maxi_hp</f>
        <v>0</v>
      </c>
      <c r="I258" s="392">
        <f>IF(H258,Wh_hp,'2026'!Maxi_hp)</f>
        <v>47.209660882087292</v>
      </c>
      <c r="J258" s="85">
        <f>IF(H258,An,'2026'!An_max)</f>
        <v>2025</v>
      </c>
      <c r="K258" s="199">
        <f t="shared" si="79"/>
        <v>46631</v>
      </c>
      <c r="L258" s="147">
        <f>IF(t&lt;Tvie,1-EXP((T0-t)*PertePVj)+'2026'!Pspv,1-EXP((T0-t)*PertePVj)+Pspv)</f>
        <v>7.4309752050496725E-2</v>
      </c>
      <c r="M258" s="870"/>
      <c r="N258" s="870"/>
      <c r="O258" s="48">
        <f>IF(t&lt;Tnet,'2026'!Resal+('2026'!Salim-'2026'!Resal)*(1-EXP(('2026'!Tnet-t)/('2026'!Tau_j))),Resal+(Salim-Resal)*(1-EXP((Tnet-t)/(Tau_j))))*Salcycl</f>
        <v>6.1730902678351719E-2</v>
      </c>
      <c r="P258" s="171">
        <f>(INDEX(Models!$BJ258:$BT258,,T258)*(1-R258)+INDEX(Models!$BJ258:$BT258,,T258+1)*R258-ERP_i)*Q258*Ramure*Pc/MaxiM</f>
        <v>3.8908609583366803E-3</v>
      </c>
      <c r="Q258" s="307">
        <f t="shared" si="80"/>
        <v>1</v>
      </c>
      <c r="R258" s="179">
        <f t="shared" si="81"/>
        <v>0.24261740176893642</v>
      </c>
      <c r="S258" s="837">
        <f t="shared" si="82"/>
        <v>-1</v>
      </c>
      <c r="T258" s="178">
        <f t="shared" si="83"/>
        <v>5</v>
      </c>
      <c r="U258" s="253">
        <f t="shared" si="84"/>
        <v>-0.75738259823106358</v>
      </c>
      <c r="V258" s="385">
        <f t="shared" si="85"/>
        <v>45.322748719057458</v>
      </c>
      <c r="W258" s="404">
        <f t="shared" si="86"/>
        <v>40.849417463576266</v>
      </c>
      <c r="X258" s="157">
        <f t="shared" si="87"/>
        <v>46631</v>
      </c>
      <c r="Y258" s="387">
        <f t="shared" si="88"/>
        <v>37.267153401945805</v>
      </c>
      <c r="Z258" s="387">
        <f t="shared" si="89"/>
        <v>40.258772828704082</v>
      </c>
      <c r="AA258" s="388">
        <f t="shared" si="90"/>
        <v>46.072112807160565</v>
      </c>
      <c r="AB258" s="199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0.12617914882238626</v>
      </c>
      <c r="AD258" s="233">
        <f>(INDEX(Models!$BJ258:$BT258,,AH258)*(1-AF258)+INDEX(Models!$BJ258:$BT258,,AH258+1)*AF258-ERP_i)*AE258*Ramure*Pc/MaxiM</f>
        <v>2.7568945857455777E-2</v>
      </c>
      <c r="AE258" s="307">
        <f t="shared" si="92"/>
        <v>1</v>
      </c>
      <c r="AF258" s="179">
        <f t="shared" si="93"/>
        <v>0.17759999469250687</v>
      </c>
      <c r="AG258" s="837">
        <f t="shared" si="99"/>
        <v>4</v>
      </c>
      <c r="AH258" s="178">
        <f t="shared" si="94"/>
        <v>10</v>
      </c>
      <c r="AI258" s="227">
        <f t="shared" si="95"/>
        <v>4.1775999946925069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46632</v>
      </c>
      <c r="B259" s="1139">
        <f>IF(t&gt;Tmaj,'2026'!Wh/'2026'!Env_an*'2027'!Env_an,0.001*'[11]mon-tableau (3)'!$B$203)</f>
        <v>35.50525367433589</v>
      </c>
      <c r="C259" s="866"/>
      <c r="D259" s="395">
        <f t="shared" si="77"/>
        <v>38.356329270333099</v>
      </c>
      <c r="E259" s="387">
        <f t="shared" si="100"/>
        <v>40.8899957576186</v>
      </c>
      <c r="F259" s="387">
        <f t="shared" si="78"/>
        <v>41.004684831811218</v>
      </c>
      <c r="G259" s="110">
        <f t="shared" si="101"/>
        <v>0.78784102182981475</v>
      </c>
      <c r="H259" s="414" t="b">
        <f>Wh_hp&gt;='2026'!Maxi_hp</f>
        <v>0</v>
      </c>
      <c r="I259" s="392">
        <f>IF(H259,Wh_hp,'2026'!Maxi_hp)</f>
        <v>49.191044286339199</v>
      </c>
      <c r="J259" s="85">
        <f>IF(H259,An,'2026'!An_max)</f>
        <v>2019</v>
      </c>
      <c r="K259" s="199">
        <f t="shared" si="79"/>
        <v>46632</v>
      </c>
      <c r="L259" s="147">
        <f>IF(t&lt;Tvie,1-EXP((T0-t)*PertePVj)+'2026'!Pspv,1-EXP((T0-t)*PertePVj)+Pspv)</f>
        <v>7.4331294214912913E-2</v>
      </c>
      <c r="M259" s="870"/>
      <c r="N259" s="870"/>
      <c r="O259" s="48">
        <f>IF(t&lt;Tnet,'2026'!Resal+('2026'!Salim-'2026'!Resal)*(1-EXP(('2026'!Tnet-t)/('2026'!Tau_j))),Resal+(Salim-Resal)*(1-EXP((Tnet-t)/(Tau_j))))*Salcycl</f>
        <v>6.1962992177944348E-2</v>
      </c>
      <c r="P259" s="171">
        <f>(INDEX(Models!$BJ259:$BT259,,T259)*(1-R259)+INDEX(Models!$BJ259:$BT259,,T259+1)*R259-ERP_i)*Q259*Ramure*Pc/MaxiM</f>
        <v>4.0055124790337694E-3</v>
      </c>
      <c r="Q259" s="307">
        <f t="shared" si="80"/>
        <v>1</v>
      </c>
      <c r="R259" s="179">
        <f t="shared" si="81"/>
        <v>0.24349186362882569</v>
      </c>
      <c r="S259" s="837">
        <f t="shared" si="82"/>
        <v>-1</v>
      </c>
      <c r="T259" s="178">
        <f t="shared" si="83"/>
        <v>5</v>
      </c>
      <c r="U259" s="253">
        <f t="shared" si="84"/>
        <v>-0.75650813637117431</v>
      </c>
      <c r="V259" s="385">
        <f t="shared" si="85"/>
        <v>45.011903296638614</v>
      </c>
      <c r="W259" s="404">
        <f t="shared" si="86"/>
        <v>35.50525367433589</v>
      </c>
      <c r="X259" s="157">
        <f t="shared" si="87"/>
        <v>46632</v>
      </c>
      <c r="Y259" s="387">
        <f t="shared" si="88"/>
        <v>32.509116049383344</v>
      </c>
      <c r="Z259" s="387">
        <f t="shared" si="89"/>
        <v>35.119601479679922</v>
      </c>
      <c r="AA259" s="388">
        <f t="shared" si="90"/>
        <v>40.195245247169467</v>
      </c>
      <c r="AB259" s="199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0.12627473066225339</v>
      </c>
      <c r="AD259" s="233">
        <f>(INDEX(Models!$BJ259:$BT259,,AH259)*(1-AF259)+INDEX(Models!$BJ259:$BT259,,AH259+1)*AF259-ERP_i)*AE259*Ramure*Pc/MaxiM</f>
        <v>2.8269653235330244E-2</v>
      </c>
      <c r="AE259" s="307">
        <f t="shared" si="92"/>
        <v>1</v>
      </c>
      <c r="AF259" s="179">
        <f t="shared" si="93"/>
        <v>0.17847445655239635</v>
      </c>
      <c r="AG259" s="837">
        <f t="shared" si="99"/>
        <v>4</v>
      </c>
      <c r="AH259" s="178">
        <f t="shared" si="94"/>
        <v>10</v>
      </c>
      <c r="AI259" s="227">
        <f t="shared" si="95"/>
        <v>4.1784744565523964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46633</v>
      </c>
      <c r="B260" s="1139">
        <f>IF(t&gt;Tmaj,'2026'!Wh/'2026'!Env_an*'2027'!Env_an,0.001*'[11]mon-tableau (3)'!$B$204)</f>
        <v>29.218582820070491</v>
      </c>
      <c r="C260" s="866"/>
      <c r="D260" s="395">
        <f t="shared" si="77"/>
        <v>31.565572663732432</v>
      </c>
      <c r="E260" s="387">
        <f t="shared" si="100"/>
        <v>33.65895473918804</v>
      </c>
      <c r="F260" s="387">
        <f t="shared" si="78"/>
        <v>33.729155564907714</v>
      </c>
      <c r="G260" s="110">
        <f t="shared" si="101"/>
        <v>0.65240146159422896</v>
      </c>
      <c r="H260" s="414" t="b">
        <f>Wh_hp&gt;='2026'!Maxi_hp</f>
        <v>0</v>
      </c>
      <c r="I260" s="392">
        <f>IF(H260,Wh_hp,'2026'!Maxi_hp)</f>
        <v>51.164853972749853</v>
      </c>
      <c r="J260" s="85">
        <f>IF(H260,An,'2026'!An_max)</f>
        <v>2019</v>
      </c>
      <c r="K260" s="199">
        <f t="shared" si="79"/>
        <v>46633</v>
      </c>
      <c r="L260" s="147">
        <f>IF(t&lt;Tvie,1-EXP((T0-t)*PertePVj)+'2026'!Pspv,1-EXP((T0-t)*PertePVj)+Pspv)</f>
        <v>7.4352835878011447E-2</v>
      </c>
      <c r="M260" s="870"/>
      <c r="N260" s="870"/>
      <c r="O260" s="48">
        <f>IF(t&lt;Tnet,'2026'!Resal+('2026'!Salim-'2026'!Resal)*(1-EXP(('2026'!Tnet-t)/('2026'!Tau_j))),Resal+(Salim-Resal)*(1-EXP((Tnet-t)/(Tau_j))))*Salcycl</f>
        <v>6.2193912189981014E-2</v>
      </c>
      <c r="P260" s="171">
        <f>(INDEX(Models!$BJ260:$BT260,,T260)*(1-R260)+INDEX(Models!$BJ260:$BT260,,T260+1)*R260-ERP_i)*Q260*Ramure*Pc/MaxiM</f>
        <v>4.1186546482660964E-3</v>
      </c>
      <c r="Q260" s="307">
        <f t="shared" si="80"/>
        <v>1</v>
      </c>
      <c r="R260" s="179">
        <f t="shared" si="81"/>
        <v>0.24433323853890132</v>
      </c>
      <c r="S260" s="837">
        <f t="shared" si="82"/>
        <v>-1</v>
      </c>
      <c r="T260" s="178">
        <f t="shared" si="83"/>
        <v>5</v>
      </c>
      <c r="U260" s="253">
        <f t="shared" si="84"/>
        <v>-0.75566676146109868</v>
      </c>
      <c r="V260" s="385">
        <f t="shared" si="85"/>
        <v>44.694765501500598</v>
      </c>
      <c r="W260" s="404">
        <f t="shared" si="86"/>
        <v>29.218582820070491</v>
      </c>
      <c r="X260" s="157">
        <f t="shared" si="87"/>
        <v>46633</v>
      </c>
      <c r="Y260" s="387">
        <f t="shared" si="88"/>
        <v>26.875918666468856</v>
      </c>
      <c r="Z260" s="387">
        <f t="shared" si="89"/>
        <v>29.034733436429509</v>
      </c>
      <c r="AA260" s="388">
        <f t="shared" si="90"/>
        <v>33.234543131639427</v>
      </c>
      <c r="AB260" s="199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0.12636881086569474</v>
      </c>
      <c r="AD260" s="233">
        <f>(INDEX(Models!$BJ260:$BT260,,AH260)*(1-AF260)+INDEX(Models!$BJ260:$BT260,,AH260+1)*AF260-ERP_i)*AE260*Ramure*Pc/MaxiM</f>
        <v>2.9018715613194725E-2</v>
      </c>
      <c r="AE260" s="307">
        <f t="shared" si="92"/>
        <v>1</v>
      </c>
      <c r="AF260" s="179">
        <f t="shared" si="93"/>
        <v>0.1793158314624721</v>
      </c>
      <c r="AG260" s="837">
        <f t="shared" si="99"/>
        <v>4</v>
      </c>
      <c r="AH260" s="178">
        <f t="shared" si="94"/>
        <v>10</v>
      </c>
      <c r="AI260" s="227">
        <f t="shared" si="95"/>
        <v>4.1793158314624721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46634</v>
      </c>
      <c r="B261" s="1139">
        <f>IF(t&gt;Tmaj,'2026'!Wh/'2026'!Env_an*'2027'!Env_an,0.001*'[11]mon-tableau (3)'!$B$205)</f>
        <v>42.521642562652858</v>
      </c>
      <c r="C261" s="866"/>
      <c r="D261" s="395">
        <f t="shared" si="77"/>
        <v>45.938272999257052</v>
      </c>
      <c r="E261" s="387">
        <f t="shared" si="100"/>
        <v>48.996833371251938</v>
      </c>
      <c r="F261" s="387">
        <f t="shared" si="78"/>
        <v>49.19254806387324</v>
      </c>
      <c r="G261" s="110">
        <f t="shared" si="101"/>
        <v>0.9580875125232855</v>
      </c>
      <c r="H261" s="414" t="b">
        <f>Wh_hp&gt;='2026'!Maxi_hp</f>
        <v>0</v>
      </c>
      <c r="I261" s="392">
        <f>IF(H261,Wh_hp,'2026'!Maxi_hp)</f>
        <v>50.630743838713244</v>
      </c>
      <c r="J261" s="85">
        <f>IF(H261,An,'2026'!An_max)</f>
        <v>2019</v>
      </c>
      <c r="K261" s="199">
        <f t="shared" si="79"/>
        <v>46634</v>
      </c>
      <c r="L261" s="147">
        <f>IF(t&lt;Tvie,1-EXP((T0-t)*PertePVj)+'2026'!Pspv,1-EXP((T0-t)*PertePVj)+Pspv)</f>
        <v>7.4374377039803985E-2</v>
      </c>
      <c r="M261" s="870"/>
      <c r="N261" s="870"/>
      <c r="O261" s="48">
        <f>IF(t&lt;Tnet,'2026'!Resal+('2026'!Salim-'2026'!Resal)*(1-EXP(('2026'!Tnet-t)/('2026'!Tau_j))),Resal+(Salim-Resal)*(1-EXP((Tnet-t)/(Tau_j))))*Salcycl</f>
        <v>6.2423633560560819E-2</v>
      </c>
      <c r="P261" s="171">
        <f>(INDEX(Models!$BJ261:$BT261,,T261)*(1-R261)+INDEX(Models!$BJ261:$BT261,,T261+1)*R261-ERP_i)*Q261*Ramure*Pc/MaxiM</f>
        <v>4.2303726846535158E-3</v>
      </c>
      <c r="Q261" s="307">
        <f t="shared" si="80"/>
        <v>1</v>
      </c>
      <c r="R261" s="179">
        <f t="shared" si="81"/>
        <v>0.24514269855497128</v>
      </c>
      <c r="S261" s="837">
        <f t="shared" si="82"/>
        <v>-1</v>
      </c>
      <c r="T261" s="178">
        <f t="shared" si="83"/>
        <v>5</v>
      </c>
      <c r="U261" s="253">
        <f t="shared" si="84"/>
        <v>-0.75485730144502872</v>
      </c>
      <c r="V261" s="385">
        <f t="shared" si="85"/>
        <v>44.370572670524375</v>
      </c>
      <c r="W261" s="404">
        <f t="shared" si="86"/>
        <v>42.521642562652858</v>
      </c>
      <c r="X261" s="157">
        <f t="shared" si="87"/>
        <v>46634</v>
      </c>
      <c r="Y261" s="387">
        <f t="shared" si="88"/>
        <v>38.660176795993173</v>
      </c>
      <c r="Z261" s="387">
        <f t="shared" si="89"/>
        <v>41.766536963784596</v>
      </c>
      <c r="AA261" s="388">
        <f t="shared" si="90"/>
        <v>47.813037756288388</v>
      </c>
      <c r="AB261" s="199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0.1264613393385271</v>
      </c>
      <c r="AD261" s="233">
        <f>(INDEX(Models!$BJ261:$BT261,,AH261)*(1-AF261)+INDEX(Models!$BJ261:$BT261,,AH261+1)*AF261-ERP_i)*AE261*Ramure*Pc/MaxiM</f>
        <v>2.9818112504700151E-2</v>
      </c>
      <c r="AE261" s="307">
        <f t="shared" si="92"/>
        <v>1</v>
      </c>
      <c r="AF261" s="179">
        <f t="shared" si="93"/>
        <v>0.18012529147854206</v>
      </c>
      <c r="AG261" s="837">
        <f t="shared" si="99"/>
        <v>4</v>
      </c>
      <c r="AH261" s="178">
        <f t="shared" si="94"/>
        <v>10</v>
      </c>
      <c r="AI261" s="227">
        <f t="shared" si="95"/>
        <v>4.1801252914785421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46635</v>
      </c>
      <c r="B262" s="1139">
        <f>IF(t&gt;Tmaj,'2026'!Wh/'2026'!Env_an*'2027'!Env_an,0.001*'[11]mon-tableau (3)'!$B$206)</f>
        <v>36.711498074277443</v>
      </c>
      <c r="C262" s="866"/>
      <c r="D262" s="395">
        <f t="shared" si="77"/>
        <v>39.662204150036118</v>
      </c>
      <c r="E262" s="387">
        <f t="shared" si="100"/>
        <v>42.313217156038498</v>
      </c>
      <c r="F262" s="387">
        <f t="shared" si="78"/>
        <v>42.453654106911522</v>
      </c>
      <c r="G262" s="110">
        <f t="shared" si="101"/>
        <v>0.83274921637225663</v>
      </c>
      <c r="H262" s="414" t="b">
        <f>Wh_hp&gt;='2026'!Maxi_hp</f>
        <v>0</v>
      </c>
      <c r="I262" s="392">
        <f>IF(H262,Wh_hp,'2026'!Maxi_hp)</f>
        <v>48.60501068816032</v>
      </c>
      <c r="J262" s="85">
        <f>IF(H262,An,'2026'!An_max)</f>
        <v>2020</v>
      </c>
      <c r="K262" s="199">
        <f t="shared" si="79"/>
        <v>46635</v>
      </c>
      <c r="L262" s="147">
        <f>IF(t&lt;Tvie,1-EXP((T0-t)*PertePVj)+'2026'!Pspv,1-EXP((T0-t)*PertePVj)+Pspv)</f>
        <v>7.4395917700302294E-2</v>
      </c>
      <c r="M262" s="870"/>
      <c r="N262" s="870"/>
      <c r="O262" s="48">
        <f>IF(t&lt;Tnet,'2026'!Resal+('2026'!Salim-'2026'!Resal)*(1-EXP(('2026'!Tnet-t)/('2026'!Tau_j))),Resal+(Salim-Resal)*(1-EXP((Tnet-t)/(Tau_j))))*Salcycl</f>
        <v>6.2652125841111059E-2</v>
      </c>
      <c r="P262" s="171">
        <f>(INDEX(Models!$BJ262:$BT262,,T262)*(1-R262)+INDEX(Models!$BJ262:$BT262,,T262+1)*R262-ERP_i)*Q262*Ramure*Pc/MaxiM</f>
        <v>4.3394913308345863E-3</v>
      </c>
      <c r="Q262" s="307">
        <f t="shared" si="80"/>
        <v>1</v>
      </c>
      <c r="R262" s="179">
        <f t="shared" si="81"/>
        <v>0.24592138036485189</v>
      </c>
      <c r="S262" s="837">
        <f t="shared" si="82"/>
        <v>-1</v>
      </c>
      <c r="T262" s="178">
        <f t="shared" si="83"/>
        <v>5</v>
      </c>
      <c r="U262" s="253">
        <f t="shared" si="84"/>
        <v>-0.75407861963514811</v>
      </c>
      <c r="V262" s="385">
        <f t="shared" si="85"/>
        <v>44.039074798901098</v>
      </c>
      <c r="W262" s="404">
        <f t="shared" si="86"/>
        <v>36.711498074277443</v>
      </c>
      <c r="X262" s="157">
        <f t="shared" si="87"/>
        <v>46635</v>
      </c>
      <c r="Y262" s="387">
        <f t="shared" si="88"/>
        <v>33.518747633098485</v>
      </c>
      <c r="Z262" s="387">
        <f t="shared" si="89"/>
        <v>36.212834703386257</v>
      </c>
      <c r="AA262" s="388">
        <f t="shared" si="90"/>
        <v>41.45964687543399</v>
      </c>
      <c r="AB262" s="199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0.12655226388714413</v>
      </c>
      <c r="AD262" s="233">
        <f>(INDEX(Models!$BJ262:$BT262,,AH262)*(1-AF262)+INDEX(Models!$BJ262:$BT262,,AH262+1)*AF262-ERP_i)*AE262*Ramure*Pc/MaxiM</f>
        <v>3.0714749479884319E-2</v>
      </c>
      <c r="AE262" s="307">
        <f t="shared" si="92"/>
        <v>1</v>
      </c>
      <c r="AF262" s="179">
        <f t="shared" si="93"/>
        <v>0.18090397328842212</v>
      </c>
      <c r="AG262" s="837">
        <f t="shared" si="99"/>
        <v>4</v>
      </c>
      <c r="AH262" s="178">
        <f t="shared" si="94"/>
        <v>10</v>
      </c>
      <c r="AI262" s="227">
        <f t="shared" si="95"/>
        <v>4.1809039732884221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46636</v>
      </c>
      <c r="B263" s="1139">
        <f>IF(t&gt;Tmaj,'2026'!Wh/'2026'!Env_an*'2027'!Env_an,0.001*'[11]mon-tableau (3)'!$B$207)</f>
        <v>41.179109521092968</v>
      </c>
      <c r="C263" s="866"/>
      <c r="D263" s="395">
        <f t="shared" si="77"/>
        <v>44.489937575813663</v>
      </c>
      <c r="E263" s="387">
        <f t="shared" si="100"/>
        <v>47.475144122008047</v>
      </c>
      <c r="F263" s="387">
        <f t="shared" si="78"/>
        <v>47.669686419760673</v>
      </c>
      <c r="G263" s="110">
        <f t="shared" si="101"/>
        <v>0.94195188348364589</v>
      </c>
      <c r="H263" s="414" t="b">
        <f>Wh_hp&gt;='2026'!Maxi_hp</f>
        <v>0</v>
      </c>
      <c r="I263" s="392">
        <f>IF(H263,Wh_hp,'2026'!Maxi_hp)</f>
        <v>51.979212378770349</v>
      </c>
      <c r="J263" s="85">
        <f>IF(H263,An,'2026'!An_max)</f>
        <v>2019</v>
      </c>
      <c r="K263" s="199">
        <f t="shared" si="79"/>
        <v>46636</v>
      </c>
      <c r="L263" s="147">
        <f>IF(t&lt;Tvie,1-EXP((T0-t)*PertePVj)+'2026'!Pspv,1-EXP((T0-t)*PertePVj)+Pspv)</f>
        <v>7.4417457859517921E-2</v>
      </c>
      <c r="M263" s="870"/>
      <c r="N263" s="870"/>
      <c r="O263" s="48">
        <f>IF(t&lt;Tnet,'2026'!Resal+('2026'!Salim-'2026'!Resal)*(1-EXP(('2026'!Tnet-t)/('2026'!Tau_j))),Resal+(Salim-Resal)*(1-EXP((Tnet-t)/(Tau_j))))*Salcycl</f>
        <v>6.2879357217380805E-2</v>
      </c>
      <c r="P263" s="171">
        <f>(INDEX(Models!$BJ263:$BT263,,T263)*(1-R263)+INDEX(Models!$BJ263:$BT263,,T263+1)*R263-ERP_i)*Q263*Ramure*Pc/MaxiM</f>
        <v>4.4476714390250778E-3</v>
      </c>
      <c r="Q263" s="307">
        <f t="shared" si="80"/>
        <v>1</v>
      </c>
      <c r="R263" s="179">
        <f t="shared" si="81"/>
        <v>0.24667038586913625</v>
      </c>
      <c r="S263" s="837">
        <f t="shared" si="82"/>
        <v>-1</v>
      </c>
      <c r="T263" s="178">
        <f t="shared" si="83"/>
        <v>5</v>
      </c>
      <c r="U263" s="253">
        <f t="shared" si="84"/>
        <v>-0.75332961413086375</v>
      </c>
      <c r="V263" s="385">
        <f t="shared" si="85"/>
        <v>43.700693387739499</v>
      </c>
      <c r="W263" s="404">
        <f t="shared" si="86"/>
        <v>41.179109521092968</v>
      </c>
      <c r="X263" s="157">
        <f t="shared" si="87"/>
        <v>46636</v>
      </c>
      <c r="Y263" s="387">
        <f t="shared" si="88"/>
        <v>37.41314069383364</v>
      </c>
      <c r="Z263" s="387">
        <f t="shared" si="89"/>
        <v>40.421182326227573</v>
      </c>
      <c r="AA263" s="388">
        <f t="shared" si="90"/>
        <v>46.282464439724016</v>
      </c>
      <c r="AB263" s="199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0.12664153010110107</v>
      </c>
      <c r="AD263" s="233">
        <f>(INDEX(Models!$BJ263:$BT263,,AH263)*(1-AF263)+INDEX(Models!$BJ263:$BT263,,AH263+1)*AF263-ERP_i)*AE263*Ramure*Pc/MaxiM</f>
        <v>3.1714992839461949E-2</v>
      </c>
      <c r="AE263" s="307">
        <f t="shared" si="92"/>
        <v>1</v>
      </c>
      <c r="AF263" s="179">
        <f t="shared" si="93"/>
        <v>0.18165297879270703</v>
      </c>
      <c r="AG263" s="837">
        <f t="shared" si="99"/>
        <v>4</v>
      </c>
      <c r="AH263" s="178">
        <f t="shared" si="94"/>
        <v>10</v>
      </c>
      <c r="AI263" s="227">
        <f t="shared" si="95"/>
        <v>4.181652978792707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46637</v>
      </c>
      <c r="B264" s="1139">
        <f>IF(t&gt;Tmaj,'2026'!Wh/'2026'!Env_an*'2027'!Env_an,0.001*'[11]mon-tableau (3)'!$B$208)</f>
        <v>33.203073580886795</v>
      </c>
      <c r="C264" s="866"/>
      <c r="D264" s="395">
        <f t="shared" si="77"/>
        <v>35.873457818371342</v>
      </c>
      <c r="E264" s="387">
        <f t="shared" si="100"/>
        <v>38.289743346332045</v>
      </c>
      <c r="F264" s="387">
        <f t="shared" si="78"/>
        <v>38.406157002826063</v>
      </c>
      <c r="G264" s="110">
        <f t="shared" si="101"/>
        <v>0.76465503044845118</v>
      </c>
      <c r="H264" s="414" t="b">
        <f>Wh_hp&gt;='2026'!Maxi_hp</f>
        <v>0</v>
      </c>
      <c r="I264" s="392">
        <f>IF(H264,Wh_hp,'2026'!Maxi_hp)</f>
        <v>50.735283993858943</v>
      </c>
      <c r="J264" s="85">
        <f>IF(H264,An,'2026'!An_max)</f>
        <v>2019</v>
      </c>
      <c r="K264" s="199">
        <f t="shared" si="79"/>
        <v>46637</v>
      </c>
      <c r="L264" s="147">
        <f>IF(t&lt;Tvie,1-EXP((T0-t)*PertePVj)+'2026'!Pspv,1-EXP((T0-t)*PertePVj)+Pspv)</f>
        <v>7.4438997517462635E-2</v>
      </c>
      <c r="M264" s="870"/>
      <c r="N264" s="870"/>
      <c r="O264" s="48">
        <f>IF(t&lt;Tnet,'2026'!Resal+('2026'!Salim-'2026'!Resal)*(1-EXP(('2026'!Tnet-t)/('2026'!Tau_j))),Resal+(Salim-Resal)*(1-EXP((Tnet-t)/(Tau_j))))*Salcycl</f>
        <v>6.3105294441524878E-2</v>
      </c>
      <c r="P264" s="171">
        <f>(INDEX(Models!$BJ264:$BT264,,T264)*(1-R264)+INDEX(Models!$BJ264:$BT264,,T264+1)*R264-ERP_i)*Q264*Ramure*Pc/MaxiM</f>
        <v>4.5548894400689226E-3</v>
      </c>
      <c r="Q264" s="307">
        <f t="shared" si="80"/>
        <v>1</v>
      </c>
      <c r="R264" s="179">
        <f t="shared" si="81"/>
        <v>0.24739078279538884</v>
      </c>
      <c r="S264" s="837">
        <f t="shared" si="82"/>
        <v>-1</v>
      </c>
      <c r="T264" s="178">
        <f t="shared" si="83"/>
        <v>5</v>
      </c>
      <c r="U264" s="253">
        <f t="shared" si="84"/>
        <v>-0.75260921720461116</v>
      </c>
      <c r="V264" s="385">
        <f t="shared" si="85"/>
        <v>43.355924694772447</v>
      </c>
      <c r="W264" s="404">
        <f t="shared" si="86"/>
        <v>33.203073580886795</v>
      </c>
      <c r="X264" s="157">
        <f t="shared" si="87"/>
        <v>46637</v>
      </c>
      <c r="Y264" s="387">
        <f t="shared" si="88"/>
        <v>30.364359066359849</v>
      </c>
      <c r="Z264" s="387">
        <f t="shared" si="89"/>
        <v>32.806437376808923</v>
      </c>
      <c r="AA264" s="388">
        <f t="shared" si="90"/>
        <v>37.567307776067224</v>
      </c>
      <c r="AB264" s="199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0.12672908124364668</v>
      </c>
      <c r="AD264" s="233">
        <f>(INDEX(Models!$BJ264:$BT264,,AH264)*(1-AF264)+INDEX(Models!$BJ264:$BT264,,AH264+1)*AF264-ERP_i)*AE264*Ramure*Pc/MaxiM</f>
        <v>3.282145411324839E-2</v>
      </c>
      <c r="AE264" s="307">
        <f t="shared" si="92"/>
        <v>1</v>
      </c>
      <c r="AF264" s="179">
        <f t="shared" si="93"/>
        <v>0.18237337571895917</v>
      </c>
      <c r="AG264" s="837">
        <f t="shared" si="99"/>
        <v>4</v>
      </c>
      <c r="AH264" s="178">
        <f t="shared" si="94"/>
        <v>10</v>
      </c>
      <c r="AI264" s="227">
        <f t="shared" si="95"/>
        <v>4.1823733757189592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46638</v>
      </c>
      <c r="B265" s="1139">
        <f>IF(t&gt;Tmaj,'2026'!Wh/'2026'!Env_an*'2027'!Env_an,0.001*'[11]mon-tableau (3)'!$B$209)</f>
        <v>35.734431894796849</v>
      </c>
      <c r="C265" s="866"/>
      <c r="D265" s="395">
        <f t="shared" si="77"/>
        <v>38.609301181375912</v>
      </c>
      <c r="E265" s="387">
        <f t="shared" si="100"/>
        <v>41.219743531396716</v>
      </c>
      <c r="F265" s="387">
        <f t="shared" si="78"/>
        <v>41.365986090049574</v>
      </c>
      <c r="G265" s="110">
        <f t="shared" si="101"/>
        <v>0.82999280376052564</v>
      </c>
      <c r="H265" s="414" t="b">
        <f>Wh_hp&gt;='2026'!Maxi_hp</f>
        <v>0</v>
      </c>
      <c r="I265" s="392">
        <f>IF(H265,Wh_hp,'2026'!Maxi_hp)</f>
        <v>44.572005255446598</v>
      </c>
      <c r="J265" s="85">
        <f>IF(H265,An,'2026'!An_max)</f>
        <v>2019</v>
      </c>
      <c r="K265" s="199">
        <f t="shared" si="79"/>
        <v>46638</v>
      </c>
      <c r="L265" s="147">
        <f>IF(t&lt;Tvie,1-EXP((T0-t)*PertePVj)+'2026'!Pspv,1-EXP((T0-t)*PertePVj)+Pspv)</f>
        <v>7.4460536674147981E-2</v>
      </c>
      <c r="M265" s="870"/>
      <c r="N265" s="870"/>
      <c r="O265" s="48">
        <f>IF(t&lt;Tnet,'2026'!Resal+('2026'!Salim-'2026'!Resal)*(1-EXP(('2026'!Tnet-t)/('2026'!Tau_j))),Resal+(Salim-Resal)*(1-EXP((Tnet-t)/(Tau_j))))*Salcycl</f>
        <v>6.3329902769347676E-2</v>
      </c>
      <c r="P265" s="171">
        <f>(INDEX(Models!$BJ265:$BT265,,T265)*(1-R265)+INDEX(Models!$BJ265:$BT265,,T265+1)*R265-ERP_i)*Q265*Ramure*Pc/MaxiM</f>
        <v>4.6611157174109193E-3</v>
      </c>
      <c r="Q265" s="307">
        <f t="shared" si="80"/>
        <v>1</v>
      </c>
      <c r="R265" s="179">
        <f t="shared" si="81"/>
        <v>0.24808360534097307</v>
      </c>
      <c r="S265" s="837">
        <f t="shared" si="82"/>
        <v>-1</v>
      </c>
      <c r="T265" s="178">
        <f t="shared" si="83"/>
        <v>5</v>
      </c>
      <c r="U265" s="253">
        <f t="shared" si="84"/>
        <v>-0.75191639465902693</v>
      </c>
      <c r="V265" s="385">
        <f t="shared" si="85"/>
        <v>43.005264405756826</v>
      </c>
      <c r="W265" s="404">
        <f t="shared" si="86"/>
        <v>35.734431894796849</v>
      </c>
      <c r="X265" s="157">
        <f t="shared" si="87"/>
        <v>46638</v>
      </c>
      <c r="Y265" s="387">
        <f t="shared" si="88"/>
        <v>32.567589889588966</v>
      </c>
      <c r="Z265" s="387">
        <f t="shared" si="89"/>
        <v>35.187683702389023</v>
      </c>
      <c r="AA265" s="388">
        <f t="shared" si="90"/>
        <v>40.298078856455696</v>
      </c>
      <c r="AB265" s="199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0.12681485815416224</v>
      </c>
      <c r="AD265" s="233">
        <f>(INDEX(Models!$BJ265:$BT265,,AH265)*(1-AF265)+INDEX(Models!$BJ265:$BT265,,AH265+1)*AF265-ERP_i)*AE265*Ramure*Pc/MaxiM</f>
        <v>3.4036871599441777E-2</v>
      </c>
      <c r="AE265" s="307">
        <f t="shared" si="92"/>
        <v>1</v>
      </c>
      <c r="AF265" s="179">
        <f t="shared" si="93"/>
        <v>0.18306619826454362</v>
      </c>
      <c r="AG265" s="837">
        <f t="shared" si="99"/>
        <v>4</v>
      </c>
      <c r="AH265" s="178">
        <f t="shared" si="94"/>
        <v>10</v>
      </c>
      <c r="AI265" s="227">
        <f t="shared" si="95"/>
        <v>4.1830661982645436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46639</v>
      </c>
      <c r="B266" s="1139">
        <f>IF(t&gt;Tmaj,'2026'!Wh/'2026'!Env_an*'2027'!Env_an,0.001*'[11]mon-tableau (3)'!$B$210)</f>
        <v>20.320284434477635</v>
      </c>
      <c r="C266" s="866"/>
      <c r="D266" s="395">
        <f t="shared" si="77"/>
        <v>21.955581726538554</v>
      </c>
      <c r="E266" s="387">
        <f t="shared" si="100"/>
        <v>23.445624949802841</v>
      </c>
      <c r="F266" s="387">
        <f t="shared" si="78"/>
        <v>23.473827880027109</v>
      </c>
      <c r="G266" s="110">
        <f t="shared" si="101"/>
        <v>0.47475110604640275</v>
      </c>
      <c r="H266" s="414" t="b">
        <f>Wh_hp&gt;='2026'!Maxi_hp</f>
        <v>0</v>
      </c>
      <c r="I266" s="392">
        <f>IF(H266,Wh_hp,'2026'!Maxi_hp)</f>
        <v>45.910285028445344</v>
      </c>
      <c r="J266" s="85">
        <f>IF(H266,An,'2026'!An_max)</f>
        <v>2020</v>
      </c>
      <c r="K266" s="199">
        <f t="shared" si="79"/>
        <v>46639</v>
      </c>
      <c r="L266" s="147">
        <f>IF(t&lt;Tvie,1-EXP((T0-t)*PertePVj)+'2026'!Pspv,1-EXP((T0-t)*PertePVj)+Pspv)</f>
        <v>7.4482075329585729E-2</v>
      </c>
      <c r="M266" s="870"/>
      <c r="N266" s="870"/>
      <c r="O266" s="48">
        <f>IF(t&lt;Tnet,'2026'!Resal+('2026'!Salim-'2026'!Resal)*(1-EXP(('2026'!Tnet-t)/('2026'!Tau_j))),Resal+(Salim-Resal)*(1-EXP((Tnet-t)/(Tau_j))))*Salcycl</f>
        <v>6.3553145904810496E-2</v>
      </c>
      <c r="P266" s="171">
        <f>(INDEX(Models!$BJ266:$BT266,,T266)*(1-R266)+INDEX(Models!$BJ266:$BT266,,T266+1)*R266-ERP_i)*Q266*Ramure*Pc/MaxiM</f>
        <v>4.7663143987143079E-3</v>
      </c>
      <c r="Q266" s="307">
        <f t="shared" si="80"/>
        <v>1</v>
      </c>
      <c r="R266" s="179">
        <f t="shared" si="81"/>
        <v>0.24874985484007028</v>
      </c>
      <c r="S266" s="837">
        <f t="shared" si="82"/>
        <v>-1</v>
      </c>
      <c r="T266" s="178">
        <f t="shared" si="83"/>
        <v>5</v>
      </c>
      <c r="U266" s="253">
        <f t="shared" si="84"/>
        <v>-0.75125014515992972</v>
      </c>
      <c r="V266" s="385">
        <f t="shared" si="85"/>
        <v>42.649207638048146</v>
      </c>
      <c r="W266" s="404">
        <f t="shared" si="86"/>
        <v>20.320284434477635</v>
      </c>
      <c r="X266" s="157">
        <f t="shared" si="87"/>
        <v>46639</v>
      </c>
      <c r="Y266" s="387">
        <f t="shared" si="88"/>
        <v>18.799422903870081</v>
      </c>
      <c r="Z266" s="387">
        <f t="shared" si="89"/>
        <v>20.312327187574173</v>
      </c>
      <c r="AA266" s="388">
        <f t="shared" si="90"/>
        <v>23.264573646424925</v>
      </c>
      <c r="AB266" s="199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0.12689879916644953</v>
      </c>
      <c r="AD266" s="233">
        <f>(INDEX(Models!$BJ266:$BT266,,AH266)*(1-AF266)+INDEX(Models!$BJ266:$BT266,,AH266+1)*AF266-ERP_i)*AE266*Ramure*Pc/MaxiM</f>
        <v>3.5364107866771896E-2</v>
      </c>
      <c r="AE266" s="307">
        <f t="shared" si="92"/>
        <v>1</v>
      </c>
      <c r="AF266" s="179">
        <f t="shared" si="93"/>
        <v>0.18373244776364039</v>
      </c>
      <c r="AG266" s="837">
        <f t="shared" si="99"/>
        <v>4</v>
      </c>
      <c r="AH266" s="178">
        <f t="shared" si="94"/>
        <v>10</v>
      </c>
      <c r="AI266" s="227">
        <f t="shared" si="95"/>
        <v>4.1837324477636404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46640</v>
      </c>
      <c r="B267" s="1139">
        <f>IF(t&gt;Tmaj,'2026'!Wh/'2026'!Env_an*'2027'!Env_an,0.001*'[11]mon-tableau (3)'!$B$211)</f>
        <v>39.961833252710811</v>
      </c>
      <c r="C267" s="866"/>
      <c r="D267" s="395">
        <f t="shared" si="77"/>
        <v>43.178810673844559</v>
      </c>
      <c r="E267" s="387">
        <f t="shared" si="100"/>
        <v>46.120120725292956</v>
      </c>
      <c r="F267" s="387">
        <f t="shared" si="78"/>
        <v>46.328025755193011</v>
      </c>
      <c r="G267" s="110">
        <f t="shared" si="101"/>
        <v>0.94462336696131211</v>
      </c>
      <c r="H267" s="414" t="b">
        <f>Wh_hp&gt;='2026'!Maxi_hp</f>
        <v>0</v>
      </c>
      <c r="I267" s="392">
        <f>IF(H267,Wh_hp,'2026'!Maxi_hp)</f>
        <v>46.3414710055131</v>
      </c>
      <c r="J267" s="85">
        <f>IF(H267,An,'2026'!An_max)</f>
        <v>2025</v>
      </c>
      <c r="K267" s="199">
        <f t="shared" si="79"/>
        <v>46640</v>
      </c>
      <c r="L267" s="147">
        <f>IF(t&lt;Tvie,1-EXP((T0-t)*PertePVj)+'2026'!Pspv,1-EXP((T0-t)*PertePVj)+Pspv)</f>
        <v>7.4503613483787423E-2</v>
      </c>
      <c r="M267" s="870"/>
      <c r="N267" s="870"/>
      <c r="O267" s="48">
        <f>IF(t&lt;Tnet,'2026'!Resal+('2026'!Salim-'2026'!Resal)*(1-EXP(('2026'!Tnet-t)/('2026'!Tau_j))),Resal+(Salim-Resal)*(1-EXP((Tnet-t)/(Tau_j))))*Salcycl</f>
        <v>6.3774985953914412E-2</v>
      </c>
      <c r="P267" s="171">
        <f>(INDEX(Models!$BJ267:$BT267,,T267)*(1-R267)+INDEX(Models!$BJ267:$BT267,,T267+1)*R267-ERP_i)*Q267*Ramure*Pc/MaxiM</f>
        <v>4.8704431328336073E-3</v>
      </c>
      <c r="Q267" s="307">
        <f t="shared" si="80"/>
        <v>1</v>
      </c>
      <c r="R267" s="179">
        <f t="shared" si="81"/>
        <v>0.24939050045080113</v>
      </c>
      <c r="S267" s="837">
        <f t="shared" si="82"/>
        <v>-1</v>
      </c>
      <c r="T267" s="178">
        <f t="shared" si="83"/>
        <v>5</v>
      </c>
      <c r="U267" s="253">
        <f t="shared" si="84"/>
        <v>-0.75060949954919887</v>
      </c>
      <c r="V267" s="385">
        <f t="shared" si="85"/>
        <v>42.288248946087876</v>
      </c>
      <c r="W267" s="404">
        <f t="shared" si="86"/>
        <v>39.961833252710811</v>
      </c>
      <c r="X267" s="157">
        <f t="shared" si="87"/>
        <v>46640</v>
      </c>
      <c r="Y267" s="387">
        <f t="shared" si="88"/>
        <v>36.162487202786991</v>
      </c>
      <c r="Z267" s="387">
        <f t="shared" si="89"/>
        <v>39.073612527987443</v>
      </c>
      <c r="AA267" s="388">
        <f t="shared" si="90"/>
        <v>44.756878566192519</v>
      </c>
      <c r="AB267" s="199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0.12698084004674037</v>
      </c>
      <c r="AD267" s="233">
        <f>(INDEX(Models!$BJ267:$BT267,,AH267)*(1-AF267)+INDEX(Models!$BJ267:$BT267,,AH267+1)*AF267-ERP_i)*AE267*Ramure*Pc/MaxiM</f>
        <v>3.6806146734481765E-2</v>
      </c>
      <c r="AE267" s="307">
        <f t="shared" si="92"/>
        <v>1</v>
      </c>
      <c r="AF267" s="179">
        <f t="shared" si="93"/>
        <v>0.18437309337437124</v>
      </c>
      <c r="AG267" s="837">
        <f t="shared" si="99"/>
        <v>4</v>
      </c>
      <c r="AH267" s="178">
        <f t="shared" si="94"/>
        <v>10</v>
      </c>
      <c r="AI267" s="227">
        <f t="shared" si="95"/>
        <v>4.1843730933743712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46641</v>
      </c>
      <c r="B268" s="1139">
        <f>IF(t&gt;Tmaj,'2026'!Wh/'2026'!Env_an*'2027'!Env_an,0.001*'[11]mon-tableau (3)'!$B$212)</f>
        <v>39.811044362501519</v>
      </c>
      <c r="C268" s="866"/>
      <c r="D268" s="395">
        <f t="shared" si="77"/>
        <v>43.016884155632759</v>
      </c>
      <c r="E268" s="387">
        <f t="shared" si="100"/>
        <v>45.957982890546667</v>
      </c>
      <c r="F268" s="387">
        <f t="shared" si="78"/>
        <v>46.170997735897075</v>
      </c>
      <c r="G268" s="110">
        <f t="shared" si="101"/>
        <v>0.9492823468822742</v>
      </c>
      <c r="H268" s="414" t="b">
        <f>Wh_hp&gt;='2026'!Maxi_hp</f>
        <v>0</v>
      </c>
      <c r="I268" s="392">
        <f>IF(H268,Wh_hp,'2026'!Maxi_hp)</f>
        <v>46.183499511133455</v>
      </c>
      <c r="J268" s="85">
        <f>IF(H268,An,'2026'!An_max)</f>
        <v>2025</v>
      </c>
      <c r="K268" s="199">
        <f t="shared" si="79"/>
        <v>46641</v>
      </c>
      <c r="L268" s="147">
        <f>IF(t&lt;Tvie,1-EXP((T0-t)*PertePVj)+'2026'!Pspv,1-EXP((T0-t)*PertePVj)+Pspv)</f>
        <v>7.4525151136764944E-2</v>
      </c>
      <c r="M268" s="870"/>
      <c r="N268" s="870"/>
      <c r="O268" s="48">
        <f>IF(t&lt;Tnet,'2026'!Resal+('2026'!Salim-'2026'!Resal)*(1-EXP(('2026'!Tnet-t)/('2026'!Tau_j))),Resal+(Salim-Resal)*(1-EXP((Tnet-t)/(Tau_j))))*Salcycl</f>
        <v>6.3995383390050453E-2</v>
      </c>
      <c r="P268" s="171">
        <f>(INDEX(Models!$BJ268:$BT268,,T268)*(1-R268)+INDEX(Models!$BJ268:$BT268,,T268+1)*R268-ERP_i)*Q268*Ramure*Pc/MaxiM</f>
        <v>4.9713782879077569E-3</v>
      </c>
      <c r="Q268" s="307">
        <f t="shared" si="80"/>
        <v>1</v>
      </c>
      <c r="R268" s="179">
        <f t="shared" si="81"/>
        <v>0.25000647985867253</v>
      </c>
      <c r="S268" s="837">
        <f t="shared" si="82"/>
        <v>-1</v>
      </c>
      <c r="T268" s="178">
        <f t="shared" si="83"/>
        <v>5</v>
      </c>
      <c r="U268" s="253">
        <f t="shared" si="84"/>
        <v>-0.74999352014132747</v>
      </c>
      <c r="V268" s="385">
        <f t="shared" si="85"/>
        <v>41.922969739532775</v>
      </c>
      <c r="W268" s="404">
        <f t="shared" si="86"/>
        <v>39.811044362501519</v>
      </c>
      <c r="X268" s="157">
        <f t="shared" si="87"/>
        <v>46641</v>
      </c>
      <c r="Y268" s="387">
        <f t="shared" si="88"/>
        <v>35.973027065125393</v>
      </c>
      <c r="Z268" s="387">
        <f t="shared" si="89"/>
        <v>38.869805170082394</v>
      </c>
      <c r="AA268" s="388">
        <f t="shared" si="90"/>
        <v>44.527511474135743</v>
      </c>
      <c r="AB268" s="199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0.12706091395517768</v>
      </c>
      <c r="AD268" s="233">
        <f>(INDEX(Models!$BJ268:$BT268,,AH268)*(1-AF268)+INDEX(Models!$BJ268:$BT268,,AH268+1)*AF268-ERP_i)*AE268*Ramure*Pc/MaxiM</f>
        <v>3.8355974226842671E-2</v>
      </c>
      <c r="AE268" s="307">
        <f t="shared" si="92"/>
        <v>1</v>
      </c>
      <c r="AF268" s="179">
        <f t="shared" si="93"/>
        <v>0.18498907278224319</v>
      </c>
      <c r="AG268" s="837">
        <f t="shared" si="99"/>
        <v>4</v>
      </c>
      <c r="AH268" s="178">
        <f t="shared" si="94"/>
        <v>10</v>
      </c>
      <c r="AI268" s="227">
        <f t="shared" si="95"/>
        <v>4.1849890727822432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46642</v>
      </c>
      <c r="B269" s="1139">
        <f>IF(t&gt;Tmaj,'2026'!Wh/'2026'!Env_an*'2027'!Env_an,0.001*'[11]mon-tableau (3)'!$B$213)</f>
        <v>27.672645805094625</v>
      </c>
      <c r="C269" s="866"/>
      <c r="D269" s="395">
        <f t="shared" si="77"/>
        <v>29.901720005646443</v>
      </c>
      <c r="E269" s="387">
        <f t="shared" si="100"/>
        <v>31.953597827831466</v>
      </c>
      <c r="F269" s="387">
        <f t="shared" si="78"/>
        <v>32.038535475796614</v>
      </c>
      <c r="G269" s="110">
        <f t="shared" si="101"/>
        <v>0.66433192844535671</v>
      </c>
      <c r="H269" s="414" t="b">
        <f>Wh_hp&gt;='2026'!Maxi_hp</f>
        <v>0</v>
      </c>
      <c r="I269" s="392">
        <f>IF(H269,Wh_hp,'2026'!Maxi_hp)</f>
        <v>47.332460641090549</v>
      </c>
      <c r="J269" s="85">
        <f>IF(H269,An,'2026'!An_max)</f>
        <v>2019</v>
      </c>
      <c r="K269" s="199">
        <f t="shared" si="79"/>
        <v>46642</v>
      </c>
      <c r="L269" s="147">
        <f>IF(t&lt;Tvie,1-EXP((T0-t)*PertePVj)+'2026'!Pspv,1-EXP((T0-t)*PertePVj)+Pspv)</f>
        <v>7.4546688288529728E-2</v>
      </c>
      <c r="M269" s="870"/>
      <c r="N269" s="870"/>
      <c r="O269" s="48">
        <f>IF(t&lt;Tnet,'2026'!Resal+('2026'!Salim-'2026'!Resal)*(1-EXP(('2026'!Tnet-t)/('2026'!Tau_j))),Resal+(Salim-Resal)*(1-EXP((Tnet-t)/(Tau_j))))*Salcycl</f>
        <v>6.4214297032863174E-2</v>
      </c>
      <c r="P269" s="171">
        <f>(INDEX(Models!$BJ269:$BT269,,T269)*(1-R269)+INDEX(Models!$BJ269:$BT269,,T269+1)*R269-ERP_i)*Q269*Ramure*Pc/MaxiM</f>
        <v>5.0711497436118922E-3</v>
      </c>
      <c r="Q269" s="307">
        <f t="shared" si="80"/>
        <v>1</v>
      </c>
      <c r="R269" s="179">
        <f t="shared" si="81"/>
        <v>0.2505986999928943</v>
      </c>
      <c r="S269" s="837">
        <f t="shared" si="82"/>
        <v>-1</v>
      </c>
      <c r="T269" s="178">
        <f t="shared" si="83"/>
        <v>5</v>
      </c>
      <c r="U269" s="253">
        <f t="shared" si="84"/>
        <v>-0.7494013000071057</v>
      </c>
      <c r="V269" s="385">
        <f t="shared" si="85"/>
        <v>41.553774065860168</v>
      </c>
      <c r="W269" s="404">
        <f t="shared" si="86"/>
        <v>27.672645805094625</v>
      </c>
      <c r="X269" s="157">
        <f t="shared" si="87"/>
        <v>46642</v>
      </c>
      <c r="Y269" s="387">
        <f t="shared" si="88"/>
        <v>25.339617944911403</v>
      </c>
      <c r="Z269" s="387">
        <f t="shared" si="89"/>
        <v>27.380763161406858</v>
      </c>
      <c r="AA269" s="388">
        <f t="shared" si="90"/>
        <v>31.368982733736321</v>
      </c>
      <c r="AB269" s="199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0.12713895143434994</v>
      </c>
      <c r="AD269" s="233">
        <f>(INDEX(Models!$BJ269:$BT269,,AH269)*(1-AF269)+INDEX(Models!$BJ269:$BT269,,AH269+1)*AF269-ERP_i)*AE269*Ramure*Pc/MaxiM</f>
        <v>3.9975232391965591E-2</v>
      </c>
      <c r="AE269" s="307">
        <f t="shared" si="92"/>
        <v>1</v>
      </c>
      <c r="AF269" s="179">
        <f t="shared" si="93"/>
        <v>0.18558129291646441</v>
      </c>
      <c r="AG269" s="837">
        <f t="shared" si="99"/>
        <v>4</v>
      </c>
      <c r="AH269" s="178">
        <f t="shared" si="94"/>
        <v>10</v>
      </c>
      <c r="AI269" s="227">
        <f t="shared" si="95"/>
        <v>4.1855812929164644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46643</v>
      </c>
      <c r="B270" s="1139">
        <f>IF(t&gt;Tmaj,'2026'!Wh/'2026'!Env_an*'2027'!Env_an,0.001*'[11]mon-tableau (3)'!$B$214)</f>
        <v>11.48897935080878</v>
      </c>
      <c r="C270" s="866"/>
      <c r="D270" s="395">
        <f t="shared" si="77"/>
        <v>12.414723224791631</v>
      </c>
      <c r="E270" s="387">
        <f t="shared" si="100"/>
        <v>13.269713192549913</v>
      </c>
      <c r="F270" s="387">
        <f t="shared" si="78"/>
        <v>13.269713192549913</v>
      </c>
      <c r="G270" s="110">
        <f t="shared" si="101"/>
        <v>0.27754405844291058</v>
      </c>
      <c r="H270" s="414" t="b">
        <f>Wh_hp&gt;='2026'!Maxi_hp</f>
        <v>0</v>
      </c>
      <c r="I270" s="392">
        <f>IF(H270,Wh_hp,'2026'!Maxi_hp)</f>
        <v>44.332714285498227</v>
      </c>
      <c r="J270" s="85">
        <f>IF(H270,An,'2026'!An_max)</f>
        <v>2020</v>
      </c>
      <c r="K270" s="199">
        <f t="shared" si="79"/>
        <v>46643</v>
      </c>
      <c r="L270" s="147">
        <f>IF(t&lt;Tvie,1-EXP((T0-t)*PertePVj)+'2026'!Pspv,1-EXP((T0-t)*PertePVj)+Pspv)</f>
        <v>7.4568224939093541E-2</v>
      </c>
      <c r="M270" s="870"/>
      <c r="N270" s="870"/>
      <c r="O270" s="48">
        <f>IF(t&lt;Tnet,'2026'!Resal+('2026'!Salim-'2026'!Resal)*(1-EXP(('2026'!Tnet-t)/('2026'!Tau_j))),Resal+(Salim-Resal)*(1-EXP((Tnet-t)/(Tau_j))))*Salcycl</f>
        <v>6.4431684042598927E-2</v>
      </c>
      <c r="P270" s="171">
        <f>(INDEX(Models!$BJ270:$BT270,,T270)*(1-R270)+INDEX(Models!$BJ270:$BT270,,T270+1)*R270-ERP_i)*Q270*Ramure*Pc/MaxiM</f>
        <v>5.1696961010975042E-3</v>
      </c>
      <c r="Q270" s="307">
        <f t="shared" si="80"/>
        <v>1</v>
      </c>
      <c r="R270" s="179">
        <f t="shared" si="81"/>
        <v>0.25116803775238838</v>
      </c>
      <c r="S270" s="837">
        <f t="shared" si="82"/>
        <v>-1</v>
      </c>
      <c r="T270" s="178">
        <f t="shared" si="83"/>
        <v>5</v>
      </c>
      <c r="U270" s="253">
        <f t="shared" si="84"/>
        <v>-0.74883196224761162</v>
      </c>
      <c r="V270" s="385">
        <f t="shared" si="85"/>
        <v>41.181154744137032</v>
      </c>
      <c r="W270" s="404">
        <f t="shared" si="86"/>
        <v>11.48897935080878</v>
      </c>
      <c r="X270" s="157">
        <f t="shared" si="87"/>
        <v>46643</v>
      </c>
      <c r="Y270" s="387">
        <f t="shared" si="88"/>
        <v>10.717988248877042</v>
      </c>
      <c r="Z270" s="387">
        <f t="shared" si="89"/>
        <v>11.581608215442621</v>
      </c>
      <c r="AA270" s="388">
        <f t="shared" si="90"/>
        <v>13.269713192549913</v>
      </c>
      <c r="AB270" s="199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0.12721488042824108</v>
      </c>
      <c r="AD270" s="233">
        <f>(INDEX(Models!$BJ270:$BT270,,AH270)*(1-AF270)+INDEX(Models!$BJ270:$BT270,,AH270+1)*AF270-ERP_i)*AE270*Ramure*Pc/MaxiM</f>
        <v>4.1665605216562471E-2</v>
      </c>
      <c r="AE270" s="307">
        <f t="shared" si="92"/>
        <v>1</v>
      </c>
      <c r="AF270" s="179">
        <f t="shared" si="93"/>
        <v>0.18615063067595905</v>
      </c>
      <c r="AG270" s="837">
        <f t="shared" si="99"/>
        <v>4</v>
      </c>
      <c r="AH270" s="178">
        <f t="shared" si="94"/>
        <v>10</v>
      </c>
      <c r="AI270" s="227">
        <f t="shared" si="95"/>
        <v>4.1861506306759591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46644</v>
      </c>
      <c r="B271" s="1139">
        <f>IF(t&gt;Tmaj,'2026'!Wh/'2026'!Env_an*'2027'!Env_an,0.001*'[11]mon-tableau (3)'!$B$215)</f>
        <v>33.59049803695671</v>
      </c>
      <c r="C271" s="866"/>
      <c r="D271" s="395">
        <f t="shared" ref="D271:D334" si="102">Wh/(1-Ppv)</f>
        <v>36.297953733974097</v>
      </c>
      <c r="E271" s="387">
        <f t="shared" si="100"/>
        <v>38.806710551720151</v>
      </c>
      <c r="F271" s="387">
        <f t="shared" ref="F271:F334" si="103">Wh_sa/(1-Pvg*MEDIAN((-Sdif+Wh/Env_an)/Csdif,0,1))</f>
        <v>38.960078586933939</v>
      </c>
      <c r="G271" s="110">
        <f t="shared" si="101"/>
        <v>0.82208395694710235</v>
      </c>
      <c r="H271" s="414" t="b">
        <f>Wh_hp&gt;='2026'!Maxi_hp</f>
        <v>0</v>
      </c>
      <c r="I271" s="392">
        <f>IF(H271,Wh_hp,'2026'!Maxi_hp)</f>
        <v>43.753374021516187</v>
      </c>
      <c r="J271" s="85">
        <f>IF(H271,An,'2026'!An_max)</f>
        <v>2020</v>
      </c>
      <c r="K271" s="199">
        <f t="shared" ref="K271:K334" si="104">t</f>
        <v>46644</v>
      </c>
      <c r="L271" s="147">
        <f>IF(t&lt;Tvie,1-EXP((T0-t)*PertePVj)+'2026'!Pspv,1-EXP((T0-t)*PertePVj)+Pspv)</f>
        <v>7.4589761088467932E-2</v>
      </c>
      <c r="M271" s="870"/>
      <c r="N271" s="870"/>
      <c r="O271" s="48">
        <f>IF(t&lt;Tnet,'2026'!Resal+('2026'!Salim-'2026'!Resal)*(1-EXP(('2026'!Tnet-t)/('2026'!Tau_j))),Resal+(Salim-Resal)*(1-EXP((Tnet-t)/(Tau_j))))*Salcycl</f>
        <v>6.4647499931808836E-2</v>
      </c>
      <c r="P271" s="171">
        <f>(INDEX(Models!$BJ271:$BT271,,T271)*(1-R271)+INDEX(Models!$BJ271:$BT271,,T271+1)*R271-ERP_i)*Q271*Ramure*Pc/MaxiM</f>
        <v>5.2669484779865943E-3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0.25171534073859825</v>
      </c>
      <c r="S271" s="837">
        <f t="shared" ref="S271:S334" si="107">INDEX(Echel_vg,T271)</f>
        <v>-1</v>
      </c>
      <c r="T271" s="178">
        <f t="shared" ref="T271:T334" si="108">MIN(MATCH(Hp_vg,Echel_vg),10)</f>
        <v>5</v>
      </c>
      <c r="U271" s="253">
        <f t="shared" ref="U271:U334" si="109">IF(OR(t&lt;Ttai,Notai),Hdd+PousH*Croivg,Hdtf+PousH*(Croivg-Croi_tai))</f>
        <v>-0.74828465926140175</v>
      </c>
      <c r="V271" s="385">
        <f t="shared" ref="V271:V334" si="110">MaxiM*(1-Ppv)*(1-Pvg)*(1-Psa)</f>
        <v>40.805604056207798</v>
      </c>
      <c r="W271" s="404">
        <f t="shared" ref="W271:W334" si="111">Wh*(A271&gt;Tmaj)</f>
        <v>33.59049803695671</v>
      </c>
      <c r="X271" s="157">
        <f t="shared" ref="X271:X334" si="112">t</f>
        <v>46644</v>
      </c>
      <c r="Y271" s="387">
        <f t="shared" ref="Y271:Y334" si="113">Wh_pvt_s*(1-Ppv)</f>
        <v>30.443471847871411</v>
      </c>
      <c r="Z271" s="387">
        <f t="shared" ref="Z271:Z334" si="114">Wh_sa_s*(1-Psa_s)</f>
        <v>32.897271467062041</v>
      </c>
      <c r="AA271" s="388">
        <f t="shared" ref="AA271:AA334" si="115">Wh_hp*(1-Pvg_s*MEDIAN((-Sdif+Wh/Env_an)/Csdif,0,1))</f>
        <v>37.695476946629526</v>
      </c>
      <c r="AB271" s="199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0.12728862633469096</v>
      </c>
      <c r="AD271" s="233">
        <f>(INDEX(Models!$BJ271:$BT271,,AH271)*(1-AF271)+INDEX(Models!$BJ271:$BT271,,AH271+1)*AF271-ERP_i)*AE271*Ramure*Pc/MaxiM</f>
        <v>4.3428812759948018E-2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0.18669793366216858</v>
      </c>
      <c r="AG271" s="837">
        <f t="shared" si="99"/>
        <v>4</v>
      </c>
      <c r="AH271" s="178">
        <f t="shared" ref="AH271:AH334" si="119">MIN(MATCH(Hp_vg_s,Echel_vg),10)</f>
        <v>10</v>
      </c>
      <c r="AI271" s="227">
        <f t="shared" ref="AI271:AI334" si="120">IF(OR(t&lt;Ttai,Notai),Hdd_s+PousH*Croivg,Hdtai_s+PousH*(Croivg-Croi_tai))</f>
        <v>4.1866979336621686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46645</v>
      </c>
      <c r="B272" s="1139">
        <f>IF(t&gt;Tmaj,'2026'!Wh/'2026'!Env_an*'2027'!Env_an,0.001*'[11]mon-tableau (3)'!$B$216)</f>
        <v>36.655199315943527</v>
      </c>
      <c r="C272" s="866"/>
      <c r="D272" s="395">
        <f t="shared" si="102"/>
        <v>39.610597348639409</v>
      </c>
      <c r="E272" s="387">
        <f t="shared" si="100"/>
        <v>42.358009814350517</v>
      </c>
      <c r="F272" s="387">
        <f t="shared" si="103"/>
        <v>42.555806796001391</v>
      </c>
      <c r="G272" s="110">
        <f t="shared" si="101"/>
        <v>0.90603597964320493</v>
      </c>
      <c r="H272" s="414" t="b">
        <f>Wh_hp&gt;='2026'!Maxi_hp</f>
        <v>0</v>
      </c>
      <c r="I272" s="392">
        <f>IF(H272,Wh_hp,'2026'!Maxi_hp)</f>
        <v>44.298163479728281</v>
      </c>
      <c r="J272" s="85">
        <f>IF(H272,An,'2026'!An_max)</f>
        <v>2020</v>
      </c>
      <c r="K272" s="199">
        <f t="shared" si="104"/>
        <v>46645</v>
      </c>
      <c r="L272" s="147">
        <f>IF(t&lt;Tvie,1-EXP((T0-t)*PertePVj)+'2026'!Pspv,1-EXP((T0-t)*PertePVj)+Pspv)</f>
        <v>7.4611296736664778E-2</v>
      </c>
      <c r="M272" s="870"/>
      <c r="N272" s="870"/>
      <c r="O272" s="48">
        <f>IF(t&lt;Tnet,'2026'!Resal+('2026'!Salim-'2026'!Resal)*(1-EXP(('2026'!Tnet-t)/('2026'!Tau_j))),Resal+(Salim-Resal)*(1-EXP((Tnet-t)/(Tau_j))))*Salcycl</f>
        <v>6.4861698596148626E-2</v>
      </c>
      <c r="P272" s="171">
        <f>(INDEX(Models!$BJ272:$BT272,,T272)*(1-R272)+INDEX(Models!$BJ272:$BT272,,T272+1)*R272-ERP_i)*Q272*Ramure*Pc/MaxiM</f>
        <v>5.3628302442621234E-3</v>
      </c>
      <c r="Q272" s="307">
        <f t="shared" si="105"/>
        <v>1</v>
      </c>
      <c r="R272" s="179">
        <f t="shared" si="106"/>
        <v>0.25224142799245552</v>
      </c>
      <c r="S272" s="837">
        <f t="shared" si="107"/>
        <v>-1</v>
      </c>
      <c r="T272" s="178">
        <f t="shared" si="108"/>
        <v>5</v>
      </c>
      <c r="U272" s="253">
        <f t="shared" si="109"/>
        <v>-0.74775857200754448</v>
      </c>
      <c r="V272" s="385">
        <f t="shared" si="110"/>
        <v>40.427613753198763</v>
      </c>
      <c r="W272" s="404">
        <f t="shared" si="111"/>
        <v>36.655199315943527</v>
      </c>
      <c r="X272" s="157">
        <f t="shared" si="112"/>
        <v>46645</v>
      </c>
      <c r="Y272" s="387">
        <f t="shared" si="113"/>
        <v>33.016910956165376</v>
      </c>
      <c r="Z272" s="387">
        <f t="shared" si="114"/>
        <v>35.678964784995699</v>
      </c>
      <c r="AA272" s="388">
        <f t="shared" si="115"/>
        <v>40.886241025055298</v>
      </c>
      <c r="AB272" s="199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0.12736011209415299</v>
      </c>
      <c r="AD272" s="233">
        <f>(INDEX(Models!$BJ272:$BT272,,AH272)*(1-AF272)+INDEX(Models!$BJ272:$BT272,,AH272+1)*AF272-ERP_i)*AE272*Ramure*Pc/MaxiM</f>
        <v>4.5266604861635834E-2</v>
      </c>
      <c r="AE272" s="307">
        <f t="shared" si="117"/>
        <v>1</v>
      </c>
      <c r="AF272" s="179">
        <f t="shared" si="118"/>
        <v>0.18722402091602586</v>
      </c>
      <c r="AG272" s="837">
        <f t="shared" ref="AG272:AG335" si="124">INDEX(Echel_vg,AH272)</f>
        <v>4</v>
      </c>
      <c r="AH272" s="178">
        <f t="shared" si="119"/>
        <v>10</v>
      </c>
      <c r="AI272" s="227">
        <f t="shared" si="120"/>
        <v>4.1872240209160259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46646</v>
      </c>
      <c r="B273" s="1139">
        <f>IF(t&gt;Tmaj,'2026'!Wh/'2026'!Env_an*'2027'!Env_an,0.001*'[11]mon-tableau (3)'!$B$217)</f>
        <v>25.299318271185985</v>
      </c>
      <c r="C273" s="866"/>
      <c r="D273" s="395">
        <f t="shared" si="102"/>
        <v>27.339762142940273</v>
      </c>
      <c r="E273" s="387">
        <f t="shared" si="100"/>
        <v>29.242708982259135</v>
      </c>
      <c r="F273" s="387">
        <f t="shared" si="103"/>
        <v>29.318532397018899</v>
      </c>
      <c r="G273" s="110">
        <f t="shared" si="101"/>
        <v>0.62991157338768011</v>
      </c>
      <c r="H273" s="414" t="b">
        <f>Wh_hp&gt;='2026'!Maxi_hp</f>
        <v>0</v>
      </c>
      <c r="I273" s="392">
        <f>IF(H273,Wh_hp,'2026'!Maxi_hp)</f>
        <v>41.309842416196986</v>
      </c>
      <c r="J273" s="85">
        <f>IF(H273,An,'2026'!An_max)</f>
        <v>2019</v>
      </c>
      <c r="K273" s="199">
        <f t="shared" si="104"/>
        <v>46646</v>
      </c>
      <c r="L273" s="147">
        <f>IF(t&lt;Tvie,1-EXP((T0-t)*PertePVj)+'2026'!Pspv,1-EXP((T0-t)*PertePVj)+Pspv)</f>
        <v>7.4632831883695627E-2</v>
      </c>
      <c r="M273" s="870"/>
      <c r="N273" s="870"/>
      <c r="O273" s="48">
        <f>IF(t&lt;Tnet,'2026'!Resal+('2026'!Salim-'2026'!Resal)*(1-EXP(('2026'!Tnet-t)/('2026'!Tau_j))),Resal+(Salim-Resal)*(1-EXP((Tnet-t)/(Tau_j))))*Salcycl</f>
        <v>6.5074232365863696E-2</v>
      </c>
      <c r="P273" s="171">
        <f>(INDEX(Models!$BJ273:$BT273,,T273)*(1-R273)+INDEX(Models!$BJ273:$BT273,,T273+1)*R273-ERP_i)*Q273*Ramure*Pc/MaxiM</f>
        <v>5.4572567538320191E-3</v>
      </c>
      <c r="Q273" s="307">
        <f t="shared" si="105"/>
        <v>1</v>
      </c>
      <c r="R273" s="179">
        <f t="shared" si="106"/>
        <v>0.25274709073310941</v>
      </c>
      <c r="S273" s="837">
        <f t="shared" si="107"/>
        <v>-1</v>
      </c>
      <c r="T273" s="178">
        <f t="shared" si="108"/>
        <v>5</v>
      </c>
      <c r="U273" s="253">
        <f t="shared" si="109"/>
        <v>-0.74725290926689059</v>
      </c>
      <c r="V273" s="385">
        <f t="shared" si="110"/>
        <v>40.047675055932018</v>
      </c>
      <c r="W273" s="404">
        <f t="shared" si="111"/>
        <v>25.299318271185985</v>
      </c>
      <c r="X273" s="157">
        <f t="shared" si="112"/>
        <v>46646</v>
      </c>
      <c r="Y273" s="387">
        <f t="shared" si="113"/>
        <v>23.143891488373587</v>
      </c>
      <c r="Z273" s="387">
        <f t="shared" si="114"/>
        <v>25.010495601962784</v>
      </c>
      <c r="AA273" s="388">
        <f t="shared" si="115"/>
        <v>28.663000496358801</v>
      </c>
      <c r="AB273" s="199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0.12742925831718185</v>
      </c>
      <c r="AD273" s="233">
        <f>(INDEX(Models!$BJ273:$BT273,,AH273)*(1-AF273)+INDEX(Models!$BJ273:$BT273,,AH273+1)*AF273-ERP_i)*AE273*Ramure*Pc/MaxiM</f>
        <v>4.7180754171571443E-2</v>
      </c>
      <c r="AE273" s="307">
        <f t="shared" si="117"/>
        <v>1</v>
      </c>
      <c r="AF273" s="179">
        <f t="shared" si="118"/>
        <v>0.18772968365667975</v>
      </c>
      <c r="AG273" s="837">
        <f t="shared" si="124"/>
        <v>4</v>
      </c>
      <c r="AH273" s="178">
        <f t="shared" si="119"/>
        <v>10</v>
      </c>
      <c r="AI273" s="227">
        <f t="shared" si="120"/>
        <v>4.1877296836566797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46647</v>
      </c>
      <c r="B274" s="1139">
        <f>IF(t&gt;Tmaj,'2026'!Wh/'2026'!Env_an*'2027'!Env_an,0.001*'[11]mon-tableau (3)'!$B$218)</f>
        <v>39.714774766707961</v>
      </c>
      <c r="C274" s="866"/>
      <c r="D274" s="395">
        <f t="shared" si="102"/>
        <v>42.918854674616199</v>
      </c>
      <c r="E274" s="387">
        <f t="shared" si="100"/>
        <v>45.916516869761857</v>
      </c>
      <c r="F274" s="387">
        <f t="shared" si="103"/>
        <v>46.172782046829937</v>
      </c>
      <c r="G274" s="110">
        <f t="shared" si="101"/>
        <v>1.0012226029271674</v>
      </c>
      <c r="H274" s="414" t="b">
        <f>Wh_hp&gt;='2026'!Maxi_hp</f>
        <v>1</v>
      </c>
      <c r="I274" s="392">
        <f>IF(H274,Wh_hp,'2026'!Maxi_hp)</f>
        <v>46.172782046829937</v>
      </c>
      <c r="J274" s="85">
        <f>IF(H274,An,'2026'!An_max)</f>
        <v>2027</v>
      </c>
      <c r="K274" s="199">
        <f t="shared" si="104"/>
        <v>46647</v>
      </c>
      <c r="L274" s="147">
        <f>IF(t&lt;Tvie,1-EXP((T0-t)*PertePVj)+'2026'!Pspv,1-EXP((T0-t)*PertePVj)+Pspv)</f>
        <v>7.4654366529572136E-2</v>
      </c>
      <c r="M274" s="870"/>
      <c r="N274" s="870"/>
      <c r="O274" s="48">
        <f>IF(t&lt;Tnet,'2026'!Resal+('2026'!Salim-'2026'!Resal)*(1-EXP(('2026'!Tnet-t)/('2026'!Tau_j))),Resal+(Salim-Resal)*(1-EXP((Tnet-t)/(Tau_j))))*Salcycl</f>
        <v>6.528505207936959E-2</v>
      </c>
      <c r="P274" s="171">
        <f>(INDEX(Models!$BJ274:$BT274,,T274)*(1-R274)+INDEX(Models!$BJ274:$BT274,,T274+1)*R274-ERP_i)*Q274*Ramure*Pc/MaxiM</f>
        <v>5.5501350732595732E-3</v>
      </c>
      <c r="Q274" s="307">
        <f t="shared" si="105"/>
        <v>1</v>
      </c>
      <c r="R274" s="179">
        <f t="shared" si="106"/>
        <v>0.25323309309624709</v>
      </c>
      <c r="S274" s="837">
        <f t="shared" si="107"/>
        <v>-1</v>
      </c>
      <c r="T274" s="178">
        <f t="shared" si="108"/>
        <v>5</v>
      </c>
      <c r="U274" s="253">
        <f t="shared" si="109"/>
        <v>-0.74676690690375291</v>
      </c>
      <c r="V274" s="385">
        <f t="shared" si="110"/>
        <v>39.666278658310475</v>
      </c>
      <c r="W274" s="404">
        <f t="shared" si="111"/>
        <v>39.714774766707961</v>
      </c>
      <c r="X274" s="157">
        <f t="shared" si="112"/>
        <v>46647</v>
      </c>
      <c r="Y274" s="387">
        <f t="shared" si="113"/>
        <v>35.445323239189264</v>
      </c>
      <c r="Z274" s="387">
        <f t="shared" si="114"/>
        <v>38.304955421094583</v>
      </c>
      <c r="AA274" s="388">
        <f t="shared" si="115"/>
        <v>43.902325599228639</v>
      </c>
      <c r="AB274" s="199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0.12749598345269444</v>
      </c>
      <c r="AD274" s="233">
        <f>(INDEX(Models!$BJ274:$BT274,,AH274)*(1-AF274)+INDEX(Models!$BJ274:$BT274,,AH274+1)*AF274-ERP_i)*AE274*Ramure*Pc/MaxiM</f>
        <v>4.9173048427069543E-2</v>
      </c>
      <c r="AE274" s="307">
        <f t="shared" si="117"/>
        <v>1</v>
      </c>
      <c r="AF274" s="179">
        <f t="shared" si="118"/>
        <v>0.18821568601981742</v>
      </c>
      <c r="AG274" s="837">
        <f t="shared" si="124"/>
        <v>4</v>
      </c>
      <c r="AH274" s="178">
        <f t="shared" si="119"/>
        <v>10</v>
      </c>
      <c r="AI274" s="227">
        <f t="shared" si="120"/>
        <v>4.1882156860198174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46648</v>
      </c>
      <c r="B275" s="1139">
        <f>IF(t&gt;Tmaj,'2026'!Wh/'2026'!Env_an*'2027'!Env_an,0.001*'[11]mon-tableau (3)'!$B$219)</f>
        <v>40.026087951637201</v>
      </c>
      <c r="C275" s="866"/>
      <c r="D275" s="395">
        <f t="shared" si="102"/>
        <v>43.256290396851412</v>
      </c>
      <c r="E275" s="387">
        <f t="shared" si="100"/>
        <v>46.287873334138055</v>
      </c>
      <c r="F275" s="387">
        <f t="shared" si="103"/>
        <v>46.550502444170561</v>
      </c>
      <c r="G275" s="110">
        <f t="shared" si="101"/>
        <v>1.0189736869084016</v>
      </c>
      <c r="H275" s="414" t="b">
        <f>Wh_hp&gt;='2026'!Maxi_hp</f>
        <v>1</v>
      </c>
      <c r="I275" s="392">
        <f>IF(H275,Wh_hp,'2026'!Maxi_hp)</f>
        <v>46.550502444170561</v>
      </c>
      <c r="J275" s="85">
        <f>IF(H275,An,'2026'!An_max)</f>
        <v>2027</v>
      </c>
      <c r="K275" s="199">
        <f t="shared" si="104"/>
        <v>46648</v>
      </c>
      <c r="L275" s="147">
        <f>IF(t&lt;Tvie,1-EXP((T0-t)*PertePVj)+'2026'!Pspv,1-EXP((T0-t)*PertePVj)+Pspv)</f>
        <v>7.4675900674305962E-2</v>
      </c>
      <c r="M275" s="870"/>
      <c r="N275" s="870"/>
      <c r="O275" s="48">
        <f>IF(t&lt;Tnet,'2026'!Resal+('2026'!Salim-'2026'!Resal)*(1-EXP(('2026'!Tnet-t)/('2026'!Tau_j))),Resal+(Salim-Resal)*(1-EXP((Tnet-t)/(Tau_j))))*Salcycl</f>
        <v>6.5494107180136957E-2</v>
      </c>
      <c r="P275" s="171">
        <f>(INDEX(Models!$BJ275:$BT275,,T275)*(1-R275)+INDEX(Models!$BJ275:$BT275,,T275+1)*R275-ERP_i)*Q275*Ramure*Pc/MaxiM</f>
        <v>5.6418104261599369E-3</v>
      </c>
      <c r="Q275" s="307">
        <f t="shared" si="105"/>
        <v>1</v>
      </c>
      <c r="R275" s="179">
        <f t="shared" si="106"/>
        <v>0.25370017287004798</v>
      </c>
      <c r="S275" s="837">
        <f t="shared" si="107"/>
        <v>-1</v>
      </c>
      <c r="T275" s="178">
        <f t="shared" si="108"/>
        <v>5</v>
      </c>
      <c r="U275" s="253">
        <f t="shared" si="109"/>
        <v>-0.74629982712995202</v>
      </c>
      <c r="V275" s="385">
        <f t="shared" si="110"/>
        <v>39.280786605076742</v>
      </c>
      <c r="W275" s="404">
        <f t="shared" si="111"/>
        <v>40.026087951637201</v>
      </c>
      <c r="X275" s="157">
        <f t="shared" si="112"/>
        <v>46648</v>
      </c>
      <c r="Y275" s="387">
        <f t="shared" si="113"/>
        <v>35.653798419111013</v>
      </c>
      <c r="Z275" s="387">
        <f t="shared" si="114"/>
        <v>38.531146487044694</v>
      </c>
      <c r="AA275" s="388">
        <f t="shared" si="115"/>
        <v>44.164819926421416</v>
      </c>
      <c r="AB275" s="199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0.12756020399862197</v>
      </c>
      <c r="AD275" s="233">
        <f>(INDEX(Models!$BJ275:$BT275,,AH275)*(1-AF275)+INDEX(Models!$BJ275:$BT275,,AH275+1)*AF275-ERP_i)*AE275*Ramure*Pc/MaxiM</f>
        <v>5.1249339802730824E-2</v>
      </c>
      <c r="AE275" s="307">
        <f t="shared" si="117"/>
        <v>1</v>
      </c>
      <c r="AF275" s="179">
        <f t="shared" si="118"/>
        <v>0.18868276579361876</v>
      </c>
      <c r="AG275" s="837">
        <f t="shared" si="124"/>
        <v>4</v>
      </c>
      <c r="AH275" s="178">
        <f t="shared" si="119"/>
        <v>10</v>
      </c>
      <c r="AI275" s="227">
        <f t="shared" si="120"/>
        <v>4.1886827657936188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46649</v>
      </c>
      <c r="B276" s="1139">
        <f>IF(t&gt;Tmaj,'2026'!Wh/'2026'!Env_an*'2027'!Env_an,0.001*'[11]mon-tableau (3)'!$B$220)</f>
        <v>38.378225523512761</v>
      </c>
      <c r="C276" s="866"/>
      <c r="D276" s="395">
        <f t="shared" si="102"/>
        <v>41.476406687818994</v>
      </c>
      <c r="E276" s="387">
        <f t="shared" si="100"/>
        <v>44.393092618777793</v>
      </c>
      <c r="F276" s="387">
        <f t="shared" si="103"/>
        <v>44.64405417277375</v>
      </c>
      <c r="G276" s="110">
        <f t="shared" si="101"/>
        <v>0.98675990149109039</v>
      </c>
      <c r="H276" s="414" t="b">
        <f>Wh_hp&gt;='2026'!Maxi_hp</f>
        <v>0</v>
      </c>
      <c r="I276" s="392">
        <f>IF(H276,Wh_hp,'2026'!Maxi_hp)</f>
        <v>44.647648994902973</v>
      </c>
      <c r="J276" s="85">
        <f>IF(H276,An,'2026'!An_max)</f>
        <v>2025</v>
      </c>
      <c r="K276" s="199">
        <f t="shared" si="104"/>
        <v>46649</v>
      </c>
      <c r="L276" s="147">
        <f>IF(t&lt;Tvie,1-EXP((T0-t)*PertePVj)+'2026'!Pspv,1-EXP((T0-t)*PertePVj)+Pspv)</f>
        <v>7.4697434317908762E-2</v>
      </c>
      <c r="M276" s="870"/>
      <c r="N276" s="870"/>
      <c r="O276" s="48">
        <f>IF(t&lt;Tnet,'2026'!Resal+('2026'!Salim-'2026'!Resal)*(1-EXP(('2026'!Tnet-t)/('2026'!Tau_j))),Resal+(Salim-Resal)*(1-EXP((Tnet-t)/(Tau_j))))*Salcycl</f>
        <v>6.5701345837867339E-2</v>
      </c>
      <c r="P276" s="171">
        <f>(INDEX(Models!$BJ276:$BT276,,T276)*(1-R276)+INDEX(Models!$BJ276:$BT276,,T276+1)*R276-ERP_i)*Q276*Ramure*Pc/MaxiM</f>
        <v>5.7288734095599161E-3</v>
      </c>
      <c r="Q276" s="307">
        <f t="shared" si="105"/>
        <v>1</v>
      </c>
      <c r="R276" s="179">
        <f t="shared" si="106"/>
        <v>0.25414904222701429</v>
      </c>
      <c r="S276" s="837">
        <f t="shared" si="107"/>
        <v>-1</v>
      </c>
      <c r="T276" s="178">
        <f t="shared" si="108"/>
        <v>5</v>
      </c>
      <c r="U276" s="253">
        <f t="shared" si="109"/>
        <v>-0.74585095777298571</v>
      </c>
      <c r="V276" s="385">
        <f t="shared" si="110"/>
        <v>38.88897091326217</v>
      </c>
      <c r="W276" s="404">
        <f t="shared" si="111"/>
        <v>38.378225523512761</v>
      </c>
      <c r="X276" s="157">
        <f t="shared" si="112"/>
        <v>46649</v>
      </c>
      <c r="Y276" s="387">
        <f t="shared" si="113"/>
        <v>34.149205873845425</v>
      </c>
      <c r="Z276" s="387">
        <f t="shared" si="114"/>
        <v>36.905988527841352</v>
      </c>
      <c r="AA276" s="388">
        <f t="shared" si="115"/>
        <v>42.305034672118119</v>
      </c>
      <c r="AB276" s="199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0.12762183475611474</v>
      </c>
      <c r="AD276" s="233">
        <f>(INDEX(Models!$BJ276:$BT276,,AH276)*(1-AF276)+INDEX(Models!$BJ276:$BT276,,AH276+1)*AF276-ERP_i)*AE276*Ramure*Pc/MaxiM</f>
        <v>5.3394420015281857E-2</v>
      </c>
      <c r="AE276" s="307">
        <f t="shared" si="117"/>
        <v>1</v>
      </c>
      <c r="AF276" s="179">
        <f t="shared" si="118"/>
        <v>0.18913163515058429</v>
      </c>
      <c r="AG276" s="837">
        <f t="shared" si="124"/>
        <v>4</v>
      </c>
      <c r="AH276" s="178">
        <f t="shared" si="119"/>
        <v>10</v>
      </c>
      <c r="AI276" s="227">
        <f t="shared" si="120"/>
        <v>4.1891316351505843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46650</v>
      </c>
      <c r="B277" s="1139">
        <f>IF(t&gt;Tmaj,'2026'!Wh/'2026'!Env_an*'2027'!Env_an,0.001*'[11]mon-tableau (3)'!$B$221)</f>
        <v>39.343784156642961</v>
      </c>
      <c r="C277" s="866"/>
      <c r="D277" s="395">
        <f t="shared" si="102"/>
        <v>42.520902053570197</v>
      </c>
      <c r="E277" s="387">
        <f t="shared" si="100"/>
        <v>45.521044568778002</v>
      </c>
      <c r="F277" s="387">
        <f t="shared" si="103"/>
        <v>45.787183013416708</v>
      </c>
      <c r="G277" s="110">
        <f t="shared" si="101"/>
        <v>1.0221378580498539</v>
      </c>
      <c r="H277" s="414" t="b">
        <f>Wh_hp&gt;='2026'!Maxi_hp</f>
        <v>1</v>
      </c>
      <c r="I277" s="392">
        <f>IF(H277,Wh_hp,'2026'!Maxi_hp)</f>
        <v>45.787183013416708</v>
      </c>
      <c r="J277" s="85">
        <f>IF(H277,An,'2026'!An_max)</f>
        <v>2027</v>
      </c>
      <c r="K277" s="199">
        <f t="shared" si="104"/>
        <v>46650</v>
      </c>
      <c r="L277" s="147">
        <f>IF(t&lt;Tvie,1-EXP((T0-t)*PertePVj)+'2026'!Pspv,1-EXP((T0-t)*PertePVj)+Pspv)</f>
        <v>7.4718967460392194E-2</v>
      </c>
      <c r="M277" s="870"/>
      <c r="N277" s="870"/>
      <c r="O277" s="48">
        <f>IF(t&lt;Tnet,'2026'!Resal+('2026'!Salim-'2026'!Resal)*(1-EXP(('2026'!Tnet-t)/('2026'!Tau_j))),Resal+(Salim-Resal)*(1-EXP((Tnet-t)/(Tau_j))))*Salcycl</f>
        <v>6.5906715094704693E-2</v>
      </c>
      <c r="P277" s="171">
        <f>(INDEX(Models!$BJ277:$BT277,,T277)*(1-R277)+INDEX(Models!$BJ277:$BT277,,T277+1)*R277-ERP_i)*Q277*Ramure*Pc/MaxiM</f>
        <v>5.8125096833478848E-3</v>
      </c>
      <c r="Q277" s="307">
        <f t="shared" si="105"/>
        <v>1</v>
      </c>
      <c r="R277" s="179">
        <f t="shared" si="106"/>
        <v>0.25458038845009656</v>
      </c>
      <c r="S277" s="837">
        <f t="shared" si="107"/>
        <v>-1</v>
      </c>
      <c r="T277" s="178">
        <f t="shared" si="108"/>
        <v>5</v>
      </c>
      <c r="U277" s="253">
        <f t="shared" si="109"/>
        <v>-0.74541961154990344</v>
      </c>
      <c r="V277" s="385">
        <f t="shared" si="110"/>
        <v>38.491661224355127</v>
      </c>
      <c r="W277" s="404">
        <f t="shared" si="111"/>
        <v>39.343784156642961</v>
      </c>
      <c r="X277" s="157">
        <f t="shared" si="112"/>
        <v>46650</v>
      </c>
      <c r="Y277" s="387">
        <f t="shared" si="113"/>
        <v>34.903429720199462</v>
      </c>
      <c r="Z277" s="387">
        <f t="shared" si="114"/>
        <v>37.721976883499316</v>
      </c>
      <c r="AA277" s="388">
        <f t="shared" si="115"/>
        <v>43.243317828332948</v>
      </c>
      <c r="AB277" s="199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0.12768078912798089</v>
      </c>
      <c r="AD277" s="233">
        <f>(INDEX(Models!$BJ277:$BT277,,AH277)*(1-AF277)+INDEX(Models!$BJ277:$BT277,,AH277+1)*AF277-ERP_i)*AE277*Ramure*Pc/MaxiM</f>
        <v>5.5558455831151363E-2</v>
      </c>
      <c r="AE277" s="307">
        <f t="shared" si="117"/>
        <v>1</v>
      </c>
      <c r="AF277" s="179">
        <f t="shared" si="118"/>
        <v>0.18956298137366723</v>
      </c>
      <c r="AG277" s="837">
        <f t="shared" si="124"/>
        <v>4</v>
      </c>
      <c r="AH277" s="178">
        <f t="shared" si="119"/>
        <v>10</v>
      </c>
      <c r="AI277" s="227">
        <f t="shared" si="120"/>
        <v>4.1895629813736672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46651</v>
      </c>
      <c r="B278" s="1139">
        <f>IF(t&gt;Tmaj,'2026'!Wh/'2026'!Env_an*'2027'!Env_an,0.001*'[11]mon-tableau (3)'!$B$222)</f>
        <v>38.210791002912394</v>
      </c>
      <c r="C278" s="866"/>
      <c r="D278" s="395">
        <f t="shared" si="102"/>
        <v>41.297377662283012</v>
      </c>
      <c r="E278" s="387">
        <f t="shared" si="100"/>
        <v>44.220823419750069</v>
      </c>
      <c r="F278" s="387">
        <f t="shared" si="103"/>
        <v>44.482939873798394</v>
      </c>
      <c r="G278" s="110">
        <f t="shared" si="101"/>
        <v>1.0031780250081224</v>
      </c>
      <c r="H278" s="414" t="b">
        <f>Wh_hp&gt;='2026'!Maxi_hp</f>
        <v>1</v>
      </c>
      <c r="I278" s="392">
        <f>IF(H278,Wh_hp,'2026'!Maxi_hp)</f>
        <v>44.482939873798394</v>
      </c>
      <c r="J278" s="85">
        <f>IF(H278,An,'2026'!An_max)</f>
        <v>2027</v>
      </c>
      <c r="K278" s="199">
        <f t="shared" si="104"/>
        <v>46651</v>
      </c>
      <c r="L278" s="147">
        <f>IF(t&lt;Tvie,1-EXP((T0-t)*PertePVj)+'2026'!Pspv,1-EXP((T0-t)*PertePVj)+Pspv)</f>
        <v>7.4740500101768026E-2</v>
      </c>
      <c r="M278" s="870"/>
      <c r="N278" s="870"/>
      <c r="O278" s="48">
        <f>IF(t&lt;Tnet,'2026'!Resal+('2026'!Salim-'2026'!Resal)*(1-EXP(('2026'!Tnet-t)/('2026'!Tau_j))),Resal+(Salim-Resal)*(1-EXP((Tnet-t)/(Tau_j))))*Salcycl</f>
        <v>6.6110161036969234E-2</v>
      </c>
      <c r="P278" s="171">
        <f>(INDEX(Models!$BJ278:$BT278,,T278)*(1-R278)+INDEX(Models!$BJ278:$BT278,,T278+1)*R278-ERP_i)*Q278*Ramure*Pc/MaxiM</f>
        <v>5.8925164297136826E-3</v>
      </c>
      <c r="Q278" s="307">
        <f t="shared" si="105"/>
        <v>1</v>
      </c>
      <c r="R278" s="179">
        <f t="shared" si="106"/>
        <v>0.25499487465171922</v>
      </c>
      <c r="S278" s="837">
        <f t="shared" si="107"/>
        <v>-1</v>
      </c>
      <c r="T278" s="178">
        <f t="shared" si="108"/>
        <v>5</v>
      </c>
      <c r="U278" s="253">
        <f t="shared" si="109"/>
        <v>-0.74500512534828078</v>
      </c>
      <c r="V278" s="385">
        <f t="shared" si="110"/>
        <v>38.089740853925719</v>
      </c>
      <c r="W278" s="404">
        <f t="shared" si="111"/>
        <v>38.210791002912394</v>
      </c>
      <c r="X278" s="157">
        <f t="shared" si="112"/>
        <v>46651</v>
      </c>
      <c r="Y278" s="387">
        <f t="shared" si="113"/>
        <v>33.827859977178271</v>
      </c>
      <c r="Z278" s="387">
        <f t="shared" si="114"/>
        <v>36.560402763655979</v>
      </c>
      <c r="AA278" s="388">
        <f t="shared" si="115"/>
        <v>41.914424781055835</v>
      </c>
      <c r="AB278" s="199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0.12773697946153673</v>
      </c>
      <c r="AD278" s="233">
        <f>(INDEX(Models!$BJ278:$BT278,,AH278)*(1-AF278)+INDEX(Models!$BJ278:$BT278,,AH278+1)*AF278-ERP_i)*AE278*Ramure*Pc/MaxiM</f>
        <v>5.7741576883848976E-2</v>
      </c>
      <c r="AE278" s="307">
        <f t="shared" si="117"/>
        <v>1</v>
      </c>
      <c r="AF278" s="179">
        <f t="shared" si="118"/>
        <v>0.18997746757528944</v>
      </c>
      <c r="AG278" s="837">
        <f t="shared" si="124"/>
        <v>4</v>
      </c>
      <c r="AH278" s="178">
        <f t="shared" si="119"/>
        <v>10</v>
      </c>
      <c r="AI278" s="227">
        <f t="shared" si="120"/>
        <v>4.1899774675752894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46652</v>
      </c>
      <c r="B279" s="1139">
        <f>IF(t&gt;Tmaj,'2026'!Wh/'2026'!Env_an*'2027'!Env_an,0.001*'[11]mon-tableau (3)'!$B$223)</f>
        <v>36.927040277740417</v>
      </c>
      <c r="C279" s="866"/>
      <c r="D279" s="395">
        <f t="shared" si="102"/>
        <v>39.910857060073383</v>
      </c>
      <c r="E279" s="387">
        <f t="shared" si="100"/>
        <v>42.745372331255261</v>
      </c>
      <c r="F279" s="387">
        <f t="shared" si="103"/>
        <v>42.99462835481313</v>
      </c>
      <c r="G279" s="110">
        <f t="shared" si="101"/>
        <v>0.97974173817284527</v>
      </c>
      <c r="H279" s="414" t="b">
        <f>Wh_hp&gt;='2026'!Maxi_hp</f>
        <v>0</v>
      </c>
      <c r="I279" s="392">
        <f>IF(H279,Wh_hp,'2026'!Maxi_hp)</f>
        <v>43.000133825585301</v>
      </c>
      <c r="J279" s="85">
        <f>IF(H279,An,'2026'!An_max)</f>
        <v>2025</v>
      </c>
      <c r="K279" s="199">
        <f t="shared" si="104"/>
        <v>46652</v>
      </c>
      <c r="L279" s="147">
        <f>IF(t&lt;Tvie,1-EXP((T0-t)*PertePVj)+'2026'!Pspv,1-EXP((T0-t)*PertePVj)+Pspv)</f>
        <v>7.4762032242047805E-2</v>
      </c>
      <c r="M279" s="870"/>
      <c r="N279" s="870"/>
      <c r="O279" s="48">
        <f>IF(t&lt;Tnet,'2026'!Resal+('2026'!Salim-'2026'!Resal)*(1-EXP(('2026'!Tnet-t)/('2026'!Tau_j))),Resal+(Salim-Resal)*(1-EXP((Tnet-t)/(Tau_j))))*Salcycl</f>
        <v>6.6311628992626409E-2</v>
      </c>
      <c r="P279" s="171">
        <f>(INDEX(Models!$BJ279:$BT279,,T279)*(1-R279)+INDEX(Models!$BJ279:$BT279,,T279+1)*R279-ERP_i)*Q279*Ramure*Pc/MaxiM</f>
        <v>5.9686719400125739E-3</v>
      </c>
      <c r="Q279" s="307">
        <f t="shared" si="105"/>
        <v>1</v>
      </c>
      <c r="R279" s="179">
        <f t="shared" si="106"/>
        <v>0.2553931404844535</v>
      </c>
      <c r="S279" s="837">
        <f t="shared" si="107"/>
        <v>-1</v>
      </c>
      <c r="T279" s="178">
        <f t="shared" si="108"/>
        <v>5</v>
      </c>
      <c r="U279" s="253">
        <f t="shared" si="109"/>
        <v>-0.7446068595155465</v>
      </c>
      <c r="V279" s="385">
        <f t="shared" si="110"/>
        <v>37.684092143580891</v>
      </c>
      <c r="W279" s="404">
        <f t="shared" si="111"/>
        <v>36.927040277740417</v>
      </c>
      <c r="X279" s="157">
        <f t="shared" si="112"/>
        <v>46652</v>
      </c>
      <c r="Y279" s="387">
        <f t="shared" si="113"/>
        <v>32.676568217927432</v>
      </c>
      <c r="Z279" s="387">
        <f t="shared" si="114"/>
        <v>35.316933974412748</v>
      </c>
      <c r="AA279" s="388">
        <f t="shared" si="115"/>
        <v>40.491334458216365</v>
      </c>
      <c r="AB279" s="199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0.12779031743552829</v>
      </c>
      <c r="AD279" s="233">
        <f>(INDEX(Models!$BJ279:$BT279,,AH279)*(1-AF279)+INDEX(Models!$BJ279:$BT279,,AH279+1)*AF279-ERP_i)*AE279*Ramure*Pc/MaxiM</f>
        <v>5.9943747095656107E-2</v>
      </c>
      <c r="AE279" s="307">
        <f t="shared" si="117"/>
        <v>1</v>
      </c>
      <c r="AF279" s="179">
        <f t="shared" si="118"/>
        <v>0.19037573340802361</v>
      </c>
      <c r="AG279" s="837">
        <f t="shared" si="124"/>
        <v>4</v>
      </c>
      <c r="AH279" s="178">
        <f t="shared" si="119"/>
        <v>10</v>
      </c>
      <c r="AI279" s="227">
        <f t="shared" si="120"/>
        <v>4.1903757334080236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46653</v>
      </c>
      <c r="B280" s="1139">
        <f>IF(t&gt;Tmaj,'2026'!Wh/'2026'!Env_an*'2027'!Env_an,0.001*'[11]mon-tableau (3)'!$B$224)</f>
        <v>23.780978182106615</v>
      </c>
      <c r="C280" s="866"/>
      <c r="D280" s="395">
        <f t="shared" si="102"/>
        <v>25.703151450558742</v>
      </c>
      <c r="E280" s="387">
        <f t="shared" si="100"/>
        <v>27.534500359409535</v>
      </c>
      <c r="F280" s="387">
        <f t="shared" si="103"/>
        <v>27.615043236266054</v>
      </c>
      <c r="G280" s="110">
        <f t="shared" si="101"/>
        <v>0.63597819581827031</v>
      </c>
      <c r="H280" s="414" t="b">
        <f>Wh_hp&gt;='2026'!Maxi_hp</f>
        <v>0</v>
      </c>
      <c r="I280" s="392">
        <f>IF(H280,Wh_hp,'2026'!Maxi_hp)</f>
        <v>39.136561933282216</v>
      </c>
      <c r="J280" s="85">
        <f>IF(H280,An,'2026'!An_max)</f>
        <v>2019</v>
      </c>
      <c r="K280" s="199">
        <f t="shared" si="104"/>
        <v>46653</v>
      </c>
      <c r="L280" s="147">
        <f>IF(t&lt;Tvie,1-EXP((T0-t)*PertePVj)+'2026'!Pspv,1-EXP((T0-t)*PertePVj)+Pspv)</f>
        <v>7.4783563881243187E-2</v>
      </c>
      <c r="M280" s="870"/>
      <c r="N280" s="870"/>
      <c r="O280" s="48">
        <f>IF(t&lt;Tnet,'2026'!Resal+('2026'!Salim-'2026'!Resal)*(1-EXP(('2026'!Tnet-t)/('2026'!Tau_j))),Resal+(Salim-Resal)*(1-EXP((Tnet-t)/(Tau_j))))*Salcycl</f>
        <v>6.6511063754420174E-2</v>
      </c>
      <c r="P280" s="171">
        <f>(INDEX(Models!$BJ280:$BT280,,T280)*(1-R280)+INDEX(Models!$BJ280:$BT280,,T280+1)*R280-ERP_i)*Q280*Ramure*Pc/MaxiM</f>
        <v>6.040767292473913E-3</v>
      </c>
      <c r="Q280" s="307">
        <f t="shared" si="105"/>
        <v>1</v>
      </c>
      <c r="R280" s="179">
        <f t="shared" si="106"/>
        <v>0.25577580284224477</v>
      </c>
      <c r="S280" s="837">
        <f t="shared" si="107"/>
        <v>-1</v>
      </c>
      <c r="T280" s="178">
        <f t="shared" si="108"/>
        <v>5</v>
      </c>
      <c r="U280" s="253">
        <f t="shared" si="109"/>
        <v>-0.74422419715775523</v>
      </c>
      <c r="V280" s="385">
        <f t="shared" si="110"/>
        <v>37.275595269844715</v>
      </c>
      <c r="W280" s="404">
        <f t="shared" si="111"/>
        <v>23.780978182106615</v>
      </c>
      <c r="X280" s="157">
        <f t="shared" si="112"/>
        <v>46653</v>
      </c>
      <c r="Y280" s="387">
        <f t="shared" si="113"/>
        <v>21.614737844905328</v>
      </c>
      <c r="Z280" s="387">
        <f t="shared" si="114"/>
        <v>23.361817841864358</v>
      </c>
      <c r="AA280" s="388">
        <f t="shared" si="115"/>
        <v>26.786182558625462</v>
      </c>
      <c r="AB280" s="199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0.12784071449025569</v>
      </c>
      <c r="AD280" s="233">
        <f>(INDEX(Models!$BJ280:$BT280,,AH280)*(1-AF280)+INDEX(Models!$BJ280:$BT280,,AH280+1)*AF280-ERP_i)*AE280*Ramure*Pc/MaxiM</f>
        <v>6.2165081096227363E-2</v>
      </c>
      <c r="AE280" s="307">
        <f t="shared" si="117"/>
        <v>1</v>
      </c>
      <c r="AF280" s="179">
        <f t="shared" si="118"/>
        <v>0.19075839576581544</v>
      </c>
      <c r="AG280" s="837">
        <f t="shared" si="124"/>
        <v>4</v>
      </c>
      <c r="AH280" s="178">
        <f t="shared" si="119"/>
        <v>10</v>
      </c>
      <c r="AI280" s="227">
        <f t="shared" si="120"/>
        <v>4.1907583957658154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46654</v>
      </c>
      <c r="B281" s="1139">
        <f>IF(t&gt;Tmaj,'2026'!Wh/'2026'!Env_an*'2027'!Env_an,0.001*'[11]mon-tableau (3)'!$B$225)</f>
        <v>15.957995638894493</v>
      </c>
      <c r="C281" s="866"/>
      <c r="D281" s="395">
        <f t="shared" si="102"/>
        <v>17.248252830822192</v>
      </c>
      <c r="E281" s="387">
        <f t="shared" si="100"/>
        <v>18.481097453850513</v>
      </c>
      <c r="F281" s="387">
        <f t="shared" si="103"/>
        <v>18.502551828390651</v>
      </c>
      <c r="G281" s="110">
        <f t="shared" si="101"/>
        <v>0.43073027120593249</v>
      </c>
      <c r="H281" s="414" t="b">
        <f>Wh_hp&gt;='2026'!Maxi_hp</f>
        <v>0</v>
      </c>
      <c r="I281" s="392">
        <f>IF(H281,Wh_hp,'2026'!Maxi_hp)</f>
        <v>35.871023448312265</v>
      </c>
      <c r="J281" s="85">
        <f>IF(H281,An,'2026'!An_max)</f>
        <v>2021</v>
      </c>
      <c r="K281" s="199">
        <f t="shared" si="104"/>
        <v>46654</v>
      </c>
      <c r="L281" s="147">
        <f>IF(t&lt;Tvie,1-EXP((T0-t)*PertePVj)+'2026'!Pspv,1-EXP((T0-t)*PertePVj)+Pspv)</f>
        <v>7.480509501936583E-2</v>
      </c>
      <c r="M281" s="870"/>
      <c r="N281" s="870"/>
      <c r="O281" s="48">
        <f>IF(t&lt;Tnet,'2026'!Resal+('2026'!Salim-'2026'!Resal)*(1-EXP(('2026'!Tnet-t)/('2026'!Tau_j))),Resal+(Salim-Resal)*(1-EXP((Tnet-t)/(Tau_j))))*Salcycl</f>
        <v>6.6708409828305837E-2</v>
      </c>
      <c r="P281" s="171">
        <f>(INDEX(Models!$BJ281:$BT281,,T281)*(1-R281)+INDEX(Models!$BJ281:$BT281,,T281+1)*R281-ERP_i)*Q281*Ramure*Pc/MaxiM</f>
        <v>6.1085589966007716E-3</v>
      </c>
      <c r="Q281" s="307">
        <f t="shared" si="105"/>
        <v>1</v>
      </c>
      <c r="R281" s="179">
        <f t="shared" si="106"/>
        <v>0.25614345655123527</v>
      </c>
      <c r="S281" s="837">
        <f t="shared" si="107"/>
        <v>-1</v>
      </c>
      <c r="T281" s="178">
        <f t="shared" si="108"/>
        <v>5</v>
      </c>
      <c r="U281" s="253">
        <f t="shared" si="109"/>
        <v>-0.74385654344876473</v>
      </c>
      <c r="V281" s="385">
        <f t="shared" si="110"/>
        <v>36.86513005995814</v>
      </c>
      <c r="W281" s="404">
        <f t="shared" si="111"/>
        <v>15.957995638894493</v>
      </c>
      <c r="X281" s="157">
        <f t="shared" si="112"/>
        <v>46654</v>
      </c>
      <c r="Y281" s="387">
        <f t="shared" si="113"/>
        <v>14.746701247601633</v>
      </c>
      <c r="Z281" s="387">
        <f t="shared" si="114"/>
        <v>15.939021246458665</v>
      </c>
      <c r="AA281" s="388">
        <f t="shared" si="115"/>
        <v>18.27634839400552</v>
      </c>
      <c r="AB281" s="199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0.12788808229949686</v>
      </c>
      <c r="AD281" s="233">
        <f>(INDEX(Models!$BJ281:$BT281,,AH281)*(1-AF281)+INDEX(Models!$BJ281:$BT281,,AH281+1)*AF281-ERP_i)*AE281*Ramure*Pc/MaxiM</f>
        <v>6.4405374372022026E-2</v>
      </c>
      <c r="AE281" s="307">
        <f t="shared" si="117"/>
        <v>1</v>
      </c>
      <c r="AF281" s="179">
        <f t="shared" si="118"/>
        <v>0.19112604947480527</v>
      </c>
      <c r="AG281" s="837">
        <f t="shared" si="124"/>
        <v>4</v>
      </c>
      <c r="AH281" s="178">
        <f t="shared" si="119"/>
        <v>10</v>
      </c>
      <c r="AI281" s="227">
        <f t="shared" si="120"/>
        <v>4.1911260494748053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46655</v>
      </c>
      <c r="B282" s="1139">
        <f>IF(t&gt;Tmaj,'2026'!Wh/'2026'!Env_an*'2027'!Env_an,0.001*'[11]mon-tableau (3)'!$B$226)</f>
        <v>26.653696021815648</v>
      </c>
      <c r="C282" s="866"/>
      <c r="D282" s="395">
        <f t="shared" si="102"/>
        <v>28.80940671333839</v>
      </c>
      <c r="E282" s="387">
        <f t="shared" si="100"/>
        <v>30.875059720279538</v>
      </c>
      <c r="F282" s="387">
        <f t="shared" si="103"/>
        <v>30.992891668542565</v>
      </c>
      <c r="G282" s="110">
        <f t="shared" si="101"/>
        <v>0.72942882978604984</v>
      </c>
      <c r="H282" s="414" t="b">
        <f>Wh_hp&gt;='2026'!Maxi_hp</f>
        <v>0</v>
      </c>
      <c r="I282" s="392">
        <f>IF(H282,Wh_hp,'2026'!Maxi_hp)</f>
        <v>31.047714069590146</v>
      </c>
      <c r="J282" s="85">
        <f>IF(H282,An,'2026'!An_max)</f>
        <v>2025</v>
      </c>
      <c r="K282" s="199">
        <f t="shared" si="104"/>
        <v>46655</v>
      </c>
      <c r="L282" s="147">
        <f>IF(t&lt;Tvie,1-EXP((T0-t)*PertePVj)+'2026'!Pspv,1-EXP((T0-t)*PertePVj)+Pspv)</f>
        <v>7.4826625656427503E-2</v>
      </c>
      <c r="M282" s="870"/>
      <c r="N282" s="870"/>
      <c r="O282" s="48">
        <f>IF(t&lt;Tnet,'2026'!Resal+('2026'!Salim-'2026'!Resal)*(1-EXP(('2026'!Tnet-t)/('2026'!Tau_j))),Resal+(Salim-Resal)*(1-EXP((Tnet-t)/(Tau_j))))*Salcycl</f>
        <v>6.6903611706518359E-2</v>
      </c>
      <c r="P282" s="171">
        <f>(INDEX(Models!$BJ282:$BT282,,T282)*(1-R282)+INDEX(Models!$BJ282:$BT282,,T282+1)*R282-ERP_i)*Q282*Ramure*Pc/MaxiM</f>
        <v>6.1723681198238983E-3</v>
      </c>
      <c r="Q282" s="307">
        <f t="shared" si="105"/>
        <v>1</v>
      </c>
      <c r="R282" s="179">
        <f t="shared" si="106"/>
        <v>0.25649667504934093</v>
      </c>
      <c r="S282" s="837">
        <f t="shared" si="107"/>
        <v>-1</v>
      </c>
      <c r="T282" s="178">
        <f t="shared" si="108"/>
        <v>5</v>
      </c>
      <c r="U282" s="253">
        <f t="shared" si="109"/>
        <v>-0.74350332495065907</v>
      </c>
      <c r="V282" s="385">
        <f t="shared" si="110"/>
        <v>36.453553979722578</v>
      </c>
      <c r="W282" s="404">
        <f t="shared" si="111"/>
        <v>26.653696021815648</v>
      </c>
      <c r="X282" s="157">
        <f t="shared" si="112"/>
        <v>46655</v>
      </c>
      <c r="Y282" s="387">
        <f t="shared" si="113"/>
        <v>23.978719068720757</v>
      </c>
      <c r="Z282" s="387">
        <f t="shared" si="114"/>
        <v>25.918081663054881</v>
      </c>
      <c r="AA282" s="388">
        <f t="shared" si="115"/>
        <v>29.7202644384301</v>
      </c>
      <c r="AB282" s="199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0.12793233328229628</v>
      </c>
      <c r="AD282" s="233">
        <f>(INDEX(Models!$BJ282:$BT282,,AH282)*(1-AF282)+INDEX(Models!$BJ282:$BT282,,AH282+1)*AF282-ERP_i)*AE282*Ramure*Pc/MaxiM</f>
        <v>6.6663785665595957E-2</v>
      </c>
      <c r="AE282" s="307">
        <f t="shared" si="117"/>
        <v>1</v>
      </c>
      <c r="AF282" s="179">
        <f t="shared" si="118"/>
        <v>0.19147926797291159</v>
      </c>
      <c r="AG282" s="837">
        <f t="shared" si="124"/>
        <v>4</v>
      </c>
      <c r="AH282" s="178">
        <f t="shared" si="119"/>
        <v>10</v>
      </c>
      <c r="AI282" s="227">
        <f t="shared" si="120"/>
        <v>4.1914792679729116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46656</v>
      </c>
      <c r="B283" s="1139">
        <f>IF(t&gt;Tmaj,'2026'!Wh/'2026'!Env_an*'2027'!Env_an,0.001*'[11]mon-tableau (3)'!$B$227)</f>
        <v>28.618849566897403</v>
      </c>
      <c r="C283" s="866"/>
      <c r="D283" s="395">
        <f t="shared" si="102"/>
        <v>30.934218794549246</v>
      </c>
      <c r="E283" s="387">
        <f t="shared" si="100"/>
        <v>33.159080848268715</v>
      </c>
      <c r="F283" s="387">
        <f t="shared" si="103"/>
        <v>33.305628831762931</v>
      </c>
      <c r="G283" s="110">
        <f t="shared" si="101"/>
        <v>0.79258628742490156</v>
      </c>
      <c r="H283" s="414" t="b">
        <f>Wh_hp&gt;='2026'!Maxi_hp</f>
        <v>0</v>
      </c>
      <c r="I283" s="392">
        <f>IF(H283,Wh_hp,'2026'!Maxi_hp)</f>
        <v>33.351224128843597</v>
      </c>
      <c r="J283" s="85">
        <f>IF(H283,An,'2026'!An_max)</f>
        <v>2025</v>
      </c>
      <c r="K283" s="199">
        <f t="shared" si="104"/>
        <v>46656</v>
      </c>
      <c r="L283" s="147">
        <f>IF(t&lt;Tvie,1-EXP((T0-t)*PertePVj)+'2026'!Pspv,1-EXP((T0-t)*PertePVj)+Pspv)</f>
        <v>7.4848155792439863E-2</v>
      </c>
      <c r="M283" s="870"/>
      <c r="N283" s="870"/>
      <c r="O283" s="48">
        <f>IF(t&lt;Tnet,'2026'!Resal+('2026'!Salim-'2026'!Resal)*(1-EXP(('2026'!Tnet-t)/('2026'!Tau_j))),Resal+(Salim-Resal)*(1-EXP((Tnet-t)/(Tau_j))))*Salcycl</f>
        <v>6.7096614164310689E-2</v>
      </c>
      <c r="P283" s="171">
        <f>(INDEX(Models!$BJ283:$BT283,,T283)*(1-R283)+INDEX(Models!$BJ283:$BT283,,T283+1)*R283-ERP_i)*Q283*Ramure*Pc/MaxiM</f>
        <v>6.2343337709312129E-3</v>
      </c>
      <c r="Q283" s="307">
        <f t="shared" si="105"/>
        <v>1</v>
      </c>
      <c r="R283" s="179">
        <f t="shared" si="106"/>
        <v>0.25683601105386999</v>
      </c>
      <c r="S283" s="837">
        <f t="shared" si="107"/>
        <v>-1</v>
      </c>
      <c r="T283" s="178">
        <f t="shared" si="108"/>
        <v>5</v>
      </c>
      <c r="U283" s="253">
        <f t="shared" si="109"/>
        <v>-0.74316398894613001</v>
      </c>
      <c r="V283" s="385">
        <f t="shared" si="110"/>
        <v>36.041657878070836</v>
      </c>
      <c r="W283" s="404">
        <f t="shared" si="111"/>
        <v>28.618849566897403</v>
      </c>
      <c r="X283" s="157">
        <f t="shared" si="112"/>
        <v>46656</v>
      </c>
      <c r="Y283" s="387">
        <f t="shared" si="113"/>
        <v>25.561936117107457</v>
      </c>
      <c r="Z283" s="387">
        <f t="shared" si="114"/>
        <v>27.629989906146232</v>
      </c>
      <c r="AA283" s="388">
        <f t="shared" si="115"/>
        <v>31.684801024367914</v>
      </c>
      <c r="AB283" s="199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0.1279733811521567</v>
      </c>
      <c r="AD283" s="233">
        <f>(INDEX(Models!$BJ283:$BT283,,AH283)*(1-AF283)+INDEX(Models!$BJ283:$BT283,,AH283+1)*AF283-ERP_i)*AE283*Ramure*Pc/MaxiM</f>
        <v>6.8952033972585758E-2</v>
      </c>
      <c r="AE283" s="307">
        <f t="shared" si="117"/>
        <v>1</v>
      </c>
      <c r="AF283" s="179">
        <f t="shared" si="118"/>
        <v>0.19181860397744011</v>
      </c>
      <c r="AG283" s="837">
        <f t="shared" si="124"/>
        <v>4</v>
      </c>
      <c r="AH283" s="178">
        <f t="shared" si="119"/>
        <v>10</v>
      </c>
      <c r="AI283" s="227">
        <f t="shared" si="120"/>
        <v>4.1918186039774401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46657</v>
      </c>
      <c r="B284" s="1139">
        <f>IF(t&gt;Tmaj,'2026'!Wh/'2026'!Env_an*'2027'!Env_an,0.001*'[11]mon-tableau (3)'!$B$228)</f>
        <v>13.982074148762344</v>
      </c>
      <c r="C284" s="866"/>
      <c r="D284" s="395">
        <f t="shared" si="102"/>
        <v>15.113626619426178</v>
      </c>
      <c r="E284" s="387">
        <f t="shared" si="100"/>
        <v>16.203947510797867</v>
      </c>
      <c r="F284" s="387">
        <f t="shared" si="103"/>
        <v>16.217424614428641</v>
      </c>
      <c r="G284" s="110">
        <f t="shared" si="101"/>
        <v>0.39027501817421817</v>
      </c>
      <c r="H284" s="414" t="b">
        <f>Wh_hp&gt;='2026'!Maxi_hp</f>
        <v>0</v>
      </c>
      <c r="I284" s="392">
        <f>IF(H284,Wh_hp,'2026'!Maxi_hp)</f>
        <v>32.510091909422549</v>
      </c>
      <c r="J284" s="85">
        <f>IF(H284,An,'2026'!An_max)</f>
        <v>2019</v>
      </c>
      <c r="K284" s="199">
        <f t="shared" si="104"/>
        <v>46657</v>
      </c>
      <c r="L284" s="147">
        <f>IF(t&lt;Tvie,1-EXP((T0-t)*PertePVj)+'2026'!Pspv,1-EXP((T0-t)*PertePVj)+Pspv)</f>
        <v>7.4869685427414345E-2</v>
      </c>
      <c r="M284" s="870"/>
      <c r="N284" s="870"/>
      <c r="O284" s="48">
        <f>IF(t&lt;Tnet,'2026'!Resal+('2026'!Salim-'2026'!Resal)*(1-EXP(('2026'!Tnet-t)/('2026'!Tau_j))),Resal+(Salim-Resal)*(1-EXP((Tnet-t)/(Tau_j))))*Salcycl</f>
        <v>6.7287362579095455E-2</v>
      </c>
      <c r="P284" s="171">
        <f>(INDEX(Models!$BJ284:$BT284,,T284)*(1-R284)+INDEX(Models!$BJ284:$BT284,,T284+1)*R284-ERP_i)*Q284*Ramure*Pc/MaxiM</f>
        <v>6.2942437374396499E-3</v>
      </c>
      <c r="Q284" s="307">
        <f t="shared" si="105"/>
        <v>1</v>
      </c>
      <c r="R284" s="179">
        <f t="shared" si="106"/>
        <v>0.25716199721656696</v>
      </c>
      <c r="S284" s="837">
        <f t="shared" si="107"/>
        <v>-1</v>
      </c>
      <c r="T284" s="178">
        <f t="shared" si="108"/>
        <v>5</v>
      </c>
      <c r="U284" s="253">
        <f t="shared" si="109"/>
        <v>-0.74283800278343304</v>
      </c>
      <c r="V284" s="385">
        <f t="shared" si="110"/>
        <v>35.63031927502211</v>
      </c>
      <c r="W284" s="404">
        <f t="shared" si="111"/>
        <v>13.982074148762344</v>
      </c>
      <c r="X284" s="157">
        <f t="shared" si="112"/>
        <v>46657</v>
      </c>
      <c r="Y284" s="387">
        <f t="shared" si="113"/>
        <v>12.959546693360693</v>
      </c>
      <c r="Z284" s="387">
        <f t="shared" si="114"/>
        <v>14.008347244947931</v>
      </c>
      <c r="AA284" s="388">
        <f t="shared" si="115"/>
        <v>16.064823659623094</v>
      </c>
      <c r="AB284" s="199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0.12801114150066009</v>
      </c>
      <c r="AD284" s="233">
        <f>(INDEX(Models!$BJ284:$BT284,,AH284)*(1-AF284)+INDEX(Models!$BJ284:$BT284,,AH284+1)*AF284-ERP_i)*AE284*Ramure*Pc/MaxiM</f>
        <v>7.1269586583798922E-2</v>
      </c>
      <c r="AE284" s="307">
        <f t="shared" si="117"/>
        <v>1</v>
      </c>
      <c r="AF284" s="179">
        <f t="shared" si="118"/>
        <v>0.19214459014013752</v>
      </c>
      <c r="AG284" s="837">
        <f t="shared" si="124"/>
        <v>4</v>
      </c>
      <c r="AH284" s="178">
        <f t="shared" si="119"/>
        <v>10</v>
      </c>
      <c r="AI284" s="227">
        <f t="shared" si="120"/>
        <v>4.1921445901401375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46658</v>
      </c>
      <c r="B285" s="1139">
        <f>IF(t&gt;Tmaj,'2026'!Wh/'2026'!Env_an*'2027'!Env_an,0.001*'[11]mon-tableau (3)'!$B$229)</f>
        <v>16.451620088637434</v>
      </c>
      <c r="C285" s="866"/>
      <c r="D285" s="395">
        <f t="shared" si="102"/>
        <v>17.78344379340961</v>
      </c>
      <c r="E285" s="387">
        <f t="shared" si="100"/>
        <v>19.070222366108418</v>
      </c>
      <c r="F285" s="387">
        <f t="shared" si="103"/>
        <v>19.099182919675826</v>
      </c>
      <c r="G285" s="110">
        <f t="shared" si="101"/>
        <v>0.46484253023432198</v>
      </c>
      <c r="H285" s="414" t="b">
        <f>Wh_hp&gt;='2026'!Maxi_hp</f>
        <v>0</v>
      </c>
      <c r="I285" s="392">
        <f>IF(H285,Wh_hp,'2026'!Maxi_hp)</f>
        <v>28.599911688914776</v>
      </c>
      <c r="J285" s="85">
        <f>IF(H285,An,'2026'!An_max)</f>
        <v>2019</v>
      </c>
      <c r="K285" s="199">
        <f t="shared" si="104"/>
        <v>46658</v>
      </c>
      <c r="L285" s="147">
        <f>IF(t&lt;Tvie,1-EXP((T0-t)*PertePVj)+'2026'!Pspv,1-EXP((T0-t)*PertePVj)+Pspv)</f>
        <v>7.489121456136294E-2</v>
      </c>
      <c r="M285" s="870"/>
      <c r="N285" s="870"/>
      <c r="O285" s="48">
        <f>IF(t&lt;Tnet,'2026'!Resal+('2026'!Salim-'2026'!Resal)*(1-EXP(('2026'!Tnet-t)/('2026'!Tau_j))),Resal+(Salim-Resal)*(1-EXP((Tnet-t)/(Tau_j))))*Salcycl</f>
        <v>6.7475803270425946E-2</v>
      </c>
      <c r="P285" s="171">
        <f>(INDEX(Models!$BJ285:$BT285,,T285)*(1-R285)+INDEX(Models!$BJ285:$BT285,,T285+1)*R285-ERP_i)*Q285*Ramure*Pc/MaxiM</f>
        <v>6.3518690244393035E-3</v>
      </c>
      <c r="Q285" s="307">
        <f t="shared" si="105"/>
        <v>1</v>
      </c>
      <c r="R285" s="179">
        <f t="shared" si="106"/>
        <v>0.25747514676556826</v>
      </c>
      <c r="S285" s="837">
        <f t="shared" si="107"/>
        <v>-1</v>
      </c>
      <c r="T285" s="178">
        <f t="shared" si="108"/>
        <v>5</v>
      </c>
      <c r="U285" s="253">
        <f t="shared" si="109"/>
        <v>-0.74252485323443174</v>
      </c>
      <c r="V285" s="385">
        <f t="shared" si="110"/>
        <v>35.220414800759947</v>
      </c>
      <c r="W285" s="404">
        <f t="shared" si="111"/>
        <v>16.451620088637434</v>
      </c>
      <c r="X285" s="157">
        <f t="shared" si="112"/>
        <v>46658</v>
      </c>
      <c r="Y285" s="387">
        <f t="shared" si="113"/>
        <v>15.135662208900275</v>
      </c>
      <c r="Z285" s="387">
        <f t="shared" si="114"/>
        <v>16.360953919299074</v>
      </c>
      <c r="AA285" s="388">
        <f t="shared" si="115"/>
        <v>18.763541592438429</v>
      </c>
      <c r="AB285" s="199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0.12804553241204639</v>
      </c>
      <c r="AD285" s="233">
        <f>(INDEX(Models!$BJ285:$BT285,,AH285)*(1-AF285)+INDEX(Models!$BJ285:$BT285,,AH285+1)*AF285-ERP_i)*AE285*Ramure*Pc/MaxiM</f>
        <v>7.3615642216179833E-2</v>
      </c>
      <c r="AE285" s="307">
        <f t="shared" si="117"/>
        <v>1</v>
      </c>
      <c r="AF285" s="179">
        <f t="shared" si="118"/>
        <v>0.19245773968913849</v>
      </c>
      <c r="AG285" s="837">
        <f t="shared" si="124"/>
        <v>4</v>
      </c>
      <c r="AH285" s="178">
        <f t="shared" si="119"/>
        <v>10</v>
      </c>
      <c r="AI285" s="227">
        <f t="shared" si="120"/>
        <v>4.1924577396891385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46659</v>
      </c>
      <c r="B286" s="1139">
        <f>IF(t&gt;Tmaj,'2026'!Wh/'2026'!Env_an*'2027'!Env_an,0.001*'[11]mon-tableau (3)'!$B$230)</f>
        <v>21.996787131441231</v>
      </c>
      <c r="C286" s="866"/>
      <c r="D286" s="395">
        <f t="shared" si="102"/>
        <v>23.778067387281325</v>
      </c>
      <c r="E286" s="387">
        <f t="shared" si="100"/>
        <v>25.503695468012314</v>
      </c>
      <c r="F286" s="387">
        <f t="shared" si="103"/>
        <v>25.581397402230003</v>
      </c>
      <c r="G286" s="110">
        <f t="shared" si="101"/>
        <v>0.62972325917930549</v>
      </c>
      <c r="H286" s="414" t="b">
        <f>Wh_hp&gt;='2026'!Maxi_hp</f>
        <v>0</v>
      </c>
      <c r="I286" s="392">
        <f>IF(H286,Wh_hp,'2026'!Maxi_hp)</f>
        <v>39.642846116741424</v>
      </c>
      <c r="J286" s="85">
        <f>IF(H286,An,'2026'!An_max)</f>
        <v>2019</v>
      </c>
      <c r="K286" s="199">
        <f t="shared" si="104"/>
        <v>46659</v>
      </c>
      <c r="L286" s="147">
        <f>IF(t&lt;Tvie,1-EXP((T0-t)*PertePVj)+'2026'!Pspv,1-EXP((T0-t)*PertePVj)+Pspv)</f>
        <v>7.4912743194296971E-2</v>
      </c>
      <c r="M286" s="870"/>
      <c r="N286" s="870"/>
      <c r="O286" s="48">
        <f>IF(t&lt;Tnet,'2026'!Resal+('2026'!Salim-'2026'!Resal)*(1-EXP(('2026'!Tnet-t)/('2026'!Tau_j))),Resal+(Salim-Resal)*(1-EXP((Tnet-t)/(Tau_j))))*Salcycl</f>
        <v>6.7661883858962268E-2</v>
      </c>
      <c r="P286" s="171">
        <f>(INDEX(Models!$BJ286:$BT286,,T286)*(1-R286)+INDEX(Models!$BJ286:$BT286,,T286+1)*R286-ERP_i)*Q286*Ramure*Pc/MaxiM</f>
        <v>6.4069635662738073E-3</v>
      </c>
      <c r="Q286" s="307">
        <f t="shared" si="105"/>
        <v>1</v>
      </c>
      <c r="R286" s="179">
        <f t="shared" si="106"/>
        <v>0.25777595413384258</v>
      </c>
      <c r="S286" s="837">
        <f t="shared" si="107"/>
        <v>-1</v>
      </c>
      <c r="T286" s="178">
        <f t="shared" si="108"/>
        <v>5</v>
      </c>
      <c r="U286" s="253">
        <f t="shared" si="109"/>
        <v>-0.74222404586615742</v>
      </c>
      <c r="V286" s="385">
        <f t="shared" si="110"/>
        <v>34.812820203714622</v>
      </c>
      <c r="W286" s="404">
        <f t="shared" si="111"/>
        <v>21.996787131441231</v>
      </c>
      <c r="X286" s="157">
        <f t="shared" si="112"/>
        <v>46659</v>
      </c>
      <c r="Y286" s="387">
        <f t="shared" si="113"/>
        <v>19.890744060402735</v>
      </c>
      <c r="Z286" s="387">
        <f t="shared" si="114"/>
        <v>21.501478821667963</v>
      </c>
      <c r="AA286" s="388">
        <f t="shared" si="115"/>
        <v>24.659821885471587</v>
      </c>
      <c r="AB286" s="199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0.12807647510480893</v>
      </c>
      <c r="AD286" s="233">
        <f>(INDEX(Models!$BJ286:$BT286,,AH286)*(1-AF286)+INDEX(Models!$BJ286:$BT286,,AH286+1)*AF286-ERP_i)*AE286*Ramure*Pc/MaxiM</f>
        <v>7.5989109137219749E-2</v>
      </c>
      <c r="AE286" s="307">
        <f t="shared" si="117"/>
        <v>1</v>
      </c>
      <c r="AF286" s="179">
        <f t="shared" si="118"/>
        <v>0.19275854705741313</v>
      </c>
      <c r="AG286" s="837">
        <f t="shared" si="124"/>
        <v>4</v>
      </c>
      <c r="AH286" s="178">
        <f t="shared" si="119"/>
        <v>10</v>
      </c>
      <c r="AI286" s="227">
        <f t="shared" si="120"/>
        <v>4.1927585470574131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46660</v>
      </c>
      <c r="B287" s="1139">
        <f>IF(t&gt;Tmaj,'2026'!Wh/'2026'!Env_an*'2027'!Env_an,0.001*'[11]mon-tableau (3)'!$B$231)</f>
        <v>25.41293477951362</v>
      </c>
      <c r="C287" s="866"/>
      <c r="D287" s="395">
        <f t="shared" si="102"/>
        <v>27.471490934970742</v>
      </c>
      <c r="E287" s="387">
        <f t="shared" si="100"/>
        <v>29.470964862435114</v>
      </c>
      <c r="F287" s="387">
        <f t="shared" si="103"/>
        <v>29.590715253282671</v>
      </c>
      <c r="G287" s="110">
        <f t="shared" si="101"/>
        <v>0.73677859349735642</v>
      </c>
      <c r="H287" s="414" t="b">
        <f>Wh_hp&gt;='2026'!Maxi_hp</f>
        <v>0</v>
      </c>
      <c r="I287" s="392">
        <f>IF(H287,Wh_hp,'2026'!Maxi_hp)</f>
        <v>32.062263093878606</v>
      </c>
      <c r="J287" s="85">
        <f>IF(H287,An,'2026'!An_max)</f>
        <v>2020</v>
      </c>
      <c r="K287" s="199">
        <f t="shared" si="104"/>
        <v>46660</v>
      </c>
      <c r="L287" s="147">
        <f>IF(t&lt;Tvie,1-EXP((T0-t)*PertePVj)+'2026'!Pspv,1-EXP((T0-t)*PertePVj)+Pspv)</f>
        <v>7.493427132622843E-2</v>
      </c>
      <c r="M287" s="870"/>
      <c r="N287" s="870"/>
      <c r="O287" s="48">
        <f>IF(t&lt;Tnet,'2026'!Resal+('2026'!Salim-'2026'!Resal)*(1-EXP(('2026'!Tnet-t)/('2026'!Tau_j))),Resal+(Salim-Resal)*(1-EXP((Tnet-t)/(Tau_j))))*Salcycl</f>
        <v>6.7845553642289461E-2</v>
      </c>
      <c r="P287" s="171">
        <f>(INDEX(Models!$BJ287:$BT287,,T287)*(1-R287)+INDEX(Models!$BJ287:$BT287,,T287+1)*R287-ERP_i)*Q287*Ramure*Pc/MaxiM</f>
        <v>6.4592640433740458E-3</v>
      </c>
      <c r="Q287" s="307">
        <f t="shared" si="105"/>
        <v>1</v>
      </c>
      <c r="R287" s="179">
        <f t="shared" si="106"/>
        <v>0.2580648955737751</v>
      </c>
      <c r="S287" s="837">
        <f t="shared" si="107"/>
        <v>-1</v>
      </c>
      <c r="T287" s="178">
        <f t="shared" si="108"/>
        <v>5</v>
      </c>
      <c r="U287" s="253">
        <f t="shared" si="109"/>
        <v>-0.7419351044262249</v>
      </c>
      <c r="V287" s="385">
        <f t="shared" si="110"/>
        <v>34.408410359004783</v>
      </c>
      <c r="W287" s="404">
        <f t="shared" si="111"/>
        <v>25.41293477951362</v>
      </c>
      <c r="X287" s="157">
        <f t="shared" si="112"/>
        <v>46660</v>
      </c>
      <c r="Y287" s="387">
        <f t="shared" si="113"/>
        <v>22.694570690552165</v>
      </c>
      <c r="Z287" s="387">
        <f t="shared" si="114"/>
        <v>24.532927755402238</v>
      </c>
      <c r="AA287" s="388">
        <f t="shared" si="115"/>
        <v>28.137443903402342</v>
      </c>
      <c r="AB287" s="199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0.12810389459592142</v>
      </c>
      <c r="AD287" s="233">
        <f>(INDEX(Models!$BJ287:$BT287,,AH287)*(1-AF287)+INDEX(Models!$BJ287:$BT287,,AH287+1)*AF287-ERP_i)*AE287*Ramure*Pc/MaxiM</f>
        <v>7.8388582359598169E-2</v>
      </c>
      <c r="AE287" s="307">
        <f t="shared" si="117"/>
        <v>1</v>
      </c>
      <c r="AF287" s="179">
        <f t="shared" si="118"/>
        <v>0.19304748849734565</v>
      </c>
      <c r="AG287" s="837">
        <f t="shared" si="124"/>
        <v>4</v>
      </c>
      <c r="AH287" s="178">
        <f t="shared" si="119"/>
        <v>10</v>
      </c>
      <c r="AI287" s="227">
        <f t="shared" si="120"/>
        <v>4.1930474884973457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46661</v>
      </c>
      <c r="B288" s="1139">
        <f>IF(t&gt;Tmaj,'2026'!Wh/'2026'!Env_an*'2027'!Env_an,0.001*'[12]mon-tableau (1)'!$B$208)</f>
        <v>30.585387597334819</v>
      </c>
      <c r="C288" s="866"/>
      <c r="D288" s="395">
        <f t="shared" si="102"/>
        <v>33.063703942854787</v>
      </c>
      <c r="E288" s="387">
        <f t="shared" si="100"/>
        <v>35.477095977817655</v>
      </c>
      <c r="F288" s="387">
        <f t="shared" si="103"/>
        <v>35.675908089937693</v>
      </c>
      <c r="G288" s="110">
        <f t="shared" si="101"/>
        <v>0.89851074130263897</v>
      </c>
      <c r="H288" s="414" t="b">
        <f>Wh_hp&gt;='2026'!Maxi_hp</f>
        <v>0</v>
      </c>
      <c r="I288" s="392">
        <f>IF(H288,Wh_hp,'2026'!Maxi_hp)</f>
        <v>38.101768879016269</v>
      </c>
      <c r="J288" s="85">
        <f>IF(H288,An,'2026'!An_max)</f>
        <v>2020</v>
      </c>
      <c r="K288" s="199">
        <f t="shared" si="104"/>
        <v>46661</v>
      </c>
      <c r="L288" s="147">
        <f>IF(t&lt;Tvie,1-EXP((T0-t)*PertePVj)+'2026'!Pspv,1-EXP((T0-t)*PertePVj)+Pspv)</f>
        <v>7.495579895716864E-2</v>
      </c>
      <c r="M288" s="870"/>
      <c r="N288" s="870"/>
      <c r="O288" s="48">
        <f>IF(t&lt;Tnet,'2026'!Resal+('2026'!Salim-'2026'!Resal)*(1-EXP(('2026'!Tnet-t)/('2026'!Tau_j))),Resal+(Salim-Resal)*(1-EXP((Tnet-t)/(Tau_j))))*Salcycl</f>
        <v>6.8026763985188074E-2</v>
      </c>
      <c r="P288" s="171">
        <f>(INDEX(Models!$BJ288:$BT288,,T288)*(1-R288)+INDEX(Models!$BJ288:$BT288,,T288+1)*R288-ERP_i)*Q288*Ramure*Pc/MaxiM</f>
        <v>6.5084898279690736E-3</v>
      </c>
      <c r="Q288" s="307">
        <f t="shared" si="105"/>
        <v>1</v>
      </c>
      <c r="R288" s="179">
        <f t="shared" si="106"/>
        <v>0.25834242975762267</v>
      </c>
      <c r="S288" s="837">
        <f t="shared" si="107"/>
        <v>-1</v>
      </c>
      <c r="T288" s="178">
        <f t="shared" si="108"/>
        <v>5</v>
      </c>
      <c r="U288" s="253">
        <f t="shared" si="109"/>
        <v>-0.74165757024237733</v>
      </c>
      <c r="V288" s="385">
        <f t="shared" si="110"/>
        <v>34.008059279205277</v>
      </c>
      <c r="W288" s="404">
        <f t="shared" si="111"/>
        <v>30.585387597334819</v>
      </c>
      <c r="X288" s="157">
        <f t="shared" si="112"/>
        <v>46661</v>
      </c>
      <c r="Y288" s="387">
        <f t="shared" si="113"/>
        <v>26.782419601969877</v>
      </c>
      <c r="Z288" s="387">
        <f t="shared" si="114"/>
        <v>28.952583640627353</v>
      </c>
      <c r="AA288" s="388">
        <f t="shared" si="115"/>
        <v>33.207368002733816</v>
      </c>
      <c r="AB288" s="199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0.12812772038290379</v>
      </c>
      <c r="AD288" s="233">
        <f>(INDEX(Models!$BJ288:$BT288,,AH288)*(1-AF288)+INDEX(Models!$BJ288:$BT288,,AH288+1)*AF288-ERP_i)*AE288*Ramure*Pc/MaxiM</f>
        <v>8.0812320115586145E-2</v>
      </c>
      <c r="AE288" s="307">
        <f t="shared" si="117"/>
        <v>1</v>
      </c>
      <c r="AF288" s="179">
        <f t="shared" si="118"/>
        <v>0.19332502268119356</v>
      </c>
      <c r="AG288" s="837">
        <f t="shared" si="124"/>
        <v>4</v>
      </c>
      <c r="AH288" s="178">
        <f t="shared" si="119"/>
        <v>10</v>
      </c>
      <c r="AI288" s="227">
        <f t="shared" si="120"/>
        <v>4.1933250226811936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46662</v>
      </c>
      <c r="B289" s="1139">
        <f>IF(t&gt;Tmaj,'2026'!Wh/'2026'!Env_an*'2027'!Env_an,0.001*'[12]mon-tableau (1)'!$B$209)</f>
        <v>32.316049732516582</v>
      </c>
      <c r="C289" s="866"/>
      <c r="D289" s="395">
        <f t="shared" si="102"/>
        <v>34.935413632423554</v>
      </c>
      <c r="E289" s="387">
        <f t="shared" si="100"/>
        <v>37.492615012986896</v>
      </c>
      <c r="F289" s="387">
        <f t="shared" si="103"/>
        <v>37.726333324630723</v>
      </c>
      <c r="G289" s="110">
        <f t="shared" si="101"/>
        <v>0.9612002295669575</v>
      </c>
      <c r="H289" s="414" t="b">
        <f>Wh_hp&gt;='2026'!Maxi_hp</f>
        <v>0</v>
      </c>
      <c r="I289" s="392">
        <f>IF(H289,Wh_hp,'2026'!Maxi_hp)</f>
        <v>37.73653298451557</v>
      </c>
      <c r="J289" s="85">
        <f>IF(H289,An,'2026'!An_max)</f>
        <v>2025</v>
      </c>
      <c r="K289" s="199">
        <f t="shared" si="104"/>
        <v>46662</v>
      </c>
      <c r="L289" s="147">
        <f>IF(t&lt;Tvie,1-EXP((T0-t)*PertePVj)+'2026'!Pspv,1-EXP((T0-t)*PertePVj)+Pspv)</f>
        <v>7.4977326087129481E-2</v>
      </c>
      <c r="M289" s="870"/>
      <c r="N289" s="870"/>
      <c r="O289" s="48">
        <f>IF(t&lt;Tnet,'2026'!Resal+('2026'!Salim-'2026'!Resal)*(1-EXP(('2026'!Tnet-t)/('2026'!Tau_j))),Resal+(Salim-Resal)*(1-EXP((Tnet-t)/(Tau_j))))*Salcycl</f>
        <v>6.820546872170867E-2</v>
      </c>
      <c r="P289" s="171">
        <f>(INDEX(Models!$BJ289:$BT289,,T289)*(1-R289)+INDEX(Models!$BJ289:$BT289,,T289+1)*R289-ERP_i)*Q289*Ramure*Pc/MaxiM</f>
        <v>6.5551768643783781E-3</v>
      </c>
      <c r="Q289" s="307">
        <f t="shared" si="105"/>
        <v>1</v>
      </c>
      <c r="R289" s="179">
        <f t="shared" si="106"/>
        <v>0.2586089983636416</v>
      </c>
      <c r="S289" s="837">
        <f t="shared" si="107"/>
        <v>-1</v>
      </c>
      <c r="T289" s="178">
        <f t="shared" si="108"/>
        <v>5</v>
      </c>
      <c r="U289" s="253">
        <f t="shared" si="109"/>
        <v>-0.7413910016363584</v>
      </c>
      <c r="V289" s="385">
        <f t="shared" si="110"/>
        <v>33.608336595355183</v>
      </c>
      <c r="W289" s="404">
        <f t="shared" si="111"/>
        <v>32.316049732516582</v>
      </c>
      <c r="X289" s="157">
        <f t="shared" si="112"/>
        <v>46662</v>
      </c>
      <c r="Y289" s="387">
        <f t="shared" si="113"/>
        <v>28.031305049234451</v>
      </c>
      <c r="Z289" s="387">
        <f t="shared" si="114"/>
        <v>30.303370760266109</v>
      </c>
      <c r="AA289" s="388">
        <f t="shared" si="115"/>
        <v>34.757466677243976</v>
      </c>
      <c r="AB289" s="199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0.12814788713856415</v>
      </c>
      <c r="AD289" s="233">
        <f>(INDEX(Models!$BJ289:$BT289,,AH289)*(1-AF289)+INDEX(Models!$BJ289:$BT289,,AH289+1)*AF289-ERP_i)*AE289*Ramure*Pc/MaxiM</f>
        <v>8.3268811174849383E-2</v>
      </c>
      <c r="AE289" s="307">
        <f t="shared" si="117"/>
        <v>1</v>
      </c>
      <c r="AF289" s="179">
        <f t="shared" si="118"/>
        <v>0.19359159128721171</v>
      </c>
      <c r="AG289" s="837">
        <f t="shared" si="124"/>
        <v>4</v>
      </c>
      <c r="AH289" s="178">
        <f t="shared" si="119"/>
        <v>10</v>
      </c>
      <c r="AI289" s="227">
        <f t="shared" si="120"/>
        <v>4.1935915912872117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46663</v>
      </c>
      <c r="B290" s="1139">
        <f>IF(t&gt;Tmaj,'2026'!Wh/'2026'!Env_an*'2027'!Env_an,0.001*'[12]mon-tableau (1)'!$B$210)</f>
        <v>30.496456553404794</v>
      </c>
      <c r="C290" s="866"/>
      <c r="D290" s="395">
        <f t="shared" si="102"/>
        <v>32.969101328093394</v>
      </c>
      <c r="E290" s="387">
        <f t="shared" si="100"/>
        <v>35.389062944084436</v>
      </c>
      <c r="F290" s="387">
        <f t="shared" si="103"/>
        <v>35.596827424286296</v>
      </c>
      <c r="G290" s="110">
        <f t="shared" si="101"/>
        <v>0.91770019282970694</v>
      </c>
      <c r="H290" s="414" t="b">
        <f>Wh_hp&gt;='2026'!Maxi_hp</f>
        <v>0</v>
      </c>
      <c r="I290" s="392">
        <f>IF(H290,Wh_hp,'2026'!Maxi_hp)</f>
        <v>36.052378620144729</v>
      </c>
      <c r="J290" s="85">
        <f>IF(H290,An,'2026'!An_max)</f>
        <v>2018</v>
      </c>
      <c r="K290" s="199">
        <f t="shared" si="104"/>
        <v>46663</v>
      </c>
      <c r="L290" s="147">
        <f>IF(t&lt;Tvie,1-EXP((T0-t)*PertePVj)+'2026'!Pspv,1-EXP((T0-t)*PertePVj)+Pspv)</f>
        <v>7.499885271612261E-2</v>
      </c>
      <c r="M290" s="870"/>
      <c r="N290" s="870"/>
      <c r="O290" s="48">
        <f>IF(t&lt;Tnet,'2026'!Resal+('2026'!Salim-'2026'!Resal)*(1-EXP(('2026'!Tnet-t)/('2026'!Tau_j))),Resal+(Salim-Resal)*(1-EXP((Tnet-t)/(Tau_j))))*Salcycl</f>
        <v>6.8381624566172791E-2</v>
      </c>
      <c r="P290" s="171">
        <f>(INDEX(Models!$BJ290:$BT290,,T290)*(1-R290)+INDEX(Models!$BJ290:$BT290,,T290+1)*R290-ERP_i)*Q290*Ramure*Pc/MaxiM</f>
        <v>6.606637118909988E-3</v>
      </c>
      <c r="Q290" s="307">
        <f t="shared" si="105"/>
        <v>1</v>
      </c>
      <c r="R290" s="179">
        <f t="shared" si="106"/>
        <v>0.25886502664774491</v>
      </c>
      <c r="S290" s="837">
        <f t="shared" si="107"/>
        <v>-1</v>
      </c>
      <c r="T290" s="178">
        <f t="shared" si="108"/>
        <v>5</v>
      </c>
      <c r="U290" s="253">
        <f t="shared" si="109"/>
        <v>-0.74113497335225509</v>
      </c>
      <c r="V290" s="385">
        <f t="shared" si="110"/>
        <v>33.205654256287907</v>
      </c>
      <c r="W290" s="404">
        <f t="shared" si="111"/>
        <v>30.496456553404794</v>
      </c>
      <c r="X290" s="157">
        <f t="shared" si="112"/>
        <v>46663</v>
      </c>
      <c r="Y290" s="387">
        <f t="shared" si="113"/>
        <v>26.532173498739937</v>
      </c>
      <c r="Z290" s="387">
        <f t="shared" si="114"/>
        <v>28.683395233235714</v>
      </c>
      <c r="AA290" s="388">
        <f t="shared" si="115"/>
        <v>32.900002142973896</v>
      </c>
      <c r="AB290" s="199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0.12816433541292885</v>
      </c>
      <c r="AD290" s="233">
        <f>(INDEX(Models!$BJ290:$BT290,,AH290)*(1-AF290)+INDEX(Models!$BJ290:$BT290,,AH290+1)*AF290-ERP_i)*AE290*Ramure*Pc/MaxiM</f>
        <v>8.5755495787455852E-2</v>
      </c>
      <c r="AE290" s="307">
        <f t="shared" si="117"/>
        <v>1</v>
      </c>
      <c r="AF290" s="179">
        <f t="shared" si="118"/>
        <v>0.19384761957131502</v>
      </c>
      <c r="AG290" s="837">
        <f t="shared" si="124"/>
        <v>4</v>
      </c>
      <c r="AH290" s="178">
        <f t="shared" si="119"/>
        <v>10</v>
      </c>
      <c r="AI290" s="227">
        <f t="shared" si="120"/>
        <v>4.193847619571315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46664</v>
      </c>
      <c r="B291" s="1139">
        <f>IF(t&gt;Tmaj,'2026'!Wh/'2026'!Env_an*'2027'!Env_an,0.001*'[12]mon-tableau (1)'!$B$211)</f>
        <v>32.61649536880013</v>
      </c>
      <c r="C291" s="866"/>
      <c r="D291" s="395">
        <f t="shared" si="102"/>
        <v>35.261852934709047</v>
      </c>
      <c r="E291" s="387">
        <f t="shared" si="100"/>
        <v>37.857157626581341</v>
      </c>
      <c r="F291" s="387">
        <f t="shared" si="103"/>
        <v>38.109205062359102</v>
      </c>
      <c r="G291" s="110">
        <f t="shared" si="101"/>
        <v>0.99432635267874003</v>
      </c>
      <c r="H291" s="414" t="b">
        <f>Wh_hp&gt;='2026'!Maxi_hp</f>
        <v>0</v>
      </c>
      <c r="I291" s="392">
        <f>IF(H291,Wh_hp,'2026'!Maxi_hp)</f>
        <v>38.110744788476701</v>
      </c>
      <c r="J291" s="85">
        <f>IF(H291,An,'2026'!An_max)</f>
        <v>2025</v>
      </c>
      <c r="K291" s="199">
        <f t="shared" si="104"/>
        <v>46664</v>
      </c>
      <c r="L291" s="147">
        <f>IF(t&lt;Tvie,1-EXP((T0-t)*PertePVj)+'2026'!Pspv,1-EXP((T0-t)*PertePVj)+Pspv)</f>
        <v>7.5020378844159685E-2</v>
      </c>
      <c r="M291" s="870"/>
      <c r="N291" s="870"/>
      <c r="O291" s="48">
        <f>IF(t&lt;Tnet,'2026'!Resal+('2026'!Salim-'2026'!Resal)*(1-EXP(('2026'!Tnet-t)/('2026'!Tau_j))),Resal+(Salim-Resal)*(1-EXP((Tnet-t)/(Tau_j))))*Salcycl</f>
        <v>6.8555191530016088E-2</v>
      </c>
      <c r="P291" s="171">
        <f>(INDEX(Models!$BJ291:$BT291,,T291)*(1-R291)+INDEX(Models!$BJ291:$BT291,,T291+1)*R291-ERP_i)*Q291*Ramure*Pc/MaxiM</f>
        <v>6.6673502511540965E-3</v>
      </c>
      <c r="Q291" s="307">
        <f t="shared" si="105"/>
        <v>1</v>
      </c>
      <c r="R291" s="179">
        <f t="shared" si="106"/>
        <v>0.25911092400060753</v>
      </c>
      <c r="S291" s="837">
        <f t="shared" si="107"/>
        <v>-1</v>
      </c>
      <c r="T291" s="178">
        <f t="shared" si="108"/>
        <v>5</v>
      </c>
      <c r="U291" s="253">
        <f t="shared" si="109"/>
        <v>-0.74088907599939247</v>
      </c>
      <c r="V291" s="385">
        <f t="shared" si="110"/>
        <v>32.800838174176512</v>
      </c>
      <c r="W291" s="404">
        <f t="shared" si="111"/>
        <v>32.61649536880013</v>
      </c>
      <c r="X291" s="157">
        <f t="shared" si="112"/>
        <v>46664</v>
      </c>
      <c r="Y291" s="387">
        <f t="shared" si="113"/>
        <v>28.040205242886369</v>
      </c>
      <c r="Z291" s="387">
        <f t="shared" si="114"/>
        <v>30.314403259876968</v>
      </c>
      <c r="AA291" s="388">
        <f t="shared" si="115"/>
        <v>34.771282346114077</v>
      </c>
      <c r="AB291" s="199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0.12817701233659551</v>
      </c>
      <c r="AD291" s="233">
        <f>(INDEX(Models!$BJ291:$BT291,,AH291)*(1-AF291)+INDEX(Models!$BJ291:$BT291,,AH291+1)*AF291-ERP_i)*AE291*Ramure*Pc/MaxiM</f>
        <v>8.8297267503694724E-2</v>
      </c>
      <c r="AE291" s="307">
        <f t="shared" si="117"/>
        <v>1</v>
      </c>
      <c r="AF291" s="179">
        <f t="shared" si="118"/>
        <v>0.19409351692417776</v>
      </c>
      <c r="AG291" s="837">
        <f t="shared" si="124"/>
        <v>4</v>
      </c>
      <c r="AH291" s="178">
        <f t="shared" si="119"/>
        <v>10</v>
      </c>
      <c r="AI291" s="227">
        <f t="shared" si="120"/>
        <v>4.1940935169241778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46665</v>
      </c>
      <c r="B292" s="1139">
        <f>IF(t&gt;Tmaj,'2026'!Wh/'2026'!Env_an*'2027'!Env_an,0.001*'[12]mon-tableau (1)'!$B$212)</f>
        <v>32.950335599984804</v>
      </c>
      <c r="C292" s="866"/>
      <c r="D292" s="395">
        <f t="shared" si="102"/>
        <v>35.623598257333917</v>
      </c>
      <c r="E292" s="387">
        <f t="shared" si="100"/>
        <v>38.252547969743468</v>
      </c>
      <c r="F292" s="387">
        <f t="shared" si="103"/>
        <v>38.512022634162186</v>
      </c>
      <c r="G292" s="110">
        <f t="shared" si="101"/>
        <v>1.0171470124477862</v>
      </c>
      <c r="H292" s="414" t="b">
        <f>Wh_hp&gt;='2026'!Maxi_hp</f>
        <v>1</v>
      </c>
      <c r="I292" s="392">
        <f>IF(H292,Wh_hp,'2026'!Maxi_hp)</f>
        <v>38.512022634162186</v>
      </c>
      <c r="J292" s="85">
        <f>IF(H292,An,'2026'!An_max)</f>
        <v>2027</v>
      </c>
      <c r="K292" s="199">
        <f t="shared" si="104"/>
        <v>46665</v>
      </c>
      <c r="L292" s="147">
        <f>IF(t&lt;Tvie,1-EXP((T0-t)*PertePVj)+'2026'!Pspv,1-EXP((T0-t)*PertePVj)+Pspv)</f>
        <v>7.5041904471252141E-2</v>
      </c>
      <c r="M292" s="870"/>
      <c r="N292" s="870"/>
      <c r="O292" s="48">
        <f>IF(t&lt;Tnet,'2026'!Resal+('2026'!Salim-'2026'!Resal)*(1-EXP(('2026'!Tnet-t)/('2026'!Tau_j))),Resal+(Salim-Resal)*(1-EXP((Tnet-t)/(Tau_j))))*Salcycl</f>
        <v>6.8726133341208126E-2</v>
      </c>
      <c r="P292" s="171">
        <f>(INDEX(Models!$BJ292:$BT292,,T292)*(1-R292)+INDEX(Models!$BJ292:$BT292,,T292+1)*R292-ERP_i)*Q292*Ramure*Pc/MaxiM</f>
        <v>6.7374977129491826E-3</v>
      </c>
      <c r="Q292" s="307">
        <f t="shared" si="105"/>
        <v>1</v>
      </c>
      <c r="R292" s="179">
        <f t="shared" si="106"/>
        <v>0.25934708449018196</v>
      </c>
      <c r="S292" s="837">
        <f t="shared" si="107"/>
        <v>-1</v>
      </c>
      <c r="T292" s="178">
        <f t="shared" si="108"/>
        <v>5</v>
      </c>
      <c r="U292" s="253">
        <f t="shared" si="109"/>
        <v>-0.74065291550981804</v>
      </c>
      <c r="V292" s="385">
        <f t="shared" si="110"/>
        <v>32.394860523346679</v>
      </c>
      <c r="W292" s="404">
        <f t="shared" si="111"/>
        <v>32.950335599984804</v>
      </c>
      <c r="X292" s="157">
        <f t="shared" si="112"/>
        <v>46665</v>
      </c>
      <c r="Y292" s="387">
        <f t="shared" si="113"/>
        <v>28.232987976186571</v>
      </c>
      <c r="Z292" s="387">
        <f t="shared" si="114"/>
        <v>30.52353194449022</v>
      </c>
      <c r="AA292" s="388">
        <f t="shared" si="115"/>
        <v>35.011513320734977</v>
      </c>
      <c r="AB292" s="199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0.12818587231951573</v>
      </c>
      <c r="AD292" s="233">
        <f>(INDEX(Models!$BJ292:$BT292,,AH292)*(1-AF292)+INDEX(Models!$BJ292:$BT292,,AH292+1)*AF292-ERP_i)*AE292*Ramure*Pc/MaxiM</f>
        <v>9.0893935815307567E-2</v>
      </c>
      <c r="AE292" s="307">
        <f t="shared" si="117"/>
        <v>1</v>
      </c>
      <c r="AF292" s="179">
        <f t="shared" si="118"/>
        <v>0.1943296774137524</v>
      </c>
      <c r="AG292" s="837">
        <f t="shared" si="124"/>
        <v>4</v>
      </c>
      <c r="AH292" s="178">
        <f t="shared" si="119"/>
        <v>10</v>
      </c>
      <c r="AI292" s="227">
        <f t="shared" si="120"/>
        <v>4.1943296774137524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46666</v>
      </c>
      <c r="B293" s="1139">
        <f>IF(t&gt;Tmaj,'2026'!Wh/'2026'!Env_an*'2027'!Env_an,0.001*'[12]mon-tableau (1)'!$B$213)</f>
        <v>14.163475645872559</v>
      </c>
      <c r="C293" s="866"/>
      <c r="D293" s="395">
        <f t="shared" si="102"/>
        <v>15.312915608588989</v>
      </c>
      <c r="E293" s="387">
        <f t="shared" si="100"/>
        <v>16.445949742285077</v>
      </c>
      <c r="F293" s="387">
        <f t="shared" si="103"/>
        <v>16.468847720523016</v>
      </c>
      <c r="G293" s="110">
        <f t="shared" si="101"/>
        <v>0.44035889031772851</v>
      </c>
      <c r="H293" s="414" t="b">
        <f>Wh_hp&gt;='2026'!Maxi_hp</f>
        <v>0</v>
      </c>
      <c r="I293" s="392">
        <f>IF(H293,Wh_hp,'2026'!Maxi_hp)</f>
        <v>33.993896318509428</v>
      </c>
      <c r="J293" s="85">
        <f>IF(H293,An,'2026'!An_max)</f>
        <v>2018</v>
      </c>
      <c r="K293" s="199">
        <f t="shared" si="104"/>
        <v>46666</v>
      </c>
      <c r="L293" s="147">
        <f>IF(t&lt;Tvie,1-EXP((T0-t)*PertePVj)+'2026'!Pspv,1-EXP((T0-t)*PertePVj)+Pspv)</f>
        <v>7.5063429597411968E-2</v>
      </c>
      <c r="M293" s="870"/>
      <c r="N293" s="870"/>
      <c r="O293" s="48">
        <f>IF(t&lt;Tnet,'2026'!Resal+('2026'!Salim-'2026'!Resal)*(1-EXP(('2026'!Tnet-t)/('2026'!Tau_j))),Resal+(Salim-Resal)*(1-EXP((Tnet-t)/(Tau_j))))*Salcycl</f>
        <v>6.8894417862829821E-2</v>
      </c>
      <c r="P293" s="171">
        <f>(INDEX(Models!$BJ293:$BT293,,T293)*(1-R293)+INDEX(Models!$BJ293:$BT293,,T293+1)*R293-ERP_i)*Q293*Ramure*Pc/MaxiM</f>
        <v>6.8172623035297466E-3</v>
      </c>
      <c r="Q293" s="307">
        <f t="shared" si="105"/>
        <v>1</v>
      </c>
      <c r="R293" s="179">
        <f t="shared" si="106"/>
        <v>0.25957388738963671</v>
      </c>
      <c r="S293" s="837">
        <f t="shared" si="107"/>
        <v>-1</v>
      </c>
      <c r="T293" s="178">
        <f t="shared" si="108"/>
        <v>5</v>
      </c>
      <c r="U293" s="253">
        <f t="shared" si="109"/>
        <v>-0.74042611261036329</v>
      </c>
      <c r="V293" s="385">
        <f t="shared" si="110"/>
        <v>31.988692497394418</v>
      </c>
      <c r="W293" s="404">
        <f t="shared" si="111"/>
        <v>14.163475645872559</v>
      </c>
      <c r="X293" s="157">
        <f t="shared" si="112"/>
        <v>46666</v>
      </c>
      <c r="Y293" s="387">
        <f t="shared" si="113"/>
        <v>13.026592364306882</v>
      </c>
      <c r="Z293" s="387">
        <f t="shared" si="114"/>
        <v>14.08376831574183</v>
      </c>
      <c r="AA293" s="388">
        <f t="shared" si="115"/>
        <v>16.154646649276717</v>
      </c>
      <c r="AB293" s="199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0.12819087773904389</v>
      </c>
      <c r="AD293" s="233">
        <f>(INDEX(Models!$BJ293:$BT293,,AH293)*(1-AF293)+INDEX(Models!$BJ293:$BT293,,AH293+1)*AF293-ERP_i)*AE293*Ramure*Pc/MaxiM</f>
        <v>9.3544988840417342E-2</v>
      </c>
      <c r="AE293" s="307">
        <f t="shared" si="117"/>
        <v>1</v>
      </c>
      <c r="AF293" s="179">
        <f t="shared" si="118"/>
        <v>0.19455648031320738</v>
      </c>
      <c r="AG293" s="837">
        <f t="shared" si="124"/>
        <v>4</v>
      </c>
      <c r="AH293" s="178">
        <f t="shared" si="119"/>
        <v>10</v>
      </c>
      <c r="AI293" s="227">
        <f t="shared" si="120"/>
        <v>4.1945564803132074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46667</v>
      </c>
      <c r="B294" s="1139">
        <f>IF(t&gt;Tmaj,'2026'!Wh/'2026'!Env_an*'2027'!Env_an,0.001*'[12]mon-tableau (1)'!$B$214)</f>
        <v>24.329914599574405</v>
      </c>
      <c r="C294" s="866"/>
      <c r="D294" s="395">
        <f t="shared" si="102"/>
        <v>26.305026294740625</v>
      </c>
      <c r="E294" s="387">
        <f t="shared" si="100"/>
        <v>28.256414795188928</v>
      </c>
      <c r="F294" s="387">
        <f t="shared" si="103"/>
        <v>28.388158694371043</v>
      </c>
      <c r="G294" s="110">
        <f t="shared" si="101"/>
        <v>0.76858726387334619</v>
      </c>
      <c r="H294" s="414" t="b">
        <f>Wh_hp&gt;='2026'!Maxi_hp</f>
        <v>0</v>
      </c>
      <c r="I294" s="392">
        <f>IF(H294,Wh_hp,'2026'!Maxi_hp)</f>
        <v>37.024189714848987</v>
      </c>
      <c r="J294" s="85">
        <f>IF(H294,An,'2026'!An_max)</f>
        <v>2021</v>
      </c>
      <c r="K294" s="199">
        <f t="shared" si="104"/>
        <v>46667</v>
      </c>
      <c r="L294" s="147">
        <f>IF(t&lt;Tvie,1-EXP((T0-t)*PertePVj)+'2026'!Pspv,1-EXP((T0-t)*PertePVj)+Pspv)</f>
        <v>7.5084954222650602E-2</v>
      </c>
      <c r="M294" s="870"/>
      <c r="N294" s="870"/>
      <c r="O294" s="48">
        <f>IF(t&lt;Tnet,'2026'!Resal+('2026'!Salim-'2026'!Resal)*(1-EXP(('2026'!Tnet-t)/('2026'!Tau_j))),Resal+(Salim-Resal)*(1-EXP((Tnet-t)/(Tau_j))))*Salcycl</f>
        <v>6.9060017507265536E-2</v>
      </c>
      <c r="P294" s="171">
        <f>(INDEX(Models!$BJ294:$BT294,,T294)*(1-R294)+INDEX(Models!$BJ294:$BT294,,T294+1)*R294-ERP_i)*Q294*Ramure*Pc/MaxiM</f>
        <v>6.9068254389647839E-3</v>
      </c>
      <c r="Q294" s="307">
        <f t="shared" si="105"/>
        <v>1</v>
      </c>
      <c r="R294" s="179">
        <f t="shared" si="106"/>
        <v>0.25979169769076871</v>
      </c>
      <c r="S294" s="837">
        <f t="shared" si="107"/>
        <v>-1</v>
      </c>
      <c r="T294" s="178">
        <f t="shared" si="108"/>
        <v>5</v>
      </c>
      <c r="U294" s="253">
        <f t="shared" si="109"/>
        <v>-0.74020830230923129</v>
      </c>
      <c r="V294" s="385">
        <f t="shared" si="110"/>
        <v>31.583304327786969</v>
      </c>
      <c r="W294" s="404">
        <f t="shared" si="111"/>
        <v>24.329914599574405</v>
      </c>
      <c r="X294" s="157">
        <f t="shared" si="112"/>
        <v>46667</v>
      </c>
      <c r="Y294" s="387">
        <f t="shared" si="113"/>
        <v>21.410363665505177</v>
      </c>
      <c r="Z294" s="387">
        <f t="shared" si="114"/>
        <v>23.148465108501647</v>
      </c>
      <c r="AA294" s="388">
        <f t="shared" si="115"/>
        <v>26.552251296354378</v>
      </c>
      <c r="AB294" s="199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0.12819199961097355</v>
      </c>
      <c r="AD294" s="233">
        <f>(INDEX(Models!$BJ294:$BT294,,AH294)*(1-AF294)+INDEX(Models!$BJ294:$BT294,,AH294+1)*AF294-ERP_i)*AE294*Ramure*Pc/MaxiM</f>
        <v>9.6249556897329114E-2</v>
      </c>
      <c r="AE294" s="307">
        <f t="shared" si="117"/>
        <v>1</v>
      </c>
      <c r="AF294" s="179">
        <f t="shared" si="118"/>
        <v>0.19477429061433948</v>
      </c>
      <c r="AG294" s="837">
        <f t="shared" si="124"/>
        <v>4</v>
      </c>
      <c r="AH294" s="178">
        <f t="shared" si="119"/>
        <v>10</v>
      </c>
      <c r="AI294" s="227">
        <f t="shared" si="120"/>
        <v>4.1947742906143395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46668</v>
      </c>
      <c r="B295" s="1139">
        <f>IF(t&gt;Tmaj,'2026'!Wh/'2026'!Env_an*'2027'!Env_an,0.001*'[12]mon-tableau (1)'!$B$215)</f>
        <v>14.906640956937503</v>
      </c>
      <c r="C295" s="866"/>
      <c r="D295" s="395">
        <f t="shared" si="102"/>
        <v>16.117142793146112</v>
      </c>
      <c r="E295" s="387">
        <f t="shared" si="100"/>
        <v>17.31579232032189</v>
      </c>
      <c r="F295" s="387">
        <f t="shared" si="103"/>
        <v>17.346712915821428</v>
      </c>
      <c r="G295" s="110">
        <f t="shared" si="101"/>
        <v>0.47558662225634218</v>
      </c>
      <c r="H295" s="414" t="b">
        <f>Wh_hp&gt;='2026'!Maxi_hp</f>
        <v>0</v>
      </c>
      <c r="I295" s="392">
        <f>IF(H295,Wh_hp,'2026'!Maxi_hp)</f>
        <v>36.120260428293889</v>
      </c>
      <c r="J295" s="85">
        <f>IF(H295,An,'2026'!An_max)</f>
        <v>2021</v>
      </c>
      <c r="K295" s="199">
        <f t="shared" si="104"/>
        <v>46668</v>
      </c>
      <c r="L295" s="147">
        <f>IF(t&lt;Tvie,1-EXP((T0-t)*PertePVj)+'2026'!Pspv,1-EXP((T0-t)*PertePVj)+Pspv)</f>
        <v>7.5106478346979699E-2</v>
      </c>
      <c r="M295" s="870"/>
      <c r="N295" s="870"/>
      <c r="O295" s="48">
        <f>IF(t&lt;Tnet,'2026'!Resal+('2026'!Salim-'2026'!Resal)*(1-EXP(('2026'!Tnet-t)/('2026'!Tau_j))),Resal+(Salim-Resal)*(1-EXP((Tnet-t)/(Tau_j))))*Salcycl</f>
        <v>6.9222909642375319E-2</v>
      </c>
      <c r="P295" s="171">
        <f>(INDEX(Models!$BJ295:$BT295,,T295)*(1-R295)+INDEX(Models!$BJ295:$BT295,,T295+1)*R295-ERP_i)*Q295*Ramure*Pc/MaxiM</f>
        <v>7.0063640910213009E-3</v>
      </c>
      <c r="Q295" s="307">
        <f t="shared" si="105"/>
        <v>1</v>
      </c>
      <c r="R295" s="179">
        <f t="shared" si="106"/>
        <v>0.26000086660297439</v>
      </c>
      <c r="S295" s="837">
        <f t="shared" si="107"/>
        <v>-1</v>
      </c>
      <c r="T295" s="178">
        <f t="shared" si="108"/>
        <v>5</v>
      </c>
      <c r="U295" s="253">
        <f t="shared" si="109"/>
        <v>-0.73999913339702561</v>
      </c>
      <c r="V295" s="385">
        <f t="shared" si="110"/>
        <v>31.179665308580166</v>
      </c>
      <c r="W295" s="404">
        <f t="shared" si="111"/>
        <v>14.906640956937503</v>
      </c>
      <c r="X295" s="157">
        <f t="shared" si="112"/>
        <v>46668</v>
      </c>
      <c r="Y295" s="387">
        <f t="shared" si="113"/>
        <v>13.634896294377919</v>
      </c>
      <c r="Z295" s="387">
        <f t="shared" si="114"/>
        <v>14.742125417863114</v>
      </c>
      <c r="AA295" s="388">
        <f t="shared" si="115"/>
        <v>16.909776440313131</v>
      </c>
      <c r="AB295" s="199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0.1281892182372269</v>
      </c>
      <c r="AD295" s="233">
        <f>(INDEX(Models!$BJ295:$BT295,,AH295)*(1-AF295)+INDEX(Models!$BJ295:$BT295,,AH295+1)*AF295-ERP_i)*AE295*Ramure*Pc/MaxiM</f>
        <v>9.9006373667820405E-2</v>
      </c>
      <c r="AE295" s="307">
        <f t="shared" si="117"/>
        <v>1</v>
      </c>
      <c r="AF295" s="179">
        <f t="shared" si="118"/>
        <v>0.1949834595265445</v>
      </c>
      <c r="AG295" s="837">
        <f t="shared" si="124"/>
        <v>4</v>
      </c>
      <c r="AH295" s="178">
        <f t="shared" si="119"/>
        <v>10</v>
      </c>
      <c r="AI295" s="227">
        <f t="shared" si="120"/>
        <v>4.1949834595265445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46669</v>
      </c>
      <c r="B296" s="1139">
        <f>IF(t&gt;Tmaj,'2026'!Wh/'2026'!Env_an*'2027'!Env_an,0.001*'[12]mon-tableau (1)'!$B$216)</f>
        <v>30.124246317074906</v>
      </c>
      <c r="C296" s="866"/>
      <c r="D296" s="395">
        <f t="shared" si="102"/>
        <v>32.571260002739486</v>
      </c>
      <c r="E296" s="387">
        <f t="shared" si="100"/>
        <v>34.999642922083289</v>
      </c>
      <c r="F296" s="387">
        <f t="shared" si="103"/>
        <v>35.243464463975229</v>
      </c>
      <c r="G296" s="110">
        <f t="shared" si="101"/>
        <v>0.9785404222194144</v>
      </c>
      <c r="H296" s="414" t="b">
        <f>Wh_hp&gt;='2026'!Maxi_hp</f>
        <v>0</v>
      </c>
      <c r="I296" s="392">
        <f>IF(H296,Wh_hp,'2026'!Maxi_hp)</f>
        <v>35.249367567192941</v>
      </c>
      <c r="J296" s="85">
        <f>IF(H296,An,'2026'!An_max)</f>
        <v>2025</v>
      </c>
      <c r="K296" s="199">
        <f t="shared" si="104"/>
        <v>46669</v>
      </c>
      <c r="L296" s="147">
        <f>IF(t&lt;Tvie,1-EXP((T0-t)*PertePVj)+'2026'!Pspv,1-EXP((T0-t)*PertePVj)+Pspv)</f>
        <v>7.5128001970411029E-2</v>
      </c>
      <c r="M296" s="870"/>
      <c r="N296" s="870"/>
      <c r="O296" s="48">
        <f>IF(t&lt;Tnet,'2026'!Resal+('2026'!Salim-'2026'!Resal)*(1-EXP(('2026'!Tnet-t)/('2026'!Tau_j))),Resal+(Salim-Resal)*(1-EXP((Tnet-t)/(Tau_j))))*Salcycl</f>
        <v>6.9383076985953904E-2</v>
      </c>
      <c r="P296" s="171">
        <f>(INDEX(Models!$BJ296:$BT296,,T296)*(1-R296)+INDEX(Models!$BJ296:$BT296,,T296+1)*R296-ERP_i)*Q296*Ramure*Pc/MaxiM</f>
        <v>7.1347574617588259E-3</v>
      </c>
      <c r="Q296" s="307">
        <f t="shared" si="105"/>
        <v>1</v>
      </c>
      <c r="R296" s="179">
        <f t="shared" si="106"/>
        <v>0.26020173203790198</v>
      </c>
      <c r="S296" s="837">
        <f t="shared" si="107"/>
        <v>-1</v>
      </c>
      <c r="T296" s="178">
        <f t="shared" si="108"/>
        <v>5</v>
      </c>
      <c r="U296" s="253">
        <f t="shared" si="109"/>
        <v>-0.73979826796209802</v>
      </c>
      <c r="V296" s="385">
        <f t="shared" si="110"/>
        <v>30.77816381826969</v>
      </c>
      <c r="W296" s="404">
        <f t="shared" si="111"/>
        <v>30.124246317074906</v>
      </c>
      <c r="X296" s="157">
        <f t="shared" si="112"/>
        <v>46669</v>
      </c>
      <c r="Y296" s="387">
        <f t="shared" si="113"/>
        <v>25.611286554690064</v>
      </c>
      <c r="Z296" s="387">
        <f t="shared" si="114"/>
        <v>27.691709349244128</v>
      </c>
      <c r="AA296" s="388">
        <f t="shared" si="115"/>
        <v>31.763195973889481</v>
      </c>
      <c r="AB296" s="199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0.12818252382387041</v>
      </c>
      <c r="AD296" s="233">
        <f>(INDEX(Models!$BJ296:$BT296,,AH296)*(1-AF296)+INDEX(Models!$BJ296:$BT296,,AH296+1)*AF296-ERP_i)*AE296*Ramure*Pc/MaxiM</f>
        <v>0.10184035170103192</v>
      </c>
      <c r="AE296" s="307">
        <f t="shared" si="117"/>
        <v>1</v>
      </c>
      <c r="AF296" s="179">
        <f t="shared" si="118"/>
        <v>0.1951843249614722</v>
      </c>
      <c r="AG296" s="837">
        <f t="shared" si="124"/>
        <v>4</v>
      </c>
      <c r="AH296" s="178">
        <f t="shared" si="119"/>
        <v>10</v>
      </c>
      <c r="AI296" s="227">
        <f t="shared" si="120"/>
        <v>4.1951843249614722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46670</v>
      </c>
      <c r="B297" s="1139">
        <f>IF(t&gt;Tmaj,'2026'!Wh/'2026'!Env_an*'2027'!Env_an,0.001*'[12]mon-tableau (1)'!$B$217)</f>
        <v>25.742185527042661</v>
      </c>
      <c r="C297" s="866"/>
      <c r="D297" s="395">
        <f t="shared" si="102"/>
        <v>27.833889072317334</v>
      </c>
      <c r="E297" s="387">
        <f t="shared" ref="E297:E360" si="125">Wh_pvt/(1-Psa)</f>
        <v>29.914133082820356</v>
      </c>
      <c r="F297" s="387">
        <f t="shared" si="103"/>
        <v>30.085677867547471</v>
      </c>
      <c r="G297" s="110">
        <f t="shared" ref="G297:G360" si="126">+Wh_hp/MaxiM</f>
        <v>0.84599049654742375</v>
      </c>
      <c r="H297" s="414" t="b">
        <f>Wh_hp&gt;='2026'!Maxi_hp</f>
        <v>0</v>
      </c>
      <c r="I297" s="392">
        <f>IF(H297,Wh_hp,'2026'!Maxi_hp)</f>
        <v>30.122957959918466</v>
      </c>
      <c r="J297" s="85">
        <f>IF(H297,An,'2026'!An_max)</f>
        <v>2025</v>
      </c>
      <c r="K297" s="199">
        <f t="shared" si="104"/>
        <v>46670</v>
      </c>
      <c r="L297" s="147">
        <f>IF(t&lt;Tvie,1-EXP((T0-t)*PertePVj)+'2026'!Pspv,1-EXP((T0-t)*PertePVj)+Pspv)</f>
        <v>7.5149525092956249E-2</v>
      </c>
      <c r="M297" s="870"/>
      <c r="N297" s="870"/>
      <c r="O297" s="48">
        <f>IF(t&lt;Tnet,'2026'!Resal+('2026'!Salim-'2026'!Resal)*(1-EXP(('2026'!Tnet-t)/('2026'!Tau_j))),Resal+(Salim-Resal)*(1-EXP((Tnet-t)/(Tau_j))))*Salcycl</f>
        <v>6.9540507984759276E-2</v>
      </c>
      <c r="P297" s="171">
        <f>(INDEX(Models!$BJ297:$BT297,,T297)*(1-R297)+INDEX(Models!$BJ297:$BT297,,T297+1)*R297-ERP_i)*Q297*Ramure*Pc/MaxiM</f>
        <v>7.2921238540928218E-3</v>
      </c>
      <c r="Q297" s="307">
        <f t="shared" si="105"/>
        <v>1</v>
      </c>
      <c r="R297" s="179">
        <f t="shared" si="106"/>
        <v>0.26039461907992945</v>
      </c>
      <c r="S297" s="837">
        <f t="shared" si="107"/>
        <v>-1</v>
      </c>
      <c r="T297" s="178">
        <f t="shared" si="108"/>
        <v>5</v>
      </c>
      <c r="U297" s="253">
        <f t="shared" si="109"/>
        <v>-0.73960538092007055</v>
      </c>
      <c r="V297" s="385">
        <f t="shared" si="110"/>
        <v>30.379790797246578</v>
      </c>
      <c r="W297" s="404">
        <f t="shared" si="111"/>
        <v>25.742185527042661</v>
      </c>
      <c r="X297" s="157">
        <f t="shared" si="112"/>
        <v>46670</v>
      </c>
      <c r="Y297" s="387">
        <f t="shared" si="113"/>
        <v>22.271481104047957</v>
      </c>
      <c r="Z297" s="387">
        <f t="shared" si="114"/>
        <v>24.081169560178314</v>
      </c>
      <c r="AA297" s="388">
        <f t="shared" si="115"/>
        <v>27.621465781486943</v>
      </c>
      <c r="AB297" s="199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0.1281719170631952</v>
      </c>
      <c r="AD297" s="233">
        <f>(INDEX(Models!$BJ297:$BT297,,AH297)*(1-AF297)+INDEX(Models!$BJ297:$BT297,,AH297+1)*AF297-ERP_i)*AE297*Ramure*Pc/MaxiM</f>
        <v>0.10475013718948514</v>
      </c>
      <c r="AE297" s="307">
        <f t="shared" si="117"/>
        <v>1</v>
      </c>
      <c r="AF297" s="179">
        <f t="shared" si="118"/>
        <v>0.19537721200349978</v>
      </c>
      <c r="AG297" s="837">
        <f t="shared" si="124"/>
        <v>4</v>
      </c>
      <c r="AH297" s="178">
        <f t="shared" si="119"/>
        <v>10</v>
      </c>
      <c r="AI297" s="227">
        <f t="shared" si="120"/>
        <v>4.1953772120034998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46671</v>
      </c>
      <c r="B298" s="1139">
        <f>IF(t&gt;Tmaj,'2026'!Wh/'2026'!Env_an*'2027'!Env_an,0.001*'[12]mon-tableau (1)'!$B$218)</f>
        <v>22.263768594714058</v>
      </c>
      <c r="C298" s="866"/>
      <c r="D298" s="395">
        <f t="shared" si="102"/>
        <v>24.073390587197103</v>
      </c>
      <c r="E298" s="387">
        <f t="shared" si="125"/>
        <v>25.876885203730559</v>
      </c>
      <c r="F298" s="387">
        <f t="shared" si="103"/>
        <v>25.999808070059633</v>
      </c>
      <c r="G298" s="110">
        <f t="shared" si="126"/>
        <v>0.74043153045436982</v>
      </c>
      <c r="H298" s="414" t="b">
        <f>Wh_hp&gt;='2026'!Maxi_hp</f>
        <v>0</v>
      </c>
      <c r="I298" s="392">
        <f>IF(H298,Wh_hp,'2026'!Maxi_hp)</f>
        <v>35.228282069749262</v>
      </c>
      <c r="J298" s="85">
        <f>IF(H298,An,'2026'!An_max)</f>
        <v>2019</v>
      </c>
      <c r="K298" s="199">
        <f t="shared" si="104"/>
        <v>46671</v>
      </c>
      <c r="L298" s="147">
        <f>IF(t&lt;Tvie,1-EXP((T0-t)*PertePVj)+'2026'!Pspv,1-EXP((T0-t)*PertePVj)+Pspv)</f>
        <v>7.5171047714626904E-2</v>
      </c>
      <c r="M298" s="870"/>
      <c r="N298" s="870"/>
      <c r="O298" s="48">
        <f>IF(t&lt;Tnet,'2026'!Resal+('2026'!Salim-'2026'!Resal)*(1-EXP(('2026'!Tnet-t)/('2026'!Tau_j))),Resal+(Salim-Resal)*(1-EXP((Tnet-t)/(Tau_j))))*Salcycl</f>
        <v>6.9695197174405463E-2</v>
      </c>
      <c r="P298" s="171">
        <f>(INDEX(Models!$BJ298:$BT298,,T298)*(1-R298)+INDEX(Models!$BJ298:$BT298,,T298+1)*R298-ERP_i)*Q298*Ramure*Pc/MaxiM</f>
        <v>7.479332351846983E-3</v>
      </c>
      <c r="Q298" s="307">
        <f t="shared" si="105"/>
        <v>1</v>
      </c>
      <c r="R298" s="179">
        <f t="shared" si="106"/>
        <v>0.26057984044264237</v>
      </c>
      <c r="S298" s="837">
        <f t="shared" si="107"/>
        <v>-1</v>
      </c>
      <c r="T298" s="178">
        <f t="shared" si="108"/>
        <v>5</v>
      </c>
      <c r="U298" s="253">
        <f t="shared" si="109"/>
        <v>-0.73942015955735763</v>
      </c>
      <c r="V298" s="385">
        <f t="shared" si="110"/>
        <v>29.985512554600522</v>
      </c>
      <c r="W298" s="404">
        <f t="shared" si="111"/>
        <v>22.263768594714058</v>
      </c>
      <c r="X298" s="157">
        <f t="shared" si="112"/>
        <v>46671</v>
      </c>
      <c r="Y298" s="387">
        <f t="shared" si="113"/>
        <v>19.536130680814768</v>
      </c>
      <c r="Z298" s="387">
        <f t="shared" si="114"/>
        <v>21.124047460385444</v>
      </c>
      <c r="AA298" s="388">
        <f t="shared" si="115"/>
        <v>24.229198819571607</v>
      </c>
      <c r="AB298" s="199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0.12815740967373279</v>
      </c>
      <c r="AD298" s="233">
        <f>(INDEX(Models!$BJ298:$BT298,,AH298)*(1-AF298)+INDEX(Models!$BJ298:$BT298,,AH298+1)*AF298-ERP_i)*AE298*Ramure*Pc/MaxiM</f>
        <v>0.10773402414976378</v>
      </c>
      <c r="AE298" s="307">
        <f t="shared" si="117"/>
        <v>1</v>
      </c>
      <c r="AF298" s="179">
        <f t="shared" si="118"/>
        <v>0.19556243336621293</v>
      </c>
      <c r="AG298" s="837">
        <f t="shared" si="124"/>
        <v>4</v>
      </c>
      <c r="AH298" s="178">
        <f t="shared" si="119"/>
        <v>10</v>
      </c>
      <c r="AI298" s="227">
        <f t="shared" si="120"/>
        <v>4.1955624333662129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46672</v>
      </c>
      <c r="B299" s="1139">
        <f>IF(t&gt;Tmaj,'2026'!Wh/'2026'!Env_an*'2027'!Env_an,0.001*'[12]mon-tableau (1)'!$B$219)</f>
        <v>24.028707121170918</v>
      </c>
      <c r="C299" s="866"/>
      <c r="D299" s="395">
        <f t="shared" si="102"/>
        <v>25.982389779129608</v>
      </c>
      <c r="E299" s="387">
        <f t="shared" si="125"/>
        <v>27.933462391572373</v>
      </c>
      <c r="F299" s="387">
        <f t="shared" si="103"/>
        <v>28.091581219617773</v>
      </c>
      <c r="G299" s="110">
        <f t="shared" si="126"/>
        <v>0.81019335159637662</v>
      </c>
      <c r="H299" s="414" t="b">
        <f>Wh_hp&gt;='2026'!Maxi_hp</f>
        <v>0</v>
      </c>
      <c r="I299" s="392">
        <f>IF(H299,Wh_hp,'2026'!Maxi_hp)</f>
        <v>34.24330519553645</v>
      </c>
      <c r="J299" s="85">
        <f>IF(H299,An,'2026'!An_max)</f>
        <v>2021</v>
      </c>
      <c r="K299" s="199">
        <f t="shared" si="104"/>
        <v>46672</v>
      </c>
      <c r="L299" s="147">
        <f>IF(t&lt;Tvie,1-EXP((T0-t)*PertePVj)+'2026'!Pspv,1-EXP((T0-t)*PertePVj)+Pspv)</f>
        <v>7.5192569835434764E-2</v>
      </c>
      <c r="M299" s="870"/>
      <c r="N299" s="870"/>
      <c r="O299" s="48">
        <f>IF(t&lt;Tnet,'2026'!Resal+('2026'!Salim-'2026'!Resal)*(1-EXP(('2026'!Tnet-t)/('2026'!Tau_j))),Resal+(Salim-Resal)*(1-EXP((Tnet-t)/(Tau_j))))*Salcycl</f>
        <v>6.9847145516461637E-2</v>
      </c>
      <c r="P299" s="171">
        <f>(INDEX(Models!$BJ299:$BT299,,T299)*(1-R299)+INDEX(Models!$BJ299:$BT299,,T299+1)*R299-ERP_i)*Q299*Ramure*Pc/MaxiM</f>
        <v>7.6972456132811742E-3</v>
      </c>
      <c r="Q299" s="307">
        <f t="shared" si="105"/>
        <v>1</v>
      </c>
      <c r="R299" s="179">
        <f t="shared" si="106"/>
        <v>0.26075769691150441</v>
      </c>
      <c r="S299" s="837">
        <f t="shared" si="107"/>
        <v>-1</v>
      </c>
      <c r="T299" s="178">
        <f t="shared" si="108"/>
        <v>5</v>
      </c>
      <c r="U299" s="253">
        <f t="shared" si="109"/>
        <v>-0.73924230308849559</v>
      </c>
      <c r="V299" s="385">
        <f t="shared" si="110"/>
        <v>29.596294542436759</v>
      </c>
      <c r="W299" s="404">
        <f t="shared" si="111"/>
        <v>24.028707121170918</v>
      </c>
      <c r="X299" s="157">
        <f t="shared" si="112"/>
        <v>46672</v>
      </c>
      <c r="Y299" s="387">
        <f t="shared" si="113"/>
        <v>20.815296789696333</v>
      </c>
      <c r="Z299" s="387">
        <f t="shared" si="114"/>
        <v>22.507709292508977</v>
      </c>
      <c r="AA299" s="388">
        <f t="shared" si="115"/>
        <v>25.815709081058209</v>
      </c>
      <c r="AB299" s="199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0.12813902489226661</v>
      </c>
      <c r="AD299" s="233">
        <f>(INDEX(Models!$BJ299:$BT299,,AH299)*(1-AF299)+INDEX(Models!$BJ299:$BT299,,AH299+1)*AF299-ERP_i)*AE299*Ramure*Pc/MaxiM</f>
        <v>0.11078975888871817</v>
      </c>
      <c r="AE299" s="307">
        <f t="shared" si="117"/>
        <v>1</v>
      </c>
      <c r="AF299" s="179">
        <f t="shared" si="118"/>
        <v>0.19574028983507485</v>
      </c>
      <c r="AG299" s="837">
        <f t="shared" si="124"/>
        <v>4</v>
      </c>
      <c r="AH299" s="178">
        <f t="shared" si="119"/>
        <v>10</v>
      </c>
      <c r="AI299" s="227">
        <f t="shared" si="120"/>
        <v>4.1957402898350749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46673</v>
      </c>
      <c r="B300" s="1139">
        <f>IF(t&gt;Tmaj,'2026'!Wh/'2026'!Env_an*'2027'!Env_an,0.001*'[12]mon-tableau (1)'!$B$220)</f>
        <v>19.828780044310861</v>
      </c>
      <c r="C300" s="866"/>
      <c r="D300" s="395">
        <f t="shared" si="102"/>
        <v>21.441481602500421</v>
      </c>
      <c r="E300" s="387">
        <f t="shared" si="125"/>
        <v>23.05526634159288</v>
      </c>
      <c r="F300" s="387">
        <f t="shared" si="103"/>
        <v>23.154829493499452</v>
      </c>
      <c r="G300" s="110">
        <f t="shared" si="126"/>
        <v>0.67627724603782069</v>
      </c>
      <c r="H300" s="414" t="b">
        <f>Wh_hp&gt;='2026'!Maxi_hp</f>
        <v>0</v>
      </c>
      <c r="I300" s="392">
        <f>IF(H300,Wh_hp,'2026'!Maxi_hp)</f>
        <v>32.914868339815627</v>
      </c>
      <c r="J300" s="85">
        <f>IF(H300,An,'2026'!An_max)</f>
        <v>2021</v>
      </c>
      <c r="K300" s="199">
        <f t="shared" si="104"/>
        <v>46673</v>
      </c>
      <c r="L300" s="147">
        <f>IF(t&lt;Tvie,1-EXP((T0-t)*PertePVj)+'2026'!Pspv,1-EXP((T0-t)*PertePVj)+Pspv)</f>
        <v>7.5214091455391374E-2</v>
      </c>
      <c r="M300" s="870"/>
      <c r="N300" s="870"/>
      <c r="O300" s="48">
        <f>IF(t&lt;Tnet,'2026'!Resal+('2026'!Salim-'2026'!Resal)*(1-EXP(('2026'!Tnet-t)/('2026'!Tau_j))),Resal+(Salim-Resal)*(1-EXP((Tnet-t)/(Tau_j))))*Salcycl</f>
        <v>6.9996360709184566E-2</v>
      </c>
      <c r="P300" s="171">
        <f>(INDEX(Models!$BJ300:$BT300,,T300)*(1-R300)+INDEX(Models!$BJ300:$BT300,,T300+1)*R300-ERP_i)*Q300*Ramure*Pc/MaxiM</f>
        <v>7.9467077135243272E-3</v>
      </c>
      <c r="Q300" s="307">
        <f t="shared" si="105"/>
        <v>1</v>
      </c>
      <c r="R300" s="179">
        <f t="shared" si="106"/>
        <v>0.26092847777293615</v>
      </c>
      <c r="S300" s="837">
        <f t="shared" si="107"/>
        <v>-1</v>
      </c>
      <c r="T300" s="178">
        <f t="shared" si="108"/>
        <v>5</v>
      </c>
      <c r="U300" s="253">
        <f t="shared" si="109"/>
        <v>-0.73907152222706385</v>
      </c>
      <c r="V300" s="385">
        <f t="shared" si="110"/>
        <v>29.213101400966824</v>
      </c>
      <c r="W300" s="404">
        <f t="shared" si="111"/>
        <v>19.828780044310861</v>
      </c>
      <c r="X300" s="157">
        <f t="shared" si="112"/>
        <v>46673</v>
      </c>
      <c r="Y300" s="387">
        <f t="shared" si="113"/>
        <v>17.519088208178353</v>
      </c>
      <c r="Z300" s="387">
        <f t="shared" si="114"/>
        <v>18.943939398632487</v>
      </c>
      <c r="AA300" s="388">
        <f t="shared" si="115"/>
        <v>21.727611397109815</v>
      </c>
      <c r="AB300" s="199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0.12811679791215377</v>
      </c>
      <c r="AD300" s="233">
        <f>(INDEX(Models!$BJ300:$BT300,,AH300)*(1-AF300)+INDEX(Models!$BJ300:$BT300,,AH300+1)*AF300-ERP_i)*AE300*Ramure*Pc/MaxiM</f>
        <v>0.11391448380525104</v>
      </c>
      <c r="AE300" s="307">
        <f t="shared" si="117"/>
        <v>1</v>
      </c>
      <c r="AF300" s="179">
        <f t="shared" si="118"/>
        <v>0.19591107069650704</v>
      </c>
      <c r="AG300" s="837">
        <f t="shared" si="124"/>
        <v>4</v>
      </c>
      <c r="AH300" s="178">
        <f t="shared" si="119"/>
        <v>10</v>
      </c>
      <c r="AI300" s="227">
        <f t="shared" si="120"/>
        <v>4.195911070696507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46674</v>
      </c>
      <c r="B301" s="1139">
        <f>IF(t&gt;Tmaj,'2026'!Wh/'2026'!Env_an*'2027'!Env_an,0.001*'[12]mon-tableau (1)'!$B$221)</f>
        <v>16.648840756939723</v>
      </c>
      <c r="C301" s="866"/>
      <c r="D301" s="395">
        <f t="shared" si="102"/>
        <v>18.003332506444647</v>
      </c>
      <c r="E301" s="387">
        <f t="shared" si="125"/>
        <v>19.361396157510754</v>
      </c>
      <c r="F301" s="387">
        <f t="shared" si="103"/>
        <v>19.424724714348315</v>
      </c>
      <c r="G301" s="110">
        <f t="shared" si="126"/>
        <v>0.57446726401275072</v>
      </c>
      <c r="H301" s="414" t="b">
        <f>Wh_hp&gt;='2026'!Maxi_hp</f>
        <v>0</v>
      </c>
      <c r="I301" s="392">
        <f>IF(H301,Wh_hp,'2026'!Maxi_hp)</f>
        <v>34.821662172601158</v>
      </c>
      <c r="J301" s="85">
        <f>IF(H301,An,'2026'!An_max)</f>
        <v>2021</v>
      </c>
      <c r="K301" s="199">
        <f t="shared" si="104"/>
        <v>46674</v>
      </c>
      <c r="L301" s="147">
        <f>IF(t&lt;Tvie,1-EXP((T0-t)*PertePVj)+'2026'!Pspv,1-EXP((T0-t)*PertePVj)+Pspv)</f>
        <v>7.5235612574508504E-2</v>
      </c>
      <c r="M301" s="870"/>
      <c r="N301" s="870"/>
      <c r="O301" s="48">
        <f>IF(t&lt;Tnet,'2026'!Resal+('2026'!Salim-'2026'!Resal)*(1-EXP(('2026'!Tnet-t)/('2026'!Tau_j))),Resal+(Salim-Resal)*(1-EXP((Tnet-t)/(Tau_j))))*Salcycl</f>
        <v>7.0142857468431158E-2</v>
      </c>
      <c r="P301" s="171">
        <f>(INDEX(Models!$BJ301:$BT301,,T301)*(1-R301)+INDEX(Models!$BJ301:$BT301,,T301+1)*R301-ERP_i)*Q301*Ramure*Pc/MaxiM</f>
        <v>8.2285305130499024E-3</v>
      </c>
      <c r="Q301" s="307">
        <f t="shared" si="105"/>
        <v>1</v>
      </c>
      <c r="R301" s="179">
        <f t="shared" si="106"/>
        <v>0.26109246123002927</v>
      </c>
      <c r="S301" s="837">
        <f t="shared" si="107"/>
        <v>-1</v>
      </c>
      <c r="T301" s="178">
        <f t="shared" si="108"/>
        <v>5</v>
      </c>
      <c r="U301" s="253">
        <f t="shared" si="109"/>
        <v>-0.73890753876997073</v>
      </c>
      <c r="V301" s="385">
        <f t="shared" si="110"/>
        <v>28.836896990706975</v>
      </c>
      <c r="W301" s="404">
        <f t="shared" si="111"/>
        <v>16.648840756939723</v>
      </c>
      <c r="X301" s="157">
        <f t="shared" si="112"/>
        <v>46674</v>
      </c>
      <c r="Y301" s="387">
        <f t="shared" si="113"/>
        <v>14.935663483778212</v>
      </c>
      <c r="Z301" s="387">
        <f t="shared" si="114"/>
        <v>16.1507770918369</v>
      </c>
      <c r="AA301" s="388">
        <f t="shared" si="115"/>
        <v>18.523461677130793</v>
      </c>
      <c r="AB301" s="199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0.12809077626258303</v>
      </c>
      <c r="AD301" s="233">
        <f>(INDEX(Models!$BJ301:$BT301,,AH301)*(1-AF301)+INDEX(Models!$BJ301:$BT301,,AH301+1)*AF301-ERP_i)*AE301*Ramure*Pc/MaxiM</f>
        <v>0.11710468029534823</v>
      </c>
      <c r="AE301" s="307">
        <f t="shared" si="117"/>
        <v>1</v>
      </c>
      <c r="AF301" s="179">
        <f t="shared" si="118"/>
        <v>0.19607505415359938</v>
      </c>
      <c r="AG301" s="837">
        <f t="shared" si="124"/>
        <v>4</v>
      </c>
      <c r="AH301" s="178">
        <f t="shared" si="119"/>
        <v>10</v>
      </c>
      <c r="AI301" s="227">
        <f t="shared" si="120"/>
        <v>4.1960750541535994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46675</v>
      </c>
      <c r="B302" s="1139">
        <f>IF(t&gt;Tmaj,'2026'!Wh/'2026'!Env_an*'2027'!Env_an,0.001*'[12]mon-tableau (1)'!$B$222)</f>
        <v>28.220236995117034</v>
      </c>
      <c r="C302" s="866"/>
      <c r="D302" s="395">
        <f t="shared" si="102"/>
        <v>30.516847448146482</v>
      </c>
      <c r="E302" s="387">
        <f t="shared" si="125"/>
        <v>32.823931917689968</v>
      </c>
      <c r="F302" s="387">
        <f t="shared" si="103"/>
        <v>33.103223222771454</v>
      </c>
      <c r="G302" s="110">
        <f t="shared" si="126"/>
        <v>0.99116788395650601</v>
      </c>
      <c r="H302" s="414" t="b">
        <f>Wh_hp&gt;='2026'!Maxi_hp</f>
        <v>0</v>
      </c>
      <c r="I302" s="392">
        <f>IF(H302,Wh_hp,'2026'!Maxi_hp)</f>
        <v>33.106109253398763</v>
      </c>
      <c r="J302" s="85">
        <f>IF(H302,An,'2026'!An_max)</f>
        <v>2025</v>
      </c>
      <c r="K302" s="199">
        <f t="shared" si="104"/>
        <v>46675</v>
      </c>
      <c r="L302" s="147">
        <f>IF(t&lt;Tvie,1-EXP((T0-t)*PertePVj)+'2026'!Pspv,1-EXP((T0-t)*PertePVj)+Pspv)</f>
        <v>7.5257133192797698E-2</v>
      </c>
      <c r="M302" s="870"/>
      <c r="N302" s="870"/>
      <c r="O302" s="48">
        <f>IF(t&lt;Tnet,'2026'!Resal+('2026'!Salim-'2026'!Resal)*(1-EXP(('2026'!Tnet-t)/('2026'!Tau_j))),Resal+(Salim-Resal)*(1-EXP((Tnet-t)/(Tau_j))))*Salcycl</f>
        <v>7.0286657775454411E-2</v>
      </c>
      <c r="P302" s="171">
        <f>(INDEX(Models!$BJ302:$BT302,,T302)*(1-R302)+INDEX(Models!$BJ302:$BT302,,T302+1)*R302-ERP_i)*Q302*Ramure*Pc/MaxiM</f>
        <v>8.5434784990106871E-3</v>
      </c>
      <c r="Q302" s="307">
        <f t="shared" si="105"/>
        <v>1</v>
      </c>
      <c r="R302" s="179">
        <f t="shared" si="106"/>
        <v>0.2612499148051417</v>
      </c>
      <c r="S302" s="837">
        <f t="shared" si="107"/>
        <v>-1</v>
      </c>
      <c r="T302" s="178">
        <f t="shared" si="108"/>
        <v>5</v>
      </c>
      <c r="U302" s="253">
        <f t="shared" si="109"/>
        <v>-0.7387500851948583</v>
      </c>
      <c r="V302" s="385">
        <f t="shared" si="110"/>
        <v>28.468644443798073</v>
      </c>
      <c r="W302" s="404">
        <f t="shared" si="111"/>
        <v>28.220236995117034</v>
      </c>
      <c r="X302" s="157">
        <f t="shared" si="112"/>
        <v>46675</v>
      </c>
      <c r="Y302" s="387">
        <f t="shared" si="113"/>
        <v>23.519296632325631</v>
      </c>
      <c r="Z302" s="387">
        <f t="shared" si="114"/>
        <v>25.433336635003339</v>
      </c>
      <c r="AA302" s="388">
        <f t="shared" si="115"/>
        <v>29.16871159793013</v>
      </c>
      <c r="AB302" s="199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0.12806102012376369</v>
      </c>
      <c r="AD302" s="233">
        <f>(INDEX(Models!$BJ302:$BT302,,AH302)*(1-AF302)+INDEX(Models!$BJ302:$BT302,,AH302+1)*AF302-ERP_i)*AE302*Ramure*Pc/MaxiM</f>
        <v>0.12035611155575264</v>
      </c>
      <c r="AE302" s="307">
        <f t="shared" si="117"/>
        <v>1</v>
      </c>
      <c r="AF302" s="179">
        <f t="shared" si="118"/>
        <v>0.19623250772871259</v>
      </c>
      <c r="AG302" s="837">
        <f t="shared" si="124"/>
        <v>4</v>
      </c>
      <c r="AH302" s="178">
        <f t="shared" si="119"/>
        <v>10</v>
      </c>
      <c r="AI302" s="227">
        <f t="shared" si="120"/>
        <v>4.1962325077287126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46676</v>
      </c>
      <c r="B303" s="1139">
        <f>IF(t&gt;Tmaj,'2026'!Wh/'2026'!Env_an*'2027'!Env_an,0.001*'[12]mon-tableau (1)'!$B$223)</f>
        <v>26.26253912800577</v>
      </c>
      <c r="C303" s="866"/>
      <c r="D303" s="395">
        <f t="shared" si="102"/>
        <v>28.400489749716577</v>
      </c>
      <c r="E303" s="387">
        <f t="shared" si="125"/>
        <v>30.552214747224408</v>
      </c>
      <c r="F303" s="387">
        <f t="shared" si="103"/>
        <v>30.800433194068205</v>
      </c>
      <c r="G303" s="110">
        <f t="shared" si="126"/>
        <v>0.93357478475061406</v>
      </c>
      <c r="H303" s="414" t="b">
        <f>Wh_hp&gt;='2026'!Maxi_hp</f>
        <v>0</v>
      </c>
      <c r="I303" s="392">
        <f>IF(H303,Wh_hp,'2026'!Maxi_hp)</f>
        <v>31.863522294539795</v>
      </c>
      <c r="J303" s="85">
        <f>IF(H303,An,'2026'!An_max)</f>
        <v>2021</v>
      </c>
      <c r="K303" s="199">
        <f t="shared" si="104"/>
        <v>46676</v>
      </c>
      <c r="L303" s="147">
        <f>IF(t&lt;Tvie,1-EXP((T0-t)*PertePVj)+'2026'!Pspv,1-EXP((T0-t)*PertePVj)+Pspv)</f>
        <v>7.5278653310270616E-2</v>
      </c>
      <c r="M303" s="870"/>
      <c r="N303" s="870"/>
      <c r="O303" s="48">
        <f>IF(t&lt;Tnet,'2026'!Resal+('2026'!Salim-'2026'!Resal)*(1-EXP(('2026'!Tnet-t)/('2026'!Tau_j))),Resal+(Salim-Resal)*(1-EXP((Tnet-t)/(Tau_j))))*Salcycl</f>
        <v>7.0427791088477784E-2</v>
      </c>
      <c r="P303" s="171">
        <f>(INDEX(Models!$BJ303:$BT303,,T303)*(1-R303)+INDEX(Models!$BJ303:$BT303,,T303+1)*R303-ERP_i)*Q303*Ramure*Pc/MaxiM</f>
        <v>8.8928157788580407E-3</v>
      </c>
      <c r="Q303" s="307">
        <f t="shared" si="105"/>
        <v>1</v>
      </c>
      <c r="R303" s="179">
        <f t="shared" si="106"/>
        <v>0.26140109572962789</v>
      </c>
      <c r="S303" s="837">
        <f t="shared" si="107"/>
        <v>-1</v>
      </c>
      <c r="T303" s="178">
        <f t="shared" si="108"/>
        <v>5</v>
      </c>
      <c r="U303" s="253">
        <f t="shared" si="109"/>
        <v>-0.73859890427037211</v>
      </c>
      <c r="V303" s="385">
        <f t="shared" si="110"/>
        <v>28.107508470497098</v>
      </c>
      <c r="W303" s="404">
        <f t="shared" si="111"/>
        <v>26.26253912800577</v>
      </c>
      <c r="X303" s="157">
        <f t="shared" si="112"/>
        <v>46676</v>
      </c>
      <c r="Y303" s="387">
        <f t="shared" si="113"/>
        <v>22.051941521048949</v>
      </c>
      <c r="Z303" s="387">
        <f t="shared" si="114"/>
        <v>23.847120648819637</v>
      </c>
      <c r="AA303" s="388">
        <f t="shared" si="115"/>
        <v>27.348481120732707</v>
      </c>
      <c r="AB303" s="199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0.12802760257346479</v>
      </c>
      <c r="AD303" s="233">
        <f>(INDEX(Models!$BJ303:$BT303,,AH303)*(1-AF303)+INDEX(Models!$BJ303:$BT303,,AH303+1)*AF303-ERP_i)*AE303*Ramure*Pc/MaxiM</f>
        <v>0.12367160561977625</v>
      </c>
      <c r="AE303" s="307">
        <f t="shared" si="117"/>
        <v>1</v>
      </c>
      <c r="AF303" s="179">
        <f t="shared" si="118"/>
        <v>0.19638368865319844</v>
      </c>
      <c r="AG303" s="837">
        <f t="shared" si="124"/>
        <v>4</v>
      </c>
      <c r="AH303" s="178">
        <f t="shared" si="119"/>
        <v>10</v>
      </c>
      <c r="AI303" s="227">
        <f t="shared" si="120"/>
        <v>4.1963836886531984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46677</v>
      </c>
      <c r="B304" s="1139">
        <f>IF(t&gt;Tmaj,'2026'!Wh/'2026'!Env_an*'2027'!Env_an,0.001*'[12]mon-tableau (1)'!$B$224)</f>
        <v>16.74498711532441</v>
      </c>
      <c r="C304" s="866"/>
      <c r="D304" s="395">
        <f t="shared" si="102"/>
        <v>18.108565206859698</v>
      </c>
      <c r="E304" s="387">
        <f t="shared" si="125"/>
        <v>19.483439324393206</v>
      </c>
      <c r="F304" s="387">
        <f t="shared" si="103"/>
        <v>19.56237781561785</v>
      </c>
      <c r="G304" s="110">
        <f t="shared" si="126"/>
        <v>0.60020725011192066</v>
      </c>
      <c r="H304" s="414" t="b">
        <f>Wh_hp&gt;='2026'!Maxi_hp</f>
        <v>0</v>
      </c>
      <c r="I304" s="392">
        <f>IF(H304,Wh_hp,'2026'!Maxi_hp)</f>
        <v>29.854260667658959</v>
      </c>
      <c r="J304" s="85">
        <f>IF(H304,An,'2026'!An_max)</f>
        <v>2021</v>
      </c>
      <c r="K304" s="199">
        <f t="shared" si="104"/>
        <v>46677</v>
      </c>
      <c r="L304" s="147">
        <f>IF(t&lt;Tvie,1-EXP((T0-t)*PertePVj)+'2026'!Pspv,1-EXP((T0-t)*PertePVj)+Pspv)</f>
        <v>7.5300172926939024E-2</v>
      </c>
      <c r="M304" s="870"/>
      <c r="N304" s="870"/>
      <c r="O304" s="48">
        <f>IF(t&lt;Tnet,'2026'!Resal+('2026'!Salim-'2026'!Resal)*(1-EXP(('2026'!Tnet-t)/('2026'!Tau_j))),Resal+(Salim-Resal)*(1-EXP((Tnet-t)/(Tau_j))))*Salcycl</f>
        <v>7.0566294515166494E-2</v>
      </c>
      <c r="P304" s="171">
        <f>(INDEX(Models!$BJ304:$BT304,,T304)*(1-R304)+INDEX(Models!$BJ304:$BT304,,T304+1)*R304-ERP_i)*Q304*Ramure*Pc/MaxiM</f>
        <v>9.309909920399935E-3</v>
      </c>
      <c r="Q304" s="307">
        <f t="shared" si="105"/>
        <v>1</v>
      </c>
      <c r="R304" s="179">
        <f t="shared" si="106"/>
        <v>0.26154625132097065</v>
      </c>
      <c r="S304" s="837">
        <f t="shared" si="107"/>
        <v>-1</v>
      </c>
      <c r="T304" s="178">
        <f t="shared" si="108"/>
        <v>5</v>
      </c>
      <c r="U304" s="253">
        <f t="shared" si="109"/>
        <v>-0.73845374867902935</v>
      </c>
      <c r="V304" s="385">
        <f t="shared" si="110"/>
        <v>27.750922099365599</v>
      </c>
      <c r="W304" s="404">
        <f t="shared" si="111"/>
        <v>16.74498711532441</v>
      </c>
      <c r="X304" s="157">
        <f t="shared" si="112"/>
        <v>46677</v>
      </c>
      <c r="Y304" s="387">
        <f t="shared" si="113"/>
        <v>14.905068686604682</v>
      </c>
      <c r="Z304" s="387">
        <f t="shared" si="114"/>
        <v>16.118818507605308</v>
      </c>
      <c r="AA304" s="388">
        <f t="shared" si="115"/>
        <v>18.484684555041024</v>
      </c>
      <c r="AB304" s="199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0.12799060976079862</v>
      </c>
      <c r="AD304" s="233">
        <f>(INDEX(Models!$BJ304:$BT304,,AH304)*(1-AF304)+INDEX(Models!$BJ304:$BT304,,AH304+1)*AF304-ERP_i)*AE304*Ramure*Pc/MaxiM</f>
        <v>0.12710183615290227</v>
      </c>
      <c r="AE304" s="307">
        <f t="shared" si="117"/>
        <v>1</v>
      </c>
      <c r="AF304" s="179">
        <f t="shared" si="118"/>
        <v>0.19652884424454076</v>
      </c>
      <c r="AG304" s="837">
        <f t="shared" si="124"/>
        <v>4</v>
      </c>
      <c r="AH304" s="178">
        <f t="shared" si="119"/>
        <v>10</v>
      </c>
      <c r="AI304" s="227">
        <f t="shared" si="120"/>
        <v>4.1965288442445408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46678</v>
      </c>
      <c r="B305" s="1139">
        <f>IF(t&gt;Tmaj,'2026'!Wh/'2026'!Env_an*'2027'!Env_an,0.001*'[12]mon-tableau (1)'!$B$225)</f>
        <v>26.18778852048035</v>
      </c>
      <c r="C305" s="866"/>
      <c r="D305" s="395">
        <f t="shared" si="102"/>
        <v>28.320972056038435</v>
      </c>
      <c r="E305" s="387">
        <f t="shared" si="125"/>
        <v>30.475669317732546</v>
      </c>
      <c r="F305" s="387">
        <f t="shared" si="103"/>
        <v>30.757742290314813</v>
      </c>
      <c r="G305" s="110">
        <f t="shared" si="126"/>
        <v>0.95520380626909374</v>
      </c>
      <c r="H305" s="414" t="b">
        <f>Wh_hp&gt;='2026'!Maxi_hp</f>
        <v>0</v>
      </c>
      <c r="I305" s="392">
        <f>IF(H305,Wh_hp,'2026'!Maxi_hp)</f>
        <v>32.364301744109355</v>
      </c>
      <c r="J305" s="85">
        <f>IF(H305,An,'2026'!An_max)</f>
        <v>2020</v>
      </c>
      <c r="K305" s="199">
        <f t="shared" si="104"/>
        <v>46678</v>
      </c>
      <c r="L305" s="147">
        <f>IF(t&lt;Tvie,1-EXP((T0-t)*PertePVj)+'2026'!Pspv,1-EXP((T0-t)*PertePVj)+Pspv)</f>
        <v>7.5321692042814581E-2</v>
      </c>
      <c r="M305" s="870"/>
      <c r="N305" s="870"/>
      <c r="O305" s="48">
        <f>IF(t&lt;Tnet,'2026'!Resal+('2026'!Salim-'2026'!Resal)*(1-EXP(('2026'!Tnet-t)/('2026'!Tau_j))),Resal+(Salim-Resal)*(1-EXP((Tnet-t)/(Tau_j))))*Salcycl</f>
        <v>7.0702212943371923E-2</v>
      </c>
      <c r="P305" s="171">
        <f>(INDEX(Models!$BJ305:$BT305,,T305)*(1-R305)+INDEX(Models!$BJ305:$BT305,,T305+1)*R305-ERP_i)*Q305*Ramure*Pc/MaxiM</f>
        <v>9.7888937465032844E-3</v>
      </c>
      <c r="Q305" s="307">
        <f t="shared" si="105"/>
        <v>1</v>
      </c>
      <c r="R305" s="179">
        <f t="shared" si="106"/>
        <v>0.26168561934758738</v>
      </c>
      <c r="S305" s="837">
        <f t="shared" si="107"/>
        <v>-1</v>
      </c>
      <c r="T305" s="178">
        <f t="shared" si="108"/>
        <v>5</v>
      </c>
      <c r="U305" s="253">
        <f t="shared" si="109"/>
        <v>-0.73831438065241262</v>
      </c>
      <c r="V305" s="385">
        <f t="shared" si="110"/>
        <v>27.398814694023095</v>
      </c>
      <c r="W305" s="404">
        <f t="shared" si="111"/>
        <v>26.18778852048035</v>
      </c>
      <c r="X305" s="157">
        <f t="shared" si="112"/>
        <v>46678</v>
      </c>
      <c r="Y305" s="387">
        <f t="shared" si="113"/>
        <v>21.765864022243562</v>
      </c>
      <c r="Z305" s="387">
        <f t="shared" si="114"/>
        <v>23.538850035672478</v>
      </c>
      <c r="AA305" s="388">
        <f t="shared" si="115"/>
        <v>26.992550704341483</v>
      </c>
      <c r="AB305" s="199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0.12795014100366259</v>
      </c>
      <c r="AD305" s="233">
        <f>(INDEX(Models!$BJ305:$BT305,,AH305)*(1-AF305)+INDEX(Models!$BJ305:$BT305,,AH305+1)*AF305-ERP_i)*AE305*Ramure*Pc/MaxiM</f>
        <v>0.1306649837200263</v>
      </c>
      <c r="AE305" s="307">
        <f t="shared" si="117"/>
        <v>1</v>
      </c>
      <c r="AF305" s="179">
        <f t="shared" si="118"/>
        <v>0.19666821227115783</v>
      </c>
      <c r="AG305" s="837">
        <f t="shared" si="124"/>
        <v>4</v>
      </c>
      <c r="AH305" s="178">
        <f t="shared" si="119"/>
        <v>10</v>
      </c>
      <c r="AI305" s="227">
        <f t="shared" si="120"/>
        <v>4.1966682122711578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46679</v>
      </c>
      <c r="B306" s="1139">
        <f>IF(t&gt;Tmaj,'2026'!Wh/'2026'!Env_an*'2027'!Env_an,0.001*'[12]mon-tableau (1)'!$B$226)</f>
        <v>14.165484204725765</v>
      </c>
      <c r="C306" s="866"/>
      <c r="D306" s="395">
        <f t="shared" si="102"/>
        <v>15.319721185202939</v>
      </c>
      <c r="E306" s="387">
        <f t="shared" si="125"/>
        <v>16.487632512419346</v>
      </c>
      <c r="F306" s="387">
        <f t="shared" si="103"/>
        <v>16.542241769411905</v>
      </c>
      <c r="G306" s="110">
        <f t="shared" si="126"/>
        <v>0.51996671757002377</v>
      </c>
      <c r="H306" s="414" t="b">
        <f>Wh_hp&gt;='2026'!Maxi_hp</f>
        <v>0</v>
      </c>
      <c r="I306" s="392">
        <f>IF(H306,Wh_hp,'2026'!Maxi_hp)</f>
        <v>30.618334526163864</v>
      </c>
      <c r="J306" s="85">
        <f>IF(H306,An,'2026'!An_max)</f>
        <v>2020</v>
      </c>
      <c r="K306" s="199">
        <f t="shared" si="104"/>
        <v>46679</v>
      </c>
      <c r="L306" s="147">
        <f>IF(t&lt;Tvie,1-EXP((T0-t)*PertePVj)+'2026'!Pspv,1-EXP((T0-t)*PertePVj)+Pspv)</f>
        <v>7.5343210657908832E-2</v>
      </c>
      <c r="M306" s="870"/>
      <c r="N306" s="870"/>
      <c r="O306" s="48">
        <f>IF(t&lt;Tnet,'2026'!Resal+('2026'!Salim-'2026'!Resal)*(1-EXP(('2026'!Tnet-t)/('2026'!Tau_j))),Resal+(Salim-Resal)*(1-EXP((Tnet-t)/(Tau_j))))*Salcycl</f>
        <v>7.0835599127811441E-2</v>
      </c>
      <c r="P306" s="171">
        <f>(INDEX(Models!$BJ306:$BT306,,T306)*(1-R306)+INDEX(Models!$BJ306:$BT306,,T306+1)*R306-ERP_i)*Q306*Ramure*Pc/MaxiM</f>
        <v>1.033190557929799E-2</v>
      </c>
      <c r="Q306" s="307">
        <f t="shared" si="105"/>
        <v>1</v>
      </c>
      <c r="R306" s="179">
        <f t="shared" si="106"/>
        <v>0.26181942838158956</v>
      </c>
      <c r="S306" s="837">
        <f t="shared" si="107"/>
        <v>-1</v>
      </c>
      <c r="T306" s="178">
        <f t="shared" si="108"/>
        <v>5</v>
      </c>
      <c r="U306" s="253">
        <f t="shared" si="109"/>
        <v>-0.73818057161841044</v>
      </c>
      <c r="V306" s="385">
        <f t="shared" si="110"/>
        <v>27.050887145871044</v>
      </c>
      <c r="W306" s="404">
        <f t="shared" si="111"/>
        <v>14.165484204725765</v>
      </c>
      <c r="X306" s="157">
        <f t="shared" si="112"/>
        <v>46679</v>
      </c>
      <c r="Y306" s="387">
        <f t="shared" si="113"/>
        <v>12.766769419417823</v>
      </c>
      <c r="Z306" s="387">
        <f t="shared" si="114"/>
        <v>13.807035828398117</v>
      </c>
      <c r="AA306" s="388">
        <f t="shared" si="115"/>
        <v>15.832055624101185</v>
      </c>
      <c r="AB306" s="199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0.12790630880682199</v>
      </c>
      <c r="AD306" s="233">
        <f>(INDEX(Models!$BJ306:$BT306,,AH306)*(1-AF306)+INDEX(Models!$BJ306:$BT306,,AH306+1)*AF306-ERP_i)*AE306*Ramure*Pc/MaxiM</f>
        <v>0.13436506191753564</v>
      </c>
      <c r="AE306" s="307">
        <f t="shared" si="117"/>
        <v>1</v>
      </c>
      <c r="AF306" s="179">
        <f t="shared" si="118"/>
        <v>0.19680202130516022</v>
      </c>
      <c r="AG306" s="837">
        <f t="shared" si="124"/>
        <v>4</v>
      </c>
      <c r="AH306" s="178">
        <f t="shared" si="119"/>
        <v>10</v>
      </c>
      <c r="AI306" s="227">
        <f t="shared" si="120"/>
        <v>4.1968020213051602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46680</v>
      </c>
      <c r="B307" s="1139">
        <f>IF(t&gt;Tmaj,'2026'!Wh/'2026'!Env_an*'2027'!Env_an,0.001*'[12]mon-tableau (1)'!$B$227)</f>
        <v>7.8420489806908575</v>
      </c>
      <c r="C307" s="866"/>
      <c r="D307" s="395">
        <f t="shared" si="102"/>
        <v>8.4812349525428345</v>
      </c>
      <c r="E307" s="387">
        <f t="shared" si="125"/>
        <v>9.1290949980720253</v>
      </c>
      <c r="F307" s="387">
        <f t="shared" si="103"/>
        <v>9.1290949980720253</v>
      </c>
      <c r="G307" s="110">
        <f t="shared" si="126"/>
        <v>0.29042177721853812</v>
      </c>
      <c r="H307" s="414" t="b">
        <f>Wh_hp&gt;='2026'!Maxi_hp</f>
        <v>0</v>
      </c>
      <c r="I307" s="392">
        <f>IF(H307,Wh_hp,'2026'!Maxi_hp)</f>
        <v>26.917739526991838</v>
      </c>
      <c r="J307" s="85">
        <f>IF(H307,An,'2026'!An_max)</f>
        <v>2020</v>
      </c>
      <c r="K307" s="199">
        <f t="shared" si="104"/>
        <v>46680</v>
      </c>
      <c r="L307" s="147">
        <f>IF(t&lt;Tvie,1-EXP((T0-t)*PertePVj)+'2026'!Pspv,1-EXP((T0-t)*PertePVj)+Pspv)</f>
        <v>7.5364728772233436E-2</v>
      </c>
      <c r="M307" s="870"/>
      <c r="N307" s="870"/>
      <c r="O307" s="48">
        <f>IF(t&lt;Tnet,'2026'!Resal+('2026'!Salim-'2026'!Resal)*(1-EXP(('2026'!Tnet-t)/('2026'!Tau_j))),Resal+(Salim-Resal)*(1-EXP((Tnet-t)/(Tau_j))))*Salcycl</f>
        <v>7.0966513730661276E-2</v>
      </c>
      <c r="P307" s="171">
        <f>(INDEX(Models!$BJ307:$BT307,,T307)*(1-R307)+INDEX(Models!$BJ307:$BT307,,T307+1)*R307-ERP_i)*Q307*Ramure*Pc/MaxiM</f>
        <v>1.0941131358911761E-2</v>
      </c>
      <c r="Q307" s="307">
        <f t="shared" si="105"/>
        <v>1</v>
      </c>
      <c r="R307" s="179">
        <f t="shared" si="106"/>
        <v>0.26194789813978026</v>
      </c>
      <c r="S307" s="837">
        <f t="shared" si="107"/>
        <v>-1</v>
      </c>
      <c r="T307" s="178">
        <f t="shared" si="108"/>
        <v>5</v>
      </c>
      <c r="U307" s="253">
        <f t="shared" si="109"/>
        <v>-0.73805210186021974</v>
      </c>
      <c r="V307" s="385">
        <f t="shared" si="110"/>
        <v>26.706840537077351</v>
      </c>
      <c r="W307" s="404">
        <f t="shared" si="111"/>
        <v>7.8420489806908575</v>
      </c>
      <c r="X307" s="157">
        <f t="shared" si="112"/>
        <v>46680</v>
      </c>
      <c r="Y307" s="387">
        <f t="shared" si="113"/>
        <v>7.3618127532365181</v>
      </c>
      <c r="Z307" s="387">
        <f t="shared" si="114"/>
        <v>7.9618558607019363</v>
      </c>
      <c r="AA307" s="388">
        <f t="shared" si="115"/>
        <v>9.1290949980720253</v>
      </c>
      <c r="AB307" s="199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0.12785923879821576</v>
      </c>
      <c r="AD307" s="233">
        <f>(INDEX(Models!$BJ307:$BT307,,AH307)*(1-AF307)+INDEX(Models!$BJ307:$BT307,,AH307+1)*AF307-ERP_i)*AE307*Ramure*Pc/MaxiM</f>
        <v>0.13820626243443818</v>
      </c>
      <c r="AE307" s="307">
        <f t="shared" si="117"/>
        <v>1</v>
      </c>
      <c r="AF307" s="179">
        <f t="shared" si="118"/>
        <v>0.19693049106335092</v>
      </c>
      <c r="AG307" s="837">
        <f t="shared" si="124"/>
        <v>4</v>
      </c>
      <c r="AH307" s="178">
        <f t="shared" si="119"/>
        <v>10</v>
      </c>
      <c r="AI307" s="227">
        <f t="shared" si="120"/>
        <v>4.1969304910633509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46681</v>
      </c>
      <c r="B308" s="1139">
        <f>IF(t&gt;Tmaj,'2026'!Wh/'2026'!Env_an*'2027'!Env_an,0.001*'[12]mon-tableau (1)'!$B$228)</f>
        <v>13.722935278335109</v>
      </c>
      <c r="C308" s="866"/>
      <c r="D308" s="395">
        <f t="shared" si="102"/>
        <v>14.841803103938121</v>
      </c>
      <c r="E308" s="387">
        <f t="shared" si="125"/>
        <v>15.977741005167053</v>
      </c>
      <c r="F308" s="387">
        <f t="shared" si="103"/>
        <v>16.0364254122692</v>
      </c>
      <c r="G308" s="110">
        <f t="shared" si="126"/>
        <v>0.51631320783171952</v>
      </c>
      <c r="H308" s="414" t="b">
        <f>Wh_hp&gt;='2026'!Maxi_hp</f>
        <v>0</v>
      </c>
      <c r="I308" s="392">
        <f>IF(H308,Wh_hp,'2026'!Maxi_hp)</f>
        <v>22.474187536944374</v>
      </c>
      <c r="J308" s="85">
        <f>IF(H308,An,'2026'!An_max)</f>
        <v>2019</v>
      </c>
      <c r="K308" s="199">
        <f t="shared" si="104"/>
        <v>46681</v>
      </c>
      <c r="L308" s="147">
        <f>IF(t&lt;Tvie,1-EXP((T0-t)*PertePVj)+'2026'!Pspv,1-EXP((T0-t)*PertePVj)+Pspv)</f>
        <v>7.5386246385800049E-2</v>
      </c>
      <c r="M308" s="870"/>
      <c r="N308" s="870"/>
      <c r="O308" s="48">
        <f>IF(t&lt;Tnet,'2026'!Resal+('2026'!Salim-'2026'!Resal)*(1-EXP(('2026'!Tnet-t)/('2026'!Tau_j))),Resal+(Salim-Resal)*(1-EXP((Tnet-t)/(Tau_j))))*Salcycl</f>
        <v>7.1095025314378266E-2</v>
      </c>
      <c r="P308" s="171">
        <f>(INDEX(Models!$BJ308:$BT308,,T308)*(1-R308)+INDEX(Models!$BJ308:$BT308,,T308+1)*R308-ERP_i)*Q308*Ramure*Pc/MaxiM</f>
        <v>1.1618809662683045E-2</v>
      </c>
      <c r="Q308" s="307">
        <f t="shared" si="105"/>
        <v>1</v>
      </c>
      <c r="R308" s="179">
        <f t="shared" si="106"/>
        <v>0.2620712398131797</v>
      </c>
      <c r="S308" s="837">
        <f t="shared" si="107"/>
        <v>-1</v>
      </c>
      <c r="T308" s="178">
        <f t="shared" si="108"/>
        <v>5</v>
      </c>
      <c r="U308" s="253">
        <f t="shared" si="109"/>
        <v>-0.7379287601868203</v>
      </c>
      <c r="V308" s="385">
        <f t="shared" si="110"/>
        <v>26.36637615193828</v>
      </c>
      <c r="W308" s="404">
        <f t="shared" si="111"/>
        <v>13.722935278335109</v>
      </c>
      <c r="X308" s="157">
        <f t="shared" si="112"/>
        <v>46681</v>
      </c>
      <c r="Y308" s="387">
        <f t="shared" si="113"/>
        <v>12.353233814538203</v>
      </c>
      <c r="Z308" s="387">
        <f t="shared" si="114"/>
        <v>13.360426195534028</v>
      </c>
      <c r="AA308" s="388">
        <f t="shared" si="115"/>
        <v>15.318235640361992</v>
      </c>
      <c r="AB308" s="199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0.12780906958170407</v>
      </c>
      <c r="AD308" s="233">
        <f>(INDEX(Models!$BJ308:$BT308,,AH308)*(1-AF308)+INDEX(Models!$BJ308:$BT308,,AH308+1)*AF308-ERP_i)*AE308*Ramure*Pc/MaxiM</f>
        <v>0.1421929720948025</v>
      </c>
      <c r="AE308" s="307">
        <f t="shared" si="117"/>
        <v>1</v>
      </c>
      <c r="AF308" s="179">
        <f t="shared" si="118"/>
        <v>0.19705383273675015</v>
      </c>
      <c r="AG308" s="837">
        <f t="shared" si="124"/>
        <v>4</v>
      </c>
      <c r="AH308" s="178">
        <f t="shared" si="119"/>
        <v>10</v>
      </c>
      <c r="AI308" s="227">
        <f t="shared" si="120"/>
        <v>4.1970538327367501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46682</v>
      </c>
      <c r="B309" s="1139">
        <f>IF(t&gt;Tmaj,'2026'!Wh/'2026'!Env_an*'2027'!Env_an,0.001*'[12]mon-tableau (1)'!$B$229)</f>
        <v>24.337429462086245</v>
      </c>
      <c r="C309" s="866"/>
      <c r="D309" s="395">
        <f t="shared" si="102"/>
        <v>26.322338108935583</v>
      </c>
      <c r="E309" s="387">
        <f t="shared" si="125"/>
        <v>28.340804506339882</v>
      </c>
      <c r="F309" s="387">
        <f t="shared" si="103"/>
        <v>28.662365882854928</v>
      </c>
      <c r="G309" s="110">
        <f t="shared" si="126"/>
        <v>0.9339192127960918</v>
      </c>
      <c r="H309" s="414" t="b">
        <f>Wh_hp&gt;='2026'!Maxi_hp</f>
        <v>0</v>
      </c>
      <c r="I309" s="392">
        <f>IF(H309,Wh_hp,'2026'!Maxi_hp)</f>
        <v>28.691335764635802</v>
      </c>
      <c r="J309" s="85">
        <f>IF(H309,An,'2026'!An_max)</f>
        <v>2025</v>
      </c>
      <c r="K309" s="199">
        <f t="shared" si="104"/>
        <v>46682</v>
      </c>
      <c r="L309" s="147">
        <f>IF(t&lt;Tvie,1-EXP((T0-t)*PertePVj)+'2026'!Pspv,1-EXP((T0-t)*PertePVj)+Pspv)</f>
        <v>7.5407763498620439E-2</v>
      </c>
      <c r="M309" s="870"/>
      <c r="N309" s="870"/>
      <c r="O309" s="48">
        <f>IF(t&lt;Tnet,'2026'!Resal+('2026'!Salim-'2026'!Resal)*(1-EXP(('2026'!Tnet-t)/('2026'!Tau_j))),Resal+(Salim-Resal)*(1-EXP((Tnet-t)/(Tau_j))))*Salcycl</f>
        <v>7.12212102854302E-2</v>
      </c>
      <c r="P309" s="171">
        <f>(INDEX(Models!$BJ309:$BT309,,T309)*(1-R309)+INDEX(Models!$BJ309:$BT309,,T309+1)*R309-ERP_i)*Q309*Ramure*Pc/MaxiM</f>
        <v>1.2367237433762394E-2</v>
      </c>
      <c r="Q309" s="307">
        <f t="shared" si="105"/>
        <v>1</v>
      </c>
      <c r="R309" s="179">
        <f t="shared" si="106"/>
        <v>0.26218965638536396</v>
      </c>
      <c r="S309" s="837">
        <f t="shared" si="107"/>
        <v>-1</v>
      </c>
      <c r="T309" s="178">
        <f t="shared" si="108"/>
        <v>5</v>
      </c>
      <c r="U309" s="253">
        <f t="shared" si="109"/>
        <v>-0.73781034361463604</v>
      </c>
      <c r="V309" s="385">
        <f t="shared" si="110"/>
        <v>26.029195506433339</v>
      </c>
      <c r="W309" s="404">
        <f t="shared" si="111"/>
        <v>24.337429462086245</v>
      </c>
      <c r="X309" s="157">
        <f t="shared" si="112"/>
        <v>46682</v>
      </c>
      <c r="Y309" s="387">
        <f t="shared" si="113"/>
        <v>20.046938821152782</v>
      </c>
      <c r="Z309" s="387">
        <f t="shared" si="114"/>
        <v>21.681924236147175</v>
      </c>
      <c r="AA309" s="388">
        <f t="shared" si="115"/>
        <v>24.857635083230477</v>
      </c>
      <c r="AB309" s="199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0.12775595250514027</v>
      </c>
      <c r="AD309" s="233">
        <f>(INDEX(Models!$BJ309:$BT309,,AH309)*(1-AF309)+INDEX(Models!$BJ309:$BT309,,AH309+1)*AF309-ERP_i)*AE309*Ramure*Pc/MaxiM</f>
        <v>0.14632979147078173</v>
      </c>
      <c r="AE309" s="307">
        <f t="shared" si="117"/>
        <v>1</v>
      </c>
      <c r="AF309" s="179">
        <f t="shared" si="118"/>
        <v>0.19717224930893451</v>
      </c>
      <c r="AG309" s="837">
        <f t="shared" si="124"/>
        <v>4</v>
      </c>
      <c r="AH309" s="178">
        <f t="shared" si="119"/>
        <v>10</v>
      </c>
      <c r="AI309" s="227">
        <f t="shared" si="120"/>
        <v>4.1971722493089345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46683</v>
      </c>
      <c r="B310" s="1139">
        <f>IF(t&gt;Tmaj,'2026'!Wh/'2026'!Env_an*'2027'!Env_an,0.001*'[12]mon-tableau (1)'!$B$230)</f>
        <v>16.455067222447145</v>
      </c>
      <c r="C310" s="866"/>
      <c r="D310" s="395">
        <f t="shared" si="102"/>
        <v>17.797521453434562</v>
      </c>
      <c r="E310" s="387">
        <f t="shared" si="125"/>
        <v>19.164839883048067</v>
      </c>
      <c r="F310" s="387">
        <f t="shared" si="103"/>
        <v>19.288579075743037</v>
      </c>
      <c r="G310" s="110">
        <f t="shared" si="126"/>
        <v>0.63603373846736921</v>
      </c>
      <c r="H310" s="414" t="b">
        <f>Wh_hp&gt;='2026'!Maxi_hp</f>
        <v>0</v>
      </c>
      <c r="I310" s="392">
        <f>IF(H310,Wh_hp,'2026'!Maxi_hp)</f>
        <v>30.859930652265835</v>
      </c>
      <c r="J310" s="85">
        <f>IF(H310,An,'2026'!An_max)</f>
        <v>2021</v>
      </c>
      <c r="K310" s="199">
        <f t="shared" si="104"/>
        <v>46683</v>
      </c>
      <c r="L310" s="147">
        <f>IF(t&lt;Tvie,1-EXP((T0-t)*PertePVj)+'2026'!Pspv,1-EXP((T0-t)*PertePVj)+Pspv)</f>
        <v>7.5429280110706154E-2</v>
      </c>
      <c r="M310" s="870"/>
      <c r="N310" s="870"/>
      <c r="O310" s="48">
        <f>IF(t&lt;Tnet,'2026'!Resal+('2026'!Salim-'2026'!Resal)*(1-EXP(('2026'!Tnet-t)/('2026'!Tau_j))),Resal+(Salim-Resal)*(1-EXP((Tnet-t)/(Tau_j))))*Salcycl</f>
        <v>7.1345152787993901E-2</v>
      </c>
      <c r="P310" s="171">
        <f>(INDEX(Models!$BJ310:$BT310,,T310)*(1-R310)+INDEX(Models!$BJ310:$BT310,,T310+1)*R310-ERP_i)*Q310*Ramure*Pc/MaxiM</f>
        <v>1.3192081969415678E-2</v>
      </c>
      <c r="Q310" s="307">
        <f t="shared" si="105"/>
        <v>1</v>
      </c>
      <c r="R310" s="179">
        <f t="shared" si="106"/>
        <v>0.26230334293991442</v>
      </c>
      <c r="S310" s="837">
        <f t="shared" si="107"/>
        <v>-1</v>
      </c>
      <c r="T310" s="178">
        <f t="shared" si="108"/>
        <v>5</v>
      </c>
      <c r="U310" s="253">
        <f t="shared" si="109"/>
        <v>-0.73769665706008558</v>
      </c>
      <c r="V310" s="385">
        <f t="shared" si="110"/>
        <v>25.694914301672807</v>
      </c>
      <c r="W310" s="404">
        <f t="shared" si="111"/>
        <v>16.455067222447145</v>
      </c>
      <c r="X310" s="157">
        <f t="shared" si="112"/>
        <v>46683</v>
      </c>
      <c r="Y310" s="387">
        <f t="shared" si="113"/>
        <v>14.417245965146046</v>
      </c>
      <c r="Z310" s="387">
        <f t="shared" si="114"/>
        <v>15.593448564834864</v>
      </c>
      <c r="AA310" s="388">
        <f t="shared" si="115"/>
        <v>17.8762461110408</v>
      </c>
      <c r="AB310" s="199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0.12770005134333129</v>
      </c>
      <c r="AD310" s="233">
        <f>(INDEX(Models!$BJ310:$BT310,,AH310)*(1-AF310)+INDEX(Models!$BJ310:$BT310,,AH310+1)*AF310-ERP_i)*AE310*Ramure*Pc/MaxiM</f>
        <v>0.15057163242036239</v>
      </c>
      <c r="AE310" s="307">
        <f t="shared" si="117"/>
        <v>1</v>
      </c>
      <c r="AF310" s="179">
        <f t="shared" si="118"/>
        <v>0.19728593586348531</v>
      </c>
      <c r="AG310" s="837">
        <f t="shared" si="124"/>
        <v>4</v>
      </c>
      <c r="AH310" s="178">
        <f t="shared" si="119"/>
        <v>10</v>
      </c>
      <c r="AI310" s="227">
        <f t="shared" si="120"/>
        <v>4.1972859358634853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46684</v>
      </c>
      <c r="B311" s="1139">
        <f>IF(t&gt;Tmaj,'2026'!Wh/'2026'!Env_an*'2027'!Env_an,0.001*'[12]mon-tableau (1)'!$B$231)</f>
        <v>19.462298274612301</v>
      </c>
      <c r="C311" s="866"/>
      <c r="D311" s="395">
        <f t="shared" si="102"/>
        <v>21.050581402357661</v>
      </c>
      <c r="E311" s="387">
        <f t="shared" si="125"/>
        <v>22.670793763060562</v>
      </c>
      <c r="F311" s="387">
        <f t="shared" si="103"/>
        <v>22.885817971261293</v>
      </c>
      <c r="G311" s="110">
        <f t="shared" si="126"/>
        <v>0.76370190220694578</v>
      </c>
      <c r="H311" s="414" t="b">
        <f>Wh_hp&gt;='2026'!Maxi_hp</f>
        <v>0</v>
      </c>
      <c r="I311" s="392">
        <f>IF(H311,Wh_hp,'2026'!Maxi_hp)</f>
        <v>31.094214113391882</v>
      </c>
      <c r="J311" s="85">
        <f>IF(H311,An,'2026'!An_max)</f>
        <v>2021</v>
      </c>
      <c r="K311" s="199">
        <f t="shared" si="104"/>
        <v>46684</v>
      </c>
      <c r="L311" s="147">
        <f>IF(t&lt;Tvie,1-EXP((T0-t)*PertePVj)+'2026'!Pspv,1-EXP((T0-t)*PertePVj)+Pspv)</f>
        <v>7.545079622206885E-2</v>
      </c>
      <c r="M311" s="870"/>
      <c r="N311" s="870"/>
      <c r="O311" s="48">
        <f>IF(t&lt;Tnet,'2026'!Resal+('2026'!Salim-'2026'!Resal)*(1-EXP(('2026'!Tnet-t)/('2026'!Tau_j))),Resal+(Salim-Resal)*(1-EXP((Tnet-t)/(Tau_j))))*Salcycl</f>
        <v>7.1466944547078498E-2</v>
      </c>
      <c r="P311" s="171">
        <f>(INDEX(Models!$BJ311:$BT311,,T311)*(1-R311)+INDEX(Models!$BJ311:$BT311,,T311+1)*R311-ERP_i)*Q311*Ramure*Pc/MaxiM</f>
        <v>1.4073417052179611E-2</v>
      </c>
      <c r="Q311" s="307">
        <f t="shared" si="105"/>
        <v>1</v>
      </c>
      <c r="R311" s="179">
        <f t="shared" si="106"/>
        <v>0.26241248695726416</v>
      </c>
      <c r="S311" s="837">
        <f t="shared" si="107"/>
        <v>-1</v>
      </c>
      <c r="T311" s="178">
        <f t="shared" si="108"/>
        <v>5</v>
      </c>
      <c r="U311" s="253">
        <f t="shared" si="109"/>
        <v>-0.73758751304273584</v>
      </c>
      <c r="V311" s="385">
        <f t="shared" si="110"/>
        <v>25.363812929858643</v>
      </c>
      <c r="W311" s="404">
        <f t="shared" si="111"/>
        <v>19.462298274612301</v>
      </c>
      <c r="X311" s="157">
        <f t="shared" si="112"/>
        <v>46684</v>
      </c>
      <c r="Y311" s="387">
        <f t="shared" si="113"/>
        <v>16.549577848122336</v>
      </c>
      <c r="Z311" s="387">
        <f t="shared" si="114"/>
        <v>17.900159105104159</v>
      </c>
      <c r="AA311" s="388">
        <f t="shared" si="115"/>
        <v>20.519270420111255</v>
      </c>
      <c r="AB311" s="199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0.12764154189615162</v>
      </c>
      <c r="AD311" s="233">
        <f>(INDEX(Models!$BJ311:$BT311,,AH311)*(1-AF311)+INDEX(Models!$BJ311:$BT311,,AH311+1)*AF311-ERP_i)*AE311*Ramure*Pc/MaxiM</f>
        <v>0.15489144659496792</v>
      </c>
      <c r="AE311" s="307">
        <f t="shared" si="117"/>
        <v>1</v>
      </c>
      <c r="AF311" s="179">
        <f t="shared" si="118"/>
        <v>0.1973950798808346</v>
      </c>
      <c r="AG311" s="837">
        <f t="shared" si="124"/>
        <v>4</v>
      </c>
      <c r="AH311" s="178">
        <f t="shared" si="119"/>
        <v>10</v>
      </c>
      <c r="AI311" s="227">
        <f t="shared" si="120"/>
        <v>4.1973950798808346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46685</v>
      </c>
      <c r="B312" s="1139">
        <f>IF(t&gt;Tmaj,'2026'!Wh/'2026'!Env_an*'2027'!Env_an,0.001*'[12]mon-tableau (1)'!$B$232)</f>
        <v>17.996662751681537</v>
      </c>
      <c r="C312" s="866"/>
      <c r="D312" s="395">
        <f t="shared" si="102"/>
        <v>19.465791000112592</v>
      </c>
      <c r="E312" s="387">
        <f t="shared" si="125"/>
        <v>20.966729665013052</v>
      </c>
      <c r="F312" s="387">
        <f t="shared" si="103"/>
        <v>21.156783334810282</v>
      </c>
      <c r="G312" s="110">
        <f t="shared" si="126"/>
        <v>0.71446917598251714</v>
      </c>
      <c r="H312" s="414" t="b">
        <f>Wh_hp&gt;='2026'!Maxi_hp</f>
        <v>0</v>
      </c>
      <c r="I312" s="392">
        <f>IF(H312,Wh_hp,'2026'!Maxi_hp)</f>
        <v>29.799774376559132</v>
      </c>
      <c r="J312" s="85">
        <f>IF(H312,An,'2026'!An_max)</f>
        <v>2021</v>
      </c>
      <c r="K312" s="199">
        <f t="shared" si="104"/>
        <v>46685</v>
      </c>
      <c r="L312" s="147">
        <f>IF(t&lt;Tvie,1-EXP((T0-t)*PertePVj)+'2026'!Pspv,1-EXP((T0-t)*PertePVj)+Pspv)</f>
        <v>7.5472311832720185E-2</v>
      </c>
      <c r="M312" s="870"/>
      <c r="N312" s="870"/>
      <c r="O312" s="48">
        <f>IF(t&lt;Tnet,'2026'!Resal+('2026'!Salim-'2026'!Resal)*(1-EXP(('2026'!Tnet-t)/('2026'!Tau_j))),Resal+(Salim-Resal)*(1-EXP((Tnet-t)/(Tau_j))))*Salcycl</f>
        <v>7.158668466093962E-2</v>
      </c>
      <c r="P312" s="171">
        <f>(INDEX(Models!$BJ312:$BT312,,T312)*(1-R312)+INDEX(Models!$BJ312:$BT312,,T312+1)*R312-ERP_i)*Q312*Ramure*Pc/MaxiM</f>
        <v>1.5013198839482171E-2</v>
      </c>
      <c r="Q312" s="307">
        <f t="shared" si="105"/>
        <v>1</v>
      </c>
      <c r="R312" s="179">
        <f t="shared" si="106"/>
        <v>0.2625172686012357</v>
      </c>
      <c r="S312" s="837">
        <f t="shared" si="107"/>
        <v>-1</v>
      </c>
      <c r="T312" s="178">
        <f t="shared" si="108"/>
        <v>5</v>
      </c>
      <c r="U312" s="253">
        <f t="shared" si="109"/>
        <v>-0.7374827313987643</v>
      </c>
      <c r="V312" s="385">
        <f t="shared" si="110"/>
        <v>25.035590260299173</v>
      </c>
      <c r="W312" s="404">
        <f t="shared" si="111"/>
        <v>17.996662751681537</v>
      </c>
      <c r="X312" s="157">
        <f t="shared" si="112"/>
        <v>46685</v>
      </c>
      <c r="Y312" s="387">
        <f t="shared" si="113"/>
        <v>15.43808518719775</v>
      </c>
      <c r="Z312" s="387">
        <f t="shared" si="114"/>
        <v>16.698348123895727</v>
      </c>
      <c r="AA312" s="388">
        <f t="shared" si="115"/>
        <v>19.140276275449789</v>
      </c>
      <c r="AB312" s="199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0.12758061150278144</v>
      </c>
      <c r="AD312" s="233">
        <f>(INDEX(Models!$BJ312:$BT312,,AH312)*(1-AF312)+INDEX(Models!$BJ312:$BT312,,AH312+1)*AF312-ERP_i)*AE312*Ramure*Pc/MaxiM</f>
        <v>0.15929301168295518</v>
      </c>
      <c r="AE312" s="307">
        <f t="shared" si="117"/>
        <v>1</v>
      </c>
      <c r="AF312" s="179">
        <f t="shared" si="118"/>
        <v>0.19749986152480581</v>
      </c>
      <c r="AG312" s="837">
        <f t="shared" si="124"/>
        <v>4</v>
      </c>
      <c r="AH312" s="178">
        <f t="shared" si="119"/>
        <v>10</v>
      </c>
      <c r="AI312" s="227">
        <f t="shared" si="120"/>
        <v>4.1974998615248058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46686</v>
      </c>
      <c r="B313" s="1139">
        <f>IF(t&gt;Tmaj,'2026'!Wh/'2026'!Env_an*'2027'!Env_an,0.001*'[12]mon-tableau (1)'!$B$233)</f>
        <v>14.262479762584714</v>
      </c>
      <c r="C313" s="866"/>
      <c r="D313" s="395">
        <f t="shared" si="102"/>
        <v>15.427133077347561</v>
      </c>
      <c r="E313" s="387">
        <f t="shared" si="125"/>
        <v>16.618773584547913</v>
      </c>
      <c r="F313" s="387">
        <f t="shared" si="103"/>
        <v>16.72482901522184</v>
      </c>
      <c r="G313" s="110">
        <f t="shared" si="126"/>
        <v>0.57157750145953135</v>
      </c>
      <c r="H313" s="414" t="b">
        <f>Wh_hp&gt;='2026'!Maxi_hp</f>
        <v>0</v>
      </c>
      <c r="I313" s="392">
        <f>IF(H313,Wh_hp,'2026'!Maxi_hp)</f>
        <v>29.263227957076836</v>
      </c>
      <c r="J313" s="85">
        <f>IF(H313,An,'2026'!An_max)</f>
        <v>2019</v>
      </c>
      <c r="K313" s="199">
        <f t="shared" si="104"/>
        <v>46686</v>
      </c>
      <c r="L313" s="147">
        <f>IF(t&lt;Tvie,1-EXP((T0-t)*PertePVj)+'2026'!Pspv,1-EXP((T0-t)*PertePVj)+Pspv)</f>
        <v>7.5493826942671927E-2</v>
      </c>
      <c r="M313" s="870"/>
      <c r="N313" s="870"/>
      <c r="O313" s="48">
        <f>IF(t&lt;Tnet,'2026'!Resal+('2026'!Salim-'2026'!Resal)*(1-EXP(('2026'!Tnet-t)/('2026'!Tau_j))),Resal+(Salim-Resal)*(1-EXP((Tnet-t)/(Tau_j))))*Salcycl</f>
        <v>7.1704479343068825E-2</v>
      </c>
      <c r="P313" s="171">
        <f>(INDEX(Models!$BJ313:$BT313,,T313)*(1-R313)+INDEX(Models!$BJ313:$BT313,,T313+1)*R313-ERP_i)*Q313*Ramure*Pc/MaxiM</f>
        <v>1.6013362019613037E-2</v>
      </c>
      <c r="Q313" s="307">
        <f t="shared" si="105"/>
        <v>1</v>
      </c>
      <c r="R313" s="179">
        <f t="shared" si="106"/>
        <v>0.26261786099555706</v>
      </c>
      <c r="S313" s="837">
        <f t="shared" si="107"/>
        <v>-1</v>
      </c>
      <c r="T313" s="178">
        <f t="shared" si="108"/>
        <v>5</v>
      </c>
      <c r="U313" s="253">
        <f t="shared" si="109"/>
        <v>-0.73738213900444294</v>
      </c>
      <c r="V313" s="385">
        <f t="shared" si="110"/>
        <v>24.70994802963742</v>
      </c>
      <c r="W313" s="404">
        <f t="shared" si="111"/>
        <v>14.262479762584714</v>
      </c>
      <c r="X313" s="157">
        <f t="shared" si="112"/>
        <v>46686</v>
      </c>
      <c r="Y313" s="387">
        <f t="shared" si="113"/>
        <v>12.615571751890638</v>
      </c>
      <c r="Z313" s="387">
        <f t="shared" si="114"/>
        <v>13.645740958301156</v>
      </c>
      <c r="AA313" s="388">
        <f t="shared" si="115"/>
        <v>15.640130671761513</v>
      </c>
      <c r="AB313" s="199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0.12751745847374907</v>
      </c>
      <c r="AD313" s="233">
        <f>(INDEX(Models!$BJ313:$BT313,,AH313)*(1-AF313)+INDEX(Models!$BJ313:$BT313,,AH313+1)*AF313-ERP_i)*AE313*Ramure*Pc/MaxiM</f>
        <v>0.16377914026212231</v>
      </c>
      <c r="AE313" s="307">
        <f t="shared" si="117"/>
        <v>1</v>
      </c>
      <c r="AF313" s="179">
        <f t="shared" si="118"/>
        <v>0.19760045391912762</v>
      </c>
      <c r="AG313" s="837">
        <f t="shared" si="124"/>
        <v>4</v>
      </c>
      <c r="AH313" s="178">
        <f t="shared" si="119"/>
        <v>10</v>
      </c>
      <c r="AI313" s="227">
        <f t="shared" si="120"/>
        <v>4.1976004539191276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46687</v>
      </c>
      <c r="B314" s="1139">
        <f>IF(t&gt;Tmaj,'2026'!Wh/'2026'!Env_an*'2027'!Env_an,0.001*'[12]mon-tableau (1)'!$B$234)</f>
        <v>11.403647255661127</v>
      </c>
      <c r="C314" s="866"/>
      <c r="D314" s="395">
        <f t="shared" si="102"/>
        <v>12.335139530389252</v>
      </c>
      <c r="E314" s="387">
        <f t="shared" si="125"/>
        <v>13.289604817245543</v>
      </c>
      <c r="F314" s="387">
        <f t="shared" si="103"/>
        <v>13.344168381381957</v>
      </c>
      <c r="G314" s="110">
        <f t="shared" si="126"/>
        <v>0.46152172322111479</v>
      </c>
      <c r="H314" s="414" t="b">
        <f>Wh_hp&gt;='2026'!Maxi_hp</f>
        <v>0</v>
      </c>
      <c r="I314" s="392">
        <f>IF(H314,Wh_hp,'2026'!Maxi_hp)</f>
        <v>29.643885541046256</v>
      </c>
      <c r="J314" s="85">
        <f>IF(H314,An,'2026'!An_max)</f>
        <v>2021</v>
      </c>
      <c r="K314" s="199">
        <f t="shared" si="104"/>
        <v>46687</v>
      </c>
      <c r="L314" s="147">
        <f>IF(t&lt;Tvie,1-EXP((T0-t)*PertePVj)+'2026'!Pspv,1-EXP((T0-t)*PertePVj)+Pspv)</f>
        <v>7.5515341551935511E-2</v>
      </c>
      <c r="M314" s="870"/>
      <c r="N314" s="870"/>
      <c r="O314" s="48">
        <f>IF(t&lt;Tnet,'2026'!Resal+('2026'!Salim-'2026'!Resal)*(1-EXP(('2026'!Tnet-t)/('2026'!Tau_j))),Resal+(Salim-Resal)*(1-EXP((Tnet-t)/(Tau_j))))*Salcycl</f>
        <v>7.1820441614464603E-2</v>
      </c>
      <c r="P314" s="171">
        <f>(INDEX(Models!$BJ314:$BT314,,T314)*(1-R314)+INDEX(Models!$BJ314:$BT314,,T314+1)*R314-ERP_i)*Q314*Ramure*Pc/MaxiM</f>
        <v>1.7075930870317571E-2</v>
      </c>
      <c r="Q314" s="307">
        <f t="shared" si="105"/>
        <v>1</v>
      </c>
      <c r="R314" s="179">
        <f t="shared" si="106"/>
        <v>0.26271443049064525</v>
      </c>
      <c r="S314" s="837">
        <f t="shared" si="107"/>
        <v>-1</v>
      </c>
      <c r="T314" s="178">
        <f t="shared" si="108"/>
        <v>5</v>
      </c>
      <c r="U314" s="253">
        <f t="shared" si="109"/>
        <v>-0.73728556950935475</v>
      </c>
      <c r="V314" s="385">
        <f t="shared" si="110"/>
        <v>24.386588156410561</v>
      </c>
      <c r="W314" s="404">
        <f t="shared" si="111"/>
        <v>11.403647255661127</v>
      </c>
      <c r="X314" s="157">
        <f t="shared" si="112"/>
        <v>46687</v>
      </c>
      <c r="Y314" s="387">
        <f t="shared" si="113"/>
        <v>10.33022825543204</v>
      </c>
      <c r="Z314" s="387">
        <f t="shared" si="114"/>
        <v>11.174039678249965</v>
      </c>
      <c r="AA314" s="388">
        <f t="shared" si="115"/>
        <v>12.806222019345432</v>
      </c>
      <c r="AB314" s="199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0.12745229144316317</v>
      </c>
      <c r="AD314" s="233">
        <f>(INDEX(Models!$BJ314:$BT314,,AH314)*(1-AF314)+INDEX(Models!$BJ314:$BT314,,AH314+1)*AF314-ERP_i)*AE314*Ramure*Pc/MaxiM</f>
        <v>0.16835291160798962</v>
      </c>
      <c r="AE314" s="307">
        <f t="shared" si="117"/>
        <v>1</v>
      </c>
      <c r="AF314" s="179">
        <f t="shared" si="118"/>
        <v>0.19769702341421613</v>
      </c>
      <c r="AG314" s="837">
        <f t="shared" si="124"/>
        <v>4</v>
      </c>
      <c r="AH314" s="178">
        <f t="shared" si="119"/>
        <v>10</v>
      </c>
      <c r="AI314" s="227">
        <f t="shared" si="120"/>
        <v>4.1976970234142161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46688</v>
      </c>
      <c r="B315" s="1139">
        <f>IF(t&gt;Tmaj,'2026'!Wh/'2026'!Env_an*'2027'!Env_an,0.001*'[12]mon-tableau (1)'!$B$235)</f>
        <v>15.523850446975903</v>
      </c>
      <c r="C315" s="866"/>
      <c r="D315" s="395">
        <f t="shared" si="102"/>
        <v>16.79228700682015</v>
      </c>
      <c r="E315" s="387">
        <f t="shared" si="125"/>
        <v>18.093863484629907</v>
      </c>
      <c r="F315" s="387">
        <f t="shared" si="103"/>
        <v>18.257697566396349</v>
      </c>
      <c r="G315" s="110">
        <f t="shared" si="126"/>
        <v>0.63906661688822852</v>
      </c>
      <c r="H315" s="414" t="b">
        <f>Wh_hp&gt;='2026'!Maxi_hp</f>
        <v>0</v>
      </c>
      <c r="I315" s="392">
        <f>IF(H315,Wh_hp,'2026'!Maxi_hp)</f>
        <v>28.741781736753882</v>
      </c>
      <c r="J315" s="85">
        <f>IF(H315,An,'2026'!An_max)</f>
        <v>2021</v>
      </c>
      <c r="K315" s="199">
        <f t="shared" si="104"/>
        <v>46688</v>
      </c>
      <c r="L315" s="147">
        <f>IF(t&lt;Tvie,1-EXP((T0-t)*PertePVj)+'2026'!Pspv,1-EXP((T0-t)*PertePVj)+Pspv)</f>
        <v>7.5536855660522817E-2</v>
      </c>
      <c r="M315" s="870"/>
      <c r="N315" s="870"/>
      <c r="O315" s="48">
        <f>IF(t&lt;Tnet,'2026'!Resal+('2026'!Salim-'2026'!Resal)*(1-EXP(('2026'!Tnet-t)/('2026'!Tau_j))),Resal+(Salim-Resal)*(1-EXP((Tnet-t)/(Tau_j))))*Salcycl</f>
        <v>7.1934690947314833E-2</v>
      </c>
      <c r="P315" s="171">
        <f>(INDEX(Models!$BJ315:$BT315,,T315)*(1-R315)+INDEX(Models!$BJ315:$BT315,,T315+1)*R315-ERP_i)*Q315*Ramure*Pc/MaxiM</f>
        <v>1.8203028895212307E-2</v>
      </c>
      <c r="Q315" s="307">
        <f t="shared" si="105"/>
        <v>1</v>
      </c>
      <c r="R315" s="179">
        <f t="shared" si="106"/>
        <v>0.26280713692094015</v>
      </c>
      <c r="S315" s="837">
        <f t="shared" si="107"/>
        <v>-1</v>
      </c>
      <c r="T315" s="178">
        <f t="shared" si="108"/>
        <v>5</v>
      </c>
      <c r="U315" s="253">
        <f t="shared" si="109"/>
        <v>-0.73719286307905985</v>
      </c>
      <c r="V315" s="385">
        <f t="shared" si="110"/>
        <v>24.065212775608014</v>
      </c>
      <c r="W315" s="404">
        <f t="shared" si="111"/>
        <v>15.523850446975903</v>
      </c>
      <c r="X315" s="157">
        <f t="shared" si="112"/>
        <v>46688</v>
      </c>
      <c r="Y315" s="387">
        <f t="shared" si="113"/>
        <v>13.47227367417913</v>
      </c>
      <c r="Z315" s="387">
        <f t="shared" si="114"/>
        <v>14.573078176961809</v>
      </c>
      <c r="AA315" s="388">
        <f t="shared" si="115"/>
        <v>16.700473479685485</v>
      </c>
      <c r="AB315" s="199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0.12738532864421162</v>
      </c>
      <c r="AD315" s="233">
        <f>(INDEX(Models!$BJ315:$BT315,,AH315)*(1-AF315)+INDEX(Models!$BJ315:$BT315,,AH315+1)*AF315-ERP_i)*AE315*Ramure*Pc/MaxiM</f>
        <v>0.17301769412745346</v>
      </c>
      <c r="AE315" s="307">
        <f t="shared" si="117"/>
        <v>1</v>
      </c>
      <c r="AF315" s="179">
        <f t="shared" si="118"/>
        <v>0.19778972984451038</v>
      </c>
      <c r="AG315" s="837">
        <f t="shared" si="124"/>
        <v>4</v>
      </c>
      <c r="AH315" s="178">
        <f t="shared" si="119"/>
        <v>10</v>
      </c>
      <c r="AI315" s="227">
        <f t="shared" si="120"/>
        <v>4.1977897298445104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46689</v>
      </c>
      <c r="B316" s="1139">
        <f>IF(t&gt;Tmaj,'2026'!Wh/'2026'!Env_an*'2027'!Env_an,0.001*'[12]mon-tableau (1)'!$B$236)</f>
        <v>19.714267944841001</v>
      </c>
      <c r="C316" s="866"/>
      <c r="D316" s="395">
        <f t="shared" si="102"/>
        <v>21.325595137077677</v>
      </c>
      <c r="E316" s="387">
        <f t="shared" si="125"/>
        <v>22.981339837589775</v>
      </c>
      <c r="F316" s="387">
        <f t="shared" si="103"/>
        <v>23.324030831494134</v>
      </c>
      <c r="G316" s="110">
        <f t="shared" si="126"/>
        <v>0.82626702487853843</v>
      </c>
      <c r="H316" s="414" t="b">
        <f>Wh_hp&gt;='2026'!Maxi_hp</f>
        <v>0</v>
      </c>
      <c r="I316" s="392">
        <f>IF(H316,Wh_hp,'2026'!Maxi_hp)</f>
        <v>25.210255189313802</v>
      </c>
      <c r="J316" s="85">
        <f>IF(H316,An,'2026'!An_max)</f>
        <v>2019</v>
      </c>
      <c r="K316" s="199">
        <f t="shared" si="104"/>
        <v>46689</v>
      </c>
      <c r="L316" s="147">
        <f>IF(t&lt;Tvie,1-EXP((T0-t)*PertePVj)+'2026'!Pspv,1-EXP((T0-t)*PertePVj)+Pspv)</f>
        <v>7.555836926844528E-2</v>
      </c>
      <c r="M316" s="870"/>
      <c r="N316" s="870"/>
      <c r="O316" s="48">
        <f>IF(t&lt;Tnet,'2026'!Resal+('2026'!Salim-'2026'!Resal)*(1-EXP(('2026'!Tnet-t)/('2026'!Tau_j))),Resal+(Salim-Resal)*(1-EXP((Tnet-t)/(Tau_j))))*Salcycl</f>
        <v>7.2047352861640074E-2</v>
      </c>
      <c r="P316" s="171">
        <f>(INDEX(Models!$BJ316:$BT316,,T316)*(1-R316)+INDEX(Models!$BJ316:$BT316,,T316+1)*R316-ERP_i)*Q316*Ramure*Pc/MaxiM</f>
        <v>1.9396889503407917E-2</v>
      </c>
      <c r="Q316" s="307">
        <f t="shared" si="105"/>
        <v>1</v>
      </c>
      <c r="R316" s="179">
        <f t="shared" si="106"/>
        <v>0.26289613385307076</v>
      </c>
      <c r="S316" s="837">
        <f t="shared" si="107"/>
        <v>-1</v>
      </c>
      <c r="T316" s="178">
        <f t="shared" si="108"/>
        <v>5</v>
      </c>
      <c r="U316" s="253">
        <f t="shared" si="109"/>
        <v>-0.73710386614692924</v>
      </c>
      <c r="V316" s="385">
        <f t="shared" si="110"/>
        <v>23.745524249234517</v>
      </c>
      <c r="W316" s="404">
        <f t="shared" si="111"/>
        <v>19.714267944841001</v>
      </c>
      <c r="X316" s="157">
        <f t="shared" si="112"/>
        <v>46689</v>
      </c>
      <c r="Y316" s="387">
        <f t="shared" si="113"/>
        <v>16.282677376324006</v>
      </c>
      <c r="Z316" s="387">
        <f t="shared" si="114"/>
        <v>17.613526733363088</v>
      </c>
      <c r="AA316" s="388">
        <f t="shared" si="115"/>
        <v>20.183185232702538</v>
      </c>
      <c r="AB316" s="199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0.12731679711168031</v>
      </c>
      <c r="AD316" s="233">
        <f>(INDEX(Models!$BJ316:$BT316,,AH316)*(1-AF316)+INDEX(Models!$BJ316:$BT316,,AH316+1)*AF316-ERP_i)*AE316*Ramure*Pc/MaxiM</f>
        <v>0.17777716984307021</v>
      </c>
      <c r="AE316" s="307">
        <f t="shared" si="117"/>
        <v>1</v>
      </c>
      <c r="AF316" s="179">
        <f t="shared" si="118"/>
        <v>0.19787872677664087</v>
      </c>
      <c r="AG316" s="837">
        <f t="shared" si="124"/>
        <v>4</v>
      </c>
      <c r="AH316" s="178">
        <f t="shared" si="119"/>
        <v>10</v>
      </c>
      <c r="AI316" s="227">
        <f t="shared" si="120"/>
        <v>4.1978787267766409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46690</v>
      </c>
      <c r="B317" s="1139">
        <f>IF(t&gt;Tmaj,'2026'!Wh/'2026'!Env_an*'2027'!Env_an,0.001*'[12]mon-tableau (1)'!$B$237)</f>
        <v>16.994604199337928</v>
      </c>
      <c r="C317" s="866"/>
      <c r="D317" s="395">
        <f t="shared" si="102"/>
        <v>18.384070051410429</v>
      </c>
      <c r="E317" s="387">
        <f t="shared" si="125"/>
        <v>19.813805709336773</v>
      </c>
      <c r="F317" s="387">
        <f t="shared" si="103"/>
        <v>20.065752973548118</v>
      </c>
      <c r="G317" s="110">
        <f t="shared" si="126"/>
        <v>0.71947112502586463</v>
      </c>
      <c r="H317" s="414" t="b">
        <f>Wh_hp&gt;='2026'!Maxi_hp</f>
        <v>0</v>
      </c>
      <c r="I317" s="392">
        <f>IF(H317,Wh_hp,'2026'!Maxi_hp)</f>
        <v>25.555453874343382</v>
      </c>
      <c r="J317" s="85">
        <f>IF(H317,An,'2026'!An_max)</f>
        <v>2020</v>
      </c>
      <c r="K317" s="199">
        <f t="shared" si="104"/>
        <v>46690</v>
      </c>
      <c r="L317" s="147">
        <f>IF(t&lt;Tvie,1-EXP((T0-t)*PertePVj)+'2026'!Pspv,1-EXP((T0-t)*PertePVj)+Pspv)</f>
        <v>7.557988237571478E-2</v>
      </c>
      <c r="M317" s="870"/>
      <c r="N317" s="870"/>
      <c r="O317" s="48">
        <f>IF(t&lt;Tnet,'2026'!Resal+('2026'!Salim-'2026'!Resal)*(1-EXP(('2026'!Tnet-t)/('2026'!Tau_j))),Resal+(Salim-Resal)*(1-EXP((Tnet-t)/(Tau_j))))*Salcycl</f>
        <v>7.2158558476861284E-2</v>
      </c>
      <c r="P317" s="171">
        <f>(INDEX(Models!$BJ317:$BT317,,T317)*(1-R317)+INDEX(Models!$BJ317:$BT317,,T317+1)*R317-ERP_i)*Q317*Ramure*Pc/MaxiM</f>
        <v>2.0659965502078343E-2</v>
      </c>
      <c r="Q317" s="307">
        <f t="shared" si="105"/>
        <v>1</v>
      </c>
      <c r="R317" s="179">
        <f t="shared" si="106"/>
        <v>0.26298156882513057</v>
      </c>
      <c r="S317" s="837">
        <f t="shared" si="107"/>
        <v>-1</v>
      </c>
      <c r="T317" s="178">
        <f t="shared" si="108"/>
        <v>5</v>
      </c>
      <c r="U317" s="253">
        <f t="shared" si="109"/>
        <v>-0.73701843117486943</v>
      </c>
      <c r="V317" s="385">
        <f t="shared" si="110"/>
        <v>23.427112082973604</v>
      </c>
      <c r="W317" s="404">
        <f t="shared" si="111"/>
        <v>16.994604199337928</v>
      </c>
      <c r="X317" s="157">
        <f t="shared" si="112"/>
        <v>46690</v>
      </c>
      <c r="Y317" s="387">
        <f t="shared" si="113"/>
        <v>14.391942867476262</v>
      </c>
      <c r="Z317" s="387">
        <f t="shared" si="114"/>
        <v>15.568617118007833</v>
      </c>
      <c r="AA317" s="388">
        <f t="shared" si="115"/>
        <v>17.838513189533341</v>
      </c>
      <c r="AB317" s="199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0.12724693181589586</v>
      </c>
      <c r="AD317" s="233">
        <f>(INDEX(Models!$BJ317:$BT317,,AH317)*(1-AF317)+INDEX(Models!$BJ317:$BT317,,AH317+1)*AF317-ERP_i)*AE317*Ramure*Pc/MaxiM</f>
        <v>0.18263622447593769</v>
      </c>
      <c r="AE317" s="307">
        <f t="shared" si="117"/>
        <v>1</v>
      </c>
      <c r="AF317" s="179">
        <f t="shared" si="118"/>
        <v>0.19796416174870135</v>
      </c>
      <c r="AG317" s="837">
        <f t="shared" si="124"/>
        <v>4</v>
      </c>
      <c r="AH317" s="178">
        <f t="shared" si="119"/>
        <v>10</v>
      </c>
      <c r="AI317" s="227">
        <f t="shared" si="120"/>
        <v>4.1979641617487014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46691</v>
      </c>
      <c r="B318" s="1139">
        <f>IF(t&gt;Tmaj,'2026'!Wh/'2026'!Env_an*'2027'!Env_an,0.001*'[12]mon-tableau (1)'!$B$238)</f>
        <v>16.554864212071422</v>
      </c>
      <c r="C318" s="866"/>
      <c r="D318" s="395">
        <f t="shared" si="102"/>
        <v>17.908794022633995</v>
      </c>
      <c r="E318" s="387">
        <f t="shared" si="125"/>
        <v>19.303853477021011</v>
      </c>
      <c r="F318" s="387">
        <f t="shared" si="103"/>
        <v>19.55930473831225</v>
      </c>
      <c r="G318" s="110">
        <f t="shared" si="126"/>
        <v>0.70986546322537336</v>
      </c>
      <c r="H318" s="414" t="b">
        <f>Wh_hp&gt;='2026'!Maxi_hp</f>
        <v>0</v>
      </c>
      <c r="I318" s="392">
        <f>IF(H318,Wh_hp,'2026'!Maxi_hp)</f>
        <v>27.871025086088434</v>
      </c>
      <c r="J318" s="85">
        <f>IF(H318,An,'2026'!An_max)</f>
        <v>2020</v>
      </c>
      <c r="K318" s="199">
        <f t="shared" si="104"/>
        <v>46691</v>
      </c>
      <c r="L318" s="147">
        <f>IF(t&lt;Tvie,1-EXP((T0-t)*PertePVj)+'2026'!Pspv,1-EXP((T0-t)*PertePVj)+Pspv)</f>
        <v>7.5601394982342751E-2</v>
      </c>
      <c r="M318" s="870"/>
      <c r="N318" s="870"/>
      <c r="O318" s="48">
        <f>IF(t&lt;Tnet,'2026'!Resal+('2026'!Salim-'2026'!Resal)*(1-EXP(('2026'!Tnet-t)/('2026'!Tau_j))),Resal+(Salim-Resal)*(1-EXP((Tnet-t)/(Tau_j))))*Salcycl</f>
        <v>7.2268444020654882E-2</v>
      </c>
      <c r="P318" s="171">
        <f>(INDEX(Models!$BJ318:$BT318,,T318)*(1-R318)+INDEX(Models!$BJ318:$BT318,,T318+1)*R318-ERP_i)*Q318*Ramure*Pc/MaxiM</f>
        <v>2.1959415195631431E-2</v>
      </c>
      <c r="Q318" s="307">
        <f t="shared" si="105"/>
        <v>1</v>
      </c>
      <c r="R318" s="179">
        <f t="shared" si="106"/>
        <v>0.26306358357733584</v>
      </c>
      <c r="S318" s="837">
        <f t="shared" si="107"/>
        <v>-1</v>
      </c>
      <c r="T318" s="178">
        <f t="shared" si="108"/>
        <v>5</v>
      </c>
      <c r="U318" s="253">
        <f t="shared" si="109"/>
        <v>-0.73693641642266416</v>
      </c>
      <c r="V318" s="385">
        <f t="shared" si="110"/>
        <v>23.110846502639372</v>
      </c>
      <c r="W318" s="404">
        <f t="shared" si="111"/>
        <v>16.554864212071422</v>
      </c>
      <c r="X318" s="157">
        <f t="shared" si="112"/>
        <v>46691</v>
      </c>
      <c r="Y318" s="387">
        <f t="shared" si="113"/>
        <v>14.020721841509127</v>
      </c>
      <c r="Z318" s="387">
        <f t="shared" si="114"/>
        <v>15.167398312161357</v>
      </c>
      <c r="AA318" s="388">
        <f t="shared" si="115"/>
        <v>17.377384069513425</v>
      </c>
      <c r="AB318" s="199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0.12717597473311476</v>
      </c>
      <c r="AD318" s="233">
        <f>(INDEX(Models!$BJ318:$BT318,,AH318)*(1-AF318)+INDEX(Models!$BJ318:$BT318,,AH318+1)*AF318-ERP_i)*AE318*Ramure*Pc/MaxiM</f>
        <v>0.1875649454533598</v>
      </c>
      <c r="AE318" s="307">
        <f t="shared" si="117"/>
        <v>1</v>
      </c>
      <c r="AF318" s="179">
        <f t="shared" si="118"/>
        <v>0.19804617650090606</v>
      </c>
      <c r="AG318" s="837">
        <f t="shared" si="124"/>
        <v>4</v>
      </c>
      <c r="AH318" s="178">
        <f t="shared" si="119"/>
        <v>10</v>
      </c>
      <c r="AI318" s="227">
        <f t="shared" si="120"/>
        <v>4.1980461765009061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46692</v>
      </c>
      <c r="B319" s="1139">
        <f>IF(t&gt;Tmaj,'2026'!Wh/'2026'!Env_an*'2027'!Env_an,0.001*'[13]mon-tableau (3)'!$B$202)</f>
        <v>15.626230760688298</v>
      </c>
      <c r="C319" s="866"/>
      <c r="D319" s="395">
        <f t="shared" si="102"/>
        <v>16.904606226737886</v>
      </c>
      <c r="E319" s="387">
        <f t="shared" si="125"/>
        <v>18.223576782488411</v>
      </c>
      <c r="F319" s="387">
        <f t="shared" si="103"/>
        <v>18.45996857895339</v>
      </c>
      <c r="G319" s="110">
        <f t="shared" si="126"/>
        <v>0.67816414451658136</v>
      </c>
      <c r="H319" s="414" t="b">
        <f>Wh_hp&gt;='2026'!Maxi_hp</f>
        <v>0</v>
      </c>
      <c r="I319" s="392">
        <f>IF(H319,Wh_hp,'2026'!Maxi_hp)</f>
        <v>26.847448093899022</v>
      </c>
      <c r="J319" s="85">
        <f>IF(H319,An,'2026'!An_max)</f>
        <v>2020</v>
      </c>
      <c r="K319" s="199">
        <f t="shared" si="104"/>
        <v>46692</v>
      </c>
      <c r="L319" s="147">
        <f>IF(t&lt;Tvie,1-EXP((T0-t)*PertePVj)+'2026'!Pspv,1-EXP((T0-t)*PertePVj)+Pspv)</f>
        <v>7.5622907088340963E-2</v>
      </c>
      <c r="M319" s="870"/>
      <c r="N319" s="870"/>
      <c r="O319" s="48">
        <f>IF(t&lt;Tnet,'2026'!Resal+('2026'!Salim-'2026'!Resal)*(1-EXP(('2026'!Tnet-t)/('2026'!Tau_j))),Resal+(Salim-Resal)*(1-EXP((Tnet-t)/(Tau_j))))*Salcycl</f>
        <v>7.2377150297847456E-2</v>
      </c>
      <c r="P319" s="171">
        <f>(INDEX(Models!$BJ319:$BT319,,T319)*(1-R319)+INDEX(Models!$BJ319:$BT319,,T319+1)*R319-ERP_i)*Q319*Ramure*Pc/MaxiM</f>
        <v>2.3257555824023772E-2</v>
      </c>
      <c r="Q319" s="307">
        <f t="shared" si="105"/>
        <v>1</v>
      </c>
      <c r="R319" s="179">
        <f t="shared" si="106"/>
        <v>0.2631423142743341</v>
      </c>
      <c r="S319" s="837">
        <f t="shared" si="107"/>
        <v>-1</v>
      </c>
      <c r="T319" s="178">
        <f t="shared" si="108"/>
        <v>5</v>
      </c>
      <c r="U319" s="253">
        <f t="shared" si="109"/>
        <v>-0.7368576857256659</v>
      </c>
      <c r="V319" s="385">
        <f t="shared" si="110"/>
        <v>22.798002975810579</v>
      </c>
      <c r="W319" s="404">
        <f t="shared" si="111"/>
        <v>15.626230760688298</v>
      </c>
      <c r="X319" s="157">
        <f t="shared" si="112"/>
        <v>46692</v>
      </c>
      <c r="Y319" s="387">
        <f t="shared" si="113"/>
        <v>13.316260040385155</v>
      </c>
      <c r="Z319" s="387">
        <f t="shared" si="114"/>
        <v>14.405657758611035</v>
      </c>
      <c r="AA319" s="388">
        <f t="shared" si="115"/>
        <v>16.503295498937391</v>
      </c>
      <c r="AB319" s="199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0.12710417385796782</v>
      </c>
      <c r="AD319" s="233">
        <f>(INDEX(Models!$BJ319:$BT319,,AH319)*(1-AF319)+INDEX(Models!$BJ319:$BT319,,AH319+1)*AF319-ERP_i)*AE319*Ramure*Pc/MaxiM</f>
        <v>0.19250851369784661</v>
      </c>
      <c r="AE319" s="307">
        <f t="shared" si="117"/>
        <v>1</v>
      </c>
      <c r="AF319" s="179">
        <f t="shared" si="118"/>
        <v>0.19812490719790432</v>
      </c>
      <c r="AG319" s="837">
        <f t="shared" si="124"/>
        <v>4</v>
      </c>
      <c r="AH319" s="178">
        <f t="shared" si="119"/>
        <v>10</v>
      </c>
      <c r="AI319" s="227">
        <f t="shared" si="120"/>
        <v>4.1981249071979043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46693</v>
      </c>
      <c r="B320" s="1139">
        <f>IF(t&gt;Tmaj,'2026'!Wh/'2026'!Env_an*'2027'!Env_an,0.001*'[13]mon-tableau (3)'!$B$203)</f>
        <v>21.160731441468364</v>
      </c>
      <c r="C320" s="866"/>
      <c r="D320" s="395">
        <f t="shared" si="102"/>
        <v>22.8924148557252</v>
      </c>
      <c r="E320" s="387">
        <f t="shared" si="125"/>
        <v>24.681445006766094</v>
      </c>
      <c r="F320" s="387">
        <f t="shared" si="103"/>
        <v>25.249089032970733</v>
      </c>
      <c r="G320" s="110">
        <f t="shared" si="126"/>
        <v>0.93894431024755398</v>
      </c>
      <c r="H320" s="414" t="b">
        <f>Wh_hp&gt;='2026'!Maxi_hp</f>
        <v>0</v>
      </c>
      <c r="I320" s="392">
        <f>IF(H320,Wh_hp,'2026'!Maxi_hp)</f>
        <v>26.326466731477012</v>
      </c>
      <c r="J320" s="85">
        <f>IF(H320,An,'2026'!An_max)</f>
        <v>2021</v>
      </c>
      <c r="K320" s="199">
        <f t="shared" si="104"/>
        <v>46693</v>
      </c>
      <c r="L320" s="147">
        <f>IF(t&lt;Tvie,1-EXP((T0-t)*PertePVj)+'2026'!Pspv,1-EXP((T0-t)*PertePVj)+Pspv)</f>
        <v>7.5644418693720961E-2</v>
      </c>
      <c r="M320" s="870"/>
      <c r="N320" s="870"/>
      <c r="O320" s="48">
        <f>IF(t&lt;Tnet,'2026'!Resal+('2026'!Salim-'2026'!Resal)*(1-EXP(('2026'!Tnet-t)/('2026'!Tau_j))),Resal+(Salim-Resal)*(1-EXP((Tnet-t)/(Tau_j))))*Salcycl</f>
        <v>7.2484822122467082E-2</v>
      </c>
      <c r="P320" s="171">
        <f>(INDEX(Models!$BJ320:$BT320,,T320)*(1-R320)+INDEX(Models!$BJ320:$BT320,,T320+1)*R320-ERP_i)*Q320*Ramure*Pc/MaxiM</f>
        <v>2.455342456028475E-2</v>
      </c>
      <c r="Q320" s="307">
        <f t="shared" si="105"/>
        <v>1</v>
      </c>
      <c r="R320" s="179">
        <f t="shared" si="106"/>
        <v>0.26321789171942989</v>
      </c>
      <c r="S320" s="837">
        <f t="shared" si="107"/>
        <v>-1</v>
      </c>
      <c r="T320" s="178">
        <f t="shared" si="108"/>
        <v>5</v>
      </c>
      <c r="U320" s="253">
        <f t="shared" si="109"/>
        <v>-0.73678210828057011</v>
      </c>
      <c r="V320" s="385">
        <f t="shared" si="110"/>
        <v>22.488964584817733</v>
      </c>
      <c r="W320" s="404">
        <f t="shared" si="111"/>
        <v>21.160731441468364</v>
      </c>
      <c r="X320" s="157">
        <f t="shared" si="112"/>
        <v>46693</v>
      </c>
      <c r="Y320" s="387">
        <f t="shared" si="113"/>
        <v>16.69061410569628</v>
      </c>
      <c r="Z320" s="387">
        <f t="shared" si="114"/>
        <v>18.056486533147201</v>
      </c>
      <c r="AA320" s="388">
        <f t="shared" si="115"/>
        <v>20.684013649328037</v>
      </c>
      <c r="AB320" s="199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0.1270317821641061</v>
      </c>
      <c r="AD320" s="233">
        <f>(INDEX(Models!$BJ320:$BT320,,AH320)*(1-AF320)+INDEX(Models!$BJ320:$BT320,,AH320+1)*AF320-ERP_i)*AE320*Ramure*Pc/MaxiM</f>
        <v>0.19746219262400067</v>
      </c>
      <c r="AE320" s="307">
        <f t="shared" si="117"/>
        <v>1</v>
      </c>
      <c r="AF320" s="179">
        <f t="shared" si="118"/>
        <v>0.19820048464300033</v>
      </c>
      <c r="AG320" s="837">
        <f t="shared" si="124"/>
        <v>4</v>
      </c>
      <c r="AH320" s="178">
        <f t="shared" si="119"/>
        <v>10</v>
      </c>
      <c r="AI320" s="227">
        <f t="shared" si="120"/>
        <v>4.1982004846430003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46694</v>
      </c>
      <c r="B321" s="1139">
        <f>IF(t&gt;Tmaj,'2026'!Wh/'2026'!Env_an*'2027'!Env_an,0.001*'[13]mon-tableau (3)'!$B$204)</f>
        <v>5.569800311936282</v>
      </c>
      <c r="C321" s="866"/>
      <c r="D321" s="395">
        <f t="shared" si="102"/>
        <v>6.0257438208699394</v>
      </c>
      <c r="E321" s="387">
        <f t="shared" si="125"/>
        <v>6.4974005745544101</v>
      </c>
      <c r="F321" s="387">
        <f t="shared" si="103"/>
        <v>6.4974005745544101</v>
      </c>
      <c r="G321" s="110">
        <f t="shared" si="126"/>
        <v>0.24458238875648119</v>
      </c>
      <c r="H321" s="414" t="b">
        <f>Wh_hp&gt;='2026'!Maxi_hp</f>
        <v>0</v>
      </c>
      <c r="I321" s="392">
        <f>IF(H321,Wh_hp,'2026'!Maxi_hp)</f>
        <v>25.417463869453393</v>
      </c>
      <c r="J321" s="85">
        <f>IF(H321,An,'2026'!An_max)</f>
        <v>2020</v>
      </c>
      <c r="K321" s="199">
        <f t="shared" si="104"/>
        <v>46694</v>
      </c>
      <c r="L321" s="147">
        <f>IF(t&lt;Tvie,1-EXP((T0-t)*PertePVj)+'2026'!Pspv,1-EXP((T0-t)*PertePVj)+Pspv)</f>
        <v>7.5665929798494624E-2</v>
      </c>
      <c r="M321" s="870"/>
      <c r="N321" s="870"/>
      <c r="O321" s="48">
        <f>IF(t&lt;Tnet,'2026'!Resal+('2026'!Salim-'2026'!Resal)*(1-EXP(('2026'!Tnet-t)/('2026'!Tau_j))),Resal+(Salim-Resal)*(1-EXP((Tnet-t)/(Tau_j))))*Salcycl</f>
        <v>7.2591607716416109E-2</v>
      </c>
      <c r="P321" s="171">
        <f>(INDEX(Models!$BJ321:$BT321,,T321)*(1-R321)+INDEX(Models!$BJ321:$BT321,,T321+1)*R321-ERP_i)*Q321*Ramure*Pc/MaxiM</f>
        <v>2.5845920206082534E-2</v>
      </c>
      <c r="Q321" s="307">
        <f t="shared" si="105"/>
        <v>1</v>
      </c>
      <c r="R321" s="179">
        <f t="shared" si="106"/>
        <v>0.26329044156098047</v>
      </c>
      <c r="S321" s="837">
        <f t="shared" si="107"/>
        <v>-1</v>
      </c>
      <c r="T321" s="178">
        <f t="shared" si="108"/>
        <v>5</v>
      </c>
      <c r="U321" s="253">
        <f t="shared" si="109"/>
        <v>-0.73670955843901953</v>
      </c>
      <c r="V321" s="385">
        <f t="shared" si="110"/>
        <v>22.184114420897295</v>
      </c>
      <c r="W321" s="404">
        <f t="shared" si="111"/>
        <v>5.569800311936282</v>
      </c>
      <c r="X321" s="157">
        <f t="shared" si="112"/>
        <v>46694</v>
      </c>
      <c r="Y321" s="387">
        <f t="shared" si="113"/>
        <v>5.2432819885922042</v>
      </c>
      <c r="Z321" s="387">
        <f t="shared" si="114"/>
        <v>5.6724967277784817</v>
      </c>
      <c r="AA321" s="388">
        <f t="shared" si="115"/>
        <v>6.4974005745544101</v>
      </c>
      <c r="AB321" s="199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0.12695905651969147</v>
      </c>
      <c r="AD321" s="233">
        <f>(INDEX(Models!$BJ321:$BT321,,AH321)*(1-AF321)+INDEX(Models!$BJ321:$BT321,,AH321+1)*AF321-ERP_i)*AE321*Ramure*Pc/MaxiM</f>
        <v>0.20242065554074623</v>
      </c>
      <c r="AE321" s="307">
        <f t="shared" si="117"/>
        <v>1</v>
      </c>
      <c r="AF321" s="179">
        <f t="shared" si="118"/>
        <v>0.19827303448455069</v>
      </c>
      <c r="AG321" s="837">
        <f t="shared" si="124"/>
        <v>4</v>
      </c>
      <c r="AH321" s="178">
        <f t="shared" si="119"/>
        <v>10</v>
      </c>
      <c r="AI321" s="227">
        <f t="shared" si="120"/>
        <v>4.1982730344845507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46695</v>
      </c>
      <c r="B322" s="1139">
        <f>IF(t&gt;Tmaj,'2026'!Wh/'2026'!Env_an*'2027'!Env_an,0.001*'[13]mon-tableau (3)'!$B$205)</f>
        <v>11.516781200171504</v>
      </c>
      <c r="C322" s="866"/>
      <c r="D322" s="395">
        <f t="shared" si="102"/>
        <v>12.459834155222069</v>
      </c>
      <c r="E322" s="387">
        <f t="shared" si="125"/>
        <v>13.436646918635173</v>
      </c>
      <c r="F322" s="387">
        <f t="shared" si="103"/>
        <v>13.555539325459373</v>
      </c>
      <c r="G322" s="110">
        <f t="shared" si="126"/>
        <v>0.51651945646016517</v>
      </c>
      <c r="H322" s="414" t="b">
        <f>Wh_hp&gt;='2026'!Maxi_hp</f>
        <v>0</v>
      </c>
      <c r="I322" s="392">
        <f>IF(H322,Wh_hp,'2026'!Maxi_hp)</f>
        <v>18.882274393596006</v>
      </c>
      <c r="J322" s="85">
        <f>IF(H322,An,'2026'!An_max)</f>
        <v>2018</v>
      </c>
      <c r="K322" s="199">
        <f t="shared" si="104"/>
        <v>46695</v>
      </c>
      <c r="L322" s="147">
        <f>IF(t&lt;Tvie,1-EXP((T0-t)*PertePVj)+'2026'!Pspv,1-EXP((T0-t)*PertePVj)+Pspv)</f>
        <v>7.5687440402673389E-2</v>
      </c>
      <c r="M322" s="870"/>
      <c r="N322" s="870"/>
      <c r="O322" s="48">
        <f>IF(t&lt;Tnet,'2026'!Resal+('2026'!Salim-'2026'!Resal)*(1-EXP(('2026'!Tnet-t)/('2026'!Tau_j))),Resal+(Salim-Resal)*(1-EXP((Tnet-t)/(Tau_j))))*Salcycl</f>
        <v>7.2697658078547139E-2</v>
      </c>
      <c r="P322" s="171">
        <f>(INDEX(Models!$BJ322:$BT322,,T322)*(1-R322)+INDEX(Models!$BJ322:$BT322,,T322+1)*R322-ERP_i)*Q322*Ramure*Pc/MaxiM</f>
        <v>2.7133796873444554E-2</v>
      </c>
      <c r="Q322" s="307">
        <f t="shared" si="105"/>
        <v>1</v>
      </c>
      <c r="R322" s="179">
        <f t="shared" si="106"/>
        <v>0.26336008449122172</v>
      </c>
      <c r="S322" s="837">
        <f t="shared" si="107"/>
        <v>-1</v>
      </c>
      <c r="T322" s="178">
        <f t="shared" si="108"/>
        <v>5</v>
      </c>
      <c r="U322" s="253">
        <f t="shared" si="109"/>
        <v>-0.73663991550877828</v>
      </c>
      <c r="V322" s="385">
        <f t="shared" si="110"/>
        <v>21.883835588173138</v>
      </c>
      <c r="W322" s="404">
        <f t="shared" si="111"/>
        <v>11.516781200171504</v>
      </c>
      <c r="X322" s="157">
        <f t="shared" si="112"/>
        <v>46695</v>
      </c>
      <c r="Y322" s="387">
        <f t="shared" si="113"/>
        <v>10.206403026182056</v>
      </c>
      <c r="Z322" s="387">
        <f t="shared" si="114"/>
        <v>11.042155513529361</v>
      </c>
      <c r="AA322" s="388">
        <f t="shared" si="115"/>
        <v>12.646869433167998</v>
      </c>
      <c r="AB322" s="199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0.12688625656481234</v>
      </c>
      <c r="AD322" s="233">
        <f>(INDEX(Models!$BJ322:$BT322,,AH322)*(1-AF322)+INDEX(Models!$BJ322:$BT322,,AH322+1)*AF322-ERP_i)*AE322*Ramure*Pc/MaxiM</f>
        <v>0.20737795575882279</v>
      </c>
      <c r="AE322" s="307">
        <f t="shared" si="117"/>
        <v>1</v>
      </c>
      <c r="AF322" s="179">
        <f t="shared" si="118"/>
        <v>0.19834267741479206</v>
      </c>
      <c r="AG322" s="837">
        <f t="shared" si="124"/>
        <v>4</v>
      </c>
      <c r="AH322" s="178">
        <f t="shared" si="119"/>
        <v>10</v>
      </c>
      <c r="AI322" s="227">
        <f t="shared" si="120"/>
        <v>4.1983426774147921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46696</v>
      </c>
      <c r="B323" s="1139">
        <f>IF(t&gt;Tmaj,'2026'!Wh/'2026'!Env_an*'2027'!Env_an,0.001*'[13]mon-tableau (3)'!$B$206)</f>
        <v>20.163764923845736</v>
      </c>
      <c r="C323" s="866"/>
      <c r="D323" s="395">
        <f t="shared" si="102"/>
        <v>21.815384812922495</v>
      </c>
      <c r="E323" s="387">
        <f t="shared" si="125"/>
        <v>23.528320071369052</v>
      </c>
      <c r="F323" s="387">
        <f t="shared" si="103"/>
        <v>24.149856394950643</v>
      </c>
      <c r="G323" s="110">
        <f t="shared" si="126"/>
        <v>0.93143611313043684</v>
      </c>
      <c r="H323" s="414" t="b">
        <f>Wh_hp&gt;='2026'!Maxi_hp</f>
        <v>0</v>
      </c>
      <c r="I323" s="392">
        <f>IF(H323,Wh_hp,'2026'!Maxi_hp)</f>
        <v>24.206970594247611</v>
      </c>
      <c r="J323" s="85">
        <f>IF(H323,An,'2026'!An_max)</f>
        <v>2025</v>
      </c>
      <c r="K323" s="199">
        <f t="shared" si="104"/>
        <v>46696</v>
      </c>
      <c r="L323" s="147">
        <f>IF(t&lt;Tvie,1-EXP((T0-t)*PertePVj)+'2026'!Pspv,1-EXP((T0-t)*PertePVj)+Pspv)</f>
        <v>7.5708950506268913E-2</v>
      </c>
      <c r="M323" s="870"/>
      <c r="N323" s="870"/>
      <c r="O323" s="48">
        <f>IF(t&lt;Tnet,'2026'!Resal+('2026'!Salim-'2026'!Resal)*(1-EXP(('2026'!Tnet-t)/('2026'!Tau_j))),Resal+(Salim-Resal)*(1-EXP((Tnet-t)/(Tau_j))))*Salcycl</f>
        <v>7.2803126328214993E-2</v>
      </c>
      <c r="P323" s="171">
        <f>(INDEX(Models!$BJ323:$BT323,,T323)*(1-R323)+INDEX(Models!$BJ323:$BT323,,T323+1)*R323-ERP_i)*Q323*Ramure*Pc/MaxiM</f>
        <v>2.8415657907057801E-2</v>
      </c>
      <c r="Q323" s="307">
        <f t="shared" si="105"/>
        <v>1</v>
      </c>
      <c r="R323" s="179">
        <f t="shared" si="106"/>
        <v>0.26342693643776693</v>
      </c>
      <c r="S323" s="837">
        <f t="shared" si="107"/>
        <v>-1</v>
      </c>
      <c r="T323" s="178">
        <f t="shared" si="108"/>
        <v>5</v>
      </c>
      <c r="U323" s="253">
        <f t="shared" si="109"/>
        <v>-0.73657306356223307</v>
      </c>
      <c r="V323" s="385">
        <f t="shared" si="110"/>
        <v>21.588511221457157</v>
      </c>
      <c r="W323" s="404">
        <f t="shared" si="111"/>
        <v>20.163764923845736</v>
      </c>
      <c r="X323" s="157">
        <f t="shared" si="112"/>
        <v>46696</v>
      </c>
      <c r="Y323" s="387">
        <f t="shared" si="113"/>
        <v>15.742557050536378</v>
      </c>
      <c r="Z323" s="387">
        <f t="shared" si="114"/>
        <v>17.032034508133741</v>
      </c>
      <c r="AA323" s="388">
        <f t="shared" si="115"/>
        <v>19.505612269917247</v>
      </c>
      <c r="AB323" s="199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0.12681364355829075</v>
      </c>
      <c r="AD323" s="233">
        <f>(INDEX(Models!$BJ323:$BT323,,AH323)*(1-AF323)+INDEX(Models!$BJ323:$BT323,,AH323+1)*AF323-ERP_i)*AE323*Ramure*Pc/MaxiM</f>
        <v>0.21232749766472533</v>
      </c>
      <c r="AE323" s="307">
        <f t="shared" si="117"/>
        <v>1</v>
      </c>
      <c r="AF323" s="179">
        <f t="shared" si="118"/>
        <v>0.19840952936133771</v>
      </c>
      <c r="AG323" s="837">
        <f t="shared" si="124"/>
        <v>4</v>
      </c>
      <c r="AH323" s="178">
        <f t="shared" si="119"/>
        <v>10</v>
      </c>
      <c r="AI323" s="227">
        <f t="shared" si="120"/>
        <v>4.1984095293613377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46697</v>
      </c>
      <c r="B324" s="1139">
        <f>IF(t&gt;Tmaj,'2026'!Wh/'2026'!Env_an*'2027'!Env_an,0.001*'[13]mon-tableau (3)'!$B$207)</f>
        <v>20.208451051866366</v>
      </c>
      <c r="C324" s="866"/>
      <c r="D324" s="395">
        <f t="shared" si="102"/>
        <v>21.864240007580445</v>
      </c>
      <c r="E324" s="387">
        <f t="shared" si="125"/>
        <v>23.583683115275793</v>
      </c>
      <c r="F324" s="387">
        <f t="shared" si="103"/>
        <v>24.250361749082906</v>
      </c>
      <c r="G324" s="110">
        <f t="shared" si="126"/>
        <v>0.94667439224459282</v>
      </c>
      <c r="H324" s="414" t="b">
        <f>Wh_hp&gt;='2026'!Maxi_hp</f>
        <v>0</v>
      </c>
      <c r="I324" s="392">
        <f>IF(H324,Wh_hp,'2026'!Maxi_hp)</f>
        <v>24.296525780382741</v>
      </c>
      <c r="J324" s="85">
        <f>IF(H324,An,'2026'!An_max)</f>
        <v>2025</v>
      </c>
      <c r="K324" s="199">
        <f t="shared" si="104"/>
        <v>46697</v>
      </c>
      <c r="L324" s="147">
        <f>IF(t&lt;Tvie,1-EXP((T0-t)*PertePVj)+'2026'!Pspv,1-EXP((T0-t)*PertePVj)+Pspv)</f>
        <v>7.5730460109292963E-2</v>
      </c>
      <c r="M324" s="870"/>
      <c r="N324" s="870"/>
      <c r="O324" s="48">
        <f>IF(t&lt;Tnet,'2026'!Resal+('2026'!Salim-'2026'!Resal)*(1-EXP(('2026'!Tnet-t)/('2026'!Tau_j))),Resal+(Salim-Resal)*(1-EXP((Tnet-t)/(Tau_j))))*Salcycl</f>
        <v>7.2908167027635112E-2</v>
      </c>
      <c r="P324" s="171">
        <f>(INDEX(Models!$BJ324:$BT324,,T324)*(1-R324)+INDEX(Models!$BJ324:$BT324,,T324+1)*R324-ERP_i)*Q324*Ramure*Pc/MaxiM</f>
        <v>2.9661376323801763E-2</v>
      </c>
      <c r="Q324" s="307">
        <f t="shared" si="105"/>
        <v>1</v>
      </c>
      <c r="R324" s="179">
        <f t="shared" si="106"/>
        <v>0.26349110874802373</v>
      </c>
      <c r="S324" s="837">
        <f t="shared" si="107"/>
        <v>-1</v>
      </c>
      <c r="T324" s="178">
        <f t="shared" si="108"/>
        <v>5</v>
      </c>
      <c r="U324" s="253">
        <f t="shared" si="109"/>
        <v>-0.73650889125197627</v>
      </c>
      <c r="V324" s="385">
        <f t="shared" si="110"/>
        <v>21.299151685843473</v>
      </c>
      <c r="W324" s="404">
        <f t="shared" si="111"/>
        <v>20.208451051866366</v>
      </c>
      <c r="X324" s="157">
        <f t="shared" si="112"/>
        <v>46697</v>
      </c>
      <c r="Y324" s="387">
        <f t="shared" si="113"/>
        <v>15.63145578637657</v>
      </c>
      <c r="Z324" s="387">
        <f t="shared" si="114"/>
        <v>16.912226479112313</v>
      </c>
      <c r="AA324" s="388">
        <f t="shared" si="115"/>
        <v>19.366803845957538</v>
      </c>
      <c r="AB324" s="199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0.12674147920166881</v>
      </c>
      <c r="AD324" s="233">
        <f>(INDEX(Models!$BJ324:$BT324,,AH324)*(1-AF324)+INDEX(Models!$BJ324:$BT324,,AH324+1)*AF324-ERP_i)*AE324*Ramure*Pc/MaxiM</f>
        <v>0.21727567289277705</v>
      </c>
      <c r="AE324" s="307">
        <f t="shared" si="117"/>
        <v>1</v>
      </c>
      <c r="AF324" s="179">
        <f t="shared" si="118"/>
        <v>0.1984737016715945</v>
      </c>
      <c r="AG324" s="837">
        <f t="shared" si="124"/>
        <v>4</v>
      </c>
      <c r="AH324" s="178">
        <f t="shared" si="119"/>
        <v>10</v>
      </c>
      <c r="AI324" s="227">
        <f t="shared" si="120"/>
        <v>4.1984737016715945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46698</v>
      </c>
      <c r="B325" s="1139">
        <f>IF(t&gt;Tmaj,'2026'!Wh/'2026'!Env_an*'2027'!Env_an,0.001*'[13]mon-tableau (3)'!$B$208)</f>
        <v>20.06710150247504</v>
      </c>
      <c r="C325" s="866"/>
      <c r="D325" s="395">
        <f t="shared" si="102"/>
        <v>21.711814181914846</v>
      </c>
      <c r="E325" s="387">
        <f t="shared" si="125"/>
        <v>23.421917104458615</v>
      </c>
      <c r="F325" s="387">
        <f t="shared" si="103"/>
        <v>24.118282675342179</v>
      </c>
      <c r="G325" s="110">
        <f t="shared" si="126"/>
        <v>0.9528805894876804</v>
      </c>
      <c r="H325" s="414" t="b">
        <f>Wh_hp&gt;='2026'!Maxi_hp</f>
        <v>0</v>
      </c>
      <c r="I325" s="392">
        <f>IF(H325,Wh_hp,'2026'!Maxi_hp)</f>
        <v>24.160153571130351</v>
      </c>
      <c r="J325" s="85">
        <f>IF(H325,An,'2026'!An_max)</f>
        <v>2025</v>
      </c>
      <c r="K325" s="199">
        <f t="shared" si="104"/>
        <v>46698</v>
      </c>
      <c r="L325" s="147">
        <f>IF(t&lt;Tvie,1-EXP((T0-t)*PertePVj)+'2026'!Pspv,1-EXP((T0-t)*PertePVj)+Pspv)</f>
        <v>7.5751969211757086E-2</v>
      </c>
      <c r="M325" s="870"/>
      <c r="N325" s="870"/>
      <c r="O325" s="48">
        <f>IF(t&lt;Tnet,'2026'!Resal+('2026'!Salim-'2026'!Resal)*(1-EXP(('2026'!Tnet-t)/('2026'!Tau_j))),Resal+(Salim-Resal)*(1-EXP((Tnet-t)/(Tau_j))))*Salcycl</f>
        <v>7.3012935487600669E-2</v>
      </c>
      <c r="P325" s="171">
        <f>(INDEX(Models!$BJ325:$BT325,,T325)*(1-R325)+INDEX(Models!$BJ325:$BT325,,T325+1)*R325-ERP_i)*Q325*Ramure*Pc/MaxiM</f>
        <v>3.0864182964872831E-2</v>
      </c>
      <c r="Q325" s="307">
        <f t="shared" si="105"/>
        <v>1</v>
      </c>
      <c r="R325" s="179">
        <f t="shared" si="106"/>
        <v>0.26355270836676326</v>
      </c>
      <c r="S325" s="837">
        <f t="shared" si="107"/>
        <v>-1</v>
      </c>
      <c r="T325" s="178">
        <f t="shared" si="108"/>
        <v>5</v>
      </c>
      <c r="U325" s="253">
        <f t="shared" si="109"/>
        <v>-0.73644729163323674</v>
      </c>
      <c r="V325" s="385">
        <f t="shared" si="110"/>
        <v>21.016227105046191</v>
      </c>
      <c r="W325" s="404">
        <f t="shared" si="111"/>
        <v>20.06710150247504</v>
      </c>
      <c r="X325" s="157">
        <f t="shared" si="112"/>
        <v>46698</v>
      </c>
      <c r="Y325" s="387">
        <f t="shared" si="113"/>
        <v>15.419637891728986</v>
      </c>
      <c r="Z325" s="387">
        <f t="shared" si="114"/>
        <v>16.683441433549369</v>
      </c>
      <c r="AA325" s="388">
        <f t="shared" si="115"/>
        <v>19.103250661941825</v>
      </c>
      <c r="AB325" s="199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0.12667002444841943</v>
      </c>
      <c r="AD325" s="233">
        <f>(INDEX(Models!$BJ325:$BT325,,AH325)*(1-AF325)+INDEX(Models!$BJ325:$BT325,,AH325+1)*AF325-ERP_i)*AE325*Ramure*Pc/MaxiM</f>
        <v>0.22227529922234476</v>
      </c>
      <c r="AE325" s="307">
        <f t="shared" si="117"/>
        <v>1</v>
      </c>
      <c r="AF325" s="179">
        <f t="shared" si="118"/>
        <v>0.1985353012903337</v>
      </c>
      <c r="AG325" s="837">
        <f t="shared" si="124"/>
        <v>4</v>
      </c>
      <c r="AH325" s="178">
        <f t="shared" si="119"/>
        <v>10</v>
      </c>
      <c r="AI325" s="227">
        <f t="shared" si="120"/>
        <v>4.1985353012903337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46699</v>
      </c>
      <c r="B326" s="1139">
        <f>IF(t&gt;Tmaj,'2026'!Wh/'2026'!Env_an*'2027'!Env_an,0.001*'[13]mon-tableau (3)'!$B$209)</f>
        <v>13.267691997761849</v>
      </c>
      <c r="C326" s="866"/>
      <c r="D326" s="395">
        <f t="shared" si="102"/>
        <v>14.355454728107274</v>
      </c>
      <c r="E326" s="387">
        <f t="shared" si="125"/>
        <v>15.487892021376215</v>
      </c>
      <c r="F326" s="387">
        <f t="shared" si="103"/>
        <v>15.7323705324179</v>
      </c>
      <c r="G326" s="110">
        <f t="shared" si="126"/>
        <v>0.62900180549749107</v>
      </c>
      <c r="H326" s="414" t="b">
        <f>Wh_hp&gt;='2026'!Maxi_hp</f>
        <v>0</v>
      </c>
      <c r="I326" s="392">
        <f>IF(H326,Wh_hp,'2026'!Maxi_hp)</f>
        <v>20.498806693630254</v>
      </c>
      <c r="J326" s="85">
        <f>IF(H326,An,'2026'!An_max)</f>
        <v>2021</v>
      </c>
      <c r="K326" s="199">
        <f t="shared" si="104"/>
        <v>46699</v>
      </c>
      <c r="L326" s="147">
        <f>IF(t&lt;Tvie,1-EXP((T0-t)*PertePVj)+'2026'!Pspv,1-EXP((T0-t)*PertePVj)+Pspv)</f>
        <v>7.5773477813673051E-2</v>
      </c>
      <c r="M326" s="870"/>
      <c r="N326" s="870"/>
      <c r="O326" s="48">
        <f>IF(t&lt;Tnet,'2026'!Resal+('2026'!Salim-'2026'!Resal)*(1-EXP(('2026'!Tnet-t)/('2026'!Tau_j))),Resal+(Salim-Resal)*(1-EXP((Tnet-t)/(Tau_j))))*Salcycl</f>
        <v>7.3117587061296868E-2</v>
      </c>
      <c r="P326" s="171">
        <f>(INDEX(Models!$BJ326:$BT326,,T326)*(1-R326)+INDEX(Models!$BJ326:$BT326,,T326+1)*R326-ERP_i)*Q326*Ramure*Pc/MaxiM</f>
        <v>3.2020967447775002E-2</v>
      </c>
      <c r="Q326" s="307">
        <f t="shared" si="105"/>
        <v>1</v>
      </c>
      <c r="R326" s="179">
        <f t="shared" si="106"/>
        <v>0.26361183800707577</v>
      </c>
      <c r="S326" s="837">
        <f t="shared" si="107"/>
        <v>-1</v>
      </c>
      <c r="T326" s="178">
        <f t="shared" si="108"/>
        <v>5</v>
      </c>
      <c r="U326" s="253">
        <f t="shared" si="109"/>
        <v>-0.73638816199292423</v>
      </c>
      <c r="V326" s="385">
        <f t="shared" si="110"/>
        <v>20.740121365850293</v>
      </c>
      <c r="W326" s="404">
        <f t="shared" si="111"/>
        <v>13.267691997761849</v>
      </c>
      <c r="X326" s="157">
        <f t="shared" si="112"/>
        <v>46699</v>
      </c>
      <c r="Y326" s="387">
        <f t="shared" si="113"/>
        <v>11.298487109297737</v>
      </c>
      <c r="Z326" s="387">
        <f t="shared" si="114"/>
        <v>12.224802943947465</v>
      </c>
      <c r="AA326" s="388">
        <f t="shared" si="115"/>
        <v>13.996790109597109</v>
      </c>
      <c r="AB326" s="199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0.12659953830661899</v>
      </c>
      <c r="AD326" s="233">
        <f>(INDEX(Models!$BJ326:$BT326,,AH326)*(1-AF326)+INDEX(Models!$BJ326:$BT326,,AH326+1)*AF326-ERP_i)*AE326*Ramure*Pc/MaxiM</f>
        <v>0.22732044622385905</v>
      </c>
      <c r="AE326" s="307">
        <f t="shared" si="117"/>
        <v>1</v>
      </c>
      <c r="AF326" s="179">
        <f t="shared" si="118"/>
        <v>0.19859443093064577</v>
      </c>
      <c r="AG326" s="837">
        <f t="shared" si="124"/>
        <v>4</v>
      </c>
      <c r="AH326" s="178">
        <f t="shared" si="119"/>
        <v>10</v>
      </c>
      <c r="AI326" s="227">
        <f t="shared" si="120"/>
        <v>4.1985944309306458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46700</v>
      </c>
      <c r="B327" s="1139">
        <f>IF(t&gt;Tmaj,'2026'!Wh/'2026'!Env_an*'2027'!Env_an,0.001*'[13]mon-tableau (3)'!$B$210)</f>
        <v>7.846479859948551</v>
      </c>
      <c r="C327" s="866"/>
      <c r="D327" s="395">
        <f t="shared" si="102"/>
        <v>8.4899775919494704</v>
      </c>
      <c r="E327" s="387">
        <f t="shared" si="125"/>
        <v>9.1607484470555089</v>
      </c>
      <c r="F327" s="387">
        <f t="shared" si="103"/>
        <v>9.197002720143054</v>
      </c>
      <c r="G327" s="110">
        <f t="shared" si="126"/>
        <v>0.37206199669695661</v>
      </c>
      <c r="H327" s="414" t="b">
        <f>Wh_hp&gt;='2026'!Maxi_hp</f>
        <v>0</v>
      </c>
      <c r="I327" s="392">
        <f>IF(H327,Wh_hp,'2026'!Maxi_hp)</f>
        <v>19.612077061652013</v>
      </c>
      <c r="J327" s="85">
        <f>IF(H327,An,'2026'!An_max)</f>
        <v>2020</v>
      </c>
      <c r="K327" s="199">
        <f t="shared" si="104"/>
        <v>46700</v>
      </c>
      <c r="L327" s="147">
        <f>IF(t&lt;Tvie,1-EXP((T0-t)*PertePVj)+'2026'!Pspv,1-EXP((T0-t)*PertePVj)+Pspv)</f>
        <v>7.5794985915052293E-2</v>
      </c>
      <c r="M327" s="870"/>
      <c r="N327" s="870"/>
      <c r="O327" s="48">
        <f>IF(t&lt;Tnet,'2026'!Resal+('2026'!Salim-'2026'!Resal)*(1-EXP(('2026'!Tnet-t)/('2026'!Tau_j))),Resal+(Salim-Resal)*(1-EXP((Tnet-t)/(Tau_j))))*Salcycl</f>
        <v>7.32222764310968E-2</v>
      </c>
      <c r="P327" s="171">
        <f>(INDEX(Models!$BJ327:$BT327,,T327)*(1-R327)+INDEX(Models!$BJ327:$BT327,,T327+1)*R327-ERP_i)*Q327*Ramure*Pc/MaxiM</f>
        <v>3.3128449359106936E-2</v>
      </c>
      <c r="Q327" s="307">
        <f t="shared" si="105"/>
        <v>1</v>
      </c>
      <c r="R327" s="179">
        <f t="shared" si="106"/>
        <v>0.26366859631493311</v>
      </c>
      <c r="S327" s="837">
        <f t="shared" si="107"/>
        <v>-1</v>
      </c>
      <c r="T327" s="178">
        <f t="shared" si="108"/>
        <v>5</v>
      </c>
      <c r="U327" s="253">
        <f t="shared" si="109"/>
        <v>-0.73633140368506689</v>
      </c>
      <c r="V327" s="385">
        <f t="shared" si="110"/>
        <v>20.471218366018736</v>
      </c>
      <c r="W327" s="404">
        <f t="shared" si="111"/>
        <v>7.846479859948551</v>
      </c>
      <c r="X327" s="157">
        <f t="shared" si="112"/>
        <v>46700</v>
      </c>
      <c r="Y327" s="387">
        <f t="shared" si="113"/>
        <v>7.2191052335024208</v>
      </c>
      <c r="Z327" s="387">
        <f t="shared" si="114"/>
        <v>7.8111513392404959</v>
      </c>
      <c r="AA327" s="388">
        <f t="shared" si="115"/>
        <v>8.9426698262921853</v>
      </c>
      <c r="AB327" s="199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0.12653027664343952</v>
      </c>
      <c r="AD327" s="233">
        <f>(INDEX(Models!$BJ327:$BT327,,AH327)*(1-AF327)+INDEX(Models!$BJ327:$BT327,,AH327+1)*AF327-ERP_i)*AE327*Ramure*Pc/MaxiM</f>
        <v>0.23240444992367454</v>
      </c>
      <c r="AE327" s="307">
        <f t="shared" si="117"/>
        <v>1</v>
      </c>
      <c r="AF327" s="179">
        <f t="shared" si="118"/>
        <v>0.19865118923850389</v>
      </c>
      <c r="AG327" s="837">
        <f t="shared" si="124"/>
        <v>4</v>
      </c>
      <c r="AH327" s="178">
        <f t="shared" si="119"/>
        <v>10</v>
      </c>
      <c r="AI327" s="227">
        <f t="shared" si="120"/>
        <v>4.1986511892385039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46701</v>
      </c>
      <c r="B328" s="1139">
        <f>IF(t&gt;Tmaj,'2026'!Wh/'2026'!Env_an*'2027'!Env_an,0.001*'[13]mon-tableau (3)'!$B$211)</f>
        <v>17.651936004598575</v>
      </c>
      <c r="C328" s="866"/>
      <c r="D328" s="395">
        <f t="shared" si="102"/>
        <v>19.100033576397085</v>
      </c>
      <c r="E328" s="387">
        <f t="shared" si="125"/>
        <v>20.611409645246741</v>
      </c>
      <c r="F328" s="387">
        <f t="shared" si="103"/>
        <v>21.205205894472847</v>
      </c>
      <c r="G328" s="110">
        <f t="shared" si="126"/>
        <v>0.86787603748613296</v>
      </c>
      <c r="H328" s="414" t="b">
        <f>Wh_hp&gt;='2026'!Maxi_hp</f>
        <v>0</v>
      </c>
      <c r="I328" s="392">
        <f>IF(H328,Wh_hp,'2026'!Maxi_hp)</f>
        <v>21.317221339647375</v>
      </c>
      <c r="J328" s="85">
        <f>IF(H328,An,'2026'!An_max)</f>
        <v>2025</v>
      </c>
      <c r="K328" s="199">
        <f t="shared" si="104"/>
        <v>46701</v>
      </c>
      <c r="L328" s="147">
        <f>IF(t&lt;Tvie,1-EXP((T0-t)*PertePVj)+'2026'!Pspv,1-EXP((T0-t)*PertePVj)+Pspv)</f>
        <v>7.5816493515906691E-2</v>
      </c>
      <c r="M328" s="870"/>
      <c r="N328" s="870"/>
      <c r="O328" s="48">
        <f>IF(t&lt;Tnet,'2026'!Resal+('2026'!Salim-'2026'!Resal)*(1-EXP(('2026'!Tnet-t)/('2026'!Tau_j))),Resal+(Salim-Resal)*(1-EXP((Tnet-t)/(Tau_j))))*Salcycl</f>
        <v>7.3327156893327666E-2</v>
      </c>
      <c r="P328" s="171">
        <f>(INDEX(Models!$BJ328:$BT328,,T328)*(1-R328)+INDEX(Models!$BJ328:$BT328,,T328+1)*R328-ERP_i)*Q328*Ramure*Pc/MaxiM</f>
        <v>3.4183185942087718E-2</v>
      </c>
      <c r="Q328" s="307">
        <f t="shared" si="105"/>
        <v>1</v>
      </c>
      <c r="R328" s="179">
        <f t="shared" si="106"/>
        <v>0.26372307802758232</v>
      </c>
      <c r="S328" s="837">
        <f t="shared" si="107"/>
        <v>-1</v>
      </c>
      <c r="T328" s="178">
        <f t="shared" si="108"/>
        <v>5</v>
      </c>
      <c r="U328" s="253">
        <f t="shared" si="109"/>
        <v>-0.73627692197241768</v>
      </c>
      <c r="V328" s="385">
        <f t="shared" si="110"/>
        <v>20.209901995656491</v>
      </c>
      <c r="W328" s="404">
        <f t="shared" si="111"/>
        <v>17.651936004598575</v>
      </c>
      <c r="X328" s="157">
        <f t="shared" si="112"/>
        <v>46701</v>
      </c>
      <c r="Y328" s="387">
        <f t="shared" si="113"/>
        <v>13.788229277260722</v>
      </c>
      <c r="Z328" s="387">
        <f t="shared" si="114"/>
        <v>14.919363070777806</v>
      </c>
      <c r="AA328" s="388">
        <f t="shared" si="115"/>
        <v>17.079247218422033</v>
      </c>
      <c r="AB328" s="199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0.12646249099986859</v>
      </c>
      <c r="AD328" s="233">
        <f>(INDEX(Models!$BJ328:$BT328,,AH328)*(1-AF328)+INDEX(Models!$BJ328:$BT328,,AH328+1)*AF328-ERP_i)*AE328*Ramure*Pc/MaxiM</f>
        <v>0.23751987789857321</v>
      </c>
      <c r="AE328" s="307">
        <f t="shared" si="117"/>
        <v>1</v>
      </c>
      <c r="AF328" s="179">
        <f t="shared" si="118"/>
        <v>0.19870567095115277</v>
      </c>
      <c r="AG328" s="837">
        <f t="shared" si="124"/>
        <v>4</v>
      </c>
      <c r="AH328" s="178">
        <f t="shared" si="119"/>
        <v>10</v>
      </c>
      <c r="AI328" s="227">
        <f t="shared" si="120"/>
        <v>4.1987056709511528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46702</v>
      </c>
      <c r="B329" s="1139">
        <f>IF(t&gt;Tmaj,'2026'!Wh/'2026'!Env_an*'2027'!Env_an,0.001*'[13]mon-tableau (3)'!$B$212)</f>
        <v>18.191690234576086</v>
      </c>
      <c r="C329" s="866"/>
      <c r="D329" s="395">
        <f t="shared" si="102"/>
        <v>19.68452527447204</v>
      </c>
      <c r="E329" s="387">
        <f t="shared" si="125"/>
        <v>21.244564176495533</v>
      </c>
      <c r="F329" s="387">
        <f t="shared" si="103"/>
        <v>21.91826302466761</v>
      </c>
      <c r="G329" s="110">
        <f t="shared" si="126"/>
        <v>0.90738448198769028</v>
      </c>
      <c r="H329" s="414" t="b">
        <f>Wh_hp&gt;='2026'!Maxi_hp</f>
        <v>0</v>
      </c>
      <c r="I329" s="392">
        <f>IF(H329,Wh_hp,'2026'!Maxi_hp)</f>
        <v>22.000992490342256</v>
      </c>
      <c r="J329" s="85">
        <f>IF(H329,An,'2026'!An_max)</f>
        <v>2025</v>
      </c>
      <c r="K329" s="199">
        <f t="shared" si="104"/>
        <v>46702</v>
      </c>
      <c r="L329" s="147">
        <f>IF(t&lt;Tvie,1-EXP((T0-t)*PertePVj)+'2026'!Pspv,1-EXP((T0-t)*PertePVj)+Pspv)</f>
        <v>7.5838000616247792E-2</v>
      </c>
      <c r="M329" s="870"/>
      <c r="N329" s="870"/>
      <c r="O329" s="48">
        <f>IF(t&lt;Tnet,'2026'!Resal+('2026'!Salim-'2026'!Resal)*(1-EXP(('2026'!Tnet-t)/('2026'!Tau_j))),Resal+(Salim-Resal)*(1-EXP((Tnet-t)/(Tau_j))))*Salcycl</f>
        <v>7.3432379646059309E-2</v>
      </c>
      <c r="P329" s="171">
        <f>(INDEX(Models!$BJ329:$BT329,,T329)*(1-R329)+INDEX(Models!$BJ329:$BT329,,T329+1)*R329-ERP_i)*Q329*Ramure*Pc/MaxiM</f>
        <v>3.518158224995873E-2</v>
      </c>
      <c r="Q329" s="307">
        <f t="shared" si="105"/>
        <v>1</v>
      </c>
      <c r="R329" s="179">
        <f t="shared" si="106"/>
        <v>0.26377537412597829</v>
      </c>
      <c r="S329" s="837">
        <f t="shared" si="107"/>
        <v>-1</v>
      </c>
      <c r="T329" s="178">
        <f t="shared" si="108"/>
        <v>5</v>
      </c>
      <c r="U329" s="253">
        <f t="shared" si="109"/>
        <v>-0.73622462587402171</v>
      </c>
      <c r="V329" s="385">
        <f t="shared" si="110"/>
        <v>19.956556131887954</v>
      </c>
      <c r="W329" s="404">
        <f t="shared" si="111"/>
        <v>18.191690234576086</v>
      </c>
      <c r="X329" s="157">
        <f t="shared" si="112"/>
        <v>46702</v>
      </c>
      <c r="Y329" s="387">
        <f t="shared" si="113"/>
        <v>13.944206263469447</v>
      </c>
      <c r="Z329" s="387">
        <f t="shared" si="114"/>
        <v>15.088486945760261</v>
      </c>
      <c r="AA329" s="388">
        <f t="shared" si="115"/>
        <v>17.271549040567134</v>
      </c>
      <c r="AB329" s="199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0.12639642742404483</v>
      </c>
      <c r="AD329" s="233">
        <f>(INDEX(Models!$BJ329:$BT329,,AH329)*(1-AF329)+INDEX(Models!$BJ329:$BT329,,AH329+1)*AF329-ERP_i)*AE329*Ramure*Pc/MaxiM</f>
        <v>0.24265849743876747</v>
      </c>
      <c r="AE329" s="307">
        <f t="shared" si="117"/>
        <v>1</v>
      </c>
      <c r="AF329" s="179">
        <f t="shared" si="118"/>
        <v>0.19875796704954851</v>
      </c>
      <c r="AG329" s="837">
        <f t="shared" si="124"/>
        <v>4</v>
      </c>
      <c r="AH329" s="178">
        <f t="shared" si="119"/>
        <v>10</v>
      </c>
      <c r="AI329" s="227">
        <f t="shared" si="120"/>
        <v>4.1987579670495485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46703</v>
      </c>
      <c r="B330" s="1139">
        <f>IF(t&gt;Tmaj,'2026'!Wh/'2026'!Env_an*'2027'!Env_an,0.001*'[13]mon-tableau (3)'!$B$213)</f>
        <v>18.055594454323462</v>
      </c>
      <c r="C330" s="866"/>
      <c r="D330" s="395">
        <f t="shared" si="102"/>
        <v>19.537715959109384</v>
      </c>
      <c r="E330" s="387">
        <f t="shared" si="125"/>
        <v>21.088525942925379</v>
      </c>
      <c r="F330" s="387">
        <f t="shared" si="103"/>
        <v>21.78082950694122</v>
      </c>
      <c r="G330" s="110">
        <f t="shared" si="126"/>
        <v>0.91188883195364323</v>
      </c>
      <c r="H330" s="414" t="b">
        <f>Wh_hp&gt;='2026'!Maxi_hp</f>
        <v>0</v>
      </c>
      <c r="I330" s="392">
        <f>IF(H330,Wh_hp,'2026'!Maxi_hp)</f>
        <v>21.860455336200847</v>
      </c>
      <c r="J330" s="85">
        <f>IF(H330,An,'2026'!An_max)</f>
        <v>2025</v>
      </c>
      <c r="K330" s="199">
        <f t="shared" si="104"/>
        <v>46703</v>
      </c>
      <c r="L330" s="147">
        <f>IF(t&lt;Tvie,1-EXP((T0-t)*PertePVj)+'2026'!Pspv,1-EXP((T0-t)*PertePVj)+Pspv)</f>
        <v>7.5859507216087252E-2</v>
      </c>
      <c r="M330" s="870"/>
      <c r="N330" s="870"/>
      <c r="O330" s="48">
        <f>IF(t&lt;Tnet,'2026'!Resal+('2026'!Salim-'2026'!Resal)*(1-EXP(('2026'!Tnet-t)/('2026'!Tau_j))),Resal+(Salim-Resal)*(1-EXP((Tnet-t)/(Tau_j))))*Salcycl</f>
        <v>7.3538093084986267E-2</v>
      </c>
      <c r="P330" s="171">
        <f>(INDEX(Models!$BJ330:$BT330,,T330)*(1-R330)+INDEX(Models!$BJ330:$BT330,,T330+1)*R330-ERP_i)*Q330*Ramure*Pc/MaxiM</f>
        <v>3.6119904058832426E-2</v>
      </c>
      <c r="Q330" s="307">
        <f t="shared" si="105"/>
        <v>1</v>
      </c>
      <c r="R330" s="179">
        <f t="shared" si="106"/>
        <v>0.26382557198146683</v>
      </c>
      <c r="S330" s="837">
        <f t="shared" si="107"/>
        <v>-1</v>
      </c>
      <c r="T330" s="178">
        <f t="shared" si="108"/>
        <v>5</v>
      </c>
      <c r="U330" s="253">
        <f t="shared" si="109"/>
        <v>-0.73617442801853317</v>
      </c>
      <c r="V330" s="385">
        <f t="shared" si="110"/>
        <v>19.711564621661591</v>
      </c>
      <c r="W330" s="404">
        <f t="shared" si="111"/>
        <v>18.055594454323462</v>
      </c>
      <c r="X330" s="157">
        <f t="shared" si="112"/>
        <v>46703</v>
      </c>
      <c r="Y330" s="387">
        <f t="shared" si="113"/>
        <v>13.750749672931475</v>
      </c>
      <c r="Z330" s="387">
        <f t="shared" si="114"/>
        <v>14.879501309923388</v>
      </c>
      <c r="AA330" s="388">
        <f t="shared" si="115"/>
        <v>17.031076851468995</v>
      </c>
      <c r="AB330" s="199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0.12633232533150282</v>
      </c>
      <c r="AD330" s="233">
        <f>(INDEX(Models!$BJ330:$BT330,,AH330)*(1-AF330)+INDEX(Models!$BJ330:$BT330,,AH330+1)*AF330-ERP_i)*AE330*Ramure*Pc/MaxiM</f>
        <v>0.24781124803644092</v>
      </c>
      <c r="AE330" s="307">
        <f t="shared" si="117"/>
        <v>1</v>
      </c>
      <c r="AF330" s="179">
        <f t="shared" si="118"/>
        <v>0.19880816490503683</v>
      </c>
      <c r="AG330" s="837">
        <f t="shared" si="124"/>
        <v>4</v>
      </c>
      <c r="AH330" s="178">
        <f t="shared" si="119"/>
        <v>10</v>
      </c>
      <c r="AI330" s="227">
        <f t="shared" si="120"/>
        <v>4.1988081649050368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46704</v>
      </c>
      <c r="B331" s="1139">
        <f>IF(t&gt;Tmaj,'2026'!Wh/'2026'!Env_an*'2027'!Env_an,0.001*'[13]mon-tableau (3)'!$B$214)</f>
        <v>16.019294058654097</v>
      </c>
      <c r="C331" s="866"/>
      <c r="D331" s="395">
        <f t="shared" si="102"/>
        <v>17.334666086805647</v>
      </c>
      <c r="E331" s="387">
        <f t="shared" si="125"/>
        <v>18.712756607555107</v>
      </c>
      <c r="F331" s="387">
        <f t="shared" si="103"/>
        <v>19.244226816151105</v>
      </c>
      <c r="G331" s="110">
        <f t="shared" si="126"/>
        <v>0.81462512128210562</v>
      </c>
      <c r="H331" s="414" t="b">
        <f>Wh_hp&gt;='2026'!Maxi_hp</f>
        <v>0</v>
      </c>
      <c r="I331" s="392">
        <f>IF(H331,Wh_hp,'2026'!Maxi_hp)</f>
        <v>23.471862617221571</v>
      </c>
      <c r="J331" s="85">
        <f>IF(H331,An,'2026'!An_max)</f>
        <v>2020</v>
      </c>
      <c r="K331" s="199">
        <f t="shared" si="104"/>
        <v>46704</v>
      </c>
      <c r="L331" s="147">
        <f>IF(t&lt;Tvie,1-EXP((T0-t)*PertePVj)+'2026'!Pspv,1-EXP((T0-t)*PertePVj)+Pspv)</f>
        <v>7.5881013315436729E-2</v>
      </c>
      <c r="M331" s="870"/>
      <c r="N331" s="870"/>
      <c r="O331" s="48">
        <f>IF(t&lt;Tnet,'2026'!Resal+('2026'!Salim-'2026'!Resal)*(1-EXP(('2026'!Tnet-t)/('2026'!Tau_j))),Resal+(Salim-Resal)*(1-EXP((Tnet-t)/(Tau_j))))*Salcycl</f>
        <v>7.3644442112450095E-2</v>
      </c>
      <c r="P331" s="171">
        <f>(INDEX(Models!$BJ331:$BT331,,T331)*(1-R331)+INDEX(Models!$BJ331:$BT331,,T331+1)*R331-ERP_i)*Q331*Ramure*Pc/MaxiM</f>
        <v>3.6994913389182107E-2</v>
      </c>
      <c r="Q331" s="307">
        <f t="shared" si="105"/>
        <v>1</v>
      </c>
      <c r="R331" s="179">
        <f t="shared" si="106"/>
        <v>0.26387375549691772</v>
      </c>
      <c r="S331" s="837">
        <f t="shared" si="107"/>
        <v>-1</v>
      </c>
      <c r="T331" s="178">
        <f t="shared" si="108"/>
        <v>5</v>
      </c>
      <c r="U331" s="253">
        <f t="shared" si="109"/>
        <v>-0.73612624450308228</v>
      </c>
      <c r="V331" s="385">
        <f t="shared" si="110"/>
        <v>19.474972544996341</v>
      </c>
      <c r="W331" s="404">
        <f t="shared" si="111"/>
        <v>16.019294058654097</v>
      </c>
      <c r="X331" s="157">
        <f t="shared" si="112"/>
        <v>46704</v>
      </c>
      <c r="Y331" s="387">
        <f t="shared" si="113"/>
        <v>12.603996529060012</v>
      </c>
      <c r="Z331" s="387">
        <f t="shared" si="114"/>
        <v>13.638932551617655</v>
      </c>
      <c r="AA331" s="388">
        <f t="shared" si="115"/>
        <v>15.610015738998721</v>
      </c>
      <c r="AB331" s="199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0.12627041640045764</v>
      </c>
      <c r="AD331" s="233">
        <f>(INDEX(Models!$BJ331:$BT331,,AH331)*(1-AF331)+INDEX(Models!$BJ331:$BT331,,AH331+1)*AF331-ERP_i)*AE331*Ramure*Pc/MaxiM</f>
        <v>0.25297245614656799</v>
      </c>
      <c r="AE331" s="307">
        <f t="shared" si="117"/>
        <v>1</v>
      </c>
      <c r="AF331" s="179">
        <f t="shared" si="118"/>
        <v>0.19885634842048816</v>
      </c>
      <c r="AG331" s="837">
        <f t="shared" si="124"/>
        <v>4</v>
      </c>
      <c r="AH331" s="178">
        <f t="shared" si="119"/>
        <v>10</v>
      </c>
      <c r="AI331" s="227">
        <f t="shared" si="120"/>
        <v>4.1988563484204882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46705</v>
      </c>
      <c r="B332" s="1139">
        <f>IF(t&gt;Tmaj,'2026'!Wh/'2026'!Env_an*'2027'!Env_an,0.001*'[13]mon-tableau (3)'!$B$215)</f>
        <v>9.2470027243848545</v>
      </c>
      <c r="C332" s="866"/>
      <c r="D332" s="395">
        <f t="shared" si="102"/>
        <v>10.006523027766345</v>
      </c>
      <c r="E332" s="387">
        <f t="shared" si="125"/>
        <v>10.803282009747093</v>
      </c>
      <c r="F332" s="387">
        <f t="shared" si="103"/>
        <v>10.90959113356195</v>
      </c>
      <c r="G332" s="110">
        <f t="shared" si="126"/>
        <v>0.46684024874150615</v>
      </c>
      <c r="H332" s="414" t="b">
        <f>Wh_hp&gt;='2026'!Maxi_hp</f>
        <v>0</v>
      </c>
      <c r="I332" s="392">
        <f>IF(H332,Wh_hp,'2026'!Maxi_hp)</f>
        <v>17.097007227824616</v>
      </c>
      <c r="J332" s="85">
        <f>IF(H332,An,'2026'!An_max)</f>
        <v>2020</v>
      </c>
      <c r="K332" s="199">
        <f t="shared" si="104"/>
        <v>46705</v>
      </c>
      <c r="L332" s="147">
        <f>IF(t&lt;Tvie,1-EXP((T0-t)*PertePVj)+'2026'!Pspv,1-EXP((T0-t)*PertePVj)+Pspv)</f>
        <v>7.5902518914307771E-2</v>
      </c>
      <c r="M332" s="870"/>
      <c r="N332" s="870"/>
      <c r="O332" s="48">
        <f>IF(t&lt;Tnet,'2026'!Resal+('2026'!Salim-'2026'!Resal)*(1-EXP(('2026'!Tnet-t)/('2026'!Tau_j))),Resal+(Salim-Resal)*(1-EXP((Tnet-t)/(Tau_j))))*Salcycl</f>
        <v>7.3751567464580073E-2</v>
      </c>
      <c r="P332" s="171">
        <f>(INDEX(Models!$BJ332:$BT332,,T332)*(1-R332)+INDEX(Models!$BJ332:$BT332,,T332+1)*R332-ERP_i)*Q332*Ramure*Pc/MaxiM</f>
        <v>3.780048429011619E-2</v>
      </c>
      <c r="Q332" s="307">
        <f t="shared" si="105"/>
        <v>1</v>
      </c>
      <c r="R332" s="179">
        <f t="shared" si="106"/>
        <v>0.26392000524250414</v>
      </c>
      <c r="S332" s="837">
        <f t="shared" si="107"/>
        <v>-1</v>
      </c>
      <c r="T332" s="178">
        <f t="shared" si="108"/>
        <v>5</v>
      </c>
      <c r="U332" s="253">
        <f t="shared" si="109"/>
        <v>-0.73607999475749586</v>
      </c>
      <c r="V332" s="385">
        <f t="shared" si="110"/>
        <v>19.24644793578716</v>
      </c>
      <c r="W332" s="404">
        <f t="shared" si="111"/>
        <v>9.2470027243848545</v>
      </c>
      <c r="X332" s="157">
        <f t="shared" si="112"/>
        <v>46705</v>
      </c>
      <c r="Y332" s="387">
        <f t="shared" si="113"/>
        <v>8.2230633800168569</v>
      </c>
      <c r="Z332" s="387">
        <f t="shared" si="114"/>
        <v>8.8984804615589326</v>
      </c>
      <c r="AA332" s="388">
        <f t="shared" si="115"/>
        <v>10.183785424858195</v>
      </c>
      <c r="AB332" s="199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0.12621092351002272</v>
      </c>
      <c r="AD332" s="233">
        <f>(INDEX(Models!$BJ332:$BT332,,AH332)*(1-AF332)+INDEX(Models!$BJ332:$BT332,,AH332+1)*AF332-ERP_i)*AE332*Ramure*Pc/MaxiM</f>
        <v>0.25807575403700855</v>
      </c>
      <c r="AE332" s="307">
        <f t="shared" si="117"/>
        <v>1</v>
      </c>
      <c r="AF332" s="179">
        <f t="shared" si="118"/>
        <v>0.19890259816607436</v>
      </c>
      <c r="AG332" s="837">
        <f t="shared" si="124"/>
        <v>4</v>
      </c>
      <c r="AH332" s="178">
        <f t="shared" si="119"/>
        <v>10</v>
      </c>
      <c r="AI332" s="227">
        <f t="shared" si="120"/>
        <v>4.1989025981660744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46706</v>
      </c>
      <c r="B333" s="1139">
        <f>IF(t&gt;Tmaj,'2026'!Wh/'2026'!Env_an*'2027'!Env_an,0.001*'[13]mon-tableau (3)'!$B$216)</f>
        <v>11.26794046629538</v>
      </c>
      <c r="C333" s="866"/>
      <c r="D333" s="395">
        <f t="shared" si="102"/>
        <v>12.193738133119036</v>
      </c>
      <c r="E333" s="387">
        <f t="shared" si="125"/>
        <v>13.166187545385814</v>
      </c>
      <c r="F333" s="387">
        <f t="shared" si="103"/>
        <v>13.381724452940359</v>
      </c>
      <c r="G333" s="110">
        <f t="shared" si="126"/>
        <v>0.57874859059477013</v>
      </c>
      <c r="H333" s="414" t="b">
        <f>Wh_hp&gt;='2026'!Maxi_hp</f>
        <v>0</v>
      </c>
      <c r="I333" s="392">
        <f>IF(H333,Wh_hp,'2026'!Maxi_hp)</f>
        <v>21.895850327793376</v>
      </c>
      <c r="J333" s="85">
        <f>IF(H333,An,'2026'!An_max)</f>
        <v>2020</v>
      </c>
      <c r="K333" s="199">
        <f t="shared" si="104"/>
        <v>46706</v>
      </c>
      <c r="L333" s="147">
        <f>IF(t&lt;Tvie,1-EXP((T0-t)*PertePVj)+'2026'!Pspv,1-EXP((T0-t)*PertePVj)+Pspv)</f>
        <v>7.5924024012712255E-2</v>
      </c>
      <c r="M333" s="870"/>
      <c r="N333" s="870"/>
      <c r="O333" s="48">
        <f>IF(t&lt;Tnet,'2026'!Resal+('2026'!Salim-'2026'!Resal)*(1-EXP(('2026'!Tnet-t)/('2026'!Tau_j))),Resal+(Salim-Resal)*(1-EXP((Tnet-t)/(Tau_j))))*Salcycl</f>
        <v>7.385960506141967E-2</v>
      </c>
      <c r="P333" s="171">
        <f>(INDEX(Models!$BJ333:$BT333,,T333)*(1-R333)+INDEX(Models!$BJ333:$BT333,,T333+1)*R333-ERP_i)*Q333*Ramure*Pc/MaxiM</f>
        <v>3.8575973269532937E-2</v>
      </c>
      <c r="Q333" s="307">
        <f t="shared" si="105"/>
        <v>1</v>
      </c>
      <c r="R333" s="179">
        <f t="shared" si="106"/>
        <v>0.26396439858631726</v>
      </c>
      <c r="S333" s="837">
        <f t="shared" si="107"/>
        <v>-1</v>
      </c>
      <c r="T333" s="178">
        <f t="shared" si="108"/>
        <v>5</v>
      </c>
      <c r="U333" s="253">
        <f t="shared" si="109"/>
        <v>-0.73603560141368274</v>
      </c>
      <c r="V333" s="385">
        <f t="shared" si="110"/>
        <v>19.024866347638135</v>
      </c>
      <c r="W333" s="404">
        <f t="shared" si="111"/>
        <v>11.26794046629538</v>
      </c>
      <c r="X333" s="157">
        <f t="shared" si="112"/>
        <v>46706</v>
      </c>
      <c r="Y333" s="387">
        <f t="shared" si="113"/>
        <v>9.6184441747312093</v>
      </c>
      <c r="Z333" s="387">
        <f t="shared" si="114"/>
        <v>10.408715760037817</v>
      </c>
      <c r="AA333" s="388">
        <f t="shared" si="115"/>
        <v>11.911385383113746</v>
      </c>
      <c r="AB333" s="199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0.12615405972895474</v>
      </c>
      <c r="AD333" s="233">
        <f>(INDEX(Models!$BJ333:$BT333,,AH333)*(1-AF333)+INDEX(Models!$BJ333:$BT333,,AH333+1)*AF333-ERP_i)*AE333*Ramure*Pc/MaxiM</f>
        <v>0.26315567620560365</v>
      </c>
      <c r="AE333" s="307">
        <f t="shared" si="117"/>
        <v>1</v>
      </c>
      <c r="AF333" s="179">
        <f t="shared" si="118"/>
        <v>0.19894699150988782</v>
      </c>
      <c r="AG333" s="837">
        <f t="shared" si="124"/>
        <v>4</v>
      </c>
      <c r="AH333" s="178">
        <f t="shared" si="119"/>
        <v>10</v>
      </c>
      <c r="AI333" s="227">
        <f t="shared" si="120"/>
        <v>4.1989469915098878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46707</v>
      </c>
      <c r="B334" s="1139">
        <f>IF(t&gt;Tmaj,'2026'!Wh/'2026'!Env_an*'2027'!Env_an,0.001*'[13]mon-tableau (3)'!$B$217)</f>
        <v>17.659020260260622</v>
      </c>
      <c r="C334" s="866"/>
      <c r="D334" s="395">
        <f t="shared" si="102"/>
        <v>19.110367199143415</v>
      </c>
      <c r="E334" s="387">
        <f t="shared" si="125"/>
        <v>20.636847693518291</v>
      </c>
      <c r="F334" s="387">
        <f t="shared" si="103"/>
        <v>21.404925144599336</v>
      </c>
      <c r="G334" s="110">
        <f t="shared" si="126"/>
        <v>0.93546674498790006</v>
      </c>
      <c r="H334" s="414" t="b">
        <f>Wh_hp&gt;='2026'!Maxi_hp</f>
        <v>0</v>
      </c>
      <c r="I334" s="392">
        <f>IF(H334,Wh_hp,'2026'!Maxi_hp)</f>
        <v>21.46541573827</v>
      </c>
      <c r="J334" s="85">
        <f>IF(H334,An,'2026'!An_max)</f>
        <v>2025</v>
      </c>
      <c r="K334" s="199">
        <f t="shared" si="104"/>
        <v>46707</v>
      </c>
      <c r="L334" s="147">
        <f>IF(t&lt;Tvie,1-EXP((T0-t)*PertePVj)+'2026'!Pspv,1-EXP((T0-t)*PertePVj)+Pspv)</f>
        <v>7.5945528610661506E-2</v>
      </c>
      <c r="M334" s="870"/>
      <c r="N334" s="870"/>
      <c r="O334" s="48">
        <f>IF(t&lt;Tnet,'2026'!Resal+('2026'!Salim-'2026'!Resal)*(1-EXP(('2026'!Tnet-t)/('2026'!Tau_j))),Resal+(Salim-Resal)*(1-EXP((Tnet-t)/(Tau_j))))*Salcycl</f>
        <v>7.3968685384750904E-2</v>
      </c>
      <c r="P334" s="171">
        <f>(INDEX(Models!$BJ334:$BT334,,T334)*(1-R334)+INDEX(Models!$BJ334:$BT334,,T334+1)*R334-ERP_i)*Q334*Ramure*Pc/MaxiM</f>
        <v>3.9320158843381699E-2</v>
      </c>
      <c r="Q334" s="307">
        <f t="shared" si="105"/>
        <v>1</v>
      </c>
      <c r="R334" s="179">
        <f t="shared" si="106"/>
        <v>0.26400700982000269</v>
      </c>
      <c r="S334" s="837">
        <f t="shared" si="107"/>
        <v>-1</v>
      </c>
      <c r="T334" s="178">
        <f t="shared" si="108"/>
        <v>5</v>
      </c>
      <c r="U334" s="253">
        <f t="shared" si="109"/>
        <v>-0.73599299017999731</v>
      </c>
      <c r="V334" s="385">
        <f t="shared" si="110"/>
        <v>18.809934512332042</v>
      </c>
      <c r="W334" s="404">
        <f t="shared" si="111"/>
        <v>17.659020260260622</v>
      </c>
      <c r="X334" s="157">
        <f t="shared" si="112"/>
        <v>46707</v>
      </c>
      <c r="Y334" s="387">
        <f t="shared" si="113"/>
        <v>13.054325995199031</v>
      </c>
      <c r="Z334" s="387">
        <f t="shared" si="114"/>
        <v>14.127225612113032</v>
      </c>
      <c r="AA334" s="388">
        <f t="shared" si="115"/>
        <v>16.165723829319063</v>
      </c>
      <c r="AB334" s="199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0.12610002736214609</v>
      </c>
      <c r="AD334" s="233">
        <f>(INDEX(Models!$BJ334:$BT334,,AH334)*(1-AF334)+INDEX(Models!$BJ334:$BT334,,AH334+1)*AF334-ERP_i)*AE334*Ramure*Pc/MaxiM</f>
        <v>0.26821022754844248</v>
      </c>
      <c r="AE334" s="307">
        <f t="shared" si="117"/>
        <v>1</v>
      </c>
      <c r="AF334" s="179">
        <f t="shared" si="118"/>
        <v>0.19898960274357336</v>
      </c>
      <c r="AG334" s="837">
        <f t="shared" si="124"/>
        <v>4</v>
      </c>
      <c r="AH334" s="178">
        <f t="shared" si="119"/>
        <v>10</v>
      </c>
      <c r="AI334" s="227">
        <f t="shared" si="120"/>
        <v>4.1989896027435734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46708</v>
      </c>
      <c r="B335" s="1139">
        <f>IF(t&gt;Tmaj,'2026'!Wh/'2026'!Env_an*'2027'!Env_an,0.001*'[13]mon-tableau (3)'!$B$218)</f>
        <v>11.594825341133909</v>
      </c>
      <c r="C335" s="866"/>
      <c r="D335" s="395">
        <f t="shared" ref="D335:D379" si="127">Wh/(1-Ppv)</f>
        <v>12.548064572973159</v>
      </c>
      <c r="E335" s="387">
        <f t="shared" si="125"/>
        <v>13.551980853090509</v>
      </c>
      <c r="F335" s="387">
        <f t="shared" ref="F335:F379" si="128">Wh_sa/(1-Pvg*MEDIAN((-Sdif+Wh/Env_an)/Csdif,0,1))</f>
        <v>13.80728928883922</v>
      </c>
      <c r="G335" s="110">
        <f t="shared" si="126"/>
        <v>0.60965197416783468</v>
      </c>
      <c r="H335" s="414" t="b">
        <f>Wh_hp&gt;='2026'!Maxi_hp</f>
        <v>0</v>
      </c>
      <c r="I335" s="392">
        <f>IF(H335,Wh_hp,'2026'!Maxi_hp)</f>
        <v>21.938135822618069</v>
      </c>
      <c r="J335" s="85">
        <f>IF(H335,An,'2026'!An_max)</f>
        <v>2018</v>
      </c>
      <c r="K335" s="199">
        <f t="shared" ref="K335:K379" si="129">t</f>
        <v>46708</v>
      </c>
      <c r="L335" s="147">
        <f>IF(t&lt;Tvie,1-EXP((T0-t)*PertePVj)+'2026'!Pspv,1-EXP((T0-t)*PertePVj)+Pspv)</f>
        <v>7.5967032708167515E-2</v>
      </c>
      <c r="M335" s="870"/>
      <c r="N335" s="870"/>
      <c r="O335" s="48">
        <f>IF(t&lt;Tnet,'2026'!Resal+('2026'!Salim-'2026'!Resal)*(1-EXP(('2026'!Tnet-t)/('2026'!Tau_j))),Resal+(Salim-Resal)*(1-EXP((Tnet-t)/(Tau_j))))*Salcycl</f>
        <v>7.4078932888132623E-2</v>
      </c>
      <c r="P335" s="171">
        <f>(INDEX(Models!$BJ335:$BT335,,T335)*(1-R335)+INDEX(Models!$BJ335:$BT335,,T335+1)*R335-ERP_i)*Q335*Ramure*Pc/MaxiM</f>
        <v>4.0031871555199494E-2</v>
      </c>
      <c r="Q335" s="307">
        <f t="shared" ref="Q335:Q379" si="130">IF(OR(t&lt;Ttai,Notai),Dd+PousD*Croivg,Dens+PousD*(Croivg-Croi_tai))</f>
        <v>1</v>
      </c>
      <c r="R335" s="179">
        <f t="shared" ref="R335:R379" si="131">(Hp_vg-S335)/(INDEX(Echel_vg,T335+1)-S335)</f>
        <v>0.26404791027959462</v>
      </c>
      <c r="S335" s="837">
        <f t="shared" ref="S335:S379" si="132">INDEX(Echel_vg,T335)</f>
        <v>-1</v>
      </c>
      <c r="T335" s="178">
        <f t="shared" ref="T335:T379" si="133">MIN(MATCH(Hp_vg,Echel_vg),10)</f>
        <v>5</v>
      </c>
      <c r="U335" s="253">
        <f t="shared" ref="U335:U379" si="134">IF(OR(t&lt;Ttai,Notai),Hdd+PousH*Croivg,Hdtf+PousH*(Croivg-Croi_tai))</f>
        <v>-0.73595208972040538</v>
      </c>
      <c r="V335" s="385">
        <f t="shared" ref="V335:V379" si="135">MaxiM*(1-Ppv)*(1-Pvg)*(1-Psa)</f>
        <v>18.601359481688025</v>
      </c>
      <c r="W335" s="404">
        <f t="shared" ref="W335:W379" si="136">Wh*(A335&gt;Tmaj)</f>
        <v>11.594825341133909</v>
      </c>
      <c r="X335" s="157">
        <f t="shared" ref="X335:X379" si="137">t</f>
        <v>46708</v>
      </c>
      <c r="Y335" s="387">
        <f t="shared" ref="Y335:Y379" si="138">Wh_pvt_s*(1-Ppv)</f>
        <v>9.7429477591764844</v>
      </c>
      <c r="Z335" s="387">
        <f t="shared" ref="Z335:Z379" si="139">Wh_sa_s*(1-Psa_s)</f>
        <v>10.543939560653598</v>
      </c>
      <c r="AA335" s="388">
        <f t="shared" ref="AA335:AA379" si="140">Wh_hp*(1-Pvg_s*MEDIAN((-Sdif+Wh/Env_an)/Csdif,0,1))</f>
        <v>12.064680704635677</v>
      </c>
      <c r="AB335" s="199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0.12604901706165803</v>
      </c>
      <c r="AD335" s="233">
        <f>(INDEX(Models!$BJ335:$BT335,,AH335)*(1-AF335)+INDEX(Models!$BJ335:$BT335,,AH335+1)*AF335-ERP_i)*AE335*Ramure*Pc/MaxiM</f>
        <v>0.27323767351927897</v>
      </c>
      <c r="AE335" s="307">
        <f t="shared" ref="AE335:AE379" si="142">IF(OR(t&lt;Ttai,Notai),Dd_s+PousD*Croivg,Dens_s+PousD*(Croivg-Croi_tai))</f>
        <v>1</v>
      </c>
      <c r="AF335" s="179">
        <f t="shared" ref="AF335:AF379" si="143">(Hp_vg_s-AG335)/(INDEX(Echel_vg,AH335+1)-AG335)</f>
        <v>0.19903050320316495</v>
      </c>
      <c r="AG335" s="837">
        <f t="shared" si="124"/>
        <v>4</v>
      </c>
      <c r="AH335" s="178">
        <f t="shared" ref="AH335:AH379" si="144">MIN(MATCH(Hp_vg_s,Echel_vg),10)</f>
        <v>10</v>
      </c>
      <c r="AI335" s="227">
        <f t="shared" ref="AI335:AI379" si="145">IF(OR(t&lt;Ttai,Notai),Hdd_s+PousH*Croivg,Hdtai_s+PousH*(Croivg-Croi_tai))</f>
        <v>4.199030503203165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46709</v>
      </c>
      <c r="B336" s="1139">
        <f>IF(t&gt;Tmaj,'2026'!Wh/'2026'!Env_an*'2027'!Env_an,0.001*'[13]mon-tableau (3)'!$B$219)</f>
        <v>10.969490477976507</v>
      </c>
      <c r="C336" s="866"/>
      <c r="D336" s="395">
        <f t="shared" si="127"/>
        <v>11.871595655441144</v>
      </c>
      <c r="E336" s="387">
        <f t="shared" si="125"/>
        <v>12.822935185180681</v>
      </c>
      <c r="F336" s="387">
        <f t="shared" si="128"/>
        <v>13.047700753676835</v>
      </c>
      <c r="G336" s="110">
        <f t="shared" si="126"/>
        <v>0.58195883916214508</v>
      </c>
      <c r="H336" s="414" t="b">
        <f>Wh_hp&gt;='2026'!Maxi_hp</f>
        <v>0</v>
      </c>
      <c r="I336" s="392">
        <f>IF(H336,Wh_hp,'2026'!Maxi_hp)</f>
        <v>20.856889266520181</v>
      </c>
      <c r="J336" s="85">
        <f>IF(H336,An,'2026'!An_max)</f>
        <v>2020</v>
      </c>
      <c r="K336" s="199">
        <f t="shared" si="129"/>
        <v>46709</v>
      </c>
      <c r="L336" s="147">
        <f>IF(t&lt;Tvie,1-EXP((T0-t)*PertePVj)+'2026'!Pspv,1-EXP((T0-t)*PertePVj)+Pspv)</f>
        <v>7.5988536305241605E-2</v>
      </c>
      <c r="M336" s="870"/>
      <c r="N336" s="870"/>
      <c r="O336" s="48">
        <f>IF(t&lt;Tnet,'2026'!Resal+('2026'!Salim-'2026'!Resal)*(1-EXP(('2026'!Tnet-t)/('2026'!Tau_j))),Resal+(Salim-Resal)*(1-EXP((Tnet-t)/(Tau_j))))*Salcycl</f>
        <v>7.4190465443433634E-2</v>
      </c>
      <c r="P336" s="171">
        <f>(INDEX(Models!$BJ336:$BT336,,T336)*(1-R336)+INDEX(Models!$BJ336:$BT336,,T336+1)*R336-ERP_i)*Q336*Ramure*Pc/MaxiM</f>
        <v>4.0709995756147789E-2</v>
      </c>
      <c r="Q336" s="307">
        <f t="shared" si="130"/>
        <v>1</v>
      </c>
      <c r="R336" s="179">
        <f t="shared" si="131"/>
        <v>0.26408716846172331</v>
      </c>
      <c r="S336" s="837">
        <f t="shared" si="132"/>
        <v>-1</v>
      </c>
      <c r="T336" s="178">
        <f t="shared" si="133"/>
        <v>5</v>
      </c>
      <c r="U336" s="253">
        <f t="shared" si="134"/>
        <v>-0.73591283153827669</v>
      </c>
      <c r="V336" s="385">
        <f t="shared" si="135"/>
        <v>18.398848626953974</v>
      </c>
      <c r="W336" s="404">
        <f t="shared" si="136"/>
        <v>10.969490477976507</v>
      </c>
      <c r="X336" s="157">
        <f t="shared" si="137"/>
        <v>46709</v>
      </c>
      <c r="Y336" s="387">
        <f t="shared" si="138"/>
        <v>9.2965280746463161</v>
      </c>
      <c r="Z336" s="387">
        <f t="shared" si="139"/>
        <v>10.061052746546192</v>
      </c>
      <c r="AA336" s="388">
        <f t="shared" si="140"/>
        <v>11.511517895935018</v>
      </c>
      <c r="AB336" s="199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0.12600120700859249</v>
      </c>
      <c r="AD336" s="233">
        <f>(INDEX(Models!$BJ336:$BT336,,AH336)*(1-AF336)+INDEX(Models!$BJ336:$BT336,,AH336+1)*AF336-ERP_i)*AE336*Ramure*Pc/MaxiM</f>
        <v>0.27823655570451117</v>
      </c>
      <c r="AE336" s="307">
        <f t="shared" si="142"/>
        <v>1</v>
      </c>
      <c r="AF336" s="179">
        <f t="shared" si="143"/>
        <v>0.19906976138529409</v>
      </c>
      <c r="AG336" s="837">
        <f t="shared" ref="AG336:AG379" si="149">INDEX(Echel_vg,AH336)</f>
        <v>4</v>
      </c>
      <c r="AH336" s="178">
        <f t="shared" si="144"/>
        <v>10</v>
      </c>
      <c r="AI336" s="227">
        <f t="shared" si="145"/>
        <v>4.1990697613852941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46710</v>
      </c>
      <c r="B337" s="1139">
        <f>IF(t&gt;Tmaj,'2026'!Wh/'2026'!Env_an*'2027'!Env_an,0.001*'[13]mon-tableau (3)'!$B$220)</f>
        <v>8.0696129742943832</v>
      </c>
      <c r="C337" s="866"/>
      <c r="D337" s="395">
        <f t="shared" si="127"/>
        <v>8.7334422649688452</v>
      </c>
      <c r="E337" s="387">
        <f t="shared" si="125"/>
        <v>9.4344542334260861</v>
      </c>
      <c r="F337" s="387">
        <f t="shared" si="128"/>
        <v>9.5150241400402731</v>
      </c>
      <c r="G337" s="110">
        <f t="shared" si="126"/>
        <v>0.42863003231437991</v>
      </c>
      <c r="H337" s="414" t="b">
        <f>Wh_hp&gt;='2026'!Maxi_hp</f>
        <v>0</v>
      </c>
      <c r="I337" s="392">
        <f>IF(H337,Wh_hp,'2026'!Maxi_hp)</f>
        <v>22.157788716528341</v>
      </c>
      <c r="J337" s="85">
        <f>IF(H337,An,'2026'!An_max)</f>
        <v>2021</v>
      </c>
      <c r="K337" s="199">
        <f t="shared" si="129"/>
        <v>46710</v>
      </c>
      <c r="L337" s="147">
        <f>IF(t&lt;Tvie,1-EXP((T0-t)*PertePVj)+'2026'!Pspv,1-EXP((T0-t)*PertePVj)+Pspv)</f>
        <v>7.6010039401895657E-2</v>
      </c>
      <c r="M337" s="870"/>
      <c r="N337" s="870"/>
      <c r="O337" s="48">
        <f>IF(t&lt;Tnet,'2026'!Resal+('2026'!Salim-'2026'!Resal)*(1-EXP(('2026'!Tnet-t)/('2026'!Tau_j))),Resal+(Salim-Resal)*(1-EXP((Tnet-t)/(Tau_j))))*Salcycl</f>
        <v>7.4303393827866576E-2</v>
      </c>
      <c r="P337" s="171">
        <f>(INDEX(Models!$BJ337:$BT337,,T337)*(1-R337)+INDEX(Models!$BJ337:$BT337,,T337+1)*R337-ERP_i)*Q337*Ramure*Pc/MaxiM</f>
        <v>4.1353470937549958E-2</v>
      </c>
      <c r="Q337" s="307">
        <f t="shared" si="130"/>
        <v>1</v>
      </c>
      <c r="R337" s="179">
        <f t="shared" si="131"/>
        <v>0.26412485013536202</v>
      </c>
      <c r="S337" s="837">
        <f t="shared" si="132"/>
        <v>-1</v>
      </c>
      <c r="T337" s="178">
        <f t="shared" si="133"/>
        <v>5</v>
      </c>
      <c r="U337" s="253">
        <f t="shared" si="134"/>
        <v>-0.73587514986463798</v>
      </c>
      <c r="V337" s="385">
        <f t="shared" si="135"/>
        <v>18.202109626174781</v>
      </c>
      <c r="W337" s="404">
        <f t="shared" si="136"/>
        <v>8.0696129742943832</v>
      </c>
      <c r="X337" s="157">
        <f t="shared" si="137"/>
        <v>46710</v>
      </c>
      <c r="Y337" s="387">
        <f t="shared" si="138"/>
        <v>7.2387834367440949</v>
      </c>
      <c r="Z337" s="387">
        <f t="shared" si="139"/>
        <v>7.8342663291042536</v>
      </c>
      <c r="AA337" s="388">
        <f t="shared" si="140"/>
        <v>8.9632480294321333</v>
      </c>
      <c r="AB337" s="199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0.12595676217155921</v>
      </c>
      <c r="AD337" s="233">
        <f>(INDEX(Models!$BJ337:$BT337,,AH337)*(1-AF337)+INDEX(Models!$BJ337:$BT337,,AH337+1)*AF337-ERP_i)*AE337*Ramure*Pc/MaxiM</f>
        <v>0.2832057068569358</v>
      </c>
      <c r="AE337" s="307">
        <f t="shared" si="142"/>
        <v>1</v>
      </c>
      <c r="AF337" s="179">
        <f t="shared" si="143"/>
        <v>0.19910744305893235</v>
      </c>
      <c r="AG337" s="837">
        <f t="shared" si="149"/>
        <v>4</v>
      </c>
      <c r="AH337" s="178">
        <f t="shared" si="144"/>
        <v>10</v>
      </c>
      <c r="AI337" s="227">
        <f t="shared" si="145"/>
        <v>4.1991074430589324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46711</v>
      </c>
      <c r="B338" s="1139">
        <f>IF(t&gt;Tmaj,'2026'!Wh/'2026'!Env_an*'2027'!Env_an,0.001*'[13]mon-tableau (3)'!$B$221)</f>
        <v>13.197271796825412</v>
      </c>
      <c r="C338" s="866"/>
      <c r="D338" s="395">
        <f t="shared" si="127"/>
        <v>14.283249263038005</v>
      </c>
      <c r="E338" s="387">
        <f t="shared" si="125"/>
        <v>15.431638152765748</v>
      </c>
      <c r="F338" s="387">
        <f t="shared" si="128"/>
        <v>15.84273961412709</v>
      </c>
      <c r="G338" s="110">
        <f t="shared" si="126"/>
        <v>0.72069457001088244</v>
      </c>
      <c r="H338" s="414" t="b">
        <f>Wh_hp&gt;='2026'!Maxi_hp</f>
        <v>0</v>
      </c>
      <c r="I338" s="392">
        <f>IF(H338,Wh_hp,'2026'!Maxi_hp)</f>
        <v>22.532430665642437</v>
      </c>
      <c r="J338" s="85">
        <f>IF(H338,An,'2026'!An_max)</f>
        <v>2019</v>
      </c>
      <c r="K338" s="199">
        <f t="shared" si="129"/>
        <v>46711</v>
      </c>
      <c r="L338" s="147">
        <f>IF(t&lt;Tvie,1-EXP((T0-t)*PertePVj)+'2026'!Pspv,1-EXP((T0-t)*PertePVj)+Pspv)</f>
        <v>7.6031541998141217E-2</v>
      </c>
      <c r="M338" s="870"/>
      <c r="N338" s="870"/>
      <c r="O338" s="48">
        <f>IF(t&lt;Tnet,'2026'!Resal+('2026'!Salim-'2026'!Resal)*(1-EXP(('2026'!Tnet-t)/('2026'!Tau_j))),Resal+(Salim-Resal)*(1-EXP((Tnet-t)/(Tau_j))))*Salcycl</f>
        <v>7.4417821255219216E-2</v>
      </c>
      <c r="P338" s="171">
        <f>(INDEX(Models!$BJ338:$BT338,,T338)*(1-R338)+INDEX(Models!$BJ338:$BT338,,T338+1)*R338-ERP_i)*Q338*Ramure*Pc/MaxiM</f>
        <v>4.1973959935184435E-2</v>
      </c>
      <c r="Q338" s="307">
        <f t="shared" si="130"/>
        <v>1</v>
      </c>
      <c r="R338" s="179">
        <f t="shared" si="131"/>
        <v>0.26416101844927664</v>
      </c>
      <c r="S338" s="837">
        <f t="shared" si="132"/>
        <v>-1</v>
      </c>
      <c r="T338" s="178">
        <f t="shared" si="133"/>
        <v>5</v>
      </c>
      <c r="U338" s="253">
        <f t="shared" si="134"/>
        <v>-0.73583898155072336</v>
      </c>
      <c r="V338" s="385">
        <f t="shared" si="135"/>
        <v>18.010612316134729</v>
      </c>
      <c r="W338" s="404">
        <f t="shared" si="136"/>
        <v>13.197271796825412</v>
      </c>
      <c r="X338" s="157">
        <f t="shared" si="137"/>
        <v>46711</v>
      </c>
      <c r="Y338" s="387">
        <f t="shared" si="138"/>
        <v>10.516426647854809</v>
      </c>
      <c r="Z338" s="387">
        <f t="shared" si="139"/>
        <v>11.381802654386339</v>
      </c>
      <c r="AA338" s="388">
        <f t="shared" si="140"/>
        <v>13.02140353585631</v>
      </c>
      <c r="AB338" s="199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0.12591583364689471</v>
      </c>
      <c r="AD338" s="233">
        <f>(INDEX(Models!$BJ338:$BT338,,AH338)*(1-AF338)+INDEX(Models!$BJ338:$BT338,,AH338+1)*AF338-ERP_i)*AE338*Ramure*Pc/MaxiM</f>
        <v>0.28806185003788959</v>
      </c>
      <c r="AE338" s="307">
        <f t="shared" si="142"/>
        <v>1</v>
      </c>
      <c r="AF338" s="179">
        <f t="shared" si="143"/>
        <v>0.19914361137284686</v>
      </c>
      <c r="AG338" s="837">
        <f t="shared" si="149"/>
        <v>4</v>
      </c>
      <c r="AH338" s="178">
        <f t="shared" si="144"/>
        <v>10</v>
      </c>
      <c r="AI338" s="227">
        <f t="shared" si="145"/>
        <v>4.1991436113728469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46712</v>
      </c>
      <c r="B339" s="1139">
        <f>IF(t&gt;Tmaj,'2026'!Wh/'2026'!Env_an*'2027'!Env_an,0.001*'[13]mon-tableau (3)'!$B$222)</f>
        <v>3.1510154549637566</v>
      </c>
      <c r="C339" s="866"/>
      <c r="D339" s="395">
        <f t="shared" si="127"/>
        <v>3.4103856664302912</v>
      </c>
      <c r="E339" s="387">
        <f t="shared" si="125"/>
        <v>3.6850463309412267</v>
      </c>
      <c r="F339" s="387">
        <f t="shared" si="128"/>
        <v>3.6850463309412267</v>
      </c>
      <c r="G339" s="110">
        <f t="shared" si="126"/>
        <v>0.16925846789078405</v>
      </c>
      <c r="H339" s="414" t="b">
        <f>Wh_hp&gt;='2026'!Maxi_hp</f>
        <v>0</v>
      </c>
      <c r="I339" s="392">
        <f>IF(H339,Wh_hp,'2026'!Maxi_hp)</f>
        <v>21.71388989490131</v>
      </c>
      <c r="J339" s="85">
        <f>IF(H339,An,'2026'!An_max)</f>
        <v>2019</v>
      </c>
      <c r="K339" s="199">
        <f t="shared" si="129"/>
        <v>46712</v>
      </c>
      <c r="L339" s="147">
        <f>IF(t&lt;Tvie,1-EXP((T0-t)*PertePVj)+'2026'!Pspv,1-EXP((T0-t)*PertePVj)+Pspv)</f>
        <v>7.6053044093990052E-2</v>
      </c>
      <c r="M339" s="870"/>
      <c r="N339" s="870"/>
      <c r="O339" s="48">
        <f>IF(t&lt;Tnet,'2026'!Resal+('2026'!Salim-'2026'!Resal)*(1-EXP(('2026'!Tnet-t)/('2026'!Tau_j))),Resal+(Salim-Resal)*(1-EXP((Tnet-t)/(Tau_j))))*Salcycl</f>
        <v>7.4533842954637303E-2</v>
      </c>
      <c r="P339" s="171">
        <f>(INDEX(Models!$BJ339:$BT339,,T339)*(1-R339)+INDEX(Models!$BJ339:$BT339,,T339+1)*R339-ERP_i)*Q339*Ramure*Pc/MaxiM</f>
        <v>4.2604708307346799E-2</v>
      </c>
      <c r="Q339" s="307">
        <f t="shared" si="130"/>
        <v>1</v>
      </c>
      <c r="R339" s="179">
        <f t="shared" si="131"/>
        <v>0.26419573403533581</v>
      </c>
      <c r="S339" s="837">
        <f t="shared" si="132"/>
        <v>-1</v>
      </c>
      <c r="T339" s="178">
        <f t="shared" si="133"/>
        <v>5</v>
      </c>
      <c r="U339" s="253">
        <f t="shared" si="134"/>
        <v>-0.73580426596466419</v>
      </c>
      <c r="V339" s="385">
        <f t="shared" si="135"/>
        <v>17.823435354381722</v>
      </c>
      <c r="W339" s="404">
        <f t="shared" si="136"/>
        <v>3.1510154549637566</v>
      </c>
      <c r="X339" s="157">
        <f t="shared" si="137"/>
        <v>46712</v>
      </c>
      <c r="Y339" s="387">
        <f t="shared" si="138"/>
        <v>2.9761976189193864</v>
      </c>
      <c r="Z339" s="387">
        <f t="shared" si="139"/>
        <v>3.2211780123253582</v>
      </c>
      <c r="AA339" s="388">
        <f t="shared" si="140"/>
        <v>3.6850463309412267</v>
      </c>
      <c r="AB339" s="199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0.12587855808515389</v>
      </c>
      <c r="AD339" s="233">
        <f>(INDEX(Models!$BJ339:$BT339,,AH339)*(1-AF339)+INDEX(Models!$BJ339:$BT339,,AH339+1)*AF339-ERP_i)*AE339*Ramure*Pc/MaxiM</f>
        <v>0.29278581840161</v>
      </c>
      <c r="AE339" s="307">
        <f t="shared" si="142"/>
        <v>1</v>
      </c>
      <c r="AF339" s="179">
        <f t="shared" si="143"/>
        <v>0.19917832695890603</v>
      </c>
      <c r="AG339" s="837">
        <f t="shared" si="149"/>
        <v>4</v>
      </c>
      <c r="AH339" s="178">
        <f t="shared" si="144"/>
        <v>10</v>
      </c>
      <c r="AI339" s="227">
        <f t="shared" si="145"/>
        <v>4.199178326958906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46713</v>
      </c>
      <c r="B340" s="1139">
        <f>IF(t&gt;Tmaj,'2026'!Wh/'2026'!Env_an*'2027'!Env_an,0.001*'[13]mon-tableau (3)'!$B$223)</f>
        <v>8.3498212954308126</v>
      </c>
      <c r="C340" s="866"/>
      <c r="D340" s="395">
        <f t="shared" si="127"/>
        <v>9.0373322398197526</v>
      </c>
      <c r="E340" s="387">
        <f t="shared" si="125"/>
        <v>9.7664098305889411</v>
      </c>
      <c r="F340" s="387">
        <f t="shared" si="128"/>
        <v>9.8721292786999637</v>
      </c>
      <c r="G340" s="110">
        <f t="shared" si="126"/>
        <v>0.4577703090105063</v>
      </c>
      <c r="H340" s="414" t="b">
        <f>Wh_hp&gt;='2026'!Maxi_hp</f>
        <v>0</v>
      </c>
      <c r="I340" s="392">
        <f>IF(H340,Wh_hp,'2026'!Maxi_hp)</f>
        <v>22.055020906483698</v>
      </c>
      <c r="J340" s="85">
        <f>IF(H340,An,'2026'!An_max)</f>
        <v>2020</v>
      </c>
      <c r="K340" s="199">
        <f t="shared" si="129"/>
        <v>46713</v>
      </c>
      <c r="L340" s="147">
        <f>IF(t&lt;Tvie,1-EXP((T0-t)*PertePVj)+'2026'!Pspv,1-EXP((T0-t)*PertePVj)+Pspv)</f>
        <v>7.6074545689453599E-2</v>
      </c>
      <c r="M340" s="870"/>
      <c r="N340" s="870"/>
      <c r="O340" s="48">
        <f>IF(t&lt;Tnet,'2026'!Resal+('2026'!Salim-'2026'!Resal)*(1-EXP(('2026'!Tnet-t)/('2026'!Tau_j))),Resal+(Salim-Resal)*(1-EXP((Tnet-t)/(Tau_j))))*Salcycl</f>
        <v>7.4651545799939351E-2</v>
      </c>
      <c r="P340" s="171">
        <f>(INDEX(Models!$BJ340:$BT340,,T340)*(1-R340)+INDEX(Models!$BJ340:$BT340,,T340+1)*R340-ERP_i)*Q340*Ramure*Pc/MaxiM</f>
        <v>4.3246192066021011E-2</v>
      </c>
      <c r="Q340" s="307">
        <f t="shared" si="130"/>
        <v>1</v>
      </c>
      <c r="R340" s="179">
        <f t="shared" si="131"/>
        <v>0.2642290551078319</v>
      </c>
      <c r="S340" s="837">
        <f t="shared" si="132"/>
        <v>-1</v>
      </c>
      <c r="T340" s="178">
        <f t="shared" si="133"/>
        <v>5</v>
      </c>
      <c r="U340" s="253">
        <f t="shared" si="134"/>
        <v>-0.7357709448921681</v>
      </c>
      <c r="V340" s="385">
        <f t="shared" si="135"/>
        <v>17.640287072945842</v>
      </c>
      <c r="W340" s="404">
        <f t="shared" si="136"/>
        <v>8.3498212954308126</v>
      </c>
      <c r="X340" s="157">
        <f t="shared" si="137"/>
        <v>46713</v>
      </c>
      <c r="Y340" s="387">
        <f t="shared" si="138"/>
        <v>7.3861323322826271</v>
      </c>
      <c r="Z340" s="387">
        <f t="shared" si="139"/>
        <v>7.9942946671972823</v>
      </c>
      <c r="AA340" s="388">
        <f t="shared" si="140"/>
        <v>9.1451689807545211</v>
      </c>
      <c r="AB340" s="199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0.12584505720771125</v>
      </c>
      <c r="AD340" s="233">
        <f>(INDEX(Models!$BJ340:$BT340,,AH340)*(1-AF340)+INDEX(Models!$BJ340:$BT340,,AH340+1)*AF340-ERP_i)*AE340*Ramure*Pc/MaxiM</f>
        <v>0.29737446828425568</v>
      </c>
      <c r="AE340" s="307">
        <f t="shared" si="142"/>
        <v>1</v>
      </c>
      <c r="AF340" s="179">
        <f t="shared" si="143"/>
        <v>0.19921164803140279</v>
      </c>
      <c r="AG340" s="837">
        <f t="shared" si="149"/>
        <v>4</v>
      </c>
      <c r="AH340" s="178">
        <f t="shared" si="144"/>
        <v>10</v>
      </c>
      <c r="AI340" s="227">
        <f t="shared" si="145"/>
        <v>4.1992116480314028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46714</v>
      </c>
      <c r="B341" s="1139">
        <f>IF(t&gt;Tmaj,'2026'!Wh/'2026'!Env_an*'2027'!Env_an,0.001*'[13]mon-tableau (3)'!$B$224)</f>
        <v>12.415971993042618</v>
      </c>
      <c r="C341" s="866"/>
      <c r="D341" s="395">
        <f t="shared" si="127"/>
        <v>13.438596024869684</v>
      </c>
      <c r="E341" s="387">
        <f t="shared" si="125"/>
        <v>14.524616220363916</v>
      </c>
      <c r="F341" s="387">
        <f t="shared" si="128"/>
        <v>14.90896026699626</v>
      </c>
      <c r="G341" s="110">
        <f t="shared" si="126"/>
        <v>0.69784856035441378</v>
      </c>
      <c r="H341" s="414" t="b">
        <f>Wh_hp&gt;='2026'!Maxi_hp</f>
        <v>0</v>
      </c>
      <c r="I341" s="392">
        <f>IF(H341,Wh_hp,'2026'!Maxi_hp)</f>
        <v>21.439200666327118</v>
      </c>
      <c r="J341" s="85">
        <f>IF(H341,An,'2026'!An_max)</f>
        <v>2020</v>
      </c>
      <c r="K341" s="199">
        <f t="shared" si="129"/>
        <v>46714</v>
      </c>
      <c r="L341" s="147">
        <f>IF(t&lt;Tvie,1-EXP((T0-t)*PertePVj)+'2026'!Pspv,1-EXP((T0-t)*PertePVj)+Pspv)</f>
        <v>7.6096046784543625E-2</v>
      </c>
      <c r="M341" s="870"/>
      <c r="N341" s="870"/>
      <c r="O341" s="48">
        <f>IF(t&lt;Tnet,'2026'!Resal+('2026'!Salim-'2026'!Resal)*(1-EXP(('2026'!Tnet-t)/('2026'!Tau_j))),Resal+(Salim-Resal)*(1-EXP((Tnet-t)/(Tau_j))))*Salcycl</f>
        <v>7.4771007992046001E-2</v>
      </c>
      <c r="P341" s="171">
        <f>(INDEX(Models!$BJ341:$BT341,,T341)*(1-R341)+INDEX(Models!$BJ341:$BT341,,T341+1)*R341-ERP_i)*Q341*Ramure*Pc/MaxiM</f>
        <v>4.3898656927345674E-2</v>
      </c>
      <c r="Q341" s="307">
        <f t="shared" si="130"/>
        <v>1</v>
      </c>
      <c r="R341" s="179">
        <f t="shared" si="131"/>
        <v>0.26426103755896146</v>
      </c>
      <c r="S341" s="837">
        <f t="shared" si="132"/>
        <v>-1</v>
      </c>
      <c r="T341" s="178">
        <f t="shared" si="133"/>
        <v>5</v>
      </c>
      <c r="U341" s="253">
        <f t="shared" si="134"/>
        <v>-0.73573896244103854</v>
      </c>
      <c r="V341" s="385">
        <f t="shared" si="135"/>
        <v>17.460881179342707</v>
      </c>
      <c r="W341" s="404">
        <f t="shared" si="136"/>
        <v>12.415971993042618</v>
      </c>
      <c r="X341" s="157">
        <f t="shared" si="137"/>
        <v>46714</v>
      </c>
      <c r="Y341" s="387">
        <f t="shared" si="138"/>
        <v>9.907129052980201</v>
      </c>
      <c r="Z341" s="387">
        <f t="shared" si="139"/>
        <v>10.723115772478828</v>
      </c>
      <c r="AA341" s="388">
        <f t="shared" si="140"/>
        <v>12.266420881180702</v>
      </c>
      <c r="AB341" s="199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0.1258154374166007</v>
      </c>
      <c r="AD341" s="233">
        <f>(INDEX(Models!$BJ341:$BT341,,AH341)*(1-AF341)+INDEX(Models!$BJ341:$BT341,,AH341+1)*AF341-ERP_i)*AE341*Ramure*Pc/MaxiM</f>
        <v>0.30182314759745105</v>
      </c>
      <c r="AE341" s="307">
        <f t="shared" si="142"/>
        <v>1</v>
      </c>
      <c r="AF341" s="179">
        <f t="shared" si="143"/>
        <v>0.19924363048253202</v>
      </c>
      <c r="AG341" s="837">
        <f t="shared" si="149"/>
        <v>4</v>
      </c>
      <c r="AH341" s="178">
        <f t="shared" si="144"/>
        <v>10</v>
      </c>
      <c r="AI341" s="227">
        <f t="shared" si="145"/>
        <v>4.199243630482532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46715</v>
      </c>
      <c r="B342" s="1139">
        <f>IF(t&gt;Tmaj,'2026'!Wh/'2026'!Env_an*'2027'!Env_an,0.001*'[13]mon-tableau (3)'!$B$225)</f>
        <v>11.225540312896969</v>
      </c>
      <c r="C342" s="866"/>
      <c r="D342" s="395">
        <f t="shared" si="127"/>
        <v>12.150398874937039</v>
      </c>
      <c r="E342" s="387">
        <f t="shared" si="125"/>
        <v>13.134037106309473</v>
      </c>
      <c r="F342" s="387">
        <f t="shared" si="128"/>
        <v>13.432860369977455</v>
      </c>
      <c r="G342" s="110">
        <f t="shared" si="126"/>
        <v>0.63461770112067295</v>
      </c>
      <c r="H342" s="414" t="b">
        <f>Wh_hp&gt;='2026'!Maxi_hp</f>
        <v>0</v>
      </c>
      <c r="I342" s="392">
        <f>IF(H342,Wh_hp,'2026'!Maxi_hp)</f>
        <v>20.206281401845153</v>
      </c>
      <c r="J342" s="85">
        <f>IF(H342,An,'2026'!An_max)</f>
        <v>2020</v>
      </c>
      <c r="K342" s="199">
        <f t="shared" si="129"/>
        <v>46715</v>
      </c>
      <c r="L342" s="147">
        <f>IF(t&lt;Tvie,1-EXP((T0-t)*PertePVj)+'2026'!Pspv,1-EXP((T0-t)*PertePVj)+Pspv)</f>
        <v>7.6117547379271677E-2</v>
      </c>
      <c r="M342" s="870"/>
      <c r="N342" s="870"/>
      <c r="O342" s="48">
        <f>IF(t&lt;Tnet,'2026'!Resal+('2026'!Salim-'2026'!Resal)*(1-EXP(('2026'!Tnet-t)/('2026'!Tau_j))),Resal+(Salim-Resal)*(1-EXP((Tnet-t)/(Tau_j))))*Salcycl</f>
        <v>7.4892298796681703E-2</v>
      </c>
      <c r="P342" s="171">
        <f>(INDEX(Models!$BJ342:$BT342,,T342)*(1-R342)+INDEX(Models!$BJ342:$BT342,,T342+1)*R342-ERP_i)*Q342*Ramure*Pc/MaxiM</f>
        <v>4.4562562270233579E-2</v>
      </c>
      <c r="Q342" s="307">
        <f t="shared" si="130"/>
        <v>1</v>
      </c>
      <c r="R342" s="179">
        <f t="shared" si="131"/>
        <v>0.26429173505060866</v>
      </c>
      <c r="S342" s="837">
        <f t="shared" si="132"/>
        <v>-1</v>
      </c>
      <c r="T342" s="178">
        <f t="shared" si="133"/>
        <v>5</v>
      </c>
      <c r="U342" s="253">
        <f t="shared" si="134"/>
        <v>-0.73570826494939134</v>
      </c>
      <c r="V342" s="385">
        <f t="shared" si="135"/>
        <v>17.284928541373052</v>
      </c>
      <c r="W342" s="404">
        <f t="shared" si="136"/>
        <v>11.225540312896969</v>
      </c>
      <c r="X342" s="157">
        <f t="shared" si="137"/>
        <v>46715</v>
      </c>
      <c r="Y342" s="387">
        <f t="shared" si="138"/>
        <v>9.1912980589135937</v>
      </c>
      <c r="Z342" s="387">
        <f t="shared" si="139"/>
        <v>9.9485578850871406</v>
      </c>
      <c r="AA342" s="388">
        <f t="shared" si="140"/>
        <v>11.380052263856411</v>
      </c>
      <c r="AB342" s="199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0.12578978949998026</v>
      </c>
      <c r="AD342" s="233">
        <f>(INDEX(Models!$BJ342:$BT342,,AH342)*(1-AF342)+INDEX(Models!$BJ342:$BT342,,AH342+1)*AF342-ERP_i)*AE342*Ramure*Pc/MaxiM</f>
        <v>0.30612873955991465</v>
      </c>
      <c r="AE342" s="307">
        <f t="shared" si="142"/>
        <v>1</v>
      </c>
      <c r="AF342" s="179">
        <f t="shared" si="143"/>
        <v>0.19927432797417932</v>
      </c>
      <c r="AG342" s="837">
        <f t="shared" si="149"/>
        <v>4</v>
      </c>
      <c r="AH342" s="178">
        <f t="shared" si="144"/>
        <v>10</v>
      </c>
      <c r="AI342" s="227">
        <f t="shared" si="145"/>
        <v>4.1992743279741793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46716</v>
      </c>
      <c r="B343" s="1139">
        <f>IF(t&gt;Tmaj,'2026'!Wh/'2026'!Env_an*'2027'!Env_an,0.001*'[13]mon-tableau (3)'!$B$226)</f>
        <v>4.6061603897750585</v>
      </c>
      <c r="C343" s="866"/>
      <c r="D343" s="395">
        <f t="shared" si="127"/>
        <v>4.9857723472122624</v>
      </c>
      <c r="E343" s="387">
        <f t="shared" si="125"/>
        <v>5.3901143537619891</v>
      </c>
      <c r="F343" s="387">
        <f t="shared" si="128"/>
        <v>5.3901143537619891</v>
      </c>
      <c r="G343" s="110">
        <f t="shared" si="126"/>
        <v>0.25699795010309723</v>
      </c>
      <c r="H343" s="414" t="b">
        <f>Wh_hp&gt;='2026'!Maxi_hp</f>
        <v>0</v>
      </c>
      <c r="I343" s="392">
        <f>IF(H343,Wh_hp,'2026'!Maxi_hp)</f>
        <v>18.507554622634164</v>
      </c>
      <c r="J343" s="85">
        <f>IF(H343,An,'2026'!An_max)</f>
        <v>2020</v>
      </c>
      <c r="K343" s="199">
        <f t="shared" si="129"/>
        <v>46716</v>
      </c>
      <c r="L343" s="147">
        <f>IF(t&lt;Tvie,1-EXP((T0-t)*PertePVj)+'2026'!Pspv,1-EXP((T0-t)*PertePVj)+Pspv)</f>
        <v>7.6139047473649635E-2</v>
      </c>
      <c r="M343" s="870"/>
      <c r="N343" s="870"/>
      <c r="O343" s="48">
        <f>IF(t&lt;Tnet,'2026'!Resal+('2026'!Salim-'2026'!Resal)*(1-EXP(('2026'!Tnet-t)/('2026'!Tau_j))),Resal+(Salim-Resal)*(1-EXP((Tnet-t)/(Tau_j))))*Salcycl</f>
        <v>7.5015478339066979E-2</v>
      </c>
      <c r="P343" s="171">
        <f>(INDEX(Models!$BJ343:$BT343,,T343)*(1-R343)+INDEX(Models!$BJ343:$BT343,,T343+1)*R343-ERP_i)*Q343*Ramure*Pc/MaxiM</f>
        <v>4.5238641440137478E-2</v>
      </c>
      <c r="Q343" s="307">
        <f t="shared" si="130"/>
        <v>1</v>
      </c>
      <c r="R343" s="179">
        <f t="shared" si="131"/>
        <v>0.26432119910256491</v>
      </c>
      <c r="S343" s="837">
        <f t="shared" si="132"/>
        <v>-1</v>
      </c>
      <c r="T343" s="178">
        <f t="shared" si="133"/>
        <v>5</v>
      </c>
      <c r="U343" s="253">
        <f t="shared" si="134"/>
        <v>-0.73567880089743509</v>
      </c>
      <c r="V343" s="385">
        <f t="shared" si="135"/>
        <v>17.112136301951228</v>
      </c>
      <c r="W343" s="404">
        <f t="shared" si="136"/>
        <v>4.6061603897750585</v>
      </c>
      <c r="X343" s="157">
        <f t="shared" si="137"/>
        <v>46716</v>
      </c>
      <c r="Y343" s="387">
        <f t="shared" si="138"/>
        <v>4.3534262980767773</v>
      </c>
      <c r="Z343" s="387">
        <f t="shared" si="139"/>
        <v>4.712209436032647</v>
      </c>
      <c r="AA343" s="388">
        <f t="shared" si="140"/>
        <v>5.3901143537619891</v>
      </c>
      <c r="AB343" s="199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0.12576818843485274</v>
      </c>
      <c r="AD343" s="233">
        <f>(INDEX(Models!$BJ343:$BT343,,AH343)*(1-AF343)+INDEX(Models!$BJ343:$BT343,,AH343+1)*AF343-ERP_i)*AE343*Ramure*Pc/MaxiM</f>
        <v>0.31029006353950839</v>
      </c>
      <c r="AE343" s="307">
        <f t="shared" si="142"/>
        <v>1</v>
      </c>
      <c r="AF343" s="179">
        <f t="shared" si="143"/>
        <v>0.1993037920261358</v>
      </c>
      <c r="AG343" s="837">
        <f t="shared" si="149"/>
        <v>4</v>
      </c>
      <c r="AH343" s="178">
        <f t="shared" si="144"/>
        <v>10</v>
      </c>
      <c r="AI343" s="227">
        <f t="shared" si="145"/>
        <v>4.1993037920261358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46717</v>
      </c>
      <c r="B344" s="1139">
        <f>IF(t&gt;Tmaj,'2026'!Wh/'2026'!Env_an*'2027'!Env_an,0.001*'[13]mon-tableau (3)'!$B$227)</f>
        <v>9.888290232547913</v>
      </c>
      <c r="C344" s="866"/>
      <c r="D344" s="395">
        <f t="shared" si="127"/>
        <v>10.703472558096541</v>
      </c>
      <c r="E344" s="387">
        <f t="shared" si="125"/>
        <v>11.573080760886009</v>
      </c>
      <c r="F344" s="387">
        <f t="shared" si="128"/>
        <v>11.792545115457189</v>
      </c>
      <c r="G344" s="110">
        <f t="shared" si="126"/>
        <v>0.56740211493410353</v>
      </c>
      <c r="H344" s="414" t="b">
        <f>Wh_hp&gt;='2026'!Maxi_hp</f>
        <v>0</v>
      </c>
      <c r="I344" s="392">
        <f>IF(H344,Wh_hp,'2026'!Maxi_hp)</f>
        <v>20.367586395989942</v>
      </c>
      <c r="J344" s="85">
        <f>IF(H344,An,'2026'!An_max)</f>
        <v>2020</v>
      </c>
      <c r="K344" s="199">
        <f t="shared" si="129"/>
        <v>46717</v>
      </c>
      <c r="L344" s="147">
        <f>IF(t&lt;Tvie,1-EXP((T0-t)*PertePVj)+'2026'!Pspv,1-EXP((T0-t)*PertePVj)+Pspv)</f>
        <v>7.6160547067688933E-2</v>
      </c>
      <c r="M344" s="870"/>
      <c r="N344" s="870"/>
      <c r="O344" s="48">
        <f>IF(t&lt;Tnet,'2026'!Resal+('2026'!Salim-'2026'!Resal)*(1-EXP(('2026'!Tnet-t)/('2026'!Tau_j))),Resal+(Salim-Resal)*(1-EXP((Tnet-t)/(Tau_j))))*Salcycl</f>
        <v>7.5140597456860123E-2</v>
      </c>
      <c r="P344" s="171">
        <f>(INDEX(Models!$BJ344:$BT344,,T344)*(1-R344)+INDEX(Models!$BJ344:$BT344,,T344+1)*R344-ERP_i)*Q344*Ramure*Pc/MaxiM</f>
        <v>4.5927686460360294E-2</v>
      </c>
      <c r="Q344" s="307">
        <f t="shared" si="130"/>
        <v>1</v>
      </c>
      <c r="R344" s="179">
        <f t="shared" si="131"/>
        <v>0.26434947917732265</v>
      </c>
      <c r="S344" s="837">
        <f t="shared" si="132"/>
        <v>-1</v>
      </c>
      <c r="T344" s="178">
        <f t="shared" si="133"/>
        <v>5</v>
      </c>
      <c r="U344" s="253">
        <f t="shared" si="134"/>
        <v>-0.73565052082267735</v>
      </c>
      <c r="V344" s="385">
        <f t="shared" si="135"/>
        <v>16.94221194808237</v>
      </c>
      <c r="W344" s="404">
        <f t="shared" si="136"/>
        <v>9.888290232547913</v>
      </c>
      <c r="X344" s="157">
        <f t="shared" si="137"/>
        <v>46717</v>
      </c>
      <c r="Y344" s="387">
        <f t="shared" si="138"/>
        <v>8.3113997576204905</v>
      </c>
      <c r="Z344" s="387">
        <f t="shared" si="139"/>
        <v>8.9965845594055391</v>
      </c>
      <c r="AA344" s="388">
        <f t="shared" si="140"/>
        <v>10.290639626858981</v>
      </c>
      <c r="AB344" s="199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0.12575069328789884</v>
      </c>
      <c r="AD344" s="233">
        <f>(INDEX(Models!$BJ344:$BT344,,AH344)*(1-AF344)+INDEX(Models!$BJ344:$BT344,,AH344+1)*AF344-ERP_i)*AE344*Ramure*Pc/MaxiM</f>
        <v>0.31430636883248553</v>
      </c>
      <c r="AE344" s="307">
        <f t="shared" si="142"/>
        <v>1</v>
      </c>
      <c r="AF344" s="179">
        <f t="shared" si="143"/>
        <v>0.19933207210089332</v>
      </c>
      <c r="AG344" s="837">
        <f t="shared" si="149"/>
        <v>4</v>
      </c>
      <c r="AH344" s="178">
        <f t="shared" si="144"/>
        <v>10</v>
      </c>
      <c r="AI344" s="227">
        <f t="shared" si="145"/>
        <v>4.1993320721008933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46718</v>
      </c>
      <c r="B345" s="1139">
        <f>IF(t&gt;Tmaj,'2026'!Wh/'2026'!Env_an*'2027'!Env_an,0.001*'[13]mon-tableau (3)'!$B$228)</f>
        <v>11.734504390525162</v>
      </c>
      <c r="C345" s="866"/>
      <c r="D345" s="395">
        <f t="shared" si="127"/>
        <v>12.702182655973051</v>
      </c>
      <c r="E345" s="387">
        <f t="shared" si="125"/>
        <v>13.736064613697661</v>
      </c>
      <c r="F345" s="387">
        <f t="shared" si="128"/>
        <v>14.111713207807135</v>
      </c>
      <c r="G345" s="110">
        <f t="shared" si="126"/>
        <v>0.68519315229642908</v>
      </c>
      <c r="H345" s="414" t="b">
        <f>Wh_hp&gt;='2026'!Maxi_hp</f>
        <v>0</v>
      </c>
      <c r="I345" s="392">
        <f>IF(H345,Wh_hp,'2026'!Maxi_hp)</f>
        <v>18.723509974078482</v>
      </c>
      <c r="J345" s="85">
        <f>IF(H345,An,'2026'!An_max)</f>
        <v>2018</v>
      </c>
      <c r="K345" s="199">
        <f t="shared" si="129"/>
        <v>46718</v>
      </c>
      <c r="L345" s="147">
        <f>IF(t&lt;Tvie,1-EXP((T0-t)*PertePVj)+'2026'!Pspv,1-EXP((T0-t)*PertePVj)+Pspv)</f>
        <v>7.6182046161401229E-2</v>
      </c>
      <c r="M345" s="870"/>
      <c r="N345" s="870"/>
      <c r="O345" s="48">
        <f>IF(t&lt;Tnet,'2026'!Resal+('2026'!Salim-'2026'!Resal)*(1-EXP(('2026'!Tnet-t)/('2026'!Tau_j))),Resal+(Salim-Resal)*(1-EXP((Tnet-t)/(Tau_j))))*Salcycl</f>
        <v>7.5267697612139847E-2</v>
      </c>
      <c r="P345" s="171">
        <f>(INDEX(Models!$BJ345:$BT345,,T345)*(1-R345)+INDEX(Models!$BJ345:$BT345,,T345+1)*R345-ERP_i)*Q345*Ramure*Pc/MaxiM</f>
        <v>4.663362307294712E-2</v>
      </c>
      <c r="Q345" s="307">
        <f t="shared" si="130"/>
        <v>1</v>
      </c>
      <c r="R345" s="179">
        <f t="shared" si="131"/>
        <v>0.26437662276156748</v>
      </c>
      <c r="S345" s="837">
        <f t="shared" si="132"/>
        <v>-1</v>
      </c>
      <c r="T345" s="178">
        <f t="shared" si="133"/>
        <v>5</v>
      </c>
      <c r="U345" s="253">
        <f t="shared" si="134"/>
        <v>-0.73562337723843252</v>
      </c>
      <c r="V345" s="385">
        <f t="shared" si="135"/>
        <v>16.773704416568041</v>
      </c>
      <c r="W345" s="404">
        <f t="shared" si="136"/>
        <v>11.734504390525162</v>
      </c>
      <c r="X345" s="157">
        <f t="shared" si="137"/>
        <v>46718</v>
      </c>
      <c r="Y345" s="387">
        <f t="shared" si="138"/>
        <v>9.3272765695658943</v>
      </c>
      <c r="Z345" s="387">
        <f t="shared" si="139"/>
        <v>10.096444359854337</v>
      </c>
      <c r="AA345" s="388">
        <f t="shared" si="140"/>
        <v>11.548525294642241</v>
      </c>
      <c r="AB345" s="199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0.12573734721450319</v>
      </c>
      <c r="AD345" s="233">
        <f>(INDEX(Models!$BJ345:$BT345,,AH345)*(1-AF345)+INDEX(Models!$BJ345:$BT345,,AH345+1)*AF345-ERP_i)*AE345*Ramure*Pc/MaxiM</f>
        <v>0.31819828659555954</v>
      </c>
      <c r="AE345" s="307">
        <f t="shared" si="142"/>
        <v>1</v>
      </c>
      <c r="AF345" s="179">
        <f t="shared" si="143"/>
        <v>0.19935921568513759</v>
      </c>
      <c r="AG345" s="837">
        <f t="shared" si="149"/>
        <v>4</v>
      </c>
      <c r="AH345" s="178">
        <f t="shared" si="144"/>
        <v>10</v>
      </c>
      <c r="AI345" s="227">
        <f t="shared" si="145"/>
        <v>4.1993592156851376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46719</v>
      </c>
      <c r="B346" s="1139">
        <f>IF(t&gt;Tmaj,'2026'!Wh/'2026'!Env_an*'2027'!Env_an,0.001*'[13]mon-tableau (3)'!$B$229)</f>
        <v>9.2517140602264583</v>
      </c>
      <c r="C346" s="866"/>
      <c r="D346" s="395">
        <f t="shared" si="127"/>
        <v>10.014883698347587</v>
      </c>
      <c r="E346" s="387">
        <f t="shared" si="125"/>
        <v>10.831547864000393</v>
      </c>
      <c r="F346" s="387">
        <f t="shared" si="128"/>
        <v>11.023317911020984</v>
      </c>
      <c r="G346" s="110">
        <f t="shared" si="126"/>
        <v>0.54014464564428399</v>
      </c>
      <c r="H346" s="414" t="b">
        <f>Wh_hp&gt;='2026'!Maxi_hp</f>
        <v>0</v>
      </c>
      <c r="I346" s="392">
        <f>IF(H346,Wh_hp,'2026'!Maxi_hp)</f>
        <v>15.043607934783193</v>
      </c>
      <c r="J346" s="85">
        <f>IF(H346,An,'2026'!An_max)</f>
        <v>2018</v>
      </c>
      <c r="K346" s="199">
        <f t="shared" si="129"/>
        <v>46719</v>
      </c>
      <c r="L346" s="147">
        <f>IF(t&lt;Tvie,1-EXP((T0-t)*PertePVj)+'2026'!Pspv,1-EXP((T0-t)*PertePVj)+Pspv)</f>
        <v>7.620354475479818E-2</v>
      </c>
      <c r="M346" s="870"/>
      <c r="N346" s="870"/>
      <c r="O346" s="48">
        <f>IF(t&lt;Tnet,'2026'!Resal+('2026'!Salim-'2026'!Resal)*(1-EXP(('2026'!Tnet-t)/('2026'!Tau_j))),Resal+(Salim-Resal)*(1-EXP((Tnet-t)/(Tau_j))))*Salcycl</f>
        <v>7.5396810862744884E-2</v>
      </c>
      <c r="P346" s="171">
        <f>(INDEX(Models!$BJ346:$BT346,,T346)*(1-R346)+INDEX(Models!$BJ346:$BT346,,T346+1)*R346-ERP_i)*Q346*Ramure*Pc/MaxiM</f>
        <v>4.7359580347805741E-2</v>
      </c>
      <c r="Q346" s="307">
        <f t="shared" si="130"/>
        <v>1</v>
      </c>
      <c r="R346" s="179">
        <f t="shared" si="131"/>
        <v>0.26440267544449603</v>
      </c>
      <c r="S346" s="837">
        <f t="shared" si="132"/>
        <v>-1</v>
      </c>
      <c r="T346" s="178">
        <f t="shared" si="133"/>
        <v>5</v>
      </c>
      <c r="U346" s="253">
        <f t="shared" si="134"/>
        <v>-0.73559732455550397</v>
      </c>
      <c r="V346" s="385">
        <f t="shared" si="135"/>
        <v>16.605919949439084</v>
      </c>
      <c r="W346" s="404">
        <f t="shared" si="136"/>
        <v>9.2517140602264583</v>
      </c>
      <c r="X346" s="157">
        <f t="shared" si="137"/>
        <v>46719</v>
      </c>
      <c r="Y346" s="387">
        <f t="shared" si="138"/>
        <v>7.8501221096155875</v>
      </c>
      <c r="Z346" s="387">
        <f t="shared" si="139"/>
        <v>8.4976750722992787</v>
      </c>
      <c r="AA346" s="388">
        <f t="shared" si="140"/>
        <v>9.7197174312872807</v>
      </c>
      <c r="AB346" s="199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0.12572817755527627</v>
      </c>
      <c r="AD346" s="233">
        <f>(INDEX(Models!$BJ346:$BT346,,AH346)*(1-AF346)+INDEX(Models!$BJ346:$BT346,,AH346+1)*AF346-ERP_i)*AE346*Ramure*Pc/MaxiM</f>
        <v>0.32193751120454006</v>
      </c>
      <c r="AE346" s="307">
        <f t="shared" si="142"/>
        <v>1</v>
      </c>
      <c r="AF346" s="179">
        <f t="shared" si="143"/>
        <v>0.1993852683680668</v>
      </c>
      <c r="AG346" s="837">
        <f t="shared" si="149"/>
        <v>4</v>
      </c>
      <c r="AH346" s="178">
        <f t="shared" si="144"/>
        <v>10</v>
      </c>
      <c r="AI346" s="227">
        <f t="shared" si="145"/>
        <v>4.1993852683680668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46720</v>
      </c>
      <c r="B347" s="1139">
        <f>IF(t&gt;Tmaj,'2026'!Wh/'2026'!Env_an*'2027'!Env_an,0.001*'[13]mon-tableau (3)'!$B$230)</f>
        <v>10.471812251422284</v>
      </c>
      <c r="C347" s="866"/>
      <c r="D347" s="395">
        <f t="shared" si="127"/>
        <v>11.335891030977578</v>
      </c>
      <c r="E347" s="387">
        <f t="shared" si="125"/>
        <v>12.262016090463034</v>
      </c>
      <c r="F347" s="387">
        <f t="shared" si="128"/>
        <v>12.552731524146699</v>
      </c>
      <c r="G347" s="110">
        <f t="shared" si="126"/>
        <v>0.62071647986201839</v>
      </c>
      <c r="H347" s="414" t="b">
        <f>Wh_hp&gt;='2026'!Maxi_hp</f>
        <v>0</v>
      </c>
      <c r="I347" s="392">
        <f>IF(H347,Wh_hp,'2026'!Maxi_hp)</f>
        <v>19.948122922418964</v>
      </c>
      <c r="J347" s="85">
        <f>IF(H347,An,'2026'!An_max)</f>
        <v>2018</v>
      </c>
      <c r="K347" s="199">
        <f t="shared" si="129"/>
        <v>46720</v>
      </c>
      <c r="L347" s="147">
        <f>IF(t&lt;Tvie,1-EXP((T0-t)*PertePVj)+'2026'!Pspv,1-EXP((T0-t)*PertePVj)+Pspv)</f>
        <v>7.6225042847891444E-2</v>
      </c>
      <c r="M347" s="870"/>
      <c r="N347" s="870"/>
      <c r="O347" s="48">
        <f>IF(t&lt;Tnet,'2026'!Resal+('2026'!Salim-'2026'!Resal)*(1-EXP(('2026'!Tnet-t)/('2026'!Tau_j))),Resal+(Salim-Resal)*(1-EXP((Tnet-t)/(Tau_j))))*Salcycl</f>
        <v>7.5527959892807806E-2</v>
      </c>
      <c r="P347" s="171">
        <f>(INDEX(Models!$BJ347:$BT347,,T347)*(1-R347)+INDEX(Models!$BJ347:$BT347,,T347+1)*R347-ERP_i)*Q347*Ramure*Pc/MaxiM</f>
        <v>4.8107994947478284E-2</v>
      </c>
      <c r="Q347" s="307">
        <f t="shared" si="130"/>
        <v>1</v>
      </c>
      <c r="R347" s="179">
        <f t="shared" si="131"/>
        <v>0.2644276809930769</v>
      </c>
      <c r="S347" s="837">
        <f t="shared" si="132"/>
        <v>-1</v>
      </c>
      <c r="T347" s="178">
        <f t="shared" si="133"/>
        <v>5</v>
      </c>
      <c r="U347" s="253">
        <f t="shared" si="134"/>
        <v>-0.7355723190069231</v>
      </c>
      <c r="V347" s="385">
        <f t="shared" si="135"/>
        <v>16.439651584602156</v>
      </c>
      <c r="W347" s="404">
        <f t="shared" si="136"/>
        <v>10.471812251422284</v>
      </c>
      <c r="X347" s="157">
        <f t="shared" si="137"/>
        <v>46720</v>
      </c>
      <c r="Y347" s="387">
        <f t="shared" si="138"/>
        <v>8.5490252277805272</v>
      </c>
      <c r="Z347" s="387">
        <f t="shared" si="139"/>
        <v>9.2544457517404286</v>
      </c>
      <c r="AA347" s="388">
        <f t="shared" si="140"/>
        <v>10.585258249678121</v>
      </c>
      <c r="AB347" s="199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0.12572319602860516</v>
      </c>
      <c r="AD347" s="233">
        <f>(INDEX(Models!$BJ347:$BT347,,AH347)*(1-AF347)+INDEX(Models!$BJ347:$BT347,,AH347+1)*AF347-ERP_i)*AE347*Ramure*Pc/MaxiM</f>
        <v>0.32558021825021205</v>
      </c>
      <c r="AE347" s="307">
        <f t="shared" si="142"/>
        <v>1</v>
      </c>
      <c r="AF347" s="179">
        <f t="shared" si="143"/>
        <v>0.19941027391664701</v>
      </c>
      <c r="AG347" s="837">
        <f t="shared" si="149"/>
        <v>4</v>
      </c>
      <c r="AH347" s="178">
        <f t="shared" si="144"/>
        <v>10</v>
      </c>
      <c r="AI347" s="227">
        <f t="shared" si="145"/>
        <v>4.199410273916647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46721</v>
      </c>
      <c r="B348" s="1139">
        <f>IF(t&gt;Tmaj,'2026'!Wh/'2026'!Env_an*'2027'!Env_an,0.001*'[13]mon-tableau (3)'!$B$231)</f>
        <v>4.2529626082426857</v>
      </c>
      <c r="C348" s="866"/>
      <c r="D348" s="395">
        <f t="shared" si="127"/>
        <v>4.6040018191343348</v>
      </c>
      <c r="E348" s="387">
        <f t="shared" si="125"/>
        <v>4.9808594104732098</v>
      </c>
      <c r="F348" s="387">
        <f t="shared" si="128"/>
        <v>4.9808594104732098</v>
      </c>
      <c r="G348" s="110">
        <f t="shared" si="126"/>
        <v>0.24853459772152536</v>
      </c>
      <c r="H348" s="414" t="b">
        <f>Wh_hp&gt;='2026'!Maxi_hp</f>
        <v>0</v>
      </c>
      <c r="I348" s="392">
        <f>IF(H348,Wh_hp,'2026'!Maxi_hp)</f>
        <v>19.841900082377851</v>
      </c>
      <c r="J348" s="85">
        <f>IF(H348,An,'2026'!An_max)</f>
        <v>2021</v>
      </c>
      <c r="K348" s="199">
        <f t="shared" si="129"/>
        <v>46721</v>
      </c>
      <c r="L348" s="147">
        <f>IF(t&lt;Tvie,1-EXP((T0-t)*PertePVj)+'2026'!Pspv,1-EXP((T0-t)*PertePVj)+Pspv)</f>
        <v>7.6246540440692789E-2</v>
      </c>
      <c r="M348" s="870"/>
      <c r="N348" s="870"/>
      <c r="O348" s="48">
        <f>IF(t&lt;Tnet,'2026'!Resal+('2026'!Salim-'2026'!Resal)*(1-EXP(('2026'!Tnet-t)/('2026'!Tau_j))),Resal+(Salim-Resal)*(1-EXP((Tnet-t)/(Tau_j))))*Salcycl</f>
        <v>7.5661158101844789E-2</v>
      </c>
      <c r="P348" s="171">
        <f>(INDEX(Models!$BJ348:$BT348,,T348)*(1-R348)+INDEX(Models!$BJ348:$BT348,,T348+1)*R348-ERP_i)*Q348*Ramure*Pc/MaxiM</f>
        <v>4.8876869065804532E-2</v>
      </c>
      <c r="Q348" s="307">
        <f t="shared" si="130"/>
        <v>1</v>
      </c>
      <c r="R348" s="179">
        <f t="shared" si="131"/>
        <v>0.26445168142436959</v>
      </c>
      <c r="S348" s="837">
        <f t="shared" si="132"/>
        <v>-1</v>
      </c>
      <c r="T348" s="178">
        <f t="shared" si="133"/>
        <v>5</v>
      </c>
      <c r="U348" s="253">
        <f t="shared" si="134"/>
        <v>-0.73554831857563041</v>
      </c>
      <c r="V348" s="385">
        <f t="shared" si="135"/>
        <v>16.275766628798433</v>
      </c>
      <c r="W348" s="404">
        <f t="shared" si="136"/>
        <v>4.2529626082426857</v>
      </c>
      <c r="X348" s="157">
        <f t="shared" si="137"/>
        <v>46721</v>
      </c>
      <c r="Y348" s="387">
        <f t="shared" si="138"/>
        <v>4.0226265279182583</v>
      </c>
      <c r="Z348" s="387">
        <f t="shared" si="139"/>
        <v>4.3546538162220498</v>
      </c>
      <c r="AA348" s="388">
        <f t="shared" si="140"/>
        <v>4.9808594104732098</v>
      </c>
      <c r="AB348" s="199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0.12572239901701351</v>
      </c>
      <c r="AD348" s="233">
        <f>(INDEX(Models!$BJ348:$BT348,,AH348)*(1-AF348)+INDEX(Models!$BJ348:$BT348,,AH348+1)*AF348-ERP_i)*AE348*Ramure*Pc/MaxiM</f>
        <v>0.32910652689220415</v>
      </c>
      <c r="AE348" s="307">
        <f t="shared" si="142"/>
        <v>1</v>
      </c>
      <c r="AF348" s="179">
        <f t="shared" si="143"/>
        <v>0.19943427434794003</v>
      </c>
      <c r="AG348" s="837">
        <f t="shared" si="149"/>
        <v>4</v>
      </c>
      <c r="AH348" s="178">
        <f t="shared" si="144"/>
        <v>10</v>
      </c>
      <c r="AI348" s="227">
        <f t="shared" si="145"/>
        <v>4.19943427434794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46722</v>
      </c>
      <c r="B349" s="1139">
        <f>IF(t&gt;Tmaj,'2026'!Wh/'2026'!Env_an*'2027'!Env_an,0.001*'[14]mon-tableau (2)'!$B$208)</f>
        <v>3.6810758124860992</v>
      </c>
      <c r="C349" s="866"/>
      <c r="D349" s="395">
        <f t="shared" si="127"/>
        <v>3.9850042675322666</v>
      </c>
      <c r="E349" s="387">
        <f t="shared" si="125"/>
        <v>4.3118251320143477</v>
      </c>
      <c r="F349" s="387">
        <f t="shared" si="128"/>
        <v>4.3118251320143477</v>
      </c>
      <c r="G349" s="110">
        <f t="shared" si="126"/>
        <v>0.21707914229102546</v>
      </c>
      <c r="H349" s="414" t="b">
        <f>Wh_hp&gt;='2026'!Maxi_hp</f>
        <v>0</v>
      </c>
      <c r="I349" s="392">
        <f>IF(H349,Wh_hp,'2026'!Maxi_hp)</f>
        <v>18.774902602934571</v>
      </c>
      <c r="J349" s="85">
        <f>IF(H349,An,'2026'!An_max)</f>
        <v>2020</v>
      </c>
      <c r="K349" s="199">
        <f t="shared" si="129"/>
        <v>46722</v>
      </c>
      <c r="L349" s="147">
        <f>IF(t&lt;Tvie,1-EXP((T0-t)*PertePVj)+'2026'!Pspv,1-EXP((T0-t)*PertePVj)+Pspv)</f>
        <v>7.6268037533213651E-2</v>
      </c>
      <c r="M349" s="870"/>
      <c r="N349" s="870"/>
      <c r="O349" s="48">
        <f>IF(t&lt;Tnet,'2026'!Resal+('2026'!Salim-'2026'!Resal)*(1-EXP(('2026'!Tnet-t)/('2026'!Tau_j))),Resal+(Salim-Resal)*(1-EXP((Tnet-t)/(Tau_j))))*Salcycl</f>
        <v>7.5796409751292704E-2</v>
      </c>
      <c r="P349" s="171">
        <f>(INDEX(Models!$BJ349:$BT349,,T349)*(1-R349)+INDEX(Models!$BJ349:$BT349,,T349+1)*R349-ERP_i)*Q349*Ramure*Pc/MaxiM</f>
        <v>4.9663958122448081E-2</v>
      </c>
      <c r="Q349" s="307">
        <f t="shared" si="130"/>
        <v>1</v>
      </c>
      <c r="R349" s="179">
        <f t="shared" si="131"/>
        <v>0.26447471707501535</v>
      </c>
      <c r="S349" s="837">
        <f t="shared" si="132"/>
        <v>-1</v>
      </c>
      <c r="T349" s="178">
        <f t="shared" si="133"/>
        <v>5</v>
      </c>
      <c r="U349" s="253">
        <f t="shared" si="134"/>
        <v>-0.73552528292498465</v>
      </c>
      <c r="V349" s="385">
        <f t="shared" si="135"/>
        <v>16.115131931004775</v>
      </c>
      <c r="W349" s="404">
        <f t="shared" si="136"/>
        <v>3.6810758124860992</v>
      </c>
      <c r="X349" s="157">
        <f t="shared" si="137"/>
        <v>46722</v>
      </c>
      <c r="Y349" s="387">
        <f t="shared" si="138"/>
        <v>3.4822086421821452</v>
      </c>
      <c r="Z349" s="387">
        <f t="shared" si="139"/>
        <v>3.7697176060499813</v>
      </c>
      <c r="AA349" s="388">
        <f t="shared" si="140"/>
        <v>4.3118251320143477</v>
      </c>
      <c r="AB349" s="199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0.12572576794437651</v>
      </c>
      <c r="AD349" s="233">
        <f>(INDEX(Models!$BJ349:$BT349,,AH349)*(1-AF349)+INDEX(Models!$BJ349:$BT349,,AH349+1)*AF349-ERP_i)*AE349*Ramure*Pc/MaxiM</f>
        <v>0.33249521412197769</v>
      </c>
      <c r="AE349" s="307">
        <f t="shared" si="142"/>
        <v>1</v>
      </c>
      <c r="AF349" s="179">
        <f t="shared" si="143"/>
        <v>0.19945730999858569</v>
      </c>
      <c r="AG349" s="837">
        <f t="shared" si="149"/>
        <v>4</v>
      </c>
      <c r="AH349" s="178">
        <f t="shared" si="144"/>
        <v>10</v>
      </c>
      <c r="AI349" s="227">
        <f t="shared" si="145"/>
        <v>4.1994573099985857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46723</v>
      </c>
      <c r="B350" s="1139">
        <f>IF(t&gt;Tmaj,'2026'!Wh/'2026'!Env_an*'2027'!Env_an,0.001*'[14]mon-tableau (2)'!$B$209)</f>
        <v>5.0817456034143929</v>
      </c>
      <c r="C350" s="866"/>
      <c r="D350" s="395">
        <f t="shared" si="127"/>
        <v>5.5014485503346418</v>
      </c>
      <c r="E350" s="387">
        <f t="shared" si="125"/>
        <v>5.9535215285566059</v>
      </c>
      <c r="F350" s="387">
        <f t="shared" si="128"/>
        <v>5.9614437937365432</v>
      </c>
      <c r="G350" s="110">
        <f t="shared" si="126"/>
        <v>0.30276485069951753</v>
      </c>
      <c r="H350" s="414" t="b">
        <f>Wh_hp&gt;='2026'!Maxi_hp</f>
        <v>0</v>
      </c>
      <c r="I350" s="392">
        <f>IF(H350,Wh_hp,'2026'!Maxi_hp)</f>
        <v>8.2901078959824659</v>
      </c>
      <c r="J350" s="85">
        <f>IF(H350,An,'2026'!An_max)</f>
        <v>2021</v>
      </c>
      <c r="K350" s="199">
        <f t="shared" si="129"/>
        <v>46723</v>
      </c>
      <c r="L350" s="147">
        <f>IF(t&lt;Tvie,1-EXP((T0-t)*PertePVj)+'2026'!Pspv,1-EXP((T0-t)*PertePVj)+Pspv)</f>
        <v>7.6289534125465797E-2</v>
      </c>
      <c r="M350" s="870"/>
      <c r="N350" s="870"/>
      <c r="O350" s="48">
        <f>IF(t&lt;Tnet,'2026'!Resal+('2026'!Salim-'2026'!Resal)*(1-EXP(('2026'!Tnet-t)/('2026'!Tau_j))),Resal+(Salim-Resal)*(1-EXP((Tnet-t)/(Tau_j))))*Salcycl</f>
        <v>7.5933710166924767E-2</v>
      </c>
      <c r="P350" s="171">
        <f>(INDEX(Models!$BJ350:$BT350,,T350)*(1-R350)+INDEX(Models!$BJ350:$BT350,,T350+1)*R350-ERP_i)*Q350*Ramure*Pc/MaxiM</f>
        <v>5.0466753802210843E-2</v>
      </c>
      <c r="Q350" s="307">
        <f t="shared" si="130"/>
        <v>1</v>
      </c>
      <c r="R350" s="179">
        <f t="shared" si="131"/>
        <v>0.264496826668006</v>
      </c>
      <c r="S350" s="837">
        <f t="shared" si="132"/>
        <v>-1</v>
      </c>
      <c r="T350" s="178">
        <f t="shared" si="133"/>
        <v>5</v>
      </c>
      <c r="U350" s="253">
        <f t="shared" si="134"/>
        <v>-0.735503173331994</v>
      </c>
      <c r="V350" s="385">
        <f t="shared" si="135"/>
        <v>15.958613844947429</v>
      </c>
      <c r="W350" s="404">
        <f t="shared" si="136"/>
        <v>5.0817456034143929</v>
      </c>
      <c r="X350" s="157">
        <f t="shared" si="137"/>
        <v>46723</v>
      </c>
      <c r="Y350" s="387">
        <f t="shared" si="138"/>
        <v>4.7717187438730928</v>
      </c>
      <c r="Z350" s="387">
        <f t="shared" si="139"/>
        <v>5.1658164762217016</v>
      </c>
      <c r="AA350" s="388">
        <f t="shared" si="140"/>
        <v>5.9087419175694782</v>
      </c>
      <c r="AB350" s="199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0.12573326974033319</v>
      </c>
      <c r="AD350" s="233">
        <f>(INDEX(Models!$BJ350:$BT350,,AH350)*(1-AF350)+INDEX(Models!$BJ350:$BT350,,AH350+1)*AF350-ERP_i)*AE350*Ramure*Pc/MaxiM</f>
        <v>0.33572375438445062</v>
      </c>
      <c r="AE350" s="307">
        <f t="shared" si="142"/>
        <v>1</v>
      </c>
      <c r="AF350" s="179">
        <f t="shared" si="143"/>
        <v>0.19947941959157678</v>
      </c>
      <c r="AG350" s="837">
        <f t="shared" si="149"/>
        <v>4</v>
      </c>
      <c r="AH350" s="178">
        <f t="shared" si="144"/>
        <v>10</v>
      </c>
      <c r="AI350" s="227">
        <f t="shared" si="145"/>
        <v>4.1994794195915768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46724</v>
      </c>
      <c r="B351" s="1139">
        <f>IF(t&gt;Tmaj,'2026'!Wh/'2026'!Env_an*'2027'!Env_an,0.001*'[14]mon-tableau (2)'!$B$210)</f>
        <v>7.9825658861062516</v>
      </c>
      <c r="C351" s="866"/>
      <c r="D351" s="395">
        <f t="shared" si="127"/>
        <v>8.642049593799479</v>
      </c>
      <c r="E351" s="387">
        <f t="shared" si="125"/>
        <v>9.3536069668056676</v>
      </c>
      <c r="F351" s="387">
        <f t="shared" si="128"/>
        <v>9.4962250505526633</v>
      </c>
      <c r="G351" s="110">
        <f t="shared" si="126"/>
        <v>0.48640688879035937</v>
      </c>
      <c r="H351" s="414" t="b">
        <f>Wh_hp&gt;='2026'!Maxi_hp</f>
        <v>0</v>
      </c>
      <c r="I351" s="392">
        <f>IF(H351,Wh_hp,'2026'!Maxi_hp)</f>
        <v>13.468073041251417</v>
      </c>
      <c r="J351" s="85">
        <f>IF(H351,An,'2026'!An_max)</f>
        <v>2021</v>
      </c>
      <c r="K351" s="199">
        <f t="shared" si="129"/>
        <v>46724</v>
      </c>
      <c r="L351" s="147">
        <f>IF(t&lt;Tvie,1-EXP((T0-t)*PertePVj)+'2026'!Pspv,1-EXP((T0-t)*PertePVj)+Pspv)</f>
        <v>7.6311030217460885E-2</v>
      </c>
      <c r="M351" s="870"/>
      <c r="N351" s="870"/>
      <c r="O351" s="48">
        <f>IF(t&lt;Tnet,'2026'!Resal+('2026'!Salim-'2026'!Resal)*(1-EXP(('2026'!Tnet-t)/('2026'!Tau_j))),Resal+(Salim-Resal)*(1-EXP((Tnet-t)/(Tau_j))))*Salcycl</f>
        <v>7.6073045995131386E-2</v>
      </c>
      <c r="P351" s="171">
        <f>(INDEX(Models!$BJ351:$BT351,,T351)*(1-R351)+INDEX(Models!$BJ351:$BT351,,T351+1)*R351-ERP_i)*Q351*Ramure*Pc/MaxiM</f>
        <v>5.1282469464356578E-2</v>
      </c>
      <c r="Q351" s="307">
        <f t="shared" si="130"/>
        <v>1</v>
      </c>
      <c r="R351" s="179">
        <f t="shared" si="131"/>
        <v>0.2645180473768336</v>
      </c>
      <c r="S351" s="837">
        <f t="shared" si="132"/>
        <v>-1</v>
      </c>
      <c r="T351" s="178">
        <f t="shared" si="133"/>
        <v>5</v>
      </c>
      <c r="U351" s="253">
        <f t="shared" si="134"/>
        <v>-0.7354819526231664</v>
      </c>
      <c r="V351" s="385">
        <f t="shared" si="135"/>
        <v>15.807078191440358</v>
      </c>
      <c r="W351" s="404">
        <f t="shared" si="136"/>
        <v>7.9825658861062516</v>
      </c>
      <c r="X351" s="157">
        <f t="shared" si="137"/>
        <v>46724</v>
      </c>
      <c r="Y351" s="387">
        <f t="shared" si="138"/>
        <v>6.9077764891127869</v>
      </c>
      <c r="Z351" s="387">
        <f t="shared" si="139"/>
        <v>7.4784659285679904</v>
      </c>
      <c r="AA351" s="388">
        <f t="shared" si="140"/>
        <v>8.5541000150379229</v>
      </c>
      <c r="AB351" s="199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0.12574485738756747</v>
      </c>
      <c r="AD351" s="233">
        <f>(INDEX(Models!$BJ351:$BT351,,AH351)*(1-AF351)+INDEX(Models!$BJ351:$BT351,,AH351+1)*AF351-ERP_i)*AE351*Ramure*Pc/MaxiM</f>
        <v>0.338768388243813</v>
      </c>
      <c r="AE351" s="307">
        <f t="shared" si="142"/>
        <v>1</v>
      </c>
      <c r="AF351" s="179">
        <f t="shared" si="143"/>
        <v>0.19950064030040426</v>
      </c>
      <c r="AG351" s="837">
        <f t="shared" si="149"/>
        <v>4</v>
      </c>
      <c r="AH351" s="178">
        <f t="shared" si="144"/>
        <v>10</v>
      </c>
      <c r="AI351" s="227">
        <f t="shared" si="145"/>
        <v>4.1995006403004043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46725</v>
      </c>
      <c r="B352" s="1139">
        <f>IF(t&gt;Tmaj,'2026'!Wh/'2026'!Env_an*'2027'!Env_an,0.001*'[14]mon-tableau (2)'!$B$211)</f>
        <v>13.554678695901213</v>
      </c>
      <c r="C352" s="866"/>
      <c r="D352" s="395">
        <f t="shared" si="127"/>
        <v>14.674846819496651</v>
      </c>
      <c r="E352" s="387">
        <f t="shared" si="125"/>
        <v>15.885554773943714</v>
      </c>
      <c r="F352" s="387">
        <f t="shared" si="128"/>
        <v>16.583414724228895</v>
      </c>
      <c r="G352" s="110">
        <f t="shared" si="126"/>
        <v>0.85642500130732913</v>
      </c>
      <c r="H352" s="414" t="b">
        <f>Wh_hp&gt;='2026'!Maxi_hp</f>
        <v>0</v>
      </c>
      <c r="I352" s="392">
        <f>IF(H352,Wh_hp,'2026'!Maxi_hp)</f>
        <v>16.724996040685195</v>
      </c>
      <c r="J352" s="85">
        <f>IF(H352,An,'2026'!An_max)</f>
        <v>2025</v>
      </c>
      <c r="K352" s="199">
        <f t="shared" si="129"/>
        <v>46725</v>
      </c>
      <c r="L352" s="147">
        <f>IF(t&lt;Tvie,1-EXP((T0-t)*PertePVj)+'2026'!Pspv,1-EXP((T0-t)*PertePVj)+Pspv)</f>
        <v>7.6332525809210461E-2</v>
      </c>
      <c r="M352" s="870"/>
      <c r="N352" s="870"/>
      <c r="O352" s="48">
        <f>IF(t&lt;Tnet,'2026'!Resal+('2026'!Salim-'2026'!Resal)*(1-EXP(('2026'!Tnet-t)/('2026'!Tau_j))),Resal+(Salim-Resal)*(1-EXP((Tnet-t)/(Tau_j))))*Salcycl</f>
        <v>7.6214395510626254E-2</v>
      </c>
      <c r="P352" s="171">
        <f>(INDEX(Models!$BJ352:$BT352,,T352)*(1-R352)+INDEX(Models!$BJ352:$BT352,,T352+1)*R352-ERP_i)*Q352*Ramure*Pc/MaxiM</f>
        <v>5.2093375728690071E-2</v>
      </c>
      <c r="Q352" s="307">
        <f t="shared" si="130"/>
        <v>1</v>
      </c>
      <c r="R352" s="179">
        <f t="shared" si="131"/>
        <v>0.2645384148871226</v>
      </c>
      <c r="S352" s="837">
        <f t="shared" si="132"/>
        <v>-1</v>
      </c>
      <c r="T352" s="178">
        <f t="shared" si="133"/>
        <v>5</v>
      </c>
      <c r="U352" s="253">
        <f t="shared" si="134"/>
        <v>-0.7354615851128774</v>
      </c>
      <c r="V352" s="385">
        <f t="shared" si="135"/>
        <v>15.661632323853171</v>
      </c>
      <c r="W352" s="404">
        <f t="shared" si="136"/>
        <v>13.554678695901213</v>
      </c>
      <c r="X352" s="157">
        <f t="shared" si="137"/>
        <v>46725</v>
      </c>
      <c r="Y352" s="387">
        <f t="shared" si="138"/>
        <v>9.6959138952304773</v>
      </c>
      <c r="Z352" s="387">
        <f t="shared" si="139"/>
        <v>10.497190998010311</v>
      </c>
      <c r="AA352" s="388">
        <f t="shared" si="140"/>
        <v>12.007225301947004</v>
      </c>
      <c r="AB352" s="199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0.12576047054699957</v>
      </c>
      <c r="AD352" s="233">
        <f>(INDEX(Models!$BJ352:$BT352,,AH352)*(1-AF352)+INDEX(Models!$BJ352:$BT352,,AH352+1)*AF352-ERP_i)*AE352*Ramure*Pc/MaxiM</f>
        <v>0.34160028080586929</v>
      </c>
      <c r="AE352" s="307">
        <f t="shared" si="142"/>
        <v>1</v>
      </c>
      <c r="AF352" s="179">
        <f t="shared" si="143"/>
        <v>0.19952100781069326</v>
      </c>
      <c r="AG352" s="837">
        <f t="shared" si="149"/>
        <v>4</v>
      </c>
      <c r="AH352" s="178">
        <f t="shared" si="144"/>
        <v>10</v>
      </c>
      <c r="AI352" s="227">
        <f t="shared" si="145"/>
        <v>4.1995210078106933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46726</v>
      </c>
      <c r="B353" s="1139">
        <f>IF(t&gt;Tmaj,'2026'!Wh/'2026'!Env_an*'2027'!Env_an,0.001*'[14]mon-tableau (2)'!$B$212)</f>
        <v>15.902152209000388</v>
      </c>
      <c r="C353" s="866"/>
      <c r="D353" s="395">
        <f t="shared" si="127"/>
        <v>17.216717843028924</v>
      </c>
      <c r="E353" s="387">
        <f t="shared" si="125"/>
        <v>18.640028053155962</v>
      </c>
      <c r="F353" s="387">
        <f t="shared" si="128"/>
        <v>19.680771499615485</v>
      </c>
      <c r="G353" s="110">
        <f t="shared" si="126"/>
        <v>1.0244001947458026</v>
      </c>
      <c r="H353" s="414" t="b">
        <f>Wh_hp&gt;='2026'!Maxi_hp</f>
        <v>1</v>
      </c>
      <c r="I353" s="392">
        <f>IF(H353,Wh_hp,'2026'!Maxi_hp)</f>
        <v>19.680771499615485</v>
      </c>
      <c r="J353" s="85">
        <f>IF(H353,An,'2026'!An_max)</f>
        <v>2027</v>
      </c>
      <c r="K353" s="199">
        <f t="shared" si="129"/>
        <v>46726</v>
      </c>
      <c r="L353" s="147">
        <f>IF(t&lt;Tvie,1-EXP((T0-t)*PertePVj)+'2026'!Pspv,1-EXP((T0-t)*PertePVj)+Pspv)</f>
        <v>7.6354020900726183E-2</v>
      </c>
      <c r="M353" s="870"/>
      <c r="N353" s="870"/>
      <c r="O353" s="48">
        <f>IF(t&lt;Tnet,'2026'!Resal+('2026'!Salim-'2026'!Resal)*(1-EXP(('2026'!Tnet-t)/('2026'!Tau_j))),Resal+(Salim-Resal)*(1-EXP((Tnet-t)/(Tau_j))))*Salcycl</f>
        <v>7.6357728972733768E-2</v>
      </c>
      <c r="P353" s="171">
        <f>(INDEX(Models!$BJ353:$BT353,,T353)*(1-R353)+INDEX(Models!$BJ353:$BT353,,T353+1)*R353-ERP_i)*Q353*Ramure*Pc/MaxiM</f>
        <v>5.2881232144779321E-2</v>
      </c>
      <c r="Q353" s="307">
        <f t="shared" si="130"/>
        <v>1</v>
      </c>
      <c r="R353" s="179">
        <f t="shared" si="131"/>
        <v>0.26455796345583915</v>
      </c>
      <c r="S353" s="837">
        <f t="shared" si="132"/>
        <v>-1</v>
      </c>
      <c r="T353" s="178">
        <f t="shared" si="133"/>
        <v>5</v>
      </c>
      <c r="U353" s="253">
        <f t="shared" si="134"/>
        <v>-0.73544203654416085</v>
      </c>
      <c r="V353" s="385">
        <f t="shared" si="135"/>
        <v>15.523378744521221</v>
      </c>
      <c r="W353" s="404">
        <f t="shared" si="136"/>
        <v>15.902152209000388</v>
      </c>
      <c r="X353" s="157">
        <f t="shared" si="137"/>
        <v>46726</v>
      </c>
      <c r="Y353" s="387">
        <f t="shared" si="138"/>
        <v>10.420331789418144</v>
      </c>
      <c r="Z353" s="387">
        <f t="shared" si="139"/>
        <v>11.281737835940023</v>
      </c>
      <c r="AA353" s="388">
        <f t="shared" si="140"/>
        <v>12.904919017881443</v>
      </c>
      <c r="AB353" s="199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0.12578003625534503</v>
      </c>
      <c r="AD353" s="233">
        <f>(INDEX(Models!$BJ353:$BT353,,AH353)*(1-AF353)+INDEX(Models!$BJ353:$BT353,,AH353+1)*AF353-ERP_i)*AE353*Ramure*Pc/MaxiM</f>
        <v>0.34428795039190541</v>
      </c>
      <c r="AE353" s="307">
        <f t="shared" si="142"/>
        <v>1</v>
      </c>
      <c r="AF353" s="179">
        <f t="shared" si="143"/>
        <v>0.19954055637940993</v>
      </c>
      <c r="AG353" s="837">
        <f t="shared" si="149"/>
        <v>4</v>
      </c>
      <c r="AH353" s="178">
        <f t="shared" si="144"/>
        <v>10</v>
      </c>
      <c r="AI353" s="227">
        <f t="shared" si="145"/>
        <v>4.1995405563794099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46727</v>
      </c>
      <c r="B354" s="1139">
        <f>IF(t&gt;Tmaj,'2026'!Wh/'2026'!Env_an*'2027'!Env_an,0.001*'[14]mon-tableau (2)'!$B$213)</f>
        <v>11.413544278898355</v>
      </c>
      <c r="C354" s="866"/>
      <c r="D354" s="395">
        <f t="shared" si="127"/>
        <v>12.357342697534065</v>
      </c>
      <c r="E354" s="387">
        <f t="shared" si="125"/>
        <v>13.381031901917526</v>
      </c>
      <c r="F354" s="387">
        <f t="shared" si="128"/>
        <v>13.849564235201488</v>
      </c>
      <c r="G354" s="110">
        <f t="shared" si="126"/>
        <v>0.72626352517595305</v>
      </c>
      <c r="H354" s="414" t="b">
        <f>Wh_hp&gt;='2026'!Maxi_hp</f>
        <v>0</v>
      </c>
      <c r="I354" s="392">
        <f>IF(H354,Wh_hp,'2026'!Maxi_hp)</f>
        <v>16.269133792401302</v>
      </c>
      <c r="J354" s="85">
        <f>IF(H354,An,'2026'!An_max)</f>
        <v>2020</v>
      </c>
      <c r="K354" s="199">
        <f t="shared" si="129"/>
        <v>46727</v>
      </c>
      <c r="L354" s="147">
        <f>IF(t&lt;Tvie,1-EXP((T0-t)*PertePVj)+'2026'!Pspv,1-EXP((T0-t)*PertePVj)+Pspv)</f>
        <v>7.6375515492019708E-2</v>
      </c>
      <c r="M354" s="870"/>
      <c r="N354" s="870"/>
      <c r="O354" s="48">
        <f>IF(t&lt;Tnet,'2026'!Resal+('2026'!Salim-'2026'!Resal)*(1-EXP(('2026'!Tnet-t)/('2026'!Tau_j))),Resal+(Salim-Resal)*(1-EXP((Tnet-t)/(Tau_j))))*Salcycl</f>
        <v>7.6503009027036592E-2</v>
      </c>
      <c r="P354" s="171">
        <f>(INDEX(Models!$BJ354:$BT354,,T354)*(1-R354)+INDEX(Models!$BJ354:$BT354,,T354+1)*R354-ERP_i)*Q354*Ramure*Pc/MaxiM</f>
        <v>5.3641722793248602E-2</v>
      </c>
      <c r="Q354" s="307">
        <f t="shared" si="130"/>
        <v>1</v>
      </c>
      <c r="R354" s="179">
        <f t="shared" si="131"/>
        <v>0.26457672596817128</v>
      </c>
      <c r="S354" s="837">
        <f t="shared" si="132"/>
        <v>-1</v>
      </c>
      <c r="T354" s="178">
        <f t="shared" si="133"/>
        <v>5</v>
      </c>
      <c r="U354" s="253">
        <f t="shared" si="134"/>
        <v>-0.73542327403182872</v>
      </c>
      <c r="V354" s="385">
        <f t="shared" si="135"/>
        <v>15.393181227847155</v>
      </c>
      <c r="W354" s="404">
        <f t="shared" si="136"/>
        <v>11.413544278898355</v>
      </c>
      <c r="X354" s="157">
        <f t="shared" si="137"/>
        <v>46727</v>
      </c>
      <c r="Y354" s="387">
        <f t="shared" si="138"/>
        <v>8.73669947221833</v>
      </c>
      <c r="Z354" s="387">
        <f t="shared" si="139"/>
        <v>9.4591466756886771</v>
      </c>
      <c r="AA354" s="388">
        <f t="shared" si="140"/>
        <v>10.820389177617953</v>
      </c>
      <c r="AB354" s="199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0.12580346968896608</v>
      </c>
      <c r="AD354" s="233">
        <f>(INDEX(Models!$BJ354:$BT354,,AH354)*(1-AF354)+INDEX(Models!$BJ354:$BT354,,AH354+1)*AF354-ERP_i)*AE354*Ramure*Pc/MaxiM</f>
        <v>0.34680673496366593</v>
      </c>
      <c r="AE354" s="307">
        <f t="shared" si="142"/>
        <v>1</v>
      </c>
      <c r="AF354" s="179">
        <f t="shared" si="143"/>
        <v>0.19955931889174217</v>
      </c>
      <c r="AG354" s="837">
        <f t="shared" si="149"/>
        <v>4</v>
      </c>
      <c r="AH354" s="178">
        <f t="shared" si="144"/>
        <v>10</v>
      </c>
      <c r="AI354" s="227">
        <f t="shared" si="145"/>
        <v>4.1995593188917422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46728</v>
      </c>
      <c r="B355" s="1139">
        <f>IF(t&gt;Tmaj,'2026'!Wh/'2026'!Env_an*'2027'!Env_an,0.001*'[14]mon-tableau (2)'!$B$214)</f>
        <v>14.045380392377265</v>
      </c>
      <c r="C355" s="866"/>
      <c r="D355" s="395">
        <f t="shared" si="127"/>
        <v>15.20716210115067</v>
      </c>
      <c r="E355" s="387">
        <f t="shared" si="125"/>
        <v>16.469556776181204</v>
      </c>
      <c r="F355" s="387">
        <f t="shared" si="128"/>
        <v>17.302359175193022</v>
      </c>
      <c r="G355" s="110">
        <f t="shared" si="126"/>
        <v>0.91366052429442401</v>
      </c>
      <c r="H355" s="414" t="b">
        <f>Wh_hp&gt;='2026'!Maxi_hp</f>
        <v>0</v>
      </c>
      <c r="I355" s="392">
        <f>IF(H355,Wh_hp,'2026'!Maxi_hp)</f>
        <v>17.395805417330042</v>
      </c>
      <c r="J355" s="85">
        <f>IF(H355,An,'2026'!An_max)</f>
        <v>2025</v>
      </c>
      <c r="K355" s="199">
        <f t="shared" si="129"/>
        <v>46728</v>
      </c>
      <c r="L355" s="147">
        <f>IF(t&lt;Tvie,1-EXP((T0-t)*PertePVj)+'2026'!Pspv,1-EXP((T0-t)*PertePVj)+Pspv)</f>
        <v>7.6397009583102804E-2</v>
      </c>
      <c r="M355" s="870"/>
      <c r="N355" s="870"/>
      <c r="O355" s="48">
        <f>IF(t&lt;Tnet,'2026'!Resal+('2026'!Salim-'2026'!Resal)*(1-EXP(('2026'!Tnet-t)/('2026'!Tau_j))),Resal+(Salim-Resal)*(1-EXP((Tnet-t)/(Tau_j))))*Salcycl</f>
        <v>7.6650191148813954E-2</v>
      </c>
      <c r="P355" s="171">
        <f>(INDEX(Models!$BJ355:$BT355,,T355)*(1-R355)+INDEX(Models!$BJ355:$BT355,,T355+1)*R355-ERP_i)*Q355*Ramure*Pc/MaxiM</f>
        <v>5.4370314669674236E-2</v>
      </c>
      <c r="Q355" s="307">
        <f t="shared" si="130"/>
        <v>1</v>
      </c>
      <c r="R355" s="179">
        <f t="shared" si="131"/>
        <v>0.26459473399217037</v>
      </c>
      <c r="S355" s="837">
        <f t="shared" si="132"/>
        <v>-1</v>
      </c>
      <c r="T355" s="178">
        <f t="shared" si="133"/>
        <v>5</v>
      </c>
      <c r="U355" s="253">
        <f t="shared" si="134"/>
        <v>-0.73540526600782963</v>
      </c>
      <c r="V355" s="385">
        <f t="shared" si="135"/>
        <v>15.271902868787867</v>
      </c>
      <c r="W355" s="404">
        <f t="shared" si="136"/>
        <v>14.045380392377265</v>
      </c>
      <c r="X355" s="157">
        <f t="shared" si="137"/>
        <v>46728</v>
      </c>
      <c r="Y355" s="387">
        <f t="shared" si="138"/>
        <v>9.6520006847613544</v>
      </c>
      <c r="Z355" s="387">
        <f t="shared" si="139"/>
        <v>10.450378338862482</v>
      </c>
      <c r="AA355" s="388">
        <f t="shared" si="140"/>
        <v>11.954638580703557</v>
      </c>
      <c r="AB355" s="199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0.12583067498746139</v>
      </c>
      <c r="AD355" s="233">
        <f>(INDEX(Models!$BJ355:$BT355,,AH355)*(1-AF355)+INDEX(Models!$BJ355:$BT355,,AH355+1)*AF355-ERP_i)*AE355*Ramure*Pc/MaxiM</f>
        <v>0.34913114063179318</v>
      </c>
      <c r="AE355" s="307">
        <f t="shared" si="142"/>
        <v>1</v>
      </c>
      <c r="AF355" s="179">
        <f t="shared" si="143"/>
        <v>0.19957732691574037</v>
      </c>
      <c r="AG355" s="837">
        <f t="shared" si="149"/>
        <v>4</v>
      </c>
      <c r="AH355" s="178">
        <f t="shared" si="144"/>
        <v>10</v>
      </c>
      <c r="AI355" s="227">
        <f t="shared" si="145"/>
        <v>4.1995773269157404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46729</v>
      </c>
      <c r="B356" s="1139">
        <f>IF(t&gt;Tmaj,'2026'!Wh/'2026'!Env_an*'2027'!Env_an,0.001*'[14]mon-tableau (2)'!$B$215)</f>
        <v>4.193624820837786</v>
      </c>
      <c r="C356" s="866"/>
      <c r="D356" s="395">
        <f t="shared" si="127"/>
        <v>4.5406115597265941</v>
      </c>
      <c r="E356" s="387">
        <f t="shared" si="125"/>
        <v>4.9183359442262526</v>
      </c>
      <c r="F356" s="387">
        <f t="shared" si="128"/>
        <v>4.9183359442262526</v>
      </c>
      <c r="G356" s="110">
        <f t="shared" si="126"/>
        <v>0.26138575882339737</v>
      </c>
      <c r="H356" s="414" t="b">
        <f>Wh_hp&gt;='2026'!Maxi_hp</f>
        <v>0</v>
      </c>
      <c r="I356" s="392">
        <f>IF(H356,Wh_hp,'2026'!Maxi_hp)</f>
        <v>15.197501570723485</v>
      </c>
      <c r="J356" s="85">
        <f>IF(H356,An,'2026'!An_max)</f>
        <v>2019</v>
      </c>
      <c r="K356" s="199">
        <f t="shared" si="129"/>
        <v>46729</v>
      </c>
      <c r="L356" s="147">
        <f>IF(t&lt;Tvie,1-EXP((T0-t)*PertePVj)+'2026'!Pspv,1-EXP((T0-t)*PertePVj)+Pspv)</f>
        <v>7.6418503173986907E-2</v>
      </c>
      <c r="M356" s="870"/>
      <c r="N356" s="870"/>
      <c r="O356" s="48">
        <f>IF(t&lt;Tnet,'2026'!Resal+('2026'!Salim-'2026'!Resal)*(1-EXP(('2026'!Tnet-t)/('2026'!Tau_j))),Resal+(Salim-Resal)*(1-EXP((Tnet-t)/(Tau_j))))*Salcycl</f>
        <v>7.6799224124386556E-2</v>
      </c>
      <c r="P356" s="171">
        <f>(INDEX(Models!$BJ356:$BT356,,T356)*(1-R356)+INDEX(Models!$BJ356:$BT356,,T356+1)*R356-ERP_i)*Q356*Ramure*Pc/MaxiM</f>
        <v>5.5062288565183616E-2</v>
      </c>
      <c r="Q356" s="307">
        <f t="shared" si="130"/>
        <v>1</v>
      </c>
      <c r="R356" s="179">
        <f t="shared" si="131"/>
        <v>0.264612017831238</v>
      </c>
      <c r="S356" s="837">
        <f t="shared" si="132"/>
        <v>-1</v>
      </c>
      <c r="T356" s="178">
        <f t="shared" si="133"/>
        <v>5</v>
      </c>
      <c r="U356" s="253">
        <f t="shared" si="134"/>
        <v>-0.735387982168762</v>
      </c>
      <c r="V356" s="385">
        <f t="shared" si="135"/>
        <v>15.160406055236034</v>
      </c>
      <c r="W356" s="404">
        <f t="shared" si="136"/>
        <v>4.193624820837786</v>
      </c>
      <c r="X356" s="157">
        <f t="shared" si="137"/>
        <v>46729</v>
      </c>
      <c r="Y356" s="387">
        <f t="shared" si="138"/>
        <v>3.9707600045299443</v>
      </c>
      <c r="Z356" s="387">
        <f t="shared" si="139"/>
        <v>4.2993065778990669</v>
      </c>
      <c r="AA356" s="388">
        <f t="shared" si="140"/>
        <v>4.9183359442262526</v>
      </c>
      <c r="AB356" s="199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0.12586154613002359</v>
      </c>
      <c r="AD356" s="233">
        <f>(INDEX(Models!$BJ356:$BT356,,AH356)*(1-AF356)+INDEX(Models!$BJ356:$BT356,,AH356+1)*AF356-ERP_i)*AE356*Ramure*Pc/MaxiM</f>
        <v>0.35123503878983126</v>
      </c>
      <c r="AE356" s="307">
        <f t="shared" si="142"/>
        <v>1</v>
      </c>
      <c r="AF356" s="179">
        <f t="shared" si="143"/>
        <v>0.19959461075480878</v>
      </c>
      <c r="AG356" s="837">
        <f t="shared" si="149"/>
        <v>4</v>
      </c>
      <c r="AH356" s="178">
        <f t="shared" si="144"/>
        <v>10</v>
      </c>
      <c r="AI356" s="227">
        <f t="shared" si="145"/>
        <v>4.1995946107548088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46730</v>
      </c>
      <c r="B357" s="1139">
        <f>IF(t&gt;Tmaj,'2026'!Wh/'2026'!Env_an*'2027'!Env_an,0.001*'[14]mon-tableau (2)'!$B$216)</f>
        <v>7.9950049380871873</v>
      </c>
      <c r="C357" s="866"/>
      <c r="D357" s="395">
        <f t="shared" si="127"/>
        <v>8.6567249618341879</v>
      </c>
      <c r="E357" s="387">
        <f t="shared" si="125"/>
        <v>9.3783927588580376</v>
      </c>
      <c r="F357" s="387">
        <f t="shared" si="128"/>
        <v>9.5539627667940703</v>
      </c>
      <c r="G357" s="110">
        <f t="shared" si="126"/>
        <v>0.51070006313137006</v>
      </c>
      <c r="H357" s="414" t="b">
        <f>Wh_hp&gt;='2026'!Maxi_hp</f>
        <v>0</v>
      </c>
      <c r="I357" s="392">
        <f>IF(H357,Wh_hp,'2026'!Maxi_hp)</f>
        <v>9.8635040892331691</v>
      </c>
      <c r="J357" s="85">
        <f>IF(H357,An,'2026'!An_max)</f>
        <v>2025</v>
      </c>
      <c r="K357" s="199">
        <f t="shared" si="129"/>
        <v>46730</v>
      </c>
      <c r="L357" s="147">
        <f>IF(t&lt;Tvie,1-EXP((T0-t)*PertePVj)+'2026'!Pspv,1-EXP((T0-t)*PertePVj)+Pspv)</f>
        <v>7.6439996264683785E-2</v>
      </c>
      <c r="M357" s="870"/>
      <c r="N357" s="870"/>
      <c r="O357" s="48">
        <f>IF(t&lt;Tnet,'2026'!Resal+('2026'!Salim-'2026'!Resal)*(1-EXP(('2026'!Tnet-t)/('2026'!Tau_j))),Resal+(Salim-Resal)*(1-EXP((Tnet-t)/(Tau_j))))*Salcycl</f>
        <v>7.6950050566204187E-2</v>
      </c>
      <c r="P357" s="171">
        <f>(INDEX(Models!$BJ357:$BT357,,T357)*(1-R357)+INDEX(Models!$BJ357:$BT357,,T357+1)*R357-ERP_i)*Q357*Ramure*Pc/MaxiM</f>
        <v>5.5712777799081487E-2</v>
      </c>
      <c r="Q357" s="307">
        <f t="shared" si="130"/>
        <v>1</v>
      </c>
      <c r="R357" s="179">
        <f t="shared" si="131"/>
        <v>0.26462860657454212</v>
      </c>
      <c r="S357" s="837">
        <f t="shared" si="132"/>
        <v>-1</v>
      </c>
      <c r="T357" s="178">
        <f t="shared" si="133"/>
        <v>5</v>
      </c>
      <c r="U357" s="253">
        <f t="shared" si="134"/>
        <v>-0.73537139342545788</v>
      </c>
      <c r="V357" s="385">
        <f t="shared" si="135"/>
        <v>15.059552455442818</v>
      </c>
      <c r="W357" s="404">
        <f t="shared" si="136"/>
        <v>7.9950049380871873</v>
      </c>
      <c r="X357" s="157">
        <f t="shared" si="137"/>
        <v>46730</v>
      </c>
      <c r="Y357" s="387">
        <f t="shared" si="138"/>
        <v>6.8145153791515174</v>
      </c>
      <c r="Z357" s="387">
        <f t="shared" si="139"/>
        <v>7.3785302000848603</v>
      </c>
      <c r="AA357" s="388">
        <f t="shared" si="140"/>
        <v>8.4412494723279927</v>
      </c>
      <c r="AB357" s="199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0.125895967857238</v>
      </c>
      <c r="AD357" s="233">
        <f>(INDEX(Models!$BJ357:$BT357,,AH357)*(1-AF357)+INDEX(Models!$BJ357:$BT357,,AH357+1)*AF357-ERP_i)*AE357*Ramure*Pc/MaxiM</f>
        <v>0.35309190480448477</v>
      </c>
      <c r="AE357" s="307">
        <f t="shared" si="142"/>
        <v>1</v>
      </c>
      <c r="AF357" s="179">
        <f t="shared" si="143"/>
        <v>0.19961119949811224</v>
      </c>
      <c r="AG357" s="837">
        <f t="shared" si="149"/>
        <v>4</v>
      </c>
      <c r="AH357" s="178">
        <f t="shared" si="144"/>
        <v>10</v>
      </c>
      <c r="AI357" s="227">
        <f t="shared" si="145"/>
        <v>4.1996111994981122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46731</v>
      </c>
      <c r="B358" s="1139">
        <f>IF(t&gt;Tmaj,'2026'!Wh/'2026'!Env_an*'2027'!Env_an,0.001*'[14]mon-tableau (2)'!$B$217)</f>
        <v>11.712579640941478</v>
      </c>
      <c r="C358" s="866"/>
      <c r="D358" s="395">
        <f t="shared" si="127"/>
        <v>12.682286119744871</v>
      </c>
      <c r="E358" s="387">
        <f t="shared" si="125"/>
        <v>13.741815961580693</v>
      </c>
      <c r="F358" s="387">
        <f t="shared" si="128"/>
        <v>14.296666066802956</v>
      </c>
      <c r="G358" s="110">
        <f t="shared" si="126"/>
        <v>0.76814238489046305</v>
      </c>
      <c r="H358" s="414" t="b">
        <f>Wh_hp&gt;='2026'!Maxi_hp</f>
        <v>0</v>
      </c>
      <c r="I358" s="392">
        <f>IF(H358,Wh_hp,'2026'!Maxi_hp)</f>
        <v>16.709769802628212</v>
      </c>
      <c r="J358" s="85">
        <f>IF(H358,An,'2026'!An_max)</f>
        <v>2019</v>
      </c>
      <c r="K358" s="199">
        <f t="shared" si="129"/>
        <v>46731</v>
      </c>
      <c r="L358" s="147">
        <f>IF(t&lt;Tvie,1-EXP((T0-t)*PertePVj)+'2026'!Pspv,1-EXP((T0-t)*PertePVj)+Pspv)</f>
        <v>7.6461488855204984E-2</v>
      </c>
      <c r="M358" s="870"/>
      <c r="N358" s="870"/>
      <c r="O358" s="48">
        <f>IF(t&lt;Tnet,'2026'!Resal+('2026'!Salim-'2026'!Resal)*(1-EXP(('2026'!Tnet-t)/('2026'!Tau_j))),Resal+(Salim-Resal)*(1-EXP((Tnet-t)/(Tau_j))))*Salcycl</f>
        <v>7.7102607457271322E-2</v>
      </c>
      <c r="P358" s="171">
        <f>(INDEX(Models!$BJ358:$BT358,,T358)*(1-R358)+INDEX(Models!$BJ358:$BT358,,T358+1)*R358-ERP_i)*Q358*Ramure*Pc/MaxiM</f>
        <v>5.6316815119157246E-2</v>
      </c>
      <c r="Q358" s="307">
        <f t="shared" si="130"/>
        <v>1</v>
      </c>
      <c r="R358" s="179">
        <f t="shared" si="131"/>
        <v>0.26464452814544448</v>
      </c>
      <c r="S358" s="837">
        <f t="shared" si="132"/>
        <v>-1</v>
      </c>
      <c r="T358" s="178">
        <f t="shared" si="133"/>
        <v>5</v>
      </c>
      <c r="U358" s="253">
        <f t="shared" si="134"/>
        <v>-0.73535547185455552</v>
      </c>
      <c r="V358" s="385">
        <f t="shared" si="135"/>
        <v>14.970202997180687</v>
      </c>
      <c r="W358" s="404">
        <f t="shared" si="136"/>
        <v>11.712579640941478</v>
      </c>
      <c r="X358" s="157">
        <f t="shared" si="137"/>
        <v>46731</v>
      </c>
      <c r="Y358" s="387">
        <f t="shared" si="138"/>
        <v>8.7199822216543854</v>
      </c>
      <c r="Z358" s="387">
        <f t="shared" si="139"/>
        <v>9.4419259364131065</v>
      </c>
      <c r="AA358" s="388">
        <f t="shared" si="140"/>
        <v>10.802300919613442</v>
      </c>
      <c r="AB358" s="199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0.12593381663070868</v>
      </c>
      <c r="AD358" s="233">
        <f>(INDEX(Models!$BJ358:$BT358,,AH358)*(1-AF358)+INDEX(Models!$BJ358:$BT358,,AH358+1)*AF358-ERP_i)*AE358*Ramure*Pc/MaxiM</f>
        <v>0.35467509891571064</v>
      </c>
      <c r="AE358" s="307">
        <f t="shared" si="142"/>
        <v>1</v>
      </c>
      <c r="AF358" s="179">
        <f t="shared" si="143"/>
        <v>0.19962712106901481</v>
      </c>
      <c r="AG358" s="837">
        <f t="shared" si="149"/>
        <v>4</v>
      </c>
      <c r="AH358" s="178">
        <f t="shared" si="144"/>
        <v>10</v>
      </c>
      <c r="AI358" s="227">
        <f t="shared" si="145"/>
        <v>4.1996271210690148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46732</v>
      </c>
      <c r="B359" s="1139">
        <f>IF(t&gt;Tmaj,'2026'!Wh/'2026'!Env_an*'2027'!Env_an,0.001*'[14]mon-tableau (2)'!$B$218)</f>
        <v>12.269440074836561</v>
      </c>
      <c r="C359" s="866"/>
      <c r="D359" s="395">
        <f t="shared" si="127"/>
        <v>13.285559249789339</v>
      </c>
      <c r="E359" s="387">
        <f t="shared" si="125"/>
        <v>14.397894922992084</v>
      </c>
      <c r="F359" s="387">
        <f t="shared" si="128"/>
        <v>15.038128738310009</v>
      </c>
      <c r="G359" s="110">
        <f t="shared" si="126"/>
        <v>0.81165014824369119</v>
      </c>
      <c r="H359" s="414" t="b">
        <f>Wh_hp&gt;='2026'!Maxi_hp</f>
        <v>0</v>
      </c>
      <c r="I359" s="392">
        <f>IF(H359,Wh_hp,'2026'!Maxi_hp)</f>
        <v>15.226876392716589</v>
      </c>
      <c r="J359" s="85">
        <f>IF(H359,An,'2026'!An_max)</f>
        <v>2025</v>
      </c>
      <c r="K359" s="199">
        <f t="shared" si="129"/>
        <v>46732</v>
      </c>
      <c r="L359" s="147">
        <f>IF(t&lt;Tvie,1-EXP((T0-t)*PertePVj)+'2026'!Pspv,1-EXP((T0-t)*PertePVj)+Pspv)</f>
        <v>7.6482980945562273E-2</v>
      </c>
      <c r="M359" s="870"/>
      <c r="N359" s="870"/>
      <c r="O359" s="48">
        <f>IF(t&lt;Tnet,'2026'!Resal+('2026'!Salim-'2026'!Resal)*(1-EXP(('2026'!Tnet-t)/('2026'!Tau_j))),Resal+(Salim-Resal)*(1-EXP((Tnet-t)/(Tau_j))))*Salcycl</f>
        <v>7.7256826720304067E-2</v>
      </c>
      <c r="P359" s="171">
        <f>(INDEX(Models!$BJ359:$BT359,,T359)*(1-R359)+INDEX(Models!$BJ359:$BT359,,T359+1)*R359-ERP_i)*Q359*Ramure*Pc/MaxiM</f>
        <v>5.6878034844175501E-2</v>
      </c>
      <c r="Q359" s="307">
        <f t="shared" si="130"/>
        <v>1</v>
      </c>
      <c r="R359" s="179">
        <f t="shared" si="131"/>
        <v>0.26465980934801236</v>
      </c>
      <c r="S359" s="837">
        <f t="shared" si="132"/>
        <v>-1</v>
      </c>
      <c r="T359" s="178">
        <f t="shared" si="133"/>
        <v>5</v>
      </c>
      <c r="U359" s="253">
        <f t="shared" si="134"/>
        <v>-0.73534019065198764</v>
      </c>
      <c r="V359" s="385">
        <f t="shared" si="135"/>
        <v>14.890817116552745</v>
      </c>
      <c r="W359" s="404">
        <f t="shared" si="136"/>
        <v>12.269440074836561</v>
      </c>
      <c r="X359" s="157">
        <f t="shared" si="137"/>
        <v>46732</v>
      </c>
      <c r="Y359" s="387">
        <f t="shared" si="138"/>
        <v>8.9037776992957536</v>
      </c>
      <c r="Z359" s="387">
        <f t="shared" si="139"/>
        <v>9.6411625509750465</v>
      </c>
      <c r="AA359" s="388">
        <f t="shared" si="140"/>
        <v>11.030762424008355</v>
      </c>
      <c r="AB359" s="199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0.12597496162267591</v>
      </c>
      <c r="AD359" s="233">
        <f>(INDEX(Models!$BJ359:$BT359,,AH359)*(1-AF359)+INDEX(Models!$BJ359:$BT359,,AH359+1)*AF359-ERP_i)*AE359*Ramure*Pc/MaxiM</f>
        <v>0.35601231207233081</v>
      </c>
      <c r="AE359" s="307">
        <f t="shared" si="142"/>
        <v>1</v>
      </c>
      <c r="AF359" s="179">
        <f t="shared" si="143"/>
        <v>0.19964240227158303</v>
      </c>
      <c r="AG359" s="837">
        <f t="shared" si="149"/>
        <v>4</v>
      </c>
      <c r="AH359" s="178">
        <f t="shared" si="144"/>
        <v>10</v>
      </c>
      <c r="AI359" s="227">
        <f t="shared" si="145"/>
        <v>4.199642402271583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46733</v>
      </c>
      <c r="B360" s="1139">
        <f>IF(t&gt;Tmaj,'2026'!Wh/'2026'!Env_an*'2027'!Env_an,0.001*'[14]mon-tableau (2)'!$B$219)</f>
        <v>4.2613111837305091</v>
      </c>
      <c r="C360" s="866"/>
      <c r="D360" s="395">
        <f t="shared" si="127"/>
        <v>4.6143279063098124</v>
      </c>
      <c r="E360" s="387">
        <f t="shared" si="125"/>
        <v>5.0015078087973786</v>
      </c>
      <c r="F360" s="387">
        <f t="shared" si="128"/>
        <v>5.0015078087973786</v>
      </c>
      <c r="G360" s="110">
        <f t="shared" si="126"/>
        <v>0.27104441222399972</v>
      </c>
      <c r="H360" s="414" t="b">
        <f>Wh_hp&gt;='2026'!Maxi_hp</f>
        <v>0</v>
      </c>
      <c r="I360" s="392">
        <f>IF(H360,Wh_hp,'2026'!Maxi_hp)</f>
        <v>18.180866502884243</v>
      </c>
      <c r="J360" s="85">
        <f>IF(H360,An,'2026'!An_max)</f>
        <v>2021</v>
      </c>
      <c r="K360" s="199">
        <f t="shared" si="129"/>
        <v>46733</v>
      </c>
      <c r="L360" s="147">
        <f>IF(t&lt;Tvie,1-EXP((T0-t)*PertePVj)+'2026'!Pspv,1-EXP((T0-t)*PertePVj)+Pspv)</f>
        <v>7.6504472535767198E-2</v>
      </c>
      <c r="M360" s="870"/>
      <c r="N360" s="870"/>
      <c r="O360" s="48">
        <f>IF(t&lt;Tnet,'2026'!Resal+('2026'!Salim-'2026'!Resal)*(1-EXP(('2026'!Tnet-t)/('2026'!Tau_j))),Resal+(Salim-Resal)*(1-EXP((Tnet-t)/(Tau_j))))*Salcycl</f>
        <v>7.7412635806853661E-2</v>
      </c>
      <c r="P360" s="171">
        <f>(INDEX(Models!$BJ360:$BT360,,T360)*(1-R360)+INDEX(Models!$BJ360:$BT360,,T360+1)*R360-ERP_i)*Q360*Ramure*Pc/MaxiM</f>
        <v>5.7402379184185774E-2</v>
      </c>
      <c r="Q360" s="307">
        <f t="shared" si="130"/>
        <v>1</v>
      </c>
      <c r="R360" s="179">
        <f t="shared" si="131"/>
        <v>0.26467447591169302</v>
      </c>
      <c r="S360" s="837">
        <f t="shared" si="132"/>
        <v>-1</v>
      </c>
      <c r="T360" s="178">
        <f t="shared" si="133"/>
        <v>5</v>
      </c>
      <c r="U360" s="253">
        <f t="shared" si="134"/>
        <v>-0.73532552408830698</v>
      </c>
      <c r="V360" s="385">
        <f t="shared" si="135"/>
        <v>14.819349162677698</v>
      </c>
      <c r="W360" s="404">
        <f t="shared" si="136"/>
        <v>4.2613111837305091</v>
      </c>
      <c r="X360" s="157">
        <f t="shared" si="137"/>
        <v>46733</v>
      </c>
      <c r="Y360" s="387">
        <f t="shared" si="138"/>
        <v>4.036803474516387</v>
      </c>
      <c r="Z360" s="387">
        <f t="shared" si="139"/>
        <v>4.3712214672016731</v>
      </c>
      <c r="AA360" s="388">
        <f t="shared" si="140"/>
        <v>5.0015078087973786</v>
      </c>
      <c r="AB360" s="199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0.12601926572764036</v>
      </c>
      <c r="AD360" s="233">
        <f>(INDEX(Models!$BJ360:$BT360,,AH360)*(1-AF360)+INDEX(Models!$BJ360:$BT360,,AH360+1)*AF360-ERP_i)*AE360*Ramure*Pc/MaxiM</f>
        <v>0.35714475735245838</v>
      </c>
      <c r="AE360" s="307">
        <f t="shared" si="142"/>
        <v>1</v>
      </c>
      <c r="AF360" s="179">
        <f t="shared" si="143"/>
        <v>0.19965706883526302</v>
      </c>
      <c r="AG360" s="837">
        <f t="shared" si="149"/>
        <v>4</v>
      </c>
      <c r="AH360" s="178">
        <f t="shared" si="144"/>
        <v>10</v>
      </c>
      <c r="AI360" s="227">
        <f t="shared" si="145"/>
        <v>4.199657068835263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46734</v>
      </c>
      <c r="B361" s="1139">
        <f>IF(t&gt;Tmaj,'2026'!Wh/'2026'!Env_an*'2027'!Env_an,0.001*'[14]mon-tableau (2)'!$B$220)</f>
        <v>5.129702879520762</v>
      </c>
      <c r="C361" s="866"/>
      <c r="D361" s="395">
        <f t="shared" si="127"/>
        <v>5.5547884157755947</v>
      </c>
      <c r="E361" s="387">
        <f t="shared" ref="E361:E379" si="150">Wh_pvt/(1-Psa)</f>
        <v>6.0219075319223929</v>
      </c>
      <c r="F361" s="387">
        <f t="shared" si="128"/>
        <v>6.0457161331744134</v>
      </c>
      <c r="G361" s="110">
        <f t="shared" ref="G361:G379" si="151">+Wh_hp/MaxiM</f>
        <v>0.3288080928058143</v>
      </c>
      <c r="H361" s="414" t="b">
        <f>Wh_hp&gt;='2026'!Maxi_hp</f>
        <v>0</v>
      </c>
      <c r="I361" s="392">
        <f>IF(H361,Wh_hp,'2026'!Maxi_hp)</f>
        <v>18.504532146725122</v>
      </c>
      <c r="J361" s="85">
        <f>IF(H361,An,'2026'!An_max)</f>
        <v>2021</v>
      </c>
      <c r="K361" s="199">
        <f t="shared" si="129"/>
        <v>46734</v>
      </c>
      <c r="L361" s="147">
        <f>IF(t&lt;Tvie,1-EXP((T0-t)*PertePVj)+'2026'!Pspv,1-EXP((T0-t)*PertePVj)+Pspv)</f>
        <v>7.6525963625831417E-2</v>
      </c>
      <c r="M361" s="870"/>
      <c r="N361" s="870"/>
      <c r="O361" s="48">
        <f>IF(t&lt;Tnet,'2026'!Resal+('2026'!Salim-'2026'!Resal)*(1-EXP(('2026'!Tnet-t)/('2026'!Tau_j))),Resal+(Salim-Resal)*(1-EXP((Tnet-t)/(Tau_j))))*Salcycl</f>
        <v>7.7569958301514919E-2</v>
      </c>
      <c r="P361" s="171">
        <f>(INDEX(Models!$BJ361:$BT361,,T361)*(1-R361)+INDEX(Models!$BJ361:$BT361,,T361+1)*R361-ERP_i)*Q361*Ramure*Pc/MaxiM</f>
        <v>5.787410825807697E-2</v>
      </c>
      <c r="Q361" s="307">
        <f t="shared" si="130"/>
        <v>1</v>
      </c>
      <c r="R361" s="179">
        <f t="shared" si="131"/>
        <v>0.26468855253421919</v>
      </c>
      <c r="S361" s="837">
        <f t="shared" si="132"/>
        <v>-1</v>
      </c>
      <c r="T361" s="178">
        <f t="shared" si="133"/>
        <v>5</v>
      </c>
      <c r="U361" s="253">
        <f t="shared" si="134"/>
        <v>-0.73531144746578081</v>
      </c>
      <c r="V361" s="385">
        <f t="shared" si="135"/>
        <v>14.756124856617076</v>
      </c>
      <c r="W361" s="404">
        <f t="shared" si="136"/>
        <v>5.129702879520762</v>
      </c>
      <c r="X361" s="157">
        <f t="shared" si="137"/>
        <v>46734</v>
      </c>
      <c r="Y361" s="387">
        <f t="shared" si="138"/>
        <v>4.7603207190078773</v>
      </c>
      <c r="Z361" s="387">
        <f t="shared" si="139"/>
        <v>5.1547964875096008</v>
      </c>
      <c r="AA361" s="388">
        <f t="shared" si="140"/>
        <v>5.8983858591513139</v>
      </c>
      <c r="AB361" s="199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0.12606658658792855</v>
      </c>
      <c r="AD361" s="233">
        <f>(INDEX(Models!$BJ361:$BT361,,AH361)*(1-AF361)+INDEX(Models!$BJ361:$BT361,,AH361+1)*AF361-ERP_i)*AE361*Ramure*Pc/MaxiM</f>
        <v>0.35813142226411093</v>
      </c>
      <c r="AE361" s="307">
        <f t="shared" si="142"/>
        <v>1</v>
      </c>
      <c r="AF361" s="179">
        <f t="shared" si="143"/>
        <v>0.1996711454577893</v>
      </c>
      <c r="AG361" s="837">
        <f t="shared" si="149"/>
        <v>4</v>
      </c>
      <c r="AH361" s="178">
        <f t="shared" si="144"/>
        <v>10</v>
      </c>
      <c r="AI361" s="227">
        <f t="shared" si="145"/>
        <v>4.1996711454577893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46735</v>
      </c>
      <c r="B362" s="1139">
        <f>IF(t&gt;Tmaj,'2026'!Wh/'2026'!Env_an*'2027'!Env_an,0.001*'[14]mon-tableau (2)'!$B$221)</f>
        <v>12.077991188808431</v>
      </c>
      <c r="C362" s="866"/>
      <c r="D362" s="395">
        <f t="shared" si="127"/>
        <v>13.079168219251928</v>
      </c>
      <c r="E362" s="387">
        <f t="shared" si="150"/>
        <v>14.181476128984658</v>
      </c>
      <c r="F362" s="387">
        <f t="shared" si="128"/>
        <v>14.825379264547763</v>
      </c>
      <c r="G362" s="110">
        <f t="shared" si="151"/>
        <v>0.80880035329565192</v>
      </c>
      <c r="H362" s="414" t="b">
        <f>Wh_hp&gt;='2026'!Maxi_hp</f>
        <v>0</v>
      </c>
      <c r="I362" s="392">
        <f>IF(H362,Wh_hp,'2026'!Maxi_hp)</f>
        <v>18.47305077116031</v>
      </c>
      <c r="J362" s="85">
        <f>IF(H362,An,'2026'!An_max)</f>
        <v>2021</v>
      </c>
      <c r="K362" s="199">
        <f t="shared" si="129"/>
        <v>46735</v>
      </c>
      <c r="L362" s="147">
        <f>IF(t&lt;Tvie,1-EXP((T0-t)*PertePVj)+'2026'!Pspv,1-EXP((T0-t)*PertePVj)+Pspv)</f>
        <v>7.6547454215766586E-2</v>
      </c>
      <c r="M362" s="870"/>
      <c r="N362" s="870"/>
      <c r="O362" s="48">
        <f>IF(t&lt;Tnet,'2026'!Resal+('2026'!Salim-'2026'!Resal)*(1-EXP(('2026'!Tnet-t)/('2026'!Tau_j))),Resal+(Salim-Resal)*(1-EXP((Tnet-t)/(Tau_j))))*Salcycl</f>
        <v>7.7728714536266702E-2</v>
      </c>
      <c r="P362" s="171">
        <f>(INDEX(Models!$BJ362:$BT362,,T362)*(1-R362)+INDEX(Models!$BJ362:$BT362,,T362+1)*R362-ERP_i)*Q362*Ramure*Pc/MaxiM</f>
        <v>5.8291671063385155E-2</v>
      </c>
      <c r="Q362" s="307">
        <f t="shared" si="130"/>
        <v>1</v>
      </c>
      <c r="R362" s="179">
        <f t="shared" si="131"/>
        <v>0.26470206292281628</v>
      </c>
      <c r="S362" s="837">
        <f t="shared" si="132"/>
        <v>-1</v>
      </c>
      <c r="T362" s="178">
        <f t="shared" si="133"/>
        <v>5</v>
      </c>
      <c r="U362" s="253">
        <f t="shared" si="134"/>
        <v>-0.73529793707718372</v>
      </c>
      <c r="V362" s="385">
        <f t="shared" si="135"/>
        <v>14.70124657438723</v>
      </c>
      <c r="W362" s="404">
        <f t="shared" si="136"/>
        <v>12.077991188808431</v>
      </c>
      <c r="X362" s="157">
        <f t="shared" si="137"/>
        <v>46735</v>
      </c>
      <c r="Y362" s="387">
        <f t="shared" si="138"/>
        <v>8.764022455211089</v>
      </c>
      <c r="Z362" s="387">
        <f t="shared" si="139"/>
        <v>9.4904957436316604</v>
      </c>
      <c r="AA362" s="388">
        <f t="shared" si="140"/>
        <v>10.860141836617707</v>
      </c>
      <c r="AB362" s="199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0.12611677762512627</v>
      </c>
      <c r="AD362" s="233">
        <f>(INDEX(Models!$BJ362:$BT362,,AH362)*(1-AF362)+INDEX(Models!$BJ362:$BT362,,AH362+1)*AF362-ERP_i)*AE362*Ramure*Pc/MaxiM</f>
        <v>0.35896752643545671</v>
      </c>
      <c r="AE362" s="307">
        <f t="shared" si="142"/>
        <v>1</v>
      </c>
      <c r="AF362" s="179">
        <f t="shared" si="143"/>
        <v>0.19968465584638651</v>
      </c>
      <c r="AG362" s="837">
        <f t="shared" si="149"/>
        <v>4</v>
      </c>
      <c r="AH362" s="178">
        <f t="shared" si="144"/>
        <v>10</v>
      </c>
      <c r="AI362" s="227">
        <f t="shared" si="145"/>
        <v>4.1996846558463865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46736</v>
      </c>
      <c r="B363" s="1139">
        <f>IF(t&gt;Tmaj,'2026'!Wh/'2026'!Env_an*'2027'!Env_an,0.001*'[14]mon-tableau (2)'!$B$222)</f>
        <v>5.921469484803902</v>
      </c>
      <c r="C363" s="866"/>
      <c r="D363" s="395">
        <f t="shared" si="127"/>
        <v>6.4124651735380356</v>
      </c>
      <c r="E363" s="387">
        <f t="shared" si="150"/>
        <v>6.9541128314986649</v>
      </c>
      <c r="F363" s="387">
        <f t="shared" si="128"/>
        <v>7.0152828507672371</v>
      </c>
      <c r="G363" s="110">
        <f t="shared" si="151"/>
        <v>0.38370901784456429</v>
      </c>
      <c r="H363" s="414" t="b">
        <f>Wh_hp&gt;='2026'!Maxi_hp</f>
        <v>0</v>
      </c>
      <c r="I363" s="392">
        <f>IF(H363,Wh_hp,'2026'!Maxi_hp)</f>
        <v>17.873939107740306</v>
      </c>
      <c r="J363" s="85">
        <f>IF(H363,An,'2026'!An_max)</f>
        <v>2021</v>
      </c>
      <c r="K363" s="199">
        <f t="shared" si="129"/>
        <v>46736</v>
      </c>
      <c r="L363" s="147">
        <f>IF(t&lt;Tvie,1-EXP((T0-t)*PertePVj)+'2026'!Pspv,1-EXP((T0-t)*PertePVj)+Pspv)</f>
        <v>7.6568944305584363E-2</v>
      </c>
      <c r="M363" s="870"/>
      <c r="N363" s="870"/>
      <c r="O363" s="48">
        <f>IF(t&lt;Tnet,'2026'!Resal+('2026'!Salim-'2026'!Resal)*(1-EXP(('2026'!Tnet-t)/('2026'!Tau_j))),Resal+(Salim-Resal)*(1-EXP((Tnet-t)/(Tau_j))))*Salcycl</f>
        <v>7.7888822209964029E-2</v>
      </c>
      <c r="P363" s="171">
        <f>(INDEX(Models!$BJ363:$BT363,,T363)*(1-R363)+INDEX(Models!$BJ363:$BT363,,T363+1)*R363-ERP_i)*Q363*Ramure*Pc/MaxiM</f>
        <v>5.8653648455703145E-2</v>
      </c>
      <c r="Q363" s="307">
        <f t="shared" si="130"/>
        <v>1</v>
      </c>
      <c r="R363" s="179">
        <f t="shared" si="131"/>
        <v>0.26471502983377537</v>
      </c>
      <c r="S363" s="837">
        <f t="shared" si="132"/>
        <v>-1</v>
      </c>
      <c r="T363" s="178">
        <f t="shared" si="133"/>
        <v>5</v>
      </c>
      <c r="U363" s="253">
        <f t="shared" si="134"/>
        <v>-0.73528497016622463</v>
      </c>
      <c r="V363" s="385">
        <f t="shared" si="135"/>
        <v>14.654816557611571</v>
      </c>
      <c r="W363" s="404">
        <f t="shared" si="136"/>
        <v>5.921469484803902</v>
      </c>
      <c r="X363" s="157">
        <f t="shared" si="137"/>
        <v>46736</v>
      </c>
      <c r="Y363" s="387">
        <f t="shared" si="138"/>
        <v>5.3581273826723654</v>
      </c>
      <c r="Z363" s="387">
        <f t="shared" si="139"/>
        <v>5.8024119392899127</v>
      </c>
      <c r="AA363" s="388">
        <f t="shared" si="140"/>
        <v>6.6402044730061309</v>
      </c>
      <c r="AB363" s="199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0.12616968906936923</v>
      </c>
      <c r="AD363" s="233">
        <f>(INDEX(Models!$BJ363:$BT363,,AH363)*(1-AF363)+INDEX(Models!$BJ363:$BT363,,AH363+1)*AF363-ERP_i)*AE363*Ramure*Pc/MaxiM</f>
        <v>0.35964865755466979</v>
      </c>
      <c r="AE363" s="307">
        <f t="shared" si="142"/>
        <v>1</v>
      </c>
      <c r="AF363" s="179">
        <f t="shared" si="143"/>
        <v>0.19969762275734571</v>
      </c>
      <c r="AG363" s="837">
        <f t="shared" si="149"/>
        <v>4</v>
      </c>
      <c r="AH363" s="178">
        <f t="shared" si="144"/>
        <v>10</v>
      </c>
      <c r="AI363" s="227">
        <f t="shared" si="145"/>
        <v>4.1996976227573457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46737</v>
      </c>
      <c r="B364" s="1139">
        <f>IF(t&gt;Tmaj,'2026'!Wh/'2026'!Env_an*'2027'!Env_an,0.001*'[14]mon-tableau (2)'!$B$223)</f>
        <v>5.2281939502744397</v>
      </c>
      <c r="C364" s="866"/>
      <c r="D364" s="395">
        <f t="shared" si="127"/>
        <v>5.6618364615053434</v>
      </c>
      <c r="E364" s="387">
        <f t="shared" si="150"/>
        <v>6.1411548037985666</v>
      </c>
      <c r="F364" s="387">
        <f t="shared" si="128"/>
        <v>6.1711357122577013</v>
      </c>
      <c r="G364" s="110">
        <f t="shared" si="151"/>
        <v>0.33823537207608406</v>
      </c>
      <c r="H364" s="414" t="b">
        <f>Wh_hp&gt;='2026'!Maxi_hp</f>
        <v>0</v>
      </c>
      <c r="I364" s="392">
        <f>IF(H364,Wh_hp,'2026'!Maxi_hp)</f>
        <v>18.022426039936903</v>
      </c>
      <c r="J364" s="85">
        <f>IF(H364,An,'2026'!An_max)</f>
        <v>2021</v>
      </c>
      <c r="K364" s="199">
        <f t="shared" si="129"/>
        <v>46737</v>
      </c>
      <c r="L364" s="147">
        <f>IF(t&lt;Tvie,1-EXP((T0-t)*PertePVj)+'2026'!Pspv,1-EXP((T0-t)*PertePVj)+Pspv)</f>
        <v>7.6590433895296295E-2</v>
      </c>
      <c r="M364" s="870"/>
      <c r="N364" s="870"/>
      <c r="O364" s="48">
        <f>IF(t&lt;Tnet,'2026'!Resal+('2026'!Salim-'2026'!Resal)*(1-EXP(('2026'!Tnet-t)/('2026'!Tau_j))),Resal+(Salim-Resal)*(1-EXP((Tnet-t)/(Tau_j))))*Salcycl</f>
        <v>7.8050197008019434E-2</v>
      </c>
      <c r="P364" s="171">
        <f>(INDEX(Models!$BJ364:$BT364,,T364)*(1-R364)+INDEX(Models!$BJ364:$BT364,,T364+1)*R364-ERP_i)*Q364*Ramure*Pc/MaxiM</f>
        <v>5.8958765659433303E-2</v>
      </c>
      <c r="Q364" s="307">
        <f t="shared" si="130"/>
        <v>1</v>
      </c>
      <c r="R364" s="179">
        <f t="shared" si="131"/>
        <v>0.26472747511045869</v>
      </c>
      <c r="S364" s="837">
        <f t="shared" si="132"/>
        <v>-1</v>
      </c>
      <c r="T364" s="178">
        <f t="shared" si="133"/>
        <v>5</v>
      </c>
      <c r="U364" s="253">
        <f t="shared" si="134"/>
        <v>-0.73527252488954131</v>
      </c>
      <c r="V364" s="385">
        <f t="shared" si="135"/>
        <v>14.616936919168717</v>
      </c>
      <c r="W364" s="404">
        <f t="shared" si="136"/>
        <v>5.2281939502744397</v>
      </c>
      <c r="X364" s="157">
        <f t="shared" si="137"/>
        <v>46737</v>
      </c>
      <c r="Y364" s="387">
        <f t="shared" si="138"/>
        <v>4.831419154847385</v>
      </c>
      <c r="Z364" s="387">
        <f t="shared" si="139"/>
        <v>5.2321519423154417</v>
      </c>
      <c r="AA364" s="388">
        <f t="shared" si="140"/>
        <v>5.9879865573598412</v>
      </c>
      <c r="AB364" s="199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0.12622516897861136</v>
      </c>
      <c r="AD364" s="233">
        <f>(INDEX(Models!$BJ364:$BT364,,AH364)*(1-AF364)+INDEX(Models!$BJ364:$BT364,,AH364+1)*AF364-ERP_i)*AE364*Ramure*Pc/MaxiM</f>
        <v>0.36017081066988205</v>
      </c>
      <c r="AE364" s="307">
        <f t="shared" si="142"/>
        <v>1</v>
      </c>
      <c r="AF364" s="179">
        <f t="shared" si="143"/>
        <v>0.19971006803402958</v>
      </c>
      <c r="AG364" s="837">
        <f t="shared" si="149"/>
        <v>4</v>
      </c>
      <c r="AH364" s="178">
        <f t="shared" si="144"/>
        <v>10</v>
      </c>
      <c r="AI364" s="227">
        <f t="shared" si="145"/>
        <v>4.1997100680340296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46738</v>
      </c>
      <c r="B365" s="1139">
        <f>IF(t&gt;Tmaj,'2026'!Wh/'2026'!Env_an*'2027'!Env_an,0.001*'[14]mon-tableau (2)'!$B$224)</f>
        <v>3.2398568363816862</v>
      </c>
      <c r="C365" s="866"/>
      <c r="D365" s="395">
        <f t="shared" si="127"/>
        <v>3.5086621941824738</v>
      </c>
      <c r="E365" s="387">
        <f t="shared" si="150"/>
        <v>3.8063687759067806</v>
      </c>
      <c r="F365" s="387">
        <f t="shared" si="128"/>
        <v>3.8063687759067806</v>
      </c>
      <c r="G365" s="110">
        <f t="shared" si="151"/>
        <v>0.20894563009033906</v>
      </c>
      <c r="H365" s="414" t="b">
        <f>Wh_hp&gt;='2026'!Maxi_hp</f>
        <v>0</v>
      </c>
      <c r="I365" s="392">
        <f>IF(H365,Wh_hp,'2026'!Maxi_hp)</f>
        <v>18.022391356123773</v>
      </c>
      <c r="J365" s="85">
        <f>IF(H365,An,'2026'!An_max)</f>
        <v>2021</v>
      </c>
      <c r="K365" s="199">
        <f t="shared" si="129"/>
        <v>46738</v>
      </c>
      <c r="L365" s="147">
        <f>IF(t&lt;Tvie,1-EXP((T0-t)*PertePVj)+'2026'!Pspv,1-EXP((T0-t)*PertePVj)+Pspv)</f>
        <v>7.6611922984914149E-2</v>
      </c>
      <c r="M365" s="870"/>
      <c r="N365" s="870"/>
      <c r="O365" s="48">
        <f>IF(t&lt;Tnet,'2026'!Resal+('2026'!Salim-'2026'!Resal)*(1-EXP(('2026'!Tnet-t)/('2026'!Tau_j))),Resal+(Salim-Resal)*(1-EXP((Tnet-t)/(Tau_j))))*Salcycl</f>
        <v>7.8212753217371908E-2</v>
      </c>
      <c r="P365" s="171">
        <f>(INDEX(Models!$BJ365:$BT365,,T365)*(1-R365)+INDEX(Models!$BJ365:$BT365,,T365+1)*R365-ERP_i)*Q365*Ramure*Pc/MaxiM</f>
        <v>5.9205904079584294E-2</v>
      </c>
      <c r="Q365" s="307">
        <f t="shared" si="130"/>
        <v>1</v>
      </c>
      <c r="R365" s="179">
        <f t="shared" si="131"/>
        <v>0.26473941971979609</v>
      </c>
      <c r="S365" s="837">
        <f t="shared" si="132"/>
        <v>-1</v>
      </c>
      <c r="T365" s="178">
        <f t="shared" si="133"/>
        <v>5</v>
      </c>
      <c r="U365" s="253">
        <f t="shared" si="134"/>
        <v>-0.73526058028020391</v>
      </c>
      <c r="V365" s="385">
        <f t="shared" si="135"/>
        <v>14.587709644740819</v>
      </c>
      <c r="W365" s="404">
        <f t="shared" si="136"/>
        <v>3.2398568363816862</v>
      </c>
      <c r="X365" s="157">
        <f t="shared" si="137"/>
        <v>46738</v>
      </c>
      <c r="Y365" s="387">
        <f t="shared" si="138"/>
        <v>3.0709014441934444</v>
      </c>
      <c r="Z365" s="387">
        <f t="shared" si="139"/>
        <v>3.3256888632570827</v>
      </c>
      <c r="AA365" s="388">
        <f t="shared" si="140"/>
        <v>3.8063687759067806</v>
      </c>
      <c r="AB365" s="199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0.12628306424019226</v>
      </c>
      <c r="AD365" s="233">
        <f>(INDEX(Models!$BJ365:$BT365,,AH365)*(1-AF365)+INDEX(Models!$BJ365:$BT365,,AH365+1)*AF365-ERP_i)*AE365*Ramure*Pc/MaxiM</f>
        <v>0.36053042570523791</v>
      </c>
      <c r="AE365" s="307">
        <f t="shared" si="142"/>
        <v>1</v>
      </c>
      <c r="AF365" s="179">
        <f t="shared" si="143"/>
        <v>0.19972201264336675</v>
      </c>
      <c r="AG365" s="837">
        <f t="shared" si="149"/>
        <v>4</v>
      </c>
      <c r="AH365" s="178">
        <f t="shared" si="144"/>
        <v>10</v>
      </c>
      <c r="AI365" s="227">
        <f t="shared" si="145"/>
        <v>4.1997220126433668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46739</v>
      </c>
      <c r="B366" s="1139">
        <f>IF(t&gt;Tmaj,'2026'!Wh/'2026'!Env_an*'2027'!Env_an,0.001*'[14]mon-tableau (2)'!$B$225)</f>
        <v>12.612007676969283</v>
      </c>
      <c r="C366" s="866"/>
      <c r="D366" s="395">
        <f t="shared" si="127"/>
        <v>13.658722153326178</v>
      </c>
      <c r="E366" s="387">
        <f t="shared" si="150"/>
        <v>14.820282615947411</v>
      </c>
      <c r="F366" s="387">
        <f t="shared" si="128"/>
        <v>15.567422337952872</v>
      </c>
      <c r="G366" s="110">
        <f t="shared" si="151"/>
        <v>0.85541126965435543</v>
      </c>
      <c r="H366" s="414" t="b">
        <f>Wh_hp&gt;='2026'!Maxi_hp</f>
        <v>0</v>
      </c>
      <c r="I366" s="392">
        <f>IF(H366,Wh_hp,'2026'!Maxi_hp)</f>
        <v>18.412762938360004</v>
      </c>
      <c r="J366" s="85">
        <f>IF(H366,An,'2026'!An_max)</f>
        <v>2021</v>
      </c>
      <c r="K366" s="199">
        <f t="shared" si="129"/>
        <v>46739</v>
      </c>
      <c r="L366" s="147">
        <f>IF(t&lt;Tvie,1-EXP((T0-t)*PertePVj)+'2026'!Pspv,1-EXP((T0-t)*PertePVj)+Pspv)</f>
        <v>7.6633411574449473E-2</v>
      </c>
      <c r="M366" s="870"/>
      <c r="N366" s="870"/>
      <c r="O366" s="48">
        <f>IF(t&lt;Tnet,'2026'!Resal+('2026'!Salim-'2026'!Resal)*(1-EXP(('2026'!Tnet-t)/('2026'!Tau_j))),Resal+(Salim-Resal)*(1-EXP((Tnet-t)/(Tau_j))))*Salcycl</f>
        <v>7.8376404331947896E-2</v>
      </c>
      <c r="P366" s="171">
        <f>(INDEX(Models!$BJ366:$BT366,,T366)*(1-R366)+INDEX(Models!$BJ366:$BT366,,T366+1)*R366-ERP_i)*Q366*Ramure*Pc/MaxiM</f>
        <v>5.9380761201756962E-2</v>
      </c>
      <c r="Q366" s="307">
        <f t="shared" si="130"/>
        <v>1</v>
      </c>
      <c r="R366" s="179">
        <f t="shared" si="131"/>
        <v>0.26475088378733314</v>
      </c>
      <c r="S366" s="837">
        <f t="shared" si="132"/>
        <v>-1</v>
      </c>
      <c r="T366" s="178">
        <f t="shared" si="133"/>
        <v>5</v>
      </c>
      <c r="U366" s="253">
        <f t="shared" si="134"/>
        <v>-0.73524911621266686</v>
      </c>
      <c r="V366" s="385">
        <f t="shared" si="135"/>
        <v>14.567443367695397</v>
      </c>
      <c r="W366" s="404">
        <f t="shared" si="136"/>
        <v>12.612007676969283</v>
      </c>
      <c r="X366" s="157">
        <f t="shared" si="137"/>
        <v>46739</v>
      </c>
      <c r="Y366" s="387">
        <f t="shared" si="138"/>
        <v>8.8966837121635134</v>
      </c>
      <c r="Z366" s="387">
        <f t="shared" si="139"/>
        <v>9.6350505028922626</v>
      </c>
      <c r="AA366" s="388">
        <f t="shared" si="140"/>
        <v>11.028416124643845</v>
      </c>
      <c r="AB366" s="199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0.12634322154729005</v>
      </c>
      <c r="AD366" s="233">
        <f>(INDEX(Models!$BJ366:$BT366,,AH366)*(1-AF366)+INDEX(Models!$BJ366:$BT366,,AH366+1)*AF366-ERP_i)*AE366*Ramure*Pc/MaxiM</f>
        <v>0.36074864728424205</v>
      </c>
      <c r="AE366" s="307">
        <f t="shared" si="142"/>
        <v>1</v>
      </c>
      <c r="AF366" s="179">
        <f t="shared" si="143"/>
        <v>0.1997334767109038</v>
      </c>
      <c r="AG366" s="837">
        <f t="shared" si="149"/>
        <v>4</v>
      </c>
      <c r="AH366" s="178">
        <f t="shared" si="144"/>
        <v>10</v>
      </c>
      <c r="AI366" s="227">
        <f t="shared" si="145"/>
        <v>4.1997334767109038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46740</v>
      </c>
      <c r="B367" s="1139">
        <f>IF(t&gt;Tmaj,'2026'!Wh/'2026'!Env_an*'2027'!Env_an,0.001*'[14]mon-tableau (2)'!$B$226)</f>
        <v>12.367634079950916</v>
      </c>
      <c r="C367" s="866"/>
      <c r="D367" s="395">
        <f t="shared" si="127"/>
        <v>13.394378846488978</v>
      </c>
      <c r="E367" s="387">
        <f t="shared" si="150"/>
        <v>14.53605615835456</v>
      </c>
      <c r="F367" s="387">
        <f t="shared" si="128"/>
        <v>15.248457362398955</v>
      </c>
      <c r="G367" s="110">
        <f t="shared" si="151"/>
        <v>0.83826938682399299</v>
      </c>
      <c r="H367" s="414" t="b">
        <f>Wh_hp&gt;='2026'!Maxi_hp</f>
        <v>0</v>
      </c>
      <c r="I367" s="392">
        <f>IF(H367,Wh_hp,'2026'!Maxi_hp)</f>
        <v>17.957139739546754</v>
      </c>
      <c r="J367" s="85">
        <f>IF(H367,An,'2026'!An_max)</f>
        <v>2021</v>
      </c>
      <c r="K367" s="199">
        <f t="shared" si="129"/>
        <v>46740</v>
      </c>
      <c r="L367" s="147">
        <f>IF(t&lt;Tvie,1-EXP((T0-t)*PertePVj)+'2026'!Pspv,1-EXP((T0-t)*PertePVj)+Pspv)</f>
        <v>7.6654899663913811E-2</v>
      </c>
      <c r="M367" s="870"/>
      <c r="N367" s="870"/>
      <c r="O367" s="48">
        <f>IF(t&lt;Tnet,'2026'!Resal+('2026'!Salim-'2026'!Resal)*(1-EXP(('2026'!Tnet-t)/('2026'!Tau_j))),Resal+(Salim-Resal)*(1-EXP((Tnet-t)/(Tau_j))))*Salcycl</f>
        <v>7.8541063643965542E-2</v>
      </c>
      <c r="P367" s="171">
        <f>(INDEX(Models!$BJ367:$BT367,,T367)*(1-R367)+INDEX(Models!$BJ367:$BT367,,T367+1)*R367-ERP_i)*Q367*Ramure*Pc/MaxiM</f>
        <v>5.94981514969464E-2</v>
      </c>
      <c r="Q367" s="307">
        <f t="shared" si="130"/>
        <v>1</v>
      </c>
      <c r="R367" s="179">
        <f t="shared" si="131"/>
        <v>0.26476188663088585</v>
      </c>
      <c r="S367" s="837">
        <f t="shared" si="132"/>
        <v>-1</v>
      </c>
      <c r="T367" s="178">
        <f t="shared" si="133"/>
        <v>5</v>
      </c>
      <c r="U367" s="253">
        <f t="shared" si="134"/>
        <v>-0.73523811336911415</v>
      </c>
      <c r="V367" s="385">
        <f t="shared" si="135"/>
        <v>14.555998164278424</v>
      </c>
      <c r="W367" s="404">
        <f t="shared" si="136"/>
        <v>12.367634079950916</v>
      </c>
      <c r="X367" s="157">
        <f t="shared" si="137"/>
        <v>46740</v>
      </c>
      <c r="Y367" s="387">
        <f t="shared" si="138"/>
        <v>8.8149189997437851</v>
      </c>
      <c r="Z367" s="387">
        <f t="shared" si="139"/>
        <v>9.546722018165541</v>
      </c>
      <c r="AA367" s="388">
        <f t="shared" si="140"/>
        <v>10.928092943326302</v>
      </c>
      <c r="AB367" s="199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0.12640548834317455</v>
      </c>
      <c r="AD367" s="233">
        <f>(INDEX(Models!$BJ367:$BT367,,AH367)*(1-AF367)+INDEX(Models!$BJ367:$BT367,,AH367+1)*AF367-ERP_i)*AE367*Ramure*Pc/MaxiM</f>
        <v>0.36082715086481315</v>
      </c>
      <c r="AE367" s="307">
        <f t="shared" si="142"/>
        <v>1</v>
      </c>
      <c r="AF367" s="179">
        <f t="shared" si="143"/>
        <v>0.19974447955445651</v>
      </c>
      <c r="AG367" s="837">
        <f t="shared" si="149"/>
        <v>4</v>
      </c>
      <c r="AH367" s="178">
        <f t="shared" si="144"/>
        <v>10</v>
      </c>
      <c r="AI367" s="227">
        <f t="shared" si="145"/>
        <v>4.1997444795544565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46741</v>
      </c>
      <c r="B368" s="1139">
        <f>IF(t&gt;Tmaj,'2026'!Wh/'2026'!Env_an*'2027'!Env_an,0.001*'[14]mon-tableau (2)'!$B$227)</f>
        <v>3.9304023624999527</v>
      </c>
      <c r="C368" s="866"/>
      <c r="D368" s="395">
        <f t="shared" si="127"/>
        <v>4.256798275534063</v>
      </c>
      <c r="E368" s="387">
        <f t="shared" si="150"/>
        <v>4.6204591095599197</v>
      </c>
      <c r="F368" s="387">
        <f t="shared" si="128"/>
        <v>4.6204591095599197</v>
      </c>
      <c r="G368" s="110">
        <f t="shared" si="151"/>
        <v>0.25398176150205687</v>
      </c>
      <c r="H368" s="414" t="b">
        <f>Wh_hp&gt;='2026'!Maxi_hp</f>
        <v>0</v>
      </c>
      <c r="I368" s="392">
        <f>IF(H368,Wh_hp,'2026'!Maxi_hp)</f>
        <v>18.802231330650311</v>
      </c>
      <c r="J368" s="85">
        <f>IF(H368,An,'2026'!An_max)</f>
        <v>2021</v>
      </c>
      <c r="K368" s="199">
        <f t="shared" si="129"/>
        <v>46741</v>
      </c>
      <c r="L368" s="147">
        <f>IF(t&lt;Tvie,1-EXP((T0-t)*PertePVj)+'2026'!Pspv,1-EXP((T0-t)*PertePVj)+Pspv)</f>
        <v>7.6676387253319045E-2</v>
      </c>
      <c r="M368" s="870"/>
      <c r="N368" s="870"/>
      <c r="O368" s="48">
        <f>IF(t&lt;Tnet,'2026'!Resal+('2026'!Salim-'2026'!Resal)*(1-EXP(('2026'!Tnet-t)/('2026'!Tau_j))),Resal+(Salim-Resal)*(1-EXP((Tnet-t)/(Tau_j))))*Salcycl</f>
        <v>7.8706644816621582E-2</v>
      </c>
      <c r="P368" s="171">
        <f>(INDEX(Models!$BJ368:$BT368,,T368)*(1-R368)+INDEX(Models!$BJ368:$BT368,,T368+1)*R368-ERP_i)*Q368*Ramure*Pc/MaxiM</f>
        <v>5.9557507896525967E-2</v>
      </c>
      <c r="Q368" s="307">
        <f t="shared" si="130"/>
        <v>1</v>
      </c>
      <c r="R368" s="179">
        <f t="shared" si="131"/>
        <v>0.26477244679285949</v>
      </c>
      <c r="S368" s="837">
        <f t="shared" si="132"/>
        <v>-1</v>
      </c>
      <c r="T368" s="178">
        <f t="shared" si="133"/>
        <v>5</v>
      </c>
      <c r="U368" s="253">
        <f t="shared" si="134"/>
        <v>-0.73522755320714051</v>
      </c>
      <c r="V368" s="385">
        <f t="shared" si="135"/>
        <v>14.55347569407618</v>
      </c>
      <c r="W368" s="404">
        <f t="shared" si="136"/>
        <v>3.9304023624999527</v>
      </c>
      <c r="X368" s="157">
        <f t="shared" si="137"/>
        <v>46741</v>
      </c>
      <c r="Y368" s="387">
        <f t="shared" si="138"/>
        <v>3.7266365610560515</v>
      </c>
      <c r="Z368" s="387">
        <f t="shared" si="139"/>
        <v>4.0361109686885861</v>
      </c>
      <c r="AA368" s="388">
        <f t="shared" si="140"/>
        <v>4.6204591095599197</v>
      </c>
      <c r="AB368" s="199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0.12646971372656307</v>
      </c>
      <c r="AD368" s="233">
        <f>(INDEX(Models!$BJ368:$BT368,,AH368)*(1-AF368)+INDEX(Models!$BJ368:$BT368,,AH368+1)*AF368-ERP_i)*AE368*Ramure*Pc/MaxiM</f>
        <v>0.36076387901930979</v>
      </c>
      <c r="AE368" s="307">
        <f t="shared" si="142"/>
        <v>1</v>
      </c>
      <c r="AF368" s="179">
        <f t="shared" si="143"/>
        <v>0.19975503971642983</v>
      </c>
      <c r="AG368" s="837">
        <f t="shared" si="149"/>
        <v>4</v>
      </c>
      <c r="AH368" s="178">
        <f t="shared" si="144"/>
        <v>10</v>
      </c>
      <c r="AI368" s="227">
        <f t="shared" si="145"/>
        <v>4.1997550397164298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46742</v>
      </c>
      <c r="B369" s="1139">
        <f>IF(t&gt;Tmaj,'2026'!Wh/'2026'!Env_an*'2027'!Env_an,0.001*'[14]mon-tableau (2)'!$B$228)</f>
        <v>14.32805937979002</v>
      </c>
      <c r="C369" s="866"/>
      <c r="D369" s="395">
        <f t="shared" si="127"/>
        <v>15.518278342086012</v>
      </c>
      <c r="E369" s="387">
        <f t="shared" si="150"/>
        <v>16.847057348133269</v>
      </c>
      <c r="F369" s="387">
        <f t="shared" si="128"/>
        <v>17.888208301444575</v>
      </c>
      <c r="G369" s="110">
        <f t="shared" si="151"/>
        <v>0.98265544888851575</v>
      </c>
      <c r="H369" s="414" t="b">
        <f>Wh_hp&gt;='2026'!Maxi_hp</f>
        <v>0</v>
      </c>
      <c r="I369" s="392">
        <f>IF(H369,Wh_hp,'2026'!Maxi_hp)</f>
        <v>17.909865836496117</v>
      </c>
      <c r="J369" s="85">
        <f>IF(H369,An,'2026'!An_max)</f>
        <v>2025</v>
      </c>
      <c r="K369" s="199">
        <f t="shared" si="129"/>
        <v>46742</v>
      </c>
      <c r="L369" s="147">
        <f>IF(t&lt;Tvie,1-EXP((T0-t)*PertePVj)+'2026'!Pspv,1-EXP((T0-t)*PertePVj)+Pspv)</f>
        <v>7.6697874342676609E-2</v>
      </c>
      <c r="M369" s="870"/>
      <c r="N369" s="870"/>
      <c r="O369" s="48">
        <f>IF(t&lt;Tnet,'2026'!Resal+('2026'!Salim-'2026'!Resal)*(1-EXP(('2026'!Tnet-t)/('2026'!Tau_j))),Resal+(Salim-Resal)*(1-EXP((Tnet-t)/(Tau_j))))*Salcycl</f>
        <v>7.8873062433926583E-2</v>
      </c>
      <c r="P369" s="171">
        <f>(INDEX(Models!$BJ369:$BT369,,T369)*(1-R369)+INDEX(Models!$BJ369:$BT369,,T369+1)*R369-ERP_i)*Q369*Ramure*Pc/MaxiM</f>
        <v>5.9558449094321869E-2</v>
      </c>
      <c r="Q369" s="307">
        <f t="shared" si="130"/>
        <v>1</v>
      </c>
      <c r="R369" s="179">
        <f t="shared" si="131"/>
        <v>0.26478258207128114</v>
      </c>
      <c r="S369" s="837">
        <f t="shared" si="132"/>
        <v>-1</v>
      </c>
      <c r="T369" s="178">
        <f t="shared" si="133"/>
        <v>5</v>
      </c>
      <c r="U369" s="253">
        <f t="shared" si="134"/>
        <v>-0.73521741792871886</v>
      </c>
      <c r="V369" s="385">
        <f t="shared" si="135"/>
        <v>14.559977512989175</v>
      </c>
      <c r="W369" s="404">
        <f t="shared" si="136"/>
        <v>14.32805937979002</v>
      </c>
      <c r="X369" s="157">
        <f t="shared" si="137"/>
        <v>46742</v>
      </c>
      <c r="Y369" s="387">
        <f t="shared" si="138"/>
        <v>9.3431714089159925</v>
      </c>
      <c r="Z369" s="387">
        <f t="shared" si="139"/>
        <v>10.119300226092667</v>
      </c>
      <c r="AA369" s="388">
        <f t="shared" si="140"/>
        <v>11.585248300797614</v>
      </c>
      <c r="AB369" s="199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0.12653574931182263</v>
      </c>
      <c r="AD369" s="233">
        <f>(INDEX(Models!$BJ369:$BT369,,AH369)*(1-AF369)+INDEX(Models!$BJ369:$BT369,,AH369+1)*AF369-ERP_i)*AE369*Ramure*Pc/MaxiM</f>
        <v>0.36055724786896953</v>
      </c>
      <c r="AE369" s="307">
        <f t="shared" si="142"/>
        <v>1</v>
      </c>
      <c r="AF369" s="179">
        <f t="shared" si="143"/>
        <v>0.19976517499485169</v>
      </c>
      <c r="AG369" s="837">
        <f t="shared" si="149"/>
        <v>4</v>
      </c>
      <c r="AH369" s="178">
        <f t="shared" si="144"/>
        <v>10</v>
      </c>
      <c r="AI369" s="227">
        <f t="shared" si="145"/>
        <v>4.1997651749948517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46743</v>
      </c>
      <c r="B370" s="1139">
        <f>IF(t&gt;Tmaj,'2026'!Wh/'2026'!Env_an*'2027'!Env_an,0.001*'[14]mon-tableau (2)'!$B$229)</f>
        <v>12.708311160808812</v>
      </c>
      <c r="C370" s="866"/>
      <c r="D370" s="395">
        <f t="shared" si="127"/>
        <v>13.764299415654502</v>
      </c>
      <c r="E370" s="387">
        <f t="shared" si="150"/>
        <v>14.945603382190058</v>
      </c>
      <c r="F370" s="387">
        <f t="shared" si="128"/>
        <v>15.709249058489799</v>
      </c>
      <c r="G370" s="110">
        <f t="shared" si="151"/>
        <v>0.86190947753650882</v>
      </c>
      <c r="H370" s="414" t="b">
        <f>Wh_hp&gt;='2026'!Maxi_hp</f>
        <v>0</v>
      </c>
      <c r="I370" s="392">
        <f>IF(H370,Wh_hp,'2026'!Maxi_hp)</f>
        <v>17.758391649876643</v>
      </c>
      <c r="J370" s="85">
        <f>IF(H370,An,'2026'!An_max)</f>
        <v>2021</v>
      </c>
      <c r="K370" s="199">
        <f t="shared" si="129"/>
        <v>46743</v>
      </c>
      <c r="L370" s="147">
        <f>IF(t&lt;Tvie,1-EXP((T0-t)*PertePVj)+'2026'!Pspv,1-EXP((T0-t)*PertePVj)+Pspv)</f>
        <v>7.6719360931998271E-2</v>
      </c>
      <c r="M370" s="870"/>
      <c r="N370" s="870"/>
      <c r="O370" s="48">
        <f>IF(t&lt;Tnet,'2026'!Resal+('2026'!Salim-'2026'!Resal)*(1-EXP(('2026'!Tnet-t)/('2026'!Tau_j))),Resal+(Salim-Resal)*(1-EXP((Tnet-t)/(Tau_j))))*Salcycl</f>
        <v>7.9040232523717127E-2</v>
      </c>
      <c r="P370" s="171">
        <f>(INDEX(Models!$BJ370:$BT370,,T370)*(1-R370)+INDEX(Models!$BJ370:$BT370,,T370+1)*R370-ERP_i)*Q370*Ramure*Pc/MaxiM</f>
        <v>5.9500784990879567E-2</v>
      </c>
      <c r="Q370" s="307">
        <f t="shared" si="130"/>
        <v>1</v>
      </c>
      <c r="R370" s="179">
        <f t="shared" si="131"/>
        <v>0.26479230954959732</v>
      </c>
      <c r="S370" s="837">
        <f t="shared" si="132"/>
        <v>-1</v>
      </c>
      <c r="T370" s="178">
        <f t="shared" si="133"/>
        <v>5</v>
      </c>
      <c r="U370" s="253">
        <f t="shared" si="134"/>
        <v>-0.73520769045040268</v>
      </c>
      <c r="V370" s="385">
        <f t="shared" si="135"/>
        <v>14.57560509602944</v>
      </c>
      <c r="W370" s="404">
        <f t="shared" si="136"/>
        <v>12.708311160808812</v>
      </c>
      <c r="X370" s="157">
        <f t="shared" si="137"/>
        <v>46743</v>
      </c>
      <c r="Y370" s="387">
        <f t="shared" si="138"/>
        <v>8.9398722233178507</v>
      </c>
      <c r="Z370" s="387">
        <f t="shared" si="139"/>
        <v>9.6827246722536433</v>
      </c>
      <c r="AA370" s="388">
        <f t="shared" si="140"/>
        <v>11.086286833486778</v>
      </c>
      <c r="AB370" s="199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0.12660345003825729</v>
      </c>
      <c r="AD370" s="233">
        <f>(INDEX(Models!$BJ370:$BT370,,AH370)*(1-AF370)+INDEX(Models!$BJ370:$BT370,,AH370+1)*AF370-ERP_i)*AE370*Ramure*Pc/MaxiM</f>
        <v>0.36020616616821394</v>
      </c>
      <c r="AE370" s="307">
        <f t="shared" si="142"/>
        <v>1</v>
      </c>
      <c r="AF370" s="179">
        <f t="shared" si="143"/>
        <v>0.19977490247316787</v>
      </c>
      <c r="AG370" s="837">
        <f t="shared" si="149"/>
        <v>4</v>
      </c>
      <c r="AH370" s="178">
        <f t="shared" si="144"/>
        <v>10</v>
      </c>
      <c r="AI370" s="227">
        <f t="shared" si="145"/>
        <v>4.1997749024731679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46744</v>
      </c>
      <c r="B371" s="1139">
        <f>IF(t&gt;Tmaj,'2026'!Wh/'2026'!Env_an*'2027'!Env_an,0.001*'[14]mon-tableau (2)'!$B$230)</f>
        <v>13.31440938774564</v>
      </c>
      <c r="C371" s="866"/>
      <c r="D371" s="395">
        <f t="shared" si="127"/>
        <v>14.421096552132145</v>
      </c>
      <c r="E371" s="387">
        <f t="shared" si="150"/>
        <v>15.661623576460691</v>
      </c>
      <c r="F371" s="387">
        <f t="shared" si="128"/>
        <v>16.519160812227536</v>
      </c>
      <c r="G371" s="110">
        <f t="shared" si="151"/>
        <v>0.90472938007319637</v>
      </c>
      <c r="H371" s="414" t="b">
        <f>Wh_hp&gt;='2026'!Maxi_hp</f>
        <v>0</v>
      </c>
      <c r="I371" s="392">
        <f>IF(H371,Wh_hp,'2026'!Maxi_hp)</f>
        <v>16.629275482027882</v>
      </c>
      <c r="J371" s="85">
        <f>IF(H371,An,'2026'!An_max)</f>
        <v>2025</v>
      </c>
      <c r="K371" s="199">
        <f t="shared" si="129"/>
        <v>46744</v>
      </c>
      <c r="L371" s="147">
        <f>IF(t&lt;Tvie,1-EXP((T0-t)*PertePVj)+'2026'!Pspv,1-EXP((T0-t)*PertePVj)+Pspv)</f>
        <v>7.6740847021295577E-2</v>
      </c>
      <c r="M371" s="870"/>
      <c r="N371" s="870"/>
      <c r="O371" s="48">
        <f>IF(t&lt;Tnet,'2026'!Resal+('2026'!Salim-'2026'!Resal)*(1-EXP(('2026'!Tnet-t)/('2026'!Tau_j))),Resal+(Salim-Resal)*(1-EXP((Tnet-t)/(Tau_j))))*Salcycl</f>
        <v>7.9208073050168998E-2</v>
      </c>
      <c r="P371" s="171">
        <f>(INDEX(Models!$BJ371:$BT371,,T371)*(1-R371)+INDEX(Models!$BJ371:$BT371,,T371+1)*R371-ERP_i)*Q371*Ramure*Pc/MaxiM</f>
        <v>5.938416835819238E-2</v>
      </c>
      <c r="Q371" s="307">
        <f t="shared" si="130"/>
        <v>1</v>
      </c>
      <c r="R371" s="179">
        <f t="shared" si="131"/>
        <v>0.26479230954959732</v>
      </c>
      <c r="S371" s="837">
        <f t="shared" si="132"/>
        <v>-1</v>
      </c>
      <c r="T371" s="178">
        <f t="shared" si="133"/>
        <v>5</v>
      </c>
      <c r="U371" s="253">
        <f t="shared" si="134"/>
        <v>-0.73520769045040268</v>
      </c>
      <c r="V371" s="385">
        <f t="shared" si="135"/>
        <v>14.600465290170876</v>
      </c>
      <c r="W371" s="404">
        <f t="shared" si="136"/>
        <v>13.31440938774564</v>
      </c>
      <c r="X371" s="157">
        <f t="shared" si="137"/>
        <v>46744</v>
      </c>
      <c r="Y371" s="387">
        <f t="shared" si="138"/>
        <v>9.1312464831126796</v>
      </c>
      <c r="Z371" s="387">
        <f t="shared" si="139"/>
        <v>9.8902312028563202</v>
      </c>
      <c r="AA371" s="388">
        <f t="shared" si="140"/>
        <v>11.324770127840894</v>
      </c>
      <c r="AB371" s="199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0.12667267492325462</v>
      </c>
      <c r="AD371" s="233">
        <f>(INDEX(Models!$BJ371:$BT371,,AH371)*(1-AF371)+INDEX(Models!$BJ371:$BT371,,AH371+1)*AF371-ERP_i)*AE371*Ramure*Pc/MaxiM</f>
        <v>0.35970982722866929</v>
      </c>
      <c r="AE371" s="307">
        <f t="shared" si="142"/>
        <v>1</v>
      </c>
      <c r="AF371" s="179">
        <f t="shared" si="143"/>
        <v>0.19977490247316787</v>
      </c>
      <c r="AG371" s="837">
        <f t="shared" si="149"/>
        <v>4</v>
      </c>
      <c r="AH371" s="178">
        <f t="shared" si="144"/>
        <v>10</v>
      </c>
      <c r="AI371" s="227">
        <f t="shared" si="145"/>
        <v>4.1997749024731679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46745</v>
      </c>
      <c r="B372" s="1139">
        <f>IF(t&gt;Tmaj,'2026'!Wh/'2026'!Env_an*'2027'!Env_an,0.001*'[14]mon-tableau (2)'!$B$231)</f>
        <v>15.158716983209601</v>
      </c>
      <c r="C372" s="866"/>
      <c r="D372" s="395">
        <f t="shared" si="127"/>
        <v>16.41908418454474</v>
      </c>
      <c r="E372" s="387">
        <f t="shared" si="150"/>
        <v>17.83474380409201</v>
      </c>
      <c r="F372" s="387">
        <f t="shared" si="128"/>
        <v>18.957181052151114</v>
      </c>
      <c r="G372" s="110">
        <f t="shared" si="151"/>
        <v>1.0358096498659235</v>
      </c>
      <c r="H372" s="414" t="b">
        <f>Wh_hp&gt;='2026'!Maxi_hp</f>
        <v>1</v>
      </c>
      <c r="I372" s="392">
        <f>IF(H372,Wh_hp,'2026'!Maxi_hp)</f>
        <v>18.957181052151114</v>
      </c>
      <c r="J372" s="85">
        <f>IF(H372,An,'2026'!An_max)</f>
        <v>2027</v>
      </c>
      <c r="K372" s="199">
        <f t="shared" si="129"/>
        <v>46745</v>
      </c>
      <c r="L372" s="147">
        <f>IF(t&lt;Tvie,1-EXP((T0-t)*PertePVj)+'2026'!Pspv,1-EXP((T0-t)*PertePVj)+Pspv)</f>
        <v>7.6762332610580186E-2</v>
      </c>
      <c r="M372" s="870"/>
      <c r="N372" s="870"/>
      <c r="O372" s="48">
        <f>IF(t&lt;Tnet,'2026'!Resal+('2026'!Salim-'2026'!Resal)*(1-EXP(('2026'!Tnet-t)/('2026'!Tau_j))),Resal+(Salim-Resal)*(1-EXP((Tnet-t)/(Tau_j))))*Salcycl</f>
        <v>7.9376504372463255E-2</v>
      </c>
      <c r="P372" s="171">
        <f>(INDEX(Models!$BJ372:$BT372,,T372)*(1-R372)+INDEX(Models!$BJ372:$BT372,,T372+1)*R372-ERP_i)*Q372*Ramure*Pc/MaxiM</f>
        <v>5.9209079924450972E-2</v>
      </c>
      <c r="Q372" s="307">
        <f t="shared" si="130"/>
        <v>1</v>
      </c>
      <c r="R372" s="179">
        <f t="shared" si="131"/>
        <v>0.26479230954959732</v>
      </c>
      <c r="S372" s="837">
        <f t="shared" si="132"/>
        <v>-1</v>
      </c>
      <c r="T372" s="178">
        <f t="shared" si="133"/>
        <v>5</v>
      </c>
      <c r="U372" s="253">
        <f t="shared" si="134"/>
        <v>-0.73520769045040268</v>
      </c>
      <c r="V372" s="385">
        <f t="shared" si="135"/>
        <v>14.634655107887594</v>
      </c>
      <c r="W372" s="404">
        <f t="shared" si="136"/>
        <v>15.158716983209601</v>
      </c>
      <c r="X372" s="157">
        <f t="shared" si="137"/>
        <v>46745</v>
      </c>
      <c r="Y372" s="387">
        <f t="shared" si="138"/>
        <v>9.7958304248445671</v>
      </c>
      <c r="Z372" s="387">
        <f t="shared" si="139"/>
        <v>10.610301952414497</v>
      </c>
      <c r="AA372" s="388">
        <f t="shared" si="140"/>
        <v>12.150266701223343</v>
      </c>
      <c r="AB372" s="199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0.12674328775464613</v>
      </c>
      <c r="AD372" s="233">
        <f>(INDEX(Models!$BJ372:$BT372,,AH372)*(1-AF372)+INDEX(Models!$BJ372:$BT372,,AH372+1)*AF372-ERP_i)*AE372*Ramure*Pc/MaxiM</f>
        <v>0.35906785572190197</v>
      </c>
      <c r="AE372" s="307">
        <f t="shared" si="142"/>
        <v>1</v>
      </c>
      <c r="AF372" s="179">
        <f t="shared" si="143"/>
        <v>0.19977490247316787</v>
      </c>
      <c r="AG372" s="837">
        <f t="shared" si="149"/>
        <v>4</v>
      </c>
      <c r="AH372" s="178">
        <f t="shared" si="144"/>
        <v>10</v>
      </c>
      <c r="AI372" s="227">
        <f t="shared" si="145"/>
        <v>4.1997749024731679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46746</v>
      </c>
      <c r="B373" s="1139">
        <f>IF(t&gt;Tmaj,'2026'!Wh/'2026'!Env_an*'2027'!Env_an,0.001*'[14]mon-tableau (2)'!$B$232)</f>
        <v>8.5680343779437198</v>
      </c>
      <c r="C373" s="866"/>
      <c r="D373" s="395">
        <f t="shared" si="127"/>
        <v>9.2806371272619934</v>
      </c>
      <c r="E373" s="387">
        <f t="shared" si="150"/>
        <v>10.082667442841716</v>
      </c>
      <c r="F373" s="387">
        <f t="shared" si="128"/>
        <v>10.329570870447188</v>
      </c>
      <c r="G373" s="110">
        <f t="shared" si="151"/>
        <v>0.56273843446740646</v>
      </c>
      <c r="H373" s="414" t="b">
        <f>Wh_hp&gt;='2026'!Maxi_hp</f>
        <v>0</v>
      </c>
      <c r="I373" s="392">
        <f>IF(H373,Wh_hp,'2026'!Maxi_hp)</f>
        <v>13.907050225818837</v>
      </c>
      <c r="J373" s="85">
        <f>IF(H373,An,'2026'!An_max)</f>
        <v>2018</v>
      </c>
      <c r="K373" s="199">
        <f t="shared" si="129"/>
        <v>46746</v>
      </c>
      <c r="L373" s="147">
        <f>IF(t&lt;Tvie,1-EXP((T0-t)*PertePVj)+'2026'!Pspv,1-EXP((T0-t)*PertePVj)+Pspv)</f>
        <v>7.6783817699863866E-2</v>
      </c>
      <c r="M373" s="870"/>
      <c r="N373" s="870"/>
      <c r="O373" s="48">
        <f>IF(t&lt;Tnet,'2026'!Resal+('2026'!Salim-'2026'!Resal)*(1-EXP(('2026'!Tnet-t)/('2026'!Tau_j))),Resal+(Salim-Resal)*(1-EXP((Tnet-t)/(Tau_j))))*Salcycl</f>
        <v>7.9545449666608925E-2</v>
      </c>
      <c r="P373" s="171">
        <f>(INDEX(Models!$BJ373:$BT373,,T373)*(1-R373)+INDEX(Models!$BJ373:$BT373,,T373+1)*R373-ERP_i)*Q373*Ramure*Pc/MaxiM</f>
        <v>5.8974676445954277E-2</v>
      </c>
      <c r="Q373" s="307">
        <f t="shared" si="130"/>
        <v>1</v>
      </c>
      <c r="R373" s="179">
        <f t="shared" si="131"/>
        <v>0.26479230954959732</v>
      </c>
      <c r="S373" s="837">
        <f t="shared" si="132"/>
        <v>-1</v>
      </c>
      <c r="T373" s="178">
        <f t="shared" si="133"/>
        <v>5</v>
      </c>
      <c r="U373" s="253">
        <f t="shared" si="134"/>
        <v>-0.73520769045040268</v>
      </c>
      <c r="V373" s="385">
        <f t="shared" si="135"/>
        <v>14.678536923161563</v>
      </c>
      <c r="W373" s="404">
        <f t="shared" si="136"/>
        <v>8.5680343779437198</v>
      </c>
      <c r="X373" s="157">
        <f t="shared" si="137"/>
        <v>46746</v>
      </c>
      <c r="Y373" s="387">
        <f t="shared" si="138"/>
        <v>7.1178989118811433</v>
      </c>
      <c r="Z373" s="387">
        <f t="shared" si="139"/>
        <v>7.7098940078664322</v>
      </c>
      <c r="AA373" s="388">
        <f t="shared" si="140"/>
        <v>8.829624192421182</v>
      </c>
      <c r="AB373" s="199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0.12681515771824797</v>
      </c>
      <c r="AD373" s="233">
        <f>(INDEX(Models!$BJ373:$BT373,,AH373)*(1-AF373)+INDEX(Models!$BJ373:$BT373,,AH373+1)*AF373-ERP_i)*AE373*Ramure*Pc/MaxiM</f>
        <v>0.35827315513868113</v>
      </c>
      <c r="AE373" s="307">
        <f t="shared" si="142"/>
        <v>1</v>
      </c>
      <c r="AF373" s="179">
        <f t="shared" si="143"/>
        <v>0.19977490247316787</v>
      </c>
      <c r="AG373" s="837">
        <f t="shared" si="149"/>
        <v>4</v>
      </c>
      <c r="AH373" s="178">
        <f t="shared" si="144"/>
        <v>10</v>
      </c>
      <c r="AI373" s="227">
        <f t="shared" si="145"/>
        <v>4.1997749024731679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46747</v>
      </c>
      <c r="B374" s="1139">
        <f>IF(t&gt;Tmaj,'2026'!Wh/'2026'!Env_an*'2027'!Env_an,0.001*'[14]mon-tableau (2)'!$B$233)</f>
        <v>13.322954466393039</v>
      </c>
      <c r="C374" s="866"/>
      <c r="D374" s="395">
        <f t="shared" si="127"/>
        <v>14.431359386518034</v>
      </c>
      <c r="E374" s="387">
        <f t="shared" si="150"/>
        <v>15.681399570691598</v>
      </c>
      <c r="F374" s="387">
        <f t="shared" si="128"/>
        <v>16.518245681025974</v>
      </c>
      <c r="G374" s="110">
        <f t="shared" si="151"/>
        <v>0.89670020342772716</v>
      </c>
      <c r="H374" s="414" t="b">
        <f>Wh_hp&gt;='2026'!Maxi_hp</f>
        <v>0</v>
      </c>
      <c r="I374" s="392">
        <f>IF(H374,Wh_hp,'2026'!Maxi_hp)</f>
        <v>17.58318067946076</v>
      </c>
      <c r="J374" s="85">
        <f>IF(H374,An,'2026'!An_max)</f>
        <v>2018</v>
      </c>
      <c r="K374" s="199">
        <f t="shared" si="129"/>
        <v>46747</v>
      </c>
      <c r="L374" s="147">
        <f>IF(t&lt;Tvie,1-EXP((T0-t)*PertePVj)+'2026'!Pspv,1-EXP((T0-t)*PertePVj)+Pspv)</f>
        <v>7.680530228915794E-2</v>
      </c>
      <c r="M374" s="870"/>
      <c r="N374" s="870"/>
      <c r="O374" s="48">
        <f>IF(t&lt;Tnet,'2026'!Resal+('2026'!Salim-'2026'!Resal)*(1-EXP(('2026'!Tnet-t)/('2026'!Tau_j))),Resal+(Salim-Resal)*(1-EXP((Tnet-t)/(Tau_j))))*Salcycl</f>
        <v>7.9714835307804974E-2</v>
      </c>
      <c r="P374" s="171">
        <f>(INDEX(Models!$BJ374:$BT374,,T374)*(1-R374)+INDEX(Models!$BJ374:$BT374,,T374+1)*R374-ERP_i)*Q374*Ramure*Pc/MaxiM</f>
        <v>5.8681181523284207E-2</v>
      </c>
      <c r="Q374" s="307">
        <f t="shared" si="130"/>
        <v>1</v>
      </c>
      <c r="R374" s="179">
        <f t="shared" si="131"/>
        <v>0.26479230954959732</v>
      </c>
      <c r="S374" s="837">
        <f t="shared" si="132"/>
        <v>-1</v>
      </c>
      <c r="T374" s="178">
        <f t="shared" si="133"/>
        <v>5</v>
      </c>
      <c r="U374" s="253">
        <f t="shared" si="134"/>
        <v>-0.73520769045040268</v>
      </c>
      <c r="V374" s="385">
        <f t="shared" si="135"/>
        <v>14.732251238694101</v>
      </c>
      <c r="W374" s="404">
        <f t="shared" si="136"/>
        <v>13.322954466393039</v>
      </c>
      <c r="X374" s="157">
        <f t="shared" si="137"/>
        <v>46747</v>
      </c>
      <c r="Y374" s="387">
        <f t="shared" si="138"/>
        <v>9.2071158040266532</v>
      </c>
      <c r="Z374" s="387">
        <f t="shared" si="139"/>
        <v>9.9731029942618399</v>
      </c>
      <c r="AA374" s="388">
        <f t="shared" si="140"/>
        <v>11.422480530985384</v>
      </c>
      <c r="AB374" s="199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0.12688815995718855</v>
      </c>
      <c r="AD374" s="233">
        <f>(INDEX(Models!$BJ374:$BT374,,AH374)*(1-AF374)+INDEX(Models!$BJ374:$BT374,,AH374+1)*AF374-ERP_i)*AE374*Ramure*Pc/MaxiM</f>
        <v>0.35732438267542083</v>
      </c>
      <c r="AE374" s="307">
        <f t="shared" si="142"/>
        <v>1</v>
      </c>
      <c r="AF374" s="179">
        <f t="shared" si="143"/>
        <v>0.19977490247316787</v>
      </c>
      <c r="AG374" s="837">
        <f t="shared" si="149"/>
        <v>4</v>
      </c>
      <c r="AH374" s="178">
        <f t="shared" si="144"/>
        <v>10</v>
      </c>
      <c r="AI374" s="227">
        <f t="shared" si="145"/>
        <v>4.1997749024731679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46748</v>
      </c>
      <c r="B375" s="1139">
        <f>IF(t&gt;Tmaj,'2026'!Wh/'2026'!Env_an*'2027'!Env_an,0.001*'[14]mon-tableau (2)'!$B$234)</f>
        <v>6.3463805347643962</v>
      </c>
      <c r="C375" s="866"/>
      <c r="D375" s="395">
        <f t="shared" si="127"/>
        <v>6.8745284645642126</v>
      </c>
      <c r="E375" s="387">
        <f t="shared" si="150"/>
        <v>7.4713763066015231</v>
      </c>
      <c r="F375" s="387">
        <f t="shared" si="128"/>
        <v>7.5524966356025587</v>
      </c>
      <c r="G375" s="110">
        <f t="shared" si="151"/>
        <v>0.40830327302329944</v>
      </c>
      <c r="H375" s="414" t="b">
        <f>Wh_hp&gt;='2026'!Maxi_hp</f>
        <v>0</v>
      </c>
      <c r="I375" s="392">
        <f>IF(H375,Wh_hp,'2026'!Maxi_hp)</f>
        <v>17.819544852558497</v>
      </c>
      <c r="J375" s="85">
        <f>IF(H375,An,'2026'!An_max)</f>
        <v>2018</v>
      </c>
      <c r="K375" s="199">
        <f t="shared" si="129"/>
        <v>46748</v>
      </c>
      <c r="L375" s="147">
        <f>IF(t&lt;Tvie,1-EXP((T0-t)*PertePVj)+'2026'!Pspv,1-EXP((T0-t)*PertePVj)+Pspv)</f>
        <v>7.6826786378474399E-2</v>
      </c>
      <c r="M375" s="870"/>
      <c r="N375" s="870"/>
      <c r="O375" s="48">
        <f>IF(t&lt;Tnet,'2026'!Resal+('2026'!Salim-'2026'!Resal)*(1-EXP(('2026'!Tnet-t)/('2026'!Tau_j))),Resal+(Salim-Resal)*(1-EXP((Tnet-t)/(Tau_j))))*Salcycl</f>
        <v>7.9884591211119987E-2</v>
      </c>
      <c r="P375" s="171">
        <f>(INDEX(Models!$BJ375:$BT375,,T375)*(1-R375)+INDEX(Models!$BJ375:$BT375,,T375+1)*R375-ERP_i)*Q375*Ramure*Pc/MaxiM</f>
        <v>5.8315010110602347E-2</v>
      </c>
      <c r="Q375" s="307">
        <f t="shared" si="130"/>
        <v>1</v>
      </c>
      <c r="R375" s="179">
        <f t="shared" si="131"/>
        <v>0.26479230954959732</v>
      </c>
      <c r="S375" s="837">
        <f t="shared" si="132"/>
        <v>-1</v>
      </c>
      <c r="T375" s="178">
        <f t="shared" si="133"/>
        <v>5</v>
      </c>
      <c r="U375" s="253">
        <f t="shared" si="134"/>
        <v>-0.73520769045040268</v>
      </c>
      <c r="V375" s="385">
        <f t="shared" si="135"/>
        <v>14.795812720962426</v>
      </c>
      <c r="W375" s="404">
        <f t="shared" si="136"/>
        <v>6.3463805347643962</v>
      </c>
      <c r="X375" s="157">
        <f t="shared" si="137"/>
        <v>46748</v>
      </c>
      <c r="Y375" s="387">
        <f t="shared" si="138"/>
        <v>5.68766556709254</v>
      </c>
      <c r="Z375" s="387">
        <f t="shared" si="139"/>
        <v>6.1609950149878578</v>
      </c>
      <c r="AA375" s="388">
        <f t="shared" si="140"/>
        <v>7.0569623056942659</v>
      </c>
      <c r="AB375" s="199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0.12696217606029322</v>
      </c>
      <c r="AD375" s="233">
        <f>(INDEX(Models!$BJ375:$BT375,,AH375)*(1-AF375)+INDEX(Models!$BJ375:$BT375,,AH375+1)*AF375-ERP_i)*AE375*Ramure*Pc/MaxiM</f>
        <v>0.3562250032095387</v>
      </c>
      <c r="AE375" s="307">
        <f t="shared" si="142"/>
        <v>1</v>
      </c>
      <c r="AF375" s="179">
        <f t="shared" si="143"/>
        <v>0.19977490247316787</v>
      </c>
      <c r="AG375" s="837">
        <f t="shared" si="149"/>
        <v>4</v>
      </c>
      <c r="AH375" s="178">
        <f t="shared" si="144"/>
        <v>10</v>
      </c>
      <c r="AI375" s="227">
        <f t="shared" si="145"/>
        <v>4.1997749024731679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46749</v>
      </c>
      <c r="B376" s="1139">
        <f>IF(t&gt;Tmaj,'2026'!Wh/'2026'!Env_an*'2027'!Env_an,0.001*'[14]mon-tableau (2)'!$B$235)</f>
        <v>14.118215849366297</v>
      </c>
      <c r="C376" s="866"/>
      <c r="D376" s="395">
        <f t="shared" si="127"/>
        <v>15.293494438746514</v>
      </c>
      <c r="E376" s="387">
        <f t="shared" si="150"/>
        <v>16.624351063364916</v>
      </c>
      <c r="F376" s="387">
        <f t="shared" si="128"/>
        <v>17.568047832541744</v>
      </c>
      <c r="G376" s="110">
        <f t="shared" si="151"/>
        <v>0.9453312591781009</v>
      </c>
      <c r="H376" s="414" t="b">
        <f>Wh_hp&gt;='2026'!Maxi_hp</f>
        <v>0</v>
      </c>
      <c r="I376" s="392">
        <f>IF(H376,Wh_hp,'2026'!Maxi_hp)</f>
        <v>17.633109712566359</v>
      </c>
      <c r="J376" s="85">
        <f>IF(H376,An,'2026'!An_max)</f>
        <v>2025</v>
      </c>
      <c r="K376" s="199">
        <f t="shared" si="129"/>
        <v>46749</v>
      </c>
      <c r="L376" s="147">
        <f>IF(t&lt;Tvie,1-EXP((T0-t)*PertePVj)+'2026'!Pspv,1-EXP((T0-t)*PertePVj)+Pspv)</f>
        <v>7.6848269967824567E-2</v>
      </c>
      <c r="M376" s="870"/>
      <c r="N376" s="870"/>
      <c r="O376" s="48">
        <f>IF(t&lt;Tnet,'2026'!Resal+('2026'!Salim-'2026'!Resal)*(1-EXP(('2026'!Tnet-t)/('2026'!Tau_j))),Resal+(Salim-Resal)*(1-EXP((Tnet-t)/(Tau_j))))*Salcycl</f>
        <v>8.0054651128681389E-2</v>
      </c>
      <c r="P376" s="171">
        <f>(INDEX(Models!$BJ376:$BT376,,T376)*(1-R376)+INDEX(Models!$BJ376:$BT376,,T376+1)*R376-ERP_i)*Q376*Ramure*Pc/MaxiM</f>
        <v>5.7891428389374569E-2</v>
      </c>
      <c r="Q376" s="307">
        <f t="shared" si="130"/>
        <v>1</v>
      </c>
      <c r="R376" s="179">
        <f t="shared" si="131"/>
        <v>0.26479230954959732</v>
      </c>
      <c r="S376" s="837">
        <f t="shared" si="132"/>
        <v>-1</v>
      </c>
      <c r="T376" s="178">
        <f t="shared" si="133"/>
        <v>5</v>
      </c>
      <c r="U376" s="253">
        <f t="shared" si="134"/>
        <v>-0.73520769045040268</v>
      </c>
      <c r="V376" s="385">
        <f t="shared" si="135"/>
        <v>14.868787592842379</v>
      </c>
      <c r="W376" s="404">
        <f t="shared" si="136"/>
        <v>14.118215849366297</v>
      </c>
      <c r="X376" s="157">
        <f t="shared" si="137"/>
        <v>46749</v>
      </c>
      <c r="Y376" s="387">
        <f t="shared" si="138"/>
        <v>9.4946880834852809</v>
      </c>
      <c r="Z376" s="387">
        <f t="shared" si="139"/>
        <v>10.285078578744963</v>
      </c>
      <c r="AA376" s="388">
        <f t="shared" si="140"/>
        <v>11.781804832346987</v>
      </c>
      <c r="AB376" s="199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0.12703709447747397</v>
      </c>
      <c r="AD376" s="233">
        <f>(INDEX(Models!$BJ376:$BT376,,AH376)*(1-AF376)+INDEX(Models!$BJ376:$BT376,,AH376+1)*AF376-ERP_i)*AE376*Ramure*Pc/MaxiM</f>
        <v>0.35495922337583818</v>
      </c>
      <c r="AE376" s="307">
        <f t="shared" si="142"/>
        <v>1</v>
      </c>
      <c r="AF376" s="179">
        <f t="shared" si="143"/>
        <v>0.19977490247316787</v>
      </c>
      <c r="AG376" s="837">
        <f t="shared" si="149"/>
        <v>4</v>
      </c>
      <c r="AH376" s="178">
        <f t="shared" si="144"/>
        <v>10</v>
      </c>
      <c r="AI376" s="227">
        <f t="shared" si="145"/>
        <v>4.1997749024731679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46750</v>
      </c>
      <c r="B377" s="1139">
        <f>IF(t&gt;Tmaj,'2026'!Wh/'2026'!Env_an*'2027'!Env_an,0.001*'[14]mon-tableau (2)'!$B$236)</f>
        <v>9.4840164621175109</v>
      </c>
      <c r="C377" s="866"/>
      <c r="D377" s="395">
        <f t="shared" si="127"/>
        <v>10.273757677778029</v>
      </c>
      <c r="E377" s="387">
        <f t="shared" si="150"/>
        <v>11.16985909782273</v>
      </c>
      <c r="F377" s="387">
        <f t="shared" si="128"/>
        <v>11.484795870498075</v>
      </c>
      <c r="G377" s="110">
        <f t="shared" si="151"/>
        <v>0.61478146101202003</v>
      </c>
      <c r="H377" s="414" t="b">
        <f>Wh_hp&gt;='2026'!Maxi_hp</f>
        <v>0</v>
      </c>
      <c r="I377" s="392">
        <f>IF(H377,Wh_hp,'2026'!Maxi_hp)</f>
        <v>19.042847861253957</v>
      </c>
      <c r="J377" s="85">
        <f>IF(H377,An,'2026'!An_max)</f>
        <v>2019</v>
      </c>
      <c r="K377" s="199">
        <f t="shared" si="129"/>
        <v>46750</v>
      </c>
      <c r="L377" s="147">
        <f>IF(t&lt;Tvie,1-EXP((T0-t)*PertePVj)+'2026'!Pspv,1-EXP((T0-t)*PertePVj)+Pspv)</f>
        <v>7.6869753057220325E-2</v>
      </c>
      <c r="M377" s="870"/>
      <c r="N377" s="870"/>
      <c r="O377" s="48">
        <f>IF(t&lt;Tnet,'2026'!Resal+('2026'!Salim-'2026'!Resal)*(1-EXP(('2026'!Tnet-t)/('2026'!Tau_j))),Resal+(Salim-Resal)*(1-EXP((Tnet-t)/(Tau_j))))*Salcycl</f>
        <v>8.0224952901990679E-2</v>
      </c>
      <c r="P377" s="171">
        <f>(INDEX(Models!$BJ377:$BT377,,T377)*(1-R377)+INDEX(Models!$BJ377:$BT377,,T377+1)*R377-ERP_i)*Q377*Ramure*Pc/MaxiM</f>
        <v>5.7412579855802996E-2</v>
      </c>
      <c r="Q377" s="307">
        <f t="shared" si="130"/>
        <v>1</v>
      </c>
      <c r="R377" s="179">
        <f t="shared" si="131"/>
        <v>0.26479230954959732</v>
      </c>
      <c r="S377" s="837">
        <f t="shared" si="132"/>
        <v>-1</v>
      </c>
      <c r="T377" s="178">
        <f t="shared" si="133"/>
        <v>5</v>
      </c>
      <c r="U377" s="253">
        <f t="shared" si="134"/>
        <v>-0.73520769045040268</v>
      </c>
      <c r="V377" s="385">
        <f t="shared" si="135"/>
        <v>14.950949051217314</v>
      </c>
      <c r="W377" s="404">
        <f t="shared" si="136"/>
        <v>9.4840164621175109</v>
      </c>
      <c r="X377" s="157">
        <f t="shared" si="137"/>
        <v>46750</v>
      </c>
      <c r="Y377" s="387">
        <f t="shared" si="138"/>
        <v>7.6916350697410092</v>
      </c>
      <c r="Z377" s="387">
        <f t="shared" si="139"/>
        <v>8.3321233327736213</v>
      </c>
      <c r="AA377" s="388">
        <f t="shared" si="140"/>
        <v>9.5454755625294183</v>
      </c>
      <c r="AB377" s="199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0.12711281086075879</v>
      </c>
      <c r="AD377" s="233">
        <f>(INDEX(Models!$BJ377:$BT377,,AH377)*(1-AF377)+INDEX(Models!$BJ377:$BT377,,AH377+1)*AF377-ERP_i)*AE377*Ramure*Pc/MaxiM</f>
        <v>0.35353566717979895</v>
      </c>
      <c r="AE377" s="307">
        <f t="shared" si="142"/>
        <v>1</v>
      </c>
      <c r="AF377" s="179">
        <f t="shared" si="143"/>
        <v>0.19977490247316787</v>
      </c>
      <c r="AG377" s="837">
        <f t="shared" si="149"/>
        <v>4</v>
      </c>
      <c r="AH377" s="178">
        <f t="shared" si="144"/>
        <v>10</v>
      </c>
      <c r="AI377" s="227">
        <f t="shared" si="145"/>
        <v>4.1997749024731679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46751</v>
      </c>
      <c r="B378" s="1139">
        <f>IF(t&gt;Tmaj,'2026'!Wh/'2026'!Env_an*'2027'!Env_an,0.001*'[14]mon-tableau (2)'!$B$237)</f>
        <v>12.04983361767688</v>
      </c>
      <c r="C378" s="866"/>
      <c r="D378" s="395">
        <f t="shared" si="127"/>
        <v>13.053536141126612</v>
      </c>
      <c r="E378" s="387">
        <f t="shared" si="150"/>
        <v>14.194727483979744</v>
      </c>
      <c r="F378" s="387">
        <f t="shared" si="128"/>
        <v>14.797218085452783</v>
      </c>
      <c r="G378" s="110">
        <f t="shared" si="151"/>
        <v>0.78757708188375453</v>
      </c>
      <c r="H378" s="414" t="b">
        <f>Wh_hp&gt;='2026'!Maxi_hp</f>
        <v>0</v>
      </c>
      <c r="I378" s="392">
        <f>IF(H378,Wh_hp,'2026'!Maxi_hp)</f>
        <v>18.153924992563482</v>
      </c>
      <c r="J378" s="85">
        <f>IF(H378,An,'2026'!An_max)</f>
        <v>2019</v>
      </c>
      <c r="K378" s="199">
        <f t="shared" si="129"/>
        <v>46751</v>
      </c>
      <c r="L378" s="147">
        <f>IF(t&lt;Tvie,1-EXP((T0-t)*PertePVj)+'2026'!Pspv,1-EXP((T0-t)*PertePVj)+Pspv)</f>
        <v>7.6891235646673217E-2</v>
      </c>
      <c r="M378" s="870"/>
      <c r="N378" s="870"/>
      <c r="O378" s="48">
        <f>IF(t&lt;Tnet,'2026'!Resal+('2026'!Salim-'2026'!Resal)*(1-EXP(('2026'!Tnet-t)/('2026'!Tau_j))),Resal+(Salim-Resal)*(1-EXP((Tnet-t)/(Tau_j))))*Salcycl</f>
        <v>8.0395438668413102E-2</v>
      </c>
      <c r="P378" s="171">
        <f>(INDEX(Models!$BJ378:$BT378,,T378)*(1-R378)+INDEX(Models!$BJ378:$BT378,,T378+1)*R378-ERP_i)*Q378*Ramure*Pc/MaxiM</f>
        <v>5.6880722084990287E-2</v>
      </c>
      <c r="Q378" s="307">
        <f t="shared" si="130"/>
        <v>1</v>
      </c>
      <c r="R378" s="179">
        <f t="shared" si="131"/>
        <v>0.26479230954959732</v>
      </c>
      <c r="S378" s="837">
        <f t="shared" si="132"/>
        <v>-1</v>
      </c>
      <c r="T378" s="178">
        <f t="shared" si="133"/>
        <v>5</v>
      </c>
      <c r="U378" s="253">
        <f t="shared" si="134"/>
        <v>-0.73520769045040268</v>
      </c>
      <c r="V378" s="385">
        <f t="shared" si="135"/>
        <v>15.042070436572292</v>
      </c>
      <c r="W378" s="404">
        <f t="shared" si="136"/>
        <v>12.04983361767688</v>
      </c>
      <c r="X378" s="157">
        <f t="shared" si="137"/>
        <v>46751</v>
      </c>
      <c r="Y378" s="387">
        <f t="shared" si="138"/>
        <v>8.9184155035035335</v>
      </c>
      <c r="Z378" s="387">
        <f t="shared" si="139"/>
        <v>9.6612835322295165</v>
      </c>
      <c r="AA378" s="388">
        <f t="shared" si="140"/>
        <v>11.069161662323651</v>
      </c>
      <c r="AB378" s="199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0.12718922833028631</v>
      </c>
      <c r="AD378" s="233">
        <f>(INDEX(Models!$BJ378:$BT378,,AH378)*(1-AF378)+INDEX(Models!$BJ378:$BT378,,AH378+1)*AF378-ERP_i)*AE378*Ramure*Pc/MaxiM</f>
        <v>0.351963235281539</v>
      </c>
      <c r="AE378" s="307">
        <f t="shared" si="142"/>
        <v>1</v>
      </c>
      <c r="AF378" s="179">
        <f t="shared" si="143"/>
        <v>0.19977490247316787</v>
      </c>
      <c r="AG378" s="837">
        <f t="shared" si="149"/>
        <v>4</v>
      </c>
      <c r="AH378" s="178">
        <f t="shared" si="144"/>
        <v>10</v>
      </c>
      <c r="AI378" s="227">
        <f t="shared" si="145"/>
        <v>4.1997749024731679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46752</v>
      </c>
      <c r="B379" s="1139">
        <f>IF(t&gt;Tmaj,'2026'!Wh/'2026'!Env_an*'2027'!Env_an,0.001*'[14]mon-tableau (2)'!$B$238)</f>
        <v>9.4029306711486296</v>
      </c>
      <c r="C379" s="866"/>
      <c r="D379" s="395">
        <f t="shared" si="127"/>
        <v>10.186393910756324</v>
      </c>
      <c r="E379" s="387">
        <f t="shared" si="150"/>
        <v>11.078983940485902</v>
      </c>
      <c r="F379" s="387">
        <f t="shared" si="128"/>
        <v>11.372574454800127</v>
      </c>
      <c r="G379" s="110">
        <f t="shared" si="151"/>
        <v>0.60155560003460073</v>
      </c>
      <c r="H379" s="414" t="b">
        <f>Wh_hp&gt;='2026'!Maxi_hp</f>
        <v>0</v>
      </c>
      <c r="I379" s="392">
        <f>IF(H379,Wh_hp,'2026'!Maxi_hp)</f>
        <v>18.304438481335758</v>
      </c>
      <c r="J379" s="85">
        <f>IF(H379,An,'2026'!An_max)</f>
        <v>2021</v>
      </c>
      <c r="K379" s="199">
        <f t="shared" si="129"/>
        <v>46752</v>
      </c>
      <c r="L379" s="147">
        <f>IF(t&lt;Tvie,1-EXP((T0-t)*PertePVj)+'2026'!Pspv,1-EXP((T0-t)*PertePVj)+Pspv)</f>
        <v>7.6912717736194791E-2</v>
      </c>
      <c r="M379" s="870"/>
      <c r="N379" s="870"/>
      <c r="O379" s="48">
        <f>IF(t&lt;Tnet,'2026'!Resal+('2026'!Salim-'2026'!Resal)*(1-EXP(('2026'!Tnet-t)/('2026'!Tau_j))),Resal+(Salim-Resal)*(1-EXP((Tnet-t)/(Tau_j))))*Salcycl</f>
        <v>8.0566055021326258E-2</v>
      </c>
      <c r="P379" s="171">
        <f>(INDEX(Models!$BJ379:$BT379,,T379)*(1-R379)+INDEX(Models!$BJ379:$BT379,,T379+1)*R379-ERP_i)*Q379*Ramure*Pc/MaxiM</f>
        <v>5.6298204745324681E-2</v>
      </c>
      <c r="Q379" s="308">
        <f t="shared" si="130"/>
        <v>1</v>
      </c>
      <c r="R379" s="179">
        <f t="shared" si="131"/>
        <v>0.26479230954959732</v>
      </c>
      <c r="S379" s="837">
        <f t="shared" si="132"/>
        <v>-1</v>
      </c>
      <c r="T379" s="178">
        <f t="shared" si="133"/>
        <v>5</v>
      </c>
      <c r="U379" s="309">
        <f t="shared" si="134"/>
        <v>-0.73520769045040268</v>
      </c>
      <c r="V379" s="385">
        <f t="shared" si="135"/>
        <v>15.141925221405671</v>
      </c>
      <c r="W379" s="404">
        <f t="shared" si="136"/>
        <v>9.4029306711486296</v>
      </c>
      <c r="X379" s="157">
        <f t="shared" si="137"/>
        <v>46752</v>
      </c>
      <c r="Y379" s="387">
        <f t="shared" si="138"/>
        <v>7.6903830417688663</v>
      </c>
      <c r="Z379" s="387">
        <f t="shared" si="139"/>
        <v>8.33115479926097</v>
      </c>
      <c r="AA379" s="388">
        <f t="shared" si="140"/>
        <v>9.5460441084512038</v>
      </c>
      <c r="AB379" s="199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0.12726625766527533</v>
      </c>
      <c r="AD379" s="233">
        <f>(INDEX(Models!$BJ379:$BT379,,AH379)*(1-AF379)+INDEX(Models!$BJ379:$BT379,,AH379+1)*AF379-ERP_i)*AE379*Ramure*Pc/MaxiM</f>
        <v>0.35025102787293405</v>
      </c>
      <c r="AE379" s="308">
        <f t="shared" si="142"/>
        <v>1</v>
      </c>
      <c r="AF379" s="179">
        <f t="shared" si="143"/>
        <v>0.19977490247316787</v>
      </c>
      <c r="AG379" s="837">
        <f t="shared" si="149"/>
        <v>4</v>
      </c>
      <c r="AH379" s="178">
        <f t="shared" si="144"/>
        <v>10</v>
      </c>
      <c r="AI379" s="224">
        <f t="shared" si="145"/>
        <v>4.1997749024731679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608"/>
      <c r="B380" s="830"/>
      <c r="C380" s="867"/>
      <c r="D380" s="609"/>
      <c r="E380" s="389"/>
      <c r="F380" s="389"/>
      <c r="G380" s="610"/>
      <c r="H380" s="603" t="b">
        <f>Wh_hp&gt;='2026'!Maxi_hp</f>
        <v>0</v>
      </c>
      <c r="I380" s="604">
        <f>IF(H380,Wh_hp,'2026'!Maxi_hp)</f>
        <v>13.062281165272948</v>
      </c>
      <c r="J380" s="151">
        <f>IF(H380,An,'2026'!An_max)</f>
        <v>2020</v>
      </c>
      <c r="K380" s="236"/>
      <c r="L380" s="611"/>
      <c r="M380" s="871"/>
      <c r="N380" s="871"/>
      <c r="O380" s="612"/>
      <c r="P380" s="324"/>
      <c r="Q380" s="231"/>
      <c r="R380" s="231"/>
      <c r="S380" s="231"/>
      <c r="T380" s="231"/>
      <c r="U380" s="325"/>
      <c r="V380" s="399">
        <f>(V379+V15)/2</f>
        <v>15.46585695371872</v>
      </c>
      <c r="W380" s="829"/>
      <c r="X380" s="613"/>
      <c r="Y380" s="389"/>
      <c r="Z380" s="389"/>
      <c r="AA380" s="390"/>
      <c r="AB380" s="236"/>
      <c r="AC380" s="614"/>
      <c r="AD380" s="324"/>
      <c r="AE380" s="231"/>
      <c r="AF380" s="231"/>
      <c r="AG380" s="231"/>
      <c r="AH380" s="231"/>
      <c r="AI380" s="615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0.82977453728150319</v>
      </c>
      <c r="C381" s="377"/>
      <c r="D381" s="375">
        <f>MIN(D15:D380)</f>
        <v>0.89388490029061507</v>
      </c>
      <c r="E381" s="375">
        <f>MIN(E15:E380)</f>
        <v>0.91852028636839333</v>
      </c>
      <c r="F381" s="376">
        <f>MIN(F15:F380)</f>
        <v>0.91852028636839333</v>
      </c>
      <c r="G381" s="125">
        <f>+MIN(G15:G380)</f>
        <v>1.4712072178150432E-2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6.9060115748831863E-2</v>
      </c>
      <c r="M381" s="872"/>
      <c r="N381" s="872"/>
      <c r="O381" s="47">
        <f t="shared" si="152"/>
        <v>2.5553188945380768E-2</v>
      </c>
      <c r="P381" s="170">
        <f t="shared" si="152"/>
        <v>7.7880967488794272E-5</v>
      </c>
      <c r="Q381" s="312">
        <f t="shared" si="152"/>
        <v>1</v>
      </c>
      <c r="R381" s="313">
        <f t="shared" si="152"/>
        <v>5.9095280553741469E-3</v>
      </c>
      <c r="S381" s="837">
        <f t="shared" si="152"/>
        <v>-2</v>
      </c>
      <c r="T381" s="178">
        <f t="shared" si="152"/>
        <v>4</v>
      </c>
      <c r="U381" s="254">
        <f>MIN(U15:U380)</f>
        <v>-1.435205908199763</v>
      </c>
      <c r="V381" s="57">
        <f>MIN(V15:V380)</f>
        <v>14.55347569407618</v>
      </c>
      <c r="W381" s="58"/>
      <c r="X381" s="112" t="s">
        <v>7</v>
      </c>
      <c r="Y381" s="375">
        <f>MIN(Y15:Y380)</f>
        <v>0.76506810897467581</v>
      </c>
      <c r="Z381" s="375">
        <f>MIN(Z15:Z380)</f>
        <v>0.82417909875480844</v>
      </c>
      <c r="AA381" s="375">
        <f>MIN(AA15:AA380)</f>
        <v>0.91852028636839333</v>
      </c>
      <c r="AB381" s="202" t="s">
        <v>7</v>
      </c>
      <c r="AC381" s="47">
        <f t="shared" ref="AC381:AH381" si="153">MIN(AC15:AC380)</f>
        <v>0.10170340704232843</v>
      </c>
      <c r="AD381" s="170">
        <f t="shared" si="153"/>
        <v>1.2259682118481109E-3</v>
      </c>
      <c r="AE381" s="312">
        <f t="shared" si="153"/>
        <v>1</v>
      </c>
      <c r="AF381" s="313">
        <f t="shared" si="153"/>
        <v>3.7741671081192862E-3</v>
      </c>
      <c r="AG381" s="837">
        <f t="shared" si="153"/>
        <v>3</v>
      </c>
      <c r="AH381" s="178">
        <f t="shared" si="153"/>
        <v>9</v>
      </c>
      <c r="AI381" s="228">
        <f>MIN(AI15:AI380)</f>
        <v>3.4997766847238072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27.624999799688936</v>
      </c>
      <c r="C382" s="377"/>
      <c r="D382" s="377">
        <f>AVERAGE(D15:D380)</f>
        <v>29.797074977720634</v>
      </c>
      <c r="E382" s="377">
        <f>AVERAGE(E15:E380)</f>
        <v>31.784011959294382</v>
      </c>
      <c r="F382" s="378">
        <f>AVERAGE(F15:F380)</f>
        <v>31.917035478564159</v>
      </c>
      <c r="G382" s="126">
        <f>AVERAGE(G15:G380)</f>
        <v>0.7054020249112567</v>
      </c>
      <c r="H382" s="94"/>
      <c r="I382" s="378">
        <f>AVERAGE(I15:I380)</f>
        <v>40.944930898955725</v>
      </c>
      <c r="J382" s="59">
        <f>AVERAGE(J15:J380)</f>
        <v>2021.3224043715848</v>
      </c>
      <c r="K382" s="202" t="s">
        <v>8</v>
      </c>
      <c r="L382" s="147">
        <f t="shared" ref="L382:V382" si="154">AVERAGE(L15:L380)</f>
        <v>7.2991944731209499E-2</v>
      </c>
      <c r="M382" s="870"/>
      <c r="N382" s="870"/>
      <c r="O382" s="48">
        <f t="shared" si="154"/>
        <v>6.8736924715211062E-2</v>
      </c>
      <c r="P382" s="171">
        <f t="shared" si="154"/>
        <v>1.2758579634732634E-2</v>
      </c>
      <c r="Q382" s="314">
        <f t="shared" si="154"/>
        <v>1</v>
      </c>
      <c r="R382" s="179">
        <f t="shared" si="154"/>
        <v>0.43060373033876415</v>
      </c>
      <c r="S382" s="837">
        <f t="shared" si="154"/>
        <v>-1.473972602739726</v>
      </c>
      <c r="T382" s="178">
        <f t="shared" si="154"/>
        <v>4.5260273972602736</v>
      </c>
      <c r="U382" s="253">
        <f>AVERAGE(U15:U380)</f>
        <v>-1.043368872400962</v>
      </c>
      <c r="V382" s="59">
        <f t="shared" si="154"/>
        <v>37.713943452561537</v>
      </c>
      <c r="X382" s="112" t="s">
        <v>8</v>
      </c>
      <c r="Y382" s="377">
        <f>AVERAGE(Y15:Y380)</f>
        <v>24.949758387150279</v>
      </c>
      <c r="Z382" s="377">
        <f>AVERAGE(Z15:Z380)</f>
        <v>26.910654814413842</v>
      </c>
      <c r="AA382" s="377">
        <f>AVERAGE(AA15:AA380)</f>
        <v>30.684120164384364</v>
      </c>
      <c r="AB382" s="202" t="s">
        <v>8</v>
      </c>
      <c r="AC382" s="48">
        <f t="shared" ref="AC382:AH382" si="155">AVERAGE(AC15:AC380)</f>
        <v>0.1250944603403242</v>
      </c>
      <c r="AD382" s="171">
        <f t="shared" si="155"/>
        <v>0.10776480228315417</v>
      </c>
      <c r="AE382" s="314">
        <f t="shared" si="155"/>
        <v>1</v>
      </c>
      <c r="AF382" s="179">
        <f t="shared" si="155"/>
        <v>0.39298358353630708</v>
      </c>
      <c r="AG382" s="837">
        <f t="shared" si="155"/>
        <v>3.4986301369863013</v>
      </c>
      <c r="AH382" s="178">
        <f t="shared" si="155"/>
        <v>9.4986301369863018</v>
      </c>
      <c r="AI382" s="227">
        <f>AVERAGE(AI15:AI380)</f>
        <v>3.891613720522606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59.013681456569721</v>
      </c>
      <c r="C383" s="379"/>
      <c r="D383" s="379">
        <f>MAX(D15:D380)</f>
        <v>63.610216698403917</v>
      </c>
      <c r="E383" s="379">
        <f>MAX(E15:E380)</f>
        <v>66.574416403535167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2027</v>
      </c>
      <c r="K383" s="202" t="s">
        <v>9</v>
      </c>
      <c r="L383" s="148">
        <f t="shared" ref="L383:T383" si="156">MAX(L15:L380)</f>
        <v>7.6912717736194791E-2</v>
      </c>
      <c r="M383" s="873"/>
      <c r="N383" s="873"/>
      <c r="O383" s="49">
        <f t="shared" si="156"/>
        <v>0.10145853148975088</v>
      </c>
      <c r="P383" s="172">
        <f t="shared" si="156"/>
        <v>5.9558449094321869E-2</v>
      </c>
      <c r="Q383" s="315">
        <f t="shared" si="156"/>
        <v>1</v>
      </c>
      <c r="R383" s="316">
        <f t="shared" si="156"/>
        <v>0.99916066729166353</v>
      </c>
      <c r="S383" s="838">
        <f t="shared" si="156"/>
        <v>-1</v>
      </c>
      <c r="T383" s="235">
        <f t="shared" si="156"/>
        <v>5</v>
      </c>
      <c r="U383" s="255">
        <f>MAX(U15:U380)</f>
        <v>-0.73520769045040268</v>
      </c>
      <c r="V383" s="60">
        <f>MAX(V15:V380)</f>
        <v>58.17225724754271</v>
      </c>
      <c r="X383" s="112" t="s">
        <v>9</v>
      </c>
      <c r="Y383" s="379">
        <f>MAX(Y15:Y380)</f>
        <v>54.407142307225755</v>
      </c>
      <c r="Z383" s="379">
        <f>MAX(Z15:Z380)</f>
        <v>58.685834699918033</v>
      </c>
      <c r="AA383" s="379">
        <f>MAX(AA15:AA380)</f>
        <v>66.487467939784395</v>
      </c>
      <c r="AB383" s="202" t="s">
        <v>9</v>
      </c>
      <c r="AC383" s="49">
        <f t="shared" ref="AC383:AH383" si="157">MAX(AC15:AC380)</f>
        <v>0.13939659774141724</v>
      </c>
      <c r="AD383" s="172">
        <f t="shared" si="157"/>
        <v>0.36082715086481315</v>
      </c>
      <c r="AE383" s="315">
        <f t="shared" si="157"/>
        <v>1</v>
      </c>
      <c r="AF383" s="316">
        <f t="shared" si="157"/>
        <v>0.99791443103390476</v>
      </c>
      <c r="AG383" s="838">
        <f t="shared" si="157"/>
        <v>4</v>
      </c>
      <c r="AH383" s="235">
        <f t="shared" si="157"/>
        <v>10</v>
      </c>
      <c r="AI383" s="229">
        <f>MAX(AI15:AI380)</f>
        <v>4.1997749024731679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8" priority="6" stopIfTrue="1" operator="lessThan">
      <formula>0.01</formula>
    </cfRule>
    <cfRule type="cellIs" dxfId="7" priority="7" stopIfTrue="1" operator="greaterThan">
      <formula>0.05</formula>
    </cfRule>
  </conditionalFormatting>
  <conditionalFormatting sqref="G15:G379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15:B379">
    <cfRule type="expression" dxfId="0" priority="1">
      <formula>A15&gt;Tmaj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1:AH19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F49" sqref="F49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4" width="8" style="637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4" customWidth="1"/>
    <col min="19" max="19" width="8" style="21" customWidth="1"/>
    <col min="20" max="20" width="8" style="15" customWidth="1"/>
    <col min="21" max="21" width="8" style="21" customWidth="1"/>
    <col min="22" max="22" width="8.140625" style="15" customWidth="1"/>
    <col min="23" max="23" width="6.85546875" style="21" customWidth="1"/>
    <col min="24" max="24" width="6.85546875" style="713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5" max="16384" width="11.42578125" style="15"/>
  </cols>
  <sheetData>
    <row r="1" spans="1:31" ht="21.75" thickBot="1" x14ac:dyDescent="0.4">
      <c r="A1" s="669" t="str">
        <f>"Calcul Masques  "&amp;Station</f>
        <v>Calcul Masques  Crèche Ayguesvives</v>
      </c>
      <c r="B1" s="1212" t="str">
        <f>Station</f>
        <v>Crèche Ayguesvives</v>
      </c>
      <c r="C1" s="1213"/>
      <c r="D1" s="1213"/>
      <c r="E1" s="1213"/>
      <c r="F1" s="1214"/>
      <c r="H1" s="22" t="s">
        <v>306</v>
      </c>
      <c r="I1" s="1219">
        <v>44567</v>
      </c>
      <c r="J1" s="1220"/>
      <c r="K1" s="1048"/>
      <c r="M1" s="811" t="s">
        <v>169</v>
      </c>
      <c r="N1" s="671"/>
      <c r="O1" s="672"/>
      <c r="P1" s="672"/>
      <c r="Q1" s="671"/>
      <c r="R1" s="671"/>
      <c r="S1" s="673"/>
      <c r="T1" s="674"/>
      <c r="U1" s="673"/>
      <c r="V1" s="671"/>
      <c r="W1" s="673"/>
      <c r="X1" s="671"/>
      <c r="Y1" s="15"/>
      <c r="AA1" s="15"/>
    </row>
    <row r="2" spans="1:31" s="6" customFormat="1" ht="12.75" customHeight="1" thickBot="1" x14ac:dyDescent="0.25">
      <c r="A2" s="1122" t="s">
        <v>338</v>
      </c>
      <c r="C2" s="675"/>
      <c r="D2" s="676"/>
      <c r="E2" s="1125"/>
      <c r="F2" s="1125"/>
      <c r="G2" s="26"/>
      <c r="H2" s="25"/>
      <c r="L2" s="8"/>
      <c r="P2" s="933" t="s">
        <v>309</v>
      </c>
      <c r="S2" s="26"/>
      <c r="T2" s="26"/>
      <c r="V2" s="26"/>
    </row>
    <row r="3" spans="1:31" ht="16.5" thickBot="1" x14ac:dyDescent="0.3">
      <c r="A3" s="678" t="s">
        <v>339</v>
      </c>
      <c r="B3" s="679"/>
      <c r="C3" s="679"/>
      <c r="E3" s="1126"/>
      <c r="F3" s="1127" t="s">
        <v>191</v>
      </c>
      <c r="G3" s="20"/>
      <c r="H3" s="22" t="s">
        <v>15</v>
      </c>
      <c r="I3" s="929">
        <v>0.3</v>
      </c>
      <c r="J3" s="931">
        <f>DEGREES(ATAN(I3))</f>
        <v>16.699244233993621</v>
      </c>
      <c r="K3" s="931"/>
      <c r="L3" s="848"/>
      <c r="M3" s="15"/>
      <c r="O3" s="637"/>
      <c r="P3" s="22" t="s">
        <v>314</v>
      </c>
      <c r="Q3" s="930" t="s">
        <v>333</v>
      </c>
      <c r="R3" s="935">
        <f>H_pv</f>
        <v>3.6752767804040829</v>
      </c>
      <c r="T3" s="21"/>
      <c r="U3" s="15"/>
      <c r="V3" s="21"/>
      <c r="W3" s="15"/>
      <c r="X3" s="15"/>
      <c r="Y3" s="15"/>
      <c r="AA3" s="15"/>
    </row>
    <row r="4" spans="1:31" s="25" customFormat="1" ht="12" thickBot="1" x14ac:dyDescent="0.25">
      <c r="A4" s="680" t="s">
        <v>139</v>
      </c>
      <c r="B4" s="1005" t="s">
        <v>140</v>
      </c>
      <c r="C4" s="1005" t="s">
        <v>141</v>
      </c>
      <c r="D4" s="1005" t="s">
        <v>142</v>
      </c>
      <c r="E4" s="1006" t="s">
        <v>167</v>
      </c>
      <c r="F4" s="681" t="s">
        <v>190</v>
      </c>
      <c r="I4" s="6"/>
      <c r="J4" s="947" t="s">
        <v>310</v>
      </c>
      <c r="K4" s="947"/>
      <c r="L4" s="6"/>
      <c r="N4" s="947" t="s">
        <v>310</v>
      </c>
      <c r="Q4" s="949"/>
      <c r="R4" s="6"/>
      <c r="T4" s="26"/>
      <c r="U4" s="6"/>
      <c r="V4" s="26"/>
      <c r="W4" s="6"/>
    </row>
    <row r="5" spans="1:31" ht="16.5" thickBot="1" x14ac:dyDescent="0.3">
      <c r="A5" s="682" t="s">
        <v>143</v>
      </c>
      <c r="B5" s="1007">
        <v>2</v>
      </c>
      <c r="C5" s="1008">
        <v>15</v>
      </c>
      <c r="D5" s="173">
        <f>+C5*B5</f>
        <v>30</v>
      </c>
      <c r="E5" s="1009">
        <v>0.3</v>
      </c>
      <c r="F5" s="683">
        <f>+D5*E5</f>
        <v>9</v>
      </c>
      <c r="G5" s="637"/>
      <c r="H5" s="22" t="s">
        <v>307</v>
      </c>
      <c r="I5" s="930">
        <v>68</v>
      </c>
      <c r="J5" s="931">
        <f>90-$J$3</f>
        <v>73.300755766006375</v>
      </c>
      <c r="K5" s="931"/>
      <c r="L5" s="22" t="s">
        <v>308</v>
      </c>
      <c r="M5" s="930">
        <v>68</v>
      </c>
      <c r="N5" s="931">
        <f>90-$J$3</f>
        <v>73.300755766006375</v>
      </c>
      <c r="O5" s="637"/>
      <c r="P5" s="22" t="s">
        <v>311</v>
      </c>
      <c r="Q5" s="930" t="s">
        <v>329</v>
      </c>
      <c r="R5" s="934">
        <f>+IF($Q$5="G",Azi_pvG,Azi_pvD)</f>
        <v>68</v>
      </c>
      <c r="S5" s="932">
        <f>+IF($Q$5="G",J5,N5)</f>
        <v>73.300755766006375</v>
      </c>
      <c r="T5" s="21"/>
      <c r="U5" s="15"/>
      <c r="V5" s="21"/>
      <c r="W5" s="15"/>
      <c r="X5" s="15"/>
      <c r="Y5" s="15"/>
      <c r="AA5" s="15"/>
      <c r="AD5" s="932"/>
      <c r="AE5" s="932"/>
    </row>
    <row r="6" spans="1:31" s="6" customFormat="1" ht="11.25" x14ac:dyDescent="0.2">
      <c r="A6" s="562" t="s">
        <v>138</v>
      </c>
      <c r="B6" s="8">
        <f>1.776+0.002+0.01</f>
        <v>1.788</v>
      </c>
      <c r="C6" s="8">
        <f>1.052+0.002+0.01</f>
        <v>1.0640000000000001</v>
      </c>
      <c r="E6" s="636"/>
      <c r="F6" s="600"/>
      <c r="G6" s="25"/>
      <c r="N6" s="18"/>
      <c r="R6" s="26"/>
      <c r="S6" s="677"/>
      <c r="T6" s="26"/>
      <c r="V6" s="26"/>
      <c r="AD6" s="932"/>
      <c r="AE6" s="932"/>
    </row>
    <row r="7" spans="1:31" s="6" customFormat="1" ht="19.5" thickBot="1" x14ac:dyDescent="0.35">
      <c r="A7" s="16" t="s">
        <v>163</v>
      </c>
      <c r="D7" s="684"/>
      <c r="F7" s="8"/>
      <c r="G7" s="26"/>
      <c r="M7" s="685" t="s">
        <v>144</v>
      </c>
      <c r="N7" s="26"/>
      <c r="O7" s="18"/>
      <c r="P7" s="18"/>
      <c r="S7" s="685" t="s">
        <v>144</v>
      </c>
      <c r="U7" s="26"/>
      <c r="V7" s="26"/>
      <c r="Y7" s="686"/>
      <c r="Z7" s="677"/>
    </row>
    <row r="8" spans="1:31" s="19" customFormat="1" ht="16.5" thickBot="1" x14ac:dyDescent="0.3">
      <c r="A8" s="678" t="s">
        <v>170</v>
      </c>
      <c r="D8" s="105"/>
      <c r="F8" s="136" t="s">
        <v>239</v>
      </c>
      <c r="G8" s="1011">
        <v>1.66</v>
      </c>
      <c r="H8" s="29"/>
      <c r="I8" s="31"/>
      <c r="L8" s="687" t="s">
        <v>171</v>
      </c>
      <c r="M8" s="29"/>
      <c r="O8" s="29"/>
      <c r="P8" s="34"/>
      <c r="R8" s="687" t="s">
        <v>172</v>
      </c>
      <c r="S8" s="29"/>
      <c r="U8" s="29"/>
      <c r="V8" s="29"/>
      <c r="Y8" s="687" t="s">
        <v>173</v>
      </c>
      <c r="Z8" s="688"/>
    </row>
    <row r="9" spans="1:31" s="19" customFormat="1" ht="15.75" thickBot="1" x14ac:dyDescent="0.3">
      <c r="A9" s="689" t="s">
        <v>174</v>
      </c>
      <c r="B9" s="992" t="s">
        <v>175</v>
      </c>
      <c r="C9" s="992" t="s">
        <v>176</v>
      </c>
      <c r="D9" s="689" t="s">
        <v>177</v>
      </c>
      <c r="E9" s="689" t="s">
        <v>178</v>
      </c>
      <c r="F9" s="992" t="s">
        <v>179</v>
      </c>
      <c r="G9" s="1010" t="s">
        <v>180</v>
      </c>
      <c r="H9" s="690" t="s">
        <v>147</v>
      </c>
      <c r="I9" s="691" t="s">
        <v>181</v>
      </c>
      <c r="L9" s="692" t="s">
        <v>149</v>
      </c>
      <c r="M9" s="699" t="s">
        <v>150</v>
      </c>
      <c r="N9" s="699" t="s">
        <v>151</v>
      </c>
      <c r="O9" s="699" t="s">
        <v>152</v>
      </c>
      <c r="P9" s="34"/>
      <c r="R9" s="692" t="s">
        <v>149</v>
      </c>
      <c r="S9" s="699" t="s">
        <v>150</v>
      </c>
      <c r="T9" s="699" t="s">
        <v>151</v>
      </c>
      <c r="U9" s="699" t="s">
        <v>152</v>
      </c>
      <c r="V9" s="560"/>
      <c r="W9" s="815" t="s">
        <v>292</v>
      </c>
    </row>
    <row r="10" spans="1:31" s="19" customFormat="1" x14ac:dyDescent="0.25">
      <c r="A10" s="812" t="s">
        <v>288</v>
      </c>
      <c r="B10" s="993">
        <f>-9.77+14.92</f>
        <v>5.15</v>
      </c>
      <c r="C10" s="994"/>
      <c r="D10" s="1069">
        <f>DEGREES(ATAN2(H10,F10))</f>
        <v>1.08638302224692</v>
      </c>
      <c r="E10" s="1069">
        <f>DEGREES(ATAN2(H10,G10))</f>
        <v>0</v>
      </c>
      <c r="F10" s="993">
        <f>Hrm</f>
        <v>1.66</v>
      </c>
      <c r="G10" s="994"/>
      <c r="H10" s="556">
        <f>SQRT(POWER(N10-T$10,2)+POWER(M10-S$10,2))</f>
        <v>87.537814685997319</v>
      </c>
      <c r="I10" s="694">
        <f>(D10-E10)/(B10-C10)</f>
        <v>0.2109481596595961</v>
      </c>
      <c r="J10" s="43"/>
      <c r="K10" s="43"/>
      <c r="L10" s="1123" t="str">
        <f>A10</f>
        <v>barrière bois à l'angle droit</v>
      </c>
      <c r="M10" s="998">
        <v>6691.56</v>
      </c>
      <c r="N10" s="938">
        <v>275.85000000000002</v>
      </c>
      <c r="O10" s="939">
        <v>169.21</v>
      </c>
      <c r="P10" s="849"/>
      <c r="Q10" s="849"/>
      <c r="R10" s="813" t="s">
        <v>289</v>
      </c>
      <c r="S10" s="998">
        <v>6658.39</v>
      </c>
      <c r="T10" s="938">
        <v>194.84</v>
      </c>
      <c r="U10" s="939">
        <v>173.76</v>
      </c>
      <c r="V10" s="695" t="s">
        <v>182</v>
      </c>
      <c r="W10" s="1002">
        <f>1.6+U10-U12-1</f>
        <v>5.2699999999999818</v>
      </c>
      <c r="X10" s="43" t="s">
        <v>85</v>
      </c>
      <c r="Y10" s="626" t="s">
        <v>293</v>
      </c>
      <c r="Z10" s="629"/>
      <c r="AA10" s="560"/>
      <c r="AB10" s="560"/>
      <c r="AD10" s="19">
        <v>1</v>
      </c>
    </row>
    <row r="11" spans="1:31" s="19" customFormat="1" x14ac:dyDescent="0.25">
      <c r="A11" s="812" t="s">
        <v>288</v>
      </c>
      <c r="B11" s="995">
        <v>17.5</v>
      </c>
      <c r="C11" s="987"/>
      <c r="D11" s="1069">
        <f>DEGREES(ATAN2(H11,F11))</f>
        <v>7.7693994821530366</v>
      </c>
      <c r="E11" s="1069">
        <f>DEGREES(ATAN2(H11,G11))</f>
        <v>0</v>
      </c>
      <c r="F11" s="995">
        <f>Hrm</f>
        <v>1.66</v>
      </c>
      <c r="G11" s="987"/>
      <c r="H11" s="556">
        <f>SQRT(POWER(N11-T$11,2)+POWER(M11-S$11,2))</f>
        <v>12.166618264743926</v>
      </c>
      <c r="I11" s="694">
        <f>(D11-E11)/(B11-C11)</f>
        <v>0.44396568469445924</v>
      </c>
      <c r="J11" s="117"/>
      <c r="K11" s="43"/>
      <c r="L11" s="1123" t="str">
        <f>A11</f>
        <v>barrière bois à l'angle droit</v>
      </c>
      <c r="M11" s="999">
        <v>6691.56</v>
      </c>
      <c r="N11" s="630">
        <v>275.85000000000002</v>
      </c>
      <c r="O11" s="940">
        <v>169.21</v>
      </c>
      <c r="P11" s="850"/>
      <c r="Q11" s="850"/>
      <c r="R11" s="814" t="s">
        <v>290</v>
      </c>
      <c r="S11" s="999">
        <v>6682.35</v>
      </c>
      <c r="T11" s="630">
        <v>283.8</v>
      </c>
      <c r="U11" s="940">
        <v>169.22</v>
      </c>
      <c r="V11" s="696" t="s">
        <v>183</v>
      </c>
      <c r="W11" s="1003">
        <v>1.6</v>
      </c>
      <c r="X11" s="117" t="s">
        <v>85</v>
      </c>
      <c r="Y11" s="627" t="s">
        <v>294</v>
      </c>
      <c r="Z11" s="629"/>
      <c r="AA11" s="560"/>
      <c r="AB11" s="560"/>
      <c r="AD11" s="19">
        <v>2</v>
      </c>
    </row>
    <row r="12" spans="1:31" s="19" customFormat="1" ht="15.75" thickBot="1" x14ac:dyDescent="0.3">
      <c r="A12" s="812" t="s">
        <v>287</v>
      </c>
      <c r="B12" s="996">
        <v>1.08</v>
      </c>
      <c r="C12" s="997">
        <v>-2.77</v>
      </c>
      <c r="D12" s="1069">
        <f>DEGREES(ATAN2(H12,F12))</f>
        <v>1.0675616042574967</v>
      </c>
      <c r="E12" s="1069">
        <f>DEGREES(ATAN2(H12,G12))</f>
        <v>-2.736332455739761</v>
      </c>
      <c r="F12" s="996">
        <f>B12/(B12-C12)*Hrm</f>
        <v>0.46566233766233772</v>
      </c>
      <c r="G12" s="997">
        <f>C12/(-C12+B12)*Hrm</f>
        <v>-1.1943376623376623</v>
      </c>
      <c r="H12" s="556">
        <f>SQRT(POWER(N12-T$12,2)+POWER(M12-S$12,2))</f>
        <v>24.989095621891053</v>
      </c>
      <c r="I12" s="694">
        <f>(D12-E12)/(B12-C12)</f>
        <v>0.98802443116811878</v>
      </c>
      <c r="J12" s="117"/>
      <c r="K12" s="43"/>
      <c r="L12" s="1123" t="str">
        <f>A12</f>
        <v>barrière bois / mur gauche</v>
      </c>
      <c r="M12" s="1000">
        <v>6685</v>
      </c>
      <c r="N12" s="941">
        <v>291.63</v>
      </c>
      <c r="O12" s="1001">
        <v>169.06</v>
      </c>
      <c r="P12" s="850"/>
      <c r="Q12" s="850"/>
      <c r="R12" s="814" t="s">
        <v>291</v>
      </c>
      <c r="S12" s="1000">
        <v>6665.15</v>
      </c>
      <c r="T12" s="941">
        <v>276.45</v>
      </c>
      <c r="U12" s="1001">
        <v>169.09</v>
      </c>
      <c r="V12" s="696" t="s">
        <v>240</v>
      </c>
      <c r="W12" s="1004">
        <v>1.6</v>
      </c>
      <c r="X12" s="117" t="s">
        <v>85</v>
      </c>
      <c r="Y12" s="627" t="s">
        <v>295</v>
      </c>
      <c r="Z12" s="629"/>
      <c r="AA12" s="560"/>
      <c r="AB12" s="560"/>
      <c r="AD12" s="19">
        <v>3</v>
      </c>
    </row>
    <row r="13" spans="1:31" s="6" customFormat="1" ht="11.25" x14ac:dyDescent="0.2">
      <c r="A13" s="562"/>
      <c r="C13" s="61"/>
      <c r="E13" s="61"/>
      <c r="G13" s="61"/>
      <c r="H13" s="74"/>
      <c r="I13" s="817"/>
      <c r="O13" s="18"/>
      <c r="P13" s="18"/>
      <c r="U13" s="818"/>
      <c r="V13" s="26"/>
      <c r="Y13" s="26"/>
      <c r="Z13" s="677"/>
      <c r="AA13" s="819"/>
      <c r="AB13" s="820"/>
      <c r="AC13" s="821"/>
      <c r="AD13" s="820"/>
    </row>
    <row r="14" spans="1:31" s="19" customFormat="1" ht="15.75" x14ac:dyDescent="0.25">
      <c r="A14" s="678" t="s">
        <v>161</v>
      </c>
      <c r="B14" s="698"/>
      <c r="C14" s="28"/>
      <c r="D14" s="136" t="s">
        <v>331</v>
      </c>
      <c r="E14" s="1110">
        <f>IF(Q5&amp;Q3="DE",4,IF(Q5&amp;Q3="DC",3,IF(Q5&amp;Q3="GC",2,1)))</f>
        <v>1</v>
      </c>
      <c r="F14" s="1099">
        <f>+CHOOSE(E14,F16,F17,F18,F19)</f>
        <v>3.6752767804040829</v>
      </c>
      <c r="G14" s="933" t="s">
        <v>332</v>
      </c>
      <c r="K14" s="943"/>
      <c r="L14" s="6"/>
      <c r="M14" s="685" t="s">
        <v>144</v>
      </c>
      <c r="N14" s="71"/>
      <c r="O14" s="688"/>
      <c r="Q14" s="417"/>
      <c r="W14" s="29"/>
      <c r="Z14" s="29"/>
    </row>
    <row r="15" spans="1:31" s="19" customFormat="1" ht="13.5" thickBot="1" x14ac:dyDescent="0.25">
      <c r="A15" s="699" t="s">
        <v>149</v>
      </c>
      <c r="B15" s="700" t="s">
        <v>184</v>
      </c>
      <c r="C15" s="699" t="s">
        <v>145</v>
      </c>
      <c r="D15" s="699" t="s">
        <v>146</v>
      </c>
      <c r="E15" s="699" t="s">
        <v>147</v>
      </c>
      <c r="F15" s="699" t="s">
        <v>148</v>
      </c>
      <c r="G15" s="699" t="s">
        <v>154</v>
      </c>
      <c r="H15" s="699" t="s">
        <v>155</v>
      </c>
      <c r="I15" s="699" t="s">
        <v>153</v>
      </c>
      <c r="K15" s="1049"/>
      <c r="L15" s="701" t="s">
        <v>149</v>
      </c>
      <c r="M15" s="699" t="s">
        <v>150</v>
      </c>
      <c r="N15" s="699" t="s">
        <v>151</v>
      </c>
      <c r="O15" s="699" t="s">
        <v>152</v>
      </c>
      <c r="P15" s="29"/>
      <c r="Q15" s="249"/>
    </row>
    <row r="16" spans="1:31" s="19" customFormat="1" ht="12.75" x14ac:dyDescent="0.2">
      <c r="A16" s="971" t="s">
        <v>316</v>
      </c>
      <c r="B16" s="969">
        <v>3</v>
      </c>
      <c r="C16" s="975">
        <v>3.81</v>
      </c>
      <c r="D16" s="936">
        <f>C16*CHOOSE(B16,Rata1,Rata2,Rata3)</f>
        <v>3.7643730827505326</v>
      </c>
      <c r="E16" s="937">
        <f>SQRT(+POWER(M16-CHOOSE(B16,$S$10,$S$11,$S$12),2)+POWER(N16-CHOOSE(B16,$T$10,$T$11,$T$12),2))</f>
        <v>31.54136473669395</v>
      </c>
      <c r="F16" s="936">
        <f>E16*TAN(RADIANS(D16))+CHOOSE(B16,Hobs1,Hobs2,Hobs3)</f>
        <v>3.6752767804040829</v>
      </c>
      <c r="G16" s="956"/>
      <c r="H16" s="950"/>
      <c r="I16" s="950"/>
      <c r="J16" s="1053"/>
      <c r="K16" s="1050"/>
      <c r="L16" s="955" t="str">
        <f t="shared" ref="L16:L43" si="0">A16</f>
        <v>Centre du champ PV G.E.:</v>
      </c>
      <c r="M16" s="979">
        <v>6695.8537500000002</v>
      </c>
      <c r="N16" s="959">
        <v>283.67062499999997</v>
      </c>
      <c r="O16" s="960">
        <v>169.01</v>
      </c>
      <c r="P16" s="29"/>
      <c r="Q16" s="702"/>
      <c r="W16" s="29"/>
    </row>
    <row r="17" spans="1:17" s="39" customFormat="1" ht="12.75" x14ac:dyDescent="0.2">
      <c r="A17" s="972" t="s">
        <v>313</v>
      </c>
      <c r="B17" s="970">
        <v>3</v>
      </c>
      <c r="C17" s="976"/>
      <c r="D17" s="916"/>
      <c r="E17" s="917"/>
      <c r="F17" s="961">
        <f>F16</f>
        <v>3.6752767804040829</v>
      </c>
      <c r="G17" s="957"/>
      <c r="H17" s="951"/>
      <c r="I17" s="951"/>
      <c r="J17" s="1054"/>
      <c r="K17" s="1051"/>
      <c r="L17" s="962" t="str">
        <f t="shared" si="0"/>
        <v>Centre du champ PV G.C.:</v>
      </c>
      <c r="M17" s="980">
        <v>6694.5012500000012</v>
      </c>
      <c r="N17" s="963">
        <v>287.14187500000003</v>
      </c>
      <c r="O17" s="964">
        <v>168.96</v>
      </c>
      <c r="P17" s="703"/>
      <c r="Q17" s="704"/>
    </row>
    <row r="18" spans="1:17" s="28" customFormat="1" ht="12.75" x14ac:dyDescent="0.2">
      <c r="A18" s="972" t="s">
        <v>312</v>
      </c>
      <c r="B18" s="664">
        <v>3</v>
      </c>
      <c r="C18" s="977"/>
      <c r="D18" s="961"/>
      <c r="E18" s="965"/>
      <c r="F18" s="961">
        <f>F17</f>
        <v>3.6752767804040829</v>
      </c>
      <c r="G18" s="958"/>
      <c r="H18" s="952"/>
      <c r="I18" s="952"/>
      <c r="J18" s="165" t="s">
        <v>185</v>
      </c>
      <c r="K18" s="1051"/>
      <c r="L18" s="966" t="str">
        <f t="shared" si="0"/>
        <v>Centre du champ PV D.C.:</v>
      </c>
      <c r="M18" s="980">
        <v>6693.1487500000003</v>
      </c>
      <c r="N18" s="963">
        <v>290.61312499999997</v>
      </c>
      <c r="O18" s="964">
        <v>168.96</v>
      </c>
    </row>
    <row r="19" spans="1:17" s="34" customFormat="1" ht="13.5" thickBot="1" x14ac:dyDescent="0.25">
      <c r="A19" s="973" t="s">
        <v>315</v>
      </c>
      <c r="B19" s="967">
        <v>3</v>
      </c>
      <c r="C19" s="978"/>
      <c r="D19" s="1012"/>
      <c r="E19" s="1013"/>
      <c r="F19" s="1014">
        <f>F18</f>
        <v>3.6752767804040829</v>
      </c>
      <c r="G19" s="1015"/>
      <c r="H19" s="1016"/>
      <c r="I19" s="1016"/>
      <c r="J19" s="166" t="s">
        <v>186</v>
      </c>
      <c r="K19" s="1061" t="s">
        <v>325</v>
      </c>
      <c r="L19" s="1017" t="str">
        <f t="shared" si="0"/>
        <v>Centre du champ PV D.E.:</v>
      </c>
      <c r="M19" s="981">
        <v>6691.7962500000012</v>
      </c>
      <c r="N19" s="968">
        <v>294.08437500000002</v>
      </c>
      <c r="O19" s="982">
        <v>168.96</v>
      </c>
    </row>
    <row r="20" spans="1:17" s="34" customFormat="1" ht="12.75" x14ac:dyDescent="0.2">
      <c r="A20" s="983" t="s">
        <v>297</v>
      </c>
      <c r="B20" s="984"/>
      <c r="C20" s="975"/>
      <c r="D20" s="1018"/>
      <c r="E20" s="915"/>
      <c r="F20" s="914"/>
      <c r="G20" s="1019"/>
      <c r="H20" s="1020">
        <v>0</v>
      </c>
      <c r="I20" s="1111">
        <f>+Azi_pv_sel+$AC56-270</f>
        <v>-202</v>
      </c>
      <c r="J20" s="1115">
        <f t="shared" ref="J20:J35" si="1">I21-I20</f>
        <v>90</v>
      </c>
      <c r="K20" s="1062"/>
      <c r="L20" s="1056" t="str">
        <f t="shared" si="0"/>
        <v>Toiture</v>
      </c>
      <c r="M20" s="979"/>
      <c r="N20" s="959"/>
      <c r="O20" s="960"/>
    </row>
    <row r="21" spans="1:17" s="34" customFormat="1" ht="12.75" x14ac:dyDescent="0.2">
      <c r="A21" s="985" t="s">
        <v>162</v>
      </c>
      <c r="B21" s="664"/>
      <c r="C21" s="976"/>
      <c r="D21" s="916"/>
      <c r="E21" s="917"/>
      <c r="F21" s="916"/>
      <c r="G21" s="918"/>
      <c r="H21" s="665">
        <f>+$J$3</f>
        <v>16.699244233993621</v>
      </c>
      <c r="I21" s="1112">
        <f>+Azi_pv_sel+$AC57-180</f>
        <v>-112</v>
      </c>
      <c r="J21" s="1116">
        <f t="shared" si="1"/>
        <v>59.788093096174883</v>
      </c>
      <c r="K21" s="1063"/>
      <c r="L21" s="1057" t="str">
        <f t="shared" si="0"/>
        <v>Arrière PV</v>
      </c>
      <c r="M21" s="990">
        <v>6697.92</v>
      </c>
      <c r="N21" s="667">
        <v>290.66000000000003</v>
      </c>
      <c r="O21" s="991">
        <v>169.02</v>
      </c>
    </row>
    <row r="22" spans="1:17" s="34" customFormat="1" ht="12.75" x14ac:dyDescent="0.2">
      <c r="A22" s="986" t="s">
        <v>298</v>
      </c>
      <c r="B22" s="970">
        <v>1</v>
      </c>
      <c r="C22" s="976">
        <v>15.31</v>
      </c>
      <c r="D22" s="916">
        <f t="shared" ref="D22:D35" si="2">C22*CHOOSE(B22,Rata1,Rata2,Rata3)</f>
        <v>3.2296163243884162</v>
      </c>
      <c r="E22" s="917">
        <f t="shared" ref="E22:E35" si="3">SQRT(+POWER(M22-CHOOSE(B22,$S$10,$S$11,$S$12),2)+POWER(N22-CHOOSE(B22,$T$10,$T$11,$T$12),2))</f>
        <v>96.111652779462318</v>
      </c>
      <c r="F22" s="916">
        <f t="shared" ref="F22:F35" si="4">E22*TAN(RADIANS(D22))+CHOOSE(B22,Hobs1,Hobs2,Hobs3)</f>
        <v>10.693312697110343</v>
      </c>
      <c r="G22" s="918">
        <f t="shared" ref="G22:G35" si="5">SQRT(POWER($N22-CHOOSE($E$14,N$16,N$17,N$18,N$19),2)+POWER($M22-CHOOSE($E$14,M$16,M$17,M$18,M$19),2))</f>
        <v>48.471599049887921</v>
      </c>
      <c r="H22" s="1098">
        <f t="shared" ref="H22:H35" si="6">DEGREES(ATAN2(G22,$F22-F$14))</f>
        <v>8.2384092855485136</v>
      </c>
      <c r="I22" s="1113">
        <f t="shared" ref="I22:I35" si="7">DEGREES(ATAN2(CHOOSE($E$14,N$16,N$17,N$18,N$19)-$N22,CHOOSE($E$14,M$16,M$17,M$18,M$19)-$M22))+$AC58</f>
        <v>-52.211906903825117</v>
      </c>
      <c r="J22" s="1116">
        <f t="shared" si="1"/>
        <v>14.843012646865468</v>
      </c>
      <c r="K22" s="1063"/>
      <c r="L22" s="1058" t="str">
        <f t="shared" si="0"/>
        <v>Groupe arbre 1 Est</v>
      </c>
      <c r="M22" s="980">
        <v>6734.16</v>
      </c>
      <c r="N22" s="963">
        <v>253.97</v>
      </c>
      <c r="O22" s="964">
        <v>169.88</v>
      </c>
    </row>
    <row r="23" spans="1:17" s="34" customFormat="1" ht="12.75" x14ac:dyDescent="0.2">
      <c r="A23" s="986" t="s">
        <v>300</v>
      </c>
      <c r="B23" s="970">
        <v>1</v>
      </c>
      <c r="C23" s="976">
        <v>21.59</v>
      </c>
      <c r="D23" s="916">
        <f t="shared" si="2"/>
        <v>4.5543707670506794</v>
      </c>
      <c r="E23" s="917">
        <f t="shared" si="3"/>
        <v>77.112163113220447</v>
      </c>
      <c r="F23" s="916">
        <f t="shared" si="4"/>
        <v>11.412493123890084</v>
      </c>
      <c r="G23" s="918">
        <f t="shared" si="5"/>
        <v>47.863001127730122</v>
      </c>
      <c r="H23" s="1098">
        <f t="shared" si="6"/>
        <v>9.1826206268670525</v>
      </c>
      <c r="I23" s="1113">
        <f t="shared" si="7"/>
        <v>-37.368894256959649</v>
      </c>
      <c r="J23" s="1116">
        <f t="shared" si="1"/>
        <v>15.036537734565236</v>
      </c>
      <c r="K23" s="1063" t="s">
        <v>329</v>
      </c>
      <c r="L23" s="1059" t="str">
        <f t="shared" si="0"/>
        <v>Groupe arbre 1 Sud</v>
      </c>
      <c r="M23" s="980">
        <v>6719.4</v>
      </c>
      <c r="N23" s="963">
        <v>242</v>
      </c>
      <c r="O23" s="964">
        <v>170.08</v>
      </c>
    </row>
    <row r="24" spans="1:17" s="34" customFormat="1" ht="12.75" x14ac:dyDescent="0.2">
      <c r="A24" s="986" t="s">
        <v>299</v>
      </c>
      <c r="B24" s="970">
        <v>1</v>
      </c>
      <c r="C24" s="976">
        <v>13.62</v>
      </c>
      <c r="D24" s="916">
        <f t="shared" si="2"/>
        <v>2.8731139345636985</v>
      </c>
      <c r="E24" s="917">
        <f t="shared" si="3"/>
        <v>86.970028170628922</v>
      </c>
      <c r="F24" s="916">
        <f t="shared" si="4"/>
        <v>9.6347970896709114</v>
      </c>
      <c r="G24" s="918">
        <f t="shared" si="5"/>
        <v>14.227775281228071</v>
      </c>
      <c r="H24" s="1098">
        <f t="shared" si="6"/>
        <v>22.727114936447027</v>
      </c>
      <c r="I24" s="1113">
        <f t="shared" si="7"/>
        <v>-22.332356522394413</v>
      </c>
      <c r="J24" s="1116">
        <f t="shared" si="1"/>
        <v>19.865462113139252</v>
      </c>
      <c r="K24" s="1063"/>
      <c r="L24" s="1058" t="str">
        <f t="shared" si="0"/>
        <v>Groupe arbre 1 Ouest</v>
      </c>
      <c r="M24" s="980">
        <v>6701.26</v>
      </c>
      <c r="N24" s="963">
        <v>270.51</v>
      </c>
      <c r="O24" s="964">
        <v>169.6</v>
      </c>
    </row>
    <row r="25" spans="1:17" s="34" customFormat="1" ht="12.75" x14ac:dyDescent="0.2">
      <c r="A25" s="986" t="s">
        <v>305</v>
      </c>
      <c r="B25" s="970">
        <v>2</v>
      </c>
      <c r="C25" s="976">
        <v>21.1</v>
      </c>
      <c r="D25" s="916">
        <f t="shared" si="2"/>
        <v>9.3676759470530904</v>
      </c>
      <c r="E25" s="917">
        <f t="shared" si="3"/>
        <v>34.928665877757069</v>
      </c>
      <c r="F25" s="916">
        <f t="shared" si="4"/>
        <v>7.3621595764381134</v>
      </c>
      <c r="G25" s="918">
        <f t="shared" si="5"/>
        <v>31.509826474500347</v>
      </c>
      <c r="H25" s="1098">
        <f t="shared" si="6"/>
        <v>6.6736845829903579</v>
      </c>
      <c r="I25" s="1113">
        <f t="shared" si="7"/>
        <v>-2.466894409255163</v>
      </c>
      <c r="J25" s="1116">
        <f t="shared" si="1"/>
        <v>15.016317671897724</v>
      </c>
      <c r="K25" s="1063"/>
      <c r="L25" s="1058" t="str">
        <f t="shared" si="0"/>
        <v>Creux 1 (A4)</v>
      </c>
      <c r="M25" s="980">
        <v>6697.21</v>
      </c>
      <c r="N25" s="963">
        <v>252.19</v>
      </c>
      <c r="O25" s="964">
        <v>169.79</v>
      </c>
    </row>
    <row r="26" spans="1:17" s="34" customFormat="1" ht="12.75" x14ac:dyDescent="0.2">
      <c r="A26" s="986" t="s">
        <v>156</v>
      </c>
      <c r="B26" s="970">
        <v>1</v>
      </c>
      <c r="C26" s="976">
        <v>20.04</v>
      </c>
      <c r="D26" s="916">
        <f t="shared" si="2"/>
        <v>4.2274011195783059</v>
      </c>
      <c r="E26" s="917">
        <f t="shared" si="3"/>
        <v>66.239953200466545</v>
      </c>
      <c r="F26" s="916">
        <f t="shared" si="4"/>
        <v>10.166208629651734</v>
      </c>
      <c r="G26" s="918">
        <f t="shared" si="5"/>
        <v>30.898830713363935</v>
      </c>
      <c r="H26" s="1098">
        <f t="shared" si="6"/>
        <v>11.863646087742012</v>
      </c>
      <c r="I26" s="1113">
        <f t="shared" si="7"/>
        <v>12.549423262642561</v>
      </c>
      <c r="J26" s="1116">
        <f t="shared" si="1"/>
        <v>12.51014196913083</v>
      </c>
      <c r="K26" s="1063"/>
      <c r="L26" s="1059" t="str">
        <f t="shared" si="0"/>
        <v>Arbre 2</v>
      </c>
      <c r="M26" s="980">
        <v>6689.14</v>
      </c>
      <c r="N26" s="963">
        <v>253.51</v>
      </c>
      <c r="O26" s="964">
        <v>169.84</v>
      </c>
    </row>
    <row r="27" spans="1:17" s="34" customFormat="1" ht="12.75" x14ac:dyDescent="0.2">
      <c r="A27" s="986" t="s">
        <v>303</v>
      </c>
      <c r="B27" s="970">
        <v>1</v>
      </c>
      <c r="C27" s="976">
        <v>10</v>
      </c>
      <c r="D27" s="916">
        <f t="shared" si="2"/>
        <v>2.1094815965959608</v>
      </c>
      <c r="E27" s="917">
        <f t="shared" si="3"/>
        <v>87.340005152278238</v>
      </c>
      <c r="F27" s="916">
        <f t="shared" si="4"/>
        <v>8.487085591032967</v>
      </c>
      <c r="G27" s="918">
        <f t="shared" si="5"/>
        <v>9.0748602993723679</v>
      </c>
      <c r="H27" s="1098">
        <f t="shared" si="6"/>
        <v>27.934101729224128</v>
      </c>
      <c r="I27" s="1113">
        <f t="shared" si="7"/>
        <v>25.059565231773391</v>
      </c>
      <c r="J27" s="1116">
        <f t="shared" si="1"/>
        <v>18.936890581616076</v>
      </c>
      <c r="K27" s="1063"/>
      <c r="L27" s="1100" t="str">
        <f t="shared" si="0"/>
        <v>Arbre 3g</v>
      </c>
      <c r="M27" s="980">
        <v>6692.01</v>
      </c>
      <c r="N27" s="963">
        <v>275.45</v>
      </c>
      <c r="O27" s="964">
        <v>169.53</v>
      </c>
    </row>
    <row r="28" spans="1:17" s="34" customFormat="1" ht="12.75" x14ac:dyDescent="0.2">
      <c r="A28" s="986" t="s">
        <v>304</v>
      </c>
      <c r="B28" s="970">
        <v>1</v>
      </c>
      <c r="C28" s="976">
        <v>10</v>
      </c>
      <c r="D28" s="916">
        <f t="shared" si="2"/>
        <v>2.1094815965959608</v>
      </c>
      <c r="E28" s="917">
        <f t="shared" si="3"/>
        <v>86.814425644589477</v>
      </c>
      <c r="F28" s="916">
        <f t="shared" si="4"/>
        <v>8.4677263723315281</v>
      </c>
      <c r="G28" s="918">
        <f t="shared" si="5"/>
        <v>10.370869753937384</v>
      </c>
      <c r="H28" s="1098">
        <f t="shared" si="6"/>
        <v>24.801980421777102</v>
      </c>
      <c r="I28" s="1113">
        <f t="shared" si="7"/>
        <v>43.996455813389467</v>
      </c>
      <c r="J28" s="1116">
        <f t="shared" si="1"/>
        <v>9.0832934659061308</v>
      </c>
      <c r="K28" s="1063" t="s">
        <v>135</v>
      </c>
      <c r="L28" s="1100" t="str">
        <f t="shared" si="0"/>
        <v>Arbre 3d</v>
      </c>
      <c r="M28" s="980">
        <v>6688.65</v>
      </c>
      <c r="N28" s="963">
        <v>276.20999999999998</v>
      </c>
      <c r="O28" s="964">
        <v>169.42</v>
      </c>
    </row>
    <row r="29" spans="1:17" s="34" customFormat="1" ht="12.75" x14ac:dyDescent="0.2">
      <c r="A29" s="986" t="s">
        <v>158</v>
      </c>
      <c r="B29" s="970">
        <v>1</v>
      </c>
      <c r="C29" s="976">
        <v>22.23</v>
      </c>
      <c r="D29" s="916">
        <f t="shared" si="2"/>
        <v>4.6893775892328211</v>
      </c>
      <c r="E29" s="917">
        <f t="shared" si="3"/>
        <v>64.593776790028286</v>
      </c>
      <c r="F29" s="916">
        <f t="shared" si="4"/>
        <v>10.568518954461208</v>
      </c>
      <c r="G29" s="918">
        <f t="shared" si="5"/>
        <v>36.159578633511813</v>
      </c>
      <c r="H29" s="1098">
        <f t="shared" si="6"/>
        <v>10.79301837761202</v>
      </c>
      <c r="I29" s="1113">
        <f t="shared" si="7"/>
        <v>53.079749279295598</v>
      </c>
      <c r="J29" s="1116">
        <f t="shared" si="1"/>
        <v>8.0534939825890888</v>
      </c>
      <c r="K29" s="1063"/>
      <c r="L29" s="1100" t="str">
        <f t="shared" si="0"/>
        <v>Arbre 5</v>
      </c>
      <c r="M29" s="980">
        <v>6670.01</v>
      </c>
      <c r="N29" s="963">
        <v>258.38</v>
      </c>
      <c r="O29" s="964">
        <v>169.98</v>
      </c>
    </row>
    <row r="30" spans="1:17" s="34" customFormat="1" ht="12.75" x14ac:dyDescent="0.2">
      <c r="A30" s="986" t="s">
        <v>159</v>
      </c>
      <c r="B30" s="970">
        <v>1</v>
      </c>
      <c r="C30" s="976">
        <v>19.16</v>
      </c>
      <c r="D30" s="916">
        <f t="shared" si="2"/>
        <v>4.0417667390778611</v>
      </c>
      <c r="E30" s="917">
        <f t="shared" si="3"/>
        <v>71.730540915289325</v>
      </c>
      <c r="F30" s="916">
        <f t="shared" si="4"/>
        <v>10.338435620139276</v>
      </c>
      <c r="G30" s="918">
        <f t="shared" si="5"/>
        <v>35.939409106900065</v>
      </c>
      <c r="H30" s="1098">
        <f t="shared" si="6"/>
        <v>10.503364720236332</v>
      </c>
      <c r="I30" s="1113">
        <f t="shared" si="7"/>
        <v>61.133243261884687</v>
      </c>
      <c r="J30" s="1116">
        <f t="shared" si="1"/>
        <v>24.511310773614596</v>
      </c>
      <c r="K30" s="1063"/>
      <c r="L30" s="1058" t="str">
        <f t="shared" si="0"/>
        <v>Arbre 6</v>
      </c>
      <c r="M30" s="980">
        <v>6664.38</v>
      </c>
      <c r="N30" s="963">
        <v>266.32</v>
      </c>
      <c r="O30" s="964">
        <v>169.64</v>
      </c>
    </row>
    <row r="31" spans="1:17" s="34" customFormat="1" ht="12.75" x14ac:dyDescent="0.2">
      <c r="A31" s="986" t="s">
        <v>283</v>
      </c>
      <c r="B31" s="970">
        <v>2</v>
      </c>
      <c r="C31" s="976">
        <v>57.22</v>
      </c>
      <c r="D31" s="916">
        <f t="shared" si="2"/>
        <v>25.403716478216957</v>
      </c>
      <c r="E31" s="917">
        <f t="shared" si="3"/>
        <v>23.714202495551707</v>
      </c>
      <c r="F31" s="916">
        <f t="shared" si="4"/>
        <v>12.862216325293362</v>
      </c>
      <c r="G31" s="918">
        <f t="shared" si="5"/>
        <v>37.141009200789931</v>
      </c>
      <c r="H31" s="1098">
        <f t="shared" si="6"/>
        <v>13.893413435082872</v>
      </c>
      <c r="I31" s="1113">
        <f t="shared" si="7"/>
        <v>85.644554035499283</v>
      </c>
      <c r="J31" s="1116">
        <f t="shared" si="1"/>
        <v>19.945913108316802</v>
      </c>
      <c r="K31" s="1063"/>
      <c r="L31" s="1100" t="str">
        <f t="shared" si="0"/>
        <v>Arbre 7</v>
      </c>
      <c r="M31" s="980">
        <v>6658.82</v>
      </c>
      <c r="N31" s="963">
        <v>280.85000000000002</v>
      </c>
      <c r="O31" s="964">
        <v>169.05</v>
      </c>
    </row>
    <row r="32" spans="1:17" s="34" customFormat="1" ht="12.75" x14ac:dyDescent="0.2">
      <c r="A32" s="986" t="s">
        <v>160</v>
      </c>
      <c r="B32" s="970">
        <v>2</v>
      </c>
      <c r="C32" s="976">
        <v>40.36</v>
      </c>
      <c r="D32" s="916">
        <f t="shared" si="2"/>
        <v>17.918455034268376</v>
      </c>
      <c r="E32" s="917">
        <f t="shared" si="3"/>
        <v>31.984196097448152</v>
      </c>
      <c r="F32" s="916">
        <f t="shared" si="4"/>
        <v>11.941991940792576</v>
      </c>
      <c r="G32" s="918">
        <f t="shared" si="5"/>
        <v>44.833287878016918</v>
      </c>
      <c r="H32" s="1098">
        <f t="shared" si="6"/>
        <v>10.447303470878108</v>
      </c>
      <c r="I32" s="1113">
        <f t="shared" si="7"/>
        <v>105.59046714381608</v>
      </c>
      <c r="J32" s="1116">
        <f t="shared" si="1"/>
        <v>13.109675970911979</v>
      </c>
      <c r="K32" s="1063" t="s">
        <v>135</v>
      </c>
      <c r="L32" s="1058" t="str">
        <f t="shared" si="0"/>
        <v>Arbre 8</v>
      </c>
      <c r="M32" s="980">
        <v>6652.67</v>
      </c>
      <c r="N32" s="963">
        <v>295.72000000000003</v>
      </c>
      <c r="O32" s="964">
        <v>169.05</v>
      </c>
    </row>
    <row r="33" spans="1:26" s="34" customFormat="1" ht="12.75" x14ac:dyDescent="0.2">
      <c r="A33" s="986" t="s">
        <v>296</v>
      </c>
      <c r="B33" s="970">
        <v>2</v>
      </c>
      <c r="C33" s="976">
        <v>11.96</v>
      </c>
      <c r="D33" s="916">
        <f t="shared" si="2"/>
        <v>5.3098295889457328</v>
      </c>
      <c r="E33" s="917">
        <f t="shared" si="3"/>
        <v>149.91296741776569</v>
      </c>
      <c r="F33" s="916">
        <f t="shared" si="4"/>
        <v>15.532946127987822</v>
      </c>
      <c r="G33" s="918">
        <f t="shared" si="5"/>
        <v>162.47032548885093</v>
      </c>
      <c r="H33" s="1098">
        <f t="shared" si="6"/>
        <v>4.1742512567552001</v>
      </c>
      <c r="I33" s="1113">
        <f t="shared" si="7"/>
        <v>118.70014311472806</v>
      </c>
      <c r="J33" s="1116">
        <f t="shared" si="1"/>
        <v>9.454556733384436</v>
      </c>
      <c r="K33" s="1063"/>
      <c r="L33" s="1100" t="str">
        <f t="shared" si="0"/>
        <v>Creux 2</v>
      </c>
      <c r="M33" s="980">
        <v>6544.42</v>
      </c>
      <c r="N33" s="963">
        <v>342.53</v>
      </c>
      <c r="O33" s="964">
        <v>166.18</v>
      </c>
    </row>
    <row r="34" spans="1:26" s="34" customFormat="1" ht="12.75" x14ac:dyDescent="0.2">
      <c r="A34" s="986" t="s">
        <v>285</v>
      </c>
      <c r="B34" s="970">
        <v>2</v>
      </c>
      <c r="C34" s="976">
        <v>23</v>
      </c>
      <c r="D34" s="916">
        <f t="shared" si="2"/>
        <v>10.211210747972563</v>
      </c>
      <c r="E34" s="917">
        <f t="shared" si="3"/>
        <v>129.65944624284091</v>
      </c>
      <c r="F34" s="916">
        <f t="shared" si="4"/>
        <v>24.955608608329342</v>
      </c>
      <c r="G34" s="918">
        <f t="shared" si="5"/>
        <v>140.09584621591489</v>
      </c>
      <c r="H34" s="1098">
        <f t="shared" si="6"/>
        <v>8.6371114771352548</v>
      </c>
      <c r="I34" s="1113">
        <f t="shared" si="7"/>
        <v>128.1546998481125</v>
      </c>
      <c r="J34" s="1116">
        <f t="shared" si="1"/>
        <v>13.291676943976142</v>
      </c>
      <c r="K34" s="1063"/>
      <c r="L34" s="1100" t="str">
        <f t="shared" si="0"/>
        <v>Arbre 9</v>
      </c>
      <c r="M34" s="980">
        <v>6585.69</v>
      </c>
      <c r="N34" s="963">
        <v>370.22</v>
      </c>
      <c r="O34" s="964">
        <v>166.26</v>
      </c>
    </row>
    <row r="35" spans="1:26" s="34" customFormat="1" ht="12.75" x14ac:dyDescent="0.2">
      <c r="A35" s="986" t="s">
        <v>284</v>
      </c>
      <c r="B35" s="970">
        <v>2</v>
      </c>
      <c r="C35" s="976">
        <v>10.51</v>
      </c>
      <c r="D35" s="916">
        <f t="shared" si="2"/>
        <v>4.6660793461387664</v>
      </c>
      <c r="E35" s="917">
        <f t="shared" si="3"/>
        <v>134.20164566800241</v>
      </c>
      <c r="F35" s="916">
        <f t="shared" si="4"/>
        <v>12.553399543381115</v>
      </c>
      <c r="G35" s="918">
        <f t="shared" si="5"/>
        <v>142.30919252442266</v>
      </c>
      <c r="H35" s="1098">
        <f t="shared" si="6"/>
        <v>3.5698366391257768</v>
      </c>
      <c r="I35" s="1113">
        <f t="shared" si="7"/>
        <v>141.44637679208864</v>
      </c>
      <c r="J35" s="1116">
        <f t="shared" si="1"/>
        <v>16.553623207911357</v>
      </c>
      <c r="K35" s="1063"/>
      <c r="L35" s="1100" t="str">
        <f t="shared" si="0"/>
        <v>Creux 3</v>
      </c>
      <c r="M35" s="980">
        <v>6607.16</v>
      </c>
      <c r="N35" s="963">
        <v>394.96</v>
      </c>
      <c r="O35" s="964">
        <v>166.38</v>
      </c>
    </row>
    <row r="36" spans="1:26" s="34" customFormat="1" ht="12.75" x14ac:dyDescent="0.2">
      <c r="A36" s="985" t="s">
        <v>297</v>
      </c>
      <c r="B36" s="664"/>
      <c r="C36" s="976"/>
      <c r="D36" s="916"/>
      <c r="E36" s="917"/>
      <c r="F36" s="916"/>
      <c r="G36" s="918"/>
      <c r="H36" s="665">
        <v>0</v>
      </c>
      <c r="I36" s="1112">
        <f t="shared" ref="I36:I43" si="8">Azi_pv_sel+$AC72+90</f>
        <v>158</v>
      </c>
      <c r="J36" s="1116"/>
      <c r="K36" s="1063"/>
      <c r="L36" s="1101" t="str">
        <f t="shared" si="0"/>
        <v>Toiture</v>
      </c>
      <c r="M36" s="980"/>
      <c r="N36" s="963"/>
      <c r="O36" s="964"/>
    </row>
    <row r="37" spans="1:26" s="34" customFormat="1" ht="12.75" x14ac:dyDescent="0.2">
      <c r="A37" s="985"/>
      <c r="B37" s="666"/>
      <c r="C37" s="976"/>
      <c r="D37" s="916"/>
      <c r="E37" s="917"/>
      <c r="F37" s="926"/>
      <c r="G37" s="918"/>
      <c r="H37" s="665">
        <v>0</v>
      </c>
      <c r="I37" s="1112">
        <f t="shared" si="8"/>
        <v>158</v>
      </c>
      <c r="J37" s="1116"/>
      <c r="K37" s="1063"/>
      <c r="L37" s="1057">
        <f t="shared" si="0"/>
        <v>0</v>
      </c>
      <c r="M37" s="980"/>
      <c r="N37" s="963"/>
      <c r="O37" s="964"/>
    </row>
    <row r="38" spans="1:26" s="34" customFormat="1" ht="12.75" x14ac:dyDescent="0.2">
      <c r="A38" s="985"/>
      <c r="B38" s="666"/>
      <c r="C38" s="976"/>
      <c r="D38" s="916"/>
      <c r="E38" s="917"/>
      <c r="F38" s="926"/>
      <c r="G38" s="918"/>
      <c r="H38" s="665">
        <v>0</v>
      </c>
      <c r="I38" s="1112">
        <f t="shared" si="8"/>
        <v>158</v>
      </c>
      <c r="J38" s="1116"/>
      <c r="K38" s="1063"/>
      <c r="L38" s="1057">
        <f t="shared" si="0"/>
        <v>0</v>
      </c>
      <c r="M38" s="980"/>
      <c r="N38" s="963"/>
      <c r="O38" s="964"/>
    </row>
    <row r="39" spans="1:26" s="34" customFormat="1" ht="12.75" x14ac:dyDescent="0.2">
      <c r="A39" s="985"/>
      <c r="B39" s="666"/>
      <c r="C39" s="976"/>
      <c r="D39" s="916"/>
      <c r="E39" s="917"/>
      <c r="F39" s="926"/>
      <c r="G39" s="918"/>
      <c r="H39" s="665">
        <v>0</v>
      </c>
      <c r="I39" s="1112">
        <f t="shared" si="8"/>
        <v>158</v>
      </c>
      <c r="J39" s="1116"/>
      <c r="K39" s="1063"/>
      <c r="L39" s="1057">
        <f t="shared" si="0"/>
        <v>0</v>
      </c>
      <c r="M39" s="980"/>
      <c r="N39" s="963"/>
      <c r="O39" s="964"/>
    </row>
    <row r="40" spans="1:26" s="34" customFormat="1" ht="12.75" x14ac:dyDescent="0.2">
      <c r="A40" s="985"/>
      <c r="B40" s="666"/>
      <c r="C40" s="976"/>
      <c r="D40" s="916"/>
      <c r="E40" s="917"/>
      <c r="F40" s="926"/>
      <c r="G40" s="918"/>
      <c r="H40" s="665">
        <v>0</v>
      </c>
      <c r="I40" s="1112">
        <f t="shared" si="8"/>
        <v>158</v>
      </c>
      <c r="J40" s="1116"/>
      <c r="K40" s="1063"/>
      <c r="L40" s="1057">
        <f t="shared" si="0"/>
        <v>0</v>
      </c>
      <c r="M40" s="980"/>
      <c r="N40" s="963"/>
      <c r="O40" s="964"/>
    </row>
    <row r="41" spans="1:26" s="34" customFormat="1" ht="12.75" x14ac:dyDescent="0.2">
      <c r="A41" s="985"/>
      <c r="B41" s="666"/>
      <c r="C41" s="976"/>
      <c r="D41" s="916"/>
      <c r="E41" s="917"/>
      <c r="F41" s="926"/>
      <c r="G41" s="918"/>
      <c r="H41" s="665">
        <v>0</v>
      </c>
      <c r="I41" s="1112">
        <f t="shared" si="8"/>
        <v>158</v>
      </c>
      <c r="J41" s="1116"/>
      <c r="K41" s="1063"/>
      <c r="L41" s="1057">
        <f t="shared" si="0"/>
        <v>0</v>
      </c>
      <c r="M41" s="980"/>
      <c r="N41" s="963"/>
      <c r="O41" s="964"/>
    </row>
    <row r="42" spans="1:26" s="19" customFormat="1" ht="12.75" x14ac:dyDescent="0.2">
      <c r="A42" s="972"/>
      <c r="B42" s="664"/>
      <c r="C42" s="976"/>
      <c r="D42" s="916"/>
      <c r="E42" s="917"/>
      <c r="F42" s="916"/>
      <c r="G42" s="918"/>
      <c r="H42" s="665">
        <v>0</v>
      </c>
      <c r="I42" s="1112">
        <f t="shared" si="8"/>
        <v>158</v>
      </c>
      <c r="J42" s="1116"/>
      <c r="K42" s="1063"/>
      <c r="L42" s="1057">
        <f t="shared" si="0"/>
        <v>0</v>
      </c>
      <c r="M42" s="980"/>
      <c r="N42" s="963"/>
      <c r="O42" s="964"/>
    </row>
    <row r="43" spans="1:26" s="19" customFormat="1" ht="13.5" thickBot="1" x14ac:dyDescent="0.25">
      <c r="A43" s="973"/>
      <c r="B43" s="967"/>
      <c r="C43" s="988"/>
      <c r="D43" s="944"/>
      <c r="E43" s="945"/>
      <c r="F43" s="944"/>
      <c r="G43" s="946"/>
      <c r="H43" s="816">
        <v>0</v>
      </c>
      <c r="I43" s="1114">
        <f t="shared" si="8"/>
        <v>158</v>
      </c>
      <c r="J43" s="1117"/>
      <c r="K43" s="1064"/>
      <c r="L43" s="1060">
        <f t="shared" si="0"/>
        <v>0</v>
      </c>
      <c r="M43" s="981"/>
      <c r="N43" s="968"/>
      <c r="O43" s="982"/>
    </row>
    <row r="44" spans="1:26" s="19" customFormat="1" ht="12.75" x14ac:dyDescent="0.2">
      <c r="A44" s="927" t="s">
        <v>187</v>
      </c>
      <c r="B44" s="927"/>
      <c r="C44" s="1021"/>
      <c r="D44" s="920"/>
      <c r="E44" s="628"/>
      <c r="F44" s="927"/>
      <c r="G44" s="927"/>
      <c r="H44" s="928"/>
      <c r="I44" s="928"/>
      <c r="J44" s="628"/>
      <c r="K44" s="927"/>
      <c r="L44" s="668"/>
      <c r="M44" s="628"/>
      <c r="N44" s="628"/>
      <c r="O44" s="668"/>
    </row>
    <row r="45" spans="1:26" s="39" customFormat="1" ht="12.75" x14ac:dyDescent="0.2">
      <c r="A45" s="986" t="s">
        <v>300</v>
      </c>
      <c r="B45" s="970">
        <v>1</v>
      </c>
      <c r="C45" s="976">
        <v>21.59</v>
      </c>
      <c r="D45" s="916"/>
      <c r="E45" s="917"/>
      <c r="F45" s="916"/>
      <c r="G45" s="918"/>
      <c r="H45" s="1098"/>
      <c r="I45" s="1024"/>
      <c r="J45" s="665"/>
      <c r="K45" s="1063"/>
      <c r="L45" s="989" t="str">
        <f>A45</f>
        <v>Groupe arbre 1 Sud</v>
      </c>
      <c r="M45" s="980">
        <v>6719.4</v>
      </c>
      <c r="N45" s="963">
        <v>242</v>
      </c>
      <c r="O45" s="964">
        <v>170.08</v>
      </c>
      <c r="P45" s="19"/>
      <c r="Q45" s="19"/>
      <c r="R45" s="19"/>
    </row>
    <row r="46" spans="1:26" s="39" customFormat="1" ht="12.75" x14ac:dyDescent="0.2">
      <c r="A46" s="986" t="s">
        <v>301</v>
      </c>
      <c r="B46" s="970">
        <v>1</v>
      </c>
      <c r="C46" s="976">
        <v>20.11</v>
      </c>
      <c r="D46" s="916"/>
      <c r="E46" s="917"/>
      <c r="F46" s="916"/>
      <c r="G46" s="918"/>
      <c r="H46" s="1098"/>
      <c r="I46" s="1024"/>
      <c r="J46" s="665"/>
      <c r="K46" s="1063"/>
      <c r="L46" s="989" t="str">
        <f>A46</f>
        <v>Groupe arbre 1 SO</v>
      </c>
      <c r="M46" s="980">
        <v>6707.61</v>
      </c>
      <c r="N46" s="963">
        <v>248.12</v>
      </c>
      <c r="O46" s="964">
        <v>169.96</v>
      </c>
      <c r="P46" s="19"/>
      <c r="Q46" s="19"/>
      <c r="R46" s="19"/>
    </row>
    <row r="47" spans="1:26" s="39" customFormat="1" ht="12.75" x14ac:dyDescent="0.2">
      <c r="A47" s="986" t="s">
        <v>156</v>
      </c>
      <c r="B47" s="970">
        <v>1</v>
      </c>
      <c r="C47" s="976">
        <v>20.04</v>
      </c>
      <c r="D47" s="916"/>
      <c r="E47" s="917"/>
      <c r="F47" s="916"/>
      <c r="G47" s="918"/>
      <c r="H47" s="1098"/>
      <c r="I47" s="1024"/>
      <c r="J47" s="665"/>
      <c r="K47" s="1063"/>
      <c r="L47" s="989" t="str">
        <f>A47</f>
        <v>Arbre 2</v>
      </c>
      <c r="M47" s="980">
        <v>6689.14</v>
      </c>
      <c r="N47" s="963">
        <v>253.51</v>
      </c>
      <c r="O47" s="964">
        <v>169.84</v>
      </c>
      <c r="P47" s="19"/>
      <c r="Q47" s="19"/>
      <c r="R47" s="19"/>
    </row>
    <row r="48" spans="1:26" s="34" customFormat="1" ht="12.75" x14ac:dyDescent="0.2">
      <c r="A48" s="986" t="s">
        <v>305</v>
      </c>
      <c r="B48" s="970">
        <v>2</v>
      </c>
      <c r="C48" s="976">
        <v>21.1</v>
      </c>
      <c r="D48" s="916"/>
      <c r="E48" s="917"/>
      <c r="F48" s="916"/>
      <c r="G48" s="918"/>
      <c r="H48" s="1098"/>
      <c r="I48" s="1024"/>
      <c r="J48" s="665"/>
      <c r="K48" s="1063"/>
      <c r="L48" s="1058" t="str">
        <f>A48</f>
        <v>Creux 1 (A4)</v>
      </c>
      <c r="M48" s="980">
        <v>6697.21</v>
      </c>
      <c r="N48" s="963">
        <v>252.19</v>
      </c>
      <c r="O48" s="964">
        <v>169.79</v>
      </c>
      <c r="P48" s="19"/>
      <c r="Q48" s="19"/>
      <c r="R48" s="19"/>
      <c r="S48" s="707"/>
      <c r="T48" s="705"/>
      <c r="U48" s="710"/>
      <c r="V48" s="711"/>
      <c r="W48" s="712"/>
      <c r="X48" s="712"/>
      <c r="Y48" s="712"/>
      <c r="Z48" s="706"/>
    </row>
    <row r="49" spans="1:34" s="39" customFormat="1" ht="12.75" x14ac:dyDescent="0.2">
      <c r="A49" s="986" t="s">
        <v>157</v>
      </c>
      <c r="B49" s="970">
        <v>2</v>
      </c>
      <c r="C49" s="976">
        <v>27.38</v>
      </c>
      <c r="D49" s="916"/>
      <c r="E49" s="917"/>
      <c r="F49" s="916"/>
      <c r="G49" s="918"/>
      <c r="H49" s="1098"/>
      <c r="I49" s="1024"/>
      <c r="J49" s="665"/>
      <c r="K49" s="1063"/>
      <c r="L49" s="989" t="str">
        <f>A49</f>
        <v>Arbre 4</v>
      </c>
      <c r="M49" s="980">
        <v>6666.91</v>
      </c>
      <c r="N49" s="963">
        <v>185.21</v>
      </c>
      <c r="O49" s="964">
        <v>174.75</v>
      </c>
      <c r="P49" s="19"/>
      <c r="Q49" s="19"/>
      <c r="R49" s="19"/>
    </row>
    <row r="50" spans="1:34" s="34" customFormat="1" ht="12.75" x14ac:dyDescent="0.2">
      <c r="A50" s="985"/>
      <c r="B50" s="970"/>
      <c r="C50" s="976"/>
      <c r="D50" s="916"/>
      <c r="E50" s="917"/>
      <c r="F50" s="926"/>
      <c r="G50" s="918"/>
      <c r="H50" s="1098"/>
      <c r="I50" s="1024"/>
      <c r="J50" s="1093"/>
      <c r="K50" s="1052"/>
      <c r="L50" s="1057"/>
      <c r="M50" s="980"/>
      <c r="N50" s="963"/>
      <c r="O50" s="964"/>
      <c r="P50" s="19"/>
      <c r="Q50" s="19"/>
      <c r="R50" s="19"/>
      <c r="S50" s="707"/>
      <c r="T50" s="705"/>
      <c r="U50" s="710"/>
      <c r="V50" s="711"/>
      <c r="W50" s="712"/>
      <c r="X50" s="712"/>
      <c r="Y50" s="712"/>
      <c r="Z50" s="706"/>
    </row>
    <row r="51" spans="1:34" s="34" customFormat="1" ht="12.75" x14ac:dyDescent="0.2">
      <c r="A51" s="985" t="s">
        <v>302</v>
      </c>
      <c r="B51" s="970"/>
      <c r="C51" s="976"/>
      <c r="D51" s="916"/>
      <c r="E51" s="917"/>
      <c r="F51" s="926">
        <v>3.1</v>
      </c>
      <c r="G51" s="918"/>
      <c r="H51" s="1098"/>
      <c r="I51" s="1024"/>
      <c r="J51" s="665"/>
      <c r="K51" s="1063"/>
      <c r="L51" s="1057" t="str">
        <f>A51</f>
        <v>Batiment p1</v>
      </c>
      <c r="M51" s="980">
        <v>6681.51</v>
      </c>
      <c r="N51" s="963">
        <v>290.33999999999997</v>
      </c>
      <c r="O51" s="964">
        <v>169.1</v>
      </c>
      <c r="P51" s="19"/>
      <c r="Q51" s="19"/>
      <c r="R51" s="19"/>
      <c r="S51" s="707"/>
      <c r="T51" s="705"/>
      <c r="U51" s="710"/>
      <c r="V51" s="711"/>
      <c r="W51" s="712"/>
      <c r="X51" s="712"/>
      <c r="Y51" s="712"/>
      <c r="Z51" s="706"/>
    </row>
    <row r="52" spans="1:34" ht="21" x14ac:dyDescent="0.35">
      <c r="A52" s="669" t="s">
        <v>168</v>
      </c>
      <c r="C52" s="637"/>
      <c r="F52" s="15"/>
      <c r="K52" s="15"/>
      <c r="L52" s="637"/>
      <c r="M52" s="974"/>
      <c r="N52" s="41"/>
      <c r="O52" s="1045"/>
      <c r="P52" s="21"/>
      <c r="R52" s="21"/>
      <c r="S52" s="344"/>
    </row>
    <row r="53" spans="1:34" s="36" customFormat="1" ht="15.75" x14ac:dyDescent="0.25">
      <c r="A53" s="708"/>
      <c r="B53" s="714"/>
      <c r="D53" s="708" t="s">
        <v>200</v>
      </c>
      <c r="E53" s="834">
        <v>1</v>
      </c>
      <c r="G53" s="706"/>
      <c r="I53" s="708" t="s">
        <v>188</v>
      </c>
      <c r="J53" s="1225">
        <f>I1</f>
        <v>44567</v>
      </c>
      <c r="K53" s="1225"/>
      <c r="O53" s="703" t="s">
        <v>317</v>
      </c>
      <c r="Q53" s="706"/>
      <c r="U53" s="706"/>
      <c r="W53" s="706"/>
      <c r="X53" s="715"/>
      <c r="Y53" s="706"/>
      <c r="Z53" s="703" t="s">
        <v>318</v>
      </c>
      <c r="AA53" s="706"/>
    </row>
    <row r="54" spans="1:34" s="4" customFormat="1" x14ac:dyDescent="0.25">
      <c r="A54" s="733" t="str">
        <f>Station</f>
        <v>Crèche Ayguesvives</v>
      </c>
      <c r="B54" s="1221" t="str">
        <f>"Hauteur fonction de la croissance vue du champ PV "&amp;Q3</f>
        <v>Hauteur fonction de la croissance vue du champ PV E</v>
      </c>
      <c r="C54" s="1222"/>
      <c r="D54" s="1222"/>
      <c r="E54" s="1223"/>
      <c r="F54" s="1222"/>
      <c r="G54" s="1222"/>
      <c r="H54" s="1222"/>
      <c r="I54" s="1222"/>
      <c r="J54" s="1222"/>
      <c r="K54" s="1222"/>
      <c r="L54" s="1224"/>
      <c r="N54" s="948" t="str">
        <f>Station</f>
        <v>Crèche Ayguesvives</v>
      </c>
      <c r="O54" s="953">
        <f>Azi_pv_sel</f>
        <v>68</v>
      </c>
      <c r="P54" s="1221" t="str">
        <f>"Elevation vue du champ PV zone: "&amp;ZonePV</f>
        <v>Elevation vue du champ PV zone: 1</v>
      </c>
      <c r="Q54" s="1222"/>
      <c r="R54" s="1222"/>
      <c r="S54" s="1222"/>
      <c r="T54" s="1222"/>
      <c r="U54" s="1222"/>
      <c r="V54" s="1222"/>
      <c r="W54" s="1222"/>
      <c r="X54" s="1222"/>
      <c r="Y54" s="1224"/>
      <c r="Z54" s="954">
        <f>Ram_pv</f>
        <v>0.3</v>
      </c>
      <c r="AA54" s="2"/>
      <c r="AB54" s="2"/>
      <c r="AC54" s="28"/>
      <c r="AD54" s="1095"/>
      <c r="AE54" s="1096" t="s">
        <v>321</v>
      </c>
    </row>
    <row r="55" spans="1:34" s="19" customFormat="1" ht="12.75" x14ac:dyDescent="0.2">
      <c r="A55" s="734" t="s">
        <v>199</v>
      </c>
      <c r="B55" s="716">
        <f>+C$55-$E$53</f>
        <v>-5</v>
      </c>
      <c r="C55" s="716">
        <f>+D$55-$E$53</f>
        <v>-4</v>
      </c>
      <c r="D55" s="716">
        <f>+E$55-$E$53</f>
        <v>-3</v>
      </c>
      <c r="E55" s="716">
        <f>+F$55-$E$53</f>
        <v>-2</v>
      </c>
      <c r="F55" s="716">
        <f>+G$55-$E$53</f>
        <v>-1</v>
      </c>
      <c r="G55" s="717">
        <v>0</v>
      </c>
      <c r="H55" s="716">
        <f>$E$53+G$55</f>
        <v>1</v>
      </c>
      <c r="I55" s="716">
        <f>$E$53+H$55</f>
        <v>2</v>
      </c>
      <c r="J55" s="716">
        <f>$E$53+I$55</f>
        <v>3</v>
      </c>
      <c r="K55" s="716">
        <f>$E$53+J$55</f>
        <v>4</v>
      </c>
      <c r="L55" s="716">
        <f>$E$53+K$55</f>
        <v>5</v>
      </c>
      <c r="M55" s="693" t="s">
        <v>154</v>
      </c>
      <c r="N55" s="693" t="str">
        <f>"zone "&amp;ZonePV</f>
        <v>zone 1</v>
      </c>
      <c r="O55" s="718" t="s">
        <v>153</v>
      </c>
      <c r="P55" s="716">
        <f t="shared" ref="P55:Z55" si="9">B55</f>
        <v>-5</v>
      </c>
      <c r="Q55" s="716">
        <f t="shared" si="9"/>
        <v>-4</v>
      </c>
      <c r="R55" s="716">
        <f t="shared" si="9"/>
        <v>-3</v>
      </c>
      <c r="S55" s="716">
        <f t="shared" si="9"/>
        <v>-2</v>
      </c>
      <c r="T55" s="716">
        <f t="shared" si="9"/>
        <v>-1</v>
      </c>
      <c r="U55" s="717">
        <f t="shared" si="9"/>
        <v>0</v>
      </c>
      <c r="V55" s="716">
        <f t="shared" si="9"/>
        <v>1</v>
      </c>
      <c r="W55" s="716">
        <f t="shared" si="9"/>
        <v>2</v>
      </c>
      <c r="X55" s="716">
        <f t="shared" si="9"/>
        <v>3</v>
      </c>
      <c r="Y55" s="716">
        <f t="shared" si="9"/>
        <v>4</v>
      </c>
      <c r="Z55" s="716">
        <f t="shared" si="9"/>
        <v>5</v>
      </c>
      <c r="AA55" s="1097" t="s">
        <v>323</v>
      </c>
      <c r="AB55" s="749" t="s">
        <v>319</v>
      </c>
      <c r="AC55" s="749" t="s">
        <v>324</v>
      </c>
      <c r="AD55" s="1022" t="s">
        <v>320</v>
      </c>
      <c r="AE55" s="1022" t="s">
        <v>322</v>
      </c>
      <c r="AF55" s="749" t="s">
        <v>330</v>
      </c>
    </row>
    <row r="56" spans="1:34" s="28" customFormat="1" ht="12.75" x14ac:dyDescent="0.2">
      <c r="A56" s="921" t="str">
        <f t="shared" ref="A56:A79" si="10">A20</f>
        <v>Toiture</v>
      </c>
      <c r="B56" s="922"/>
      <c r="C56" s="923"/>
      <c r="D56" s="923"/>
      <c r="E56" s="923"/>
      <c r="F56" s="924"/>
      <c r="G56" s="925"/>
      <c r="H56" s="922"/>
      <c r="I56" s="923"/>
      <c r="J56" s="923"/>
      <c r="K56" s="923"/>
      <c r="L56" s="924"/>
      <c r="M56" s="712">
        <f t="shared" ref="M56:M79" si="11">$G20</f>
        <v>0</v>
      </c>
      <c r="N56" s="942" t="str">
        <f t="shared" ref="N56:N79" si="12">L20</f>
        <v>Toiture</v>
      </c>
      <c r="O56" s="1118">
        <f t="shared" ref="O56:O79" si="13">$I20</f>
        <v>-202</v>
      </c>
      <c r="P56" s="919">
        <f t="shared" ref="P56:P79" si="14">IF($M56=0,$H20,DEGREES(ATAN2($M56,B56-H_pv)))</f>
        <v>0</v>
      </c>
      <c r="Q56" s="1023">
        <f t="shared" ref="Q56:Q79" si="15">IF($M56=0,$H20,DEGREES(ATAN2($M56,C56-H_pv)))</f>
        <v>0</v>
      </c>
      <c r="R56" s="1023">
        <f t="shared" ref="R56:R79" si="16">IF($M56=0,$H20,DEGREES(ATAN2($M56,D56-H_pv)))</f>
        <v>0</v>
      </c>
      <c r="S56" s="1023">
        <f t="shared" ref="S56:S79" si="17">IF($M56=0,$H20,DEGREES(ATAN2($M56,E56-H_pv)))</f>
        <v>0</v>
      </c>
      <c r="T56" s="1024">
        <f t="shared" ref="T56:T79" si="18">IF($M56=0,$H20,DEGREES(ATAN2($M56,F56-H_pv)))</f>
        <v>0</v>
      </c>
      <c r="U56" s="1025">
        <f t="shared" ref="U56:U79" si="19">IF($M56=0,$H20,DEGREES(ATAN2($M56,G56-H_pv)))</f>
        <v>0</v>
      </c>
      <c r="V56" s="919">
        <f t="shared" ref="V56:V79" si="20">IF($M56=0,$H20,DEGREES(ATAN2($M56,H56-H_pv)))</f>
        <v>0</v>
      </c>
      <c r="W56" s="1023">
        <f t="shared" ref="W56:W79" si="21">IF($M56=0,$H20,DEGREES(ATAN2($M56,I56-H_pv)))</f>
        <v>0</v>
      </c>
      <c r="X56" s="1023">
        <f t="shared" ref="X56:X79" si="22">IF($M56=0,$H20,DEGREES(ATAN2($M56,J56-H_pv)))</f>
        <v>0</v>
      </c>
      <c r="Y56" s="1023">
        <f t="shared" ref="Y56:Y79" si="23">IF($M56=0,$H20,DEGREES(ATAN2($M56,K56-H_pv)))</f>
        <v>0</v>
      </c>
      <c r="Z56" s="1024">
        <f t="shared" ref="Z56:Z79" si="24">IF($M56=0,$H20,DEGREES(ATAN2($M56,L56-H_pv)))</f>
        <v>0</v>
      </c>
      <c r="AA56" s="450" t="b">
        <f t="shared" ref="AA56:AA79" si="25">J20&lt;AB56</f>
        <v>0</v>
      </c>
      <c r="AB56" s="1055">
        <f>INDEX($AE$56:$AE$82,MATCH((Z56+Z57)/2,$AD$56:$AD$82)+1)</f>
        <v>7.4599999999999795</v>
      </c>
      <c r="AC56" s="1121">
        <f t="shared" ref="AC56:AC79" si="26">+IF(K19="D",AB56,IF(K20="G",-AB57,0))</f>
        <v>0</v>
      </c>
      <c r="AD56" s="1066">
        <v>-10</v>
      </c>
      <c r="AE56" s="1067">
        <v>7.5</v>
      </c>
      <c r="AF56" s="1094">
        <f>(Z56+Z57)/2</f>
        <v>8.3496221169968106</v>
      </c>
      <c r="AG56" s="1094"/>
      <c r="AH56" s="1094"/>
    </row>
    <row r="57" spans="1:34" s="28" customFormat="1" ht="12.75" x14ac:dyDescent="0.2">
      <c r="A57" s="921" t="str">
        <f t="shared" si="10"/>
        <v>Arrière PV</v>
      </c>
      <c r="B57" s="922"/>
      <c r="C57" s="923"/>
      <c r="D57" s="923"/>
      <c r="E57" s="923"/>
      <c r="F57" s="924"/>
      <c r="G57" s="925"/>
      <c r="H57" s="922"/>
      <c r="I57" s="923"/>
      <c r="J57" s="923"/>
      <c r="K57" s="923"/>
      <c r="L57" s="924"/>
      <c r="M57" s="712">
        <f t="shared" si="11"/>
        <v>0</v>
      </c>
      <c r="N57" s="942" t="str">
        <f t="shared" si="12"/>
        <v>Arrière PV</v>
      </c>
      <c r="O57" s="1118">
        <f t="shared" si="13"/>
        <v>-112</v>
      </c>
      <c r="P57" s="919">
        <f t="shared" si="14"/>
        <v>16.699244233993621</v>
      </c>
      <c r="Q57" s="1023">
        <f t="shared" si="15"/>
        <v>16.699244233993621</v>
      </c>
      <c r="R57" s="1023">
        <f t="shared" si="16"/>
        <v>16.699244233993621</v>
      </c>
      <c r="S57" s="1023">
        <f t="shared" si="17"/>
        <v>16.699244233993621</v>
      </c>
      <c r="T57" s="1024">
        <f t="shared" si="18"/>
        <v>16.699244233993621</v>
      </c>
      <c r="U57" s="1025">
        <f t="shared" si="19"/>
        <v>16.699244233993621</v>
      </c>
      <c r="V57" s="919">
        <f t="shared" si="20"/>
        <v>16.699244233993621</v>
      </c>
      <c r="W57" s="1023">
        <f t="shared" si="21"/>
        <v>16.699244233993621</v>
      </c>
      <c r="X57" s="1023">
        <f t="shared" si="22"/>
        <v>16.699244233993621</v>
      </c>
      <c r="Y57" s="1023">
        <f t="shared" si="23"/>
        <v>16.699244233993621</v>
      </c>
      <c r="Z57" s="1024">
        <f t="shared" si="24"/>
        <v>16.699244233993621</v>
      </c>
      <c r="AA57" s="28" t="b">
        <f t="shared" si="25"/>
        <v>0</v>
      </c>
      <c r="AB57" s="1055">
        <f t="shared" ref="AB57:AB79" si="27">INDEX($AE$56:$AE$82,MATCH((Z57+Z58)/2,$AD$56:$AD$82)+1)</f>
        <v>7.4599999999999795</v>
      </c>
      <c r="AC57" s="1121">
        <f t="shared" si="26"/>
        <v>0</v>
      </c>
      <c r="AD57" s="1066">
        <v>22.98</v>
      </c>
      <c r="AE57" s="1067">
        <v>7.4599999999999795</v>
      </c>
      <c r="AF57" s="1094">
        <f t="shared" ref="AF57:AF79" si="28">(Z57+Z58)/2</f>
        <v>15.312166905370859</v>
      </c>
      <c r="AG57" s="1094"/>
      <c r="AH57" s="1094"/>
    </row>
    <row r="58" spans="1:34" s="19" customFormat="1" ht="12.75" x14ac:dyDescent="0.2">
      <c r="A58" s="921" t="str">
        <f t="shared" si="10"/>
        <v>Groupe arbre 1 Est</v>
      </c>
      <c r="B58" s="922">
        <f t="shared" ref="B58:L58" si="29">MAX($F22+B$55,1)</f>
        <v>5.6933126971103434</v>
      </c>
      <c r="C58" s="923">
        <f t="shared" si="29"/>
        <v>6.6933126971103434</v>
      </c>
      <c r="D58" s="923">
        <f t="shared" si="29"/>
        <v>7.6933126971103434</v>
      </c>
      <c r="E58" s="923">
        <f t="shared" si="29"/>
        <v>8.6933126971103434</v>
      </c>
      <c r="F58" s="924">
        <f t="shared" si="29"/>
        <v>9.6933126971103434</v>
      </c>
      <c r="G58" s="925">
        <f t="shared" si="29"/>
        <v>10.693312697110343</v>
      </c>
      <c r="H58" s="922">
        <f t="shared" si="29"/>
        <v>11.693312697110343</v>
      </c>
      <c r="I58" s="923">
        <f t="shared" si="29"/>
        <v>12.693312697110343</v>
      </c>
      <c r="J58" s="923">
        <f t="shared" si="29"/>
        <v>13.693312697110343</v>
      </c>
      <c r="K58" s="923">
        <f t="shared" si="29"/>
        <v>14.693312697110343</v>
      </c>
      <c r="L58" s="924">
        <f t="shared" si="29"/>
        <v>15.693312697110343</v>
      </c>
      <c r="M58" s="712">
        <f>$G22</f>
        <v>48.471599049887921</v>
      </c>
      <c r="N58" s="942" t="str">
        <f t="shared" si="12"/>
        <v>Groupe arbre 1 Est</v>
      </c>
      <c r="O58" s="1118">
        <f t="shared" si="13"/>
        <v>-52.211906903825117</v>
      </c>
      <c r="P58" s="919">
        <f t="shared" si="14"/>
        <v>2.384039456405604</v>
      </c>
      <c r="Q58" s="1023">
        <f t="shared" si="15"/>
        <v>3.5628653094026004</v>
      </c>
      <c r="R58" s="1023">
        <f t="shared" si="16"/>
        <v>4.7386790478899465</v>
      </c>
      <c r="S58" s="1023">
        <f t="shared" si="17"/>
        <v>5.9105064380493024</v>
      </c>
      <c r="T58" s="1024">
        <f t="shared" si="18"/>
        <v>7.0773931584707208</v>
      </c>
      <c r="U58" s="1025">
        <f t="shared" si="19"/>
        <v>8.2384092855485136</v>
      </c>
      <c r="V58" s="919">
        <f t="shared" si="20"/>
        <v>9.3926534826513493</v>
      </c>
      <c r="W58" s="1023">
        <f t="shared" si="21"/>
        <v>10.539256849294107</v>
      </c>
      <c r="X58" s="1023">
        <f t="shared" si="22"/>
        <v>11.677386393898646</v>
      </c>
      <c r="Y58" s="1023">
        <f t="shared" si="23"/>
        <v>12.806248101606897</v>
      </c>
      <c r="Z58" s="1024">
        <f t="shared" si="24"/>
        <v>13.925089576748096</v>
      </c>
      <c r="AA58" s="28" t="b">
        <f t="shared" si="25"/>
        <v>0</v>
      </c>
      <c r="AB58" s="1055">
        <f t="shared" si="27"/>
        <v>7.4599999999999795</v>
      </c>
      <c r="AC58" s="1121">
        <f t="shared" si="26"/>
        <v>0</v>
      </c>
      <c r="AD58" s="1066">
        <v>23.38</v>
      </c>
      <c r="AE58" s="1067">
        <v>7.5199999999999818</v>
      </c>
      <c r="AF58" s="1094">
        <f t="shared" si="28"/>
        <v>14.413582466449315</v>
      </c>
      <c r="AG58" s="1094"/>
      <c r="AH58" s="1094"/>
    </row>
    <row r="59" spans="1:34" s="19" customFormat="1" ht="12.75" x14ac:dyDescent="0.2">
      <c r="A59" s="921" t="str">
        <f t="shared" si="10"/>
        <v>Groupe arbre 1 Sud</v>
      </c>
      <c r="B59" s="922">
        <f t="shared" ref="B59:L59" si="30">MAX($F23+B$55,1)</f>
        <v>6.4124931238900835</v>
      </c>
      <c r="C59" s="923">
        <f t="shared" si="30"/>
        <v>7.4124931238900835</v>
      </c>
      <c r="D59" s="923">
        <f t="shared" si="30"/>
        <v>8.4124931238900835</v>
      </c>
      <c r="E59" s="923">
        <f t="shared" si="30"/>
        <v>9.4124931238900835</v>
      </c>
      <c r="F59" s="924">
        <f t="shared" si="30"/>
        <v>10.412493123890084</v>
      </c>
      <c r="G59" s="925">
        <f t="shared" si="30"/>
        <v>11.412493123890084</v>
      </c>
      <c r="H59" s="922">
        <f t="shared" si="30"/>
        <v>12.412493123890084</v>
      </c>
      <c r="I59" s="923">
        <f t="shared" si="30"/>
        <v>13.412493123890084</v>
      </c>
      <c r="J59" s="923">
        <f t="shared" si="30"/>
        <v>14.412493123890084</v>
      </c>
      <c r="K59" s="923">
        <f t="shared" si="30"/>
        <v>15.412493123890084</v>
      </c>
      <c r="L59" s="924">
        <f t="shared" si="30"/>
        <v>16.412493123890084</v>
      </c>
      <c r="M59" s="712">
        <f t="shared" si="11"/>
        <v>47.863001127730122</v>
      </c>
      <c r="N59" s="942" t="str">
        <f t="shared" si="12"/>
        <v>Groupe arbre 1 Sud</v>
      </c>
      <c r="O59" s="1118">
        <f t="shared" si="13"/>
        <v>-37.368894256959649</v>
      </c>
      <c r="P59" s="919">
        <f t="shared" si="14"/>
        <v>3.2730982510487214</v>
      </c>
      <c r="Q59" s="1023">
        <f t="shared" si="15"/>
        <v>4.464683497185904</v>
      </c>
      <c r="R59" s="1023">
        <f t="shared" si="16"/>
        <v>5.652411868778719</v>
      </c>
      <c r="S59" s="1023">
        <f t="shared" si="17"/>
        <v>6.8352870786773305</v>
      </c>
      <c r="T59" s="1024">
        <f t="shared" si="18"/>
        <v>8.0123374853701481</v>
      </c>
      <c r="U59" s="1025">
        <f t="shared" si="19"/>
        <v>9.1826206268670525</v>
      </c>
      <c r="V59" s="919">
        <f t="shared" si="20"/>
        <v>10.345227397041779</v>
      </c>
      <c r="W59" s="1023">
        <f t="shared" si="21"/>
        <v>11.499285822983369</v>
      </c>
      <c r="X59" s="1023">
        <f t="shared" si="22"/>
        <v>12.64396441052884</v>
      </c>
      <c r="Y59" s="1023">
        <f t="shared" si="23"/>
        <v>13.778475034118783</v>
      </c>
      <c r="Z59" s="1024">
        <f t="shared" si="24"/>
        <v>14.902075356150533</v>
      </c>
      <c r="AA59" s="28" t="b">
        <f t="shared" si="25"/>
        <v>0</v>
      </c>
      <c r="AB59" s="1055">
        <f t="shared" si="27"/>
        <v>7.9000000000000057</v>
      </c>
      <c r="AC59" s="1121">
        <f t="shared" si="26"/>
        <v>-7.9000000000000057</v>
      </c>
      <c r="AD59" s="1066">
        <v>24.23</v>
      </c>
      <c r="AE59" s="1067">
        <v>7.6000000000000227</v>
      </c>
      <c r="AF59" s="1094">
        <f t="shared" si="28"/>
        <v>26.254397304444698</v>
      </c>
      <c r="AG59" s="1094"/>
      <c r="AH59" s="1094"/>
    </row>
    <row r="60" spans="1:34" s="19" customFormat="1" ht="12.75" x14ac:dyDescent="0.2">
      <c r="A60" s="921" t="str">
        <f t="shared" si="10"/>
        <v>Groupe arbre 1 Ouest</v>
      </c>
      <c r="B60" s="922">
        <f t="shared" ref="B60:L60" si="31">MAX($F24+B$55,1)</f>
        <v>4.6347970896709114</v>
      </c>
      <c r="C60" s="923">
        <f t="shared" si="31"/>
        <v>5.6347970896709114</v>
      </c>
      <c r="D60" s="923">
        <f t="shared" si="31"/>
        <v>6.6347970896709114</v>
      </c>
      <c r="E60" s="923">
        <f t="shared" si="31"/>
        <v>7.6347970896709114</v>
      </c>
      <c r="F60" s="924">
        <f t="shared" si="31"/>
        <v>8.6347970896709114</v>
      </c>
      <c r="G60" s="925">
        <f t="shared" si="31"/>
        <v>9.6347970896709114</v>
      </c>
      <c r="H60" s="922">
        <f t="shared" si="31"/>
        <v>10.634797089670911</v>
      </c>
      <c r="I60" s="923">
        <f t="shared" si="31"/>
        <v>11.634797089670911</v>
      </c>
      <c r="J60" s="923">
        <f t="shared" si="31"/>
        <v>12.634797089670911</v>
      </c>
      <c r="K60" s="923">
        <f t="shared" si="31"/>
        <v>13.634797089670911</v>
      </c>
      <c r="L60" s="924">
        <f t="shared" si="31"/>
        <v>14.634797089670911</v>
      </c>
      <c r="M60" s="712">
        <f t="shared" si="11"/>
        <v>14.227775281228071</v>
      </c>
      <c r="N60" s="942" t="str">
        <f t="shared" si="12"/>
        <v>Groupe arbre 1 Ouest</v>
      </c>
      <c r="O60" s="1118">
        <f t="shared" si="13"/>
        <v>-22.332356522394413</v>
      </c>
      <c r="P60" s="919">
        <f t="shared" si="14"/>
        <v>3.8581818109724653</v>
      </c>
      <c r="Q60" s="1023">
        <f t="shared" si="15"/>
        <v>7.8417283043656401</v>
      </c>
      <c r="R60" s="1023">
        <f t="shared" si="16"/>
        <v>11.750535751871896</v>
      </c>
      <c r="S60" s="1023">
        <f t="shared" si="17"/>
        <v>15.551625082949885</v>
      </c>
      <c r="T60" s="1024">
        <f t="shared" si="18"/>
        <v>19.217541700644617</v>
      </c>
      <c r="U60" s="1025">
        <f t="shared" si="19"/>
        <v>22.727114936447027</v>
      </c>
      <c r="V60" s="919">
        <f t="shared" si="20"/>
        <v>26.065581752332093</v>
      </c>
      <c r="W60" s="1023">
        <f t="shared" si="21"/>
        <v>29.224191445429987</v>
      </c>
      <c r="X60" s="1023">
        <f t="shared" si="22"/>
        <v>32.199458005914181</v>
      </c>
      <c r="Y60" s="1023">
        <f t="shared" si="23"/>
        <v>34.992229961810644</v>
      </c>
      <c r="Z60" s="1024">
        <f t="shared" si="24"/>
        <v>37.606719252738863</v>
      </c>
      <c r="AA60" s="28" t="b">
        <f t="shared" si="25"/>
        <v>0</v>
      </c>
      <c r="AB60" s="1055">
        <f t="shared" si="27"/>
        <v>7.9000000000000057</v>
      </c>
      <c r="AC60" s="1121">
        <f t="shared" si="26"/>
        <v>0</v>
      </c>
      <c r="AD60" s="1066">
        <v>25.31</v>
      </c>
      <c r="AE60" s="1067">
        <v>7.7300000000000182</v>
      </c>
      <c r="AF60" s="1094">
        <f t="shared" si="28"/>
        <v>26.509807504496393</v>
      </c>
      <c r="AG60" s="1094"/>
      <c r="AH60" s="1094"/>
    </row>
    <row r="61" spans="1:34" s="19" customFormat="1" ht="12.75" x14ac:dyDescent="0.2">
      <c r="A61" s="921" t="str">
        <f t="shared" si="10"/>
        <v>Creux 1 (A4)</v>
      </c>
      <c r="B61" s="922">
        <f t="shared" ref="B61:L61" si="32">MAX($F25+B$55,1)</f>
        <v>2.3621595764381134</v>
      </c>
      <c r="C61" s="923">
        <f t="shared" si="32"/>
        <v>3.3621595764381134</v>
      </c>
      <c r="D61" s="923">
        <f t="shared" si="32"/>
        <v>4.3621595764381134</v>
      </c>
      <c r="E61" s="923">
        <f t="shared" si="32"/>
        <v>5.3621595764381134</v>
      </c>
      <c r="F61" s="924">
        <f t="shared" si="32"/>
        <v>6.3621595764381134</v>
      </c>
      <c r="G61" s="925">
        <f t="shared" si="32"/>
        <v>7.3621595764381134</v>
      </c>
      <c r="H61" s="922">
        <f t="shared" si="32"/>
        <v>8.3621595764381134</v>
      </c>
      <c r="I61" s="923">
        <f t="shared" si="32"/>
        <v>9.3621595764381134</v>
      </c>
      <c r="J61" s="923">
        <f t="shared" si="32"/>
        <v>10.362159576438113</v>
      </c>
      <c r="K61" s="923">
        <f t="shared" si="32"/>
        <v>11.362159576438113</v>
      </c>
      <c r="L61" s="924">
        <f t="shared" si="32"/>
        <v>12.362159576438113</v>
      </c>
      <c r="M61" s="712">
        <f t="shared" si="11"/>
        <v>31.509826474500347</v>
      </c>
      <c r="N61" s="942" t="str">
        <f t="shared" si="12"/>
        <v>Creux 1 (A4)</v>
      </c>
      <c r="O61" s="1118">
        <f t="shared" si="13"/>
        <v>-2.466894409255163</v>
      </c>
      <c r="P61" s="919">
        <f t="shared" si="14"/>
        <v>-2.3863211688681498</v>
      </c>
      <c r="Q61" s="1023">
        <f t="shared" si="15"/>
        <v>-0.56933680087896688</v>
      </c>
      <c r="R61" s="1023">
        <f t="shared" si="16"/>
        <v>1.2487930766062576</v>
      </c>
      <c r="S61" s="1023">
        <f t="shared" si="17"/>
        <v>3.064411946597708</v>
      </c>
      <c r="T61" s="1024">
        <f t="shared" si="18"/>
        <v>4.8738934760416734</v>
      </c>
      <c r="U61" s="1025">
        <f t="shared" si="19"/>
        <v>6.6736845829903579</v>
      </c>
      <c r="V61" s="919">
        <f t="shared" si="20"/>
        <v>8.460346337109705</v>
      </c>
      <c r="W61" s="1023">
        <f t="shared" si="21"/>
        <v>10.230591547217839</v>
      </c>
      <c r="X61" s="1023">
        <f t="shared" si="22"/>
        <v>11.981318066070724</v>
      </c>
      <c r="Y61" s="1023">
        <f t="shared" si="23"/>
        <v>13.709637062461358</v>
      </c>
      <c r="Z61" s="1024">
        <f t="shared" si="24"/>
        <v>15.412895756253921</v>
      </c>
      <c r="AA61" s="28" t="b">
        <f t="shared" si="25"/>
        <v>0</v>
      </c>
      <c r="AB61" s="1055">
        <f t="shared" si="27"/>
        <v>7.4599999999999795</v>
      </c>
      <c r="AC61" s="1121">
        <f t="shared" si="26"/>
        <v>0</v>
      </c>
      <c r="AD61" s="1066">
        <v>26.83</v>
      </c>
      <c r="AE61" s="1067">
        <v>7.9000000000000057</v>
      </c>
      <c r="AF61" s="1094">
        <f t="shared" si="28"/>
        <v>17.9062521637155</v>
      </c>
      <c r="AG61" s="1094"/>
      <c r="AH61" s="1094"/>
    </row>
    <row r="62" spans="1:34" s="19" customFormat="1" ht="12.75" x14ac:dyDescent="0.2">
      <c r="A62" s="921" t="str">
        <f t="shared" si="10"/>
        <v>Arbre 2</v>
      </c>
      <c r="B62" s="922">
        <f t="shared" ref="B62:L62" si="33">MAX($F26+B$55,1)</f>
        <v>5.1662086296517344</v>
      </c>
      <c r="C62" s="923">
        <f t="shared" si="33"/>
        <v>6.1662086296517344</v>
      </c>
      <c r="D62" s="923">
        <f t="shared" si="33"/>
        <v>7.1662086296517344</v>
      </c>
      <c r="E62" s="923">
        <f t="shared" si="33"/>
        <v>8.1662086296517344</v>
      </c>
      <c r="F62" s="924">
        <f t="shared" si="33"/>
        <v>9.1662086296517344</v>
      </c>
      <c r="G62" s="925">
        <f t="shared" si="33"/>
        <v>10.166208629651734</v>
      </c>
      <c r="H62" s="922">
        <f t="shared" si="33"/>
        <v>11.166208629651734</v>
      </c>
      <c r="I62" s="923">
        <f t="shared" si="33"/>
        <v>12.166208629651734</v>
      </c>
      <c r="J62" s="923">
        <f t="shared" si="33"/>
        <v>13.166208629651734</v>
      </c>
      <c r="K62" s="923">
        <f t="shared" si="33"/>
        <v>14.166208629651734</v>
      </c>
      <c r="L62" s="924">
        <f t="shared" si="33"/>
        <v>15.166208629651734</v>
      </c>
      <c r="M62" s="712">
        <f t="shared" si="11"/>
        <v>30.898830713363935</v>
      </c>
      <c r="N62" s="942" t="str">
        <f t="shared" si="12"/>
        <v>Arbre 2</v>
      </c>
      <c r="O62" s="1118">
        <f t="shared" si="13"/>
        <v>12.549423262642561</v>
      </c>
      <c r="P62" s="919">
        <f t="shared" si="14"/>
        <v>2.762496071300601</v>
      </c>
      <c r="Q62" s="1023">
        <f t="shared" si="15"/>
        <v>4.6089740237349721</v>
      </c>
      <c r="R62" s="1023">
        <f t="shared" si="16"/>
        <v>6.4459104938961085</v>
      </c>
      <c r="S62" s="1023">
        <f t="shared" si="17"/>
        <v>8.26963968244584</v>
      </c>
      <c r="T62" s="1024">
        <f t="shared" si="18"/>
        <v>10.076654939357304</v>
      </c>
      <c r="U62" s="1025">
        <f t="shared" si="19"/>
        <v>11.863646087742012</v>
      </c>
      <c r="V62" s="919">
        <f t="shared" si="20"/>
        <v>13.627531167836128</v>
      </c>
      <c r="W62" s="1023">
        <f t="shared" si="21"/>
        <v>15.365481994696761</v>
      </c>
      <c r="X62" s="1023">
        <f t="shared" si="22"/>
        <v>17.074943218720644</v>
      </c>
      <c r="Y62" s="1023">
        <f t="shared" si="23"/>
        <v>18.753644863335495</v>
      </c>
      <c r="Z62" s="1024">
        <f t="shared" si="24"/>
        <v>20.399608571177076</v>
      </c>
      <c r="AA62" s="28" t="b">
        <f t="shared" si="25"/>
        <v>0</v>
      </c>
      <c r="AB62" s="1055">
        <f t="shared" si="27"/>
        <v>9</v>
      </c>
      <c r="AC62" s="1121">
        <f t="shared" si="26"/>
        <v>0</v>
      </c>
      <c r="AD62" s="1066">
        <v>28.54</v>
      </c>
      <c r="AE62" s="1067">
        <v>8.1200000000000045</v>
      </c>
      <c r="AF62" s="1094">
        <f t="shared" si="28"/>
        <v>33.817064023497309</v>
      </c>
      <c r="AG62" s="1094"/>
      <c r="AH62" s="1094"/>
    </row>
    <row r="63" spans="1:34" s="19" customFormat="1" ht="12.75" x14ac:dyDescent="0.2">
      <c r="A63" s="921" t="str">
        <f t="shared" si="10"/>
        <v>Arbre 3g</v>
      </c>
      <c r="B63" s="922">
        <f t="shared" ref="B63:L63" si="34">MAX($F27+B$55,1)</f>
        <v>3.487085591032967</v>
      </c>
      <c r="C63" s="923">
        <f t="shared" si="34"/>
        <v>4.487085591032967</v>
      </c>
      <c r="D63" s="923">
        <f t="shared" si="34"/>
        <v>5.487085591032967</v>
      </c>
      <c r="E63" s="923">
        <f t="shared" si="34"/>
        <v>6.487085591032967</v>
      </c>
      <c r="F63" s="924">
        <f t="shared" si="34"/>
        <v>7.487085591032967</v>
      </c>
      <c r="G63" s="925">
        <f t="shared" si="34"/>
        <v>8.487085591032967</v>
      </c>
      <c r="H63" s="922">
        <f t="shared" si="34"/>
        <v>9.487085591032967</v>
      </c>
      <c r="I63" s="923">
        <f t="shared" si="34"/>
        <v>10.487085591032967</v>
      </c>
      <c r="J63" s="923">
        <f t="shared" si="34"/>
        <v>11.487085591032967</v>
      </c>
      <c r="K63" s="923">
        <f t="shared" si="34"/>
        <v>12.487085591032967</v>
      </c>
      <c r="L63" s="924">
        <f t="shared" si="34"/>
        <v>13.487085591032967</v>
      </c>
      <c r="M63" s="712">
        <f t="shared" si="11"/>
        <v>9.0748602993723679</v>
      </c>
      <c r="N63" s="942" t="str">
        <f t="shared" si="12"/>
        <v>Arbre 3g</v>
      </c>
      <c r="O63" s="1118">
        <f t="shared" si="13"/>
        <v>25.059565231773391</v>
      </c>
      <c r="P63" s="919">
        <f t="shared" si="14"/>
        <v>-1.188008989277632</v>
      </c>
      <c r="Q63" s="1023">
        <f t="shared" si="15"/>
        <v>5.1118953776895397</v>
      </c>
      <c r="R63" s="1023">
        <f t="shared" si="16"/>
        <v>11.290727582649469</v>
      </c>
      <c r="S63" s="1023">
        <f t="shared" si="17"/>
        <v>17.215383853213652</v>
      </c>
      <c r="T63" s="1024">
        <f t="shared" si="18"/>
        <v>22.784377975551998</v>
      </c>
      <c r="U63" s="1025">
        <f t="shared" si="19"/>
        <v>27.934101729224128</v>
      </c>
      <c r="V63" s="919">
        <f t="shared" si="20"/>
        <v>32.636700019389856</v>
      </c>
      <c r="W63" s="1023">
        <f t="shared" si="21"/>
        <v>36.892775962246553</v>
      </c>
      <c r="X63" s="1023">
        <f t="shared" si="22"/>
        <v>40.722482676512925</v>
      </c>
      <c r="Y63" s="1023">
        <f t="shared" si="23"/>
        <v>44.157436548952298</v>
      </c>
      <c r="Z63" s="1024">
        <f t="shared" si="24"/>
        <v>47.234519475817535</v>
      </c>
      <c r="AA63" s="28" t="b">
        <f t="shared" si="25"/>
        <v>0</v>
      </c>
      <c r="AB63" s="1055">
        <f>INDEX($AE$56:$AE$82,MATCH((Z63+Z64)/2,$AD$56:$AD$82)+1)</f>
        <v>10.759999999999991</v>
      </c>
      <c r="AC63" s="1121">
        <f t="shared" si="26"/>
        <v>0</v>
      </c>
      <c r="AD63" s="1066">
        <v>30.6</v>
      </c>
      <c r="AE63" s="1067">
        <v>8.3700000000000045</v>
      </c>
      <c r="AF63" s="1094">
        <f t="shared" si="28"/>
        <v>45.295670120857878</v>
      </c>
      <c r="AG63" s="1094"/>
      <c r="AH63" s="1094"/>
    </row>
    <row r="64" spans="1:34" s="19" customFormat="1" ht="12.75" x14ac:dyDescent="0.2">
      <c r="A64" s="921" t="str">
        <f t="shared" si="10"/>
        <v>Arbre 3d</v>
      </c>
      <c r="B64" s="922">
        <f t="shared" ref="B64:L64" si="35">MAX($F28+B$55,1)</f>
        <v>3.4677263723315281</v>
      </c>
      <c r="C64" s="923">
        <f t="shared" si="35"/>
        <v>4.4677263723315281</v>
      </c>
      <c r="D64" s="923">
        <f t="shared" si="35"/>
        <v>5.4677263723315281</v>
      </c>
      <c r="E64" s="923">
        <f t="shared" si="35"/>
        <v>6.4677263723315281</v>
      </c>
      <c r="F64" s="924">
        <f t="shared" si="35"/>
        <v>7.4677263723315281</v>
      </c>
      <c r="G64" s="925">
        <f t="shared" si="35"/>
        <v>8.4677263723315281</v>
      </c>
      <c r="H64" s="922">
        <f t="shared" si="35"/>
        <v>9.4677263723315281</v>
      </c>
      <c r="I64" s="923">
        <f t="shared" si="35"/>
        <v>10.467726372331528</v>
      </c>
      <c r="J64" s="923">
        <f t="shared" si="35"/>
        <v>11.467726372331528</v>
      </c>
      <c r="K64" s="923">
        <f t="shared" si="35"/>
        <v>12.467726372331528</v>
      </c>
      <c r="L64" s="924">
        <f t="shared" si="35"/>
        <v>13.467726372331528</v>
      </c>
      <c r="M64" s="712">
        <f>$G28</f>
        <v>10.370869753937384</v>
      </c>
      <c r="N64" s="942" t="str">
        <f t="shared" si="12"/>
        <v>Arbre 3d</v>
      </c>
      <c r="O64" s="1118">
        <f t="shared" si="13"/>
        <v>43.996455813389467</v>
      </c>
      <c r="P64" s="919">
        <f t="shared" si="14"/>
        <v>-1.1464973989379086</v>
      </c>
      <c r="Q64" s="1023">
        <f t="shared" si="15"/>
        <v>4.369542795693528</v>
      </c>
      <c r="R64" s="1023">
        <f t="shared" si="16"/>
        <v>9.8058437700955121</v>
      </c>
      <c r="S64" s="1023">
        <f t="shared" si="17"/>
        <v>15.069994131445032</v>
      </c>
      <c r="T64" s="1024">
        <f t="shared" si="18"/>
        <v>20.086601268123655</v>
      </c>
      <c r="U64" s="1025">
        <f t="shared" si="19"/>
        <v>24.801980421777102</v>
      </c>
      <c r="V64" s="919">
        <f t="shared" si="20"/>
        <v>29.184701080571529</v>
      </c>
      <c r="W64" s="1023">
        <f t="shared" si="21"/>
        <v>33.222981344659438</v>
      </c>
      <c r="X64" s="1023">
        <f t="shared" si="22"/>
        <v>36.920416482320469</v>
      </c>
      <c r="Y64" s="1023">
        <f t="shared" si="23"/>
        <v>40.291362408862462</v>
      </c>
      <c r="Z64" s="1024">
        <f t="shared" si="24"/>
        <v>43.35682076589822</v>
      </c>
      <c r="AA64" s="28" t="b">
        <f t="shared" si="25"/>
        <v>0</v>
      </c>
      <c r="AB64" s="1055">
        <f t="shared" si="27"/>
        <v>8.660000000000025</v>
      </c>
      <c r="AC64" s="1121">
        <f t="shared" si="26"/>
        <v>0</v>
      </c>
      <c r="AD64" s="1066">
        <v>32.76</v>
      </c>
      <c r="AE64" s="1067">
        <v>8.660000000000025</v>
      </c>
      <c r="AF64" s="1094">
        <f t="shared" si="28"/>
        <v>30.781683152242056</v>
      </c>
      <c r="AG64" s="1094"/>
      <c r="AH64" s="1094"/>
    </row>
    <row r="65" spans="1:34" s="19" customFormat="1" ht="12.75" x14ac:dyDescent="0.2">
      <c r="A65" s="921" t="str">
        <f t="shared" si="10"/>
        <v>Arbre 5</v>
      </c>
      <c r="B65" s="922">
        <f t="shared" ref="B65:L65" si="36">MAX($F29+B$55,1)</f>
        <v>5.5685189544612079</v>
      </c>
      <c r="C65" s="923">
        <f t="shared" si="36"/>
        <v>6.5685189544612079</v>
      </c>
      <c r="D65" s="923">
        <f t="shared" si="36"/>
        <v>7.5685189544612079</v>
      </c>
      <c r="E65" s="923">
        <f t="shared" si="36"/>
        <v>8.5685189544612079</v>
      </c>
      <c r="F65" s="924">
        <f t="shared" si="36"/>
        <v>9.5685189544612079</v>
      </c>
      <c r="G65" s="925">
        <f t="shared" si="36"/>
        <v>10.568518954461208</v>
      </c>
      <c r="H65" s="922">
        <f t="shared" si="36"/>
        <v>11.568518954461208</v>
      </c>
      <c r="I65" s="923">
        <f t="shared" si="36"/>
        <v>12.568518954461208</v>
      </c>
      <c r="J65" s="923">
        <f t="shared" si="36"/>
        <v>13.568518954461208</v>
      </c>
      <c r="K65" s="923">
        <f t="shared" si="36"/>
        <v>14.568518954461208</v>
      </c>
      <c r="L65" s="924">
        <f t="shared" si="36"/>
        <v>15.568518954461208</v>
      </c>
      <c r="M65" s="712">
        <f t="shared" si="11"/>
        <v>36.159578633511813</v>
      </c>
      <c r="N65" s="942" t="str">
        <f t="shared" si="12"/>
        <v>Arbre 5</v>
      </c>
      <c r="O65" s="1118">
        <f t="shared" si="13"/>
        <v>53.079749279295598</v>
      </c>
      <c r="P65" s="919">
        <f t="shared" si="14"/>
        <v>2.997154012165625</v>
      </c>
      <c r="Q65" s="1023">
        <f t="shared" si="15"/>
        <v>4.5746705133018892</v>
      </c>
      <c r="R65" s="1023">
        <f t="shared" si="16"/>
        <v>6.1452687280205494</v>
      </c>
      <c r="S65" s="1023">
        <f t="shared" si="17"/>
        <v>7.7066526484389701</v>
      </c>
      <c r="T65" s="1024">
        <f t="shared" si="18"/>
        <v>9.2566077118413936</v>
      </c>
      <c r="U65" s="1025">
        <f t="shared" si="19"/>
        <v>10.79301837761202</v>
      </c>
      <c r="V65" s="919">
        <f t="shared" si="20"/>
        <v>12.313883620449342</v>
      </c>
      <c r="W65" s="1023">
        <f t="shared" si="21"/>
        <v>13.817330100554843</v>
      </c>
      <c r="X65" s="1023">
        <f t="shared" si="22"/>
        <v>15.301622855461606</v>
      </c>
      <c r="Y65" s="1023">
        <f t="shared" si="23"/>
        <v>16.765173442221091</v>
      </c>
      <c r="Z65" s="1024">
        <f t="shared" si="24"/>
        <v>18.206545538585893</v>
      </c>
      <c r="AA65" s="28" t="b">
        <f t="shared" si="25"/>
        <v>0</v>
      </c>
      <c r="AB65" s="1055">
        <f t="shared" si="27"/>
        <v>7.4599999999999795</v>
      </c>
      <c r="AC65" s="1121">
        <f t="shared" si="26"/>
        <v>7.4599999999999795</v>
      </c>
      <c r="AD65" s="1066">
        <v>35.270000000000003</v>
      </c>
      <c r="AE65" s="1067">
        <v>9</v>
      </c>
      <c r="AF65" s="1094">
        <f t="shared" si="28"/>
        <v>18.092987932591388</v>
      </c>
      <c r="AG65" s="1094"/>
      <c r="AH65" s="1094"/>
    </row>
    <row r="66" spans="1:34" s="19" customFormat="1" ht="12.75" x14ac:dyDescent="0.2">
      <c r="A66" s="921" t="str">
        <f t="shared" si="10"/>
        <v>Arbre 6</v>
      </c>
      <c r="B66" s="922">
        <f t="shared" ref="B66:L66" si="37">MAX($F30+B$55,1)</f>
        <v>5.3384356201392755</v>
      </c>
      <c r="C66" s="923">
        <f t="shared" si="37"/>
        <v>6.3384356201392755</v>
      </c>
      <c r="D66" s="923">
        <f t="shared" si="37"/>
        <v>7.3384356201392755</v>
      </c>
      <c r="E66" s="923">
        <f t="shared" si="37"/>
        <v>8.3384356201392755</v>
      </c>
      <c r="F66" s="924">
        <f t="shared" si="37"/>
        <v>9.3384356201392755</v>
      </c>
      <c r="G66" s="925">
        <f t="shared" si="37"/>
        <v>10.338435620139276</v>
      </c>
      <c r="H66" s="922">
        <f t="shared" si="37"/>
        <v>11.338435620139276</v>
      </c>
      <c r="I66" s="923">
        <f t="shared" si="37"/>
        <v>12.338435620139276</v>
      </c>
      <c r="J66" s="923">
        <f t="shared" si="37"/>
        <v>13.338435620139276</v>
      </c>
      <c r="K66" s="923">
        <f t="shared" si="37"/>
        <v>14.338435620139276</v>
      </c>
      <c r="L66" s="924">
        <f t="shared" si="37"/>
        <v>15.338435620139276</v>
      </c>
      <c r="M66" s="712">
        <f t="shared" si="11"/>
        <v>35.939409106900065</v>
      </c>
      <c r="N66" s="942" t="str">
        <f t="shared" si="12"/>
        <v>Arbre 6</v>
      </c>
      <c r="O66" s="1118">
        <f t="shared" si="13"/>
        <v>61.133243261884687</v>
      </c>
      <c r="P66" s="919">
        <f t="shared" si="14"/>
        <v>2.6495718222624483</v>
      </c>
      <c r="Q66" s="1023">
        <f t="shared" si="15"/>
        <v>4.2379492323520305</v>
      </c>
      <c r="R66" s="1023">
        <f t="shared" si="16"/>
        <v>5.8198290884903612</v>
      </c>
      <c r="S66" s="1023">
        <f t="shared" si="17"/>
        <v>7.3928579386989721</v>
      </c>
      <c r="T66" s="1024">
        <f t="shared" si="18"/>
        <v>8.9547618078363094</v>
      </c>
      <c r="U66" s="1025">
        <f t="shared" si="19"/>
        <v>10.503364720236332</v>
      </c>
      <c r="V66" s="919">
        <f t="shared" si="20"/>
        <v>12.036605121327639</v>
      </c>
      <c r="W66" s="1023">
        <f t="shared" si="21"/>
        <v>13.552549931528677</v>
      </c>
      <c r="X66" s="1023">
        <f t="shared" si="22"/>
        <v>15.049406053296053</v>
      </c>
      <c r="Y66" s="1023">
        <f t="shared" si="23"/>
        <v>16.525529240786724</v>
      </c>
      <c r="Z66" s="1024">
        <f t="shared" si="24"/>
        <v>17.979430326596884</v>
      </c>
      <c r="AA66" s="28" t="b">
        <f t="shared" si="25"/>
        <v>0</v>
      </c>
      <c r="AB66" s="1055">
        <f t="shared" si="27"/>
        <v>7.4599999999999795</v>
      </c>
      <c r="AC66" s="1121">
        <f t="shared" si="26"/>
        <v>0</v>
      </c>
      <c r="AD66" s="1066">
        <v>37.65</v>
      </c>
      <c r="AE66" s="1067">
        <v>9.3500000000000227</v>
      </c>
      <c r="AF66" s="1094">
        <f t="shared" si="28"/>
        <v>19.442520328854254</v>
      </c>
      <c r="AG66" s="1094"/>
      <c r="AH66" s="1094"/>
    </row>
    <row r="67" spans="1:34" s="19" customFormat="1" ht="12.75" x14ac:dyDescent="0.2">
      <c r="A67" s="921" t="str">
        <f t="shared" si="10"/>
        <v>Arbre 7</v>
      </c>
      <c r="B67" s="922">
        <f t="shared" ref="B67:L67" si="38">MAX($F31+B$55,1)</f>
        <v>7.8622163252933621</v>
      </c>
      <c r="C67" s="923">
        <f t="shared" si="38"/>
        <v>8.8622163252933621</v>
      </c>
      <c r="D67" s="923">
        <f t="shared" si="38"/>
        <v>9.8622163252933621</v>
      </c>
      <c r="E67" s="923">
        <f t="shared" si="38"/>
        <v>10.862216325293362</v>
      </c>
      <c r="F67" s="924">
        <f t="shared" si="38"/>
        <v>11.862216325293362</v>
      </c>
      <c r="G67" s="925">
        <f t="shared" si="38"/>
        <v>12.862216325293362</v>
      </c>
      <c r="H67" s="922">
        <f t="shared" si="38"/>
        <v>13.862216325293362</v>
      </c>
      <c r="I67" s="923">
        <f t="shared" si="38"/>
        <v>14.862216325293362</v>
      </c>
      <c r="J67" s="923">
        <f t="shared" si="38"/>
        <v>15.862216325293362</v>
      </c>
      <c r="K67" s="923">
        <f t="shared" si="38"/>
        <v>16.86221632529336</v>
      </c>
      <c r="L67" s="924">
        <f t="shared" si="38"/>
        <v>17.86221632529336</v>
      </c>
      <c r="M67" s="712">
        <f t="shared" si="11"/>
        <v>37.141009200789931</v>
      </c>
      <c r="N67" s="942" t="str">
        <f t="shared" si="12"/>
        <v>Arbre 7</v>
      </c>
      <c r="O67" s="1118">
        <f t="shared" si="13"/>
        <v>85.644554035499283</v>
      </c>
      <c r="P67" s="919">
        <f t="shared" si="14"/>
        <v>6.4318508756407056</v>
      </c>
      <c r="Q67" s="1023">
        <f t="shared" si="15"/>
        <v>7.9502404329254857</v>
      </c>
      <c r="R67" s="1023">
        <f t="shared" si="16"/>
        <v>9.4574760507638125</v>
      </c>
      <c r="S67" s="1023">
        <f t="shared" si="17"/>
        <v>10.951619736754408</v>
      </c>
      <c r="T67" s="1024">
        <f t="shared" si="18"/>
        <v>12.430838062190647</v>
      </c>
      <c r="U67" s="1025">
        <f t="shared" si="19"/>
        <v>13.893413435082872</v>
      </c>
      <c r="V67" s="919">
        <f t="shared" si="20"/>
        <v>15.337753252163772</v>
      </c>
      <c r="W67" s="1023">
        <f t="shared" si="21"/>
        <v>16.762396877028092</v>
      </c>
      <c r="X67" s="1023">
        <f t="shared" si="22"/>
        <v>18.166020455729523</v>
      </c>
      <c r="Y67" s="1023">
        <f t="shared" si="23"/>
        <v>19.547439639135042</v>
      </c>
      <c r="Z67" s="1024">
        <f t="shared" si="24"/>
        <v>20.905610331111625</v>
      </c>
      <c r="AA67" s="28" t="b">
        <f t="shared" si="25"/>
        <v>0</v>
      </c>
      <c r="AB67" s="1055">
        <f t="shared" si="27"/>
        <v>7.4599999999999795</v>
      </c>
      <c r="AC67" s="1121">
        <f t="shared" si="26"/>
        <v>0</v>
      </c>
      <c r="AD67" s="1066">
        <v>40.520000000000003</v>
      </c>
      <c r="AE67" s="1067">
        <v>9.789999999999992</v>
      </c>
      <c r="AF67" s="1094">
        <f t="shared" si="28"/>
        <v>18.6948683121831</v>
      </c>
      <c r="AG67" s="1094"/>
      <c r="AH67" s="1094"/>
    </row>
    <row r="68" spans="1:34" s="19" customFormat="1" ht="12.75" x14ac:dyDescent="0.2">
      <c r="A68" s="921" t="str">
        <f t="shared" si="10"/>
        <v>Arbre 8</v>
      </c>
      <c r="B68" s="922">
        <f t="shared" ref="B68:L68" si="39">MAX($F32+B$55,1)</f>
        <v>6.9419919407925761</v>
      </c>
      <c r="C68" s="923">
        <f t="shared" si="39"/>
        <v>7.9419919407925761</v>
      </c>
      <c r="D68" s="923">
        <f t="shared" si="39"/>
        <v>8.9419919407925761</v>
      </c>
      <c r="E68" s="923">
        <f t="shared" si="39"/>
        <v>9.9419919407925761</v>
      </c>
      <c r="F68" s="924">
        <f t="shared" si="39"/>
        <v>10.941991940792576</v>
      </c>
      <c r="G68" s="925">
        <f t="shared" si="39"/>
        <v>11.941991940792576</v>
      </c>
      <c r="H68" s="922">
        <f t="shared" si="39"/>
        <v>12.941991940792576</v>
      </c>
      <c r="I68" s="923">
        <f t="shared" si="39"/>
        <v>13.941991940792576</v>
      </c>
      <c r="J68" s="923">
        <f t="shared" si="39"/>
        <v>14.941991940792576</v>
      </c>
      <c r="K68" s="923">
        <f t="shared" si="39"/>
        <v>15.941991940792576</v>
      </c>
      <c r="L68" s="924">
        <f t="shared" si="39"/>
        <v>16.941991940792576</v>
      </c>
      <c r="M68" s="712">
        <f t="shared" si="11"/>
        <v>44.833287878016918</v>
      </c>
      <c r="N68" s="942" t="str">
        <f t="shared" si="12"/>
        <v>Arbre 8</v>
      </c>
      <c r="O68" s="1118">
        <f t="shared" si="13"/>
        <v>105.59046714381608</v>
      </c>
      <c r="P68" s="919">
        <f t="shared" si="14"/>
        <v>4.1674126133183593</v>
      </c>
      <c r="Q68" s="1023">
        <f t="shared" si="15"/>
        <v>5.4363783118105875</v>
      </c>
      <c r="R68" s="1023">
        <f t="shared" si="16"/>
        <v>6.7000179896146141</v>
      </c>
      <c r="S68" s="1023">
        <f t="shared" si="17"/>
        <v>7.9571447006789455</v>
      </c>
      <c r="T68" s="1024">
        <f t="shared" si="18"/>
        <v>9.2066087390166125</v>
      </c>
      <c r="U68" s="1025">
        <f t="shared" si="19"/>
        <v>10.447303470878108</v>
      </c>
      <c r="V68" s="919">
        <f t="shared" si="20"/>
        <v>11.678170579285808</v>
      </c>
      <c r="W68" s="1023">
        <f t="shared" si="21"/>
        <v>12.898204668883089</v>
      </c>
      <c r="X68" s="1023">
        <f t="shared" si="22"/>
        <v>14.106457194170511</v>
      </c>
      <c r="Y68" s="1023">
        <f t="shared" si="23"/>
        <v>15.30203968940881</v>
      </c>
      <c r="Z68" s="1024">
        <f t="shared" si="24"/>
        <v>16.484126293254576</v>
      </c>
      <c r="AA68" s="28" t="b">
        <f t="shared" si="25"/>
        <v>0</v>
      </c>
      <c r="AB68" s="1055">
        <f t="shared" si="27"/>
        <v>7.4599999999999795</v>
      </c>
      <c r="AC68" s="1121">
        <f t="shared" si="26"/>
        <v>0</v>
      </c>
      <c r="AD68" s="1066">
        <v>42.91</v>
      </c>
      <c r="AE68" s="1067">
        <v>10.22999999999999</v>
      </c>
      <c r="AF68" s="1094">
        <f t="shared" si="28"/>
        <v>11.203925208897925</v>
      </c>
      <c r="AG68" s="1094"/>
      <c r="AH68" s="1094"/>
    </row>
    <row r="69" spans="1:34" s="19" customFormat="1" ht="12.75" x14ac:dyDescent="0.2">
      <c r="A69" s="921" t="str">
        <f t="shared" si="10"/>
        <v>Creux 2</v>
      </c>
      <c r="B69" s="922">
        <f t="shared" ref="B69:L69" si="40">MAX($F33+B$55,1)</f>
        <v>10.532946127987822</v>
      </c>
      <c r="C69" s="923">
        <f t="shared" si="40"/>
        <v>11.532946127987822</v>
      </c>
      <c r="D69" s="923">
        <f t="shared" si="40"/>
        <v>12.532946127987822</v>
      </c>
      <c r="E69" s="923">
        <f t="shared" si="40"/>
        <v>13.532946127987822</v>
      </c>
      <c r="F69" s="924">
        <f t="shared" si="40"/>
        <v>14.532946127987822</v>
      </c>
      <c r="G69" s="925">
        <f t="shared" si="40"/>
        <v>15.532946127987822</v>
      </c>
      <c r="H69" s="922">
        <f t="shared" si="40"/>
        <v>16.53294612798782</v>
      </c>
      <c r="I69" s="923">
        <f t="shared" si="40"/>
        <v>17.53294612798782</v>
      </c>
      <c r="J69" s="923">
        <f t="shared" si="40"/>
        <v>18.53294612798782</v>
      </c>
      <c r="K69" s="923">
        <f t="shared" si="40"/>
        <v>19.53294612798782</v>
      </c>
      <c r="L69" s="924">
        <f t="shared" si="40"/>
        <v>20.53294612798782</v>
      </c>
      <c r="M69" s="712">
        <f t="shared" si="11"/>
        <v>162.47032548885093</v>
      </c>
      <c r="N69" s="942" t="str">
        <f t="shared" si="12"/>
        <v>Creux 2</v>
      </c>
      <c r="O69" s="1118">
        <f t="shared" si="13"/>
        <v>118.70014311472806</v>
      </c>
      <c r="P69" s="919">
        <f t="shared" si="14"/>
        <v>2.4169485856580191</v>
      </c>
      <c r="Q69" s="1023">
        <f t="shared" si="15"/>
        <v>2.7688795398953685</v>
      </c>
      <c r="R69" s="1023">
        <f t="shared" si="16"/>
        <v>3.1206015267089127</v>
      </c>
      <c r="S69" s="1023">
        <f t="shared" si="17"/>
        <v>3.4720882493649978</v>
      </c>
      <c r="T69" s="1024">
        <f t="shared" si="18"/>
        <v>3.8233135171171604</v>
      </c>
      <c r="U69" s="1025">
        <f t="shared" si="19"/>
        <v>4.1742512567552001</v>
      </c>
      <c r="V69" s="919">
        <f t="shared" si="20"/>
        <v>4.5248755240228355</v>
      </c>
      <c r="W69" s="1023">
        <f t="shared" si="21"/>
        <v>4.8751605148916735</v>
      </c>
      <c r="X69" s="1023">
        <f t="shared" si="22"/>
        <v>5.2250805766794919</v>
      </c>
      <c r="Y69" s="1023">
        <f t="shared" si="23"/>
        <v>5.5746102190012241</v>
      </c>
      <c r="Z69" s="1024">
        <f t="shared" si="24"/>
        <v>5.9237241245412733</v>
      </c>
      <c r="AA69" s="28" t="b">
        <f t="shared" si="25"/>
        <v>0</v>
      </c>
      <c r="AB69" s="1055">
        <f t="shared" si="27"/>
        <v>7.4599999999999795</v>
      </c>
      <c r="AC69" s="1121">
        <f t="shared" si="26"/>
        <v>7.4599999999999795</v>
      </c>
      <c r="AD69" s="1066">
        <v>46.04</v>
      </c>
      <c r="AE69" s="1067">
        <v>10.759999999999991</v>
      </c>
      <c r="AF69" s="1094">
        <f t="shared" si="28"/>
        <v>8.2741314226735927</v>
      </c>
      <c r="AG69" s="1094"/>
      <c r="AH69" s="1094"/>
    </row>
    <row r="70" spans="1:34" s="28" customFormat="1" ht="12.75" x14ac:dyDescent="0.2">
      <c r="A70" s="1026" t="str">
        <f t="shared" si="10"/>
        <v>Arbre 9</v>
      </c>
      <c r="B70" s="922">
        <f t="shared" ref="B70:L70" si="41">MAX($F34+B$55,1)</f>
        <v>19.955608608329342</v>
      </c>
      <c r="C70" s="923">
        <f t="shared" si="41"/>
        <v>20.955608608329342</v>
      </c>
      <c r="D70" s="923">
        <f t="shared" si="41"/>
        <v>21.955608608329342</v>
      </c>
      <c r="E70" s="923">
        <f t="shared" si="41"/>
        <v>22.955608608329342</v>
      </c>
      <c r="F70" s="924">
        <f t="shared" si="41"/>
        <v>23.955608608329342</v>
      </c>
      <c r="G70" s="925">
        <f t="shared" si="41"/>
        <v>24.955608608329342</v>
      </c>
      <c r="H70" s="922">
        <f t="shared" si="41"/>
        <v>25.955608608329342</v>
      </c>
      <c r="I70" s="923">
        <f t="shared" si="41"/>
        <v>26.955608608329342</v>
      </c>
      <c r="J70" s="923">
        <f t="shared" si="41"/>
        <v>27.955608608329342</v>
      </c>
      <c r="K70" s="923">
        <f t="shared" si="41"/>
        <v>28.955608608329342</v>
      </c>
      <c r="L70" s="924">
        <f t="shared" si="41"/>
        <v>29.955608608329342</v>
      </c>
      <c r="M70" s="712">
        <f t="shared" si="11"/>
        <v>140.09584621591489</v>
      </c>
      <c r="N70" s="942" t="str">
        <f t="shared" si="12"/>
        <v>Arbre 9</v>
      </c>
      <c r="O70" s="1118">
        <f t="shared" si="13"/>
        <v>128.1546998481125</v>
      </c>
      <c r="P70" s="919">
        <f t="shared" si="14"/>
        <v>6.628526659272679</v>
      </c>
      <c r="Q70" s="1023">
        <f t="shared" si="15"/>
        <v>7.0317162008819869</v>
      </c>
      <c r="R70" s="1023">
        <f t="shared" si="16"/>
        <v>7.434207040011759</v>
      </c>
      <c r="S70" s="1023">
        <f t="shared" si="17"/>
        <v>7.8359613742774172</v>
      </c>
      <c r="T70" s="1024">
        <f t="shared" si="18"/>
        <v>8.236941829155068</v>
      </c>
      <c r="U70" s="1025">
        <f t="shared" si="19"/>
        <v>8.6371114771352548</v>
      </c>
      <c r="V70" s="919">
        <f t="shared" si="20"/>
        <v>9.0364338562482693</v>
      </c>
      <c r="W70" s="1023">
        <f t="shared" si="21"/>
        <v>9.4348729879408531</v>
      </c>
      <c r="X70" s="1023">
        <f t="shared" si="22"/>
        <v>9.8323933942856829</v>
      </c>
      <c r="Y70" s="1023">
        <f t="shared" si="23"/>
        <v>10.228960114506831</v>
      </c>
      <c r="Z70" s="1024">
        <f t="shared" si="24"/>
        <v>10.624538720805912</v>
      </c>
      <c r="AA70" s="28" t="b">
        <f t="shared" si="25"/>
        <v>0</v>
      </c>
      <c r="AB70" s="1055">
        <f t="shared" si="27"/>
        <v>7.4599999999999795</v>
      </c>
      <c r="AC70" s="1121">
        <f t="shared" si="26"/>
        <v>0</v>
      </c>
      <c r="AD70" s="1066">
        <v>48.37</v>
      </c>
      <c r="AE70" s="1067">
        <v>11.280000000000001</v>
      </c>
      <c r="AF70" s="1094">
        <f t="shared" si="28"/>
        <v>8.097231445538128</v>
      </c>
      <c r="AG70" s="1094"/>
      <c r="AH70" s="1094"/>
    </row>
    <row r="71" spans="1:34" s="28" customFormat="1" ht="12.75" x14ac:dyDescent="0.2">
      <c r="A71" s="1026" t="str">
        <f t="shared" si="10"/>
        <v>Creux 3</v>
      </c>
      <c r="B71" s="922">
        <f t="shared" ref="B71:L71" si="42">MAX($F35+B$55,1)</f>
        <v>7.553399543381115</v>
      </c>
      <c r="C71" s="923">
        <f t="shared" si="42"/>
        <v>8.553399543381115</v>
      </c>
      <c r="D71" s="923">
        <f t="shared" si="42"/>
        <v>9.553399543381115</v>
      </c>
      <c r="E71" s="923">
        <f t="shared" si="42"/>
        <v>10.553399543381115</v>
      </c>
      <c r="F71" s="924">
        <f t="shared" si="42"/>
        <v>11.553399543381115</v>
      </c>
      <c r="G71" s="925">
        <f t="shared" si="42"/>
        <v>12.553399543381115</v>
      </c>
      <c r="H71" s="922">
        <f t="shared" si="42"/>
        <v>13.553399543381115</v>
      </c>
      <c r="I71" s="923">
        <f t="shared" si="42"/>
        <v>14.553399543381115</v>
      </c>
      <c r="J71" s="923">
        <f t="shared" si="42"/>
        <v>15.553399543381115</v>
      </c>
      <c r="K71" s="923">
        <f t="shared" si="42"/>
        <v>16.553399543381115</v>
      </c>
      <c r="L71" s="924">
        <f t="shared" si="42"/>
        <v>17.553399543381115</v>
      </c>
      <c r="M71" s="712">
        <f t="shared" si="11"/>
        <v>142.30919252442266</v>
      </c>
      <c r="N71" s="942" t="str">
        <f t="shared" si="12"/>
        <v>Creux 3</v>
      </c>
      <c r="O71" s="1118">
        <f t="shared" si="13"/>
        <v>141.44637679208864</v>
      </c>
      <c r="P71" s="919">
        <f t="shared" si="14"/>
        <v>1.5610030706126021</v>
      </c>
      <c r="Q71" s="1023">
        <f t="shared" si="15"/>
        <v>1.9632354649203065</v>
      </c>
      <c r="R71" s="1023">
        <f t="shared" si="16"/>
        <v>2.3652743662873958</v>
      </c>
      <c r="S71" s="1023">
        <f t="shared" si="17"/>
        <v>2.7670803564283966</v>
      </c>
      <c r="T71" s="1024">
        <f t="shared" si="18"/>
        <v>3.1686141543350348</v>
      </c>
      <c r="U71" s="1025">
        <f t="shared" si="19"/>
        <v>3.5698366391257768</v>
      </c>
      <c r="V71" s="919">
        <f t="shared" si="20"/>
        <v>3.9707088726606656</v>
      </c>
      <c r="W71" s="1023">
        <f t="shared" si="21"/>
        <v>4.3711921218891465</v>
      </c>
      <c r="X71" s="1023">
        <f t="shared" si="22"/>
        <v>4.7712478808993053</v>
      </c>
      <c r="Y71" s="1023">
        <f t="shared" si="23"/>
        <v>5.1708378926377678</v>
      </c>
      <c r="Z71" s="1024">
        <f t="shared" si="24"/>
        <v>5.5699241702703448</v>
      </c>
      <c r="AA71" s="28" t="b">
        <f t="shared" si="25"/>
        <v>0</v>
      </c>
      <c r="AB71" s="1055">
        <f t="shared" si="27"/>
        <v>7.4599999999999795</v>
      </c>
      <c r="AC71" s="1121">
        <f t="shared" si="26"/>
        <v>0</v>
      </c>
      <c r="AD71" s="1066">
        <v>51.52</v>
      </c>
      <c r="AE71" s="1067">
        <v>11.930000000000007</v>
      </c>
      <c r="AF71" s="1094">
        <f t="shared" si="28"/>
        <v>2.7849620851351724</v>
      </c>
      <c r="AG71" s="1094"/>
      <c r="AH71" s="1094"/>
    </row>
    <row r="72" spans="1:34" s="28" customFormat="1" ht="12.75" x14ac:dyDescent="0.2">
      <c r="A72" s="1026" t="str">
        <f t="shared" si="10"/>
        <v>Toiture</v>
      </c>
      <c r="B72" s="922">
        <f t="shared" ref="B72:L72" si="43">MAX($F36+B$55,1)</f>
        <v>1</v>
      </c>
      <c r="C72" s="923">
        <f t="shared" si="43"/>
        <v>1</v>
      </c>
      <c r="D72" s="923">
        <f t="shared" si="43"/>
        <v>1</v>
      </c>
      <c r="E72" s="923">
        <f t="shared" si="43"/>
        <v>1</v>
      </c>
      <c r="F72" s="924">
        <f t="shared" si="43"/>
        <v>1</v>
      </c>
      <c r="G72" s="925">
        <f t="shared" si="43"/>
        <v>1</v>
      </c>
      <c r="H72" s="922">
        <f t="shared" si="43"/>
        <v>1</v>
      </c>
      <c r="I72" s="923">
        <f t="shared" si="43"/>
        <v>2</v>
      </c>
      <c r="J72" s="923">
        <f t="shared" si="43"/>
        <v>3</v>
      </c>
      <c r="K72" s="923">
        <f t="shared" si="43"/>
        <v>4</v>
      </c>
      <c r="L72" s="924">
        <f t="shared" si="43"/>
        <v>5</v>
      </c>
      <c r="M72" s="712">
        <f t="shared" si="11"/>
        <v>0</v>
      </c>
      <c r="N72" s="942" t="str">
        <f t="shared" si="12"/>
        <v>Toiture</v>
      </c>
      <c r="O72" s="1118">
        <f t="shared" si="13"/>
        <v>158</v>
      </c>
      <c r="P72" s="919">
        <f t="shared" si="14"/>
        <v>0</v>
      </c>
      <c r="Q72" s="1023">
        <f t="shared" si="15"/>
        <v>0</v>
      </c>
      <c r="R72" s="1023">
        <f t="shared" si="16"/>
        <v>0</v>
      </c>
      <c r="S72" s="1023">
        <f t="shared" si="17"/>
        <v>0</v>
      </c>
      <c r="T72" s="1024">
        <f t="shared" si="18"/>
        <v>0</v>
      </c>
      <c r="U72" s="1025">
        <f t="shared" si="19"/>
        <v>0</v>
      </c>
      <c r="V72" s="919">
        <f t="shared" si="20"/>
        <v>0</v>
      </c>
      <c r="W72" s="1023">
        <f t="shared" si="21"/>
        <v>0</v>
      </c>
      <c r="X72" s="1023">
        <f t="shared" si="22"/>
        <v>0</v>
      </c>
      <c r="Y72" s="1023">
        <f t="shared" si="23"/>
        <v>0</v>
      </c>
      <c r="Z72" s="1024">
        <f t="shared" si="24"/>
        <v>0</v>
      </c>
      <c r="AA72" s="28" t="b">
        <f t="shared" si="25"/>
        <v>1</v>
      </c>
      <c r="AB72" s="1055">
        <f t="shared" si="27"/>
        <v>7.4599999999999795</v>
      </c>
      <c r="AC72" s="1121">
        <f t="shared" si="26"/>
        <v>0</v>
      </c>
      <c r="AD72" s="1066">
        <v>53.73</v>
      </c>
      <c r="AE72" s="1046">
        <v>12.530000000000001</v>
      </c>
      <c r="AF72" s="1094">
        <f t="shared" si="28"/>
        <v>0</v>
      </c>
      <c r="AG72" s="1094"/>
      <c r="AH72" s="1094"/>
    </row>
    <row r="73" spans="1:34" s="28" customFormat="1" ht="12.75" x14ac:dyDescent="0.2">
      <c r="A73" s="1026">
        <f t="shared" si="10"/>
        <v>0</v>
      </c>
      <c r="B73" s="922">
        <f t="shared" ref="B73:L73" si="44">MAX($F37+B$55,1)</f>
        <v>1</v>
      </c>
      <c r="C73" s="923">
        <f t="shared" si="44"/>
        <v>1</v>
      </c>
      <c r="D73" s="923">
        <f t="shared" si="44"/>
        <v>1</v>
      </c>
      <c r="E73" s="923">
        <f t="shared" si="44"/>
        <v>1</v>
      </c>
      <c r="F73" s="924">
        <f t="shared" si="44"/>
        <v>1</v>
      </c>
      <c r="G73" s="925">
        <f t="shared" si="44"/>
        <v>1</v>
      </c>
      <c r="H73" s="922">
        <f t="shared" si="44"/>
        <v>1</v>
      </c>
      <c r="I73" s="923">
        <f t="shared" si="44"/>
        <v>2</v>
      </c>
      <c r="J73" s="923">
        <f t="shared" si="44"/>
        <v>3</v>
      </c>
      <c r="K73" s="923">
        <f t="shared" si="44"/>
        <v>4</v>
      </c>
      <c r="L73" s="924">
        <f t="shared" si="44"/>
        <v>5</v>
      </c>
      <c r="M73" s="712">
        <f t="shared" si="11"/>
        <v>0</v>
      </c>
      <c r="N73" s="942">
        <f t="shared" si="12"/>
        <v>0</v>
      </c>
      <c r="O73" s="1118">
        <f t="shared" si="13"/>
        <v>158</v>
      </c>
      <c r="P73" s="919">
        <f t="shared" si="14"/>
        <v>0</v>
      </c>
      <c r="Q73" s="1023">
        <f t="shared" si="15"/>
        <v>0</v>
      </c>
      <c r="R73" s="1023">
        <f t="shared" si="16"/>
        <v>0</v>
      </c>
      <c r="S73" s="1023">
        <f t="shared" si="17"/>
        <v>0</v>
      </c>
      <c r="T73" s="1024">
        <f t="shared" si="18"/>
        <v>0</v>
      </c>
      <c r="U73" s="1025">
        <f t="shared" si="19"/>
        <v>0</v>
      </c>
      <c r="V73" s="919">
        <f t="shared" si="20"/>
        <v>0</v>
      </c>
      <c r="W73" s="1023">
        <f t="shared" si="21"/>
        <v>0</v>
      </c>
      <c r="X73" s="1023">
        <f t="shared" si="22"/>
        <v>0</v>
      </c>
      <c r="Y73" s="1023">
        <f t="shared" si="23"/>
        <v>0</v>
      </c>
      <c r="Z73" s="1024">
        <f t="shared" si="24"/>
        <v>0</v>
      </c>
      <c r="AA73" s="28" t="b">
        <f t="shared" si="25"/>
        <v>1</v>
      </c>
      <c r="AB73" s="1055">
        <f t="shared" si="27"/>
        <v>7.4599999999999795</v>
      </c>
      <c r="AC73" s="1121">
        <f t="shared" si="26"/>
        <v>0</v>
      </c>
      <c r="AD73" s="1066">
        <v>56.67</v>
      </c>
      <c r="AE73" s="1046">
        <v>13.370000000000005</v>
      </c>
      <c r="AF73" s="1094">
        <f t="shared" si="28"/>
        <v>0</v>
      </c>
      <c r="AG73" s="1094"/>
      <c r="AH73" s="1094"/>
    </row>
    <row r="74" spans="1:34" s="28" customFormat="1" ht="12.75" x14ac:dyDescent="0.2">
      <c r="A74" s="1026">
        <f t="shared" si="10"/>
        <v>0</v>
      </c>
      <c r="B74" s="922"/>
      <c r="C74" s="923"/>
      <c r="D74" s="923"/>
      <c r="E74" s="923"/>
      <c r="F74" s="924"/>
      <c r="G74" s="925"/>
      <c r="H74" s="922"/>
      <c r="I74" s="923"/>
      <c r="J74" s="923"/>
      <c r="K74" s="923"/>
      <c r="L74" s="924"/>
      <c r="M74" s="712">
        <f t="shared" si="11"/>
        <v>0</v>
      </c>
      <c r="N74" s="942">
        <f t="shared" si="12"/>
        <v>0</v>
      </c>
      <c r="O74" s="1118">
        <f t="shared" si="13"/>
        <v>158</v>
      </c>
      <c r="P74" s="919">
        <f t="shared" si="14"/>
        <v>0</v>
      </c>
      <c r="Q74" s="1023">
        <f t="shared" si="15"/>
        <v>0</v>
      </c>
      <c r="R74" s="1023">
        <f t="shared" si="16"/>
        <v>0</v>
      </c>
      <c r="S74" s="1023">
        <f t="shared" si="17"/>
        <v>0</v>
      </c>
      <c r="T74" s="1024">
        <f t="shared" si="18"/>
        <v>0</v>
      </c>
      <c r="U74" s="1025">
        <f t="shared" si="19"/>
        <v>0</v>
      </c>
      <c r="V74" s="919">
        <f t="shared" si="20"/>
        <v>0</v>
      </c>
      <c r="W74" s="1023">
        <f t="shared" si="21"/>
        <v>0</v>
      </c>
      <c r="X74" s="1023">
        <f t="shared" si="22"/>
        <v>0</v>
      </c>
      <c r="Y74" s="1023">
        <f t="shared" si="23"/>
        <v>0</v>
      </c>
      <c r="Z74" s="1024">
        <f t="shared" si="24"/>
        <v>0</v>
      </c>
      <c r="AA74" s="28" t="b">
        <f t="shared" si="25"/>
        <v>1</v>
      </c>
      <c r="AB74" s="1055">
        <f t="shared" si="27"/>
        <v>7.4599999999999795</v>
      </c>
      <c r="AC74" s="1121">
        <f t="shared" si="26"/>
        <v>0</v>
      </c>
      <c r="AD74" s="1066">
        <v>58.66</v>
      </c>
      <c r="AE74" s="1046">
        <v>13.969999999999999</v>
      </c>
      <c r="AF74" s="1094">
        <f t="shared" si="28"/>
        <v>0</v>
      </c>
      <c r="AG74" s="1094"/>
      <c r="AH74" s="1094"/>
    </row>
    <row r="75" spans="1:34" s="28" customFormat="1" ht="12.75" x14ac:dyDescent="0.2">
      <c r="A75" s="1026">
        <f t="shared" si="10"/>
        <v>0</v>
      </c>
      <c r="B75" s="1027"/>
      <c r="C75" s="1028"/>
      <c r="D75" s="1028"/>
      <c r="E75" s="1028"/>
      <c r="F75" s="1029"/>
      <c r="G75" s="925"/>
      <c r="H75" s="922"/>
      <c r="I75" s="1030"/>
      <c r="J75" s="923"/>
      <c r="K75" s="1030"/>
      <c r="L75" s="924"/>
      <c r="M75" s="712">
        <f t="shared" si="11"/>
        <v>0</v>
      </c>
      <c r="N75" s="942">
        <f t="shared" si="12"/>
        <v>0</v>
      </c>
      <c r="O75" s="1119">
        <f t="shared" si="13"/>
        <v>158</v>
      </c>
      <c r="P75" s="919">
        <f t="shared" si="14"/>
        <v>0</v>
      </c>
      <c r="Q75" s="1023">
        <f t="shared" si="15"/>
        <v>0</v>
      </c>
      <c r="R75" s="1023">
        <f t="shared" si="16"/>
        <v>0</v>
      </c>
      <c r="S75" s="1023">
        <f t="shared" si="17"/>
        <v>0</v>
      </c>
      <c r="T75" s="1024">
        <f t="shared" si="18"/>
        <v>0</v>
      </c>
      <c r="U75" s="1025">
        <f t="shared" si="19"/>
        <v>0</v>
      </c>
      <c r="V75" s="919">
        <f t="shared" si="20"/>
        <v>0</v>
      </c>
      <c r="W75" s="1023">
        <f t="shared" si="21"/>
        <v>0</v>
      </c>
      <c r="X75" s="1023">
        <f t="shared" si="22"/>
        <v>0</v>
      </c>
      <c r="Y75" s="1023">
        <f t="shared" si="23"/>
        <v>0</v>
      </c>
      <c r="Z75" s="1024">
        <f t="shared" si="24"/>
        <v>0</v>
      </c>
      <c r="AA75" s="28" t="b">
        <f t="shared" si="25"/>
        <v>1</v>
      </c>
      <c r="AB75" s="1055">
        <f t="shared" si="27"/>
        <v>7.4599999999999795</v>
      </c>
      <c r="AC75" s="1121">
        <f t="shared" si="26"/>
        <v>0</v>
      </c>
      <c r="AD75" s="1066">
        <v>61.27</v>
      </c>
      <c r="AE75" s="1046">
        <v>15.02000000000001</v>
      </c>
      <c r="AF75" s="1094">
        <f t="shared" si="28"/>
        <v>0</v>
      </c>
      <c r="AG75" s="1094"/>
      <c r="AH75" s="1094"/>
    </row>
    <row r="76" spans="1:34" s="28" customFormat="1" ht="12.75" x14ac:dyDescent="0.2">
      <c r="A76" s="1026">
        <f t="shared" si="10"/>
        <v>0</v>
      </c>
      <c r="B76" s="1027"/>
      <c r="C76" s="1028"/>
      <c r="D76" s="1028"/>
      <c r="E76" s="1028"/>
      <c r="F76" s="1029"/>
      <c r="G76" s="925"/>
      <c r="H76" s="922"/>
      <c r="I76" s="1030"/>
      <c r="J76" s="923"/>
      <c r="K76" s="1030"/>
      <c r="L76" s="924"/>
      <c r="M76" s="712">
        <f t="shared" si="11"/>
        <v>0</v>
      </c>
      <c r="N76" s="942">
        <f t="shared" si="12"/>
        <v>0</v>
      </c>
      <c r="O76" s="1119">
        <f t="shared" si="13"/>
        <v>158</v>
      </c>
      <c r="P76" s="919">
        <f t="shared" si="14"/>
        <v>0</v>
      </c>
      <c r="Q76" s="1023">
        <f t="shared" si="15"/>
        <v>0</v>
      </c>
      <c r="R76" s="1023">
        <f t="shared" si="16"/>
        <v>0</v>
      </c>
      <c r="S76" s="1023">
        <f t="shared" si="17"/>
        <v>0</v>
      </c>
      <c r="T76" s="1024">
        <f t="shared" si="18"/>
        <v>0</v>
      </c>
      <c r="U76" s="1025">
        <f t="shared" si="19"/>
        <v>0</v>
      </c>
      <c r="V76" s="919">
        <f t="shared" si="20"/>
        <v>0</v>
      </c>
      <c r="W76" s="1023">
        <f t="shared" si="21"/>
        <v>0</v>
      </c>
      <c r="X76" s="1023">
        <f t="shared" si="22"/>
        <v>0</v>
      </c>
      <c r="Y76" s="1023">
        <f t="shared" si="23"/>
        <v>0</v>
      </c>
      <c r="Z76" s="1024">
        <f t="shared" si="24"/>
        <v>0</v>
      </c>
      <c r="AA76" s="28" t="b">
        <f t="shared" si="25"/>
        <v>1</v>
      </c>
      <c r="AB76" s="1055">
        <f t="shared" si="27"/>
        <v>7.4599999999999795</v>
      </c>
      <c r="AC76" s="1121">
        <f t="shared" si="26"/>
        <v>0</v>
      </c>
      <c r="AD76" s="1066">
        <v>62.95</v>
      </c>
      <c r="AE76" s="1046">
        <v>15.569999999999993</v>
      </c>
      <c r="AF76" s="1094">
        <f t="shared" si="28"/>
        <v>0</v>
      </c>
      <c r="AG76" s="1094"/>
      <c r="AH76" s="1094"/>
    </row>
    <row r="77" spans="1:34" s="28" customFormat="1" ht="12.75" x14ac:dyDescent="0.2">
      <c r="A77" s="1026">
        <f t="shared" si="10"/>
        <v>0</v>
      </c>
      <c r="B77" s="1027"/>
      <c r="C77" s="1028"/>
      <c r="D77" s="1028"/>
      <c r="E77" s="1028"/>
      <c r="F77" s="1029"/>
      <c r="G77" s="925"/>
      <c r="H77" s="922"/>
      <c r="I77" s="1030"/>
      <c r="J77" s="923"/>
      <c r="K77" s="1030"/>
      <c r="L77" s="924"/>
      <c r="M77" s="712">
        <f t="shared" si="11"/>
        <v>0</v>
      </c>
      <c r="N77" s="942">
        <f t="shared" si="12"/>
        <v>0</v>
      </c>
      <c r="O77" s="1119">
        <f t="shared" si="13"/>
        <v>158</v>
      </c>
      <c r="P77" s="919">
        <f t="shared" si="14"/>
        <v>0</v>
      </c>
      <c r="Q77" s="1023">
        <f t="shared" si="15"/>
        <v>0</v>
      </c>
      <c r="R77" s="1023">
        <f t="shared" si="16"/>
        <v>0</v>
      </c>
      <c r="S77" s="1023">
        <f t="shared" si="17"/>
        <v>0</v>
      </c>
      <c r="T77" s="1024">
        <f t="shared" si="18"/>
        <v>0</v>
      </c>
      <c r="U77" s="1025">
        <f t="shared" si="19"/>
        <v>0</v>
      </c>
      <c r="V77" s="919">
        <f t="shared" si="20"/>
        <v>0</v>
      </c>
      <c r="W77" s="1023">
        <f t="shared" si="21"/>
        <v>0</v>
      </c>
      <c r="X77" s="1023">
        <f t="shared" si="22"/>
        <v>0</v>
      </c>
      <c r="Y77" s="1023">
        <f t="shared" si="23"/>
        <v>0</v>
      </c>
      <c r="Z77" s="1024">
        <f t="shared" si="24"/>
        <v>0</v>
      </c>
      <c r="AA77" s="28" t="b">
        <f t="shared" si="25"/>
        <v>1</v>
      </c>
      <c r="AB77" s="1055">
        <f t="shared" si="27"/>
        <v>7.4599999999999795</v>
      </c>
      <c r="AC77" s="1121">
        <f t="shared" si="26"/>
        <v>0</v>
      </c>
      <c r="AD77" s="1066">
        <v>65.069999999999993</v>
      </c>
      <c r="AE77" s="1046">
        <v>16.789999999999992</v>
      </c>
      <c r="AF77" s="1094">
        <f t="shared" si="28"/>
        <v>0</v>
      </c>
      <c r="AG77" s="1094"/>
      <c r="AH77" s="1094"/>
    </row>
    <row r="78" spans="1:34" s="28" customFormat="1" ht="12.75" x14ac:dyDescent="0.2">
      <c r="A78" s="1026">
        <f t="shared" si="10"/>
        <v>0</v>
      </c>
      <c r="B78" s="1027"/>
      <c r="C78" s="1028"/>
      <c r="D78" s="1028"/>
      <c r="E78" s="1028"/>
      <c r="F78" s="1029"/>
      <c r="G78" s="925"/>
      <c r="H78" s="922"/>
      <c r="I78" s="1030"/>
      <c r="J78" s="923"/>
      <c r="K78" s="1030"/>
      <c r="L78" s="924"/>
      <c r="M78" s="712">
        <f t="shared" si="11"/>
        <v>0</v>
      </c>
      <c r="N78" s="942">
        <f t="shared" si="12"/>
        <v>0</v>
      </c>
      <c r="O78" s="1119">
        <f t="shared" si="13"/>
        <v>158</v>
      </c>
      <c r="P78" s="919">
        <f t="shared" si="14"/>
        <v>0</v>
      </c>
      <c r="Q78" s="1023">
        <f t="shared" si="15"/>
        <v>0</v>
      </c>
      <c r="R78" s="1023">
        <f t="shared" si="16"/>
        <v>0</v>
      </c>
      <c r="S78" s="1023">
        <f t="shared" si="17"/>
        <v>0</v>
      </c>
      <c r="T78" s="1024">
        <f t="shared" si="18"/>
        <v>0</v>
      </c>
      <c r="U78" s="1025">
        <f t="shared" si="19"/>
        <v>0</v>
      </c>
      <c r="V78" s="919">
        <f t="shared" si="20"/>
        <v>0</v>
      </c>
      <c r="W78" s="1023">
        <f t="shared" si="21"/>
        <v>0</v>
      </c>
      <c r="X78" s="1023">
        <f t="shared" si="22"/>
        <v>0</v>
      </c>
      <c r="Y78" s="1023">
        <f t="shared" si="23"/>
        <v>0</v>
      </c>
      <c r="Z78" s="1024">
        <f t="shared" si="24"/>
        <v>0</v>
      </c>
      <c r="AA78" s="28" t="b">
        <f t="shared" si="25"/>
        <v>1</v>
      </c>
      <c r="AB78" s="1055">
        <f t="shared" si="27"/>
        <v>7.4599999999999795</v>
      </c>
      <c r="AC78" s="1121">
        <f t="shared" si="26"/>
        <v>0</v>
      </c>
      <c r="AD78" s="1066">
        <v>66.36</v>
      </c>
      <c r="AE78" s="1046">
        <v>17.259999999999991</v>
      </c>
      <c r="AF78" s="1094">
        <f t="shared" si="28"/>
        <v>0</v>
      </c>
      <c r="AG78" s="1094"/>
      <c r="AH78" s="1094"/>
    </row>
    <row r="79" spans="1:34" s="28" customFormat="1" ht="12.75" x14ac:dyDescent="0.2">
      <c r="A79" s="1031">
        <f t="shared" si="10"/>
        <v>0</v>
      </c>
      <c r="B79" s="1032"/>
      <c r="C79" s="1033"/>
      <c r="D79" s="1033"/>
      <c r="E79" s="1033"/>
      <c r="F79" s="1034"/>
      <c r="G79" s="1035"/>
      <c r="H79" s="1036"/>
      <c r="I79" s="1037"/>
      <c r="J79" s="1038"/>
      <c r="K79" s="1037"/>
      <c r="L79" s="1039"/>
      <c r="M79" s="722">
        <f t="shared" si="11"/>
        <v>0</v>
      </c>
      <c r="N79" s="1040">
        <f t="shared" si="12"/>
        <v>0</v>
      </c>
      <c r="O79" s="1120">
        <f t="shared" si="13"/>
        <v>158</v>
      </c>
      <c r="P79" s="1041">
        <f t="shared" si="14"/>
        <v>0</v>
      </c>
      <c r="Q79" s="1042">
        <f t="shared" si="15"/>
        <v>0</v>
      </c>
      <c r="R79" s="1042">
        <f t="shared" si="16"/>
        <v>0</v>
      </c>
      <c r="S79" s="1042">
        <f t="shared" si="17"/>
        <v>0</v>
      </c>
      <c r="T79" s="1043">
        <f t="shared" si="18"/>
        <v>0</v>
      </c>
      <c r="U79" s="1044">
        <f t="shared" si="19"/>
        <v>0</v>
      </c>
      <c r="V79" s="1041">
        <f t="shared" si="20"/>
        <v>0</v>
      </c>
      <c r="W79" s="1042">
        <f t="shared" si="21"/>
        <v>0</v>
      </c>
      <c r="X79" s="1042">
        <f t="shared" si="22"/>
        <v>0</v>
      </c>
      <c r="Y79" s="1042">
        <f t="shared" si="23"/>
        <v>0</v>
      </c>
      <c r="Z79" s="1043">
        <f t="shared" si="24"/>
        <v>0</v>
      </c>
      <c r="AA79" s="28" t="b">
        <f t="shared" si="25"/>
        <v>1</v>
      </c>
      <c r="AB79" s="1055">
        <f t="shared" si="27"/>
        <v>7.4599999999999795</v>
      </c>
      <c r="AC79" s="1121">
        <f t="shared" si="26"/>
        <v>0</v>
      </c>
      <c r="AD79" s="1066">
        <v>67.87</v>
      </c>
      <c r="AE79" s="1046">
        <v>18.400000000000006</v>
      </c>
      <c r="AF79" s="1094">
        <f t="shared" si="28"/>
        <v>0</v>
      </c>
      <c r="AG79" s="1094"/>
      <c r="AH79" s="1094"/>
    </row>
    <row r="80" spans="1:34" s="19" customFormat="1" ht="12.75" x14ac:dyDescent="0.2">
      <c r="G80" s="31"/>
      <c r="H80" s="31"/>
      <c r="U80" s="29"/>
      <c r="W80" s="29"/>
      <c r="X80" s="719"/>
      <c r="Y80" s="29"/>
      <c r="AA80" s="29"/>
      <c r="AD80" s="1066">
        <v>68.69</v>
      </c>
      <c r="AE80" s="1046">
        <v>18.659999999999997</v>
      </c>
      <c r="AF80" s="1094"/>
      <c r="AG80" s="1094"/>
      <c r="AH80" s="1094"/>
    </row>
    <row r="81" spans="1:34" s="19" customFormat="1" ht="15.75" x14ac:dyDescent="0.25">
      <c r="A81" s="670" t="s">
        <v>197</v>
      </c>
      <c r="F81" s="30"/>
      <c r="G81" s="29"/>
      <c r="H81" s="31"/>
      <c r="K81" s="30"/>
      <c r="Q81" s="29"/>
      <c r="R81" s="688"/>
      <c r="S81" s="29"/>
      <c r="U81" s="29"/>
      <c r="W81" s="29"/>
      <c r="X81" s="719"/>
      <c r="Y81" s="29"/>
      <c r="AA81" s="29"/>
      <c r="AD81" s="1066">
        <v>69.48</v>
      </c>
      <c r="AE81" s="1046">
        <v>19.439999999999998</v>
      </c>
      <c r="AF81" s="1094"/>
      <c r="AG81" s="1094"/>
      <c r="AH81" s="1094"/>
    </row>
    <row r="82" spans="1:34" s="19" customFormat="1" ht="12.75" x14ac:dyDescent="0.2">
      <c r="A82" s="700" t="str">
        <f t="array" ref="A82:Z94">TRANSPOSE(N54:Z79)</f>
        <v>Crèche Ayguesvives</v>
      </c>
      <c r="B82" s="1073" t="str">
        <v>zone 1</v>
      </c>
      <c r="C82" s="1074" t="str">
        <v>Toiture</v>
      </c>
      <c r="D82" s="1074" t="str">
        <v>Arrière PV</v>
      </c>
      <c r="E82" s="1074" t="str">
        <v>Groupe arbre 1 Est</v>
      </c>
      <c r="F82" s="1074" t="str">
        <v>Groupe arbre 1 Sud</v>
      </c>
      <c r="G82" s="1074" t="str">
        <v>Groupe arbre 1 Ouest</v>
      </c>
      <c r="H82" s="1074" t="str">
        <v>Creux 1 (A4)</v>
      </c>
      <c r="I82" s="1074" t="str">
        <v>Arbre 2</v>
      </c>
      <c r="J82" s="1074" t="str">
        <v>Arbre 3g</v>
      </c>
      <c r="K82" s="1074" t="str">
        <v>Arbre 3d</v>
      </c>
      <c r="L82" s="1074" t="str">
        <v>Arbre 5</v>
      </c>
      <c r="M82" s="1074" t="str">
        <v>Arbre 6</v>
      </c>
      <c r="N82" s="1074" t="str">
        <v>Arbre 7</v>
      </c>
      <c r="O82" s="1074" t="str">
        <v>Arbre 8</v>
      </c>
      <c r="P82" s="1074" t="str">
        <v>Creux 2</v>
      </c>
      <c r="Q82" s="1074" t="str">
        <v>Arbre 9</v>
      </c>
      <c r="R82" s="1074" t="str">
        <v>Creux 3</v>
      </c>
      <c r="S82" s="1074" t="str">
        <v>Toiture</v>
      </c>
      <c r="T82" s="1074">
        <v>0</v>
      </c>
      <c r="U82" s="1074">
        <v>0</v>
      </c>
      <c r="V82" s="1074">
        <v>0</v>
      </c>
      <c r="W82" s="1074">
        <v>0</v>
      </c>
      <c r="X82" s="1074">
        <v>0</v>
      </c>
      <c r="Y82" s="1074">
        <v>0</v>
      </c>
      <c r="Z82" s="1074">
        <v>0</v>
      </c>
      <c r="AD82" s="1068">
        <v>69.760000000000005</v>
      </c>
      <c r="AE82" s="1047">
        <v>19.519999999999982</v>
      </c>
      <c r="AF82" s="28"/>
      <c r="AG82" s="28"/>
    </row>
    <row r="83" spans="1:34" s="19" customFormat="1" ht="12.75" x14ac:dyDescent="0.2">
      <c r="A83" s="1075">
        <v>68</v>
      </c>
      <c r="B83" s="1076" t="str">
        <v>Azi.S / PV</v>
      </c>
      <c r="C83" s="1077">
        <v>-202</v>
      </c>
      <c r="D83" s="720">
        <v>-112</v>
      </c>
      <c r="E83" s="720">
        <v>-52.211906903825117</v>
      </c>
      <c r="F83" s="720">
        <v>-37.368894256959649</v>
      </c>
      <c r="G83" s="720">
        <v>-22.332356522394413</v>
      </c>
      <c r="H83" s="720">
        <v>-2.466894409255163</v>
      </c>
      <c r="I83" s="720">
        <v>12.549423262642561</v>
      </c>
      <c r="J83" s="720">
        <v>25.059565231773391</v>
      </c>
      <c r="K83" s="720">
        <v>43.996455813389467</v>
      </c>
      <c r="L83" s="720">
        <v>53.079749279295598</v>
      </c>
      <c r="M83" s="720">
        <v>61.133243261884687</v>
      </c>
      <c r="N83" s="720">
        <v>85.644554035499283</v>
      </c>
      <c r="O83" s="720">
        <v>105.59046714381608</v>
      </c>
      <c r="P83" s="720">
        <v>118.70014311472806</v>
      </c>
      <c r="Q83" s="720">
        <v>128.1546998481125</v>
      </c>
      <c r="R83" s="720">
        <v>141.44637679208864</v>
      </c>
      <c r="S83" s="720">
        <v>158</v>
      </c>
      <c r="T83" s="720">
        <v>158</v>
      </c>
      <c r="U83" s="720">
        <v>158</v>
      </c>
      <c r="V83" s="720">
        <v>158</v>
      </c>
      <c r="W83" s="720">
        <v>158</v>
      </c>
      <c r="X83" s="720">
        <v>158</v>
      </c>
      <c r="Y83" s="720">
        <v>158</v>
      </c>
      <c r="Z83" s="1078">
        <v>158</v>
      </c>
      <c r="AD83" s="28"/>
      <c r="AE83" s="34"/>
      <c r="AF83" s="28"/>
    </row>
    <row r="84" spans="1:34" s="19" customFormat="1" ht="12.75" x14ac:dyDescent="0.2">
      <c r="A84" s="1079" t="str">
        <v>Elevation vue du champ PV zone: 1</v>
      </c>
      <c r="B84" s="1080">
        <v>-5</v>
      </c>
      <c r="C84" s="1081">
        <v>0</v>
      </c>
      <c r="D84" s="721">
        <v>16.699244233993621</v>
      </c>
      <c r="E84" s="721">
        <v>2.384039456405604</v>
      </c>
      <c r="F84" s="721">
        <v>3.2730982510487214</v>
      </c>
      <c r="G84" s="721">
        <v>3.8581818109724653</v>
      </c>
      <c r="H84" s="721">
        <v>-2.3863211688681498</v>
      </c>
      <c r="I84" s="721">
        <v>2.762496071300601</v>
      </c>
      <c r="J84" s="721">
        <v>-1.188008989277632</v>
      </c>
      <c r="K84" s="721">
        <v>-1.1464973989379086</v>
      </c>
      <c r="L84" s="721">
        <v>2.997154012165625</v>
      </c>
      <c r="M84" s="721">
        <v>2.6495718222624483</v>
      </c>
      <c r="N84" s="721">
        <v>6.4318508756407056</v>
      </c>
      <c r="O84" s="721">
        <v>4.1674126133183593</v>
      </c>
      <c r="P84" s="721">
        <v>2.4169485856580191</v>
      </c>
      <c r="Q84" s="721">
        <v>6.628526659272679</v>
      </c>
      <c r="R84" s="721">
        <v>1.5610030706126021</v>
      </c>
      <c r="S84" s="721">
        <v>0</v>
      </c>
      <c r="T84" s="721">
        <v>0</v>
      </c>
      <c r="U84" s="721">
        <v>0</v>
      </c>
      <c r="V84" s="721">
        <v>0</v>
      </c>
      <c r="W84" s="721">
        <v>0</v>
      </c>
      <c r="X84" s="721">
        <v>0</v>
      </c>
      <c r="Y84" s="721">
        <v>0</v>
      </c>
      <c r="Z84" s="1082">
        <v>0</v>
      </c>
      <c r="AD84" s="28"/>
      <c r="AE84" s="34"/>
      <c r="AF84" s="28"/>
      <c r="AG84" s="28"/>
    </row>
    <row r="85" spans="1:34" s="19" customFormat="1" ht="12.75" x14ac:dyDescent="0.2">
      <c r="A85" s="1083">
        <v>0</v>
      </c>
      <c r="B85" s="1080">
        <v>-4</v>
      </c>
      <c r="C85" s="1084">
        <v>0</v>
      </c>
      <c r="D85" s="712">
        <v>16.699244233993621</v>
      </c>
      <c r="E85" s="712">
        <v>3.5628653094026004</v>
      </c>
      <c r="F85" s="712">
        <v>4.464683497185904</v>
      </c>
      <c r="G85" s="712">
        <v>7.8417283043656401</v>
      </c>
      <c r="H85" s="712">
        <v>-0.56933680087896688</v>
      </c>
      <c r="I85" s="712">
        <v>4.6089740237349721</v>
      </c>
      <c r="J85" s="712">
        <v>5.1118953776895397</v>
      </c>
      <c r="K85" s="712">
        <v>4.369542795693528</v>
      </c>
      <c r="L85" s="712">
        <v>4.5746705133018892</v>
      </c>
      <c r="M85" s="712">
        <v>4.2379492323520305</v>
      </c>
      <c r="N85" s="712">
        <v>7.9502404329254857</v>
      </c>
      <c r="O85" s="712">
        <v>5.4363783118105875</v>
      </c>
      <c r="P85" s="712">
        <v>2.7688795398953685</v>
      </c>
      <c r="Q85" s="712">
        <v>7.0317162008819869</v>
      </c>
      <c r="R85" s="712">
        <v>1.9632354649203065</v>
      </c>
      <c r="S85" s="712">
        <v>0</v>
      </c>
      <c r="T85" s="712">
        <v>0</v>
      </c>
      <c r="U85" s="712">
        <v>0</v>
      </c>
      <c r="V85" s="712">
        <v>0</v>
      </c>
      <c r="W85" s="712">
        <v>0</v>
      </c>
      <c r="X85" s="712">
        <v>0</v>
      </c>
      <c r="Y85" s="712">
        <v>0</v>
      </c>
      <c r="Z85" s="1085">
        <v>0</v>
      </c>
      <c r="AD85" s="28"/>
      <c r="AE85" s="34"/>
      <c r="AF85" s="28"/>
    </row>
    <row r="86" spans="1:34" s="19" customFormat="1" ht="12.75" x14ac:dyDescent="0.2">
      <c r="A86" s="1083">
        <v>0</v>
      </c>
      <c r="B86" s="1080">
        <v>-3</v>
      </c>
      <c r="C86" s="1084">
        <v>0</v>
      </c>
      <c r="D86" s="712">
        <v>16.699244233993621</v>
      </c>
      <c r="E86" s="712">
        <v>4.7386790478899465</v>
      </c>
      <c r="F86" s="712">
        <v>5.652411868778719</v>
      </c>
      <c r="G86" s="712">
        <v>11.750535751871896</v>
      </c>
      <c r="H86" s="712">
        <v>1.2487930766062576</v>
      </c>
      <c r="I86" s="712">
        <v>6.4459104938961085</v>
      </c>
      <c r="J86" s="712">
        <v>11.290727582649469</v>
      </c>
      <c r="K86" s="712">
        <v>9.8058437700955121</v>
      </c>
      <c r="L86" s="712">
        <v>6.1452687280205494</v>
      </c>
      <c r="M86" s="712">
        <v>5.8198290884903612</v>
      </c>
      <c r="N86" s="712">
        <v>9.4574760507638125</v>
      </c>
      <c r="O86" s="712">
        <v>6.7000179896146141</v>
      </c>
      <c r="P86" s="712">
        <v>3.1206015267089127</v>
      </c>
      <c r="Q86" s="712">
        <v>7.434207040011759</v>
      </c>
      <c r="R86" s="712">
        <v>2.3652743662873958</v>
      </c>
      <c r="S86" s="712">
        <v>0</v>
      </c>
      <c r="T86" s="712">
        <v>0</v>
      </c>
      <c r="U86" s="712">
        <v>0</v>
      </c>
      <c r="V86" s="712">
        <v>0</v>
      </c>
      <c r="W86" s="712">
        <v>0</v>
      </c>
      <c r="X86" s="712">
        <v>0</v>
      </c>
      <c r="Y86" s="712">
        <v>0</v>
      </c>
      <c r="Z86" s="1085">
        <v>0</v>
      </c>
      <c r="AD86" s="28"/>
      <c r="AF86" s="28"/>
      <c r="AG86" s="28"/>
    </row>
    <row r="87" spans="1:34" s="19" customFormat="1" ht="12.75" x14ac:dyDescent="0.2">
      <c r="A87" s="1083">
        <v>0</v>
      </c>
      <c r="B87" s="1080">
        <v>-2</v>
      </c>
      <c r="C87" s="1084">
        <v>0</v>
      </c>
      <c r="D87" s="712">
        <v>16.699244233993621</v>
      </c>
      <c r="E87" s="712">
        <v>5.9105064380493024</v>
      </c>
      <c r="F87" s="712">
        <v>6.8352870786773305</v>
      </c>
      <c r="G87" s="712">
        <v>15.551625082949885</v>
      </c>
      <c r="H87" s="712">
        <v>3.064411946597708</v>
      </c>
      <c r="I87" s="712">
        <v>8.26963968244584</v>
      </c>
      <c r="J87" s="712">
        <v>17.215383853213652</v>
      </c>
      <c r="K87" s="712">
        <v>15.069994131445032</v>
      </c>
      <c r="L87" s="712">
        <v>7.7066526484389701</v>
      </c>
      <c r="M87" s="712">
        <v>7.3928579386989721</v>
      </c>
      <c r="N87" s="712">
        <v>10.951619736754408</v>
      </c>
      <c r="O87" s="712">
        <v>7.9571447006789455</v>
      </c>
      <c r="P87" s="712">
        <v>3.4720882493649978</v>
      </c>
      <c r="Q87" s="712">
        <v>7.8359613742774172</v>
      </c>
      <c r="R87" s="712">
        <v>2.7670803564283966</v>
      </c>
      <c r="S87" s="712">
        <v>0</v>
      </c>
      <c r="T87" s="712">
        <v>0</v>
      </c>
      <c r="U87" s="712">
        <v>0</v>
      </c>
      <c r="V87" s="712">
        <v>0</v>
      </c>
      <c r="W87" s="712">
        <v>0</v>
      </c>
      <c r="X87" s="712">
        <v>0</v>
      </c>
      <c r="Y87" s="712">
        <v>0</v>
      </c>
      <c r="Z87" s="1085">
        <v>0</v>
      </c>
      <c r="AD87" s="28"/>
      <c r="AF87" s="28"/>
    </row>
    <row r="88" spans="1:34" s="19" customFormat="1" ht="12.75" x14ac:dyDescent="0.2">
      <c r="A88" s="1083">
        <v>0</v>
      </c>
      <c r="B88" s="1086">
        <v>-1</v>
      </c>
      <c r="C88" s="1084">
        <v>0</v>
      </c>
      <c r="D88" s="712">
        <v>16.699244233993621</v>
      </c>
      <c r="E88" s="712">
        <v>7.0773931584707208</v>
      </c>
      <c r="F88" s="712">
        <v>8.0123374853701481</v>
      </c>
      <c r="G88" s="712">
        <v>19.217541700644617</v>
      </c>
      <c r="H88" s="712">
        <v>4.8738934760416734</v>
      </c>
      <c r="I88" s="712">
        <v>10.076654939357304</v>
      </c>
      <c r="J88" s="712">
        <v>22.784377975551998</v>
      </c>
      <c r="K88" s="712">
        <v>20.086601268123655</v>
      </c>
      <c r="L88" s="712">
        <v>9.2566077118413936</v>
      </c>
      <c r="M88" s="712">
        <v>8.9547618078363094</v>
      </c>
      <c r="N88" s="712">
        <v>12.430838062190647</v>
      </c>
      <c r="O88" s="712">
        <v>9.2066087390166125</v>
      </c>
      <c r="P88" s="712">
        <v>3.8233135171171604</v>
      </c>
      <c r="Q88" s="712">
        <v>8.236941829155068</v>
      </c>
      <c r="R88" s="712">
        <v>3.1686141543350348</v>
      </c>
      <c r="S88" s="712">
        <v>0</v>
      </c>
      <c r="T88" s="712">
        <v>0</v>
      </c>
      <c r="U88" s="712">
        <v>0</v>
      </c>
      <c r="V88" s="712">
        <v>0</v>
      </c>
      <c r="W88" s="712">
        <v>0</v>
      </c>
      <c r="X88" s="712">
        <v>0</v>
      </c>
      <c r="Y88" s="712">
        <v>0</v>
      </c>
      <c r="Z88" s="1085">
        <v>0</v>
      </c>
      <c r="AF88" s="28"/>
      <c r="AG88" s="28"/>
    </row>
    <row r="89" spans="1:34" s="19" customFormat="1" ht="12.75" x14ac:dyDescent="0.2">
      <c r="A89" s="1083">
        <v>0</v>
      </c>
      <c r="B89" s="1080">
        <v>0</v>
      </c>
      <c r="C89" s="1087">
        <v>0</v>
      </c>
      <c r="D89" s="697">
        <v>16.699244233993621</v>
      </c>
      <c r="E89" s="697">
        <v>8.2384092855485136</v>
      </c>
      <c r="F89" s="697">
        <v>9.1826206268670525</v>
      </c>
      <c r="G89" s="697">
        <v>22.727114936447027</v>
      </c>
      <c r="H89" s="697">
        <v>6.6736845829903579</v>
      </c>
      <c r="I89" s="697">
        <v>11.863646087742012</v>
      </c>
      <c r="J89" s="697">
        <v>27.934101729224128</v>
      </c>
      <c r="K89" s="697">
        <v>24.801980421777102</v>
      </c>
      <c r="L89" s="697">
        <v>10.79301837761202</v>
      </c>
      <c r="M89" s="697">
        <v>10.503364720236332</v>
      </c>
      <c r="N89" s="697">
        <v>13.893413435082872</v>
      </c>
      <c r="O89" s="697">
        <v>10.447303470878108</v>
      </c>
      <c r="P89" s="697">
        <v>4.1742512567552001</v>
      </c>
      <c r="Q89" s="697">
        <v>8.6371114771352548</v>
      </c>
      <c r="R89" s="697">
        <v>3.5698366391257768</v>
      </c>
      <c r="S89" s="697">
        <v>0</v>
      </c>
      <c r="T89" s="697">
        <v>0</v>
      </c>
      <c r="U89" s="697">
        <v>0</v>
      </c>
      <c r="V89" s="697">
        <v>0</v>
      </c>
      <c r="W89" s="697">
        <v>0</v>
      </c>
      <c r="X89" s="697">
        <v>0</v>
      </c>
      <c r="Y89" s="697">
        <v>0</v>
      </c>
      <c r="Z89" s="1088">
        <v>0</v>
      </c>
      <c r="AF89" s="28"/>
    </row>
    <row r="90" spans="1:34" s="19" customFormat="1" ht="12.75" x14ac:dyDescent="0.2">
      <c r="A90" s="1083">
        <v>0</v>
      </c>
      <c r="B90" s="1089">
        <v>1</v>
      </c>
      <c r="C90" s="1084">
        <v>0</v>
      </c>
      <c r="D90" s="712">
        <v>16.699244233993621</v>
      </c>
      <c r="E90" s="712">
        <v>9.3926534826513493</v>
      </c>
      <c r="F90" s="712">
        <v>10.345227397041779</v>
      </c>
      <c r="G90" s="712">
        <v>26.065581752332093</v>
      </c>
      <c r="H90" s="712">
        <v>8.460346337109705</v>
      </c>
      <c r="I90" s="712">
        <v>13.627531167836128</v>
      </c>
      <c r="J90" s="712">
        <v>32.636700019389856</v>
      </c>
      <c r="K90" s="712">
        <v>29.184701080571529</v>
      </c>
      <c r="L90" s="712">
        <v>12.313883620449342</v>
      </c>
      <c r="M90" s="712">
        <v>12.036605121327639</v>
      </c>
      <c r="N90" s="712">
        <v>15.337753252163772</v>
      </c>
      <c r="O90" s="712">
        <v>11.678170579285808</v>
      </c>
      <c r="P90" s="712">
        <v>4.5248755240228355</v>
      </c>
      <c r="Q90" s="712">
        <v>9.0364338562482693</v>
      </c>
      <c r="R90" s="712">
        <v>3.9707088726606656</v>
      </c>
      <c r="S90" s="712">
        <v>0</v>
      </c>
      <c r="T90" s="712">
        <v>0</v>
      </c>
      <c r="U90" s="712">
        <v>0</v>
      </c>
      <c r="V90" s="712">
        <v>0</v>
      </c>
      <c r="W90" s="712">
        <v>0</v>
      </c>
      <c r="X90" s="712">
        <v>0</v>
      </c>
      <c r="Y90" s="712">
        <v>0</v>
      </c>
      <c r="Z90" s="1085">
        <v>0</v>
      </c>
      <c r="AF90" s="28"/>
      <c r="AG90" s="28"/>
    </row>
    <row r="91" spans="1:34" s="19" customFormat="1" ht="12.75" x14ac:dyDescent="0.2">
      <c r="A91" s="1083">
        <v>0</v>
      </c>
      <c r="B91" s="1080">
        <v>2</v>
      </c>
      <c r="C91" s="1084">
        <v>0</v>
      </c>
      <c r="D91" s="712">
        <v>16.699244233993621</v>
      </c>
      <c r="E91" s="712">
        <v>10.539256849294107</v>
      </c>
      <c r="F91" s="712">
        <v>11.499285822983369</v>
      </c>
      <c r="G91" s="712">
        <v>29.224191445429987</v>
      </c>
      <c r="H91" s="712">
        <v>10.230591547217839</v>
      </c>
      <c r="I91" s="712">
        <v>15.365481994696761</v>
      </c>
      <c r="J91" s="712">
        <v>36.892775962246553</v>
      </c>
      <c r="K91" s="712">
        <v>33.222981344659438</v>
      </c>
      <c r="L91" s="712">
        <v>13.817330100554843</v>
      </c>
      <c r="M91" s="712">
        <v>13.552549931528677</v>
      </c>
      <c r="N91" s="712">
        <v>16.762396877028092</v>
      </c>
      <c r="O91" s="712">
        <v>12.898204668883089</v>
      </c>
      <c r="P91" s="712">
        <v>4.8751605148916735</v>
      </c>
      <c r="Q91" s="712">
        <v>9.4348729879408531</v>
      </c>
      <c r="R91" s="712">
        <v>4.3711921218891465</v>
      </c>
      <c r="S91" s="712">
        <v>0</v>
      </c>
      <c r="T91" s="712">
        <v>0</v>
      </c>
      <c r="U91" s="712">
        <v>0</v>
      </c>
      <c r="V91" s="712">
        <v>0</v>
      </c>
      <c r="W91" s="712">
        <v>0</v>
      </c>
      <c r="X91" s="712">
        <v>0</v>
      </c>
      <c r="Y91" s="712">
        <v>0</v>
      </c>
      <c r="Z91" s="1085">
        <v>0</v>
      </c>
      <c r="AF91" s="28"/>
    </row>
    <row r="92" spans="1:34" s="19" customFormat="1" ht="12.75" x14ac:dyDescent="0.2">
      <c r="A92" s="1083">
        <v>0</v>
      </c>
      <c r="B92" s="1080">
        <v>3</v>
      </c>
      <c r="C92" s="1084">
        <v>0</v>
      </c>
      <c r="D92" s="712">
        <v>16.699244233993621</v>
      </c>
      <c r="E92" s="712">
        <v>11.677386393898646</v>
      </c>
      <c r="F92" s="712">
        <v>12.64396441052884</v>
      </c>
      <c r="G92" s="712">
        <v>32.199458005914181</v>
      </c>
      <c r="H92" s="712">
        <v>11.981318066070724</v>
      </c>
      <c r="I92" s="712">
        <v>17.074943218720644</v>
      </c>
      <c r="J92" s="712">
        <v>40.722482676512925</v>
      </c>
      <c r="K92" s="712">
        <v>36.920416482320469</v>
      </c>
      <c r="L92" s="712">
        <v>15.301622855461606</v>
      </c>
      <c r="M92" s="712">
        <v>15.049406053296053</v>
      </c>
      <c r="N92" s="712">
        <v>18.166020455729523</v>
      </c>
      <c r="O92" s="712">
        <v>14.106457194170511</v>
      </c>
      <c r="P92" s="712">
        <v>5.2250805766794919</v>
      </c>
      <c r="Q92" s="712">
        <v>9.8323933942856829</v>
      </c>
      <c r="R92" s="712">
        <v>4.7712478808993053</v>
      </c>
      <c r="S92" s="712">
        <v>0</v>
      </c>
      <c r="T92" s="712">
        <v>0</v>
      </c>
      <c r="U92" s="712">
        <v>0</v>
      </c>
      <c r="V92" s="712">
        <v>0</v>
      </c>
      <c r="W92" s="712">
        <v>0</v>
      </c>
      <c r="X92" s="712">
        <v>0</v>
      </c>
      <c r="Y92" s="712">
        <v>0</v>
      </c>
      <c r="Z92" s="1085">
        <v>0</v>
      </c>
      <c r="AF92" s="28"/>
      <c r="AG92" s="28"/>
    </row>
    <row r="93" spans="1:34" s="19" customFormat="1" ht="12.75" x14ac:dyDescent="0.2">
      <c r="A93" s="1083">
        <v>0</v>
      </c>
      <c r="B93" s="1080">
        <v>4</v>
      </c>
      <c r="C93" s="1084">
        <v>0</v>
      </c>
      <c r="D93" s="712">
        <v>16.699244233993621</v>
      </c>
      <c r="E93" s="712">
        <v>12.806248101606897</v>
      </c>
      <c r="F93" s="712">
        <v>13.778475034118783</v>
      </c>
      <c r="G93" s="712">
        <v>34.992229961810644</v>
      </c>
      <c r="H93" s="712">
        <v>13.709637062461358</v>
      </c>
      <c r="I93" s="712">
        <v>18.753644863335495</v>
      </c>
      <c r="J93" s="712">
        <v>44.157436548952298</v>
      </c>
      <c r="K93" s="712">
        <v>40.291362408862462</v>
      </c>
      <c r="L93" s="712">
        <v>16.765173442221091</v>
      </c>
      <c r="M93" s="712">
        <v>16.525529240786724</v>
      </c>
      <c r="N93" s="712">
        <v>19.547439639135042</v>
      </c>
      <c r="O93" s="712">
        <v>15.30203968940881</v>
      </c>
      <c r="P93" s="712">
        <v>5.5746102190012241</v>
      </c>
      <c r="Q93" s="712">
        <v>10.228960114506831</v>
      </c>
      <c r="R93" s="712">
        <v>5.1708378926377678</v>
      </c>
      <c r="S93" s="712">
        <v>0</v>
      </c>
      <c r="T93" s="712">
        <v>0</v>
      </c>
      <c r="U93" s="712">
        <v>0</v>
      </c>
      <c r="V93" s="712">
        <v>0</v>
      </c>
      <c r="W93" s="712">
        <v>0</v>
      </c>
      <c r="X93" s="712">
        <v>0</v>
      </c>
      <c r="Y93" s="712">
        <v>0</v>
      </c>
      <c r="Z93" s="1085">
        <v>0</v>
      </c>
      <c r="AF93" s="28"/>
    </row>
    <row r="94" spans="1:34" s="19" customFormat="1" ht="12.75" x14ac:dyDescent="0.2">
      <c r="A94" s="1090">
        <v>0.3</v>
      </c>
      <c r="B94" s="1080">
        <v>5</v>
      </c>
      <c r="C94" s="1091">
        <v>0</v>
      </c>
      <c r="D94" s="722">
        <v>16.699244233993621</v>
      </c>
      <c r="E94" s="722">
        <v>13.925089576748096</v>
      </c>
      <c r="F94" s="722">
        <v>14.902075356150533</v>
      </c>
      <c r="G94" s="722">
        <v>37.606719252738863</v>
      </c>
      <c r="H94" s="722">
        <v>15.412895756253921</v>
      </c>
      <c r="I94" s="722">
        <v>20.399608571177076</v>
      </c>
      <c r="J94" s="722">
        <v>47.234519475817535</v>
      </c>
      <c r="K94" s="722">
        <v>43.35682076589822</v>
      </c>
      <c r="L94" s="722">
        <v>18.206545538585893</v>
      </c>
      <c r="M94" s="722">
        <v>17.979430326596884</v>
      </c>
      <c r="N94" s="722">
        <v>20.905610331111625</v>
      </c>
      <c r="O94" s="722">
        <v>16.484126293254576</v>
      </c>
      <c r="P94" s="722">
        <v>5.9237241245412733</v>
      </c>
      <c r="Q94" s="722">
        <v>10.624538720805912</v>
      </c>
      <c r="R94" s="722">
        <v>5.5699241702703448</v>
      </c>
      <c r="S94" s="722">
        <v>0</v>
      </c>
      <c r="T94" s="722">
        <v>0</v>
      </c>
      <c r="U94" s="722">
        <v>0</v>
      </c>
      <c r="V94" s="722">
        <v>0</v>
      </c>
      <c r="W94" s="722">
        <v>0</v>
      </c>
      <c r="X94" s="722">
        <v>0</v>
      </c>
      <c r="Y94" s="722">
        <v>0</v>
      </c>
      <c r="Z94" s="1092">
        <v>0</v>
      </c>
      <c r="AF94" s="28"/>
      <c r="AG94" s="28"/>
    </row>
    <row r="95" spans="1:34" x14ac:dyDescent="0.25">
      <c r="AD95" s="19"/>
      <c r="AE95" s="19"/>
      <c r="AF95" s="28"/>
      <c r="AG95" s="19"/>
    </row>
    <row r="96" spans="1:34" s="560" customFormat="1" ht="12.75" x14ac:dyDescent="0.2">
      <c r="A96" s="1065"/>
      <c r="B96" s="1065"/>
      <c r="C96" s="1065"/>
      <c r="D96" s="1065"/>
      <c r="E96" s="1065"/>
      <c r="F96" s="1065"/>
      <c r="G96" s="1065"/>
      <c r="H96" s="1065"/>
      <c r="I96" s="1065"/>
      <c r="J96" s="1065"/>
      <c r="K96" s="1065"/>
      <c r="L96" s="1065"/>
      <c r="M96" s="1065"/>
      <c r="N96" s="1065"/>
      <c r="O96" s="1065"/>
      <c r="Q96" s="1065"/>
      <c r="R96" s="629"/>
      <c r="S96" s="1065"/>
      <c r="U96" s="1065"/>
      <c r="W96" s="1065"/>
      <c r="X96" s="1072"/>
      <c r="Y96" s="1065"/>
      <c r="AA96" s="1065"/>
    </row>
    <row r="97" spans="1:34" s="560" customFormat="1" ht="13.5" thickBot="1" x14ac:dyDescent="0.25">
      <c r="A97" s="560" t="s">
        <v>326</v>
      </c>
      <c r="F97" s="1070"/>
      <c r="G97" s="1065"/>
      <c r="H97" s="1071"/>
      <c r="J97" s="19" t="s">
        <v>337</v>
      </c>
      <c r="K97" s="19"/>
      <c r="L97" s="19"/>
      <c r="M97" s="19"/>
      <c r="N97" s="19"/>
      <c r="O97" s="30"/>
      <c r="P97" s="29"/>
      <c r="Q97" s="1065"/>
      <c r="R97" s="629"/>
      <c r="S97" s="19" t="s">
        <v>327</v>
      </c>
      <c r="T97" s="19"/>
      <c r="U97" s="19"/>
      <c r="V97" s="19"/>
      <c r="W97" s="19"/>
      <c r="X97" s="30"/>
      <c r="Y97" s="29"/>
      <c r="Z97" s="31"/>
      <c r="AA97" s="19"/>
      <c r="AB97" s="19" t="s">
        <v>328</v>
      </c>
      <c r="AC97" s="19"/>
      <c r="AD97" s="19"/>
      <c r="AE97" s="19"/>
      <c r="AF97" s="19"/>
      <c r="AG97" s="30"/>
      <c r="AH97" s="29"/>
    </row>
    <row r="98" spans="1:34" s="19" customFormat="1" ht="12.75" x14ac:dyDescent="0.2">
      <c r="A98" s="983" t="s">
        <v>297</v>
      </c>
      <c r="B98" s="984"/>
      <c r="C98" s="975"/>
      <c r="D98" s="979"/>
      <c r="E98" s="959"/>
      <c r="F98" s="960"/>
      <c r="G98" s="1062"/>
      <c r="H98" s="1018"/>
      <c r="I98" s="915"/>
      <c r="J98" s="983" t="s">
        <v>297</v>
      </c>
      <c r="K98" s="984"/>
      <c r="L98" s="975"/>
      <c r="M98" s="979"/>
      <c r="N98" s="959"/>
      <c r="O98" s="960"/>
      <c r="P98" s="1062"/>
      <c r="Q98" s="29"/>
      <c r="R98" s="688"/>
      <c r="S98" s="983" t="s">
        <v>297</v>
      </c>
      <c r="T98" s="984"/>
      <c r="U98" s="975"/>
      <c r="V98" s="979"/>
      <c r="W98" s="959"/>
      <c r="X98" s="960"/>
      <c r="Y98" s="1062"/>
      <c r="Z98" s="1018"/>
      <c r="AA98" s="915"/>
      <c r="AB98" s="983" t="s">
        <v>297</v>
      </c>
      <c r="AC98" s="984"/>
      <c r="AD98" s="975"/>
      <c r="AE98" s="979"/>
      <c r="AF98" s="959"/>
      <c r="AG98" s="960"/>
      <c r="AH98" s="1062"/>
    </row>
    <row r="99" spans="1:34" s="19" customFormat="1" ht="12.75" x14ac:dyDescent="0.2">
      <c r="A99" s="985" t="s">
        <v>162</v>
      </c>
      <c r="B99" s="664"/>
      <c r="C99" s="976"/>
      <c r="D99" s="990">
        <v>6697.92</v>
      </c>
      <c r="E99" s="667">
        <v>290.66000000000003</v>
      </c>
      <c r="F99" s="991">
        <v>169.02</v>
      </c>
      <c r="G99" s="1063"/>
      <c r="H99" s="916"/>
      <c r="I99" s="917"/>
      <c r="J99" s="985" t="s">
        <v>162</v>
      </c>
      <c r="K99" s="664"/>
      <c r="L99" s="976"/>
      <c r="M99" s="990">
        <v>6697.92</v>
      </c>
      <c r="N99" s="667">
        <v>290.66000000000003</v>
      </c>
      <c r="O99" s="991">
        <v>169.02</v>
      </c>
      <c r="P99" s="1063"/>
      <c r="Q99" s="29"/>
      <c r="R99" s="688"/>
      <c r="S99" s="985" t="s">
        <v>162</v>
      </c>
      <c r="T99" s="664"/>
      <c r="U99" s="976"/>
      <c r="V99" s="990">
        <v>6697.92</v>
      </c>
      <c r="W99" s="667">
        <v>290.66000000000003</v>
      </c>
      <c r="X99" s="991">
        <v>169.02</v>
      </c>
      <c r="Y99" s="1063"/>
      <c r="Z99" s="916"/>
      <c r="AA99" s="917"/>
      <c r="AB99" s="985" t="s">
        <v>162</v>
      </c>
      <c r="AC99" s="664"/>
      <c r="AD99" s="976"/>
      <c r="AE99" s="990">
        <v>6697.92</v>
      </c>
      <c r="AF99" s="667">
        <v>290.66000000000003</v>
      </c>
      <c r="AG99" s="991">
        <v>169.02</v>
      </c>
      <c r="AH99" s="1063"/>
    </row>
    <row r="100" spans="1:34" s="19" customFormat="1" ht="12.75" x14ac:dyDescent="0.2">
      <c r="A100" s="986" t="s">
        <v>298</v>
      </c>
      <c r="B100" s="970">
        <v>1</v>
      </c>
      <c r="C100" s="976">
        <v>15.31</v>
      </c>
      <c r="D100" s="980">
        <v>6734.16</v>
      </c>
      <c r="E100" s="963">
        <v>253.97</v>
      </c>
      <c r="F100" s="964">
        <v>169.88</v>
      </c>
      <c r="G100" s="1063"/>
      <c r="H100" s="916"/>
      <c r="I100" s="917"/>
      <c r="J100" s="986" t="s">
        <v>298</v>
      </c>
      <c r="K100" s="970">
        <v>1</v>
      </c>
      <c r="L100" s="976">
        <v>15.31</v>
      </c>
      <c r="M100" s="980">
        <v>6734.16</v>
      </c>
      <c r="N100" s="963">
        <v>253.97</v>
      </c>
      <c r="O100" s="964">
        <v>169.88</v>
      </c>
      <c r="P100" s="1063"/>
      <c r="Q100" s="916"/>
      <c r="R100" s="917"/>
      <c r="S100" s="986" t="s">
        <v>298</v>
      </c>
      <c r="T100" s="970">
        <v>1</v>
      </c>
      <c r="U100" s="976">
        <v>15.31</v>
      </c>
      <c r="V100" s="980">
        <v>6734.16</v>
      </c>
      <c r="W100" s="963">
        <v>253.97</v>
      </c>
      <c r="X100" s="964">
        <v>169.88</v>
      </c>
      <c r="Y100" s="1063"/>
      <c r="Z100" s="916"/>
      <c r="AA100" s="917"/>
      <c r="AB100" s="986" t="s">
        <v>298</v>
      </c>
      <c r="AC100" s="970">
        <v>1</v>
      </c>
      <c r="AD100" s="976">
        <v>15.31</v>
      </c>
      <c r="AE100" s="980">
        <v>6734.16</v>
      </c>
      <c r="AF100" s="963">
        <v>253.97</v>
      </c>
      <c r="AG100" s="964">
        <v>169.88</v>
      </c>
      <c r="AH100" s="1063"/>
    </row>
    <row r="101" spans="1:34" s="19" customFormat="1" ht="12.75" x14ac:dyDescent="0.2">
      <c r="A101" s="986" t="s">
        <v>300</v>
      </c>
      <c r="B101" s="970">
        <v>1</v>
      </c>
      <c r="C101" s="976">
        <v>21.59</v>
      </c>
      <c r="D101" s="980">
        <v>6719.4</v>
      </c>
      <c r="E101" s="963">
        <v>242</v>
      </c>
      <c r="F101" s="964">
        <v>170.08</v>
      </c>
      <c r="G101" s="1063" t="s">
        <v>329</v>
      </c>
      <c r="H101" s="916"/>
      <c r="I101" s="917"/>
      <c r="J101" s="986" t="s">
        <v>300</v>
      </c>
      <c r="K101" s="970">
        <v>1</v>
      </c>
      <c r="L101" s="976">
        <v>21.59</v>
      </c>
      <c r="M101" s="980">
        <v>6719.4</v>
      </c>
      <c r="N101" s="963">
        <v>242</v>
      </c>
      <c r="O101" s="964">
        <v>170.08</v>
      </c>
      <c r="P101" s="1063" t="s">
        <v>329</v>
      </c>
      <c r="Q101" s="916"/>
      <c r="R101" s="917"/>
      <c r="S101" s="986" t="s">
        <v>300</v>
      </c>
      <c r="T101" s="970">
        <v>1</v>
      </c>
      <c r="U101" s="976">
        <v>21.59</v>
      </c>
      <c r="V101" s="980">
        <v>6719.4</v>
      </c>
      <c r="W101" s="963">
        <v>242</v>
      </c>
      <c r="X101" s="964">
        <v>170.08</v>
      </c>
      <c r="Y101" s="1063" t="s">
        <v>329</v>
      </c>
      <c r="Z101" s="916"/>
      <c r="AA101" s="917"/>
      <c r="AB101" s="986" t="s">
        <v>300</v>
      </c>
      <c r="AC101" s="970">
        <v>1</v>
      </c>
      <c r="AD101" s="976">
        <v>21.59</v>
      </c>
      <c r="AE101" s="980">
        <v>6719.4</v>
      </c>
      <c r="AF101" s="963">
        <v>242</v>
      </c>
      <c r="AG101" s="964">
        <v>170.08</v>
      </c>
      <c r="AH101" s="1063" t="s">
        <v>329</v>
      </c>
    </row>
    <row r="102" spans="1:34" s="19" customFormat="1" ht="12.75" x14ac:dyDescent="0.2">
      <c r="A102" s="986" t="s">
        <v>299</v>
      </c>
      <c r="B102" s="970">
        <v>1</v>
      </c>
      <c r="C102" s="976">
        <v>13.62</v>
      </c>
      <c r="D102" s="980">
        <v>6701.26</v>
      </c>
      <c r="E102" s="963">
        <v>270.51</v>
      </c>
      <c r="F102" s="964">
        <v>169.6</v>
      </c>
      <c r="G102" s="1063"/>
      <c r="H102" s="916"/>
      <c r="I102" s="917"/>
      <c r="J102" s="986" t="s">
        <v>299</v>
      </c>
      <c r="K102" s="970">
        <v>1</v>
      </c>
      <c r="L102" s="976">
        <v>13.62</v>
      </c>
      <c r="M102" s="980">
        <v>6701.26</v>
      </c>
      <c r="N102" s="963">
        <v>270.51</v>
      </c>
      <c r="O102" s="964">
        <v>169.6</v>
      </c>
      <c r="P102" s="1063"/>
      <c r="Q102" s="916"/>
      <c r="R102" s="917"/>
      <c r="S102" s="986" t="s">
        <v>299</v>
      </c>
      <c r="T102" s="970">
        <v>1</v>
      </c>
      <c r="U102" s="976">
        <v>13.62</v>
      </c>
      <c r="V102" s="980">
        <v>6701.26</v>
      </c>
      <c r="W102" s="963">
        <v>270.51</v>
      </c>
      <c r="X102" s="964">
        <v>169.6</v>
      </c>
      <c r="Y102" s="1063" t="s">
        <v>135</v>
      </c>
      <c r="Z102" s="916"/>
      <c r="AA102" s="917"/>
      <c r="AB102" s="986" t="s">
        <v>299</v>
      </c>
      <c r="AC102" s="970">
        <v>1</v>
      </c>
      <c r="AD102" s="976">
        <v>13.62</v>
      </c>
      <c r="AE102" s="980">
        <v>6701.26</v>
      </c>
      <c r="AF102" s="963">
        <v>270.51</v>
      </c>
      <c r="AG102" s="964">
        <v>169.6</v>
      </c>
      <c r="AH102" s="1063"/>
    </row>
    <row r="103" spans="1:34" s="19" customFormat="1" ht="12.75" x14ac:dyDescent="0.2">
      <c r="A103" s="986" t="s">
        <v>305</v>
      </c>
      <c r="B103" s="970">
        <v>2</v>
      </c>
      <c r="C103" s="976">
        <v>21.1</v>
      </c>
      <c r="D103" s="980">
        <v>6697.21</v>
      </c>
      <c r="E103" s="963">
        <v>252.19</v>
      </c>
      <c r="F103" s="964">
        <v>169.79</v>
      </c>
      <c r="G103" s="1063"/>
      <c r="H103" s="916"/>
      <c r="I103" s="917"/>
      <c r="J103" s="986" t="s">
        <v>305</v>
      </c>
      <c r="K103" s="970">
        <v>2</v>
      </c>
      <c r="L103" s="976">
        <v>21.1</v>
      </c>
      <c r="M103" s="980">
        <v>6697.21</v>
      </c>
      <c r="N103" s="963">
        <v>252.19</v>
      </c>
      <c r="O103" s="964">
        <v>169.79</v>
      </c>
      <c r="P103" s="1063"/>
      <c r="Q103" s="916"/>
      <c r="R103" s="917"/>
      <c r="S103" s="986" t="s">
        <v>301</v>
      </c>
      <c r="T103" s="970">
        <v>1</v>
      </c>
      <c r="U103" s="976">
        <v>20.11</v>
      </c>
      <c r="V103" s="980">
        <v>6707.61</v>
      </c>
      <c r="W103" s="963">
        <v>248.12</v>
      </c>
      <c r="X103" s="964">
        <v>169.96</v>
      </c>
      <c r="Y103" s="1063"/>
      <c r="Z103" s="916"/>
      <c r="AA103" s="917"/>
      <c r="AB103" s="986" t="s">
        <v>305</v>
      </c>
      <c r="AC103" s="970">
        <v>2</v>
      </c>
      <c r="AD103" s="976">
        <v>21.1</v>
      </c>
      <c r="AE103" s="980">
        <v>6697.21</v>
      </c>
      <c r="AF103" s="963">
        <v>252.19</v>
      </c>
      <c r="AG103" s="964">
        <v>169.79</v>
      </c>
      <c r="AH103" s="1063" t="s">
        <v>329</v>
      </c>
    </row>
    <row r="104" spans="1:34" s="19" customFormat="1" ht="12.75" x14ac:dyDescent="0.2">
      <c r="A104" s="986" t="s">
        <v>156</v>
      </c>
      <c r="B104" s="970">
        <v>1</v>
      </c>
      <c r="C104" s="976">
        <v>20.04</v>
      </c>
      <c r="D104" s="980">
        <v>6689.14</v>
      </c>
      <c r="E104" s="963">
        <v>253.51</v>
      </c>
      <c r="F104" s="964">
        <v>169.84</v>
      </c>
      <c r="G104" s="1063"/>
      <c r="H104" s="916"/>
      <c r="I104" s="917"/>
      <c r="J104" s="986" t="s">
        <v>303</v>
      </c>
      <c r="K104" s="970">
        <v>1</v>
      </c>
      <c r="L104" s="976">
        <v>10</v>
      </c>
      <c r="M104" s="980">
        <v>6692.01</v>
      </c>
      <c r="N104" s="963">
        <v>275.45</v>
      </c>
      <c r="O104" s="964">
        <v>169.53</v>
      </c>
      <c r="P104" s="1063"/>
      <c r="Q104" s="916"/>
      <c r="R104" s="917"/>
      <c r="S104" s="986" t="s">
        <v>303</v>
      </c>
      <c r="T104" s="970">
        <v>1</v>
      </c>
      <c r="U104" s="976">
        <v>10</v>
      </c>
      <c r="V104" s="980">
        <v>6692.01</v>
      </c>
      <c r="W104" s="963">
        <v>275.45</v>
      </c>
      <c r="X104" s="964">
        <v>169.53</v>
      </c>
      <c r="Y104" s="1063"/>
      <c r="Z104" s="916"/>
      <c r="AA104" s="917"/>
      <c r="AB104" s="986" t="s">
        <v>303</v>
      </c>
      <c r="AC104" s="970">
        <v>1</v>
      </c>
      <c r="AD104" s="976">
        <v>10</v>
      </c>
      <c r="AE104" s="980">
        <v>6692.01</v>
      </c>
      <c r="AF104" s="963">
        <v>275.45</v>
      </c>
      <c r="AG104" s="964">
        <v>169.53</v>
      </c>
      <c r="AH104" s="1063"/>
    </row>
    <row r="105" spans="1:34" s="19" customFormat="1" ht="12.75" x14ac:dyDescent="0.2">
      <c r="A105" s="986" t="s">
        <v>303</v>
      </c>
      <c r="B105" s="970">
        <v>1</v>
      </c>
      <c r="C105" s="976">
        <v>10</v>
      </c>
      <c r="D105" s="980">
        <v>6692.01</v>
      </c>
      <c r="E105" s="963">
        <v>275.45</v>
      </c>
      <c r="F105" s="964">
        <v>169.53</v>
      </c>
      <c r="G105" s="1063"/>
      <c r="H105" s="916"/>
      <c r="I105" s="917"/>
      <c r="J105" s="986" t="s">
        <v>304</v>
      </c>
      <c r="K105" s="970">
        <v>1</v>
      </c>
      <c r="L105" s="976">
        <v>10</v>
      </c>
      <c r="M105" s="980">
        <v>6688.65</v>
      </c>
      <c r="N105" s="963">
        <v>276.20999999999998</v>
      </c>
      <c r="O105" s="964">
        <v>169.42</v>
      </c>
      <c r="P105" s="1063"/>
      <c r="Q105" s="916"/>
      <c r="R105" s="917"/>
      <c r="S105" s="986" t="s">
        <v>304</v>
      </c>
      <c r="T105" s="970">
        <v>1</v>
      </c>
      <c r="U105" s="976">
        <v>10</v>
      </c>
      <c r="V105" s="980">
        <v>6688.65</v>
      </c>
      <c r="W105" s="963">
        <v>276.20999999999998</v>
      </c>
      <c r="X105" s="964">
        <v>169.42</v>
      </c>
      <c r="Y105" s="1063"/>
      <c r="Z105" s="916"/>
      <c r="AA105" s="917"/>
      <c r="AB105" s="986" t="s">
        <v>304</v>
      </c>
      <c r="AC105" s="970">
        <v>1</v>
      </c>
      <c r="AD105" s="976">
        <v>10</v>
      </c>
      <c r="AE105" s="980">
        <v>6688.65</v>
      </c>
      <c r="AF105" s="963">
        <v>276.20999999999998</v>
      </c>
      <c r="AG105" s="964">
        <v>169.42</v>
      </c>
      <c r="AH105" s="1063" t="s">
        <v>135</v>
      </c>
    </row>
    <row r="106" spans="1:34" s="19" customFormat="1" ht="12.75" x14ac:dyDescent="0.2">
      <c r="A106" s="986" t="s">
        <v>304</v>
      </c>
      <c r="B106" s="970">
        <v>1</v>
      </c>
      <c r="C106" s="976">
        <v>10</v>
      </c>
      <c r="D106" s="980">
        <v>6688.65</v>
      </c>
      <c r="E106" s="963">
        <v>276.20999999999998</v>
      </c>
      <c r="F106" s="964">
        <v>169.42</v>
      </c>
      <c r="G106" s="1063" t="s">
        <v>135</v>
      </c>
      <c r="H106" s="916"/>
      <c r="I106" s="917"/>
      <c r="J106" s="986" t="s">
        <v>158</v>
      </c>
      <c r="K106" s="970">
        <v>1</v>
      </c>
      <c r="L106" s="976">
        <v>22.23</v>
      </c>
      <c r="M106" s="980">
        <v>6670.01</v>
      </c>
      <c r="N106" s="963">
        <v>258.38</v>
      </c>
      <c r="O106" s="964">
        <v>169.98</v>
      </c>
      <c r="P106" s="1063"/>
      <c r="Q106" s="916"/>
      <c r="R106" s="917"/>
      <c r="S106" s="986" t="s">
        <v>158</v>
      </c>
      <c r="T106" s="970">
        <v>1</v>
      </c>
      <c r="U106" s="976">
        <v>22.23</v>
      </c>
      <c r="V106" s="980">
        <v>6670.01</v>
      </c>
      <c r="W106" s="963">
        <v>258.38</v>
      </c>
      <c r="X106" s="964">
        <v>169.98</v>
      </c>
      <c r="Y106" s="1063"/>
      <c r="Z106" s="916"/>
      <c r="AA106" s="917"/>
      <c r="AB106" s="986" t="s">
        <v>157</v>
      </c>
      <c r="AC106" s="970">
        <v>2</v>
      </c>
      <c r="AD106" s="976">
        <v>27.38</v>
      </c>
      <c r="AE106" s="980">
        <v>6666.91</v>
      </c>
      <c r="AF106" s="963">
        <v>185.21</v>
      </c>
      <c r="AG106" s="964">
        <v>174.75</v>
      </c>
      <c r="AH106" s="1063"/>
    </row>
    <row r="107" spans="1:34" s="19" customFormat="1" ht="12.75" x14ac:dyDescent="0.2">
      <c r="A107" s="986" t="s">
        <v>158</v>
      </c>
      <c r="B107" s="970">
        <v>1</v>
      </c>
      <c r="C107" s="976">
        <v>22.23</v>
      </c>
      <c r="D107" s="980">
        <v>6670.01</v>
      </c>
      <c r="E107" s="963">
        <v>258.38</v>
      </c>
      <c r="F107" s="964">
        <v>169.98</v>
      </c>
      <c r="G107" s="1063"/>
      <c r="H107" s="916"/>
      <c r="I107" s="917"/>
      <c r="J107" s="986" t="s">
        <v>159</v>
      </c>
      <c r="K107" s="970">
        <v>1</v>
      </c>
      <c r="L107" s="976">
        <v>19.16</v>
      </c>
      <c r="M107" s="980">
        <v>6664.38</v>
      </c>
      <c r="N107" s="963">
        <v>266.32</v>
      </c>
      <c r="O107" s="964">
        <v>169.64</v>
      </c>
      <c r="P107" s="1063"/>
      <c r="Q107" s="916"/>
      <c r="R107" s="917"/>
      <c r="S107" s="986" t="s">
        <v>159</v>
      </c>
      <c r="T107" s="970">
        <v>1</v>
      </c>
      <c r="U107" s="976">
        <v>19.16</v>
      </c>
      <c r="V107" s="980">
        <v>6664.38</v>
      </c>
      <c r="W107" s="963">
        <v>266.32</v>
      </c>
      <c r="X107" s="964">
        <v>169.64</v>
      </c>
      <c r="Y107" s="1063"/>
      <c r="Z107" s="916"/>
      <c r="AA107" s="917"/>
      <c r="AB107" s="986" t="s">
        <v>158</v>
      </c>
      <c r="AC107" s="970">
        <v>1</v>
      </c>
      <c r="AD107" s="976">
        <v>22.23</v>
      </c>
      <c r="AE107" s="980">
        <v>6670.01</v>
      </c>
      <c r="AF107" s="963">
        <v>258.38</v>
      </c>
      <c r="AG107" s="964">
        <v>169.98</v>
      </c>
      <c r="AH107" s="1063"/>
    </row>
    <row r="108" spans="1:34" s="19" customFormat="1" ht="12.75" x14ac:dyDescent="0.2">
      <c r="A108" s="986" t="s">
        <v>159</v>
      </c>
      <c r="B108" s="970">
        <v>1</v>
      </c>
      <c r="C108" s="976">
        <v>19.16</v>
      </c>
      <c r="D108" s="980">
        <v>6664.38</v>
      </c>
      <c r="E108" s="963">
        <v>266.32</v>
      </c>
      <c r="F108" s="964">
        <v>169.64</v>
      </c>
      <c r="G108" s="1063"/>
      <c r="H108" s="916"/>
      <c r="I108" s="917"/>
      <c r="J108" s="986" t="s">
        <v>283</v>
      </c>
      <c r="K108" s="970">
        <v>2</v>
      </c>
      <c r="L108" s="976">
        <v>57.22</v>
      </c>
      <c r="M108" s="980">
        <v>6658.82</v>
      </c>
      <c r="N108" s="963">
        <v>280.85000000000002</v>
      </c>
      <c r="O108" s="964">
        <v>169.05</v>
      </c>
      <c r="P108" s="1063"/>
      <c r="Q108" s="916"/>
      <c r="R108" s="917"/>
      <c r="S108" s="986" t="s">
        <v>283</v>
      </c>
      <c r="T108" s="970">
        <v>2</v>
      </c>
      <c r="U108" s="976">
        <v>57.22</v>
      </c>
      <c r="V108" s="980">
        <v>6658.82</v>
      </c>
      <c r="W108" s="963">
        <v>280.85000000000002</v>
      </c>
      <c r="X108" s="964">
        <v>169.05</v>
      </c>
      <c r="Y108" s="1063"/>
      <c r="Z108" s="916"/>
      <c r="AA108" s="917"/>
      <c r="AB108" s="986" t="s">
        <v>159</v>
      </c>
      <c r="AC108" s="970">
        <v>1</v>
      </c>
      <c r="AD108" s="976">
        <v>19.16</v>
      </c>
      <c r="AE108" s="980">
        <v>6664.38</v>
      </c>
      <c r="AF108" s="963">
        <v>266.32</v>
      </c>
      <c r="AG108" s="964">
        <v>169.64</v>
      </c>
      <c r="AH108" s="1063"/>
    </row>
    <row r="109" spans="1:34" s="19" customFormat="1" ht="12.75" x14ac:dyDescent="0.2">
      <c r="A109" s="986" t="s">
        <v>283</v>
      </c>
      <c r="B109" s="970">
        <v>2</v>
      </c>
      <c r="C109" s="976">
        <v>57.22</v>
      </c>
      <c r="D109" s="980">
        <v>6658.82</v>
      </c>
      <c r="E109" s="963">
        <v>280.85000000000002</v>
      </c>
      <c r="F109" s="964">
        <v>169.05</v>
      </c>
      <c r="G109" s="1063"/>
      <c r="H109" s="916"/>
      <c r="I109" s="917"/>
      <c r="J109" s="986" t="s">
        <v>160</v>
      </c>
      <c r="K109" s="970">
        <v>2</v>
      </c>
      <c r="L109" s="976">
        <v>40.36</v>
      </c>
      <c r="M109" s="980">
        <v>6652.67</v>
      </c>
      <c r="N109" s="963">
        <v>295.72000000000003</v>
      </c>
      <c r="O109" s="964">
        <v>169.05</v>
      </c>
      <c r="P109" s="1063"/>
      <c r="Q109" s="916"/>
      <c r="R109" s="917"/>
      <c r="S109" s="986" t="s">
        <v>160</v>
      </c>
      <c r="T109" s="970">
        <v>2</v>
      </c>
      <c r="U109" s="976">
        <v>40.36</v>
      </c>
      <c r="V109" s="980">
        <v>6652.67</v>
      </c>
      <c r="W109" s="963">
        <v>295.72000000000003</v>
      </c>
      <c r="X109" s="964">
        <v>169.05</v>
      </c>
      <c r="Y109" s="1063"/>
      <c r="Z109" s="916"/>
      <c r="AA109" s="917"/>
      <c r="AB109" s="986" t="s">
        <v>283</v>
      </c>
      <c r="AC109" s="970">
        <v>2</v>
      </c>
      <c r="AD109" s="976">
        <v>57.22</v>
      </c>
      <c r="AE109" s="980">
        <v>6658.82</v>
      </c>
      <c r="AF109" s="963">
        <v>280.85000000000002</v>
      </c>
      <c r="AG109" s="964">
        <v>169.05</v>
      </c>
      <c r="AH109" s="1063"/>
    </row>
    <row r="110" spans="1:34" s="19" customFormat="1" ht="12.75" x14ac:dyDescent="0.2">
      <c r="A110" s="986" t="s">
        <v>160</v>
      </c>
      <c r="B110" s="970">
        <v>2</v>
      </c>
      <c r="C110" s="976">
        <v>40.36</v>
      </c>
      <c r="D110" s="980">
        <v>6652.67</v>
      </c>
      <c r="E110" s="963">
        <v>295.72000000000003</v>
      </c>
      <c r="F110" s="964">
        <v>169.05</v>
      </c>
      <c r="G110" s="1063" t="s">
        <v>135</v>
      </c>
      <c r="H110" s="916"/>
      <c r="I110" s="917"/>
      <c r="J110" s="986" t="s">
        <v>296</v>
      </c>
      <c r="K110" s="970">
        <v>2</v>
      </c>
      <c r="L110" s="976">
        <v>11.96</v>
      </c>
      <c r="M110" s="980">
        <v>6544.42</v>
      </c>
      <c r="N110" s="963">
        <v>342.53</v>
      </c>
      <c r="O110" s="964">
        <v>166.18</v>
      </c>
      <c r="P110" s="1063"/>
      <c r="Q110" s="916"/>
      <c r="R110" s="917"/>
      <c r="S110" s="986" t="s">
        <v>296</v>
      </c>
      <c r="T110" s="970">
        <v>2</v>
      </c>
      <c r="U110" s="976">
        <v>11.96</v>
      </c>
      <c r="V110" s="980">
        <v>6544.42</v>
      </c>
      <c r="W110" s="963">
        <v>342.53</v>
      </c>
      <c r="X110" s="964">
        <v>166.18</v>
      </c>
      <c r="Y110" s="1063"/>
      <c r="Z110" s="916"/>
      <c r="AA110" s="917"/>
      <c r="AB110" s="986" t="s">
        <v>160</v>
      </c>
      <c r="AC110" s="970">
        <v>2</v>
      </c>
      <c r="AD110" s="976">
        <v>40.36</v>
      </c>
      <c r="AE110" s="980">
        <v>6652.67</v>
      </c>
      <c r="AF110" s="963">
        <v>295.72000000000003</v>
      </c>
      <c r="AG110" s="964">
        <v>169.05</v>
      </c>
      <c r="AH110" s="1063"/>
    </row>
    <row r="111" spans="1:34" s="19" customFormat="1" ht="12.75" x14ac:dyDescent="0.2">
      <c r="A111" s="986" t="s">
        <v>296</v>
      </c>
      <c r="B111" s="970">
        <v>2</v>
      </c>
      <c r="C111" s="976">
        <v>11.96</v>
      </c>
      <c r="D111" s="980">
        <v>6544.42</v>
      </c>
      <c r="E111" s="963">
        <v>342.53</v>
      </c>
      <c r="F111" s="964">
        <v>166.18</v>
      </c>
      <c r="G111" s="1063"/>
      <c r="H111" s="916"/>
      <c r="I111" s="917"/>
      <c r="J111" s="986" t="s">
        <v>285</v>
      </c>
      <c r="K111" s="970">
        <v>2</v>
      </c>
      <c r="L111" s="976">
        <v>23</v>
      </c>
      <c r="M111" s="980">
        <v>6585.69</v>
      </c>
      <c r="N111" s="963">
        <v>370.22</v>
      </c>
      <c r="O111" s="964">
        <v>166.26</v>
      </c>
      <c r="P111" s="1063"/>
      <c r="Q111" s="916"/>
      <c r="R111" s="917"/>
      <c r="S111" s="986" t="s">
        <v>285</v>
      </c>
      <c r="T111" s="970">
        <v>2</v>
      </c>
      <c r="U111" s="976">
        <v>23</v>
      </c>
      <c r="V111" s="980">
        <v>6585.69</v>
      </c>
      <c r="W111" s="963">
        <v>370.22</v>
      </c>
      <c r="X111" s="964">
        <v>166.26</v>
      </c>
      <c r="Y111" s="1063"/>
      <c r="Z111" s="916"/>
      <c r="AA111" s="917"/>
      <c r="AB111" s="986" t="s">
        <v>296</v>
      </c>
      <c r="AC111" s="970">
        <v>2</v>
      </c>
      <c r="AD111" s="976">
        <v>11.96</v>
      </c>
      <c r="AE111" s="980">
        <v>6544.42</v>
      </c>
      <c r="AF111" s="963">
        <v>342.53</v>
      </c>
      <c r="AG111" s="964">
        <v>166.18</v>
      </c>
      <c r="AH111" s="1063"/>
    </row>
    <row r="112" spans="1:34" s="19" customFormat="1" ht="12.75" x14ac:dyDescent="0.2">
      <c r="A112" s="986" t="s">
        <v>285</v>
      </c>
      <c r="B112" s="970">
        <v>2</v>
      </c>
      <c r="C112" s="976">
        <v>23</v>
      </c>
      <c r="D112" s="980">
        <v>6585.69</v>
      </c>
      <c r="E112" s="963">
        <v>370.22</v>
      </c>
      <c r="F112" s="964">
        <v>166.26</v>
      </c>
      <c r="G112" s="1063"/>
      <c r="H112" s="916"/>
      <c r="I112" s="917"/>
      <c r="J112" s="986" t="s">
        <v>284</v>
      </c>
      <c r="K112" s="970">
        <v>2</v>
      </c>
      <c r="L112" s="976">
        <v>10.51</v>
      </c>
      <c r="M112" s="980">
        <v>6607.16</v>
      </c>
      <c r="N112" s="963">
        <v>394.96</v>
      </c>
      <c r="O112" s="964">
        <v>166.38</v>
      </c>
      <c r="P112" s="1063"/>
      <c r="Q112" s="916"/>
      <c r="R112" s="917"/>
      <c r="S112" s="986" t="s">
        <v>284</v>
      </c>
      <c r="T112" s="970">
        <v>2</v>
      </c>
      <c r="U112" s="976">
        <v>10.51</v>
      </c>
      <c r="V112" s="980">
        <v>6607.16</v>
      </c>
      <c r="W112" s="963">
        <v>394.96</v>
      </c>
      <c r="X112" s="964">
        <v>166.38</v>
      </c>
      <c r="Y112" s="1063"/>
      <c r="Z112" s="916"/>
      <c r="AA112" s="917"/>
      <c r="AB112" s="986" t="s">
        <v>285</v>
      </c>
      <c r="AC112" s="970">
        <v>2</v>
      </c>
      <c r="AD112" s="976">
        <v>23</v>
      </c>
      <c r="AE112" s="980">
        <v>6585.69</v>
      </c>
      <c r="AF112" s="963">
        <v>370.22</v>
      </c>
      <c r="AG112" s="964">
        <v>166.26</v>
      </c>
      <c r="AH112" s="1063"/>
    </row>
    <row r="113" spans="1:34" s="19" customFormat="1" ht="12.75" x14ac:dyDescent="0.2">
      <c r="A113" s="986" t="s">
        <v>284</v>
      </c>
      <c r="B113" s="970">
        <v>2</v>
      </c>
      <c r="C113" s="976">
        <v>10.51</v>
      </c>
      <c r="D113" s="980">
        <v>6607.16</v>
      </c>
      <c r="E113" s="963">
        <v>394.96</v>
      </c>
      <c r="F113" s="964">
        <v>166.38</v>
      </c>
      <c r="G113" s="1063"/>
      <c r="H113" s="916"/>
      <c r="I113" s="917"/>
      <c r="J113" s="986" t="s">
        <v>297</v>
      </c>
      <c r="K113" s="970"/>
      <c r="L113" s="976"/>
      <c r="M113" s="980"/>
      <c r="N113" s="963"/>
      <c r="O113" s="964"/>
      <c r="P113" s="1063"/>
      <c r="Q113" s="916"/>
      <c r="R113" s="917"/>
      <c r="S113" s="986" t="s">
        <v>297</v>
      </c>
      <c r="T113" s="970"/>
      <c r="U113" s="976"/>
      <c r="V113" s="980"/>
      <c r="W113" s="963"/>
      <c r="X113" s="964"/>
      <c r="Y113" s="1063"/>
      <c r="Z113" s="916"/>
      <c r="AA113" s="917"/>
      <c r="AB113" s="986" t="s">
        <v>284</v>
      </c>
      <c r="AC113" s="970">
        <v>2</v>
      </c>
      <c r="AD113" s="976">
        <v>10.51</v>
      </c>
      <c r="AE113" s="980">
        <v>6607.16</v>
      </c>
      <c r="AF113" s="963">
        <v>394.96</v>
      </c>
      <c r="AG113" s="964">
        <v>166.38</v>
      </c>
      <c r="AH113" s="1063"/>
    </row>
    <row r="114" spans="1:34" s="19" customFormat="1" ht="12.75" x14ac:dyDescent="0.2">
      <c r="A114" s="985" t="s">
        <v>297</v>
      </c>
      <c r="B114" s="664"/>
      <c r="C114" s="976"/>
      <c r="D114" s="980"/>
      <c r="E114" s="963"/>
      <c r="F114" s="964"/>
      <c r="G114" s="1063"/>
      <c r="H114" s="916"/>
      <c r="I114" s="917"/>
      <c r="J114" s="985"/>
      <c r="K114" s="664"/>
      <c r="L114" s="976"/>
      <c r="M114" s="980"/>
      <c r="N114" s="963"/>
      <c r="O114" s="964"/>
      <c r="P114" s="1063"/>
      <c r="Q114" s="916"/>
      <c r="R114" s="917"/>
      <c r="S114" s="985"/>
      <c r="T114" s="664"/>
      <c r="U114" s="976"/>
      <c r="V114" s="980"/>
      <c r="W114" s="963"/>
      <c r="X114" s="964"/>
      <c r="Y114" s="1063"/>
      <c r="Z114" s="916"/>
      <c r="AA114" s="917"/>
      <c r="AB114" s="985" t="s">
        <v>297</v>
      </c>
      <c r="AC114" s="664"/>
      <c r="AD114" s="976"/>
      <c r="AE114" s="980"/>
      <c r="AF114" s="963"/>
      <c r="AG114" s="964"/>
      <c r="AH114" s="1063"/>
    </row>
    <row r="115" spans="1:34" s="19" customFormat="1" ht="12.75" x14ac:dyDescent="0.2">
      <c r="A115" s="985"/>
      <c r="B115" s="666"/>
      <c r="C115" s="976"/>
      <c r="D115" s="980"/>
      <c r="E115" s="963"/>
      <c r="F115" s="964"/>
      <c r="G115" s="1063"/>
      <c r="H115" s="916"/>
      <c r="I115" s="917"/>
      <c r="J115" s="985"/>
      <c r="K115" s="666"/>
      <c r="L115" s="976"/>
      <c r="M115" s="980"/>
      <c r="N115" s="963"/>
      <c r="O115" s="964"/>
      <c r="P115" s="1063"/>
      <c r="Q115" s="916"/>
      <c r="R115" s="917"/>
      <c r="S115" s="985"/>
      <c r="T115" s="666"/>
      <c r="U115" s="976"/>
      <c r="V115" s="980"/>
      <c r="W115" s="963"/>
      <c r="X115" s="964"/>
      <c r="Y115" s="1063"/>
      <c r="Z115" s="916"/>
      <c r="AA115" s="917"/>
      <c r="AB115" s="985"/>
      <c r="AC115" s="666"/>
      <c r="AD115" s="976"/>
      <c r="AE115" s="980"/>
      <c r="AF115" s="963"/>
      <c r="AG115" s="964"/>
      <c r="AH115" s="1063"/>
    </row>
    <row r="116" spans="1:34" s="19" customFormat="1" ht="12.75" x14ac:dyDescent="0.2">
      <c r="A116" s="985"/>
      <c r="B116" s="666"/>
      <c r="C116" s="976"/>
      <c r="D116" s="980"/>
      <c r="E116" s="963"/>
      <c r="F116" s="964"/>
      <c r="G116" s="1063"/>
      <c r="H116" s="916"/>
      <c r="I116" s="917"/>
      <c r="J116" s="985"/>
      <c r="K116" s="666"/>
      <c r="L116" s="976"/>
      <c r="M116" s="980"/>
      <c r="N116" s="963"/>
      <c r="O116" s="964"/>
      <c r="P116" s="1063"/>
      <c r="Q116" s="916"/>
      <c r="R116" s="917"/>
      <c r="S116" s="985"/>
      <c r="T116" s="666"/>
      <c r="U116" s="976"/>
      <c r="V116" s="980"/>
      <c r="W116" s="963"/>
      <c r="X116" s="964"/>
      <c r="Y116" s="1063"/>
      <c r="Z116" s="916"/>
      <c r="AA116" s="917"/>
      <c r="AB116" s="985"/>
      <c r="AC116" s="666"/>
      <c r="AD116" s="976"/>
      <c r="AE116" s="980"/>
      <c r="AF116" s="963"/>
      <c r="AG116" s="964"/>
      <c r="AH116" s="1063"/>
    </row>
    <row r="117" spans="1:34" s="19" customFormat="1" ht="12.75" x14ac:dyDescent="0.2">
      <c r="A117" s="985"/>
      <c r="B117" s="666"/>
      <c r="C117" s="976"/>
      <c r="D117" s="980"/>
      <c r="E117" s="963"/>
      <c r="F117" s="964"/>
      <c r="G117" s="1063"/>
      <c r="H117" s="916"/>
      <c r="I117" s="917"/>
      <c r="J117" s="985"/>
      <c r="K117" s="666"/>
      <c r="L117" s="976"/>
      <c r="M117" s="980"/>
      <c r="N117" s="963"/>
      <c r="O117" s="964"/>
      <c r="P117" s="1063"/>
      <c r="Q117" s="916"/>
      <c r="R117" s="917"/>
      <c r="S117" s="985"/>
      <c r="T117" s="666"/>
      <c r="U117" s="976"/>
      <c r="V117" s="980"/>
      <c r="W117" s="963"/>
      <c r="X117" s="964"/>
      <c r="Y117" s="1063"/>
      <c r="Z117" s="916"/>
      <c r="AA117" s="917"/>
      <c r="AB117" s="985"/>
      <c r="AC117" s="666"/>
      <c r="AD117" s="976"/>
      <c r="AE117" s="980"/>
      <c r="AF117" s="963"/>
      <c r="AG117" s="964"/>
      <c r="AH117" s="1063"/>
    </row>
    <row r="118" spans="1:34" s="19" customFormat="1" ht="12.75" x14ac:dyDescent="0.2">
      <c r="A118" s="985"/>
      <c r="B118" s="666"/>
      <c r="C118" s="976"/>
      <c r="D118" s="980"/>
      <c r="E118" s="963"/>
      <c r="F118" s="964"/>
      <c r="G118" s="1063"/>
      <c r="H118" s="916"/>
      <c r="I118" s="917"/>
      <c r="J118" s="985"/>
      <c r="K118" s="666"/>
      <c r="L118" s="976"/>
      <c r="M118" s="980"/>
      <c r="N118" s="963"/>
      <c r="O118" s="964"/>
      <c r="P118" s="1063"/>
      <c r="Q118" s="916"/>
      <c r="R118" s="917"/>
      <c r="S118" s="985"/>
      <c r="T118" s="666"/>
      <c r="U118" s="976"/>
      <c r="V118" s="980"/>
      <c r="W118" s="963"/>
      <c r="X118" s="964"/>
      <c r="Y118" s="1063"/>
      <c r="Z118" s="916"/>
      <c r="AA118" s="917"/>
      <c r="AB118" s="985"/>
      <c r="AC118" s="666"/>
      <c r="AD118" s="976"/>
      <c r="AE118" s="980"/>
      <c r="AF118" s="963"/>
      <c r="AG118" s="964"/>
      <c r="AH118" s="1063"/>
    </row>
    <row r="119" spans="1:34" s="19" customFormat="1" ht="12.75" x14ac:dyDescent="0.2">
      <c r="A119" s="985"/>
      <c r="B119" s="666"/>
      <c r="C119" s="976"/>
      <c r="D119" s="980"/>
      <c r="E119" s="963"/>
      <c r="F119" s="964"/>
      <c r="G119" s="1063"/>
      <c r="H119" s="916"/>
      <c r="I119" s="917"/>
      <c r="J119" s="985"/>
      <c r="K119" s="666"/>
      <c r="L119" s="976"/>
      <c r="M119" s="980"/>
      <c r="N119" s="963"/>
      <c r="O119" s="964"/>
      <c r="P119" s="1063"/>
      <c r="Q119" s="916"/>
      <c r="R119" s="917"/>
      <c r="S119" s="985"/>
      <c r="T119" s="666"/>
      <c r="U119" s="976"/>
      <c r="V119" s="980"/>
      <c r="W119" s="963"/>
      <c r="X119" s="964"/>
      <c r="Y119" s="1063"/>
      <c r="Z119" s="916"/>
      <c r="AA119" s="917"/>
      <c r="AB119" s="985"/>
      <c r="AC119" s="666"/>
      <c r="AD119" s="976"/>
      <c r="AE119" s="980"/>
      <c r="AF119" s="963"/>
      <c r="AG119" s="964"/>
      <c r="AH119" s="1063"/>
    </row>
    <row r="120" spans="1:34" s="19" customFormat="1" ht="12.75" x14ac:dyDescent="0.2">
      <c r="A120" s="972"/>
      <c r="B120" s="664"/>
      <c r="C120" s="976"/>
      <c r="D120" s="980"/>
      <c r="E120" s="963"/>
      <c r="F120" s="964"/>
      <c r="G120" s="1063"/>
      <c r="H120" s="916"/>
      <c r="I120" s="917"/>
      <c r="J120" s="972"/>
      <c r="K120" s="664"/>
      <c r="L120" s="976"/>
      <c r="M120" s="980"/>
      <c r="N120" s="963"/>
      <c r="O120" s="964"/>
      <c r="P120" s="1063"/>
      <c r="Q120" s="916"/>
      <c r="R120" s="917"/>
      <c r="S120" s="972"/>
      <c r="T120" s="664"/>
      <c r="U120" s="976"/>
      <c r="V120" s="980"/>
      <c r="W120" s="963"/>
      <c r="X120" s="964"/>
      <c r="Y120" s="1063"/>
      <c r="Z120" s="916"/>
      <c r="AA120" s="917"/>
      <c r="AB120" s="972"/>
      <c r="AC120" s="664"/>
      <c r="AD120" s="976"/>
      <c r="AE120" s="980"/>
      <c r="AF120" s="963"/>
      <c r="AG120" s="964"/>
      <c r="AH120" s="1063"/>
    </row>
    <row r="121" spans="1:34" s="19" customFormat="1" ht="13.5" thickBot="1" x14ac:dyDescent="0.25">
      <c r="A121" s="973"/>
      <c r="B121" s="967"/>
      <c r="C121" s="988"/>
      <c r="D121" s="981"/>
      <c r="E121" s="968"/>
      <c r="F121" s="982"/>
      <c r="G121" s="1064"/>
      <c r="H121" s="944"/>
      <c r="I121" s="945"/>
      <c r="J121" s="973"/>
      <c r="K121" s="967"/>
      <c r="L121" s="988"/>
      <c r="M121" s="981"/>
      <c r="N121" s="968"/>
      <c r="O121" s="982"/>
      <c r="P121" s="1064"/>
      <c r="Q121" s="944"/>
      <c r="R121" s="945"/>
      <c r="S121" s="973"/>
      <c r="T121" s="967"/>
      <c r="U121" s="988"/>
      <c r="V121" s="981"/>
      <c r="W121" s="968"/>
      <c r="X121" s="982"/>
      <c r="Y121" s="1064"/>
      <c r="Z121" s="944"/>
      <c r="AA121" s="945"/>
      <c r="AB121" s="973"/>
      <c r="AC121" s="967"/>
      <c r="AD121" s="988"/>
      <c r="AE121" s="981"/>
      <c r="AF121" s="968"/>
      <c r="AG121" s="982"/>
      <c r="AH121" s="1064"/>
    </row>
    <row r="122" spans="1:34" s="19" customFormat="1" ht="12.75" x14ac:dyDescent="0.2">
      <c r="R122" s="688"/>
      <c r="AH122" s="1124"/>
    </row>
    <row r="123" spans="1:34" s="19" customFormat="1" ht="12.75" x14ac:dyDescent="0.2">
      <c r="R123" s="688"/>
      <c r="S123" s="29"/>
      <c r="U123" s="29"/>
      <c r="W123" s="29"/>
      <c r="X123" s="719"/>
      <c r="Y123" s="29"/>
      <c r="AA123" s="29"/>
      <c r="AH123" s="1124"/>
    </row>
    <row r="124" spans="1:34" s="19" customFormat="1" ht="12.75" x14ac:dyDescent="0.2">
      <c r="R124" s="688"/>
      <c r="S124" s="29"/>
      <c r="U124" s="29"/>
      <c r="W124" s="29"/>
      <c r="X124" s="719"/>
      <c r="Y124" s="29"/>
      <c r="AA124" s="29"/>
      <c r="AH124" s="1124"/>
    </row>
    <row r="125" spans="1:34" s="19" customFormat="1" ht="12.75" x14ac:dyDescent="0.2">
      <c r="R125" s="688"/>
      <c r="S125" s="29"/>
      <c r="U125" s="29"/>
      <c r="W125" s="29"/>
      <c r="X125" s="719"/>
      <c r="Y125" s="29"/>
      <c r="AA125" s="29"/>
      <c r="AH125" s="1124"/>
    </row>
    <row r="126" spans="1:34" s="19" customFormat="1" ht="12.75" x14ac:dyDescent="0.2">
      <c r="R126" s="688"/>
      <c r="S126" s="29"/>
      <c r="U126" s="29"/>
      <c r="W126" s="29"/>
      <c r="X126" s="719"/>
      <c r="Y126" s="29"/>
      <c r="AA126" s="29"/>
      <c r="AH126" s="1124"/>
    </row>
    <row r="127" spans="1:34" s="19" customFormat="1" ht="12.75" x14ac:dyDescent="0.2">
      <c r="R127" s="688"/>
      <c r="S127" s="29"/>
      <c r="U127" s="29"/>
      <c r="W127" s="29"/>
      <c r="X127" s="719"/>
      <c r="Y127" s="29"/>
      <c r="AA127" s="29"/>
      <c r="AH127" s="1124"/>
    </row>
    <row r="128" spans="1:34" s="19" customFormat="1" ht="12.75" x14ac:dyDescent="0.2">
      <c r="R128" s="688"/>
      <c r="S128" s="29"/>
      <c r="U128" s="29"/>
      <c r="W128" s="29"/>
      <c r="X128" s="719"/>
      <c r="Y128" s="29"/>
      <c r="AA128" s="29"/>
      <c r="AH128" s="1124"/>
    </row>
    <row r="129" spans="6:34" s="19" customFormat="1" ht="12.75" x14ac:dyDescent="0.2">
      <c r="R129" s="688"/>
      <c r="S129" s="29"/>
      <c r="U129" s="29"/>
      <c r="W129" s="29"/>
      <c r="X129" s="719"/>
      <c r="Y129" s="29"/>
      <c r="AA129" s="29"/>
      <c r="AH129" s="1124"/>
    </row>
    <row r="130" spans="6:34" s="19" customFormat="1" ht="12.75" x14ac:dyDescent="0.2">
      <c r="R130" s="688"/>
      <c r="S130" s="29"/>
      <c r="U130" s="29"/>
      <c r="W130" s="29"/>
      <c r="X130" s="719"/>
      <c r="Y130" s="29"/>
      <c r="AA130" s="29"/>
      <c r="AH130" s="1124"/>
    </row>
    <row r="131" spans="6:34" s="19" customFormat="1" ht="12.75" x14ac:dyDescent="0.2">
      <c r="R131" s="688"/>
      <c r="S131" s="29"/>
      <c r="U131" s="29"/>
      <c r="W131" s="29"/>
      <c r="X131" s="719"/>
      <c r="Y131" s="29"/>
      <c r="AA131" s="29"/>
      <c r="AH131" s="1124"/>
    </row>
    <row r="132" spans="6:34" s="19" customFormat="1" ht="12.75" x14ac:dyDescent="0.2">
      <c r="R132" s="688"/>
      <c r="S132" s="29"/>
      <c r="U132" s="29"/>
      <c r="W132" s="29"/>
      <c r="X132" s="719"/>
      <c r="Y132" s="29"/>
      <c r="AA132" s="29"/>
      <c r="AH132" s="1124"/>
    </row>
    <row r="133" spans="6:34" s="19" customFormat="1" ht="12.75" x14ac:dyDescent="0.2">
      <c r="R133" s="688"/>
      <c r="S133" s="29"/>
      <c r="U133" s="29"/>
      <c r="W133" s="29"/>
      <c r="X133" s="719"/>
      <c r="Y133" s="29"/>
      <c r="AA133" s="29"/>
      <c r="AH133" s="1124"/>
    </row>
    <row r="134" spans="6:34" s="19" customFormat="1" ht="12.75" x14ac:dyDescent="0.2">
      <c r="R134" s="688"/>
      <c r="S134" s="29"/>
      <c r="U134" s="29"/>
      <c r="W134" s="29"/>
      <c r="X134" s="719"/>
      <c r="Y134" s="29"/>
      <c r="AA134" s="29"/>
      <c r="AH134" s="1124"/>
    </row>
    <row r="135" spans="6:34" s="19" customFormat="1" ht="12.75" x14ac:dyDescent="0.2">
      <c r="R135" s="688"/>
      <c r="S135" s="29"/>
      <c r="U135" s="29"/>
      <c r="W135" s="29"/>
      <c r="X135" s="719"/>
      <c r="Y135" s="29"/>
      <c r="AA135" s="29"/>
      <c r="AH135" s="1124"/>
    </row>
    <row r="136" spans="6:34" s="19" customFormat="1" ht="12.75" x14ac:dyDescent="0.2">
      <c r="R136" s="688"/>
      <c r="S136" s="29"/>
      <c r="U136" s="29"/>
      <c r="W136" s="29"/>
      <c r="X136" s="719"/>
      <c r="Y136" s="29"/>
      <c r="AA136" s="29"/>
      <c r="AH136" s="1124"/>
    </row>
    <row r="137" spans="6:34" s="19" customFormat="1" ht="12.75" x14ac:dyDescent="0.2">
      <c r="R137" s="688"/>
      <c r="S137" s="29"/>
      <c r="U137" s="29"/>
      <c r="W137" s="29"/>
      <c r="X137" s="719"/>
      <c r="Y137" s="29"/>
      <c r="AA137" s="29"/>
      <c r="AH137" s="1124"/>
    </row>
    <row r="138" spans="6:34" s="19" customFormat="1" ht="12.75" x14ac:dyDescent="0.2">
      <c r="R138" s="688"/>
      <c r="S138" s="29"/>
      <c r="U138" s="29"/>
      <c r="W138" s="29"/>
      <c r="X138" s="719"/>
      <c r="Y138" s="29"/>
      <c r="AA138" s="29"/>
      <c r="AH138" s="1124"/>
    </row>
    <row r="139" spans="6:34" s="19" customFormat="1" ht="12.75" x14ac:dyDescent="0.2">
      <c r="R139" s="688"/>
      <c r="S139" s="29"/>
      <c r="U139" s="29"/>
      <c r="W139" s="29"/>
      <c r="X139" s="719"/>
      <c r="Y139" s="29"/>
      <c r="AA139" s="29"/>
      <c r="AH139" s="1124"/>
    </row>
    <row r="140" spans="6:34" s="19" customFormat="1" ht="12.75" x14ac:dyDescent="0.2">
      <c r="R140" s="688"/>
      <c r="S140" s="29"/>
      <c r="U140" s="29"/>
      <c r="W140" s="29"/>
      <c r="X140" s="719"/>
      <c r="Y140" s="29"/>
      <c r="AA140" s="29"/>
      <c r="AH140" s="1124"/>
    </row>
    <row r="141" spans="6:34" s="19" customFormat="1" ht="12.75" x14ac:dyDescent="0.2">
      <c r="R141" s="688"/>
      <c r="S141" s="29"/>
      <c r="U141" s="29"/>
      <c r="W141" s="29"/>
      <c r="X141" s="719"/>
      <c r="Y141" s="29"/>
      <c r="AA141" s="29"/>
      <c r="AH141" s="1124"/>
    </row>
    <row r="142" spans="6:34" s="19" customFormat="1" ht="12.75" x14ac:dyDescent="0.2">
      <c r="R142" s="688"/>
      <c r="S142" s="29"/>
      <c r="U142" s="29"/>
      <c r="W142" s="29"/>
      <c r="X142" s="719"/>
      <c r="Y142" s="29"/>
      <c r="AA142" s="29"/>
      <c r="AH142" s="1124"/>
    </row>
    <row r="143" spans="6:34" s="19" customFormat="1" ht="12.75" x14ac:dyDescent="0.2">
      <c r="R143" s="688"/>
      <c r="S143" s="29"/>
      <c r="U143" s="29"/>
      <c r="W143" s="29"/>
      <c r="X143" s="719"/>
      <c r="Y143" s="29"/>
      <c r="AA143" s="29"/>
      <c r="AH143" s="1124"/>
    </row>
    <row r="144" spans="6:34" s="19" customFormat="1" ht="12.75" x14ac:dyDescent="0.2">
      <c r="F144" s="30"/>
      <c r="G144" s="29"/>
      <c r="H144" s="31"/>
      <c r="K144" s="30"/>
      <c r="M144" s="34"/>
      <c r="N144" s="34"/>
      <c r="Q144" s="29"/>
      <c r="R144" s="688"/>
      <c r="S144" s="29"/>
      <c r="U144" s="29"/>
      <c r="W144" s="29"/>
      <c r="X144" s="719"/>
      <c r="Y144" s="29"/>
      <c r="AA144" s="29"/>
      <c r="AH144" s="1124"/>
    </row>
    <row r="145" spans="17:34" s="19" customFormat="1" ht="12.75" x14ac:dyDescent="0.2">
      <c r="Q145" s="29"/>
      <c r="R145" s="688"/>
      <c r="S145" s="29"/>
      <c r="U145" s="29"/>
      <c r="W145" s="29"/>
      <c r="X145" s="719"/>
      <c r="Y145" s="29"/>
      <c r="AA145" s="29"/>
      <c r="AH145" s="1124"/>
    </row>
    <row r="146" spans="17:34" s="19" customFormat="1" ht="12.75" x14ac:dyDescent="0.2">
      <c r="Q146" s="29"/>
      <c r="R146" s="688"/>
      <c r="S146" s="29"/>
      <c r="U146" s="29"/>
      <c r="W146" s="29"/>
      <c r="X146" s="719"/>
      <c r="Y146" s="29"/>
      <c r="AA146" s="29"/>
      <c r="AH146" s="1124"/>
    </row>
    <row r="147" spans="17:34" s="19" customFormat="1" ht="12.75" x14ac:dyDescent="0.2">
      <c r="Q147" s="29"/>
      <c r="R147" s="688"/>
      <c r="S147" s="29"/>
      <c r="U147" s="29"/>
      <c r="W147" s="29"/>
      <c r="X147" s="719"/>
      <c r="Y147" s="29"/>
      <c r="AA147" s="29"/>
      <c r="AH147" s="1124"/>
    </row>
    <row r="148" spans="17:34" s="19" customFormat="1" ht="12.75" x14ac:dyDescent="0.2">
      <c r="Q148" s="29"/>
      <c r="R148" s="688"/>
      <c r="S148" s="29"/>
      <c r="U148" s="29"/>
      <c r="W148" s="29"/>
      <c r="X148" s="719"/>
      <c r="Y148" s="29"/>
      <c r="AA148" s="29"/>
      <c r="AH148" s="1124"/>
    </row>
    <row r="149" spans="17:34" s="19" customFormat="1" ht="12.75" x14ac:dyDescent="0.2">
      <c r="Q149" s="29"/>
      <c r="R149" s="688"/>
      <c r="S149" s="29"/>
      <c r="U149" s="29"/>
      <c r="W149" s="29"/>
      <c r="X149" s="719"/>
      <c r="Y149" s="29"/>
      <c r="AA149" s="29"/>
      <c r="AH149" s="1124"/>
    </row>
    <row r="150" spans="17:34" s="19" customFormat="1" ht="12.75" x14ac:dyDescent="0.2">
      <c r="Q150" s="29"/>
      <c r="R150" s="688"/>
      <c r="S150" s="29"/>
      <c r="U150" s="29"/>
      <c r="W150" s="29"/>
      <c r="X150" s="719"/>
      <c r="Y150" s="29"/>
      <c r="AA150" s="29"/>
      <c r="AH150" s="1124"/>
    </row>
    <row r="151" spans="17:34" s="19" customFormat="1" ht="12.75" x14ac:dyDescent="0.2">
      <c r="Q151" s="29"/>
      <c r="R151" s="688"/>
      <c r="S151" s="29"/>
      <c r="U151" s="29"/>
      <c r="W151" s="29"/>
      <c r="X151" s="719"/>
      <c r="Y151" s="29"/>
      <c r="AA151" s="29"/>
      <c r="AH151" s="1124"/>
    </row>
    <row r="152" spans="17:34" s="19" customFormat="1" ht="12.75" x14ac:dyDescent="0.2">
      <c r="Q152" s="29"/>
      <c r="R152" s="688"/>
      <c r="S152" s="29"/>
      <c r="U152" s="29"/>
      <c r="W152" s="29"/>
      <c r="X152" s="719"/>
      <c r="Y152" s="29"/>
      <c r="AA152" s="29"/>
      <c r="AH152" s="1124"/>
    </row>
    <row r="153" spans="17:34" s="19" customFormat="1" ht="12.75" x14ac:dyDescent="0.2">
      <c r="Q153" s="29"/>
      <c r="R153" s="688"/>
      <c r="S153" s="29"/>
      <c r="U153" s="29"/>
      <c r="W153" s="29"/>
      <c r="X153" s="719"/>
      <c r="Y153" s="29"/>
      <c r="AA153" s="29"/>
      <c r="AH153" s="1124"/>
    </row>
    <row r="154" spans="17:34" s="19" customFormat="1" ht="12.75" x14ac:dyDescent="0.2">
      <c r="Q154" s="29"/>
      <c r="R154" s="688"/>
      <c r="S154" s="29"/>
      <c r="U154" s="29"/>
      <c r="W154" s="29"/>
      <c r="X154" s="719"/>
      <c r="Y154" s="29"/>
      <c r="AA154" s="29"/>
      <c r="AH154" s="1124"/>
    </row>
    <row r="155" spans="17:34" s="19" customFormat="1" ht="12.75" x14ac:dyDescent="0.2">
      <c r="Q155" s="29"/>
      <c r="R155" s="688"/>
      <c r="S155" s="29"/>
      <c r="U155" s="29"/>
      <c r="W155" s="29"/>
      <c r="X155" s="719"/>
      <c r="Y155" s="29"/>
      <c r="AA155" s="29"/>
      <c r="AH155" s="1124"/>
    </row>
    <row r="156" spans="17:34" s="19" customFormat="1" ht="12.75" x14ac:dyDescent="0.2">
      <c r="Q156" s="29"/>
      <c r="R156" s="688"/>
      <c r="S156" s="29"/>
      <c r="U156" s="29"/>
      <c r="W156" s="29"/>
      <c r="X156" s="719"/>
      <c r="Y156" s="29"/>
      <c r="AA156" s="29"/>
      <c r="AH156" s="1124"/>
    </row>
    <row r="157" spans="17:34" s="19" customFormat="1" ht="12.75" x14ac:dyDescent="0.2">
      <c r="Q157" s="29"/>
      <c r="R157" s="688"/>
      <c r="S157" s="29"/>
      <c r="U157" s="29"/>
      <c r="W157" s="29"/>
      <c r="X157" s="719"/>
      <c r="Y157" s="29"/>
      <c r="AA157" s="29"/>
      <c r="AH157" s="1124"/>
    </row>
    <row r="158" spans="17:34" s="19" customFormat="1" ht="12.75" x14ac:dyDescent="0.2">
      <c r="Q158" s="29"/>
      <c r="R158" s="688"/>
      <c r="S158" s="29"/>
      <c r="U158" s="29"/>
      <c r="W158" s="29"/>
      <c r="X158" s="719"/>
      <c r="Y158" s="29"/>
      <c r="AA158" s="29"/>
      <c r="AH158" s="1124"/>
    </row>
    <row r="159" spans="17:34" s="19" customFormat="1" ht="12.75" x14ac:dyDescent="0.2">
      <c r="Q159" s="29"/>
      <c r="R159" s="688"/>
      <c r="S159" s="29"/>
      <c r="U159" s="29"/>
      <c r="W159" s="29"/>
      <c r="X159" s="719"/>
      <c r="Y159" s="29"/>
      <c r="AA159" s="29"/>
      <c r="AH159" s="1124"/>
    </row>
    <row r="160" spans="17:34" s="19" customFormat="1" ht="12.75" x14ac:dyDescent="0.2">
      <c r="Q160" s="29"/>
      <c r="R160" s="688"/>
      <c r="S160" s="29"/>
      <c r="U160" s="29"/>
      <c r="W160" s="29"/>
      <c r="X160" s="719"/>
      <c r="Y160" s="29"/>
      <c r="AA160" s="29"/>
      <c r="AH160" s="1124"/>
    </row>
    <row r="161" spans="6:34" s="19" customFormat="1" ht="12.75" x14ac:dyDescent="0.2">
      <c r="Q161" s="29"/>
      <c r="R161" s="688"/>
      <c r="S161" s="29"/>
      <c r="U161" s="29"/>
      <c r="W161" s="29"/>
      <c r="X161" s="719"/>
      <c r="Y161" s="29"/>
      <c r="AA161" s="29"/>
      <c r="AH161" s="1124"/>
    </row>
    <row r="162" spans="6:34" s="19" customFormat="1" ht="12.75" x14ac:dyDescent="0.2">
      <c r="Q162" s="29"/>
      <c r="R162" s="688"/>
      <c r="S162" s="29"/>
      <c r="U162" s="29"/>
      <c r="W162" s="29"/>
      <c r="X162" s="719"/>
      <c r="Y162" s="29"/>
      <c r="AA162" s="29"/>
      <c r="AH162" s="1124"/>
    </row>
    <row r="163" spans="6:34" s="19" customFormat="1" ht="12.75" x14ac:dyDescent="0.2">
      <c r="Q163" s="29"/>
      <c r="R163" s="688"/>
      <c r="S163" s="29"/>
      <c r="U163" s="29"/>
      <c r="W163" s="29"/>
      <c r="X163" s="719"/>
      <c r="Y163" s="29"/>
      <c r="AA163" s="29"/>
      <c r="AH163" s="1124"/>
    </row>
    <row r="164" spans="6:34" s="19" customFormat="1" ht="12.75" x14ac:dyDescent="0.2">
      <c r="Q164" s="29"/>
      <c r="R164" s="688"/>
      <c r="S164" s="29"/>
      <c r="U164" s="29"/>
      <c r="W164" s="29"/>
      <c r="X164" s="719"/>
      <c r="Y164" s="29"/>
      <c r="AA164" s="29"/>
      <c r="AH164" s="1124"/>
    </row>
    <row r="165" spans="6:34" s="19" customFormat="1" ht="12.75" x14ac:dyDescent="0.2">
      <c r="Q165" s="29"/>
      <c r="R165" s="688"/>
      <c r="S165" s="29"/>
      <c r="U165" s="29"/>
      <c r="W165" s="29"/>
      <c r="X165" s="719"/>
      <c r="Y165" s="29"/>
      <c r="AA165" s="29"/>
      <c r="AH165" s="1124"/>
    </row>
    <row r="166" spans="6:34" s="19" customFormat="1" ht="12.75" x14ac:dyDescent="0.2">
      <c r="Q166" s="29"/>
      <c r="R166" s="688"/>
      <c r="S166" s="29"/>
      <c r="U166" s="29"/>
      <c r="W166" s="29"/>
      <c r="X166" s="719"/>
      <c r="Y166" s="29"/>
      <c r="AA166" s="29"/>
      <c r="AH166" s="1124"/>
    </row>
    <row r="167" spans="6:34" s="19" customFormat="1" ht="12.75" x14ac:dyDescent="0.2">
      <c r="Q167" s="29"/>
      <c r="R167" s="688"/>
      <c r="S167" s="29"/>
      <c r="U167" s="29"/>
      <c r="W167" s="29"/>
      <c r="X167" s="719"/>
      <c r="Y167" s="29"/>
      <c r="AA167" s="29"/>
      <c r="AH167" s="1124"/>
    </row>
    <row r="168" spans="6:34" s="19" customFormat="1" ht="12.75" x14ac:dyDescent="0.2">
      <c r="Q168" s="29"/>
      <c r="R168" s="688"/>
      <c r="S168" s="29"/>
      <c r="U168" s="29"/>
      <c r="W168" s="29"/>
      <c r="X168" s="719"/>
      <c r="Y168" s="29"/>
      <c r="AA168" s="29"/>
      <c r="AH168" s="1124"/>
    </row>
    <row r="169" spans="6:34" s="19" customFormat="1" ht="12.75" x14ac:dyDescent="0.2">
      <c r="Q169" s="29"/>
      <c r="R169" s="688"/>
      <c r="S169" s="29"/>
      <c r="U169" s="29"/>
      <c r="W169" s="29"/>
      <c r="X169" s="719"/>
      <c r="Y169" s="29"/>
      <c r="AA169" s="29"/>
      <c r="AH169" s="1124"/>
    </row>
    <row r="170" spans="6:34" s="19" customFormat="1" ht="12.75" x14ac:dyDescent="0.2">
      <c r="F170" s="30"/>
      <c r="G170" s="29"/>
      <c r="H170" s="31"/>
      <c r="K170" s="30"/>
      <c r="M170" s="34"/>
      <c r="N170" s="34"/>
      <c r="Q170" s="29"/>
      <c r="R170" s="688"/>
      <c r="S170" s="29"/>
      <c r="U170" s="29"/>
      <c r="W170" s="29"/>
      <c r="X170" s="719"/>
      <c r="Y170" s="29"/>
      <c r="AA170" s="29"/>
      <c r="AH170" s="1124"/>
    </row>
    <row r="171" spans="6:34" s="19" customFormat="1" ht="12.75" x14ac:dyDescent="0.2">
      <c r="N171" s="34"/>
      <c r="Q171" s="29"/>
      <c r="R171" s="688"/>
      <c r="S171" s="29"/>
      <c r="U171" s="29"/>
      <c r="W171" s="29"/>
      <c r="X171" s="719"/>
      <c r="Y171" s="29"/>
      <c r="AA171" s="29"/>
      <c r="AH171" s="1124"/>
    </row>
    <row r="172" spans="6:34" s="19" customFormat="1" ht="12.75" x14ac:dyDescent="0.2">
      <c r="Q172" s="29"/>
      <c r="R172" s="688"/>
      <c r="S172" s="29"/>
      <c r="U172" s="29"/>
      <c r="W172" s="29"/>
      <c r="X172" s="719"/>
      <c r="Y172" s="29"/>
      <c r="AA172" s="29"/>
      <c r="AH172" s="1124"/>
    </row>
    <row r="173" spans="6:34" s="19" customFormat="1" ht="12.75" x14ac:dyDescent="0.2">
      <c r="Q173" s="29"/>
      <c r="R173" s="688"/>
      <c r="S173" s="29"/>
      <c r="U173" s="29"/>
      <c r="W173" s="29"/>
      <c r="X173" s="719"/>
      <c r="Y173" s="29"/>
      <c r="AA173" s="29"/>
      <c r="AH173" s="1124"/>
    </row>
    <row r="174" spans="6:34" s="19" customFormat="1" ht="12.75" x14ac:dyDescent="0.2">
      <c r="Q174" s="29"/>
      <c r="R174" s="688"/>
      <c r="S174" s="29"/>
      <c r="U174" s="29"/>
      <c r="W174" s="29"/>
      <c r="X174" s="719"/>
      <c r="Y174" s="29"/>
      <c r="AA174" s="29"/>
      <c r="AH174" s="1124"/>
    </row>
    <row r="175" spans="6:34" s="19" customFormat="1" ht="12.75" x14ac:dyDescent="0.2">
      <c r="Q175" s="29"/>
      <c r="R175" s="688"/>
      <c r="S175" s="29"/>
      <c r="U175" s="29"/>
      <c r="W175" s="29"/>
      <c r="X175" s="719"/>
      <c r="Y175" s="29"/>
      <c r="AA175" s="29"/>
      <c r="AH175" s="1124"/>
    </row>
    <row r="176" spans="6:34" s="19" customFormat="1" ht="12.75" x14ac:dyDescent="0.2">
      <c r="Q176" s="29"/>
      <c r="R176" s="688"/>
      <c r="S176" s="29"/>
      <c r="U176" s="29"/>
      <c r="W176" s="29"/>
      <c r="X176" s="719"/>
      <c r="Y176" s="29"/>
      <c r="AA176" s="29"/>
      <c r="AH176" s="1124"/>
    </row>
    <row r="177" spans="17:34" s="19" customFormat="1" ht="12.75" x14ac:dyDescent="0.2">
      <c r="Q177" s="29"/>
      <c r="R177" s="688"/>
      <c r="S177" s="29"/>
      <c r="U177" s="29"/>
      <c r="W177" s="29"/>
      <c r="X177" s="719"/>
      <c r="Y177" s="29"/>
      <c r="AA177" s="29"/>
      <c r="AH177" s="1124"/>
    </row>
    <row r="178" spans="17:34" s="19" customFormat="1" ht="12.75" x14ac:dyDescent="0.2">
      <c r="Q178" s="29"/>
      <c r="R178" s="688"/>
      <c r="S178" s="29"/>
      <c r="U178" s="29"/>
      <c r="W178" s="29"/>
      <c r="X178" s="719"/>
      <c r="Y178" s="29"/>
      <c r="AA178" s="29"/>
      <c r="AH178" s="1124"/>
    </row>
    <row r="179" spans="17:34" s="19" customFormat="1" ht="12.75" x14ac:dyDescent="0.2">
      <c r="Q179" s="29"/>
      <c r="R179" s="688"/>
      <c r="S179" s="29"/>
      <c r="U179" s="29"/>
      <c r="W179" s="29"/>
      <c r="X179" s="719"/>
      <c r="Y179" s="29"/>
      <c r="AA179" s="29"/>
      <c r="AH179" s="1124"/>
    </row>
    <row r="180" spans="17:34" s="19" customFormat="1" ht="12.75" x14ac:dyDescent="0.2">
      <c r="Q180" s="29"/>
      <c r="R180" s="688"/>
      <c r="S180" s="29"/>
      <c r="U180" s="29"/>
      <c r="W180" s="29"/>
      <c r="X180" s="719"/>
      <c r="Y180" s="29"/>
      <c r="AA180" s="29"/>
      <c r="AH180" s="1124"/>
    </row>
    <row r="181" spans="17:34" s="19" customFormat="1" ht="12.75" x14ac:dyDescent="0.2">
      <c r="Q181" s="29"/>
      <c r="R181" s="688"/>
      <c r="S181" s="29"/>
      <c r="U181" s="29"/>
      <c r="W181" s="29"/>
      <c r="X181" s="719"/>
      <c r="Y181" s="29"/>
      <c r="AA181" s="29"/>
      <c r="AH181" s="1124"/>
    </row>
    <row r="182" spans="17:34" s="19" customFormat="1" ht="12.75" x14ac:dyDescent="0.2">
      <c r="Q182" s="29"/>
      <c r="R182" s="688"/>
      <c r="S182" s="29"/>
      <c r="U182" s="29"/>
      <c r="W182" s="29"/>
      <c r="X182" s="719"/>
      <c r="Y182" s="29"/>
      <c r="AA182" s="29"/>
      <c r="AH182" s="1124"/>
    </row>
    <row r="183" spans="17:34" s="19" customFormat="1" ht="12.75" x14ac:dyDescent="0.2">
      <c r="Q183" s="29"/>
      <c r="R183" s="688"/>
      <c r="S183" s="29"/>
      <c r="U183" s="29"/>
      <c r="W183" s="29"/>
      <c r="X183" s="719"/>
      <c r="Y183" s="29"/>
      <c r="AA183" s="29"/>
      <c r="AH183" s="1124"/>
    </row>
    <row r="184" spans="17:34" s="19" customFormat="1" ht="12.75" x14ac:dyDescent="0.2">
      <c r="Q184" s="29"/>
      <c r="R184" s="688"/>
      <c r="S184" s="29"/>
      <c r="U184" s="29"/>
      <c r="W184" s="29"/>
      <c r="X184" s="719"/>
      <c r="Y184" s="29"/>
      <c r="AA184" s="29"/>
      <c r="AH184" s="1124"/>
    </row>
    <row r="185" spans="17:34" s="19" customFormat="1" ht="12.75" x14ac:dyDescent="0.2">
      <c r="Q185" s="29"/>
      <c r="R185" s="688"/>
      <c r="S185" s="29"/>
      <c r="U185" s="29"/>
      <c r="W185" s="29"/>
      <c r="X185" s="719"/>
      <c r="Y185" s="29"/>
      <c r="AA185" s="29"/>
      <c r="AH185" s="1124"/>
    </row>
    <row r="186" spans="17:34" s="19" customFormat="1" ht="12.75" x14ac:dyDescent="0.2">
      <c r="Q186" s="29"/>
      <c r="R186" s="688"/>
      <c r="S186" s="29"/>
      <c r="U186" s="29"/>
      <c r="W186" s="29"/>
      <c r="X186" s="719"/>
      <c r="Y186" s="29"/>
      <c r="AA186" s="29"/>
      <c r="AH186" s="1124"/>
    </row>
    <row r="187" spans="17:34" s="19" customFormat="1" ht="12.75" x14ac:dyDescent="0.2">
      <c r="Q187" s="29"/>
      <c r="R187" s="688"/>
      <c r="S187" s="29"/>
      <c r="U187" s="29"/>
      <c r="W187" s="29"/>
      <c r="X187" s="719"/>
      <c r="Y187" s="29"/>
      <c r="AA187" s="29"/>
      <c r="AH187" s="1124"/>
    </row>
    <row r="188" spans="17:34" s="19" customFormat="1" ht="12.75" x14ac:dyDescent="0.2">
      <c r="Q188" s="29"/>
      <c r="R188" s="688"/>
      <c r="S188" s="29"/>
      <c r="U188" s="29"/>
      <c r="W188" s="29"/>
      <c r="X188" s="719"/>
      <c r="Y188" s="29"/>
      <c r="AA188" s="29"/>
      <c r="AH188" s="1124"/>
    </row>
    <row r="189" spans="17:34" s="19" customFormat="1" ht="12.75" x14ac:dyDescent="0.2">
      <c r="Q189" s="29"/>
      <c r="R189" s="688"/>
      <c r="S189" s="29"/>
      <c r="U189" s="29"/>
      <c r="W189" s="29"/>
      <c r="X189" s="719"/>
      <c r="Y189" s="29"/>
      <c r="AA189" s="29"/>
      <c r="AH189" s="1124"/>
    </row>
    <row r="190" spans="17:34" s="19" customFormat="1" ht="12.75" x14ac:dyDescent="0.2">
      <c r="Q190" s="29"/>
      <c r="R190" s="688"/>
      <c r="S190" s="29"/>
      <c r="U190" s="29"/>
      <c r="W190" s="29"/>
      <c r="X190" s="719"/>
      <c r="Y190" s="29"/>
      <c r="AA190" s="29"/>
      <c r="AH190" s="1124"/>
    </row>
    <row r="191" spans="17:34" s="19" customFormat="1" ht="12.75" x14ac:dyDescent="0.2">
      <c r="Q191" s="29"/>
      <c r="R191" s="688"/>
      <c r="S191" s="29"/>
      <c r="U191" s="29"/>
      <c r="W191" s="29"/>
      <c r="X191" s="719"/>
      <c r="Y191" s="29"/>
      <c r="AA191" s="29"/>
      <c r="AH191" s="1124"/>
    </row>
    <row r="192" spans="17:34" s="19" customFormat="1" ht="12.75" x14ac:dyDescent="0.2">
      <c r="Q192" s="29"/>
      <c r="R192" s="688"/>
      <c r="S192" s="29"/>
      <c r="U192" s="29"/>
      <c r="W192" s="29"/>
      <c r="X192" s="719"/>
      <c r="Y192" s="29"/>
      <c r="AA192" s="29"/>
      <c r="AH192" s="1124"/>
    </row>
    <row r="193" spans="17:34" s="19" customFormat="1" ht="12.75" x14ac:dyDescent="0.2">
      <c r="Q193" s="29"/>
      <c r="R193" s="688"/>
      <c r="S193" s="29"/>
      <c r="U193" s="29"/>
      <c r="W193" s="29"/>
      <c r="X193" s="719"/>
      <c r="Y193" s="29"/>
      <c r="AA193" s="29"/>
      <c r="AH193" s="1124"/>
    </row>
    <row r="194" spans="17:34" s="19" customFormat="1" ht="12.75" x14ac:dyDescent="0.2">
      <c r="Q194" s="29"/>
      <c r="R194" s="688"/>
      <c r="S194" s="29"/>
      <c r="U194" s="29"/>
      <c r="W194" s="29"/>
      <c r="X194" s="719"/>
      <c r="Y194" s="29"/>
      <c r="AA194" s="29"/>
      <c r="AH194" s="1124"/>
    </row>
    <row r="195" spans="17:34" s="19" customFormat="1" ht="12.75" x14ac:dyDescent="0.2">
      <c r="Q195" s="29"/>
      <c r="R195" s="688"/>
      <c r="S195" s="29"/>
      <c r="U195" s="29"/>
      <c r="W195" s="29"/>
      <c r="X195" s="719"/>
      <c r="Y195" s="29"/>
      <c r="AA195" s="29"/>
      <c r="AH195" s="1124"/>
    </row>
  </sheetData>
  <sheetProtection sheet="1" formatCells="0" formatColumns="0" formatRows="0" sort="0"/>
  <mergeCells count="5">
    <mergeCell ref="B1:F1"/>
    <mergeCell ref="I1:J1"/>
    <mergeCell ref="B54:L54"/>
    <mergeCell ref="P54:Y54"/>
    <mergeCell ref="J53:K53"/>
  </mergeCells>
  <conditionalFormatting sqref="A56:Z79">
    <cfRule type="expression" dxfId="50" priority="248" stopIfTrue="1">
      <formula>$M56=0</formula>
    </cfRule>
  </conditionalFormatting>
  <conditionalFormatting sqref="C82:Z94">
    <cfRule type="expression" dxfId="49" priority="227" stopIfTrue="1">
      <formula>C$82=0</formula>
    </cfRule>
  </conditionalFormatting>
  <conditionalFormatting sqref="AA56:AA79">
    <cfRule type="expression" dxfId="48" priority="1408">
      <formula>$AA56=TRUE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/>
  <dimension ref="A1:CF381"/>
  <sheetViews>
    <sheetView zoomScaleNormal="100" workbookViewId="0">
      <pane ySplit="42" topLeftCell="A375" activePane="bottomLeft" state="frozen"/>
      <selection pane="bottomLeft" activeCell="B382" sqref="B38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8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8" style="6" customWidth="1"/>
    <col min="62" max="64" width="10.140625" style="6" customWidth="1"/>
    <col min="65" max="65" width="10.140625" style="573" customWidth="1"/>
    <col min="66" max="69" width="10.140625" style="6" customWidth="1"/>
    <col min="70" max="70" width="10.140625" style="573" customWidth="1"/>
    <col min="71" max="71" width="10.140625" style="569" customWidth="1"/>
    <col min="72" max="72" width="10.140625" style="6" customWidth="1"/>
    <col min="73" max="73" width="9.140625" style="15" customWidth="1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61" t="s">
        <v>196</v>
      </c>
      <c r="B1" s="90"/>
      <c r="K1" s="4"/>
      <c r="L1" s="4"/>
      <c r="M1" s="4"/>
      <c r="N1" s="275" t="s">
        <v>244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822">
        <v>1.034</v>
      </c>
      <c r="Z1" s="688" t="s">
        <v>229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5" t="s">
        <v>75</v>
      </c>
      <c r="AN1" s="4"/>
      <c r="AO1" s="4"/>
      <c r="AT1" s="785"/>
      <c r="AY1" s="785"/>
      <c r="BC1" s="1235" t="s">
        <v>211</v>
      </c>
      <c r="BD1" s="1235"/>
      <c r="BE1" s="1235"/>
      <c r="BF1" s="835"/>
      <c r="BH1" s="752" t="s">
        <v>202</v>
      </c>
      <c r="BJ1" s="735"/>
      <c r="BK1" s="735"/>
      <c r="BL1" s="735"/>
      <c r="BM1" s="735"/>
      <c r="BN1" s="735"/>
      <c r="BO1" s="735"/>
      <c r="BP1" s="735"/>
      <c r="BQ1" s="735"/>
      <c r="BR1" s="574"/>
      <c r="BS1" s="575"/>
      <c r="BT1" s="462"/>
    </row>
    <row r="2" spans="1:84" s="4" customFormat="1" ht="12.75" customHeight="1" thickBot="1" x14ac:dyDescent="0.3">
      <c r="A2" s="1226" t="str">
        <f>'Réglage perte'!B2</f>
        <v>Crèche Ayguesvives</v>
      </c>
      <c r="B2" s="1227"/>
      <c r="C2" s="1227"/>
      <c r="D2" s="1228"/>
      <c r="I2" s="1191" t="s">
        <v>355</v>
      </c>
      <c r="J2" s="1192">
        <f>AVERAGEIF($BW$15:$CF$380,"&gt;0,97")</f>
        <v>0.99912121662989051</v>
      </c>
      <c r="L2" s="177">
        <v>43079</v>
      </c>
      <c r="M2" s="177">
        <v>43093</v>
      </c>
      <c r="N2" s="782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7">
        <v>43473</v>
      </c>
      <c r="AO2" s="177">
        <v>43487</v>
      </c>
      <c r="BB2" s="750"/>
      <c r="BC2" s="1235"/>
      <c r="BD2" s="1235"/>
      <c r="BE2" s="1235"/>
      <c r="BF2" s="835"/>
      <c r="BH2" s="28" t="s">
        <v>335</v>
      </c>
      <c r="BI2" s="566"/>
      <c r="BJ2" s="567"/>
      <c r="BK2" s="284"/>
      <c r="BL2" s="567"/>
      <c r="BM2" s="568"/>
      <c r="BN2" s="284"/>
      <c r="BP2" s="6"/>
      <c r="BQ2" s="284"/>
      <c r="BR2" s="568"/>
      <c r="BS2" s="569"/>
      <c r="BT2" s="6"/>
    </row>
    <row r="3" spans="1:84" s="4" customFormat="1" ht="12.75" customHeight="1" thickBot="1" x14ac:dyDescent="0.3">
      <c r="A3" s="1229"/>
      <c r="B3" s="1230"/>
      <c r="C3" s="1230"/>
      <c r="D3" s="1231"/>
      <c r="E3" s="3"/>
      <c r="L3" s="777">
        <f>AL3</f>
        <v>180</v>
      </c>
      <c r="M3" s="781">
        <f>+AM3</f>
        <v>177</v>
      </c>
      <c r="N3" s="173">
        <v>195</v>
      </c>
      <c r="O3" s="173">
        <v>229</v>
      </c>
      <c r="P3" s="173">
        <v>273</v>
      </c>
      <c r="Q3" s="173">
        <v>324</v>
      </c>
      <c r="R3" s="173">
        <v>383</v>
      </c>
      <c r="S3" s="173">
        <v>446</v>
      </c>
      <c r="T3" s="173">
        <v>507</v>
      </c>
      <c r="U3" s="173">
        <v>558</v>
      </c>
      <c r="V3" s="173">
        <v>596</v>
      </c>
      <c r="W3" s="173">
        <v>618</v>
      </c>
      <c r="X3" s="173">
        <v>628</v>
      </c>
      <c r="Y3" s="173">
        <v>629</v>
      </c>
      <c r="Z3" s="173">
        <v>623</v>
      </c>
      <c r="AA3" s="173">
        <v>612</v>
      </c>
      <c r="AB3" s="173">
        <v>594</v>
      </c>
      <c r="AC3" s="173">
        <v>571</v>
      </c>
      <c r="AD3" s="173">
        <v>541</v>
      </c>
      <c r="AE3" s="173">
        <v>500</v>
      </c>
      <c r="AF3" s="173">
        <v>446</v>
      </c>
      <c r="AG3" s="173">
        <v>384</v>
      </c>
      <c r="AH3" s="173">
        <v>323</v>
      </c>
      <c r="AI3" s="173">
        <v>273</v>
      </c>
      <c r="AJ3" s="173">
        <v>231</v>
      </c>
      <c r="AK3" s="173">
        <v>201</v>
      </c>
      <c r="AL3" s="173">
        <v>180</v>
      </c>
      <c r="AM3" s="173">
        <v>177</v>
      </c>
      <c r="AN3" s="777">
        <f>+N3</f>
        <v>195</v>
      </c>
      <c r="AO3" s="778">
        <f>+O3</f>
        <v>229</v>
      </c>
      <c r="BC3" s="1235"/>
      <c r="BD3" s="1235"/>
      <c r="BE3" s="1235"/>
      <c r="BF3" s="835"/>
      <c r="BH3" s="28"/>
      <c r="BI3" s="6"/>
      <c r="BJ3" s="6"/>
      <c r="BK3" s="6"/>
      <c r="BL3" s="6"/>
      <c r="BM3" s="6"/>
      <c r="BN3" s="6"/>
      <c r="BP3" s="823" t="s">
        <v>241</v>
      </c>
      <c r="BQ3" s="824">
        <v>0.3</v>
      </c>
      <c r="BR3" s="825" t="s">
        <v>242</v>
      </c>
      <c r="BS3" s="826" t="s">
        <v>247</v>
      </c>
      <c r="BT3" s="567"/>
    </row>
    <row r="4" spans="1:84" s="4" customFormat="1" ht="12.75" customHeight="1" x14ac:dyDescent="0.25">
      <c r="A4" s="2"/>
      <c r="B4" s="419"/>
      <c r="E4" s="33"/>
      <c r="F4" s="570"/>
      <c r="K4" s="2"/>
      <c r="M4" s="639" t="s">
        <v>193</v>
      </c>
      <c r="N4" s="783">
        <f>MAX($BA15:$BA28)-1</f>
        <v>3.3146614818809539E-2</v>
      </c>
      <c r="O4" s="656">
        <f>MAX($BA29:$BA42)-1</f>
        <v>2.1792333636366124E-2</v>
      </c>
      <c r="P4" s="656">
        <f>MAX($BA43:$BA56)-1</f>
        <v>1.5974552971814937E-2</v>
      </c>
      <c r="Q4" s="656">
        <f>MAX(BA57:BA70)-1</f>
        <v>1.5673403821400367E-2</v>
      </c>
      <c r="R4" s="656">
        <f>MAX(BA71:BA84)-1</f>
        <v>2.97031171721025E-2</v>
      </c>
      <c r="S4" s="656">
        <f>MAX(BA85:BA98)-1</f>
        <v>2.5957718736419721E-2</v>
      </c>
      <c r="T4" s="656">
        <f>MAX(BA99:BA112)-1</f>
        <v>2.7874087522292701E-2</v>
      </c>
      <c r="U4" s="656">
        <f>MAX(BA113:BA126)-1</f>
        <v>1.4968188170937147E-2</v>
      </c>
      <c r="V4" s="656">
        <f>MAX(BA127:BA140)-1</f>
        <v>2.5081179185751257E-2</v>
      </c>
      <c r="W4" s="656">
        <f>MAX(BA141:BA154)-1</f>
        <v>2.2935567913481725E-2</v>
      </c>
      <c r="X4" s="656">
        <f>MAX(BA155:BA168)-1</f>
        <v>1.465999182585076E-2</v>
      </c>
      <c r="Y4" s="656">
        <f>MAX(BA169:BA182)-1</f>
        <v>1.5353212849230857E-2</v>
      </c>
      <c r="Z4" s="656">
        <f>MAX(BA183:BA196)-1</f>
        <v>3.6719640791315955E-2</v>
      </c>
      <c r="AA4" s="656">
        <f>MAX(BA197:BA210)-1</f>
        <v>2.3952079705019669E-2</v>
      </c>
      <c r="AB4" s="656">
        <f>MAX(BA211:BA224)-1</f>
        <v>1.395010435463595E-2</v>
      </c>
      <c r="AC4" s="656">
        <f>MAX(BA225:BA238)-1</f>
        <v>-1.2022871413828962E-2</v>
      </c>
      <c r="AD4" s="656">
        <f>MAX(BA239:BA252)-1</f>
        <v>-1.7027724518919873E-3</v>
      </c>
      <c r="AE4" s="656">
        <f>MAX(BA253:BA266)-1</f>
        <v>2.7108015165856481E-2</v>
      </c>
      <c r="AF4" s="656">
        <f>MAX(BA267:BA280)-1</f>
        <v>2.2137858049853465E-2</v>
      </c>
      <c r="AG4" s="656">
        <f>MAX(BA281:BA294)-1</f>
        <v>1.7147012447786381E-2</v>
      </c>
      <c r="AH4" s="656">
        <f>MAX(BA295:BA308)-1</f>
        <v>2.9816653303423646E-2</v>
      </c>
      <c r="AI4" s="656">
        <f>MAX(BA309:BA322)-1</f>
        <v>3.7616854938163247E-2</v>
      </c>
      <c r="AJ4" s="656">
        <f>MAX(BA323:BA336)-1</f>
        <v>-6.4153206080718173E-3</v>
      </c>
      <c r="AK4" s="656">
        <f>MAX(BA337:BA350)-1</f>
        <v>2.5012139655111065E-2</v>
      </c>
      <c r="AL4" s="656">
        <f>MAX(BA351:BA364)-1</f>
        <v>2.4400194745802128E-2</v>
      </c>
      <c r="AM4" s="656">
        <f>MAX(BA365:BA380)-1</f>
        <v>3.5809649865923499E-2</v>
      </c>
      <c r="AN4" s="644"/>
      <c r="AP4" s="570"/>
      <c r="AU4" s="570"/>
      <c r="BC4" s="19"/>
      <c r="BD4" s="285"/>
      <c r="BE4" s="285"/>
      <c r="BF4" s="285"/>
      <c r="BI4" s="6"/>
      <c r="BJ4" s="6"/>
      <c r="BK4" s="6"/>
      <c r="BL4" s="6"/>
      <c r="BM4" s="6"/>
      <c r="BN4" s="6"/>
      <c r="BP4" s="358" t="s">
        <v>243</v>
      </c>
      <c r="BQ4" s="827">
        <f>1-Sdif</f>
        <v>0.7</v>
      </c>
      <c r="BR4" s="61">
        <v>0</v>
      </c>
      <c r="BS4" s="61">
        <f t="shared" ref="BS4:BS11" si="0">MEDIAN((-Sdif+BR4)/Csdif,0,1)</f>
        <v>0</v>
      </c>
      <c r="BT4" s="6"/>
    </row>
    <row r="5" spans="1:84" s="4" customFormat="1" ht="15" customHeight="1" x14ac:dyDescent="0.25">
      <c r="A5" s="1232" t="s">
        <v>192</v>
      </c>
      <c r="B5" s="1233"/>
      <c r="C5" s="1233"/>
      <c r="D5" s="1233"/>
      <c r="E5" s="1233"/>
      <c r="F5" s="1233"/>
      <c r="G5" s="1233"/>
      <c r="H5" s="1233"/>
      <c r="I5" s="1233"/>
      <c r="J5" s="1234"/>
      <c r="K5" s="89"/>
      <c r="N5" s="88"/>
      <c r="O5" s="88"/>
      <c r="P5" s="19"/>
      <c r="Q5" s="70"/>
      <c r="R5" s="70"/>
      <c r="S5" s="70"/>
      <c r="T5" s="70"/>
      <c r="U5" s="70"/>
      <c r="V5" s="640"/>
      <c r="W5" s="70"/>
      <c r="X5" s="70"/>
      <c r="Y5" s="70"/>
      <c r="Z5" s="70"/>
      <c r="AA5" s="70"/>
      <c r="AB5" s="70"/>
      <c r="AC5" s="70"/>
      <c r="AD5" s="70"/>
      <c r="AE5" s="641"/>
      <c r="AF5" s="19"/>
      <c r="AG5" s="19"/>
      <c r="AH5" s="71"/>
      <c r="AI5" s="655"/>
      <c r="AJ5" s="655"/>
      <c r="AK5" s="655"/>
      <c r="AL5" s="655"/>
      <c r="AM5" s="88"/>
      <c r="AN5" s="654"/>
      <c r="AP5" s="779"/>
      <c r="AQ5" s="779"/>
      <c r="AR5" s="779"/>
      <c r="AS5" s="779"/>
      <c r="AT5" s="786"/>
      <c r="AU5" s="779"/>
      <c r="AV5" s="779"/>
      <c r="AW5" s="779"/>
      <c r="AX5" s="779"/>
      <c r="AY5" s="786"/>
      <c r="AZ5" s="779"/>
      <c r="BC5" s="19"/>
      <c r="BD5" s="285"/>
      <c r="BE5" s="285"/>
      <c r="BF5" s="285"/>
      <c r="BH5" s="28"/>
      <c r="BI5" s="6"/>
      <c r="BJ5" s="6"/>
      <c r="BK5" s="6"/>
      <c r="BL5" s="6"/>
      <c r="BM5" s="6"/>
      <c r="BN5" s="6"/>
      <c r="BR5" s="61">
        <v>0.1</v>
      </c>
      <c r="BS5" s="61">
        <f t="shared" si="0"/>
        <v>0</v>
      </c>
      <c r="BT5" s="6"/>
    </row>
    <row r="6" spans="1:84" s="4" customFormat="1" ht="15" customHeight="1" x14ac:dyDescent="0.25">
      <c r="A6" s="270">
        <f>'2018'!An</f>
        <v>2018</v>
      </c>
      <c r="B6" s="270">
        <f>'2019'!An</f>
        <v>2019</v>
      </c>
      <c r="C6" s="270">
        <f>'2020'!An</f>
        <v>2020</v>
      </c>
      <c r="D6" s="270">
        <f>'2021'!An</f>
        <v>2021</v>
      </c>
      <c r="E6" s="270">
        <f>'2022'!An</f>
        <v>2022</v>
      </c>
      <c r="F6" s="270">
        <f>'2023'!An</f>
        <v>2023</v>
      </c>
      <c r="G6" s="272">
        <f>'2024'!An</f>
        <v>2024</v>
      </c>
      <c r="H6" s="272">
        <f>'2025'!An</f>
        <v>2025</v>
      </c>
      <c r="I6" s="272">
        <f>'2026'!An</f>
        <v>2026</v>
      </c>
      <c r="J6" s="272">
        <f>'2027'!An</f>
        <v>2027</v>
      </c>
      <c r="K6" s="2"/>
      <c r="BC6" s="37"/>
      <c r="BD6" s="286"/>
      <c r="BE6" s="286"/>
      <c r="BF6" s="286"/>
      <c r="BH6" s="164"/>
      <c r="BI6" s="6"/>
      <c r="BJ6" s="6"/>
      <c r="BK6" s="6"/>
      <c r="BL6" s="6"/>
      <c r="BM6" s="6"/>
      <c r="BN6" s="6"/>
      <c r="BR6" s="61">
        <v>0.2</v>
      </c>
      <c r="BS6" s="61">
        <f t="shared" si="0"/>
        <v>0</v>
      </c>
    </row>
    <row r="7" spans="1:84" s="4" customFormat="1" ht="15" customHeight="1" x14ac:dyDescent="0.25">
      <c r="A7" s="271">
        <f>'2018'!Dépas_env</f>
        <v>-1.3590897213071607E-2</v>
      </c>
      <c r="B7" s="271">
        <f>'2019'!Dépas_env</f>
        <v>2.7108015165856481E-2</v>
      </c>
      <c r="C7" s="271">
        <f>'2020'!Dépas_env</f>
        <v>2.7874087522292701E-2</v>
      </c>
      <c r="D7" s="271">
        <f>'2021'!Dépas_env</f>
        <v>3.7616854938163247E-2</v>
      </c>
      <c r="E7" s="271">
        <f>'2022'!Dépas_env</f>
        <v>3.6719640791316177E-2</v>
      </c>
      <c r="F7" s="271">
        <f>'2023'!Dépas_env</f>
        <v>3.6719640791315955E-2</v>
      </c>
      <c r="G7" s="601">
        <f>'2024'!Dépas_env</f>
        <v>3.6719640791315955E-2</v>
      </c>
      <c r="H7" s="601">
        <f>'2025'!Dépas_env</f>
        <v>3.6719640791315955E-2</v>
      </c>
      <c r="I7" s="601">
        <f>'2026'!Dépas_env</f>
        <v>3.6719640791315955E-2</v>
      </c>
      <c r="J7" s="601">
        <f>'2027'!Dépas_env</f>
        <v>3.6719640791315955E-2</v>
      </c>
      <c r="K7" s="2"/>
      <c r="BA7" s="645"/>
      <c r="BC7" s="19"/>
      <c r="BD7" s="285"/>
      <c r="BE7" s="285"/>
      <c r="BF7" s="285"/>
      <c r="BH7" s="28"/>
      <c r="BR7" s="61">
        <v>0.3</v>
      </c>
      <c r="BS7" s="61">
        <f t="shared" si="0"/>
        <v>0</v>
      </c>
      <c r="BT7" s="6"/>
    </row>
    <row r="8" spans="1:84" s="4" customFormat="1" ht="15" customHeight="1" x14ac:dyDescent="0.25">
      <c r="A8" s="272"/>
      <c r="B8" s="272"/>
      <c r="C8" s="272"/>
      <c r="D8" s="272"/>
      <c r="E8" s="272"/>
      <c r="F8" s="270"/>
      <c r="G8" s="270"/>
      <c r="H8" s="270"/>
      <c r="I8" s="270"/>
      <c r="J8" s="270"/>
      <c r="K8" s="2"/>
      <c r="BA8" s="645"/>
      <c r="BC8" s="6"/>
      <c r="BD8" s="284"/>
      <c r="BE8" s="284"/>
      <c r="BF8" s="284"/>
      <c r="BJ8" s="6"/>
      <c r="BK8" s="6"/>
      <c r="BL8" s="6"/>
      <c r="BM8" s="6"/>
      <c r="BN8" s="6"/>
      <c r="BP8" s="571"/>
      <c r="BQ8" s="571"/>
      <c r="BR8" s="61">
        <v>0.4</v>
      </c>
      <c r="BS8" s="61">
        <f t="shared" si="0"/>
        <v>0.1428571428571429</v>
      </c>
    </row>
    <row r="9" spans="1:84" s="4" customFormat="1" ht="15" customHeight="1" x14ac:dyDescent="0.25">
      <c r="A9" s="273"/>
      <c r="B9" s="273"/>
      <c r="C9" s="273"/>
      <c r="D9" s="273"/>
      <c r="E9" s="273"/>
      <c r="F9" s="273"/>
      <c r="G9" s="273"/>
      <c r="H9" s="273"/>
      <c r="I9" s="273"/>
      <c r="J9" s="273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5"/>
      <c r="BB9" s="19"/>
      <c r="BC9" s="19"/>
      <c r="BD9" s="285"/>
      <c r="BE9" s="285"/>
      <c r="BF9" s="285"/>
      <c r="BH9" s="717">
        <f>PousHi*($A$6-BP13-INDEX(Croivg,MIN(MAX(BO13-DATE(BP13,1,1)+1,0),366)))</f>
        <v>-2.800224011995649</v>
      </c>
      <c r="BI9" s="1109" t="s">
        <v>336</v>
      </c>
      <c r="BJ9" s="6"/>
      <c r="BK9" s="6"/>
      <c r="BL9" s="6"/>
      <c r="BM9" s="6"/>
      <c r="BN9" s="6"/>
      <c r="BP9" s="571"/>
      <c r="BQ9" s="571"/>
      <c r="BR9" s="61">
        <v>0.5</v>
      </c>
      <c r="BS9" s="61">
        <f t="shared" si="0"/>
        <v>0.28571428571428575</v>
      </c>
      <c r="BT9" s="6"/>
    </row>
    <row r="10" spans="1:84" s="6" customFormat="1" ht="12" thickBot="1" x14ac:dyDescent="0.25">
      <c r="K10" s="7"/>
      <c r="BA10" s="654"/>
      <c r="BD10" s="284"/>
      <c r="BE10" s="284"/>
      <c r="BF10" s="284"/>
      <c r="BH10" s="1134">
        <f>MIN(MATCH(H_i,Echel_vg),10)</f>
        <v>3</v>
      </c>
      <c r="BI10" s="562"/>
      <c r="BP10" s="751"/>
      <c r="BQ10" s="751"/>
      <c r="BR10" s="61">
        <v>1</v>
      </c>
      <c r="BS10" s="61">
        <f t="shared" si="0"/>
        <v>1</v>
      </c>
    </row>
    <row r="11" spans="1:84" s="6" customFormat="1" ht="12.75" customHeight="1" thickBot="1" x14ac:dyDescent="0.3">
      <c r="C11" s="562" t="s">
        <v>341</v>
      </c>
      <c r="D11" s="1128"/>
      <c r="E11" s="8"/>
      <c r="J11" s="9"/>
      <c r="K11" s="7"/>
      <c r="L11" s="780" t="s">
        <v>230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98" t="s">
        <v>233</v>
      </c>
      <c r="AT11" s="27"/>
      <c r="AU11" s="698" t="s">
        <v>234</v>
      </c>
      <c r="AY11" s="27"/>
      <c r="AZ11" s="791" t="s">
        <v>237</v>
      </c>
      <c r="BA11" s="645"/>
      <c r="BB11" s="19"/>
      <c r="BC11" s="15"/>
      <c r="BD11" s="1236" t="s">
        <v>253</v>
      </c>
      <c r="BE11" s="1237"/>
      <c r="BF11" s="1240" t="s">
        <v>248</v>
      </c>
      <c r="BH11" s="1135">
        <f>INDEX(Echel_vg,$BH$10)</f>
        <v>-3</v>
      </c>
      <c r="BI11" s="562"/>
      <c r="BR11" s="61">
        <v>1.1000000000000001</v>
      </c>
      <c r="BS11" s="61">
        <f t="shared" si="0"/>
        <v>1</v>
      </c>
    </row>
    <row r="12" spans="1:84" s="4" customFormat="1" ht="12.75" customHeight="1" x14ac:dyDescent="0.25">
      <c r="A12" s="25" t="s">
        <v>1</v>
      </c>
      <c r="B12" s="393">
        <f>+MIN(B15:B379)</f>
        <v>8.2901078959824659</v>
      </c>
      <c r="C12" s="12">
        <f>+MIN(C15:C379)</f>
        <v>2018</v>
      </c>
      <c r="D12" s="1129"/>
      <c r="E12" s="12">
        <f t="shared" ref="E12:J12" si="1">+MIN(E15:E379)</f>
        <v>18.3018</v>
      </c>
      <c r="F12" s="418">
        <f t="shared" si="1"/>
        <v>1</v>
      </c>
      <c r="G12" s="12">
        <f t="shared" si="1"/>
        <v>2</v>
      </c>
      <c r="H12" s="175">
        <f t="shared" si="1"/>
        <v>43093</v>
      </c>
      <c r="I12" s="393">
        <f t="shared" si="1"/>
        <v>0</v>
      </c>
      <c r="J12" s="393">
        <f t="shared" si="1"/>
        <v>18.190402276494673</v>
      </c>
      <c r="K12" s="6"/>
      <c r="L12" s="177">
        <f>L2</f>
        <v>43079</v>
      </c>
      <c r="M12" s="177">
        <f t="shared" ref="M12:AO12" si="2">M2</f>
        <v>43093</v>
      </c>
      <c r="N12" s="177">
        <f t="shared" si="2"/>
        <v>43108</v>
      </c>
      <c r="O12" s="177">
        <f t="shared" si="2"/>
        <v>43122</v>
      </c>
      <c r="P12" s="177">
        <f t="shared" si="2"/>
        <v>43136</v>
      </c>
      <c r="Q12" s="177">
        <f t="shared" si="2"/>
        <v>43150</v>
      </c>
      <c r="R12" s="177">
        <f t="shared" si="2"/>
        <v>43164</v>
      </c>
      <c r="S12" s="177">
        <f t="shared" si="2"/>
        <v>43178</v>
      </c>
      <c r="T12" s="177">
        <f t="shared" si="2"/>
        <v>43192</v>
      </c>
      <c r="U12" s="177">
        <f t="shared" si="2"/>
        <v>43206</v>
      </c>
      <c r="V12" s="177">
        <f t="shared" si="2"/>
        <v>43220</v>
      </c>
      <c r="W12" s="177">
        <f t="shared" si="2"/>
        <v>43234</v>
      </c>
      <c r="X12" s="177">
        <f t="shared" si="2"/>
        <v>43248</v>
      </c>
      <c r="Y12" s="177">
        <f t="shared" si="2"/>
        <v>43262</v>
      </c>
      <c r="Z12" s="177">
        <f t="shared" si="2"/>
        <v>43276</v>
      </c>
      <c r="AA12" s="177">
        <f t="shared" si="2"/>
        <v>43290</v>
      </c>
      <c r="AB12" s="177">
        <f t="shared" si="2"/>
        <v>43304</v>
      </c>
      <c r="AC12" s="177">
        <f t="shared" si="2"/>
        <v>43318</v>
      </c>
      <c r="AD12" s="177">
        <f t="shared" si="2"/>
        <v>43332</v>
      </c>
      <c r="AE12" s="177">
        <f t="shared" si="2"/>
        <v>43346</v>
      </c>
      <c r="AF12" s="177">
        <f t="shared" si="2"/>
        <v>43360</v>
      </c>
      <c r="AG12" s="177">
        <f t="shared" si="2"/>
        <v>43374</v>
      </c>
      <c r="AH12" s="177">
        <f t="shared" si="2"/>
        <v>43388</v>
      </c>
      <c r="AI12" s="177">
        <f t="shared" si="2"/>
        <v>43402</v>
      </c>
      <c r="AJ12" s="177">
        <f t="shared" si="2"/>
        <v>43416</v>
      </c>
      <c r="AK12" s="177">
        <f t="shared" si="2"/>
        <v>43430</v>
      </c>
      <c r="AL12" s="177">
        <f t="shared" si="2"/>
        <v>43444</v>
      </c>
      <c r="AM12" s="177">
        <f t="shared" si="2"/>
        <v>43458</v>
      </c>
      <c r="AN12" s="177">
        <f t="shared" si="2"/>
        <v>43473</v>
      </c>
      <c r="AO12" s="177">
        <f t="shared" si="2"/>
        <v>43487</v>
      </c>
      <c r="AP12" s="418">
        <f t="shared" ref="AP12:AZ12" si="3">+MIN(AP15:AP379)</f>
        <v>1</v>
      </c>
      <c r="AQ12" s="12">
        <f t="shared" si="3"/>
        <v>2</v>
      </c>
      <c r="AR12" s="175">
        <f t="shared" si="3"/>
        <v>43079</v>
      </c>
      <c r="AS12" s="393">
        <f t="shared" si="3"/>
        <v>0</v>
      </c>
      <c r="AT12" s="393">
        <f t="shared" si="3"/>
        <v>18.333035484572935</v>
      </c>
      <c r="AU12" s="418">
        <f t="shared" si="3"/>
        <v>1</v>
      </c>
      <c r="AV12" s="12">
        <f t="shared" si="3"/>
        <v>2</v>
      </c>
      <c r="AW12" s="175">
        <f t="shared" si="3"/>
        <v>43093</v>
      </c>
      <c r="AX12" s="393">
        <f t="shared" si="3"/>
        <v>0</v>
      </c>
      <c r="AY12" s="393">
        <f t="shared" si="3"/>
        <v>18.217304298281668</v>
      </c>
      <c r="AZ12" s="393">
        <f t="shared" si="3"/>
        <v>18.281305895871917</v>
      </c>
      <c r="BA12" s="643"/>
      <c r="BC12" s="15"/>
      <c r="BD12" s="1238"/>
      <c r="BE12" s="1239"/>
      <c r="BF12" s="1241"/>
      <c r="BH12" s="1136">
        <f>(H_i-BH11)/(INDEX(Echel_vg,$BH$10+1)-BH$11)</f>
        <v>0.19977598800435103</v>
      </c>
      <c r="BJ12" s="6"/>
      <c r="BK12" s="6"/>
      <c r="BL12" s="6"/>
      <c r="BN12" s="358" t="str">
        <f>Masques!D53</f>
        <v>Pas de calcul pousse en hauteur:</v>
      </c>
      <c r="BO12" s="737">
        <f>Masques!E53</f>
        <v>1</v>
      </c>
      <c r="BP12" s="571"/>
      <c r="BQ12" s="571"/>
      <c r="BR12" s="572"/>
      <c r="BS12" s="569"/>
      <c r="BT12" s="6"/>
    </row>
    <row r="13" spans="1:84" s="4" customFormat="1" ht="12.75" customHeight="1" thickBot="1" x14ac:dyDescent="0.3">
      <c r="A13" s="27" t="s">
        <v>5</v>
      </c>
      <c r="B13" s="393">
        <f>+MAX(B15:B379)</f>
        <v>66.57992359839362</v>
      </c>
      <c r="C13" s="12">
        <f>+MAX(C15:C379)</f>
        <v>2023</v>
      </c>
      <c r="D13" s="1129"/>
      <c r="E13" s="12">
        <f t="shared" ref="E13:J13" si="4">+MAX(E15:E379)</f>
        <v>65.038600000000002</v>
      </c>
      <c r="F13" s="418">
        <f t="shared" si="4"/>
        <v>27</v>
      </c>
      <c r="G13" s="12">
        <f t="shared" si="4"/>
        <v>28</v>
      </c>
      <c r="H13" s="175">
        <f t="shared" si="4"/>
        <v>43458</v>
      </c>
      <c r="I13" s="393">
        <f t="shared" si="4"/>
        <v>1</v>
      </c>
      <c r="J13" s="393">
        <f t="shared" si="4"/>
        <v>65.093766764338525</v>
      </c>
      <c r="K13" s="6"/>
      <c r="L13" s="794">
        <f>AL13</f>
        <v>186.12</v>
      </c>
      <c r="M13" s="794">
        <f>+AM13</f>
        <v>183.018</v>
      </c>
      <c r="N13" s="793">
        <f t="shared" ref="N13:AM13" si="5">Ajust_M*N3</f>
        <v>201.63</v>
      </c>
      <c r="O13" s="784">
        <f t="shared" si="5"/>
        <v>236.786</v>
      </c>
      <c r="P13" s="784">
        <f t="shared" si="5"/>
        <v>282.28199999999998</v>
      </c>
      <c r="Q13" s="784">
        <f t="shared" si="5"/>
        <v>335.01600000000002</v>
      </c>
      <c r="R13" s="784">
        <f t="shared" si="5"/>
        <v>396.02199999999999</v>
      </c>
      <c r="S13" s="784">
        <f t="shared" si="5"/>
        <v>461.16399999999999</v>
      </c>
      <c r="T13" s="784">
        <f t="shared" si="5"/>
        <v>524.23800000000006</v>
      </c>
      <c r="U13" s="784">
        <f t="shared" si="5"/>
        <v>576.97199999999998</v>
      </c>
      <c r="V13" s="784">
        <f t="shared" si="5"/>
        <v>616.26400000000001</v>
      </c>
      <c r="W13" s="784">
        <f t="shared" si="5"/>
        <v>639.01200000000006</v>
      </c>
      <c r="X13" s="784">
        <f t="shared" si="5"/>
        <v>649.35199999999998</v>
      </c>
      <c r="Y13" s="784">
        <f t="shared" si="5"/>
        <v>650.38599999999997</v>
      </c>
      <c r="Z13" s="784">
        <f t="shared" si="5"/>
        <v>644.18200000000002</v>
      </c>
      <c r="AA13" s="784">
        <f t="shared" si="5"/>
        <v>632.80799999999999</v>
      </c>
      <c r="AB13" s="784">
        <f t="shared" si="5"/>
        <v>614.19600000000003</v>
      </c>
      <c r="AC13" s="784">
        <f t="shared" si="5"/>
        <v>590.41399999999999</v>
      </c>
      <c r="AD13" s="784">
        <f t="shared" si="5"/>
        <v>559.39400000000001</v>
      </c>
      <c r="AE13" s="784">
        <f t="shared" si="5"/>
        <v>517</v>
      </c>
      <c r="AF13" s="784">
        <f t="shared" si="5"/>
        <v>461.16399999999999</v>
      </c>
      <c r="AG13" s="784">
        <f t="shared" si="5"/>
        <v>397.05600000000004</v>
      </c>
      <c r="AH13" s="784">
        <f t="shared" si="5"/>
        <v>333.98200000000003</v>
      </c>
      <c r="AI13" s="784">
        <f t="shared" si="5"/>
        <v>282.28199999999998</v>
      </c>
      <c r="AJ13" s="784">
        <f t="shared" si="5"/>
        <v>238.85400000000001</v>
      </c>
      <c r="AK13" s="784">
        <f t="shared" si="5"/>
        <v>207.834</v>
      </c>
      <c r="AL13" s="784">
        <f t="shared" si="5"/>
        <v>186.12</v>
      </c>
      <c r="AM13" s="784">
        <f t="shared" si="5"/>
        <v>183.018</v>
      </c>
      <c r="AN13" s="794">
        <f>+N13</f>
        <v>201.63</v>
      </c>
      <c r="AO13" s="794">
        <f>+O13</f>
        <v>236.786</v>
      </c>
      <c r="AP13" s="418">
        <f t="shared" ref="AP13:AZ13" si="6">+MAX(AP15:AP379)</f>
        <v>15</v>
      </c>
      <c r="AQ13" s="12">
        <f t="shared" si="6"/>
        <v>14</v>
      </c>
      <c r="AR13" s="175">
        <f t="shared" si="6"/>
        <v>43473</v>
      </c>
      <c r="AS13" s="393">
        <f t="shared" si="6"/>
        <v>1</v>
      </c>
      <c r="AT13" s="393">
        <f t="shared" si="6"/>
        <v>65.139129087395446</v>
      </c>
      <c r="AU13" s="418">
        <f t="shared" si="6"/>
        <v>15</v>
      </c>
      <c r="AV13" s="12">
        <f t="shared" si="6"/>
        <v>14</v>
      </c>
      <c r="AW13" s="175">
        <f t="shared" si="6"/>
        <v>43487</v>
      </c>
      <c r="AX13" s="393">
        <f t="shared" si="6"/>
        <v>1</v>
      </c>
      <c r="AY13" s="393">
        <f t="shared" si="6"/>
        <v>65.077770662627046</v>
      </c>
      <c r="AZ13" s="393">
        <f t="shared" si="6"/>
        <v>65.108227314374275</v>
      </c>
      <c r="BA13" s="643"/>
      <c r="BC13" s="37"/>
      <c r="BD13" s="287" t="s">
        <v>49</v>
      </c>
      <c r="BE13" s="287" t="s">
        <v>48</v>
      </c>
      <c r="BF13" s="287" t="s">
        <v>251</v>
      </c>
      <c r="BH13" s="1137" t="s">
        <v>89</v>
      </c>
      <c r="BJ13" s="6"/>
      <c r="BN13" s="33" t="s">
        <v>209</v>
      </c>
      <c r="BO13" s="748">
        <f>Masques!I1</f>
        <v>44567</v>
      </c>
      <c r="BP13" s="826">
        <f>YEAR(BO13)</f>
        <v>2022</v>
      </c>
      <c r="BW13" s="687" t="s">
        <v>354</v>
      </c>
    </row>
    <row r="14" spans="1:84" ht="37.5" customHeight="1" thickBot="1" x14ac:dyDescent="0.3">
      <c r="A14" s="358" t="s">
        <v>114</v>
      </c>
      <c r="B14" s="79" t="s">
        <v>3</v>
      </c>
      <c r="C14" s="79" t="s">
        <v>13</v>
      </c>
      <c r="D14" s="1130"/>
      <c r="E14" s="176" t="s">
        <v>227</v>
      </c>
      <c r="F14" s="176" t="s">
        <v>223</v>
      </c>
      <c r="G14" s="176" t="s">
        <v>224</v>
      </c>
      <c r="H14" s="176" t="s">
        <v>225</v>
      </c>
      <c r="I14" s="761" t="s">
        <v>226</v>
      </c>
      <c r="J14" s="78" t="s">
        <v>0</v>
      </c>
      <c r="L14" s="2"/>
      <c r="M14" s="4" t="s">
        <v>228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6" t="s">
        <v>223</v>
      </c>
      <c r="AQ14" s="176" t="s">
        <v>224</v>
      </c>
      <c r="AR14" s="176" t="s">
        <v>225</v>
      </c>
      <c r="AS14" s="761" t="s">
        <v>226</v>
      </c>
      <c r="AT14" s="787" t="s">
        <v>235</v>
      </c>
      <c r="AU14" s="176" t="s">
        <v>223</v>
      </c>
      <c r="AV14" s="176" t="s">
        <v>224</v>
      </c>
      <c r="AW14" s="176" t="s">
        <v>225</v>
      </c>
      <c r="AX14" s="761" t="s">
        <v>226</v>
      </c>
      <c r="AY14" s="787" t="s">
        <v>236</v>
      </c>
      <c r="AZ14" s="78" t="s">
        <v>238</v>
      </c>
      <c r="BA14" s="646" t="s">
        <v>194</v>
      </c>
      <c r="BB14" s="72"/>
      <c r="BC14" s="358" t="s">
        <v>114</v>
      </c>
      <c r="BD14" s="288" t="s">
        <v>19</v>
      </c>
      <c r="BE14" s="289" t="s">
        <v>21</v>
      </c>
      <c r="BF14" s="840" t="s">
        <v>252</v>
      </c>
      <c r="BH14" s="1103" t="s">
        <v>90</v>
      </c>
      <c r="BI14" s="1102" t="s">
        <v>334</v>
      </c>
      <c r="BJ14" s="736">
        <f>Masques!B55</f>
        <v>-5</v>
      </c>
      <c r="BK14" s="736">
        <f>Masques!C55</f>
        <v>-4</v>
      </c>
      <c r="BL14" s="736">
        <f>Masques!D55</f>
        <v>-3</v>
      </c>
      <c r="BM14" s="738">
        <f>Masques!E55</f>
        <v>-2</v>
      </c>
      <c r="BN14" s="738">
        <f>Masques!F55</f>
        <v>-1</v>
      </c>
      <c r="BO14" s="739">
        <f>Masques!G55</f>
        <v>0</v>
      </c>
      <c r="BP14" s="736">
        <f>Masques!H55</f>
        <v>1</v>
      </c>
      <c r="BQ14" s="736">
        <f>Masques!I55</f>
        <v>2</v>
      </c>
      <c r="BR14" s="736">
        <f>Masques!J55</f>
        <v>3</v>
      </c>
      <c r="BS14" s="736">
        <f>Masques!K55</f>
        <v>4</v>
      </c>
      <c r="BT14" s="736">
        <f>Masques!L55</f>
        <v>5</v>
      </c>
      <c r="BU14" s="1108" t="s">
        <v>201</v>
      </c>
      <c r="BW14" s="1183">
        <v>2018</v>
      </c>
      <c r="BX14" s="1183">
        <v>2019</v>
      </c>
      <c r="BY14" s="1183">
        <v>2020</v>
      </c>
      <c r="BZ14" s="1183">
        <v>2021</v>
      </c>
      <c r="CA14" s="1183">
        <v>2022</v>
      </c>
      <c r="CB14" s="1183">
        <v>2023</v>
      </c>
      <c r="CC14" s="1183">
        <v>2024</v>
      </c>
      <c r="CD14" s="1183">
        <v>2025</v>
      </c>
      <c r="CE14" s="1183">
        <v>2026</v>
      </c>
      <c r="CF14" s="1183">
        <v>2027</v>
      </c>
    </row>
    <row r="15" spans="1:84" s="6" customFormat="1" ht="11.25" x14ac:dyDescent="0.2">
      <c r="A15" s="11">
        <v>43101</v>
      </c>
      <c r="B15" s="381">
        <f>'2023'!Maxi_hp</f>
        <v>19.462082173692245</v>
      </c>
      <c r="C15" s="84">
        <f>'2023'!An_max</f>
        <v>2022</v>
      </c>
      <c r="D15" s="1131"/>
      <c r="E15" s="767"/>
      <c r="F15" s="768">
        <f>INT(MATCH($A15,x.2m)/2)*2+1</f>
        <v>1</v>
      </c>
      <c r="G15" s="768">
        <f>INT((MATCH($A15,x.2m)+1)/2)*2</f>
        <v>2</v>
      </c>
      <c r="H15" s="769">
        <f t="shared" ref="H15:H78" si="7">INDEX(x.2m,F15)</f>
        <v>43093</v>
      </c>
      <c r="I15" s="770">
        <f t="shared" ref="I15:I78" si="8">($A15-H15)/(INDEX(x.2m,G15)-H15)</f>
        <v>0.53333333333333333</v>
      </c>
      <c r="J15" s="762">
        <f>((1-I15)*(INDEX(a.m,F15)*$A15*$A15+INDEX(b.m,F15)*$A15+INDEX(c.m,F15))+I15*(INDEX(a.m,G15)*$A15*$A15+INDEX(b.m,G15)*$A15+INDEX(c.m,G15)))/10</f>
        <v>19.031827769378822</v>
      </c>
      <c r="L15" s="774" t="s">
        <v>212</v>
      </c>
      <c r="M15" s="804">
        <f t="shared" ref="M15:AN15" si="9">L12</f>
        <v>43079</v>
      </c>
      <c r="N15" s="805">
        <f t="shared" si="9"/>
        <v>43093</v>
      </c>
      <c r="O15" s="795">
        <f t="shared" si="9"/>
        <v>43108</v>
      </c>
      <c r="P15" s="795">
        <f t="shared" si="9"/>
        <v>43122</v>
      </c>
      <c r="Q15" s="795">
        <f t="shared" si="9"/>
        <v>43136</v>
      </c>
      <c r="R15" s="795">
        <f t="shared" si="9"/>
        <v>43150</v>
      </c>
      <c r="S15" s="795">
        <f t="shared" si="9"/>
        <v>43164</v>
      </c>
      <c r="T15" s="795">
        <f t="shared" si="9"/>
        <v>43178</v>
      </c>
      <c r="U15" s="795">
        <f t="shared" si="9"/>
        <v>43192</v>
      </c>
      <c r="V15" s="795">
        <f t="shared" si="9"/>
        <v>43206</v>
      </c>
      <c r="W15" s="795">
        <f t="shared" si="9"/>
        <v>43220</v>
      </c>
      <c r="X15" s="795">
        <f t="shared" si="9"/>
        <v>43234</v>
      </c>
      <c r="Y15" s="795">
        <f t="shared" si="9"/>
        <v>43248</v>
      </c>
      <c r="Z15" s="795">
        <f t="shared" si="9"/>
        <v>43262</v>
      </c>
      <c r="AA15" s="795">
        <f t="shared" si="9"/>
        <v>43276</v>
      </c>
      <c r="AB15" s="795">
        <f t="shared" si="9"/>
        <v>43290</v>
      </c>
      <c r="AC15" s="795">
        <f t="shared" si="9"/>
        <v>43304</v>
      </c>
      <c r="AD15" s="795">
        <f t="shared" si="9"/>
        <v>43318</v>
      </c>
      <c r="AE15" s="795">
        <f t="shared" si="9"/>
        <v>43332</v>
      </c>
      <c r="AF15" s="795">
        <f t="shared" si="9"/>
        <v>43346</v>
      </c>
      <c r="AG15" s="795">
        <f t="shared" si="9"/>
        <v>43360</v>
      </c>
      <c r="AH15" s="795">
        <f t="shared" si="9"/>
        <v>43374</v>
      </c>
      <c r="AI15" s="795">
        <f t="shared" si="9"/>
        <v>43388</v>
      </c>
      <c r="AJ15" s="795">
        <f t="shared" si="9"/>
        <v>43402</v>
      </c>
      <c r="AK15" s="795">
        <f t="shared" si="9"/>
        <v>43416</v>
      </c>
      <c r="AL15" s="795">
        <f t="shared" si="9"/>
        <v>43430</v>
      </c>
      <c r="AM15" s="795">
        <f t="shared" si="9"/>
        <v>43444</v>
      </c>
      <c r="AN15" s="797">
        <f t="shared" si="9"/>
        <v>43458</v>
      </c>
      <c r="AP15" s="768">
        <f t="shared" ref="AP15:AP78" si="10">INT(MATCH($A15,x.2lg)/2)*2+1</f>
        <v>1</v>
      </c>
      <c r="AQ15" s="768">
        <f t="shared" ref="AQ15:AQ78" si="11">INT((MATCH($A15,x.2lg)+1)/2)*2</f>
        <v>2</v>
      </c>
      <c r="AR15" s="769">
        <f t="shared" ref="AR15:AR78" si="12">INDEX(x.2lg,AP15)</f>
        <v>43079</v>
      </c>
      <c r="AS15" s="770">
        <f t="shared" ref="AS15:AS78" si="13">($A15-AR15)/(INDEX(x.2lg,AQ15)-AR15)</f>
        <v>0.75862068965517238</v>
      </c>
      <c r="AT15" s="788">
        <f t="shared" ref="AT15:AT78" si="14">((1-AS15)*(INDEX(a.lg,AP15)*$A15*$A15+INDEX(b.lg,AP15)*$A15+INDEX(c.lg,AP15))+AS15*(INDEX(a.lg,AQ15)*$A15*$A15+INDEX(b.lg,AQ15)*$A15+INDEX(c.lg,AQ15)))/10</f>
        <v>19.150163383679143</v>
      </c>
      <c r="AU15" s="768">
        <f t="shared" ref="AU15:AU78" si="15">INT(MATCH($A15,x.2ld)/2)*2+1</f>
        <v>1</v>
      </c>
      <c r="AV15" s="768">
        <f t="shared" ref="AV15:AV78" si="16">INT((MATCH($A15,x.2ld)+1)/2)*2</f>
        <v>2</v>
      </c>
      <c r="AW15" s="769">
        <f t="shared" ref="AW15:AW78" si="17">INDEX(x.2ld,AU15)</f>
        <v>43093</v>
      </c>
      <c r="AX15" s="770">
        <f t="shared" ref="AX15:AX78" si="18">($A15-AW15)/(INDEX(x.2ld,AV15)-AW15)</f>
        <v>0.27586206896551724</v>
      </c>
      <c r="AY15" s="788">
        <f t="shared" ref="AY15:AY78" si="19">((1-AX15)*(INDEX(a.ld,AU15)*$A15*$A15+INDEX(b.ld,AU15)*$A15+INDEX(c.ld,AU15))+AX15*(INDEX(a.ld,AV15)*$A15*$A15+INDEX(b.ld,AV15)*$A15+INDEX(c.ld,AV15)))/10</f>
        <v>19.065687803872702</v>
      </c>
      <c r="AZ15" s="762">
        <f>(AY15+AT15)/2</f>
        <v>19.107925593775924</v>
      </c>
      <c r="BA15" s="647">
        <f t="shared" ref="BA15:BA78" si="20">+B15/J15</f>
        <v>1.0226070984630116</v>
      </c>
      <c r="BB15" s="642">
        <v>43101</v>
      </c>
      <c r="BC15" s="11">
        <v>43101</v>
      </c>
      <c r="BD15" s="290">
        <f>[2]!FeuilCaduc*(1-Persistant)+Persistant</f>
        <v>1</v>
      </c>
      <c r="BE15" s="291">
        <f>[2]!CroissVégét</f>
        <v>2.3909964587625958E-6</v>
      </c>
      <c r="BF15" s="841">
        <f>1+[2]!Salcycl*Ksac</f>
        <v>1.0011445748571535</v>
      </c>
      <c r="BH15" s="1104">
        <f t="shared" ref="BH15:BH78" si="21">INDEX($BJ15:$BT15,,$BH$10)*(1-Ratini)+INDEX($BJ15:$BT15,,$BH$10+1)*Ratini</f>
        <v>2.4372204386507557E-2</v>
      </c>
      <c r="BI15" s="11">
        <v>44197</v>
      </c>
      <c r="BJ15" s="846">
        <v>4.1125870155699063E-4</v>
      </c>
      <c r="BK15" s="740">
        <v>2.9979938181374922E-3</v>
      </c>
      <c r="BL15" s="740">
        <v>1.8050760638635126E-2</v>
      </c>
      <c r="BM15" s="740">
        <v>4.9693421055535425E-2</v>
      </c>
      <c r="BN15" s="740">
        <v>0.11916899734671965</v>
      </c>
      <c r="BO15" s="741">
        <v>0.20572830472163448</v>
      </c>
      <c r="BP15" s="740">
        <v>0.33220571554611583</v>
      </c>
      <c r="BQ15" s="740">
        <v>0.46423987531026545</v>
      </c>
      <c r="BR15" s="740">
        <v>0.61213593049044202</v>
      </c>
      <c r="BS15" s="740">
        <v>0.73805410594683185</v>
      </c>
      <c r="BT15" s="740">
        <v>0.85357806620388721</v>
      </c>
      <c r="BW15" s="1184">
        <f>'2018'!R\Max</f>
        <v>0</v>
      </c>
      <c r="BX15" s="1185">
        <f>'2019'!R\Max</f>
        <v>0.11254195733168026</v>
      </c>
      <c r="BY15" s="1185">
        <f>'2020'!R\Max</f>
        <v>0.72180038209004893</v>
      </c>
      <c r="BZ15" s="1185">
        <f>'2021'!R\Max</f>
        <v>0.60858318089621799</v>
      </c>
      <c r="CA15" s="1185">
        <f>'2022'!R\Max</f>
        <v>1.0226070984630116</v>
      </c>
      <c r="CB15" s="1185">
        <f>'2023'!R\Max</f>
        <v>0.33769112695301678</v>
      </c>
      <c r="CC15" s="1185">
        <f>'2024'!R\Max</f>
        <v>0.32271193563365491</v>
      </c>
      <c r="CD15" s="1185">
        <f>'2025'!R\Max</f>
        <v>0.30703460064194144</v>
      </c>
      <c r="CE15" s="1185">
        <f>'2026'!R\Max</f>
        <v>0.37799137785964076</v>
      </c>
      <c r="CF15" s="1186">
        <f>'2027'!R\Max</f>
        <v>0.37102280129595172</v>
      </c>
    </row>
    <row r="16" spans="1:84" s="6" customFormat="1" ht="11.25" x14ac:dyDescent="0.2">
      <c r="A16" s="11">
        <v>43102</v>
      </c>
      <c r="B16" s="382">
        <f>'2023'!Maxi_hp</f>
        <v>17.82763006390077</v>
      </c>
      <c r="C16" s="85">
        <f>'2023'!An_max</f>
        <v>2020</v>
      </c>
      <c r="D16" s="1132"/>
      <c r="E16" s="771"/>
      <c r="F16" s="13">
        <f t="shared" ref="F16:F79" si="22">INT(MATCH($A16,x.2m)/2)*2+1</f>
        <v>1</v>
      </c>
      <c r="G16" s="13">
        <f t="shared" ref="G16:G78" si="23">INT((MATCH($A16,x.2m)+1)/2)*2</f>
        <v>2</v>
      </c>
      <c r="H16" s="175">
        <f t="shared" si="7"/>
        <v>43093</v>
      </c>
      <c r="I16" s="772">
        <f t="shared" si="8"/>
        <v>0.6</v>
      </c>
      <c r="J16" s="763">
        <f>((1-I16)*(INDEX(a.m,F16)*$A16*$A16+INDEX(b.m,F16)*$A16+INDEX(c.m,F16))+I16*(INDEX(a.m,G16)*$A16*$A16+INDEX(b.m,G16)*$A16+INDEX(c.m,G16)))/10</f>
        <v>19.167670579552652</v>
      </c>
      <c r="L16" s="775" t="s">
        <v>213</v>
      </c>
      <c r="M16" s="758">
        <f t="shared" ref="M16:AN16" si="24">L13</f>
        <v>186.12</v>
      </c>
      <c r="N16" s="800">
        <f t="shared" si="24"/>
        <v>183.018</v>
      </c>
      <c r="O16" s="759">
        <f t="shared" si="24"/>
        <v>201.63</v>
      </c>
      <c r="P16" s="759">
        <f t="shared" si="24"/>
        <v>236.786</v>
      </c>
      <c r="Q16" s="759">
        <f t="shared" si="24"/>
        <v>282.28199999999998</v>
      </c>
      <c r="R16" s="759">
        <f t="shared" si="24"/>
        <v>335.01600000000002</v>
      </c>
      <c r="S16" s="759">
        <f t="shared" si="24"/>
        <v>396.02199999999999</v>
      </c>
      <c r="T16" s="759">
        <f t="shared" si="24"/>
        <v>461.16399999999999</v>
      </c>
      <c r="U16" s="759">
        <f t="shared" si="24"/>
        <v>524.23800000000006</v>
      </c>
      <c r="V16" s="759">
        <f t="shared" si="24"/>
        <v>576.97199999999998</v>
      </c>
      <c r="W16" s="759">
        <f t="shared" si="24"/>
        <v>616.26400000000001</v>
      </c>
      <c r="X16" s="759">
        <f t="shared" si="24"/>
        <v>639.01200000000006</v>
      </c>
      <c r="Y16" s="759">
        <f t="shared" si="24"/>
        <v>649.35199999999998</v>
      </c>
      <c r="Z16" s="759">
        <f t="shared" si="24"/>
        <v>650.38599999999997</v>
      </c>
      <c r="AA16" s="759">
        <f t="shared" si="24"/>
        <v>644.18200000000002</v>
      </c>
      <c r="AB16" s="759">
        <f t="shared" si="24"/>
        <v>632.80799999999999</v>
      </c>
      <c r="AC16" s="759">
        <f t="shared" si="24"/>
        <v>614.19600000000003</v>
      </c>
      <c r="AD16" s="759">
        <f t="shared" si="24"/>
        <v>590.41399999999999</v>
      </c>
      <c r="AE16" s="759">
        <f t="shared" si="24"/>
        <v>559.39400000000001</v>
      </c>
      <c r="AF16" s="759">
        <f t="shared" si="24"/>
        <v>517</v>
      </c>
      <c r="AG16" s="759">
        <f t="shared" si="24"/>
        <v>461.16399999999999</v>
      </c>
      <c r="AH16" s="759">
        <f t="shared" si="24"/>
        <v>397.05600000000004</v>
      </c>
      <c r="AI16" s="759">
        <f t="shared" si="24"/>
        <v>333.98200000000003</v>
      </c>
      <c r="AJ16" s="759">
        <f t="shared" si="24"/>
        <v>282.28199999999998</v>
      </c>
      <c r="AK16" s="759">
        <f t="shared" si="24"/>
        <v>238.85400000000001</v>
      </c>
      <c r="AL16" s="759">
        <f t="shared" si="24"/>
        <v>207.834</v>
      </c>
      <c r="AM16" s="759">
        <f t="shared" si="24"/>
        <v>186.12</v>
      </c>
      <c r="AN16" s="798">
        <f t="shared" si="24"/>
        <v>183.018</v>
      </c>
      <c r="AP16" s="13">
        <f t="shared" si="10"/>
        <v>1</v>
      </c>
      <c r="AQ16" s="13">
        <f t="shared" si="11"/>
        <v>2</v>
      </c>
      <c r="AR16" s="175">
        <f t="shared" si="12"/>
        <v>43079</v>
      </c>
      <c r="AS16" s="772">
        <f t="shared" si="13"/>
        <v>0.7931034482758621</v>
      </c>
      <c r="AT16" s="789">
        <f t="shared" si="14"/>
        <v>19.270585329727879</v>
      </c>
      <c r="AU16" s="13">
        <f t="shared" si="15"/>
        <v>1</v>
      </c>
      <c r="AV16" s="13">
        <f t="shared" si="16"/>
        <v>2</v>
      </c>
      <c r="AW16" s="175">
        <f t="shared" si="17"/>
        <v>43093</v>
      </c>
      <c r="AX16" s="772">
        <f t="shared" si="18"/>
        <v>0.31034482758620691</v>
      </c>
      <c r="AY16" s="789">
        <f t="shared" si="19"/>
        <v>19.211539367946056</v>
      </c>
      <c r="AZ16" s="763">
        <f t="shared" ref="AZ16:AZ79" si="25">(AY16+AT16)/2</f>
        <v>19.241062348836969</v>
      </c>
      <c r="BA16" s="647">
        <f t="shared" si="20"/>
        <v>0.93008850449040026</v>
      </c>
      <c r="BB16" s="642">
        <v>43102</v>
      </c>
      <c r="BC16" s="11">
        <v>43102</v>
      </c>
      <c r="BD16" s="292">
        <f>[2]!FeuilCaduc*(1-Persistant)+Persistant</f>
        <v>1</v>
      </c>
      <c r="BE16" s="293">
        <f>[2]!CroissVégét</f>
        <v>6.0820224447240291E-5</v>
      </c>
      <c r="BF16" s="842">
        <f>1+[2]!Salcycl*Ksac</f>
        <v>1.0010645631627599</v>
      </c>
      <c r="BH16" s="1105">
        <f t="shared" si="21"/>
        <v>2.4246482887017987E-2</v>
      </c>
      <c r="BI16" s="11">
        <v>44198</v>
      </c>
      <c r="BJ16" s="742">
        <v>4.2356302145848328E-4</v>
      </c>
      <c r="BK16" s="742">
        <v>2.9340698084268017E-3</v>
      </c>
      <c r="BL16" s="742">
        <v>1.7878221321546223E-2</v>
      </c>
      <c r="BM16" s="742">
        <v>4.9755233314264104E-2</v>
      </c>
      <c r="BN16" s="742">
        <v>0.11843592622618958</v>
      </c>
      <c r="BO16" s="743">
        <v>0.20513124447736186</v>
      </c>
      <c r="BP16" s="742">
        <v>0.33063726018727219</v>
      </c>
      <c r="BQ16" s="742">
        <v>0.46313615630294108</v>
      </c>
      <c r="BR16" s="742">
        <v>0.61093927665109116</v>
      </c>
      <c r="BS16" s="742">
        <v>0.73843732667310447</v>
      </c>
      <c r="BT16" s="742">
        <v>0.85613177940858243</v>
      </c>
      <c r="BW16" s="1187">
        <f>'2018'!R\Max</f>
        <v>0</v>
      </c>
      <c r="BX16" s="1185">
        <f>'2019'!R\Max</f>
        <v>0.36872264662968213</v>
      </c>
      <c r="BY16" s="1185">
        <f>'2020'!R\Max</f>
        <v>0.93008850449040026</v>
      </c>
      <c r="BZ16" s="1185">
        <f>'2021'!R\Max</f>
        <v>0.22089947992776646</v>
      </c>
      <c r="CA16" s="1185">
        <f>'2022'!R\Max</f>
        <v>0.85405160284088155</v>
      </c>
      <c r="CB16" s="1185">
        <f>'2023'!R\Max</f>
        <v>8.059631366220546E-2</v>
      </c>
      <c r="CC16" s="1185">
        <f>'2024'!R\Max</f>
        <v>7.6670486868711585E-2</v>
      </c>
      <c r="CD16" s="1185">
        <f>'2025'!R\Max</f>
        <v>7.2587593757592425E-2</v>
      </c>
      <c r="CE16" s="1185">
        <f>'2026'!R\Max</f>
        <v>9.1315610601354749E-2</v>
      </c>
      <c r="CF16" s="1186">
        <f>'2027'!R\Max</f>
        <v>8.9448975214776974E-2</v>
      </c>
    </row>
    <row r="17" spans="1:84" s="6" customFormat="1" ht="11.25" x14ac:dyDescent="0.2">
      <c r="A17" s="11">
        <v>43103</v>
      </c>
      <c r="B17" s="382">
        <f>'2023'!Maxi_hp</f>
        <v>19.427917678346777</v>
      </c>
      <c r="C17" s="85">
        <f>'2023'!An_max</f>
        <v>2019</v>
      </c>
      <c r="D17" s="1132"/>
      <c r="E17" s="771"/>
      <c r="F17" s="13">
        <f t="shared" si="22"/>
        <v>1</v>
      </c>
      <c r="G17" s="13">
        <f t="shared" si="23"/>
        <v>2</v>
      </c>
      <c r="H17" s="175">
        <f t="shared" si="7"/>
        <v>43093</v>
      </c>
      <c r="I17" s="772">
        <f t="shared" si="8"/>
        <v>0.66666666666666663</v>
      </c>
      <c r="J17" s="763">
        <f t="shared" ref="J17:J78" si="26">((1-I17)*(INDEX(a.m,F17)*$A17*$A17+INDEX(b.m,F17)*$A17+INDEX(c.m,F17))+I17*(INDEX(a.m,G17)*$A17*$A17+INDEX(b.m,G17)*$A17+INDEX(c.m,G17)))/10</f>
        <v>19.312539242208004</v>
      </c>
      <c r="L17" s="775" t="s">
        <v>214</v>
      </c>
      <c r="M17" s="801">
        <f t="shared" ref="M17:AN17" si="27">M12</f>
        <v>43093</v>
      </c>
      <c r="N17" s="754">
        <f t="shared" si="27"/>
        <v>43108</v>
      </c>
      <c r="O17" s="754">
        <f t="shared" si="27"/>
        <v>43122</v>
      </c>
      <c r="P17" s="754">
        <f t="shared" si="27"/>
        <v>43136</v>
      </c>
      <c r="Q17" s="754">
        <f t="shared" si="27"/>
        <v>43150</v>
      </c>
      <c r="R17" s="754">
        <f t="shared" si="27"/>
        <v>43164</v>
      </c>
      <c r="S17" s="754">
        <f t="shared" si="27"/>
        <v>43178</v>
      </c>
      <c r="T17" s="754">
        <f t="shared" si="27"/>
        <v>43192</v>
      </c>
      <c r="U17" s="754">
        <f t="shared" si="27"/>
        <v>43206</v>
      </c>
      <c r="V17" s="754">
        <f t="shared" si="27"/>
        <v>43220</v>
      </c>
      <c r="W17" s="754">
        <f t="shared" si="27"/>
        <v>43234</v>
      </c>
      <c r="X17" s="754">
        <f t="shared" si="27"/>
        <v>43248</v>
      </c>
      <c r="Y17" s="754">
        <f t="shared" si="27"/>
        <v>43262</v>
      </c>
      <c r="Z17" s="754">
        <f t="shared" si="27"/>
        <v>43276</v>
      </c>
      <c r="AA17" s="754">
        <f t="shared" si="27"/>
        <v>43290</v>
      </c>
      <c r="AB17" s="754">
        <f t="shared" si="27"/>
        <v>43304</v>
      </c>
      <c r="AC17" s="754">
        <f t="shared" si="27"/>
        <v>43318</v>
      </c>
      <c r="AD17" s="754">
        <f t="shared" si="27"/>
        <v>43332</v>
      </c>
      <c r="AE17" s="754">
        <f t="shared" si="27"/>
        <v>43346</v>
      </c>
      <c r="AF17" s="754">
        <f t="shared" si="27"/>
        <v>43360</v>
      </c>
      <c r="AG17" s="754">
        <f t="shared" si="27"/>
        <v>43374</v>
      </c>
      <c r="AH17" s="754">
        <f t="shared" si="27"/>
        <v>43388</v>
      </c>
      <c r="AI17" s="754">
        <f t="shared" si="27"/>
        <v>43402</v>
      </c>
      <c r="AJ17" s="754">
        <f t="shared" si="27"/>
        <v>43416</v>
      </c>
      <c r="AK17" s="754">
        <f t="shared" si="27"/>
        <v>43430</v>
      </c>
      <c r="AL17" s="754">
        <f t="shared" si="27"/>
        <v>43444</v>
      </c>
      <c r="AM17" s="799">
        <f t="shared" si="27"/>
        <v>43458</v>
      </c>
      <c r="AN17" s="806">
        <f t="shared" si="27"/>
        <v>43473</v>
      </c>
      <c r="AP17" s="13">
        <f t="shared" si="10"/>
        <v>1</v>
      </c>
      <c r="AQ17" s="13">
        <f t="shared" si="11"/>
        <v>2</v>
      </c>
      <c r="AR17" s="175">
        <f t="shared" si="12"/>
        <v>43079</v>
      </c>
      <c r="AS17" s="772">
        <f t="shared" si="13"/>
        <v>0.82758620689655171</v>
      </c>
      <c r="AT17" s="789">
        <f t="shared" si="14"/>
        <v>19.399140855053378</v>
      </c>
      <c r="AU17" s="13">
        <f t="shared" si="15"/>
        <v>1</v>
      </c>
      <c r="AV17" s="13">
        <f t="shared" si="16"/>
        <v>2</v>
      </c>
      <c r="AW17" s="175">
        <f t="shared" si="17"/>
        <v>43093</v>
      </c>
      <c r="AX17" s="772">
        <f t="shared" si="18"/>
        <v>0.34482758620689657</v>
      </c>
      <c r="AY17" s="789">
        <f t="shared" si="19"/>
        <v>19.367269056727146</v>
      </c>
      <c r="AZ17" s="763">
        <f t="shared" si="25"/>
        <v>19.383204955890264</v>
      </c>
      <c r="BA17" s="647">
        <f t="shared" si="20"/>
        <v>1.0059742758159222</v>
      </c>
      <c r="BB17" s="642">
        <v>43103</v>
      </c>
      <c r="BC17" s="11">
        <v>43103</v>
      </c>
      <c r="BD17" s="292">
        <f>[2]!FeuilCaduc*(1-Persistant)+Persistant</f>
        <v>1</v>
      </c>
      <c r="BE17" s="293">
        <f>[2]!CroissVégét</f>
        <v>1.216934154264056E-4</v>
      </c>
      <c r="BF17" s="842">
        <f>1+[2]!Salcycl*Ksac</f>
        <v>1.0009890536460717</v>
      </c>
      <c r="BH17" s="1105">
        <f t="shared" si="21"/>
        <v>2.4124435508611146E-2</v>
      </c>
      <c r="BI17" s="11">
        <v>44199</v>
      </c>
      <c r="BJ17" s="742">
        <v>4.362276637260847E-4</v>
      </c>
      <c r="BK17" s="742">
        <v>2.8726369547969464E-3</v>
      </c>
      <c r="BL17" s="742">
        <v>1.7704941058153092E-2</v>
      </c>
      <c r="BM17" s="742">
        <v>4.9838404717050068E-2</v>
      </c>
      <c r="BN17" s="742">
        <v>0.117677586055227</v>
      </c>
      <c r="BO17" s="743">
        <v>0.20450684655097676</v>
      </c>
      <c r="BP17" s="742">
        <v>0.32884760576026023</v>
      </c>
      <c r="BQ17" s="742">
        <v>0.46183369599390955</v>
      </c>
      <c r="BR17" s="742">
        <v>0.60951093453466321</v>
      </c>
      <c r="BS17" s="742">
        <v>0.73873494261773587</v>
      </c>
      <c r="BT17" s="742">
        <v>0.85860796003586715</v>
      </c>
      <c r="BW17" s="1187">
        <f>'2018'!R\Max</f>
        <v>0</v>
      </c>
      <c r="BX17" s="1185">
        <f>'2019'!R\Max</f>
        <v>1.0059742758159222</v>
      </c>
      <c r="BY17" s="1185">
        <f>'2020'!R\Max</f>
        <v>0.470978772650257</v>
      </c>
      <c r="BZ17" s="1185">
        <f>'2021'!R\Max</f>
        <v>0.96314026605666747</v>
      </c>
      <c r="CA17" s="1185">
        <f>'2022'!R\Max</f>
        <v>0.81927663520818406</v>
      </c>
      <c r="CB17" s="1185">
        <f>'2023'!R\Max</f>
        <v>0.64762469339979423</v>
      </c>
      <c r="CC17" s="1185">
        <f>'2024'!R\Max</f>
        <v>0.63233039274331071</v>
      </c>
      <c r="CD17" s="1185">
        <f>'2025'!R\Max</f>
        <v>0.61548303083886702</v>
      </c>
      <c r="CE17" s="1185">
        <f>'2026'!R\Max</f>
        <v>0.68556503857374773</v>
      </c>
      <c r="CF17" s="1186">
        <f>'2027'!R\Max</f>
        <v>0.6793380444442696</v>
      </c>
    </row>
    <row r="18" spans="1:84" s="6" customFormat="1" ht="11.25" x14ac:dyDescent="0.2">
      <c r="A18" s="11">
        <v>43104</v>
      </c>
      <c r="B18" s="382">
        <f>'2023'!Maxi_hp</f>
        <v>19.204055167696065</v>
      </c>
      <c r="C18" s="85">
        <f>'2023'!An_max</f>
        <v>2019</v>
      </c>
      <c r="D18" s="1132"/>
      <c r="E18" s="771"/>
      <c r="F18" s="13">
        <f t="shared" si="22"/>
        <v>1</v>
      </c>
      <c r="G18" s="13">
        <f t="shared" si="23"/>
        <v>2</v>
      </c>
      <c r="H18" s="175">
        <f t="shared" si="7"/>
        <v>43093</v>
      </c>
      <c r="I18" s="772">
        <f t="shared" si="8"/>
        <v>0.73333333333333328</v>
      </c>
      <c r="J18" s="763">
        <f t="shared" si="26"/>
        <v>19.466168891191483</v>
      </c>
      <c r="L18" s="775" t="s">
        <v>215</v>
      </c>
      <c r="M18" s="800">
        <f t="shared" ref="M18:AN18" si="28">M13</f>
        <v>183.018</v>
      </c>
      <c r="N18" s="760">
        <f t="shared" si="28"/>
        <v>201.63</v>
      </c>
      <c r="O18" s="760">
        <f t="shared" si="28"/>
        <v>236.786</v>
      </c>
      <c r="P18" s="760">
        <f t="shared" si="28"/>
        <v>282.28199999999998</v>
      </c>
      <c r="Q18" s="760">
        <f t="shared" si="28"/>
        <v>335.01600000000002</v>
      </c>
      <c r="R18" s="760">
        <f t="shared" si="28"/>
        <v>396.02199999999999</v>
      </c>
      <c r="S18" s="760">
        <f t="shared" si="28"/>
        <v>461.16399999999999</v>
      </c>
      <c r="T18" s="760">
        <f t="shared" si="28"/>
        <v>524.23800000000006</v>
      </c>
      <c r="U18" s="760">
        <f t="shared" si="28"/>
        <v>576.97199999999998</v>
      </c>
      <c r="V18" s="760">
        <f t="shared" si="28"/>
        <v>616.26400000000001</v>
      </c>
      <c r="W18" s="760">
        <f t="shared" si="28"/>
        <v>639.01200000000006</v>
      </c>
      <c r="X18" s="760">
        <f t="shared" si="28"/>
        <v>649.35199999999998</v>
      </c>
      <c r="Y18" s="760">
        <f t="shared" si="28"/>
        <v>650.38599999999997</v>
      </c>
      <c r="Z18" s="760">
        <f t="shared" si="28"/>
        <v>644.18200000000002</v>
      </c>
      <c r="AA18" s="760">
        <f t="shared" si="28"/>
        <v>632.80799999999999</v>
      </c>
      <c r="AB18" s="760">
        <f t="shared" si="28"/>
        <v>614.19600000000003</v>
      </c>
      <c r="AC18" s="760">
        <f t="shared" si="28"/>
        <v>590.41399999999999</v>
      </c>
      <c r="AD18" s="760">
        <f t="shared" si="28"/>
        <v>559.39400000000001</v>
      </c>
      <c r="AE18" s="760">
        <f t="shared" si="28"/>
        <v>517</v>
      </c>
      <c r="AF18" s="760">
        <f t="shared" si="28"/>
        <v>461.16399999999999</v>
      </c>
      <c r="AG18" s="760">
        <f t="shared" si="28"/>
        <v>397.05600000000004</v>
      </c>
      <c r="AH18" s="760">
        <f t="shared" si="28"/>
        <v>333.98200000000003</v>
      </c>
      <c r="AI18" s="760">
        <f t="shared" si="28"/>
        <v>282.28199999999998</v>
      </c>
      <c r="AJ18" s="760">
        <f t="shared" si="28"/>
        <v>238.85400000000001</v>
      </c>
      <c r="AK18" s="760">
        <f t="shared" si="28"/>
        <v>207.834</v>
      </c>
      <c r="AL18" s="760">
        <f t="shared" si="28"/>
        <v>186.12</v>
      </c>
      <c r="AM18" s="798">
        <f t="shared" si="28"/>
        <v>183.018</v>
      </c>
      <c r="AN18" s="796">
        <f t="shared" si="28"/>
        <v>201.63</v>
      </c>
      <c r="AP18" s="13">
        <f t="shared" si="10"/>
        <v>1</v>
      </c>
      <c r="AQ18" s="13">
        <f t="shared" si="11"/>
        <v>2</v>
      </c>
      <c r="AR18" s="175">
        <f t="shared" si="12"/>
        <v>43079</v>
      </c>
      <c r="AS18" s="772">
        <f t="shared" si="13"/>
        <v>0.86206896551724133</v>
      </c>
      <c r="AT18" s="789">
        <f t="shared" si="14"/>
        <v>19.535803607979723</v>
      </c>
      <c r="AU18" s="13">
        <f t="shared" si="15"/>
        <v>1</v>
      </c>
      <c r="AV18" s="13">
        <f t="shared" si="16"/>
        <v>2</v>
      </c>
      <c r="AW18" s="175">
        <f t="shared" si="17"/>
        <v>43093</v>
      </c>
      <c r="AX18" s="772">
        <f t="shared" si="18"/>
        <v>0.37931034482758619</v>
      </c>
      <c r="AY18" s="789">
        <f t="shared" si="19"/>
        <v>19.532482602216046</v>
      </c>
      <c r="AZ18" s="763">
        <f t="shared" si="25"/>
        <v>19.534143105097883</v>
      </c>
      <c r="BA18" s="647">
        <f t="shared" si="20"/>
        <v>0.98653490961880919</v>
      </c>
      <c r="BB18" s="642">
        <v>43104</v>
      </c>
      <c r="BC18" s="11">
        <v>43104</v>
      </c>
      <c r="BD18" s="292">
        <f>[2]!FeuilCaduc*(1-Persistant)+Persistant</f>
        <v>1</v>
      </c>
      <c r="BE18" s="293">
        <f>[2]!CroissVégét</f>
        <v>1.8511247801664469E-4</v>
      </c>
      <c r="BF18" s="842">
        <f>1+[2]!Salcycl*Ksac</f>
        <v>1.0009175780504163</v>
      </c>
      <c r="BH18" s="1105">
        <f t="shared" si="21"/>
        <v>2.4006003872704351E-2</v>
      </c>
      <c r="BI18" s="11">
        <v>44200</v>
      </c>
      <c r="BJ18" s="742">
        <v>4.4925220331855088E-4</v>
      </c>
      <c r="BK18" s="742">
        <v>2.8136905830190122E-3</v>
      </c>
      <c r="BL18" s="742">
        <v>1.7530870902721905E-2</v>
      </c>
      <c r="BM18" s="742">
        <v>4.9942839101029202E-2</v>
      </c>
      <c r="BN18" s="742">
        <v>0.11689362794654622</v>
      </c>
      <c r="BO18" s="743">
        <v>0.20385453814196997</v>
      </c>
      <c r="BP18" s="742">
        <v>0.32683556642863038</v>
      </c>
      <c r="BQ18" s="742">
        <v>0.46033100626535089</v>
      </c>
      <c r="BR18" s="742">
        <v>0.60784898808281185</v>
      </c>
      <c r="BS18" s="742">
        <v>0.73894493952791773</v>
      </c>
      <c r="BT18" s="742">
        <v>0.86100432849394948</v>
      </c>
      <c r="BW18" s="1187">
        <f>'2018'!R\Max</f>
        <v>0</v>
      </c>
      <c r="BX18" s="1185">
        <f>'2019'!R\Max</f>
        <v>0.98653490961880919</v>
      </c>
      <c r="BY18" s="1185">
        <f>'2020'!R\Max</f>
        <v>0.29694056228212007</v>
      </c>
      <c r="BZ18" s="1185">
        <f>'2021'!R\Max</f>
        <v>0.90425834586095299</v>
      </c>
      <c r="CA18" s="1185">
        <f>'2022'!R\Max</f>
        <v>0.8566693372683295</v>
      </c>
      <c r="CB18" s="1185">
        <f>'2023'!R\Max</f>
        <v>0.64607074353155092</v>
      </c>
      <c r="CC18" s="1185">
        <f>'2024'!R\Max</f>
        <v>0.6309261295690447</v>
      </c>
      <c r="CD18" s="1185">
        <f>'2025'!R\Max</f>
        <v>0.61416727956149397</v>
      </c>
      <c r="CE18" s="1185">
        <f>'2026'!R\Max</f>
        <v>0.68353611457534103</v>
      </c>
      <c r="CF18" s="1186">
        <f>'2027'!R\Max</f>
        <v>0.67740564054159191</v>
      </c>
    </row>
    <row r="19" spans="1:84" s="6" customFormat="1" ht="11.25" x14ac:dyDescent="0.2">
      <c r="A19" s="11">
        <v>43105</v>
      </c>
      <c r="B19" s="382">
        <f>'2023'!Maxi_hp</f>
        <v>19.428700857508826</v>
      </c>
      <c r="C19" s="85">
        <f>'2023'!An_max</f>
        <v>2019</v>
      </c>
      <c r="D19" s="1132"/>
      <c r="E19" s="771"/>
      <c r="F19" s="13">
        <f t="shared" si="22"/>
        <v>1</v>
      </c>
      <c r="G19" s="13">
        <f t="shared" si="23"/>
        <v>2</v>
      </c>
      <c r="H19" s="175">
        <f t="shared" si="7"/>
        <v>43093</v>
      </c>
      <c r="I19" s="772">
        <f t="shared" si="8"/>
        <v>0.8</v>
      </c>
      <c r="J19" s="763">
        <f t="shared" si="26"/>
        <v>19.62829465985298</v>
      </c>
      <c r="L19" s="775" t="s">
        <v>216</v>
      </c>
      <c r="M19" s="802">
        <f t="shared" ref="M19:AN19" si="29">N12</f>
        <v>43108</v>
      </c>
      <c r="N19" s="755">
        <f t="shared" si="29"/>
        <v>43122</v>
      </c>
      <c r="O19" s="755">
        <f t="shared" si="29"/>
        <v>43136</v>
      </c>
      <c r="P19" s="755">
        <f t="shared" si="29"/>
        <v>43150</v>
      </c>
      <c r="Q19" s="755">
        <f t="shared" si="29"/>
        <v>43164</v>
      </c>
      <c r="R19" s="755">
        <f t="shared" si="29"/>
        <v>43178</v>
      </c>
      <c r="S19" s="755">
        <f t="shared" si="29"/>
        <v>43192</v>
      </c>
      <c r="T19" s="755">
        <f t="shared" si="29"/>
        <v>43206</v>
      </c>
      <c r="U19" s="755">
        <f t="shared" si="29"/>
        <v>43220</v>
      </c>
      <c r="V19" s="755">
        <f t="shared" si="29"/>
        <v>43234</v>
      </c>
      <c r="W19" s="755">
        <f t="shared" si="29"/>
        <v>43248</v>
      </c>
      <c r="X19" s="755">
        <f t="shared" si="29"/>
        <v>43262</v>
      </c>
      <c r="Y19" s="755">
        <f t="shared" si="29"/>
        <v>43276</v>
      </c>
      <c r="Z19" s="755">
        <f t="shared" si="29"/>
        <v>43290</v>
      </c>
      <c r="AA19" s="755">
        <f t="shared" si="29"/>
        <v>43304</v>
      </c>
      <c r="AB19" s="755">
        <f t="shared" si="29"/>
        <v>43318</v>
      </c>
      <c r="AC19" s="755">
        <f t="shared" si="29"/>
        <v>43332</v>
      </c>
      <c r="AD19" s="755">
        <f t="shared" si="29"/>
        <v>43346</v>
      </c>
      <c r="AE19" s="755">
        <f t="shared" si="29"/>
        <v>43360</v>
      </c>
      <c r="AF19" s="755">
        <f t="shared" si="29"/>
        <v>43374</v>
      </c>
      <c r="AG19" s="755">
        <f t="shared" si="29"/>
        <v>43388</v>
      </c>
      <c r="AH19" s="755">
        <f t="shared" si="29"/>
        <v>43402</v>
      </c>
      <c r="AI19" s="755">
        <f t="shared" si="29"/>
        <v>43416</v>
      </c>
      <c r="AJ19" s="755">
        <f t="shared" si="29"/>
        <v>43430</v>
      </c>
      <c r="AK19" s="755">
        <f t="shared" si="29"/>
        <v>43444</v>
      </c>
      <c r="AL19" s="799">
        <f t="shared" si="29"/>
        <v>43458</v>
      </c>
      <c r="AM19" s="756">
        <f t="shared" si="29"/>
        <v>43473</v>
      </c>
      <c r="AN19" s="756">
        <f t="shared" si="29"/>
        <v>43487</v>
      </c>
      <c r="AP19" s="13">
        <f t="shared" si="10"/>
        <v>1</v>
      </c>
      <c r="AQ19" s="13">
        <f t="shared" si="11"/>
        <v>2</v>
      </c>
      <c r="AR19" s="175">
        <f t="shared" si="12"/>
        <v>43079</v>
      </c>
      <c r="AS19" s="772">
        <f t="shared" si="13"/>
        <v>0.89655172413793105</v>
      </c>
      <c r="AT19" s="789">
        <f t="shared" si="14"/>
        <v>19.680547247056303</v>
      </c>
      <c r="AU19" s="13">
        <f t="shared" si="15"/>
        <v>1</v>
      </c>
      <c r="AV19" s="13">
        <f t="shared" si="16"/>
        <v>2</v>
      </c>
      <c r="AW19" s="175">
        <f t="shared" si="17"/>
        <v>43093</v>
      </c>
      <c r="AX19" s="772">
        <f t="shared" si="18"/>
        <v>0.41379310344827586</v>
      </c>
      <c r="AY19" s="789">
        <f t="shared" si="19"/>
        <v>19.706785736823907</v>
      </c>
      <c r="AZ19" s="763">
        <f t="shared" si="25"/>
        <v>19.693666491940107</v>
      </c>
      <c r="BA19" s="647">
        <f t="shared" si="20"/>
        <v>0.98983132229248649</v>
      </c>
      <c r="BB19" s="642">
        <v>43105</v>
      </c>
      <c r="BC19" s="11">
        <v>43105</v>
      </c>
      <c r="BD19" s="292">
        <f>[2]!FeuilCaduc*(1-Persistant)+Persistant</f>
        <v>1</v>
      </c>
      <c r="BE19" s="293">
        <f>[2]!CroissVégét</f>
        <v>2.5118354313997834E-4</v>
      </c>
      <c r="BF19" s="842">
        <f>1+[2]!Salcycl*Ksac</f>
        <v>1.0008497285221096</v>
      </c>
      <c r="BH19" s="1105">
        <f t="shared" si="21"/>
        <v>2.3891131021453956E-2</v>
      </c>
      <c r="BI19" s="11">
        <v>44201</v>
      </c>
      <c r="BJ19" s="742">
        <v>4.6263609342990243E-4</v>
      </c>
      <c r="BK19" s="742">
        <v>2.7572266996466941E-3</v>
      </c>
      <c r="BL19" s="742">
        <v>1.7355963754332487E-2</v>
      </c>
      <c r="BM19" s="742">
        <v>5.006844002540034E-2</v>
      </c>
      <c r="BN19" s="742">
        <v>0.11608371093463277</v>
      </c>
      <c r="BO19" s="743">
        <v>0.20317375338551066</v>
      </c>
      <c r="BP19" s="742">
        <v>0.32459997277068237</v>
      </c>
      <c r="BQ19" s="742">
        <v>0.45862661142070982</v>
      </c>
      <c r="BR19" s="742">
        <v>0.60595153513752509</v>
      </c>
      <c r="BS19" s="742">
        <v>0.73906530230659451</v>
      </c>
      <c r="BT19" s="742">
        <v>0.86331858277294771</v>
      </c>
      <c r="BW19" s="1187">
        <f>'2018'!R\Max</f>
        <v>0</v>
      </c>
      <c r="BX19" s="1185">
        <f>'2019'!R\Max</f>
        <v>0.98983132229248649</v>
      </c>
      <c r="BY19" s="1185">
        <f>'2020'!R\Max</f>
        <v>0.61560760344084131</v>
      </c>
      <c r="BZ19" s="1185">
        <f>'2021'!R\Max</f>
        <v>0.17795335679383051</v>
      </c>
      <c r="CA19" s="1185">
        <f>'2022'!R\Max</f>
        <v>0.65527307036990667</v>
      </c>
      <c r="CB19" s="1185">
        <f>'2023'!R\Max</f>
        <v>0.69543456153834948</v>
      </c>
      <c r="CC19" s="1185">
        <f>'2024'!R\Max</f>
        <v>0.68153934123752724</v>
      </c>
      <c r="CD19" s="1185">
        <f>'2025'!R\Max</f>
        <v>0.66597362786871361</v>
      </c>
      <c r="CE19" s="1185">
        <f>'2026'!R\Max</f>
        <v>0.72931616506695185</v>
      </c>
      <c r="CF19" s="1186">
        <f>'2027'!R\Max</f>
        <v>0.72382566769938317</v>
      </c>
    </row>
    <row r="20" spans="1:84" s="6" customFormat="1" ht="11.25" x14ac:dyDescent="0.2">
      <c r="A20" s="11">
        <v>43106</v>
      </c>
      <c r="B20" s="382">
        <f>'2023'!Maxi_hp</f>
        <v>20.454909959477973</v>
      </c>
      <c r="C20" s="85">
        <f>'2023'!An_max</f>
        <v>2022</v>
      </c>
      <c r="D20" s="1132"/>
      <c r="E20" s="771"/>
      <c r="F20" s="13">
        <f t="shared" si="22"/>
        <v>1</v>
      </c>
      <c r="G20" s="13">
        <f t="shared" si="23"/>
        <v>2</v>
      </c>
      <c r="H20" s="175">
        <f t="shared" si="7"/>
        <v>43093</v>
      </c>
      <c r="I20" s="772">
        <f t="shared" si="8"/>
        <v>0.8666666666666667</v>
      </c>
      <c r="J20" s="763">
        <f t="shared" si="26"/>
        <v>19.798651678363484</v>
      </c>
      <c r="L20" s="775" t="s">
        <v>217</v>
      </c>
      <c r="M20" s="803">
        <f>N13</f>
        <v>201.63</v>
      </c>
      <c r="N20" s="760">
        <f t="shared" ref="N20:AN20" si="30">O13</f>
        <v>236.786</v>
      </c>
      <c r="O20" s="760">
        <f t="shared" si="30"/>
        <v>282.28199999999998</v>
      </c>
      <c r="P20" s="760">
        <f t="shared" si="30"/>
        <v>335.01600000000002</v>
      </c>
      <c r="Q20" s="760">
        <f t="shared" si="30"/>
        <v>396.02199999999999</v>
      </c>
      <c r="R20" s="760">
        <f t="shared" si="30"/>
        <v>461.16399999999999</v>
      </c>
      <c r="S20" s="760">
        <f t="shared" si="30"/>
        <v>524.23800000000006</v>
      </c>
      <c r="T20" s="760">
        <f t="shared" si="30"/>
        <v>576.97199999999998</v>
      </c>
      <c r="U20" s="760">
        <f t="shared" si="30"/>
        <v>616.26400000000001</v>
      </c>
      <c r="V20" s="760">
        <f t="shared" si="30"/>
        <v>639.01200000000006</v>
      </c>
      <c r="W20" s="760">
        <f t="shared" si="30"/>
        <v>649.35199999999998</v>
      </c>
      <c r="X20" s="760">
        <f t="shared" si="30"/>
        <v>650.38599999999997</v>
      </c>
      <c r="Y20" s="760">
        <f t="shared" si="30"/>
        <v>644.18200000000002</v>
      </c>
      <c r="Z20" s="760">
        <f t="shared" si="30"/>
        <v>632.80799999999999</v>
      </c>
      <c r="AA20" s="760">
        <f t="shared" si="30"/>
        <v>614.19600000000003</v>
      </c>
      <c r="AB20" s="760">
        <f t="shared" si="30"/>
        <v>590.41399999999999</v>
      </c>
      <c r="AC20" s="760">
        <f t="shared" si="30"/>
        <v>559.39400000000001</v>
      </c>
      <c r="AD20" s="760">
        <f t="shared" si="30"/>
        <v>517</v>
      </c>
      <c r="AE20" s="760">
        <f t="shared" si="30"/>
        <v>461.16399999999999</v>
      </c>
      <c r="AF20" s="760">
        <f t="shared" si="30"/>
        <v>397.05600000000004</v>
      </c>
      <c r="AG20" s="760">
        <f t="shared" si="30"/>
        <v>333.98200000000003</v>
      </c>
      <c r="AH20" s="760">
        <f t="shared" si="30"/>
        <v>282.28199999999998</v>
      </c>
      <c r="AI20" s="760">
        <f t="shared" si="30"/>
        <v>238.85400000000001</v>
      </c>
      <c r="AJ20" s="760">
        <f t="shared" si="30"/>
        <v>207.834</v>
      </c>
      <c r="AK20" s="760">
        <f t="shared" si="30"/>
        <v>186.12</v>
      </c>
      <c r="AL20" s="798">
        <f t="shared" si="30"/>
        <v>183.018</v>
      </c>
      <c r="AM20" s="796">
        <f t="shared" si="30"/>
        <v>201.63</v>
      </c>
      <c r="AN20" s="796">
        <f t="shared" si="30"/>
        <v>236.786</v>
      </c>
      <c r="AP20" s="13">
        <f t="shared" si="10"/>
        <v>1</v>
      </c>
      <c r="AQ20" s="13">
        <f t="shared" si="11"/>
        <v>2</v>
      </c>
      <c r="AR20" s="175">
        <f t="shared" si="12"/>
        <v>43079</v>
      </c>
      <c r="AS20" s="772">
        <f t="shared" si="13"/>
        <v>0.93103448275862066</v>
      </c>
      <c r="AT20" s="789">
        <f>((1-AS20)*(INDEX(a.lg,AP20)*$A20*$A20+INDEX(b.lg,AP20)*$A20+INDEX(c.lg,AP20))+AS20*(INDEX(a.lg,AQ20)*$A20*$A20+INDEX(b.lg,AQ20)*$A20+INDEX(c.lg,AQ20)))/10</f>
        <v>19.833345420401674</v>
      </c>
      <c r="AU20" s="13">
        <f t="shared" si="15"/>
        <v>1</v>
      </c>
      <c r="AV20" s="13">
        <f t="shared" si="16"/>
        <v>2</v>
      </c>
      <c r="AW20" s="175">
        <f t="shared" si="17"/>
        <v>43093</v>
      </c>
      <c r="AX20" s="772">
        <f t="shared" si="18"/>
        <v>0.44827586206896552</v>
      </c>
      <c r="AY20" s="789">
        <f t="shared" si="19"/>
        <v>19.889784191291909</v>
      </c>
      <c r="AZ20" s="763">
        <f t="shared" si="25"/>
        <v>19.86156480584679</v>
      </c>
      <c r="BA20" s="647">
        <f t="shared" si="20"/>
        <v>1.0331466148188095</v>
      </c>
      <c r="BB20" s="642">
        <v>43106</v>
      </c>
      <c r="BC20" s="11">
        <v>43106</v>
      </c>
      <c r="BD20" s="292">
        <f>[2]!FeuilCaduc*(1-Persistant)+Persistant</f>
        <v>1</v>
      </c>
      <c r="BE20" s="293">
        <f>[2]!CroissVégét</f>
        <v>3.2001713664140156E-4</v>
      </c>
      <c r="BF20" s="842">
        <f>1+[2]!Salcycl*Ksac</f>
        <v>1.00078515565282</v>
      </c>
      <c r="BH20" s="1105">
        <f t="shared" si="21"/>
        <v>2.3779761324362512E-2</v>
      </c>
      <c r="BI20" s="11">
        <v>44202</v>
      </c>
      <c r="BJ20" s="742">
        <v>4.763786566542657E-4</v>
      </c>
      <c r="BK20" s="742">
        <v>2.7032419273250387E-3</v>
      </c>
      <c r="BL20" s="742">
        <v>1.7180174374096784E-2</v>
      </c>
      <c r="BM20" s="742">
        <v>5.0215110234967081E-2</v>
      </c>
      <c r="BN20" s="742">
        <v>0.11524750261916149</v>
      </c>
      <c r="BO20" s="743">
        <v>0.20246393406402896</v>
      </c>
      <c r="BP20" s="742">
        <v>0.3221396774306815</v>
      </c>
      <c r="BQ20" s="742">
        <v>0.45671905329273171</v>
      </c>
      <c r="BR20" s="742">
        <v>0.60381669340805411</v>
      </c>
      <c r="BS20" s="742">
        <v>0.73909401730867696</v>
      </c>
      <c r="BT20" s="742">
        <v>0.86554840060416416</v>
      </c>
      <c r="BW20" s="1187">
        <f>'2018'!R\Max</f>
        <v>0</v>
      </c>
      <c r="BX20" s="1185">
        <f>'2019'!R\Max</f>
        <v>0.24917573927466061</v>
      </c>
      <c r="BY20" s="1185">
        <f>'2020'!R\Max</f>
        <v>0.95286345493605173</v>
      </c>
      <c r="BZ20" s="1185">
        <f>'2021'!R\Max</f>
        <v>0.40009628341061249</v>
      </c>
      <c r="CA20" s="1185">
        <f>'2022'!R\Max</f>
        <v>1.0331466148188095</v>
      </c>
      <c r="CB20" s="1185">
        <f>'2023'!R\Max</f>
        <v>0.28394217227888702</v>
      </c>
      <c r="CC20" s="1185">
        <f>'2024'!R\Max</f>
        <v>0.27112759713489554</v>
      </c>
      <c r="CD20" s="1185">
        <f>'2025'!R\Max</f>
        <v>0.25746072024980488</v>
      </c>
      <c r="CE20" s="1185">
        <f>'2026'!R\Max</f>
        <v>0.31812771155221514</v>
      </c>
      <c r="CF20" s="1186">
        <f>'2027'!R\Max</f>
        <v>0.31228654151099133</v>
      </c>
    </row>
    <row r="21" spans="1:84" s="6" customFormat="1" ht="11.25" x14ac:dyDescent="0.2">
      <c r="A21" s="11">
        <v>43107</v>
      </c>
      <c r="B21" s="382">
        <f>'2023'!Maxi_hp</f>
        <v>15.62674165622532</v>
      </c>
      <c r="C21" s="85">
        <f>'2023'!An_max</f>
        <v>2023</v>
      </c>
      <c r="D21" s="1132"/>
      <c r="E21" s="771"/>
      <c r="F21" s="13">
        <f t="shared" si="22"/>
        <v>1</v>
      </c>
      <c r="G21" s="13">
        <f t="shared" si="23"/>
        <v>2</v>
      </c>
      <c r="H21" s="175">
        <f t="shared" si="7"/>
        <v>43093</v>
      </c>
      <c r="I21" s="772">
        <f t="shared" si="8"/>
        <v>0.93333333333333335</v>
      </c>
      <c r="J21" s="763">
        <f t="shared" si="26"/>
        <v>19.976975078682106</v>
      </c>
      <c r="L21" s="776" t="s">
        <v>218</v>
      </c>
      <c r="M21" s="757">
        <f>x.1m*x.1m-x.2m*x.2m</f>
        <v>-1206408</v>
      </c>
      <c r="N21" s="757">
        <f t="shared" ref="N21:AM21" si="31">x.1m*x.1m-x.2m*x.2m</f>
        <v>-1293015</v>
      </c>
      <c r="O21" s="757">
        <f t="shared" si="31"/>
        <v>-1207220</v>
      </c>
      <c r="P21" s="757">
        <f t="shared" si="31"/>
        <v>-1207612</v>
      </c>
      <c r="Q21" s="757">
        <f t="shared" si="31"/>
        <v>-1208004</v>
      </c>
      <c r="R21" s="757">
        <f t="shared" si="31"/>
        <v>-1208396</v>
      </c>
      <c r="S21" s="757">
        <f t="shared" si="31"/>
        <v>-1208788</v>
      </c>
      <c r="T21" s="757">
        <f t="shared" si="31"/>
        <v>-1209180</v>
      </c>
      <c r="U21" s="757">
        <f t="shared" si="31"/>
        <v>-1209572</v>
      </c>
      <c r="V21" s="757">
        <f t="shared" si="31"/>
        <v>-1209964</v>
      </c>
      <c r="W21" s="757">
        <f t="shared" si="31"/>
        <v>-1210356</v>
      </c>
      <c r="X21" s="757">
        <f t="shared" si="31"/>
        <v>-1210748</v>
      </c>
      <c r="Y21" s="757">
        <f t="shared" si="31"/>
        <v>-1211140</v>
      </c>
      <c r="Z21" s="757">
        <f t="shared" si="31"/>
        <v>-1211532</v>
      </c>
      <c r="AA21" s="757">
        <f t="shared" si="31"/>
        <v>-1211924</v>
      </c>
      <c r="AB21" s="757">
        <f t="shared" si="31"/>
        <v>-1212316</v>
      </c>
      <c r="AC21" s="757">
        <f t="shared" si="31"/>
        <v>-1212708</v>
      </c>
      <c r="AD21" s="757">
        <f t="shared" si="31"/>
        <v>-1213100</v>
      </c>
      <c r="AE21" s="757">
        <f t="shared" si="31"/>
        <v>-1213492</v>
      </c>
      <c r="AF21" s="757">
        <f t="shared" si="31"/>
        <v>-1213884</v>
      </c>
      <c r="AG21" s="757">
        <f t="shared" si="31"/>
        <v>-1214276</v>
      </c>
      <c r="AH21" s="757">
        <f t="shared" si="31"/>
        <v>-1214668</v>
      </c>
      <c r="AI21" s="757">
        <f t="shared" si="31"/>
        <v>-1215060</v>
      </c>
      <c r="AJ21" s="757">
        <f t="shared" si="31"/>
        <v>-1215452</v>
      </c>
      <c r="AK21" s="757">
        <f t="shared" si="31"/>
        <v>-1215844</v>
      </c>
      <c r="AL21" s="757">
        <f t="shared" si="31"/>
        <v>-1216236</v>
      </c>
      <c r="AM21" s="757">
        <f t="shared" si="31"/>
        <v>-1216628</v>
      </c>
      <c r="AN21" s="757">
        <f>x.1m*x.1m-x.2m*x.2m</f>
        <v>-1303965</v>
      </c>
      <c r="AP21" s="13">
        <f t="shared" si="10"/>
        <v>1</v>
      </c>
      <c r="AQ21" s="13">
        <f t="shared" si="11"/>
        <v>2</v>
      </c>
      <c r="AR21" s="175">
        <f t="shared" si="12"/>
        <v>43079</v>
      </c>
      <c r="AS21" s="772">
        <f t="shared" si="13"/>
        <v>0.96551724137931039</v>
      </c>
      <c r="AT21" s="789">
        <f t="shared" si="14"/>
        <v>19.994171788415006</v>
      </c>
      <c r="AU21" s="13">
        <f t="shared" si="15"/>
        <v>1</v>
      </c>
      <c r="AV21" s="13">
        <f t="shared" si="16"/>
        <v>2</v>
      </c>
      <c r="AW21" s="175">
        <f t="shared" si="17"/>
        <v>43093</v>
      </c>
      <c r="AX21" s="772">
        <f t="shared" si="18"/>
        <v>0.48275862068965519</v>
      </c>
      <c r="AY21" s="789">
        <f t="shared" si="19"/>
        <v>20.081083697594444</v>
      </c>
      <c r="AZ21" s="763">
        <f t="shared" si="25"/>
        <v>20.037627743004727</v>
      </c>
      <c r="BA21" s="647">
        <f t="shared" si="20"/>
        <v>0.78223763080632658</v>
      </c>
      <c r="BB21" s="642">
        <v>43107</v>
      </c>
      <c r="BC21" s="11">
        <v>43107</v>
      </c>
      <c r="BD21" s="292">
        <f>[2]!FeuilCaduc*(1-Persistant)+Persistant</f>
        <v>1</v>
      </c>
      <c r="BE21" s="293">
        <f>[2]!CroissVégét</f>
        <v>3.9172835876776901E-4</v>
      </c>
      <c r="BF21" s="842">
        <f>1+[2]!Salcycl*Ksac</f>
        <v>1.0007235660817999</v>
      </c>
      <c r="BH21" s="1105">
        <f t="shared" si="21"/>
        <v>2.3671840385190046E-2</v>
      </c>
      <c r="BI21" s="11">
        <v>44203</v>
      </c>
      <c r="BJ21" s="742">
        <v>4.904790761567873E-4</v>
      </c>
      <c r="BK21" s="742">
        <v>2.651733440133754E-3</v>
      </c>
      <c r="BL21" s="742">
        <v>1.7003459402597142E-2</v>
      </c>
      <c r="BM21" s="742">
        <v>5.0382751124321334E-2</v>
      </c>
      <c r="BN21" s="742">
        <v>0.11438467980988802</v>
      </c>
      <c r="BO21" s="743">
        <v>0.20172453032138851</v>
      </c>
      <c r="BP21" s="742">
        <v>0.31945356077419612</v>
      </c>
      <c r="BQ21" s="742">
        <v>0.4546068963573407</v>
      </c>
      <c r="BR21" s="742">
        <v>0.60144260644556458</v>
      </c>
      <c r="BS21" s="742">
        <v>0.7390290746467022</v>
      </c>
      <c r="BT21" s="742">
        <v>0.86769144163042178</v>
      </c>
      <c r="BW21" s="1187">
        <f>'2018'!R\Max</f>
        <v>0</v>
      </c>
      <c r="BX21" s="1185">
        <f>'2019'!R\Max</f>
        <v>0.14858843406899253</v>
      </c>
      <c r="BY21" s="1185">
        <f>'2020'!R\Max</f>
        <v>0.37516763366371281</v>
      </c>
      <c r="BZ21" s="1185">
        <f>'2021'!R\Max</f>
        <v>0.58371645744109391</v>
      </c>
      <c r="CA21" s="1185">
        <f>'2022'!R\Max</f>
        <v>0.48314211322192308</v>
      </c>
      <c r="CB21" s="1185">
        <f>'2023'!R\Max</f>
        <v>0.78223763080632658</v>
      </c>
      <c r="CC21" s="1185">
        <f>'2024'!R\Max</f>
        <v>0.77131683867516876</v>
      </c>
      <c r="CD21" s="1185">
        <f>'2025'!R\Max</f>
        <v>0.75878083372486116</v>
      </c>
      <c r="CE21" s="1185">
        <f>'2026'!R\Max</f>
        <v>0.80819282797095571</v>
      </c>
      <c r="CF21" s="1186">
        <f>'2027'!R\Max</f>
        <v>0.80405612191484976</v>
      </c>
    </row>
    <row r="22" spans="1:84" s="6" customFormat="1" ht="11.25" x14ac:dyDescent="0.2">
      <c r="A22" s="11">
        <v>43108</v>
      </c>
      <c r="B22" s="382">
        <f>'2023'!Maxi_hp</f>
        <v>14.685729582313519</v>
      </c>
      <c r="C22" s="85">
        <f>'2023'!An_max</f>
        <v>2021</v>
      </c>
      <c r="D22" s="1132"/>
      <c r="E22" s="771">
        <f>N$13/10</f>
        <v>20.163</v>
      </c>
      <c r="F22" s="13">
        <f t="shared" si="22"/>
        <v>3</v>
      </c>
      <c r="G22" s="13">
        <f t="shared" si="23"/>
        <v>2</v>
      </c>
      <c r="H22" s="175">
        <f t="shared" si="7"/>
        <v>43122</v>
      </c>
      <c r="I22" s="772">
        <f t="shared" si="8"/>
        <v>1</v>
      </c>
      <c r="J22" s="763">
        <f t="shared" si="26"/>
        <v>20.16300000101328</v>
      </c>
      <c r="L22" s="776" t="s">
        <v>219</v>
      </c>
      <c r="M22" s="757">
        <f t="shared" ref="M22:AM22" si="32">x.2m*x.2m-x.3m*x.3m</f>
        <v>-1293015</v>
      </c>
      <c r="N22" s="757">
        <f>x.2m*x.2m-x.3m*x.3m</f>
        <v>-1207220</v>
      </c>
      <c r="O22" s="757">
        <f t="shared" si="32"/>
        <v>-1207612</v>
      </c>
      <c r="P22" s="757">
        <f t="shared" si="32"/>
        <v>-1208004</v>
      </c>
      <c r="Q22" s="757">
        <f t="shared" si="32"/>
        <v>-1208396</v>
      </c>
      <c r="R22" s="757">
        <f t="shared" si="32"/>
        <v>-1208788</v>
      </c>
      <c r="S22" s="757">
        <f t="shared" si="32"/>
        <v>-1209180</v>
      </c>
      <c r="T22" s="757">
        <f t="shared" si="32"/>
        <v>-1209572</v>
      </c>
      <c r="U22" s="757">
        <f t="shared" si="32"/>
        <v>-1209964</v>
      </c>
      <c r="V22" s="757">
        <f t="shared" si="32"/>
        <v>-1210356</v>
      </c>
      <c r="W22" s="757">
        <f t="shared" si="32"/>
        <v>-1210748</v>
      </c>
      <c r="X22" s="757">
        <f t="shared" si="32"/>
        <v>-1211140</v>
      </c>
      <c r="Y22" s="757">
        <f t="shared" si="32"/>
        <v>-1211532</v>
      </c>
      <c r="Z22" s="757">
        <f t="shared" si="32"/>
        <v>-1211924</v>
      </c>
      <c r="AA22" s="757">
        <f t="shared" si="32"/>
        <v>-1212316</v>
      </c>
      <c r="AB22" s="757">
        <f t="shared" si="32"/>
        <v>-1212708</v>
      </c>
      <c r="AC22" s="757">
        <f t="shared" si="32"/>
        <v>-1213100</v>
      </c>
      <c r="AD22" s="757">
        <f t="shared" si="32"/>
        <v>-1213492</v>
      </c>
      <c r="AE22" s="757">
        <f t="shared" si="32"/>
        <v>-1213884</v>
      </c>
      <c r="AF22" s="757">
        <f t="shared" si="32"/>
        <v>-1214276</v>
      </c>
      <c r="AG22" s="757">
        <f t="shared" si="32"/>
        <v>-1214668</v>
      </c>
      <c r="AH22" s="757">
        <f t="shared" si="32"/>
        <v>-1215060</v>
      </c>
      <c r="AI22" s="757">
        <f t="shared" si="32"/>
        <v>-1215452</v>
      </c>
      <c r="AJ22" s="757">
        <f t="shared" si="32"/>
        <v>-1215844</v>
      </c>
      <c r="AK22" s="757">
        <f t="shared" si="32"/>
        <v>-1216236</v>
      </c>
      <c r="AL22" s="757">
        <f t="shared" si="32"/>
        <v>-1216628</v>
      </c>
      <c r="AM22" s="757">
        <f t="shared" si="32"/>
        <v>-1303965</v>
      </c>
      <c r="AN22" s="757">
        <f>x.2m*x.2m-x.3m*x.3m</f>
        <v>-1217440</v>
      </c>
      <c r="AP22" s="13">
        <f t="shared" si="10"/>
        <v>3</v>
      </c>
      <c r="AQ22" s="13">
        <f t="shared" si="11"/>
        <v>2</v>
      </c>
      <c r="AR22" s="175">
        <f t="shared" si="12"/>
        <v>43136</v>
      </c>
      <c r="AS22" s="772">
        <f t="shared" si="13"/>
        <v>1</v>
      </c>
      <c r="AT22" s="789">
        <f t="shared" si="14"/>
        <v>20.162999999523162</v>
      </c>
      <c r="AU22" s="13">
        <f t="shared" si="15"/>
        <v>1</v>
      </c>
      <c r="AV22" s="13">
        <f t="shared" si="16"/>
        <v>2</v>
      </c>
      <c r="AW22" s="175">
        <f t="shared" si="17"/>
        <v>43093</v>
      </c>
      <c r="AX22" s="772">
        <f t="shared" si="18"/>
        <v>0.51724137931034486</v>
      </c>
      <c r="AY22" s="789">
        <f t="shared" si="19"/>
        <v>20.280289986960845</v>
      </c>
      <c r="AZ22" s="763">
        <f t="shared" si="25"/>
        <v>20.221644993242002</v>
      </c>
      <c r="BA22" s="647">
        <f t="shared" si="20"/>
        <v>0.7283504231302631</v>
      </c>
      <c r="BB22" s="642">
        <v>43108</v>
      </c>
      <c r="BC22" s="11">
        <v>43108</v>
      </c>
      <c r="BD22" s="292">
        <f>[2]!FeuilCaduc*(1-Persistant)+Persistant</f>
        <v>1</v>
      </c>
      <c r="BE22" s="293">
        <f>[2]!CroissVégét</f>
        <v>4.664370707620742E-4</v>
      </c>
      <c r="BF22" s="842">
        <f>1+[2]!Salcycl*Ksac</f>
        <v>1.0006647196962188</v>
      </c>
      <c r="BH22" s="1105">
        <f t="shared" si="21"/>
        <v>2.3567314948327929E-2</v>
      </c>
      <c r="BI22" s="11">
        <v>44204</v>
      </c>
      <c r="BJ22" s="742">
        <v>5.0493638683407789E-4</v>
      </c>
      <c r="BK22" s="742">
        <v>2.6026988988687083E-3</v>
      </c>
      <c r="BL22" s="742">
        <v>1.6825777376934564E-2</v>
      </c>
      <c r="BM22" s="742">
        <v>5.0571262200899171E-2</v>
      </c>
      <c r="BN22" s="742">
        <v>0.11349492916893072</v>
      </c>
      <c r="BO22" s="743">
        <v>0.20095500137248754</v>
      </c>
      <c r="BP22" s="742">
        <v>0.3165405365361364</v>
      </c>
      <c r="BQ22" s="742">
        <v>0.45228873283719739</v>
      </c>
      <c r="BR22" s="742">
        <v>0.59882744960415391</v>
      </c>
      <c r="BS22" s="742">
        <v>0.73886847047985704</v>
      </c>
      <c r="BT22" s="742">
        <v>0.86974534955695426</v>
      </c>
      <c r="BW22" s="1187">
        <f>'2018'!R\Max</f>
        <v>0</v>
      </c>
      <c r="BX22" s="1185">
        <f>'2019'!R\Max</f>
        <v>0.32192941941596637</v>
      </c>
      <c r="BY22" s="1185">
        <f>'2020'!R\Max</f>
        <v>0.58668026621228242</v>
      </c>
      <c r="BZ22" s="1185">
        <f>'2021'!R\Max</f>
        <v>0.7283504231302631</v>
      </c>
      <c r="CA22" s="1185">
        <f>'2022'!R\Max</f>
        <v>0.38392189512543035</v>
      </c>
      <c r="CB22" s="1185">
        <f>'2023'!R\Max</f>
        <v>0.37712898584059112</v>
      </c>
      <c r="CC22" s="1185">
        <f>'2024'!R\Max</f>
        <v>0.3626750175296517</v>
      </c>
      <c r="CD22" s="1185">
        <f>'2025'!R\Max</f>
        <v>0.34683840940778971</v>
      </c>
      <c r="CE22" s="1185">
        <f>'2026'!R\Max</f>
        <v>0.41450505208930216</v>
      </c>
      <c r="CF22" s="1186">
        <f>'2027'!R\Max</f>
        <v>0.40824275735626175</v>
      </c>
    </row>
    <row r="23" spans="1:84" s="6" customFormat="1" ht="11.25" x14ac:dyDescent="0.2">
      <c r="A23" s="11">
        <v>43109</v>
      </c>
      <c r="B23" s="382">
        <f>'2023'!Maxi_hp</f>
        <v>18.908516116999923</v>
      </c>
      <c r="C23" s="85">
        <f>'2023'!An_max</f>
        <v>2020</v>
      </c>
      <c r="D23" s="1132"/>
      <c r="E23" s="771"/>
      <c r="F23" s="13">
        <f t="shared" si="22"/>
        <v>3</v>
      </c>
      <c r="G23" s="13">
        <f t="shared" si="23"/>
        <v>2</v>
      </c>
      <c r="H23" s="175">
        <f t="shared" si="7"/>
        <v>43122</v>
      </c>
      <c r="I23" s="772">
        <f t="shared" si="8"/>
        <v>0.9285714285714286</v>
      </c>
      <c r="J23" s="763">
        <f t="shared" si="26"/>
        <v>20.358786138040678</v>
      </c>
      <c r="L23" s="776" t="s">
        <v>220</v>
      </c>
      <c r="M23" s="757">
        <f t="shared" ref="M23:AM23" si="33">(y.1m-y.2m-b.m*(x.1m-x.2m))/D2x12</f>
        <v>5.042660098520544E-2</v>
      </c>
      <c r="N23" s="757">
        <f>(y.1m-y.2m-b.m*(x.1m-x.2m))/D2x12</f>
        <v>4.3804926108361439E-2</v>
      </c>
      <c r="O23" s="757">
        <f t="shared" si="33"/>
        <v>2.6377551020410183E-2</v>
      </c>
      <c r="P23" s="757">
        <f t="shared" si="33"/>
        <v>1.8464285714290436E-2</v>
      </c>
      <c r="Q23" s="757">
        <f t="shared" si="33"/>
        <v>2.1102040816329343E-2</v>
      </c>
      <c r="R23" s="757">
        <f t="shared" si="33"/>
        <v>1.0551020408162054E-2</v>
      </c>
      <c r="S23" s="757">
        <f t="shared" si="33"/>
        <v>-5.2755102040806818E-3</v>
      </c>
      <c r="T23" s="757">
        <f t="shared" si="33"/>
        <v>-2.6377551020409271E-2</v>
      </c>
      <c r="U23" s="757">
        <f t="shared" si="33"/>
        <v>-3.4290816326528868E-2</v>
      </c>
      <c r="V23" s="757">
        <f t="shared" si="33"/>
        <v>-4.2204081632658867E-2</v>
      </c>
      <c r="W23" s="757">
        <f t="shared" si="33"/>
        <v>-3.1653061224489104E-2</v>
      </c>
      <c r="X23" s="757">
        <f t="shared" si="33"/>
        <v>-2.373979591836212E-2</v>
      </c>
      <c r="Y23" s="757">
        <f t="shared" si="33"/>
        <v>-1.8464285714289395E-2</v>
      </c>
      <c r="Z23" s="757">
        <f t="shared" si="33"/>
        <v>-1.3188775510204804E-2</v>
      </c>
      <c r="AA23" s="757">
        <f t="shared" si="33"/>
        <v>-1.8464285714280722E-2</v>
      </c>
      <c r="AB23" s="757">
        <f t="shared" si="33"/>
        <v>-1.3188775510204412E-2</v>
      </c>
      <c r="AC23" s="757">
        <f t="shared" si="33"/>
        <v>-1.846428571428145E-2</v>
      </c>
      <c r="AD23" s="757">
        <f t="shared" si="33"/>
        <v>-2.9015306122456994E-2</v>
      </c>
      <c r="AE23" s="757">
        <f t="shared" si="33"/>
        <v>-3.4290816326539443E-2</v>
      </c>
      <c r="AF23" s="757">
        <f t="shared" si="33"/>
        <v>-2.1102040816328729E-2</v>
      </c>
      <c r="AG23" s="757">
        <f t="shared" si="33"/>
        <v>2.6377551020401032E-3</v>
      </c>
      <c r="AH23" s="757">
        <f t="shared" si="33"/>
        <v>2.9015306122455928E-2</v>
      </c>
      <c r="AI23" s="757">
        <f t="shared" si="33"/>
        <v>2.1102040816323549E-2</v>
      </c>
      <c r="AJ23" s="757">
        <f t="shared" si="33"/>
        <v>3.1653061224491554E-2</v>
      </c>
      <c r="AK23" s="757">
        <f t="shared" si="33"/>
        <v>2.3739795918362862E-2</v>
      </c>
      <c r="AL23" s="757">
        <f t="shared" si="33"/>
        <v>4.7479591836719473E-2</v>
      </c>
      <c r="AM23" s="757">
        <f t="shared" si="33"/>
        <v>5.0426600985224397E-2</v>
      </c>
      <c r="AN23" s="757">
        <f>(y.1m-y.2m-b.m*(x.1m-x.2m))/D2x12</f>
        <v>4.3804926108376295E-2</v>
      </c>
      <c r="AP23" s="13">
        <f t="shared" si="10"/>
        <v>3</v>
      </c>
      <c r="AQ23" s="13">
        <f t="shared" si="11"/>
        <v>2</v>
      </c>
      <c r="AR23" s="175">
        <f t="shared" si="12"/>
        <v>43136</v>
      </c>
      <c r="AS23" s="772">
        <f t="shared" si="13"/>
        <v>0.9642857142857143</v>
      </c>
      <c r="AT23" s="789">
        <f t="shared" si="14"/>
        <v>20.341868726563241</v>
      </c>
      <c r="AU23" s="13">
        <f t="shared" si="15"/>
        <v>1</v>
      </c>
      <c r="AV23" s="13">
        <f t="shared" si="16"/>
        <v>2</v>
      </c>
      <c r="AW23" s="175">
        <f t="shared" si="17"/>
        <v>43093</v>
      </c>
      <c r="AX23" s="772">
        <f t="shared" si="18"/>
        <v>0.55172413793103448</v>
      </c>
      <c r="AY23" s="789">
        <f t="shared" si="19"/>
        <v>20.487008790928741</v>
      </c>
      <c r="AZ23" s="763">
        <f t="shared" si="25"/>
        <v>20.414438758745991</v>
      </c>
      <c r="BA23" s="647">
        <f t="shared" si="20"/>
        <v>0.92876441595253534</v>
      </c>
      <c r="BB23" s="642">
        <v>43109</v>
      </c>
      <c r="BC23" s="11">
        <v>43109</v>
      </c>
      <c r="BD23" s="292">
        <f>[2]!FeuilCaduc*(1-Persistant)+Persistant</f>
        <v>1</v>
      </c>
      <c r="BE23" s="293">
        <f>[2]!CroissVégét</f>
        <v>5.4426808883230738E-4</v>
      </c>
      <c r="BF23" s="842">
        <f>1+[2]!Salcycl*Ksac</f>
        <v>1.0006084264706698</v>
      </c>
      <c r="BH23" s="1105">
        <f t="shared" si="21"/>
        <v>2.3466132805508935E-2</v>
      </c>
      <c r="BI23" s="11">
        <v>44205</v>
      </c>
      <c r="BJ23" s="742">
        <v>5.1974946648090524E-4</v>
      </c>
      <c r="BK23" s="742">
        <v>2.556136386362842E-3</v>
      </c>
      <c r="BL23" s="742">
        <v>1.6647088748022801E-2</v>
      </c>
      <c r="BM23" s="742">
        <v>5.0780540548734793E-2</v>
      </c>
      <c r="BN23" s="742">
        <v>0.11257794785469143</v>
      </c>
      <c r="BO23" s="743">
        <v>0.20015481621571504</v>
      </c>
      <c r="BP23" s="742">
        <v>0.31339955747338016</v>
      </c>
      <c r="BQ23" s="742">
        <v>0.44976318781171254</v>
      </c>
      <c r="BR23" s="742">
        <v>0.59596943601038721</v>
      </c>
      <c r="BS23" s="742">
        <v>0.73861020931334576</v>
      </c>
      <c r="BT23" s="742">
        <v>0.87170775431434588</v>
      </c>
      <c r="BW23" s="1187">
        <f>'2018'!R\Max</f>
        <v>0</v>
      </c>
      <c r="BX23" s="1185">
        <f>'2019'!R\Max</f>
        <v>0.41234293987725845</v>
      </c>
      <c r="BY23" s="1185">
        <f>'2020'!R\Max</f>
        <v>0.92876441595253534</v>
      </c>
      <c r="BZ23" s="1185">
        <f>'2021'!R\Max</f>
        <v>0.26893995708089297</v>
      </c>
      <c r="CA23" s="1185">
        <f>'2022'!R\Max</f>
        <v>0.11318493798459288</v>
      </c>
      <c r="CB23" s="1185">
        <f>'2023'!R\Max</f>
        <v>0.38074080580915659</v>
      </c>
      <c r="CC23" s="1185">
        <f>'2024'!R\Max</f>
        <v>0.36646697754365248</v>
      </c>
      <c r="CD23" s="1185">
        <f>'2025'!R\Max</f>
        <v>0.35068911582926166</v>
      </c>
      <c r="CE23" s="1185">
        <f>'2026'!R\Max</f>
        <v>0.41742779217961579</v>
      </c>
      <c r="CF23" s="1186">
        <f>'2027'!R\Max</f>
        <v>0.41130336578183235</v>
      </c>
    </row>
    <row r="24" spans="1:84" s="6" customFormat="1" ht="11.25" x14ac:dyDescent="0.2">
      <c r="A24" s="11">
        <v>43110</v>
      </c>
      <c r="B24" s="382">
        <f>'2023'!Maxi_hp</f>
        <v>18.551618953476808</v>
      </c>
      <c r="C24" s="85">
        <f>'2023'!An_max</f>
        <v>2023</v>
      </c>
      <c r="D24" s="1132"/>
      <c r="E24" s="771"/>
      <c r="F24" s="13">
        <f t="shared" si="22"/>
        <v>3</v>
      </c>
      <c r="G24" s="13">
        <f t="shared" si="23"/>
        <v>2</v>
      </c>
      <c r="H24" s="175">
        <f t="shared" si="7"/>
        <v>43122</v>
      </c>
      <c r="I24" s="772">
        <f t="shared" si="8"/>
        <v>0.8571428571428571</v>
      </c>
      <c r="J24" s="763">
        <f t="shared" si="26"/>
        <v>20.566071848358426</v>
      </c>
      <c r="L24" s="776" t="s">
        <v>221</v>
      </c>
      <c r="M24" s="757">
        <f t="shared" ref="M24:AM24" si="34">(y.2m-y.3m-(y.1m-y.2m)*D2x23/D2x12)/(x.2m-x.3m)/(1-(x.2m+x.3m)/(x.1m+x.2m))</f>
        <v>-4345.5826315256945</v>
      </c>
      <c r="N24" s="757">
        <f>(y.2m-y.3m-(y.1m-y.2m)*D2x23/D2x12)/(x.2m-x.3m)/(1-(x.2m+x.3m)/(x.1m+x.2m))</f>
        <v>-3774.7876354668642</v>
      </c>
      <c r="O24" s="757">
        <f t="shared" si="34"/>
        <v>-2272.0250816328271</v>
      </c>
      <c r="P24" s="757">
        <f t="shared" si="34"/>
        <v>-1589.4426428575503</v>
      </c>
      <c r="Q24" s="757">
        <f t="shared" si="34"/>
        <v>-1817.0439795920793</v>
      </c>
      <c r="R24" s="757">
        <f t="shared" si="34"/>
        <v>-906.34320408152814</v>
      </c>
      <c r="S24" s="757">
        <f t="shared" si="34"/>
        <v>460.1511020407342</v>
      </c>
      <c r="T24" s="757">
        <f t="shared" si="34"/>
        <v>2282.7343673470345</v>
      </c>
      <c r="U24" s="757">
        <f t="shared" si="34"/>
        <v>2966.4246632651552</v>
      </c>
      <c r="V24" s="757">
        <f t="shared" si="34"/>
        <v>3650.3365306127466</v>
      </c>
      <c r="W24" s="757">
        <f t="shared" si="34"/>
        <v>2738.158612244838</v>
      </c>
      <c r="X24" s="757">
        <f t="shared" si="34"/>
        <v>2053.8036020403642</v>
      </c>
      <c r="Y24" s="757">
        <f t="shared" si="34"/>
        <v>1597.4192142860327</v>
      </c>
      <c r="Z24" s="757">
        <f t="shared" si="34"/>
        <v>1140.8871122449605</v>
      </c>
      <c r="AA24" s="757">
        <f t="shared" si="34"/>
        <v>1597.5669285709964</v>
      </c>
      <c r="AB24" s="757">
        <f t="shared" si="34"/>
        <v>1140.7393979592123</v>
      </c>
      <c r="AC24" s="757">
        <f t="shared" si="34"/>
        <v>1597.7146428567735</v>
      </c>
      <c r="AD24" s="757">
        <f t="shared" si="34"/>
        <v>2511.9605612251844</v>
      </c>
      <c r="AE24" s="757">
        <f t="shared" si="34"/>
        <v>2969.2312346946428</v>
      </c>
      <c r="AF24" s="757">
        <f t="shared" si="34"/>
        <v>1825.6852653063131</v>
      </c>
      <c r="AG24" s="757">
        <f t="shared" si="34"/>
        <v>-233.36219387748918</v>
      </c>
      <c r="AH24" s="757">
        <f t="shared" si="34"/>
        <v>-2521.9312755108072</v>
      </c>
      <c r="AI24" s="757">
        <f t="shared" si="34"/>
        <v>-1835.1389795915782</v>
      </c>
      <c r="AJ24" s="757">
        <f t="shared" si="34"/>
        <v>-2751.1574693879079</v>
      </c>
      <c r="AK24" s="757">
        <f t="shared" si="34"/>
        <v>-2063.9220306118555</v>
      </c>
      <c r="AL24" s="757">
        <f t="shared" si="34"/>
        <v>-4126.2930612231676</v>
      </c>
      <c r="AM24" s="757">
        <f t="shared" si="34"/>
        <v>-4382.3940502465421</v>
      </c>
      <c r="AN24" s="757">
        <f>(y.2m-y.3m-(y.1m-y.2m)*D2x23/D2x12)/(x.2m-x.3m)/(1-(x.2m+x.3m)/(x.1m+x.2m))</f>
        <v>-3806.7652315272594</v>
      </c>
      <c r="AP24" s="13">
        <f t="shared" si="10"/>
        <v>3</v>
      </c>
      <c r="AQ24" s="13">
        <f t="shared" si="11"/>
        <v>2</v>
      </c>
      <c r="AR24" s="175">
        <f t="shared" si="12"/>
        <v>43136</v>
      </c>
      <c r="AS24" s="772">
        <f t="shared" si="13"/>
        <v>0.9285714285714286</v>
      </c>
      <c r="AT24" s="789">
        <f t="shared" si="14"/>
        <v>20.532547779860241</v>
      </c>
      <c r="AU24" s="13">
        <f t="shared" si="15"/>
        <v>1</v>
      </c>
      <c r="AV24" s="13">
        <f t="shared" si="16"/>
        <v>2</v>
      </c>
      <c r="AW24" s="175">
        <f t="shared" si="17"/>
        <v>43093</v>
      </c>
      <c r="AX24" s="772">
        <f t="shared" si="18"/>
        <v>0.58620689655172409</v>
      </c>
      <c r="AY24" s="789">
        <f t="shared" si="19"/>
        <v>20.700845842962632</v>
      </c>
      <c r="AZ24" s="763">
        <f t="shared" si="25"/>
        <v>20.616696811411437</v>
      </c>
      <c r="BA24" s="647">
        <f t="shared" si="20"/>
        <v>0.90204970060714773</v>
      </c>
      <c r="BB24" s="642">
        <v>43110</v>
      </c>
      <c r="BC24" s="11">
        <v>43110</v>
      </c>
      <c r="BD24" s="292">
        <f>[2]!FeuilCaduc*(1-Persistant)+Persistant</f>
        <v>1</v>
      </c>
      <c r="BE24" s="293">
        <f>[2]!CroissVégét</f>
        <v>6.2535138577142317E-4</v>
      </c>
      <c r="BF24" s="842">
        <f>1+[2]!Salcycl*Ksac</f>
        <v>1.0005545429893146</v>
      </c>
      <c r="BH24" s="1105">
        <f t="shared" si="21"/>
        <v>2.3349642100613032E-2</v>
      </c>
      <c r="BI24" s="1107">
        <v>44206</v>
      </c>
      <c r="BJ24" s="742">
        <v>5.3549127746198972E-4</v>
      </c>
      <c r="BK24" s="742">
        <v>2.5165463574855925E-3</v>
      </c>
      <c r="BL24" s="742">
        <v>1.6453127082318181E-2</v>
      </c>
      <c r="BM24" s="742">
        <v>5.0974368034181962E-2</v>
      </c>
      <c r="BN24" s="742">
        <v>0.11165359727645768</v>
      </c>
      <c r="BO24" s="743">
        <v>0.19931540057341465</v>
      </c>
      <c r="BP24" s="742">
        <v>0.31016427326082291</v>
      </c>
      <c r="BQ24" s="742">
        <v>0.44702224827384335</v>
      </c>
      <c r="BR24" s="742">
        <v>0.59285627812426034</v>
      </c>
      <c r="BS24" s="742">
        <v>0.73803696755734949</v>
      </c>
      <c r="BT24" s="742">
        <v>0.87332619108810405</v>
      </c>
      <c r="BW24" s="1187">
        <f>'2018'!R\Max</f>
        <v>0</v>
      </c>
      <c r="BX24" s="1185">
        <f>'2019'!R\Max</f>
        <v>0.52203636327592018</v>
      </c>
      <c r="BY24" s="1185">
        <f>'2020'!R\Max</f>
        <v>0.49969278610441326</v>
      </c>
      <c r="BZ24" s="1185">
        <f>'2021'!R\Max</f>
        <v>0.24605037768314744</v>
      </c>
      <c r="CA24" s="1185">
        <f>'2022'!R\Max</f>
        <v>9.4828009497300844E-2</v>
      </c>
      <c r="CB24" s="1185">
        <f>'2023'!R\Max</f>
        <v>0.90204970060714773</v>
      </c>
      <c r="CC24" s="1185">
        <f>'2024'!R\Max</f>
        <v>0.89662659123740163</v>
      </c>
      <c r="CD24" s="1185">
        <f>'2025'!R\Max</f>
        <v>0.89015800299062375</v>
      </c>
      <c r="CE24" s="1185">
        <f>'2026'!R\Max</f>
        <v>0.91450269773648762</v>
      </c>
      <c r="CF24" s="1186">
        <f>'2027'!R\Max</f>
        <v>0.91255832670800996</v>
      </c>
    </row>
    <row r="25" spans="1:84" s="6" customFormat="1" ht="11.25" x14ac:dyDescent="0.2">
      <c r="A25" s="11">
        <v>43111</v>
      </c>
      <c r="B25" s="382">
        <f>'2023'!Maxi_hp</f>
        <v>21.391910226810385</v>
      </c>
      <c r="C25" s="85">
        <f>'2023'!An_max</f>
        <v>2022</v>
      </c>
      <c r="D25" s="1132"/>
      <c r="E25" s="771"/>
      <c r="F25" s="13">
        <f t="shared" si="22"/>
        <v>3</v>
      </c>
      <c r="G25" s="13">
        <f t="shared" si="23"/>
        <v>2</v>
      </c>
      <c r="H25" s="175">
        <f t="shared" si="7"/>
        <v>43122</v>
      </c>
      <c r="I25" s="772">
        <f t="shared" si="8"/>
        <v>0.7857142857142857</v>
      </c>
      <c r="J25" s="763">
        <f t="shared" si="26"/>
        <v>20.784110243192739</v>
      </c>
      <c r="L25" s="776" t="s">
        <v>222</v>
      </c>
      <c r="M25" s="757">
        <f t="shared" ref="M25:AM25" si="35">(y.1m+y.2m+y.3m-a.m*(x.3m*x.3m+x.2m*x.2m+x.1m*x.1m)-b.m*(x.3m+x.2m+x.1m))/3</f>
        <v>93621842.042340294</v>
      </c>
      <c r="N25" s="757">
        <f>(y.1m+y.2m+y.3m-a.m*(x.3m*x.3m+x.2m*x.2m+x.1m*x.1m)-b.m*(x.3m+x.2m+x.1m))/3</f>
        <v>81321067.550992683</v>
      </c>
      <c r="O25" s="757">
        <f t="shared" si="35"/>
        <v>48925264.650656812</v>
      </c>
      <c r="P25" s="757">
        <f t="shared" si="35"/>
        <v>34205716.037437357</v>
      </c>
      <c r="Q25" s="757">
        <f t="shared" si="35"/>
        <v>39115418.143556245</v>
      </c>
      <c r="R25" s="757">
        <f t="shared" si="35"/>
        <v>19463861.976201829</v>
      </c>
      <c r="S25" s="757">
        <f t="shared" si="35"/>
        <v>-10032600.093100268</v>
      </c>
      <c r="T25" s="757">
        <f t="shared" si="35"/>
        <v>-49386728.215226561</v>
      </c>
      <c r="U25" s="757">
        <f t="shared" si="35"/>
        <v>-64154096.374159999</v>
      </c>
      <c r="V25" s="757">
        <f t="shared" si="35"/>
        <v>-78931037.748255745</v>
      </c>
      <c r="W25" s="757">
        <f t="shared" si="35"/>
        <v>-59215680.826610945</v>
      </c>
      <c r="X25" s="757">
        <f t="shared" si="35"/>
        <v>-44419583.716235116</v>
      </c>
      <c r="Y25" s="757">
        <f t="shared" si="35"/>
        <v>-34549130.628578313</v>
      </c>
      <c r="Z25" s="757">
        <f t="shared" si="35"/>
        <v>-24672287.125470739</v>
      </c>
      <c r="AA25" s="757">
        <f t="shared" si="35"/>
        <v>-34555523.111990638</v>
      </c>
      <c r="AB25" s="757">
        <f t="shared" si="35"/>
        <v>-24665892.574041441</v>
      </c>
      <c r="AC25" s="757">
        <f t="shared" si="35"/>
        <v>-34561919.731420569</v>
      </c>
      <c r="AD25" s="757">
        <f t="shared" si="35"/>
        <v>-54366771.421076275</v>
      </c>
      <c r="AE25" s="757">
        <f t="shared" si="35"/>
        <v>-64275598.021322697</v>
      </c>
      <c r="AF25" s="757">
        <f t="shared" si="35"/>
        <v>-39487524.462126575</v>
      </c>
      <c r="AG25" s="757">
        <f t="shared" si="35"/>
        <v>5159829.9558353936</v>
      </c>
      <c r="AH25" s="757">
        <f t="shared" si="35"/>
        <v>54800036.328502886</v>
      </c>
      <c r="AI25" s="757">
        <f t="shared" si="35"/>
        <v>39898360.875545412</v>
      </c>
      <c r="AJ25" s="757">
        <f t="shared" si="35"/>
        <v>59780083.670329846</v>
      </c>
      <c r="AK25" s="757">
        <f t="shared" si="35"/>
        <v>44859171.829093583</v>
      </c>
      <c r="AL25" s="757">
        <f t="shared" si="35"/>
        <v>89650775.894175351</v>
      </c>
      <c r="AM25" s="757">
        <f t="shared" si="35"/>
        <v>95214697.786799252</v>
      </c>
      <c r="AN25" s="757">
        <f>(y.1m+y.2m+y.3m-a.m*(x.3m*x.3m+x.2m*x.2m+x.1m*x.1m)-b.m*(x.3m+x.2m+x.1m))/3</f>
        <v>82704700.949246958</v>
      </c>
      <c r="AP25" s="13">
        <f t="shared" si="10"/>
        <v>3</v>
      </c>
      <c r="AQ25" s="13">
        <f t="shared" si="11"/>
        <v>2</v>
      </c>
      <c r="AR25" s="175">
        <f t="shared" si="12"/>
        <v>43136</v>
      </c>
      <c r="AS25" s="772">
        <f t="shared" si="13"/>
        <v>0.8928571428571429</v>
      </c>
      <c r="AT25" s="789">
        <f>((1-AS25)*(INDEX(a.lg,AP25)*$A25*$A25+INDEX(b.lg,AP25)*$A25+INDEX(c.lg,AP25))+AS25*(INDEX(a.lg,AQ25)*$A25*$A25+INDEX(b.lg,AQ25)*$A25+INDEX(c.lg,AQ25)))/10</f>
        <v>20.734607550767915</v>
      </c>
      <c r="AU25" s="13">
        <f t="shared" si="15"/>
        <v>1</v>
      </c>
      <c r="AV25" s="13">
        <f t="shared" si="16"/>
        <v>2</v>
      </c>
      <c r="AW25" s="175">
        <f t="shared" si="17"/>
        <v>43093</v>
      </c>
      <c r="AX25" s="772">
        <f t="shared" si="18"/>
        <v>0.62068965517241381</v>
      </c>
      <c r="AY25" s="789">
        <f t="shared" si="19"/>
        <v>20.921406872056686</v>
      </c>
      <c r="AZ25" s="763">
        <f t="shared" si="25"/>
        <v>20.828007211412299</v>
      </c>
      <c r="BA25" s="647">
        <f t="shared" si="20"/>
        <v>1.0292434930581988</v>
      </c>
      <c r="BB25" s="642">
        <v>43111</v>
      </c>
      <c r="BC25" s="11">
        <v>43111</v>
      </c>
      <c r="BD25" s="292">
        <f>[2]!FeuilCaduc*(1-Persistant)+Persistant</f>
        <v>1</v>
      </c>
      <c r="BE25" s="293">
        <f>[2]!CroissVégét</f>
        <v>7.0982230050345072E-4</v>
      </c>
      <c r="BF25" s="842">
        <f>1+[2]!Salcycl*Ksac</f>
        <v>1.000502968696068</v>
      </c>
      <c r="BH25" s="1105">
        <f t="shared" si="21"/>
        <v>2.3219943934193535E-2</v>
      </c>
      <c r="BI25" s="11">
        <v>44207</v>
      </c>
      <c r="BJ25" s="742">
        <v>5.5154148337589705E-4</v>
      </c>
      <c r="BK25" s="742">
        <v>2.485474446381647E-3</v>
      </c>
      <c r="BL25" s="742">
        <v>1.6248137752038792E-2</v>
      </c>
      <c r="BM25" s="742">
        <v>5.1146256649105153E-2</v>
      </c>
      <c r="BN25" s="742">
        <v>0.1107530043959316</v>
      </c>
      <c r="BO25" s="743">
        <v>0.19847759625155903</v>
      </c>
      <c r="BP25" s="742">
        <v>0.3069836270859157</v>
      </c>
      <c r="BQ25" s="742">
        <v>0.44418927166939731</v>
      </c>
      <c r="BR25" s="742">
        <v>0.58960961750195495</v>
      </c>
      <c r="BS25" s="742">
        <v>0.73716518877617443</v>
      </c>
      <c r="BT25" s="742">
        <v>0.87457679605560013</v>
      </c>
      <c r="BW25" s="1187">
        <f>'2018'!R\Max</f>
        <v>0</v>
      </c>
      <c r="BX25" s="1185">
        <f>'2019'!R\Max</f>
        <v>0.96629130987479028</v>
      </c>
      <c r="BY25" s="1185">
        <f>'2020'!R\Max</f>
        <v>0.98114640851292823</v>
      </c>
      <c r="BZ25" s="1185">
        <f>'2021'!R\Max</f>
        <v>0.3269995435157329</v>
      </c>
      <c r="CA25" s="1185">
        <f>'2022'!R\Max</f>
        <v>1.0292434930581988</v>
      </c>
      <c r="CB25" s="1185">
        <f>'2023'!R\Max</f>
        <v>0.23908366121004807</v>
      </c>
      <c r="CC25" s="1185">
        <f>'2024'!R\Max</f>
        <v>0.22892580706684984</v>
      </c>
      <c r="CD25" s="1185">
        <f>'2025'!R\Max</f>
        <v>0.21767298960712111</v>
      </c>
      <c r="CE25" s="1185">
        <f>'2026'!R\Max</f>
        <v>0.26557161180886957</v>
      </c>
      <c r="CF25" s="1186">
        <f>'2027'!R\Max</f>
        <v>0.26111124244700556</v>
      </c>
    </row>
    <row r="26" spans="1:84" s="6" customFormat="1" ht="11.25" x14ac:dyDescent="0.2">
      <c r="A26" s="11">
        <v>43112</v>
      </c>
      <c r="B26" s="382">
        <f>'2023'!Maxi_hp</f>
        <v>20.743234517449725</v>
      </c>
      <c r="C26" s="85">
        <f>'2023'!An_max</f>
        <v>2020</v>
      </c>
      <c r="D26" s="1132"/>
      <c r="E26" s="771"/>
      <c r="F26" s="13">
        <f t="shared" si="22"/>
        <v>3</v>
      </c>
      <c r="G26" s="13">
        <f t="shared" si="23"/>
        <v>2</v>
      </c>
      <c r="H26" s="175">
        <f t="shared" si="7"/>
        <v>43122</v>
      </c>
      <c r="I26" s="772">
        <f t="shared" si="8"/>
        <v>0.7142857142857143</v>
      </c>
      <c r="J26" s="763">
        <f t="shared" si="26"/>
        <v>21.012154438240184</v>
      </c>
      <c r="L26" s="10"/>
      <c r="AP26" s="13">
        <f t="shared" si="10"/>
        <v>3</v>
      </c>
      <c r="AQ26" s="13">
        <f t="shared" si="11"/>
        <v>2</v>
      </c>
      <c r="AR26" s="175">
        <f t="shared" si="12"/>
        <v>43136</v>
      </c>
      <c r="AS26" s="772">
        <f t="shared" si="13"/>
        <v>0.8571428571428571</v>
      </c>
      <c r="AT26" s="789">
        <f>((1-AS26)*(INDEX(a.lg,AP26)*$A26*$A26+INDEX(b.lg,AP26)*$A26+INDEX(c.lg,AP26))+AS26*(INDEX(a.lg,AQ26)*$A26*$A26+INDEX(b.lg,AQ26)*$A26+INDEX(c.lg,AQ26)))/10</f>
        <v>20.947618413184369</v>
      </c>
      <c r="AU26" s="13">
        <f t="shared" si="15"/>
        <v>1</v>
      </c>
      <c r="AV26" s="13">
        <f t="shared" si="16"/>
        <v>2</v>
      </c>
      <c r="AW26" s="175">
        <f t="shared" si="17"/>
        <v>43093</v>
      </c>
      <c r="AX26" s="772">
        <f t="shared" si="18"/>
        <v>0.65517241379310343</v>
      </c>
      <c r="AY26" s="789">
        <f t="shared" si="19"/>
        <v>21.148297609722817</v>
      </c>
      <c r="AZ26" s="763">
        <f t="shared" si="25"/>
        <v>21.047958011453595</v>
      </c>
      <c r="BA26" s="647">
        <f t="shared" si="20"/>
        <v>0.98720169692351734</v>
      </c>
      <c r="BB26" s="642">
        <v>43112</v>
      </c>
      <c r="BC26" s="11">
        <v>43112</v>
      </c>
      <c r="BD26" s="292">
        <f>[2]!FeuilCaduc*(1-Persistant)+Persistant</f>
        <v>1</v>
      </c>
      <c r="BE26" s="293">
        <f>[2]!CroissVégét</f>
        <v>7.9782175584567966E-4</v>
      </c>
      <c r="BF26" s="842">
        <f>1+[2]!Salcycl*Ksac</f>
        <v>1.0004536419196959</v>
      </c>
      <c r="BH26" s="1105">
        <f t="shared" si="21"/>
        <v>2.3076969155414864E-2</v>
      </c>
      <c r="BI26" s="11">
        <v>44208</v>
      </c>
      <c r="BJ26" s="742">
        <v>5.6789835239990163E-4</v>
      </c>
      <c r="BK26" s="742">
        <v>2.4629269149262917E-3</v>
      </c>
      <c r="BL26" s="742">
        <v>1.6032075399712561E-2</v>
      </c>
      <c r="BM26" s="742">
        <v>5.1296041935815329E-2</v>
      </c>
      <c r="BN26" s="742">
        <v>0.10987596489974545</v>
      </c>
      <c r="BO26" s="743">
        <v>0.19764094776323626</v>
      </c>
      <c r="BP26" s="742">
        <v>0.30385707012770996</v>
      </c>
      <c r="BQ26" s="742">
        <v>0.44126315959479995</v>
      </c>
      <c r="BR26" s="742">
        <v>0.58622795743364342</v>
      </c>
      <c r="BS26" s="742">
        <v>0.73599268218345859</v>
      </c>
      <c r="BT26" s="742">
        <v>0.87545684551705416</v>
      </c>
      <c r="BW26" s="1187">
        <f>'2018'!R\Max</f>
        <v>0</v>
      </c>
      <c r="BX26" s="1185">
        <f>'2019'!R\Max</f>
        <v>0.40125621330336497</v>
      </c>
      <c r="BY26" s="1185">
        <f>'2020'!R\Max</f>
        <v>0.98720169692351734</v>
      </c>
      <c r="BZ26" s="1185">
        <f>'2021'!R\Max</f>
        <v>0.67849175016182028</v>
      </c>
      <c r="CA26" s="1185">
        <f>'2022'!R\Max</f>
        <v>0.91888105349256144</v>
      </c>
      <c r="CB26" s="1185">
        <f>'2023'!R\Max</f>
        <v>0.94981219367387215</v>
      </c>
      <c r="CC26" s="1185">
        <f>'2024'!R\Max</f>
        <v>0.94699148926559207</v>
      </c>
      <c r="CD26" s="1185">
        <f>'2025'!R\Max</f>
        <v>0.94356100450923475</v>
      </c>
      <c r="CE26" s="1185">
        <f>'2026'!R\Max</f>
        <v>0.95620827222495475</v>
      </c>
      <c r="CF26" s="1186">
        <f>'2027'!R\Max</f>
        <v>0.95521717055706334</v>
      </c>
    </row>
    <row r="27" spans="1:84" s="6" customFormat="1" ht="11.25" x14ac:dyDescent="0.2">
      <c r="A27" s="11">
        <v>43113</v>
      </c>
      <c r="B27" s="382">
        <f>'2023'!Maxi_hp</f>
        <v>14.753138664755877</v>
      </c>
      <c r="C27" s="85">
        <f>'2023'!An_max</f>
        <v>2020</v>
      </c>
      <c r="D27" s="1132"/>
      <c r="E27" s="771"/>
      <c r="F27" s="13">
        <f t="shared" si="22"/>
        <v>3</v>
      </c>
      <c r="G27" s="13">
        <f t="shared" si="23"/>
        <v>2</v>
      </c>
      <c r="H27" s="175">
        <f t="shared" si="7"/>
        <v>43122</v>
      </c>
      <c r="I27" s="772">
        <f t="shared" si="8"/>
        <v>0.6428571428571429</v>
      </c>
      <c r="J27" s="763">
        <f t="shared" si="26"/>
        <v>21.24945754179997</v>
      </c>
      <c r="L27" s="10"/>
      <c r="M27" s="6" t="s">
        <v>231</v>
      </c>
      <c r="AC27" s="69"/>
      <c r="AE27" s="69"/>
      <c r="AG27" s="69"/>
      <c r="AI27" s="69"/>
      <c r="AK27" s="69"/>
      <c r="AM27" s="69"/>
      <c r="AO27" s="177"/>
      <c r="AP27" s="13">
        <f t="shared" si="10"/>
        <v>3</v>
      </c>
      <c r="AQ27" s="13">
        <f t="shared" si="11"/>
        <v>2</v>
      </c>
      <c r="AR27" s="175">
        <f t="shared" si="12"/>
        <v>43136</v>
      </c>
      <c r="AS27" s="772">
        <f t="shared" si="13"/>
        <v>0.8214285714285714</v>
      </c>
      <c r="AT27" s="789">
        <f>((1-AS27)*(INDEX(a.lg,AP27)*$A27*$A27+INDEX(b.lg,AP27)*$A27+INDEX(c.lg,AP27))+AS27*(INDEX(a.lg,AQ27)*$A27*$A27+INDEX(b.lg,AQ27)*$A27+INDEX(c.lg,AQ27)))/10</f>
        <v>21.171150753700307</v>
      </c>
      <c r="AU27" s="13">
        <f t="shared" si="15"/>
        <v>1</v>
      </c>
      <c r="AV27" s="13">
        <f t="shared" si="16"/>
        <v>2</v>
      </c>
      <c r="AW27" s="175">
        <f t="shared" si="17"/>
        <v>43093</v>
      </c>
      <c r="AX27" s="772">
        <f t="shared" si="18"/>
        <v>0.68965517241379315</v>
      </c>
      <c r="AY27" s="789">
        <f t="shared" si="19"/>
        <v>21.381123790299071</v>
      </c>
      <c r="AZ27" s="763">
        <f t="shared" si="25"/>
        <v>21.276137271999687</v>
      </c>
      <c r="BA27" s="647">
        <f t="shared" si="20"/>
        <v>0.69428307220242513</v>
      </c>
      <c r="BB27" s="642">
        <v>43113</v>
      </c>
      <c r="BC27" s="11">
        <v>43113</v>
      </c>
      <c r="BD27" s="292">
        <f>[2]!FeuilCaduc*(1-Persistant)+Persistant</f>
        <v>1</v>
      </c>
      <c r="BE27" s="293">
        <f>[2]!CroissVégét</f>
        <v>8.8949648478391823E-4</v>
      </c>
      <c r="BF27" s="842">
        <f>1+[2]!Salcycl*Ksac</f>
        <v>1.0004065357216871</v>
      </c>
      <c r="BH27" s="1105">
        <f t="shared" si="21"/>
        <v>2.2920651392931059E-2</v>
      </c>
      <c r="BI27" s="11">
        <v>44209</v>
      </c>
      <c r="BJ27" s="742">
        <v>5.84559959695838E-4</v>
      </c>
      <c r="BK27" s="742">
        <v>2.4489094376047133E-3</v>
      </c>
      <c r="BL27" s="742">
        <v>1.5804897954050077E-2</v>
      </c>
      <c r="BM27" s="742">
        <v>5.1423560186500177E-2</v>
      </c>
      <c r="BN27" s="742">
        <v>0.10902228133059404</v>
      </c>
      <c r="BO27" s="743">
        <v>0.19680500845219981</v>
      </c>
      <c r="BP27" s="742">
        <v>0.30078408065923551</v>
      </c>
      <c r="BQ27" s="742">
        <v>0.43824285325126228</v>
      </c>
      <c r="BR27" s="742">
        <v>0.58270984981094298</v>
      </c>
      <c r="BS27" s="742">
        <v>0.73451729966447443</v>
      </c>
      <c r="BT27" s="742">
        <v>0.8759636448302579</v>
      </c>
      <c r="BW27" s="1187">
        <f>'2018'!R\Max</f>
        <v>0</v>
      </c>
      <c r="BX27" s="1185">
        <f>'2019'!R\Max</f>
        <v>0.30425704383113955</v>
      </c>
      <c r="BY27" s="1185">
        <f>'2020'!R\Max</f>
        <v>0.69428307220242513</v>
      </c>
      <c r="BZ27" s="1185">
        <f>'2021'!R\Max</f>
        <v>0.65953238606809617</v>
      </c>
      <c r="CA27" s="1185">
        <f>'2022'!R\Max</f>
        <v>0.31293955762874953</v>
      </c>
      <c r="CB27" s="1185">
        <f>'2023'!R\Max</f>
        <v>0.57908787850366727</v>
      </c>
      <c r="CC27" s="1185">
        <f>'2024'!R\Max</f>
        <v>0.56526248615362462</v>
      </c>
      <c r="CD27" s="1185">
        <f>'2025'!R\Max</f>
        <v>0.54912191872622063</v>
      </c>
      <c r="CE27" s="1185">
        <f>'2026'!R\Max</f>
        <v>0.61273325887100261</v>
      </c>
      <c r="CF27" s="1186">
        <f>'2027'!R\Max</f>
        <v>0.60729896662558736</v>
      </c>
    </row>
    <row r="28" spans="1:84" s="6" customFormat="1" ht="11.25" x14ac:dyDescent="0.2">
      <c r="A28" s="11">
        <v>43114</v>
      </c>
      <c r="B28" s="382">
        <f>'2023'!Maxi_hp</f>
        <v>22.064358181548073</v>
      </c>
      <c r="C28" s="85">
        <f>'2023'!An_max</f>
        <v>2022</v>
      </c>
      <c r="D28" s="1132"/>
      <c r="E28" s="771"/>
      <c r="F28" s="13">
        <f t="shared" si="22"/>
        <v>3</v>
      </c>
      <c r="G28" s="13">
        <f t="shared" si="23"/>
        <v>2</v>
      </c>
      <c r="H28" s="175">
        <f t="shared" si="7"/>
        <v>43122</v>
      </c>
      <c r="I28" s="772">
        <f t="shared" si="8"/>
        <v>0.5714285714285714</v>
      </c>
      <c r="J28" s="763">
        <f t="shared" si="26"/>
        <v>21.495272667599576</v>
      </c>
      <c r="L28" s="177">
        <f>M28-28</f>
        <v>43051</v>
      </c>
      <c r="M28" s="177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7">
        <f>AN12</f>
        <v>43473</v>
      </c>
      <c r="AB28" s="177">
        <f>AA28+28</f>
        <v>43501</v>
      </c>
      <c r="AP28" s="13">
        <f t="shared" si="10"/>
        <v>3</v>
      </c>
      <c r="AQ28" s="13">
        <f t="shared" si="11"/>
        <v>2</v>
      </c>
      <c r="AR28" s="175">
        <f t="shared" si="12"/>
        <v>43136</v>
      </c>
      <c r="AS28" s="772">
        <f t="shared" si="13"/>
        <v>0.7857142857142857</v>
      </c>
      <c r="AT28" s="789">
        <f t="shared" si="14"/>
        <v>21.404774950764008</v>
      </c>
      <c r="AU28" s="13">
        <f t="shared" si="15"/>
        <v>1</v>
      </c>
      <c r="AV28" s="13">
        <f t="shared" si="16"/>
        <v>2</v>
      </c>
      <c r="AW28" s="175">
        <f t="shared" si="17"/>
        <v>43093</v>
      </c>
      <c r="AX28" s="772">
        <f t="shared" si="18"/>
        <v>0.72413793103448276</v>
      </c>
      <c r="AY28" s="789">
        <f t="shared" si="19"/>
        <v>21.61949114452662</v>
      </c>
      <c r="AZ28" s="763">
        <f t="shared" si="25"/>
        <v>21.512133047645314</v>
      </c>
      <c r="BA28" s="647">
        <f t="shared" si="20"/>
        <v>1.0264749148684351</v>
      </c>
      <c r="BB28" s="642">
        <v>43114</v>
      </c>
      <c r="BC28" s="11">
        <v>43114</v>
      </c>
      <c r="BD28" s="292">
        <f>[2]!FeuilCaduc*(1-Persistant)+Persistant</f>
        <v>1</v>
      </c>
      <c r="BE28" s="293">
        <f>[2]!CroissVégét</f>
        <v>9.849992655628797E-4</v>
      </c>
      <c r="BF28" s="842">
        <f>1+[2]!Salcycl*Ksac</f>
        <v>1.0003616536152811</v>
      </c>
      <c r="BH28" s="1105">
        <f t="shared" si="21"/>
        <v>2.2750927379253303E-2</v>
      </c>
      <c r="BI28" s="11">
        <v>44210</v>
      </c>
      <c r="BJ28" s="742">
        <v>6.0152417972396117E-4</v>
      </c>
      <c r="BK28" s="742">
        <v>2.4434268831880022E-3</v>
      </c>
      <c r="BL28" s="742">
        <v>1.5566566899750984E-2</v>
      </c>
      <c r="BM28" s="742">
        <v>5.1528648986141901E-2</v>
      </c>
      <c r="BN28" s="742">
        <v>0.10819176242106542</v>
      </c>
      <c r="BO28" s="743">
        <v>0.19596934035876543</v>
      </c>
      <c r="BP28" s="742">
        <v>0.29776416247071452</v>
      </c>
      <c r="BQ28" s="742">
        <v>0.43512733555592487</v>
      </c>
      <c r="BR28" s="742">
        <v>0.57905389822922404</v>
      </c>
      <c r="BS28" s="742">
        <v>0.7327369430756222</v>
      </c>
      <c r="BT28" s="742">
        <v>0.87609453746980503</v>
      </c>
      <c r="BW28" s="1187">
        <f>'2018'!R\Max</f>
        <v>0</v>
      </c>
      <c r="BX28" s="1185">
        <f>'2019'!R\Max</f>
        <v>0.34232514436861239</v>
      </c>
      <c r="BY28" s="1185">
        <f>'2020'!R\Max</f>
        <v>0.95282993722720288</v>
      </c>
      <c r="BZ28" s="1185">
        <f>'2021'!R\Max</f>
        <v>0.49395684707921833</v>
      </c>
      <c r="CA28" s="1185">
        <f>'2022'!R\Max</f>
        <v>1.0264749148684351</v>
      </c>
      <c r="CB28" s="1185">
        <f>'2023'!R\Max</f>
        <v>0.70400413066858203</v>
      </c>
      <c r="CC28" s="1185">
        <f>'2024'!R\Max</f>
        <v>0.69235438343265188</v>
      </c>
      <c r="CD28" s="1185">
        <f>'2025'!R\Max</f>
        <v>0.67846020305791177</v>
      </c>
      <c r="CE28" s="1185">
        <f>'2026'!R\Max</f>
        <v>0.73165370090541715</v>
      </c>
      <c r="CF28" s="1186">
        <f>'2027'!R\Max</f>
        <v>0.72725514634669874</v>
      </c>
    </row>
    <row r="29" spans="1:84" s="6" customFormat="1" ht="11.25" x14ac:dyDescent="0.2">
      <c r="A29" s="11">
        <v>43115</v>
      </c>
      <c r="B29" s="382">
        <f>'2023'!Maxi_hp</f>
        <v>22.222811190623492</v>
      </c>
      <c r="C29" s="85">
        <f>'2023'!An_max</f>
        <v>2022</v>
      </c>
      <c r="D29" s="1132"/>
      <c r="E29" s="771"/>
      <c r="F29" s="13">
        <f t="shared" si="22"/>
        <v>3</v>
      </c>
      <c r="G29" s="13">
        <f t="shared" si="23"/>
        <v>2</v>
      </c>
      <c r="H29" s="175">
        <f t="shared" si="7"/>
        <v>43122</v>
      </c>
      <c r="I29" s="772">
        <f t="shared" si="8"/>
        <v>0.5</v>
      </c>
      <c r="J29" s="763">
        <f t="shared" si="26"/>
        <v>21.74885293133557</v>
      </c>
      <c r="L29" s="794">
        <f>AJ13</f>
        <v>238.85400000000001</v>
      </c>
      <c r="M29" s="794">
        <f>L13</f>
        <v>186.12</v>
      </c>
      <c r="N29" s="784">
        <f>N13</f>
        <v>201.63</v>
      </c>
      <c r="O29" s="784">
        <f>P13</f>
        <v>282.28199999999998</v>
      </c>
      <c r="P29" s="784">
        <f>R13</f>
        <v>396.02199999999999</v>
      </c>
      <c r="Q29" s="784">
        <f>T13</f>
        <v>524.23800000000006</v>
      </c>
      <c r="R29" s="784">
        <f>V13</f>
        <v>616.26400000000001</v>
      </c>
      <c r="S29" s="784">
        <f>X13</f>
        <v>649.35199999999998</v>
      </c>
      <c r="T29" s="784">
        <f>Z13</f>
        <v>644.18200000000002</v>
      </c>
      <c r="U29" s="784">
        <f>AB13</f>
        <v>614.19600000000003</v>
      </c>
      <c r="V29" s="784">
        <f>AD13</f>
        <v>559.39400000000001</v>
      </c>
      <c r="W29" s="784">
        <f>AF13</f>
        <v>461.16399999999999</v>
      </c>
      <c r="X29" s="784">
        <f>AH13</f>
        <v>333.98200000000003</v>
      </c>
      <c r="Y29" s="784">
        <f>AJ13</f>
        <v>238.85400000000001</v>
      </c>
      <c r="Z29" s="784">
        <f>AL13</f>
        <v>186.12</v>
      </c>
      <c r="AA29" s="792">
        <f>AN13</f>
        <v>201.63</v>
      </c>
      <c r="AB29" s="792">
        <f>P13</f>
        <v>282.28199999999998</v>
      </c>
      <c r="AP29" s="13">
        <f t="shared" si="10"/>
        <v>3</v>
      </c>
      <c r="AQ29" s="13">
        <f t="shared" si="11"/>
        <v>2</v>
      </c>
      <c r="AR29" s="175">
        <f t="shared" si="12"/>
        <v>43136</v>
      </c>
      <c r="AS29" s="772">
        <f t="shared" si="13"/>
        <v>0.75</v>
      </c>
      <c r="AT29" s="789">
        <f t="shared" si="14"/>
        <v>21.648061387240887</v>
      </c>
      <c r="AU29" s="13">
        <f t="shared" si="15"/>
        <v>1</v>
      </c>
      <c r="AV29" s="13">
        <f t="shared" si="16"/>
        <v>2</v>
      </c>
      <c r="AW29" s="175">
        <f t="shared" si="17"/>
        <v>43093</v>
      </c>
      <c r="AX29" s="772">
        <f t="shared" si="18"/>
        <v>0.75862068965517238</v>
      </c>
      <c r="AY29" s="789">
        <f t="shared" si="19"/>
        <v>21.863005402016228</v>
      </c>
      <c r="AZ29" s="763">
        <f t="shared" si="25"/>
        <v>21.755533394628557</v>
      </c>
      <c r="BA29" s="647">
        <f t="shared" si="20"/>
        <v>1.0217923336363661</v>
      </c>
      <c r="BB29" s="642">
        <v>43115</v>
      </c>
      <c r="BC29" s="11">
        <v>43115</v>
      </c>
      <c r="BD29" s="292">
        <f>[2]!FeuilCaduc*(1-Persistant)+Persistant</f>
        <v>1</v>
      </c>
      <c r="BE29" s="293">
        <f>[2]!CroissVégét</f>
        <v>1.0844891659074879E-3</v>
      </c>
      <c r="BF29" s="842">
        <f>1+[2]!Salcycl*Ksac</f>
        <v>1.0003190252040661</v>
      </c>
      <c r="BH29" s="1105">
        <f t="shared" si="21"/>
        <v>2.256773727472914E-2</v>
      </c>
      <c r="BI29" s="11">
        <v>44211</v>
      </c>
      <c r="BJ29" s="742">
        <v>6.1878867854639886E-4</v>
      </c>
      <c r="BK29" s="742">
        <v>2.4464830963674216E-3</v>
      </c>
      <c r="BL29" s="742">
        <v>1.5317047547045588E-2</v>
      </c>
      <c r="BM29" s="742">
        <v>5.1611147754552167E-2</v>
      </c>
      <c r="BN29" s="742">
        <v>0.10738422242562574</v>
      </c>
      <c r="BO29" s="743">
        <v>0.19513351408235968</v>
      </c>
      <c r="BP29" s="742">
        <v>0.29479684328769878</v>
      </c>
      <c r="BQ29" s="742">
        <v>0.43191563324557425</v>
      </c>
      <c r="BR29" s="742">
        <v>0.57525876108002583</v>
      </c>
      <c r="BS29" s="742">
        <v>0.73064957153138721</v>
      </c>
      <c r="BT29" s="742">
        <v>0.87584691407132209</v>
      </c>
      <c r="BW29" s="1187">
        <f>'2018'!R\Max</f>
        <v>0</v>
      </c>
      <c r="BX29" s="1185">
        <f>'2019'!R\Max</f>
        <v>0.98305274917049357</v>
      </c>
      <c r="BY29" s="1185">
        <f>'2020'!R\Max</f>
        <v>0.82831666550239624</v>
      </c>
      <c r="BZ29" s="1185">
        <f>'2021'!R\Max</f>
        <v>0.71860197207295495</v>
      </c>
      <c r="CA29" s="1185">
        <f>'2022'!R\Max</f>
        <v>1.0217923336363661</v>
      </c>
      <c r="CB29" s="1185">
        <f>'2023'!R\Max</f>
        <v>0.27009798175915339</v>
      </c>
      <c r="CC29" s="1185">
        <f>'2024'!R\Max</f>
        <v>0.25956994856737431</v>
      </c>
      <c r="CD29" s="1185">
        <f>'2025'!R\Max</f>
        <v>0.24757082957702173</v>
      </c>
      <c r="CE29" s="1185">
        <f>'2026'!R\Max</f>
        <v>0.29719996763301954</v>
      </c>
      <c r="CF29" s="1186">
        <f>'2027'!R\Max</f>
        <v>0.29267657373136202</v>
      </c>
    </row>
    <row r="30" spans="1:84" s="6" customFormat="1" ht="11.25" x14ac:dyDescent="0.2">
      <c r="A30" s="11">
        <v>43116</v>
      </c>
      <c r="B30" s="382">
        <f>'2023'!Maxi_hp</f>
        <v>22.179762474374062</v>
      </c>
      <c r="C30" s="85">
        <f>'2023'!An_max</f>
        <v>2022</v>
      </c>
      <c r="D30" s="1132"/>
      <c r="E30" s="771"/>
      <c r="F30" s="13">
        <f t="shared" si="22"/>
        <v>3</v>
      </c>
      <c r="G30" s="13">
        <f t="shared" si="23"/>
        <v>2</v>
      </c>
      <c r="H30" s="175">
        <f t="shared" si="7"/>
        <v>43122</v>
      </c>
      <c r="I30" s="772">
        <f t="shared" si="8"/>
        <v>0.42857142857142855</v>
      </c>
      <c r="J30" s="763">
        <f t="shared" si="26"/>
        <v>22.009451440828187</v>
      </c>
      <c r="L30" s="774" t="s">
        <v>212</v>
      </c>
      <c r="M30" s="804">
        <f t="shared" ref="M30:AA30" si="36">L28</f>
        <v>43051</v>
      </c>
      <c r="N30" s="805">
        <f t="shared" si="36"/>
        <v>43079</v>
      </c>
      <c r="O30" s="753">
        <f t="shared" si="36"/>
        <v>43108</v>
      </c>
      <c r="P30" s="753">
        <f t="shared" si="36"/>
        <v>43136</v>
      </c>
      <c r="Q30" s="753">
        <f t="shared" si="36"/>
        <v>43164</v>
      </c>
      <c r="R30" s="753">
        <f t="shared" si="36"/>
        <v>43192</v>
      </c>
      <c r="S30" s="753">
        <f t="shared" si="36"/>
        <v>43220</v>
      </c>
      <c r="T30" s="753">
        <f t="shared" si="36"/>
        <v>43248</v>
      </c>
      <c r="U30" s="753">
        <f t="shared" si="36"/>
        <v>43276</v>
      </c>
      <c r="V30" s="753">
        <f t="shared" si="36"/>
        <v>43304</v>
      </c>
      <c r="W30" s="753">
        <f t="shared" si="36"/>
        <v>43332</v>
      </c>
      <c r="X30" s="753">
        <f t="shared" si="36"/>
        <v>43360</v>
      </c>
      <c r="Y30" s="753">
        <f t="shared" si="36"/>
        <v>43388</v>
      </c>
      <c r="Z30" s="753">
        <f t="shared" si="36"/>
        <v>43416</v>
      </c>
      <c r="AA30" s="797">
        <f t="shared" si="36"/>
        <v>43444</v>
      </c>
      <c r="AP30" s="13">
        <f t="shared" si="10"/>
        <v>3</v>
      </c>
      <c r="AQ30" s="13">
        <f t="shared" si="11"/>
        <v>2</v>
      </c>
      <c r="AR30" s="175">
        <f t="shared" si="12"/>
        <v>43136</v>
      </c>
      <c r="AS30" s="772">
        <f t="shared" si="13"/>
        <v>0.7142857142857143</v>
      </c>
      <c r="AT30" s="789">
        <f t="shared" si="14"/>
        <v>21.900580448763712</v>
      </c>
      <c r="AU30" s="13">
        <f t="shared" si="15"/>
        <v>1</v>
      </c>
      <c r="AV30" s="13">
        <f t="shared" si="16"/>
        <v>2</v>
      </c>
      <c r="AW30" s="175">
        <f t="shared" si="17"/>
        <v>43093</v>
      </c>
      <c r="AX30" s="772">
        <f t="shared" si="18"/>
        <v>0.7931034482758621</v>
      </c>
      <c r="AY30" s="789">
        <f t="shared" si="19"/>
        <v>22.11127229705453</v>
      </c>
      <c r="AZ30" s="763">
        <f t="shared" si="25"/>
        <v>22.005926372909123</v>
      </c>
      <c r="BA30" s="647">
        <f t="shared" si="20"/>
        <v>1.0077380862491623</v>
      </c>
      <c r="BB30" s="642">
        <v>43116</v>
      </c>
      <c r="BC30" s="11">
        <v>43116</v>
      </c>
      <c r="BD30" s="292">
        <f>[2]!FeuilCaduc*(1-Persistant)+Persistant</f>
        <v>1</v>
      </c>
      <c r="BE30" s="293">
        <f>[2]!CroissVégét</f>
        <v>1.1881317966940647E-3</v>
      </c>
      <c r="BF30" s="842">
        <f>1+[2]!Salcycl*Ksac</f>
        <v>1.0002787017881365</v>
      </c>
      <c r="BH30" s="1105">
        <f t="shared" si="21"/>
        <v>2.2343275847291136E-2</v>
      </c>
      <c r="BI30" s="11">
        <v>44212</v>
      </c>
      <c r="BJ30" s="742">
        <v>6.3827003656402375E-4</v>
      </c>
      <c r="BK30" s="742">
        <v>2.4609918650164318E-3</v>
      </c>
      <c r="BL30" s="742">
        <v>1.5044317482910666E-2</v>
      </c>
      <c r="BM30" s="742">
        <v>5.1580031495855515E-2</v>
      </c>
      <c r="BN30" s="742">
        <v>0.10657741766657806</v>
      </c>
      <c r="BO30" s="743">
        <v>0.19421632441380518</v>
      </c>
      <c r="BP30" s="742">
        <v>0.29194576138392664</v>
      </c>
      <c r="BQ30" s="742">
        <v>0.42855190629056544</v>
      </c>
      <c r="BR30" s="742">
        <v>0.57131066333388303</v>
      </c>
      <c r="BS30" s="742">
        <v>0.72807436679242554</v>
      </c>
      <c r="BT30" s="742">
        <v>0.87492102298533558</v>
      </c>
      <c r="BW30" s="1187">
        <f>'2018'!R\Max</f>
        <v>0</v>
      </c>
      <c r="BX30" s="1185">
        <f>'2019'!R\Max</f>
        <v>0.96379858464462076</v>
      </c>
      <c r="BY30" s="1185">
        <f>'2020'!R\Max</f>
        <v>0.92434533295239918</v>
      </c>
      <c r="BZ30" s="1185">
        <f>'2021'!R\Max</f>
        <v>0.67353616020301788</v>
      </c>
      <c r="CA30" s="1185">
        <f>'2022'!R\Max</f>
        <v>1.0077380862491623</v>
      </c>
      <c r="CB30" s="1185">
        <f>'2023'!R\Max</f>
        <v>0.17109788584647201</v>
      </c>
      <c r="CC30" s="1185">
        <f>'2024'!R\Max</f>
        <v>0.16458149263070082</v>
      </c>
      <c r="CD30" s="1185">
        <f>'2025'!R\Max</f>
        <v>0.1571139688740617</v>
      </c>
      <c r="CE30" s="1185">
        <f>'2026'!R\Max</f>
        <v>0.18785856467368214</v>
      </c>
      <c r="CF30" s="1186">
        <f>'2027'!R\Max</f>
        <v>0.18506397468912758</v>
      </c>
    </row>
    <row r="31" spans="1:84" s="6" customFormat="1" ht="11.25" x14ac:dyDescent="0.2">
      <c r="A31" s="11">
        <v>43117</v>
      </c>
      <c r="B31" s="382">
        <f>'2023'!Maxi_hp</f>
        <v>17.368757233641855</v>
      </c>
      <c r="C31" s="85">
        <f>'2023'!An_max</f>
        <v>2022</v>
      </c>
      <c r="D31" s="1132"/>
      <c r="E31" s="771"/>
      <c r="F31" s="13">
        <f t="shared" si="22"/>
        <v>3</v>
      </c>
      <c r="G31" s="13">
        <f t="shared" si="23"/>
        <v>2</v>
      </c>
      <c r="H31" s="175">
        <f t="shared" si="7"/>
        <v>43122</v>
      </c>
      <c r="I31" s="772">
        <f t="shared" si="8"/>
        <v>0.35714285714285715</v>
      </c>
      <c r="J31" s="763">
        <f t="shared" si="26"/>
        <v>22.276321309804917</v>
      </c>
      <c r="L31" s="775" t="s">
        <v>213</v>
      </c>
      <c r="M31" s="796">
        <f t="shared" ref="M31:AA31" si="37">L29</f>
        <v>238.85400000000001</v>
      </c>
      <c r="N31" s="800">
        <f t="shared" si="37"/>
        <v>186.12</v>
      </c>
      <c r="O31" s="759">
        <f t="shared" si="37"/>
        <v>201.63</v>
      </c>
      <c r="P31" s="759">
        <f t="shared" si="37"/>
        <v>282.28199999999998</v>
      </c>
      <c r="Q31" s="759">
        <f t="shared" si="37"/>
        <v>396.02199999999999</v>
      </c>
      <c r="R31" s="759">
        <f t="shared" si="37"/>
        <v>524.23800000000006</v>
      </c>
      <c r="S31" s="759">
        <f t="shared" si="37"/>
        <v>616.26400000000001</v>
      </c>
      <c r="T31" s="759">
        <f t="shared" si="37"/>
        <v>649.35199999999998</v>
      </c>
      <c r="U31" s="759">
        <f t="shared" si="37"/>
        <v>644.18200000000002</v>
      </c>
      <c r="V31" s="759">
        <f t="shared" si="37"/>
        <v>614.19600000000003</v>
      </c>
      <c r="W31" s="759">
        <f t="shared" si="37"/>
        <v>559.39400000000001</v>
      </c>
      <c r="X31" s="759">
        <f t="shared" si="37"/>
        <v>461.16399999999999</v>
      </c>
      <c r="Y31" s="759">
        <f t="shared" si="37"/>
        <v>333.98200000000003</v>
      </c>
      <c r="Z31" s="759">
        <f t="shared" si="37"/>
        <v>238.85400000000001</v>
      </c>
      <c r="AA31" s="798">
        <f t="shared" si="37"/>
        <v>186.12</v>
      </c>
      <c r="AP31" s="13">
        <f t="shared" si="10"/>
        <v>3</v>
      </c>
      <c r="AQ31" s="13">
        <f t="shared" si="11"/>
        <v>2</v>
      </c>
      <c r="AR31" s="175">
        <f t="shared" si="12"/>
        <v>43136</v>
      </c>
      <c r="AS31" s="772">
        <f t="shared" si="13"/>
        <v>0.6785714285714286</v>
      </c>
      <c r="AT31" s="789">
        <f t="shared" si="14"/>
        <v>22.161902509975647</v>
      </c>
      <c r="AU31" s="13">
        <f t="shared" si="15"/>
        <v>1</v>
      </c>
      <c r="AV31" s="13">
        <f t="shared" si="16"/>
        <v>2</v>
      </c>
      <c r="AW31" s="175">
        <f t="shared" si="17"/>
        <v>43093</v>
      </c>
      <c r="AX31" s="772">
        <f t="shared" si="18"/>
        <v>0.82758620689655171</v>
      </c>
      <c r="AY31" s="789">
        <f t="shared" si="19"/>
        <v>22.363897559560581</v>
      </c>
      <c r="AZ31" s="763">
        <f t="shared" si="25"/>
        <v>22.262900034768116</v>
      </c>
      <c r="BA31" s="647">
        <f t="shared" si="20"/>
        <v>0.77969593776675328</v>
      </c>
      <c r="BB31" s="642">
        <v>43117</v>
      </c>
      <c r="BC31" s="11">
        <v>43117</v>
      </c>
      <c r="BD31" s="292">
        <f>[2]!FeuilCaduc*(1-Persistant)+Persistant</f>
        <v>1</v>
      </c>
      <c r="BE31" s="293">
        <f>[2]!CroissVégét</f>
        <v>1.2960995754023115E-3</v>
      </c>
      <c r="BF31" s="842">
        <f>1+[2]!Salcycl*Ksac</f>
        <v>1.0002407519849124</v>
      </c>
      <c r="BH31" s="1105">
        <f t="shared" si="21"/>
        <v>2.2071606184009274E-2</v>
      </c>
      <c r="BI31" s="11">
        <v>44213</v>
      </c>
      <c r="BJ31" s="742">
        <v>6.6023979225056156E-4</v>
      </c>
      <c r="BK31" s="742">
        <v>2.4828620140898805E-3</v>
      </c>
      <c r="BL31" s="742">
        <v>1.4744711655955587E-2</v>
      </c>
      <c r="BM31" s="742">
        <v>5.1420263113591762E-2</v>
      </c>
      <c r="BN31" s="742">
        <v>0.10576508353715057</v>
      </c>
      <c r="BO31" s="743">
        <v>0.19320391258003844</v>
      </c>
      <c r="BP31" s="742">
        <v>0.28928335256175108</v>
      </c>
      <c r="BQ31" s="742">
        <v>0.42511174569255289</v>
      </c>
      <c r="BR31" s="742">
        <v>0.56732008244492682</v>
      </c>
      <c r="BS31" s="742">
        <v>0.72508113659558437</v>
      </c>
      <c r="BT31" s="742">
        <v>0.87342052578006668</v>
      </c>
      <c r="BW31" s="1187">
        <f>'2018'!R\Max</f>
        <v>0</v>
      </c>
      <c r="BX31" s="1185">
        <f>'2019'!R\Max</f>
        <v>0.44130456027528947</v>
      </c>
      <c r="BY31" s="1185">
        <f>'2020'!R\Max</f>
        <v>0.19585880914971515</v>
      </c>
      <c r="BZ31" s="1185">
        <f>'2021'!R\Max</f>
        <v>0.29825698879413115</v>
      </c>
      <c r="CA31" s="1185">
        <f>'2022'!R\Max</f>
        <v>0.77969593776675328</v>
      </c>
      <c r="CB31" s="1185">
        <f>'2023'!R\Max</f>
        <v>0.29163307739896233</v>
      </c>
      <c r="CC31" s="1185">
        <f>'2024'!R\Max</f>
        <v>0.28108177977586934</v>
      </c>
      <c r="CD31" s="1185">
        <f>'2025'!R\Max</f>
        <v>0.26891243093055844</v>
      </c>
      <c r="CE31" s="1185">
        <f>'2026'!R\Max</f>
        <v>0.31868049834055973</v>
      </c>
      <c r="CF31" s="1186">
        <f>'2027'!R\Max</f>
        <v>0.31418312170113716</v>
      </c>
    </row>
    <row r="32" spans="1:84" s="6" customFormat="1" ht="11.25" x14ac:dyDescent="0.2">
      <c r="A32" s="11">
        <v>43118</v>
      </c>
      <c r="B32" s="382">
        <f>'2023'!Maxi_hp</f>
        <v>21.743395935695009</v>
      </c>
      <c r="C32" s="85">
        <f>'2023'!An_max</f>
        <v>2021</v>
      </c>
      <c r="D32" s="1132"/>
      <c r="E32" s="771"/>
      <c r="F32" s="13">
        <f t="shared" si="22"/>
        <v>3</v>
      </c>
      <c r="G32" s="13">
        <f t="shared" si="23"/>
        <v>2</v>
      </c>
      <c r="H32" s="175">
        <f t="shared" si="7"/>
        <v>43122</v>
      </c>
      <c r="I32" s="772">
        <f t="shared" si="8"/>
        <v>0.2857142857142857</v>
      </c>
      <c r="J32" s="763">
        <f t="shared" si="26"/>
        <v>22.548715652312552</v>
      </c>
      <c r="L32" s="775" t="s">
        <v>214</v>
      </c>
      <c r="M32" s="807">
        <f t="shared" ref="M32:AA32" si="38">M28</f>
        <v>43079</v>
      </c>
      <c r="N32" s="754">
        <f t="shared" si="38"/>
        <v>43108</v>
      </c>
      <c r="O32" s="754">
        <f t="shared" si="38"/>
        <v>43136</v>
      </c>
      <c r="P32" s="754">
        <f t="shared" si="38"/>
        <v>43164</v>
      </c>
      <c r="Q32" s="754">
        <f t="shared" si="38"/>
        <v>43192</v>
      </c>
      <c r="R32" s="754">
        <f t="shared" si="38"/>
        <v>43220</v>
      </c>
      <c r="S32" s="754">
        <f t="shared" si="38"/>
        <v>43248</v>
      </c>
      <c r="T32" s="754">
        <f t="shared" si="38"/>
        <v>43276</v>
      </c>
      <c r="U32" s="754">
        <f t="shared" si="38"/>
        <v>43304</v>
      </c>
      <c r="V32" s="754">
        <f t="shared" si="38"/>
        <v>43332</v>
      </c>
      <c r="W32" s="754">
        <f t="shared" si="38"/>
        <v>43360</v>
      </c>
      <c r="X32" s="754">
        <f t="shared" si="38"/>
        <v>43388</v>
      </c>
      <c r="Y32" s="754">
        <f t="shared" si="38"/>
        <v>43416</v>
      </c>
      <c r="Z32" s="799">
        <f t="shared" si="38"/>
        <v>43444</v>
      </c>
      <c r="AA32" s="806">
        <f t="shared" si="38"/>
        <v>43473</v>
      </c>
      <c r="AP32" s="13">
        <f t="shared" si="10"/>
        <v>3</v>
      </c>
      <c r="AQ32" s="13">
        <f t="shared" si="11"/>
        <v>2</v>
      </c>
      <c r="AR32" s="175">
        <f t="shared" si="12"/>
        <v>43136</v>
      </c>
      <c r="AS32" s="772">
        <f t="shared" si="13"/>
        <v>0.6428571428571429</v>
      </c>
      <c r="AT32" s="789">
        <f t="shared" si="14"/>
        <v>22.431597959409867</v>
      </c>
      <c r="AU32" s="13">
        <f t="shared" si="15"/>
        <v>1</v>
      </c>
      <c r="AV32" s="13">
        <f t="shared" si="16"/>
        <v>2</v>
      </c>
      <c r="AW32" s="175">
        <f t="shared" si="17"/>
        <v>43093</v>
      </c>
      <c r="AX32" s="772">
        <f t="shared" si="18"/>
        <v>0.86206896551724133</v>
      </c>
      <c r="AY32" s="789">
        <f t="shared" si="19"/>
        <v>22.620486921714296</v>
      </c>
      <c r="AZ32" s="763">
        <f t="shared" si="25"/>
        <v>22.52604244056208</v>
      </c>
      <c r="BA32" s="647">
        <f t="shared" si="20"/>
        <v>0.96428533983775033</v>
      </c>
      <c r="BB32" s="642">
        <v>43118</v>
      </c>
      <c r="BC32" s="11">
        <v>43118</v>
      </c>
      <c r="BD32" s="292">
        <f>[2]!FeuilCaduc*(1-Persistant)+Persistant</f>
        <v>1</v>
      </c>
      <c r="BE32" s="293">
        <f>[2]!CroissVégét</f>
        <v>1.4085719996856784E-3</v>
      </c>
      <c r="BF32" s="842">
        <f>1+[2]!Salcycl*Ksac</f>
        <v>1.0002052574103957</v>
      </c>
      <c r="BH32" s="1105">
        <f t="shared" si="21"/>
        <v>2.1752657136440198E-2</v>
      </c>
      <c r="BI32" s="11">
        <v>44214</v>
      </c>
      <c r="BJ32" s="742">
        <v>6.8469646492411737E-4</v>
      </c>
      <c r="BK32" s="742">
        <v>2.5120918037976948E-3</v>
      </c>
      <c r="BL32" s="742">
        <v>1.4418197445671544E-2</v>
      </c>
      <c r="BM32" s="742">
        <v>5.1131617131569496E-2</v>
      </c>
      <c r="BN32" s="742">
        <v>0.10494702705090381</v>
      </c>
      <c r="BO32" s="743">
        <v>0.19209580840680704</v>
      </c>
      <c r="BP32" s="742">
        <v>0.28680930748378924</v>
      </c>
      <c r="BQ32" s="742">
        <v>0.42159434445111893</v>
      </c>
      <c r="BR32" s="742">
        <v>0.56328593838926533</v>
      </c>
      <c r="BS32" s="742">
        <v>0.72166798942934307</v>
      </c>
      <c r="BT32" s="742">
        <v>0.87134288875615296</v>
      </c>
      <c r="BW32" s="1187">
        <f>'2018'!R\Max</f>
        <v>0</v>
      </c>
      <c r="BX32" s="1185">
        <f>'2019'!R\Max</f>
        <v>0.56469921405233092</v>
      </c>
      <c r="BY32" s="1185">
        <f>'2020'!R\Max</f>
        <v>0.80748730648776479</v>
      </c>
      <c r="BZ32" s="1185">
        <f>'2021'!R\Max</f>
        <v>0.96428533983775033</v>
      </c>
      <c r="CA32" s="1185">
        <f>'2022'!R\Max</f>
        <v>0.20290534057058851</v>
      </c>
      <c r="CB32" s="1185">
        <f>'2023'!R\Max</f>
        <v>0.71117107018823034</v>
      </c>
      <c r="CC32" s="1185">
        <f>'2024'!R\Max</f>
        <v>0.70070389292073798</v>
      </c>
      <c r="CD32" s="1185">
        <f>'2025'!R\Max</f>
        <v>0.6880260768587787</v>
      </c>
      <c r="CE32" s="1185">
        <f>'2026'!R\Max</f>
        <v>0.73614712154279238</v>
      </c>
      <c r="CF32" s="1186">
        <f>'2027'!R\Max</f>
        <v>0.73217171518549418</v>
      </c>
    </row>
    <row r="33" spans="1:84" s="6" customFormat="1" ht="11.25" x14ac:dyDescent="0.2">
      <c r="A33" s="11">
        <v>43119</v>
      </c>
      <c r="B33" s="382">
        <f>'2023'!Maxi_hp</f>
        <v>22.082454622527671</v>
      </c>
      <c r="C33" s="85">
        <f>'2023'!An_max</f>
        <v>2021</v>
      </c>
      <c r="D33" s="1132"/>
      <c r="E33" s="771"/>
      <c r="F33" s="13">
        <f t="shared" si="22"/>
        <v>3</v>
      </c>
      <c r="G33" s="13">
        <f t="shared" si="23"/>
        <v>2</v>
      </c>
      <c r="H33" s="175">
        <f t="shared" si="7"/>
        <v>43122</v>
      </c>
      <c r="I33" s="772">
        <f t="shared" si="8"/>
        <v>0.21428571428571427</v>
      </c>
      <c r="J33" s="763">
        <f t="shared" si="26"/>
        <v>22.825887580960988</v>
      </c>
      <c r="L33" s="775" t="s">
        <v>215</v>
      </c>
      <c r="M33" s="800">
        <f t="shared" ref="M33:AA33" si="39">M29</f>
        <v>186.12</v>
      </c>
      <c r="N33" s="760">
        <f t="shared" si="39"/>
        <v>201.63</v>
      </c>
      <c r="O33" s="760">
        <f t="shared" si="39"/>
        <v>282.28199999999998</v>
      </c>
      <c r="P33" s="760">
        <f t="shared" si="39"/>
        <v>396.02199999999999</v>
      </c>
      <c r="Q33" s="760">
        <f t="shared" si="39"/>
        <v>524.23800000000006</v>
      </c>
      <c r="R33" s="760">
        <f t="shared" si="39"/>
        <v>616.26400000000001</v>
      </c>
      <c r="S33" s="760">
        <f t="shared" si="39"/>
        <v>649.35199999999998</v>
      </c>
      <c r="T33" s="760">
        <f t="shared" si="39"/>
        <v>644.18200000000002</v>
      </c>
      <c r="U33" s="760">
        <f t="shared" si="39"/>
        <v>614.19600000000003</v>
      </c>
      <c r="V33" s="760">
        <f t="shared" si="39"/>
        <v>559.39400000000001</v>
      </c>
      <c r="W33" s="760">
        <f t="shared" si="39"/>
        <v>461.16399999999999</v>
      </c>
      <c r="X33" s="760">
        <f t="shared" si="39"/>
        <v>333.98200000000003</v>
      </c>
      <c r="Y33" s="760">
        <f t="shared" si="39"/>
        <v>238.85400000000001</v>
      </c>
      <c r="Z33" s="798">
        <f t="shared" si="39"/>
        <v>186.12</v>
      </c>
      <c r="AA33" s="796">
        <f t="shared" si="39"/>
        <v>201.63</v>
      </c>
      <c r="AP33" s="13">
        <f t="shared" si="10"/>
        <v>3</v>
      </c>
      <c r="AQ33" s="13">
        <f t="shared" si="11"/>
        <v>2</v>
      </c>
      <c r="AR33" s="175">
        <f t="shared" si="12"/>
        <v>43136</v>
      </c>
      <c r="AS33" s="772">
        <f t="shared" si="13"/>
        <v>0.6071428571428571</v>
      </c>
      <c r="AT33" s="789">
        <f t="shared" si="14"/>
        <v>22.709237173306093</v>
      </c>
      <c r="AU33" s="13">
        <f t="shared" si="15"/>
        <v>1</v>
      </c>
      <c r="AV33" s="13">
        <f t="shared" si="16"/>
        <v>2</v>
      </c>
      <c r="AW33" s="175">
        <f t="shared" si="17"/>
        <v>43093</v>
      </c>
      <c r="AX33" s="772">
        <f t="shared" si="18"/>
        <v>0.89655172413793105</v>
      </c>
      <c r="AY33" s="789">
        <f t="shared" si="19"/>
        <v>22.880646114462408</v>
      </c>
      <c r="AZ33" s="763">
        <f t="shared" si="25"/>
        <v>22.79494164388425</v>
      </c>
      <c r="BA33" s="647">
        <f t="shared" si="20"/>
        <v>0.96743027162486284</v>
      </c>
      <c r="BB33" s="642">
        <v>43119</v>
      </c>
      <c r="BC33" s="11">
        <v>43119</v>
      </c>
      <c r="BD33" s="292">
        <f>[2]!FeuilCaduc*(1-Persistant)+Persistant</f>
        <v>1</v>
      </c>
      <c r="BE33" s="293">
        <f>[2]!CroissVégét</f>
        <v>1.5257359314074395E-3</v>
      </c>
      <c r="BF33" s="842">
        <f>1+[2]!Salcycl*Ksac</f>
        <v>1.000172308464893</v>
      </c>
      <c r="BH33" s="1105">
        <f t="shared" si="21"/>
        <v>2.1386369543980883E-2</v>
      </c>
      <c r="BI33" s="11">
        <v>44215</v>
      </c>
      <c r="BJ33" s="742">
        <v>7.1163786001650418E-4</v>
      </c>
      <c r="BK33" s="742">
        <v>2.5486778130372361E-3</v>
      </c>
      <c r="BL33" s="742">
        <v>1.4064750502300371E-2</v>
      </c>
      <c r="BM33" s="742">
        <v>5.0713894950636419E-2</v>
      </c>
      <c r="BN33" s="742">
        <v>0.10412306414466427</v>
      </c>
      <c r="BO33" s="743">
        <v>0.19089157011878069</v>
      </c>
      <c r="BP33" s="742">
        <v>0.28452330535568165</v>
      </c>
      <c r="BQ33" s="742">
        <v>0.41799894390003695</v>
      </c>
      <c r="BR33" s="742">
        <v>0.55920719786649742</v>
      </c>
      <c r="BS33" s="742">
        <v>0.71783314427132427</v>
      </c>
      <c r="BT33" s="742">
        <v>0.86868570425734692</v>
      </c>
      <c r="BW33" s="1187">
        <f>'2018'!R\Max</f>
        <v>0</v>
      </c>
      <c r="BX33" s="1185">
        <f>'2019'!R\Max</f>
        <v>0.71150118790752304</v>
      </c>
      <c r="BY33" s="1185">
        <f>'2020'!R\Max</f>
        <v>0.88345037393085901</v>
      </c>
      <c r="BZ33" s="1185">
        <f>'2021'!R\Max</f>
        <v>0.96743027162486284</v>
      </c>
      <c r="CA33" s="1185">
        <f>'2022'!R\Max</f>
        <v>0.50193081298472864</v>
      </c>
      <c r="CB33" s="1185">
        <f>'2023'!R\Max</f>
        <v>0.43873224121932719</v>
      </c>
      <c r="CC33" s="1185">
        <f>'2024'!R\Max</f>
        <v>0.42664905497603905</v>
      </c>
      <c r="CD33" s="1185">
        <f>'2025'!R\Max</f>
        <v>0.41243498339286822</v>
      </c>
      <c r="CE33" s="1185">
        <f>'2026'!R\Max</f>
        <v>0.46907862425685737</v>
      </c>
      <c r="CF33" s="1186">
        <f>'2027'!R\Max</f>
        <v>0.46410498708815345</v>
      </c>
    </row>
    <row r="34" spans="1:84" s="6" customFormat="1" ht="11.25" x14ac:dyDescent="0.2">
      <c r="A34" s="11">
        <v>43120</v>
      </c>
      <c r="B34" s="382">
        <f>'2023'!Maxi_hp</f>
        <v>18.36031638130591</v>
      </c>
      <c r="C34" s="85">
        <f>'2023'!An_max</f>
        <v>2023</v>
      </c>
      <c r="D34" s="1132"/>
      <c r="E34" s="709"/>
      <c r="F34" s="13">
        <f t="shared" si="22"/>
        <v>3</v>
      </c>
      <c r="G34" s="13">
        <f t="shared" si="23"/>
        <v>2</v>
      </c>
      <c r="H34" s="175">
        <f t="shared" si="7"/>
        <v>43122</v>
      </c>
      <c r="I34" s="772">
        <f t="shared" si="8"/>
        <v>0.14285714285714285</v>
      </c>
      <c r="J34" s="763">
        <f t="shared" si="26"/>
        <v>23.107090206444266</v>
      </c>
      <c r="L34" s="775" t="s">
        <v>216</v>
      </c>
      <c r="M34" s="802">
        <f t="shared" ref="M34:AA34" si="40">N28</f>
        <v>43108</v>
      </c>
      <c r="N34" s="755">
        <f t="shared" si="40"/>
        <v>43136</v>
      </c>
      <c r="O34" s="755">
        <f t="shared" si="40"/>
        <v>43164</v>
      </c>
      <c r="P34" s="755">
        <f t="shared" si="40"/>
        <v>43192</v>
      </c>
      <c r="Q34" s="755">
        <f t="shared" si="40"/>
        <v>43220</v>
      </c>
      <c r="R34" s="755">
        <f t="shared" si="40"/>
        <v>43248</v>
      </c>
      <c r="S34" s="755">
        <f t="shared" si="40"/>
        <v>43276</v>
      </c>
      <c r="T34" s="755">
        <f t="shared" si="40"/>
        <v>43304</v>
      </c>
      <c r="U34" s="755">
        <f t="shared" si="40"/>
        <v>43332</v>
      </c>
      <c r="V34" s="755">
        <f t="shared" si="40"/>
        <v>43360</v>
      </c>
      <c r="W34" s="755">
        <f t="shared" si="40"/>
        <v>43388</v>
      </c>
      <c r="X34" s="755">
        <f t="shared" si="40"/>
        <v>43416</v>
      </c>
      <c r="Y34" s="755">
        <f t="shared" si="40"/>
        <v>43444</v>
      </c>
      <c r="Z34" s="808">
        <f t="shared" si="40"/>
        <v>43473</v>
      </c>
      <c r="AA34" s="806">
        <f t="shared" si="40"/>
        <v>43501</v>
      </c>
      <c r="AP34" s="13">
        <f t="shared" si="10"/>
        <v>3</v>
      </c>
      <c r="AQ34" s="13">
        <f t="shared" si="11"/>
        <v>2</v>
      </c>
      <c r="AR34" s="175">
        <f t="shared" si="12"/>
        <v>43136</v>
      </c>
      <c r="AS34" s="772">
        <f t="shared" si="13"/>
        <v>0.5714285714285714</v>
      </c>
      <c r="AT34" s="789">
        <f t="shared" si="14"/>
        <v>22.994390536631858</v>
      </c>
      <c r="AU34" s="13">
        <f t="shared" si="15"/>
        <v>1</v>
      </c>
      <c r="AV34" s="13">
        <f t="shared" si="16"/>
        <v>2</v>
      </c>
      <c r="AW34" s="175">
        <f t="shared" si="17"/>
        <v>43093</v>
      </c>
      <c r="AX34" s="772">
        <f t="shared" si="18"/>
        <v>0.93103448275862066</v>
      </c>
      <c r="AY34" s="789">
        <f t="shared" si="19"/>
        <v>23.143980871423565</v>
      </c>
      <c r="AZ34" s="763">
        <f t="shared" si="25"/>
        <v>23.06918570402771</v>
      </c>
      <c r="BA34" s="647">
        <f t="shared" si="20"/>
        <v>0.79457500781234058</v>
      </c>
      <c r="BB34" s="642">
        <v>43120</v>
      </c>
      <c r="BC34" s="11">
        <v>43120</v>
      </c>
      <c r="BD34" s="292">
        <f>[2]!FeuilCaduc*(1-Persistant)+Persistant</f>
        <v>1</v>
      </c>
      <c r="BE34" s="293">
        <f>[2]!CroissVégét</f>
        <v>1.6477858914927391E-3</v>
      </c>
      <c r="BF34" s="842">
        <f>1+[2]!Salcycl*Ksac</f>
        <v>1.0001420002650916</v>
      </c>
      <c r="BH34" s="1105">
        <f t="shared" si="21"/>
        <v>2.0972814394681783E-2</v>
      </c>
      <c r="BI34" s="11">
        <v>44216</v>
      </c>
      <c r="BJ34" s="742">
        <v>7.4106513935486224E-4</v>
      </c>
      <c r="BK34" s="742">
        <v>2.5926292124358254E-3</v>
      </c>
      <c r="BL34" s="742">
        <v>1.3684431743006646E-2</v>
      </c>
      <c r="BM34" s="742">
        <v>5.0167207898849757E-2</v>
      </c>
      <c r="BN34" s="742">
        <v>0.10329359588515069</v>
      </c>
      <c r="BO34" s="743">
        <v>0.18959184411443486</v>
      </c>
      <c r="BP34" s="742">
        <v>0.28242658421814187</v>
      </c>
      <c r="BQ34" s="742">
        <v>0.41432714633751999</v>
      </c>
      <c r="BR34" s="742">
        <v>0.55508597108799584</v>
      </c>
      <c r="BS34" s="742">
        <v>0.71357892085881236</v>
      </c>
      <c r="BT34" s="742">
        <v>0.8654515319542373</v>
      </c>
      <c r="BW34" s="1187">
        <f>'2018'!R\Max</f>
        <v>0</v>
      </c>
      <c r="BX34" s="1185">
        <f>'2019'!R\Max</f>
        <v>0.33116064802184136</v>
      </c>
      <c r="BY34" s="1185">
        <f>'2020'!R\Max</f>
        <v>0.42666528986423979</v>
      </c>
      <c r="BZ34" s="1185">
        <f>'2021'!R\Max</f>
        <v>0.28430514770389093</v>
      </c>
      <c r="CA34" s="1185">
        <f>'2022'!R\Max</f>
        <v>0.28654964633048663</v>
      </c>
      <c r="CB34" s="1185">
        <f>'2023'!R\Max</f>
        <v>0.79457500781234058</v>
      </c>
      <c r="CC34" s="1185">
        <f>'2024'!R\Max</f>
        <v>0.78662245946065534</v>
      </c>
      <c r="CD34" s="1185">
        <f>'2025'!R\Max</f>
        <v>0.77691045006651416</v>
      </c>
      <c r="CE34" s="1185">
        <f>'2026'!R\Max</f>
        <v>0.81349255960264444</v>
      </c>
      <c r="CF34" s="1186">
        <f>'2027'!R\Max</f>
        <v>0.81049500375673944</v>
      </c>
    </row>
    <row r="35" spans="1:84" s="6" customFormat="1" ht="11.25" x14ac:dyDescent="0.2">
      <c r="A35" s="11">
        <v>43121</v>
      </c>
      <c r="B35" s="382">
        <f>'2023'!Maxi_hp</f>
        <v>16.890929824623914</v>
      </c>
      <c r="C35" s="85">
        <f>'2023'!An_max</f>
        <v>2022</v>
      </c>
      <c r="D35" s="1132"/>
      <c r="E35" s="709"/>
      <c r="F35" s="13">
        <f t="shared" si="22"/>
        <v>3</v>
      </c>
      <c r="G35" s="13">
        <f t="shared" si="23"/>
        <v>2</v>
      </c>
      <c r="H35" s="175">
        <f t="shared" si="7"/>
        <v>43122</v>
      </c>
      <c r="I35" s="772">
        <f t="shared" si="8"/>
        <v>7.1428571428571425E-2</v>
      </c>
      <c r="J35" s="763">
        <f t="shared" si="26"/>
        <v>23.391576641052961</v>
      </c>
      <c r="L35" s="775" t="s">
        <v>217</v>
      </c>
      <c r="M35" s="803">
        <f t="shared" ref="M35:AA35" si="41">N29</f>
        <v>201.63</v>
      </c>
      <c r="N35" s="760">
        <f t="shared" si="41"/>
        <v>282.28199999999998</v>
      </c>
      <c r="O35" s="760">
        <f t="shared" si="41"/>
        <v>396.02199999999999</v>
      </c>
      <c r="P35" s="760">
        <f t="shared" si="41"/>
        <v>524.23800000000006</v>
      </c>
      <c r="Q35" s="760">
        <f t="shared" si="41"/>
        <v>616.26400000000001</v>
      </c>
      <c r="R35" s="760">
        <f t="shared" si="41"/>
        <v>649.35199999999998</v>
      </c>
      <c r="S35" s="760">
        <f t="shared" si="41"/>
        <v>644.18200000000002</v>
      </c>
      <c r="T35" s="760">
        <f t="shared" si="41"/>
        <v>614.19600000000003</v>
      </c>
      <c r="U35" s="760">
        <f t="shared" si="41"/>
        <v>559.39400000000001</v>
      </c>
      <c r="V35" s="760">
        <f t="shared" si="41"/>
        <v>461.16399999999999</v>
      </c>
      <c r="W35" s="760">
        <f t="shared" si="41"/>
        <v>333.98200000000003</v>
      </c>
      <c r="X35" s="760">
        <f t="shared" si="41"/>
        <v>238.85400000000001</v>
      </c>
      <c r="Y35" s="760">
        <f t="shared" si="41"/>
        <v>186.12</v>
      </c>
      <c r="Z35" s="809">
        <f t="shared" si="41"/>
        <v>201.63</v>
      </c>
      <c r="AA35" s="796">
        <f t="shared" si="41"/>
        <v>282.28199999999998</v>
      </c>
      <c r="AP35" s="13">
        <f t="shared" si="10"/>
        <v>3</v>
      </c>
      <c r="AQ35" s="13">
        <f t="shared" si="11"/>
        <v>2</v>
      </c>
      <c r="AR35" s="175">
        <f t="shared" si="12"/>
        <v>43136</v>
      </c>
      <c r="AS35" s="772">
        <f t="shared" si="13"/>
        <v>0.5357142857142857</v>
      </c>
      <c r="AT35" s="789">
        <f t="shared" si="14"/>
        <v>23.286628429432</v>
      </c>
      <c r="AU35" s="13">
        <f t="shared" si="15"/>
        <v>1</v>
      </c>
      <c r="AV35" s="13">
        <f t="shared" si="16"/>
        <v>2</v>
      </c>
      <c r="AW35" s="175">
        <f t="shared" si="17"/>
        <v>43093</v>
      </c>
      <c r="AX35" s="772">
        <f t="shared" si="18"/>
        <v>0.96551724137931039</v>
      </c>
      <c r="AY35" s="789">
        <f t="shared" si="19"/>
        <v>23.41009692220852</v>
      </c>
      <c r="AZ35" s="763">
        <f t="shared" si="25"/>
        <v>23.348362675820262</v>
      </c>
      <c r="BA35" s="647">
        <f t="shared" si="20"/>
        <v>0.72209454214299496</v>
      </c>
      <c r="BB35" s="642">
        <v>43121</v>
      </c>
      <c r="BC35" s="11">
        <v>43121</v>
      </c>
      <c r="BD35" s="292">
        <f>[2]!FeuilCaduc*(1-Persistant)+Persistant</f>
        <v>1</v>
      </c>
      <c r="BE35" s="293">
        <f>[2]!CroissVégét</f>
        <v>1.7749243659651206E-3</v>
      </c>
      <c r="BF35" s="842">
        <f>1+[2]!Salcycl*Ksac</f>
        <v>1.0001144287618662</v>
      </c>
      <c r="BH35" s="1105">
        <f t="shared" si="21"/>
        <v>2.0512118420230839E-2</v>
      </c>
      <c r="BI35" s="11">
        <v>44217</v>
      </c>
      <c r="BJ35" s="742">
        <v>7.7298128393657852E-4</v>
      </c>
      <c r="BK35" s="742">
        <v>2.6439609214404659E-3</v>
      </c>
      <c r="BL35" s="742">
        <v>1.3277336057396109E-2</v>
      </c>
      <c r="BM35" s="742">
        <v>4.9491810254751391E-2</v>
      </c>
      <c r="BN35" s="742">
        <v>0.10245927189007931</v>
      </c>
      <c r="BO35" s="743">
        <v>0.1881977527633556</v>
      </c>
      <c r="BP35" s="742">
        <v>0.28052102481788732</v>
      </c>
      <c r="BQ35" s="742">
        <v>0.41058155642049304</v>
      </c>
      <c r="BR35" s="742">
        <v>0.55092571140538971</v>
      </c>
      <c r="BS35" s="742">
        <v>0.7089094513720301</v>
      </c>
      <c r="BT35" s="742">
        <v>0.8616451713641784</v>
      </c>
      <c r="BW35" s="1187">
        <f>'2018'!R\Max</f>
        <v>0</v>
      </c>
      <c r="BX35" s="1185">
        <f>'2019'!R\Max</f>
        <v>0.43616791166895275</v>
      </c>
      <c r="BY35" s="1185">
        <f>'2020'!R\Max</f>
        <v>0.17073730873888249</v>
      </c>
      <c r="BZ35" s="1185">
        <f>'2021'!R\Max</f>
        <v>0.51993377211746183</v>
      </c>
      <c r="CA35" s="1185">
        <f>'2022'!R\Max</f>
        <v>0.72209454214299496</v>
      </c>
      <c r="CB35" s="1185">
        <f>'2023'!R\Max</f>
        <v>0.34300752427907877</v>
      </c>
      <c r="CC35" s="1185">
        <f>'2024'!R\Max</f>
        <v>0.3325244254138997</v>
      </c>
      <c r="CD35" s="1185">
        <f>'2025'!R\Max</f>
        <v>0.32033683006728569</v>
      </c>
      <c r="CE35" s="1185">
        <f>'2026'!R\Max</f>
        <v>0.37006480922970098</v>
      </c>
      <c r="CF35" s="1186">
        <f>'2027'!R\Max</f>
        <v>0.36557131863871756</v>
      </c>
    </row>
    <row r="36" spans="1:84" s="6" customFormat="1" ht="11.25" x14ac:dyDescent="0.2">
      <c r="A36" s="11">
        <v>43122</v>
      </c>
      <c r="B36" s="382">
        <f>'2023'!Maxi_hp</f>
        <v>23.662480027421342</v>
      </c>
      <c r="C36" s="85">
        <f>'2023'!An_max</f>
        <v>2022</v>
      </c>
      <c r="D36" s="1132"/>
      <c r="E36" s="771">
        <f>O$13/10</f>
        <v>23.678599999999999</v>
      </c>
      <c r="F36" s="13">
        <f t="shared" si="22"/>
        <v>3</v>
      </c>
      <c r="G36" s="13">
        <f t="shared" si="23"/>
        <v>4</v>
      </c>
      <c r="H36" s="175">
        <f t="shared" si="7"/>
        <v>43122</v>
      </c>
      <c r="I36" s="772">
        <f t="shared" si="8"/>
        <v>0</v>
      </c>
      <c r="J36" s="763">
        <f t="shared" si="26"/>
        <v>23.678599999099969</v>
      </c>
      <c r="L36" s="776" t="s">
        <v>218</v>
      </c>
      <c r="M36" s="757">
        <f t="shared" ref="M36:AA36" si="42">x.1lg*x.1lg-x.2lg*x.2lg</f>
        <v>-2411640</v>
      </c>
      <c r="N36" s="757">
        <f t="shared" si="42"/>
        <v>-2499423</v>
      </c>
      <c r="O36" s="757">
        <f t="shared" si="42"/>
        <v>-2414832</v>
      </c>
      <c r="P36" s="757">
        <f t="shared" si="42"/>
        <v>-2416400</v>
      </c>
      <c r="Q36" s="757">
        <f t="shared" si="42"/>
        <v>-2417968</v>
      </c>
      <c r="R36" s="757">
        <f t="shared" si="42"/>
        <v>-2419536</v>
      </c>
      <c r="S36" s="757">
        <f t="shared" si="42"/>
        <v>-2421104</v>
      </c>
      <c r="T36" s="757">
        <f t="shared" si="42"/>
        <v>-2422672</v>
      </c>
      <c r="U36" s="757">
        <f t="shared" si="42"/>
        <v>-2424240</v>
      </c>
      <c r="V36" s="757">
        <f t="shared" si="42"/>
        <v>-2425808</v>
      </c>
      <c r="W36" s="757">
        <f t="shared" si="42"/>
        <v>-2427376</v>
      </c>
      <c r="X36" s="757">
        <f t="shared" si="42"/>
        <v>-2428944</v>
      </c>
      <c r="Y36" s="757">
        <f t="shared" si="42"/>
        <v>-2430512</v>
      </c>
      <c r="Z36" s="757">
        <f t="shared" si="42"/>
        <v>-2432080</v>
      </c>
      <c r="AA36" s="757">
        <f t="shared" si="42"/>
        <v>-2520593</v>
      </c>
      <c r="AP36" s="13">
        <f t="shared" si="10"/>
        <v>3</v>
      </c>
      <c r="AQ36" s="13">
        <f t="shared" si="11"/>
        <v>2</v>
      </c>
      <c r="AR36" s="175">
        <f t="shared" si="12"/>
        <v>43136</v>
      </c>
      <c r="AS36" s="772">
        <f t="shared" si="13"/>
        <v>0.5</v>
      </c>
      <c r="AT36" s="789">
        <f t="shared" si="14"/>
        <v>23.585521235689519</v>
      </c>
      <c r="AU36" s="13">
        <f t="shared" si="15"/>
        <v>3</v>
      </c>
      <c r="AV36" s="13">
        <f t="shared" si="16"/>
        <v>2</v>
      </c>
      <c r="AW36" s="175">
        <f t="shared" si="17"/>
        <v>43150</v>
      </c>
      <c r="AX36" s="772">
        <f t="shared" si="18"/>
        <v>1</v>
      </c>
      <c r="AY36" s="789">
        <f t="shared" si="19"/>
        <v>23.678599998354912</v>
      </c>
      <c r="AZ36" s="763">
        <f t="shared" si="25"/>
        <v>23.632060617022216</v>
      </c>
      <c r="BA36" s="647">
        <f t="shared" si="20"/>
        <v>0.99931921770378151</v>
      </c>
      <c r="BB36" s="642">
        <v>43122</v>
      </c>
      <c r="BC36" s="11">
        <v>43122</v>
      </c>
      <c r="BD36" s="292">
        <f>[2]!FeuilCaduc*(1-Persistant)+Persistant</f>
        <v>1</v>
      </c>
      <c r="BE36" s="293">
        <f>[2]!CroissVégét</f>
        <v>1.9073621235293117E-3</v>
      </c>
      <c r="BF36" s="842">
        <f>1+[2]!Salcycl*Ksac</f>
        <v>1.000089687080344</v>
      </c>
      <c r="BH36" s="1105">
        <f t="shared" si="21"/>
        <v>2.0004319458789461E-2</v>
      </c>
      <c r="BI36" s="11">
        <v>44218</v>
      </c>
      <c r="BJ36" s="742">
        <v>8.0738608195398917E-4</v>
      </c>
      <c r="BK36" s="742">
        <v>2.7026760905630985E-3</v>
      </c>
      <c r="BL36" s="742">
        <v>1.2843498192635324E-2</v>
      </c>
      <c r="BM36" s="742">
        <v>4.8687752237812049E-2</v>
      </c>
      <c r="BN36" s="742">
        <v>0.10162028466552118</v>
      </c>
      <c r="BO36" s="743">
        <v>0.18670959594422218</v>
      </c>
      <c r="BP36" s="742">
        <v>0.2788072281776009</v>
      </c>
      <c r="BQ36" s="742">
        <v>0.40676294910002514</v>
      </c>
      <c r="BR36" s="742">
        <v>0.54672742235804295</v>
      </c>
      <c r="BS36" s="742">
        <v>0.70382579053352989</v>
      </c>
      <c r="BT36" s="742">
        <v>0.85726772674439844</v>
      </c>
      <c r="BW36" s="1187">
        <f>'2018'!R\Max</f>
        <v>0</v>
      </c>
      <c r="BX36" s="1185">
        <f>'2019'!R\Max</f>
        <v>0.42870811041488938</v>
      </c>
      <c r="BY36" s="1185">
        <f>'2020'!R\Max</f>
        <v>5.6436087960386953E-2</v>
      </c>
      <c r="BZ36" s="1185">
        <f>'2021'!R\Max</f>
        <v>0.2561878230535759</v>
      </c>
      <c r="CA36" s="1185">
        <f>'2022'!R\Max</f>
        <v>0.99931921770378151</v>
      </c>
      <c r="CB36" s="1185">
        <f>'2023'!R\Max</f>
        <v>0.99929379900585347</v>
      </c>
      <c r="CC36" s="1185">
        <f>'2024'!R\Max</f>
        <v>0.99926079135671242</v>
      </c>
      <c r="CD36" s="1185">
        <f>'2025'!R\Max</f>
        <v>0.99921990124922533</v>
      </c>
      <c r="CE36" s="1185">
        <f>'2026'!R\Max</f>
        <v>0.99937109079153763</v>
      </c>
      <c r="CF36" s="1186">
        <f>'2027'!R\Max</f>
        <v>0.99935900302222846</v>
      </c>
    </row>
    <row r="37" spans="1:84" s="6" customFormat="1" ht="11.25" x14ac:dyDescent="0.2">
      <c r="A37" s="11">
        <v>43123</v>
      </c>
      <c r="B37" s="382">
        <f>'2023'!Maxi_hp</f>
        <v>23.66568550843968</v>
      </c>
      <c r="C37" s="85">
        <f>'2023'!An_max</f>
        <v>2022</v>
      </c>
      <c r="D37" s="1132"/>
      <c r="E37" s="709"/>
      <c r="F37" s="13">
        <f t="shared" si="22"/>
        <v>3</v>
      </c>
      <c r="G37" s="13">
        <f t="shared" si="23"/>
        <v>4</v>
      </c>
      <c r="H37" s="175">
        <f t="shared" si="7"/>
        <v>43122</v>
      </c>
      <c r="I37" s="772">
        <f t="shared" si="8"/>
        <v>7.1428571428571425E-2</v>
      </c>
      <c r="J37" s="763">
        <f>((1-I37)*(INDEX(a.m,F37)*$A37*$A37+INDEX(b.m,F37)*$A37+INDEX(c.m,F37))+I37*(INDEX(a.m,G37)*$A37*$A37+INDEX(b.m,G37)*$A37+INDEX(c.m,G37)))/10</f>
        <v>23.970015414910655</v>
      </c>
      <c r="L37" s="776" t="s">
        <v>219</v>
      </c>
      <c r="M37" s="757">
        <f t="shared" ref="M37:AA37" si="43">x.2lg*x.2lg-x.3lg*x.3lg</f>
        <v>-2499423</v>
      </c>
      <c r="N37" s="757">
        <f t="shared" si="43"/>
        <v>-2414832</v>
      </c>
      <c r="O37" s="757">
        <f t="shared" si="43"/>
        <v>-2416400</v>
      </c>
      <c r="P37" s="757">
        <f t="shared" si="43"/>
        <v>-2417968</v>
      </c>
      <c r="Q37" s="757">
        <f t="shared" si="43"/>
        <v>-2419536</v>
      </c>
      <c r="R37" s="757">
        <f t="shared" si="43"/>
        <v>-2421104</v>
      </c>
      <c r="S37" s="757">
        <f t="shared" si="43"/>
        <v>-2422672</v>
      </c>
      <c r="T37" s="757">
        <f t="shared" si="43"/>
        <v>-2424240</v>
      </c>
      <c r="U37" s="757">
        <f t="shared" si="43"/>
        <v>-2425808</v>
      </c>
      <c r="V37" s="757">
        <f t="shared" si="43"/>
        <v>-2427376</v>
      </c>
      <c r="W37" s="757">
        <f t="shared" si="43"/>
        <v>-2428944</v>
      </c>
      <c r="X37" s="757">
        <f t="shared" si="43"/>
        <v>-2430512</v>
      </c>
      <c r="Y37" s="757">
        <f t="shared" si="43"/>
        <v>-2432080</v>
      </c>
      <c r="Z37" s="757">
        <f t="shared" si="43"/>
        <v>-2520593</v>
      </c>
      <c r="AA37" s="757">
        <f t="shared" si="43"/>
        <v>-2435272</v>
      </c>
      <c r="AP37" s="13">
        <f t="shared" si="10"/>
        <v>3</v>
      </c>
      <c r="AQ37" s="13">
        <f t="shared" si="11"/>
        <v>2</v>
      </c>
      <c r="AR37" s="175">
        <f t="shared" si="12"/>
        <v>43136</v>
      </c>
      <c r="AS37" s="772">
        <f t="shared" si="13"/>
        <v>0.4642857142857143</v>
      </c>
      <c r="AT37" s="789">
        <f t="shared" si="14"/>
        <v>23.890639332788329</v>
      </c>
      <c r="AU37" s="13">
        <f t="shared" si="15"/>
        <v>3</v>
      </c>
      <c r="AV37" s="13">
        <f t="shared" si="16"/>
        <v>2</v>
      </c>
      <c r="AW37" s="175">
        <f t="shared" si="17"/>
        <v>43150</v>
      </c>
      <c r="AX37" s="772">
        <f t="shared" si="18"/>
        <v>0.9642857142857143</v>
      </c>
      <c r="AY37" s="789">
        <f t="shared" si="19"/>
        <v>23.952148645211544</v>
      </c>
      <c r="AZ37" s="763">
        <f t="shared" si="25"/>
        <v>23.921393988999938</v>
      </c>
      <c r="BA37" s="647">
        <f t="shared" si="20"/>
        <v>0.98730372504134201</v>
      </c>
      <c r="BB37" s="642">
        <v>43123</v>
      </c>
      <c r="BC37" s="11">
        <v>43123</v>
      </c>
      <c r="BD37" s="292">
        <f>[2]!FeuilCaduc*(1-Persistant)+Persistant</f>
        <v>1</v>
      </c>
      <c r="BE37" s="293">
        <f>[2]!CroissVégét</f>
        <v>2.045318545083899E-3</v>
      </c>
      <c r="BF37" s="842">
        <f>1+[2]!Salcycl*Ksac</f>
        <v>1.0000678621156116</v>
      </c>
      <c r="BH37" s="1105">
        <f t="shared" si="21"/>
        <v>1.9449459799350387E-2</v>
      </c>
      <c r="BI37" s="11">
        <v>44219</v>
      </c>
      <c r="BJ37" s="742">
        <v>8.442791164736045E-4</v>
      </c>
      <c r="BK37" s="742">
        <v>2.7687770412536034E-3</v>
      </c>
      <c r="BL37" s="742">
        <v>1.2382954680691054E-2</v>
      </c>
      <c r="BM37" s="742">
        <v>4.7755099197405587E-2</v>
      </c>
      <c r="BN37" s="742">
        <v>0.10077682273104499</v>
      </c>
      <c r="BO37" s="743">
        <v>0.18512767937844712</v>
      </c>
      <c r="BP37" s="742">
        <v>0.27728575649614706</v>
      </c>
      <c r="BQ37" s="742">
        <v>0.40287208924288986</v>
      </c>
      <c r="BR37" s="742">
        <v>0.54249208958439443</v>
      </c>
      <c r="BS37" s="742">
        <v>0.69832902674061004</v>
      </c>
      <c r="BT37" s="742">
        <v>0.8523203625844824</v>
      </c>
      <c r="BW37" s="1187">
        <f>'2018'!R\Max</f>
        <v>0</v>
      </c>
      <c r="BX37" s="1185">
        <f>'2019'!R\Max</f>
        <v>0.38510014095277206</v>
      </c>
      <c r="BY37" s="1185">
        <f>'2020'!R\Max</f>
        <v>0.58556054436493843</v>
      </c>
      <c r="BZ37" s="1185">
        <f>'2021'!R\Max</f>
        <v>0.40952589549169693</v>
      </c>
      <c r="CA37" s="1185">
        <f>'2022'!R\Max</f>
        <v>0.98730372504134201</v>
      </c>
      <c r="CB37" s="1185">
        <f>'2023'!R\Max</f>
        <v>0.98684147769779573</v>
      </c>
      <c r="CC37" s="1185">
        <f>'2024'!R\Max</f>
        <v>0.98624999401843505</v>
      </c>
      <c r="CD37" s="1185">
        <f>'2025'!R\Max</f>
        <v>0.98552283162181242</v>
      </c>
      <c r="CE37" s="1185">
        <f>'2026'!R\Max</f>
        <v>0.98824429568636973</v>
      </c>
      <c r="CF37" s="1186">
        <f>'2027'!R\Max</f>
        <v>0.98802376400775571</v>
      </c>
    </row>
    <row r="38" spans="1:84" s="6" customFormat="1" ht="11.25" x14ac:dyDescent="0.2">
      <c r="A38" s="11">
        <v>43124</v>
      </c>
      <c r="B38" s="382">
        <f>'2023'!Maxi_hp</f>
        <v>24.178380916845647</v>
      </c>
      <c r="C38" s="85">
        <f>'2023'!An_max</f>
        <v>2022</v>
      </c>
      <c r="D38" s="1132"/>
      <c r="E38" s="709"/>
      <c r="F38" s="13">
        <f t="shared" si="22"/>
        <v>3</v>
      </c>
      <c r="G38" s="13">
        <f t="shared" si="23"/>
        <v>4</v>
      </c>
      <c r="H38" s="175">
        <f t="shared" si="7"/>
        <v>43122</v>
      </c>
      <c r="I38" s="772">
        <f t="shared" si="8"/>
        <v>0.14285714285714285</v>
      </c>
      <c r="J38" s="763">
        <f t="shared" si="26"/>
        <v>24.267949855434047</v>
      </c>
      <c r="L38" s="776" t="s">
        <v>220</v>
      </c>
      <c r="M38" s="757">
        <f t="shared" ref="M38:AA38" si="44">(y.1lg-y.2lg-b.lg*(x.1lg-x.2lg))/D2x12Lg</f>
        <v>4.2424293492348102E-2</v>
      </c>
      <c r="N38" s="757">
        <f t="shared" si="44"/>
        <v>4.1150894477577055E-2</v>
      </c>
      <c r="O38" s="757">
        <f t="shared" si="44"/>
        <v>2.1102040816323452E-2</v>
      </c>
      <c r="P38" s="757">
        <f t="shared" si="44"/>
        <v>9.2321428571430029E-3</v>
      </c>
      <c r="Q38" s="757">
        <f t="shared" si="44"/>
        <v>-2.308035714285999E-2</v>
      </c>
      <c r="R38" s="757">
        <f t="shared" si="44"/>
        <v>-3.758801020407905E-2</v>
      </c>
      <c r="S38" s="757">
        <f t="shared" si="44"/>
        <v>-2.439923469387795E-2</v>
      </c>
      <c r="T38" s="757">
        <f t="shared" si="44"/>
        <v>-1.5826530612245655E-2</v>
      </c>
      <c r="U38" s="757">
        <f t="shared" si="44"/>
        <v>-1.5826530612247026E-2</v>
      </c>
      <c r="V38" s="757">
        <f t="shared" si="44"/>
        <v>-2.7696428571432643E-2</v>
      </c>
      <c r="W38" s="757">
        <f t="shared" si="44"/>
        <v>-1.8464285714286367E-2</v>
      </c>
      <c r="X38" s="757">
        <f t="shared" si="44"/>
        <v>2.0442602040819637E-2</v>
      </c>
      <c r="Y38" s="757">
        <f t="shared" si="44"/>
        <v>2.703698979591589E-2</v>
      </c>
      <c r="Z38" s="757">
        <f t="shared" si="44"/>
        <v>4.2424293492355873E-2</v>
      </c>
      <c r="AA38" s="757">
        <f t="shared" si="44"/>
        <v>4.1150894477569644E-2</v>
      </c>
      <c r="AP38" s="13">
        <f t="shared" si="10"/>
        <v>3</v>
      </c>
      <c r="AQ38" s="13">
        <f t="shared" si="11"/>
        <v>2</v>
      </c>
      <c r="AR38" s="175">
        <f t="shared" si="12"/>
        <v>43136</v>
      </c>
      <c r="AS38" s="772">
        <f t="shared" si="13"/>
        <v>0.42857142857142855</v>
      </c>
      <c r="AT38" s="789">
        <f t="shared" si="14"/>
        <v>24.201553107585227</v>
      </c>
      <c r="AU38" s="13">
        <f t="shared" si="15"/>
        <v>3</v>
      </c>
      <c r="AV38" s="13">
        <f t="shared" si="16"/>
        <v>2</v>
      </c>
      <c r="AW38" s="175">
        <f t="shared" si="17"/>
        <v>43150</v>
      </c>
      <c r="AX38" s="772">
        <f t="shared" si="18"/>
        <v>0.9285714285714286</v>
      </c>
      <c r="AY38" s="789">
        <f t="shared" si="19"/>
        <v>24.233504033966788</v>
      </c>
      <c r="AZ38" s="763">
        <f t="shared" si="25"/>
        <v>24.217528570776008</v>
      </c>
      <c r="BA38" s="647">
        <f t="shared" si="20"/>
        <v>0.99630916747718834</v>
      </c>
      <c r="BB38" s="642">
        <v>43124</v>
      </c>
      <c r="BC38" s="11">
        <v>43124</v>
      </c>
      <c r="BD38" s="292">
        <f>[2]!FeuilCaduc*(1-Persistant)+Persistant</f>
        <v>1</v>
      </c>
      <c r="BE38" s="293">
        <f>[2]!CroissVégét</f>
        <v>2.1890219655428525E-3</v>
      </c>
      <c r="BF38" s="842">
        <f>1+[2]!Salcycl*Ksac</f>
        <v>1.0000490314140213</v>
      </c>
      <c r="BH38" s="1105">
        <f t="shared" si="21"/>
        <v>1.8866084362581623E-2</v>
      </c>
      <c r="BI38" s="11">
        <v>44220</v>
      </c>
      <c r="BJ38" s="742">
        <v>8.837599578171095E-4</v>
      </c>
      <c r="BK38" s="742">
        <v>2.8447388648482129E-3</v>
      </c>
      <c r="BL38" s="742">
        <v>1.1924779047097434E-2</v>
      </c>
      <c r="BM38" s="742">
        <v>4.6670222605274266E-2</v>
      </c>
      <c r="BN38" s="742">
        <v>9.9865356177678929E-2</v>
      </c>
      <c r="BO38" s="743">
        <v>0.18338542702065361</v>
      </c>
      <c r="BP38" s="742">
        <v>0.27583422579538869</v>
      </c>
      <c r="BQ38" s="742">
        <v>0.39892023529740678</v>
      </c>
      <c r="BR38" s="742">
        <v>0.53817296399943182</v>
      </c>
      <c r="BS38" s="742">
        <v>0.69248769166803081</v>
      </c>
      <c r="BT38" s="742">
        <v>0.84682533668027515</v>
      </c>
      <c r="BW38" s="1187">
        <f>'2018'!R\Max</f>
        <v>0</v>
      </c>
      <c r="BX38" s="1185">
        <f>'2019'!R\Max</f>
        <v>0.52616524799078535</v>
      </c>
      <c r="BY38" s="1185">
        <f>'2020'!R\Max</f>
        <v>0.54001297177549301</v>
      </c>
      <c r="BZ38" s="1185">
        <f>'2021'!R\Max</f>
        <v>0.64289009341777503</v>
      </c>
      <c r="CA38" s="1185">
        <f>'2022'!R\Max</f>
        <v>0.99630916747718834</v>
      </c>
      <c r="CB38" s="1185">
        <f>'2023'!R\Max</f>
        <v>0.99617490374932982</v>
      </c>
      <c r="CC38" s="1185">
        <f>'2024'!R\Max</f>
        <v>0.99600570905297092</v>
      </c>
      <c r="CD38" s="1185">
        <f>'2025'!R\Max</f>
        <v>0.99579907977408788</v>
      </c>
      <c r="CE38" s="1185">
        <f>'2026'!R\Max</f>
        <v>0.99658016981280773</v>
      </c>
      <c r="CF38" s="1186">
        <f>'2027'!R\Max</f>
        <v>0.99651624855211429</v>
      </c>
    </row>
    <row r="39" spans="1:84" s="6" customFormat="1" ht="11.25" x14ac:dyDescent="0.2">
      <c r="A39" s="11">
        <v>43125</v>
      </c>
      <c r="B39" s="382">
        <f>'2023'!Maxi_hp</f>
        <v>24.429204367487987</v>
      </c>
      <c r="C39" s="85">
        <f>'2023'!An_max</f>
        <v>2022</v>
      </c>
      <c r="D39" s="1132"/>
      <c r="E39" s="709"/>
      <c r="F39" s="13">
        <f t="shared" si="22"/>
        <v>3</v>
      </c>
      <c r="G39" s="13">
        <f t="shared" si="23"/>
        <v>4</v>
      </c>
      <c r="H39" s="175">
        <f t="shared" si="7"/>
        <v>43122</v>
      </c>
      <c r="I39" s="772">
        <f t="shared" si="8"/>
        <v>0.21428571428571427</v>
      </c>
      <c r="J39" s="763">
        <f t="shared" si="26"/>
        <v>24.572064177319408</v>
      </c>
      <c r="L39" s="776" t="s">
        <v>221</v>
      </c>
      <c r="M39" s="757">
        <f t="shared" ref="M39:AA39" si="45">(y.2lg-y.3lg-(y.1lg-y.2lg)*D2x23Lg/D2x12Lg)/(x.2lg-x.3lg)/(1-(x.2lg+x.3lg)/(x.1lg+x.2lg))</f>
        <v>-3655.8877556387993</v>
      </c>
      <c r="N39" s="757">
        <f t="shared" si="45"/>
        <v>-3546.1373147527265</v>
      </c>
      <c r="O39" s="757">
        <f t="shared" si="45"/>
        <v>-1817.0439795915713</v>
      </c>
      <c r="P39" s="757">
        <f t="shared" si="45"/>
        <v>-792.67178571429827</v>
      </c>
      <c r="Q39" s="757">
        <f t="shared" si="45"/>
        <v>1997.7064642859602</v>
      </c>
      <c r="R39" s="757">
        <f t="shared" si="45"/>
        <v>3251.3417806120215</v>
      </c>
      <c r="S39" s="757">
        <f t="shared" si="45"/>
        <v>2110.9347397959532</v>
      </c>
      <c r="T39" s="757">
        <f t="shared" si="45"/>
        <v>1369.1900918368003</v>
      </c>
      <c r="U39" s="757">
        <f t="shared" si="45"/>
        <v>1369.190091836919</v>
      </c>
      <c r="V39" s="757">
        <f t="shared" si="45"/>
        <v>2397.5505714289243</v>
      </c>
      <c r="W39" s="757">
        <f t="shared" si="45"/>
        <v>1597.1976428571993</v>
      </c>
      <c r="X39" s="757">
        <f t="shared" si="45"/>
        <v>-1777.8970561227361</v>
      </c>
      <c r="Y39" s="757">
        <f t="shared" si="45"/>
        <v>-2350.3162908161112</v>
      </c>
      <c r="Z39" s="757">
        <f t="shared" si="45"/>
        <v>-3686.8574898888883</v>
      </c>
      <c r="AA39" s="757">
        <f t="shared" si="45"/>
        <v>-3576.177467720714</v>
      </c>
      <c r="AP39" s="13">
        <f t="shared" si="10"/>
        <v>3</v>
      </c>
      <c r="AQ39" s="13">
        <f t="shared" si="11"/>
        <v>2</v>
      </c>
      <c r="AR39" s="175">
        <f t="shared" si="12"/>
        <v>43136</v>
      </c>
      <c r="AS39" s="772">
        <f t="shared" si="13"/>
        <v>0.39285714285714285</v>
      </c>
      <c r="AT39" s="789">
        <f t="shared" si="14"/>
        <v>24.51783293669245</v>
      </c>
      <c r="AU39" s="13">
        <f t="shared" si="15"/>
        <v>3</v>
      </c>
      <c r="AV39" s="13">
        <f t="shared" si="16"/>
        <v>2</v>
      </c>
      <c r="AW39" s="175">
        <f t="shared" si="17"/>
        <v>43150</v>
      </c>
      <c r="AX39" s="772">
        <f t="shared" si="18"/>
        <v>0.8928571428571429</v>
      </c>
      <c r="AY39" s="789">
        <f t="shared" si="19"/>
        <v>24.522425836604089</v>
      </c>
      <c r="AZ39" s="763">
        <f t="shared" si="25"/>
        <v>24.520129386648271</v>
      </c>
      <c r="BA39" s="647">
        <f t="shared" si="20"/>
        <v>0.99418608836439215</v>
      </c>
      <c r="BB39" s="642">
        <v>43125</v>
      </c>
      <c r="BC39" s="11">
        <v>43125</v>
      </c>
      <c r="BD39" s="292">
        <f>[2]!FeuilCaduc*(1-Persistant)+Persistant</f>
        <v>1</v>
      </c>
      <c r="BE39" s="293">
        <f>[2]!CroissVégét</f>
        <v>2.3387100283593187E-3</v>
      </c>
      <c r="BF39" s="842">
        <f>1+[2]!Salcycl*Ksac</f>
        <v>1.0000332603664237</v>
      </c>
      <c r="BH39" s="1105">
        <f t="shared" si="21"/>
        <v>1.8272919366793199E-2</v>
      </c>
      <c r="BI39" s="11">
        <v>44221</v>
      </c>
      <c r="BJ39" s="742">
        <v>9.2525142379789606E-4</v>
      </c>
      <c r="BK39" s="742">
        <v>2.9260436412349745E-3</v>
      </c>
      <c r="BL39" s="742">
        <v>1.1483300890319818E-2</v>
      </c>
      <c r="BM39" s="742">
        <v>4.5469459809105918E-2</v>
      </c>
      <c r="BN39" s="742">
        <v>9.8865819860013707E-2</v>
      </c>
      <c r="BO39" s="743">
        <v>0.18149122256859859</v>
      </c>
      <c r="BP39" s="742">
        <v>0.27431792695949681</v>
      </c>
      <c r="BQ39" s="742">
        <v>0.3949148339017014</v>
      </c>
      <c r="BR39" s="742">
        <v>0.53378156883429728</v>
      </c>
      <c r="BS39" s="742">
        <v>0.68651911322290127</v>
      </c>
      <c r="BT39" s="742">
        <v>0.8410349685633155</v>
      </c>
      <c r="BW39" s="1187">
        <f>'2018'!R\Max</f>
        <v>0</v>
      </c>
      <c r="BX39" s="1185">
        <f>'2019'!R\Max</f>
        <v>0.19138605583264551</v>
      </c>
      <c r="BY39" s="1185">
        <f>'2020'!R\Max</f>
        <v>0.56041129276984292</v>
      </c>
      <c r="BZ39" s="1185">
        <f>'2021'!R\Max</f>
        <v>0.30799174893615883</v>
      </c>
      <c r="CA39" s="1185">
        <f>'2022'!R\Max</f>
        <v>0.99418608836439215</v>
      </c>
      <c r="CB39" s="1185">
        <f>'2023'!R\Max</f>
        <v>0.99397703751375299</v>
      </c>
      <c r="CC39" s="1185">
        <f>'2024'!R\Max</f>
        <v>0.99371799893977086</v>
      </c>
      <c r="CD39" s="1185">
        <f>'2025'!R\Max</f>
        <v>0.99340424422022666</v>
      </c>
      <c r="CE39" s="1185">
        <f>'2026'!R\Max</f>
        <v>0.99460460815257956</v>
      </c>
      <c r="CF39" s="1186">
        <f>'2027'!R\Max</f>
        <v>0.99450520149497357</v>
      </c>
    </row>
    <row r="40" spans="1:84" s="6" customFormat="1" ht="11.25" x14ac:dyDescent="0.2">
      <c r="A40" s="11">
        <v>43126</v>
      </c>
      <c r="B40" s="382">
        <f>'2023'!Maxi_hp</f>
        <v>24.494094497904509</v>
      </c>
      <c r="C40" s="85">
        <f>'2023'!An_max</f>
        <v>2022</v>
      </c>
      <c r="D40" s="1132"/>
      <c r="E40" s="709"/>
      <c r="F40" s="13">
        <f t="shared" si="22"/>
        <v>3</v>
      </c>
      <c r="G40" s="13">
        <f t="shared" si="23"/>
        <v>4</v>
      </c>
      <c r="H40" s="175">
        <f t="shared" si="7"/>
        <v>43122</v>
      </c>
      <c r="I40" s="772">
        <f t="shared" si="8"/>
        <v>0.2857142857142857</v>
      </c>
      <c r="J40" s="763">
        <f t="shared" si="26"/>
        <v>24.882019241792811</v>
      </c>
      <c r="L40" s="776" t="s">
        <v>222</v>
      </c>
      <c r="M40" s="757">
        <f t="shared" ref="M40:AA40" si="46">(y.1lg+y.2lg+y.3lg-a.lg*(x.3lg*x.3lg+x.2lg*x.2lg+x.1lg*x.1lg)-b.lg*(x.3lg+x.2lg+x.1lg))/3</f>
        <v>78761160.657809496</v>
      </c>
      <c r="N40" s="757">
        <f t="shared" si="46"/>
        <v>76396395.613379642</v>
      </c>
      <c r="O40" s="757">
        <f t="shared" si="46"/>
        <v>39115418.143545307</v>
      </c>
      <c r="P40" s="757">
        <f t="shared" si="46"/>
        <v>17014590.387143128</v>
      </c>
      <c r="Q40" s="757">
        <f t="shared" si="46"/>
        <v>-43226879.318862453</v>
      </c>
      <c r="R40" s="757">
        <f t="shared" si="46"/>
        <v>-70309160.213954359</v>
      </c>
      <c r="S40" s="757">
        <f t="shared" si="46"/>
        <v>-45656983.797633402</v>
      </c>
      <c r="T40" s="757">
        <f t="shared" si="46"/>
        <v>-29612306.997878969</v>
      </c>
      <c r="U40" s="757">
        <f t="shared" si="46"/>
        <v>-29612306.997881543</v>
      </c>
      <c r="V40" s="757">
        <f t="shared" si="46"/>
        <v>-51885564.298864789</v>
      </c>
      <c r="W40" s="757">
        <f t="shared" si="46"/>
        <v>-34539517.087429784</v>
      </c>
      <c r="X40" s="757">
        <f t="shared" si="46"/>
        <v>38656154.02359806</v>
      </c>
      <c r="Y40" s="757">
        <f t="shared" si="46"/>
        <v>51078222.543178983</v>
      </c>
      <c r="Z40" s="757">
        <f t="shared" si="46"/>
        <v>80101211.665132821</v>
      </c>
      <c r="AA40" s="757">
        <f t="shared" si="46"/>
        <v>77696218.061167195</v>
      </c>
      <c r="AB40" s="7"/>
      <c r="AC40" s="7"/>
      <c r="AD40" s="7"/>
      <c r="AE40" s="7"/>
      <c r="AF40" s="7"/>
      <c r="AH40" s="7"/>
      <c r="AI40" s="74"/>
      <c r="AP40" s="13">
        <f t="shared" si="10"/>
        <v>3</v>
      </c>
      <c r="AQ40" s="13">
        <f t="shared" si="11"/>
        <v>2</v>
      </c>
      <c r="AR40" s="175">
        <f t="shared" si="12"/>
        <v>43136</v>
      </c>
      <c r="AS40" s="772">
        <f t="shared" si="13"/>
        <v>0.35714285714285715</v>
      </c>
      <c r="AT40" s="789">
        <f t="shared" si="14"/>
        <v>24.839049206993408</v>
      </c>
      <c r="AU40" s="13">
        <f t="shared" si="15"/>
        <v>3</v>
      </c>
      <c r="AV40" s="13">
        <f t="shared" si="16"/>
        <v>2</v>
      </c>
      <c r="AW40" s="175">
        <f t="shared" si="17"/>
        <v>43150</v>
      </c>
      <c r="AX40" s="772">
        <f t="shared" si="18"/>
        <v>0.8571428571428571</v>
      </c>
      <c r="AY40" s="789">
        <f t="shared" si="19"/>
        <v>24.818673725745509</v>
      </c>
      <c r="AZ40" s="763">
        <f t="shared" si="25"/>
        <v>24.82886146636946</v>
      </c>
      <c r="BA40" s="647">
        <f t="shared" si="20"/>
        <v>0.98440943477622878</v>
      </c>
      <c r="BB40" s="642">
        <v>43126</v>
      </c>
      <c r="BC40" s="11">
        <v>43126</v>
      </c>
      <c r="BD40" s="292">
        <f>[2]!FeuilCaduc*(1-Persistant)+Persistant</f>
        <v>1</v>
      </c>
      <c r="BE40" s="293">
        <f>[2]!CroissVégét</f>
        <v>2.4946300531446561E-3</v>
      </c>
      <c r="BF40" s="842">
        <f>1+[2]!Salcycl*Ksac</f>
        <v>1.00002059973581</v>
      </c>
      <c r="BH40" s="1105">
        <f t="shared" si="21"/>
        <v>1.7670022167697121E-2</v>
      </c>
      <c r="BI40" s="11">
        <v>44222</v>
      </c>
      <c r="BJ40" s="742">
        <v>9.6875258289372268E-4</v>
      </c>
      <c r="BK40" s="742">
        <v>3.0126912695058604E-3</v>
      </c>
      <c r="BL40" s="742">
        <v>1.1058565742930035E-2</v>
      </c>
      <c r="BM40" s="742">
        <v>4.4152915523460685E-2</v>
      </c>
      <c r="BN40" s="742">
        <v>9.7778379740164012E-2</v>
      </c>
      <c r="BO40" s="743">
        <v>0.17944537657680057</v>
      </c>
      <c r="BP40" s="742">
        <v>0.27273728420770393</v>
      </c>
      <c r="BQ40" s="742">
        <v>0.39085661730142035</v>
      </c>
      <c r="BR40" s="742">
        <v>0.52931883078092601</v>
      </c>
      <c r="BS40" s="742">
        <v>0.68042449515826953</v>
      </c>
      <c r="BT40" s="742">
        <v>0.83495060702543134</v>
      </c>
      <c r="BW40" s="1187">
        <f>'2018'!R\Max</f>
        <v>0</v>
      </c>
      <c r="BX40" s="1185">
        <f>'2019'!R\Max</f>
        <v>0.5514607196990623</v>
      </c>
      <c r="BY40" s="1185">
        <f>'2020'!R\Max</f>
        <v>0.26771691438252776</v>
      </c>
      <c r="BZ40" s="1185">
        <f>'2021'!R\Max</f>
        <v>0.70472861270516929</v>
      </c>
      <c r="CA40" s="1185">
        <f>'2022'!R\Max</f>
        <v>0.98440943477622878</v>
      </c>
      <c r="CB40" s="1185">
        <f>'2023'!R\Max</f>
        <v>0.98385929185918164</v>
      </c>
      <c r="CC40" s="1185">
        <f>'2024'!R\Max</f>
        <v>0.98318979466251699</v>
      </c>
      <c r="CD40" s="1185">
        <f>'2025'!R\Max</f>
        <v>0.98238648686797769</v>
      </c>
      <c r="CE40" s="1185">
        <f>'2026'!R\Max</f>
        <v>0.98550127280659583</v>
      </c>
      <c r="CF40" s="1186">
        <f>'2027'!R\Max</f>
        <v>0.98523992184093068</v>
      </c>
    </row>
    <row r="41" spans="1:84" s="6" customFormat="1" ht="11.25" x14ac:dyDescent="0.2">
      <c r="A41" s="11">
        <v>43127</v>
      </c>
      <c r="B41" s="382">
        <f>'2023'!Maxi_hp</f>
        <v>23.796328277938077</v>
      </c>
      <c r="C41" s="85">
        <f>'2023'!An_max</f>
        <v>2022</v>
      </c>
      <c r="D41" s="1132"/>
      <c r="E41" s="709"/>
      <c r="F41" s="13">
        <f t="shared" si="22"/>
        <v>3</v>
      </c>
      <c r="G41" s="13">
        <f t="shared" si="23"/>
        <v>4</v>
      </c>
      <c r="H41" s="175">
        <f t="shared" si="7"/>
        <v>43122</v>
      </c>
      <c r="I41" s="772">
        <f t="shared" si="8"/>
        <v>0.35714285714285715</v>
      </c>
      <c r="J41" s="763">
        <f t="shared" si="26"/>
        <v>25.19747591077217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P41" s="13">
        <f t="shared" si="10"/>
        <v>3</v>
      </c>
      <c r="AQ41" s="13">
        <f t="shared" si="11"/>
        <v>2</v>
      </c>
      <c r="AR41" s="175">
        <f t="shared" si="12"/>
        <v>43136</v>
      </c>
      <c r="AS41" s="772">
        <f t="shared" si="13"/>
        <v>0.32142857142857145</v>
      </c>
      <c r="AT41" s="789">
        <f t="shared" si="14"/>
        <v>25.1647722958188</v>
      </c>
      <c r="AU41" s="13">
        <f t="shared" si="15"/>
        <v>3</v>
      </c>
      <c r="AV41" s="13">
        <f t="shared" si="16"/>
        <v>2</v>
      </c>
      <c r="AW41" s="175">
        <f t="shared" si="17"/>
        <v>43150</v>
      </c>
      <c r="AX41" s="772">
        <f t="shared" si="18"/>
        <v>0.8214285714285714</v>
      </c>
      <c r="AY41" s="789">
        <f t="shared" si="19"/>
        <v>25.122007378044408</v>
      </c>
      <c r="AZ41" s="763">
        <f t="shared" si="25"/>
        <v>25.143389836931604</v>
      </c>
      <c r="BA41" s="647">
        <f t="shared" si="20"/>
        <v>0.94439333376899515</v>
      </c>
      <c r="BB41" s="642">
        <v>43127</v>
      </c>
      <c r="BC41" s="11">
        <v>43127</v>
      </c>
      <c r="BD41" s="292">
        <f>[2]!FeuilCaduc*(1-Persistant)+Persistant</f>
        <v>1</v>
      </c>
      <c r="BE41" s="293">
        <f>[2]!CroissVégét</f>
        <v>2.6570394167881404E-3</v>
      </c>
      <c r="BF41" s="842">
        <f>1+[2]!Salcycl*Ksac</f>
        <v>1.0000110835378853</v>
      </c>
      <c r="BH41" s="1105">
        <f t="shared" si="21"/>
        <v>1.7057448223134708E-2</v>
      </c>
      <c r="BI41" s="11">
        <v>44223</v>
      </c>
      <c r="BJ41" s="742">
        <v>1.0142624766546274E-3</v>
      </c>
      <c r="BK41" s="742">
        <v>3.1046814304279348E-3</v>
      </c>
      <c r="BL41" s="742">
        <v>1.065061495416819E-2</v>
      </c>
      <c r="BM41" s="742">
        <v>4.2720701719685672E-2</v>
      </c>
      <c r="BN41" s="742">
        <v>9.6603206677726747E-2</v>
      </c>
      <c r="BO41" s="743">
        <v>0.17724820716681541</v>
      </c>
      <c r="BP41" s="742">
        <v>0.27109272087065578</v>
      </c>
      <c r="BQ41" s="742">
        <v>0.38674630271121629</v>
      </c>
      <c r="BR41" s="742">
        <v>0.52478566133913052</v>
      </c>
      <c r="BS41" s="742">
        <v>0.67420502404766258</v>
      </c>
      <c r="BT41" s="742">
        <v>0.82857360360268983</v>
      </c>
      <c r="BW41" s="1187">
        <f>'2018'!R\Max</f>
        <v>0</v>
      </c>
      <c r="BX41" s="1185">
        <f>'2019'!R\Max</f>
        <v>0.51778757344141013</v>
      </c>
      <c r="BY41" s="1185">
        <f>'2020'!R\Max</f>
        <v>0.44698475738494531</v>
      </c>
      <c r="BZ41" s="1185">
        <f>'2021'!R\Max</f>
        <v>0.27906960316825657</v>
      </c>
      <c r="CA41" s="1185">
        <f>'2022'!R\Max</f>
        <v>0.94439333376899515</v>
      </c>
      <c r="CB41" s="1185">
        <f>'2023'!R\Max</f>
        <v>0.94252805519243954</v>
      </c>
      <c r="CC41" s="1185">
        <f>'2024'!R\Max</f>
        <v>0.94030518395119467</v>
      </c>
      <c r="CD41" s="1185">
        <f>'2025'!R\Max</f>
        <v>0.93767154957036958</v>
      </c>
      <c r="CE41" s="1185">
        <f>'2026'!R\Max</f>
        <v>0.94806984354090562</v>
      </c>
      <c r="CF41" s="1186">
        <f>'2027'!R\Max</f>
        <v>0.94718121661788945</v>
      </c>
    </row>
    <row r="42" spans="1:84" s="6" customFormat="1" ht="11.25" x14ac:dyDescent="0.2">
      <c r="A42" s="11">
        <v>43128</v>
      </c>
      <c r="B42" s="382">
        <f>'2023'!Maxi_hp</f>
        <v>17.198833933173557</v>
      </c>
      <c r="C42" s="85">
        <f>'2023'!An_max</f>
        <v>2020</v>
      </c>
      <c r="D42" s="1132"/>
      <c r="E42" s="709"/>
      <c r="F42" s="13">
        <f t="shared" si="22"/>
        <v>3</v>
      </c>
      <c r="G42" s="13">
        <f t="shared" si="23"/>
        <v>4</v>
      </c>
      <c r="H42" s="175">
        <f t="shared" si="7"/>
        <v>43122</v>
      </c>
      <c r="I42" s="772">
        <f t="shared" si="8"/>
        <v>0.42857142857142855</v>
      </c>
      <c r="J42" s="763">
        <f t="shared" si="26"/>
        <v>25.518095044153078</v>
      </c>
      <c r="M42" s="6" t="s">
        <v>232</v>
      </c>
      <c r="AC42" s="7"/>
      <c r="AD42" s="7"/>
      <c r="AE42" s="7"/>
      <c r="AF42" s="7"/>
      <c r="AH42" s="7"/>
      <c r="AI42" s="74"/>
      <c r="AP42" s="13">
        <f t="shared" si="10"/>
        <v>3</v>
      </c>
      <c r="AQ42" s="13">
        <f t="shared" si="11"/>
        <v>2</v>
      </c>
      <c r="AR42" s="175">
        <f t="shared" si="12"/>
        <v>43136</v>
      </c>
      <c r="AS42" s="772">
        <f t="shared" si="13"/>
        <v>0.2857142857142857</v>
      </c>
      <c r="AT42" s="789">
        <f t="shared" si="14"/>
        <v>25.49457258837564</v>
      </c>
      <c r="AU42" s="13">
        <f t="shared" si="15"/>
        <v>3</v>
      </c>
      <c r="AV42" s="13">
        <f t="shared" si="16"/>
        <v>2</v>
      </c>
      <c r="AW42" s="175">
        <f t="shared" si="17"/>
        <v>43150</v>
      </c>
      <c r="AX42" s="772">
        <f t="shared" si="18"/>
        <v>0.7857142857142857</v>
      </c>
      <c r="AY42" s="789">
        <f t="shared" si="19"/>
        <v>25.432186464539594</v>
      </c>
      <c r="AZ42" s="763">
        <f t="shared" si="25"/>
        <v>25.463379526457615</v>
      </c>
      <c r="BA42" s="647">
        <f t="shared" si="20"/>
        <v>0.67398580902747673</v>
      </c>
      <c r="BB42" s="642">
        <v>43128</v>
      </c>
      <c r="BC42" s="11">
        <v>43128</v>
      </c>
      <c r="BD42" s="292">
        <f>[2]!FeuilCaduc*(1-Persistant)+Persistant</f>
        <v>1</v>
      </c>
      <c r="BE42" s="293">
        <f>[2]!CroissVégét</f>
        <v>2.826205948480045E-3</v>
      </c>
      <c r="BF42" s="842">
        <f>1+[2]!Salcycl*Ksac</f>
        <v>1.0000047272890034</v>
      </c>
      <c r="BH42" s="1105">
        <f t="shared" si="21"/>
        <v>1.6435250976712744E-2</v>
      </c>
      <c r="BI42" s="11">
        <v>44224</v>
      </c>
      <c r="BJ42" s="742">
        <v>1.0617801449774524E-3</v>
      </c>
      <c r="BK42" s="742">
        <v>3.2020136537952403E-3</v>
      </c>
      <c r="BL42" s="742">
        <v>1.0259485902712032E-2</v>
      </c>
      <c r="BM42" s="742">
        <v>4.1172936191173154E-2</v>
      </c>
      <c r="BN42" s="742">
        <v>9.5340475355848275E-2</v>
      </c>
      <c r="BO42" s="743">
        <v>0.17490003817747976</v>
      </c>
      <c r="BP42" s="742">
        <v>0.26938465865335104</v>
      </c>
      <c r="BQ42" s="742">
        <v>0.38258459175447079</v>
      </c>
      <c r="BR42" s="742">
        <v>0.52018295605815457</v>
      </c>
      <c r="BS42" s="742">
        <v>0.66786186788155122</v>
      </c>
      <c r="BT42" s="742">
        <v>0.82190530910834325</v>
      </c>
      <c r="BW42" s="1187">
        <f>'2018'!R\Max</f>
        <v>0</v>
      </c>
      <c r="BX42" s="1185">
        <f>'2019'!R\Max</f>
        <v>0.45214613263478343</v>
      </c>
      <c r="BY42" s="1185">
        <f>'2020'!R\Max</f>
        <v>0.67398580902747673</v>
      </c>
      <c r="BZ42" s="1185">
        <f>'2021'!R\Max</f>
        <v>0.65290992357222699</v>
      </c>
      <c r="CA42" s="1185">
        <f>'2022'!R\Max</f>
        <v>0.18471892302980761</v>
      </c>
      <c r="CB42" s="1185">
        <f>'2023'!R\Max</f>
        <v>0.18015468156633307</v>
      </c>
      <c r="CC42" s="1185">
        <f>'2024'!R\Max</f>
        <v>0.17507156065777113</v>
      </c>
      <c r="CD42" s="1185">
        <f>'2025'!R\Max</f>
        <v>0.16943191881930847</v>
      </c>
      <c r="CE42" s="1185">
        <f>'2026'!R\Max</f>
        <v>0.19424303401586662</v>
      </c>
      <c r="CF42" s="1186">
        <f>'2027'!R\Max</f>
        <v>0.19184017840029177</v>
      </c>
    </row>
    <row r="43" spans="1:84" s="6" customFormat="1" ht="11.25" x14ac:dyDescent="0.2">
      <c r="A43" s="11">
        <v>43129</v>
      </c>
      <c r="B43" s="382">
        <f>'2023'!Maxi_hp</f>
        <v>20.008035676598013</v>
      </c>
      <c r="C43" s="85">
        <f>'2023'!An_max</f>
        <v>2020</v>
      </c>
      <c r="D43" s="1132"/>
      <c r="E43" s="709"/>
      <c r="F43" s="13">
        <f t="shared" si="22"/>
        <v>3</v>
      </c>
      <c r="G43" s="13">
        <f t="shared" si="23"/>
        <v>4</v>
      </c>
      <c r="H43" s="175">
        <f t="shared" si="7"/>
        <v>43122</v>
      </c>
      <c r="I43" s="772">
        <f t="shared" si="8"/>
        <v>0.5</v>
      </c>
      <c r="J43" s="763">
        <f t="shared" si="26"/>
        <v>25.84353750050068</v>
      </c>
      <c r="L43" s="177">
        <f>M43-28</f>
        <v>43065</v>
      </c>
      <c r="M43" s="177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7">
        <f>AO12</f>
        <v>43487</v>
      </c>
      <c r="AB43" s="177">
        <f>AA43+28</f>
        <v>43515</v>
      </c>
      <c r="AC43" s="7"/>
      <c r="AD43" s="7"/>
      <c r="AE43" s="7"/>
      <c r="AF43" s="7"/>
      <c r="AH43" s="7"/>
      <c r="AI43" s="74"/>
      <c r="AP43" s="13">
        <f t="shared" si="10"/>
        <v>3</v>
      </c>
      <c r="AQ43" s="13">
        <f t="shared" si="11"/>
        <v>2</v>
      </c>
      <c r="AR43" s="175">
        <f t="shared" si="12"/>
        <v>43136</v>
      </c>
      <c r="AS43" s="772">
        <f t="shared" si="13"/>
        <v>0.25</v>
      </c>
      <c r="AT43" s="789">
        <f t="shared" si="14"/>
        <v>25.828020463697612</v>
      </c>
      <c r="AU43" s="13">
        <f t="shared" si="15"/>
        <v>3</v>
      </c>
      <c r="AV43" s="13">
        <f t="shared" si="16"/>
        <v>2</v>
      </c>
      <c r="AW43" s="175">
        <f t="shared" si="17"/>
        <v>43150</v>
      </c>
      <c r="AX43" s="772">
        <f t="shared" si="18"/>
        <v>0.75</v>
      </c>
      <c r="AY43" s="789">
        <f t="shared" si="19"/>
        <v>25.748970657587051</v>
      </c>
      <c r="AZ43" s="763">
        <f t="shared" si="25"/>
        <v>25.788495560642332</v>
      </c>
      <c r="BA43" s="647">
        <f t="shared" si="20"/>
        <v>0.77419879829572036</v>
      </c>
      <c r="BB43" s="642">
        <v>43129</v>
      </c>
      <c r="BC43" s="11">
        <v>43129</v>
      </c>
      <c r="BD43" s="292">
        <f>[2]!FeuilCaduc*(1-Persistant)+Persistant</f>
        <v>1</v>
      </c>
      <c r="BE43" s="293">
        <f>[2]!CroissVégét</f>
        <v>3.0024083390505912E-3</v>
      </c>
      <c r="BF43" s="842">
        <f>1+[2]!Salcycl*Ksac</f>
        <v>1.0000015266317694</v>
      </c>
      <c r="BH43" s="1105">
        <f t="shared" si="21"/>
        <v>1.5803481741818629E-2</v>
      </c>
      <c r="BI43" s="11">
        <v>44225</v>
      </c>
      <c r="BJ43" s="742">
        <v>1.1113046514014506E-3</v>
      </c>
      <c r="BK43" s="742">
        <v>3.3046873858460658E-3</v>
      </c>
      <c r="BL43" s="742">
        <v>9.8852122096835388E-3</v>
      </c>
      <c r="BM43" s="742">
        <v>3.9509741119565289E-2</v>
      </c>
      <c r="BN43" s="742">
        <v>9.3990363209396091E-2</v>
      </c>
      <c r="BO43" s="743">
        <v>0.1724011973190159</v>
      </c>
      <c r="BP43" s="742">
        <v>0.26761351690395724</v>
      </c>
      <c r="BQ43" s="742">
        <v>0.37837216991143002</v>
      </c>
      <c r="BR43" s="742">
        <v>0.51551159378962941</v>
      </c>
      <c r="BS43" s="742">
        <v>0.66139617467847478</v>
      </c>
      <c r="BT43" s="742">
        <v>0.81494707018376333</v>
      </c>
      <c r="BW43" s="1187">
        <f>'2018'!R\Max</f>
        <v>0</v>
      </c>
      <c r="BX43" s="1185">
        <f>'2019'!R\Max</f>
        <v>0.21710205524377788</v>
      </c>
      <c r="BY43" s="1185">
        <f>'2020'!R\Max</f>
        <v>0.77419879829572036</v>
      </c>
      <c r="BZ43" s="1185">
        <f>'2021'!R\Max</f>
        <v>0.52723496218292232</v>
      </c>
      <c r="CA43" s="1185">
        <f>'2022'!R\Max</f>
        <v>0.28527381427885323</v>
      </c>
      <c r="CB43" s="1185">
        <f>'2023'!R\Max</f>
        <v>0.27828589175487684</v>
      </c>
      <c r="CC43" s="1185">
        <f>'2024'!R\Max</f>
        <v>0.27064200706146546</v>
      </c>
      <c r="CD43" s="1185">
        <f>'2025'!R\Max</f>
        <v>0.2622292125362114</v>
      </c>
      <c r="CE43" s="1185">
        <f>'2026'!R\Max</f>
        <v>0.29963680213722804</v>
      </c>
      <c r="CF43" s="1186">
        <f>'2027'!R\Max</f>
        <v>0.29598613824774361</v>
      </c>
    </row>
    <row r="44" spans="1:84" s="6" customFormat="1" ht="11.25" x14ac:dyDescent="0.2">
      <c r="A44" s="11">
        <v>43130</v>
      </c>
      <c r="B44" s="382">
        <f>'2023'!Maxi_hp</f>
        <v>10.958880369584882</v>
      </c>
      <c r="C44" s="85">
        <f>'2023'!An_max</f>
        <v>2020</v>
      </c>
      <c r="D44" s="1132"/>
      <c r="E44" s="709"/>
      <c r="F44" s="13">
        <f t="shared" si="22"/>
        <v>3</v>
      </c>
      <c r="G44" s="13">
        <f t="shared" si="23"/>
        <v>4</v>
      </c>
      <c r="H44" s="175">
        <f t="shared" si="7"/>
        <v>43122</v>
      </c>
      <c r="I44" s="772">
        <f t="shared" si="8"/>
        <v>0.5714285714285714</v>
      </c>
      <c r="J44" s="763">
        <f t="shared" si="26"/>
        <v>26.173464139550923</v>
      </c>
      <c r="L44" s="794">
        <f>AK13</f>
        <v>207.834</v>
      </c>
      <c r="M44" s="794">
        <f>M13</f>
        <v>183.018</v>
      </c>
      <c r="N44" s="784">
        <f>O13</f>
        <v>236.786</v>
      </c>
      <c r="O44" s="784">
        <f>Q13</f>
        <v>335.01600000000002</v>
      </c>
      <c r="P44" s="784">
        <f>S13</f>
        <v>461.16399999999999</v>
      </c>
      <c r="Q44" s="784">
        <f>U13</f>
        <v>576.97199999999998</v>
      </c>
      <c r="R44" s="784">
        <f>W13</f>
        <v>639.01200000000006</v>
      </c>
      <c r="S44" s="784">
        <f>Y13</f>
        <v>650.38599999999997</v>
      </c>
      <c r="T44" s="784">
        <f>AA13</f>
        <v>632.80799999999999</v>
      </c>
      <c r="U44" s="784">
        <f>AC13</f>
        <v>590.41399999999999</v>
      </c>
      <c r="V44" s="784">
        <f>AE13</f>
        <v>517</v>
      </c>
      <c r="W44" s="784">
        <f>AG13</f>
        <v>397.05600000000004</v>
      </c>
      <c r="X44" s="784">
        <f>AI13</f>
        <v>282.28199999999998</v>
      </c>
      <c r="Y44" s="784">
        <f>AK13</f>
        <v>207.834</v>
      </c>
      <c r="Z44" s="784">
        <f>AM13</f>
        <v>183.018</v>
      </c>
      <c r="AA44" s="792">
        <f>AO13</f>
        <v>236.786</v>
      </c>
      <c r="AB44" s="792">
        <f>Q13</f>
        <v>335.01600000000002</v>
      </c>
      <c r="AD44" s="7"/>
      <c r="AE44" s="7"/>
      <c r="AF44" s="7"/>
      <c r="AH44" s="7"/>
      <c r="AI44" s="74"/>
      <c r="AP44" s="13">
        <f t="shared" si="10"/>
        <v>3</v>
      </c>
      <c r="AQ44" s="13">
        <f t="shared" si="11"/>
        <v>2</v>
      </c>
      <c r="AR44" s="175">
        <f t="shared" si="12"/>
        <v>43136</v>
      </c>
      <c r="AS44" s="772">
        <f t="shared" si="13"/>
        <v>0.21428571428571427</v>
      </c>
      <c r="AT44" s="789">
        <f t="shared" si="14"/>
        <v>26.1646863036922</v>
      </c>
      <c r="AU44" s="13">
        <f t="shared" si="15"/>
        <v>3</v>
      </c>
      <c r="AV44" s="13">
        <f t="shared" si="16"/>
        <v>2</v>
      </c>
      <c r="AW44" s="175">
        <f t="shared" si="17"/>
        <v>43150</v>
      </c>
      <c r="AX44" s="772">
        <f t="shared" si="18"/>
        <v>0.7142857142857143</v>
      </c>
      <c r="AY44" s="789">
        <f t="shared" si="19"/>
        <v>26.0721196317247</v>
      </c>
      <c r="AZ44" s="763">
        <f t="shared" si="25"/>
        <v>26.118402967708448</v>
      </c>
      <c r="BA44" s="647">
        <f t="shared" si="20"/>
        <v>0.41870194603032446</v>
      </c>
      <c r="BB44" s="642">
        <v>43130</v>
      </c>
      <c r="BC44" s="11">
        <v>43130</v>
      </c>
      <c r="BD44" s="292">
        <f>[2]!FeuilCaduc*(1-Persistant)+Persistant</f>
        <v>1</v>
      </c>
      <c r="BE44" s="293">
        <f>[2]!CroissVégét</f>
        <v>3.1859365650375344E-3</v>
      </c>
      <c r="BF44" s="842">
        <f>1+[2]!Salcycl*Ksac</f>
        <v>1.0000014563444535</v>
      </c>
      <c r="BH44" s="1105">
        <f t="shared" si="21"/>
        <v>1.5196965956083199E-2</v>
      </c>
      <c r="BI44" s="11">
        <v>44226</v>
      </c>
      <c r="BJ44" s="742">
        <v>1.1640306502679445E-3</v>
      </c>
      <c r="BK44" s="742">
        <v>3.4148145777907831E-3</v>
      </c>
      <c r="BL44" s="742">
        <v>9.5539449529606496E-3</v>
      </c>
      <c r="BM44" s="742">
        <v>3.7800688014992943E-2</v>
      </c>
      <c r="BN44" s="742">
        <v>9.2465828456434432E-2</v>
      </c>
      <c r="BO44" s="743">
        <v>0.16971089372511003</v>
      </c>
      <c r="BP44" s="742">
        <v>0.2656276327952895</v>
      </c>
      <c r="BQ44" s="742">
        <v>0.37409028924748639</v>
      </c>
      <c r="BR44" s="742">
        <v>0.51064650415760027</v>
      </c>
      <c r="BS44" s="742">
        <v>0.65473781829984468</v>
      </c>
      <c r="BT44" s="742">
        <v>0.8076622385002199</v>
      </c>
      <c r="BW44" s="1187">
        <f>'2018'!R\Max</f>
        <v>0</v>
      </c>
      <c r="BX44" s="1185">
        <f>'2019'!R\Max</f>
        <v>0.32329408002841636</v>
      </c>
      <c r="BY44" s="1185">
        <f>'2020'!R\Max</f>
        <v>0.41870194603032446</v>
      </c>
      <c r="BZ44" s="1185">
        <f>'2021'!R\Max</f>
        <v>0.29986460641689489</v>
      </c>
      <c r="CA44" s="1185">
        <f>'2022'!R\Max</f>
        <v>0.20500272408814935</v>
      </c>
      <c r="CB44" s="1185">
        <f>'2023'!R\Max</f>
        <v>0.20000383143980374</v>
      </c>
      <c r="CC44" s="1185">
        <f>'2024'!R\Max</f>
        <v>0.19462943368952079</v>
      </c>
      <c r="CD44" s="1185">
        <f>'2025'!R\Max</f>
        <v>0.18876332631744608</v>
      </c>
      <c r="CE44" s="1185">
        <f>'2026'!R\Max</f>
        <v>0.21511779864111991</v>
      </c>
      <c r="CF44" s="1186">
        <f>'2027'!R\Max</f>
        <v>0.21253037201170841</v>
      </c>
    </row>
    <row r="45" spans="1:84" s="6" customFormat="1" ht="11.25" x14ac:dyDescent="0.2">
      <c r="A45" s="11">
        <v>43131</v>
      </c>
      <c r="B45" s="382">
        <f>'2023'!Maxi_hp</f>
        <v>19.380623642476806</v>
      </c>
      <c r="C45" s="85">
        <f>'2023'!An_max</f>
        <v>2020</v>
      </c>
      <c r="D45" s="1132"/>
      <c r="E45" s="709"/>
      <c r="F45" s="13">
        <f t="shared" si="22"/>
        <v>3</v>
      </c>
      <c r="G45" s="13">
        <f t="shared" si="23"/>
        <v>4</v>
      </c>
      <c r="H45" s="175">
        <f t="shared" si="7"/>
        <v>43122</v>
      </c>
      <c r="I45" s="772">
        <f t="shared" si="8"/>
        <v>0.6428571428571429</v>
      </c>
      <c r="J45" s="763">
        <f t="shared" si="26"/>
        <v>26.507535823328151</v>
      </c>
      <c r="L45" s="774" t="s">
        <v>212</v>
      </c>
      <c r="M45" s="804">
        <f t="shared" ref="M45:AA45" si="47">L43</f>
        <v>43065</v>
      </c>
      <c r="N45" s="805">
        <f t="shared" si="47"/>
        <v>43093</v>
      </c>
      <c r="O45" s="753">
        <f t="shared" si="47"/>
        <v>43122</v>
      </c>
      <c r="P45" s="753">
        <f t="shared" si="47"/>
        <v>43150</v>
      </c>
      <c r="Q45" s="753">
        <f t="shared" si="47"/>
        <v>43178</v>
      </c>
      <c r="R45" s="753">
        <f t="shared" si="47"/>
        <v>43206</v>
      </c>
      <c r="S45" s="753">
        <f t="shared" si="47"/>
        <v>43234</v>
      </c>
      <c r="T45" s="753">
        <f t="shared" si="47"/>
        <v>43262</v>
      </c>
      <c r="U45" s="753">
        <f t="shared" si="47"/>
        <v>43290</v>
      </c>
      <c r="V45" s="753">
        <f t="shared" si="47"/>
        <v>43318</v>
      </c>
      <c r="W45" s="753">
        <f t="shared" si="47"/>
        <v>43346</v>
      </c>
      <c r="X45" s="753">
        <f t="shared" si="47"/>
        <v>43374</v>
      </c>
      <c r="Y45" s="753">
        <f t="shared" si="47"/>
        <v>43402</v>
      </c>
      <c r="Z45" s="753">
        <f t="shared" si="47"/>
        <v>43430</v>
      </c>
      <c r="AA45" s="797">
        <f t="shared" si="47"/>
        <v>43458</v>
      </c>
      <c r="AD45" s="7"/>
      <c r="AE45" s="7"/>
      <c r="AF45" s="7"/>
      <c r="AH45" s="7"/>
      <c r="AI45" s="74"/>
      <c r="AP45" s="13">
        <f t="shared" si="10"/>
        <v>3</v>
      </c>
      <c r="AQ45" s="13">
        <f t="shared" si="11"/>
        <v>2</v>
      </c>
      <c r="AR45" s="175">
        <f t="shared" si="12"/>
        <v>43136</v>
      </c>
      <c r="AS45" s="772">
        <f t="shared" si="13"/>
        <v>0.17857142857142858</v>
      </c>
      <c r="AT45" s="789">
        <f t="shared" si="14"/>
        <v>26.504140492821374</v>
      </c>
      <c r="AU45" s="13">
        <f t="shared" si="15"/>
        <v>3</v>
      </c>
      <c r="AV45" s="13">
        <f t="shared" si="16"/>
        <v>2</v>
      </c>
      <c r="AW45" s="175">
        <f t="shared" si="17"/>
        <v>43150</v>
      </c>
      <c r="AX45" s="772">
        <f t="shared" si="18"/>
        <v>0.6785714285714286</v>
      </c>
      <c r="AY45" s="789">
        <f t="shared" si="19"/>
        <v>26.401393061157847</v>
      </c>
      <c r="AZ45" s="763">
        <f t="shared" si="25"/>
        <v>26.452766776989613</v>
      </c>
      <c r="BA45" s="647">
        <f t="shared" si="20"/>
        <v>0.73113637463882053</v>
      </c>
      <c r="BB45" s="642">
        <v>43131</v>
      </c>
      <c r="BC45" s="11">
        <v>43131</v>
      </c>
      <c r="BD45" s="292">
        <f>[2]!FeuilCaduc*(1-Persistant)+Persistant</f>
        <v>1</v>
      </c>
      <c r="BE45" s="293">
        <f>[2]!CroissVégét</f>
        <v>3.3770923278976551E-3</v>
      </c>
      <c r="BF45" s="842">
        <f>1+[2]!Salcycl*Ksac</f>
        <v>1.000004469736238</v>
      </c>
      <c r="BH45" s="1105">
        <f t="shared" si="21"/>
        <v>1.4643543151191147E-2</v>
      </c>
      <c r="BI45" s="11">
        <v>44227</v>
      </c>
      <c r="BJ45" s="742">
        <v>1.2180349246570677E-3</v>
      </c>
      <c r="BK45" s="742">
        <v>3.5294785392297723E-3</v>
      </c>
      <c r="BL45" s="742">
        <v>9.277720796754289E-3</v>
      </c>
      <c r="BM45" s="742">
        <v>3.6136916479070184E-2</v>
      </c>
      <c r="BN45" s="742">
        <v>9.0789156379765715E-2</v>
      </c>
      <c r="BO45" s="743">
        <v>0.16691037867857095</v>
      </c>
      <c r="BP45" s="742">
        <v>0.26336323471151235</v>
      </c>
      <c r="BQ45" s="742">
        <v>0.36979460661210012</v>
      </c>
      <c r="BR45" s="742">
        <v>0.50560105126428689</v>
      </c>
      <c r="BS45" s="742">
        <v>0.64806704676458782</v>
      </c>
      <c r="BT45" s="742">
        <v>0.80034983708096252</v>
      </c>
      <c r="BW45" s="1187">
        <f>'2018'!R\Max</f>
        <v>0</v>
      </c>
      <c r="BX45" s="1185">
        <f>'2019'!R\Max</f>
        <v>0.31401770432114207</v>
      </c>
      <c r="BY45" s="1185">
        <f>'2020'!R\Max</f>
        <v>0.73113637463882053</v>
      </c>
      <c r="BZ45" s="1185">
        <f>'2021'!R\Max</f>
        <v>0.35552175520770801</v>
      </c>
      <c r="CA45" s="1185">
        <f>'2022'!R\Max</f>
        <v>0.45996210785051556</v>
      </c>
      <c r="CB45" s="1185">
        <f>'2023'!R\Max</f>
        <v>0.45151957605484483</v>
      </c>
      <c r="CC45" s="1185">
        <f>'2024'!R\Max</f>
        <v>0.44246470844883473</v>
      </c>
      <c r="CD45" s="1185">
        <f>'2025'!R\Max</f>
        <v>0.43252288881253859</v>
      </c>
      <c r="CE45" s="1185">
        <f>'2026'!R\Max</f>
        <v>0.47649132659383808</v>
      </c>
      <c r="CF45" s="1186">
        <f>'2027'!R\Max</f>
        <v>0.47228204253030925</v>
      </c>
    </row>
    <row r="46" spans="1:84" s="6" customFormat="1" ht="11.25" x14ac:dyDescent="0.2">
      <c r="A46" s="11">
        <v>43132</v>
      </c>
      <c r="B46" s="382">
        <f>'2023'!Maxi_hp</f>
        <v>21.672609398761253</v>
      </c>
      <c r="C46" s="85">
        <f>'2023'!An_max</f>
        <v>2019</v>
      </c>
      <c r="D46" s="1132"/>
      <c r="E46" s="709"/>
      <c r="F46" s="13">
        <f t="shared" si="22"/>
        <v>3</v>
      </c>
      <c r="G46" s="13">
        <f t="shared" si="23"/>
        <v>4</v>
      </c>
      <c r="H46" s="175">
        <f t="shared" si="7"/>
        <v>43122</v>
      </c>
      <c r="I46" s="772">
        <f t="shared" si="8"/>
        <v>0.7142857142857143</v>
      </c>
      <c r="J46" s="763">
        <f t="shared" si="26"/>
        <v>26.845413411621536</v>
      </c>
      <c r="L46" s="775" t="s">
        <v>213</v>
      </c>
      <c r="M46" s="796">
        <f t="shared" ref="M46:AA46" si="48">L44</f>
        <v>207.834</v>
      </c>
      <c r="N46" s="800">
        <f t="shared" si="48"/>
        <v>183.018</v>
      </c>
      <c r="O46" s="759">
        <f t="shared" si="48"/>
        <v>236.786</v>
      </c>
      <c r="P46" s="759">
        <f t="shared" si="48"/>
        <v>335.01600000000002</v>
      </c>
      <c r="Q46" s="759">
        <f t="shared" si="48"/>
        <v>461.16399999999999</v>
      </c>
      <c r="R46" s="759">
        <f t="shared" si="48"/>
        <v>576.97199999999998</v>
      </c>
      <c r="S46" s="759">
        <f t="shared" si="48"/>
        <v>639.01200000000006</v>
      </c>
      <c r="T46" s="759">
        <f t="shared" si="48"/>
        <v>650.38599999999997</v>
      </c>
      <c r="U46" s="759">
        <f t="shared" si="48"/>
        <v>632.80799999999999</v>
      </c>
      <c r="V46" s="759">
        <f t="shared" si="48"/>
        <v>590.41399999999999</v>
      </c>
      <c r="W46" s="759">
        <f t="shared" si="48"/>
        <v>517</v>
      </c>
      <c r="X46" s="759">
        <f t="shared" si="48"/>
        <v>397.05600000000004</v>
      </c>
      <c r="Y46" s="759">
        <f t="shared" si="48"/>
        <v>282.28199999999998</v>
      </c>
      <c r="Z46" s="759">
        <f t="shared" si="48"/>
        <v>207.834</v>
      </c>
      <c r="AA46" s="798">
        <f t="shared" si="48"/>
        <v>183.018</v>
      </c>
      <c r="AD46" s="7"/>
      <c r="AE46" s="7"/>
      <c r="AF46" s="7"/>
      <c r="AH46" s="7"/>
      <c r="AI46" s="74"/>
      <c r="AP46" s="13">
        <f t="shared" si="10"/>
        <v>3</v>
      </c>
      <c r="AQ46" s="13">
        <f t="shared" si="11"/>
        <v>2</v>
      </c>
      <c r="AR46" s="175">
        <f t="shared" si="12"/>
        <v>43136</v>
      </c>
      <c r="AS46" s="772">
        <f t="shared" si="13"/>
        <v>0.14285714285714285</v>
      </c>
      <c r="AT46" s="789">
        <f t="shared" si="14"/>
        <v>26.845953408948013</v>
      </c>
      <c r="AU46" s="13">
        <f t="shared" si="15"/>
        <v>3</v>
      </c>
      <c r="AV46" s="13">
        <f t="shared" si="16"/>
        <v>2</v>
      </c>
      <c r="AW46" s="175">
        <f t="shared" si="17"/>
        <v>43150</v>
      </c>
      <c r="AX46" s="772">
        <f t="shared" si="18"/>
        <v>0.6428571428571429</v>
      </c>
      <c r="AY46" s="789">
        <f t="shared" si="19"/>
        <v>26.736550617351064</v>
      </c>
      <c r="AZ46" s="763">
        <f t="shared" si="25"/>
        <v>26.791252013149538</v>
      </c>
      <c r="BA46" s="647">
        <f t="shared" si="20"/>
        <v>0.807311441491121</v>
      </c>
      <c r="BB46" s="642">
        <v>43132</v>
      </c>
      <c r="BC46" s="11">
        <v>43132</v>
      </c>
      <c r="BD46" s="292">
        <f>[2]!FeuilCaduc*(1-Persistant)+Persistant</f>
        <v>1</v>
      </c>
      <c r="BE46" s="293">
        <f>[2]!CroissVégét</f>
        <v>3.5761895087786043E-3</v>
      </c>
      <c r="BF46" s="842">
        <f>1+[2]!Salcycl*Ksac</f>
        <v>1.0000104984262574</v>
      </c>
      <c r="BH46" s="1105">
        <f t="shared" si="21"/>
        <v>1.4143249606461818E-2</v>
      </c>
      <c r="BI46" s="11">
        <v>44228</v>
      </c>
      <c r="BJ46" s="742">
        <v>1.2733167944485911E-3</v>
      </c>
      <c r="BK46" s="742">
        <v>3.6486788783026834E-3</v>
      </c>
      <c r="BL46" s="742">
        <v>9.0565583436978663E-3</v>
      </c>
      <c r="BM46" s="742">
        <v>3.4518533596965877E-2</v>
      </c>
      <c r="BN46" s="742">
        <v>8.8960536368317925E-2</v>
      </c>
      <c r="BO46" s="743">
        <v>0.16399997767468136</v>
      </c>
      <c r="BP46" s="742">
        <v>0.26082075915162772</v>
      </c>
      <c r="BQ46" s="742">
        <v>0.36548575262728239</v>
      </c>
      <c r="BR46" s="742">
        <v>0.50037607604684387</v>
      </c>
      <c r="BS46" s="742">
        <v>0.64138493088771942</v>
      </c>
      <c r="BT46" s="742">
        <v>0.79301115298157521</v>
      </c>
      <c r="BW46" s="1187">
        <f>'2018'!R\Max</f>
        <v>0</v>
      </c>
      <c r="BX46" s="1185">
        <f>'2019'!R\Max</f>
        <v>0.807311441491121</v>
      </c>
      <c r="BY46" s="1185">
        <f>'2020'!R\Max</f>
        <v>0.44739397575765738</v>
      </c>
      <c r="BZ46" s="1185">
        <f>'2021'!R\Max</f>
        <v>0.39768522648661309</v>
      </c>
      <c r="CA46" s="1185">
        <f>'2022'!R\Max</f>
        <v>0.44594302521600893</v>
      </c>
      <c r="CB46" s="1185">
        <f>'2023'!R\Max</f>
        <v>0.43763159590893275</v>
      </c>
      <c r="CC46" s="1185">
        <f>'2024'!R\Max</f>
        <v>0.4288362050225854</v>
      </c>
      <c r="CD46" s="1185">
        <f>'2025'!R\Max</f>
        <v>0.41925509456592902</v>
      </c>
      <c r="CE46" s="1185">
        <f>'2026'!R\Max</f>
        <v>0.46200534924905862</v>
      </c>
      <c r="CF46" s="1186">
        <f>'2027'!R\Max</f>
        <v>0.45790210586973568</v>
      </c>
    </row>
    <row r="47" spans="1:84" s="6" customFormat="1" ht="11.25" x14ac:dyDescent="0.2">
      <c r="A47" s="11">
        <v>43133</v>
      </c>
      <c r="B47" s="382">
        <f>'2023'!Maxi_hp</f>
        <v>24.150188849551444</v>
      </c>
      <c r="C47" s="85">
        <f>'2023'!An_max</f>
        <v>2021</v>
      </c>
      <c r="D47" s="1132"/>
      <c r="E47" s="709"/>
      <c r="F47" s="13">
        <f t="shared" si="22"/>
        <v>3</v>
      </c>
      <c r="G47" s="13">
        <f t="shared" si="23"/>
        <v>4</v>
      </c>
      <c r="H47" s="175">
        <f t="shared" si="7"/>
        <v>43122</v>
      </c>
      <c r="I47" s="772">
        <f t="shared" si="8"/>
        <v>0.7857142857142857</v>
      </c>
      <c r="J47" s="763">
        <f t="shared" si="26"/>
        <v>27.186757762357594</v>
      </c>
      <c r="L47" s="775" t="s">
        <v>214</v>
      </c>
      <c r="M47" s="807">
        <f t="shared" ref="M47:AA47" si="49">M43</f>
        <v>43093</v>
      </c>
      <c r="N47" s="754">
        <f t="shared" si="49"/>
        <v>43122</v>
      </c>
      <c r="O47" s="754">
        <f t="shared" si="49"/>
        <v>43150</v>
      </c>
      <c r="P47" s="754">
        <f t="shared" si="49"/>
        <v>43178</v>
      </c>
      <c r="Q47" s="754">
        <f t="shared" si="49"/>
        <v>43206</v>
      </c>
      <c r="R47" s="754">
        <f t="shared" si="49"/>
        <v>43234</v>
      </c>
      <c r="S47" s="754">
        <f t="shared" si="49"/>
        <v>43262</v>
      </c>
      <c r="T47" s="754">
        <f t="shared" si="49"/>
        <v>43290</v>
      </c>
      <c r="U47" s="754">
        <f t="shared" si="49"/>
        <v>43318</v>
      </c>
      <c r="V47" s="754">
        <f t="shared" si="49"/>
        <v>43346</v>
      </c>
      <c r="W47" s="754">
        <f t="shared" si="49"/>
        <v>43374</v>
      </c>
      <c r="X47" s="754">
        <f t="shared" si="49"/>
        <v>43402</v>
      </c>
      <c r="Y47" s="754">
        <f t="shared" si="49"/>
        <v>43430</v>
      </c>
      <c r="Z47" s="799">
        <f t="shared" si="49"/>
        <v>43458</v>
      </c>
      <c r="AA47" s="806">
        <f t="shared" si="49"/>
        <v>43487</v>
      </c>
      <c r="AD47" s="7"/>
      <c r="AE47" s="7"/>
      <c r="AF47" s="7"/>
      <c r="AH47" s="7"/>
      <c r="AI47" s="74"/>
      <c r="AP47" s="13">
        <f t="shared" si="10"/>
        <v>3</v>
      </c>
      <c r="AQ47" s="13">
        <f t="shared" si="11"/>
        <v>2</v>
      </c>
      <c r="AR47" s="175">
        <f t="shared" si="12"/>
        <v>43136</v>
      </c>
      <c r="AS47" s="772">
        <f t="shared" si="13"/>
        <v>0.10714285714285714</v>
      </c>
      <c r="AT47" s="789">
        <f t="shared" si="14"/>
        <v>27.189695437492002</v>
      </c>
      <c r="AU47" s="13">
        <f t="shared" si="15"/>
        <v>3</v>
      </c>
      <c r="AV47" s="13">
        <f t="shared" si="16"/>
        <v>2</v>
      </c>
      <c r="AW47" s="175">
        <f t="shared" si="17"/>
        <v>43150</v>
      </c>
      <c r="AX47" s="772">
        <f t="shared" si="18"/>
        <v>0.6071428571428571</v>
      </c>
      <c r="AY47" s="789">
        <f t="shared" si="19"/>
        <v>27.077351974589487</v>
      </c>
      <c r="AZ47" s="763">
        <f t="shared" si="25"/>
        <v>27.133523706040744</v>
      </c>
      <c r="BA47" s="647">
        <f t="shared" si="20"/>
        <v>0.88830705965937062</v>
      </c>
      <c r="BB47" s="642">
        <v>43133</v>
      </c>
      <c r="BC47" s="11">
        <v>43133</v>
      </c>
      <c r="BD47" s="292">
        <f>[2]!FeuilCaduc*(1-Persistant)+Persistant</f>
        <v>1</v>
      </c>
      <c r="BE47" s="293">
        <f>[2]!CroissVégét</f>
        <v>3.7835546392683654E-3</v>
      </c>
      <c r="BF47" s="842">
        <f>1+[2]!Salcycl*Ksac</f>
        <v>1.0000194525004433</v>
      </c>
      <c r="BH47" s="1105">
        <f t="shared" si="21"/>
        <v>1.3696115066660667E-2</v>
      </c>
      <c r="BI47" s="11">
        <v>44229</v>
      </c>
      <c r="BJ47" s="742">
        <v>1.3298757580548024E-3</v>
      </c>
      <c r="BK47" s="742">
        <v>3.7724154524947499E-3</v>
      </c>
      <c r="BL47" s="742">
        <v>8.8904709141509122E-3</v>
      </c>
      <c r="BM47" s="742">
        <v>3.2945634903153886E-2</v>
      </c>
      <c r="BN47" s="742">
        <v>8.6980160115228869E-2</v>
      </c>
      <c r="BO47" s="743">
        <v>0.16098000986536939</v>
      </c>
      <c r="BP47" s="742">
        <v>0.25800065077622208</v>
      </c>
      <c r="BQ47" s="742">
        <v>0.36116433710785811</v>
      </c>
      <c r="BR47" s="742">
        <v>0.49497240655584318</v>
      </c>
      <c r="BS47" s="742">
        <v>0.63469250847316727</v>
      </c>
      <c r="BT47" s="742">
        <v>0.78564743798376224</v>
      </c>
      <c r="BW47" s="1187">
        <f>'2018'!R\Max</f>
        <v>0</v>
      </c>
      <c r="BX47" s="1185">
        <f>'2019'!R\Max</f>
        <v>0.13197960311640142</v>
      </c>
      <c r="BY47" s="1185">
        <f>'2020'!R\Max</f>
        <v>0.84928188639164537</v>
      </c>
      <c r="BZ47" s="1185">
        <f>'2021'!R\Max</f>
        <v>0.88830705965937062</v>
      </c>
      <c r="CA47" s="1185">
        <f>'2022'!R\Max</f>
        <v>0.22737051935291563</v>
      </c>
      <c r="CB47" s="1185">
        <f>'2023'!R\Max</f>
        <v>0.22199617359313745</v>
      </c>
      <c r="CC47" s="1185">
        <f>'2024'!R\Max</f>
        <v>0.21642619988396938</v>
      </c>
      <c r="CD47" s="1185">
        <f>'2025'!R\Max</f>
        <v>0.21046318823792329</v>
      </c>
      <c r="CE47" s="1185">
        <f>'2026'!R\Max</f>
        <v>0.23777334822633331</v>
      </c>
      <c r="CF47" s="1186">
        <f>'2027'!R\Max</f>
        <v>0.23509464989035045</v>
      </c>
    </row>
    <row r="48" spans="1:84" s="6" customFormat="1" ht="11.25" x14ac:dyDescent="0.2">
      <c r="A48" s="11">
        <v>43134</v>
      </c>
      <c r="B48" s="382">
        <f>'2023'!Maxi_hp</f>
        <v>22.38607837569748</v>
      </c>
      <c r="C48" s="85">
        <f>'2023'!An_max</f>
        <v>2020</v>
      </c>
      <c r="D48" s="1132"/>
      <c r="E48" s="709"/>
      <c r="F48" s="13">
        <f t="shared" si="22"/>
        <v>3</v>
      </c>
      <c r="G48" s="13">
        <f t="shared" si="23"/>
        <v>4</v>
      </c>
      <c r="H48" s="175">
        <f t="shared" si="7"/>
        <v>43122</v>
      </c>
      <c r="I48" s="772">
        <f t="shared" si="8"/>
        <v>0.8571428571428571</v>
      </c>
      <c r="J48" s="763">
        <f t="shared" si="26"/>
        <v>27.531229737933195</v>
      </c>
      <c r="L48" s="775" t="s">
        <v>215</v>
      </c>
      <c r="M48" s="800">
        <f t="shared" ref="M48:AA48" si="50">M44</f>
        <v>183.018</v>
      </c>
      <c r="N48" s="760">
        <f t="shared" si="50"/>
        <v>236.786</v>
      </c>
      <c r="O48" s="760">
        <f t="shared" si="50"/>
        <v>335.01600000000002</v>
      </c>
      <c r="P48" s="760">
        <f t="shared" si="50"/>
        <v>461.16399999999999</v>
      </c>
      <c r="Q48" s="760">
        <f t="shared" si="50"/>
        <v>576.97199999999998</v>
      </c>
      <c r="R48" s="760">
        <f t="shared" si="50"/>
        <v>639.01200000000006</v>
      </c>
      <c r="S48" s="760">
        <f t="shared" si="50"/>
        <v>650.38599999999997</v>
      </c>
      <c r="T48" s="760">
        <f t="shared" si="50"/>
        <v>632.80799999999999</v>
      </c>
      <c r="U48" s="760">
        <f t="shared" si="50"/>
        <v>590.41399999999999</v>
      </c>
      <c r="V48" s="760">
        <f t="shared" si="50"/>
        <v>517</v>
      </c>
      <c r="W48" s="760">
        <f t="shared" si="50"/>
        <v>397.05600000000004</v>
      </c>
      <c r="X48" s="760">
        <f t="shared" si="50"/>
        <v>282.28199999999998</v>
      </c>
      <c r="Y48" s="760">
        <f t="shared" si="50"/>
        <v>207.834</v>
      </c>
      <c r="Z48" s="798">
        <f t="shared" si="50"/>
        <v>183.018</v>
      </c>
      <c r="AA48" s="796">
        <f t="shared" si="50"/>
        <v>236.786</v>
      </c>
      <c r="AD48" s="7"/>
      <c r="AE48" s="7"/>
      <c r="AF48" s="7"/>
      <c r="AH48" s="7"/>
      <c r="AI48" s="74"/>
      <c r="AP48" s="13">
        <f t="shared" si="10"/>
        <v>3</v>
      </c>
      <c r="AQ48" s="13">
        <f t="shared" si="11"/>
        <v>2</v>
      </c>
      <c r="AR48" s="175">
        <f t="shared" si="12"/>
        <v>43136</v>
      </c>
      <c r="AS48" s="772">
        <f t="shared" si="13"/>
        <v>7.1428571428571425E-2</v>
      </c>
      <c r="AT48" s="789">
        <f t="shared" si="14"/>
        <v>27.534936956635544</v>
      </c>
      <c r="AU48" s="13">
        <f t="shared" si="15"/>
        <v>3</v>
      </c>
      <c r="AV48" s="13">
        <f t="shared" si="16"/>
        <v>2</v>
      </c>
      <c r="AW48" s="175">
        <f t="shared" si="17"/>
        <v>43150</v>
      </c>
      <c r="AX48" s="772">
        <f t="shared" si="18"/>
        <v>0.5714285714285714</v>
      </c>
      <c r="AY48" s="789">
        <f t="shared" si="19"/>
        <v>27.423556806040658</v>
      </c>
      <c r="AZ48" s="763">
        <f t="shared" si="25"/>
        <v>27.479246881338099</v>
      </c>
      <c r="BA48" s="647">
        <f t="shared" si="20"/>
        <v>0.81311581752025408</v>
      </c>
      <c r="BB48" s="642">
        <v>43134</v>
      </c>
      <c r="BC48" s="11">
        <v>43134</v>
      </c>
      <c r="BD48" s="292">
        <f>[2]!FeuilCaduc*(1-Persistant)+Persistant</f>
        <v>1</v>
      </c>
      <c r="BE48" s="293">
        <f>[2]!CroissVégét</f>
        <v>3.9995273885343324E-3</v>
      </c>
      <c r="BF48" s="842">
        <f>1+[2]!Salcycl*Ksac</f>
        <v>1.0000312210363758</v>
      </c>
      <c r="BH48" s="1105">
        <f t="shared" si="21"/>
        <v>1.3302163408021754E-2</v>
      </c>
      <c r="BI48" s="11">
        <v>44230</v>
      </c>
      <c r="BJ48" s="742">
        <v>1.3877115086157661E-3</v>
      </c>
      <c r="BK48" s="742">
        <v>3.9006884259655625E-3</v>
      </c>
      <c r="BL48" s="742">
        <v>8.779467235775015E-3</v>
      </c>
      <c r="BM48" s="742">
        <v>3.1418304953089851E-2</v>
      </c>
      <c r="BN48" s="742">
        <v>8.4848219730645436E-2</v>
      </c>
      <c r="BO48" s="743">
        <v>0.15785078670850916</v>
      </c>
      <c r="BP48" s="742">
        <v>0.25490335896895505</v>
      </c>
      <c r="BQ48" s="742">
        <v>0.35683094894935158</v>
      </c>
      <c r="BR48" s="742">
        <v>0.48939085578334951</v>
      </c>
      <c r="BS48" s="742">
        <v>0.62799078426467003</v>
      </c>
      <c r="BT48" s="742">
        <v>0.77825990838195236</v>
      </c>
      <c r="BW48" s="1187">
        <f>'2018'!R\Max</f>
        <v>0</v>
      </c>
      <c r="BX48" s="1185">
        <f>'2019'!R\Max</f>
        <v>0.51745090548632711</v>
      </c>
      <c r="BY48" s="1185">
        <f>'2020'!R\Max</f>
        <v>0.81311581752025408</v>
      </c>
      <c r="BZ48" s="1185">
        <f>'2021'!R\Max</f>
        <v>0.70747322289919701</v>
      </c>
      <c r="CA48" s="1185">
        <f>'2022'!R\Max</f>
        <v>0.54671664540407761</v>
      </c>
      <c r="CB48" s="1185">
        <f>'2023'!R\Max</f>
        <v>0.53855818656816812</v>
      </c>
      <c r="CC48" s="1185">
        <f>'2024'!R\Max</f>
        <v>0.53001645206028036</v>
      </c>
      <c r="CD48" s="1185">
        <f>'2025'!R\Max</f>
        <v>0.52074429034372727</v>
      </c>
      <c r="CE48" s="1185">
        <f>'2026'!R\Max</f>
        <v>0.56191015360722163</v>
      </c>
      <c r="CF48" s="1186">
        <f>'2027'!R\Max</f>
        <v>0.55805246466335745</v>
      </c>
    </row>
    <row r="49" spans="1:84" s="6" customFormat="1" ht="11.25" x14ac:dyDescent="0.2">
      <c r="A49" s="11">
        <v>43135</v>
      </c>
      <c r="B49" s="382">
        <f>'2023'!Maxi_hp</f>
        <v>23.379370808970474</v>
      </c>
      <c r="C49" s="85">
        <f>'2023'!An_max</f>
        <v>2019</v>
      </c>
      <c r="D49" s="1132"/>
      <c r="E49" s="709"/>
      <c r="F49" s="13">
        <f t="shared" si="22"/>
        <v>3</v>
      </c>
      <c r="G49" s="13">
        <f t="shared" si="23"/>
        <v>4</v>
      </c>
      <c r="H49" s="175">
        <f t="shared" si="7"/>
        <v>43122</v>
      </c>
      <c r="I49" s="772">
        <f t="shared" si="8"/>
        <v>0.9285714285714286</v>
      </c>
      <c r="J49" s="763">
        <f t="shared" si="26"/>
        <v>27.878490197498884</v>
      </c>
      <c r="L49" s="775" t="s">
        <v>216</v>
      </c>
      <c r="M49" s="802">
        <f t="shared" ref="M49:AA49" si="51">N43</f>
        <v>43122</v>
      </c>
      <c r="N49" s="755">
        <f t="shared" si="51"/>
        <v>43150</v>
      </c>
      <c r="O49" s="755">
        <f t="shared" si="51"/>
        <v>43178</v>
      </c>
      <c r="P49" s="755">
        <f t="shared" si="51"/>
        <v>43206</v>
      </c>
      <c r="Q49" s="755">
        <f t="shared" si="51"/>
        <v>43234</v>
      </c>
      <c r="R49" s="755">
        <f t="shared" si="51"/>
        <v>43262</v>
      </c>
      <c r="S49" s="755">
        <f t="shared" si="51"/>
        <v>43290</v>
      </c>
      <c r="T49" s="755">
        <f t="shared" si="51"/>
        <v>43318</v>
      </c>
      <c r="U49" s="755">
        <f t="shared" si="51"/>
        <v>43346</v>
      </c>
      <c r="V49" s="755">
        <f t="shared" si="51"/>
        <v>43374</v>
      </c>
      <c r="W49" s="755">
        <f t="shared" si="51"/>
        <v>43402</v>
      </c>
      <c r="X49" s="755">
        <f t="shared" si="51"/>
        <v>43430</v>
      </c>
      <c r="Y49" s="755">
        <f t="shared" si="51"/>
        <v>43458</v>
      </c>
      <c r="Z49" s="808">
        <f t="shared" si="51"/>
        <v>43487</v>
      </c>
      <c r="AA49" s="806">
        <f t="shared" si="51"/>
        <v>43515</v>
      </c>
      <c r="AD49" s="7"/>
      <c r="AE49" s="7"/>
      <c r="AF49" s="7"/>
      <c r="AH49" s="7"/>
      <c r="AI49" s="74"/>
      <c r="AP49" s="13">
        <f t="shared" si="10"/>
        <v>3</v>
      </c>
      <c r="AQ49" s="13">
        <f t="shared" si="11"/>
        <v>2</v>
      </c>
      <c r="AR49" s="175">
        <f t="shared" si="12"/>
        <v>43136</v>
      </c>
      <c r="AS49" s="772">
        <f t="shared" si="13"/>
        <v>3.5714285714285712E-2</v>
      </c>
      <c r="AT49" s="789">
        <f t="shared" si="14"/>
        <v>27.881248351479211</v>
      </c>
      <c r="AU49" s="13">
        <f t="shared" si="15"/>
        <v>3</v>
      </c>
      <c r="AV49" s="13">
        <f t="shared" si="16"/>
        <v>2</v>
      </c>
      <c r="AW49" s="175">
        <f t="shared" si="17"/>
        <v>43150</v>
      </c>
      <c r="AX49" s="772">
        <f t="shared" si="18"/>
        <v>0.5357142857142857</v>
      </c>
      <c r="AY49" s="789">
        <f t="shared" si="19"/>
        <v>27.774924785191455</v>
      </c>
      <c r="AZ49" s="763">
        <f t="shared" si="25"/>
        <v>27.828086568335333</v>
      </c>
      <c r="BA49" s="647">
        <f t="shared" si="20"/>
        <v>0.83861682047143116</v>
      </c>
      <c r="BB49" s="642">
        <v>43135</v>
      </c>
      <c r="BC49" s="11">
        <v>43135</v>
      </c>
      <c r="BD49" s="292">
        <f>[2]!FeuilCaduc*(1-Persistant)+Persistant</f>
        <v>1</v>
      </c>
      <c r="BE49" s="293">
        <f>[2]!CroissVégét</f>
        <v>4.2244610672662677E-3</v>
      </c>
      <c r="BF49" s="842">
        <f>1+[2]!Salcycl*Ksac</f>
        <v>1.0000456729827252</v>
      </c>
      <c r="BH49" s="1105">
        <f t="shared" si="21"/>
        <v>1.2961413304333218E-2</v>
      </c>
      <c r="BI49" s="11">
        <v>44231</v>
      </c>
      <c r="BJ49" s="742">
        <v>1.4468239502004256E-3</v>
      </c>
      <c r="BK49" s="742">
        <v>4.0334983268945279E-3</v>
      </c>
      <c r="BL49" s="742">
        <v>8.723552133149964E-3</v>
      </c>
      <c r="BM49" s="742">
        <v>2.9936617895042008E-2</v>
      </c>
      <c r="BN49" s="742">
        <v>8.2564905854926582E-2</v>
      </c>
      <c r="BO49" s="743">
        <v>0.154612610617964</v>
      </c>
      <c r="BP49" s="742">
        <v>0.25152933439923425</v>
      </c>
      <c r="BQ49" s="742">
        <v>0.35248615601752897</v>
      </c>
      <c r="BR49" s="742">
        <v>0.48363221949326135</v>
      </c>
      <c r="BS49" s="742">
        <v>0.62128072989958272</v>
      </c>
      <c r="BT49" s="742">
        <v>0.77084974477349522</v>
      </c>
      <c r="BW49" s="1187">
        <f>'2018'!R\Max</f>
        <v>0</v>
      </c>
      <c r="BX49" s="1185">
        <f>'2019'!R\Max</f>
        <v>0.83861682047143116</v>
      </c>
      <c r="BY49" s="1185">
        <f>'2020'!R\Max</f>
        <v>0.60242247308452046</v>
      </c>
      <c r="BZ49" s="1185">
        <f>'2021'!R\Max</f>
        <v>0.55618041917046768</v>
      </c>
      <c r="CA49" s="1185">
        <f>'2022'!R\Max</f>
        <v>0.44697884611979233</v>
      </c>
      <c r="CB49" s="1185">
        <f>'2023'!R\Max</f>
        <v>0.43898835003349518</v>
      </c>
      <c r="CC49" s="1185">
        <f>'2024'!R\Max</f>
        <v>0.43071971462621861</v>
      </c>
      <c r="CD49" s="1185">
        <f>'2025'!R\Max</f>
        <v>0.4218415892355587</v>
      </c>
      <c r="CE49" s="1185">
        <f>'2026'!R\Max</f>
        <v>0.4618029489626056</v>
      </c>
      <c r="CF49" s="1186">
        <f>'2027'!R\Max</f>
        <v>0.45803733046393025</v>
      </c>
    </row>
    <row r="50" spans="1:84" s="6" customFormat="1" ht="11.25" x14ac:dyDescent="0.2">
      <c r="A50" s="11">
        <v>43136</v>
      </c>
      <c r="B50" s="382">
        <f>'2023'!Maxi_hp</f>
        <v>27.78824906234189</v>
      </c>
      <c r="C50" s="85">
        <f>'2023'!An_max</f>
        <v>2020</v>
      </c>
      <c r="D50" s="1132"/>
      <c r="E50" s="771">
        <f>P$13/10</f>
        <v>28.228199999999998</v>
      </c>
      <c r="F50" s="13">
        <f t="shared" si="22"/>
        <v>5</v>
      </c>
      <c r="G50" s="13">
        <f t="shared" si="23"/>
        <v>4</v>
      </c>
      <c r="H50" s="175">
        <f t="shared" si="7"/>
        <v>43150</v>
      </c>
      <c r="I50" s="772">
        <f t="shared" si="8"/>
        <v>1</v>
      </c>
      <c r="J50" s="763">
        <f t="shared" si="26"/>
        <v>28.228199999779463</v>
      </c>
      <c r="L50" s="775" t="s">
        <v>217</v>
      </c>
      <c r="M50" s="803">
        <f t="shared" ref="M50:AA50" si="52">N44</f>
        <v>236.786</v>
      </c>
      <c r="N50" s="760">
        <f t="shared" si="52"/>
        <v>335.01600000000002</v>
      </c>
      <c r="O50" s="760">
        <f t="shared" si="52"/>
        <v>461.16399999999999</v>
      </c>
      <c r="P50" s="760">
        <f t="shared" si="52"/>
        <v>576.97199999999998</v>
      </c>
      <c r="Q50" s="760">
        <f t="shared" si="52"/>
        <v>639.01200000000006</v>
      </c>
      <c r="R50" s="760">
        <f t="shared" si="52"/>
        <v>650.38599999999997</v>
      </c>
      <c r="S50" s="760">
        <f t="shared" si="52"/>
        <v>632.80799999999999</v>
      </c>
      <c r="T50" s="760">
        <f t="shared" si="52"/>
        <v>590.41399999999999</v>
      </c>
      <c r="U50" s="760">
        <f t="shared" si="52"/>
        <v>517</v>
      </c>
      <c r="V50" s="760">
        <f t="shared" si="52"/>
        <v>397.05600000000004</v>
      </c>
      <c r="W50" s="760">
        <f t="shared" si="52"/>
        <v>282.28199999999998</v>
      </c>
      <c r="X50" s="760">
        <f t="shared" si="52"/>
        <v>207.834</v>
      </c>
      <c r="Y50" s="760">
        <f t="shared" si="52"/>
        <v>183.018</v>
      </c>
      <c r="Z50" s="809">
        <f t="shared" si="52"/>
        <v>236.786</v>
      </c>
      <c r="AA50" s="796">
        <f t="shared" si="52"/>
        <v>335.01600000000002</v>
      </c>
      <c r="AD50" s="7"/>
      <c r="AE50" s="7"/>
      <c r="AF50" s="7"/>
      <c r="AH50" s="7"/>
      <c r="AI50" s="74"/>
      <c r="AP50" s="13">
        <f t="shared" si="10"/>
        <v>3</v>
      </c>
      <c r="AQ50" s="13">
        <f t="shared" si="11"/>
        <v>4</v>
      </c>
      <c r="AR50" s="175">
        <f t="shared" si="12"/>
        <v>43136</v>
      </c>
      <c r="AS50" s="772">
        <f t="shared" si="13"/>
        <v>0</v>
      </c>
      <c r="AT50" s="789">
        <f t="shared" si="14"/>
        <v>28.228200001269578</v>
      </c>
      <c r="AU50" s="13">
        <f t="shared" si="15"/>
        <v>3</v>
      </c>
      <c r="AV50" s="13">
        <f t="shared" si="16"/>
        <v>2</v>
      </c>
      <c r="AW50" s="175">
        <f t="shared" si="17"/>
        <v>43150</v>
      </c>
      <c r="AX50" s="772">
        <f t="shared" si="18"/>
        <v>0.5</v>
      </c>
      <c r="AY50" s="789">
        <f t="shared" si="19"/>
        <v>28.131215584650636</v>
      </c>
      <c r="AZ50" s="763">
        <f t="shared" si="25"/>
        <v>28.179707792960109</v>
      </c>
      <c r="BA50" s="647">
        <f t="shared" si="20"/>
        <v>0.98441448843918455</v>
      </c>
      <c r="BB50" s="642">
        <v>43136</v>
      </c>
      <c r="BC50" s="11">
        <v>43136</v>
      </c>
      <c r="BD50" s="292">
        <f>[2]!FeuilCaduc*(1-Persistant)+Persistant</f>
        <v>1</v>
      </c>
      <c r="BE50" s="293">
        <f>[2]!CroissVégét</f>
        <v>4.4587231488279668E-3</v>
      </c>
      <c r="BF50" s="842">
        <f>1+[2]!Salcycl*Ksac</f>
        <v>1.0000626583764611</v>
      </c>
      <c r="BH50" s="1105">
        <f t="shared" si="21"/>
        <v>1.2673878893006219E-2</v>
      </c>
      <c r="BI50" s="11">
        <v>44232</v>
      </c>
      <c r="BJ50" s="742">
        <v>1.5072132140073412E-3</v>
      </c>
      <c r="BK50" s="742">
        <v>4.1708461048248309E-3</v>
      </c>
      <c r="BL50" s="742">
        <v>8.7227272173808559E-3</v>
      </c>
      <c r="BM50" s="742">
        <v>2.8500638041875481E-2</v>
      </c>
      <c r="BN50" s="742">
        <v>8.0130405771749E-2</v>
      </c>
      <c r="BO50" s="743">
        <v>0.15126577361345903</v>
      </c>
      <c r="BP50" s="742">
        <v>0.24787902558464037</v>
      </c>
      <c r="BQ50" s="742">
        <v>0.34813050503758719</v>
      </c>
      <c r="BR50" s="742">
        <v>0.47769727405117918</v>
      </c>
      <c r="BS50" s="742">
        <v>0.61456328386207737</v>
      </c>
      <c r="BT50" s="742">
        <v>0.76341809184812615</v>
      </c>
      <c r="BW50" s="1187">
        <f>'2018'!R\Max</f>
        <v>0</v>
      </c>
      <c r="BX50" s="1185">
        <f>'2019'!R\Max</f>
        <v>0.16000146189712783</v>
      </c>
      <c r="BY50" s="1185">
        <f>'2020'!R\Max</f>
        <v>0.98441448843918455</v>
      </c>
      <c r="BZ50" s="1185">
        <f>'2021'!R\Max</f>
        <v>0.35674293743847629</v>
      </c>
      <c r="CA50" s="1185">
        <f>'2022'!R\Max</f>
        <v>0.38067090848670049</v>
      </c>
      <c r="CB50" s="1185">
        <f>'2023'!R\Max</f>
        <v>0.3731915629177297</v>
      </c>
      <c r="CC50" s="1185">
        <f>'2024'!R\Max</f>
        <v>0.36550391953627398</v>
      </c>
      <c r="CD50" s="1185">
        <f>'2025'!R\Max</f>
        <v>0.35730900533636628</v>
      </c>
      <c r="CE50" s="1185">
        <f>'2026'!R\Max</f>
        <v>0.39445039316750002</v>
      </c>
      <c r="CF50" s="1186">
        <f>'2027'!R\Max</f>
        <v>0.39096293986513903</v>
      </c>
    </row>
    <row r="51" spans="1:84" s="6" customFormat="1" ht="11.25" x14ac:dyDescent="0.2">
      <c r="A51" s="11">
        <v>43137</v>
      </c>
      <c r="B51" s="382">
        <f>'2023'!Maxi_hp</f>
        <v>28.842415345268009</v>
      </c>
      <c r="C51" s="85">
        <f>'2023'!An_max</f>
        <v>2020</v>
      </c>
      <c r="D51" s="1132"/>
      <c r="E51" s="709"/>
      <c r="F51" s="13">
        <f t="shared" si="22"/>
        <v>5</v>
      </c>
      <c r="G51" s="13">
        <f t="shared" si="23"/>
        <v>4</v>
      </c>
      <c r="H51" s="175">
        <f t="shared" si="7"/>
        <v>43150</v>
      </c>
      <c r="I51" s="772">
        <f t="shared" si="8"/>
        <v>0.9285714285714286</v>
      </c>
      <c r="J51" s="763">
        <f t="shared" si="26"/>
        <v>28.580622922363027</v>
      </c>
      <c r="L51" s="776" t="s">
        <v>218</v>
      </c>
      <c r="M51" s="757">
        <f t="shared" ref="M51:AA51" si="53">x.1ld*x.1ld-x.2ld*x.2ld</f>
        <v>-2412424</v>
      </c>
      <c r="N51" s="757">
        <f t="shared" si="53"/>
        <v>-2500235</v>
      </c>
      <c r="O51" s="757">
        <f t="shared" si="53"/>
        <v>-2415616</v>
      </c>
      <c r="P51" s="757">
        <f t="shared" si="53"/>
        <v>-2417184</v>
      </c>
      <c r="Q51" s="757">
        <f t="shared" si="53"/>
        <v>-2418752</v>
      </c>
      <c r="R51" s="757">
        <f t="shared" si="53"/>
        <v>-2420320</v>
      </c>
      <c r="S51" s="757">
        <f t="shared" si="53"/>
        <v>-2421888</v>
      </c>
      <c r="T51" s="757">
        <f t="shared" si="53"/>
        <v>-2423456</v>
      </c>
      <c r="U51" s="757">
        <f t="shared" si="53"/>
        <v>-2425024</v>
      </c>
      <c r="V51" s="757">
        <f t="shared" si="53"/>
        <v>-2426592</v>
      </c>
      <c r="W51" s="757">
        <f t="shared" si="53"/>
        <v>-2428160</v>
      </c>
      <c r="X51" s="757">
        <f t="shared" si="53"/>
        <v>-2429728</v>
      </c>
      <c r="Y51" s="757">
        <f t="shared" si="53"/>
        <v>-2431296</v>
      </c>
      <c r="Z51" s="757">
        <f t="shared" si="53"/>
        <v>-2432864</v>
      </c>
      <c r="AA51" s="757">
        <f t="shared" si="53"/>
        <v>-2521405</v>
      </c>
      <c r="AC51" s="7"/>
      <c r="AD51" s="7"/>
      <c r="AE51" s="7"/>
      <c r="AF51" s="7"/>
      <c r="AH51" s="7"/>
      <c r="AI51" s="74"/>
      <c r="AP51" s="13">
        <f t="shared" si="10"/>
        <v>3</v>
      </c>
      <c r="AQ51" s="13">
        <f t="shared" si="11"/>
        <v>4</v>
      </c>
      <c r="AR51" s="175">
        <f t="shared" si="12"/>
        <v>43136</v>
      </c>
      <c r="AS51" s="772">
        <f t="shared" si="13"/>
        <v>3.5714285714285712E-2</v>
      </c>
      <c r="AT51" s="789">
        <f t="shared" si="14"/>
        <v>28.578583373461989</v>
      </c>
      <c r="AU51" s="13">
        <f t="shared" si="15"/>
        <v>3</v>
      </c>
      <c r="AV51" s="13">
        <f t="shared" si="16"/>
        <v>2</v>
      </c>
      <c r="AW51" s="175">
        <f t="shared" si="17"/>
        <v>43150</v>
      </c>
      <c r="AX51" s="772">
        <f t="shared" si="18"/>
        <v>0.4642857142857143</v>
      </c>
      <c r="AY51" s="789">
        <f t="shared" si="19"/>
        <v>28.492188878410627</v>
      </c>
      <c r="AZ51" s="763">
        <f t="shared" si="25"/>
        <v>28.535386125936306</v>
      </c>
      <c r="BA51" s="647">
        <f t="shared" si="20"/>
        <v>1.0091597871612568</v>
      </c>
      <c r="BB51" s="642">
        <v>43137</v>
      </c>
      <c r="BC51" s="11">
        <v>43137</v>
      </c>
      <c r="BD51" s="292">
        <f>[2]!FeuilCaduc*(1-Persistant)+Persistant</f>
        <v>1</v>
      </c>
      <c r="BE51" s="293">
        <f>[2]!CroissVégét</f>
        <v>4.7026958080162657E-3</v>
      </c>
      <c r="BF51" s="842">
        <f>1+[2]!Salcycl*Ksac</f>
        <v>1.0000820098778427</v>
      </c>
      <c r="BH51" s="1105">
        <f t="shared" si="21"/>
        <v>1.2439570441116248E-2</v>
      </c>
      <c r="BI51" s="11">
        <v>44233</v>
      </c>
      <c r="BJ51" s="742">
        <v>1.5688796745628379E-3</v>
      </c>
      <c r="BK51" s="742">
        <v>4.3127331880000123E-3</v>
      </c>
      <c r="BL51" s="742">
        <v>8.7769915756879882E-3</v>
      </c>
      <c r="BM51" s="742">
        <v>2.7110420442767305E-2</v>
      </c>
      <c r="BN51" s="742">
        <v>7.7544901521027623E-2</v>
      </c>
      <c r="BO51" s="743">
        <v>0.14781055597011636</v>
      </c>
      <c r="BP51" s="742">
        <v>0.243952875452813</v>
      </c>
      <c r="BQ51" s="742">
        <v>0.3437645214825979</v>
      </c>
      <c r="BR51" s="742">
        <v>0.47158677425324469</v>
      </c>
      <c r="BS51" s="742">
        <v>0.60783935143503109</v>
      </c>
      <c r="BT51" s="742">
        <v>0.75596605817580143</v>
      </c>
      <c r="BW51" s="1187">
        <f>'2018'!R\Max</f>
        <v>0</v>
      </c>
      <c r="BX51" s="1185">
        <f>'2019'!R\Max</f>
        <v>0.4389542001769306</v>
      </c>
      <c r="BY51" s="1185">
        <f>'2020'!R\Max</f>
        <v>1.0091597871612568</v>
      </c>
      <c r="BZ51" s="1185">
        <f>'2021'!R\Max</f>
        <v>0.29281861548417459</v>
      </c>
      <c r="CA51" s="1185">
        <f>'2022'!R\Max</f>
        <v>0.7122451744016931</v>
      </c>
      <c r="CB51" s="1185">
        <f>'2023'!R\Max</f>
        <v>0.70579471228692481</v>
      </c>
      <c r="CC51" s="1185">
        <f>'2024'!R\Max</f>
        <v>0.69902170301084798</v>
      </c>
      <c r="CD51" s="1185">
        <f>'2025'!R\Max</f>
        <v>0.69164969724323844</v>
      </c>
      <c r="CE51" s="1185">
        <f>'2026'!R\Max</f>
        <v>0.72364192653429638</v>
      </c>
      <c r="CF51" s="1186">
        <f>'2027'!R\Max</f>
        <v>0.72082382741134809</v>
      </c>
    </row>
    <row r="52" spans="1:84" s="6" customFormat="1" ht="11.25" x14ac:dyDescent="0.2">
      <c r="A52" s="11">
        <v>43138</v>
      </c>
      <c r="B52" s="382">
        <f>'2023'!Maxi_hp</f>
        <v>20.460774580395299</v>
      </c>
      <c r="C52" s="85">
        <f>'2023'!An_max</f>
        <v>2021</v>
      </c>
      <c r="D52" s="1132"/>
      <c r="E52" s="709"/>
      <c r="F52" s="13">
        <f t="shared" si="22"/>
        <v>5</v>
      </c>
      <c r="G52" s="13">
        <f t="shared" si="23"/>
        <v>4</v>
      </c>
      <c r="H52" s="175">
        <f t="shared" si="7"/>
        <v>43150</v>
      </c>
      <c r="I52" s="772">
        <f t="shared" si="8"/>
        <v>0.8571428571428571</v>
      </c>
      <c r="J52" s="763">
        <f t="shared" si="26"/>
        <v>28.936324198331153</v>
      </c>
      <c r="L52" s="776" t="s">
        <v>219</v>
      </c>
      <c r="M52" s="757">
        <f t="shared" ref="M52:AA52" si="54">x.2ld*x.2ld-x.3ld*x.3ld</f>
        <v>-2500235</v>
      </c>
      <c r="N52" s="757">
        <f t="shared" si="54"/>
        <v>-2415616</v>
      </c>
      <c r="O52" s="757">
        <f t="shared" si="54"/>
        <v>-2417184</v>
      </c>
      <c r="P52" s="757">
        <f t="shared" si="54"/>
        <v>-2418752</v>
      </c>
      <c r="Q52" s="757">
        <f t="shared" si="54"/>
        <v>-2420320</v>
      </c>
      <c r="R52" s="757">
        <f t="shared" si="54"/>
        <v>-2421888</v>
      </c>
      <c r="S52" s="757">
        <f t="shared" si="54"/>
        <v>-2423456</v>
      </c>
      <c r="T52" s="757">
        <f t="shared" si="54"/>
        <v>-2425024</v>
      </c>
      <c r="U52" s="757">
        <f t="shared" si="54"/>
        <v>-2426592</v>
      </c>
      <c r="V52" s="757">
        <f t="shared" si="54"/>
        <v>-2428160</v>
      </c>
      <c r="W52" s="757">
        <f t="shared" si="54"/>
        <v>-2429728</v>
      </c>
      <c r="X52" s="757">
        <f t="shared" si="54"/>
        <v>-2431296</v>
      </c>
      <c r="Y52" s="757">
        <f t="shared" si="54"/>
        <v>-2432864</v>
      </c>
      <c r="Z52" s="757">
        <f t="shared" si="54"/>
        <v>-2521405</v>
      </c>
      <c r="AA52" s="757">
        <f t="shared" si="54"/>
        <v>-2436056</v>
      </c>
      <c r="AC52" s="7"/>
      <c r="AD52" s="7"/>
      <c r="AE52" s="7"/>
      <c r="AF52" s="7"/>
      <c r="AH52" s="7"/>
      <c r="AI52" s="74"/>
      <c r="AP52" s="13">
        <f t="shared" si="10"/>
        <v>3</v>
      </c>
      <c r="AQ52" s="13">
        <f t="shared" si="11"/>
        <v>4</v>
      </c>
      <c r="AR52" s="175">
        <f t="shared" si="12"/>
        <v>43136</v>
      </c>
      <c r="AS52" s="772">
        <f t="shared" si="13"/>
        <v>7.1428571428571425E-2</v>
      </c>
      <c r="AT52" s="789">
        <f t="shared" si="14"/>
        <v>28.935306779241991</v>
      </c>
      <c r="AU52" s="13">
        <f t="shared" si="15"/>
        <v>3</v>
      </c>
      <c r="AV52" s="13">
        <f t="shared" si="16"/>
        <v>2</v>
      </c>
      <c r="AW52" s="175">
        <f t="shared" si="17"/>
        <v>43150</v>
      </c>
      <c r="AX52" s="772">
        <f t="shared" si="18"/>
        <v>0.42857142857142855</v>
      </c>
      <c r="AY52" s="789">
        <f t="shared" si="19"/>
        <v>28.857604339293072</v>
      </c>
      <c r="AZ52" s="763">
        <f t="shared" si="25"/>
        <v>28.89645555926753</v>
      </c>
      <c r="BA52" s="647">
        <f t="shared" si="20"/>
        <v>0.70709653514233628</v>
      </c>
      <c r="BB52" s="642">
        <v>43138</v>
      </c>
      <c r="BC52" s="11">
        <v>43138</v>
      </c>
      <c r="BD52" s="292">
        <f>[2]!FeuilCaduc*(1-Persistant)+Persistant</f>
        <v>1</v>
      </c>
      <c r="BE52" s="293">
        <f>[2]!CroissVégét</f>
        <v>4.9567764778191995E-3</v>
      </c>
      <c r="BF52" s="842">
        <f>1+[2]!Salcycl*Ksac</f>
        <v>1.000103544600327</v>
      </c>
      <c r="BH52" s="1105">
        <f t="shared" si="21"/>
        <v>1.2275900573286088E-2</v>
      </c>
      <c r="BI52" s="11">
        <v>44234</v>
      </c>
      <c r="BJ52" s="742">
        <v>1.6358361823495052E-3</v>
      </c>
      <c r="BK52" s="742">
        <v>4.4625169415777521E-3</v>
      </c>
      <c r="BL52" s="742">
        <v>8.8903334258442698E-3</v>
      </c>
      <c r="BM52" s="742">
        <v>2.5837150614745282E-2</v>
      </c>
      <c r="BN52" s="742">
        <v>7.4841416497779867E-2</v>
      </c>
      <c r="BO52" s="743">
        <v>0.14426481562199753</v>
      </c>
      <c r="BP52" s="742">
        <v>0.23978254974614979</v>
      </c>
      <c r="BQ52" s="742">
        <v>0.33936576180358052</v>
      </c>
      <c r="BR52" s="742">
        <v>0.46530578185406307</v>
      </c>
      <c r="BS52" s="742">
        <v>0.60096536919787791</v>
      </c>
      <c r="BT52" s="742">
        <v>0.74829414974435204</v>
      </c>
      <c r="BW52" s="1187">
        <f>'2018'!R\Max</f>
        <v>0</v>
      </c>
      <c r="BX52" s="1185">
        <f>'2019'!R\Max</f>
        <v>0.2204807264650028</v>
      </c>
      <c r="BY52" s="1185">
        <f>'2020'!R\Max</f>
        <v>0.67830079879898841</v>
      </c>
      <c r="BZ52" s="1185">
        <f>'2021'!R\Max</f>
        <v>0.70709653514233628</v>
      </c>
      <c r="CA52" s="1185">
        <f>'2022'!R\Max</f>
        <v>0.48055005566016801</v>
      </c>
      <c r="CB52" s="1185">
        <f>'2023'!R\Max</f>
        <v>0.47290500838685012</v>
      </c>
      <c r="CC52" s="1185">
        <f>'2024'!R\Max</f>
        <v>0.46497826500596418</v>
      </c>
      <c r="CD52" s="1185">
        <f>'2025'!R\Max</f>
        <v>0.45649134920173751</v>
      </c>
      <c r="CE52" s="1185">
        <f>'2026'!R\Max</f>
        <v>0.49415598078777906</v>
      </c>
      <c r="CF52" s="1186">
        <f>'2027'!R\Max</f>
        <v>0.49079959931908229</v>
      </c>
    </row>
    <row r="53" spans="1:84" s="6" customFormat="1" ht="11.25" x14ac:dyDescent="0.2">
      <c r="A53" s="11">
        <v>43139</v>
      </c>
      <c r="B53" s="382">
        <f>'2023'!Maxi_hp</f>
        <v>29.763398061400451</v>
      </c>
      <c r="C53" s="85">
        <f>'2023'!An_max</f>
        <v>2023</v>
      </c>
      <c r="D53" s="1132"/>
      <c r="E53" s="709"/>
      <c r="F53" s="13">
        <f t="shared" si="22"/>
        <v>5</v>
      </c>
      <c r="G53" s="13">
        <f t="shared" si="23"/>
        <v>4</v>
      </c>
      <c r="H53" s="175">
        <f t="shared" si="7"/>
        <v>43150</v>
      </c>
      <c r="I53" s="772">
        <f t="shared" si="8"/>
        <v>0.7857142857142857</v>
      </c>
      <c r="J53" s="763">
        <f t="shared" si="26"/>
        <v>29.295416872735537</v>
      </c>
      <c r="L53" s="776" t="s">
        <v>220</v>
      </c>
      <c r="M53" s="757">
        <f t="shared" ref="M53:AA53" si="55">(y.1ld-y.2ld-b.ld*(x.1ld-x.2ld))/D2x12Ld</f>
        <v>4.8076397891277198E-2</v>
      </c>
      <c r="N53" s="757">
        <f t="shared" si="55"/>
        <v>2.9020093336786793E-2</v>
      </c>
      <c r="O53" s="757">
        <f t="shared" si="55"/>
        <v>1.7804846938773437E-2</v>
      </c>
      <c r="P53" s="757">
        <f t="shared" si="55"/>
        <v>-6.5943877551029907E-3</v>
      </c>
      <c r="Q53" s="757">
        <f t="shared" si="55"/>
        <v>-3.4290816326531977E-2</v>
      </c>
      <c r="R53" s="757">
        <f t="shared" si="55"/>
        <v>-3.2312500000002756E-2</v>
      </c>
      <c r="S53" s="757">
        <f t="shared" si="55"/>
        <v>-1.846428571428331E-2</v>
      </c>
      <c r="T53" s="757">
        <f t="shared" si="55"/>
        <v>-1.5826530612247577E-2</v>
      </c>
      <c r="U53" s="757">
        <f t="shared" si="55"/>
        <v>-1.9783163265308101E-2</v>
      </c>
      <c r="V53" s="757">
        <f t="shared" si="55"/>
        <v>-2.9674744897956965E-2</v>
      </c>
      <c r="W53" s="757">
        <f t="shared" si="55"/>
        <v>3.2971938775508565E-3</v>
      </c>
      <c r="X53" s="757">
        <f t="shared" si="55"/>
        <v>2.5718112244896407E-2</v>
      </c>
      <c r="Y53" s="757">
        <f t="shared" si="55"/>
        <v>3.1653061224487189E-2</v>
      </c>
      <c r="Z53" s="757">
        <f t="shared" si="55"/>
        <v>4.8076397891273707E-2</v>
      </c>
      <c r="AA53" s="757">
        <f t="shared" si="55"/>
        <v>2.9020093336793572E-2</v>
      </c>
      <c r="AC53" s="7"/>
      <c r="AD53" s="7"/>
      <c r="AE53" s="7"/>
      <c r="AF53" s="7"/>
      <c r="AH53" s="7"/>
      <c r="AI53" s="74"/>
      <c r="AP53" s="13">
        <f t="shared" si="10"/>
        <v>3</v>
      </c>
      <c r="AQ53" s="13">
        <f t="shared" si="11"/>
        <v>4</v>
      </c>
      <c r="AR53" s="175">
        <f t="shared" si="12"/>
        <v>43136</v>
      </c>
      <c r="AS53" s="772">
        <f t="shared" si="13"/>
        <v>0.10714285714285714</v>
      </c>
      <c r="AT53" s="789">
        <f t="shared" si="14"/>
        <v>29.298115862200838</v>
      </c>
      <c r="AU53" s="13">
        <f t="shared" si="15"/>
        <v>3</v>
      </c>
      <c r="AV53" s="13">
        <f t="shared" si="16"/>
        <v>2</v>
      </c>
      <c r="AW53" s="175">
        <f t="shared" si="17"/>
        <v>43150</v>
      </c>
      <c r="AX53" s="772">
        <f t="shared" si="18"/>
        <v>0.39285714285714285</v>
      </c>
      <c r="AY53" s="789">
        <f t="shared" si="19"/>
        <v>29.227221640532036</v>
      </c>
      <c r="AZ53" s="763">
        <f t="shared" si="25"/>
        <v>29.262668751366437</v>
      </c>
      <c r="BA53" s="647">
        <f t="shared" si="20"/>
        <v>1.0159745529718149</v>
      </c>
      <c r="BB53" s="642">
        <v>43139</v>
      </c>
      <c r="BC53" s="11">
        <v>43139</v>
      </c>
      <c r="BD53" s="292">
        <f>[2]!FeuilCaduc*(1-Persistant)+Persistant</f>
        <v>1</v>
      </c>
      <c r="BE53" s="293">
        <f>[2]!CroissVégét</f>
        <v>5.2213784245517241E-3</v>
      </c>
      <c r="BF53" s="842">
        <f>1+[2]!Salcycl*Ksac</f>
        <v>1.0001270662099435</v>
      </c>
      <c r="BH53" s="1105">
        <f t="shared" si="21"/>
        <v>1.2164377186394765E-2</v>
      </c>
      <c r="BI53" s="11">
        <v>44235</v>
      </c>
      <c r="BJ53" s="742">
        <v>1.7079824863742859E-3</v>
      </c>
      <c r="BK53" s="742">
        <v>4.6177264372501189E-3</v>
      </c>
      <c r="BL53" s="742">
        <v>9.0337227095960201E-3</v>
      </c>
      <c r="BM53" s="742">
        <v>2.4704547357103507E-2</v>
      </c>
      <c r="BN53" s="742">
        <v>7.208379970631737E-2</v>
      </c>
      <c r="BO53" s="743">
        <v>0.14069566329345792</v>
      </c>
      <c r="BP53" s="742">
        <v>0.23549132764373984</v>
      </c>
      <c r="BQ53" s="742">
        <v>0.33492421386913046</v>
      </c>
      <c r="BR53" s="742">
        <v>0.45890270030146207</v>
      </c>
      <c r="BS53" s="742">
        <v>0.593874822744211</v>
      </c>
      <c r="BT53" s="742">
        <v>0.7403824215842576</v>
      </c>
      <c r="BW53" s="1187">
        <f>'2018'!R\Max</f>
        <v>0</v>
      </c>
      <c r="BX53" s="1185">
        <f>'2019'!R\Max</f>
        <v>0.85147782451243059</v>
      </c>
      <c r="BY53" s="1185">
        <f>'2020'!R\Max</f>
        <v>0.85553316684884673</v>
      </c>
      <c r="BZ53" s="1185">
        <f>'2021'!R\Max</f>
        <v>0.15029672900569999</v>
      </c>
      <c r="CA53" s="1185">
        <f>'2022'!R\Max</f>
        <v>1.0159745529718147</v>
      </c>
      <c r="CB53" s="1185">
        <f>'2023'!R\Max</f>
        <v>1.0159745529718149</v>
      </c>
      <c r="CC53" s="1185">
        <f>'2024'!R\Max</f>
        <v>1.0159745529718152</v>
      </c>
      <c r="CD53" s="1185">
        <f>'2025'!R\Max</f>
        <v>1.0159745529718149</v>
      </c>
      <c r="CE53" s="1185">
        <f>'2026'!R\Max</f>
        <v>1.0159745529718152</v>
      </c>
      <c r="CF53" s="1186">
        <f>'2027'!R\Max</f>
        <v>1.0159745529718149</v>
      </c>
    </row>
    <row r="54" spans="1:84" s="6" customFormat="1" ht="11.25" x14ac:dyDescent="0.2">
      <c r="A54" s="11">
        <v>43140</v>
      </c>
      <c r="B54" s="382">
        <f>'2023'!Maxi_hp</f>
        <v>29.765187841712834</v>
      </c>
      <c r="C54" s="85">
        <f>'2023'!An_max</f>
        <v>2023</v>
      </c>
      <c r="D54" s="1132"/>
      <c r="E54" s="709"/>
      <c r="F54" s="13">
        <f t="shared" si="22"/>
        <v>5</v>
      </c>
      <c r="G54" s="13">
        <f t="shared" si="23"/>
        <v>4</v>
      </c>
      <c r="H54" s="175">
        <f t="shared" si="7"/>
        <v>43150</v>
      </c>
      <c r="I54" s="772">
        <f t="shared" si="8"/>
        <v>0.7142857142857143</v>
      </c>
      <c r="J54" s="763">
        <f t="shared" si="26"/>
        <v>29.658013993927408</v>
      </c>
      <c r="L54" s="776" t="s">
        <v>221</v>
      </c>
      <c r="M54" s="757">
        <f t="shared" ref="M54:AA54" si="56">(y.2ld-y.3ld-(y.1ld-y.2ld)*D2x23Ld/D2x12Ld)/(x.2ld-x.3ld)/(1-(x.2ld+x.3ld)/(x.1ld+x.2ld))</f>
        <v>-4143.0525752309468</v>
      </c>
      <c r="N54" s="757">
        <f t="shared" si="56"/>
        <v>-2500.1132780655562</v>
      </c>
      <c r="O54" s="757">
        <f t="shared" si="56"/>
        <v>-1532.5515408161477</v>
      </c>
      <c r="P54" s="757">
        <f t="shared" si="56"/>
        <v>573.78559183681671</v>
      </c>
      <c r="Q54" s="757">
        <f t="shared" si="56"/>
        <v>2966.3138775511384</v>
      </c>
      <c r="R54" s="757">
        <f t="shared" si="56"/>
        <v>2795.3082142859525</v>
      </c>
      <c r="S54" s="757">
        <f t="shared" si="56"/>
        <v>1597.4930714283637</v>
      </c>
      <c r="T54" s="757">
        <f t="shared" si="56"/>
        <v>1369.1900918369665</v>
      </c>
      <c r="U54" s="757">
        <f t="shared" si="56"/>
        <v>1711.8661326532326</v>
      </c>
      <c r="V54" s="757">
        <f t="shared" si="56"/>
        <v>2569.1101632651134</v>
      </c>
      <c r="W54" s="757">
        <f t="shared" si="56"/>
        <v>-290.21636734692453</v>
      </c>
      <c r="X54" s="757">
        <f t="shared" si="56"/>
        <v>-2235.8139795917018</v>
      </c>
      <c r="Y54" s="757">
        <f t="shared" si="56"/>
        <v>-2751.1574693875291</v>
      </c>
      <c r="Z54" s="757">
        <f t="shared" si="56"/>
        <v>-4178.1483456912756</v>
      </c>
      <c r="AA54" s="757">
        <f t="shared" si="56"/>
        <v>-2521.2979462020003</v>
      </c>
      <c r="AC54" s="7"/>
      <c r="AD54" s="7"/>
      <c r="AE54" s="7"/>
      <c r="AF54" s="7"/>
      <c r="AH54" s="7"/>
      <c r="AI54" s="74"/>
      <c r="AP54" s="13">
        <f t="shared" si="10"/>
        <v>3</v>
      </c>
      <c r="AQ54" s="13">
        <f t="shared" si="11"/>
        <v>4</v>
      </c>
      <c r="AR54" s="175">
        <f t="shared" si="12"/>
        <v>43136</v>
      </c>
      <c r="AS54" s="772">
        <f t="shared" si="13"/>
        <v>0.14285714285714285</v>
      </c>
      <c r="AT54" s="789">
        <f t="shared" si="14"/>
        <v>29.66675626880356</v>
      </c>
      <c r="AU54" s="13">
        <f t="shared" si="15"/>
        <v>3</v>
      </c>
      <c r="AV54" s="13">
        <f t="shared" si="16"/>
        <v>2</v>
      </c>
      <c r="AW54" s="175">
        <f t="shared" si="17"/>
        <v>43150</v>
      </c>
      <c r="AX54" s="772">
        <f t="shared" si="18"/>
        <v>0.35714285714285715</v>
      </c>
      <c r="AY54" s="789">
        <f t="shared" si="19"/>
        <v>29.600800456346143</v>
      </c>
      <c r="AZ54" s="763">
        <f t="shared" si="25"/>
        <v>29.633778362574851</v>
      </c>
      <c r="BA54" s="647">
        <f t="shared" si="20"/>
        <v>1.0036136555808277</v>
      </c>
      <c r="BB54" s="642">
        <v>43140</v>
      </c>
      <c r="BC54" s="11">
        <v>43140</v>
      </c>
      <c r="BD54" s="292">
        <f>[2]!FeuilCaduc*(1-Persistant)+Persistant</f>
        <v>1</v>
      </c>
      <c r="BE54" s="293">
        <f>[2]!CroissVégét</f>
        <v>5.4969313417339892E-3</v>
      </c>
      <c r="BF54" s="842">
        <f>1+[2]!Salcycl*Ksac</f>
        <v>1.0001523672664208</v>
      </c>
      <c r="BH54" s="1105">
        <f t="shared" si="21"/>
        <v>1.2105003105552438E-2</v>
      </c>
      <c r="BI54" s="11">
        <v>44236</v>
      </c>
      <c r="BJ54" s="742">
        <v>1.785318726233547E-3</v>
      </c>
      <c r="BK54" s="742">
        <v>4.7783646275277245E-3</v>
      </c>
      <c r="BL54" s="742">
        <v>9.2071616808345972E-3</v>
      </c>
      <c r="BM54" s="742">
        <v>2.3712615783029942E-2</v>
      </c>
      <c r="BN54" s="742">
        <v>6.9272180359489635E-2</v>
      </c>
      <c r="BO54" s="743">
        <v>0.13710331344983151</v>
      </c>
      <c r="BP54" s="742">
        <v>0.23107957367465992</v>
      </c>
      <c r="BQ54" s="742">
        <v>0.33044034773156222</v>
      </c>
      <c r="BR54" s="742">
        <v>0.45237819285268194</v>
      </c>
      <c r="BS54" s="742">
        <v>0.58656857449072952</v>
      </c>
      <c r="BT54" s="742">
        <v>0.73223193261642461</v>
      </c>
      <c r="BW54" s="1187">
        <f>'2018'!R\Max</f>
        <v>0</v>
      </c>
      <c r="BX54" s="1185">
        <f>'2019'!R\Max</f>
        <v>0.87335721995157267</v>
      </c>
      <c r="BY54" s="1185">
        <f>'2020'!R\Max</f>
        <v>0.86941450572718681</v>
      </c>
      <c r="BZ54" s="1185">
        <f>'2021'!R\Max</f>
        <v>0.4646777240531727</v>
      </c>
      <c r="CA54" s="1185">
        <f>'2022'!R\Max</f>
        <v>1.0036136555808277</v>
      </c>
      <c r="CB54" s="1185">
        <f>'2023'!R\Max</f>
        <v>1.0036136555808277</v>
      </c>
      <c r="CC54" s="1185">
        <f>'2024'!R\Max</f>
        <v>1.0036136555808277</v>
      </c>
      <c r="CD54" s="1185">
        <f>'2025'!R\Max</f>
        <v>1.0036136555808277</v>
      </c>
      <c r="CE54" s="1185">
        <f>'2026'!R\Max</f>
        <v>1.0036136555808277</v>
      </c>
      <c r="CF54" s="1186">
        <f>'2027'!R\Max</f>
        <v>1.0036136555808277</v>
      </c>
    </row>
    <row r="55" spans="1:84" s="6" customFormat="1" ht="11.25" x14ac:dyDescent="0.2">
      <c r="A55" s="11">
        <v>43141</v>
      </c>
      <c r="B55" s="382">
        <f>'2023'!Maxi_hp</f>
        <v>28.780840754960145</v>
      </c>
      <c r="C55" s="85">
        <f>'2023'!An_max</f>
        <v>2022</v>
      </c>
      <c r="D55" s="1132"/>
      <c r="E55" s="709"/>
      <c r="F55" s="13">
        <f t="shared" si="22"/>
        <v>5</v>
      </c>
      <c r="G55" s="13">
        <f t="shared" si="23"/>
        <v>4</v>
      </c>
      <c r="H55" s="175">
        <f t="shared" si="7"/>
        <v>43150</v>
      </c>
      <c r="I55" s="772">
        <f t="shared" si="8"/>
        <v>0.6428571428571429</v>
      </c>
      <c r="J55" s="763">
        <f t="shared" si="26"/>
        <v>30.024228607650315</v>
      </c>
      <c r="L55" s="776" t="s">
        <v>222</v>
      </c>
      <c r="M55" s="757">
        <f t="shared" ref="M55:AA55" si="57">(y.1ld+y.2ld+y.3ld-a.ld*(x.3ld*x.3ld+x.2ld*x.2ld+x.1ld*x.1ld)-b.ld*(x.3ld+x.2ld+x.1ld))/3</f>
        <v>89258557.098355874</v>
      </c>
      <c r="N55" s="757">
        <f t="shared" si="57"/>
        <v>53847058.22866533</v>
      </c>
      <c r="O55" s="757">
        <f t="shared" si="57"/>
        <v>32978688.877858389</v>
      </c>
      <c r="P55" s="757">
        <f t="shared" si="57"/>
        <v>-12480274.33680789</v>
      </c>
      <c r="Q55" s="757">
        <f t="shared" si="57"/>
        <v>-64149309.76659438</v>
      </c>
      <c r="R55" s="757">
        <f t="shared" si="57"/>
        <v>-60453877.771183722</v>
      </c>
      <c r="S55" s="757">
        <f t="shared" si="57"/>
        <v>-34552325.836281233</v>
      </c>
      <c r="T55" s="757">
        <f t="shared" si="57"/>
        <v>-29612306.480882566</v>
      </c>
      <c r="U55" s="757">
        <f t="shared" si="57"/>
        <v>-37031927.341136366</v>
      </c>
      <c r="V55" s="757">
        <f t="shared" si="57"/>
        <v>-55604974.569623381</v>
      </c>
      <c r="W55" s="757">
        <f t="shared" si="57"/>
        <v>6385218.1515456075</v>
      </c>
      <c r="X55" s="757">
        <f t="shared" si="57"/>
        <v>48593008.357083797</v>
      </c>
      <c r="Y55" s="757">
        <f t="shared" si="57"/>
        <v>59780083.670321621</v>
      </c>
      <c r="Z55" s="757">
        <f t="shared" si="57"/>
        <v>90777176.266417623</v>
      </c>
      <c r="AA55" s="757">
        <f t="shared" si="57"/>
        <v>54763465.777106881</v>
      </c>
      <c r="AB55" s="7"/>
      <c r="AC55" s="7"/>
      <c r="AD55" s="7"/>
      <c r="AE55" s="7"/>
      <c r="AF55" s="7"/>
      <c r="AH55" s="7"/>
      <c r="AI55" s="74"/>
      <c r="AP55" s="13">
        <f t="shared" si="10"/>
        <v>3</v>
      </c>
      <c r="AQ55" s="13">
        <f t="shared" si="11"/>
        <v>4</v>
      </c>
      <c r="AR55" s="175">
        <f t="shared" si="12"/>
        <v>43136</v>
      </c>
      <c r="AS55" s="772">
        <f t="shared" si="13"/>
        <v>0.17857142857142858</v>
      </c>
      <c r="AT55" s="789">
        <f t="shared" si="14"/>
        <v>30.04097364262811</v>
      </c>
      <c r="AU55" s="13">
        <f t="shared" si="15"/>
        <v>3</v>
      </c>
      <c r="AV55" s="13">
        <f t="shared" si="16"/>
        <v>2</v>
      </c>
      <c r="AW55" s="175">
        <f t="shared" si="17"/>
        <v>43150</v>
      </c>
      <c r="AX55" s="772">
        <f t="shared" si="18"/>
        <v>0.32142857142857145</v>
      </c>
      <c r="AY55" s="789">
        <f t="shared" si="19"/>
        <v>29.978100458998235</v>
      </c>
      <c r="AZ55" s="763">
        <f t="shared" si="25"/>
        <v>30.009537050813172</v>
      </c>
      <c r="BA55" s="647">
        <f t="shared" si="20"/>
        <v>0.958587184072621</v>
      </c>
      <c r="BB55" s="642">
        <v>43141</v>
      </c>
      <c r="BC55" s="11">
        <v>43141</v>
      </c>
      <c r="BD55" s="292">
        <f>[2]!FeuilCaduc*(1-Persistant)+Persistant</f>
        <v>1</v>
      </c>
      <c r="BE55" s="293">
        <f>[2]!CroissVégét</f>
        <v>5.7838819630590035E-3</v>
      </c>
      <c r="BF55" s="842">
        <f>1+[2]!Salcycl*Ksac</f>
        <v>1.0001792317764264</v>
      </c>
      <c r="BH55" s="1105">
        <f t="shared" si="21"/>
        <v>1.2097780042983092E-2</v>
      </c>
      <c r="BI55" s="11">
        <v>44237</v>
      </c>
      <c r="BJ55" s="742">
        <v>1.8678453472712776E-3</v>
      </c>
      <c r="BK55" s="742">
        <v>4.944435184669335E-3</v>
      </c>
      <c r="BL55" s="742">
        <v>9.4106529914447078E-3</v>
      </c>
      <c r="BM55" s="742">
        <v>2.2861353840837373E-2</v>
      </c>
      <c r="BN55" s="742">
        <v>6.6406674488546008E-2</v>
      </c>
      <c r="BO55" s="743">
        <v>0.13348796301323809</v>
      </c>
      <c r="BP55" s="742">
        <v>0.22654763229730024</v>
      </c>
      <c r="BQ55" s="742">
        <v>0.32591461182081022</v>
      </c>
      <c r="BR55" s="742">
        <v>0.44573289223266183</v>
      </c>
      <c r="BS55" s="742">
        <v>0.57904745395075718</v>
      </c>
      <c r="BT55" s="742">
        <v>0.72384370505840279</v>
      </c>
      <c r="BW55" s="1187">
        <f>'2018'!R\Max</f>
        <v>0</v>
      </c>
      <c r="BX55" s="1185">
        <f>'2019'!R\Max</f>
        <v>0.28777181530427365</v>
      </c>
      <c r="BY55" s="1185">
        <f>'2020'!R\Max</f>
        <v>0.4806604944780144</v>
      </c>
      <c r="BZ55" s="1185">
        <f>'2021'!R\Max</f>
        <v>0.47316978439746793</v>
      </c>
      <c r="CA55" s="1185">
        <f>'2022'!R\Max</f>
        <v>0.958587184072621</v>
      </c>
      <c r="CB55" s="1185">
        <f>'2023'!R\Max</f>
        <v>0.95743353633497219</v>
      </c>
      <c r="CC55" s="1185">
        <f>'2024'!R\Max</f>
        <v>0.95618623868710317</v>
      </c>
      <c r="CD55" s="1185">
        <f>'2025'!R\Max</f>
        <v>0.95480801884939115</v>
      </c>
      <c r="CE55" s="1185">
        <f>'2026'!R\Max</f>
        <v>0.96048316529542288</v>
      </c>
      <c r="CF55" s="1186">
        <f>'2027'!R\Max</f>
        <v>0.96004794585774345</v>
      </c>
    </row>
    <row r="56" spans="1:84" s="6" customFormat="1" ht="11.25" x14ac:dyDescent="0.2">
      <c r="A56" s="11">
        <v>43142</v>
      </c>
      <c r="B56" s="382">
        <f>'2023'!Maxi_hp</f>
        <v>26.884629340458861</v>
      </c>
      <c r="C56" s="85">
        <f>'2023'!An_max</f>
        <v>2021</v>
      </c>
      <c r="D56" s="1132"/>
      <c r="E56" s="709"/>
      <c r="F56" s="13">
        <f t="shared" si="22"/>
        <v>5</v>
      </c>
      <c r="G56" s="13">
        <f t="shared" si="23"/>
        <v>4</v>
      </c>
      <c r="H56" s="175">
        <f t="shared" si="7"/>
        <v>43150</v>
      </c>
      <c r="I56" s="772">
        <f t="shared" si="8"/>
        <v>0.5714285714285714</v>
      </c>
      <c r="J56" s="763">
        <f t="shared" si="26"/>
        <v>30.394173760073521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P56" s="13">
        <f t="shared" si="10"/>
        <v>3</v>
      </c>
      <c r="AQ56" s="13">
        <f t="shared" si="11"/>
        <v>4</v>
      </c>
      <c r="AR56" s="175">
        <f t="shared" si="12"/>
        <v>43136</v>
      </c>
      <c r="AS56" s="772">
        <f t="shared" si="13"/>
        <v>0.21428571428571427</v>
      </c>
      <c r="AT56" s="789">
        <f t="shared" si="14"/>
        <v>30.420513630791437</v>
      </c>
      <c r="AU56" s="13">
        <f t="shared" si="15"/>
        <v>3</v>
      </c>
      <c r="AV56" s="13">
        <f t="shared" si="16"/>
        <v>2</v>
      </c>
      <c r="AW56" s="175">
        <f t="shared" si="17"/>
        <v>43150</v>
      </c>
      <c r="AX56" s="772">
        <f t="shared" si="18"/>
        <v>0.2857142857142857</v>
      </c>
      <c r="AY56" s="789">
        <f t="shared" si="19"/>
        <v>30.358881322241256</v>
      </c>
      <c r="AZ56" s="763">
        <f t="shared" si="25"/>
        <v>30.389697476516346</v>
      </c>
      <c r="BA56" s="647">
        <f t="shared" si="20"/>
        <v>0.88453233019859623</v>
      </c>
      <c r="BB56" s="642">
        <v>43142</v>
      </c>
      <c r="BC56" s="11">
        <v>43142</v>
      </c>
      <c r="BD56" s="292">
        <f>[2]!FeuilCaduc*(1-Persistant)+Persistant</f>
        <v>1</v>
      </c>
      <c r="BE56" s="293">
        <f>[2]!CroissVégét</f>
        <v>6.0826946947814143E-3</v>
      </c>
      <c r="BF56" s="842">
        <f>1+[2]!Salcycl*Ksac</f>
        <v>1.0002074379277077</v>
      </c>
      <c r="BH56" s="1105">
        <f t="shared" si="21"/>
        <v>1.2142709250536305E-2</v>
      </c>
      <c r="BI56" s="11">
        <v>44238</v>
      </c>
      <c r="BJ56" s="742">
        <v>1.9555631657157909E-3</v>
      </c>
      <c r="BK56" s="742">
        <v>5.115942569084631E-3</v>
      </c>
      <c r="BL56" s="742">
        <v>9.6442000678184734E-3</v>
      </c>
      <c r="BM56" s="742">
        <v>2.2150754072013484E-2</v>
      </c>
      <c r="BN56" s="742">
        <v>6.3487384264034455E-2</v>
      </c>
      <c r="BO56" s="743">
        <v>0.1298497910693773</v>
      </c>
      <c r="BP56" s="742">
        <v>0.22189582639021757</v>
      </c>
      <c r="BQ56" s="742">
        <v>0.32134743241670144</v>
      </c>
      <c r="BR56" s="742">
        <v>0.43896739911665744</v>
      </c>
      <c r="BS56" s="742">
        <v>0.57131225504061012</v>
      </c>
      <c r="BT56" s="742">
        <v>0.71521872144546506</v>
      </c>
      <c r="BW56" s="1187">
        <f>'2018'!R\Max</f>
        <v>0</v>
      </c>
      <c r="BX56" s="1185">
        <f>'2019'!R\Max</f>
        <v>0.68306900254004388</v>
      </c>
      <c r="BY56" s="1185">
        <f>'2020'!R\Max</f>
        <v>0.31896386476916383</v>
      </c>
      <c r="BZ56" s="1185">
        <f>'2021'!R\Max</f>
        <v>0.88453233019859623</v>
      </c>
      <c r="CA56" s="1185">
        <f>'2022'!R\Max</f>
        <v>0.4870957025908485</v>
      </c>
      <c r="CB56" s="1185">
        <f>'2023'!R\Max</f>
        <v>0.48010534724064347</v>
      </c>
      <c r="CC56" s="1185">
        <f>'2024'!R\Max</f>
        <v>0.47270713421171706</v>
      </c>
      <c r="CD56" s="1185">
        <f>'2025'!R\Max</f>
        <v>0.46476636992910014</v>
      </c>
      <c r="CE56" s="1185">
        <f>'2026'!R\Max</f>
        <v>0.4988228808032833</v>
      </c>
      <c r="CF56" s="1186">
        <f>'2027'!R\Max</f>
        <v>0.49615264370066525</v>
      </c>
    </row>
    <row r="57" spans="1:84" s="6" customFormat="1" ht="11.25" x14ac:dyDescent="0.2">
      <c r="A57" s="11">
        <v>43143</v>
      </c>
      <c r="B57" s="382">
        <f>'2023'!Maxi_hp</f>
        <v>30.634138699782948</v>
      </c>
      <c r="C57" s="85">
        <f>'2023'!An_max</f>
        <v>2019</v>
      </c>
      <c r="D57" s="1132"/>
      <c r="E57" s="709"/>
      <c r="F57" s="13">
        <f t="shared" si="22"/>
        <v>5</v>
      </c>
      <c r="G57" s="13">
        <f t="shared" si="23"/>
        <v>4</v>
      </c>
      <c r="H57" s="175">
        <f t="shared" si="7"/>
        <v>43150</v>
      </c>
      <c r="I57" s="772">
        <f t="shared" si="8"/>
        <v>0.5</v>
      </c>
      <c r="J57" s="763">
        <f t="shared" si="26"/>
        <v>30.767962499707938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P57" s="13">
        <f t="shared" si="10"/>
        <v>3</v>
      </c>
      <c r="AQ57" s="13">
        <f t="shared" si="11"/>
        <v>4</v>
      </c>
      <c r="AR57" s="175">
        <f t="shared" si="12"/>
        <v>43136</v>
      </c>
      <c r="AS57" s="772">
        <f t="shared" si="13"/>
        <v>0.25</v>
      </c>
      <c r="AT57" s="789">
        <f t="shared" si="14"/>
        <v>30.805121875740589</v>
      </c>
      <c r="AU57" s="13">
        <f t="shared" si="15"/>
        <v>3</v>
      </c>
      <c r="AV57" s="13">
        <f t="shared" si="16"/>
        <v>2</v>
      </c>
      <c r="AW57" s="175">
        <f t="shared" si="17"/>
        <v>43150</v>
      </c>
      <c r="AX57" s="772">
        <f t="shared" si="18"/>
        <v>0.25</v>
      </c>
      <c r="AY57" s="789">
        <f t="shared" si="19"/>
        <v>30.742902719043194</v>
      </c>
      <c r="AZ57" s="763">
        <f t="shared" si="25"/>
        <v>30.774012297391891</v>
      </c>
      <c r="BA57" s="647">
        <f t="shared" si="20"/>
        <v>0.99565054722338986</v>
      </c>
      <c r="BB57" s="642">
        <v>43143</v>
      </c>
      <c r="BC57" s="11">
        <v>43143</v>
      </c>
      <c r="BD57" s="292">
        <f>[2]!FeuilCaduc*(1-Persistant)+Persistant</f>
        <v>1</v>
      </c>
      <c r="BE57" s="293">
        <f>[2]!CroissVégét</f>
        <v>6.3938522678270975E-3</v>
      </c>
      <c r="BF57" s="842">
        <f>1+[2]!Salcycl*Ksac</f>
        <v>1.0002367609717036</v>
      </c>
      <c r="BH57" s="1105">
        <f t="shared" si="21"/>
        <v>1.2239792172114985E-2</v>
      </c>
      <c r="BI57" s="11">
        <v>44239</v>
      </c>
      <c r="BJ57" s="742">
        <v>2.048473433805314E-3</v>
      </c>
      <c r="BK57" s="742">
        <v>5.2928920977064337E-3</v>
      </c>
      <c r="BL57" s="742">
        <v>9.9078074873087969E-3</v>
      </c>
      <c r="BM57" s="742">
        <v>2.1580805369093254E-2</v>
      </c>
      <c r="BN57" s="742">
        <v>6.0514397316177138E-2</v>
      </c>
      <c r="BO57" s="743">
        <v>0.12618895857331772</v>
      </c>
      <c r="BP57" s="742">
        <v>0.21712445574131914</v>
      </c>
      <c r="BQ57" s="742">
        <v>0.31673921311887127</v>
      </c>
      <c r="BR57" s="742">
        <v>0.43208228060962295</v>
      </c>
      <c r="BS57" s="742">
        <v>0.56336373338178924</v>
      </c>
      <c r="BT57" s="742">
        <v>0.70635792164649114</v>
      </c>
      <c r="BW57" s="1187">
        <f>'2018'!R\Max</f>
        <v>0</v>
      </c>
      <c r="BX57" s="1185">
        <f>'2019'!R\Max</f>
        <v>0.99565054722338986</v>
      </c>
      <c r="BY57" s="1185">
        <f>'2020'!R\Max</f>
        <v>0.64854354932310831</v>
      </c>
      <c r="BZ57" s="1185">
        <f>'2021'!R\Max</f>
        <v>0.15012341724451944</v>
      </c>
      <c r="CA57" s="1185">
        <f>'2022'!R\Max</f>
        <v>0.83624761266578473</v>
      </c>
      <c r="CB57" s="1185">
        <f>'2023'!R\Max</f>
        <v>0.83247643339157751</v>
      </c>
      <c r="CC57" s="1185">
        <f>'2024'!R\Max</f>
        <v>0.82837238262940682</v>
      </c>
      <c r="CD57" s="1185">
        <f>'2025'!R\Max</f>
        <v>0.82386366691807755</v>
      </c>
      <c r="CE57" s="1185">
        <f>'2026'!R\Max</f>
        <v>0.84231434851816489</v>
      </c>
      <c r="CF57" s="1186">
        <f>'2027'!R\Max</f>
        <v>0.84099066586267623</v>
      </c>
    </row>
    <row r="58" spans="1:84" s="6" customFormat="1" ht="11.25" x14ac:dyDescent="0.2">
      <c r="A58" s="11">
        <v>43144</v>
      </c>
      <c r="B58" s="382">
        <f>'2023'!Maxi_hp</f>
        <v>31.578425450237262</v>
      </c>
      <c r="C58" s="85">
        <f>'2023'!An_max</f>
        <v>2019</v>
      </c>
      <c r="D58" s="1132"/>
      <c r="E58" s="709"/>
      <c r="F58" s="13">
        <f t="shared" si="22"/>
        <v>5</v>
      </c>
      <c r="G58" s="13">
        <f t="shared" si="23"/>
        <v>4</v>
      </c>
      <c r="H58" s="175">
        <f t="shared" si="7"/>
        <v>43150</v>
      </c>
      <c r="I58" s="772">
        <f t="shared" si="8"/>
        <v>0.42857142857142855</v>
      </c>
      <c r="J58" s="763">
        <f t="shared" si="26"/>
        <v>31.14570787155202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P58" s="13">
        <f t="shared" si="10"/>
        <v>3</v>
      </c>
      <c r="AQ58" s="13">
        <f t="shared" si="11"/>
        <v>4</v>
      </c>
      <c r="AR58" s="175">
        <f t="shared" si="12"/>
        <v>43136</v>
      </c>
      <c r="AS58" s="772">
        <f t="shared" si="13"/>
        <v>0.2857142857142857</v>
      </c>
      <c r="AT58" s="789">
        <f t="shared" si="14"/>
        <v>31.194544023913998</v>
      </c>
      <c r="AU58" s="13">
        <f t="shared" si="15"/>
        <v>3</v>
      </c>
      <c r="AV58" s="13">
        <f t="shared" si="16"/>
        <v>2</v>
      </c>
      <c r="AW58" s="175">
        <f t="shared" si="17"/>
        <v>43150</v>
      </c>
      <c r="AX58" s="772">
        <f t="shared" si="18"/>
        <v>0.21428571428571427</v>
      </c>
      <c r="AY58" s="789">
        <f t="shared" si="19"/>
        <v>31.129924323516228</v>
      </c>
      <c r="AZ58" s="763">
        <f t="shared" si="25"/>
        <v>31.162234173715113</v>
      </c>
      <c r="BA58" s="647">
        <f t="shared" si="20"/>
        <v>1.0138933293945289</v>
      </c>
      <c r="BB58" s="642">
        <v>43144</v>
      </c>
      <c r="BC58" s="11">
        <v>43144</v>
      </c>
      <c r="BD58" s="292">
        <f>[2]!FeuilCaduc*(1-Persistant)+Persistant</f>
        <v>1</v>
      </c>
      <c r="BE58" s="293">
        <f>[2]!CroissVégét</f>
        <v>6.7178564099054624E-3</v>
      </c>
      <c r="BF58" s="842">
        <f>1+[2]!Salcycl*Ksac</f>
        <v>1.0002669762213519</v>
      </c>
      <c r="BH58" s="1105">
        <f t="shared" si="21"/>
        <v>1.2394253292552712E-2</v>
      </c>
      <c r="BI58" s="11">
        <v>44240</v>
      </c>
      <c r="BJ58" s="742">
        <v>2.1442162859582345E-3</v>
      </c>
      <c r="BK58" s="742">
        <v>5.4752094146638857E-3</v>
      </c>
      <c r="BL58" s="742">
        <v>1.0201941049241988E-2</v>
      </c>
      <c r="BM58" s="742">
        <v>2.1175793638888437E-2</v>
      </c>
      <c r="BN58" s="742">
        <v>5.7642990287089531E-2</v>
      </c>
      <c r="BO58" s="743">
        <v>0.12254061214662461</v>
      </c>
      <c r="BP58" s="742">
        <v>0.21229030791365122</v>
      </c>
      <c r="BQ58" s="742">
        <v>0.31210467075928844</v>
      </c>
      <c r="BR58" s="742">
        <v>0.42523005262176189</v>
      </c>
      <c r="BS58" s="742">
        <v>0.55536804804521189</v>
      </c>
      <c r="BT58" s="742">
        <v>0.69744007025140742</v>
      </c>
      <c r="BW58" s="1187">
        <f>'2018'!R\Max</f>
        <v>0</v>
      </c>
      <c r="BX58" s="1185">
        <f>'2019'!R\Max</f>
        <v>1.0138933293945289</v>
      </c>
      <c r="BY58" s="1185">
        <f>'2020'!R\Max</f>
        <v>0.58798508947741446</v>
      </c>
      <c r="BZ58" s="1185">
        <f>'2021'!R\Max</f>
        <v>0.2844561225074303</v>
      </c>
      <c r="CA58" s="1185">
        <f>'2022'!R\Max</f>
        <v>0.96760924682777427</v>
      </c>
      <c r="CB58" s="1185">
        <f>'2023'!R\Max</f>
        <v>0.96676584279272271</v>
      </c>
      <c r="CC58" s="1185">
        <f>'2024'!R\Max</f>
        <v>0.96583332749664719</v>
      </c>
      <c r="CD58" s="1185">
        <f>'2025'!R\Max</f>
        <v>0.96479849397467821</v>
      </c>
      <c r="CE58" s="1185">
        <f>'2026'!R\Max</f>
        <v>0.96893100804448296</v>
      </c>
      <c r="CF58" s="1186">
        <f>'2027'!R\Max</f>
        <v>0.9686530851572297</v>
      </c>
    </row>
    <row r="59" spans="1:84" s="6" customFormat="1" ht="11.25" x14ac:dyDescent="0.2">
      <c r="A59" s="11">
        <v>43145</v>
      </c>
      <c r="B59" s="382">
        <f>'2023'!Maxi_hp</f>
        <v>31.770566290205203</v>
      </c>
      <c r="C59" s="85">
        <f>'2023'!An_max</f>
        <v>2019</v>
      </c>
      <c r="D59" s="1132"/>
      <c r="E59" s="709"/>
      <c r="F59" s="13">
        <f t="shared" si="22"/>
        <v>5</v>
      </c>
      <c r="G59" s="13">
        <f t="shared" si="23"/>
        <v>4</v>
      </c>
      <c r="H59" s="175">
        <f t="shared" si="7"/>
        <v>43150</v>
      </c>
      <c r="I59" s="772">
        <f t="shared" si="8"/>
        <v>0.35714285714285715</v>
      </c>
      <c r="J59" s="763">
        <f t="shared" si="26"/>
        <v>31.527522922254036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P59" s="13">
        <f t="shared" si="10"/>
        <v>3</v>
      </c>
      <c r="AQ59" s="13">
        <f t="shared" si="11"/>
        <v>4</v>
      </c>
      <c r="AR59" s="175">
        <f t="shared" si="12"/>
        <v>43136</v>
      </c>
      <c r="AS59" s="772">
        <f t="shared" si="13"/>
        <v>0.32142857142857145</v>
      </c>
      <c r="AT59" s="789">
        <f t="shared" si="14"/>
        <v>31.588525720419632</v>
      </c>
      <c r="AU59" s="13">
        <f t="shared" si="15"/>
        <v>3</v>
      </c>
      <c r="AV59" s="13">
        <f t="shared" si="16"/>
        <v>2</v>
      </c>
      <c r="AW59" s="175">
        <f t="shared" si="17"/>
        <v>43150</v>
      </c>
      <c r="AX59" s="772">
        <f t="shared" si="18"/>
        <v>0.17857142857142858</v>
      </c>
      <c r="AY59" s="789">
        <f t="shared" si="19"/>
        <v>31.519705807151535</v>
      </c>
      <c r="AZ59" s="763">
        <f t="shared" si="25"/>
        <v>31.554115763785582</v>
      </c>
      <c r="BA59" s="647">
        <f t="shared" si="20"/>
        <v>1.007708926849423</v>
      </c>
      <c r="BB59" s="642">
        <v>43145</v>
      </c>
      <c r="BC59" s="11">
        <v>43145</v>
      </c>
      <c r="BD59" s="292">
        <f>[2]!FeuilCaduc*(1-Persistant)+Persistant</f>
        <v>1</v>
      </c>
      <c r="BE59" s="293">
        <f>[2]!CroissVégét</f>
        <v>7.0552285378688686E-3</v>
      </c>
      <c r="BF59" s="842">
        <f>1+[2]!Salcycl*Ksac</f>
        <v>1.0002978621303371</v>
      </c>
      <c r="BH59" s="1105">
        <f t="shared" si="21"/>
        <v>1.2571355730429643E-2</v>
      </c>
      <c r="BI59" s="11">
        <v>44241</v>
      </c>
      <c r="BJ59" s="742">
        <v>2.2416003414080397E-3</v>
      </c>
      <c r="BK59" s="742">
        <v>5.6607914988718207E-3</v>
      </c>
      <c r="BL59" s="742">
        <v>1.0500515415300796E-2</v>
      </c>
      <c r="BM59" s="742">
        <v>2.0866327322003744E-2</v>
      </c>
      <c r="BN59" s="742">
        <v>5.4960310365169428E-2</v>
      </c>
      <c r="BO59" s="743">
        <v>0.11894594403038061</v>
      </c>
      <c r="BP59" s="742">
        <v>0.20754553575223453</v>
      </c>
      <c r="BQ59" s="742">
        <v>0.30746355459462771</v>
      </c>
      <c r="BR59" s="742">
        <v>0.41853697173982524</v>
      </c>
      <c r="BS59" s="742">
        <v>0.54739700703273564</v>
      </c>
      <c r="BT59" s="742">
        <v>0.68850391681404288</v>
      </c>
      <c r="BW59" s="1187">
        <f>'2018'!R\Max</f>
        <v>0</v>
      </c>
      <c r="BX59" s="1185">
        <f>'2019'!R\Max</f>
        <v>1.007708926849423</v>
      </c>
      <c r="BY59" s="1185">
        <f>'2020'!R\Max</f>
        <v>0.77492373503267598</v>
      </c>
      <c r="BZ59" s="1185">
        <f>'2021'!R\Max</f>
        <v>0.92222942409420061</v>
      </c>
      <c r="CA59" s="1185">
        <f>'2022'!R\Max</f>
        <v>0.55088994246534873</v>
      </c>
      <c r="CB59" s="1185">
        <f>'2023'!R\Max</f>
        <v>0.54447595522615921</v>
      </c>
      <c r="CC59" s="1185">
        <f>'2024'!R\Max</f>
        <v>0.53749124012306504</v>
      </c>
      <c r="CD59" s="1185">
        <f>'2025'!R\Max</f>
        <v>0.52992017939497038</v>
      </c>
      <c r="CE59" s="1185">
        <f>'2026'!R\Max</f>
        <v>0.56103749963480176</v>
      </c>
      <c r="CF59" s="1186">
        <f>'2027'!R\Max</f>
        <v>0.55894402643118546</v>
      </c>
    </row>
    <row r="60" spans="1:84" s="6" customFormat="1" ht="11.25" x14ac:dyDescent="0.2">
      <c r="A60" s="11">
        <v>43146</v>
      </c>
      <c r="B60" s="382">
        <f>'2023'!Maxi_hp</f>
        <v>31.929826724148288</v>
      </c>
      <c r="C60" s="85">
        <f>'2023'!An_max</f>
        <v>2019</v>
      </c>
      <c r="D60" s="1132"/>
      <c r="E60" s="709"/>
      <c r="F60" s="13">
        <f t="shared" si="22"/>
        <v>5</v>
      </c>
      <c r="G60" s="13">
        <f t="shared" si="23"/>
        <v>4</v>
      </c>
      <c r="H60" s="175">
        <f t="shared" si="7"/>
        <v>43150</v>
      </c>
      <c r="I60" s="772">
        <f t="shared" si="8"/>
        <v>0.2857142857142857</v>
      </c>
      <c r="J60" s="763">
        <f t="shared" si="26"/>
        <v>31.913520700378079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P60" s="13">
        <f t="shared" si="10"/>
        <v>3</v>
      </c>
      <c r="AQ60" s="13">
        <f t="shared" si="11"/>
        <v>4</v>
      </c>
      <c r="AR60" s="175">
        <f t="shared" si="12"/>
        <v>43136</v>
      </c>
      <c r="AS60" s="772">
        <f t="shared" si="13"/>
        <v>0.35714285714285715</v>
      </c>
      <c r="AT60" s="789">
        <f t="shared" si="14"/>
        <v>31.986812609460735</v>
      </c>
      <c r="AU60" s="13">
        <f t="shared" si="15"/>
        <v>3</v>
      </c>
      <c r="AV60" s="13">
        <f t="shared" si="16"/>
        <v>2</v>
      </c>
      <c r="AW60" s="175">
        <f t="shared" si="17"/>
        <v>43150</v>
      </c>
      <c r="AX60" s="772">
        <f t="shared" si="18"/>
        <v>0.14285714285714285</v>
      </c>
      <c r="AY60" s="789">
        <f t="shared" si="19"/>
        <v>31.912006845431669</v>
      </c>
      <c r="AZ60" s="763">
        <f t="shared" si="25"/>
        <v>31.949409727446202</v>
      </c>
      <c r="BA60" s="647">
        <f t="shared" si="20"/>
        <v>1.0005109440579527</v>
      </c>
      <c r="BB60" s="642">
        <v>43146</v>
      </c>
      <c r="BC60" s="11">
        <v>43146</v>
      </c>
      <c r="BD60" s="292">
        <f>[2]!FeuilCaduc*(1-Persistant)+Persistant</f>
        <v>1</v>
      </c>
      <c r="BE60" s="293">
        <f>[2]!CroissVégét</f>
        <v>7.4065104705297478E-3</v>
      </c>
      <c r="BF60" s="842">
        <f>1+[2]!Salcycl*Ksac</f>
        <v>1.0003292034199023</v>
      </c>
      <c r="BH60" s="1105">
        <f t="shared" si="21"/>
        <v>1.2771112167370927E-2</v>
      </c>
      <c r="BI60" s="11">
        <v>44242</v>
      </c>
      <c r="BJ60" s="742">
        <v>2.3406293163598197E-3</v>
      </c>
      <c r="BK60" s="742">
        <v>5.8496471403911834E-3</v>
      </c>
      <c r="BL60" s="742">
        <v>1.0803546668820614E-2</v>
      </c>
      <c r="BM60" s="742">
        <v>2.0652405474151415E-2</v>
      </c>
      <c r="BN60" s="742">
        <v>5.2466345243616049E-2</v>
      </c>
      <c r="BO60" s="743">
        <v>0.11540504240395909</v>
      </c>
      <c r="BP60" s="742">
        <v>0.20289031455287965</v>
      </c>
      <c r="BQ60" s="742">
        <v>0.30281618961678575</v>
      </c>
      <c r="BR60" s="742">
        <v>0.41200343494210845</v>
      </c>
      <c r="BS60" s="742">
        <v>0.53945118410939785</v>
      </c>
      <c r="BT60" s="742">
        <v>0.67955020940901434</v>
      </c>
      <c r="BW60" s="1187">
        <f>'2018'!R\Max</f>
        <v>0</v>
      </c>
      <c r="BX60" s="1185">
        <f>'2019'!R\Max</f>
        <v>1.0005109440579527</v>
      </c>
      <c r="BY60" s="1185">
        <f>'2020'!R\Max</f>
        <v>0.99745310317216851</v>
      </c>
      <c r="BZ60" s="1185">
        <f>'2021'!R\Max</f>
        <v>0.9424840304928066</v>
      </c>
      <c r="CA60" s="1185">
        <f>'2022'!R\Max</f>
        <v>0.66554087961278419</v>
      </c>
      <c r="CB60" s="1185">
        <f>'2023'!R\Max</f>
        <v>0.659901218770511</v>
      </c>
      <c r="CC60" s="1185">
        <f>'2024'!R\Max</f>
        <v>0.6536758431935128</v>
      </c>
      <c r="CD60" s="1185">
        <f>'2025'!R\Max</f>
        <v>0.6468698158450582</v>
      </c>
      <c r="CE60" s="1185">
        <f>'2026'!R\Max</f>
        <v>0.67421293239551361</v>
      </c>
      <c r="CF60" s="1186">
        <f>'2027'!R\Max</f>
        <v>0.67248808729441745</v>
      </c>
    </row>
    <row r="61" spans="1:84" s="6" customFormat="1" ht="11.25" x14ac:dyDescent="0.2">
      <c r="A61" s="11">
        <v>43147</v>
      </c>
      <c r="B61" s="382">
        <f>'2023'!Maxi_hp</f>
        <v>32.591538912686424</v>
      </c>
      <c r="C61" s="85">
        <f>'2023'!An_max</f>
        <v>2019</v>
      </c>
      <c r="D61" s="1132"/>
      <c r="E61" s="709"/>
      <c r="F61" s="13">
        <f t="shared" si="22"/>
        <v>5</v>
      </c>
      <c r="G61" s="13">
        <f t="shared" si="23"/>
        <v>4</v>
      </c>
      <c r="H61" s="175">
        <f t="shared" si="7"/>
        <v>43150</v>
      </c>
      <c r="I61" s="772">
        <f t="shared" si="8"/>
        <v>0.21428571428571427</v>
      </c>
      <c r="J61" s="763">
        <f t="shared" si="26"/>
        <v>32.303814249272854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P61" s="13">
        <f t="shared" si="10"/>
        <v>3</v>
      </c>
      <c r="AQ61" s="13">
        <f t="shared" si="11"/>
        <v>4</v>
      </c>
      <c r="AR61" s="175">
        <f t="shared" si="12"/>
        <v>43136</v>
      </c>
      <c r="AS61" s="772">
        <f t="shared" si="13"/>
        <v>0.39285714285714285</v>
      </c>
      <c r="AT61" s="789">
        <f t="shared" si="14"/>
        <v>32.389150338034547</v>
      </c>
      <c r="AU61" s="13">
        <f t="shared" si="15"/>
        <v>3</v>
      </c>
      <c r="AV61" s="13">
        <f t="shared" si="16"/>
        <v>2</v>
      </c>
      <c r="AW61" s="175">
        <f t="shared" si="17"/>
        <v>43150</v>
      </c>
      <c r="AX61" s="772">
        <f t="shared" si="18"/>
        <v>0.10714285714285714</v>
      </c>
      <c r="AY61" s="789">
        <f t="shared" si="19"/>
        <v>32.306587110140491</v>
      </c>
      <c r="AZ61" s="763">
        <f t="shared" si="25"/>
        <v>32.347868724087519</v>
      </c>
      <c r="BA61" s="647">
        <f t="shared" si="20"/>
        <v>1.0089068325242752</v>
      </c>
      <c r="BB61" s="642">
        <v>43147</v>
      </c>
      <c r="BC61" s="11">
        <v>43147</v>
      </c>
      <c r="BD61" s="292">
        <f>[2]!FeuilCaduc*(1-Persistant)+Persistant</f>
        <v>1</v>
      </c>
      <c r="BE61" s="293">
        <f>[2]!CroissVégét</f>
        <v>7.7722651621059055E-3</v>
      </c>
      <c r="BF61" s="842">
        <f>1+[2]!Salcycl*Ksac</f>
        <v>1.0003607942195929</v>
      </c>
      <c r="BH61" s="1105">
        <f t="shared" si="21"/>
        <v>1.2993536952433498E-2</v>
      </c>
      <c r="BI61" s="11">
        <v>44243</v>
      </c>
      <c r="BJ61" s="742">
        <v>2.4413074719137964E-3</v>
      </c>
      <c r="BK61" s="742">
        <v>6.0417861727423486E-3</v>
      </c>
      <c r="BL61" s="742">
        <v>1.1111052544429604E-2</v>
      </c>
      <c r="BM61" s="742">
        <v>2.0534028883121995E-2</v>
      </c>
      <c r="BN61" s="742">
        <v>5.0161075660268943E-2</v>
      </c>
      <c r="BO61" s="743">
        <v>0.1119179793054122</v>
      </c>
      <c r="BP61" s="742">
        <v>0.19832479895428737</v>
      </c>
      <c r="BQ61" s="742">
        <v>0.29816287741478259</v>
      </c>
      <c r="BR61" s="742">
        <v>0.4056298112348049</v>
      </c>
      <c r="BS61" s="742">
        <v>0.53153111408387244</v>
      </c>
      <c r="BT61" s="742">
        <v>0.670579650881862</v>
      </c>
      <c r="BW61" s="1187">
        <f>'2018'!R\Max</f>
        <v>0</v>
      </c>
      <c r="BX61" s="1185">
        <f>'2019'!R\Max</f>
        <v>1.0089068325242752</v>
      </c>
      <c r="BY61" s="1185">
        <f>'2020'!R\Max</f>
        <v>0.68331537468164127</v>
      </c>
      <c r="BZ61" s="1185">
        <f>'2021'!R\Max</f>
        <v>0.88825979198167104</v>
      </c>
      <c r="CA61" s="1185">
        <f>'2022'!R\Max</f>
        <v>0.33074197291042151</v>
      </c>
      <c r="CB61" s="1185">
        <f>'2023'!R\Max</f>
        <v>0.32532064707379249</v>
      </c>
      <c r="CC61" s="1185">
        <f>'2024'!R\Max</f>
        <v>0.3193996743602171</v>
      </c>
      <c r="CD61" s="1185">
        <f>'2025'!R\Max</f>
        <v>0.31303728038306927</v>
      </c>
      <c r="CE61" s="1185">
        <f>'2026'!R\Max</f>
        <v>0.33906262938992698</v>
      </c>
      <c r="CF61" s="1186">
        <f>'2027'!R\Max</f>
        <v>0.33744461806337084</v>
      </c>
    </row>
    <row r="62" spans="1:84" s="6" customFormat="1" ht="11.25" x14ac:dyDescent="0.2">
      <c r="A62" s="11">
        <v>43148</v>
      </c>
      <c r="B62" s="382">
        <f>'2023'!Maxi_hp</f>
        <v>33.211013673025583</v>
      </c>
      <c r="C62" s="85">
        <f>'2023'!An_max</f>
        <v>2019</v>
      </c>
      <c r="D62" s="1132"/>
      <c r="E62" s="709"/>
      <c r="F62" s="13">
        <f t="shared" si="22"/>
        <v>5</v>
      </c>
      <c r="G62" s="13">
        <f t="shared" si="23"/>
        <v>4</v>
      </c>
      <c r="H62" s="175">
        <f t="shared" si="7"/>
        <v>43150</v>
      </c>
      <c r="I62" s="772">
        <f t="shared" si="8"/>
        <v>0.14285714285714285</v>
      </c>
      <c r="J62" s="763">
        <f t="shared" si="26"/>
        <v>32.698516617715363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P62" s="13">
        <f t="shared" si="10"/>
        <v>3</v>
      </c>
      <c r="AQ62" s="13">
        <f t="shared" si="11"/>
        <v>4</v>
      </c>
      <c r="AR62" s="175">
        <f t="shared" si="12"/>
        <v>43136</v>
      </c>
      <c r="AS62" s="772">
        <f t="shared" si="13"/>
        <v>0.42857142857142855</v>
      </c>
      <c r="AT62" s="789">
        <f t="shared" si="14"/>
        <v>32.795284547922861</v>
      </c>
      <c r="AU62" s="13">
        <f t="shared" si="15"/>
        <v>3</v>
      </c>
      <c r="AV62" s="13">
        <f t="shared" si="16"/>
        <v>2</v>
      </c>
      <c r="AW62" s="175">
        <f t="shared" si="17"/>
        <v>43150</v>
      </c>
      <c r="AX62" s="772">
        <f t="shared" si="18"/>
        <v>7.1428571428571425E-2</v>
      </c>
      <c r="AY62" s="789">
        <f t="shared" si="19"/>
        <v>32.703206275935685</v>
      </c>
      <c r="AZ62" s="763">
        <f t="shared" si="25"/>
        <v>32.749245411929273</v>
      </c>
      <c r="BA62" s="647">
        <f t="shared" si="20"/>
        <v>1.0156734038214004</v>
      </c>
      <c r="BB62" s="642">
        <v>43148</v>
      </c>
      <c r="BC62" s="11">
        <v>43148</v>
      </c>
      <c r="BD62" s="292">
        <f>[2]!FeuilCaduc*(1-Persistant)+Persistant</f>
        <v>1</v>
      </c>
      <c r="BE62" s="293">
        <f>[2]!CroissVégét</f>
        <v>8.1530774564185747E-3</v>
      </c>
      <c r="BF62" s="842">
        <f>1+[2]!Salcycl*Ksac</f>
        <v>1.0003924411888905</v>
      </c>
      <c r="BH62" s="1105">
        <f t="shared" si="21"/>
        <v>1.3238646385238452E-2</v>
      </c>
      <c r="BI62" s="11">
        <v>44244</v>
      </c>
      <c r="BJ62" s="742">
        <v>2.5436396347106659E-3</v>
      </c>
      <c r="BK62" s="742">
        <v>6.2372195139048167E-3</v>
      </c>
      <c r="BL62" s="742">
        <v>1.1423052483794343E-2</v>
      </c>
      <c r="BM62" s="742">
        <v>2.0511201262738515E-2</v>
      </c>
      <c r="BN62" s="742">
        <v>4.8044477750993485E-2</v>
      </c>
      <c r="BO62" s="743">
        <v>0.10848481129036595</v>
      </c>
      <c r="BP62" s="742">
        <v>0.19384912403734567</v>
      </c>
      <c r="BQ62" s="742">
        <v>0.29350389606940219</v>
      </c>
      <c r="BR62" s="742">
        <v>0.39941644361108342</v>
      </c>
      <c r="BS62" s="742">
        <v>0.52363729307631546</v>
      </c>
      <c r="BT62" s="742">
        <v>0.66159289857139447</v>
      </c>
      <c r="BW62" s="1187">
        <f>'2018'!R\Max</f>
        <v>0</v>
      </c>
      <c r="BX62" s="1185">
        <f>'2019'!R\Max</f>
        <v>1.0156734038214004</v>
      </c>
      <c r="BY62" s="1185">
        <f>'2020'!R\Max</f>
        <v>0.19112342310924829</v>
      </c>
      <c r="BZ62" s="1185">
        <f>'2021'!R\Max</f>
        <v>0.93138882049651572</v>
      </c>
      <c r="CA62" s="1185">
        <f>'2022'!R\Max</f>
        <v>0.38037862815326579</v>
      </c>
      <c r="CB62" s="1185">
        <f>'2023'!R\Max</f>
        <v>0.3747426688416256</v>
      </c>
      <c r="CC62" s="1185">
        <f>'2024'!R\Max</f>
        <v>0.36853275011579573</v>
      </c>
      <c r="CD62" s="1185">
        <f>'2025'!R\Max</f>
        <v>0.36182937263110543</v>
      </c>
      <c r="CE62" s="1185">
        <f>'2026'!R\Max</f>
        <v>0.38878687922461264</v>
      </c>
      <c r="CF62" s="1186">
        <f>'2027'!R\Max</f>
        <v>0.38720676901648277</v>
      </c>
    </row>
    <row r="63" spans="1:84" s="6" customFormat="1" ht="11.25" x14ac:dyDescent="0.2">
      <c r="A63" s="11">
        <v>43149</v>
      </c>
      <c r="B63" s="382">
        <f>'2023'!Maxi_hp</f>
        <v>33.126742104724151</v>
      </c>
      <c r="C63" s="85">
        <f>'2023'!An_max</f>
        <v>2019</v>
      </c>
      <c r="D63" s="1132"/>
      <c r="E63" s="709"/>
      <c r="F63" s="13">
        <f t="shared" si="22"/>
        <v>5</v>
      </c>
      <c r="G63" s="13">
        <f t="shared" si="23"/>
        <v>4</v>
      </c>
      <c r="H63" s="175">
        <f t="shared" si="7"/>
        <v>43150</v>
      </c>
      <c r="I63" s="772">
        <f t="shared" si="8"/>
        <v>7.1428571428571425E-2</v>
      </c>
      <c r="J63" s="763">
        <f t="shared" si="26"/>
        <v>33.09774085240705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P63" s="13">
        <f t="shared" si="10"/>
        <v>3</v>
      </c>
      <c r="AQ63" s="13">
        <f t="shared" si="11"/>
        <v>4</v>
      </c>
      <c r="AR63" s="175">
        <f t="shared" si="12"/>
        <v>43136</v>
      </c>
      <c r="AS63" s="772">
        <f t="shared" si="13"/>
        <v>0.4642857142857143</v>
      </c>
      <c r="AT63" s="789">
        <f t="shared" si="14"/>
        <v>33.204960887586438</v>
      </c>
      <c r="AU63" s="13">
        <f t="shared" si="15"/>
        <v>3</v>
      </c>
      <c r="AV63" s="13">
        <f t="shared" si="16"/>
        <v>2</v>
      </c>
      <c r="AW63" s="175">
        <f t="shared" si="17"/>
        <v>43150</v>
      </c>
      <c r="AX63" s="772">
        <f t="shared" si="18"/>
        <v>3.5714285714285712E-2</v>
      </c>
      <c r="AY63" s="789">
        <f t="shared" si="19"/>
        <v>33.101624014029014</v>
      </c>
      <c r="AZ63" s="763">
        <f t="shared" si="25"/>
        <v>33.153292450807726</v>
      </c>
      <c r="BA63" s="647">
        <f t="shared" si="20"/>
        <v>1.0008762305695251</v>
      </c>
      <c r="BB63" s="642">
        <v>43149</v>
      </c>
      <c r="BC63" s="11">
        <v>43149</v>
      </c>
      <c r="BD63" s="292">
        <f>[2]!FeuilCaduc*(1-Persistant)+Persistant</f>
        <v>1</v>
      </c>
      <c r="BE63" s="293">
        <f>[2]!CroissVégét</f>
        <v>8.5495548619151183E-3</v>
      </c>
      <c r="BF63" s="842">
        <f>1+[2]!Salcycl*Ksac</f>
        <v>1.0004239665876113</v>
      </c>
      <c r="BH63" s="1105">
        <f t="shared" si="21"/>
        <v>1.3506458998937466E-2</v>
      </c>
      <c r="BI63" s="11">
        <v>44245</v>
      </c>
      <c r="BJ63" s="742">
        <v>2.6476312175468331E-3</v>
      </c>
      <c r="BK63" s="742">
        <v>6.4359592072413749E-3</v>
      </c>
      <c r="BL63" s="742">
        <v>1.1739567691225779E-2</v>
      </c>
      <c r="BM63" s="742">
        <v>2.0583930446539524E-2</v>
      </c>
      <c r="BN63" s="742">
        <v>4.6116525402367707E-2</v>
      </c>
      <c r="BO63" s="743">
        <v>0.10510558008938947</v>
      </c>
      <c r="BP63" s="742">
        <v>0.18946340642175122</v>
      </c>
      <c r="BQ63" s="742">
        <v>0.28883950004385117</v>
      </c>
      <c r="BR63" s="742">
        <v>0.39336365100474741</v>
      </c>
      <c r="BS63" s="742">
        <v>0.5157701787791179</v>
      </c>
      <c r="BT63" s="742">
        <v>0.65259056402310722</v>
      </c>
      <c r="BW63" s="1187">
        <f>'2018'!R\Max</f>
        <v>0</v>
      </c>
      <c r="BX63" s="1185">
        <f>'2019'!R\Max</f>
        <v>1.0008762305695251</v>
      </c>
      <c r="BY63" s="1185">
        <f>'2020'!R\Max</f>
        <v>0.8460716369226593</v>
      </c>
      <c r="BZ63" s="1185">
        <f>'2021'!R\Max</f>
        <v>0.45034858628837021</v>
      </c>
      <c r="CA63" s="1185">
        <f>'2022'!R\Max</f>
        <v>0.90386702960044707</v>
      </c>
      <c r="CB63" s="1185">
        <f>'2023'!R\Max</f>
        <v>0.90181516379210469</v>
      </c>
      <c r="CC63" s="1185">
        <f>'2024'!R\Max</f>
        <v>0.89948170695860297</v>
      </c>
      <c r="CD63" s="1185">
        <f>'2025'!R\Max</f>
        <v>0.89688458009157401</v>
      </c>
      <c r="CE63" s="1185">
        <f>'2026'!R\Max</f>
        <v>0.90675792988045634</v>
      </c>
      <c r="CF63" s="1186">
        <f>'2027'!R\Max</f>
        <v>0.90623934986218058</v>
      </c>
    </row>
    <row r="64" spans="1:84" s="6" customFormat="1" ht="11.25" x14ac:dyDescent="0.2">
      <c r="A64" s="11">
        <v>43150</v>
      </c>
      <c r="B64" s="382">
        <f>'2023'!Maxi_hp</f>
        <v>32.228087820026474</v>
      </c>
      <c r="C64" s="85">
        <f>'2023'!An_max</f>
        <v>2021</v>
      </c>
      <c r="D64" s="1132"/>
      <c r="E64" s="771">
        <f>Q$13/10</f>
        <v>33.501600000000003</v>
      </c>
      <c r="F64" s="13">
        <f t="shared" si="22"/>
        <v>5</v>
      </c>
      <c r="G64" s="13">
        <f t="shared" si="23"/>
        <v>6</v>
      </c>
      <c r="H64" s="175">
        <f t="shared" si="7"/>
        <v>43150</v>
      </c>
      <c r="I64" s="772">
        <f t="shared" si="8"/>
        <v>0</v>
      </c>
      <c r="J64" s="763">
        <f t="shared" si="26"/>
        <v>33.501600000262258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P64" s="13">
        <f t="shared" si="10"/>
        <v>3</v>
      </c>
      <c r="AQ64" s="13">
        <f t="shared" si="11"/>
        <v>4</v>
      </c>
      <c r="AR64" s="175">
        <f t="shared" si="12"/>
        <v>43136</v>
      </c>
      <c r="AS64" s="772">
        <f t="shared" si="13"/>
        <v>0.5</v>
      </c>
      <c r="AT64" s="789">
        <f t="shared" si="14"/>
        <v>33.617925000935792</v>
      </c>
      <c r="AU64" s="13">
        <f t="shared" si="15"/>
        <v>3</v>
      </c>
      <c r="AV64" s="13">
        <f t="shared" si="16"/>
        <v>4</v>
      </c>
      <c r="AW64" s="175">
        <f t="shared" si="17"/>
        <v>43150</v>
      </c>
      <c r="AX64" s="772">
        <f t="shared" si="18"/>
        <v>0</v>
      </c>
      <c r="AY64" s="789">
        <f t="shared" si="19"/>
        <v>33.501599999517204</v>
      </c>
      <c r="AZ64" s="763">
        <f t="shared" si="25"/>
        <v>33.559762500226498</v>
      </c>
      <c r="BA64" s="647">
        <f t="shared" si="20"/>
        <v>0.96198652660691386</v>
      </c>
      <c r="BB64" s="642">
        <v>43150</v>
      </c>
      <c r="BC64" s="11">
        <v>43150</v>
      </c>
      <c r="BD64" s="292">
        <f>[2]!FeuilCaduc*(1-Persistant)+Persistant</f>
        <v>1</v>
      </c>
      <c r="BE64" s="293">
        <f>[2]!CroissVégét</f>
        <v>8.9623283475330478E-3</v>
      </c>
      <c r="BF64" s="842">
        <f>1+[2]!Salcycl*Ksac</f>
        <v>1.00045521126419</v>
      </c>
      <c r="BH64" s="1105">
        <f t="shared" si="21"/>
        <v>1.379699584329536E-2</v>
      </c>
      <c r="BI64" s="11">
        <v>44246</v>
      </c>
      <c r="BJ64" s="742">
        <v>2.7532882400110302E-3</v>
      </c>
      <c r="BK64" s="742">
        <v>6.6380184624755837E-3</v>
      </c>
      <c r="BL64" s="742">
        <v>1.206062118938356E-2</v>
      </c>
      <c r="BM64" s="742">
        <v>2.0752229581649319E-2</v>
      </c>
      <c r="BN64" s="742">
        <v>4.4377192604840937E-2</v>
      </c>
      <c r="BO64" s="743">
        <v>0.10178031326640201</v>
      </c>
      <c r="BP64" s="742">
        <v>0.18516774536445924</v>
      </c>
      <c r="BQ64" s="742">
        <v>0.28416992007714903</v>
      </c>
      <c r="BR64" s="742">
        <v>0.38747173024761256</v>
      </c>
      <c r="BS64" s="742">
        <v>0.50793019072252732</v>
      </c>
      <c r="BT64" s="742">
        <v>0.64357321270873358</v>
      </c>
      <c r="BW64" s="1187">
        <f>'2018'!R\Max</f>
        <v>0</v>
      </c>
      <c r="BX64" s="1185">
        <f>'2019'!R\Max</f>
        <v>0.7915392567738575</v>
      </c>
      <c r="BY64" s="1185">
        <f>'2020'!R\Max</f>
        <v>0.80554805016428443</v>
      </c>
      <c r="BZ64" s="1185">
        <f>'2021'!R\Max</f>
        <v>0.96198652660691386</v>
      </c>
      <c r="CA64" s="1185">
        <f>'2022'!R\Max</f>
        <v>0.53168255922195895</v>
      </c>
      <c r="CB64" s="1185">
        <f>'2023'!R\Max</f>
        <v>0.52599561369108228</v>
      </c>
      <c r="CC64" s="1185">
        <f>'2024'!R\Max</f>
        <v>0.51961799255081764</v>
      </c>
      <c r="CD64" s="1185">
        <f>'2025'!R\Max</f>
        <v>0.51265558667368294</v>
      </c>
      <c r="CE64" s="1185">
        <f>'2026'!R\Max</f>
        <v>0.53963049348180414</v>
      </c>
      <c r="CF64" s="1186">
        <f>'2027'!R\Max</f>
        <v>0.53823422611726768</v>
      </c>
    </row>
    <row r="65" spans="1:84" s="6" customFormat="1" ht="11.25" x14ac:dyDescent="0.2">
      <c r="A65" s="11">
        <v>43151</v>
      </c>
      <c r="B65" s="382">
        <f>'2023'!Maxi_hp</f>
        <v>33.595449120875671</v>
      </c>
      <c r="C65" s="85">
        <f>'2023'!An_max</f>
        <v>2020</v>
      </c>
      <c r="D65" s="1132"/>
      <c r="E65" s="709"/>
      <c r="F65" s="13">
        <f t="shared" si="22"/>
        <v>5</v>
      </c>
      <c r="G65" s="13">
        <f t="shared" si="23"/>
        <v>6</v>
      </c>
      <c r="H65" s="175">
        <f t="shared" si="7"/>
        <v>43150</v>
      </c>
      <c r="I65" s="772">
        <f t="shared" si="8"/>
        <v>7.1428571428571425E-2</v>
      </c>
      <c r="J65" s="763">
        <f t="shared" si="26"/>
        <v>33.910904226931081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P65" s="13">
        <f t="shared" si="10"/>
        <v>3</v>
      </c>
      <c r="AQ65" s="13">
        <f t="shared" si="11"/>
        <v>4</v>
      </c>
      <c r="AR65" s="175">
        <f t="shared" si="12"/>
        <v>43136</v>
      </c>
      <c r="AS65" s="772">
        <f t="shared" si="13"/>
        <v>0.5357142857142857</v>
      </c>
      <c r="AT65" s="789">
        <f t="shared" si="14"/>
        <v>34.033922531548889</v>
      </c>
      <c r="AU65" s="13">
        <f t="shared" si="15"/>
        <v>3</v>
      </c>
      <c r="AV65" s="13">
        <f t="shared" si="16"/>
        <v>4</v>
      </c>
      <c r="AW65" s="175">
        <f t="shared" si="17"/>
        <v>43150</v>
      </c>
      <c r="AX65" s="772">
        <f t="shared" si="18"/>
        <v>3.5714285714285712E-2</v>
      </c>
      <c r="AY65" s="789">
        <f t="shared" si="19"/>
        <v>33.90640826810683</v>
      </c>
      <c r="AZ65" s="763">
        <f t="shared" si="25"/>
        <v>33.970165399827863</v>
      </c>
      <c r="BA65" s="647">
        <f t="shared" si="20"/>
        <v>0.99069753186336784</v>
      </c>
      <c r="BB65" s="642">
        <v>43151</v>
      </c>
      <c r="BC65" s="11">
        <v>43151</v>
      </c>
      <c r="BD65" s="292">
        <f>[2]!FeuilCaduc*(1-Persistant)+Persistant</f>
        <v>1</v>
      </c>
      <c r="BE65" s="293">
        <f>[2]!CroissVégét</f>
        <v>9.3920531593536197E-3</v>
      </c>
      <c r="BF65" s="842">
        <f>1+[2]!Salcycl*Ksac</f>
        <v>1.0004860375324978</v>
      </c>
      <c r="BH65" s="1105">
        <f t="shared" si="21"/>
        <v>1.4110280767691823E-2</v>
      </c>
      <c r="BI65" s="11">
        <v>44247</v>
      </c>
      <c r="BJ65" s="742">
        <v>2.8606173491055225E-3</v>
      </c>
      <c r="BK65" s="742">
        <v>6.8434116966313704E-3</v>
      </c>
      <c r="BL65" s="742">
        <v>1.2386237874910909E-2</v>
      </c>
      <c r="BM65" s="742">
        <v>2.1016118322521888E-2</v>
      </c>
      <c r="BN65" s="742">
        <v>4.2826455805593112E-2</v>
      </c>
      <c r="BO65" s="743">
        <v>9.8509024876409654E-2</v>
      </c>
      <c r="BP65" s="742">
        <v>0.1809622238569378</v>
      </c>
      <c r="BQ65" s="742">
        <v>0.27949536307571382</v>
      </c>
      <c r="BR65" s="742">
        <v>0.38174095802442581</v>
      </c>
      <c r="BS65" s="742">
        <v>0.50011771053704945</v>
      </c>
      <c r="BT65" s="742">
        <v>0.63454136374172954</v>
      </c>
      <c r="BW65" s="1187">
        <f>'2018'!R\Max</f>
        <v>0</v>
      </c>
      <c r="BX65" s="1185">
        <f>'2019'!R\Max</f>
        <v>0.98086497318745947</v>
      </c>
      <c r="BY65" s="1185">
        <f>'2020'!R\Max</f>
        <v>0.99069753186336784</v>
      </c>
      <c r="BZ65" s="1185">
        <f>'2021'!R\Max</f>
        <v>0.81514134376528469</v>
      </c>
      <c r="CA65" s="1185">
        <f>'2022'!R\Max</f>
        <v>0.63033608971003896</v>
      </c>
      <c r="CB65" s="1185">
        <f>'2023'!R\Max</f>
        <v>0.62513045521333432</v>
      </c>
      <c r="CC65" s="1185">
        <f>'2024'!R\Max</f>
        <v>0.6192424953070047</v>
      </c>
      <c r="CD65" s="1185">
        <f>'2025'!R\Max</f>
        <v>0.6127728476761013</v>
      </c>
      <c r="CE65" s="1185">
        <f>'2026'!R\Max</f>
        <v>0.63734748492496707</v>
      </c>
      <c r="CF65" s="1186">
        <f>'2027'!R\Max</f>
        <v>0.63615501390889206</v>
      </c>
    </row>
    <row r="66" spans="1:84" s="6" customFormat="1" ht="11.25" x14ac:dyDescent="0.2">
      <c r="A66" s="11">
        <v>43152</v>
      </c>
      <c r="B66" s="382">
        <f>'2023'!Maxi_hp</f>
        <v>33.354248852750764</v>
      </c>
      <c r="C66" s="85">
        <f>'2023'!An_max</f>
        <v>2019</v>
      </c>
      <c r="D66" s="1132"/>
      <c r="E66" s="709"/>
      <c r="F66" s="13">
        <f t="shared" si="22"/>
        <v>5</v>
      </c>
      <c r="G66" s="13">
        <f t="shared" si="23"/>
        <v>6</v>
      </c>
      <c r="H66" s="175">
        <f t="shared" si="7"/>
        <v>43150</v>
      </c>
      <c r="I66" s="772">
        <f t="shared" si="8"/>
        <v>0.14285714285714285</v>
      </c>
      <c r="J66" s="763">
        <f t="shared" si="26"/>
        <v>34.326086880692415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P66" s="13">
        <f t="shared" si="10"/>
        <v>3</v>
      </c>
      <c r="AQ66" s="13">
        <f t="shared" si="11"/>
        <v>4</v>
      </c>
      <c r="AR66" s="175">
        <f t="shared" si="12"/>
        <v>43136</v>
      </c>
      <c r="AS66" s="772">
        <f t="shared" si="13"/>
        <v>0.5714285714285714</v>
      </c>
      <c r="AT66" s="789">
        <f t="shared" si="14"/>
        <v>34.452699126090316</v>
      </c>
      <c r="AU66" s="13">
        <f t="shared" si="15"/>
        <v>3</v>
      </c>
      <c r="AV66" s="13">
        <f t="shared" si="16"/>
        <v>4</v>
      </c>
      <c r="AW66" s="175">
        <f t="shared" si="17"/>
        <v>43150</v>
      </c>
      <c r="AX66" s="772">
        <f t="shared" si="18"/>
        <v>7.1428571428571425E-2</v>
      </c>
      <c r="AY66" s="789">
        <f t="shared" si="19"/>
        <v>34.319134512117934</v>
      </c>
      <c r="AZ66" s="763">
        <f t="shared" si="25"/>
        <v>34.385916819104125</v>
      </c>
      <c r="BA66" s="647">
        <f t="shared" si="20"/>
        <v>0.97168806245467243</v>
      </c>
      <c r="BB66" s="642">
        <v>43152</v>
      </c>
      <c r="BC66" s="11">
        <v>43152</v>
      </c>
      <c r="BD66" s="292">
        <f>[2]!FeuilCaduc*(1-Persistant)+Persistant</f>
        <v>1</v>
      </c>
      <c r="BE66" s="293">
        <f>[2]!CroissVégét</f>
        <v>9.8394096579268626E-3</v>
      </c>
      <c r="BF66" s="842">
        <f>1+[2]!Salcycl*Ksac</f>
        <v>1.0005163319096573</v>
      </c>
      <c r="BH66" s="1105">
        <f t="shared" si="21"/>
        <v>1.4441007889858746E-2</v>
      </c>
      <c r="BI66" s="11">
        <v>44248</v>
      </c>
      <c r="BJ66" s="742">
        <v>2.9643036602164108E-3</v>
      </c>
      <c r="BK66" s="742">
        <v>7.0458269997621279E-3</v>
      </c>
      <c r="BL66" s="742">
        <v>1.2710872991345953E-2</v>
      </c>
      <c r="BM66" s="742">
        <v>2.1371247622931366E-2</v>
      </c>
      <c r="BN66" s="742">
        <v>4.153728491560011E-2</v>
      </c>
      <c r="BO66" s="743">
        <v>9.5361191847407725E-2</v>
      </c>
      <c r="BP66" s="742">
        <v>0.17678763008247023</v>
      </c>
      <c r="BQ66" s="742">
        <v>0.27478143906895725</v>
      </c>
      <c r="BR66" s="742">
        <v>0.37616891722014373</v>
      </c>
      <c r="BS66" s="742">
        <v>0.49246210380361893</v>
      </c>
      <c r="BT66" s="742">
        <v>0.62550033877079725</v>
      </c>
      <c r="BW66" s="1187">
        <f>'2018'!R\Max</f>
        <v>0</v>
      </c>
      <c r="BX66" s="1185">
        <f>'2019'!R\Max</f>
        <v>0.97168806245467243</v>
      </c>
      <c r="BY66" s="1185">
        <f>'2020'!R\Max</f>
        <v>0.46291989807521428</v>
      </c>
      <c r="BZ66" s="1185">
        <f>'2021'!R\Max</f>
        <v>0.31052747139670817</v>
      </c>
      <c r="CA66" s="1185">
        <f>'2022'!R\Max</f>
        <v>0.63913301543897094</v>
      </c>
      <c r="CB66" s="1185">
        <f>'2023'!R\Max</f>
        <v>0.63410962002721982</v>
      </c>
      <c r="CC66" s="1185">
        <f>'2024'!R\Max</f>
        <v>0.62840214399430949</v>
      </c>
      <c r="CD66" s="1185">
        <f>'2025'!R\Max</f>
        <v>0.6221169419616539</v>
      </c>
      <c r="CE66" s="1185">
        <f>'2026'!R\Max</f>
        <v>0.64568491206124501</v>
      </c>
      <c r="CF66" s="1186">
        <f>'2027'!R\Max</f>
        <v>0.64459907807012162</v>
      </c>
    </row>
    <row r="67" spans="1:84" s="6" customFormat="1" ht="11.25" x14ac:dyDescent="0.2">
      <c r="A67" s="11">
        <v>43153</v>
      </c>
      <c r="B67" s="382">
        <f>'2023'!Maxi_hp</f>
        <v>33.45014285747294</v>
      </c>
      <c r="C67" s="85">
        <f>'2023'!An_max</f>
        <v>2020</v>
      </c>
      <c r="D67" s="1132"/>
      <c r="E67" s="709"/>
      <c r="F67" s="13">
        <f t="shared" si="22"/>
        <v>5</v>
      </c>
      <c r="G67" s="13">
        <f t="shared" si="23"/>
        <v>6</v>
      </c>
      <c r="H67" s="175">
        <f t="shared" si="7"/>
        <v>43150</v>
      </c>
      <c r="I67" s="772">
        <f t="shared" si="8"/>
        <v>0.21428571428571427</v>
      </c>
      <c r="J67" s="763">
        <f t="shared" si="26"/>
        <v>34.746695772212533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P67" s="13">
        <f t="shared" si="10"/>
        <v>3</v>
      </c>
      <c r="AQ67" s="13">
        <f t="shared" si="11"/>
        <v>4</v>
      </c>
      <c r="AR67" s="175">
        <f t="shared" si="12"/>
        <v>43136</v>
      </c>
      <c r="AS67" s="772">
        <f t="shared" si="13"/>
        <v>0.6071428571428571</v>
      </c>
      <c r="AT67" s="789">
        <f t="shared" si="14"/>
        <v>34.874000428683516</v>
      </c>
      <c r="AU67" s="13">
        <f t="shared" si="15"/>
        <v>3</v>
      </c>
      <c r="AV67" s="13">
        <f t="shared" si="16"/>
        <v>4</v>
      </c>
      <c r="AW67" s="175">
        <f t="shared" si="17"/>
        <v>43150</v>
      </c>
      <c r="AX67" s="772">
        <f t="shared" si="18"/>
        <v>0.10714285714285714</v>
      </c>
      <c r="AY67" s="789">
        <f t="shared" si="19"/>
        <v>34.739255889784552</v>
      </c>
      <c r="AZ67" s="763">
        <f t="shared" si="25"/>
        <v>34.806628159234037</v>
      </c>
      <c r="BA67" s="647">
        <f t="shared" si="20"/>
        <v>0.96268557668794319</v>
      </c>
      <c r="BB67" s="642">
        <v>43153</v>
      </c>
      <c r="BC67" s="11">
        <v>43153</v>
      </c>
      <c r="BD67" s="292">
        <f>[2]!FeuilCaduc*(1-Persistant)+Persistant</f>
        <v>1</v>
      </c>
      <c r="BE67" s="293">
        <f>[2]!CroissVégét</f>
        <v>1.0305104176065441E-2</v>
      </c>
      <c r="BF67" s="842">
        <f>1+[2]!Salcycl*Ksac</f>
        <v>1.0005460076893646</v>
      </c>
      <c r="BH67" s="1105">
        <f t="shared" si="21"/>
        <v>1.4771737381752605E-2</v>
      </c>
      <c r="BI67" s="11">
        <v>44249</v>
      </c>
      <c r="BJ67" s="742">
        <v>3.0603299710921031E-3</v>
      </c>
      <c r="BK67" s="742">
        <v>7.2418893729442263E-3</v>
      </c>
      <c r="BL67" s="742">
        <v>1.3030496611058156E-2</v>
      </c>
      <c r="BM67" s="742">
        <v>2.1746462869508227E-2</v>
      </c>
      <c r="BN67" s="742">
        <v>4.047662798927136E-2</v>
      </c>
      <c r="BO67" s="743">
        <v>9.2318721068085183E-2</v>
      </c>
      <c r="BP67" s="742">
        <v>0.17261186740523449</v>
      </c>
      <c r="BQ67" s="742">
        <v>0.27004974859657138</v>
      </c>
      <c r="BR67" s="742">
        <v>0.37074948550061598</v>
      </c>
      <c r="BS67" s="742">
        <v>0.48510530707391736</v>
      </c>
      <c r="BT67" s="742">
        <v>0.61664754863339311</v>
      </c>
      <c r="BW67" s="1187">
        <f>'2018'!R\Max</f>
        <v>0</v>
      </c>
      <c r="BX67" s="1185">
        <f>'2019'!R\Max</f>
        <v>0.96131283874437623</v>
      </c>
      <c r="BY67" s="1185">
        <f>'2020'!R\Max</f>
        <v>0.96268557668794319</v>
      </c>
      <c r="BZ67" s="1185">
        <f>'2021'!R\Max</f>
        <v>0.25176031016614503</v>
      </c>
      <c r="CA67" s="1185">
        <f>'2022'!R\Max</f>
        <v>0.94099992197731819</v>
      </c>
      <c r="CB67" s="1185">
        <f>'2023'!R\Max</f>
        <v>0.93981543260194556</v>
      </c>
      <c r="CC67" s="1185">
        <f>'2024'!R\Max</f>
        <v>0.93844423048857861</v>
      </c>
      <c r="CD67" s="1185">
        <f>'2025'!R\Max</f>
        <v>0.9369066807807318</v>
      </c>
      <c r="CE67" s="1185">
        <f>'2026'!R\Max</f>
        <v>0.94247595497053016</v>
      </c>
      <c r="CF67" s="1186">
        <f>'2027'!R\Max</f>
        <v>0.94223777019371013</v>
      </c>
    </row>
    <row r="68" spans="1:84" s="6" customFormat="1" ht="11.25" x14ac:dyDescent="0.2">
      <c r="A68" s="11">
        <v>43154</v>
      </c>
      <c r="B68" s="382">
        <f>'2023'!Maxi_hp</f>
        <v>34.62690070447799</v>
      </c>
      <c r="C68" s="85">
        <f>'2023'!An_max</f>
        <v>2022</v>
      </c>
      <c r="D68" s="1132"/>
      <c r="E68" s="709"/>
      <c r="F68" s="13">
        <f t="shared" si="22"/>
        <v>5</v>
      </c>
      <c r="G68" s="13">
        <f t="shared" si="23"/>
        <v>6</v>
      </c>
      <c r="H68" s="175">
        <f t="shared" si="7"/>
        <v>43150</v>
      </c>
      <c r="I68" s="772">
        <f t="shared" si="8"/>
        <v>0.2857142857142857</v>
      </c>
      <c r="J68" s="763">
        <f t="shared" si="26"/>
        <v>35.172278717479536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P68" s="13">
        <f t="shared" si="10"/>
        <v>3</v>
      </c>
      <c r="AQ68" s="13">
        <f t="shared" si="11"/>
        <v>4</v>
      </c>
      <c r="AR68" s="175">
        <f t="shared" si="12"/>
        <v>43136</v>
      </c>
      <c r="AS68" s="772">
        <f t="shared" si="13"/>
        <v>0.6428571428571429</v>
      </c>
      <c r="AT68" s="789">
        <f t="shared" si="14"/>
        <v>35.297572085128294</v>
      </c>
      <c r="AU68" s="13">
        <f t="shared" si="15"/>
        <v>3</v>
      </c>
      <c r="AV68" s="13">
        <f t="shared" si="16"/>
        <v>4</v>
      </c>
      <c r="AW68" s="175">
        <f t="shared" si="17"/>
        <v>43150</v>
      </c>
      <c r="AX68" s="772">
        <f t="shared" si="18"/>
        <v>0.14285714285714285</v>
      </c>
      <c r="AY68" s="789">
        <f t="shared" si="19"/>
        <v>35.166249562454013</v>
      </c>
      <c r="AZ68" s="763">
        <f t="shared" si="25"/>
        <v>35.231910823791154</v>
      </c>
      <c r="BA68" s="647">
        <f t="shared" si="20"/>
        <v>0.98449409498365792</v>
      </c>
      <c r="BB68" s="642">
        <v>43154</v>
      </c>
      <c r="BC68" s="11">
        <v>43154</v>
      </c>
      <c r="BD68" s="292">
        <f>[2]!FeuilCaduc*(1-Persistant)+Persistant</f>
        <v>1</v>
      </c>
      <c r="BE68" s="293">
        <f>[2]!CroissVégét</f>
        <v>1.0789869896821172E-2</v>
      </c>
      <c r="BF68" s="842">
        <f>1+[2]!Salcycl*Ksac</f>
        <v>1.0005750073275079</v>
      </c>
      <c r="BH68" s="1105">
        <f t="shared" si="21"/>
        <v>1.5102397309160461E-2</v>
      </c>
      <c r="BI68" s="11">
        <v>44250</v>
      </c>
      <c r="BJ68" s="742">
        <v>3.1486821779233435E-3</v>
      </c>
      <c r="BK68" s="742">
        <v>7.4315644393704765E-3</v>
      </c>
      <c r="BL68" s="742">
        <v>1.3345046003475429E-2</v>
      </c>
      <c r="BM68" s="742">
        <v>2.2141655261875174E-2</v>
      </c>
      <c r="BN68" s="742">
        <v>3.9644240717019136E-2</v>
      </c>
      <c r="BO68" s="743">
        <v>8.9381055565974768E-2</v>
      </c>
      <c r="BP68" s="742">
        <v>0.16843393143441729</v>
      </c>
      <c r="BQ68" s="742">
        <v>0.26529875750222304</v>
      </c>
      <c r="BR68" s="742">
        <v>0.36548057306251419</v>
      </c>
      <c r="BS68" s="742">
        <v>0.47804457745208434</v>
      </c>
      <c r="BT68" s="742">
        <v>0.6079795227975977</v>
      </c>
      <c r="BW68" s="1187">
        <f>'2018'!R\Max</f>
        <v>0</v>
      </c>
      <c r="BX68" s="1185">
        <f>'2019'!R\Max</f>
        <v>0.96357304646487962</v>
      </c>
      <c r="BY68" s="1185">
        <f>'2020'!R\Max</f>
        <v>0.97078056855871819</v>
      </c>
      <c r="BZ68" s="1185">
        <f>'2021'!R\Max</f>
        <v>0.82474847197778978</v>
      </c>
      <c r="CA68" s="1185">
        <f>'2022'!R\Max</f>
        <v>0.98449409498365792</v>
      </c>
      <c r="CB68" s="1185">
        <f>'2023'!R\Max</f>
        <v>0.98417736124854849</v>
      </c>
      <c r="CC68" s="1185">
        <f>'2024'!R\Max</f>
        <v>0.98380798579270368</v>
      </c>
      <c r="CD68" s="1185">
        <f>'2025'!R\Max</f>
        <v>0.98339165738893031</v>
      </c>
      <c r="CE68" s="1185">
        <f>'2026'!R\Max</f>
        <v>0.98487640164844981</v>
      </c>
      <c r="CF68" s="1186">
        <f>'2027'!R\Max</f>
        <v>0.98481552164154429</v>
      </c>
    </row>
    <row r="69" spans="1:84" s="6" customFormat="1" ht="11.25" x14ac:dyDescent="0.2">
      <c r="A69" s="11">
        <v>43155</v>
      </c>
      <c r="B69" s="382">
        <f>'2023'!Maxi_hp</f>
        <v>35.350844224345899</v>
      </c>
      <c r="C69" s="85">
        <f>'2023'!An_max</f>
        <v>2020</v>
      </c>
      <c r="D69" s="1132"/>
      <c r="E69" s="709"/>
      <c r="F69" s="13">
        <f t="shared" si="22"/>
        <v>5</v>
      </c>
      <c r="G69" s="13">
        <f t="shared" si="23"/>
        <v>6</v>
      </c>
      <c r="H69" s="175">
        <f t="shared" si="7"/>
        <v>43150</v>
      </c>
      <c r="I69" s="772">
        <f t="shared" si="8"/>
        <v>0.35714285714285715</v>
      </c>
      <c r="J69" s="763">
        <f t="shared" si="26"/>
        <v>35.602383527133078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P69" s="13">
        <f t="shared" si="10"/>
        <v>3</v>
      </c>
      <c r="AQ69" s="13">
        <f t="shared" si="11"/>
        <v>4</v>
      </c>
      <c r="AR69" s="175">
        <f t="shared" si="12"/>
        <v>43136</v>
      </c>
      <c r="AS69" s="772">
        <f t="shared" si="13"/>
        <v>0.6785714285714286</v>
      </c>
      <c r="AT69" s="789">
        <f t="shared" si="14"/>
        <v>35.723159739401723</v>
      </c>
      <c r="AU69" s="13">
        <f t="shared" si="15"/>
        <v>3</v>
      </c>
      <c r="AV69" s="13">
        <f t="shared" si="16"/>
        <v>4</v>
      </c>
      <c r="AW69" s="175">
        <f t="shared" si="17"/>
        <v>43150</v>
      </c>
      <c r="AX69" s="772">
        <f t="shared" si="18"/>
        <v>0.17857142857142858</v>
      </c>
      <c r="AY69" s="789">
        <f t="shared" si="19"/>
        <v>35.59959268831382</v>
      </c>
      <c r="AZ69" s="763">
        <f t="shared" si="25"/>
        <v>35.661376213857771</v>
      </c>
      <c r="BA69" s="647">
        <f t="shared" si="20"/>
        <v>0.99293476228647792</v>
      </c>
      <c r="BB69" s="642">
        <v>43155</v>
      </c>
      <c r="BC69" s="11">
        <v>43155</v>
      </c>
      <c r="BD69" s="292">
        <f>[2]!FeuilCaduc*(1-Persistant)+Persistant</f>
        <v>1</v>
      </c>
      <c r="BE69" s="293">
        <f>[2]!CroissVégét</f>
        <v>1.1294467751257744E-2</v>
      </c>
      <c r="BF69" s="842">
        <f>1+[2]!Salcycl*Ksac</f>
        <v>1.0006033046193257</v>
      </c>
      <c r="BH69" s="1105">
        <f t="shared" si="21"/>
        <v>1.5432985181527841E-2</v>
      </c>
      <c r="BI69" s="11">
        <v>44251</v>
      </c>
      <c r="BJ69" s="742">
        <v>3.229360069175442E-3</v>
      </c>
      <c r="BK69" s="742">
        <v>7.6148513303658507E-3</v>
      </c>
      <c r="BL69" s="742">
        <v>1.365451925963404E-2</v>
      </c>
      <c r="BM69" s="742">
        <v>2.2556819979854065E-2</v>
      </c>
      <c r="BN69" s="742">
        <v>3.9040096890279687E-2</v>
      </c>
      <c r="BO69" s="743">
        <v>8.6548133069280928E-2</v>
      </c>
      <c r="BP69" s="742">
        <v>0.16425372081492898</v>
      </c>
      <c r="BQ69" s="742">
        <v>0.26052832352411487</v>
      </c>
      <c r="BR69" s="742">
        <v>0.36036199294959381</v>
      </c>
      <c r="BS69" s="742">
        <v>0.47127966718707848</v>
      </c>
      <c r="BT69" s="742">
        <v>0.59949595224667873</v>
      </c>
      <c r="BW69" s="1187">
        <f>'2018'!R\Max</f>
        <v>0</v>
      </c>
      <c r="BX69" s="1185">
        <f>'2019'!R\Max</f>
        <v>0.96667205791739741</v>
      </c>
      <c r="BY69" s="1185">
        <f>'2020'!R\Max</f>
        <v>0.99293476228647792</v>
      </c>
      <c r="BZ69" s="1185">
        <f>'2021'!R\Max</f>
        <v>0.94718814849589394</v>
      </c>
      <c r="CA69" s="1185">
        <f>'2022'!R\Max</f>
        <v>0.57877245571829272</v>
      </c>
      <c r="CB69" s="1185">
        <f>'2023'!R\Max</f>
        <v>0.57390522835641022</v>
      </c>
      <c r="CC69" s="1185">
        <f>'2024'!R\Max</f>
        <v>0.56829286918230326</v>
      </c>
      <c r="CD69" s="1185">
        <f>'2025'!R\Max</f>
        <v>0.56206993461292798</v>
      </c>
      <c r="CE69" s="1185">
        <f>'2026'!R\Max</f>
        <v>0.58458051475148176</v>
      </c>
      <c r="CF69" s="1186">
        <f>'2027'!R\Max</f>
        <v>0.58365143338222014</v>
      </c>
    </row>
    <row r="70" spans="1:84" s="6" customFormat="1" ht="11.25" x14ac:dyDescent="0.2">
      <c r="A70" s="11">
        <v>43156</v>
      </c>
      <c r="B70" s="382">
        <f>'2023'!Maxi_hp</f>
        <v>35.147494250668068</v>
      </c>
      <c r="C70" s="85">
        <f>'2023'!An_max</f>
        <v>2019</v>
      </c>
      <c r="D70" s="1132"/>
      <c r="E70" s="709"/>
      <c r="F70" s="13">
        <f t="shared" si="22"/>
        <v>5</v>
      </c>
      <c r="G70" s="13">
        <f t="shared" si="23"/>
        <v>6</v>
      </c>
      <c r="H70" s="175">
        <f t="shared" si="7"/>
        <v>43150</v>
      </c>
      <c r="I70" s="772">
        <f t="shared" si="8"/>
        <v>0.42857142857142855</v>
      </c>
      <c r="J70" s="763">
        <f t="shared" si="26"/>
        <v>36.036558017453977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P70" s="13">
        <f t="shared" si="10"/>
        <v>3</v>
      </c>
      <c r="AQ70" s="13">
        <f t="shared" si="11"/>
        <v>4</v>
      </c>
      <c r="AR70" s="175">
        <f t="shared" si="12"/>
        <v>43136</v>
      </c>
      <c r="AS70" s="772">
        <f t="shared" si="13"/>
        <v>0.7142857142857143</v>
      </c>
      <c r="AT70" s="789">
        <f t="shared" si="14"/>
        <v>36.150509037769268</v>
      </c>
      <c r="AU70" s="13">
        <f t="shared" si="15"/>
        <v>3</v>
      </c>
      <c r="AV70" s="13">
        <f t="shared" si="16"/>
        <v>4</v>
      </c>
      <c r="AW70" s="175">
        <f t="shared" si="17"/>
        <v>43150</v>
      </c>
      <c r="AX70" s="772">
        <f t="shared" si="18"/>
        <v>0.21428571428571427</v>
      </c>
      <c r="AY70" s="789">
        <f t="shared" si="19"/>
        <v>36.03876242728105</v>
      </c>
      <c r="AZ70" s="763">
        <f t="shared" si="25"/>
        <v>36.094635732525163</v>
      </c>
      <c r="BA70" s="647">
        <f t="shared" si="20"/>
        <v>0.97532883783308888</v>
      </c>
      <c r="BB70" s="642">
        <v>43156</v>
      </c>
      <c r="BC70" s="11">
        <v>43156</v>
      </c>
      <c r="BD70" s="292">
        <f>[2]!FeuilCaduc*(1-Persistant)+Persistant</f>
        <v>1</v>
      </c>
      <c r="BE70" s="293">
        <f>[2]!CroissVégét</f>
        <v>1.1819687335529849E-2</v>
      </c>
      <c r="BF70" s="842">
        <f>1+[2]!Salcycl*Ksac</f>
        <v>1.0006309066499774</v>
      </c>
      <c r="BH70" s="1105">
        <f t="shared" si="21"/>
        <v>1.5763498016995264E-2</v>
      </c>
      <c r="BI70" s="11">
        <v>44252</v>
      </c>
      <c r="BJ70" s="742">
        <v>3.3023631758127073E-3</v>
      </c>
      <c r="BK70" s="742">
        <v>7.7917487908042817E-3</v>
      </c>
      <c r="BL70" s="742">
        <v>1.3958913920656874E-2</v>
      </c>
      <c r="BM70" s="742">
        <v>2.2991951946723783E-2</v>
      </c>
      <c r="BN70" s="742">
        <v>3.8664175294966407E-2</v>
      </c>
      <c r="BO70" s="743">
        <v>8.3819897375957339E-2</v>
      </c>
      <c r="BP70" s="742">
        <v>0.16007114032700887</v>
      </c>
      <c r="BQ70" s="742">
        <v>0.25573831109518913</v>
      </c>
      <c r="BR70" s="742">
        <v>0.3553935684617055</v>
      </c>
      <c r="BS70" s="742">
        <v>0.46481034382898367</v>
      </c>
      <c r="BT70" s="742">
        <v>0.5911965437991954</v>
      </c>
      <c r="BW70" s="1187">
        <f>'2018'!R\Max</f>
        <v>0</v>
      </c>
      <c r="BX70" s="1185">
        <f>'2019'!R\Max</f>
        <v>0.97532883783308888</v>
      </c>
      <c r="BY70" s="1185">
        <f>'2020'!R\Max</f>
        <v>0.5489767427194262</v>
      </c>
      <c r="BZ70" s="1185">
        <f>'2021'!R\Max</f>
        <v>0.88924125881198157</v>
      </c>
      <c r="CA70" s="1185">
        <f>'2022'!R\Max</f>
        <v>0.85167910533040658</v>
      </c>
      <c r="CB70" s="1185">
        <f>'2023'!R\Max</f>
        <v>0.84922307767712057</v>
      </c>
      <c r="CC70" s="1185">
        <f>'2024'!R\Max</f>
        <v>0.84633606817665741</v>
      </c>
      <c r="CD70" s="1185">
        <f>'2025'!R\Max</f>
        <v>0.84307671193446054</v>
      </c>
      <c r="CE70" s="1185">
        <f>'2026'!R\Max</f>
        <v>0.85449285162805599</v>
      </c>
      <c r="CF70" s="1186">
        <f>'2027'!R\Max</f>
        <v>0.85404228411089045</v>
      </c>
    </row>
    <row r="71" spans="1:84" s="6" customFormat="1" ht="11.25" x14ac:dyDescent="0.2">
      <c r="A71" s="11">
        <v>43157</v>
      </c>
      <c r="B71" s="382">
        <f>'2023'!Maxi_hp</f>
        <v>37.557751891620669</v>
      </c>
      <c r="C71" s="85">
        <f>'2023'!An_max</f>
        <v>2023</v>
      </c>
      <c r="D71" s="1132"/>
      <c r="E71" s="709"/>
      <c r="F71" s="13">
        <f t="shared" si="22"/>
        <v>5</v>
      </c>
      <c r="G71" s="13">
        <f t="shared" si="23"/>
        <v>6</v>
      </c>
      <c r="H71" s="175">
        <f t="shared" si="7"/>
        <v>43150</v>
      </c>
      <c r="I71" s="772">
        <f t="shared" si="8"/>
        <v>0.5</v>
      </c>
      <c r="J71" s="763">
        <f t="shared" si="26"/>
        <v>36.474349999800324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P71" s="13">
        <f t="shared" si="10"/>
        <v>3</v>
      </c>
      <c r="AQ71" s="13">
        <f t="shared" si="11"/>
        <v>4</v>
      </c>
      <c r="AR71" s="175">
        <f t="shared" si="12"/>
        <v>43136</v>
      </c>
      <c r="AS71" s="772">
        <f t="shared" si="13"/>
        <v>0.75</v>
      </c>
      <c r="AT71" s="789">
        <f t="shared" si="14"/>
        <v>36.579365625511855</v>
      </c>
      <c r="AU71" s="13">
        <f t="shared" si="15"/>
        <v>3</v>
      </c>
      <c r="AV71" s="13">
        <f t="shared" si="16"/>
        <v>4</v>
      </c>
      <c r="AW71" s="175">
        <f t="shared" si="17"/>
        <v>43150</v>
      </c>
      <c r="AX71" s="772">
        <f t="shared" si="18"/>
        <v>0.25</v>
      </c>
      <c r="AY71" s="789">
        <f t="shared" si="19"/>
        <v>36.483235937450083</v>
      </c>
      <c r="AZ71" s="763">
        <f t="shared" si="25"/>
        <v>36.531300781480965</v>
      </c>
      <c r="BA71" s="647">
        <f t="shared" si="20"/>
        <v>1.0297031171721025</v>
      </c>
      <c r="BB71" s="642">
        <v>43157</v>
      </c>
      <c r="BC71" s="11">
        <v>43157</v>
      </c>
      <c r="BD71" s="292">
        <f>[2]!FeuilCaduc*(1-Persistant)+Persistant</f>
        <v>1</v>
      </c>
      <c r="BE71" s="293">
        <f>[2]!CroissVégét</f>
        <v>1.236634784666045E-2</v>
      </c>
      <c r="BF71" s="842">
        <f>1+[2]!Salcycl*Ksac</f>
        <v>1.0006578555031269</v>
      </c>
      <c r="BH71" s="1105">
        <f t="shared" si="21"/>
        <v>1.6093932342810001E-2</v>
      </c>
      <c r="BI71" s="11">
        <v>44253</v>
      </c>
      <c r="BJ71" s="742">
        <v>3.3676907997203511E-3</v>
      </c>
      <c r="BK71" s="742">
        <v>7.9622552028132624E-3</v>
      </c>
      <c r="BL71" s="742">
        <v>1.4258226996660961E-2</v>
      </c>
      <c r="BM71" s="742">
        <v>2.3447045755545338E-2</v>
      </c>
      <c r="BN71" s="742">
        <v>3.8516458867482804E-2</v>
      </c>
      <c r="BO71" s="743">
        <v>8.1196297967200487E-2</v>
      </c>
      <c r="BP71" s="742">
        <v>0.15588610089649271</v>
      </c>
      <c r="BQ71" s="742">
        <v>0.25092859141792317</v>
      </c>
      <c r="BR71" s="742">
        <v>0.3505751326025271</v>
      </c>
      <c r="BS71" s="742">
        <v>0.45863638913970101</v>
      </c>
      <c r="BT71" s="742">
        <v>0.58308101943307822</v>
      </c>
      <c r="BW71" s="1187">
        <f>'2018'!R\Max</f>
        <v>0</v>
      </c>
      <c r="BX71" s="1185">
        <f>'2019'!R\Max</f>
        <v>0.91925948167087834</v>
      </c>
      <c r="BY71" s="1185">
        <f>'2020'!R\Max</f>
        <v>0.51427325350568975</v>
      </c>
      <c r="BZ71" s="1185">
        <f>'2021'!R\Max</f>
        <v>0.25671513941041169</v>
      </c>
      <c r="CA71" s="1185">
        <f>'2022'!R\Max</f>
        <v>1.0297031171721023</v>
      </c>
      <c r="CB71" s="1185">
        <f>'2023'!R\Max</f>
        <v>1.0297031171721025</v>
      </c>
      <c r="CC71" s="1185">
        <f>'2024'!R\Max</f>
        <v>1.0297031171721025</v>
      </c>
      <c r="CD71" s="1185">
        <f>'2025'!R\Max</f>
        <v>1.0297031171721021</v>
      </c>
      <c r="CE71" s="1185">
        <f>'2026'!R\Max</f>
        <v>1.0297031171721023</v>
      </c>
      <c r="CF71" s="1186">
        <f>'2027'!R\Max</f>
        <v>1.0297031171721021</v>
      </c>
    </row>
    <row r="72" spans="1:84" s="6" customFormat="1" ht="11.25" x14ac:dyDescent="0.2">
      <c r="A72" s="11">
        <v>43158</v>
      </c>
      <c r="B72" s="382">
        <f>'2023'!Maxi_hp</f>
        <v>35.744529564271296</v>
      </c>
      <c r="C72" s="85">
        <f>'2023'!An_max</f>
        <v>2019</v>
      </c>
      <c r="D72" s="1132"/>
      <c r="E72" s="709"/>
      <c r="F72" s="13">
        <f t="shared" si="22"/>
        <v>5</v>
      </c>
      <c r="G72" s="13">
        <f t="shared" si="23"/>
        <v>6</v>
      </c>
      <c r="H72" s="175">
        <f t="shared" si="7"/>
        <v>43150</v>
      </c>
      <c r="I72" s="772">
        <f t="shared" si="8"/>
        <v>0.5714285714285714</v>
      </c>
      <c r="J72" s="763">
        <f t="shared" si="26"/>
        <v>36.915307288723326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P72" s="13">
        <f t="shared" si="10"/>
        <v>3</v>
      </c>
      <c r="AQ72" s="13">
        <f t="shared" si="11"/>
        <v>4</v>
      </c>
      <c r="AR72" s="175">
        <f t="shared" si="12"/>
        <v>43136</v>
      </c>
      <c r="AS72" s="772">
        <f t="shared" si="13"/>
        <v>0.7857142857142857</v>
      </c>
      <c r="AT72" s="789">
        <f t="shared" si="14"/>
        <v>37.00947514602116</v>
      </c>
      <c r="AU72" s="13">
        <f t="shared" si="15"/>
        <v>3</v>
      </c>
      <c r="AV72" s="13">
        <f t="shared" si="16"/>
        <v>4</v>
      </c>
      <c r="AW72" s="175">
        <f t="shared" si="17"/>
        <v>43150</v>
      </c>
      <c r="AX72" s="772">
        <f t="shared" si="18"/>
        <v>0.2857142857142857</v>
      </c>
      <c r="AY72" s="789">
        <f t="shared" si="19"/>
        <v>36.932490378831112</v>
      </c>
      <c r="AZ72" s="763">
        <f t="shared" si="25"/>
        <v>36.970982762426132</v>
      </c>
      <c r="BA72" s="647">
        <f t="shared" si="20"/>
        <v>0.9682847628682838</v>
      </c>
      <c r="BB72" s="642">
        <v>43158</v>
      </c>
      <c r="BC72" s="11">
        <v>43158</v>
      </c>
      <c r="BD72" s="292">
        <f>[2]!FeuilCaduc*(1-Persistant)+Persistant</f>
        <v>1</v>
      </c>
      <c r="BE72" s="293">
        <f>[2]!CroissVégét</f>
        <v>1.2935299036280712E-2</v>
      </c>
      <c r="BF72" s="842">
        <f>1+[2]!Salcycl*Ksac</f>
        <v>1.0006842297149852</v>
      </c>
      <c r="BH72" s="1105">
        <f t="shared" si="21"/>
        <v>1.641419378883819E-2</v>
      </c>
      <c r="BI72" s="11">
        <v>44254</v>
      </c>
      <c r="BJ72" s="742">
        <v>3.4267115569456717E-3</v>
      </c>
      <c r="BK72" s="742">
        <v>8.1207457070220142E-3</v>
      </c>
      <c r="BL72" s="742">
        <v>1.4542738771368866E-2</v>
      </c>
      <c r="BM72" s="742">
        <v>2.391050632023246E-2</v>
      </c>
      <c r="BN72" s="742">
        <v>3.8583526401681306E-2</v>
      </c>
      <c r="BO72" s="743">
        <v>7.8793138427380463E-2</v>
      </c>
      <c r="BP72" s="742">
        <v>0.1517597884143837</v>
      </c>
      <c r="BQ72" s="742">
        <v>0.24603266662670878</v>
      </c>
      <c r="BR72" s="742">
        <v>0.34579833533446919</v>
      </c>
      <c r="BS72" s="742">
        <v>0.4526902030594096</v>
      </c>
      <c r="BT72" s="742">
        <v>0.57509446835031253</v>
      </c>
      <c r="BW72" s="1187">
        <f>'2018'!R\Max</f>
        <v>0</v>
      </c>
      <c r="BX72" s="1185">
        <f>'2019'!R\Max</f>
        <v>0.9682847628682838</v>
      </c>
      <c r="BY72" s="1185">
        <f>'2020'!R\Max</f>
        <v>0.25628107592677352</v>
      </c>
      <c r="BZ72" s="1185">
        <f>'2021'!R\Max</f>
        <v>0.96321703836689387</v>
      </c>
      <c r="CA72" s="1185">
        <f>'2022'!R\Max</f>
        <v>0.7723277849613116</v>
      </c>
      <c r="CB72" s="1185">
        <f>'2023'!R\Max</f>
        <v>0.76914446623124944</v>
      </c>
      <c r="CC72" s="1185">
        <f>'2024'!R\Max</f>
        <v>0.76534771684838165</v>
      </c>
      <c r="CD72" s="1185">
        <f>'2025'!R\Max</f>
        <v>0.7610267308714076</v>
      </c>
      <c r="CE72" s="1185">
        <f>'2026'!R\Max</f>
        <v>0.7757988727963705</v>
      </c>
      <c r="CF72" s="1186">
        <f>'2027'!R\Max</f>
        <v>0.77521575684431088</v>
      </c>
    </row>
    <row r="73" spans="1:84" s="6" customFormat="1" ht="11.25" x14ac:dyDescent="0.2">
      <c r="A73" s="11">
        <v>43159</v>
      </c>
      <c r="B73" s="382">
        <f>'2023'!Maxi_hp</f>
        <v>34.03299855797831</v>
      </c>
      <c r="C73" s="85">
        <f>'2023'!An_max</f>
        <v>2022</v>
      </c>
      <c r="D73" s="1132"/>
      <c r="E73" s="709"/>
      <c r="F73" s="13">
        <f t="shared" si="22"/>
        <v>5</v>
      </c>
      <c r="G73" s="13">
        <f t="shared" si="23"/>
        <v>6</v>
      </c>
      <c r="H73" s="175">
        <f t="shared" si="7"/>
        <v>43150</v>
      </c>
      <c r="I73" s="772">
        <f t="shared" si="8"/>
        <v>0.6428571428571429</v>
      </c>
      <c r="J73" s="763">
        <f t="shared" si="26"/>
        <v>37.358977696698688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P73" s="13">
        <f t="shared" si="10"/>
        <v>3</v>
      </c>
      <c r="AQ73" s="13">
        <f t="shared" si="11"/>
        <v>4</v>
      </c>
      <c r="AR73" s="175">
        <f t="shared" si="12"/>
        <v>43136</v>
      </c>
      <c r="AS73" s="772">
        <f t="shared" si="13"/>
        <v>0.8214285714285714</v>
      </c>
      <c r="AT73" s="789">
        <f t="shared" si="14"/>
        <v>37.440583245123605</v>
      </c>
      <c r="AU73" s="13">
        <f t="shared" si="15"/>
        <v>3</v>
      </c>
      <c r="AV73" s="13">
        <f t="shared" si="16"/>
        <v>4</v>
      </c>
      <c r="AW73" s="175">
        <f t="shared" si="17"/>
        <v>43150</v>
      </c>
      <c r="AX73" s="772">
        <f t="shared" si="18"/>
        <v>0.32142857142857145</v>
      </c>
      <c r="AY73" s="789">
        <f t="shared" si="19"/>
        <v>37.386002910928802</v>
      </c>
      <c r="AZ73" s="763">
        <f t="shared" si="25"/>
        <v>37.4132930780262</v>
      </c>
      <c r="BA73" s="647">
        <f t="shared" si="20"/>
        <v>0.91097242634093045</v>
      </c>
      <c r="BB73" s="642">
        <v>43159</v>
      </c>
      <c r="BC73" s="11">
        <v>43159</v>
      </c>
      <c r="BD73" s="292">
        <f>[2]!FeuilCaduc*(1-Persistant)+Persistant</f>
        <v>1</v>
      </c>
      <c r="BE73" s="293">
        <f>[2]!CroissVégét</f>
        <v>1.352742218145603E-2</v>
      </c>
      <c r="BF73" s="842">
        <f>1+[2]!Salcycl*Ksac</f>
        <v>1.0007101454641394</v>
      </c>
      <c r="BH73" s="1105">
        <f t="shared" si="21"/>
        <v>1.6719057795567469E-2</v>
      </c>
      <c r="BI73" s="11">
        <v>44255</v>
      </c>
      <c r="BJ73" s="742">
        <v>3.4817849993784185E-3</v>
      </c>
      <c r="BK73" s="742">
        <v>8.267298504723063E-3</v>
      </c>
      <c r="BL73" s="742">
        <v>1.4811985598659134E-2</v>
      </c>
      <c r="BM73" s="742">
        <v>2.4358038735269316E-2</v>
      </c>
      <c r="BN73" s="742">
        <v>3.8710229049097412E-2</v>
      </c>
      <c r="BO73" s="743">
        <v>7.6575391281469118E-2</v>
      </c>
      <c r="BP73" s="742">
        <v>0.1476356390818068</v>
      </c>
      <c r="BQ73" s="742">
        <v>0.24103609036752691</v>
      </c>
      <c r="BR73" s="742">
        <v>0.34091110729788737</v>
      </c>
      <c r="BS73" s="742">
        <v>0.44680621829540529</v>
      </c>
      <c r="BT73" s="742">
        <v>0.56705884623777891</v>
      </c>
      <c r="BW73" s="1187">
        <f>'2018'!R\Max</f>
        <v>0</v>
      </c>
      <c r="BX73" s="1185">
        <f>'2019'!R\Max</f>
        <v>0.83358503761839908</v>
      </c>
      <c r="BY73" s="1185">
        <f>'2020'!R\Max</f>
        <v>0.5109249139737132</v>
      </c>
      <c r="BZ73" s="1185">
        <f>'2021'!R\Max</f>
        <v>0.83057877958607762</v>
      </c>
      <c r="CA73" s="1185">
        <f>'2022'!R\Max</f>
        <v>0.91097242634093045</v>
      </c>
      <c r="CB73" s="1185">
        <f>'2023'!R\Max</f>
        <v>0.90955723493983265</v>
      </c>
      <c r="CC73" s="1185">
        <f>'2024'!R\Max</f>
        <v>0.90784214212997116</v>
      </c>
      <c r="CD73" s="1185">
        <f>'2025'!R\Max</f>
        <v>0.90586389010146395</v>
      </c>
      <c r="CE73" s="1185">
        <f>'2026'!R\Max</f>
        <v>0.9124771561451831</v>
      </c>
      <c r="CF73" s="1186">
        <f>'2027'!R\Max</f>
        <v>0.91221688917195975</v>
      </c>
    </row>
    <row r="74" spans="1:84" s="6" customFormat="1" ht="11.25" x14ac:dyDescent="0.2">
      <c r="A74" s="11">
        <v>43160</v>
      </c>
      <c r="B74" s="382">
        <f>'2023'!Maxi_hp</f>
        <v>37.454455213013745</v>
      </c>
      <c r="C74" s="85">
        <f>'2023'!An_max</f>
        <v>2022</v>
      </c>
      <c r="D74" s="1132"/>
      <c r="E74" s="709"/>
      <c r="F74" s="13">
        <f t="shared" si="22"/>
        <v>5</v>
      </c>
      <c r="G74" s="13">
        <f t="shared" si="23"/>
        <v>6</v>
      </c>
      <c r="H74" s="175">
        <f t="shared" si="7"/>
        <v>43150</v>
      </c>
      <c r="I74" s="772">
        <f t="shared" si="8"/>
        <v>0.7142857142857143</v>
      </c>
      <c r="J74" s="763">
        <f t="shared" si="26"/>
        <v>37.804909037585773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P74" s="13">
        <f t="shared" si="10"/>
        <v>3</v>
      </c>
      <c r="AQ74" s="13">
        <f t="shared" si="11"/>
        <v>4</v>
      </c>
      <c r="AR74" s="175">
        <f t="shared" si="12"/>
        <v>43136</v>
      </c>
      <c r="AS74" s="772">
        <f t="shared" si="13"/>
        <v>0.8571428571428571</v>
      </c>
      <c r="AT74" s="789">
        <f t="shared" si="14"/>
        <v>37.872435568379501</v>
      </c>
      <c r="AU74" s="13">
        <f t="shared" si="15"/>
        <v>3</v>
      </c>
      <c r="AV74" s="13">
        <f t="shared" si="16"/>
        <v>4</v>
      </c>
      <c r="AW74" s="175">
        <f t="shared" si="17"/>
        <v>43150</v>
      </c>
      <c r="AX74" s="772">
        <f t="shared" si="18"/>
        <v>0.35714285714285715</v>
      </c>
      <c r="AY74" s="789">
        <f t="shared" si="19"/>
        <v>37.843250692635777</v>
      </c>
      <c r="AZ74" s="763">
        <f t="shared" si="25"/>
        <v>37.857843130507639</v>
      </c>
      <c r="BA74" s="647">
        <f t="shared" si="20"/>
        <v>0.99072993869067094</v>
      </c>
      <c r="BB74" s="642">
        <v>43160</v>
      </c>
      <c r="BC74" s="11">
        <v>43160</v>
      </c>
      <c r="BD74" s="292">
        <f>[2]!FeuilCaduc*(1-Persistant)+Persistant</f>
        <v>1</v>
      </c>
      <c r="BE74" s="293">
        <f>[2]!CroissVégét</f>
        <v>1.4143631071573595E-2</v>
      </c>
      <c r="BF74" s="842">
        <f>1+[2]!Salcycl*Ksac</f>
        <v>1.0007357574904123</v>
      </c>
      <c r="BH74" s="1105">
        <f t="shared" si="21"/>
        <v>1.700851909870504E-2</v>
      </c>
      <c r="BI74" s="11">
        <v>44256</v>
      </c>
      <c r="BJ74" s="742">
        <v>3.5329099871667519E-3</v>
      </c>
      <c r="BK74" s="742">
        <v>8.4019109096720463E-3</v>
      </c>
      <c r="BL74" s="742">
        <v>1.5065962786286281E-2</v>
      </c>
      <c r="BM74" s="742">
        <v>2.478963544496661E-2</v>
      </c>
      <c r="BN74" s="742">
        <v>3.8896553895556678E-2</v>
      </c>
      <c r="BO74" s="743">
        <v>7.4543022630900069E-2</v>
      </c>
      <c r="BP74" s="742">
        <v>0.14351358260218802</v>
      </c>
      <c r="BQ74" s="742">
        <v>0.23593875286648411</v>
      </c>
      <c r="BR74" s="742">
        <v>0.33591330202949049</v>
      </c>
      <c r="BS74" s="742">
        <v>0.44098424808852626</v>
      </c>
      <c r="BT74" s="742">
        <v>0.55897391192106194</v>
      </c>
      <c r="BW74" s="1187">
        <f>'2018'!R\Max</f>
        <v>0</v>
      </c>
      <c r="BX74" s="1185">
        <f>'2019'!R\Max</f>
        <v>0.4167365870121596</v>
      </c>
      <c r="BY74" s="1185">
        <f>'2020'!R\Max</f>
        <v>0.41418801579853853</v>
      </c>
      <c r="BZ74" s="1185">
        <f>'2021'!R\Max</f>
        <v>0.89012975845594533</v>
      </c>
      <c r="CA74" s="1185">
        <f>'2022'!R\Max</f>
        <v>0.99072993869067094</v>
      </c>
      <c r="CB74" s="1185">
        <f>'2023'!R\Max</f>
        <v>0.99057615573120694</v>
      </c>
      <c r="CC74" s="1185">
        <f>'2024'!R\Max</f>
        <v>0.99038698149672122</v>
      </c>
      <c r="CD74" s="1185">
        <f>'2025'!R\Max</f>
        <v>0.9901662845298036</v>
      </c>
      <c r="CE74" s="1185">
        <f>'2026'!R\Max</f>
        <v>0.99089055579450391</v>
      </c>
      <c r="CF74" s="1186">
        <f>'2027'!R\Max</f>
        <v>0.99086183921594817</v>
      </c>
    </row>
    <row r="75" spans="1:84" s="6" customFormat="1" ht="11.25" x14ac:dyDescent="0.2">
      <c r="A75" s="11">
        <v>43161</v>
      </c>
      <c r="B75" s="382">
        <f>'2023'!Maxi_hp</f>
        <v>26.22963515117911</v>
      </c>
      <c r="C75" s="85">
        <f>'2023'!An_max</f>
        <v>2020</v>
      </c>
      <c r="D75" s="1132"/>
      <c r="E75" s="709"/>
      <c r="F75" s="13">
        <f t="shared" si="22"/>
        <v>5</v>
      </c>
      <c r="G75" s="13">
        <f t="shared" si="23"/>
        <v>6</v>
      </c>
      <c r="H75" s="175">
        <f t="shared" si="7"/>
        <v>43150</v>
      </c>
      <c r="I75" s="772">
        <f t="shared" si="8"/>
        <v>0.7857142857142857</v>
      </c>
      <c r="J75" s="763">
        <f t="shared" si="26"/>
        <v>38.252649125297161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P75" s="13">
        <f t="shared" si="10"/>
        <v>3</v>
      </c>
      <c r="AQ75" s="13">
        <f t="shared" si="11"/>
        <v>4</v>
      </c>
      <c r="AR75" s="175">
        <f t="shared" si="12"/>
        <v>43136</v>
      </c>
      <c r="AS75" s="772">
        <f t="shared" si="13"/>
        <v>0.8928571428571429</v>
      </c>
      <c r="AT75" s="789">
        <f t="shared" si="14"/>
        <v>38.304777760803702</v>
      </c>
      <c r="AU75" s="13">
        <f t="shared" si="15"/>
        <v>3</v>
      </c>
      <c r="AV75" s="13">
        <f t="shared" si="16"/>
        <v>4</v>
      </c>
      <c r="AW75" s="175">
        <f t="shared" si="17"/>
        <v>43150</v>
      </c>
      <c r="AX75" s="772">
        <f t="shared" si="18"/>
        <v>0.39285714285714285</v>
      </c>
      <c r="AY75" s="789">
        <f t="shared" si="19"/>
        <v>38.303710882891238</v>
      </c>
      <c r="AZ75" s="763">
        <f t="shared" si="25"/>
        <v>38.30424432184747</v>
      </c>
      <c r="BA75" s="647">
        <f t="shared" si="20"/>
        <v>0.68569460549682515</v>
      </c>
      <c r="BB75" s="642">
        <v>43161</v>
      </c>
      <c r="BC75" s="11">
        <v>43161</v>
      </c>
      <c r="BD75" s="292">
        <f>[2]!FeuilCaduc*(1-Persistant)+Persistant</f>
        <v>1</v>
      </c>
      <c r="BE75" s="293">
        <f>[2]!CroissVégét</f>
        <v>1.47848730100967E-2</v>
      </c>
      <c r="BF75" s="842">
        <f>1+[2]!Salcycl*Ksac</f>
        <v>1.0007612597388913</v>
      </c>
      <c r="BH75" s="1105">
        <f t="shared" si="21"/>
        <v>1.7282571899706597E-2</v>
      </c>
      <c r="BI75" s="11">
        <v>44257</v>
      </c>
      <c r="BJ75" s="742">
        <v>3.5800852776557467E-3</v>
      </c>
      <c r="BK75" s="742">
        <v>8.5245799543237407E-3</v>
      </c>
      <c r="BL75" s="742">
        <v>1.5304665161177155E-2</v>
      </c>
      <c r="BM75" s="742">
        <v>2.5205288145388666E-2</v>
      </c>
      <c r="BN75" s="742">
        <v>3.9142488161211721E-2</v>
      </c>
      <c r="BO75" s="743">
        <v>7.2696002859727687E-2</v>
      </c>
      <c r="BP75" s="742">
        <v>0.13939355479395879</v>
      </c>
      <c r="BQ75" s="742">
        <v>0.23074055120098039</v>
      </c>
      <c r="BR75" s="742">
        <v>0.33080477970271666</v>
      </c>
      <c r="BS75" s="742">
        <v>0.43522411472307171</v>
      </c>
      <c r="BT75" s="742">
        <v>0.55083943585295181</v>
      </c>
      <c r="BW75" s="1187">
        <f>'2018'!R\Max</f>
        <v>0</v>
      </c>
      <c r="BX75" s="1185">
        <f>'2019'!R\Max</f>
        <v>0.53835320142133414</v>
      </c>
      <c r="BY75" s="1185">
        <f>'2020'!R\Max</f>
        <v>0.68569460549682515</v>
      </c>
      <c r="BZ75" s="1185">
        <f>'2021'!R\Max</f>
        <v>0.41948591156052512</v>
      </c>
      <c r="CA75" s="1185">
        <f>'2022'!R\Max</f>
        <v>0.44966432158775194</v>
      </c>
      <c r="CB75" s="1185">
        <f>'2023'!R\Max</f>
        <v>0.44574163862881089</v>
      </c>
      <c r="CC75" s="1185">
        <f>'2024'!R\Max</f>
        <v>0.44094374867884223</v>
      </c>
      <c r="CD75" s="1185">
        <f>'2025'!R\Max</f>
        <v>0.43542615769849274</v>
      </c>
      <c r="CE75" s="1185">
        <f>'2026'!R\Max</f>
        <v>0.45379432524755547</v>
      </c>
      <c r="CF75" s="1186">
        <f>'2027'!R\Max</f>
        <v>0.4530224709552616</v>
      </c>
    </row>
    <row r="76" spans="1:84" s="6" customFormat="1" ht="11.25" x14ac:dyDescent="0.2">
      <c r="A76" s="11">
        <v>43162</v>
      </c>
      <c r="B76" s="382">
        <f>'2023'!Maxi_hp</f>
        <v>35.856959587503439</v>
      </c>
      <c r="C76" s="85">
        <f>'2023'!An_max</f>
        <v>2022</v>
      </c>
      <c r="D76" s="1132"/>
      <c r="E76" s="709"/>
      <c r="F76" s="13">
        <f t="shared" si="22"/>
        <v>5</v>
      </c>
      <c r="G76" s="13">
        <f t="shared" si="23"/>
        <v>6</v>
      </c>
      <c r="H76" s="175">
        <f t="shared" si="7"/>
        <v>43150</v>
      </c>
      <c r="I76" s="772">
        <f t="shared" si="8"/>
        <v>0.8571428571428571</v>
      </c>
      <c r="J76" s="763">
        <f t="shared" si="26"/>
        <v>38.701745772255315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P76" s="13">
        <f t="shared" si="10"/>
        <v>3</v>
      </c>
      <c r="AQ76" s="13">
        <f t="shared" si="11"/>
        <v>4</v>
      </c>
      <c r="AR76" s="175">
        <f t="shared" si="12"/>
        <v>43136</v>
      </c>
      <c r="AS76" s="772">
        <f t="shared" si="13"/>
        <v>0.9285714285714286</v>
      </c>
      <c r="AT76" s="789">
        <f t="shared" si="14"/>
        <v>38.737355466532918</v>
      </c>
      <c r="AU76" s="13">
        <f t="shared" si="15"/>
        <v>3</v>
      </c>
      <c r="AV76" s="13">
        <f t="shared" si="16"/>
        <v>4</v>
      </c>
      <c r="AW76" s="175">
        <f t="shared" si="17"/>
        <v>43150</v>
      </c>
      <c r="AX76" s="772">
        <f t="shared" si="18"/>
        <v>0.42857142857142855</v>
      </c>
      <c r="AY76" s="789">
        <f t="shared" si="19"/>
        <v>38.766860641299608</v>
      </c>
      <c r="AZ76" s="763">
        <f t="shared" si="25"/>
        <v>38.75210805391626</v>
      </c>
      <c r="BA76" s="647">
        <f t="shared" si="20"/>
        <v>0.92649462891177226</v>
      </c>
      <c r="BB76" s="642">
        <v>43162</v>
      </c>
      <c r="BC76" s="11">
        <v>43162</v>
      </c>
      <c r="BD76" s="292">
        <f>[2]!FeuilCaduc*(1-Persistant)+Persistant</f>
        <v>1</v>
      </c>
      <c r="BE76" s="293">
        <f>[2]!CroissVégét</f>
        <v>1.5452129829812465E-2</v>
      </c>
      <c r="BF76" s="842">
        <f>1+[2]!Salcycl*Ksac</f>
        <v>1.0007868857281301</v>
      </c>
      <c r="BH76" s="1105">
        <f t="shared" si="21"/>
        <v>1.7541209922842148E-2</v>
      </c>
      <c r="BI76" s="11">
        <v>44258</v>
      </c>
      <c r="BJ76" s="742">
        <v>3.6233095400117921E-3</v>
      </c>
      <c r="BK76" s="742">
        <v>8.6353024340469781E-3</v>
      </c>
      <c r="BL76" s="742">
        <v>1.5528087125995042E-2</v>
      </c>
      <c r="BM76" s="742">
        <v>2.5604987843428923E-2</v>
      </c>
      <c r="BN76" s="742">
        <v>3.9448018980130957E-2</v>
      </c>
      <c r="BO76" s="743">
        <v>7.1034305949024421E-2</v>
      </c>
      <c r="BP76" s="742">
        <v>0.13527549758324131</v>
      </c>
      <c r="BQ76" s="742">
        <v>0.22544138967325764</v>
      </c>
      <c r="BR76" s="742">
        <v>0.32558540753801324</v>
      </c>
      <c r="BS76" s="742">
        <v>0.42952564929895831</v>
      </c>
      <c r="BT76" s="742">
        <v>0.54265520029786307</v>
      </c>
      <c r="BW76" s="1187">
        <f>'2018'!R\Max</f>
        <v>0</v>
      </c>
      <c r="BX76" s="1185">
        <f>'2019'!R\Max</f>
        <v>0.86060244845145839</v>
      </c>
      <c r="BY76" s="1185">
        <f>'2020'!R\Max</f>
        <v>0.57455909448181708</v>
      </c>
      <c r="BZ76" s="1185">
        <f>'2021'!R\Max</f>
        <v>0.46952104307679038</v>
      </c>
      <c r="CA76" s="1185">
        <f>'2022'!R\Max</f>
        <v>0.92649462891177226</v>
      </c>
      <c r="CB76" s="1185">
        <f>'2023'!R\Max</f>
        <v>0.92545997828882143</v>
      </c>
      <c r="CC76" s="1185">
        <f>'2024'!R\Max</f>
        <v>0.92415268432930819</v>
      </c>
      <c r="CD76" s="1185">
        <f>'2025'!R\Max</f>
        <v>0.9226035541248786</v>
      </c>
      <c r="CE76" s="1185">
        <f>'2026'!R\Max</f>
        <v>0.92756335846198212</v>
      </c>
      <c r="CF76" s="1186">
        <f>'2027'!R\Max</f>
        <v>0.92735693685455456</v>
      </c>
    </row>
    <row r="77" spans="1:84" s="6" customFormat="1" ht="11.25" x14ac:dyDescent="0.2">
      <c r="A77" s="11">
        <v>43163</v>
      </c>
      <c r="B77" s="382">
        <f>'2023'!Maxi_hp</f>
        <v>29.720518011114656</v>
      </c>
      <c r="C77" s="85">
        <f>'2023'!An_max</f>
        <v>2021</v>
      </c>
      <c r="D77" s="1132"/>
      <c r="E77" s="709"/>
      <c r="F77" s="13">
        <f t="shared" si="22"/>
        <v>5</v>
      </c>
      <c r="G77" s="13">
        <f t="shared" si="23"/>
        <v>6</v>
      </c>
      <c r="H77" s="175">
        <f t="shared" si="7"/>
        <v>43150</v>
      </c>
      <c r="I77" s="772">
        <f t="shared" si="8"/>
        <v>0.9285714285714286</v>
      </c>
      <c r="J77" s="763">
        <f t="shared" si="26"/>
        <v>39.151746793064689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P77" s="13">
        <f t="shared" si="10"/>
        <v>3</v>
      </c>
      <c r="AQ77" s="13">
        <f t="shared" si="11"/>
        <v>4</v>
      </c>
      <c r="AR77" s="175">
        <f t="shared" si="12"/>
        <v>43136</v>
      </c>
      <c r="AS77" s="772">
        <f t="shared" si="13"/>
        <v>0.9642857142857143</v>
      </c>
      <c r="AT77" s="789">
        <f t="shared" si="14"/>
        <v>39.169914330967835</v>
      </c>
      <c r="AU77" s="13">
        <f t="shared" si="15"/>
        <v>3</v>
      </c>
      <c r="AV77" s="13">
        <f t="shared" si="16"/>
        <v>4</v>
      </c>
      <c r="AW77" s="175">
        <f t="shared" si="17"/>
        <v>43150</v>
      </c>
      <c r="AX77" s="772">
        <f t="shared" si="18"/>
        <v>0.4642857142857143</v>
      </c>
      <c r="AY77" s="789">
        <f t="shared" si="19"/>
        <v>39.232177127378861</v>
      </c>
      <c r="AZ77" s="763">
        <f t="shared" si="25"/>
        <v>39.201045729173345</v>
      </c>
      <c r="BA77" s="647">
        <f t="shared" si="20"/>
        <v>0.75911090680580628</v>
      </c>
      <c r="BB77" s="642">
        <v>43163</v>
      </c>
      <c r="BC77" s="11">
        <v>43163</v>
      </c>
      <c r="BD77" s="292">
        <f>[2]!FeuilCaduc*(1-Persistant)+Persistant</f>
        <v>1</v>
      </c>
      <c r="BE77" s="293">
        <f>[2]!CroissVégét</f>
        <v>1.6146418920009037E-2</v>
      </c>
      <c r="BF77" s="842">
        <f>1+[2]!Salcycl*Ksac</f>
        <v>1.0008129086442998</v>
      </c>
      <c r="BH77" s="1105">
        <f t="shared" si="21"/>
        <v>1.7784426472235708E-2</v>
      </c>
      <c r="BI77" s="11">
        <v>44259</v>
      </c>
      <c r="BJ77" s="742">
        <v>3.6625813698415613E-3</v>
      </c>
      <c r="BK77" s="742">
        <v>8.7340749513266803E-3</v>
      </c>
      <c r="BL77" s="742">
        <v>1.5736222715680624E-2</v>
      </c>
      <c r="BM77" s="742">
        <v>2.598872491584733E-2</v>
      </c>
      <c r="BN77" s="742">
        <v>3.981313317982834E-2</v>
      </c>
      <c r="BO77" s="743">
        <v>6.95579087911707E-2</v>
      </c>
      <c r="BP77" s="742">
        <v>0.13115935899632822</v>
      </c>
      <c r="BQ77" s="742">
        <v>0.22004118018360663</v>
      </c>
      <c r="BR77" s="742">
        <v>0.3202550602126264</v>
      </c>
      <c r="BS77" s="742">
        <v>0.42388869150323116</v>
      </c>
      <c r="BT77" s="742">
        <v>0.53442099951543798</v>
      </c>
      <c r="BW77" s="1187">
        <f>'2018'!R\Max</f>
        <v>0</v>
      </c>
      <c r="BX77" s="1185">
        <f>'2019'!R\Max</f>
        <v>0.2541513285779442</v>
      </c>
      <c r="BY77" s="1185">
        <f>'2020'!R\Max</f>
        <v>0.1430449265487807</v>
      </c>
      <c r="BZ77" s="1185">
        <f>'2021'!R\Max</f>
        <v>0.75911090680580628</v>
      </c>
      <c r="CA77" s="1185">
        <f>'2022'!R\Max</f>
        <v>0.17212439418452585</v>
      </c>
      <c r="CB77" s="1185">
        <f>'2023'!R\Max</f>
        <v>0.17039739799656872</v>
      </c>
      <c r="CC77" s="1185">
        <f>'2024'!R\Max</f>
        <v>0.16822126691490921</v>
      </c>
      <c r="CD77" s="1185">
        <f>'2025'!R\Max</f>
        <v>0.16567905323187448</v>
      </c>
      <c r="CE77" s="1185">
        <f>'2026'!R\Max</f>
        <v>0.17394754781857702</v>
      </c>
      <c r="CF77" s="1186">
        <f>'2027'!R\Max</f>
        <v>0.1735777058428232</v>
      </c>
    </row>
    <row r="78" spans="1:84" s="6" customFormat="1" ht="11.25" x14ac:dyDescent="0.2">
      <c r="A78" s="11">
        <v>43164</v>
      </c>
      <c r="B78" s="382">
        <f>'2023'!Maxi_hp</f>
        <v>38.596496043622651</v>
      </c>
      <c r="C78" s="85">
        <f>'2023'!An_max</f>
        <v>2019</v>
      </c>
      <c r="D78" s="1132"/>
      <c r="E78" s="771">
        <f>R$13/10</f>
        <v>39.602199999999996</v>
      </c>
      <c r="F78" s="13">
        <f t="shared" si="22"/>
        <v>7</v>
      </c>
      <c r="G78" s="13">
        <f t="shared" si="23"/>
        <v>6</v>
      </c>
      <c r="H78" s="175">
        <f t="shared" si="7"/>
        <v>43178</v>
      </c>
      <c r="I78" s="772">
        <f t="shared" si="8"/>
        <v>1</v>
      </c>
      <c r="J78" s="763">
        <f t="shared" si="26"/>
        <v>39.60219999998808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P78" s="13">
        <f t="shared" si="10"/>
        <v>5</v>
      </c>
      <c r="AQ78" s="13">
        <f t="shared" si="11"/>
        <v>4</v>
      </c>
      <c r="AR78" s="175">
        <f t="shared" si="12"/>
        <v>43192</v>
      </c>
      <c r="AS78" s="772">
        <f t="shared" si="13"/>
        <v>1</v>
      </c>
      <c r="AT78" s="789">
        <f t="shared" si="14"/>
        <v>39.60219999998808</v>
      </c>
      <c r="AU78" s="13">
        <f t="shared" si="15"/>
        <v>3</v>
      </c>
      <c r="AV78" s="13">
        <f t="shared" si="16"/>
        <v>4</v>
      </c>
      <c r="AW78" s="175">
        <f t="shared" si="17"/>
        <v>43150</v>
      </c>
      <c r="AX78" s="772">
        <f t="shared" si="18"/>
        <v>0.5</v>
      </c>
      <c r="AY78" s="789">
        <f t="shared" si="19"/>
        <v>39.699137500021607</v>
      </c>
      <c r="AZ78" s="763">
        <f t="shared" si="25"/>
        <v>39.65066875000484</v>
      </c>
      <c r="BA78" s="647">
        <f t="shared" si="20"/>
        <v>0.97460484628718269</v>
      </c>
      <c r="BB78" s="642">
        <v>43164</v>
      </c>
      <c r="BC78" s="11">
        <v>43164</v>
      </c>
      <c r="BD78" s="292">
        <f>[2]!FeuilCaduc*(1-Persistant)+Persistant</f>
        <v>1</v>
      </c>
      <c r="BE78" s="293">
        <f>[2]!CroissVégét</f>
        <v>1.6868794263800321E-2</v>
      </c>
      <c r="BF78" s="842">
        <f>1+[2]!Salcycl*Ksac</f>
        <v>1.0008396411657456</v>
      </c>
      <c r="BH78" s="1105">
        <f t="shared" si="21"/>
        <v>1.8012214488957394E-2</v>
      </c>
      <c r="BI78" s="11">
        <v>44260</v>
      </c>
      <c r="BJ78" s="742">
        <v>3.6978993038218298E-3</v>
      </c>
      <c r="BK78" s="742">
        <v>8.8208939599916988E-3</v>
      </c>
      <c r="BL78" s="742">
        <v>1.592906565403936E-2</v>
      </c>
      <c r="BM78" s="742">
        <v>2.6356489168384151E-2</v>
      </c>
      <c r="BN78" s="742">
        <v>4.0237817060911292E-2</v>
      </c>
      <c r="BO78" s="743">
        <v>6.8266790504359673E-2</v>
      </c>
      <c r="BP78" s="742">
        <v>0.12704509315257242</v>
      </c>
      <c r="BQ78" s="742">
        <v>0.21453984260425565</v>
      </c>
      <c r="BR78" s="742">
        <v>0.31481362027137194</v>
      </c>
      <c r="BS78" s="742">
        <v>0.41831308938286965</v>
      </c>
      <c r="BT78" s="742">
        <v>0.52613663994578586</v>
      </c>
      <c r="BW78" s="1187">
        <f>'2018'!R\Max</f>
        <v>0</v>
      </c>
      <c r="BX78" s="1185">
        <f>'2019'!R\Max</f>
        <v>0.97460484628718269</v>
      </c>
      <c r="BY78" s="1185">
        <f>'2020'!R\Max</f>
        <v>0.22562133136329593</v>
      </c>
      <c r="BZ78" s="1185">
        <f>'2021'!R\Max</f>
        <v>0.78214080445917611</v>
      </c>
      <c r="CA78" s="1185">
        <f>'2022'!R\Max</f>
        <v>0.38194318411599754</v>
      </c>
      <c r="CB78" s="1185">
        <f>'2023'!R\Max</f>
        <v>0.37876503831706998</v>
      </c>
      <c r="CC78" s="1185">
        <f>'2024'!R\Max</f>
        <v>0.37466316490309776</v>
      </c>
      <c r="CD78" s="1185">
        <f>'2025'!R\Max</f>
        <v>0.3697936866757956</v>
      </c>
      <c r="CE78" s="1185">
        <f>'2026'!R\Max</f>
        <v>0.385324408002713</v>
      </c>
      <c r="CF78" s="1186">
        <f>'2027'!R\Max</f>
        <v>0.3846091575065701</v>
      </c>
    </row>
    <row r="79" spans="1:84" s="6" customFormat="1" ht="11.25" x14ac:dyDescent="0.2">
      <c r="A79" s="11">
        <v>43165</v>
      </c>
      <c r="B79" s="382">
        <f>'2023'!Maxi_hp</f>
        <v>24.169421383322462</v>
      </c>
      <c r="C79" s="85">
        <f>'2023'!An_max</f>
        <v>2019</v>
      </c>
      <c r="D79" s="1132"/>
      <c r="E79" s="709"/>
      <c r="F79" s="13">
        <f t="shared" si="22"/>
        <v>7</v>
      </c>
      <c r="G79" s="13">
        <f t="shared" ref="G79:G142" si="58">INT((MATCH($A79,x.2m)+1)/2)*2</f>
        <v>6</v>
      </c>
      <c r="H79" s="175">
        <f t="shared" ref="H79:H142" si="59">INDEX(x.2m,F79)</f>
        <v>43178</v>
      </c>
      <c r="I79" s="772">
        <f t="shared" ref="I79:I142" si="60">($A79-H79)/(INDEX(x.2m,G79)-H79)</f>
        <v>0.9285714285714286</v>
      </c>
      <c r="J79" s="763">
        <f t="shared" ref="J79:J142" si="61">((1-I79)*(INDEX(a.m,F79)*$A79*$A79+INDEX(b.m,F79)*$A79+INDEX(c.m,F79))+I79*(INDEX(a.m,G79)*$A79*$A79+INDEX(b.m,G79)*$A79+INDEX(c.m,G79)))/10</f>
        <v>40.055253279834453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P79" s="13">
        <f t="shared" ref="AP79:AP142" si="62">INT(MATCH($A79,x.2lg)/2)*2+1</f>
        <v>5</v>
      </c>
      <c r="AQ79" s="13">
        <f t="shared" ref="AQ79:AQ142" si="63">INT((MATCH($A79,x.2lg)+1)/2)*2</f>
        <v>4</v>
      </c>
      <c r="AR79" s="175">
        <f t="shared" ref="AR79:AR142" si="64">INDEX(x.2lg,AP79)</f>
        <v>43192</v>
      </c>
      <c r="AS79" s="772">
        <f t="shared" ref="AS79:AS142" si="65">($A79-AR79)/(INDEX(x.2lg,AQ79)-AR79)</f>
        <v>0.9642857142857143</v>
      </c>
      <c r="AT79" s="789">
        <f t="shared" ref="AT79:AT142" si="66">((1-AS79)*(INDEX(a.lg,AP79)*$A79*$A79+INDEX(b.lg,AP79)*$A79+INDEX(c.lg,AP79))+AS79*(INDEX(a.lg,AQ79)*$A79*$A79+INDEX(b.lg,AQ79)*$A79+INDEX(c.lg,AQ79)))/10</f>
        <v>40.038303348541788</v>
      </c>
      <c r="AU79" s="13">
        <f t="shared" ref="AU79:AU142" si="67">INT(MATCH($A79,x.2ld)/2)*2+1</f>
        <v>3</v>
      </c>
      <c r="AV79" s="13">
        <f t="shared" ref="AV79:AV142" si="68">INT((MATCH($A79,x.2ld)+1)/2)*2</f>
        <v>4</v>
      </c>
      <c r="AW79" s="175">
        <f t="shared" ref="AW79:AW142" si="69">INDEX(x.2ld,AU79)</f>
        <v>43150</v>
      </c>
      <c r="AX79" s="772">
        <f t="shared" ref="AX79:AX142" si="70">($A79-AW79)/(INDEX(x.2ld,AV79)-AW79)</f>
        <v>0.5357142857142857</v>
      </c>
      <c r="AY79" s="789">
        <f t="shared" ref="AY79:AY142" si="71">((1-AX79)*(INDEX(a.ld,AU79)*$A79*$A79+INDEX(b.ld,AU79)*$A79+INDEX(c.ld,AU79))+AX79*(INDEX(a.ld,AV79)*$A79*$A79+INDEX(b.ld,AV79)*$A79+INDEX(c.ld,AV79)))/10</f>
        <v>40.167218918845592</v>
      </c>
      <c r="AZ79" s="763">
        <f t="shared" si="25"/>
        <v>40.10276113369369</v>
      </c>
      <c r="BA79" s="647">
        <f t="shared" ref="BA79:BA142" si="72">+B79/J79</f>
        <v>0.60340203604430565</v>
      </c>
      <c r="BB79" s="642">
        <v>43165</v>
      </c>
      <c r="BC79" s="11">
        <v>43165</v>
      </c>
      <c r="BD79" s="292">
        <f>[2]!FeuilCaduc*(1-Persistant)+Persistant</f>
        <v>1</v>
      </c>
      <c r="BE79" s="293">
        <f>[2]!CroissVégét</f>
        <v>1.7620347483596571E-2</v>
      </c>
      <c r="BF79" s="842">
        <f>1+[2]!Salcycl*Ksac</f>
        <v>1.0008674350249427</v>
      </c>
      <c r="BH79" s="1105">
        <f t="shared" ref="BH79:BH142" si="73">INDEX($BJ79:$BT79,,$BH$10)*(1-Ratini)+INDEX($BJ79:$BT79,,$BH$10+1)*Ratini</f>
        <v>1.822456660804532E-2</v>
      </c>
      <c r="BI79" s="11">
        <v>44261</v>
      </c>
      <c r="BJ79" s="742">
        <v>3.729261834314798E-3</v>
      </c>
      <c r="BK79" s="742">
        <v>8.8957558094081429E-3</v>
      </c>
      <c r="BL79" s="742">
        <v>1.6106609410266714E-2</v>
      </c>
      <c r="BM79" s="742">
        <v>2.6708269894771371E-2</v>
      </c>
      <c r="BN79" s="742">
        <v>4.0722056176570841E-2</v>
      </c>
      <c r="BO79" s="743">
        <v>6.7160931746819516E-2</v>
      </c>
      <c r="BP79" s="742">
        <v>0.12293266025674092</v>
      </c>
      <c r="BQ79" s="742">
        <v>0.20893730515236544</v>
      </c>
      <c r="BR79" s="742">
        <v>0.3092609785361124</v>
      </c>
      <c r="BS79" s="742">
        <v>0.41279869911588268</v>
      </c>
      <c r="BT79" s="742">
        <v>0.51780194039256311</v>
      </c>
      <c r="BW79" s="1187">
        <f>'2018'!R\Max</f>
        <v>0</v>
      </c>
      <c r="BX79" s="1185">
        <f>'2019'!R\Max</f>
        <v>0.60340203604430565</v>
      </c>
      <c r="BY79" s="1185">
        <f>'2020'!R\Max</f>
        <v>0.30633017736051793</v>
      </c>
      <c r="BZ79" s="1185">
        <f>'2021'!R\Max</f>
        <v>0.2880715684912874</v>
      </c>
      <c r="CA79" s="1185">
        <f>'2022'!R\Max</f>
        <v>0.55544552921812484</v>
      </c>
      <c r="CB79" s="1185">
        <f>'2023'!R\Max</f>
        <v>0.55232101956180535</v>
      </c>
      <c r="CC79" s="1185">
        <f>'2024'!R\Max</f>
        <v>0.54816791812480103</v>
      </c>
      <c r="CD79" s="1185">
        <f>'2025'!R\Max</f>
        <v>0.54313562979135688</v>
      </c>
      <c r="CE79" s="1185">
        <f>'2026'!R\Max</f>
        <v>0.5588183427630854</v>
      </c>
      <c r="CF79" s="1186">
        <f>'2027'!R\Max</f>
        <v>0.55807395763103118</v>
      </c>
    </row>
    <row r="80" spans="1:84" s="6" customFormat="1" ht="11.25" x14ac:dyDescent="0.2">
      <c r="A80" s="11">
        <v>43166</v>
      </c>
      <c r="B80" s="382">
        <f>'2023'!Maxi_hp</f>
        <v>38.157203221065181</v>
      </c>
      <c r="C80" s="85">
        <f>'2023'!An_max</f>
        <v>2022</v>
      </c>
      <c r="D80" s="1132"/>
      <c r="E80" s="709"/>
      <c r="F80" s="13">
        <f t="shared" ref="F80:F143" si="74">INT(MATCH($A80,x.2m)/2)*2+1</f>
        <v>7</v>
      </c>
      <c r="G80" s="13">
        <f t="shared" si="58"/>
        <v>6</v>
      </c>
      <c r="H80" s="175">
        <f t="shared" si="59"/>
        <v>43178</v>
      </c>
      <c r="I80" s="772">
        <f t="shared" si="60"/>
        <v>0.8571428571428571</v>
      </c>
      <c r="J80" s="763">
        <f t="shared" si="61"/>
        <v>40.51290379001626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P80" s="13">
        <f t="shared" si="62"/>
        <v>5</v>
      </c>
      <c r="AQ80" s="13">
        <f t="shared" si="63"/>
        <v>4</v>
      </c>
      <c r="AR80" s="175">
        <f t="shared" si="64"/>
        <v>43192</v>
      </c>
      <c r="AS80" s="772">
        <f t="shared" si="65"/>
        <v>0.9285714285714286</v>
      </c>
      <c r="AT80" s="789">
        <f t="shared" si="66"/>
        <v>40.482023213963423</v>
      </c>
      <c r="AU80" s="13">
        <f t="shared" si="67"/>
        <v>3</v>
      </c>
      <c r="AV80" s="13">
        <f t="shared" si="68"/>
        <v>4</v>
      </c>
      <c r="AW80" s="175">
        <f t="shared" si="69"/>
        <v>43150</v>
      </c>
      <c r="AX80" s="772">
        <f t="shared" si="70"/>
        <v>0.5714285714285714</v>
      </c>
      <c r="AY80" s="789">
        <f t="shared" si="71"/>
        <v>40.63589854208486</v>
      </c>
      <c r="AZ80" s="763">
        <f t="shared" ref="AZ80:AZ143" si="75">(AY80+AT80)/2</f>
        <v>40.558960878024138</v>
      </c>
      <c r="BA80" s="647">
        <f t="shared" si="72"/>
        <v>0.94185308016524838</v>
      </c>
      <c r="BB80" s="642">
        <v>43166</v>
      </c>
      <c r="BC80" s="11">
        <v>43166</v>
      </c>
      <c r="BD80" s="292">
        <f>[2]!FeuilCaduc*(1-Persistant)+Persistant</f>
        <v>1</v>
      </c>
      <c r="BE80" s="293">
        <f>[2]!CroissVégét</f>
        <v>1.8402208892467707E-2</v>
      </c>
      <c r="BF80" s="842">
        <f>1+[2]!Salcycl*Ksac</f>
        <v>1.0008966803172263</v>
      </c>
      <c r="BH80" s="1105">
        <f t="shared" si="73"/>
        <v>1.841209895247E-2</v>
      </c>
      <c r="BI80" s="11">
        <v>44262</v>
      </c>
      <c r="BJ80" s="742">
        <v>3.7545427415551632E-3</v>
      </c>
      <c r="BK80" s="742">
        <v>8.9542883761305325E-3</v>
      </c>
      <c r="BL80" s="742">
        <v>1.6260637523332164E-2</v>
      </c>
      <c r="BM80" s="742">
        <v>2.7030007008772925E-2</v>
      </c>
      <c r="BN80" s="742">
        <v>4.1245697327142179E-2</v>
      </c>
      <c r="BO80" s="743">
        <v>6.6273803798574935E-2</v>
      </c>
      <c r="BP80" s="742">
        <v>0.11900190778402529</v>
      </c>
      <c r="BQ80" s="742">
        <v>0.2032778551165102</v>
      </c>
      <c r="BR80" s="742">
        <v>0.30352427251331193</v>
      </c>
      <c r="BS80" s="742">
        <v>0.4072497852170287</v>
      </c>
      <c r="BT80" s="742">
        <v>0.50976689152270882</v>
      </c>
      <c r="BW80" s="1187">
        <f>'2018'!R\Max</f>
        <v>0</v>
      </c>
      <c r="BX80" s="1185">
        <f>'2019'!R\Max</f>
        <v>0.89869600017341222</v>
      </c>
      <c r="BY80" s="1185">
        <f>'2020'!R\Max</f>
        <v>0.57502084355665495</v>
      </c>
      <c r="BZ80" s="1185">
        <f>'2021'!R\Max</f>
        <v>0.2848386686244313</v>
      </c>
      <c r="CA80" s="1185">
        <f>'2022'!R\Max</f>
        <v>0.94185308016524838</v>
      </c>
      <c r="CB80" s="1185">
        <f>'2023'!R\Max</f>
        <v>0.94120261897915536</v>
      </c>
      <c r="CC80" s="1185">
        <f>'2024'!R\Max</f>
        <v>0.94030670627216739</v>
      </c>
      <c r="CD80" s="1185">
        <f>'2025'!R\Max</f>
        <v>0.93919018344069682</v>
      </c>
      <c r="CE80" s="1185">
        <f>'2026'!R\Max</f>
        <v>0.94256805637544949</v>
      </c>
      <c r="CF80" s="1186">
        <f>'2027'!R\Max</f>
        <v>0.94240387171318796</v>
      </c>
    </row>
    <row r="81" spans="1:84" s="6" customFormat="1" ht="11.25" x14ac:dyDescent="0.2">
      <c r="A81" s="11">
        <v>43167</v>
      </c>
      <c r="B81" s="382">
        <f>'2023'!Maxi_hp</f>
        <v>30.688096258779094</v>
      </c>
      <c r="C81" s="85">
        <f>'2023'!An_max</f>
        <v>2022</v>
      </c>
      <c r="D81" s="1132"/>
      <c r="E81" s="709"/>
      <c r="F81" s="13">
        <f t="shared" si="74"/>
        <v>7</v>
      </c>
      <c r="G81" s="13">
        <f t="shared" si="58"/>
        <v>6</v>
      </c>
      <c r="H81" s="175">
        <f t="shared" si="59"/>
        <v>43178</v>
      </c>
      <c r="I81" s="772">
        <f t="shared" si="60"/>
        <v>0.7857142857142857</v>
      </c>
      <c r="J81" s="763">
        <f t="shared" si="61"/>
        <v>40.974473250936718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P81" s="13">
        <f t="shared" si="62"/>
        <v>5</v>
      </c>
      <c r="AQ81" s="13">
        <f t="shared" si="63"/>
        <v>4</v>
      </c>
      <c r="AR81" s="175">
        <f t="shared" si="64"/>
        <v>43192</v>
      </c>
      <c r="AS81" s="772">
        <f t="shared" si="65"/>
        <v>0.8928571428571429</v>
      </c>
      <c r="AT81" s="789">
        <f t="shared" si="66"/>
        <v>40.932667187428365</v>
      </c>
      <c r="AU81" s="13">
        <f t="shared" si="67"/>
        <v>3</v>
      </c>
      <c r="AV81" s="13">
        <f t="shared" si="68"/>
        <v>4</v>
      </c>
      <c r="AW81" s="175">
        <f t="shared" si="69"/>
        <v>43150</v>
      </c>
      <c r="AX81" s="772">
        <f t="shared" si="70"/>
        <v>0.6071428571428571</v>
      </c>
      <c r="AY81" s="789">
        <f t="shared" si="71"/>
        <v>41.104653530567887</v>
      </c>
      <c r="AZ81" s="763">
        <f t="shared" si="75"/>
        <v>41.018660358998126</v>
      </c>
      <c r="BA81" s="647">
        <f t="shared" si="72"/>
        <v>0.74895645566541924</v>
      </c>
      <c r="BB81" s="642">
        <v>43167</v>
      </c>
      <c r="BC81" s="11">
        <v>43167</v>
      </c>
      <c r="BD81" s="292">
        <f>[2]!FeuilCaduc*(1-Persistant)+Persistant</f>
        <v>1</v>
      </c>
      <c r="BE81" s="293">
        <f>[2]!CroissVégét</f>
        <v>1.9215548548887868E-2</v>
      </c>
      <c r="BF81" s="842">
        <f>1+[2]!Salcycl*Ksac</f>
        <v>1.0009278045678647</v>
      </c>
      <c r="BH81" s="1105">
        <f t="shared" si="73"/>
        <v>1.8580136672515124E-2</v>
      </c>
      <c r="BI81" s="11">
        <v>44263</v>
      </c>
      <c r="BJ81" s="742">
        <v>3.7790628620367923E-3</v>
      </c>
      <c r="BK81" s="742">
        <v>9.0028157399850411E-3</v>
      </c>
      <c r="BL81" s="742">
        <v>1.6396714868668304E-2</v>
      </c>
      <c r="BM81" s="742">
        <v>2.7326065416038731E-2</v>
      </c>
      <c r="BN81" s="742">
        <v>4.1735731925061838E-2</v>
      </c>
      <c r="BO81" s="743">
        <v>6.5535909940538831E-2</v>
      </c>
      <c r="BP81" s="742">
        <v>0.11531209196670127</v>
      </c>
      <c r="BQ81" s="742">
        <v>0.19759601336635235</v>
      </c>
      <c r="BR81" s="742">
        <v>0.29760608585381026</v>
      </c>
      <c r="BS81" s="742">
        <v>0.40153719140887528</v>
      </c>
      <c r="BT81" s="742">
        <v>0.50202649131900323</v>
      </c>
      <c r="BW81" s="1187">
        <f>'2018'!R\Max</f>
        <v>0</v>
      </c>
      <c r="BX81" s="1185">
        <f>'2019'!R\Max</f>
        <v>0.65242317615431478</v>
      </c>
      <c r="BY81" s="1185">
        <f>'2020'!R\Max</f>
        <v>0.73425044586161936</v>
      </c>
      <c r="BZ81" s="1185">
        <f>'2021'!R\Max</f>
        <v>0.58516641246676804</v>
      </c>
      <c r="CA81" s="1185">
        <f>'2022'!R\Max</f>
        <v>0.74895645566541924</v>
      </c>
      <c r="CB81" s="1185">
        <f>'2023'!R\Max</f>
        <v>0.74687797955040403</v>
      </c>
      <c r="CC81" s="1185">
        <f>'2024'!R\Max</f>
        <v>0.74396362178165876</v>
      </c>
      <c r="CD81" s="1185">
        <f>'2025'!R\Max</f>
        <v>0.74030877231031433</v>
      </c>
      <c r="CE81" s="1185">
        <f>'2026'!R\Max</f>
        <v>0.75132886912567509</v>
      </c>
      <c r="CF81" s="1186">
        <f>'2027'!R\Max</f>
        <v>0.75076106317549618</v>
      </c>
    </row>
    <row r="82" spans="1:84" s="6" customFormat="1" ht="11.25" x14ac:dyDescent="0.2">
      <c r="A82" s="11">
        <v>43168</v>
      </c>
      <c r="B82" s="382">
        <f>'2023'!Maxi_hp</f>
        <v>39.162385004311176</v>
      </c>
      <c r="C82" s="85">
        <f>'2023'!An_max</f>
        <v>2021</v>
      </c>
      <c r="D82" s="1132"/>
      <c r="E82" s="709"/>
      <c r="F82" s="13">
        <f t="shared" si="74"/>
        <v>7</v>
      </c>
      <c r="G82" s="13">
        <f t="shared" si="58"/>
        <v>6</v>
      </c>
      <c r="H82" s="175">
        <f t="shared" si="59"/>
        <v>43178</v>
      </c>
      <c r="I82" s="772">
        <f t="shared" si="60"/>
        <v>0.7142857142857143</v>
      </c>
      <c r="J82" s="763">
        <f t="shared" si="61"/>
        <v>41.439283382094331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P82" s="13">
        <f t="shared" si="62"/>
        <v>5</v>
      </c>
      <c r="AQ82" s="13">
        <f t="shared" si="63"/>
        <v>4</v>
      </c>
      <c r="AR82" s="175">
        <f t="shared" si="64"/>
        <v>43192</v>
      </c>
      <c r="AS82" s="772">
        <f t="shared" si="65"/>
        <v>0.8571428571428571</v>
      </c>
      <c r="AT82" s="789">
        <f t="shared" si="66"/>
        <v>41.389542857131786</v>
      </c>
      <c r="AU82" s="13">
        <f t="shared" si="67"/>
        <v>3</v>
      </c>
      <c r="AV82" s="13">
        <f t="shared" si="68"/>
        <v>4</v>
      </c>
      <c r="AW82" s="175">
        <f t="shared" si="69"/>
        <v>43150</v>
      </c>
      <c r="AX82" s="772">
        <f t="shared" si="70"/>
        <v>0.6428571428571429</v>
      </c>
      <c r="AY82" s="789">
        <f t="shared" si="71"/>
        <v>41.572961042568615</v>
      </c>
      <c r="AZ82" s="763">
        <f t="shared" si="75"/>
        <v>41.481251949850204</v>
      </c>
      <c r="BA82" s="647">
        <f t="shared" si="72"/>
        <v>0.94505459091102451</v>
      </c>
      <c r="BB82" s="642">
        <v>43168</v>
      </c>
      <c r="BC82" s="11">
        <v>43168</v>
      </c>
      <c r="BD82" s="292">
        <f>[2]!FeuilCaduc*(1-Persistant)+Persistant</f>
        <v>1</v>
      </c>
      <c r="BE82" s="293">
        <f>[2]!CroissVégét</f>
        <v>2.0061577312061717E-2</v>
      </c>
      <c r="BF82" s="842">
        <f>1+[2]!Salcycl*Ksac</f>
        <v>1.0009612715710277</v>
      </c>
      <c r="BH82" s="1105">
        <f t="shared" si="73"/>
        <v>1.8728671867625953E-2</v>
      </c>
      <c r="BI82" s="11">
        <v>44264</v>
      </c>
      <c r="BJ82" s="742">
        <v>3.8028206666523229E-3</v>
      </c>
      <c r="BK82" s="742">
        <v>9.0413342346019158E-3</v>
      </c>
      <c r="BL82" s="742">
        <v>1.6514834529354389E-2</v>
      </c>
      <c r="BM82" s="742">
        <v>2.7596433275963245E-2</v>
      </c>
      <c r="BN82" s="742">
        <v>4.2192141744444113E-2</v>
      </c>
      <c r="BO82" s="743">
        <v>6.494723101482365E-2</v>
      </c>
      <c r="BP82" s="742">
        <v>0.11186319102785641</v>
      </c>
      <c r="BQ82" s="742">
        <v>0.19189173541848292</v>
      </c>
      <c r="BR82" s="742">
        <v>0.29150633684595134</v>
      </c>
      <c r="BS82" s="742">
        <v>0.39566079665197423</v>
      </c>
      <c r="BT82" s="742">
        <v>0.49458059597688575</v>
      </c>
      <c r="BW82" s="1187">
        <f>'2018'!R\Max</f>
        <v>0</v>
      </c>
      <c r="BX82" s="1185">
        <f>'2019'!R\Max</f>
        <v>0.53878285387859226</v>
      </c>
      <c r="BY82" s="1185">
        <f>'2020'!R\Max</f>
        <v>0.79795568270832684</v>
      </c>
      <c r="BZ82" s="1185">
        <f>'2021'!R\Max</f>
        <v>0.94505459091102451</v>
      </c>
      <c r="CA82" s="1185">
        <f>'2022'!R\Max</f>
        <v>0.77128706786922818</v>
      </c>
      <c r="CB82" s="1185">
        <f>'2023'!R\Max</f>
        <v>0.76947018471801854</v>
      </c>
      <c r="CC82" s="1185">
        <f>'2024'!R\Max</f>
        <v>0.76686460716096638</v>
      </c>
      <c r="CD82" s="1185">
        <f>'2025'!R\Max</f>
        <v>0.76355210415617347</v>
      </c>
      <c r="CE82" s="1185">
        <f>'2026'!R\Max</f>
        <v>0.77344046487409168</v>
      </c>
      <c r="CF82" s="1186">
        <f>'2027'!R\Max</f>
        <v>0.77290687154375814</v>
      </c>
    </row>
    <row r="83" spans="1:84" s="6" customFormat="1" ht="11.25" x14ac:dyDescent="0.2">
      <c r="A83" s="11">
        <v>43169</v>
      </c>
      <c r="B83" s="382">
        <f>'2023'!Maxi_hp</f>
        <v>39.155466400635383</v>
      </c>
      <c r="C83" s="85">
        <f>'2023'!An_max</f>
        <v>2021</v>
      </c>
      <c r="D83" s="1132"/>
      <c r="E83" s="709"/>
      <c r="F83" s="13">
        <f t="shared" si="74"/>
        <v>7</v>
      </c>
      <c r="G83" s="13">
        <f t="shared" si="58"/>
        <v>6</v>
      </c>
      <c r="H83" s="175">
        <f t="shared" si="59"/>
        <v>43178</v>
      </c>
      <c r="I83" s="772">
        <f t="shared" si="60"/>
        <v>0.6428571428571429</v>
      </c>
      <c r="J83" s="763">
        <f t="shared" si="61"/>
        <v>41.906655904051981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P83" s="13">
        <f t="shared" si="62"/>
        <v>5</v>
      </c>
      <c r="AQ83" s="13">
        <f t="shared" si="63"/>
        <v>4</v>
      </c>
      <c r="AR83" s="175">
        <f t="shared" si="64"/>
        <v>43192</v>
      </c>
      <c r="AS83" s="772">
        <f t="shared" si="65"/>
        <v>0.8214285714285714</v>
      </c>
      <c r="AT83" s="789">
        <f t="shared" si="66"/>
        <v>41.851957812918613</v>
      </c>
      <c r="AU83" s="13">
        <f t="shared" si="67"/>
        <v>3</v>
      </c>
      <c r="AV83" s="13">
        <f t="shared" si="68"/>
        <v>4</v>
      </c>
      <c r="AW83" s="175">
        <f t="shared" si="69"/>
        <v>43150</v>
      </c>
      <c r="AX83" s="772">
        <f t="shared" si="70"/>
        <v>0.6785714285714286</v>
      </c>
      <c r="AY83" s="789">
        <f t="shared" si="71"/>
        <v>42.040298237172621</v>
      </c>
      <c r="AZ83" s="763">
        <f t="shared" si="75"/>
        <v>41.946128025045617</v>
      </c>
      <c r="BA83" s="647">
        <f t="shared" si="72"/>
        <v>0.93434958137161728</v>
      </c>
      <c r="BB83" s="642">
        <v>43169</v>
      </c>
      <c r="BC83" s="11">
        <v>43169</v>
      </c>
      <c r="BD83" s="292">
        <f>[2]!FeuilCaduc*(1-Persistant)+Persistant</f>
        <v>1</v>
      </c>
      <c r="BE83" s="293">
        <f>[2]!CroissVégét</f>
        <v>2.0941547894735235E-2</v>
      </c>
      <c r="BF83" s="842">
        <f>1+[2]!Salcycl*Ksac</f>
        <v>1.0009975800159747</v>
      </c>
      <c r="BH83" s="1105">
        <f t="shared" si="73"/>
        <v>1.8857696629348338E-2</v>
      </c>
      <c r="BI83" s="11">
        <v>44265</v>
      </c>
      <c r="BJ83" s="742">
        <v>3.8258145993690365E-3</v>
      </c>
      <c r="BK83" s="742">
        <v>9.0698402453684001E-3</v>
      </c>
      <c r="BL83" s="742">
        <v>1.661498960880468E-2</v>
      </c>
      <c r="BM83" s="742">
        <v>2.7841098626945598E-2</v>
      </c>
      <c r="BN83" s="742">
        <v>4.2614908249203352E-2</v>
      </c>
      <c r="BO83" s="743">
        <v>6.4507747109833549E-2</v>
      </c>
      <c r="BP83" s="742">
        <v>0.10865518567051836</v>
      </c>
      <c r="BQ83" s="742">
        <v>0.18616498547093432</v>
      </c>
      <c r="BR83" s="742">
        <v>0.28522495477447313</v>
      </c>
      <c r="BS83" s="742">
        <v>0.38962049037770252</v>
      </c>
      <c r="BT83" s="742">
        <v>0.48742906949633746</v>
      </c>
      <c r="BW83" s="1187">
        <f>'2018'!R\Max</f>
        <v>0</v>
      </c>
      <c r="BX83" s="1185">
        <f>'2019'!R\Max</f>
        <v>0.4176905955620478</v>
      </c>
      <c r="BY83" s="1185">
        <f>'2020'!R\Max</f>
        <v>0.71624017888947145</v>
      </c>
      <c r="BZ83" s="1185">
        <f>'2021'!R\Max</f>
        <v>0.93434958137161728</v>
      </c>
      <c r="CA83" s="1185">
        <f>'2022'!R\Max</f>
        <v>0.53315685736831131</v>
      </c>
      <c r="CB83" s="1185">
        <f>'2023'!R\Max</f>
        <v>0.53077803238800503</v>
      </c>
      <c r="CC83" s="1185">
        <f>'2024'!R\Max</f>
        <v>0.5273158085044114</v>
      </c>
      <c r="CD83" s="1185">
        <f>'2025'!R\Max</f>
        <v>0.52289249831278073</v>
      </c>
      <c r="CE83" s="1185">
        <f>'2026'!R\Max</f>
        <v>0.53611751823182674</v>
      </c>
      <c r="CF83" s="1186">
        <f>'2027'!R\Max</f>
        <v>0.53535981616963146</v>
      </c>
    </row>
    <row r="84" spans="1:84" s="6" customFormat="1" ht="11.25" x14ac:dyDescent="0.2">
      <c r="A84" s="11">
        <v>43170</v>
      </c>
      <c r="B84" s="382">
        <f>'2023'!Maxi_hp</f>
        <v>33.082890956820819</v>
      </c>
      <c r="C84" s="85">
        <f>'2023'!An_max</f>
        <v>2019</v>
      </c>
      <c r="D84" s="1132"/>
      <c r="E84" s="709"/>
      <c r="F84" s="13">
        <f t="shared" si="74"/>
        <v>7</v>
      </c>
      <c r="G84" s="13">
        <f t="shared" si="58"/>
        <v>6</v>
      </c>
      <c r="H84" s="175">
        <f t="shared" si="59"/>
        <v>43178</v>
      </c>
      <c r="I84" s="772">
        <f t="shared" si="60"/>
        <v>0.5714285714285714</v>
      </c>
      <c r="J84" s="763">
        <f t="shared" si="61"/>
        <v>42.375912536467823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P84" s="13">
        <f t="shared" si="62"/>
        <v>5</v>
      </c>
      <c r="AQ84" s="13">
        <f t="shared" si="63"/>
        <v>4</v>
      </c>
      <c r="AR84" s="175">
        <f t="shared" si="64"/>
        <v>43192</v>
      </c>
      <c r="AS84" s="772">
        <f t="shared" si="65"/>
        <v>0.7857142857142857</v>
      </c>
      <c r="AT84" s="789">
        <f t="shared" si="66"/>
        <v>42.319219642558267</v>
      </c>
      <c r="AU84" s="13">
        <f t="shared" si="67"/>
        <v>3</v>
      </c>
      <c r="AV84" s="13">
        <f t="shared" si="68"/>
        <v>4</v>
      </c>
      <c r="AW84" s="175">
        <f t="shared" si="69"/>
        <v>43150</v>
      </c>
      <c r="AX84" s="772">
        <f t="shared" si="70"/>
        <v>0.7142857142857143</v>
      </c>
      <c r="AY84" s="789">
        <f t="shared" si="71"/>
        <v>42.506142274183887</v>
      </c>
      <c r="AZ84" s="763">
        <f t="shared" si="75"/>
        <v>42.412680958371077</v>
      </c>
      <c r="BA84" s="647">
        <f t="shared" si="72"/>
        <v>0.7807003785074923</v>
      </c>
      <c r="BB84" s="642">
        <v>43170</v>
      </c>
      <c r="BC84" s="11">
        <v>43170</v>
      </c>
      <c r="BD84" s="292">
        <f>[2]!FeuilCaduc*(1-Persistant)+Persistant</f>
        <v>1</v>
      </c>
      <c r="BE84" s="293">
        <f>[2]!CroissVégét</f>
        <v>2.1856755910064932E-2</v>
      </c>
      <c r="BF84" s="842">
        <f>1+[2]!Salcycl*Ksac</f>
        <v>1.0010372619172989</v>
      </c>
      <c r="BH84" s="1105">
        <f t="shared" si="73"/>
        <v>1.8967203113286792E-2</v>
      </c>
      <c r="BI84" s="11">
        <v>44266</v>
      </c>
      <c r="BJ84" s="742">
        <v>3.848043080010217E-3</v>
      </c>
      <c r="BK84" s="742">
        <v>9.0883302463631559E-3</v>
      </c>
      <c r="BL84" s="742">
        <v>1.6697173297033591E-2</v>
      </c>
      <c r="BM84" s="742">
        <v>2.8060049481151175E-2</v>
      </c>
      <c r="BN84" s="742">
        <v>4.300401271702118E-2</v>
      </c>
      <c r="BO84" s="743">
        <v>6.4217437007565367E-2</v>
      </c>
      <c r="BP84" s="742">
        <v>0.10568805818515559</v>
      </c>
      <c r="BQ84" s="742">
        <v>0.18041573648403961</v>
      </c>
      <c r="BR84" s="742">
        <v>0.27876188058900064</v>
      </c>
      <c r="BS84" s="742">
        <v>0.38341617308997389</v>
      </c>
      <c r="BT84" s="742">
        <v>0.48057178258705552</v>
      </c>
      <c r="BW84" s="1187">
        <f>'2018'!R\Max</f>
        <v>0</v>
      </c>
      <c r="BX84" s="1185">
        <f>'2019'!R\Max</f>
        <v>0.7807003785074923</v>
      </c>
      <c r="BY84" s="1185">
        <f>'2020'!R\Max</f>
        <v>0.76579929072078545</v>
      </c>
      <c r="BZ84" s="1185">
        <f>'2021'!R\Max</f>
        <v>0.75582076744426907</v>
      </c>
      <c r="CA84" s="1185">
        <f>'2022'!R\Max</f>
        <v>0.37419451980087776</v>
      </c>
      <c r="CB84" s="1185">
        <f>'2023'!R\Max</f>
        <v>0.37211893757630088</v>
      </c>
      <c r="CC84" s="1185">
        <f>'2024'!R\Max</f>
        <v>0.36905117993694714</v>
      </c>
      <c r="CD84" s="1185">
        <f>'2025'!R\Max</f>
        <v>0.36510100637446097</v>
      </c>
      <c r="CE84" s="1185">
        <f>'2026'!R\Max</f>
        <v>0.37691755602973354</v>
      </c>
      <c r="CF84" s="1186">
        <f>'2027'!R\Max</f>
        <v>0.37620192656092161</v>
      </c>
    </row>
    <row r="85" spans="1:84" s="6" customFormat="1" ht="11.25" x14ac:dyDescent="0.2">
      <c r="A85" s="11">
        <v>43171</v>
      </c>
      <c r="B85" s="382">
        <f>'2023'!Maxi_hp</f>
        <v>39.998388958381668</v>
      </c>
      <c r="C85" s="85">
        <f>'2023'!An_max</f>
        <v>2020</v>
      </c>
      <c r="D85" s="1132"/>
      <c r="E85" s="709"/>
      <c r="F85" s="13">
        <f t="shared" si="74"/>
        <v>7</v>
      </c>
      <c r="G85" s="13">
        <f t="shared" si="58"/>
        <v>6</v>
      </c>
      <c r="H85" s="175">
        <f t="shared" si="59"/>
        <v>43178</v>
      </c>
      <c r="I85" s="772">
        <f t="shared" si="60"/>
        <v>0.5</v>
      </c>
      <c r="J85" s="763">
        <f t="shared" si="61"/>
        <v>42.846375000011179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P85" s="13">
        <f t="shared" si="62"/>
        <v>5</v>
      </c>
      <c r="AQ85" s="13">
        <f t="shared" si="63"/>
        <v>4</v>
      </c>
      <c r="AR85" s="175">
        <f t="shared" si="64"/>
        <v>43192</v>
      </c>
      <c r="AS85" s="772">
        <f t="shared" si="65"/>
        <v>0.75</v>
      </c>
      <c r="AT85" s="789">
        <f t="shared" si="66"/>
        <v>42.790635937452315</v>
      </c>
      <c r="AU85" s="13">
        <f t="shared" si="67"/>
        <v>3</v>
      </c>
      <c r="AV85" s="13">
        <f t="shared" si="68"/>
        <v>4</v>
      </c>
      <c r="AW85" s="175">
        <f t="shared" si="69"/>
        <v>43150</v>
      </c>
      <c r="AX85" s="772">
        <f t="shared" si="70"/>
        <v>0.75</v>
      </c>
      <c r="AY85" s="789">
        <f t="shared" si="71"/>
        <v>42.969970312761141</v>
      </c>
      <c r="AZ85" s="763">
        <f t="shared" si="75"/>
        <v>42.880303125106728</v>
      </c>
      <c r="BA85" s="647">
        <f t="shared" si="72"/>
        <v>0.93353029184782221</v>
      </c>
      <c r="BB85" s="642">
        <v>43171</v>
      </c>
      <c r="BC85" s="11">
        <v>43171</v>
      </c>
      <c r="BD85" s="292">
        <f>[2]!FeuilCaduc*(1-Persistant)+Persistant</f>
        <v>1</v>
      </c>
      <c r="BE85" s="293">
        <f>[2]!CroissVégét</f>
        <v>2.2808540908775418E-2</v>
      </c>
      <c r="BF85" s="842">
        <f>1+[2]!Salcycl*Ksac</f>
        <v>1.0010808808673428</v>
      </c>
      <c r="BH85" s="1105">
        <f t="shared" si="73"/>
        <v>1.9057183611149279E-2</v>
      </c>
      <c r="BI85" s="11">
        <v>44267</v>
      </c>
      <c r="BJ85" s="742">
        <v>3.8695045070541311E-3</v>
      </c>
      <c r="BK85" s="742">
        <v>9.0968008373327452E-3</v>
      </c>
      <c r="BL85" s="742">
        <v>1.6761378936997421E-2</v>
      </c>
      <c r="BM85" s="742">
        <v>2.82532739194007E-2</v>
      </c>
      <c r="BN85" s="742">
        <v>4.3359436363508752E-2</v>
      </c>
      <c r="BO85" s="743">
        <v>6.4076277631215914E-2</v>
      </c>
      <c r="BP85" s="742">
        <v>0.10296179155771806</v>
      </c>
      <c r="BQ85" s="742">
        <v>0.1746439702622187</v>
      </c>
      <c r="BR85" s="742">
        <v>0.27211706757393156</v>
      </c>
      <c r="BS85" s="742">
        <v>0.37704775696883058</v>
      </c>
      <c r="BT85" s="742">
        <v>0.4740086115759759</v>
      </c>
      <c r="BW85" s="1187">
        <f>'2018'!R\Max</f>
        <v>0</v>
      </c>
      <c r="BX85" s="1185">
        <f>'2019'!R\Max</f>
        <v>0.85763380831032654</v>
      </c>
      <c r="BY85" s="1185">
        <f>'2020'!R\Max</f>
        <v>0.93353029184782221</v>
      </c>
      <c r="BZ85" s="1185">
        <f>'2021'!R\Max</f>
        <v>0.64437123383595962</v>
      </c>
      <c r="CA85" s="1185">
        <f>'2022'!R\Max</f>
        <v>0.35071890332449784</v>
      </c>
      <c r="CB85" s="1185">
        <f>'2023'!R\Max</f>
        <v>0.34884778279745321</v>
      </c>
      <c r="CC85" s="1185">
        <f>'2024'!R\Max</f>
        <v>0.34603628832687555</v>
      </c>
      <c r="CD85" s="1185">
        <f>'2025'!R\Max</f>
        <v>0.34237223708628889</v>
      </c>
      <c r="CE85" s="1185">
        <f>'2026'!R\Max</f>
        <v>0.35331495602625895</v>
      </c>
      <c r="CF85" s="1186">
        <f>'2027'!R\Max</f>
        <v>0.35261873664413479</v>
      </c>
    </row>
    <row r="86" spans="1:84" s="6" customFormat="1" ht="11.25" x14ac:dyDescent="0.2">
      <c r="A86" s="11">
        <v>43172</v>
      </c>
      <c r="B86" s="382">
        <f>'2023'!Maxi_hp</f>
        <v>40.074289078669288</v>
      </c>
      <c r="C86" s="85">
        <f>'2023'!An_max</f>
        <v>2021</v>
      </c>
      <c r="D86" s="1132"/>
      <c r="E86" s="709"/>
      <c r="F86" s="13">
        <f t="shared" si="74"/>
        <v>7</v>
      </c>
      <c r="G86" s="13">
        <f t="shared" si="58"/>
        <v>6</v>
      </c>
      <c r="H86" s="175">
        <f t="shared" si="59"/>
        <v>43178</v>
      </c>
      <c r="I86" s="772">
        <f t="shared" si="60"/>
        <v>0.42857142857142855</v>
      </c>
      <c r="J86" s="763">
        <f t="shared" si="61"/>
        <v>43.317365014553069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P86" s="13">
        <f t="shared" si="62"/>
        <v>5</v>
      </c>
      <c r="AQ86" s="13">
        <f t="shared" si="63"/>
        <v>4</v>
      </c>
      <c r="AR86" s="175">
        <f t="shared" si="64"/>
        <v>43192</v>
      </c>
      <c r="AS86" s="772">
        <f t="shared" si="65"/>
        <v>0.7142857142857143</v>
      </c>
      <c r="AT86" s="789">
        <f t="shared" si="66"/>
        <v>43.265514285809232</v>
      </c>
      <c r="AU86" s="13">
        <f t="shared" si="67"/>
        <v>3</v>
      </c>
      <c r="AV86" s="13">
        <f t="shared" si="68"/>
        <v>4</v>
      </c>
      <c r="AW86" s="175">
        <f t="shared" si="69"/>
        <v>43150</v>
      </c>
      <c r="AX86" s="772">
        <f t="shared" si="70"/>
        <v>0.7857142857142857</v>
      </c>
      <c r="AY86" s="789">
        <f t="shared" si="71"/>
        <v>43.431259511996593</v>
      </c>
      <c r="AZ86" s="763">
        <f t="shared" si="75"/>
        <v>43.348386898902916</v>
      </c>
      <c r="BA86" s="647">
        <f t="shared" si="72"/>
        <v>0.92513219733485119</v>
      </c>
      <c r="BB86" s="642">
        <v>43172</v>
      </c>
      <c r="BC86" s="11">
        <v>43172</v>
      </c>
      <c r="BD86" s="292">
        <f>[2]!FeuilCaduc*(1-Persistant)+Persistant</f>
        <v>1</v>
      </c>
      <c r="BE86" s="293">
        <f>[2]!CroissVégét</f>
        <v>2.3798287402466985E-2</v>
      </c>
      <c r="BF86" s="842">
        <f>1+[2]!Salcycl*Ksac</f>
        <v>1.0011290301298998</v>
      </c>
      <c r="BH86" s="1105">
        <f t="shared" si="73"/>
        <v>1.9117358134662834E-2</v>
      </c>
      <c r="BI86" s="11">
        <v>44268</v>
      </c>
      <c r="BJ86" s="742">
        <v>3.8816028759901776E-3</v>
      </c>
      <c r="BK86" s="742">
        <v>9.0888086986096323E-3</v>
      </c>
      <c r="BL86" s="742">
        <v>1.679913553713528E-2</v>
      </c>
      <c r="BM86" s="742">
        <v>2.8403245824288825E-2</v>
      </c>
      <c r="BN86" s="742">
        <v>4.3652701699291641E-2</v>
      </c>
      <c r="BO86" s="743">
        <v>6.4049923842968384E-2</v>
      </c>
      <c r="BP86" s="742">
        <v>0.10053550488278751</v>
      </c>
      <c r="BQ86" s="742">
        <v>0.16905871047494681</v>
      </c>
      <c r="BR86" s="742">
        <v>0.26535620070827831</v>
      </c>
      <c r="BS86" s="742">
        <v>0.37041893360396433</v>
      </c>
      <c r="BT86" s="742">
        <v>0.46750047865191224</v>
      </c>
      <c r="BW86" s="1187">
        <f>'2018'!R\Max</f>
        <v>0</v>
      </c>
      <c r="BX86" s="1185">
        <f>'2019'!R\Max</f>
        <v>0.49588568700316277</v>
      </c>
      <c r="BY86" s="1185">
        <f>'2020'!R\Max</f>
        <v>0.39236992136937671</v>
      </c>
      <c r="BZ86" s="1185">
        <f>'2021'!R\Max</f>
        <v>0.92513219733485119</v>
      </c>
      <c r="CA86" s="1185">
        <f>'2022'!R\Max</f>
        <v>0.22891985670379497</v>
      </c>
      <c r="CB86" s="1185">
        <f>'2023'!R\Max</f>
        <v>0.2276935157259771</v>
      </c>
      <c r="CC86" s="1185">
        <f>'2024'!R\Max</f>
        <v>0.22582655749242439</v>
      </c>
      <c r="CD86" s="1185">
        <f>'2025'!R\Max</f>
        <v>0.22336809899677862</v>
      </c>
      <c r="CE86" s="1185">
        <f>'2026'!R\Max</f>
        <v>0.23072633715670243</v>
      </c>
      <c r="CF86" s="1186">
        <f>'2027'!R\Max</f>
        <v>0.23023452806122</v>
      </c>
    </row>
    <row r="87" spans="1:84" s="6" customFormat="1" ht="11.25" x14ac:dyDescent="0.2">
      <c r="A87" s="11">
        <v>43173</v>
      </c>
      <c r="B87" s="382">
        <f>'2023'!Maxi_hp</f>
        <v>37.860664680473128</v>
      </c>
      <c r="C87" s="85">
        <f>'2023'!An_max</f>
        <v>2020</v>
      </c>
      <c r="D87" s="1132"/>
      <c r="E87" s="709"/>
      <c r="F87" s="13">
        <f t="shared" si="74"/>
        <v>7</v>
      </c>
      <c r="G87" s="13">
        <f t="shared" si="58"/>
        <v>6</v>
      </c>
      <c r="H87" s="175">
        <f t="shared" si="59"/>
        <v>43178</v>
      </c>
      <c r="I87" s="772">
        <f t="shared" si="60"/>
        <v>0.35714285714285715</v>
      </c>
      <c r="J87" s="763">
        <f t="shared" si="61"/>
        <v>43.788204300563251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P87" s="13">
        <f t="shared" si="62"/>
        <v>5</v>
      </c>
      <c r="AQ87" s="13">
        <f t="shared" si="63"/>
        <v>4</v>
      </c>
      <c r="AR87" s="175">
        <f t="shared" si="64"/>
        <v>43192</v>
      </c>
      <c r="AS87" s="772">
        <f t="shared" si="65"/>
        <v>0.6785714285714286</v>
      </c>
      <c r="AT87" s="789">
        <f t="shared" si="66"/>
        <v>43.743162277340886</v>
      </c>
      <c r="AU87" s="13">
        <f t="shared" si="67"/>
        <v>3</v>
      </c>
      <c r="AV87" s="13">
        <f t="shared" si="68"/>
        <v>4</v>
      </c>
      <c r="AW87" s="175">
        <f t="shared" si="69"/>
        <v>43150</v>
      </c>
      <c r="AX87" s="772">
        <f t="shared" si="70"/>
        <v>0.8214285714285714</v>
      </c>
      <c r="AY87" s="789">
        <f t="shared" si="71"/>
        <v>43.889487031195316</v>
      </c>
      <c r="AZ87" s="763">
        <f t="shared" si="75"/>
        <v>43.816324654268101</v>
      </c>
      <c r="BA87" s="647">
        <f t="shared" si="72"/>
        <v>0.86463158937956552</v>
      </c>
      <c r="BB87" s="642">
        <v>43173</v>
      </c>
      <c r="BC87" s="11">
        <v>43173</v>
      </c>
      <c r="BD87" s="292">
        <f>[2]!FeuilCaduc*(1-Persistant)+Persistant</f>
        <v>1</v>
      </c>
      <c r="BE87" s="293">
        <f>[2]!CroissVégét</f>
        <v>2.4827425868542252E-2</v>
      </c>
      <c r="BF87" s="842">
        <f>1+[2]!Salcycl*Ksac</f>
        <v>1.0011823305950662</v>
      </c>
      <c r="BH87" s="1105">
        <f t="shared" si="73"/>
        <v>1.9157810490874977E-2</v>
      </c>
      <c r="BI87" s="11">
        <v>44269</v>
      </c>
      <c r="BJ87" s="742">
        <v>3.8829673729435681E-3</v>
      </c>
      <c r="BK87" s="742">
        <v>9.0699740703809335E-3</v>
      </c>
      <c r="BL87" s="742">
        <v>1.6820153696580197E-2</v>
      </c>
      <c r="BM87" s="742">
        <v>2.8521543926940941E-2</v>
      </c>
      <c r="BN87" s="742">
        <v>4.389719908536871E-2</v>
      </c>
      <c r="BO87" s="743">
        <v>6.4022497680938359E-2</v>
      </c>
      <c r="BP87" s="742">
        <v>9.8347907422522404E-2</v>
      </c>
      <c r="BQ87" s="742">
        <v>0.16372632519457309</v>
      </c>
      <c r="BR87" s="742">
        <v>0.25858745138576228</v>
      </c>
      <c r="BS87" s="742">
        <v>0.36359704058752002</v>
      </c>
      <c r="BT87" s="742">
        <v>0.46110192644101161</v>
      </c>
      <c r="BW87" s="1187">
        <f>'2018'!R\Max</f>
        <v>0</v>
      </c>
      <c r="BX87" s="1185">
        <f>'2019'!R\Max</f>
        <v>0.54819464473760027</v>
      </c>
      <c r="BY87" s="1185">
        <f>'2020'!R\Max</f>
        <v>0.86463158937956552</v>
      </c>
      <c r="BZ87" s="1185">
        <f>'2021'!R\Max</f>
        <v>0.58653562401678039</v>
      </c>
      <c r="CA87" s="1185">
        <f>'2022'!R\Max</f>
        <v>0.31202449298438967</v>
      </c>
      <c r="CB87" s="1185">
        <f>'2023'!R\Max</f>
        <v>0.31050167015566965</v>
      </c>
      <c r="CC87" s="1185">
        <f>'2024'!R\Max</f>
        <v>0.30815723418132607</v>
      </c>
      <c r="CD87" s="1185">
        <f>'2025'!R\Max</f>
        <v>0.3050358471922261</v>
      </c>
      <c r="CE87" s="1185">
        <f>'2026'!R\Max</f>
        <v>0.31439852018568754</v>
      </c>
      <c r="CF87" s="1186">
        <f>'2027'!R\Max</f>
        <v>0.31374408212444421</v>
      </c>
    </row>
    <row r="88" spans="1:84" s="6" customFormat="1" ht="11.25" x14ac:dyDescent="0.2">
      <c r="A88" s="11">
        <v>43174</v>
      </c>
      <c r="B88" s="382">
        <f>'2023'!Maxi_hp</f>
        <v>32.051148513928005</v>
      </c>
      <c r="C88" s="85">
        <f>'2023'!An_max</f>
        <v>2020</v>
      </c>
      <c r="D88" s="1132"/>
      <c r="E88" s="709"/>
      <c r="F88" s="13">
        <f t="shared" si="74"/>
        <v>7</v>
      </c>
      <c r="G88" s="13">
        <f t="shared" si="58"/>
        <v>6</v>
      </c>
      <c r="H88" s="175">
        <f t="shared" si="59"/>
        <v>43178</v>
      </c>
      <c r="I88" s="772">
        <f t="shared" si="60"/>
        <v>0.2857142857142857</v>
      </c>
      <c r="J88" s="763">
        <f t="shared" si="61"/>
        <v>44.258214577473701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P88" s="13">
        <f t="shared" si="62"/>
        <v>5</v>
      </c>
      <c r="AQ88" s="13">
        <f t="shared" si="63"/>
        <v>4</v>
      </c>
      <c r="AR88" s="175">
        <f t="shared" si="64"/>
        <v>43192</v>
      </c>
      <c r="AS88" s="772">
        <f t="shared" si="65"/>
        <v>0.6428571428571429</v>
      </c>
      <c r="AT88" s="789">
        <f t="shared" si="66"/>
        <v>44.222887499816714</v>
      </c>
      <c r="AU88" s="13">
        <f t="shared" si="67"/>
        <v>3</v>
      </c>
      <c r="AV88" s="13">
        <f t="shared" si="68"/>
        <v>4</v>
      </c>
      <c r="AW88" s="175">
        <f t="shared" si="69"/>
        <v>43150</v>
      </c>
      <c r="AX88" s="772">
        <f t="shared" si="70"/>
        <v>0.8571428571428571</v>
      </c>
      <c r="AY88" s="789">
        <f t="shared" si="71"/>
        <v>44.34413002931646</v>
      </c>
      <c r="AZ88" s="763">
        <f t="shared" si="75"/>
        <v>44.283508764566591</v>
      </c>
      <c r="BA88" s="647">
        <f t="shared" si="72"/>
        <v>0.7241853025458741</v>
      </c>
      <c r="BB88" s="642">
        <v>43174</v>
      </c>
      <c r="BC88" s="11">
        <v>43174</v>
      </c>
      <c r="BD88" s="292">
        <f>[2]!FeuilCaduc*(1-Persistant)+Persistant</f>
        <v>1</v>
      </c>
      <c r="BE88" s="293">
        <f>[2]!CroissVégét</f>
        <v>2.5897433731805454E-2</v>
      </c>
      <c r="BF88" s="842">
        <f>1+[2]!Salcycl*Ksac</f>
        <v>1.001241428615568</v>
      </c>
      <c r="BH88" s="1105">
        <f t="shared" si="73"/>
        <v>1.9178533949920779E-2</v>
      </c>
      <c r="BI88" s="11">
        <v>44270</v>
      </c>
      <c r="BJ88" s="742">
        <v>3.8735970004412398E-3</v>
      </c>
      <c r="BK88" s="742">
        <v>9.0402942760960444E-3</v>
      </c>
      <c r="BL88" s="742">
        <v>1.6824427652188816E-2</v>
      </c>
      <c r="BM88" s="742">
        <v>2.8608157625185825E-2</v>
      </c>
      <c r="BN88" s="742">
        <v>4.4092911472561731E-2</v>
      </c>
      <c r="BO88" s="743">
        <v>6.3993975806176828E-2</v>
      </c>
      <c r="BP88" s="742">
        <v>9.6398978275633304E-2</v>
      </c>
      <c r="BQ88" s="742">
        <v>0.1586468055991824</v>
      </c>
      <c r="BR88" s="742">
        <v>0.25181080359424385</v>
      </c>
      <c r="BS88" s="742">
        <v>0.35658203152049661</v>
      </c>
      <c r="BT88" s="742">
        <v>0.45481285460771637</v>
      </c>
      <c r="BW88" s="1187">
        <f>'2018'!R\Max</f>
        <v>0</v>
      </c>
      <c r="BX88" s="1185">
        <f>'2019'!R\Max</f>
        <v>0.31981420799941246</v>
      </c>
      <c r="BY88" s="1185">
        <f>'2020'!R\Max</f>
        <v>0.7241853025458741</v>
      </c>
      <c r="BZ88" s="1185">
        <f>'2021'!R\Max</f>
        <v>0.42137309376892179</v>
      </c>
      <c r="CA88" s="1185">
        <f>'2022'!R\Max</f>
        <v>0.35701374344870135</v>
      </c>
      <c r="CB88" s="1185">
        <f>'2023'!R\Max</f>
        <v>0.35549238273822609</v>
      </c>
      <c r="CC88" s="1185">
        <f>'2024'!R\Max</f>
        <v>0.3531321921244473</v>
      </c>
      <c r="CD88" s="1185">
        <f>'2025'!R\Max</f>
        <v>0.3499575166605875</v>
      </c>
      <c r="CE88" s="1185">
        <f>'2026'!R\Max</f>
        <v>0.35951585524906049</v>
      </c>
      <c r="CF88" s="1186">
        <f>'2027'!R\Max</f>
        <v>0.3588189926333743</v>
      </c>
    </row>
    <row r="89" spans="1:84" s="6" customFormat="1" ht="11.25" x14ac:dyDescent="0.2">
      <c r="A89" s="11">
        <v>43175</v>
      </c>
      <c r="B89" s="382">
        <f>'2023'!Maxi_hp</f>
        <v>45.887721120206436</v>
      </c>
      <c r="C89" s="85">
        <f>'2023'!An_max</f>
        <v>2020</v>
      </c>
      <c r="D89" s="1132"/>
      <c r="E89" s="709"/>
      <c r="F89" s="13">
        <f t="shared" si="74"/>
        <v>7</v>
      </c>
      <c r="G89" s="13">
        <f t="shared" si="58"/>
        <v>6</v>
      </c>
      <c r="H89" s="175">
        <f t="shared" si="59"/>
        <v>43178</v>
      </c>
      <c r="I89" s="772">
        <f t="shared" si="60"/>
        <v>0.21428571428571427</v>
      </c>
      <c r="J89" s="763">
        <f t="shared" si="61"/>
        <v>44.726717565634416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P89" s="13">
        <f t="shared" si="62"/>
        <v>5</v>
      </c>
      <c r="AQ89" s="13">
        <f t="shared" si="63"/>
        <v>4</v>
      </c>
      <c r="AR89" s="175">
        <f t="shared" si="64"/>
        <v>43192</v>
      </c>
      <c r="AS89" s="772">
        <f t="shared" si="65"/>
        <v>0.6071428571428571</v>
      </c>
      <c r="AT89" s="789">
        <f t="shared" si="66"/>
        <v>44.703997544797936</v>
      </c>
      <c r="AU89" s="13">
        <f t="shared" si="67"/>
        <v>3</v>
      </c>
      <c r="AV89" s="13">
        <f t="shared" si="68"/>
        <v>4</v>
      </c>
      <c r="AW89" s="175">
        <f t="shared" si="69"/>
        <v>43150</v>
      </c>
      <c r="AX89" s="772">
        <f t="shared" si="70"/>
        <v>0.8928571428571429</v>
      </c>
      <c r="AY89" s="789">
        <f t="shared" si="71"/>
        <v>44.794665666223906</v>
      </c>
      <c r="AZ89" s="763">
        <f t="shared" si="75"/>
        <v>44.749331605510918</v>
      </c>
      <c r="BA89" s="647">
        <f t="shared" si="72"/>
        <v>1.0259577187364197</v>
      </c>
      <c r="BB89" s="642">
        <v>43175</v>
      </c>
      <c r="BC89" s="11">
        <v>43175</v>
      </c>
      <c r="BD89" s="292">
        <f>[2]!FeuilCaduc*(1-Persistant)+Persistant</f>
        <v>1</v>
      </c>
      <c r="BE89" s="293">
        <f>[2]!CroissVégét</f>
        <v>2.7009836317349309E-2</v>
      </c>
      <c r="BF89" s="842">
        <f>1+[2]!Salcycl*Ksac</f>
        <v>1.0013069937450969</v>
      </c>
      <c r="BH89" s="1105">
        <f t="shared" si="73"/>
        <v>1.9179522226227416E-2</v>
      </c>
      <c r="BI89" s="11">
        <v>44271</v>
      </c>
      <c r="BJ89" s="742">
        <v>3.8534910341665295E-3</v>
      </c>
      <c r="BK89" s="742">
        <v>8.9997669444353088E-3</v>
      </c>
      <c r="BL89" s="742">
        <v>1.6811952037536663E-2</v>
      </c>
      <c r="BM89" s="742">
        <v>2.8663076951703965E-2</v>
      </c>
      <c r="BN89" s="742">
        <v>4.4239822696866583E-2</v>
      </c>
      <c r="BO89" s="743">
        <v>6.3964334940269416E-2</v>
      </c>
      <c r="BP89" s="742">
        <v>9.4688693638156851E-2</v>
      </c>
      <c r="BQ89" s="742">
        <v>0.15382014424746471</v>
      </c>
      <c r="BR89" s="742">
        <v>0.24502625151324406</v>
      </c>
      <c r="BS89" s="742">
        <v>0.34937387501721573</v>
      </c>
      <c r="BT89" s="742">
        <v>0.44863316941970655</v>
      </c>
      <c r="BW89" s="1187">
        <f>'2018'!R\Max</f>
        <v>0</v>
      </c>
      <c r="BX89" s="1185">
        <f>'2019'!R\Max</f>
        <v>0.9705159454923391</v>
      </c>
      <c r="BY89" s="1185">
        <f>'2020'!R\Max</f>
        <v>1.0259577187364197</v>
      </c>
      <c r="BZ89" s="1185">
        <f>'2021'!R\Max</f>
        <v>0.7525258314610731</v>
      </c>
      <c r="CA89" s="1185">
        <f>'2022'!R\Max</f>
        <v>0.30989702083881671</v>
      </c>
      <c r="CB89" s="1185">
        <f>'2023'!R\Max</f>
        <v>0.30856775989359564</v>
      </c>
      <c r="CC89" s="1185">
        <f>'2024'!R\Max</f>
        <v>0.30650299461188102</v>
      </c>
      <c r="CD89" s="1185">
        <f>'2025'!R\Max</f>
        <v>0.30370808927007953</v>
      </c>
      <c r="CE89" s="1185">
        <f>'2026'!R\Max</f>
        <v>0.31219901391286753</v>
      </c>
      <c r="CF89" s="1186">
        <f>'2027'!R\Max</f>
        <v>0.3115520824787737</v>
      </c>
    </row>
    <row r="90" spans="1:84" s="6" customFormat="1" ht="11.25" x14ac:dyDescent="0.2">
      <c r="A90" s="11">
        <v>43176</v>
      </c>
      <c r="B90" s="382">
        <f>'2023'!Maxi_hp</f>
        <v>24.980493555127275</v>
      </c>
      <c r="C90" s="85">
        <f>'2023'!An_max</f>
        <v>2021</v>
      </c>
      <c r="D90" s="1132"/>
      <c r="E90" s="709"/>
      <c r="F90" s="13">
        <f t="shared" si="74"/>
        <v>7</v>
      </c>
      <c r="G90" s="13">
        <f t="shared" si="58"/>
        <v>6</v>
      </c>
      <c r="H90" s="175">
        <f t="shared" si="59"/>
        <v>43178</v>
      </c>
      <c r="I90" s="772">
        <f t="shared" si="60"/>
        <v>0.14285714285714285</v>
      </c>
      <c r="J90" s="763">
        <f t="shared" si="61"/>
        <v>45.193034985235762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P90" s="13">
        <f t="shared" si="62"/>
        <v>5</v>
      </c>
      <c r="AQ90" s="13">
        <f t="shared" si="63"/>
        <v>4</v>
      </c>
      <c r="AR90" s="175">
        <f t="shared" si="64"/>
        <v>43192</v>
      </c>
      <c r="AS90" s="772">
        <f t="shared" si="65"/>
        <v>0.5714285714285714</v>
      </c>
      <c r="AT90" s="789">
        <f t="shared" si="66"/>
        <v>45.185800000280139</v>
      </c>
      <c r="AU90" s="13">
        <f t="shared" si="67"/>
        <v>3</v>
      </c>
      <c r="AV90" s="13">
        <f t="shared" si="68"/>
        <v>4</v>
      </c>
      <c r="AW90" s="175">
        <f t="shared" si="69"/>
        <v>43150</v>
      </c>
      <c r="AX90" s="772">
        <f t="shared" si="70"/>
        <v>0.9285714285714286</v>
      </c>
      <c r="AY90" s="789">
        <f t="shared" si="71"/>
        <v>45.240571101036451</v>
      </c>
      <c r="AZ90" s="763">
        <f t="shared" si="75"/>
        <v>45.213185550658295</v>
      </c>
      <c r="BA90" s="647">
        <f t="shared" si="72"/>
        <v>0.55275096180834549</v>
      </c>
      <c r="BB90" s="642">
        <v>43176</v>
      </c>
      <c r="BC90" s="11">
        <v>43176</v>
      </c>
      <c r="BD90" s="292">
        <f>[2]!FeuilCaduc*(1-Persistant)+Persistant</f>
        <v>1</v>
      </c>
      <c r="BE90" s="293">
        <f>[2]!CroissVégét</f>
        <v>2.8166207768877807E-2</v>
      </c>
      <c r="BF90" s="842">
        <f>1+[2]!Salcycl*Ksac</f>
        <v>1.0013797163991229</v>
      </c>
      <c r="BH90" s="1105">
        <f t="shared" si="73"/>
        <v>1.9160769551232831E-2</v>
      </c>
      <c r="BI90" s="11">
        <v>44272</v>
      </c>
      <c r="BJ90" s="742">
        <v>3.8226490626200029E-3</v>
      </c>
      <c r="BK90" s="742">
        <v>8.9483900493092898E-3</v>
      </c>
      <c r="BL90" s="742">
        <v>1.678272194462934E-2</v>
      </c>
      <c r="BM90" s="742">
        <v>2.868629269083783E-2</v>
      </c>
      <c r="BN90" s="742">
        <v>4.4337917659300792E-2</v>
      </c>
      <c r="BO90" s="743">
        <v>6.393355186850494E-2</v>
      </c>
      <c r="BP90" s="742">
        <v>9.3217025919369256E-2</v>
      </c>
      <c r="BQ90" s="742">
        <v>0.14924633414156907</v>
      </c>
      <c r="BR90" s="742">
        <v>0.2382337995403794</v>
      </c>
      <c r="BS90" s="742">
        <v>0.34197255541553856</v>
      </c>
      <c r="BT90" s="742">
        <v>0.44256278333722382</v>
      </c>
      <c r="BW90" s="1187">
        <f>'2018'!R\Max</f>
        <v>0</v>
      </c>
      <c r="BX90" s="1185">
        <f>'2019'!R\Max</f>
        <v>0.36428086945811</v>
      </c>
      <c r="BY90" s="1185">
        <f>'2020'!R\Max</f>
        <v>0.21367862233999063</v>
      </c>
      <c r="BZ90" s="1185">
        <f>'2021'!R\Max</f>
        <v>0.55275096180834549</v>
      </c>
      <c r="CA90" s="1185">
        <f>'2022'!R\Max</f>
        <v>0.26896589571377494</v>
      </c>
      <c r="CB90" s="1185">
        <f>'2023'!R\Max</f>
        <v>0.26785792502352906</v>
      </c>
      <c r="CC90" s="1185">
        <f>'2024'!R\Max</f>
        <v>0.2661435152219977</v>
      </c>
      <c r="CD90" s="1185">
        <f>'2025'!R\Max</f>
        <v>0.26381072129946059</v>
      </c>
      <c r="CE90" s="1185">
        <f>'2026'!R\Max</f>
        <v>0.27097622246594116</v>
      </c>
      <c r="CF90" s="1186">
        <f>'2027'!R\Max</f>
        <v>0.27040742406889368</v>
      </c>
    </row>
    <row r="91" spans="1:84" s="6" customFormat="1" ht="11.25" x14ac:dyDescent="0.2">
      <c r="A91" s="11">
        <v>43177</v>
      </c>
      <c r="B91" s="382">
        <f>'2023'!Maxi_hp</f>
        <v>30.158532920094469</v>
      </c>
      <c r="C91" s="85">
        <f>'2023'!An_max</f>
        <v>2019</v>
      </c>
      <c r="D91" s="1132"/>
      <c r="E91" s="709"/>
      <c r="F91" s="13">
        <f t="shared" si="74"/>
        <v>7</v>
      </c>
      <c r="G91" s="13">
        <f t="shared" si="58"/>
        <v>6</v>
      </c>
      <c r="H91" s="175">
        <f t="shared" si="59"/>
        <v>43178</v>
      </c>
      <c r="I91" s="772">
        <f t="shared" si="60"/>
        <v>7.1428571428571425E-2</v>
      </c>
      <c r="J91" s="763">
        <f t="shared" si="61"/>
        <v>45.656488556547892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P91" s="13">
        <f t="shared" si="62"/>
        <v>5</v>
      </c>
      <c r="AQ91" s="13">
        <f t="shared" si="63"/>
        <v>4</v>
      </c>
      <c r="AR91" s="175">
        <f t="shared" si="64"/>
        <v>43192</v>
      </c>
      <c r="AS91" s="772">
        <f t="shared" si="65"/>
        <v>0.5357142857142857</v>
      </c>
      <c r="AT91" s="789">
        <f t="shared" si="66"/>
        <v>45.667602455283387</v>
      </c>
      <c r="AU91" s="13">
        <f t="shared" si="67"/>
        <v>3</v>
      </c>
      <c r="AV91" s="13">
        <f t="shared" si="68"/>
        <v>4</v>
      </c>
      <c r="AW91" s="175">
        <f t="shared" si="69"/>
        <v>43150</v>
      </c>
      <c r="AX91" s="772">
        <f t="shared" si="70"/>
        <v>0.9642857142857143</v>
      </c>
      <c r="AY91" s="789">
        <f t="shared" si="71"/>
        <v>45.681323492620137</v>
      </c>
      <c r="AZ91" s="763">
        <f t="shared" si="75"/>
        <v>45.674462973951762</v>
      </c>
      <c r="BA91" s="647">
        <f t="shared" si="72"/>
        <v>0.66055305332431746</v>
      </c>
      <c r="BB91" s="642">
        <v>43177</v>
      </c>
      <c r="BC91" s="11">
        <v>43177</v>
      </c>
      <c r="BD91" s="292">
        <f>[2]!FeuilCaduc*(1-Persistant)+Persistant</f>
        <v>1</v>
      </c>
      <c r="BE91" s="293">
        <f>[2]!CroissVégét</f>
        <v>2.9368171926128662E-2</v>
      </c>
      <c r="BF91" s="842">
        <f>1+[2]!Salcycl*Ksac</f>
        <v>1.0014603054583291</v>
      </c>
      <c r="BH91" s="1105">
        <f t="shared" si="73"/>
        <v>1.912227074604483E-2</v>
      </c>
      <c r="BI91" s="11">
        <v>44273</v>
      </c>
      <c r="BJ91" s="742">
        <v>3.7810710267682686E-3</v>
      </c>
      <c r="BK91" s="742">
        <v>8.886161949830015E-3</v>
      </c>
      <c r="BL91" s="742">
        <v>1.6736732985561466E-2</v>
      </c>
      <c r="BM91" s="742">
        <v>2.867779649531323E-2</v>
      </c>
      <c r="BN91" s="742">
        <v>4.4387182505614055E-2</v>
      </c>
      <c r="BO91" s="743">
        <v>6.3901603442844998E-2</v>
      </c>
      <c r="BP91" s="742">
        <v>9.1983942857400317E-2</v>
      </c>
      <c r="BQ91" s="742">
        <v>0.14492536778946502</v>
      </c>
      <c r="BR91" s="742">
        <v>0.23143346231701509</v>
      </c>
      <c r="BS91" s="742">
        <v>0.33437807348597692</v>
      </c>
      <c r="BT91" s="742">
        <v>0.43660161460098323</v>
      </c>
      <c r="BW91" s="1187">
        <f>'2018'!R\Max</f>
        <v>0</v>
      </c>
      <c r="BX91" s="1185">
        <f>'2019'!R\Max</f>
        <v>0.66055305332431746</v>
      </c>
      <c r="BY91" s="1185">
        <f>'2020'!R\Max</f>
        <v>0.24563078059765964</v>
      </c>
      <c r="BZ91" s="1185">
        <f>'2021'!R\Max</f>
        <v>0.43404143402979312</v>
      </c>
      <c r="CA91" s="1185">
        <f>'2022'!R\Max</f>
        <v>0.33433155541293286</v>
      </c>
      <c r="CB91" s="1185">
        <f>'2023'!R\Max</f>
        <v>0.33309293798218453</v>
      </c>
      <c r="CC91" s="1185">
        <f>'2024'!R\Max</f>
        <v>0.33119493884011408</v>
      </c>
      <c r="CD91" s="1185">
        <f>'2025'!R\Max</f>
        <v>0.3286020788381645</v>
      </c>
      <c r="CE91" s="1185">
        <f>'2026'!R\Max</f>
        <v>0.33667183713178001</v>
      </c>
      <c r="CF91" s="1186">
        <f>'2027'!R\Max</f>
        <v>0.33600675293732934</v>
      </c>
    </row>
    <row r="92" spans="1:84" s="6" customFormat="1" ht="11.25" x14ac:dyDescent="0.2">
      <c r="A92" s="11">
        <v>43178</v>
      </c>
      <c r="B92" s="382">
        <f>'2023'!Maxi_hp</f>
        <v>42.613877662343725</v>
      </c>
      <c r="C92" s="85">
        <f>'2023'!An_max</f>
        <v>2020</v>
      </c>
      <c r="D92" s="1132"/>
      <c r="E92" s="771">
        <f>S$13/10</f>
        <v>46.116399999999999</v>
      </c>
      <c r="F92" s="13">
        <f t="shared" si="74"/>
        <v>7</v>
      </c>
      <c r="G92" s="13">
        <f t="shared" si="58"/>
        <v>8</v>
      </c>
      <c r="H92" s="175">
        <f t="shared" si="59"/>
        <v>43178</v>
      </c>
      <c r="I92" s="772">
        <f t="shared" si="60"/>
        <v>0</v>
      </c>
      <c r="J92" s="763">
        <f t="shared" si="61"/>
        <v>46.116400000080468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P92" s="13">
        <f t="shared" si="62"/>
        <v>5</v>
      </c>
      <c r="AQ92" s="13">
        <f t="shared" si="63"/>
        <v>4</v>
      </c>
      <c r="AR92" s="175">
        <f t="shared" si="64"/>
        <v>43192</v>
      </c>
      <c r="AS92" s="772">
        <f t="shared" si="65"/>
        <v>0.5</v>
      </c>
      <c r="AT92" s="789">
        <f t="shared" si="66"/>
        <v>46.14871249999851</v>
      </c>
      <c r="AU92" s="13">
        <f t="shared" si="67"/>
        <v>5</v>
      </c>
      <c r="AV92" s="13">
        <f t="shared" si="68"/>
        <v>4</v>
      </c>
      <c r="AW92" s="175">
        <f t="shared" si="69"/>
        <v>43206</v>
      </c>
      <c r="AX92" s="772">
        <f t="shared" si="70"/>
        <v>1</v>
      </c>
      <c r="AY92" s="789">
        <f t="shared" si="71"/>
        <v>46.116400000080468</v>
      </c>
      <c r="AZ92" s="763">
        <f t="shared" si="75"/>
        <v>46.132556250039485</v>
      </c>
      <c r="BA92" s="647">
        <f t="shared" si="72"/>
        <v>0.92405039557010893</v>
      </c>
      <c r="BB92" s="642">
        <v>43178</v>
      </c>
      <c r="BC92" s="11">
        <v>43178</v>
      </c>
      <c r="BD92" s="292">
        <f>[2]!FeuilCaduc*(1-Persistant)+Persistant</f>
        <v>1</v>
      </c>
      <c r="BE92" s="293">
        <f>[2]!CroissVégét</f>
        <v>3.0617403154541836E-2</v>
      </c>
      <c r="BF92" s="842">
        <f>1+[2]!Salcycl*Ksac</f>
        <v>1.0015494858342515</v>
      </c>
      <c r="BH92" s="1105">
        <f t="shared" si="73"/>
        <v>1.9064021294162431E-2</v>
      </c>
      <c r="BI92" s="11">
        <v>44274</v>
      </c>
      <c r="BJ92" s="742">
        <v>3.728757259705289E-3</v>
      </c>
      <c r="BK92" s="742">
        <v>8.8130814303113963E-3</v>
      </c>
      <c r="BL92" s="742">
        <v>1.6673981354230184E-2</v>
      </c>
      <c r="BM92" s="742">
        <v>2.8637581003053813E-2</v>
      </c>
      <c r="BN92" s="742">
        <v>4.4387604806142504E-2</v>
      </c>
      <c r="BO92" s="743">
        <v>6.3868466585101341E-2</v>
      </c>
      <c r="BP92" s="742">
        <v>9.098940663515552E-2</v>
      </c>
      <c r="BQ92" s="742">
        <v>0.14085723626780422</v>
      </c>
      <c r="BR92" s="742">
        <v>0.22462526475471364</v>
      </c>
      <c r="BS92" s="742">
        <v>0.3265904471419383</v>
      </c>
      <c r="BT92" s="742">
        <v>0.43074958682154157</v>
      </c>
      <c r="BW92" s="1187">
        <f>'2018'!R\Max</f>
        <v>0</v>
      </c>
      <c r="BX92" s="1185">
        <f>'2019'!R\Max</f>
        <v>0.35715699518265026</v>
      </c>
      <c r="BY92" s="1185">
        <f>'2020'!R\Max</f>
        <v>0.92405039557010893</v>
      </c>
      <c r="BZ92" s="1185">
        <f>'2021'!R\Max</f>
        <v>0.28528155332414928</v>
      </c>
      <c r="CA92" s="1185">
        <f>'2022'!R\Max</f>
        <v>0.6695274389181991</v>
      </c>
      <c r="CB92" s="1185">
        <f>'2023'!R\Max</f>
        <v>0.66834800282448836</v>
      </c>
      <c r="CC92" s="1185">
        <f>'2024'!R\Max</f>
        <v>0.66656448484936071</v>
      </c>
      <c r="CD92" s="1185">
        <f>'2025'!R\Max</f>
        <v>0.66411115196458237</v>
      </c>
      <c r="CE92" s="1185">
        <f>'2026'!R\Max</f>
        <v>0.67182301031163683</v>
      </c>
      <c r="CF92" s="1186">
        <f>'2027'!R\Max</f>
        <v>0.67117048483754382</v>
      </c>
    </row>
    <row r="93" spans="1:84" s="6" customFormat="1" ht="11.25" x14ac:dyDescent="0.2">
      <c r="A93" s="11">
        <v>43179</v>
      </c>
      <c r="B93" s="382">
        <f>'2023'!Maxi_hp</f>
        <v>46.721665369048949</v>
      </c>
      <c r="C93" s="85">
        <f>'2023'!An_max</f>
        <v>2019</v>
      </c>
      <c r="D93" s="1132"/>
      <c r="E93" s="709"/>
      <c r="F93" s="13">
        <f t="shared" si="74"/>
        <v>7</v>
      </c>
      <c r="G93" s="13">
        <f t="shared" si="58"/>
        <v>8</v>
      </c>
      <c r="H93" s="175">
        <f t="shared" si="59"/>
        <v>43178</v>
      </c>
      <c r="I93" s="772">
        <f t="shared" si="60"/>
        <v>7.1428571428571425E-2</v>
      </c>
      <c r="J93" s="763">
        <f t="shared" si="61"/>
        <v>46.575746210025891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P93" s="13">
        <f t="shared" si="62"/>
        <v>5</v>
      </c>
      <c r="AQ93" s="13">
        <f t="shared" si="63"/>
        <v>4</v>
      </c>
      <c r="AR93" s="175">
        <f t="shared" si="64"/>
        <v>43192</v>
      </c>
      <c r="AS93" s="772">
        <f t="shared" si="65"/>
        <v>0.4642857142857143</v>
      </c>
      <c r="AT93" s="789">
        <f t="shared" si="66"/>
        <v>46.628437723751574</v>
      </c>
      <c r="AU93" s="13">
        <f t="shared" si="67"/>
        <v>5</v>
      </c>
      <c r="AV93" s="13">
        <f t="shared" si="68"/>
        <v>4</v>
      </c>
      <c r="AW93" s="175">
        <f t="shared" si="69"/>
        <v>43206</v>
      </c>
      <c r="AX93" s="772">
        <f t="shared" si="70"/>
        <v>0.9642857142857143</v>
      </c>
      <c r="AY93" s="789">
        <f t="shared" si="71"/>
        <v>46.550475574085219</v>
      </c>
      <c r="AZ93" s="763">
        <f t="shared" si="75"/>
        <v>46.5894566489184</v>
      </c>
      <c r="BA93" s="647">
        <f t="shared" si="72"/>
        <v>1.0031329430207099</v>
      </c>
      <c r="BB93" s="642">
        <v>43179</v>
      </c>
      <c r="BC93" s="11">
        <v>43179</v>
      </c>
      <c r="BD93" s="292">
        <f>[2]!FeuilCaduc*(1-Persistant)+Persistant</f>
        <v>1</v>
      </c>
      <c r="BE93" s="293">
        <f>[2]!CroissVégét</f>
        <v>3.1915627119784788E-2</v>
      </c>
      <c r="BF93" s="842">
        <f>1+[2]!Salcycl*Ksac</f>
        <v>1.0016479960159033</v>
      </c>
      <c r="BH93" s="1105">
        <f t="shared" si="73"/>
        <v>1.8986018044488615E-2</v>
      </c>
      <c r="BI93" s="11">
        <v>44275</v>
      </c>
      <c r="BJ93" s="742">
        <v>3.6657086480062486E-3</v>
      </c>
      <c r="BK93" s="742">
        <v>8.7291480300565327E-3</v>
      </c>
      <c r="BL93" s="742">
        <v>1.6594464438945945E-2</v>
      </c>
      <c r="BM93" s="742">
        <v>2.8565640902308408E-2</v>
      </c>
      <c r="BN93" s="742">
        <v>4.4339175207621068E-2</v>
      </c>
      <c r="BO93" s="743">
        <v>6.383412040925833E-2</v>
      </c>
      <c r="BP93" s="742">
        <v>9.0233375991766826E-2</v>
      </c>
      <c r="BQ93" s="742">
        <v>0.13704193283421678</v>
      </c>
      <c r="BR93" s="742">
        <v>0.21780924929238102</v>
      </c>
      <c r="BS93" s="742">
        <v>0.3186097227270005</v>
      </c>
      <c r="BT93" s="742">
        <v>0.42500664267784682</v>
      </c>
      <c r="BW93" s="1187">
        <f>'2018'!R\Max</f>
        <v>0</v>
      </c>
      <c r="BX93" s="1185">
        <f>'2019'!R\Max</f>
        <v>1.0031329430207099</v>
      </c>
      <c r="BY93" s="1185">
        <f>'2020'!R\Max</f>
        <v>0.954674412733578</v>
      </c>
      <c r="BZ93" s="1185">
        <f>'2021'!R\Max</f>
        <v>0.83168140482479536</v>
      </c>
      <c r="CA93" s="1185">
        <f>'2022'!R\Max</f>
        <v>0.74852306525393697</v>
      </c>
      <c r="CB93" s="1185">
        <f>'2023'!R\Max</f>
        <v>0.74755571899631335</v>
      </c>
      <c r="CC93" s="1185">
        <f>'2024'!R\Max</f>
        <v>0.74612926023171433</v>
      </c>
      <c r="CD93" s="1185">
        <f>'2025'!R\Max</f>
        <v>0.74417015956025911</v>
      </c>
      <c r="CE93" s="1185">
        <f>'2026'!R\Max</f>
        <v>0.75045704716448014</v>
      </c>
      <c r="CF93" s="1186">
        <f>'2027'!R\Max</f>
        <v>0.74990720794170385</v>
      </c>
    </row>
    <row r="94" spans="1:84" s="6" customFormat="1" ht="11.25" x14ac:dyDescent="0.2">
      <c r="A94" s="11">
        <v>43180</v>
      </c>
      <c r="B94" s="382">
        <f>'2023'!Maxi_hp</f>
        <v>47.092775229679972</v>
      </c>
      <c r="C94" s="85">
        <f>'2023'!An_max</f>
        <v>2020</v>
      </c>
      <c r="D94" s="1132"/>
      <c r="E94" s="709"/>
      <c r="F94" s="13">
        <f t="shared" si="74"/>
        <v>7</v>
      </c>
      <c r="G94" s="13">
        <f t="shared" si="58"/>
        <v>8</v>
      </c>
      <c r="H94" s="175">
        <f t="shared" si="59"/>
        <v>43178</v>
      </c>
      <c r="I94" s="772">
        <f t="shared" si="60"/>
        <v>0.14285714285714285</v>
      </c>
      <c r="J94" s="763">
        <f t="shared" si="61"/>
        <v>47.037353352723379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P94" s="13">
        <f t="shared" si="62"/>
        <v>5</v>
      </c>
      <c r="AQ94" s="13">
        <f t="shared" si="63"/>
        <v>4</v>
      </c>
      <c r="AR94" s="175">
        <f t="shared" si="64"/>
        <v>43192</v>
      </c>
      <c r="AS94" s="772">
        <f t="shared" si="65"/>
        <v>0.42857142857142855</v>
      </c>
      <c r="AT94" s="789">
        <f t="shared" si="66"/>
        <v>47.10608571384634</v>
      </c>
      <c r="AU94" s="13">
        <f t="shared" si="67"/>
        <v>5</v>
      </c>
      <c r="AV94" s="13">
        <f t="shared" si="68"/>
        <v>4</v>
      </c>
      <c r="AW94" s="175">
        <f t="shared" si="69"/>
        <v>43206</v>
      </c>
      <c r="AX94" s="772">
        <f t="shared" si="70"/>
        <v>0.9285714285714286</v>
      </c>
      <c r="AY94" s="789">
        <f t="shared" si="71"/>
        <v>46.988178061214946</v>
      </c>
      <c r="AZ94" s="763">
        <f t="shared" si="75"/>
        <v>47.047131887530639</v>
      </c>
      <c r="BA94" s="647">
        <f t="shared" si="72"/>
        <v>1.0011782524527049</v>
      </c>
      <c r="BB94" s="642">
        <v>43180</v>
      </c>
      <c r="BC94" s="11">
        <v>43180</v>
      </c>
      <c r="BD94" s="292">
        <f>[2]!FeuilCaduc*(1-Persistant)+Persistant</f>
        <v>1</v>
      </c>
      <c r="BE94" s="293">
        <f>[2]!CroissVégét</f>
        <v>3.3264621499185201E-2</v>
      </c>
      <c r="BF94" s="842">
        <f>1+[2]!Salcycl*Ksac</f>
        <v>1.0017565856151489</v>
      </c>
      <c r="BH94" s="1105">
        <f t="shared" si="73"/>
        <v>1.8876942248279207E-2</v>
      </c>
      <c r="BI94" s="11">
        <v>44276</v>
      </c>
      <c r="BJ94" s="742">
        <v>3.5898706964001348E-3</v>
      </c>
      <c r="BK94" s="742">
        <v>8.6297746691586259E-3</v>
      </c>
      <c r="BL94" s="742">
        <v>1.6488065916993547E-2</v>
      </c>
      <c r="BM94" s="742">
        <v>2.8445840998719742E-2</v>
      </c>
      <c r="BN94" s="742">
        <v>4.4219747307581027E-2</v>
      </c>
      <c r="BO94" s="743">
        <v>6.3773323992132022E-2</v>
      </c>
      <c r="BP94" s="742">
        <v>8.9680661665253167E-2</v>
      </c>
      <c r="BQ94" s="742">
        <v>0.1335867019691207</v>
      </c>
      <c r="BR94" s="742">
        <v>0.21117632705246084</v>
      </c>
      <c r="BS94" s="742">
        <v>0.31047124170407675</v>
      </c>
      <c r="BT94" s="742">
        <v>0.41885402873132449</v>
      </c>
      <c r="BW94" s="1187">
        <f>'2018'!R\Max</f>
        <v>0</v>
      </c>
      <c r="BX94" s="1185">
        <f>'2019'!R\Max</f>
        <v>0.98369696478957314</v>
      </c>
      <c r="BY94" s="1185">
        <f>'2020'!R\Max</f>
        <v>1.0011782524527049</v>
      </c>
      <c r="BZ94" s="1185">
        <f>'2021'!R\Max</f>
        <v>0.86550484605762201</v>
      </c>
      <c r="CA94" s="1185">
        <f>'2022'!R\Max</f>
        <v>0.99672704957656455</v>
      </c>
      <c r="CB94" s="1185">
        <f>'2023'!R\Max</f>
        <v>0.99671074034227403</v>
      </c>
      <c r="CC94" s="1185">
        <f>'2024'!R\Max</f>
        <v>0.9966873863217548</v>
      </c>
      <c r="CD94" s="1185">
        <f>'2025'!R\Max</f>
        <v>0.99665537788959158</v>
      </c>
      <c r="CE94" s="1185">
        <f>'2026'!R\Max</f>
        <v>0.99676020693816636</v>
      </c>
      <c r="CF94" s="1186">
        <f>'2027'!R\Max</f>
        <v>0.99675081001204935</v>
      </c>
    </row>
    <row r="95" spans="1:84" s="6" customFormat="1" ht="11.25" x14ac:dyDescent="0.2">
      <c r="A95" s="11">
        <v>43181</v>
      </c>
      <c r="B95" s="382">
        <f>'2023'!Maxi_hp</f>
        <v>46.552413422501928</v>
      </c>
      <c r="C95" s="85">
        <f>'2023'!An_max</f>
        <v>2020</v>
      </c>
      <c r="D95" s="1132"/>
      <c r="E95" s="709"/>
      <c r="F95" s="13">
        <f t="shared" si="74"/>
        <v>7</v>
      </c>
      <c r="G95" s="13">
        <f t="shared" si="58"/>
        <v>8</v>
      </c>
      <c r="H95" s="175">
        <f t="shared" si="59"/>
        <v>43178</v>
      </c>
      <c r="I95" s="772">
        <f t="shared" si="60"/>
        <v>0.21428571428571427</v>
      </c>
      <c r="J95" s="763">
        <f t="shared" si="61"/>
        <v>47.500317055479222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P95" s="13">
        <f t="shared" si="62"/>
        <v>5</v>
      </c>
      <c r="AQ95" s="13">
        <f t="shared" si="63"/>
        <v>4</v>
      </c>
      <c r="AR95" s="175">
        <f t="shared" si="64"/>
        <v>43192</v>
      </c>
      <c r="AS95" s="772">
        <f t="shared" si="65"/>
        <v>0.39285714285714285</v>
      </c>
      <c r="AT95" s="789">
        <f t="shared" si="66"/>
        <v>47.580964062283087</v>
      </c>
      <c r="AU95" s="13">
        <f t="shared" si="67"/>
        <v>5</v>
      </c>
      <c r="AV95" s="13">
        <f t="shared" si="68"/>
        <v>4</v>
      </c>
      <c r="AW95" s="175">
        <f t="shared" si="69"/>
        <v>43206</v>
      </c>
      <c r="AX95" s="772">
        <f t="shared" si="70"/>
        <v>0.8928571428571429</v>
      </c>
      <c r="AY95" s="789">
        <f t="shared" si="71"/>
        <v>47.428913967138421</v>
      </c>
      <c r="AZ95" s="763">
        <f t="shared" si="75"/>
        <v>47.504939014710757</v>
      </c>
      <c r="BA95" s="647">
        <f t="shared" si="72"/>
        <v>0.98004426724414984</v>
      </c>
      <c r="BB95" s="642">
        <v>43181</v>
      </c>
      <c r="BC95" s="11">
        <v>43181</v>
      </c>
      <c r="BD95" s="292">
        <f>[2]!FeuilCaduc*(1-Persistant)+Persistant</f>
        <v>1</v>
      </c>
      <c r="BE95" s="293">
        <f>[2]!CroissVégét</f>
        <v>3.4666216621534622E-2</v>
      </c>
      <c r="BF95" s="842">
        <f>1+[2]!Salcycl*Ksac</f>
        <v>1.0018760129273803</v>
      </c>
      <c r="BH95" s="1105">
        <f t="shared" si="73"/>
        <v>1.8746216679659405E-2</v>
      </c>
      <c r="BI95" s="11">
        <v>44277</v>
      </c>
      <c r="BJ95" s="742">
        <v>3.5033780487956001E-3</v>
      </c>
      <c r="BK95" s="742">
        <v>8.5193514112331878E-3</v>
      </c>
      <c r="BL95" s="742">
        <v>1.6363036158103139E-2</v>
      </c>
      <c r="BM95" s="742">
        <v>2.8292300257171752E-2</v>
      </c>
      <c r="BN95" s="742">
        <v>4.4049567496230929E-2</v>
      </c>
      <c r="BO95" s="743">
        <v>6.3652752531543941E-2</v>
      </c>
      <c r="BP95" s="742">
        <v>8.9151624624564205E-2</v>
      </c>
      <c r="BQ95" s="742">
        <v>0.13044748966918707</v>
      </c>
      <c r="BR95" s="742">
        <v>0.20479974338481599</v>
      </c>
      <c r="BS95" s="742">
        <v>0.30227136897511681</v>
      </c>
      <c r="BT95" s="742">
        <v>0.41194277036555998</v>
      </c>
      <c r="BW95" s="1187">
        <f>'2018'!R\Max</f>
        <v>0</v>
      </c>
      <c r="BX95" s="1185">
        <f>'2019'!R\Max</f>
        <v>0.95699534533438801</v>
      </c>
      <c r="BY95" s="1185">
        <f>'2020'!R\Max</f>
        <v>0.98004426724414984</v>
      </c>
      <c r="BZ95" s="1185">
        <f>'2021'!R\Max</f>
        <v>0.80057676985581017</v>
      </c>
      <c r="CA95" s="1185">
        <f>'2022'!R\Max</f>
        <v>0.91203052240619087</v>
      </c>
      <c r="CB95" s="1185">
        <f>'2023'!R\Max</f>
        <v>0.9116398022246277</v>
      </c>
      <c r="CC95" s="1185">
        <f>'2024'!R\Max</f>
        <v>0.91109861350497789</v>
      </c>
      <c r="CD95" s="1185">
        <f>'2025'!R\Max</f>
        <v>0.9103638281658849</v>
      </c>
      <c r="CE95" s="1185">
        <f>'2026'!R\Max</f>
        <v>0.91283947375306096</v>
      </c>
      <c r="CF95" s="1186">
        <f>'2027'!R\Max</f>
        <v>0.91261047000431761</v>
      </c>
    </row>
    <row r="96" spans="1:84" s="6" customFormat="1" ht="11.25" x14ac:dyDescent="0.2">
      <c r="A96" s="11">
        <v>43182</v>
      </c>
      <c r="B96" s="382">
        <f>'2023'!Maxi_hp</f>
        <v>49.006133505479987</v>
      </c>
      <c r="C96" s="85">
        <f>'2023'!An_max</f>
        <v>2023</v>
      </c>
      <c r="D96" s="1132"/>
      <c r="E96" s="709"/>
      <c r="F96" s="13">
        <f t="shared" si="74"/>
        <v>7</v>
      </c>
      <c r="G96" s="13">
        <f t="shared" si="58"/>
        <v>8</v>
      </c>
      <c r="H96" s="175">
        <f t="shared" si="59"/>
        <v>43178</v>
      </c>
      <c r="I96" s="772">
        <f t="shared" si="60"/>
        <v>0.2857142857142857</v>
      </c>
      <c r="J96" s="763">
        <f t="shared" si="61"/>
        <v>47.963732944322487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P96" s="13">
        <f t="shared" si="62"/>
        <v>5</v>
      </c>
      <c r="AQ96" s="13">
        <f t="shared" si="63"/>
        <v>4</v>
      </c>
      <c r="AR96" s="175">
        <f t="shared" si="64"/>
        <v>43192</v>
      </c>
      <c r="AS96" s="772">
        <f t="shared" si="65"/>
        <v>0.35714285714285715</v>
      </c>
      <c r="AT96" s="789">
        <f t="shared" si="66"/>
        <v>48.052380357602871</v>
      </c>
      <c r="AU96" s="13">
        <f t="shared" si="67"/>
        <v>5</v>
      </c>
      <c r="AV96" s="13">
        <f t="shared" si="68"/>
        <v>4</v>
      </c>
      <c r="AW96" s="175">
        <f t="shared" si="69"/>
        <v>43206</v>
      </c>
      <c r="AX96" s="772">
        <f t="shared" si="70"/>
        <v>0.8571428571428571</v>
      </c>
      <c r="AY96" s="789">
        <f t="shared" si="71"/>
        <v>47.872089796087572</v>
      </c>
      <c r="AZ96" s="763">
        <f t="shared" si="75"/>
        <v>47.962235076845218</v>
      </c>
      <c r="BA96" s="647">
        <f t="shared" si="72"/>
        <v>1.0217330990973439</v>
      </c>
      <c r="BB96" s="642">
        <v>43182</v>
      </c>
      <c r="BC96" s="11">
        <v>43182</v>
      </c>
      <c r="BD96" s="292">
        <f>[2]!FeuilCaduc*(1-Persistant)+Persistant</f>
        <v>1</v>
      </c>
      <c r="BE96" s="293">
        <f>[2]!CroissVégét</f>
        <v>3.6122296026123907E-2</v>
      </c>
      <c r="BF96" s="842">
        <f>1+[2]!Salcycl*Ksac</f>
        <v>1.0020070425226533</v>
      </c>
      <c r="BH96" s="1105">
        <f t="shared" si="73"/>
        <v>1.8593838456035763E-2</v>
      </c>
      <c r="BI96" s="11">
        <v>44278</v>
      </c>
      <c r="BJ96" s="742">
        <v>3.4062311309120989E-3</v>
      </c>
      <c r="BK96" s="742">
        <v>8.3978771426820534E-3</v>
      </c>
      <c r="BL96" s="742">
        <v>1.6219372613956905E-2</v>
      </c>
      <c r="BM96" s="742">
        <v>2.8105014456094313E-2</v>
      </c>
      <c r="BN96" s="742">
        <v>4.3828628915042904E-2</v>
      </c>
      <c r="BO96" s="743">
        <v>6.3472394138484198E-2</v>
      </c>
      <c r="BP96" s="742">
        <v>8.864623322491523E-2</v>
      </c>
      <c r="BQ96" s="742">
        <v>0.12762421105678148</v>
      </c>
      <c r="BR96" s="742">
        <v>0.19867939962957995</v>
      </c>
      <c r="BS96" s="742">
        <v>0.29401002044315455</v>
      </c>
      <c r="BT96" s="742">
        <v>0.40427284620703563</v>
      </c>
      <c r="BW96" s="1187">
        <f>'2018'!R\Max</f>
        <v>0</v>
      </c>
      <c r="BX96" s="1185">
        <f>'2019'!R\Max</f>
        <v>0.89784108767998072</v>
      </c>
      <c r="BY96" s="1185">
        <f>'2020'!R\Max</f>
        <v>0.91964063476632274</v>
      </c>
      <c r="BZ96" s="1185">
        <f>'2021'!R\Max</f>
        <v>0.98956901162192512</v>
      </c>
      <c r="CA96" s="1185">
        <f>'2022'!R\Max</f>
        <v>1.0217330990973437</v>
      </c>
      <c r="CB96" s="1185">
        <f>'2023'!R\Max</f>
        <v>1.0217330990973439</v>
      </c>
      <c r="CC96" s="1185">
        <f>'2024'!R\Max</f>
        <v>1.0217330990973439</v>
      </c>
      <c r="CD96" s="1185">
        <f>'2025'!R\Max</f>
        <v>1.0217330990973441</v>
      </c>
      <c r="CE96" s="1185">
        <f>'2026'!R\Max</f>
        <v>1.0217330990973439</v>
      </c>
      <c r="CF96" s="1186">
        <f>'2027'!R\Max</f>
        <v>1.0217330990973441</v>
      </c>
    </row>
    <row r="97" spans="1:84" s="6" customFormat="1" ht="11.25" x14ac:dyDescent="0.2">
      <c r="A97" s="11">
        <v>43183</v>
      </c>
      <c r="B97" s="382">
        <f>'2023'!Maxi_hp</f>
        <v>48.311210366969917</v>
      </c>
      <c r="C97" s="85">
        <f>'2023'!An_max</f>
        <v>2022</v>
      </c>
      <c r="D97" s="1132"/>
      <c r="E97" s="709"/>
      <c r="F97" s="13">
        <f t="shared" si="74"/>
        <v>7</v>
      </c>
      <c r="G97" s="13">
        <f t="shared" si="58"/>
        <v>8</v>
      </c>
      <c r="H97" s="175">
        <f t="shared" si="59"/>
        <v>43178</v>
      </c>
      <c r="I97" s="772">
        <f t="shared" si="60"/>
        <v>0.35714285714285715</v>
      </c>
      <c r="J97" s="763">
        <f t="shared" si="61"/>
        <v>48.426696647065022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P97" s="13">
        <f t="shared" si="62"/>
        <v>5</v>
      </c>
      <c r="AQ97" s="13">
        <f t="shared" si="63"/>
        <v>4</v>
      </c>
      <c r="AR97" s="175">
        <f t="shared" si="64"/>
        <v>43192</v>
      </c>
      <c r="AS97" s="772">
        <f t="shared" si="65"/>
        <v>0.32142857142857145</v>
      </c>
      <c r="AT97" s="789">
        <f t="shared" si="66"/>
        <v>48.519642187269142</v>
      </c>
      <c r="AU97" s="13">
        <f t="shared" si="67"/>
        <v>5</v>
      </c>
      <c r="AV97" s="13">
        <f t="shared" si="68"/>
        <v>4</v>
      </c>
      <c r="AW97" s="175">
        <f t="shared" si="69"/>
        <v>43206</v>
      </c>
      <c r="AX97" s="772">
        <f t="shared" si="70"/>
        <v>0.8214285714285714</v>
      </c>
      <c r="AY97" s="789">
        <f t="shared" si="71"/>
        <v>48.317112053824324</v>
      </c>
      <c r="AZ97" s="763">
        <f t="shared" si="75"/>
        <v>48.418377120546737</v>
      </c>
      <c r="BA97" s="647">
        <f t="shared" si="72"/>
        <v>0.99761523522992346</v>
      </c>
      <c r="BB97" s="642">
        <v>43183</v>
      </c>
      <c r="BC97" s="11">
        <v>43183</v>
      </c>
      <c r="BD97" s="292">
        <f>[2]!FeuilCaduc*(1-Persistant)+Persistant</f>
        <v>1</v>
      </c>
      <c r="BE97" s="293">
        <f>[2]!CroissVégét</f>
        <v>3.7634796931243539E-2</v>
      </c>
      <c r="BF97" s="842">
        <f>1+[2]!Salcycl*Ksac</f>
        <v>1.002150442880902</v>
      </c>
      <c r="BH97" s="1105">
        <f t="shared" si="73"/>
        <v>1.8419804923771314E-2</v>
      </c>
      <c r="BI97" s="11">
        <v>44279</v>
      </c>
      <c r="BJ97" s="742">
        <v>3.2984305098885461E-3</v>
      </c>
      <c r="BK97" s="742">
        <v>8.2653509228369504E-3</v>
      </c>
      <c r="BL97" s="742">
        <v>1.6057072949316836E-2</v>
      </c>
      <c r="BM97" s="742">
        <v>2.7883979666469539E-2</v>
      </c>
      <c r="BN97" s="742">
        <v>4.3556925067561592E-2</v>
      </c>
      <c r="BO97" s="743">
        <v>6.3232237247325296E-2</v>
      </c>
      <c r="BP97" s="742">
        <v>8.8164456425794402E-2</v>
      </c>
      <c r="BQ97" s="742">
        <v>0.12511678435680199</v>
      </c>
      <c r="BR97" s="742">
        <v>0.19281520454643505</v>
      </c>
      <c r="BS97" s="742">
        <v>0.28568712267953827</v>
      </c>
      <c r="BT97" s="742">
        <v>0.39584424590666539</v>
      </c>
      <c r="BW97" s="1187">
        <f>'2018'!R\Max</f>
        <v>0</v>
      </c>
      <c r="BX97" s="1185">
        <f>'2019'!R\Max</f>
        <v>0.95957221906616352</v>
      </c>
      <c r="BY97" s="1185">
        <f>'2020'!R\Max</f>
        <v>0.83331024431841416</v>
      </c>
      <c r="BZ97" s="1185">
        <f>'2021'!R\Max</f>
        <v>0.97201531047737577</v>
      </c>
      <c r="CA97" s="1185">
        <f>'2022'!R\Max</f>
        <v>0.99761523522992346</v>
      </c>
      <c r="CB97" s="1185">
        <f>'2023'!R\Max</f>
        <v>0.99760412148115207</v>
      </c>
      <c r="CC97" s="1185">
        <f>'2024'!R\Max</f>
        <v>0.99758963775695875</v>
      </c>
      <c r="CD97" s="1185">
        <f>'2025'!R\Max</f>
        <v>0.99757036498638674</v>
      </c>
      <c r="CE97" s="1185">
        <f>'2026'!R\Max</f>
        <v>0.99763873840671169</v>
      </c>
      <c r="CF97" s="1186">
        <f>'2027'!R\Max</f>
        <v>0.99763211996646928</v>
      </c>
    </row>
    <row r="98" spans="1:84" s="6" customFormat="1" ht="11.25" x14ac:dyDescent="0.2">
      <c r="A98" s="11">
        <v>43184</v>
      </c>
      <c r="B98" s="382">
        <f>'2023'!Maxi_hp</f>
        <v>46.669924770661282</v>
      </c>
      <c r="C98" s="85">
        <f>'2023'!An_max</f>
        <v>2020</v>
      </c>
      <c r="D98" s="1132"/>
      <c r="E98" s="709"/>
      <c r="F98" s="13">
        <f t="shared" si="74"/>
        <v>7</v>
      </c>
      <c r="G98" s="13">
        <f t="shared" si="58"/>
        <v>8</v>
      </c>
      <c r="H98" s="175">
        <f t="shared" si="59"/>
        <v>43178</v>
      </c>
      <c r="I98" s="772">
        <f t="shared" si="60"/>
        <v>0.42857142857142855</v>
      </c>
      <c r="J98" s="763">
        <f t="shared" si="61"/>
        <v>48.888303790347912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P98" s="13">
        <f t="shared" si="62"/>
        <v>5</v>
      </c>
      <c r="AQ98" s="13">
        <f t="shared" si="63"/>
        <v>4</v>
      </c>
      <c r="AR98" s="175">
        <f t="shared" si="64"/>
        <v>43192</v>
      </c>
      <c r="AS98" s="772">
        <f t="shared" si="65"/>
        <v>0.2857142857142857</v>
      </c>
      <c r="AT98" s="789">
        <f t="shared" si="66"/>
        <v>48.982057142789877</v>
      </c>
      <c r="AU98" s="13">
        <f t="shared" si="67"/>
        <v>5</v>
      </c>
      <c r="AV98" s="13">
        <f t="shared" si="68"/>
        <v>4</v>
      </c>
      <c r="AW98" s="175">
        <f t="shared" si="69"/>
        <v>43206</v>
      </c>
      <c r="AX98" s="772">
        <f t="shared" si="70"/>
        <v>0.7857142857142857</v>
      </c>
      <c r="AY98" s="789">
        <f t="shared" si="71"/>
        <v>48.763387245126069</v>
      </c>
      <c r="AZ98" s="763">
        <f t="shared" si="75"/>
        <v>48.872722193957969</v>
      </c>
      <c r="BA98" s="647">
        <f t="shared" si="72"/>
        <v>0.95462352244414328</v>
      </c>
      <c r="BB98" s="642">
        <v>43184</v>
      </c>
      <c r="BC98" s="11">
        <v>43184</v>
      </c>
      <c r="BD98" s="292">
        <f>[2]!FeuilCaduc*(1-Persistant)+Persistant</f>
        <v>1</v>
      </c>
      <c r="BE98" s="293">
        <f>[2]!CroissVégét</f>
        <v>3.9205710601738018E-2</v>
      </c>
      <c r="BF98" s="842">
        <f>1+[2]!Salcycl*Ksac</f>
        <v>1.0023069840831749</v>
      </c>
      <c r="BH98" s="1105">
        <f t="shared" si="73"/>
        <v>1.8224113727554656E-2</v>
      </c>
      <c r="BI98" s="11">
        <v>44280</v>
      </c>
      <c r="BJ98" s="742">
        <v>3.1799769284351258E-3</v>
      </c>
      <c r="BK98" s="742">
        <v>8.121772019379251E-3</v>
      </c>
      <c r="BL98" s="742">
        <v>1.5876135101725499E-2</v>
      </c>
      <c r="BM98" s="742">
        <v>2.7629192359928209E-2</v>
      </c>
      <c r="BN98" s="742">
        <v>4.3234449981979561E-2</v>
      </c>
      <c r="BO98" s="743">
        <v>6.2932270807265434E-2</v>
      </c>
      <c r="BP98" s="742">
        <v>8.7706263715186347E-2</v>
      </c>
      <c r="BQ98" s="742">
        <v>0.12292512988521308</v>
      </c>
      <c r="BR98" s="742">
        <v>0.18720707349521393</v>
      </c>
      <c r="BS98" s="742">
        <v>0.27730261312274179</v>
      </c>
      <c r="BT98" s="742">
        <v>0.38665697257155962</v>
      </c>
      <c r="BW98" s="1187">
        <f>'2018'!R\Max</f>
        <v>0</v>
      </c>
      <c r="BX98" s="1185">
        <f>'2019'!R\Max</f>
        <v>0.81100709833580786</v>
      </c>
      <c r="BY98" s="1185">
        <f>'2020'!R\Max</f>
        <v>0.95462352244414328</v>
      </c>
      <c r="BZ98" s="1185">
        <f>'2021'!R\Max</f>
        <v>0.71989515889839983</v>
      </c>
      <c r="CA98" s="1185">
        <f>'2022'!R\Max</f>
        <v>0.90359273788015115</v>
      </c>
      <c r="CB98" s="1185">
        <f>'2023'!R\Max</f>
        <v>0.90319241049382548</v>
      </c>
      <c r="CC98" s="1185">
        <f>'2024'!R\Max</f>
        <v>0.90268589827772361</v>
      </c>
      <c r="CD98" s="1185">
        <f>'2025'!R\Max</f>
        <v>0.90202196027733428</v>
      </c>
      <c r="CE98" s="1185">
        <f>'2026'!R\Max</f>
        <v>0.90444502569032847</v>
      </c>
      <c r="CF98" s="1186">
        <f>'2027'!R\Max</f>
        <v>0.90420557422423919</v>
      </c>
    </row>
    <row r="99" spans="1:84" s="6" customFormat="1" ht="11.25" x14ac:dyDescent="0.2">
      <c r="A99" s="11">
        <v>43185</v>
      </c>
      <c r="B99" s="382">
        <f>'2023'!Maxi_hp</f>
        <v>49.897175948996292</v>
      </c>
      <c r="C99" s="85">
        <f>'2023'!An_max</f>
        <v>2019</v>
      </c>
      <c r="D99" s="1132"/>
      <c r="E99" s="709"/>
      <c r="F99" s="13">
        <f t="shared" si="74"/>
        <v>7</v>
      </c>
      <c r="G99" s="13">
        <f t="shared" si="58"/>
        <v>8</v>
      </c>
      <c r="H99" s="175">
        <f t="shared" si="59"/>
        <v>43178</v>
      </c>
      <c r="I99" s="772">
        <f t="shared" si="60"/>
        <v>0.5</v>
      </c>
      <c r="J99" s="763">
        <f t="shared" si="61"/>
        <v>49.347650000080463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P99" s="13">
        <f t="shared" si="62"/>
        <v>5</v>
      </c>
      <c r="AQ99" s="13">
        <f t="shared" si="63"/>
        <v>4</v>
      </c>
      <c r="AR99" s="175">
        <f t="shared" si="64"/>
        <v>43192</v>
      </c>
      <c r="AS99" s="772">
        <f t="shared" si="65"/>
        <v>0.25</v>
      </c>
      <c r="AT99" s="789">
        <f t="shared" si="66"/>
        <v>49.438932812400161</v>
      </c>
      <c r="AU99" s="13">
        <f t="shared" si="67"/>
        <v>5</v>
      </c>
      <c r="AV99" s="13">
        <f t="shared" si="68"/>
        <v>4</v>
      </c>
      <c r="AW99" s="175">
        <f t="shared" si="69"/>
        <v>43206</v>
      </c>
      <c r="AX99" s="772">
        <f t="shared" si="70"/>
        <v>0.75</v>
      </c>
      <c r="AY99" s="789">
        <f t="shared" si="71"/>
        <v>49.210321875335651</v>
      </c>
      <c r="AZ99" s="763">
        <f t="shared" si="75"/>
        <v>49.324627343867903</v>
      </c>
      <c r="BA99" s="647">
        <f t="shared" si="72"/>
        <v>1.0111358078634936</v>
      </c>
      <c r="BB99" s="642">
        <v>43185</v>
      </c>
      <c r="BC99" s="11">
        <v>43185</v>
      </c>
      <c r="BD99" s="292">
        <f>[2]!FeuilCaduc*(1-Persistant)+Persistant</f>
        <v>1</v>
      </c>
      <c r="BE99" s="293">
        <f>[2]!CroissVégét</f>
        <v>4.0837082604545251E-2</v>
      </c>
      <c r="BF99" s="842">
        <f>1+[2]!Salcycl*Ksac</f>
        <v>1.0024774355690584</v>
      </c>
      <c r="BH99" s="1105">
        <f t="shared" si="73"/>
        <v>1.8006762879830163E-2</v>
      </c>
      <c r="BI99" s="11">
        <v>44281</v>
      </c>
      <c r="BJ99" s="742">
        <v>3.0508713389958992E-3</v>
      </c>
      <c r="BK99" s="742">
        <v>7.9671399437870726E-3</v>
      </c>
      <c r="BL99" s="742">
        <v>1.5676557341260118E-2</v>
      </c>
      <c r="BM99" s="742">
        <v>2.7340649516938886E-2</v>
      </c>
      <c r="BN99" s="742">
        <v>4.2861198373857594E-2</v>
      </c>
      <c r="BO99" s="743">
        <v>6.257248447398249E-2</v>
      </c>
      <c r="BP99" s="742">
        <v>8.7271625034090028E-2</v>
      </c>
      <c r="BQ99" s="742">
        <v>0.12104916903799577</v>
      </c>
      <c r="BR99" s="742">
        <v>0.18185492761713742</v>
      </c>
      <c r="BS99" s="742">
        <v>0.26885644027811662</v>
      </c>
      <c r="BT99" s="742">
        <v>0.37671104519809456</v>
      </c>
      <c r="BW99" s="1187">
        <f>'2018'!R\Max</f>
        <v>0</v>
      </c>
      <c r="BX99" s="1185">
        <f>'2019'!R\Max</f>
        <v>1.0111358078634936</v>
      </c>
      <c r="BY99" s="1185">
        <f>'2020'!R\Max</f>
        <v>1.005947185908765</v>
      </c>
      <c r="BZ99" s="1185">
        <f>'2021'!R\Max</f>
        <v>0.81377093191626304</v>
      </c>
      <c r="CA99" s="1185">
        <f>'2022'!R\Max</f>
        <v>0.96752217576195154</v>
      </c>
      <c r="CB99" s="1185">
        <f>'2023'!R\Max</f>
        <v>0.96737951943631018</v>
      </c>
      <c r="CC99" s="1185">
        <f>'2024'!R\Max</f>
        <v>0.96720358896574177</v>
      </c>
      <c r="CD99" s="1185">
        <f>'2025'!R\Max</f>
        <v>0.96697642216683333</v>
      </c>
      <c r="CE99" s="1185">
        <f>'2026'!R\Max</f>
        <v>0.96782600674982966</v>
      </c>
      <c r="CF99" s="1186">
        <f>'2027'!R\Max</f>
        <v>0.96774097363089773</v>
      </c>
    </row>
    <row r="100" spans="1:84" s="6" customFormat="1" ht="11.25" x14ac:dyDescent="0.2">
      <c r="A100" s="11">
        <v>43186</v>
      </c>
      <c r="B100" s="382">
        <f>'2023'!Maxi_hp</f>
        <v>49.221953168491268</v>
      </c>
      <c r="C100" s="85">
        <f>'2023'!An_max</f>
        <v>2019</v>
      </c>
      <c r="D100" s="1132"/>
      <c r="E100" s="709"/>
      <c r="F100" s="13">
        <f t="shared" si="74"/>
        <v>7</v>
      </c>
      <c r="G100" s="13">
        <f t="shared" si="58"/>
        <v>8</v>
      </c>
      <c r="H100" s="175">
        <f t="shared" si="59"/>
        <v>43178</v>
      </c>
      <c r="I100" s="772">
        <f t="shared" si="60"/>
        <v>0.5714285714285714</v>
      </c>
      <c r="J100" s="763">
        <f t="shared" si="61"/>
        <v>49.803830903954804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P100" s="13">
        <f t="shared" si="62"/>
        <v>5</v>
      </c>
      <c r="AQ100" s="13">
        <f t="shared" si="63"/>
        <v>4</v>
      </c>
      <c r="AR100" s="175">
        <f t="shared" si="64"/>
        <v>43192</v>
      </c>
      <c r="AS100" s="772">
        <f t="shared" si="65"/>
        <v>0.21428571428571427</v>
      </c>
      <c r="AT100" s="789">
        <f t="shared" si="66"/>
        <v>49.889576785000301</v>
      </c>
      <c r="AU100" s="13">
        <f t="shared" si="67"/>
        <v>5</v>
      </c>
      <c r="AV100" s="13">
        <f t="shared" si="68"/>
        <v>4</v>
      </c>
      <c r="AW100" s="175">
        <f t="shared" si="69"/>
        <v>43206</v>
      </c>
      <c r="AX100" s="772">
        <f t="shared" si="70"/>
        <v>0.7142857142857143</v>
      </c>
      <c r="AY100" s="789">
        <f t="shared" si="71"/>
        <v>49.657322449529808</v>
      </c>
      <c r="AZ100" s="763">
        <f t="shared" si="75"/>
        <v>49.773449617265058</v>
      </c>
      <c r="BA100" s="647">
        <f t="shared" si="72"/>
        <v>0.98831660687737721</v>
      </c>
      <c r="BB100" s="642">
        <v>43186</v>
      </c>
      <c r="BC100" s="11">
        <v>43186</v>
      </c>
      <c r="BD100" s="292">
        <f>[2]!FeuilCaduc*(1-Persistant)+Persistant</f>
        <v>1</v>
      </c>
      <c r="BE100" s="293">
        <f>[2]!CroissVégét</f>
        <v>4.2531012940474407E-2</v>
      </c>
      <c r="BF100" s="842">
        <f>1+[2]!Salcycl*Ksac</f>
        <v>1.00266256396861</v>
      </c>
      <c r="BH100" s="1105">
        <f t="shared" si="73"/>
        <v>1.7759308189745797E-2</v>
      </c>
      <c r="BI100" s="11">
        <v>44282</v>
      </c>
      <c r="BJ100" s="742">
        <v>2.9156097063940041E-3</v>
      </c>
      <c r="BK100" s="742">
        <v>7.8000823879997294E-3</v>
      </c>
      <c r="BL100" s="742">
        <v>1.5450756811374054E-2</v>
      </c>
      <c r="BM100" s="742">
        <v>2.700645678028854E-2</v>
      </c>
      <c r="BN100" s="742">
        <v>4.2423682040533574E-2</v>
      </c>
      <c r="BO100" s="743">
        <v>6.2130391162350508E-2</v>
      </c>
      <c r="BP100" s="742">
        <v>8.6831890799271852E-2</v>
      </c>
      <c r="BQ100" s="742">
        <v>0.11945626957340361</v>
      </c>
      <c r="BR100" s="742">
        <v>0.17687258003649506</v>
      </c>
      <c r="BS100" s="742">
        <v>0.26058759126587433</v>
      </c>
      <c r="BT100" s="742">
        <v>0.36635346828278015</v>
      </c>
      <c r="BW100" s="1187">
        <f>'2018'!R\Max</f>
        <v>0</v>
      </c>
      <c r="BX100" s="1185">
        <f>'2019'!R\Max</f>
        <v>0.98831660687737721</v>
      </c>
      <c r="BY100" s="1185">
        <f>'2020'!R\Max</f>
        <v>0.60747820648104545</v>
      </c>
      <c r="BZ100" s="1185">
        <f>'2021'!R\Max</f>
        <v>0.8285770328671247</v>
      </c>
      <c r="CA100" s="1185">
        <f>'2022'!R\Max</f>
        <v>0.94622057133593973</v>
      </c>
      <c r="CB100" s="1185">
        <f>'2023'!R\Max</f>
        <v>0.9459916867229633</v>
      </c>
      <c r="CC100" s="1185">
        <f>'2024'!R\Max</f>
        <v>0.94571599077307089</v>
      </c>
      <c r="CD100" s="1185">
        <f>'2025'!R\Max</f>
        <v>0.94536620182810671</v>
      </c>
      <c r="CE100" s="1185">
        <f>'2026'!R\Max</f>
        <v>0.9467068416929314</v>
      </c>
      <c r="CF100" s="1186">
        <f>'2027'!R\Max</f>
        <v>0.94657123319069958</v>
      </c>
    </row>
    <row r="101" spans="1:84" s="6" customFormat="1" ht="11.25" x14ac:dyDescent="0.2">
      <c r="A101" s="11">
        <v>43187</v>
      </c>
      <c r="B101" s="382">
        <f>'2023'!Maxi_hp</f>
        <v>48.35240667023605</v>
      </c>
      <c r="C101" s="85">
        <f>'2023'!An_max</f>
        <v>2021</v>
      </c>
      <c r="D101" s="1132"/>
      <c r="E101" s="709"/>
      <c r="F101" s="13">
        <f t="shared" si="74"/>
        <v>7</v>
      </c>
      <c r="G101" s="13">
        <f t="shared" si="58"/>
        <v>8</v>
      </c>
      <c r="H101" s="175">
        <f t="shared" si="59"/>
        <v>43178</v>
      </c>
      <c r="I101" s="772">
        <f t="shared" si="60"/>
        <v>0.6428571428571429</v>
      </c>
      <c r="J101" s="763">
        <f t="shared" si="61"/>
        <v>50.255942128159639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P101" s="13">
        <f t="shared" si="62"/>
        <v>5</v>
      </c>
      <c r="AQ101" s="13">
        <f t="shared" si="63"/>
        <v>4</v>
      </c>
      <c r="AR101" s="175">
        <f t="shared" si="64"/>
        <v>43192</v>
      </c>
      <c r="AS101" s="772">
        <f t="shared" si="65"/>
        <v>0.17857142857142858</v>
      </c>
      <c r="AT101" s="789">
        <f t="shared" si="66"/>
        <v>50.33329665181892</v>
      </c>
      <c r="AU101" s="13">
        <f t="shared" si="67"/>
        <v>5</v>
      </c>
      <c r="AV101" s="13">
        <f t="shared" si="68"/>
        <v>4</v>
      </c>
      <c r="AW101" s="175">
        <f t="shared" si="69"/>
        <v>43206</v>
      </c>
      <c r="AX101" s="772">
        <f t="shared" si="70"/>
        <v>0.6785714285714286</v>
      </c>
      <c r="AY101" s="789">
        <f t="shared" si="71"/>
        <v>50.103795472406119</v>
      </c>
      <c r="AZ101" s="763">
        <f t="shared" si="75"/>
        <v>50.218546062112523</v>
      </c>
      <c r="BA101" s="647">
        <f t="shared" si="72"/>
        <v>0.96212317633864453</v>
      </c>
      <c r="BB101" s="642">
        <v>43187</v>
      </c>
      <c r="BC101" s="11">
        <v>43187</v>
      </c>
      <c r="BD101" s="292">
        <f>[2]!FeuilCaduc*(1-Persistant)+Persistant</f>
        <v>1</v>
      </c>
      <c r="BE101" s="293">
        <f>[2]!CroissVégét</f>
        <v>4.4289656039802887E-2</v>
      </c>
      <c r="BF101" s="842">
        <f>1+[2]!Salcycl*Ksac</f>
        <v>1.0028631310152114</v>
      </c>
      <c r="BH101" s="1105">
        <f t="shared" si="73"/>
        <v>1.7492016375316548E-2</v>
      </c>
      <c r="BI101" s="11">
        <v>44283</v>
      </c>
      <c r="BJ101" s="742">
        <v>2.7827820610792872E-3</v>
      </c>
      <c r="BK101" s="742">
        <v>7.6270359406552385E-3</v>
      </c>
      <c r="BL101" s="742">
        <v>1.5207193387044092E-2</v>
      </c>
      <c r="BM101" s="742">
        <v>2.6644118370354367E-2</v>
      </c>
      <c r="BN101" s="742">
        <v>4.1950341627490347E-2</v>
      </c>
      <c r="BO101" s="743">
        <v>6.1640285446348891E-2</v>
      </c>
      <c r="BP101" s="742">
        <v>8.6327935054201041E-2</v>
      </c>
      <c r="BQ101" s="742">
        <v>0.11793744838112875</v>
      </c>
      <c r="BR101" s="742">
        <v>0.17219426283354014</v>
      </c>
      <c r="BS101" s="742">
        <v>0.25259217432880426</v>
      </c>
      <c r="BT101" s="742">
        <v>0.35582306050542034</v>
      </c>
      <c r="BW101" s="1187">
        <f>'2018'!R\Max</f>
        <v>0</v>
      </c>
      <c r="BX101" s="1185">
        <f>'2019'!R\Max</f>
        <v>0.96153247598938074</v>
      </c>
      <c r="BY101" s="1185">
        <f>'2020'!R\Max</f>
        <v>0.93153295437685635</v>
      </c>
      <c r="BZ101" s="1185">
        <f>'2021'!R\Max</f>
        <v>0.96212317633864453</v>
      </c>
      <c r="CA101" s="1185">
        <f>'2022'!R\Max</f>
        <v>0.727549835797071</v>
      </c>
      <c r="CB101" s="1185">
        <f>'2023'!R\Max</f>
        <v>0.72666771651615425</v>
      </c>
      <c r="CC101" s="1185">
        <f>'2024'!R\Max</f>
        <v>0.72562908385286828</v>
      </c>
      <c r="CD101" s="1185">
        <f>'2025'!R\Max</f>
        <v>0.72433663048718744</v>
      </c>
      <c r="CE101" s="1185">
        <f>'2026'!R\Max</f>
        <v>0.72942456375032494</v>
      </c>
      <c r="CF101" s="1186">
        <f>'2027'!R\Max</f>
        <v>0.72890291210879921</v>
      </c>
    </row>
    <row r="102" spans="1:84" s="6" customFormat="1" ht="11.25" x14ac:dyDescent="0.2">
      <c r="A102" s="11">
        <v>43188</v>
      </c>
      <c r="B102" s="382">
        <f>'2023'!Maxi_hp</f>
        <v>50.374159928114452</v>
      </c>
      <c r="C102" s="85">
        <f>'2023'!An_max</f>
        <v>2021</v>
      </c>
      <c r="D102" s="1132"/>
      <c r="E102" s="709"/>
      <c r="F102" s="13">
        <f t="shared" si="74"/>
        <v>7</v>
      </c>
      <c r="G102" s="13">
        <f t="shared" si="58"/>
        <v>8</v>
      </c>
      <c r="H102" s="175">
        <f t="shared" si="59"/>
        <v>43178</v>
      </c>
      <c r="I102" s="772">
        <f t="shared" si="60"/>
        <v>0.7142857142857143</v>
      </c>
      <c r="J102" s="763">
        <f t="shared" si="61"/>
        <v>50.703079299415855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P102" s="13">
        <f t="shared" si="62"/>
        <v>5</v>
      </c>
      <c r="AQ102" s="13">
        <f t="shared" si="63"/>
        <v>4</v>
      </c>
      <c r="AR102" s="175">
        <f t="shared" si="64"/>
        <v>43192</v>
      </c>
      <c r="AS102" s="772">
        <f t="shared" si="65"/>
        <v>0.14285714285714285</v>
      </c>
      <c r="AT102" s="789">
        <f t="shared" si="66"/>
        <v>50.769400000146462</v>
      </c>
      <c r="AU102" s="13">
        <f t="shared" si="67"/>
        <v>5</v>
      </c>
      <c r="AV102" s="13">
        <f t="shared" si="68"/>
        <v>4</v>
      </c>
      <c r="AW102" s="175">
        <f t="shared" si="69"/>
        <v>43206</v>
      </c>
      <c r="AX102" s="772">
        <f t="shared" si="70"/>
        <v>0.6428571428571429</v>
      </c>
      <c r="AY102" s="789">
        <f t="shared" si="71"/>
        <v>50.549147449726505</v>
      </c>
      <c r="AZ102" s="763">
        <f t="shared" si="75"/>
        <v>50.659273724936483</v>
      </c>
      <c r="BA102" s="647">
        <f t="shared" si="72"/>
        <v>0.99351283243845911</v>
      </c>
      <c r="BB102" s="642">
        <v>43188</v>
      </c>
      <c r="BC102" s="11">
        <v>43188</v>
      </c>
      <c r="BD102" s="292">
        <f>[2]!FeuilCaduc*(1-Persistant)+Persistant</f>
        <v>1</v>
      </c>
      <c r="BE102" s="293">
        <f>[2]!CroissVégét</f>
        <v>4.6115220608575654E-2</v>
      </c>
      <c r="BF102" s="842">
        <f>1+[2]!Salcycl*Ksac</f>
        <v>1.0030798915438506</v>
      </c>
      <c r="BH102" s="1105">
        <f t="shared" si="73"/>
        <v>1.7204886718214265E-2</v>
      </c>
      <c r="BI102" s="11">
        <v>44284</v>
      </c>
      <c r="BJ102" s="742">
        <v>2.652387946616065E-3</v>
      </c>
      <c r="BK102" s="742">
        <v>7.4480002104001424E-3</v>
      </c>
      <c r="BL102" s="742">
        <v>1.4945866597870136E-2</v>
      </c>
      <c r="BM102" s="742">
        <v>2.6253632575705923E-2</v>
      </c>
      <c r="BN102" s="742">
        <v>4.1441172451688123E-2</v>
      </c>
      <c r="BO102" s="743">
        <v>6.1102158405728642E-2</v>
      </c>
      <c r="BP102" s="742">
        <v>8.5759743671619273E-2</v>
      </c>
      <c r="BQ102" s="742">
        <v>0.1164926650750268</v>
      </c>
      <c r="BR102" s="742">
        <v>0.16781990064292476</v>
      </c>
      <c r="BS102" s="742">
        <v>0.24487011404910486</v>
      </c>
      <c r="BT102" s="742">
        <v>0.34511980169660067</v>
      </c>
      <c r="BW102" s="1187">
        <f>'2018'!R\Max</f>
        <v>0</v>
      </c>
      <c r="BX102" s="1185">
        <f>'2019'!R\Max</f>
        <v>0.97276162183446924</v>
      </c>
      <c r="BY102" s="1185">
        <f>'2020'!R\Max</f>
        <v>0.90212595491307834</v>
      </c>
      <c r="BZ102" s="1185">
        <f>'2021'!R\Max</f>
        <v>0.99351283243845911</v>
      </c>
      <c r="CA102" s="1185">
        <f>'2022'!R\Max</f>
        <v>0.5946113487650494</v>
      </c>
      <c r="CB102" s="1185">
        <f>'2023'!R\Max</f>
        <v>0.59355010369120431</v>
      </c>
      <c r="CC102" s="1185">
        <f>'2024'!R\Max</f>
        <v>0.59232402269564877</v>
      </c>
      <c r="CD102" s="1185">
        <f>'2025'!R\Max</f>
        <v>0.59082487639391246</v>
      </c>
      <c r="CE102" s="1185">
        <f>'2026'!R\Max</f>
        <v>0.59686493057910395</v>
      </c>
      <c r="CF102" s="1186">
        <f>'2027'!R\Max</f>
        <v>0.59623964540647922</v>
      </c>
    </row>
    <row r="103" spans="1:84" s="6" customFormat="1" ht="11.25" x14ac:dyDescent="0.2">
      <c r="A103" s="11">
        <v>43189</v>
      </c>
      <c r="B103" s="382">
        <f>'2023'!Maxi_hp</f>
        <v>50.454310720909646</v>
      </c>
      <c r="C103" s="85">
        <f>'2023'!An_max</f>
        <v>2019</v>
      </c>
      <c r="D103" s="1132"/>
      <c r="E103" s="709"/>
      <c r="F103" s="13">
        <f t="shared" si="74"/>
        <v>7</v>
      </c>
      <c r="G103" s="13">
        <f t="shared" si="58"/>
        <v>8</v>
      </c>
      <c r="H103" s="175">
        <f t="shared" si="59"/>
        <v>43178</v>
      </c>
      <c r="I103" s="772">
        <f t="shared" si="60"/>
        <v>0.7857142857142857</v>
      </c>
      <c r="J103" s="763">
        <f t="shared" si="61"/>
        <v>51.144338046945634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P103" s="13">
        <f t="shared" si="62"/>
        <v>5</v>
      </c>
      <c r="AQ103" s="13">
        <f t="shared" si="63"/>
        <v>4</v>
      </c>
      <c r="AR103" s="175">
        <f t="shared" si="64"/>
        <v>43192</v>
      </c>
      <c r="AS103" s="772">
        <f t="shared" si="65"/>
        <v>0.10714285714285714</v>
      </c>
      <c r="AT103" s="789">
        <f t="shared" si="66"/>
        <v>51.197194420226978</v>
      </c>
      <c r="AU103" s="13">
        <f t="shared" si="67"/>
        <v>5</v>
      </c>
      <c r="AV103" s="13">
        <f t="shared" si="68"/>
        <v>4</v>
      </c>
      <c r="AW103" s="175">
        <f t="shared" si="69"/>
        <v>43206</v>
      </c>
      <c r="AX103" s="772">
        <f t="shared" si="70"/>
        <v>0.6071428571428571</v>
      </c>
      <c r="AY103" s="789">
        <f t="shared" si="71"/>
        <v>50.992784885835967</v>
      </c>
      <c r="AZ103" s="763">
        <f t="shared" si="75"/>
        <v>51.094989653031476</v>
      </c>
      <c r="BA103" s="647">
        <f t="shared" si="72"/>
        <v>0.98650823625085127</v>
      </c>
      <c r="BB103" s="642">
        <v>43189</v>
      </c>
      <c r="BC103" s="11">
        <v>43189</v>
      </c>
      <c r="BD103" s="292">
        <f>[2]!FeuilCaduc*(1-Persistant)+Persistant</f>
        <v>1</v>
      </c>
      <c r="BE103" s="293">
        <f>[2]!CroissVégét</f>
        <v>4.8009969311812332E-2</v>
      </c>
      <c r="BF103" s="842">
        <f>1+[2]!Salcycl*Ksac</f>
        <v>1.003313591577417</v>
      </c>
      <c r="BH103" s="1105">
        <f t="shared" si="73"/>
        <v>1.6897919127530893E-2</v>
      </c>
      <c r="BI103" s="11">
        <v>44285</v>
      </c>
      <c r="BJ103" s="742">
        <v>2.5244270416341736E-3</v>
      </c>
      <c r="BK103" s="742">
        <v>7.2629751135769695E-3</v>
      </c>
      <c r="BL103" s="742">
        <v>1.4666776540727774E-2</v>
      </c>
      <c r="BM103" s="742">
        <v>2.5834998553247751E-2</v>
      </c>
      <c r="BN103" s="742">
        <v>4.0896170950117751E-2</v>
      </c>
      <c r="BO103" s="743">
        <v>6.0516002435663512E-2</v>
      </c>
      <c r="BP103" s="742">
        <v>8.5127304088849651E-2</v>
      </c>
      <c r="BQ103" s="742">
        <v>0.11512188013782226</v>
      </c>
      <c r="BR103" s="742">
        <v>0.16374941970023699</v>
      </c>
      <c r="BS103" s="742">
        <v>0.23742134129997203</v>
      </c>
      <c r="BT103" s="742">
        <v>0.33424368765787332</v>
      </c>
      <c r="BW103" s="1187">
        <f>'2018'!R\Max</f>
        <v>0</v>
      </c>
      <c r="BX103" s="1185">
        <f>'2019'!R\Max</f>
        <v>0.98650823625085127</v>
      </c>
      <c r="BY103" s="1185">
        <f>'2020'!R\Max</f>
        <v>0.56644824210864531</v>
      </c>
      <c r="BZ103" s="1185">
        <f>'2021'!R\Max</f>
        <v>0.92069602200017631</v>
      </c>
      <c r="CA103" s="1185">
        <f>'2022'!R\Max</f>
        <v>0.165612890280872</v>
      </c>
      <c r="CB103" s="1185">
        <f>'2023'!R\Max</f>
        <v>0.16510685448046325</v>
      </c>
      <c r="CC103" s="1185">
        <f>'2024'!R\Max</f>
        <v>0.164532290943217</v>
      </c>
      <c r="CD103" s="1185">
        <f>'2025'!R\Max</f>
        <v>0.16384256806849196</v>
      </c>
      <c r="CE103" s="1185">
        <f>'2026'!R\Max</f>
        <v>0.16668903829642182</v>
      </c>
      <c r="CF103" s="1186">
        <f>'2027'!R\Max</f>
        <v>0.16639098158684318</v>
      </c>
    </row>
    <row r="104" spans="1:84" s="6" customFormat="1" ht="11.25" x14ac:dyDescent="0.2">
      <c r="A104" s="11">
        <v>43190</v>
      </c>
      <c r="B104" s="382">
        <f>'2023'!Maxi_hp</f>
        <v>45.640923003520236</v>
      </c>
      <c r="C104" s="85">
        <f>'2023'!An_max</f>
        <v>2021</v>
      </c>
      <c r="D104" s="1132"/>
      <c r="E104" s="709"/>
      <c r="F104" s="13">
        <f t="shared" si="74"/>
        <v>7</v>
      </c>
      <c r="G104" s="13">
        <f t="shared" si="58"/>
        <v>8</v>
      </c>
      <c r="H104" s="175">
        <f t="shared" si="59"/>
        <v>43178</v>
      </c>
      <c r="I104" s="772">
        <f t="shared" si="60"/>
        <v>0.8571428571428571</v>
      </c>
      <c r="J104" s="763">
        <f t="shared" si="61"/>
        <v>51.578813993930815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P104" s="13">
        <f t="shared" si="62"/>
        <v>5</v>
      </c>
      <c r="AQ104" s="13">
        <f t="shared" si="63"/>
        <v>4</v>
      </c>
      <c r="AR104" s="175">
        <f t="shared" si="64"/>
        <v>43192</v>
      </c>
      <c r="AS104" s="772">
        <f t="shared" si="65"/>
        <v>7.1428571428571425E-2</v>
      </c>
      <c r="AT104" s="789">
        <f t="shared" si="66"/>
        <v>51.615987499750091</v>
      </c>
      <c r="AU104" s="13">
        <f t="shared" si="67"/>
        <v>5</v>
      </c>
      <c r="AV104" s="13">
        <f t="shared" si="68"/>
        <v>4</v>
      </c>
      <c r="AW104" s="175">
        <f t="shared" si="69"/>
        <v>43206</v>
      </c>
      <c r="AX104" s="772">
        <f t="shared" si="70"/>
        <v>0.5714285714285714</v>
      </c>
      <c r="AY104" s="789">
        <f t="shared" si="71"/>
        <v>51.434114285984208</v>
      </c>
      <c r="AZ104" s="763">
        <f t="shared" si="75"/>
        <v>51.525050892867149</v>
      </c>
      <c r="BA104" s="647">
        <f t="shared" si="72"/>
        <v>0.88487732596741597</v>
      </c>
      <c r="BB104" s="642">
        <v>43190</v>
      </c>
      <c r="BC104" s="11">
        <v>43190</v>
      </c>
      <c r="BD104" s="292">
        <f>[2]!FeuilCaduc*(1-Persistant)+Persistant</f>
        <v>1</v>
      </c>
      <c r="BE104" s="293">
        <f>[2]!CroissVégét</f>
        <v>4.9976218279140845E-2</v>
      </c>
      <c r="BF104" s="842">
        <f>1+[2]!Salcycl*Ksac</f>
        <v>1.0035649665017321</v>
      </c>
      <c r="BH104" s="1105">
        <f t="shared" si="73"/>
        <v>1.6571114203326198E-2</v>
      </c>
      <c r="BI104" s="11">
        <v>44286</v>
      </c>
      <c r="BJ104" s="742">
        <v>2.3988991520581394E-3</v>
      </c>
      <c r="BK104" s="742">
        <v>7.0719608934265224E-3</v>
      </c>
      <c r="BL104" s="742">
        <v>1.4369923936675333E-2</v>
      </c>
      <c r="BM104" s="742">
        <v>2.5388216418366999E-2</v>
      </c>
      <c r="BN104" s="742">
        <v>4.0315334794498524E-2</v>
      </c>
      <c r="BO104" s="743">
        <v>5.9881811400391095E-2</v>
      </c>
      <c r="BP104" s="742">
        <v>8.4430605513233711E-2</v>
      </c>
      <c r="BQ104" s="742">
        <v>0.11382505468356796</v>
      </c>
      <c r="BR104" s="742">
        <v>0.15998274686839695</v>
      </c>
      <c r="BS104" s="742">
        <v>0.23024579237067225</v>
      </c>
      <c r="BT104" s="742">
        <v>0.3231947307169607</v>
      </c>
      <c r="BW104" s="1187">
        <f>'2018'!R\Max</f>
        <v>0</v>
      </c>
      <c r="BX104" s="1185">
        <f>'2019'!R\Max</f>
        <v>0.8311365643787646</v>
      </c>
      <c r="BY104" s="1185">
        <f>'2020'!R\Max</f>
        <v>0.47066342395611283</v>
      </c>
      <c r="BZ104" s="1185">
        <f>'2021'!R\Max</f>
        <v>0.88487732596741597</v>
      </c>
      <c r="CA104" s="1185">
        <f>'2022'!R\Max</f>
        <v>0.57532101934957891</v>
      </c>
      <c r="CB104" s="1185">
        <f>'2023'!R\Max</f>
        <v>0.57426852660994543</v>
      </c>
      <c r="CC104" s="1185">
        <f>'2024'!R\Max</f>
        <v>0.57308400017051986</v>
      </c>
      <c r="CD104" s="1185">
        <f>'2025'!R\Max</f>
        <v>0.57801446925268385</v>
      </c>
      <c r="CE104" s="1185">
        <f>'2026'!R\Max</f>
        <v>0.57754527373761599</v>
      </c>
      <c r="CF104" s="1186">
        <f>'2027'!R\Max</f>
        <v>0.57693270503816174</v>
      </c>
    </row>
    <row r="105" spans="1:84" s="6" customFormat="1" ht="11.25" x14ac:dyDescent="0.2">
      <c r="A105" s="11">
        <v>43191</v>
      </c>
      <c r="B105" s="382">
        <f>'2023'!Maxi_hp</f>
        <v>47.789967168011586</v>
      </c>
      <c r="C105" s="85">
        <f>'2023'!An_max</f>
        <v>2020</v>
      </c>
      <c r="D105" s="1132"/>
      <c r="E105" s="709"/>
      <c r="F105" s="13">
        <f t="shared" si="74"/>
        <v>7</v>
      </c>
      <c r="G105" s="13">
        <f t="shared" si="58"/>
        <v>8</v>
      </c>
      <c r="H105" s="175">
        <f t="shared" si="59"/>
        <v>43178</v>
      </c>
      <c r="I105" s="772">
        <f t="shared" si="60"/>
        <v>0.9285714285714286</v>
      </c>
      <c r="J105" s="763">
        <f t="shared" si="61"/>
        <v>52.005602770165673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P105" s="13">
        <f t="shared" si="62"/>
        <v>5</v>
      </c>
      <c r="AQ105" s="13">
        <f t="shared" si="63"/>
        <v>4</v>
      </c>
      <c r="AR105" s="175">
        <f t="shared" si="64"/>
        <v>43192</v>
      </c>
      <c r="AS105" s="772">
        <f t="shared" si="65"/>
        <v>3.5714285714285712E-2</v>
      </c>
      <c r="AT105" s="789">
        <f t="shared" si="66"/>
        <v>52.02508683078257</v>
      </c>
      <c r="AU105" s="13">
        <f t="shared" si="67"/>
        <v>5</v>
      </c>
      <c r="AV105" s="13">
        <f t="shared" si="68"/>
        <v>4</v>
      </c>
      <c r="AW105" s="175">
        <f t="shared" si="69"/>
        <v>43206</v>
      </c>
      <c r="AX105" s="772">
        <f t="shared" si="70"/>
        <v>0.5357142857142857</v>
      </c>
      <c r="AY105" s="789">
        <f t="shared" si="71"/>
        <v>51.872542155859989</v>
      </c>
      <c r="AZ105" s="763">
        <f t="shared" si="75"/>
        <v>51.948814493321279</v>
      </c>
      <c r="BA105" s="647">
        <f t="shared" si="72"/>
        <v>0.91893881855797865</v>
      </c>
      <c r="BB105" s="642">
        <v>43191</v>
      </c>
      <c r="BC105" s="11">
        <v>43191</v>
      </c>
      <c r="BD105" s="292">
        <f>[2]!FeuilCaduc*(1-Persistant)+Persistant</f>
        <v>1</v>
      </c>
      <c r="BE105" s="293">
        <f>[2]!CroissVégét</f>
        <v>5.201633641771132E-2</v>
      </c>
      <c r="BF105" s="842">
        <f>1+[2]!Salcycl*Ksac</f>
        <v>1.0038347393282232</v>
      </c>
      <c r="BH105" s="1105">
        <f t="shared" si="73"/>
        <v>1.6224473300140693E-2</v>
      </c>
      <c r="BI105" s="11">
        <v>44287</v>
      </c>
      <c r="BJ105" s="742">
        <v>2.2758042033312505E-3</v>
      </c>
      <c r="BK105" s="742">
        <v>6.8749581392753495E-3</v>
      </c>
      <c r="BL105" s="742">
        <v>1.405531018783074E-2</v>
      </c>
      <c r="BM105" s="742">
        <v>2.4913287335027786E-2</v>
      </c>
      <c r="BN105" s="742">
        <v>3.9698663005891484E-2</v>
      </c>
      <c r="BO105" s="743">
        <v>5.9199580786728871E-2</v>
      </c>
      <c r="BP105" s="742">
        <v>8.3669639127393017E-2</v>
      </c>
      <c r="BQ105" s="742">
        <v>0.1126021502198654</v>
      </c>
      <c r="BR105" s="742">
        <v>0.15651980866371629</v>
      </c>
      <c r="BS105" s="742">
        <v>0.22334340809112999</v>
      </c>
      <c r="BT105" s="742">
        <v>0.31197296028227739</v>
      </c>
      <c r="BW105" s="1187">
        <f>'2018'!R\Max</f>
        <v>0</v>
      </c>
      <c r="BX105" s="1185">
        <f>'2019'!R\Max</f>
        <v>0.88602897708854289</v>
      </c>
      <c r="BY105" s="1185">
        <f>'2020'!R\Max</f>
        <v>0.91893881855797865</v>
      </c>
      <c r="BZ105" s="1185">
        <f>'2021'!R\Max</f>
        <v>0.90596232687378231</v>
      </c>
      <c r="CA105" s="1185">
        <f>'2022'!R\Max</f>
        <v>0.62238535625106872</v>
      </c>
      <c r="CB105" s="1185">
        <f>'2023'!R\Max</f>
        <v>0.62138435595491281</v>
      </c>
      <c r="CC105" s="1185">
        <f>'2024'!R\Max</f>
        <v>0.62026634358872934</v>
      </c>
      <c r="CD105" s="1185">
        <f>'2025'!R\Max</f>
        <v>0.62493506038354218</v>
      </c>
      <c r="CE105" s="1185">
        <f>'2026'!R\Max</f>
        <v>0.62449435484667348</v>
      </c>
      <c r="CF105" s="1186">
        <f>'2027'!R\Max</f>
        <v>0.62391592539740692</v>
      </c>
    </row>
    <row r="106" spans="1:84" s="6" customFormat="1" ht="11.25" x14ac:dyDescent="0.2">
      <c r="A106" s="11">
        <v>43192</v>
      </c>
      <c r="B106" s="382">
        <f>'2023'!Maxi_hp</f>
        <v>42.365894595773121</v>
      </c>
      <c r="C106" s="85">
        <f>'2023'!An_max</f>
        <v>2020</v>
      </c>
      <c r="D106" s="1132"/>
      <c r="E106" s="771">
        <f>T$13/10</f>
        <v>52.423800000000007</v>
      </c>
      <c r="F106" s="13">
        <f t="shared" si="74"/>
        <v>9</v>
      </c>
      <c r="G106" s="13">
        <f t="shared" si="58"/>
        <v>8</v>
      </c>
      <c r="H106" s="175">
        <f t="shared" si="59"/>
        <v>43206</v>
      </c>
      <c r="I106" s="772">
        <f t="shared" si="60"/>
        <v>1</v>
      </c>
      <c r="J106" s="763">
        <f t="shared" si="61"/>
        <v>52.423799999803308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P106" s="13">
        <f t="shared" si="62"/>
        <v>5</v>
      </c>
      <c r="AQ106" s="13">
        <f t="shared" si="63"/>
        <v>6</v>
      </c>
      <c r="AR106" s="175">
        <f t="shared" si="64"/>
        <v>43192</v>
      </c>
      <c r="AS106" s="772">
        <f t="shared" si="65"/>
        <v>0</v>
      </c>
      <c r="AT106" s="789">
        <f t="shared" si="66"/>
        <v>52.423800000548361</v>
      </c>
      <c r="AU106" s="13">
        <f t="shared" si="67"/>
        <v>5</v>
      </c>
      <c r="AV106" s="13">
        <f t="shared" si="68"/>
        <v>4</v>
      </c>
      <c r="AW106" s="175">
        <f t="shared" si="69"/>
        <v>43206</v>
      </c>
      <c r="AX106" s="772">
        <f t="shared" si="70"/>
        <v>0.5</v>
      </c>
      <c r="AY106" s="789">
        <f t="shared" si="71"/>
        <v>52.307475000061096</v>
      </c>
      <c r="AZ106" s="763">
        <f t="shared" si="75"/>
        <v>52.365637500304729</v>
      </c>
      <c r="BA106" s="647">
        <f t="shared" si="72"/>
        <v>0.80814238181764919</v>
      </c>
      <c r="BB106" s="642">
        <v>43192</v>
      </c>
      <c r="BC106" s="11">
        <v>43192</v>
      </c>
      <c r="BD106" s="292">
        <f>[2]!FeuilCaduc*(1-Persistant)+Persistant</f>
        <v>1</v>
      </c>
      <c r="BE106" s="293">
        <f>[2]!CroissVégét</f>
        <v>5.4132744516590045E-2</v>
      </c>
      <c r="BF106" s="842">
        <f>1+[2]!Salcycl*Ksac</f>
        <v>1.0041236190414302</v>
      </c>
      <c r="BH106" s="1105">
        <f t="shared" si="73"/>
        <v>1.5857998590572346E-2</v>
      </c>
      <c r="BI106" s="11">
        <v>44288</v>
      </c>
      <c r="BJ106" s="742">
        <v>2.1551422326489679E-3</v>
      </c>
      <c r="BK106" s="742">
        <v>6.6719678057504681E-3</v>
      </c>
      <c r="BL106" s="742">
        <v>1.3722937434303731E-2</v>
      </c>
      <c r="BM106" s="742">
        <v>2.4410213605963123E-2</v>
      </c>
      <c r="BN106" s="742">
        <v>3.9046156069467347E-2</v>
      </c>
      <c r="BO106" s="743">
        <v>5.8469307857819362E-2</v>
      </c>
      <c r="BP106" s="742">
        <v>8.2844398294812951E-2</v>
      </c>
      <c r="BQ106" s="742">
        <v>0.11145312841052064</v>
      </c>
      <c r="BR106" s="742">
        <v>0.15336053028257174</v>
      </c>
      <c r="BS106" s="742">
        <v>0.21671413295740269</v>
      </c>
      <c r="BT106" s="742">
        <v>0.30057842339870178</v>
      </c>
      <c r="BW106" s="1187">
        <f>'2018'!R\Max</f>
        <v>0</v>
      </c>
      <c r="BX106" s="1185">
        <f>'2019'!R\Max</f>
        <v>0.34163629999441308</v>
      </c>
      <c r="BY106" s="1185">
        <f>'2020'!R\Max</f>
        <v>0.80814238181764919</v>
      </c>
      <c r="BZ106" s="1185">
        <f>'2021'!R\Max</f>
        <v>0.77596334557527724</v>
      </c>
      <c r="CA106" s="1185">
        <f>'2022'!R\Max</f>
        <v>0.41745667539065234</v>
      </c>
      <c r="CB106" s="1185">
        <f>'2023'!R\Max</f>
        <v>0.41643411884580361</v>
      </c>
      <c r="CC106" s="1185">
        <f>'2024'!R\Max</f>
        <v>0.41529931277718529</v>
      </c>
      <c r="CD106" s="1185">
        <f>'2025'!R\Max</f>
        <v>0.42005887812015164</v>
      </c>
      <c r="CE106" s="1185">
        <f>'2026'!R\Max</f>
        <v>0.41961181169845585</v>
      </c>
      <c r="CF106" s="1186">
        <f>'2027'!R\Max</f>
        <v>0.41902222832645081</v>
      </c>
    </row>
    <row r="107" spans="1:84" s="6" customFormat="1" ht="11.25" x14ac:dyDescent="0.2">
      <c r="A107" s="11">
        <v>43193</v>
      </c>
      <c r="B107" s="382">
        <f>'2023'!Maxi_hp</f>
        <v>48.937909271344878</v>
      </c>
      <c r="C107" s="85">
        <f>'2023'!An_max</f>
        <v>2021</v>
      </c>
      <c r="D107" s="1132"/>
      <c r="E107" s="709"/>
      <c r="F107" s="13">
        <f t="shared" si="74"/>
        <v>9</v>
      </c>
      <c r="G107" s="13">
        <f t="shared" si="58"/>
        <v>8</v>
      </c>
      <c r="H107" s="175">
        <f t="shared" si="59"/>
        <v>43206</v>
      </c>
      <c r="I107" s="772">
        <f t="shared" si="60"/>
        <v>0.9285714285714286</v>
      </c>
      <c r="J107" s="763">
        <f t="shared" si="61"/>
        <v>52.835497049348689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P107" s="13">
        <f t="shared" si="62"/>
        <v>5</v>
      </c>
      <c r="AQ107" s="13">
        <f t="shared" si="63"/>
        <v>6</v>
      </c>
      <c r="AR107" s="175">
        <f t="shared" si="64"/>
        <v>43192</v>
      </c>
      <c r="AS107" s="772">
        <f t="shared" si="65"/>
        <v>3.5714285714285712E-2</v>
      </c>
      <c r="AT107" s="789">
        <f t="shared" si="66"/>
        <v>52.816180201593262</v>
      </c>
      <c r="AU107" s="13">
        <f t="shared" si="67"/>
        <v>5</v>
      </c>
      <c r="AV107" s="13">
        <f t="shared" si="68"/>
        <v>4</v>
      </c>
      <c r="AW107" s="175">
        <f t="shared" si="69"/>
        <v>43206</v>
      </c>
      <c r="AX107" s="772">
        <f t="shared" si="70"/>
        <v>0.4642857142857143</v>
      </c>
      <c r="AY107" s="789">
        <f t="shared" si="71"/>
        <v>52.738319324189796</v>
      </c>
      <c r="AZ107" s="763">
        <f t="shared" si="75"/>
        <v>52.777249762891529</v>
      </c>
      <c r="BA107" s="647">
        <f t="shared" si="72"/>
        <v>0.92623164357925059</v>
      </c>
      <c r="BB107" s="642">
        <v>43193</v>
      </c>
      <c r="BC107" s="11">
        <v>43193</v>
      </c>
      <c r="BD107" s="292">
        <f>[2]!FeuilCaduc*(1-Persistant)+Persistant</f>
        <v>1</v>
      </c>
      <c r="BE107" s="293">
        <f>[2]!CroissVégét</f>
        <v>5.6327914126217182E-2</v>
      </c>
      <c r="BF107" s="842">
        <f>1+[2]!Salcycl*Ksac</f>
        <v>1.0044322990269294</v>
      </c>
      <c r="BH107" s="1105">
        <f t="shared" si="73"/>
        <v>1.5471693128807168E-2</v>
      </c>
      <c r="BI107" s="11">
        <v>44289</v>
      </c>
      <c r="BJ107" s="742">
        <v>2.0369133811852769E-3</v>
      </c>
      <c r="BK107" s="742">
        <v>6.4629912319741538E-3</v>
      </c>
      <c r="BL107" s="742">
        <v>1.3372808611088008E-2</v>
      </c>
      <c r="BM107" s="742">
        <v>2.3878998762796557E-2</v>
      </c>
      <c r="BN107" s="742">
        <v>3.8357816049163544E-2</v>
      </c>
      <c r="BO107" s="743">
        <v>5.7690991806711937E-2</v>
      </c>
      <c r="BP107" s="742">
        <v>8.1954878765197456E-2</v>
      </c>
      <c r="BQ107" s="742">
        <v>0.11037795083788972</v>
      </c>
      <c r="BR107" s="742">
        <v>0.15050483462763234</v>
      </c>
      <c r="BS107" s="742">
        <v>0.21035791425650363</v>
      </c>
      <c r="BT107" s="742">
        <v>0.28901118530242698</v>
      </c>
      <c r="BW107" s="1187">
        <f>'2018'!R\Max</f>
        <v>0</v>
      </c>
      <c r="BX107" s="1185">
        <f>'2019'!R\Max</f>
        <v>0.35167641548976875</v>
      </c>
      <c r="BY107" s="1185">
        <f>'2020'!R\Max</f>
        <v>0.50852271629410639</v>
      </c>
      <c r="BZ107" s="1185">
        <f>'2021'!R\Max</f>
        <v>0.92623164357925059</v>
      </c>
      <c r="CA107" s="1185">
        <f>'2022'!R\Max</f>
        <v>0.51344422326645822</v>
      </c>
      <c r="CB107" s="1185">
        <f>'2023'!R\Max</f>
        <v>0.5124063824859425</v>
      </c>
      <c r="CC107" s="1185">
        <f>'2024'!R\Max</f>
        <v>0.51125474772610602</v>
      </c>
      <c r="CD107" s="1185">
        <f>'2025'!R\Max</f>
        <v>0.5160709517561366</v>
      </c>
      <c r="CE107" s="1185">
        <f>'2026'!R\Max</f>
        <v>0.51562383293338565</v>
      </c>
      <c r="CF107" s="1186">
        <f>'2027'!R\Max</f>
        <v>0.5150302469486755</v>
      </c>
    </row>
    <row r="108" spans="1:84" s="6" customFormat="1" ht="11.25" x14ac:dyDescent="0.2">
      <c r="A108" s="11">
        <v>43194</v>
      </c>
      <c r="B108" s="382">
        <f>'2023'!Maxi_hp</f>
        <v>53.242583375883534</v>
      </c>
      <c r="C108" s="85">
        <f>'2023'!An_max</f>
        <v>2020</v>
      </c>
      <c r="D108" s="1132"/>
      <c r="E108" s="709"/>
      <c r="F108" s="13">
        <f t="shared" si="74"/>
        <v>9</v>
      </c>
      <c r="G108" s="13">
        <f t="shared" si="58"/>
        <v>8</v>
      </c>
      <c r="H108" s="175">
        <f t="shared" si="59"/>
        <v>43206</v>
      </c>
      <c r="I108" s="772">
        <f t="shared" si="60"/>
        <v>0.8571428571428571</v>
      </c>
      <c r="J108" s="763">
        <f t="shared" si="61"/>
        <v>53.243162099591324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P108" s="13">
        <f t="shared" si="62"/>
        <v>5</v>
      </c>
      <c r="AQ108" s="13">
        <f t="shared" si="63"/>
        <v>6</v>
      </c>
      <c r="AR108" s="175">
        <f t="shared" si="64"/>
        <v>43192</v>
      </c>
      <c r="AS108" s="772">
        <f t="shared" si="65"/>
        <v>7.1428571428571425E-2</v>
      </c>
      <c r="AT108" s="789">
        <f t="shared" si="66"/>
        <v>53.206534985825421</v>
      </c>
      <c r="AU108" s="13">
        <f t="shared" si="67"/>
        <v>5</v>
      </c>
      <c r="AV108" s="13">
        <f t="shared" si="68"/>
        <v>4</v>
      </c>
      <c r="AW108" s="175">
        <f t="shared" si="69"/>
        <v>43206</v>
      </c>
      <c r="AX108" s="772">
        <f t="shared" si="70"/>
        <v>0.42857142857142855</v>
      </c>
      <c r="AY108" s="789">
        <f t="shared" si="71"/>
        <v>53.164481633422632</v>
      </c>
      <c r="AZ108" s="763">
        <f t="shared" si="75"/>
        <v>53.185508309624026</v>
      </c>
      <c r="BA108" s="647">
        <f t="shared" si="72"/>
        <v>0.99998913055339</v>
      </c>
      <c r="BB108" s="642">
        <v>43194</v>
      </c>
      <c r="BC108" s="11">
        <v>43194</v>
      </c>
      <c r="BD108" s="292">
        <f>[2]!FeuilCaduc*(1-Persistant)+Persistant</f>
        <v>1</v>
      </c>
      <c r="BE108" s="293">
        <f>[2]!CroissVégét</f>
        <v>5.8604366195922526E-2</v>
      </c>
      <c r="BF108" s="842">
        <f>1+[2]!Salcycl*Ksac</f>
        <v>1.0047614555737949</v>
      </c>
      <c r="BH108" s="1105">
        <f t="shared" si="73"/>
        <v>1.506351801316113E-2</v>
      </c>
      <c r="BI108" s="11">
        <v>44290</v>
      </c>
      <c r="BJ108" s="742">
        <v>1.9230198774150208E-3</v>
      </c>
      <c r="BK108" s="742">
        <v>6.2487195744365467E-3</v>
      </c>
      <c r="BL108" s="742">
        <v>1.3003595002341438E-2</v>
      </c>
      <c r="BM108" s="742">
        <v>2.3314759178763026E-2</v>
      </c>
      <c r="BN108" s="742">
        <v>3.7622148440246521E-2</v>
      </c>
      <c r="BO108" s="743">
        <v>5.6843089944296682E-2</v>
      </c>
      <c r="BP108" s="742">
        <v>8.0975679837340331E-2</v>
      </c>
      <c r="BQ108" s="742">
        <v>0.10934729147787597</v>
      </c>
      <c r="BR108" s="742">
        <v>0.14796412348008683</v>
      </c>
      <c r="BS108" s="742">
        <v>0.20444840387743532</v>
      </c>
      <c r="BT108" s="742">
        <v>0.27773729302512856</v>
      </c>
      <c r="BW108" s="1187">
        <f>'2018'!R\Max</f>
        <v>0</v>
      </c>
      <c r="BX108" s="1185">
        <f>'2019'!R\Max</f>
        <v>0.77474033428396938</v>
      </c>
      <c r="BY108" s="1185">
        <f>'2020'!R\Max</f>
        <v>0.99998913055339</v>
      </c>
      <c r="BZ108" s="1185">
        <f>'2021'!R\Max</f>
        <v>0.94774924531078764</v>
      </c>
      <c r="CA108" s="1185">
        <f>'2022'!R\Max</f>
        <v>0.88599044346499378</v>
      </c>
      <c r="CB108" s="1185">
        <f>'2023'!R\Max</f>
        <v>0.88557567299367146</v>
      </c>
      <c r="CC108" s="1185">
        <f>'2024'!R\Max</f>
        <v>0.88511266938731381</v>
      </c>
      <c r="CD108" s="1185">
        <f>'2025'!R\Max</f>
        <v>0.88703004840640576</v>
      </c>
      <c r="CE108" s="1185">
        <f>'2026'!R\Max</f>
        <v>0.8868552108293758</v>
      </c>
      <c r="CF108" s="1186">
        <f>'2027'!R\Max</f>
        <v>0.88662117056558265</v>
      </c>
    </row>
    <row r="109" spans="1:84" s="6" customFormat="1" ht="11.25" x14ac:dyDescent="0.2">
      <c r="A109" s="11">
        <v>43195</v>
      </c>
      <c r="B109" s="382">
        <f>'2023'!Maxi_hp</f>
        <v>55.141802022819732</v>
      </c>
      <c r="C109" s="85">
        <f>'2023'!An_max</f>
        <v>2020</v>
      </c>
      <c r="D109" s="1132"/>
      <c r="E109" s="709"/>
      <c r="F109" s="13">
        <f t="shared" si="74"/>
        <v>9</v>
      </c>
      <c r="G109" s="13">
        <f t="shared" si="58"/>
        <v>8</v>
      </c>
      <c r="H109" s="175">
        <f t="shared" si="59"/>
        <v>43206</v>
      </c>
      <c r="I109" s="772">
        <f t="shared" si="60"/>
        <v>0.7857142857142857</v>
      </c>
      <c r="J109" s="763">
        <f t="shared" si="61"/>
        <v>53.646456012661965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P109" s="13">
        <f t="shared" si="62"/>
        <v>5</v>
      </c>
      <c r="AQ109" s="13">
        <f t="shared" si="63"/>
        <v>6</v>
      </c>
      <c r="AR109" s="175">
        <f t="shared" si="64"/>
        <v>43192</v>
      </c>
      <c r="AS109" s="772">
        <f t="shared" si="65"/>
        <v>0.10714285714285714</v>
      </c>
      <c r="AT109" s="789">
        <f t="shared" si="66"/>
        <v>53.594553471942035</v>
      </c>
      <c r="AU109" s="13">
        <f t="shared" si="67"/>
        <v>5</v>
      </c>
      <c r="AV109" s="13">
        <f t="shared" si="68"/>
        <v>4</v>
      </c>
      <c r="AW109" s="175">
        <f t="shared" si="69"/>
        <v>43206</v>
      </c>
      <c r="AX109" s="772">
        <f t="shared" si="70"/>
        <v>0.39285714285714285</v>
      </c>
      <c r="AY109" s="789">
        <f t="shared" si="71"/>
        <v>53.585368432104588</v>
      </c>
      <c r="AZ109" s="763">
        <f t="shared" si="75"/>
        <v>53.589960952023311</v>
      </c>
      <c r="BA109" s="647">
        <f t="shared" si="72"/>
        <v>1.0278740875222927</v>
      </c>
      <c r="BB109" s="642">
        <v>43195</v>
      </c>
      <c r="BC109" s="11">
        <v>43195</v>
      </c>
      <c r="BD109" s="292">
        <f>[2]!FeuilCaduc*(1-Persistant)+Persistant</f>
        <v>1</v>
      </c>
      <c r="BE109" s="293">
        <f>[2]!CroissVégét</f>
        <v>6.0964669451959982E-2</v>
      </c>
      <c r="BF109" s="842">
        <f>1+[2]!Salcycl*Ksac</f>
        <v>1.005111746444401</v>
      </c>
      <c r="BH109" s="1105">
        <f t="shared" si="73"/>
        <v>1.4644858572453663E-2</v>
      </c>
      <c r="BI109" s="11">
        <v>44291</v>
      </c>
      <c r="BJ109" s="742">
        <v>1.8155295736343737E-3</v>
      </c>
      <c r="BK109" s="742">
        <v>6.0337714589121794E-3</v>
      </c>
      <c r="BL109" s="742">
        <v>1.2625471230929506E-2</v>
      </c>
      <c r="BM109" s="742">
        <v>2.2733729794417009E-2</v>
      </c>
      <c r="BN109" s="742">
        <v>3.6861452894731271E-2</v>
      </c>
      <c r="BO109" s="743">
        <v>5.5951056971750034E-2</v>
      </c>
      <c r="BP109" s="742">
        <v>7.9942267302423944E-2</v>
      </c>
      <c r="BQ109" s="742">
        <v>0.10825447804017839</v>
      </c>
      <c r="BR109" s="742">
        <v>0.14554844100474582</v>
      </c>
      <c r="BS109" s="742">
        <v>0.19895147136311495</v>
      </c>
      <c r="BT109" s="742">
        <v>0.26727660622906713</v>
      </c>
      <c r="BW109" s="1187">
        <f>'2018'!R\Max</f>
        <v>0</v>
      </c>
      <c r="BX109" s="1185">
        <f>'2019'!R\Max</f>
        <v>0.91207252594832999</v>
      </c>
      <c r="BY109" s="1185">
        <f>'2020'!R\Max</f>
        <v>1.0278740875222927</v>
      </c>
      <c r="BZ109" s="1185">
        <f>'2021'!R\Max</f>
        <v>0.92263588284864084</v>
      </c>
      <c r="CA109" s="1185">
        <f>'2022'!R\Max</f>
        <v>1.018864081474923</v>
      </c>
      <c r="CB109" s="1185">
        <f>'2023'!R\Max</f>
        <v>1.018864081474923</v>
      </c>
      <c r="CC109" s="1185">
        <f>'2024'!R\Max</f>
        <v>1.0188640814749232</v>
      </c>
      <c r="CD109" s="1185">
        <f>'2025'!R\Max</f>
        <v>1.018864081474923</v>
      </c>
      <c r="CE109" s="1185">
        <f>'2026'!R\Max</f>
        <v>1.0188640814749232</v>
      </c>
      <c r="CF109" s="1186">
        <f>'2027'!R\Max</f>
        <v>1.0188640814749232</v>
      </c>
    </row>
    <row r="110" spans="1:84" s="6" customFormat="1" ht="11.25" x14ac:dyDescent="0.2">
      <c r="A110" s="11">
        <v>43196</v>
      </c>
      <c r="B110" s="382">
        <f>'2023'!Maxi_hp</f>
        <v>55.305797154452193</v>
      </c>
      <c r="C110" s="85">
        <f>'2023'!An_max</f>
        <v>2020</v>
      </c>
      <c r="D110" s="1132"/>
      <c r="E110" s="709"/>
      <c r="F110" s="13">
        <f t="shared" si="74"/>
        <v>9</v>
      </c>
      <c r="G110" s="13">
        <f t="shared" si="58"/>
        <v>8</v>
      </c>
      <c r="H110" s="175">
        <f t="shared" si="59"/>
        <v>43206</v>
      </c>
      <c r="I110" s="772">
        <f t="shared" si="60"/>
        <v>0.7142857142857143</v>
      </c>
      <c r="J110" s="763">
        <f t="shared" si="61"/>
        <v>54.045039650159218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P110" s="13">
        <f t="shared" si="62"/>
        <v>5</v>
      </c>
      <c r="AQ110" s="13">
        <f t="shared" si="63"/>
        <v>6</v>
      </c>
      <c r="AR110" s="175">
        <f t="shared" si="64"/>
        <v>43192</v>
      </c>
      <c r="AS110" s="772">
        <f t="shared" si="65"/>
        <v>0.14285714285714285</v>
      </c>
      <c r="AT110" s="789">
        <f t="shared" si="66"/>
        <v>53.979924780556132</v>
      </c>
      <c r="AU110" s="13">
        <f t="shared" si="67"/>
        <v>5</v>
      </c>
      <c r="AV110" s="13">
        <f t="shared" si="68"/>
        <v>4</v>
      </c>
      <c r="AW110" s="175">
        <f t="shared" si="69"/>
        <v>43206</v>
      </c>
      <c r="AX110" s="772">
        <f t="shared" si="70"/>
        <v>0.35714285714285715</v>
      </c>
      <c r="AY110" s="789">
        <f t="shared" si="71"/>
        <v>54.000386224966498</v>
      </c>
      <c r="AZ110" s="763">
        <f t="shared" si="75"/>
        <v>53.990155502761311</v>
      </c>
      <c r="BA110" s="647">
        <f t="shared" si="72"/>
        <v>1.0233279041416943</v>
      </c>
      <c r="BB110" s="642">
        <v>43196</v>
      </c>
      <c r="BC110" s="11">
        <v>43196</v>
      </c>
      <c r="BD110" s="292">
        <f>[2]!FeuilCaduc*(1-Persistant)+Persistant</f>
        <v>1</v>
      </c>
      <c r="BE110" s="293">
        <f>[2]!CroissVégét</f>
        <v>6.3411438498040387E-2</v>
      </c>
      <c r="BF110" s="842">
        <f>1+[2]!Salcycl*Ksac</f>
        <v>1.0054838095032457</v>
      </c>
      <c r="BH110" s="1105">
        <f t="shared" si="73"/>
        <v>1.4215718498803584E-2</v>
      </c>
      <c r="BI110" s="11">
        <v>44292</v>
      </c>
      <c r="BJ110" s="742">
        <v>1.7144418205671825E-3</v>
      </c>
      <c r="BK110" s="742">
        <v>5.8181481091371945E-3</v>
      </c>
      <c r="BL110" s="742">
        <v>1.2238440688909587E-2</v>
      </c>
      <c r="BM110" s="742">
        <v>2.2135915503805417E-2</v>
      </c>
      <c r="BN110" s="742">
        <v>3.6075734273552248E-2</v>
      </c>
      <c r="BO110" s="743">
        <v>5.5014898096969855E-2</v>
      </c>
      <c r="BP110" s="742">
        <v>7.8854643066318036E-2</v>
      </c>
      <c r="BQ110" s="742">
        <v>0.10709950606288299</v>
      </c>
      <c r="BR110" s="742">
        <v>0.14325774340762495</v>
      </c>
      <c r="BS110" s="742">
        <v>0.19386702842583725</v>
      </c>
      <c r="BT110" s="742">
        <v>0.25762898598053408</v>
      </c>
      <c r="BW110" s="1187">
        <f>'2018'!R\Max</f>
        <v>0</v>
      </c>
      <c r="BX110" s="1185">
        <f>'2019'!R\Max</f>
        <v>0.44397410731231629</v>
      </c>
      <c r="BY110" s="1185">
        <f>'2020'!R\Max</f>
        <v>1.0233279041416943</v>
      </c>
      <c r="BZ110" s="1185">
        <f>'2021'!R\Max</f>
        <v>0.61497846801833289</v>
      </c>
      <c r="CA110" s="1185">
        <f>'2022'!R\Max</f>
        <v>0.25516865568614761</v>
      </c>
      <c r="CB110" s="1185">
        <f>'2023'!R\Max</f>
        <v>0.25445456890070667</v>
      </c>
      <c r="CC110" s="1185">
        <f>'2024'!R\Max</f>
        <v>0.25365675778516428</v>
      </c>
      <c r="CD110" s="1185">
        <f>'2025'!R\Max</f>
        <v>0.256955558528566</v>
      </c>
      <c r="CE110" s="1185">
        <f>'2026'!R\Max</f>
        <v>0.25665909327763153</v>
      </c>
      <c r="CF110" s="1186">
        <f>'2027'!R\Max</f>
        <v>0.25625725471677058</v>
      </c>
    </row>
    <row r="111" spans="1:84" s="6" customFormat="1" ht="11.25" x14ac:dyDescent="0.2">
      <c r="A111" s="11">
        <v>43197</v>
      </c>
      <c r="B111" s="382">
        <f>'2023'!Maxi_hp</f>
        <v>54.130419749791777</v>
      </c>
      <c r="C111" s="85">
        <f>'2023'!An_max</f>
        <v>2021</v>
      </c>
      <c r="D111" s="1132"/>
      <c r="E111" s="709"/>
      <c r="F111" s="13">
        <f t="shared" si="74"/>
        <v>9</v>
      </c>
      <c r="G111" s="13">
        <f t="shared" si="58"/>
        <v>8</v>
      </c>
      <c r="H111" s="175">
        <f t="shared" si="59"/>
        <v>43206</v>
      </c>
      <c r="I111" s="772">
        <f t="shared" si="60"/>
        <v>0.6428571428571429</v>
      </c>
      <c r="J111" s="763">
        <f t="shared" si="61"/>
        <v>54.438573869956393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P111" s="13">
        <f t="shared" si="62"/>
        <v>5</v>
      </c>
      <c r="AQ111" s="13">
        <f t="shared" si="63"/>
        <v>6</v>
      </c>
      <c r="AR111" s="175">
        <f t="shared" si="64"/>
        <v>43192</v>
      </c>
      <c r="AS111" s="772">
        <f t="shared" si="65"/>
        <v>0.17857142857142858</v>
      </c>
      <c r="AT111" s="789">
        <f t="shared" si="66"/>
        <v>54.362338037868696</v>
      </c>
      <c r="AU111" s="13">
        <f t="shared" si="67"/>
        <v>5</v>
      </c>
      <c r="AV111" s="13">
        <f t="shared" si="68"/>
        <v>4</v>
      </c>
      <c r="AW111" s="175">
        <f t="shared" si="69"/>
        <v>43206</v>
      </c>
      <c r="AX111" s="772">
        <f t="shared" si="70"/>
        <v>0.32142857142857145</v>
      </c>
      <c r="AY111" s="789">
        <f t="shared" si="71"/>
        <v>54.408941518395615</v>
      </c>
      <c r="AZ111" s="763">
        <f t="shared" si="75"/>
        <v>54.385639778132159</v>
      </c>
      <c r="BA111" s="647">
        <f t="shared" si="72"/>
        <v>0.99433941600122111</v>
      </c>
      <c r="BB111" s="642">
        <v>43197</v>
      </c>
      <c r="BC111" s="11">
        <v>43197</v>
      </c>
      <c r="BD111" s="292">
        <f>[2]!FeuilCaduc*(1-Persistant)+Persistant</f>
        <v>1</v>
      </c>
      <c r="BE111" s="293">
        <f>[2]!CroissVégét</f>
        <v>6.5947331619938404E-2</v>
      </c>
      <c r="BF111" s="842">
        <f>1+[2]!Salcycl*Ksac</f>
        <v>1.0058782613955322</v>
      </c>
      <c r="BH111" s="1105">
        <f t="shared" si="73"/>
        <v>1.3776102332197698E-2</v>
      </c>
      <c r="BI111" s="11">
        <v>44293</v>
      </c>
      <c r="BJ111" s="742">
        <v>1.6197559158946182E-3</v>
      </c>
      <c r="BK111" s="742">
        <v>5.6018510441813224E-3</v>
      </c>
      <c r="BL111" s="742">
        <v>1.1842507517590632E-2</v>
      </c>
      <c r="BM111" s="742">
        <v>2.1521322443861717E-2</v>
      </c>
      <c r="BN111" s="742">
        <v>3.5264999153968198E-2</v>
      </c>
      <c r="BO111" s="743">
        <v>5.403462097819519E-2</v>
      </c>
      <c r="BP111" s="742">
        <v>7.7712811961992825E-2</v>
      </c>
      <c r="BQ111" s="742">
        <v>0.10588237431750629</v>
      </c>
      <c r="BR111" s="742">
        <v>0.14109198623997052</v>
      </c>
      <c r="BS111" s="742">
        <v>0.1891949815011563</v>
      </c>
      <c r="BT111" s="742">
        <v>0.24879428249431051</v>
      </c>
      <c r="BW111" s="1187">
        <f>'2018'!R\Max</f>
        <v>0</v>
      </c>
      <c r="BX111" s="1185">
        <f>'2019'!R\Max</f>
        <v>0.66113050255770311</v>
      </c>
      <c r="BY111" s="1185">
        <f>'2020'!R\Max</f>
        <v>0.5992891070480636</v>
      </c>
      <c r="BZ111" s="1185">
        <f>'2021'!R\Max</f>
        <v>0.99433941600122111</v>
      </c>
      <c r="CA111" s="1185">
        <f>'2022'!R\Max</f>
        <v>0.77009791768899361</v>
      </c>
      <c r="CB111" s="1185">
        <f>'2023'!R\Max</f>
        <v>0.76940082891228923</v>
      </c>
      <c r="CC111" s="1185">
        <f>'2024'!R\Max</f>
        <v>0.7686164176665462</v>
      </c>
      <c r="CD111" s="1185">
        <f>'2025'!R\Max</f>
        <v>0.77182110637453449</v>
      </c>
      <c r="CE111" s="1185">
        <f>'2026'!R\Max</f>
        <v>0.77153908471555444</v>
      </c>
      <c r="CF111" s="1186">
        <f>'2027'!R\Max</f>
        <v>0.77115299770178669</v>
      </c>
    </row>
    <row r="112" spans="1:84" s="6" customFormat="1" ht="11.25" x14ac:dyDescent="0.2">
      <c r="A112" s="11">
        <v>43198</v>
      </c>
      <c r="B112" s="382">
        <f>'2023'!Maxi_hp</f>
        <v>52.014022850554703</v>
      </c>
      <c r="C112" s="85">
        <f>'2023'!An_max</f>
        <v>2021</v>
      </c>
      <c r="D112" s="1132"/>
      <c r="E112" s="709"/>
      <c r="F112" s="13">
        <f t="shared" si="74"/>
        <v>9</v>
      </c>
      <c r="G112" s="13">
        <f t="shared" si="58"/>
        <v>8</v>
      </c>
      <c r="H112" s="175">
        <f t="shared" si="59"/>
        <v>43206</v>
      </c>
      <c r="I112" s="772">
        <f t="shared" si="60"/>
        <v>0.5714285714285714</v>
      </c>
      <c r="J112" s="763">
        <f t="shared" si="61"/>
        <v>54.826719534184257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P112" s="13">
        <f t="shared" si="62"/>
        <v>5</v>
      </c>
      <c r="AQ112" s="13">
        <f t="shared" si="63"/>
        <v>6</v>
      </c>
      <c r="AR112" s="175">
        <f t="shared" si="64"/>
        <v>43192</v>
      </c>
      <c r="AS112" s="772">
        <f t="shared" si="65"/>
        <v>0.21428571428571427</v>
      </c>
      <c r="AT112" s="789">
        <f t="shared" si="66"/>
        <v>54.741482361778615</v>
      </c>
      <c r="AU112" s="13">
        <f t="shared" si="67"/>
        <v>5</v>
      </c>
      <c r="AV112" s="13">
        <f t="shared" si="68"/>
        <v>4</v>
      </c>
      <c r="AW112" s="175">
        <f t="shared" si="69"/>
        <v>43206</v>
      </c>
      <c r="AX112" s="772">
        <f t="shared" si="70"/>
        <v>0.2857142857142857</v>
      </c>
      <c r="AY112" s="789">
        <f t="shared" si="71"/>
        <v>54.810440816943128</v>
      </c>
      <c r="AZ112" s="763">
        <f t="shared" si="75"/>
        <v>54.775961589360875</v>
      </c>
      <c r="BA112" s="647">
        <f t="shared" si="72"/>
        <v>0.94869843194109316</v>
      </c>
      <c r="BB112" s="642">
        <v>43198</v>
      </c>
      <c r="BC112" s="11">
        <v>43198</v>
      </c>
      <c r="BD112" s="292">
        <f>[2]!FeuilCaduc*(1-Persistant)+Persistant</f>
        <v>1</v>
      </c>
      <c r="BE112" s="293">
        <f>[2]!CroissVégét</f>
        <v>6.8575048275425571E-2</v>
      </c>
      <c r="BF112" s="842">
        <f>1+[2]!Salcycl*Ksac</f>
        <v>1.0062956962655158</v>
      </c>
      <c r="BH112" s="1105">
        <f t="shared" si="73"/>
        <v>1.3326015494175789E-2</v>
      </c>
      <c r="BI112" s="11">
        <v>44294</v>
      </c>
      <c r="BJ112" s="742">
        <v>1.5314710837650749E-3</v>
      </c>
      <c r="BK112" s="742">
        <v>5.3848820806683189E-3</v>
      </c>
      <c r="BL112" s="742">
        <v>1.143767663616993E-2</v>
      </c>
      <c r="BM112" s="742">
        <v>2.0889958048312077E-2</v>
      </c>
      <c r="BN112" s="742">
        <v>3.4429255909839723E-2</v>
      </c>
      <c r="BO112" s="743">
        <v>5.3010235865417192E-2</v>
      </c>
      <c r="BP112" s="742">
        <v>7.6516781923106805E-2</v>
      </c>
      <c r="BQ112" s="742">
        <v>0.10460308500781407</v>
      </c>
      <c r="BR112" s="742">
        <v>0.13905112399734348</v>
      </c>
      <c r="BS112" s="742">
        <v>0.18493523042621018</v>
      </c>
      <c r="BT112" s="742">
        <v>0.24077233252952901</v>
      </c>
      <c r="BW112" s="1187">
        <f>'2018'!R\Max</f>
        <v>0</v>
      </c>
      <c r="BX112" s="1185">
        <f>'2019'!R\Max</f>
        <v>0.64537792240061476</v>
      </c>
      <c r="BY112" s="1185">
        <f>'2020'!R\Max</f>
        <v>0.60680538138392592</v>
      </c>
      <c r="BZ112" s="1185">
        <f>'2021'!R\Max</f>
        <v>0.94869843194109316</v>
      </c>
      <c r="CA112" s="1185">
        <f>'2022'!R\Max</f>
        <v>0.59639076981564432</v>
      </c>
      <c r="CB112" s="1185">
        <f>'2023'!R\Max</f>
        <v>0.5954572850028782</v>
      </c>
      <c r="CC112" s="1185">
        <f>'2024'!R\Max</f>
        <v>0.59440487661748642</v>
      </c>
      <c r="CD112" s="1185">
        <f>'2025'!R\Max</f>
        <v>0.59868959083095152</v>
      </c>
      <c r="CE112" s="1185">
        <f>'2026'!R\Max</f>
        <v>0.59831661963119942</v>
      </c>
      <c r="CF112" s="1186">
        <f>'2027'!R\Max</f>
        <v>0.59780190457856652</v>
      </c>
    </row>
    <row r="113" spans="1:84" s="6" customFormat="1" ht="11.25" x14ac:dyDescent="0.2">
      <c r="A113" s="11">
        <v>43199</v>
      </c>
      <c r="B113" s="382">
        <f>'2023'!Maxi_hp</f>
        <v>51.39394262397834</v>
      </c>
      <c r="C113" s="85">
        <f>'2023'!An_max</f>
        <v>2020</v>
      </c>
      <c r="D113" s="1132"/>
      <c r="E113" s="709"/>
      <c r="F113" s="13">
        <f t="shared" si="74"/>
        <v>9</v>
      </c>
      <c r="G113" s="13">
        <f t="shared" si="58"/>
        <v>8</v>
      </c>
      <c r="H113" s="175">
        <f t="shared" si="59"/>
        <v>43206</v>
      </c>
      <c r="I113" s="772">
        <f t="shared" si="60"/>
        <v>0.5</v>
      </c>
      <c r="J113" s="763">
        <f t="shared" si="61"/>
        <v>55.209137499704958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P113" s="13">
        <f t="shared" si="62"/>
        <v>5</v>
      </c>
      <c r="AQ113" s="13">
        <f t="shared" si="63"/>
        <v>6</v>
      </c>
      <c r="AR113" s="175">
        <f t="shared" si="64"/>
        <v>43192</v>
      </c>
      <c r="AS113" s="772">
        <f t="shared" si="65"/>
        <v>0.25</v>
      </c>
      <c r="AT113" s="789">
        <f t="shared" si="66"/>
        <v>55.117046874202785</v>
      </c>
      <c r="AU113" s="13">
        <f t="shared" si="67"/>
        <v>5</v>
      </c>
      <c r="AV113" s="13">
        <f t="shared" si="68"/>
        <v>4</v>
      </c>
      <c r="AW113" s="175">
        <f t="shared" si="69"/>
        <v>43206</v>
      </c>
      <c r="AX113" s="772">
        <f t="shared" si="70"/>
        <v>0.25</v>
      </c>
      <c r="AY113" s="789">
        <f t="shared" si="71"/>
        <v>55.204290625033899</v>
      </c>
      <c r="AZ113" s="763">
        <f t="shared" si="75"/>
        <v>55.160668749618338</v>
      </c>
      <c r="BA113" s="647">
        <f t="shared" si="72"/>
        <v>0.9308955899601401</v>
      </c>
      <c r="BB113" s="642">
        <v>43199</v>
      </c>
      <c r="BC113" s="11">
        <v>43199</v>
      </c>
      <c r="BD113" s="292">
        <f>[2]!FeuilCaduc*(1-Persistant)+Persistant</f>
        <v>1</v>
      </c>
      <c r="BE113" s="293">
        <f>[2]!CroissVégét</f>
        <v>7.1297326250557638E-2</v>
      </c>
      <c r="BF113" s="842">
        <f>1+[2]!Salcycl*Ksac</f>
        <v>1.0067366845041132</v>
      </c>
      <c r="BH113" s="1105">
        <f t="shared" si="73"/>
        <v>1.2865464321386027E-2</v>
      </c>
      <c r="BI113" s="11">
        <v>44295</v>
      </c>
      <c r="BJ113" s="742">
        <v>1.449586454288086E-3</v>
      </c>
      <c r="BK113" s="742">
        <v>5.1672433349430969E-3</v>
      </c>
      <c r="BL113" s="742">
        <v>1.1023953770258187E-2</v>
      </c>
      <c r="BM113" s="742">
        <v>2.024183110138035E-2</v>
      </c>
      <c r="BN113" s="742">
        <v>3.3568514791580274E-2</v>
      </c>
      <c r="BO113" s="743">
        <v>5.1941755741294039E-2</v>
      </c>
      <c r="BP113" s="742">
        <v>7.5266564156885554E-2</v>
      </c>
      <c r="BQ113" s="742">
        <v>0.10326164396768028</v>
      </c>
      <c r="BR113" s="742">
        <v>0.13713510971741297</v>
      </c>
      <c r="BS113" s="742">
        <v>0.18108766711628554</v>
      </c>
      <c r="BT113" s="742">
        <v>0.23356295678317526</v>
      </c>
      <c r="BW113" s="1187">
        <f>'2018'!R\Max</f>
        <v>0</v>
      </c>
      <c r="BX113" s="1185">
        <f>'2019'!R\Max</f>
        <v>0.86509720397933765</v>
      </c>
      <c r="BY113" s="1185">
        <f>'2020'!R\Max</f>
        <v>0.9308955899601401</v>
      </c>
      <c r="BZ113" s="1185">
        <f>'2021'!R\Max</f>
        <v>0.5725849143828533</v>
      </c>
      <c r="CA113" s="1185">
        <f>'2022'!R\Max</f>
        <v>0.71967246613464819</v>
      </c>
      <c r="CB113" s="1185">
        <f>'2023'!R\Max</f>
        <v>0.71890122799098688</v>
      </c>
      <c r="CC113" s="1185">
        <f>'2024'!R\Max</f>
        <v>0.71802779562297847</v>
      </c>
      <c r="CD113" s="1185">
        <f>'2025'!R\Max</f>
        <v>0.72155602033632837</v>
      </c>
      <c r="CE113" s="1185">
        <f>'2026'!R\Max</f>
        <v>0.72125392010419076</v>
      </c>
      <c r="CF113" s="1186">
        <f>'2027'!R\Max</f>
        <v>0.72083293203452592</v>
      </c>
    </row>
    <row r="114" spans="1:84" s="6" customFormat="1" ht="11.25" x14ac:dyDescent="0.2">
      <c r="A114" s="11">
        <v>43200</v>
      </c>
      <c r="B114" s="382">
        <f>'2023'!Maxi_hp</f>
        <v>56.417502682718599</v>
      </c>
      <c r="C114" s="85">
        <f>'2023'!An_max</f>
        <v>2023</v>
      </c>
      <c r="D114" s="1132"/>
      <c r="E114" s="709"/>
      <c r="F114" s="13">
        <f t="shared" si="74"/>
        <v>9</v>
      </c>
      <c r="G114" s="13">
        <f t="shared" si="58"/>
        <v>8</v>
      </c>
      <c r="H114" s="175">
        <f t="shared" si="59"/>
        <v>43206</v>
      </c>
      <c r="I114" s="772">
        <f t="shared" si="60"/>
        <v>0.42857142857142855</v>
      </c>
      <c r="J114" s="763">
        <f t="shared" si="61"/>
        <v>55.585488629341128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P114" s="13">
        <f t="shared" si="62"/>
        <v>5</v>
      </c>
      <c r="AQ114" s="13">
        <f t="shared" si="63"/>
        <v>6</v>
      </c>
      <c r="AR114" s="175">
        <f t="shared" si="64"/>
        <v>43192</v>
      </c>
      <c r="AS114" s="772">
        <f t="shared" si="65"/>
        <v>0.2857142857142857</v>
      </c>
      <c r="AT114" s="789">
        <f t="shared" si="66"/>
        <v>55.488720699612585</v>
      </c>
      <c r="AU114" s="13">
        <f t="shared" si="67"/>
        <v>5</v>
      </c>
      <c r="AV114" s="13">
        <f t="shared" si="68"/>
        <v>4</v>
      </c>
      <c r="AW114" s="175">
        <f t="shared" si="69"/>
        <v>43206</v>
      </c>
      <c r="AX114" s="772">
        <f t="shared" si="70"/>
        <v>0.21428571428571427</v>
      </c>
      <c r="AY114" s="789">
        <f t="shared" si="71"/>
        <v>55.58989744958069</v>
      </c>
      <c r="AZ114" s="763">
        <f t="shared" si="75"/>
        <v>55.539309074596638</v>
      </c>
      <c r="BA114" s="647">
        <f t="shared" si="72"/>
        <v>1.0149681881709371</v>
      </c>
      <c r="BB114" s="642">
        <v>43200</v>
      </c>
      <c r="BC114" s="11">
        <v>43200</v>
      </c>
      <c r="BD114" s="292">
        <f>[2]!FeuilCaduc*(1-Persistant)+Persistant</f>
        <v>1</v>
      </c>
      <c r="BE114" s="293">
        <f>[2]!CroissVégét</f>
        <v>7.4116938463242688E-2</v>
      </c>
      <c r="BF114" s="842">
        <f>1+[2]!Salcycl*Ksac</f>
        <v>1.0072017715149792</v>
      </c>
      <c r="BH114" s="1105">
        <f t="shared" si="73"/>
        <v>1.2397006593788496E-2</v>
      </c>
      <c r="BI114" s="11">
        <v>44296</v>
      </c>
      <c r="BJ114" s="742">
        <v>1.374176655281925E-3</v>
      </c>
      <c r="BK114" s="742">
        <v>4.9499857938018884E-3</v>
      </c>
      <c r="BL114" s="742">
        <v>1.0603860575986416E-2</v>
      </c>
      <c r="BM114" s="742">
        <v>1.9579644080874023E-2</v>
      </c>
      <c r="BN114" s="742">
        <v>3.2677863296424726E-2</v>
      </c>
      <c r="BO114" s="743">
        <v>5.0813645924478679E-2</v>
      </c>
      <c r="BP114" s="742">
        <v>7.3935426512677607E-2</v>
      </c>
      <c r="BQ114" s="742">
        <v>0.10181561564068292</v>
      </c>
      <c r="BR114" s="742">
        <v>0.13529223213318028</v>
      </c>
      <c r="BS114" s="742">
        <v>0.17762098708130469</v>
      </c>
      <c r="BT114" s="742">
        <v>0.22719296882089213</v>
      </c>
      <c r="BW114" s="1187">
        <f>'2018'!R\Max</f>
        <v>0</v>
      </c>
      <c r="BX114" s="1185">
        <f>'2019'!R\Max</f>
        <v>0.54215854599916569</v>
      </c>
      <c r="BY114" s="1185">
        <f>'2020'!R\Max</f>
        <v>0.97470694576073036</v>
      </c>
      <c r="BZ114" s="1185">
        <f>'2021'!R\Max</f>
        <v>0.56469825435084353</v>
      </c>
      <c r="CA114" s="1185">
        <f>'2022'!R\Max</f>
        <v>1.0149681881709369</v>
      </c>
      <c r="CB114" s="1185">
        <f>'2023'!R\Max</f>
        <v>1.0149681881709371</v>
      </c>
      <c r="CC114" s="1185">
        <f>'2024'!R\Max</f>
        <v>1.0149681881709371</v>
      </c>
      <c r="CD114" s="1185">
        <f>'2025'!R\Max</f>
        <v>1.0149681881709371</v>
      </c>
      <c r="CE114" s="1185">
        <f>'2026'!R\Max</f>
        <v>1.0149681881709374</v>
      </c>
      <c r="CF114" s="1186">
        <f>'2027'!R\Max</f>
        <v>1.0149681881709371</v>
      </c>
    </row>
    <row r="115" spans="1:84" s="6" customFormat="1" ht="11.25" x14ac:dyDescent="0.2">
      <c r="A115" s="11">
        <v>43201</v>
      </c>
      <c r="B115" s="382">
        <f>'2023'!Maxi_hp</f>
        <v>55.108352473035232</v>
      </c>
      <c r="C115" s="85">
        <f>'2023'!An_max</f>
        <v>2020</v>
      </c>
      <c r="D115" s="1132"/>
      <c r="E115" s="709"/>
      <c r="F115" s="13">
        <f t="shared" si="74"/>
        <v>9</v>
      </c>
      <c r="G115" s="13">
        <f t="shared" si="58"/>
        <v>8</v>
      </c>
      <c r="H115" s="175">
        <f t="shared" si="59"/>
        <v>43206</v>
      </c>
      <c r="I115" s="772">
        <f t="shared" si="60"/>
        <v>0.35714285714285715</v>
      </c>
      <c r="J115" s="763">
        <f t="shared" si="61"/>
        <v>55.955433783307669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P115" s="13">
        <f t="shared" si="62"/>
        <v>5</v>
      </c>
      <c r="AQ115" s="13">
        <f t="shared" si="63"/>
        <v>6</v>
      </c>
      <c r="AR115" s="175">
        <f t="shared" si="64"/>
        <v>43192</v>
      </c>
      <c r="AS115" s="772">
        <f t="shared" si="65"/>
        <v>0.32142857142857145</v>
      </c>
      <c r="AT115" s="789">
        <f t="shared" si="66"/>
        <v>55.856192956811618</v>
      </c>
      <c r="AU115" s="13">
        <f t="shared" si="67"/>
        <v>5</v>
      </c>
      <c r="AV115" s="13">
        <f t="shared" si="68"/>
        <v>4</v>
      </c>
      <c r="AW115" s="175">
        <f t="shared" si="69"/>
        <v>43206</v>
      </c>
      <c r="AX115" s="772">
        <f t="shared" si="70"/>
        <v>0.17857142857142858</v>
      </c>
      <c r="AY115" s="789">
        <f t="shared" si="71"/>
        <v>55.966667793830858</v>
      </c>
      <c r="AZ115" s="763">
        <f t="shared" si="75"/>
        <v>55.911430375321238</v>
      </c>
      <c r="BA115" s="647">
        <f t="shared" si="72"/>
        <v>0.98486150042991649</v>
      </c>
      <c r="BB115" s="642">
        <v>43201</v>
      </c>
      <c r="BC115" s="11">
        <v>43201</v>
      </c>
      <c r="BD115" s="292">
        <f>[2]!FeuilCaduc*(1-Persistant)+Persistant</f>
        <v>1</v>
      </c>
      <c r="BE115" s="293">
        <f>[2]!CroissVégét</f>
        <v>7.7036689395036897E-2</v>
      </c>
      <c r="BF115" s="842">
        <f>1+[2]!Salcycl*Ksac</f>
        <v>1.0076914764882119</v>
      </c>
      <c r="BH115" s="1105">
        <f t="shared" si="73"/>
        <v>1.1929082222780215E-2</v>
      </c>
      <c r="BI115" s="11">
        <v>44297</v>
      </c>
      <c r="BJ115" s="742">
        <v>1.3007511565910782E-3</v>
      </c>
      <c r="BK115" s="742">
        <v>4.7344822714523232E-3</v>
      </c>
      <c r="BL115" s="742">
        <v>1.0184976043403305E-2</v>
      </c>
      <c r="BM115" s="742">
        <v>1.8915285410407531E-2</v>
      </c>
      <c r="BN115" s="742">
        <v>3.1770784991319821E-2</v>
      </c>
      <c r="BO115" s="743">
        <v>4.9648381388744139E-2</v>
      </c>
      <c r="BP115" s="742">
        <v>7.2551982151638703E-2</v>
      </c>
      <c r="BQ115" s="742">
        <v>0.10029754313526262</v>
      </c>
      <c r="BR115" s="742">
        <v>0.1334087074599222</v>
      </c>
      <c r="BS115" s="742">
        <v>0.17429633219805926</v>
      </c>
      <c r="BT115" s="742">
        <v>0.22131558847032948</v>
      </c>
      <c r="BW115" s="1187">
        <f>'2018'!R\Max</f>
        <v>0</v>
      </c>
      <c r="BX115" s="1185">
        <f>'2019'!R\Max</f>
        <v>0.17621457754096265</v>
      </c>
      <c r="BY115" s="1185">
        <f>'2020'!R\Max</f>
        <v>0.98486150042991649</v>
      </c>
      <c r="BZ115" s="1185">
        <f>'2021'!R\Max</f>
        <v>0.14356595482972306</v>
      </c>
      <c r="CA115" s="1185">
        <f>'2022'!R\Max</f>
        <v>0.76998972088671991</v>
      </c>
      <c r="CB115" s="1185">
        <f>'2023'!R\Max</f>
        <v>0.76933378823283682</v>
      </c>
      <c r="CC115" s="1185">
        <f>'2024'!R\Max</f>
        <v>0.76858518766288286</v>
      </c>
      <c r="CD115" s="1185">
        <f>'2025'!R\Max</f>
        <v>0.77156704683367727</v>
      </c>
      <c r="CE115" s="1185">
        <f>'2026'!R\Max</f>
        <v>0.77131938646275777</v>
      </c>
      <c r="CF115" s="1186">
        <f>'2027'!R\Max</f>
        <v>0.77096772853214934</v>
      </c>
    </row>
    <row r="116" spans="1:84" s="6" customFormat="1" ht="11.25" x14ac:dyDescent="0.2">
      <c r="A116" s="11">
        <v>43202</v>
      </c>
      <c r="B116" s="382">
        <f>'2023'!Maxi_hp</f>
        <v>55.432889188888424</v>
      </c>
      <c r="C116" s="85">
        <f>'2023'!An_max</f>
        <v>2019</v>
      </c>
      <c r="D116" s="1132"/>
      <c r="E116" s="709"/>
      <c r="F116" s="13">
        <f t="shared" si="74"/>
        <v>9</v>
      </c>
      <c r="G116" s="13">
        <f t="shared" si="58"/>
        <v>8</v>
      </c>
      <c r="H116" s="175">
        <f t="shared" si="59"/>
        <v>43206</v>
      </c>
      <c r="I116" s="772">
        <f t="shared" si="60"/>
        <v>0.2857142857142857</v>
      </c>
      <c r="J116" s="763">
        <f t="shared" si="61"/>
        <v>56.318633819052152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P116" s="13">
        <f t="shared" si="62"/>
        <v>5</v>
      </c>
      <c r="AQ116" s="13">
        <f t="shared" si="63"/>
        <v>6</v>
      </c>
      <c r="AR116" s="175">
        <f t="shared" si="64"/>
        <v>43192</v>
      </c>
      <c r="AS116" s="772">
        <f t="shared" si="65"/>
        <v>0.35714285714285715</v>
      </c>
      <c r="AT116" s="789">
        <f t="shared" si="66"/>
        <v>56.219152768382003</v>
      </c>
      <c r="AU116" s="13">
        <f t="shared" si="67"/>
        <v>5</v>
      </c>
      <c r="AV116" s="13">
        <f t="shared" si="68"/>
        <v>4</v>
      </c>
      <c r="AW116" s="175">
        <f t="shared" si="69"/>
        <v>43206</v>
      </c>
      <c r="AX116" s="772">
        <f t="shared" si="70"/>
        <v>0.14285714285714285</v>
      </c>
      <c r="AY116" s="789">
        <f t="shared" si="71"/>
        <v>56.334008163533042</v>
      </c>
      <c r="AZ116" s="763">
        <f t="shared" si="75"/>
        <v>56.276580465957522</v>
      </c>
      <c r="BA116" s="647">
        <f t="shared" si="72"/>
        <v>0.98427261866810256</v>
      </c>
      <c r="BB116" s="642">
        <v>43202</v>
      </c>
      <c r="BC116" s="11">
        <v>43202</v>
      </c>
      <c r="BD116" s="292">
        <f>[2]!FeuilCaduc*(1-Persistant)+Persistant</f>
        <v>1</v>
      </c>
      <c r="BE116" s="293">
        <f>[2]!CroissVégét</f>
        <v>8.0059411132293548E-2</v>
      </c>
      <c r="BF116" s="842">
        <f>1+[2]!Salcycl*Ksac</f>
        <v>1.0082062911710106</v>
      </c>
      <c r="BH116" s="1105">
        <f t="shared" si="73"/>
        <v>1.1461696410210971E-2</v>
      </c>
      <c r="BI116" s="11">
        <v>44298</v>
      </c>
      <c r="BJ116" s="742">
        <v>1.2293103011810727E-3</v>
      </c>
      <c r="BK116" s="742">
        <v>4.5207348876213568E-3</v>
      </c>
      <c r="BL116" s="742">
        <v>9.7673047363064872E-3</v>
      </c>
      <c r="BM116" s="742">
        <v>1.8248762847616545E-2</v>
      </c>
      <c r="BN116" s="742">
        <v>3.0847293202347904E-2</v>
      </c>
      <c r="BO116" s="743">
        <v>4.8445981945712903E-2</v>
      </c>
      <c r="BP116" s="742">
        <v>7.1116253009677888E-2</v>
      </c>
      <c r="BQ116" s="742">
        <v>9.8707448871624928E-2</v>
      </c>
      <c r="BR116" s="742">
        <v>0.13148454369530968</v>
      </c>
      <c r="BS116" s="742">
        <v>0.17111366235628725</v>
      </c>
      <c r="BT116" s="742">
        <v>0.21593068930555442</v>
      </c>
      <c r="BW116" s="1187">
        <f>'2018'!R\Max</f>
        <v>0</v>
      </c>
      <c r="BX116" s="1185">
        <f>'2019'!R\Max</f>
        <v>0.98427261866810256</v>
      </c>
      <c r="BY116" s="1185">
        <f>'2020'!R\Max</f>
        <v>0.96636647797990716</v>
      </c>
      <c r="BZ116" s="1185">
        <f>'2021'!R\Max</f>
        <v>0.7956684793220411</v>
      </c>
      <c r="CA116" s="1185">
        <f>'2022'!R\Max</f>
        <v>0.70256124108515461</v>
      </c>
      <c r="CB116" s="1185">
        <f>'2023'!R\Max</f>
        <v>0.7018003993539329</v>
      </c>
      <c r="CC116" s="1185">
        <f>'2024'!R\Max</f>
        <v>0.70092927344053813</v>
      </c>
      <c r="CD116" s="1185">
        <f>'2025'!R\Max</f>
        <v>0.70437745352018444</v>
      </c>
      <c r="CE116" s="1185">
        <f>'2026'!R\Max</f>
        <v>0.70409506369789587</v>
      </c>
      <c r="CF116" s="1186">
        <f>'2027'!R\Max</f>
        <v>0.70369055993214824</v>
      </c>
    </row>
    <row r="117" spans="1:84" s="6" customFormat="1" ht="11.25" x14ac:dyDescent="0.2">
      <c r="A117" s="11">
        <v>43203</v>
      </c>
      <c r="B117" s="382">
        <f>'2023'!Maxi_hp</f>
        <v>56.418752922877168</v>
      </c>
      <c r="C117" s="85">
        <f>'2023'!An_max</f>
        <v>2019</v>
      </c>
      <c r="D117" s="1132"/>
      <c r="E117" s="709"/>
      <c r="F117" s="13">
        <f t="shared" si="74"/>
        <v>9</v>
      </c>
      <c r="G117" s="13">
        <f t="shared" si="58"/>
        <v>8</v>
      </c>
      <c r="H117" s="175">
        <f t="shared" si="59"/>
        <v>43206</v>
      </c>
      <c r="I117" s="772">
        <f t="shared" si="60"/>
        <v>0.21428571428571427</v>
      </c>
      <c r="J117" s="763">
        <f t="shared" si="61"/>
        <v>56.674749600195454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P117" s="13">
        <f t="shared" si="62"/>
        <v>5</v>
      </c>
      <c r="AQ117" s="13">
        <f t="shared" si="63"/>
        <v>6</v>
      </c>
      <c r="AR117" s="175">
        <f t="shared" si="64"/>
        <v>43192</v>
      </c>
      <c r="AS117" s="772">
        <f t="shared" si="65"/>
        <v>0.39285714285714285</v>
      </c>
      <c r="AT117" s="789">
        <f t="shared" si="66"/>
        <v>56.577289258688687</v>
      </c>
      <c r="AU117" s="13">
        <f t="shared" si="67"/>
        <v>5</v>
      </c>
      <c r="AV117" s="13">
        <f t="shared" si="68"/>
        <v>4</v>
      </c>
      <c r="AW117" s="175">
        <f t="shared" si="69"/>
        <v>43206</v>
      </c>
      <c r="AX117" s="772">
        <f t="shared" si="70"/>
        <v>0.10714285714285714</v>
      </c>
      <c r="AY117" s="789">
        <f t="shared" si="71"/>
        <v>56.691325063803902</v>
      </c>
      <c r="AZ117" s="763">
        <f t="shared" si="75"/>
        <v>56.634307161246298</v>
      </c>
      <c r="BA117" s="647">
        <f t="shared" si="72"/>
        <v>0.99548305587366193</v>
      </c>
      <c r="BB117" s="642">
        <v>43203</v>
      </c>
      <c r="BC117" s="11">
        <v>43203</v>
      </c>
      <c r="BD117" s="292">
        <f>[2]!FeuilCaduc*(1-Persistant)+Persistant</f>
        <v>1</v>
      </c>
      <c r="BE117" s="293">
        <f>[2]!CroissVégét</f>
        <v>8.3187958998136649E-2</v>
      </c>
      <c r="BF117" s="842">
        <f>1+[2]!Salcycl*Ksac</f>
        <v>1.0087466786250339</v>
      </c>
      <c r="BH117" s="1105">
        <f t="shared" si="73"/>
        <v>1.0994854935542397E-2</v>
      </c>
      <c r="BI117" s="11">
        <v>44299</v>
      </c>
      <c r="BJ117" s="742">
        <v>1.1598544442406938E-3</v>
      </c>
      <c r="BK117" s="742">
        <v>4.308745965951149E-3</v>
      </c>
      <c r="BL117" s="742">
        <v>9.3508517055160122E-3</v>
      </c>
      <c r="BM117" s="742">
        <v>1.758008509061422E-2</v>
      </c>
      <c r="BN117" s="742">
        <v>2.9907403094277776E-2</v>
      </c>
      <c r="BO117" s="743">
        <v>4.7206470429663118E-2</v>
      </c>
      <c r="BP117" s="742">
        <v>6.9628264944814042E-2</v>
      </c>
      <c r="BQ117" s="742">
        <v>9.7045360171330142E-2</v>
      </c>
      <c r="BR117" s="742">
        <v>0.1295197528976092</v>
      </c>
      <c r="BS117" s="742">
        <v>0.16807293579222862</v>
      </c>
      <c r="BT117" s="742">
        <v>0.21103813201840993</v>
      </c>
      <c r="BW117" s="1187">
        <f>'2018'!R\Max</f>
        <v>0</v>
      </c>
      <c r="BX117" s="1185">
        <f>'2019'!R\Max</f>
        <v>0.99548305587366193</v>
      </c>
      <c r="BY117" s="1185">
        <f>'2020'!R\Max</f>
        <v>0.78732559128812596</v>
      </c>
      <c r="BZ117" s="1185">
        <f>'2021'!R\Max</f>
        <v>0.87227877768896345</v>
      </c>
      <c r="CA117" s="1185">
        <f>'2022'!R\Max</f>
        <v>0.15336390713232281</v>
      </c>
      <c r="CB117" s="1185">
        <f>'2023'!R\Max</f>
        <v>0.1529793691680682</v>
      </c>
      <c r="CC117" s="1185">
        <f>'2024'!R\Max</f>
        <v>0.15253877746987873</v>
      </c>
      <c r="CD117" s="1185">
        <f>'2025'!R\Max</f>
        <v>0.1542782798790833</v>
      </c>
      <c r="CE117" s="1185">
        <f>'2026'!R\Max</f>
        <v>0.15413714698933426</v>
      </c>
      <c r="CF117" s="1186">
        <f>'2027'!R\Max</f>
        <v>0.15393345988537011</v>
      </c>
    </row>
    <row r="118" spans="1:84" s="6" customFormat="1" ht="11.25" x14ac:dyDescent="0.2">
      <c r="A118" s="11">
        <v>43204</v>
      </c>
      <c r="B118" s="382">
        <f>'2023'!Maxi_hp</f>
        <v>56.195003771164046</v>
      </c>
      <c r="C118" s="85">
        <f>'2023'!An_max</f>
        <v>2021</v>
      </c>
      <c r="D118" s="1132"/>
      <c r="E118" s="709"/>
      <c r="F118" s="13">
        <f t="shared" si="74"/>
        <v>9</v>
      </c>
      <c r="G118" s="13">
        <f t="shared" si="58"/>
        <v>8</v>
      </c>
      <c r="H118" s="175">
        <f t="shared" si="59"/>
        <v>43206</v>
      </c>
      <c r="I118" s="772">
        <f t="shared" si="60"/>
        <v>0.14285714285714285</v>
      </c>
      <c r="J118" s="763">
        <f t="shared" si="61"/>
        <v>57.023441982695033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P118" s="13">
        <f t="shared" si="62"/>
        <v>5</v>
      </c>
      <c r="AQ118" s="13">
        <f t="shared" si="63"/>
        <v>6</v>
      </c>
      <c r="AR118" s="175">
        <f t="shared" si="64"/>
        <v>43192</v>
      </c>
      <c r="AS118" s="772">
        <f t="shared" si="65"/>
        <v>0.42857142857142855</v>
      </c>
      <c r="AT118" s="789">
        <f t="shared" si="66"/>
        <v>56.930291545178207</v>
      </c>
      <c r="AU118" s="13">
        <f t="shared" si="67"/>
        <v>5</v>
      </c>
      <c r="AV118" s="13">
        <f t="shared" si="68"/>
        <v>4</v>
      </c>
      <c r="AW118" s="175">
        <f t="shared" si="69"/>
        <v>43206</v>
      </c>
      <c r="AX118" s="772">
        <f t="shared" si="70"/>
        <v>7.1428571428571425E-2</v>
      </c>
      <c r="AY118" s="789">
        <f t="shared" si="71"/>
        <v>57.038025001090546</v>
      </c>
      <c r="AZ118" s="763">
        <f t="shared" si="75"/>
        <v>56.984158273134376</v>
      </c>
      <c r="BA118" s="647">
        <f t="shared" si="72"/>
        <v>0.98547197112755147</v>
      </c>
      <c r="BB118" s="642">
        <v>43204</v>
      </c>
      <c r="BC118" s="11">
        <v>43204</v>
      </c>
      <c r="BD118" s="292">
        <f>[2]!FeuilCaduc*(1-Persistant)+Persistant</f>
        <v>1</v>
      </c>
      <c r="BE118" s="293">
        <f>[2]!CroissVégét</f>
        <v>8.6425206757263798E-2</v>
      </c>
      <c r="BF118" s="842">
        <f>1+[2]!Salcycl*Ksac</f>
        <v>1.0093130719608343</v>
      </c>
      <c r="BH118" s="1105">
        <f t="shared" si="73"/>
        <v>1.0528564154102733E-2</v>
      </c>
      <c r="BI118" s="11">
        <v>44300</v>
      </c>
      <c r="BJ118" s="742">
        <v>1.0923839468296678E-3</v>
      </c>
      <c r="BK118" s="742">
        <v>4.0985180283807038E-3</v>
      </c>
      <c r="BL118" s="742">
        <v>8.935622484981972E-3</v>
      </c>
      <c r="BM118" s="742">
        <v>1.6909261784846516E-2</v>
      </c>
      <c r="BN118" s="742">
        <v>2.8951131722918938E-2</v>
      </c>
      <c r="BO118" s="743">
        <v>4.5929872815998363E-2</v>
      </c>
      <c r="BP118" s="742">
        <v>6.8088047903693036E-2</v>
      </c>
      <c r="BQ118" s="742">
        <v>9.5311309486356022E-2</v>
      </c>
      <c r="BR118" s="742">
        <v>0.1275143513132784</v>
      </c>
      <c r="BS118" s="742">
        <v>0.16517410863007415</v>
      </c>
      <c r="BT118" s="742">
        <v>0.20663776283585772</v>
      </c>
      <c r="BW118" s="1187">
        <f>'2018'!R\Max</f>
        <v>0</v>
      </c>
      <c r="BX118" s="1185">
        <f>'2019'!R\Max</f>
        <v>0.49295217139619324</v>
      </c>
      <c r="BY118" s="1185">
        <f>'2020'!R\Max</f>
        <v>0.27920353947551524</v>
      </c>
      <c r="BZ118" s="1185">
        <f>'2021'!R\Max</f>
        <v>0.98547197112755147</v>
      </c>
      <c r="CA118" s="1185">
        <f>'2022'!R\Max</f>
        <v>0.74821877230754741</v>
      </c>
      <c r="CB118" s="1185">
        <f>'2023'!R\Max</f>
        <v>0.74755669489649623</v>
      </c>
      <c r="CC118" s="1185">
        <f>'2024'!R\Max</f>
        <v>0.74679251021317761</v>
      </c>
      <c r="CD118" s="1185">
        <f>'2025'!R\Max</f>
        <v>0.74976997570774551</v>
      </c>
      <c r="CE118" s="1185">
        <f>'2026'!R\Max</f>
        <v>0.7495337283646758</v>
      </c>
      <c r="CF118" s="1186">
        <f>'2027'!R\Max</f>
        <v>0.74918933110446184</v>
      </c>
    </row>
    <row r="119" spans="1:84" s="6" customFormat="1" ht="11.25" x14ac:dyDescent="0.2">
      <c r="A119" s="11">
        <v>43205</v>
      </c>
      <c r="B119" s="382">
        <f>'2023'!Maxi_hp</f>
        <v>56.145689401906232</v>
      </c>
      <c r="C119" s="85">
        <f>'2023'!An_max</f>
        <v>2021</v>
      </c>
      <c r="D119" s="1132"/>
      <c r="E119" s="709"/>
      <c r="F119" s="13">
        <f t="shared" si="74"/>
        <v>9</v>
      </c>
      <c r="G119" s="13">
        <f t="shared" si="58"/>
        <v>8</v>
      </c>
      <c r="H119" s="175">
        <f t="shared" si="59"/>
        <v>43206</v>
      </c>
      <c r="I119" s="772">
        <f t="shared" si="60"/>
        <v>7.1428571428571425E-2</v>
      </c>
      <c r="J119" s="763">
        <f t="shared" si="61"/>
        <v>57.364371829373496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P119" s="13">
        <f t="shared" si="62"/>
        <v>5</v>
      </c>
      <c r="AQ119" s="13">
        <f t="shared" si="63"/>
        <v>6</v>
      </c>
      <c r="AR119" s="175">
        <f t="shared" si="64"/>
        <v>43192</v>
      </c>
      <c r="AS119" s="772">
        <f t="shared" si="65"/>
        <v>0.4642857142857143</v>
      </c>
      <c r="AT119" s="789">
        <f t="shared" si="66"/>
        <v>57.277848751683315</v>
      </c>
      <c r="AU119" s="13">
        <f t="shared" si="67"/>
        <v>5</v>
      </c>
      <c r="AV119" s="13">
        <f t="shared" si="68"/>
        <v>4</v>
      </c>
      <c r="AW119" s="175">
        <f t="shared" si="69"/>
        <v>43206</v>
      </c>
      <c r="AX119" s="772">
        <f t="shared" si="70"/>
        <v>3.5714285714285712E-2</v>
      </c>
      <c r="AY119" s="789">
        <f t="shared" si="71"/>
        <v>57.373514478500667</v>
      </c>
      <c r="AZ119" s="763">
        <f t="shared" si="75"/>
        <v>57.325681615091995</v>
      </c>
      <c r="BA119" s="647">
        <f t="shared" si="72"/>
        <v>0.97875541231250374</v>
      </c>
      <c r="BB119" s="642">
        <v>43205</v>
      </c>
      <c r="BC119" s="11">
        <v>43205</v>
      </c>
      <c r="BD119" s="292">
        <f>[2]!FeuilCaduc*(1-Persistant)+Persistant</f>
        <v>1</v>
      </c>
      <c r="BE119" s="293">
        <f>[2]!CroissVégét</f>
        <v>8.9774041376326802E-2</v>
      </c>
      <c r="BF119" s="842">
        <f>1+[2]!Salcycl*Ksac</f>
        <v>1.0099058730406014</v>
      </c>
      <c r="BH119" s="1105">
        <f t="shared" si="73"/>
        <v>1.0062830995604812E-2</v>
      </c>
      <c r="BI119" s="11">
        <v>44301</v>
      </c>
      <c r="BJ119" s="742">
        <v>1.0268991695543796E-3</v>
      </c>
      <c r="BK119" s="742">
        <v>3.8900537896310421E-3</v>
      </c>
      <c r="BL119" s="742">
        <v>8.5216230881162616E-3</v>
      </c>
      <c r="BM119" s="742">
        <v>1.623630353036733E-2</v>
      </c>
      <c r="BN119" s="742">
        <v>2.7978498088187153E-2</v>
      </c>
      <c r="BO119" s="743">
        <v>4.4616218340837337E-2</v>
      </c>
      <c r="BP119" s="742">
        <v>6.6495636089751814E-2</v>
      </c>
      <c r="BQ119" s="742">
        <v>9.3505334630450784E-2</v>
      </c>
      <c r="BR119" s="742">
        <v>0.12546835950761506</v>
      </c>
      <c r="BS119" s="742">
        <v>0.16241713442738182</v>
      </c>
      <c r="BT119" s="742">
        <v>0.20272941194231481</v>
      </c>
      <c r="BW119" s="1187">
        <f>'2018'!R\Max</f>
        <v>0</v>
      </c>
      <c r="BX119" s="1185">
        <f>'2019'!R\Max</f>
        <v>0.66745397580179455</v>
      </c>
      <c r="BY119" s="1185">
        <f>'2020'!R\Max</f>
        <v>0.96048942061176568</v>
      </c>
      <c r="BZ119" s="1185">
        <f>'2021'!R\Max</f>
        <v>0.97875541231250374</v>
      </c>
      <c r="CA119" s="1185">
        <f>'2022'!R\Max</f>
        <v>0.82648592107454244</v>
      </c>
      <c r="CB119" s="1185">
        <f>'2023'!R\Max</f>
        <v>0.82599115067572759</v>
      </c>
      <c r="CC119" s="1185">
        <f>'2024'!R\Max</f>
        <v>0.82541746022995932</v>
      </c>
      <c r="CD119" s="1185">
        <f>'2025'!R\Max</f>
        <v>0.82763252384685859</v>
      </c>
      <c r="CE119" s="1185">
        <f>'2026'!R\Max</f>
        <v>0.82745974250829457</v>
      </c>
      <c r="CF119" s="1186">
        <f>'2027'!R\Max</f>
        <v>0.82720568378401871</v>
      </c>
    </row>
    <row r="120" spans="1:84" s="6" customFormat="1" ht="11.25" x14ac:dyDescent="0.2">
      <c r="A120" s="11">
        <v>43206</v>
      </c>
      <c r="B120" s="382">
        <f>'2023'!Maxi_hp</f>
        <v>50.868217959412618</v>
      </c>
      <c r="C120" s="85">
        <f>'2023'!An_max</f>
        <v>2022</v>
      </c>
      <c r="D120" s="1132"/>
      <c r="E120" s="771">
        <f>U$13/10</f>
        <v>57.697199999999995</v>
      </c>
      <c r="F120" s="13">
        <f t="shared" si="74"/>
        <v>9</v>
      </c>
      <c r="G120" s="13">
        <f t="shared" si="58"/>
        <v>10</v>
      </c>
      <c r="H120" s="175">
        <f t="shared" si="59"/>
        <v>43206</v>
      </c>
      <c r="I120" s="772">
        <f t="shared" si="60"/>
        <v>0</v>
      </c>
      <c r="J120" s="763">
        <f t="shared" si="61"/>
        <v>57.697199999541041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P120" s="13">
        <f t="shared" si="62"/>
        <v>5</v>
      </c>
      <c r="AQ120" s="13">
        <f t="shared" si="63"/>
        <v>6</v>
      </c>
      <c r="AR120" s="175">
        <f t="shared" si="64"/>
        <v>43192</v>
      </c>
      <c r="AS120" s="772">
        <f t="shared" si="65"/>
        <v>0.5</v>
      </c>
      <c r="AT120" s="789">
        <f t="shared" si="66"/>
        <v>57.619649999961254</v>
      </c>
      <c r="AU120" s="13">
        <f t="shared" si="67"/>
        <v>5</v>
      </c>
      <c r="AV120" s="13">
        <f t="shared" si="68"/>
        <v>6</v>
      </c>
      <c r="AW120" s="175">
        <f t="shared" si="69"/>
        <v>43206</v>
      </c>
      <c r="AX120" s="772">
        <f t="shared" si="70"/>
        <v>0</v>
      </c>
      <c r="AY120" s="789">
        <f t="shared" si="71"/>
        <v>57.697200001031163</v>
      </c>
      <c r="AZ120" s="763">
        <f t="shared" si="75"/>
        <v>57.658425000496209</v>
      </c>
      <c r="BA120" s="647">
        <f t="shared" si="72"/>
        <v>0.88164101481210966</v>
      </c>
      <c r="BB120" s="642">
        <v>43206</v>
      </c>
      <c r="BC120" s="11">
        <v>43206</v>
      </c>
      <c r="BD120" s="292">
        <f>[2]!FeuilCaduc*(1-Persistant)+Persistant</f>
        <v>1</v>
      </c>
      <c r="BE120" s="293">
        <f>[2]!CroissVégét</f>
        <v>9.3237357323611589E-2</v>
      </c>
      <c r="BF120" s="842">
        <f>1+[2]!Salcycl*Ksac</f>
        <v>1.010525451141512</v>
      </c>
      <c r="BH120" s="1105">
        <f t="shared" si="73"/>
        <v>9.5976629624194565E-3</v>
      </c>
      <c r="BI120" s="11">
        <v>44302</v>
      </c>
      <c r="BJ120" s="742">
        <v>9.6340046621749701E-4</v>
      </c>
      <c r="BK120" s="742">
        <v>3.6833561515941132E-3</v>
      </c>
      <c r="BL120" s="742">
        <v>8.1088600039160384E-3</v>
      </c>
      <c r="BM120" s="742">
        <v>1.5561221888723704E-2</v>
      </c>
      <c r="BN120" s="742">
        <v>2.6989523186509694E-2</v>
      </c>
      <c r="BO120" s="743">
        <v>4.3265539619564586E-2</v>
      </c>
      <c r="BP120" s="742">
        <v>6.4851068129855707E-2</v>
      </c>
      <c r="BQ120" s="742">
        <v>9.1627479008363488E-2</v>
      </c>
      <c r="BR120" s="742">
        <v>0.12338180249257701</v>
      </c>
      <c r="BS120" s="742">
        <v>0.15980196371681629</v>
      </c>
      <c r="BT120" s="742">
        <v>0.19931289189735979</v>
      </c>
      <c r="BW120" s="1187">
        <f>'2018'!R\Max</f>
        <v>0</v>
      </c>
      <c r="BX120" s="1185">
        <f>'2019'!R\Max</f>
        <v>0.62561810305522525</v>
      </c>
      <c r="BY120" s="1185">
        <f>'2020'!R\Max</f>
        <v>0.84209835086464724</v>
      </c>
      <c r="BZ120" s="1185">
        <f>'2021'!R\Max</f>
        <v>0.80514697883893904</v>
      </c>
      <c r="CA120" s="1185">
        <f>'2022'!R\Max</f>
        <v>0.88164101481210966</v>
      </c>
      <c r="CB120" s="1185">
        <f>'2023'!R\Max</f>
        <v>0.88128785990203085</v>
      </c>
      <c r="CC120" s="1185">
        <f>'2024'!R\Max</f>
        <v>0.88087653422736745</v>
      </c>
      <c r="CD120" s="1185">
        <f>'2025'!R\Max</f>
        <v>0.88245017459551334</v>
      </c>
      <c r="CE120" s="1185">
        <f>'2026'!R\Max</f>
        <v>0.88232950531537058</v>
      </c>
      <c r="CF120" s="1186">
        <f>'2027'!R\Max</f>
        <v>0.88215058929900092</v>
      </c>
    </row>
    <row r="121" spans="1:84" s="6" customFormat="1" ht="11.25" x14ac:dyDescent="0.2">
      <c r="A121" s="11">
        <v>43207</v>
      </c>
      <c r="B121" s="382">
        <f>'2023'!Maxi_hp</f>
        <v>57.796922044603946</v>
      </c>
      <c r="C121" s="85">
        <f>'2023'!An_max</f>
        <v>2022</v>
      </c>
      <c r="D121" s="1132"/>
      <c r="E121" s="709"/>
      <c r="F121" s="13">
        <f t="shared" si="74"/>
        <v>9</v>
      </c>
      <c r="G121" s="13">
        <f t="shared" si="58"/>
        <v>10</v>
      </c>
      <c r="H121" s="175">
        <f t="shared" si="59"/>
        <v>43206</v>
      </c>
      <c r="I121" s="772">
        <f t="shared" si="60"/>
        <v>7.1428571428571425E-2</v>
      </c>
      <c r="J121" s="763">
        <f t="shared" si="61"/>
        <v>58.023170007765295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P121" s="13">
        <f t="shared" si="62"/>
        <v>5</v>
      </c>
      <c r="AQ121" s="13">
        <f t="shared" si="63"/>
        <v>6</v>
      </c>
      <c r="AR121" s="175">
        <f t="shared" si="64"/>
        <v>43192</v>
      </c>
      <c r="AS121" s="772">
        <f t="shared" si="65"/>
        <v>0.5357142857142857</v>
      </c>
      <c r="AT121" s="789">
        <f t="shared" si="66"/>
        <v>57.955384411529771</v>
      </c>
      <c r="AU121" s="13">
        <f t="shared" si="67"/>
        <v>5</v>
      </c>
      <c r="AV121" s="13">
        <f t="shared" si="68"/>
        <v>6</v>
      </c>
      <c r="AW121" s="175">
        <f t="shared" si="69"/>
        <v>43206</v>
      </c>
      <c r="AX121" s="772">
        <f t="shared" si="70"/>
        <v>3.5714285714285712E-2</v>
      </c>
      <c r="AY121" s="789">
        <f t="shared" si="71"/>
        <v>58.011165867612831</v>
      </c>
      <c r="AZ121" s="763">
        <f t="shared" si="75"/>
        <v>57.983275139571305</v>
      </c>
      <c r="BA121" s="647">
        <f t="shared" si="72"/>
        <v>0.99610073074030481</v>
      </c>
      <c r="BB121" s="642">
        <v>43207</v>
      </c>
      <c r="BC121" s="11">
        <v>43207</v>
      </c>
      <c r="BD121" s="292">
        <f>[2]!FeuilCaduc*(1-Persistant)+Persistant</f>
        <v>1</v>
      </c>
      <c r="BE121" s="293">
        <f>[2]!CroissVégét</f>
        <v>9.6818050392965163E-2</v>
      </c>
      <c r="BF121" s="842">
        <f>1+[2]!Salcycl*Ksac</f>
        <v>1.0111721415732464</v>
      </c>
      <c r="BH121" s="1105">
        <f t="shared" si="73"/>
        <v>9.1330681279816264E-3</v>
      </c>
      <c r="BI121" s="11">
        <v>44303</v>
      </c>
      <c r="BJ121" s="742">
        <v>9.0188817748167172E-4</v>
      </c>
      <c r="BK121" s="742">
        <v>3.4784281977738051E-3</v>
      </c>
      <c r="BL121" s="742">
        <v>7.6973401932001256E-3</v>
      </c>
      <c r="BM121" s="742">
        <v>1.488402939005311E-2</v>
      </c>
      <c r="BN121" s="742">
        <v>2.5984230063590744E-2</v>
      </c>
      <c r="BO121" s="743">
        <v>4.1877872765949183E-2</v>
      </c>
      <c r="BP121" s="742">
        <v>6.3154387241772206E-2</v>
      </c>
      <c r="BQ121" s="742">
        <v>8.9677791846240529E-2</v>
      </c>
      <c r="BR121" s="742">
        <v>0.12125470985615867</v>
      </c>
      <c r="BS121" s="742">
        <v>0.15732854354991219</v>
      </c>
      <c r="BT121" s="742">
        <v>0.19638799605598714</v>
      </c>
      <c r="BW121" s="1187">
        <f>'2018'!R\Max</f>
        <v>0</v>
      </c>
      <c r="BX121" s="1185">
        <f>'2019'!R\Max</f>
        <v>0.59040361785697693</v>
      </c>
      <c r="BY121" s="1185">
        <f>'2020'!R\Max</f>
        <v>0.73211963066655783</v>
      </c>
      <c r="BZ121" s="1185">
        <f>'2021'!R\Max</f>
        <v>0.91303723141276261</v>
      </c>
      <c r="CA121" s="1185">
        <f>'2022'!R\Max</f>
        <v>0.99610073074030481</v>
      </c>
      <c r="CB121" s="1185">
        <f>'2023'!R\Max</f>
        <v>0.99608784364104708</v>
      </c>
      <c r="CC121" s="1185">
        <f>'2024'!R\Max</f>
        <v>0.99607275844138732</v>
      </c>
      <c r="CD121" s="1185">
        <f>'2025'!R\Max</f>
        <v>0.99612988254393819</v>
      </c>
      <c r="CE121" s="1185">
        <f>'2026'!R\Max</f>
        <v>0.99612558167514909</v>
      </c>
      <c r="CF121" s="1186">
        <f>'2027'!R\Max</f>
        <v>0.99611915195513234</v>
      </c>
    </row>
    <row r="122" spans="1:84" s="6" customFormat="1" ht="11.25" x14ac:dyDescent="0.2">
      <c r="A122" s="11">
        <v>43208</v>
      </c>
      <c r="B122" s="382">
        <f>'2023'!Maxi_hp</f>
        <v>46.37724858489505</v>
      </c>
      <c r="C122" s="85">
        <f>'2023'!An_max</f>
        <v>2022</v>
      </c>
      <c r="D122" s="1132"/>
      <c r="E122" s="709"/>
      <c r="F122" s="13">
        <f t="shared" si="74"/>
        <v>9</v>
      </c>
      <c r="G122" s="13">
        <f t="shared" si="58"/>
        <v>10</v>
      </c>
      <c r="H122" s="175">
        <f t="shared" si="59"/>
        <v>43206</v>
      </c>
      <c r="I122" s="772">
        <f t="shared" si="60"/>
        <v>0.14285714285714285</v>
      </c>
      <c r="J122" s="763">
        <f t="shared" si="61"/>
        <v>58.34352536456926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P122" s="13">
        <f t="shared" si="62"/>
        <v>5</v>
      </c>
      <c r="AQ122" s="13">
        <f t="shared" si="63"/>
        <v>6</v>
      </c>
      <c r="AR122" s="175">
        <f t="shared" si="64"/>
        <v>43192</v>
      </c>
      <c r="AS122" s="772">
        <f t="shared" si="65"/>
        <v>0.5714285714285714</v>
      </c>
      <c r="AT122" s="789">
        <f t="shared" si="66"/>
        <v>58.284741107906619</v>
      </c>
      <c r="AU122" s="13">
        <f t="shared" si="67"/>
        <v>5</v>
      </c>
      <c r="AV122" s="13">
        <f t="shared" si="68"/>
        <v>6</v>
      </c>
      <c r="AW122" s="175">
        <f t="shared" si="69"/>
        <v>43206</v>
      </c>
      <c r="AX122" s="772">
        <f t="shared" si="70"/>
        <v>7.1428571428571425E-2</v>
      </c>
      <c r="AY122" s="789">
        <f t="shared" si="71"/>
        <v>58.317920298714725</v>
      </c>
      <c r="AZ122" s="763">
        <f t="shared" si="75"/>
        <v>58.301330703310668</v>
      </c>
      <c r="BA122" s="647">
        <f t="shared" si="72"/>
        <v>0.79489966187505934</v>
      </c>
      <c r="BB122" s="642">
        <v>43208</v>
      </c>
      <c r="BC122" s="11">
        <v>43208</v>
      </c>
      <c r="BD122" s="292">
        <f>[2]!FeuilCaduc*(1-Persistant)+Persistant</f>
        <v>1</v>
      </c>
      <c r="BE122" s="293">
        <f>[2]!CroissVégét</f>
        <v>0.10051901103841099</v>
      </c>
      <c r="BF122" s="842">
        <f>1+[2]!Salcycl*Ksac</f>
        <v>1.0118462442446636</v>
      </c>
      <c r="BH122" s="1105">
        <f t="shared" si="73"/>
        <v>8.6731924864900875E-3</v>
      </c>
      <c r="BI122" s="11">
        <v>44304</v>
      </c>
      <c r="BJ122" s="742">
        <v>8.4384590812585725E-4</v>
      </c>
      <c r="BK122" s="742">
        <v>3.2782999473210555E-3</v>
      </c>
      <c r="BL122" s="742">
        <v>7.2915294915327162E-3</v>
      </c>
      <c r="BM122" s="742">
        <v>1.420759086987654E-2</v>
      </c>
      <c r="BN122" s="742">
        <v>2.4962247412828847E-2</v>
      </c>
      <c r="BO122" s="743">
        <v>4.0448395542929012E-2</v>
      </c>
      <c r="BP122" s="742">
        <v>6.1383237208635373E-2</v>
      </c>
      <c r="BQ122" s="742">
        <v>8.7621860669589532E-2</v>
      </c>
      <c r="BR122" s="742">
        <v>0.11902459271731264</v>
      </c>
      <c r="BS122" s="742">
        <v>0.15491842570616113</v>
      </c>
      <c r="BT122" s="742">
        <v>0.19385225145445933</v>
      </c>
      <c r="BW122" s="1187">
        <f>'2018'!R\Max</f>
        <v>0</v>
      </c>
      <c r="BX122" s="1185">
        <f>'2019'!R\Max</f>
        <v>0.46262329782040212</v>
      </c>
      <c r="BY122" s="1185">
        <f>'2020'!R\Max</f>
        <v>0.54875199864401347</v>
      </c>
      <c r="BZ122" s="1185">
        <f>'2021'!R\Max</f>
        <v>0.61125318397900497</v>
      </c>
      <c r="CA122" s="1185">
        <f>'2022'!R\Max</f>
        <v>0.79489966187505934</v>
      </c>
      <c r="CB122" s="1185">
        <f>'2023'!R\Max</f>
        <v>0.79437075839199844</v>
      </c>
      <c r="CC122" s="1185">
        <f>'2024'!R\Max</f>
        <v>0.79374969232884707</v>
      </c>
      <c r="CD122" s="1185">
        <f>'2025'!R\Max</f>
        <v>0.79608444594547356</v>
      </c>
      <c r="CE122" s="1185">
        <f>'2026'!R\Max</f>
        <v>0.79591116237152393</v>
      </c>
      <c r="CF122" s="1186">
        <f>'2027'!R\Max</f>
        <v>0.79565026546512974</v>
      </c>
    </row>
    <row r="123" spans="1:84" s="6" customFormat="1" ht="11.25" x14ac:dyDescent="0.2">
      <c r="A123" s="11">
        <v>43209</v>
      </c>
      <c r="B123" s="382">
        <f>'2023'!Maxi_hp</f>
        <v>56.526054792556174</v>
      </c>
      <c r="C123" s="85">
        <f>'2023'!An_max</f>
        <v>2021</v>
      </c>
      <c r="D123" s="1132"/>
      <c r="E123" s="709"/>
      <c r="F123" s="13">
        <f t="shared" si="74"/>
        <v>9</v>
      </c>
      <c r="G123" s="13">
        <f t="shared" si="58"/>
        <v>10</v>
      </c>
      <c r="H123" s="175">
        <f t="shared" si="59"/>
        <v>43206</v>
      </c>
      <c r="I123" s="772">
        <f t="shared" si="60"/>
        <v>0.21428571428571427</v>
      </c>
      <c r="J123" s="763">
        <f t="shared" si="61"/>
        <v>58.657926930859688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P123" s="13">
        <f t="shared" si="62"/>
        <v>5</v>
      </c>
      <c r="AQ123" s="13">
        <f t="shared" si="63"/>
        <v>6</v>
      </c>
      <c r="AR123" s="175">
        <f t="shared" si="64"/>
        <v>43192</v>
      </c>
      <c r="AS123" s="772">
        <f t="shared" si="65"/>
        <v>0.6071428571428571</v>
      </c>
      <c r="AT123" s="789">
        <f t="shared" si="66"/>
        <v>58.607409209146034</v>
      </c>
      <c r="AU123" s="13">
        <f t="shared" si="67"/>
        <v>5</v>
      </c>
      <c r="AV123" s="13">
        <f t="shared" si="68"/>
        <v>6</v>
      </c>
      <c r="AW123" s="175">
        <f t="shared" si="69"/>
        <v>43206</v>
      </c>
      <c r="AX123" s="772">
        <f t="shared" si="70"/>
        <v>0.10714285714285714</v>
      </c>
      <c r="AY123" s="789">
        <f t="shared" si="71"/>
        <v>58.617505689045153</v>
      </c>
      <c r="AZ123" s="763">
        <f t="shared" si="75"/>
        <v>58.612457449095594</v>
      </c>
      <c r="BA123" s="647">
        <f t="shared" si="72"/>
        <v>0.96365585608205417</v>
      </c>
      <c r="BB123" s="642">
        <v>43209</v>
      </c>
      <c r="BC123" s="11">
        <v>43209</v>
      </c>
      <c r="BD123" s="292">
        <f>[2]!FeuilCaduc*(1-Persistant)+Persistant</f>
        <v>1</v>
      </c>
      <c r="BE123" s="293">
        <f>[2]!CroissVégét</f>
        <v>0.1043431172076847</v>
      </c>
      <c r="BF123" s="842">
        <f>1+[2]!Salcycl*Ksac</f>
        <v>1.0125480221762289</v>
      </c>
      <c r="BH123" s="1105">
        <f t="shared" si="73"/>
        <v>8.2200820906185197E-3</v>
      </c>
      <c r="BI123" s="11">
        <v>44305</v>
      </c>
      <c r="BJ123" s="742">
        <v>7.8737473822615206E-4</v>
      </c>
      <c r="BK123" s="742">
        <v>3.0822850859563503E-3</v>
      </c>
      <c r="BL123" s="742">
        <v>6.8927633974974305E-3</v>
      </c>
      <c r="BM123" s="742">
        <v>1.3536798581005975E-2</v>
      </c>
      <c r="BN123" s="742">
        <v>2.3935079414965147E-2</v>
      </c>
      <c r="BO123" s="743">
        <v>3.8998657529861099E-2</v>
      </c>
      <c r="BP123" s="742">
        <v>5.9563034300566954E-2</v>
      </c>
      <c r="BQ123" s="742">
        <v>8.5488997826739202E-2</v>
      </c>
      <c r="BR123" s="742">
        <v>0.11668006320023798</v>
      </c>
      <c r="BS123" s="742">
        <v>0.15239821457204408</v>
      </c>
      <c r="BT123" s="742">
        <v>0.19124037534679733</v>
      </c>
      <c r="BW123" s="1187">
        <f>'2018'!R\Max</f>
        <v>0</v>
      </c>
      <c r="BX123" s="1185">
        <f>'2019'!R\Max</f>
        <v>0.88820231095025304</v>
      </c>
      <c r="BY123" s="1185">
        <f>'2020'!R\Max</f>
        <v>0.76932497141611855</v>
      </c>
      <c r="BZ123" s="1185">
        <f>'2021'!R\Max</f>
        <v>0.96365585608205417</v>
      </c>
      <c r="CA123" s="1185">
        <f>'2022'!R\Max</f>
        <v>0.2153014686109247</v>
      </c>
      <c r="CB123" s="1185">
        <f>'2023'!R\Max</f>
        <v>0.21482357375230413</v>
      </c>
      <c r="CC123" s="1185">
        <f>'2024'!R\Max</f>
        <v>0.21426151924894413</v>
      </c>
      <c r="CD123" s="1185">
        <f>'2025'!R\Max</f>
        <v>0.21636458956027999</v>
      </c>
      <c r="CE123" s="1185">
        <f>'2026'!R\Max</f>
        <v>0.21621018905059786</v>
      </c>
      <c r="CF123" s="1186">
        <f>'2027'!R\Max</f>
        <v>0.21597629199992888</v>
      </c>
    </row>
    <row r="124" spans="1:84" s="6" customFormat="1" ht="11.25" x14ac:dyDescent="0.2">
      <c r="A124" s="11">
        <v>43210</v>
      </c>
      <c r="B124" s="382">
        <f>'2023'!Maxi_hp</f>
        <v>48.602789768147602</v>
      </c>
      <c r="C124" s="85">
        <f>'2023'!An_max</f>
        <v>2019</v>
      </c>
      <c r="D124" s="1132"/>
      <c r="E124" s="709"/>
      <c r="F124" s="13">
        <f t="shared" si="74"/>
        <v>9</v>
      </c>
      <c r="G124" s="13">
        <f t="shared" si="58"/>
        <v>10</v>
      </c>
      <c r="H124" s="175">
        <f t="shared" si="59"/>
        <v>43206</v>
      </c>
      <c r="I124" s="772">
        <f t="shared" si="60"/>
        <v>0.2857142857142857</v>
      </c>
      <c r="J124" s="763">
        <f t="shared" si="61"/>
        <v>58.966035568820573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P124" s="13">
        <f t="shared" si="62"/>
        <v>5</v>
      </c>
      <c r="AQ124" s="13">
        <f t="shared" si="63"/>
        <v>6</v>
      </c>
      <c r="AR124" s="175">
        <f t="shared" si="64"/>
        <v>43192</v>
      </c>
      <c r="AS124" s="772">
        <f t="shared" si="65"/>
        <v>0.6428571428571429</v>
      </c>
      <c r="AT124" s="789">
        <f t="shared" si="66"/>
        <v>58.92307784312537</v>
      </c>
      <c r="AU124" s="13">
        <f t="shared" si="67"/>
        <v>5</v>
      </c>
      <c r="AV124" s="13">
        <f t="shared" si="68"/>
        <v>6</v>
      </c>
      <c r="AW124" s="175">
        <f t="shared" si="69"/>
        <v>43206</v>
      </c>
      <c r="AX124" s="772">
        <f t="shared" si="70"/>
        <v>0.14285714285714285</v>
      </c>
      <c r="AY124" s="789">
        <f t="shared" si="71"/>
        <v>58.909964432141614</v>
      </c>
      <c r="AZ124" s="763">
        <f t="shared" si="75"/>
        <v>58.916521137633495</v>
      </c>
      <c r="BA124" s="647">
        <f t="shared" si="72"/>
        <v>0.82425059272336876</v>
      </c>
      <c r="BB124" s="642">
        <v>43210</v>
      </c>
      <c r="BC124" s="11">
        <v>43210</v>
      </c>
      <c r="BD124" s="292">
        <f>[2]!FeuilCaduc*(1-Persistant)+Persistant</f>
        <v>1</v>
      </c>
      <c r="BE124" s="293">
        <f>[2]!CroissVégét</f>
        <v>0.10829322666502313</v>
      </c>
      <c r="BF124" s="842">
        <f>1+[2]!Salcycl*Ksac</f>
        <v>1.0132776999565252</v>
      </c>
      <c r="BH124" s="1105">
        <f t="shared" si="73"/>
        <v>7.7737431101093778E-3</v>
      </c>
      <c r="BI124" s="11">
        <v>44306</v>
      </c>
      <c r="BJ124" s="742">
        <v>7.3247512409530739E-4</v>
      </c>
      <c r="BK124" s="742">
        <v>2.8903858018971356E-3</v>
      </c>
      <c r="BL124" s="742">
        <v>6.5010468678485785E-3</v>
      </c>
      <c r="BM124" s="742">
        <v>1.2871663551937161E-2</v>
      </c>
      <c r="BN124" s="742">
        <v>2.2902749327403663E-2</v>
      </c>
      <c r="BO124" s="743">
        <v>3.7528696778718514E-2</v>
      </c>
      <c r="BP124" s="742">
        <v>5.7693835472464129E-2</v>
      </c>
      <c r="BQ124" s="742">
        <v>8.327927531217269E-2</v>
      </c>
      <c r="BR124" s="742">
        <v>0.11422120896323912</v>
      </c>
      <c r="BS124" s="742">
        <v>0.149767988518694</v>
      </c>
      <c r="BT124" s="742">
        <v>0.18855241753429036</v>
      </c>
      <c r="BW124" s="1187">
        <f>'2018'!R\Max</f>
        <v>0</v>
      </c>
      <c r="BX124" s="1185">
        <f>'2019'!R\Max</f>
        <v>0.82425059272336876</v>
      </c>
      <c r="BY124" s="1185">
        <f>'2020'!R\Max</f>
        <v>0.35548167664804414</v>
      </c>
      <c r="BZ124" s="1185">
        <f>'2021'!R\Max</f>
        <v>0.68962639900472933</v>
      </c>
      <c r="CA124" s="1185">
        <f>'2022'!R\Max</f>
        <v>0.2022418725506325</v>
      </c>
      <c r="CB124" s="1185">
        <f>'2023'!R\Max</f>
        <v>0.20180405901312479</v>
      </c>
      <c r="CC124" s="1185">
        <f>'2024'!R\Max</f>
        <v>0.20128629196411105</v>
      </c>
      <c r="CD124" s="1185">
        <f>'2025'!R\Max</f>
        <v>0.20320396689159601</v>
      </c>
      <c r="CE124" s="1185">
        <f>'2026'!R\Max</f>
        <v>0.20306565183862632</v>
      </c>
      <c r="CF124" s="1186">
        <f>'2027'!R\Max</f>
        <v>0.20285460703419905</v>
      </c>
    </row>
    <row r="125" spans="1:84" s="6" customFormat="1" ht="11.25" x14ac:dyDescent="0.2">
      <c r="A125" s="11">
        <v>43211</v>
      </c>
      <c r="B125" s="382">
        <f>'2023'!Maxi_hp</f>
        <v>55.33124831385225</v>
      </c>
      <c r="C125" s="85">
        <f>'2023'!An_max</f>
        <v>2021</v>
      </c>
      <c r="D125" s="1132"/>
      <c r="E125" s="709"/>
      <c r="F125" s="13">
        <f t="shared" si="74"/>
        <v>9</v>
      </c>
      <c r="G125" s="13">
        <f t="shared" si="58"/>
        <v>10</v>
      </c>
      <c r="H125" s="175">
        <f t="shared" si="59"/>
        <v>43206</v>
      </c>
      <c r="I125" s="772">
        <f t="shared" si="60"/>
        <v>0.35714285714285715</v>
      </c>
      <c r="J125" s="763">
        <f t="shared" si="61"/>
        <v>59.267512135260858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P125" s="13">
        <f t="shared" si="62"/>
        <v>5</v>
      </c>
      <c r="AQ125" s="13">
        <f t="shared" si="63"/>
        <v>6</v>
      </c>
      <c r="AR125" s="175">
        <f t="shared" si="64"/>
        <v>43192</v>
      </c>
      <c r="AS125" s="772">
        <f t="shared" si="65"/>
        <v>0.6785714285714286</v>
      </c>
      <c r="AT125" s="789">
        <f t="shared" si="66"/>
        <v>59.23143612348607</v>
      </c>
      <c r="AU125" s="13">
        <f t="shared" si="67"/>
        <v>5</v>
      </c>
      <c r="AV125" s="13">
        <f t="shared" si="68"/>
        <v>6</v>
      </c>
      <c r="AW125" s="175">
        <f t="shared" si="69"/>
        <v>43206</v>
      </c>
      <c r="AX125" s="772">
        <f t="shared" si="70"/>
        <v>0.17857142857142858</v>
      </c>
      <c r="AY125" s="789">
        <f t="shared" si="71"/>
        <v>59.195338917363969</v>
      </c>
      <c r="AZ125" s="763">
        <f t="shared" si="75"/>
        <v>59.213387520425016</v>
      </c>
      <c r="BA125" s="647">
        <f t="shared" si="72"/>
        <v>0.93358479747850343</v>
      </c>
      <c r="BB125" s="642">
        <v>43211</v>
      </c>
      <c r="BC125" s="11">
        <v>43211</v>
      </c>
      <c r="BD125" s="292">
        <f>[2]!FeuilCaduc*(1-Persistant)+Persistant</f>
        <v>1</v>
      </c>
      <c r="BE125" s="293">
        <f>[2]!CroissVégét</f>
        <v>0.11237216879596926</v>
      </c>
      <c r="BF125" s="842">
        <f>1+[2]!Salcycl*Ksac</f>
        <v>1.0140354621430321</v>
      </c>
      <c r="BH125" s="1105">
        <f t="shared" si="73"/>
        <v>7.3342028029182941E-3</v>
      </c>
      <c r="BI125" s="11">
        <v>44307</v>
      </c>
      <c r="BJ125" s="742">
        <v>6.7914944003333994E-4</v>
      </c>
      <c r="BK125" s="742">
        <v>2.7026119999778663E-3</v>
      </c>
      <c r="BL125" s="742">
        <v>6.1164023934683377E-3</v>
      </c>
      <c r="BM125" s="742">
        <v>1.2212232135646523E-2</v>
      </c>
      <c r="BN125" s="742">
        <v>2.1865344296995961E-2</v>
      </c>
      <c r="BO125" s="743">
        <v>3.603865699362211E-2</v>
      </c>
      <c r="BP125" s="742">
        <v>5.5775861647820231E-2</v>
      </c>
      <c r="BQ125" s="742">
        <v>8.099300288118845E-2</v>
      </c>
      <c r="BR125" s="742">
        <v>0.1116484451162727</v>
      </c>
      <c r="BS125" s="742">
        <v>0.14702825408876621</v>
      </c>
      <c r="BT125" s="742">
        <v>0.18578896454182567</v>
      </c>
      <c r="BW125" s="1187">
        <f>'2018'!R\Max</f>
        <v>0</v>
      </c>
      <c r="BX125" s="1185">
        <f>'2019'!R\Max</f>
        <v>0.34742220889947362</v>
      </c>
      <c r="BY125" s="1185">
        <f>'2020'!R\Max</f>
        <v>0.22361280970425396</v>
      </c>
      <c r="BZ125" s="1185">
        <f>'2021'!R\Max</f>
        <v>0.93358479747850343</v>
      </c>
      <c r="CA125" s="1185">
        <f>'2022'!R\Max</f>
        <v>0.19205425096914278</v>
      </c>
      <c r="CB125" s="1185">
        <f>'2023'!R\Max</f>
        <v>0.19164945788368129</v>
      </c>
      <c r="CC125" s="1185">
        <f>'2024'!R\Max</f>
        <v>0.19116784932333891</v>
      </c>
      <c r="CD125" s="1185">
        <f>'2025'!R\Max</f>
        <v>0.1929328132605331</v>
      </c>
      <c r="CE125" s="1185">
        <f>'2026'!R\Max</f>
        <v>0.19280779303740544</v>
      </c>
      <c r="CF125" s="1186">
        <f>'2027'!R\Max</f>
        <v>0.19261570956347498</v>
      </c>
    </row>
    <row r="126" spans="1:84" s="6" customFormat="1" ht="11.25" x14ac:dyDescent="0.2">
      <c r="A126" s="11">
        <v>43212</v>
      </c>
      <c r="B126" s="382">
        <f>'2023'!Maxi_hp</f>
        <v>59.287065717944621</v>
      </c>
      <c r="C126" s="85">
        <f>'2023'!An_max</f>
        <v>2021</v>
      </c>
      <c r="D126" s="1132"/>
      <c r="E126" s="709"/>
      <c r="F126" s="13">
        <f t="shared" si="74"/>
        <v>9</v>
      </c>
      <c r="G126" s="13">
        <f t="shared" si="58"/>
        <v>10</v>
      </c>
      <c r="H126" s="175">
        <f t="shared" si="59"/>
        <v>43206</v>
      </c>
      <c r="I126" s="772">
        <f t="shared" si="60"/>
        <v>0.42857142857142855</v>
      </c>
      <c r="J126" s="763">
        <f t="shared" si="61"/>
        <v>59.562017492311341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P126" s="13">
        <f t="shared" si="62"/>
        <v>5</v>
      </c>
      <c r="AQ126" s="13">
        <f t="shared" si="63"/>
        <v>6</v>
      </c>
      <c r="AR126" s="175">
        <f t="shared" si="64"/>
        <v>43192</v>
      </c>
      <c r="AS126" s="772">
        <f t="shared" si="65"/>
        <v>0.7142857142857143</v>
      </c>
      <c r="AT126" s="789">
        <f t="shared" si="66"/>
        <v>59.532173176322672</v>
      </c>
      <c r="AU126" s="13">
        <f t="shared" si="67"/>
        <v>5</v>
      </c>
      <c r="AV126" s="13">
        <f t="shared" si="68"/>
        <v>6</v>
      </c>
      <c r="AW126" s="175">
        <f t="shared" si="69"/>
        <v>43206</v>
      </c>
      <c r="AX126" s="772">
        <f t="shared" si="70"/>
        <v>0.21428571428571427</v>
      </c>
      <c r="AY126" s="789">
        <f t="shared" si="71"/>
        <v>59.473671538276335</v>
      </c>
      <c r="AZ126" s="763">
        <f t="shared" si="75"/>
        <v>59.502922357299504</v>
      </c>
      <c r="BA126" s="647">
        <f t="shared" si="72"/>
        <v>0.99538377331825245</v>
      </c>
      <c r="BB126" s="642">
        <v>43212</v>
      </c>
      <c r="BC126" s="11">
        <v>43212</v>
      </c>
      <c r="BD126" s="292">
        <f>[2]!FeuilCaduc*(1-Persistant)+Persistant</f>
        <v>1</v>
      </c>
      <c r="BE126" s="293">
        <f>[2]!CroissVégét</f>
        <v>0.11658273588973417</v>
      </c>
      <c r="BF126" s="842">
        <f>1+[2]!Salcycl*Ksac</f>
        <v>1.0148214516092939</v>
      </c>
      <c r="BH126" s="1105">
        <f t="shared" si="73"/>
        <v>6.9014841649178834E-3</v>
      </c>
      <c r="BI126" s="11">
        <v>44308</v>
      </c>
      <c r="BJ126" s="742">
        <v>6.2739949397589985E-4</v>
      </c>
      <c r="BK126" s="742">
        <v>2.5189716777940158E-3</v>
      </c>
      <c r="BL126" s="742">
        <v>5.7388486625884081E-3</v>
      </c>
      <c r="BM126" s="742">
        <v>1.1558544582721479E-2</v>
      </c>
      <c r="BN126" s="742">
        <v>2.0822942703544824E-2</v>
      </c>
      <c r="BO126" s="743">
        <v>3.4528670200658834E-2</v>
      </c>
      <c r="BP126" s="742">
        <v>5.3809320433060193E-2</v>
      </c>
      <c r="BQ126" s="742">
        <v>7.8630476280995898E-2</v>
      </c>
      <c r="BR126" s="742">
        <v>0.10896217372418697</v>
      </c>
      <c r="BS126" s="742">
        <v>0.14417950536550717</v>
      </c>
      <c r="BT126" s="742">
        <v>0.18295059134937794</v>
      </c>
      <c r="BW126" s="1187">
        <f>'2018'!R\Max</f>
        <v>0</v>
      </c>
      <c r="BX126" s="1185">
        <f>'2019'!R\Max</f>
        <v>0.58515874885262842</v>
      </c>
      <c r="BY126" s="1185">
        <f>'2020'!R\Max</f>
        <v>0.31874025797795424</v>
      </c>
      <c r="BZ126" s="1185">
        <f>'2021'!R\Max</f>
        <v>0.99538377331825245</v>
      </c>
      <c r="CA126" s="1185">
        <f>'2022'!R\Max</f>
        <v>0.57914718576996749</v>
      </c>
      <c r="CB126" s="1185">
        <f>'2023'!R\Max</f>
        <v>0.5784347107149187</v>
      </c>
      <c r="CC126" s="1185">
        <f>'2024'!R\Max</f>
        <v>0.57757990076118926</v>
      </c>
      <c r="CD126" s="1185">
        <f>'2025'!R\Max</f>
        <v>0.58067020450042584</v>
      </c>
      <c r="CE126" s="1185">
        <f>'2026'!R\Max</f>
        <v>0.58045602594469292</v>
      </c>
      <c r="CF126" s="1186">
        <f>'2027'!R\Max</f>
        <v>0.58012457299379416</v>
      </c>
    </row>
    <row r="127" spans="1:84" s="6" customFormat="1" ht="11.25" x14ac:dyDescent="0.2">
      <c r="A127" s="11">
        <v>43213</v>
      </c>
      <c r="B127" s="382">
        <f>'2023'!Maxi_hp</f>
        <v>58.481630214798564</v>
      </c>
      <c r="C127" s="85">
        <f>'2023'!An_max</f>
        <v>2021</v>
      </c>
      <c r="D127" s="1132"/>
      <c r="E127" s="709"/>
      <c r="F127" s="13">
        <f t="shared" si="74"/>
        <v>9</v>
      </c>
      <c r="G127" s="13">
        <f t="shared" si="58"/>
        <v>10</v>
      </c>
      <c r="H127" s="175">
        <f t="shared" si="59"/>
        <v>43206</v>
      </c>
      <c r="I127" s="772">
        <f t="shared" si="60"/>
        <v>0.5</v>
      </c>
      <c r="J127" s="763">
        <f t="shared" si="61"/>
        <v>59.849212500452992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P127" s="13">
        <f t="shared" si="62"/>
        <v>5</v>
      </c>
      <c r="AQ127" s="13">
        <f t="shared" si="63"/>
        <v>6</v>
      </c>
      <c r="AR127" s="175">
        <f t="shared" si="64"/>
        <v>43192</v>
      </c>
      <c r="AS127" s="772">
        <f t="shared" si="65"/>
        <v>0.75</v>
      </c>
      <c r="AT127" s="789">
        <f t="shared" si="66"/>
        <v>59.824978125840424</v>
      </c>
      <c r="AU127" s="13">
        <f t="shared" si="67"/>
        <v>5</v>
      </c>
      <c r="AV127" s="13">
        <f t="shared" si="68"/>
        <v>6</v>
      </c>
      <c r="AW127" s="175">
        <f t="shared" si="69"/>
        <v>43206</v>
      </c>
      <c r="AX127" s="772">
        <f t="shared" si="70"/>
        <v>0.25</v>
      </c>
      <c r="AY127" s="789">
        <f t="shared" si="71"/>
        <v>59.745004687830807</v>
      </c>
      <c r="AZ127" s="763">
        <f t="shared" si="75"/>
        <v>59.784991406835616</v>
      </c>
      <c r="BA127" s="647">
        <f t="shared" si="72"/>
        <v>0.97714953583317277</v>
      </c>
      <c r="BB127" s="642">
        <v>43213</v>
      </c>
      <c r="BC127" s="11">
        <v>43213</v>
      </c>
      <c r="BD127" s="292">
        <f>[2]!FeuilCaduc*(1-Persistant)+Persistant</f>
        <v>1</v>
      </c>
      <c r="BE127" s="293">
        <f>[2]!CroissVégét</f>
        <v>0.12092767389780094</v>
      </c>
      <c r="BF127" s="842">
        <f>1+[2]!Salcycl*Ksac</f>
        <v>1.0156357678426169</v>
      </c>
      <c r="BH127" s="1105">
        <f t="shared" si="73"/>
        <v>6.4755872809556872E-3</v>
      </c>
      <c r="BI127" s="11">
        <v>44309</v>
      </c>
      <c r="BJ127" s="742">
        <v>5.772248852842825E-4</v>
      </c>
      <c r="BK127" s="742">
        <v>2.3394642214216131E-3</v>
      </c>
      <c r="BL127" s="742">
        <v>5.3683851305807535E-3</v>
      </c>
      <c r="BM127" s="742">
        <v>1.0910603499441077E-2</v>
      </c>
      <c r="BN127" s="742">
        <v>1.97755566455276E-2</v>
      </c>
      <c r="BO127" s="743">
        <v>3.2998760559504618E-2</v>
      </c>
      <c r="BP127" s="742">
        <v>5.1794254842357002E-2</v>
      </c>
      <c r="BQ127" s="742">
        <v>7.6191754781724352E-2</v>
      </c>
      <c r="BR127" s="742">
        <v>0.10616247385518253</v>
      </c>
      <c r="BS127" s="742">
        <v>0.14122181299241607</v>
      </c>
      <c r="BT127" s="742">
        <v>0.18003733937151783</v>
      </c>
      <c r="BW127" s="1187">
        <f>'2018'!R\Max</f>
        <v>0</v>
      </c>
      <c r="BX127" s="1185">
        <f>'2019'!R\Max</f>
        <v>0.64280726337063054</v>
      </c>
      <c r="BY127" s="1185">
        <f>'2020'!R\Max</f>
        <v>0.16471009499253694</v>
      </c>
      <c r="BZ127" s="1185">
        <f>'2021'!R\Max</f>
        <v>0.97714953583317277</v>
      </c>
      <c r="CA127" s="1185">
        <f>'2022'!R\Max</f>
        <v>0.16646526567171799</v>
      </c>
      <c r="CB127" s="1185">
        <f>'2023'!R\Max</f>
        <v>0.16613451622416545</v>
      </c>
      <c r="CC127" s="1185">
        <f>'2024'!R\Max</f>
        <v>0.1657355459098262</v>
      </c>
      <c r="CD127" s="1185">
        <f>'2025'!R\Max</f>
        <v>0.16716500177930613</v>
      </c>
      <c r="CE127" s="1185">
        <f>'2026'!R\Max</f>
        <v>0.16706747384861542</v>
      </c>
      <c r="CF127" s="1186">
        <f>'2027'!R\Max</f>
        <v>0.16691569797038086</v>
      </c>
    </row>
    <row r="128" spans="1:84" s="6" customFormat="1" ht="11.25" x14ac:dyDescent="0.2">
      <c r="A128" s="11">
        <v>43214</v>
      </c>
      <c r="B128" s="382">
        <f>'2023'!Maxi_hp</f>
        <v>54.722101062954692</v>
      </c>
      <c r="C128" s="85">
        <f>'2023'!An_max</f>
        <v>2021</v>
      </c>
      <c r="D128" s="1132"/>
      <c r="E128" s="709"/>
      <c r="F128" s="13">
        <f t="shared" si="74"/>
        <v>9</v>
      </c>
      <c r="G128" s="13">
        <f t="shared" si="58"/>
        <v>10</v>
      </c>
      <c r="H128" s="175">
        <f t="shared" si="59"/>
        <v>43206</v>
      </c>
      <c r="I128" s="772">
        <f t="shared" si="60"/>
        <v>0.5714285714285714</v>
      </c>
      <c r="J128" s="763">
        <f t="shared" si="61"/>
        <v>60.12875801676087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P128" s="13">
        <f t="shared" si="62"/>
        <v>5</v>
      </c>
      <c r="AQ128" s="13">
        <f t="shared" si="63"/>
        <v>6</v>
      </c>
      <c r="AR128" s="175">
        <f t="shared" si="64"/>
        <v>43192</v>
      </c>
      <c r="AS128" s="772">
        <f t="shared" si="65"/>
        <v>0.7857142857142857</v>
      </c>
      <c r="AT128" s="789">
        <f t="shared" si="66"/>
        <v>60.109540086612107</v>
      </c>
      <c r="AU128" s="13">
        <f t="shared" si="67"/>
        <v>5</v>
      </c>
      <c r="AV128" s="13">
        <f t="shared" si="68"/>
        <v>6</v>
      </c>
      <c r="AW128" s="175">
        <f t="shared" si="69"/>
        <v>43206</v>
      </c>
      <c r="AX128" s="772">
        <f t="shared" si="70"/>
        <v>0.2857142857142857</v>
      </c>
      <c r="AY128" s="789">
        <f t="shared" si="71"/>
        <v>60.009380758447307</v>
      </c>
      <c r="AZ128" s="763">
        <f t="shared" si="75"/>
        <v>60.05946042252971</v>
      </c>
      <c r="BA128" s="647">
        <f t="shared" si="72"/>
        <v>0.91008201180042547</v>
      </c>
      <c r="BB128" s="642">
        <v>43214</v>
      </c>
      <c r="BC128" s="11">
        <v>43214</v>
      </c>
      <c r="BD128" s="292">
        <f>[2]!FeuilCaduc*(1-Persistant)+Persistant</f>
        <v>1</v>
      </c>
      <c r="BE128" s="293">
        <f>[2]!CroissVégét</f>
        <v>0.12540967267096395</v>
      </c>
      <c r="BF128" s="842">
        <f>1+[2]!Salcycl*Ksac</f>
        <v>1.016478465198466</v>
      </c>
      <c r="BH128" s="1105">
        <f t="shared" si="73"/>
        <v>6.0674979573735015E-3</v>
      </c>
      <c r="BI128" s="11">
        <v>44310</v>
      </c>
      <c r="BJ128" s="742">
        <v>5.3056484840641009E-4</v>
      </c>
      <c r="BK128" s="742">
        <v>2.169944216829197E-3</v>
      </c>
      <c r="BL128" s="742">
        <v>5.0152602904990099E-3</v>
      </c>
      <c r="BM128" s="742">
        <v>1.0282348079105386E-2</v>
      </c>
      <c r="BN128" s="742">
        <v>1.874321687636309E-2</v>
      </c>
      <c r="BO128" s="743">
        <v>3.1473927620748701E-2</v>
      </c>
      <c r="BP128" s="742">
        <v>4.9749901521559732E-2</v>
      </c>
      <c r="BQ128" s="742">
        <v>7.3679835623418274E-2</v>
      </c>
      <c r="BR128" s="742">
        <v>0.10323478645520474</v>
      </c>
      <c r="BS128" s="742">
        <v>0.13809245432754783</v>
      </c>
      <c r="BT128" s="742">
        <v>0.17690412906915062</v>
      </c>
      <c r="BW128" s="1187">
        <f>'2018'!R\Max</f>
        <v>0</v>
      </c>
      <c r="BX128" s="1185">
        <f>'2019'!R\Max</f>
        <v>0.8937671915213441</v>
      </c>
      <c r="BY128" s="1185">
        <f>'2020'!R\Max</f>
        <v>0.28667231736063176</v>
      </c>
      <c r="BZ128" s="1185">
        <f>'2021'!R\Max</f>
        <v>0.91008201180042547</v>
      </c>
      <c r="CA128" s="1185">
        <f>'2022'!R\Max</f>
        <v>0.71018097161199956</v>
      </c>
      <c r="CB128" s="1185">
        <f>'2023'!R\Max</f>
        <v>0.7096159901342165</v>
      </c>
      <c r="CC128" s="1185">
        <f>'2024'!R\Max</f>
        <v>0.70892754677791925</v>
      </c>
      <c r="CD128" s="1185">
        <f>'2025'!R\Max</f>
        <v>0.7113572751567987</v>
      </c>
      <c r="CE128" s="1185">
        <f>'2026'!R\Max</f>
        <v>0.7111953440205282</v>
      </c>
      <c r="CF128" s="1186">
        <f>'2027'!R\Max</f>
        <v>0.71094166408883919</v>
      </c>
    </row>
    <row r="129" spans="1:84" s="6" customFormat="1" ht="11.25" x14ac:dyDescent="0.2">
      <c r="A129" s="11">
        <v>43215</v>
      </c>
      <c r="B129" s="382">
        <f>'2023'!Maxi_hp</f>
        <v>56.337889785916616</v>
      </c>
      <c r="C129" s="85">
        <f>'2023'!An_max</f>
        <v>2020</v>
      </c>
      <c r="D129" s="1132"/>
      <c r="E129" s="709"/>
      <c r="F129" s="13">
        <f t="shared" si="74"/>
        <v>9</v>
      </c>
      <c r="G129" s="13">
        <f t="shared" si="58"/>
        <v>10</v>
      </c>
      <c r="H129" s="175">
        <f t="shared" si="59"/>
        <v>43206</v>
      </c>
      <c r="I129" s="772">
        <f t="shared" si="60"/>
        <v>0.6428571428571429</v>
      </c>
      <c r="J129" s="763">
        <f t="shared" si="61"/>
        <v>60.400314905600887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P129" s="13">
        <f t="shared" si="62"/>
        <v>5</v>
      </c>
      <c r="AQ129" s="13">
        <f t="shared" si="63"/>
        <v>6</v>
      </c>
      <c r="AR129" s="175">
        <f t="shared" si="64"/>
        <v>43192</v>
      </c>
      <c r="AS129" s="772">
        <f t="shared" si="65"/>
        <v>0.8214285714285714</v>
      </c>
      <c r="AT129" s="789">
        <f t="shared" si="66"/>
        <v>60.385548185610347</v>
      </c>
      <c r="AU129" s="13">
        <f t="shared" si="67"/>
        <v>5</v>
      </c>
      <c r="AV129" s="13">
        <f t="shared" si="68"/>
        <v>6</v>
      </c>
      <c r="AW129" s="175">
        <f t="shared" si="69"/>
        <v>43206</v>
      </c>
      <c r="AX129" s="772">
        <f t="shared" si="70"/>
        <v>0.32142857142857145</v>
      </c>
      <c r="AY129" s="789">
        <f t="shared" si="71"/>
        <v>60.266842142971505</v>
      </c>
      <c r="AZ129" s="763">
        <f t="shared" si="75"/>
        <v>60.326195164290922</v>
      </c>
      <c r="BA129" s="647">
        <f t="shared" si="72"/>
        <v>0.93274165662822461</v>
      </c>
      <c r="BB129" s="642">
        <v>43215</v>
      </c>
      <c r="BC129" s="11">
        <v>43215</v>
      </c>
      <c r="BD129" s="292">
        <f>[2]!FeuilCaduc*(1-Persistant)+Persistant</f>
        <v>1</v>
      </c>
      <c r="BE129" s="293">
        <f>[2]!CroissVégét</f>
        <v>0.13003135568089563</v>
      </c>
      <c r="BF129" s="842">
        <f>1+[2]!Salcycl*Ksac</f>
        <v>1.0173495511197956</v>
      </c>
      <c r="BH129" s="1105">
        <f t="shared" si="73"/>
        <v>5.6746655382227899E-3</v>
      </c>
      <c r="BI129" s="11">
        <v>44311</v>
      </c>
      <c r="BJ129" s="742">
        <v>4.8734231886404848E-4</v>
      </c>
      <c r="BK129" s="742">
        <v>2.0093614567742862E-3</v>
      </c>
      <c r="BL129" s="742">
        <v>4.6769585270351076E-3</v>
      </c>
      <c r="BM129" s="742">
        <v>9.6710873067458736E-3</v>
      </c>
      <c r="BN129" s="742">
        <v>1.7730837078322622E-2</v>
      </c>
      <c r="BO129" s="743">
        <v>2.9969694680756137E-2</v>
      </c>
      <c r="BP129" s="742">
        <v>4.7702976815675896E-2</v>
      </c>
      <c r="BQ129" s="742">
        <v>7.1137122962497815E-2</v>
      </c>
      <c r="BR129" s="742">
        <v>0.10023074342900244</v>
      </c>
      <c r="BS129" s="742">
        <v>0.13482266003386889</v>
      </c>
      <c r="BT129" s="742">
        <v>0.17352416059101514</v>
      </c>
      <c r="BW129" s="1187">
        <f>'2018'!R\Max</f>
        <v>0</v>
      </c>
      <c r="BX129" s="1185">
        <f>'2019'!R\Max</f>
        <v>0.61290071457171802</v>
      </c>
      <c r="BY129" s="1185">
        <f>'2020'!R\Max</f>
        <v>0.93274165662822461</v>
      </c>
      <c r="BZ129" s="1185">
        <f>'2021'!R\Max</f>
        <v>0.47882590488789584</v>
      </c>
      <c r="CA129" s="1185">
        <f>'2022'!R\Max</f>
        <v>0.88309996081251008</v>
      </c>
      <c r="CB129" s="1185">
        <f>'2023'!R\Max</f>
        <v>0.88282614965748107</v>
      </c>
      <c r="CC129" s="1185">
        <f>'2024'!R\Max</f>
        <v>0.88248946191262279</v>
      </c>
      <c r="CD129" s="1185">
        <f>'2025'!R\Max</f>
        <v>0.88366252958893343</v>
      </c>
      <c r="CE129" s="1185">
        <f>'2026'!R\Max</f>
        <v>0.88358599318366304</v>
      </c>
      <c r="CF129" s="1186">
        <f>'2027'!R\Max</f>
        <v>0.88346530587350547</v>
      </c>
    </row>
    <row r="130" spans="1:84" s="6" customFormat="1" ht="11.25" x14ac:dyDescent="0.2">
      <c r="A130" s="11">
        <v>43216</v>
      </c>
      <c r="B130" s="382">
        <f>'2023'!Maxi_hp</f>
        <v>59.191543258844384</v>
      </c>
      <c r="C130" s="85">
        <f>'2023'!An_max</f>
        <v>2022</v>
      </c>
      <c r="D130" s="1132"/>
      <c r="E130" s="709"/>
      <c r="F130" s="13">
        <f t="shared" si="74"/>
        <v>9</v>
      </c>
      <c r="G130" s="13">
        <f t="shared" si="58"/>
        <v>10</v>
      </c>
      <c r="H130" s="175">
        <f t="shared" si="59"/>
        <v>43206</v>
      </c>
      <c r="I130" s="772">
        <f t="shared" si="60"/>
        <v>0.7142857142857143</v>
      </c>
      <c r="J130" s="763">
        <f t="shared" si="61"/>
        <v>60.663544022824091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P130" s="13">
        <f t="shared" si="62"/>
        <v>5</v>
      </c>
      <c r="AQ130" s="13">
        <f t="shared" si="63"/>
        <v>6</v>
      </c>
      <c r="AR130" s="175">
        <f t="shared" si="64"/>
        <v>43192</v>
      </c>
      <c r="AS130" s="772">
        <f t="shared" si="65"/>
        <v>0.8571428571428571</v>
      </c>
      <c r="AT130" s="789">
        <f t="shared" si="66"/>
        <v>60.652691545443886</v>
      </c>
      <c r="AU130" s="13">
        <f t="shared" si="67"/>
        <v>5</v>
      </c>
      <c r="AV130" s="13">
        <f t="shared" si="68"/>
        <v>6</v>
      </c>
      <c r="AW130" s="175">
        <f t="shared" si="69"/>
        <v>43206</v>
      </c>
      <c r="AX130" s="772">
        <f t="shared" si="70"/>
        <v>0.35714285714285715</v>
      </c>
      <c r="AY130" s="789">
        <f t="shared" si="71"/>
        <v>60.517431232705711</v>
      </c>
      <c r="AZ130" s="763">
        <f t="shared" si="75"/>
        <v>60.585061389074795</v>
      </c>
      <c r="BA130" s="647">
        <f t="shared" si="72"/>
        <v>0.97573500217155329</v>
      </c>
      <c r="BB130" s="642">
        <v>43216</v>
      </c>
      <c r="BC130" s="11">
        <v>43216</v>
      </c>
      <c r="BD130" s="292">
        <f>[2]!FeuilCaduc*(1-Persistant)+Persistant</f>
        <v>1</v>
      </c>
      <c r="BE130" s="293">
        <f>[2]!CroissVégét</f>
        <v>0.13479526923661356</v>
      </c>
      <c r="BF130" s="842">
        <f>1+[2]!Salcycl*Ksac</f>
        <v>1.018248984331571</v>
      </c>
      <c r="BH130" s="1105">
        <f t="shared" si="73"/>
        <v>5.2970849370363319E-3</v>
      </c>
      <c r="BI130" s="11">
        <v>44312</v>
      </c>
      <c r="BJ130" s="742">
        <v>4.4755563970325899E-4</v>
      </c>
      <c r="BK130" s="742">
        <v>1.857712199700097E-3</v>
      </c>
      <c r="BL130" s="742">
        <v>4.3534744268792667E-3</v>
      </c>
      <c r="BM130" s="742">
        <v>9.0768174050980168E-3</v>
      </c>
      <c r="BN130" s="742">
        <v>1.6738415860969417E-2</v>
      </c>
      <c r="BO130" s="743">
        <v>2.848606466725365E-2</v>
      </c>
      <c r="BP130" s="742">
        <v>4.5653502780493231E-2</v>
      </c>
      <c r="BQ130" s="742">
        <v>6.856365922561293E-2</v>
      </c>
      <c r="BR130" s="742">
        <v>9.7150416898164352E-2</v>
      </c>
      <c r="BS130" s="742">
        <v>0.13141253959231752</v>
      </c>
      <c r="BT130" s="742">
        <v>0.16989760458050818</v>
      </c>
      <c r="BW130" s="1187">
        <f>'2018'!R\Max</f>
        <v>0</v>
      </c>
      <c r="BX130" s="1185">
        <f>'2019'!R\Max</f>
        <v>0.58165233660824933</v>
      </c>
      <c r="BY130" s="1185">
        <f>'2020'!R\Max</f>
        <v>0.71580482681521918</v>
      </c>
      <c r="BZ130" s="1185">
        <f>'2021'!R\Max</f>
        <v>0.11006164368450116</v>
      </c>
      <c r="CA130" s="1185">
        <f>'2022'!R\Max</f>
        <v>0.97573500217155329</v>
      </c>
      <c r="CB130" s="1185">
        <f>'2023'!R\Max</f>
        <v>0.97567446809042235</v>
      </c>
      <c r="CC130" s="1185">
        <f>'2024'!R\Max</f>
        <v>0.97559934972386608</v>
      </c>
      <c r="CD130" s="1185">
        <f>'2025'!R\Max</f>
        <v>0.9758578926410636</v>
      </c>
      <c r="CE130" s="1185">
        <f>'2026'!R\Max</f>
        <v>0.97584137523025272</v>
      </c>
      <c r="CF130" s="1186">
        <f>'2027'!R\Max</f>
        <v>0.9758151503285053</v>
      </c>
    </row>
    <row r="131" spans="1:84" s="6" customFormat="1" ht="11.25" x14ac:dyDescent="0.2">
      <c r="A131" s="11">
        <v>43217</v>
      </c>
      <c r="B131" s="382">
        <f>'2023'!Maxi_hp</f>
        <v>42.170302647803133</v>
      </c>
      <c r="C131" s="85">
        <f>'2023'!An_max</f>
        <v>2022</v>
      </c>
      <c r="D131" s="1132"/>
      <c r="E131" s="709"/>
      <c r="F131" s="13">
        <f t="shared" si="74"/>
        <v>9</v>
      </c>
      <c r="G131" s="13">
        <f t="shared" si="58"/>
        <v>10</v>
      </c>
      <c r="H131" s="175">
        <f t="shared" si="59"/>
        <v>43206</v>
      </c>
      <c r="I131" s="772">
        <f t="shared" si="60"/>
        <v>0.7857142857142857</v>
      </c>
      <c r="J131" s="763">
        <f t="shared" si="61"/>
        <v>60.918106231465934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P131" s="13">
        <f t="shared" si="62"/>
        <v>5</v>
      </c>
      <c r="AQ131" s="13">
        <f t="shared" si="63"/>
        <v>6</v>
      </c>
      <c r="AR131" s="175">
        <f t="shared" si="64"/>
        <v>43192</v>
      </c>
      <c r="AS131" s="772">
        <f t="shared" si="65"/>
        <v>0.8928571428571429</v>
      </c>
      <c r="AT131" s="789">
        <f t="shared" si="66"/>
        <v>60.910659283399582</v>
      </c>
      <c r="AU131" s="13">
        <f t="shared" si="67"/>
        <v>5</v>
      </c>
      <c r="AV131" s="13">
        <f t="shared" si="68"/>
        <v>6</v>
      </c>
      <c r="AW131" s="175">
        <f t="shared" si="69"/>
        <v>43206</v>
      </c>
      <c r="AX131" s="772">
        <f t="shared" si="70"/>
        <v>0.39285714285714285</v>
      </c>
      <c r="AY131" s="789">
        <f t="shared" si="71"/>
        <v>60.761190420016646</v>
      </c>
      <c r="AZ131" s="763">
        <f t="shared" si="75"/>
        <v>60.835924851708114</v>
      </c>
      <c r="BA131" s="647">
        <f t="shared" si="72"/>
        <v>0.69224579121963858</v>
      </c>
      <c r="BB131" s="642">
        <v>43217</v>
      </c>
      <c r="BC131" s="11">
        <v>43217</v>
      </c>
      <c r="BD131" s="292">
        <f>[2]!FeuilCaduc*(1-Persistant)+Persistant</f>
        <v>1</v>
      </c>
      <c r="BE131" s="293">
        <f>[2]!CroissVégét</f>
        <v>0.13970387121088346</v>
      </c>
      <c r="BF131" s="842">
        <f>1+[2]!Salcycl*Ksac</f>
        <v>1.0191766730227187</v>
      </c>
      <c r="BH131" s="1105">
        <f t="shared" si="73"/>
        <v>4.9347509380461702E-3</v>
      </c>
      <c r="BI131" s="11">
        <v>44313</v>
      </c>
      <c r="BJ131" s="742">
        <v>4.112030849169416E-4</v>
      </c>
      <c r="BK131" s="742">
        <v>1.7149925670481283E-3</v>
      </c>
      <c r="BL131" s="742">
        <v>4.0448024129016305E-3</v>
      </c>
      <c r="BM131" s="742">
        <v>8.4995346058674686E-3</v>
      </c>
      <c r="BN131" s="742">
        <v>1.5765952103551435E-2</v>
      </c>
      <c r="BO131" s="743">
        <v>2.7023041189997345E-2</v>
      </c>
      <c r="BP131" s="742">
        <v>4.3601503352288219E-2</v>
      </c>
      <c r="BQ131" s="742">
        <v>6.5959490032326887E-2</v>
      </c>
      <c r="BR131" s="742">
        <v>9.3993883998061675E-2</v>
      </c>
      <c r="BS131" s="742">
        <v>0.12786220972072138</v>
      </c>
      <c r="BT131" s="742">
        <v>0.16602464231944397</v>
      </c>
      <c r="BW131" s="1187">
        <f>'2018'!R\Max</f>
        <v>0</v>
      </c>
      <c r="BX131" s="1185">
        <f>'2019'!R\Max</f>
        <v>0.5561975568020403</v>
      </c>
      <c r="BY131" s="1185">
        <f>'2020'!R\Max</f>
        <v>0.45146825517860167</v>
      </c>
      <c r="BZ131" s="1185">
        <f>'2021'!R\Max</f>
        <v>0.34948180755576452</v>
      </c>
      <c r="CA131" s="1185">
        <f>'2022'!R\Max</f>
        <v>0.69224579121963858</v>
      </c>
      <c r="CB131" s="1185">
        <f>'2023'!R\Max</f>
        <v>0.69172243627993624</v>
      </c>
      <c r="CC131" s="1185">
        <f>'2024'!R\Max</f>
        <v>0.69106797370770523</v>
      </c>
      <c r="CD131" s="1185">
        <f>'2025'!R\Max</f>
        <v>0.69329917810036845</v>
      </c>
      <c r="CE131" s="1185">
        <f>'2026'!R\Max</f>
        <v>0.69315919488373479</v>
      </c>
      <c r="CF131" s="1186">
        <f>'2027'!R\Max</f>
        <v>0.69293543069587182</v>
      </c>
    </row>
    <row r="132" spans="1:84" s="6" customFormat="1" ht="11.25" x14ac:dyDescent="0.2">
      <c r="A132" s="11">
        <v>43218</v>
      </c>
      <c r="B132" s="382">
        <f>'2023'!Maxi_hp</f>
        <v>48.071799484183821</v>
      </c>
      <c r="C132" s="85">
        <f>'2023'!An_max</f>
        <v>2019</v>
      </c>
      <c r="D132" s="1132"/>
      <c r="E132" s="709"/>
      <c r="F132" s="13">
        <f t="shared" si="74"/>
        <v>9</v>
      </c>
      <c r="G132" s="13">
        <f t="shared" si="58"/>
        <v>10</v>
      </c>
      <c r="H132" s="175">
        <f t="shared" si="59"/>
        <v>43206</v>
      </c>
      <c r="I132" s="772">
        <f t="shared" si="60"/>
        <v>0.8571428571428571</v>
      </c>
      <c r="J132" s="763">
        <f t="shared" si="61"/>
        <v>61.163662389559406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P132" s="13">
        <f t="shared" si="62"/>
        <v>5</v>
      </c>
      <c r="AQ132" s="13">
        <f t="shared" si="63"/>
        <v>6</v>
      </c>
      <c r="AR132" s="175">
        <f t="shared" si="64"/>
        <v>43192</v>
      </c>
      <c r="AS132" s="772">
        <f t="shared" si="65"/>
        <v>0.9285714285714286</v>
      </c>
      <c r="AT132" s="789">
        <f t="shared" si="66"/>
        <v>61.159140523842403</v>
      </c>
      <c r="AU132" s="13">
        <f t="shared" si="67"/>
        <v>5</v>
      </c>
      <c r="AV132" s="13">
        <f t="shared" si="68"/>
        <v>6</v>
      </c>
      <c r="AW132" s="175">
        <f t="shared" si="69"/>
        <v>43206</v>
      </c>
      <c r="AX132" s="772">
        <f t="shared" si="70"/>
        <v>0.42857142857142855</v>
      </c>
      <c r="AY132" s="789">
        <f t="shared" si="71"/>
        <v>60.998162098867553</v>
      </c>
      <c r="AZ132" s="763">
        <f t="shared" si="75"/>
        <v>61.078651311354974</v>
      </c>
      <c r="BA132" s="647">
        <f t="shared" si="72"/>
        <v>0.78595358103326463</v>
      </c>
      <c r="BB132" s="642">
        <v>43218</v>
      </c>
      <c r="BC132" s="11">
        <v>43218</v>
      </c>
      <c r="BD132" s="292">
        <f>[2]!FeuilCaduc*(1-Persistant)+Persistant</f>
        <v>1</v>
      </c>
      <c r="BE132" s="293">
        <f>[2]!CroissVégét</f>
        <v>0.14475951929663808</v>
      </c>
      <c r="BF132" s="842">
        <f>1+[2]!Salcycl*Ksac</f>
        <v>1.0201324730296519</v>
      </c>
      <c r="BH132" s="1105">
        <f t="shared" si="73"/>
        <v>4.5876581631714344E-3</v>
      </c>
      <c r="BI132" s="11">
        <v>44314</v>
      </c>
      <c r="BJ132" s="742">
        <v>3.782828519683442E-4</v>
      </c>
      <c r="BK132" s="742">
        <v>1.5811985238613066E-3</v>
      </c>
      <c r="BL132" s="742">
        <v>3.7509367120421365E-3</v>
      </c>
      <c r="BM132" s="742">
        <v>7.9392351131046032E-3</v>
      </c>
      <c r="BN132" s="742">
        <v>1.4813444912231627E-2</v>
      </c>
      <c r="BO132" s="743">
        <v>2.5580628497009639E-2</v>
      </c>
      <c r="BP132" s="742">
        <v>4.1547004355147014E-2</v>
      </c>
      <c r="BQ132" s="742">
        <v>6.3324664264498606E-2</v>
      </c>
      <c r="BR132" s="742">
        <v>9.0761227047144399E-2</v>
      </c>
      <c r="BS132" s="742">
        <v>0.12417179468328858</v>
      </c>
      <c r="BT132" s="742">
        <v>0.16190546626992339</v>
      </c>
      <c r="BW132" s="1187">
        <f>'2018'!R\Max</f>
        <v>0</v>
      </c>
      <c r="BX132" s="1185">
        <f>'2019'!R\Max</f>
        <v>0.78595358103326463</v>
      </c>
      <c r="BY132" s="1185">
        <f>'2020'!R\Max</f>
        <v>0.37477481439401111</v>
      </c>
      <c r="BZ132" s="1185">
        <f>'2021'!R\Max</f>
        <v>0.26757934619777107</v>
      </c>
      <c r="CA132" s="1185">
        <f>'2022'!R\Max</f>
        <v>0.42191394099304635</v>
      </c>
      <c r="CB132" s="1185">
        <f>'2023'!R\Max</f>
        <v>0.42133965827386771</v>
      </c>
      <c r="CC132" s="1185">
        <f>'2024'!R\Max</f>
        <v>0.4206152699540186</v>
      </c>
      <c r="CD132" s="1185">
        <f>'2025'!R\Max</f>
        <v>0.42306030315447202</v>
      </c>
      <c r="CE132" s="1185">
        <f>'2026'!R\Max</f>
        <v>0.42290986348705878</v>
      </c>
      <c r="CF132" s="1186">
        <f>'2027'!R\Max</f>
        <v>0.42266756931387228</v>
      </c>
    </row>
    <row r="133" spans="1:84" s="6" customFormat="1" ht="11.25" x14ac:dyDescent="0.2">
      <c r="A133" s="11">
        <v>43219</v>
      </c>
      <c r="B133" s="382">
        <f>'2023'!Maxi_hp</f>
        <v>54.803359565450826</v>
      </c>
      <c r="C133" s="85">
        <f>'2023'!An_max</f>
        <v>2019</v>
      </c>
      <c r="D133" s="1132"/>
      <c r="E133" s="709"/>
      <c r="F133" s="13">
        <f t="shared" si="74"/>
        <v>9</v>
      </c>
      <c r="G133" s="13">
        <f t="shared" si="58"/>
        <v>10</v>
      </c>
      <c r="H133" s="175">
        <f t="shared" si="59"/>
        <v>43206</v>
      </c>
      <c r="I133" s="772">
        <f t="shared" si="60"/>
        <v>0.9285714285714286</v>
      </c>
      <c r="J133" s="763">
        <f t="shared" si="61"/>
        <v>61.399873359394931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P133" s="13">
        <f t="shared" si="62"/>
        <v>5</v>
      </c>
      <c r="AQ133" s="13">
        <f t="shared" si="63"/>
        <v>6</v>
      </c>
      <c r="AR133" s="175">
        <f t="shared" si="64"/>
        <v>43192</v>
      </c>
      <c r="AS133" s="772">
        <f t="shared" si="65"/>
        <v>0.9642857142857143</v>
      </c>
      <c r="AT133" s="789">
        <f t="shared" si="66"/>
        <v>61.397824387385377</v>
      </c>
      <c r="AU133" s="13">
        <f t="shared" si="67"/>
        <v>5</v>
      </c>
      <c r="AV133" s="13">
        <f t="shared" si="68"/>
        <v>6</v>
      </c>
      <c r="AW133" s="175">
        <f t="shared" si="69"/>
        <v>43206</v>
      </c>
      <c r="AX133" s="772">
        <f t="shared" si="70"/>
        <v>0.4642857142857143</v>
      </c>
      <c r="AY133" s="789">
        <f t="shared" si="71"/>
        <v>61.228388662077485</v>
      </c>
      <c r="AZ133" s="763">
        <f t="shared" si="75"/>
        <v>61.313106524731431</v>
      </c>
      <c r="BA133" s="647">
        <f t="shared" si="72"/>
        <v>0.89256470033199575</v>
      </c>
      <c r="BB133" s="642">
        <v>43219</v>
      </c>
      <c r="BC133" s="11">
        <v>43219</v>
      </c>
      <c r="BD133" s="292">
        <f>[2]!FeuilCaduc*(1-Persistant)+Persistant</f>
        <v>1</v>
      </c>
      <c r="BE133" s="293">
        <f>[2]!CroissVégét</f>
        <v>0.14996445881890225</v>
      </c>
      <c r="BF133" s="842">
        <f>1+[2]!Salcycl*Ksac</f>
        <v>1.0211161860372988</v>
      </c>
      <c r="BH133" s="1105">
        <f t="shared" si="73"/>
        <v>4.2558010389473922E-3</v>
      </c>
      <c r="BI133" s="11">
        <v>44315</v>
      </c>
      <c r="BJ133" s="742">
        <v>3.4879305430950228E-4</v>
      </c>
      <c r="BK133" s="742">
        <v>1.4563258593662609E-3</v>
      </c>
      <c r="BL133" s="742">
        <v>3.4718713231519129E-3</v>
      </c>
      <c r="BM133" s="742">
        <v>7.3959150664790925E-3</v>
      </c>
      <c r="BN133" s="742">
        <v>1.3880893577135288E-2</v>
      </c>
      <c r="BO133" s="743">
        <v>2.4158831430507569E-2</v>
      </c>
      <c r="BP133" s="742">
        <v>3.9490033507796458E-2</v>
      </c>
      <c r="BQ133" s="742">
        <v>6.0659234134935867E-2</v>
      </c>
      <c r="BR133" s="742">
        <v>8.7452533715211903E-2</v>
      </c>
      <c r="BS133" s="742">
        <v>0.12034142659872121</v>
      </c>
      <c r="BT133" s="742">
        <v>0.15754028061443254</v>
      </c>
      <c r="BW133" s="1187">
        <f>'2018'!R\Max</f>
        <v>0</v>
      </c>
      <c r="BX133" s="1185">
        <f>'2019'!R\Max</f>
        <v>0.89256470033199575</v>
      </c>
      <c r="BY133" s="1185">
        <f>'2020'!R\Max</f>
        <v>0.58772658993205429</v>
      </c>
      <c r="BZ133" s="1185">
        <f>'2021'!R\Max</f>
        <v>0.42391481373463169</v>
      </c>
      <c r="CA133" s="1185">
        <f>'2022'!R\Max</f>
        <v>0.79121829453174564</v>
      </c>
      <c r="CB133" s="1185">
        <f>'2023'!R\Max</f>
        <v>0.79084598308441245</v>
      </c>
      <c r="CC133" s="1185">
        <f>'2024'!R\Max</f>
        <v>0.79037024392835009</v>
      </c>
      <c r="CD133" s="1185">
        <f>'2025'!R\Max</f>
        <v>0.79195253494326634</v>
      </c>
      <c r="CE133" s="1185">
        <f>'2026'!R\Max</f>
        <v>0.79185773604437093</v>
      </c>
      <c r="CF133" s="1186">
        <f>'2027'!R\Max</f>
        <v>0.791703626458793</v>
      </c>
    </row>
    <row r="134" spans="1:84" s="6" customFormat="1" ht="11.25" x14ac:dyDescent="0.2">
      <c r="A134" s="11">
        <v>43220</v>
      </c>
      <c r="B134" s="382">
        <f>'2023'!Maxi_hp</f>
        <v>60.871126204254288</v>
      </c>
      <c r="C134" s="85">
        <f>'2023'!An_max</f>
        <v>2019</v>
      </c>
      <c r="D134" s="1132"/>
      <c r="E134" s="771">
        <f>V$13/10</f>
        <v>61.626400000000004</v>
      </c>
      <c r="F134" s="13">
        <f t="shared" si="74"/>
        <v>11</v>
      </c>
      <c r="G134" s="13">
        <f t="shared" si="58"/>
        <v>10</v>
      </c>
      <c r="H134" s="175">
        <f t="shared" si="59"/>
        <v>43234</v>
      </c>
      <c r="I134" s="772">
        <f t="shared" si="60"/>
        <v>1</v>
      </c>
      <c r="J134" s="763">
        <f t="shared" si="61"/>
        <v>61.626399998366836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P134" s="13">
        <f t="shared" si="62"/>
        <v>7</v>
      </c>
      <c r="AQ134" s="13">
        <f t="shared" si="63"/>
        <v>6</v>
      </c>
      <c r="AR134" s="175">
        <f t="shared" si="64"/>
        <v>43248</v>
      </c>
      <c r="AS134" s="772">
        <f t="shared" si="65"/>
        <v>1</v>
      </c>
      <c r="AT134" s="789">
        <f t="shared" si="66"/>
        <v>61.62639999985695</v>
      </c>
      <c r="AU134" s="13">
        <f t="shared" si="67"/>
        <v>5</v>
      </c>
      <c r="AV134" s="13">
        <f t="shared" si="68"/>
        <v>6</v>
      </c>
      <c r="AW134" s="175">
        <f t="shared" si="69"/>
        <v>43206</v>
      </c>
      <c r="AX134" s="772">
        <f t="shared" si="70"/>
        <v>0.5</v>
      </c>
      <c r="AY134" s="789">
        <f t="shared" si="71"/>
        <v>61.451912500336768</v>
      </c>
      <c r="AZ134" s="763">
        <f t="shared" si="75"/>
        <v>61.539156250096859</v>
      </c>
      <c r="BA134" s="647">
        <f t="shared" si="72"/>
        <v>0.98774431422032505</v>
      </c>
      <c r="BB134" s="642">
        <v>43220</v>
      </c>
      <c r="BC134" s="11">
        <v>43220</v>
      </c>
      <c r="BD134" s="292">
        <f>[2]!FeuilCaduc*(1-Persistant)+Persistant</f>
        <v>1</v>
      </c>
      <c r="BE134" s="293">
        <f>[2]!CroissVégét</f>
        <v>0.1553208101334605</v>
      </c>
      <c r="BF134" s="842">
        <f>1+[2]!Salcycl*Ksac</f>
        <v>1.0221275578152307</v>
      </c>
      <c r="BH134" s="1105">
        <f t="shared" si="73"/>
        <v>3.9391737634716997E-3</v>
      </c>
      <c r="BI134" s="11">
        <v>44316</v>
      </c>
      <c r="BJ134" s="742">
        <v>3.227317139011721E-4</v>
      </c>
      <c r="BK134" s="742">
        <v>1.3403701675617373E-3</v>
      </c>
      <c r="BL134" s="742">
        <v>3.2075999848488728E-3</v>
      </c>
      <c r="BM134" s="742">
        <v>6.8695705045836728E-3</v>
      </c>
      <c r="BN134" s="742">
        <v>1.296829752945057E-2</v>
      </c>
      <c r="BO134" s="743">
        <v>2.2757655382920624E-2</v>
      </c>
      <c r="BP134" s="742">
        <v>3.7430620430576607E-2</v>
      </c>
      <c r="BQ134" s="742">
        <v>5.7963255256258284E-2</v>
      </c>
      <c r="BR134" s="742">
        <v>8.4067897191978089E-2</v>
      </c>
      <c r="BS134" s="742">
        <v>0.11637124574872303</v>
      </c>
      <c r="BT134" s="742">
        <v>0.15292930179644684</v>
      </c>
      <c r="BW134" s="1187">
        <f>'2018'!R\Max</f>
        <v>0</v>
      </c>
      <c r="BX134" s="1185">
        <f>'2019'!R\Max</f>
        <v>0.98774431422032505</v>
      </c>
      <c r="BY134" s="1185">
        <f>'2020'!R\Max</f>
        <v>0.87781453313151514</v>
      </c>
      <c r="BZ134" s="1185">
        <f>'2021'!R\Max</f>
        <v>0.29823676443355063</v>
      </c>
      <c r="CA134" s="1185">
        <f>'2022'!R\Max</f>
        <v>0.82352499280157521</v>
      </c>
      <c r="CB134" s="1185">
        <f>'2023'!R\Max</f>
        <v>0.82321268366386602</v>
      </c>
      <c r="CC134" s="1185">
        <f>'2024'!R\Max</f>
        <v>0.82280873220237805</v>
      </c>
      <c r="CD134" s="1185">
        <f>'2025'!R\Max</f>
        <v>0.824135360491698</v>
      </c>
      <c r="CE134" s="1185">
        <f>'2026'!R\Max</f>
        <v>0.8240578252566767</v>
      </c>
      <c r="CF134" s="1186">
        <f>'2027'!R\Max</f>
        <v>0.82393055408860638</v>
      </c>
    </row>
    <row r="135" spans="1:84" s="6" customFormat="1" ht="11.25" x14ac:dyDescent="0.2">
      <c r="A135" s="11">
        <v>43221</v>
      </c>
      <c r="B135" s="382">
        <f>'2023'!Maxi_hp</f>
        <v>56.86994403885685</v>
      </c>
      <c r="C135" s="85">
        <f>'2023'!An_max</f>
        <v>2019</v>
      </c>
      <c r="D135" s="1132"/>
      <c r="E135" s="709"/>
      <c r="F135" s="13">
        <f t="shared" si="74"/>
        <v>11</v>
      </c>
      <c r="G135" s="13">
        <f t="shared" si="58"/>
        <v>10</v>
      </c>
      <c r="H135" s="175">
        <f t="shared" si="59"/>
        <v>43234</v>
      </c>
      <c r="I135" s="772">
        <f t="shared" si="60"/>
        <v>0.9285714285714286</v>
      </c>
      <c r="J135" s="763">
        <f t="shared" si="61"/>
        <v>61.842771281727721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P135" s="13">
        <f t="shared" si="62"/>
        <v>7</v>
      </c>
      <c r="AQ135" s="13">
        <f t="shared" si="63"/>
        <v>6</v>
      </c>
      <c r="AR135" s="175">
        <f t="shared" si="64"/>
        <v>43248</v>
      </c>
      <c r="AS135" s="772">
        <f t="shared" si="65"/>
        <v>0.9642857142857143</v>
      </c>
      <c r="AT135" s="789">
        <f t="shared" si="66"/>
        <v>61.844787280926745</v>
      </c>
      <c r="AU135" s="13">
        <f t="shared" si="67"/>
        <v>5</v>
      </c>
      <c r="AV135" s="13">
        <f t="shared" si="68"/>
        <v>6</v>
      </c>
      <c r="AW135" s="175">
        <f t="shared" si="69"/>
        <v>43206</v>
      </c>
      <c r="AX135" s="772">
        <f t="shared" si="70"/>
        <v>0.5357142857142857</v>
      </c>
      <c r="AY135" s="789">
        <f t="shared" si="71"/>
        <v>61.66877600750221</v>
      </c>
      <c r="AZ135" s="763">
        <f t="shared" si="75"/>
        <v>61.756781644214477</v>
      </c>
      <c r="BA135" s="647">
        <f t="shared" si="72"/>
        <v>0.91958919143165629</v>
      </c>
      <c r="BB135" s="642">
        <v>43221</v>
      </c>
      <c r="BC135" s="11">
        <v>43221</v>
      </c>
      <c r="BD135" s="292">
        <f>[2]!FeuilCaduc*(1-Persistant)+Persistant</f>
        <v>1</v>
      </c>
      <c r="BE135" s="293">
        <f>[2]!CroissVégét</f>
        <v>0.16083055564958049</v>
      </c>
      <c r="BF135" s="842">
        <f>1+[2]!Salcycl*Ksac</f>
        <v>1.0231662765079774</v>
      </c>
      <c r="BH135" s="1105">
        <f t="shared" si="73"/>
        <v>3.6377702733446926E-3</v>
      </c>
      <c r="BI135" s="11">
        <v>44317</v>
      </c>
      <c r="BJ135" s="742">
        <v>3.0009675373226429E-4</v>
      </c>
      <c r="BK135" s="742">
        <v>1.2333268278049724E-3</v>
      </c>
      <c r="BL135" s="742">
        <v>2.9581161433684627E-3</v>
      </c>
      <c r="BM135" s="742">
        <v>6.3601973282275135E-3</v>
      </c>
      <c r="BN135" s="742">
        <v>1.2075656298509485E-2</v>
      </c>
      <c r="BO135" s="743">
        <v>2.1377106252873836E-2</v>
      </c>
      <c r="BP135" s="742">
        <v>3.5368796652356184E-2</v>
      </c>
      <c r="BQ135" s="742">
        <v>5.5236786709671228E-2</v>
      </c>
      <c r="BR135" s="742">
        <v>8.0607416355506362E-2</v>
      </c>
      <c r="BS135" s="742">
        <v>0.11226140088632651</v>
      </c>
      <c r="BT135" s="742">
        <v>0.14807275906079748</v>
      </c>
      <c r="BW135" s="1187">
        <f>'2018'!R\Max</f>
        <v>0</v>
      </c>
      <c r="BX135" s="1185">
        <f>'2019'!R\Max</f>
        <v>0.91958919143165629</v>
      </c>
      <c r="BY135" s="1185">
        <f>'2020'!R\Max</f>
        <v>0.75303855408111253</v>
      </c>
      <c r="BZ135" s="1185">
        <f>'2021'!R\Max</f>
        <v>0.35380166111611328</v>
      </c>
      <c r="CA135" s="1185">
        <f>'2022'!R\Max</f>
        <v>0.80952428878332505</v>
      </c>
      <c r="CB135" s="1185">
        <f>'2023'!R\Max</f>
        <v>0.80920948137280302</v>
      </c>
      <c r="CC135" s="1185">
        <f>'2024'!R\Max</f>
        <v>0.8087969102976672</v>
      </c>
      <c r="CD135" s="1185">
        <f>'2025'!R\Max</f>
        <v>0.81013464315057904</v>
      </c>
      <c r="CE135" s="1185">
        <f>'2026'!R\Max</f>
        <v>0.81005846676720583</v>
      </c>
      <c r="CF135" s="1186">
        <f>'2027'!R\Max</f>
        <v>0.80993208073132361</v>
      </c>
    </row>
    <row r="136" spans="1:84" s="6" customFormat="1" ht="11.25" x14ac:dyDescent="0.2">
      <c r="A136" s="11">
        <v>43222</v>
      </c>
      <c r="B136" s="382">
        <f>'2023'!Maxi_hp</f>
        <v>39.790318251802034</v>
      </c>
      <c r="C136" s="85">
        <f>'2023'!An_max</f>
        <v>2021</v>
      </c>
      <c r="D136" s="1132"/>
      <c r="E136" s="709"/>
      <c r="F136" s="13">
        <f t="shared" si="74"/>
        <v>11</v>
      </c>
      <c r="G136" s="13">
        <f t="shared" si="58"/>
        <v>10</v>
      </c>
      <c r="H136" s="175">
        <f t="shared" si="59"/>
        <v>43234</v>
      </c>
      <c r="I136" s="772">
        <f t="shared" si="60"/>
        <v>0.8571428571428571</v>
      </c>
      <c r="J136" s="763">
        <f t="shared" si="61"/>
        <v>62.049043732349368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P136" s="13">
        <f t="shared" si="62"/>
        <v>7</v>
      </c>
      <c r="AQ136" s="13">
        <f t="shared" si="63"/>
        <v>6</v>
      </c>
      <c r="AR136" s="175">
        <f t="shared" si="64"/>
        <v>43248</v>
      </c>
      <c r="AS136" s="772">
        <f t="shared" si="65"/>
        <v>0.9285714285714286</v>
      </c>
      <c r="AT136" s="789">
        <f t="shared" si="66"/>
        <v>62.053301820478268</v>
      </c>
      <c r="AU136" s="13">
        <f t="shared" si="67"/>
        <v>5</v>
      </c>
      <c r="AV136" s="13">
        <f t="shared" si="68"/>
        <v>6</v>
      </c>
      <c r="AW136" s="175">
        <f t="shared" si="69"/>
        <v>43206</v>
      </c>
      <c r="AX136" s="772">
        <f t="shared" si="70"/>
        <v>0.5714285714285714</v>
      </c>
      <c r="AY136" s="789">
        <f t="shared" si="71"/>
        <v>61.87902157455683</v>
      </c>
      <c r="AZ136" s="763">
        <f t="shared" si="75"/>
        <v>61.966161697517549</v>
      </c>
      <c r="BA136" s="647">
        <f t="shared" si="72"/>
        <v>0.64127206252265401</v>
      </c>
      <c r="BB136" s="642">
        <v>43222</v>
      </c>
      <c r="BC136" s="11">
        <v>43222</v>
      </c>
      <c r="BD136" s="292">
        <f>[2]!FeuilCaduc*(1-Persistant)+Persistant</f>
        <v>1</v>
      </c>
      <c r="BE136" s="293">
        <f>[2]!CroissVégét</f>
        <v>0.16649552652045066</v>
      </c>
      <c r="BF136" s="842">
        <f>1+[2]!Salcycl*Ksac</f>
        <v>1.0242319709999275</v>
      </c>
      <c r="BH136" s="1105">
        <f t="shared" si="73"/>
        <v>3.361167332957723E-3</v>
      </c>
      <c r="BI136" s="11">
        <v>44318</v>
      </c>
      <c r="BJ136" s="742">
        <v>2.8192365546815079E-4</v>
      </c>
      <c r="BK136" s="742">
        <v>1.1384698208909275E-3</v>
      </c>
      <c r="BL136" s="742">
        <v>2.7312421995618549E-3</v>
      </c>
      <c r="BM136" s="742">
        <v>5.8843995919415073E-3</v>
      </c>
      <c r="BN136" s="742">
        <v>1.1231147701933009E-2</v>
      </c>
      <c r="BO136" s="743">
        <v>2.0051832246413596E-2</v>
      </c>
      <c r="BP136" s="742">
        <v>3.3349811688680946E-2</v>
      </c>
      <c r="BQ136" s="742">
        <v>5.2509386267794368E-2</v>
      </c>
      <c r="BR136" s="742">
        <v>7.7088486705377032E-2</v>
      </c>
      <c r="BS136" s="742">
        <v>0.10799829882425928</v>
      </c>
      <c r="BT136" s="742">
        <v>0.14293842516182062</v>
      </c>
      <c r="BW136" s="1187">
        <f>'2018'!R\Max</f>
        <v>0</v>
      </c>
      <c r="BX136" s="1185">
        <f>'2019'!R\Max</f>
        <v>0.59717693602366495</v>
      </c>
      <c r="BY136" s="1185">
        <f>'2020'!R\Max</f>
        <v>0.4124947953288024</v>
      </c>
      <c r="BZ136" s="1185">
        <f>'2021'!R\Max</f>
        <v>0.64127206252265401</v>
      </c>
      <c r="CA136" s="1185">
        <f>'2022'!R\Max</f>
        <v>0.49271138951633275</v>
      </c>
      <c r="CB136" s="1185">
        <f>'2023'!R\Max</f>
        <v>0.49222837368109762</v>
      </c>
      <c r="CC136" s="1185">
        <f>'2024'!R\Max</f>
        <v>0.49158775958904843</v>
      </c>
      <c r="CD136" s="1185">
        <f>'2025'!R\Max</f>
        <v>0.49364335471779569</v>
      </c>
      <c r="CE136" s="1185">
        <f>'2026'!R\Max</f>
        <v>0.49352902199845305</v>
      </c>
      <c r="CF136" s="1186">
        <f>'2027'!R\Max</f>
        <v>0.49333722508898981</v>
      </c>
    </row>
    <row r="137" spans="1:84" s="6" customFormat="1" ht="11.25" x14ac:dyDescent="0.2">
      <c r="A137" s="11">
        <v>43223</v>
      </c>
      <c r="B137" s="382">
        <f>'2023'!Maxi_hp</f>
        <v>59.817954676163886</v>
      </c>
      <c r="C137" s="85">
        <f>'2023'!An_max</f>
        <v>2021</v>
      </c>
      <c r="D137" s="1132"/>
      <c r="E137" s="709"/>
      <c r="F137" s="13">
        <f t="shared" si="74"/>
        <v>11</v>
      </c>
      <c r="G137" s="13">
        <f t="shared" si="58"/>
        <v>10</v>
      </c>
      <c r="H137" s="175">
        <f t="shared" si="59"/>
        <v>43234</v>
      </c>
      <c r="I137" s="772">
        <f t="shared" si="60"/>
        <v>0.7857142857142857</v>
      </c>
      <c r="J137" s="763">
        <f t="shared" si="61"/>
        <v>62.245669533152672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P137" s="13">
        <f t="shared" si="62"/>
        <v>7</v>
      </c>
      <c r="AQ137" s="13">
        <f t="shared" si="63"/>
        <v>6</v>
      </c>
      <c r="AR137" s="175">
        <f t="shared" si="64"/>
        <v>43248</v>
      </c>
      <c r="AS137" s="772">
        <f t="shared" si="65"/>
        <v>0.8928571428571429</v>
      </c>
      <c r="AT137" s="789">
        <f t="shared" si="66"/>
        <v>62.252226239442827</v>
      </c>
      <c r="AU137" s="13">
        <f t="shared" si="67"/>
        <v>5</v>
      </c>
      <c r="AV137" s="13">
        <f t="shared" si="68"/>
        <v>6</v>
      </c>
      <c r="AW137" s="175">
        <f t="shared" si="69"/>
        <v>43206</v>
      </c>
      <c r="AX137" s="772">
        <f t="shared" si="70"/>
        <v>0.6071428571428571</v>
      </c>
      <c r="AY137" s="789">
        <f t="shared" si="71"/>
        <v>62.082691595171184</v>
      </c>
      <c r="AZ137" s="763">
        <f t="shared" si="75"/>
        <v>62.167458917307002</v>
      </c>
      <c r="BA137" s="647">
        <f t="shared" si="72"/>
        <v>0.96099785133332427</v>
      </c>
      <c r="BB137" s="642">
        <v>43223</v>
      </c>
      <c r="BC137" s="11">
        <v>43223</v>
      </c>
      <c r="BD137" s="292">
        <f>[2]!FeuilCaduc*(1-Persistant)+Persistant</f>
        <v>1</v>
      </c>
      <c r="BE137" s="293">
        <f>[2]!CroissVégét</f>
        <v>0.1723173890515782</v>
      </c>
      <c r="BF137" s="842">
        <f>1+[2]!Salcycl*Ksac</f>
        <v>1.025324209376318</v>
      </c>
      <c r="BH137" s="1105">
        <f t="shared" si="73"/>
        <v>3.1052270396060774E-3</v>
      </c>
      <c r="BI137" s="11">
        <v>44319</v>
      </c>
      <c r="BJ137" s="742">
        <v>2.6673091789035657E-4</v>
      </c>
      <c r="BK137" s="742">
        <v>1.0527746933349093E-3</v>
      </c>
      <c r="BL137" s="742">
        <v>2.5225210805741244E-3</v>
      </c>
      <c r="BM137" s="742">
        <v>5.4393178630746395E-3</v>
      </c>
      <c r="BN137" s="742">
        <v>1.0435144384333064E-2</v>
      </c>
      <c r="BO137" s="743">
        <v>1.8786658902805609E-2</v>
      </c>
      <c r="BP137" s="742">
        <v>3.1395995724190974E-2</v>
      </c>
      <c r="BQ137" s="742">
        <v>4.9815451062273815E-2</v>
      </c>
      <c r="BR137" s="742">
        <v>7.357352234304422E-2</v>
      </c>
      <c r="BS137" s="742">
        <v>0.10366024967746985</v>
      </c>
      <c r="BT137" s="742">
        <v>0.13762849024410947</v>
      </c>
      <c r="BW137" s="1187">
        <f>'2018'!R\Max</f>
        <v>0</v>
      </c>
      <c r="BX137" s="1185">
        <f>'2019'!R\Max</f>
        <v>0.36417272272507156</v>
      </c>
      <c r="BY137" s="1185">
        <f>'2020'!R\Max</f>
        <v>0.64617479081606155</v>
      </c>
      <c r="BZ137" s="1185">
        <f>'2021'!R\Max</f>
        <v>0.96099785133332427</v>
      </c>
      <c r="CA137" s="1185">
        <f>'2022'!R\Max</f>
        <v>0.58076142572839518</v>
      </c>
      <c r="CB137" s="1185">
        <f>'2023'!R\Max</f>
        <v>0.58031666486568367</v>
      </c>
      <c r="CC137" s="1185">
        <f>'2024'!R\Max</f>
        <v>0.57971882927113827</v>
      </c>
      <c r="CD137" s="1185">
        <f>'2025'!R\Max</f>
        <v>0.58161422853020939</v>
      </c>
      <c r="CE137" s="1185">
        <f>'2026'!R\Max</f>
        <v>0.58151158963945748</v>
      </c>
      <c r="CF137" s="1186">
        <f>'2027'!R\Max</f>
        <v>0.58133726044931799</v>
      </c>
    </row>
    <row r="138" spans="1:84" s="6" customFormat="1" ht="11.25" x14ac:dyDescent="0.2">
      <c r="A138" s="11">
        <v>43224</v>
      </c>
      <c r="B138" s="382">
        <f>'2023'!Maxi_hp</f>
        <v>56.704587051571465</v>
      </c>
      <c r="C138" s="85">
        <f>'2023'!An_max</f>
        <v>2020</v>
      </c>
      <c r="D138" s="1132"/>
      <c r="E138" s="709"/>
      <c r="F138" s="13">
        <f t="shared" si="74"/>
        <v>11</v>
      </c>
      <c r="G138" s="13">
        <f t="shared" si="58"/>
        <v>10</v>
      </c>
      <c r="H138" s="175">
        <f t="shared" si="59"/>
        <v>43234</v>
      </c>
      <c r="I138" s="772">
        <f t="shared" si="60"/>
        <v>0.7142857142857143</v>
      </c>
      <c r="J138" s="763">
        <f t="shared" si="61"/>
        <v>62.433100874296258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P138" s="13">
        <f t="shared" si="62"/>
        <v>7</v>
      </c>
      <c r="AQ138" s="13">
        <f t="shared" si="63"/>
        <v>6</v>
      </c>
      <c r="AR138" s="175">
        <f t="shared" si="64"/>
        <v>43248</v>
      </c>
      <c r="AS138" s="772">
        <f t="shared" si="65"/>
        <v>0.8571428571428571</v>
      </c>
      <c r="AT138" s="789">
        <f t="shared" si="66"/>
        <v>62.441843147469413</v>
      </c>
      <c r="AU138" s="13">
        <f t="shared" si="67"/>
        <v>5</v>
      </c>
      <c r="AV138" s="13">
        <f t="shared" si="68"/>
        <v>6</v>
      </c>
      <c r="AW138" s="175">
        <f t="shared" si="69"/>
        <v>43206</v>
      </c>
      <c r="AX138" s="772">
        <f t="shared" si="70"/>
        <v>0.6428571428571429</v>
      </c>
      <c r="AY138" s="789">
        <f t="shared" si="71"/>
        <v>62.279828462377189</v>
      </c>
      <c r="AZ138" s="763">
        <f t="shared" si="75"/>
        <v>62.360835804923298</v>
      </c>
      <c r="BA138" s="647">
        <f t="shared" si="72"/>
        <v>0.9082455661739649</v>
      </c>
      <c r="BB138" s="642">
        <v>43224</v>
      </c>
      <c r="BC138" s="11">
        <v>43224</v>
      </c>
      <c r="BD138" s="292">
        <f>[2]!FeuilCaduc*(1-Persistant)+Persistant</f>
        <v>1</v>
      </c>
      <c r="BE138" s="293">
        <f>[2]!CroissVégét</f>
        <v>0.17829763088415901</v>
      </c>
      <c r="BF138" s="842">
        <f>1+[2]!Salcycl*Ksac</f>
        <v>1.0264424975026831</v>
      </c>
      <c r="BH138" s="1105">
        <f t="shared" si="73"/>
        <v>2.8699377555448844E-3</v>
      </c>
      <c r="BI138" s="11">
        <v>44320</v>
      </c>
      <c r="BJ138" s="742">
        <v>2.5451645580023245E-4</v>
      </c>
      <c r="BK138" s="742">
        <v>9.7623578603404351E-4</v>
      </c>
      <c r="BL138" s="742">
        <v>2.331942276664117E-3</v>
      </c>
      <c r="BM138" s="742">
        <v>5.0249359855429341E-3</v>
      </c>
      <c r="BN138" s="742">
        <v>9.6876223306449089E-3</v>
      </c>
      <c r="BO138" s="743">
        <v>1.758156087436968E-2</v>
      </c>
      <c r="BP138" s="742">
        <v>2.950733074741943E-2</v>
      </c>
      <c r="BQ138" s="742">
        <v>4.7154998983965669E-2</v>
      </c>
      <c r="BR138" s="742">
        <v>7.0062575776174627E-2</v>
      </c>
      <c r="BS138" s="742">
        <v>9.9247377911063486E-2</v>
      </c>
      <c r="BT138" s="742">
        <v>0.13214316995952527</v>
      </c>
      <c r="BW138" s="1187">
        <f>'2018'!R\Max</f>
        <v>0</v>
      </c>
      <c r="BX138" s="1185">
        <f>'2019'!R\Max</f>
        <v>0.53262065137980696</v>
      </c>
      <c r="BY138" s="1185">
        <f>'2020'!R\Max</f>
        <v>0.9082455661739649</v>
      </c>
      <c r="BZ138" s="1185">
        <f>'2021'!R\Max</f>
        <v>0.8323870317358405</v>
      </c>
      <c r="CA138" s="1185">
        <f>'2022'!R\Max</f>
        <v>1.4689092412221327E-2</v>
      </c>
      <c r="CB138" s="1185">
        <f>'2023'!R\Max</f>
        <v>1.467137410638498E-2</v>
      </c>
      <c r="CC138" s="1185">
        <f>'2024'!R\Max</f>
        <v>1.4647285019056412E-2</v>
      </c>
      <c r="CD138" s="1185">
        <f>'2025'!R\Max</f>
        <v>1.4722957154536269E-2</v>
      </c>
      <c r="CE138" s="1185">
        <f>'2026'!R\Max</f>
        <v>1.4718956130983309E-2</v>
      </c>
      <c r="CF138" s="1186">
        <f>'2027'!R\Max</f>
        <v>1.4712072178150432E-2</v>
      </c>
    </row>
    <row r="139" spans="1:84" s="6" customFormat="1" ht="11.25" x14ac:dyDescent="0.2">
      <c r="A139" s="11">
        <v>43225</v>
      </c>
      <c r="B139" s="382">
        <f>'2023'!Maxi_hp</f>
        <v>59.050028688885625</v>
      </c>
      <c r="C139" s="85">
        <f>'2023'!An_max</f>
        <v>2020</v>
      </c>
      <c r="D139" s="1132"/>
      <c r="E139" s="709"/>
      <c r="F139" s="13">
        <f t="shared" si="74"/>
        <v>11</v>
      </c>
      <c r="G139" s="13">
        <f t="shared" si="58"/>
        <v>10</v>
      </c>
      <c r="H139" s="175">
        <f t="shared" si="59"/>
        <v>43234</v>
      </c>
      <c r="I139" s="772">
        <f t="shared" si="60"/>
        <v>0.6428571428571429</v>
      </c>
      <c r="J139" s="763">
        <f t="shared" si="61"/>
        <v>62.611789940510484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P139" s="13">
        <f t="shared" si="62"/>
        <v>7</v>
      </c>
      <c r="AQ139" s="13">
        <f t="shared" si="63"/>
        <v>6</v>
      </c>
      <c r="AR139" s="175">
        <f t="shared" si="64"/>
        <v>43248</v>
      </c>
      <c r="AS139" s="772">
        <f t="shared" si="65"/>
        <v>0.8214285714285714</v>
      </c>
      <c r="AT139" s="789">
        <f t="shared" si="66"/>
        <v>62.622435166660168</v>
      </c>
      <c r="AU139" s="13">
        <f t="shared" si="67"/>
        <v>5</v>
      </c>
      <c r="AV139" s="13">
        <f t="shared" si="68"/>
        <v>6</v>
      </c>
      <c r="AW139" s="175">
        <f t="shared" si="69"/>
        <v>43206</v>
      </c>
      <c r="AX139" s="772">
        <f t="shared" si="70"/>
        <v>0.6785714285714286</v>
      </c>
      <c r="AY139" s="789">
        <f t="shared" si="71"/>
        <v>62.470474567290921</v>
      </c>
      <c r="AZ139" s="763">
        <f t="shared" si="75"/>
        <v>62.546454866975544</v>
      </c>
      <c r="BA139" s="647">
        <f t="shared" si="72"/>
        <v>0.94311356926532519</v>
      </c>
      <c r="BB139" s="642">
        <v>43225</v>
      </c>
      <c r="BC139" s="11">
        <v>43225</v>
      </c>
      <c r="BD139" s="292">
        <f>[2]!FeuilCaduc*(1-Persistant)+Persistant</f>
        <v>1</v>
      </c>
      <c r="BE139" s="293">
        <f>[2]!CroissVégét</f>
        <v>0.1844375470173118</v>
      </c>
      <c r="BF139" s="842">
        <f>1+[2]!Salcycl*Ksac</f>
        <v>1.0275862777457612</v>
      </c>
      <c r="BH139" s="1105">
        <f t="shared" si="73"/>
        <v>2.6552872080862723E-3</v>
      </c>
      <c r="BI139" s="11">
        <v>44321</v>
      </c>
      <c r="BJ139" s="742">
        <v>2.4527807301249848E-4</v>
      </c>
      <c r="BK139" s="742">
        <v>9.0884713357689223E-4</v>
      </c>
      <c r="BL139" s="742">
        <v>2.1594947059011605E-3</v>
      </c>
      <c r="BM139" s="742">
        <v>4.6412369169536389E-3</v>
      </c>
      <c r="BN139" s="742">
        <v>8.9885562088327792E-3</v>
      </c>
      <c r="BO139" s="743">
        <v>1.6436511428887735E-2</v>
      </c>
      <c r="BP139" s="742">
        <v>2.7683797762185713E-2</v>
      </c>
      <c r="BQ139" s="742">
        <v>4.4528048917925972E-2</v>
      </c>
      <c r="BR139" s="742">
        <v>6.6555702463350824E-2</v>
      </c>
      <c r="BS139" s="742">
        <v>9.4759814960205122E-2</v>
      </c>
      <c r="BT139" s="742">
        <v>0.12648269198877232</v>
      </c>
      <c r="BW139" s="1187">
        <f>'2018'!R\Max</f>
        <v>0</v>
      </c>
      <c r="BX139" s="1185">
        <f>'2019'!R\Max</f>
        <v>0.74772464145186335</v>
      </c>
      <c r="BY139" s="1185">
        <f>'2020'!R\Max</f>
        <v>0.94311356926532519</v>
      </c>
      <c r="BZ139" s="1185">
        <f>'2021'!R\Max</f>
        <v>0.59069427982082334</v>
      </c>
      <c r="CA139" s="1185">
        <f>'2022'!R\Max</f>
        <v>0.67410457233055476</v>
      </c>
      <c r="CB139" s="1185">
        <f>'2023'!R\Max</f>
        <v>0.6737487381123719</v>
      </c>
      <c r="CC139" s="1185">
        <f>'2024'!R\Max</f>
        <v>0.67325841042004686</v>
      </c>
      <c r="CD139" s="1185">
        <f>'2025'!R\Max</f>
        <v>0.67478119608134646</v>
      </c>
      <c r="CE139" s="1185">
        <f>'2026'!R\Max</f>
        <v>0.67470289856009757</v>
      </c>
      <c r="CF139" s="1186">
        <f>'2027'!R\Max</f>
        <v>0.67456620600181594</v>
      </c>
    </row>
    <row r="140" spans="1:84" s="6" customFormat="1" ht="11.25" x14ac:dyDescent="0.2">
      <c r="A140" s="11">
        <v>43226</v>
      </c>
      <c r="B140" s="382">
        <f>'2023'!Maxi_hp</f>
        <v>64.356840251433624</v>
      </c>
      <c r="C140" s="85">
        <f>'2023'!An_max</f>
        <v>2019</v>
      </c>
      <c r="D140" s="1132"/>
      <c r="E140" s="709"/>
      <c r="F140" s="13">
        <f t="shared" si="74"/>
        <v>11</v>
      </c>
      <c r="G140" s="13">
        <f t="shared" si="58"/>
        <v>10</v>
      </c>
      <c r="H140" s="175">
        <f t="shared" si="59"/>
        <v>43234</v>
      </c>
      <c r="I140" s="772">
        <f t="shared" si="60"/>
        <v>0.5714285714285714</v>
      </c>
      <c r="J140" s="763">
        <f t="shared" si="61"/>
        <v>62.782188921421763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P140" s="13">
        <f t="shared" si="62"/>
        <v>7</v>
      </c>
      <c r="AQ140" s="13">
        <f t="shared" si="63"/>
        <v>6</v>
      </c>
      <c r="AR140" s="175">
        <f t="shared" si="64"/>
        <v>43248</v>
      </c>
      <c r="AS140" s="772">
        <f t="shared" si="65"/>
        <v>0.7857142857142857</v>
      </c>
      <c r="AT140" s="789">
        <f t="shared" si="66"/>
        <v>62.794284913476034</v>
      </c>
      <c r="AU140" s="13">
        <f t="shared" si="67"/>
        <v>5</v>
      </c>
      <c r="AV140" s="13">
        <f t="shared" si="68"/>
        <v>6</v>
      </c>
      <c r="AW140" s="175">
        <f t="shared" si="69"/>
        <v>43206</v>
      </c>
      <c r="AX140" s="772">
        <f t="shared" si="70"/>
        <v>0.7142857142857143</v>
      </c>
      <c r="AY140" s="789">
        <f t="shared" si="71"/>
        <v>62.654672303795813</v>
      </c>
      <c r="AZ140" s="763">
        <f t="shared" si="75"/>
        <v>62.72447860863592</v>
      </c>
      <c r="BA140" s="647">
        <f t="shared" si="72"/>
        <v>1.0250811791857513</v>
      </c>
      <c r="BB140" s="642">
        <v>43226</v>
      </c>
      <c r="BC140" s="11">
        <v>43226</v>
      </c>
      <c r="BD140" s="292">
        <f>[2]!FeuilCaduc*(1-Persistant)+Persistant</f>
        <v>1</v>
      </c>
      <c r="BE140" s="293">
        <f>[2]!CroissVégét</f>
        <v>0.19073822573999455</v>
      </c>
      <c r="BF140" s="842">
        <f>1+[2]!Salcycl*Ksac</f>
        <v>1.0287549278592165</v>
      </c>
      <c r="BH140" s="1105">
        <f t="shared" si="73"/>
        <v>2.4612624446132937E-3</v>
      </c>
      <c r="BI140" s="11">
        <v>44322</v>
      </c>
      <c r="BJ140" s="742">
        <v>2.3901345584352742E-4</v>
      </c>
      <c r="BK140" s="742">
        <v>8.5060244426772829E-4</v>
      </c>
      <c r="BL140" s="742">
        <v>2.0051666746267187E-3</v>
      </c>
      <c r="BM140" s="742">
        <v>4.2882026617977161E-3</v>
      </c>
      <c r="BN140" s="742">
        <v>8.3379192644819373E-3</v>
      </c>
      <c r="BO140" s="743">
        <v>1.5351482319268903E-2</v>
      </c>
      <c r="BP140" s="742">
        <v>2.5925376646843384E-2</v>
      </c>
      <c r="BQ140" s="742">
        <v>4.193462067278883E-2</v>
      </c>
      <c r="BR140" s="742">
        <v>6.3052960808808137E-2</v>
      </c>
      <c r="BS140" s="742">
        <v>9.0197699398385803E-2</v>
      </c>
      <c r="BT140" s="742">
        <v>0.1206472964309461</v>
      </c>
      <c r="BW140" s="1187">
        <f>'2018'!R\Max</f>
        <v>0</v>
      </c>
      <c r="BX140" s="1185">
        <f>'2019'!R\Max</f>
        <v>1.0250811791857513</v>
      </c>
      <c r="BY140" s="1185">
        <f>'2020'!R\Max</f>
        <v>0.85631372837075359</v>
      </c>
      <c r="BZ140" s="1185">
        <f>'2021'!R\Max</f>
        <v>0.61559637522721322</v>
      </c>
      <c r="CA140" s="1185">
        <f>'2022'!R\Max</f>
        <v>0.62321571975148915</v>
      </c>
      <c r="CB140" s="1185">
        <f>'2023'!R\Max</f>
        <v>0.62285919030084147</v>
      </c>
      <c r="CC140" s="1185">
        <f>'2024'!R\Max</f>
        <v>0.62236245461848638</v>
      </c>
      <c r="CD140" s="1185">
        <f>'2025'!R\Max</f>
        <v>0.62389270930936647</v>
      </c>
      <c r="CE140" s="1185">
        <f>'2026'!R\Max</f>
        <v>0.6238159034322408</v>
      </c>
      <c r="CF140" s="1186">
        <f>'2027'!R\Max</f>
        <v>0.62367976644991718</v>
      </c>
    </row>
    <row r="141" spans="1:84" s="6" customFormat="1" ht="11.25" x14ac:dyDescent="0.2">
      <c r="A141" s="11">
        <v>43227</v>
      </c>
      <c r="B141" s="382">
        <f>'2023'!Maxi_hp</f>
        <v>59.662433655928183</v>
      </c>
      <c r="C141" s="85">
        <f>'2023'!An_max</f>
        <v>2020</v>
      </c>
      <c r="D141" s="1132"/>
      <c r="E141" s="709"/>
      <c r="F141" s="13">
        <f t="shared" si="74"/>
        <v>11</v>
      </c>
      <c r="G141" s="13">
        <f t="shared" si="58"/>
        <v>10</v>
      </c>
      <c r="H141" s="175">
        <f t="shared" si="59"/>
        <v>43234</v>
      </c>
      <c r="I141" s="772">
        <f t="shared" si="60"/>
        <v>0.5</v>
      </c>
      <c r="J141" s="763">
        <f t="shared" si="61"/>
        <v>62.944749999046323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P141" s="13">
        <f t="shared" si="62"/>
        <v>7</v>
      </c>
      <c r="AQ141" s="13">
        <f t="shared" si="63"/>
        <v>6</v>
      </c>
      <c r="AR141" s="175">
        <f t="shared" si="64"/>
        <v>43248</v>
      </c>
      <c r="AS141" s="772">
        <f t="shared" si="65"/>
        <v>0.75</v>
      </c>
      <c r="AT141" s="789">
        <f t="shared" si="66"/>
        <v>62.957674999348818</v>
      </c>
      <c r="AU141" s="13">
        <f t="shared" si="67"/>
        <v>5</v>
      </c>
      <c r="AV141" s="13">
        <f t="shared" si="68"/>
        <v>6</v>
      </c>
      <c r="AW141" s="175">
        <f t="shared" si="69"/>
        <v>43206</v>
      </c>
      <c r="AX141" s="772">
        <f t="shared" si="70"/>
        <v>0.75</v>
      </c>
      <c r="AY141" s="789">
        <f t="shared" si="71"/>
        <v>62.832464062049986</v>
      </c>
      <c r="AZ141" s="763">
        <f t="shared" si="75"/>
        <v>62.895069530699402</v>
      </c>
      <c r="BA141" s="647">
        <f t="shared" si="72"/>
        <v>0.94785400937857611</v>
      </c>
      <c r="BB141" s="642">
        <v>43227</v>
      </c>
      <c r="BC141" s="11">
        <v>43227</v>
      </c>
      <c r="BD141" s="292">
        <f>[2]!FeuilCaduc*(1-Persistant)+Persistant</f>
        <v>1</v>
      </c>
      <c r="BE141" s="293">
        <f>[2]!CroissVégét</f>
        <v>0.19720053455029921</v>
      </c>
      <c r="BF141" s="842">
        <f>1+[2]!Salcycl*Ksac</f>
        <v>1.0299477600576219</v>
      </c>
      <c r="BH141" s="1105">
        <f t="shared" si="73"/>
        <v>2.2878497875519553E-3</v>
      </c>
      <c r="BI141" s="11">
        <v>44323</v>
      </c>
      <c r="BJ141" s="742">
        <v>2.3572016659597473E-4</v>
      </c>
      <c r="BK141" s="742">
        <v>8.0149508013658275E-4</v>
      </c>
      <c r="BL141" s="742">
        <v>1.8689458378820002E-3</v>
      </c>
      <c r="BM141" s="742">
        <v>3.9658142045689493E-3</v>
      </c>
      <c r="BN141" s="742">
        <v>7.7356832152496594E-3</v>
      </c>
      <c r="BO141" s="743">
        <v>1.4326443652959887E-2</v>
      </c>
      <c r="BP141" s="742">
        <v>2.4232046013101523E-2</v>
      </c>
      <c r="BQ141" s="742">
        <v>3.9374734909466032E-2</v>
      </c>
      <c r="BR141" s="742">
        <v>5.9554412156166248E-2</v>
      </c>
      <c r="BS141" s="742">
        <v>8.5561177104269026E-2</v>
      </c>
      <c r="BT141" s="742">
        <v>0.11463723619119431</v>
      </c>
      <c r="BW141" s="1187">
        <f>'2018'!R\Max</f>
        <v>0</v>
      </c>
      <c r="BX141" s="1185">
        <f>'2019'!R\Max</f>
        <v>0.75623903735458675</v>
      </c>
      <c r="BY141" s="1185">
        <f>'2020'!R\Max</f>
        <v>0.94785400937857611</v>
      </c>
      <c r="BZ141" s="1185">
        <f>'2021'!R\Max</f>
        <v>0.56198582290960364</v>
      </c>
      <c r="CA141" s="1185">
        <f>'2022'!R\Max</f>
        <v>0.85463595580803642</v>
      </c>
      <c r="CB141" s="1185">
        <f>'2023'!R\Max</f>
        <v>0.85445966869804235</v>
      </c>
      <c r="CC141" s="1185">
        <f>'2024'!R\Max</f>
        <v>0.85421130256917799</v>
      </c>
      <c r="CD141" s="1185">
        <f>'2025'!R\Max</f>
        <v>0.85497047206256127</v>
      </c>
      <c r="CE141" s="1185">
        <f>'2026'!R\Max</f>
        <v>0.85493316922539153</v>
      </c>
      <c r="CF141" s="1186">
        <f>'2027'!R\Max</f>
        <v>0.85486628874624671</v>
      </c>
    </row>
    <row r="142" spans="1:84" s="6" customFormat="1" ht="11.25" x14ac:dyDescent="0.2">
      <c r="A142" s="11">
        <v>43228</v>
      </c>
      <c r="B142" s="382">
        <f>'2023'!Maxi_hp</f>
        <v>57.592377924413015</v>
      </c>
      <c r="C142" s="85">
        <f>'2023'!An_max</f>
        <v>2021</v>
      </c>
      <c r="D142" s="1132"/>
      <c r="E142" s="709"/>
      <c r="F142" s="13">
        <f t="shared" si="74"/>
        <v>11</v>
      </c>
      <c r="G142" s="13">
        <f t="shared" si="58"/>
        <v>10</v>
      </c>
      <c r="H142" s="175">
        <f t="shared" si="59"/>
        <v>43234</v>
      </c>
      <c r="I142" s="772">
        <f t="shared" si="60"/>
        <v>0.42857142857142855</v>
      </c>
      <c r="J142" s="763">
        <f t="shared" si="61"/>
        <v>63.099925363915304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P142" s="13">
        <f t="shared" si="62"/>
        <v>7</v>
      </c>
      <c r="AQ142" s="13">
        <f t="shared" si="63"/>
        <v>6</v>
      </c>
      <c r="AR142" s="175">
        <f t="shared" si="64"/>
        <v>43248</v>
      </c>
      <c r="AS142" s="772">
        <f t="shared" si="65"/>
        <v>0.7142857142857143</v>
      </c>
      <c r="AT142" s="789">
        <f t="shared" si="66"/>
        <v>63.112888045821876</v>
      </c>
      <c r="AU142" s="13">
        <f t="shared" si="67"/>
        <v>5</v>
      </c>
      <c r="AV142" s="13">
        <f t="shared" si="68"/>
        <v>6</v>
      </c>
      <c r="AW142" s="175">
        <f t="shared" si="69"/>
        <v>43206</v>
      </c>
      <c r="AX142" s="772">
        <f t="shared" si="70"/>
        <v>0.7857142857142857</v>
      </c>
      <c r="AY142" s="789">
        <f t="shared" si="71"/>
        <v>63.003892237480201</v>
      </c>
      <c r="AZ142" s="763">
        <f t="shared" si="75"/>
        <v>63.058390141651039</v>
      </c>
      <c r="BA142" s="647">
        <f t="shared" si="72"/>
        <v>0.91271705302757988</v>
      </c>
      <c r="BB142" s="642">
        <v>43228</v>
      </c>
      <c r="BC142" s="11">
        <v>43228</v>
      </c>
      <c r="BD142" s="292">
        <f>[2]!FeuilCaduc*(1-Persistant)+Persistant</f>
        <v>1</v>
      </c>
      <c r="BE142" s="293">
        <f>[2]!CroissVégét</f>
        <v>0.2038251061465651</v>
      </c>
      <c r="BF142" s="842">
        <f>1+[2]!Salcycl*Ksac</f>
        <v>1.0311640203019421</v>
      </c>
      <c r="BH142" s="1105">
        <f t="shared" si="73"/>
        <v>2.1373492384362466E-3</v>
      </c>
      <c r="BI142" s="11">
        <v>44324</v>
      </c>
      <c r="BJ142" s="742">
        <v>2.3575762832772347E-4</v>
      </c>
      <c r="BK142" s="742">
        <v>7.6250617515772267E-4</v>
      </c>
      <c r="BL142" s="742">
        <v>1.7525084014847628E-3</v>
      </c>
      <c r="BM142" s="742">
        <v>3.678870227026591E-3</v>
      </c>
      <c r="BN142" s="742">
        <v>7.191632141905731E-3</v>
      </c>
      <c r="BO142" s="743">
        <v>1.3381329671908221E-2</v>
      </c>
      <c r="BP142" s="742">
        <v>2.2643341445154258E-2</v>
      </c>
      <c r="BQ142" s="742">
        <v>3.6919963541142596E-2</v>
      </c>
      <c r="BR142" s="742">
        <v>5.6152129304696187E-2</v>
      </c>
      <c r="BS142" s="742">
        <v>8.0973557053231129E-2</v>
      </c>
      <c r="BT142" s="742">
        <v>0.10861510382893996</v>
      </c>
      <c r="BW142" s="1187">
        <f>'2018'!R\Max</f>
        <v>0</v>
      </c>
      <c r="BX142" s="1185">
        <f>'2019'!R\Max</f>
        <v>0.52245000513300233</v>
      </c>
      <c r="BY142" s="1185">
        <f>'2020'!R\Max</f>
        <v>0.8001108587102268</v>
      </c>
      <c r="BZ142" s="1185">
        <f>'2021'!R\Max</f>
        <v>0.91271705302757988</v>
      </c>
      <c r="CA142" s="1185">
        <f>'2022'!R\Max</f>
        <v>0.86741987958908162</v>
      </c>
      <c r="CB142" s="1185">
        <f>'2023'!R\Max</f>
        <v>0.86726768523600428</v>
      </c>
      <c r="CC142" s="1185">
        <f>'2024'!R\Max</f>
        <v>0.86705124261477384</v>
      </c>
      <c r="CD142" s="1185">
        <f>'2025'!R\Max</f>
        <v>0.86770929589711865</v>
      </c>
      <c r="CE142" s="1185">
        <f>'2026'!R\Max</f>
        <v>0.8676774736568561</v>
      </c>
      <c r="CF142" s="1186">
        <f>'2027'!R\Max</f>
        <v>0.86761992522475806</v>
      </c>
    </row>
    <row r="143" spans="1:84" s="6" customFormat="1" ht="11.25" x14ac:dyDescent="0.2">
      <c r="A143" s="11">
        <v>43229</v>
      </c>
      <c r="B143" s="382">
        <f>'2023'!Maxi_hp</f>
        <v>60.800047772515065</v>
      </c>
      <c r="C143" s="85">
        <f>'2023'!An_max</f>
        <v>2022</v>
      </c>
      <c r="D143" s="1132"/>
      <c r="E143" s="709"/>
      <c r="F143" s="13">
        <f t="shared" si="74"/>
        <v>11</v>
      </c>
      <c r="G143" s="13">
        <f t="shared" ref="G143:G206" si="76">INT((MATCH($A143,x.2m)+1)/2)*2</f>
        <v>10</v>
      </c>
      <c r="H143" s="175">
        <f t="shared" ref="H143:H206" si="77">INDEX(x.2m,F143)</f>
        <v>43234</v>
      </c>
      <c r="I143" s="772">
        <f t="shared" ref="I143:I206" si="78">($A143-H143)/(INDEX(x.2m,G143)-H143)</f>
        <v>0.35714285714285715</v>
      </c>
      <c r="J143" s="763">
        <f t="shared" ref="J143:J206" si="79">((1-I143)*(INDEX(a.m,F143)*$A143*$A143+INDEX(b.m,F143)*$A143+INDEX(c.m,F143))+I143*(INDEX(a.m,G143)*$A143*$A143+INDEX(b.m,G143)*$A143+INDEX(c.m,G143)))/10</f>
        <v>63.248167200705836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P143" s="13">
        <f t="shared" ref="AP143:AP206" si="80">INT(MATCH($A143,x.2lg)/2)*2+1</f>
        <v>7</v>
      </c>
      <c r="AQ143" s="13">
        <f t="shared" ref="AQ143:AQ206" si="81">INT((MATCH($A143,x.2lg)+1)/2)*2</f>
        <v>6</v>
      </c>
      <c r="AR143" s="175">
        <f t="shared" ref="AR143:AR206" si="82">INDEX(x.2lg,AP143)</f>
        <v>43248</v>
      </c>
      <c r="AS143" s="772">
        <f t="shared" ref="AS143:AS206" si="83">($A143-AR143)/(INDEX(x.2lg,AQ143)-AR143)</f>
        <v>0.6785714285714286</v>
      </c>
      <c r="AT143" s="789">
        <f t="shared" ref="AT143:AT206" si="84">((1-AS143)*(INDEX(a.lg,AP143)*$A143*$A143+INDEX(b.lg,AP143)*$A143+INDEX(c.lg,AP143))+AS143*(INDEX(a.lg,AQ143)*$A143*$A143+INDEX(b.lg,AQ143)*$A143+INDEX(c.lg,AQ143)))/10</f>
        <v>63.260206668744125</v>
      </c>
      <c r="AU143" s="13">
        <f t="shared" ref="AU143:AU206" si="85">INT(MATCH($A143,x.2ld)/2)*2+1</f>
        <v>5</v>
      </c>
      <c r="AV143" s="13">
        <f t="shared" ref="AV143:AV206" si="86">INT((MATCH($A143,x.2ld)+1)/2)*2</f>
        <v>6</v>
      </c>
      <c r="AW143" s="175">
        <f t="shared" ref="AW143:AW206" si="87">INDEX(x.2ld,AU143)</f>
        <v>43206</v>
      </c>
      <c r="AX143" s="772">
        <f t="shared" ref="AX143:AX206" si="88">($A143-AW143)/(INDEX(x.2ld,AV143)-AW143)</f>
        <v>0.8214285714285714</v>
      </c>
      <c r="AY143" s="789">
        <f t="shared" ref="AY143:AY206" si="89">((1-AX143)*(INDEX(a.ld,AU143)*$A143*$A143+INDEX(b.ld,AU143)*$A143+INDEX(c.ld,AU143))+AX143*(INDEX(a.ld,AV143)*$A143*$A143+INDEX(b.ld,AV143)*$A143+INDEX(c.ld,AV143)))/10</f>
        <v>63.168999221814531</v>
      </c>
      <c r="AZ143" s="763">
        <f t="shared" si="75"/>
        <v>63.214602945279324</v>
      </c>
      <c r="BA143" s="647">
        <f t="shared" ref="BA143:BA206" si="90">+B143/J143</f>
        <v>0.9612934328923376</v>
      </c>
      <c r="BB143" s="642">
        <v>43229</v>
      </c>
      <c r="BC143" s="11">
        <v>43229</v>
      </c>
      <c r="BD143" s="292">
        <f>[2]!FeuilCaduc*(1-Persistant)+Persistant</f>
        <v>1</v>
      </c>
      <c r="BE143" s="293">
        <f>[2]!CroissVégét</f>
        <v>0.21061232458125589</v>
      </c>
      <c r="BF143" s="842">
        <f>1+[2]!Salcycl*Ksac</f>
        <v>1.0324028878192768</v>
      </c>
      <c r="BH143" s="1105">
        <f t="shared" ref="BH143:BH206" si="91">INDEX($BJ143:$BT143,,$BH$10)*(1-Ratini)+INDEX($BJ143:$BT143,,$BH$10+1)*Ratini</f>
        <v>1.9988001148138687E-3</v>
      </c>
      <c r="BI143" s="11">
        <v>44325</v>
      </c>
      <c r="BJ143" s="742">
        <v>2.371906275785993E-4</v>
      </c>
      <c r="BK143" s="742">
        <v>7.2779479011656672E-4</v>
      </c>
      <c r="BL143" s="742">
        <v>1.6456295502042617E-3</v>
      </c>
      <c r="BM143" s="742">
        <v>3.413462452133973E-3</v>
      </c>
      <c r="BN143" s="742">
        <v>6.6857847216596844E-3</v>
      </c>
      <c r="BO143" s="743">
        <v>1.2491210931541085E-2</v>
      </c>
      <c r="BP143" s="742">
        <v>2.1140085414786885E-2</v>
      </c>
      <c r="BQ143" s="742">
        <v>3.4567340373358298E-2</v>
      </c>
      <c r="BR143" s="742">
        <v>5.2860682104862833E-2</v>
      </c>
      <c r="BS143" s="742">
        <v>7.6497444274180065E-2</v>
      </c>
      <c r="BT143" s="742">
        <v>0.10272559724545385</v>
      </c>
      <c r="BW143" s="1187">
        <f>'2018'!R\Max</f>
        <v>0</v>
      </c>
      <c r="BX143" s="1185">
        <f>'2019'!R\Max</f>
        <v>0.80770957259560705</v>
      </c>
      <c r="BY143" s="1185">
        <f>'2020'!R\Max</f>
        <v>0.85865546096435996</v>
      </c>
      <c r="BZ143" s="1185">
        <f>'2021'!R\Max</f>
        <v>0.35367170777616874</v>
      </c>
      <c r="CA143" s="1185">
        <f>'2022'!R\Max</f>
        <v>0.9612934328923376</v>
      </c>
      <c r="CB143" s="1185">
        <f>'2023'!R\Max</f>
        <v>0.96124755904844994</v>
      </c>
      <c r="CC143" s="1185">
        <f>'2024'!R\Max</f>
        <v>0.96118174229533648</v>
      </c>
      <c r="CD143" s="1185">
        <f>'2025'!R\Max</f>
        <v>0.96138086879467732</v>
      </c>
      <c r="CE143" s="1185">
        <f>'2026'!R\Max</f>
        <v>0.96137138855433157</v>
      </c>
      <c r="CF143" s="1186">
        <f>'2027'!R\Max</f>
        <v>0.96135408895559638</v>
      </c>
    </row>
    <row r="144" spans="1:84" s="6" customFormat="1" ht="11.25" x14ac:dyDescent="0.2">
      <c r="A144" s="11">
        <v>43230</v>
      </c>
      <c r="B144" s="382">
        <f>'2023'!Maxi_hp</f>
        <v>55.813009554196178</v>
      </c>
      <c r="C144" s="85">
        <f>'2023'!An_max</f>
        <v>2022</v>
      </c>
      <c r="D144" s="1132"/>
      <c r="E144" s="709"/>
      <c r="F144" s="13">
        <f t="shared" ref="F144:F207" si="92">INT(MATCH($A144,x.2m)/2)*2+1</f>
        <v>11</v>
      </c>
      <c r="G144" s="13">
        <f t="shared" si="76"/>
        <v>10</v>
      </c>
      <c r="H144" s="175">
        <f t="shared" si="77"/>
        <v>43234</v>
      </c>
      <c r="I144" s="772">
        <f t="shared" si="78"/>
        <v>0.2857142857142857</v>
      </c>
      <c r="J144" s="763">
        <f t="shared" si="79"/>
        <v>63.389927696649522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P144" s="13">
        <f t="shared" si="80"/>
        <v>7</v>
      </c>
      <c r="AQ144" s="13">
        <f t="shared" si="81"/>
        <v>6</v>
      </c>
      <c r="AR144" s="175">
        <f t="shared" si="82"/>
        <v>43248</v>
      </c>
      <c r="AS144" s="772">
        <f t="shared" si="83"/>
        <v>0.6428571428571429</v>
      </c>
      <c r="AT144" s="789">
        <f t="shared" si="84"/>
        <v>63.399913483592016</v>
      </c>
      <c r="AU144" s="13">
        <f t="shared" si="85"/>
        <v>5</v>
      </c>
      <c r="AV144" s="13">
        <f t="shared" si="86"/>
        <v>6</v>
      </c>
      <c r="AW144" s="175">
        <f t="shared" si="87"/>
        <v>43206</v>
      </c>
      <c r="AX144" s="772">
        <f t="shared" si="88"/>
        <v>0.8571428571428571</v>
      </c>
      <c r="AY144" s="789">
        <f t="shared" si="89"/>
        <v>63.327827404865197</v>
      </c>
      <c r="AZ144" s="763">
        <f t="shared" ref="AZ144:AZ207" si="93">(AY144+AT144)/2</f>
        <v>63.36387044422861</v>
      </c>
      <c r="BA144" s="647">
        <f t="shared" si="90"/>
        <v>0.88047126069124981</v>
      </c>
      <c r="BB144" s="642">
        <v>43230</v>
      </c>
      <c r="BC144" s="11">
        <v>43230</v>
      </c>
      <c r="BD144" s="292">
        <f>[2]!FeuilCaduc*(1-Persistant)+Persistant</f>
        <v>1</v>
      </c>
      <c r="BE144" s="293">
        <f>[2]!CroissVégét</f>
        <v>0.21756231167469237</v>
      </c>
      <c r="BF144" s="842">
        <f>1+[2]!Salcycl*Ksac</f>
        <v>1.0336634748788227</v>
      </c>
      <c r="BH144" s="1105">
        <f t="shared" si="91"/>
        <v>1.8721943886304071E-3</v>
      </c>
      <c r="BI144" s="11">
        <v>44326</v>
      </c>
      <c r="BJ144" s="742">
        <v>2.4001778990972352E-4</v>
      </c>
      <c r="BK144" s="742">
        <v>6.9735768037841692E-4</v>
      </c>
      <c r="BL144" s="742">
        <v>1.5483027549445516E-3</v>
      </c>
      <c r="BM144" s="742">
        <v>3.1695768475987767E-3</v>
      </c>
      <c r="BN144" s="742">
        <v>6.2181167820142104E-3</v>
      </c>
      <c r="BO144" s="743">
        <v>1.1656055973092008E-2</v>
      </c>
      <c r="BP144" s="742">
        <v>1.9722231614780126E-2</v>
      </c>
      <c r="BQ144" s="742">
        <v>3.231682162827574E-2</v>
      </c>
      <c r="BR144" s="742">
        <v>4.9680037750840816E-2</v>
      </c>
      <c r="BS144" s="742">
        <v>7.2132829140186969E-2</v>
      </c>
      <c r="BT144" s="742">
        <v>9.6968716246519454E-2</v>
      </c>
      <c r="BW144" s="1187">
        <f>'2018'!R\Max</f>
        <v>0</v>
      </c>
      <c r="BX144" s="1185">
        <f>'2019'!R\Max</f>
        <v>0.66856367338072309</v>
      </c>
      <c r="BY144" s="1185">
        <f>'2020'!R\Max</f>
        <v>0.70266154245342805</v>
      </c>
      <c r="BZ144" s="1185">
        <f>'2021'!R\Max</f>
        <v>0.69536119833928389</v>
      </c>
      <c r="CA144" s="1185">
        <f>'2022'!R\Max</f>
        <v>0.88047126069124981</v>
      </c>
      <c r="CB144" s="1185">
        <f>'2023'!R\Max</f>
        <v>0.88035054735436713</v>
      </c>
      <c r="CC144" s="1185">
        <f>'2024'!R\Max</f>
        <v>0.88017610254948997</v>
      </c>
      <c r="CD144" s="1185">
        <f>'2025'!R\Max</f>
        <v>0.88070214010582692</v>
      </c>
      <c r="CE144" s="1185">
        <f>'2026'!R\Max</f>
        <v>0.88067743199286541</v>
      </c>
      <c r="CF144" s="1186">
        <f>'2027'!R\Max</f>
        <v>0.88063193210993196</v>
      </c>
    </row>
    <row r="145" spans="1:84" s="6" customFormat="1" ht="11.25" x14ac:dyDescent="0.2">
      <c r="A145" s="11">
        <v>43231</v>
      </c>
      <c r="B145" s="382">
        <f>'2023'!Maxi_hp</f>
        <v>61.187606498630338</v>
      </c>
      <c r="C145" s="85">
        <f>'2023'!An_max</f>
        <v>2022</v>
      </c>
      <c r="D145" s="1132"/>
      <c r="E145" s="709"/>
      <c r="F145" s="13">
        <f t="shared" si="92"/>
        <v>11</v>
      </c>
      <c r="G145" s="13">
        <f t="shared" si="76"/>
        <v>10</v>
      </c>
      <c r="H145" s="175">
        <f t="shared" si="77"/>
        <v>43234</v>
      </c>
      <c r="I145" s="772">
        <f t="shared" si="78"/>
        <v>0.21428571428571427</v>
      </c>
      <c r="J145" s="763">
        <f t="shared" si="79"/>
        <v>63.525659037860372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P145" s="13">
        <f t="shared" si="80"/>
        <v>7</v>
      </c>
      <c r="AQ145" s="13">
        <f t="shared" si="81"/>
        <v>6</v>
      </c>
      <c r="AR145" s="175">
        <f t="shared" si="82"/>
        <v>43248</v>
      </c>
      <c r="AS145" s="772">
        <f t="shared" si="83"/>
        <v>0.6071428571428571</v>
      </c>
      <c r="AT145" s="789">
        <f t="shared" si="84"/>
        <v>63.532291107757814</v>
      </c>
      <c r="AU145" s="13">
        <f t="shared" si="85"/>
        <v>5</v>
      </c>
      <c r="AV145" s="13">
        <f t="shared" si="86"/>
        <v>6</v>
      </c>
      <c r="AW145" s="175">
        <f t="shared" si="87"/>
        <v>43206</v>
      </c>
      <c r="AX145" s="772">
        <f t="shared" si="88"/>
        <v>0.8928571428571429</v>
      </c>
      <c r="AY145" s="789">
        <f t="shared" si="89"/>
        <v>63.48041918360228</v>
      </c>
      <c r="AZ145" s="763">
        <f t="shared" si="93"/>
        <v>63.506355145680047</v>
      </c>
      <c r="BA145" s="647">
        <f t="shared" si="90"/>
        <v>0.96319514705330977</v>
      </c>
      <c r="BB145" s="642">
        <v>43231</v>
      </c>
      <c r="BC145" s="11">
        <v>43231</v>
      </c>
      <c r="BD145" s="292">
        <f>[2]!FeuilCaduc*(1-Persistant)+Persistant</f>
        <v>1</v>
      </c>
      <c r="BE145" s="293">
        <f>[2]!CroissVégét</f>
        <v>0.22467491379142088</v>
      </c>
      <c r="BF145" s="842">
        <f>1+[2]!Salcycl*Ksac</f>
        <v>1.0349448268449506</v>
      </c>
      <c r="BH145" s="1105">
        <f t="shared" si="91"/>
        <v>1.7575235618314236E-3</v>
      </c>
      <c r="BI145" s="11">
        <v>44327</v>
      </c>
      <c r="BJ145" s="742">
        <v>2.4423767001915953E-4</v>
      </c>
      <c r="BK145" s="742">
        <v>6.7119141958453185E-4</v>
      </c>
      <c r="BL145" s="742">
        <v>1.4605211071120128E-3</v>
      </c>
      <c r="BM145" s="742">
        <v>2.9471985486118507E-3</v>
      </c>
      <c r="BN145" s="742">
        <v>5.7886027050150718E-3</v>
      </c>
      <c r="BO145" s="743">
        <v>1.0875831402040972E-2</v>
      </c>
      <c r="BP145" s="742">
        <v>1.8389730838193882E-2</v>
      </c>
      <c r="BQ145" s="742">
        <v>3.0168360559536814E-2</v>
      </c>
      <c r="BR145" s="742">
        <v>4.6610160875876404E-2</v>
      </c>
      <c r="BS145" s="742">
        <v>6.7879700489139841E-2</v>
      </c>
      <c r="BT145" s="742">
        <v>9.1344459317407589E-2</v>
      </c>
      <c r="BW145" s="1187">
        <f>'2018'!R\Max</f>
        <v>0</v>
      </c>
      <c r="BX145" s="1185">
        <f>'2019'!R\Max</f>
        <v>0.63565469511484873</v>
      </c>
      <c r="BY145" s="1185">
        <f>'2020'!R\Max</f>
        <v>0.22681599169096248</v>
      </c>
      <c r="BZ145" s="1185">
        <f>'2021'!R\Max</f>
        <v>0.58663997051083172</v>
      </c>
      <c r="CA145" s="1185">
        <f>'2022'!R\Max</f>
        <v>0.96319514705330977</v>
      </c>
      <c r="CB145" s="1185">
        <f>'2023'!R\Max</f>
        <v>0.96315735088107124</v>
      </c>
      <c r="CC145" s="1185">
        <f>'2024'!R\Max</f>
        <v>0.96310238805932646</v>
      </c>
      <c r="CD145" s="1185">
        <f>'2025'!R\Max</f>
        <v>0.96326769403572976</v>
      </c>
      <c r="CE145" s="1185">
        <f>'2026'!R\Max</f>
        <v>0.96326002620077289</v>
      </c>
      <c r="CF145" s="1186">
        <f>'2027'!R\Max</f>
        <v>0.96324577443461135</v>
      </c>
    </row>
    <row r="146" spans="1:84" s="6" customFormat="1" ht="11.25" x14ac:dyDescent="0.2">
      <c r="A146" s="11">
        <v>43232</v>
      </c>
      <c r="B146" s="382">
        <f>'2023'!Maxi_hp</f>
        <v>58.723826865317584</v>
      </c>
      <c r="C146" s="85">
        <f>'2023'!An_max</f>
        <v>2019</v>
      </c>
      <c r="D146" s="1132"/>
      <c r="E146" s="709"/>
      <c r="F146" s="13">
        <f t="shared" si="92"/>
        <v>11</v>
      </c>
      <c r="G146" s="13">
        <f t="shared" si="76"/>
        <v>10</v>
      </c>
      <c r="H146" s="175">
        <f t="shared" si="77"/>
        <v>43234</v>
      </c>
      <c r="I146" s="772">
        <f t="shared" si="78"/>
        <v>0.14285714285714285</v>
      </c>
      <c r="J146" s="763">
        <f t="shared" si="79"/>
        <v>63.655813411091046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P146" s="13">
        <f t="shared" si="80"/>
        <v>7</v>
      </c>
      <c r="AQ146" s="13">
        <f t="shared" si="81"/>
        <v>6</v>
      </c>
      <c r="AR146" s="175">
        <f t="shared" si="82"/>
        <v>43248</v>
      </c>
      <c r="AS146" s="772">
        <f t="shared" si="83"/>
        <v>0.5714285714285714</v>
      </c>
      <c r="AT146" s="789">
        <f t="shared" si="84"/>
        <v>63.657622156930827</v>
      </c>
      <c r="AU146" s="13">
        <f t="shared" si="85"/>
        <v>5</v>
      </c>
      <c r="AV146" s="13">
        <f t="shared" si="86"/>
        <v>6</v>
      </c>
      <c r="AW146" s="175">
        <f t="shared" si="87"/>
        <v>43206</v>
      </c>
      <c r="AX146" s="772">
        <f t="shared" si="88"/>
        <v>0.9285714285714286</v>
      </c>
      <c r="AY146" s="789">
        <f t="shared" si="89"/>
        <v>63.626816945735889</v>
      </c>
      <c r="AZ146" s="763">
        <f t="shared" si="93"/>
        <v>63.642219551333355</v>
      </c>
      <c r="BA146" s="647">
        <f t="shared" si="90"/>
        <v>0.92252103489868942</v>
      </c>
      <c r="BB146" s="642">
        <v>43232</v>
      </c>
      <c r="BC146" s="11">
        <v>43232</v>
      </c>
      <c r="BD146" s="292">
        <f>[2]!FeuilCaduc*(1-Persistant)+Persistant</f>
        <v>1</v>
      </c>
      <c r="BE146" s="293">
        <f>[2]!CroissVégét</f>
        <v>0.23194968908707836</v>
      </c>
      <c r="BF146" s="842">
        <f>1+[2]!Salcycl*Ksac</f>
        <v>1.0362459225269123</v>
      </c>
      <c r="BH146" s="1105">
        <f t="shared" si="91"/>
        <v>1.6547786402700314E-3</v>
      </c>
      <c r="BI146" s="11">
        <v>44328</v>
      </c>
      <c r="BJ146" s="742">
        <v>2.4984874867215628E-4</v>
      </c>
      <c r="BK146" s="742">
        <v>6.492923902937191E-4</v>
      </c>
      <c r="BL146" s="742">
        <v>1.3822772977405433E-3</v>
      </c>
      <c r="BM146" s="742">
        <v>2.746311810855068E-3</v>
      </c>
      <c r="BN146" s="742">
        <v>5.3972153439180793E-3</v>
      </c>
      <c r="BO146" s="743">
        <v>1.0150501768283197E-2</v>
      </c>
      <c r="BP146" s="742">
        <v>1.7142530792287402E-2</v>
      </c>
      <c r="BQ146" s="742">
        <v>2.8121907230274513E-2</v>
      </c>
      <c r="BR146" s="742">
        <v>4.3651013311943689E-2</v>
      </c>
      <c r="BS146" s="742">
        <v>6.3738045382794803E-2</v>
      </c>
      <c r="BT146" s="742">
        <v>8.5852823336695638E-2</v>
      </c>
      <c r="BW146" s="1187">
        <f>'2018'!R\Max</f>
        <v>0</v>
      </c>
      <c r="BX146" s="1185">
        <f>'2019'!R\Max</f>
        <v>0.92252103489868942</v>
      </c>
      <c r="BY146" s="1185">
        <f>'2020'!R\Max</f>
        <v>0.18015221691097763</v>
      </c>
      <c r="BZ146" s="1185">
        <f>'2021'!R\Max</f>
        <v>0.59816440474388499</v>
      </c>
      <c r="CA146" s="1185">
        <f>'2022'!R\Max</f>
        <v>0.74957376432623202</v>
      </c>
      <c r="CB146" s="1185">
        <f>'2023'!R\Max</f>
        <v>0.74938796953791553</v>
      </c>
      <c r="CC146" s="1185">
        <f>'2024'!R\Max</f>
        <v>0.74911679144839749</v>
      </c>
      <c r="CD146" s="1185">
        <f>'2025'!R\Max</f>
        <v>0.74993223815315602</v>
      </c>
      <c r="CE146" s="1185">
        <f>'2026'!R\Max</f>
        <v>0.74989474375249998</v>
      </c>
      <c r="CF146" s="1186">
        <f>'2027'!R\Max</f>
        <v>0.74982443077221239</v>
      </c>
    </row>
    <row r="147" spans="1:84" s="6" customFormat="1" ht="11.25" x14ac:dyDescent="0.2">
      <c r="A147" s="11">
        <v>43233</v>
      </c>
      <c r="B147" s="382">
        <f>'2023'!Maxi_hp</f>
        <v>65.24369285904416</v>
      </c>
      <c r="C147" s="85">
        <f>'2023'!An_max</f>
        <v>2019</v>
      </c>
      <c r="D147" s="1132"/>
      <c r="E147" s="709"/>
      <c r="F147" s="13">
        <f t="shared" si="92"/>
        <v>11</v>
      </c>
      <c r="G147" s="13">
        <f t="shared" si="76"/>
        <v>10</v>
      </c>
      <c r="H147" s="175">
        <f t="shared" si="77"/>
        <v>43234</v>
      </c>
      <c r="I147" s="772">
        <f t="shared" si="78"/>
        <v>7.1428571428571425E-2</v>
      </c>
      <c r="J147" s="763">
        <f t="shared" si="79"/>
        <v>63.780843002774894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P147" s="13">
        <f t="shared" si="80"/>
        <v>7</v>
      </c>
      <c r="AQ147" s="13">
        <f t="shared" si="81"/>
        <v>6</v>
      </c>
      <c r="AR147" s="175">
        <f t="shared" si="82"/>
        <v>43248</v>
      </c>
      <c r="AS147" s="772">
        <f t="shared" si="83"/>
        <v>0.5357142857142857</v>
      </c>
      <c r="AT147" s="789">
        <f t="shared" si="84"/>
        <v>63.776189250206315</v>
      </c>
      <c r="AU147" s="13">
        <f t="shared" si="85"/>
        <v>5</v>
      </c>
      <c r="AV147" s="13">
        <f t="shared" si="86"/>
        <v>6</v>
      </c>
      <c r="AW147" s="175">
        <f t="shared" si="87"/>
        <v>43206</v>
      </c>
      <c r="AX147" s="772">
        <f t="shared" si="88"/>
        <v>0.9642857142857143</v>
      </c>
      <c r="AY147" s="789">
        <f t="shared" si="89"/>
        <v>63.767063088049852</v>
      </c>
      <c r="AZ147" s="763">
        <f t="shared" si="93"/>
        <v>63.771626169128083</v>
      </c>
      <c r="BA147" s="647">
        <f t="shared" si="90"/>
        <v>1.0229355679134817</v>
      </c>
      <c r="BB147" s="642">
        <v>43233</v>
      </c>
      <c r="BC147" s="11">
        <v>43233</v>
      </c>
      <c r="BD147" s="292">
        <f>[2]!FeuilCaduc*(1-Persistant)+Persistant</f>
        <v>1</v>
      </c>
      <c r="BE147" s="293">
        <f>[2]!CroissVégét</f>
        <v>0.23938589533798257</v>
      </c>
      <c r="BF147" s="842">
        <f>1+[2]!Salcycl*Ksac</f>
        <v>1.037565674843048</v>
      </c>
      <c r="BH147" s="1105">
        <f t="shared" si="91"/>
        <v>1.5639501076367191E-3</v>
      </c>
      <c r="BI147" s="11">
        <v>44329</v>
      </c>
      <c r="BJ147" s="742">
        <v>2.5684942963359651E-4</v>
      </c>
      <c r="BK147" s="742">
        <v>6.3165677463164818E-4</v>
      </c>
      <c r="BL147" s="742">
        <v>1.3135635966348978E-3</v>
      </c>
      <c r="BM147" s="742">
        <v>2.5668999635478627E-3</v>
      </c>
      <c r="BN147" s="742">
        <v>5.043925939931632E-3</v>
      </c>
      <c r="BO147" s="743">
        <v>9.4800294464383456E-3</v>
      </c>
      <c r="BP147" s="742">
        <v>1.5980575912677059E-2</v>
      </c>
      <c r="BQ147" s="742">
        <v>2.6177408291511706E-2</v>
      </c>
      <c r="BR147" s="742">
        <v>4.0802553849986899E-2</v>
      </c>
      <c r="BS147" s="742">
        <v>5.970784886667016E-2</v>
      </c>
      <c r="BT147" s="742">
        <v>8.0493803291216415E-2</v>
      </c>
      <c r="BW147" s="1187">
        <f>'2018'!R\Max</f>
        <v>0</v>
      </c>
      <c r="BX147" s="1185">
        <f>'2019'!R\Max</f>
        <v>1.0229355679134817</v>
      </c>
      <c r="BY147" s="1185">
        <f>'2020'!R\Max</f>
        <v>0.35023534015071622</v>
      </c>
      <c r="BZ147" s="1185">
        <f>'2021'!R\Max</f>
        <v>0.76323656398134199</v>
      </c>
      <c r="CA147" s="1185">
        <f>'2022'!R\Max</f>
        <v>0.79858762834634978</v>
      </c>
      <c r="CB147" s="1185">
        <f>'2023'!R\Max</f>
        <v>0.79843991305377737</v>
      </c>
      <c r="CC147" s="1185">
        <f>'2024'!R\Max</f>
        <v>0.79822387877265322</v>
      </c>
      <c r="CD147" s="1185">
        <f>'2025'!R\Max</f>
        <v>0.79887413439884813</v>
      </c>
      <c r="CE147" s="1185">
        <f>'2026'!R\Max</f>
        <v>0.79884443238167635</v>
      </c>
      <c r="CF147" s="1186">
        <f>'2027'!R\Max</f>
        <v>0.79878825122229313</v>
      </c>
    </row>
    <row r="148" spans="1:84" s="6" customFormat="1" ht="11.25" x14ac:dyDescent="0.2">
      <c r="A148" s="11">
        <v>43234</v>
      </c>
      <c r="B148" s="382">
        <f>'2023'!Maxi_hp</f>
        <v>63.602775441610461</v>
      </c>
      <c r="C148" s="85">
        <f>'2023'!An_max</f>
        <v>2019</v>
      </c>
      <c r="D148" s="1132"/>
      <c r="E148" s="771">
        <f>W$13/10</f>
        <v>63.901200000000003</v>
      </c>
      <c r="F148" s="13">
        <f t="shared" si="92"/>
        <v>11</v>
      </c>
      <c r="G148" s="13">
        <f t="shared" si="76"/>
        <v>12</v>
      </c>
      <c r="H148" s="175">
        <f t="shared" si="77"/>
        <v>43234</v>
      </c>
      <c r="I148" s="772">
        <f t="shared" si="78"/>
        <v>0</v>
      </c>
      <c r="J148" s="763">
        <f t="shared" si="79"/>
        <v>63.901199999451634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P148" s="13">
        <f t="shared" si="80"/>
        <v>7</v>
      </c>
      <c r="AQ148" s="13">
        <f t="shared" si="81"/>
        <v>6</v>
      </c>
      <c r="AR148" s="175">
        <f t="shared" si="82"/>
        <v>43248</v>
      </c>
      <c r="AS148" s="772">
        <f t="shared" si="83"/>
        <v>0.5</v>
      </c>
      <c r="AT148" s="789">
        <f t="shared" si="84"/>
        <v>63.888274998962878</v>
      </c>
      <c r="AU148" s="13">
        <f t="shared" si="85"/>
        <v>7</v>
      </c>
      <c r="AV148" s="13">
        <f t="shared" si="86"/>
        <v>6</v>
      </c>
      <c r="AW148" s="175">
        <f t="shared" si="87"/>
        <v>43262</v>
      </c>
      <c r="AX148" s="772">
        <f t="shared" si="88"/>
        <v>1</v>
      </c>
      <c r="AY148" s="789">
        <f t="shared" si="89"/>
        <v>63.901200000941756</v>
      </c>
      <c r="AZ148" s="763">
        <f t="shared" si="93"/>
        <v>63.894737499952313</v>
      </c>
      <c r="BA148" s="647">
        <f t="shared" si="90"/>
        <v>0.99532990682735634</v>
      </c>
      <c r="BB148" s="642">
        <v>43234</v>
      </c>
      <c r="BC148" s="11">
        <v>43234</v>
      </c>
      <c r="BD148" s="292">
        <f>[2]!FeuilCaduc*(1-Persistant)+Persistant</f>
        <v>1</v>
      </c>
      <c r="BE148" s="293">
        <f>[2]!CroissVégét</f>
        <v>0.24698247846918731</v>
      </c>
      <c r="BF148" s="842">
        <f>1+[2]!Salcycl*Ksac</f>
        <v>1.0389029318154424</v>
      </c>
      <c r="BH148" s="1105">
        <f t="shared" si="91"/>
        <v>1.4850278993984605E-3</v>
      </c>
      <c r="BI148" s="11">
        <v>44330</v>
      </c>
      <c r="BJ148" s="742">
        <v>2.6523803660201439E-4</v>
      </c>
      <c r="BK148" s="742">
        <v>6.1828054494395457E-4</v>
      </c>
      <c r="BL148" s="742">
        <v>1.2543718315218544E-3</v>
      </c>
      <c r="BM148" s="742">
        <v>2.4089453625088849E-3</v>
      </c>
      <c r="BN148" s="742">
        <v>4.7287040389891091E-3</v>
      </c>
      <c r="BO148" s="743">
        <v>8.8643745162163435E-3</v>
      </c>
      <c r="BP148" s="742">
        <v>1.4903807177589842E-2</v>
      </c>
      <c r="BQ148" s="742">
        <v>2.4334806760718312E-2</v>
      </c>
      <c r="BR148" s="742">
        <v>3.8064738000411012E-2</v>
      </c>
      <c r="BS148" s="742">
        <v>5.5789093730306001E-2</v>
      </c>
      <c r="BT148" s="742">
        <v>7.526739199150026E-2</v>
      </c>
      <c r="BW148" s="1187">
        <f>'2018'!R\Max</f>
        <v>0</v>
      </c>
      <c r="BX148" s="1185">
        <f>'2019'!R\Max</f>
        <v>0.99532990682735634</v>
      </c>
      <c r="BY148" s="1185">
        <f>'2020'!R\Max</f>
        <v>0.60408248271293485</v>
      </c>
      <c r="BZ148" s="1185">
        <f>'2021'!R\Max</f>
        <v>0.72622336048857195</v>
      </c>
      <c r="CA148" s="1185">
        <f>'2022'!R\Max</f>
        <v>0.82181713930694622</v>
      </c>
      <c r="CB148" s="1185">
        <f>'2023'!R\Max</f>
        <v>0.82169244158981225</v>
      </c>
      <c r="CC148" s="1185">
        <f>'2024'!R\Max</f>
        <v>0.82151025668248445</v>
      </c>
      <c r="CD148" s="1185">
        <f>'2025'!R\Max</f>
        <v>0.82206054315601285</v>
      </c>
      <c r="CE148" s="1185">
        <f>'2026'!R\Max</f>
        <v>0.82203546188765186</v>
      </c>
      <c r="CF148" s="1186">
        <f>'2027'!R\Max</f>
        <v>0.82198765288256426</v>
      </c>
    </row>
    <row r="149" spans="1:84" s="6" customFormat="1" ht="11.25" x14ac:dyDescent="0.2">
      <c r="A149" s="11">
        <v>43235</v>
      </c>
      <c r="B149" s="382">
        <f>'2023'!Maxi_hp</f>
        <v>64.554726690936292</v>
      </c>
      <c r="C149" s="85">
        <f>'2023'!An_max</f>
        <v>2019</v>
      </c>
      <c r="D149" s="1132"/>
      <c r="E149" s="709"/>
      <c r="F149" s="13">
        <f t="shared" si="92"/>
        <v>11</v>
      </c>
      <c r="G149" s="13">
        <f t="shared" si="76"/>
        <v>12</v>
      </c>
      <c r="H149" s="175">
        <f t="shared" si="77"/>
        <v>43234</v>
      </c>
      <c r="I149" s="772">
        <f t="shared" si="78"/>
        <v>7.1428571428571425E-2</v>
      </c>
      <c r="J149" s="763">
        <f t="shared" si="79"/>
        <v>64.015471319801037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P149" s="13">
        <f t="shared" si="80"/>
        <v>7</v>
      </c>
      <c r="AQ149" s="13">
        <f t="shared" si="81"/>
        <v>6</v>
      </c>
      <c r="AR149" s="175">
        <f t="shared" si="82"/>
        <v>43248</v>
      </c>
      <c r="AS149" s="772">
        <f t="shared" si="83"/>
        <v>0.4642857142857143</v>
      </c>
      <c r="AT149" s="789">
        <f t="shared" si="84"/>
        <v>63.994162025648578</v>
      </c>
      <c r="AU149" s="13">
        <f t="shared" si="85"/>
        <v>7</v>
      </c>
      <c r="AV149" s="13">
        <f t="shared" si="86"/>
        <v>6</v>
      </c>
      <c r="AW149" s="175">
        <f t="shared" si="87"/>
        <v>43262</v>
      </c>
      <c r="AX149" s="772">
        <f t="shared" si="88"/>
        <v>0.9642857142857143</v>
      </c>
      <c r="AY149" s="789">
        <f t="shared" si="89"/>
        <v>64.027729814765706</v>
      </c>
      <c r="AZ149" s="763">
        <f t="shared" si="93"/>
        <v>64.010945920207149</v>
      </c>
      <c r="BA149" s="647">
        <f t="shared" si="90"/>
        <v>1.0084238288029046</v>
      </c>
      <c r="BB149" s="642">
        <v>43235</v>
      </c>
      <c r="BC149" s="11">
        <v>43235</v>
      </c>
      <c r="BD149" s="292">
        <f>[2]!FeuilCaduc*(1-Persistant)+Persistant</f>
        <v>1</v>
      </c>
      <c r="BE149" s="293">
        <f>[2]!CroissVégét</f>
        <v>0.25473806189926657</v>
      </c>
      <c r="BF149" s="842">
        <f>1+[2]!Salcycl*Ksac</f>
        <v>1.0402564779087942</v>
      </c>
      <c r="BH149" s="1105">
        <f t="shared" si="91"/>
        <v>1.4180013767277442E-3</v>
      </c>
      <c r="BI149" s="11">
        <v>44331</v>
      </c>
      <c r="BJ149" s="742">
        <v>2.7501281014244146E-4</v>
      </c>
      <c r="BK149" s="742">
        <v>6.0915945444569154E-4</v>
      </c>
      <c r="BL149" s="742">
        <v>1.2046933671930797E-3</v>
      </c>
      <c r="BM149" s="742">
        <v>2.2724293432004601E-3</v>
      </c>
      <c r="BN149" s="742">
        <v>4.451517408487436E-3</v>
      </c>
      <c r="BO149" s="743">
        <v>8.3034946427194747E-3</v>
      </c>
      <c r="BP149" s="742">
        <v>1.3912161922008824E-2</v>
      </c>
      <c r="BQ149" s="742">
        <v>2.2594041800190087E-2</v>
      </c>
      <c r="BR149" s="742">
        <v>3.5437517753298696E-2</v>
      </c>
      <c r="BS149" s="742">
        <v>5.198176026712592E-2</v>
      </c>
      <c r="BT149" s="742">
        <v>7.0173579786682511E-2</v>
      </c>
      <c r="BW149" s="1187">
        <f>'2018'!R\Max</f>
        <v>0</v>
      </c>
      <c r="BX149" s="1185">
        <f>'2019'!R\Max</f>
        <v>1.0084238288029046</v>
      </c>
      <c r="BY149" s="1185">
        <f>'2020'!R\Max</f>
        <v>0.25619926374729723</v>
      </c>
      <c r="BZ149" s="1185">
        <f>'2021'!R\Max</f>
        <v>0.34132731774556829</v>
      </c>
      <c r="CA149" s="1185">
        <f>'2022'!R\Max</f>
        <v>0.88779746723982078</v>
      </c>
      <c r="CB149" s="1185">
        <f>'2023'!R\Max</f>
        <v>0.88771883317635736</v>
      </c>
      <c r="CC149" s="1185">
        <f>'2024'!R\Max</f>
        <v>0.88760448597054598</v>
      </c>
      <c r="CD149" s="1185">
        <f>'2025'!R\Max</f>
        <v>0.88795210229230392</v>
      </c>
      <c r="CE149" s="1185">
        <f>'2026'!R\Max</f>
        <v>0.88793620792356343</v>
      </c>
      <c r="CF149" s="1186">
        <f>'2027'!R\Max</f>
        <v>0.88790571558776643</v>
      </c>
    </row>
    <row r="150" spans="1:84" s="6" customFormat="1" ht="11.25" x14ac:dyDescent="0.2">
      <c r="A150" s="11">
        <v>43236</v>
      </c>
      <c r="B150" s="382">
        <f>'2023'!Maxi_hp</f>
        <v>55.412116441841142</v>
      </c>
      <c r="C150" s="85">
        <f>'2023'!An_max</f>
        <v>2022</v>
      </c>
      <c r="D150" s="1132"/>
      <c r="E150" s="709"/>
      <c r="F150" s="13">
        <f t="shared" si="92"/>
        <v>11</v>
      </c>
      <c r="G150" s="13">
        <f t="shared" si="76"/>
        <v>12</v>
      </c>
      <c r="H150" s="175">
        <f t="shared" si="77"/>
        <v>43234</v>
      </c>
      <c r="I150" s="772">
        <f t="shared" si="78"/>
        <v>0.14285714285714285</v>
      </c>
      <c r="J150" s="763">
        <f t="shared" si="79"/>
        <v>64.122168512642389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P150" s="13">
        <f t="shared" si="80"/>
        <v>7</v>
      </c>
      <c r="AQ150" s="13">
        <f t="shared" si="81"/>
        <v>6</v>
      </c>
      <c r="AR150" s="175">
        <f t="shared" si="82"/>
        <v>43248</v>
      </c>
      <c r="AS150" s="772">
        <f t="shared" si="83"/>
        <v>0.42857142857142855</v>
      </c>
      <c r="AT150" s="789">
        <f t="shared" si="84"/>
        <v>64.094132945154385</v>
      </c>
      <c r="AU150" s="13">
        <f t="shared" si="85"/>
        <v>7</v>
      </c>
      <c r="AV150" s="13">
        <f t="shared" si="86"/>
        <v>6</v>
      </c>
      <c r="AW150" s="175">
        <f t="shared" si="87"/>
        <v>43262</v>
      </c>
      <c r="AX150" s="772">
        <f t="shared" si="88"/>
        <v>0.9285714285714286</v>
      </c>
      <c r="AY150" s="789">
        <f t="shared" si="89"/>
        <v>64.145324235196625</v>
      </c>
      <c r="AZ150" s="763">
        <f t="shared" si="93"/>
        <v>64.119728590175498</v>
      </c>
      <c r="BA150" s="647">
        <f t="shared" si="90"/>
        <v>0.86416473003273486</v>
      </c>
      <c r="BB150" s="642">
        <v>43236</v>
      </c>
      <c r="BC150" s="11">
        <v>43236</v>
      </c>
      <c r="BD150" s="292">
        <f>[2]!FeuilCaduc*(1-Persistant)+Persistant</f>
        <v>1</v>
      </c>
      <c r="BE150" s="293">
        <f>[2]!CroissVégét</f>
        <v>0.2626509368215188</v>
      </c>
      <c r="BF150" s="842">
        <f>1+[2]!Salcycl*Ksac</f>
        <v>1.0416250357248538</v>
      </c>
      <c r="BH150" s="1105">
        <f t="shared" si="91"/>
        <v>1.3656907740758483E-3</v>
      </c>
      <c r="BI150" s="11">
        <v>44332</v>
      </c>
      <c r="BJ150" s="742">
        <v>2.8719956816606153E-4</v>
      </c>
      <c r="BK150" s="742">
        <v>6.0596414921634107E-4</v>
      </c>
      <c r="BL150" s="742">
        <v>1.1671218802859521E-3</v>
      </c>
      <c r="BM150" s="742">
        <v>2.1610796415438833E-3</v>
      </c>
      <c r="BN150" s="742">
        <v>4.215953446810891E-3</v>
      </c>
      <c r="BO150" s="743">
        <v>7.8058598666544713E-3</v>
      </c>
      <c r="BP150" s="742">
        <v>1.3021903428650108E-2</v>
      </c>
      <c r="BQ150" s="742">
        <v>2.0999148915420818E-2</v>
      </c>
      <c r="BR150" s="742">
        <v>3.3000823303582373E-2</v>
      </c>
      <c r="BS150" s="742">
        <v>4.8418834418194785E-2</v>
      </c>
      <c r="BT150" s="742">
        <v>6.5399770249357489E-2</v>
      </c>
      <c r="BW150" s="1187">
        <f>'2018'!R\Max</f>
        <v>0</v>
      </c>
      <c r="BX150" s="1185">
        <f>'2019'!R\Max</f>
        <v>0.83360779925955075</v>
      </c>
      <c r="BY150" s="1185">
        <f>'2020'!R\Max</f>
        <v>0.34112621860810216</v>
      </c>
      <c r="BZ150" s="1185">
        <f>'2021'!R\Max</f>
        <v>0.22170147683195465</v>
      </c>
      <c r="CA150" s="1185">
        <f>'2022'!R\Max</f>
        <v>0.86416473003273486</v>
      </c>
      <c r="CB150" s="1185">
        <f>'2023'!R\Max</f>
        <v>0.86407870553946919</v>
      </c>
      <c r="CC150" s="1185">
        <f>'2024'!R\Max</f>
        <v>0.86395458759605681</v>
      </c>
      <c r="CD150" s="1185">
        <f>'2025'!R\Max</f>
        <v>0.86433533291660358</v>
      </c>
      <c r="CE150" s="1185">
        <f>'2026'!R\Max</f>
        <v>0.86431775895045138</v>
      </c>
      <c r="CF150" s="1186">
        <f>'2027'!R\Max</f>
        <v>0.86428392772468376</v>
      </c>
    </row>
    <row r="151" spans="1:84" s="6" customFormat="1" ht="11.25" x14ac:dyDescent="0.2">
      <c r="A151" s="11">
        <v>43237</v>
      </c>
      <c r="B151" s="382">
        <f>'2023'!Maxi_hp</f>
        <v>59.766951406904127</v>
      </c>
      <c r="C151" s="85">
        <f>'2023'!An_max</f>
        <v>2022</v>
      </c>
      <c r="D151" s="1132"/>
      <c r="E151" s="709"/>
      <c r="F151" s="13">
        <f t="shared" si="92"/>
        <v>11</v>
      </c>
      <c r="G151" s="13">
        <f t="shared" si="76"/>
        <v>12</v>
      </c>
      <c r="H151" s="175">
        <f t="shared" si="77"/>
        <v>43234</v>
      </c>
      <c r="I151" s="772">
        <f t="shared" si="78"/>
        <v>0.21428571428571427</v>
      </c>
      <c r="J151" s="763">
        <f t="shared" si="79"/>
        <v>64.221630721911794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P151" s="13">
        <f t="shared" si="80"/>
        <v>7</v>
      </c>
      <c r="AQ151" s="13">
        <f t="shared" si="81"/>
        <v>6</v>
      </c>
      <c r="AR151" s="175">
        <f t="shared" si="82"/>
        <v>43248</v>
      </c>
      <c r="AS151" s="772">
        <f t="shared" si="83"/>
        <v>0.39285714285714285</v>
      </c>
      <c r="AT151" s="789">
        <f t="shared" si="84"/>
        <v>64.188470371972244</v>
      </c>
      <c r="AU151" s="13">
        <f t="shared" si="85"/>
        <v>7</v>
      </c>
      <c r="AV151" s="13">
        <f t="shared" si="86"/>
        <v>6</v>
      </c>
      <c r="AW151" s="175">
        <f t="shared" si="87"/>
        <v>43262</v>
      </c>
      <c r="AX151" s="772">
        <f t="shared" si="88"/>
        <v>0.8928571428571429</v>
      </c>
      <c r="AY151" s="789">
        <f t="shared" si="89"/>
        <v>64.254280005900995</v>
      </c>
      <c r="AZ151" s="763">
        <f t="shared" si="93"/>
        <v>64.221375188936619</v>
      </c>
      <c r="BA151" s="647">
        <f t="shared" si="90"/>
        <v>0.93063584239557817</v>
      </c>
      <c r="BB151" s="642">
        <v>43237</v>
      </c>
      <c r="BC151" s="11">
        <v>43237</v>
      </c>
      <c r="BD151" s="292">
        <f>[2]!FeuilCaduc*(1-Persistant)+Persistant</f>
        <v>1</v>
      </c>
      <c r="BE151" s="293">
        <f>[2]!CroissVégét</f>
        <v>0.27071905354146641</v>
      </c>
      <c r="BF151" s="842">
        <f>1+[2]!Salcycl*Ksac</f>
        <v>1.0430072680611344</v>
      </c>
      <c r="BH151" s="1105">
        <f t="shared" si="91"/>
        <v>1.3185433455954704E-3</v>
      </c>
      <c r="BI151" s="11">
        <v>44333</v>
      </c>
      <c r="BJ151" s="742">
        <v>3.0076246377393721E-4</v>
      </c>
      <c r="BK151" s="742">
        <v>6.0542472958143901E-4</v>
      </c>
      <c r="BL151" s="742">
        <v>1.1338526496528385E-3</v>
      </c>
      <c r="BM151" s="742">
        <v>2.0583416124535601E-3</v>
      </c>
      <c r="BN151" s="742">
        <v>3.9939274455049953E-3</v>
      </c>
      <c r="BO151" s="743">
        <v>7.3369354785095299E-3</v>
      </c>
      <c r="BP151" s="742">
        <v>1.2187941047359797E-2</v>
      </c>
      <c r="BQ151" s="742">
        <v>1.9520653470522276E-2</v>
      </c>
      <c r="BR151" s="742">
        <v>3.0737299098774967E-2</v>
      </c>
      <c r="BS151" s="742">
        <v>4.5113824830527116E-2</v>
      </c>
      <c r="BT151" s="742">
        <v>6.0978050382258744E-2</v>
      </c>
      <c r="BW151" s="1187">
        <f>'2018'!R\Max</f>
        <v>0</v>
      </c>
      <c r="BX151" s="1185">
        <f>'2019'!R\Max</f>
        <v>0.11518670038373506</v>
      </c>
      <c r="BY151" s="1185">
        <f>'2020'!R\Max</f>
        <v>0.52599168152073905</v>
      </c>
      <c r="BZ151" s="1185">
        <f>'2021'!R\Max</f>
        <v>0.9240147896594374</v>
      </c>
      <c r="CA151" s="1185">
        <f>'2022'!R\Max</f>
        <v>0.93063584239557817</v>
      </c>
      <c r="CB151" s="1185">
        <f>'2023'!R\Max</f>
        <v>0.93059191497703186</v>
      </c>
      <c r="CC151" s="1185">
        <f>'2024'!R\Max</f>
        <v>0.93052900385025572</v>
      </c>
      <c r="CD151" s="1185">
        <f>'2025'!R\Max</f>
        <v>0.93072361424899486</v>
      </c>
      <c r="CE151" s="1185">
        <f>'2026'!R\Max</f>
        <v>0.93071455119090096</v>
      </c>
      <c r="CF151" s="1186">
        <f>'2027'!R\Max</f>
        <v>0.93069705531096847</v>
      </c>
    </row>
    <row r="152" spans="1:84" s="6" customFormat="1" ht="11.25" x14ac:dyDescent="0.2">
      <c r="A152" s="11">
        <v>43238</v>
      </c>
      <c r="B152" s="382">
        <f>'2023'!Maxi_hp</f>
        <v>64.833198802654493</v>
      </c>
      <c r="C152" s="85">
        <f>'2023'!An_max</f>
        <v>2020</v>
      </c>
      <c r="D152" s="1132"/>
      <c r="E152" s="709"/>
      <c r="F152" s="13">
        <f t="shared" si="92"/>
        <v>11</v>
      </c>
      <c r="G152" s="13">
        <f t="shared" si="76"/>
        <v>12</v>
      </c>
      <c r="H152" s="175">
        <f t="shared" si="77"/>
        <v>43234</v>
      </c>
      <c r="I152" s="772">
        <f t="shared" si="78"/>
        <v>0.2857142857142857</v>
      </c>
      <c r="J152" s="763">
        <f t="shared" si="79"/>
        <v>64.314197084626983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P152" s="13">
        <f t="shared" si="80"/>
        <v>7</v>
      </c>
      <c r="AQ152" s="13">
        <f t="shared" si="81"/>
        <v>6</v>
      </c>
      <c r="AR152" s="175">
        <f t="shared" si="82"/>
        <v>43248</v>
      </c>
      <c r="AS152" s="772">
        <f t="shared" si="83"/>
        <v>0.35714285714285715</v>
      </c>
      <c r="AT152" s="789">
        <f t="shared" si="84"/>
        <v>64.277456924319267</v>
      </c>
      <c r="AU152" s="13">
        <f t="shared" si="85"/>
        <v>7</v>
      </c>
      <c r="AV152" s="13">
        <f t="shared" si="86"/>
        <v>6</v>
      </c>
      <c r="AW152" s="175">
        <f t="shared" si="87"/>
        <v>43262</v>
      </c>
      <c r="AX152" s="772">
        <f t="shared" si="88"/>
        <v>0.8571428571428571</v>
      </c>
      <c r="AY152" s="789">
        <f t="shared" si="89"/>
        <v>64.354893878102303</v>
      </c>
      <c r="AZ152" s="763">
        <f t="shared" si="93"/>
        <v>64.316175401210785</v>
      </c>
      <c r="BA152" s="647">
        <f t="shared" si="90"/>
        <v>1.0080697846129463</v>
      </c>
      <c r="BB152" s="642">
        <v>43238</v>
      </c>
      <c r="BC152" s="11">
        <v>43238</v>
      </c>
      <c r="BD152" s="292">
        <f>[2]!FeuilCaduc*(1-Persistant)+Persistant</f>
        <v>1</v>
      </c>
      <c r="BE152" s="293">
        <f>[2]!CroissVégét</f>
        <v>0.27894001398938062</v>
      </c>
      <c r="BF152" s="842">
        <f>1+[2]!Salcycl*Ksac</f>
        <v>1.0444017803397805</v>
      </c>
      <c r="BH152" s="1105">
        <f t="shared" si="91"/>
        <v>1.276554327906302E-3</v>
      </c>
      <c r="BI152" s="11">
        <v>44334</v>
      </c>
      <c r="BJ152" s="742">
        <v>3.1569944528507825E-4</v>
      </c>
      <c r="BK152" s="742">
        <v>6.0753804204652861E-4</v>
      </c>
      <c r="BL152" s="742">
        <v>1.1048815147048907E-3</v>
      </c>
      <c r="BM152" s="742">
        <v>1.9642080780037413E-3</v>
      </c>
      <c r="BN152" s="742">
        <v>3.785429776371859E-3</v>
      </c>
      <c r="BO152" s="743">
        <v>6.8967012757660782E-3</v>
      </c>
      <c r="BP152" s="742">
        <v>1.1410233098246606E-2</v>
      </c>
      <c r="BQ152" s="742">
        <v>1.815846319413655E-2</v>
      </c>
      <c r="BR152" s="742">
        <v>2.8646809393134087E-2</v>
      </c>
      <c r="BS152" s="742">
        <v>4.2066527474950183E-2</v>
      </c>
      <c r="BT152" s="742">
        <v>5.6908139068464474E-2</v>
      </c>
      <c r="BW152" s="1187">
        <f>'2018'!R\Max</f>
        <v>0</v>
      </c>
      <c r="BX152" s="1185">
        <f>'2019'!R\Max</f>
        <v>0.62573566444207396</v>
      </c>
      <c r="BY152" s="1185">
        <f>'2020'!R\Max</f>
        <v>1.0080697846129463</v>
      </c>
      <c r="BZ152" s="1185">
        <f>'2021'!R\Max</f>
        <v>0.59620378195764101</v>
      </c>
      <c r="CA152" s="1185">
        <f>'2022'!R\Max</f>
        <v>0.90453139736272892</v>
      </c>
      <c r="CB152" s="1185">
        <f>'2023'!R\Max</f>
        <v>0.90447680545237819</v>
      </c>
      <c r="CC152" s="1185">
        <f>'2024'!R\Max</f>
        <v>0.90439916572694756</v>
      </c>
      <c r="CD152" s="1185">
        <f>'2025'!R\Max</f>
        <v>0.90464121085318372</v>
      </c>
      <c r="CE152" s="1185">
        <f>'2026'!R\Max</f>
        <v>0.90462984005015235</v>
      </c>
      <c r="CF152" s="1186">
        <f>'2027'!R\Max</f>
        <v>0.90460784745680589</v>
      </c>
    </row>
    <row r="153" spans="1:84" s="6" customFormat="1" ht="11.25" x14ac:dyDescent="0.2">
      <c r="A153" s="11">
        <v>43239</v>
      </c>
      <c r="B153" s="382">
        <f>'2023'!Maxi_hp</f>
        <v>63.754093188120109</v>
      </c>
      <c r="C153" s="85">
        <f>'2023'!An_max</f>
        <v>2020</v>
      </c>
      <c r="D153" s="1132"/>
      <c r="E153" s="709"/>
      <c r="F153" s="13">
        <f t="shared" si="92"/>
        <v>11</v>
      </c>
      <c r="G153" s="13">
        <f t="shared" si="76"/>
        <v>12</v>
      </c>
      <c r="H153" s="175">
        <f t="shared" si="77"/>
        <v>43234</v>
      </c>
      <c r="I153" s="772">
        <f t="shared" si="78"/>
        <v>0.35714285714285715</v>
      </c>
      <c r="J153" s="763">
        <f t="shared" si="79"/>
        <v>64.400206742595344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P153" s="13">
        <f t="shared" si="80"/>
        <v>7</v>
      </c>
      <c r="AQ153" s="13">
        <f t="shared" si="81"/>
        <v>6</v>
      </c>
      <c r="AR153" s="175">
        <f t="shared" si="82"/>
        <v>43248</v>
      </c>
      <c r="AS153" s="772">
        <f t="shared" si="83"/>
        <v>0.32142857142857145</v>
      </c>
      <c r="AT153" s="789">
        <f t="shared" si="84"/>
        <v>64.361375219215248</v>
      </c>
      <c r="AU153" s="13">
        <f t="shared" si="85"/>
        <v>7</v>
      </c>
      <c r="AV153" s="13">
        <f t="shared" si="86"/>
        <v>6</v>
      </c>
      <c r="AW153" s="175">
        <f t="shared" si="87"/>
        <v>43262</v>
      </c>
      <c r="AX153" s="772">
        <f t="shared" si="88"/>
        <v>0.8214285714285714</v>
      </c>
      <c r="AY153" s="789">
        <f t="shared" si="89"/>
        <v>64.447462595546895</v>
      </c>
      <c r="AZ153" s="763">
        <f t="shared" si="93"/>
        <v>64.404418907381071</v>
      </c>
      <c r="BA153" s="647">
        <f t="shared" si="90"/>
        <v>0.98996721303927293</v>
      </c>
      <c r="BB153" s="642">
        <v>43239</v>
      </c>
      <c r="BC153" s="11">
        <v>43239</v>
      </c>
      <c r="BD153" s="292">
        <f>[2]!FeuilCaduc*(1-Persistant)+Persistant</f>
        <v>1</v>
      </c>
      <c r="BE153" s="293">
        <f>[2]!CroissVégét</f>
        <v>0.28731106552397356</v>
      </c>
      <c r="BF153" s="842">
        <f>1+[2]!Salcycl*Ksac</f>
        <v>1.045807123409465</v>
      </c>
      <c r="BH153" s="1105">
        <f t="shared" si="91"/>
        <v>1.239718688012104E-3</v>
      </c>
      <c r="BI153" s="11">
        <v>44335</v>
      </c>
      <c r="BJ153" s="742">
        <v>3.3200836504370431E-4</v>
      </c>
      <c r="BK153" s="742">
        <v>6.1230077257066085E-4</v>
      </c>
      <c r="BL153" s="742">
        <v>1.080204084596346E-3</v>
      </c>
      <c r="BM153" s="742">
        <v>1.8786714329960136E-3</v>
      </c>
      <c r="BN153" s="742">
        <v>3.5904501947621862E-3</v>
      </c>
      <c r="BO153" s="743">
        <v>6.4851357478659518E-3</v>
      </c>
      <c r="BP153" s="742">
        <v>1.0688735259587689E-2</v>
      </c>
      <c r="BQ153" s="742">
        <v>1.6912480130770877E-2</v>
      </c>
      <c r="BR153" s="742">
        <v>2.6729210041821314E-2</v>
      </c>
      <c r="BS153" s="742">
        <v>3.9276725752227917E-2</v>
      </c>
      <c r="BT153" s="742">
        <v>5.3189737948563118E-2</v>
      </c>
      <c r="BW153" s="1187">
        <f>'2018'!R\Max</f>
        <v>0</v>
      </c>
      <c r="BX153" s="1185">
        <f>'2019'!R\Max</f>
        <v>0.44917354351960975</v>
      </c>
      <c r="BY153" s="1185">
        <f>'2020'!R\Max</f>
        <v>0.98996721303927293</v>
      </c>
      <c r="BZ153" s="1185">
        <f>'2021'!R\Max</f>
        <v>0.84548993236032866</v>
      </c>
      <c r="CA153" s="1185">
        <f>'2022'!R\Max</f>
        <v>0.93654750533886844</v>
      </c>
      <c r="CB153" s="1185">
        <f>'2023'!R\Max</f>
        <v>0.93651256484836409</v>
      </c>
      <c r="CC153" s="1185">
        <f>'2024'!R\Max</f>
        <v>0.93646316558660381</v>
      </c>
      <c r="CD153" s="1185">
        <f>'2025'!R\Max</f>
        <v>0.93661816364034434</v>
      </c>
      <c r="CE153" s="1185">
        <f>'2026'!R\Max</f>
        <v>0.93661082525048645</v>
      </c>
      <c r="CF153" s="1186">
        <f>'2027'!R\Max</f>
        <v>0.93659661933218519</v>
      </c>
    </row>
    <row r="154" spans="1:84" s="6" customFormat="1" ht="11.25" x14ac:dyDescent="0.2">
      <c r="A154" s="11">
        <v>43240</v>
      </c>
      <c r="B154" s="382">
        <f>'2023'!Maxi_hp</f>
        <v>63.57811157089013</v>
      </c>
      <c r="C154" s="85">
        <f>'2023'!An_max</f>
        <v>2021</v>
      </c>
      <c r="D154" s="1132"/>
      <c r="E154" s="709"/>
      <c r="F154" s="13">
        <f t="shared" si="92"/>
        <v>11</v>
      </c>
      <c r="G154" s="13">
        <f t="shared" si="76"/>
        <v>12</v>
      </c>
      <c r="H154" s="175">
        <f t="shared" si="77"/>
        <v>43234</v>
      </c>
      <c r="I154" s="772">
        <f t="shared" si="78"/>
        <v>0.42857142857142855</v>
      </c>
      <c r="J154" s="763">
        <f t="shared" si="79"/>
        <v>64.479998835069779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P154" s="13">
        <f t="shared" si="80"/>
        <v>7</v>
      </c>
      <c r="AQ154" s="13">
        <f t="shared" si="81"/>
        <v>6</v>
      </c>
      <c r="AR154" s="175">
        <f t="shared" si="82"/>
        <v>43248</v>
      </c>
      <c r="AS154" s="772">
        <f t="shared" si="83"/>
        <v>0.2857142857142857</v>
      </c>
      <c r="AT154" s="789">
        <f t="shared" si="84"/>
        <v>64.44050787272198</v>
      </c>
      <c r="AU154" s="13">
        <f t="shared" si="85"/>
        <v>7</v>
      </c>
      <c r="AV154" s="13">
        <f t="shared" si="86"/>
        <v>6</v>
      </c>
      <c r="AW154" s="175">
        <f t="shared" si="87"/>
        <v>43262</v>
      </c>
      <c r="AX154" s="772">
        <f t="shared" si="88"/>
        <v>0.7857142857142857</v>
      </c>
      <c r="AY154" s="789">
        <f t="shared" si="89"/>
        <v>64.532282907515764</v>
      </c>
      <c r="AZ154" s="763">
        <f t="shared" si="93"/>
        <v>64.486395390118872</v>
      </c>
      <c r="BA154" s="647">
        <f t="shared" si="90"/>
        <v>0.98601291438471417</v>
      </c>
      <c r="BB154" s="642">
        <v>43240</v>
      </c>
      <c r="BC154" s="11">
        <v>43240</v>
      </c>
      <c r="BD154" s="292">
        <f>[2]!FeuilCaduc*(1-Persistant)+Persistant</f>
        <v>1</v>
      </c>
      <c r="BE154" s="293">
        <f>[2]!CroissVégét</f>
        <v>0.29582909613929492</v>
      </c>
      <c r="BF154" s="842">
        <f>1+[2]!Salcycl*Ksac</f>
        <v>1.0472217967200479</v>
      </c>
      <c r="BH154" s="1105">
        <f t="shared" si="91"/>
        <v>1.2080311120237839E-3</v>
      </c>
      <c r="BI154" s="11">
        <v>44336</v>
      </c>
      <c r="BJ154" s="742">
        <v>3.496869763719008E-4</v>
      </c>
      <c r="BK154" s="742">
        <v>6.1970944072773596E-4</v>
      </c>
      <c r="BL154" s="742">
        <v>1.0598157288184522E-3</v>
      </c>
      <c r="BM154" s="742">
        <v>1.8017236261884987E-3</v>
      </c>
      <c r="BN154" s="742">
        <v>3.408977810164852E-3</v>
      </c>
      <c r="BO154" s="743">
        <v>6.1022160138339667E-3</v>
      </c>
      <c r="BP154" s="742">
        <v>1.0023400445375787E-2</v>
      </c>
      <c r="BQ154" s="742">
        <v>1.5782600387209911E-2</v>
      </c>
      <c r="BR154" s="742">
        <v>2.498434812373285E-2</v>
      </c>
      <c r="BS154" s="742">
        <v>3.6744189931205491E-2</v>
      </c>
      <c r="BT154" s="742">
        <v>4.9822530653502006E-2</v>
      </c>
      <c r="BW154" s="1187">
        <f>'2018'!R\Max</f>
        <v>0</v>
      </c>
      <c r="BX154" s="1185">
        <f>'2019'!R\Max</f>
        <v>0.92644477616897547</v>
      </c>
      <c r="BY154" s="1185">
        <f>'2020'!R\Max</f>
        <v>0.96665861654720375</v>
      </c>
      <c r="BZ154" s="1185">
        <f>'2021'!R\Max</f>
        <v>0.98601291438471417</v>
      </c>
      <c r="CA154" s="1185">
        <f>'2022'!R\Max</f>
        <v>0.81479210203228836</v>
      </c>
      <c r="CB154" s="1185">
        <f>'2023'!R\Max</f>
        <v>0.8147094485252665</v>
      </c>
      <c r="CC154" s="1185">
        <f>'2024'!R\Max</f>
        <v>0.81459312835081832</v>
      </c>
      <c r="CD154" s="1185">
        <f>'2025'!R\Max</f>
        <v>0.81495991443502303</v>
      </c>
      <c r="CE154" s="1185">
        <f>'2026'!R\Max</f>
        <v>0.81494242707350095</v>
      </c>
      <c r="CF154" s="1186">
        <f>'2027'!R\Max</f>
        <v>0.81490858861863713</v>
      </c>
    </row>
    <row r="155" spans="1:84" s="6" customFormat="1" ht="11.25" x14ac:dyDescent="0.2">
      <c r="A155" s="11">
        <v>43241</v>
      </c>
      <c r="B155" s="382">
        <f>'2023'!Maxi_hp</f>
        <v>62.178708912121074</v>
      </c>
      <c r="C155" s="85">
        <f>'2023'!An_max</f>
        <v>2020</v>
      </c>
      <c r="D155" s="1132"/>
      <c r="E155" s="709"/>
      <c r="F155" s="13">
        <f t="shared" si="92"/>
        <v>11</v>
      </c>
      <c r="G155" s="13">
        <f t="shared" si="76"/>
        <v>12</v>
      </c>
      <c r="H155" s="175">
        <f t="shared" si="77"/>
        <v>43234</v>
      </c>
      <c r="I155" s="772">
        <f t="shared" si="78"/>
        <v>0.5</v>
      </c>
      <c r="J155" s="763">
        <f t="shared" si="79"/>
        <v>64.553912500292057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P155" s="13">
        <f t="shared" si="80"/>
        <v>7</v>
      </c>
      <c r="AQ155" s="13">
        <f t="shared" si="81"/>
        <v>6</v>
      </c>
      <c r="AR155" s="175">
        <f t="shared" si="82"/>
        <v>43248</v>
      </c>
      <c r="AS155" s="772">
        <f t="shared" si="83"/>
        <v>0.25</v>
      </c>
      <c r="AT155" s="789">
        <f t="shared" si="84"/>
        <v>64.515137499943378</v>
      </c>
      <c r="AU155" s="13">
        <f t="shared" si="85"/>
        <v>7</v>
      </c>
      <c r="AV155" s="13">
        <f t="shared" si="86"/>
        <v>6</v>
      </c>
      <c r="AW155" s="175">
        <f t="shared" si="87"/>
        <v>43262</v>
      </c>
      <c r="AX155" s="772">
        <f t="shared" si="88"/>
        <v>0.75</v>
      </c>
      <c r="AY155" s="789">
        <f t="shared" si="89"/>
        <v>64.609651562571528</v>
      </c>
      <c r="AZ155" s="763">
        <f t="shared" si="93"/>
        <v>64.562394531257453</v>
      </c>
      <c r="BA155" s="647">
        <f t="shared" si="90"/>
        <v>0.96320589262253875</v>
      </c>
      <c r="BB155" s="642">
        <v>43241</v>
      </c>
      <c r="BC155" s="11">
        <v>43241</v>
      </c>
      <c r="BD155" s="292">
        <f>[2]!FeuilCaduc*(1-Persistant)+Persistant</f>
        <v>1</v>
      </c>
      <c r="BE155" s="293">
        <f>[2]!CroissVégét</f>
        <v>0.30449063118118064</v>
      </c>
      <c r="BF155" s="842">
        <f>1+[2]!Salcycl*Ksac</f>
        <v>1.0486442518664663</v>
      </c>
      <c r="BH155" s="1105">
        <f t="shared" si="91"/>
        <v>1.1814859938114387E-3</v>
      </c>
      <c r="BI155" s="11">
        <v>44337</v>
      </c>
      <c r="BJ155" s="742">
        <v>3.6873293050416307E-4</v>
      </c>
      <c r="BK155" s="742">
        <v>6.2976039383356075E-4</v>
      </c>
      <c r="BL155" s="742">
        <v>1.04371156773175E-3</v>
      </c>
      <c r="BM155" s="742">
        <v>1.7333561414163909E-3</v>
      </c>
      <c r="BN155" s="742">
        <v>3.2410010565876754E-3</v>
      </c>
      <c r="BO155" s="743">
        <v>5.7479177595212401E-3</v>
      </c>
      <c r="BP155" s="742">
        <v>9.4141786822398953E-3</v>
      </c>
      <c r="BQ155" s="742">
        <v>1.4768713877933362E-2</v>
      </c>
      <c r="BR155" s="742">
        <v>2.3412061562760083E-2</v>
      </c>
      <c r="BS155" s="742">
        <v>3.446867658464773E-2</v>
      </c>
      <c r="BT155" s="742">
        <v>4.6806182034314837E-2</v>
      </c>
      <c r="BW155" s="1187">
        <f>'2018'!R\Max</f>
        <v>0</v>
      </c>
      <c r="BX155" s="1185">
        <f>'2019'!R\Max</f>
        <v>0.73895554517416639</v>
      </c>
      <c r="BY155" s="1185">
        <f>'2020'!R\Max</f>
        <v>0.96320589262253875</v>
      </c>
      <c r="BZ155" s="1185">
        <f>'2021'!R\Max</f>
        <v>0.6483550279481658</v>
      </c>
      <c r="CA155" s="1185">
        <f>'2022'!R\Max</f>
        <v>0.8259724645293216</v>
      </c>
      <c r="CB155" s="1185">
        <f>'2023'!R\Max</f>
        <v>0.82589894058409297</v>
      </c>
      <c r="CC155" s="1185">
        <f>'2024'!R\Max</f>
        <v>0.82579570474970332</v>
      </c>
      <c r="CD155" s="1185">
        <f>'2025'!R\Max</f>
        <v>0.826122009222236</v>
      </c>
      <c r="CE155" s="1185">
        <f>'2026'!R\Max</f>
        <v>0.82610637298680767</v>
      </c>
      <c r="CF155" s="1186">
        <f>'2027'!R\Max</f>
        <v>0.82607617278991663</v>
      </c>
    </row>
    <row r="156" spans="1:84" s="6" customFormat="1" ht="11.25" x14ac:dyDescent="0.2">
      <c r="A156" s="11">
        <v>43242</v>
      </c>
      <c r="B156" s="382">
        <f>'2023'!Maxi_hp</f>
        <v>63.08837322256813</v>
      </c>
      <c r="C156" s="85">
        <f>'2023'!An_max</f>
        <v>2019</v>
      </c>
      <c r="D156" s="1132"/>
      <c r="E156" s="709"/>
      <c r="F156" s="13">
        <f t="shared" si="92"/>
        <v>11</v>
      </c>
      <c r="G156" s="13">
        <f t="shared" si="76"/>
        <v>12</v>
      </c>
      <c r="H156" s="175">
        <f t="shared" si="77"/>
        <v>43234</v>
      </c>
      <c r="I156" s="772">
        <f t="shared" si="78"/>
        <v>0.5714285714285714</v>
      </c>
      <c r="J156" s="763">
        <f t="shared" si="79"/>
        <v>64.622286881293562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P156" s="13">
        <f t="shared" si="80"/>
        <v>7</v>
      </c>
      <c r="AQ156" s="13">
        <f t="shared" si="81"/>
        <v>6</v>
      </c>
      <c r="AR156" s="175">
        <f t="shared" si="82"/>
        <v>43248</v>
      </c>
      <c r="AS156" s="772">
        <f t="shared" si="83"/>
        <v>0.21428571428571427</v>
      </c>
      <c r="AT156" s="789">
        <f t="shared" si="84"/>
        <v>64.585546719761822</v>
      </c>
      <c r="AU156" s="13">
        <f t="shared" si="85"/>
        <v>7</v>
      </c>
      <c r="AV156" s="13">
        <f t="shared" si="86"/>
        <v>6</v>
      </c>
      <c r="AW156" s="175">
        <f t="shared" si="87"/>
        <v>43262</v>
      </c>
      <c r="AX156" s="772">
        <f t="shared" si="88"/>
        <v>0.7142857142857143</v>
      </c>
      <c r="AY156" s="789">
        <f t="shared" si="89"/>
        <v>64.679865304806398</v>
      </c>
      <c r="AZ156" s="763">
        <f t="shared" si="93"/>
        <v>64.632706012284103</v>
      </c>
      <c r="BA156" s="647">
        <f t="shared" si="90"/>
        <v>0.97626339560617659</v>
      </c>
      <c r="BB156" s="642">
        <v>43242</v>
      </c>
      <c r="BC156" s="11">
        <v>43242</v>
      </c>
      <c r="BD156" s="292">
        <f>[2]!FeuilCaduc*(1-Persistant)+Persistant</f>
        <v>1</v>
      </c>
      <c r="BE156" s="293">
        <f>[2]!CroissVégét</f>
        <v>0.3132918316722918</v>
      </c>
      <c r="BF156" s="842">
        <f>1+[2]!Salcycl*Ksac</f>
        <v>1.0500728964949999</v>
      </c>
      <c r="BH156" s="1105">
        <f t="shared" si="91"/>
        <v>1.1625311179828809E-3</v>
      </c>
      <c r="BI156" s="11">
        <v>44338</v>
      </c>
      <c r="BJ156" s="742">
        <v>3.8991485691950085E-4</v>
      </c>
      <c r="BK156" s="742">
        <v>6.4353395725964108E-4</v>
      </c>
      <c r="BL156" s="742">
        <v>1.0339935470413994E-3</v>
      </c>
      <c r="BM156" s="742">
        <v>1.6774020578714504E-3</v>
      </c>
      <c r="BN156" s="742">
        <v>3.0931597350831509E-3</v>
      </c>
      <c r="BO156" s="743">
        <v>5.4314700369067622E-3</v>
      </c>
      <c r="BP156" s="742">
        <v>8.8721272155920013E-3</v>
      </c>
      <c r="BQ156" s="742">
        <v>1.3878983689818771E-2</v>
      </c>
      <c r="BR156" s="742">
        <v>2.2021880364308147E-2</v>
      </c>
      <c r="BS156" s="742">
        <v>3.2468698011551542E-2</v>
      </c>
      <c r="BT156" s="742">
        <v>4.4179451605947211E-2</v>
      </c>
      <c r="BW156" s="1187">
        <f>'2018'!R\Max</f>
        <v>0</v>
      </c>
      <c r="BX156" s="1185">
        <f>'2019'!R\Max</f>
        <v>0.97626339560617659</v>
      </c>
      <c r="BY156" s="1185">
        <f>'2020'!R\Max</f>
        <v>0.91087161004827499</v>
      </c>
      <c r="BZ156" s="1185">
        <f>'2021'!R\Max</f>
        <v>0.56386227998396454</v>
      </c>
      <c r="CA156" s="1185">
        <f>'2022'!R\Max</f>
        <v>0.58635295251758701</v>
      </c>
      <c r="CB156" s="1185">
        <f>'2023'!R\Max</f>
        <v>0.58623666744876701</v>
      </c>
      <c r="CC156" s="1185">
        <f>'2024'!R\Max</f>
        <v>0.58607351427773979</v>
      </c>
      <c r="CD156" s="1185">
        <f>'2025'!R\Max</f>
        <v>0.58658963432937972</v>
      </c>
      <c r="CE156" s="1185">
        <f>'2026'!R\Max</f>
        <v>0.58656476941827707</v>
      </c>
      <c r="CF156" s="1186">
        <f>'2027'!R\Max</f>
        <v>0.58651694838491542</v>
      </c>
    </row>
    <row r="157" spans="1:84" s="6" customFormat="1" ht="11.25" x14ac:dyDescent="0.2">
      <c r="A157" s="11">
        <v>43243</v>
      </c>
      <c r="B157" s="382">
        <f>'2023'!Maxi_hp</f>
        <v>57.176818430303342</v>
      </c>
      <c r="C157" s="85">
        <f>'2023'!An_max</f>
        <v>2020</v>
      </c>
      <c r="D157" s="1132"/>
      <c r="E157" s="709"/>
      <c r="F157" s="13">
        <f t="shared" si="92"/>
        <v>11</v>
      </c>
      <c r="G157" s="13">
        <f t="shared" si="76"/>
        <v>12</v>
      </c>
      <c r="H157" s="175">
        <f t="shared" si="77"/>
        <v>43234</v>
      </c>
      <c r="I157" s="772">
        <f t="shared" si="78"/>
        <v>0.6428571428571429</v>
      </c>
      <c r="J157" s="763">
        <f t="shared" si="79"/>
        <v>64.68546111589032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P157" s="13">
        <f t="shared" si="80"/>
        <v>7</v>
      </c>
      <c r="AQ157" s="13">
        <f t="shared" si="81"/>
        <v>6</v>
      </c>
      <c r="AR157" s="175">
        <f t="shared" si="82"/>
        <v>43248</v>
      </c>
      <c r="AS157" s="772">
        <f t="shared" si="83"/>
        <v>0.17857142857142858</v>
      </c>
      <c r="AT157" s="789">
        <f t="shared" si="84"/>
        <v>64.652018149489805</v>
      </c>
      <c r="AU157" s="13">
        <f t="shared" si="85"/>
        <v>7</v>
      </c>
      <c r="AV157" s="13">
        <f t="shared" si="86"/>
        <v>6</v>
      </c>
      <c r="AW157" s="175">
        <f t="shared" si="87"/>
        <v>43262</v>
      </c>
      <c r="AX157" s="772">
        <f t="shared" si="88"/>
        <v>0.6785714285714286</v>
      </c>
      <c r="AY157" s="789">
        <f t="shared" si="89"/>
        <v>64.743220886588091</v>
      </c>
      <c r="AZ157" s="763">
        <f t="shared" si="93"/>
        <v>64.697619518038948</v>
      </c>
      <c r="BA157" s="647">
        <f t="shared" si="90"/>
        <v>0.88392070557965863</v>
      </c>
      <c r="BB157" s="642">
        <v>43243</v>
      </c>
      <c r="BC157" s="11">
        <v>43243</v>
      </c>
      <c r="BD157" s="292">
        <f>[2]!FeuilCaduc*(1-Persistant)+Persistant</f>
        <v>1</v>
      </c>
      <c r="BE157" s="293">
        <f>[2]!CroissVégét</f>
        <v>0.3222284943358365</v>
      </c>
      <c r="BF157" s="842">
        <f>1+[2]!Salcycl*Ksac</f>
        <v>1.0515060985616662</v>
      </c>
      <c r="BH157" s="1105">
        <f t="shared" si="91"/>
        <v>1.1488490900302965E-3</v>
      </c>
      <c r="BI157" s="11">
        <v>44339</v>
      </c>
      <c r="BJ157" s="742">
        <v>4.1286691569525802E-4</v>
      </c>
      <c r="BK157" s="742">
        <v>6.6003839598323887E-4</v>
      </c>
      <c r="BL157" s="742">
        <v>1.0289679426835634E-3</v>
      </c>
      <c r="BM157" s="742">
        <v>1.6290458026119658E-3</v>
      </c>
      <c r="BN157" s="742">
        <v>2.955656291250787E-3</v>
      </c>
      <c r="BO157" s="743">
        <v>5.1329500184789743E-3</v>
      </c>
      <c r="BP157" s="742">
        <v>8.3577907313594334E-3</v>
      </c>
      <c r="BQ157" s="742">
        <v>1.3042051193553563E-2</v>
      </c>
      <c r="BR157" s="742">
        <v>2.0721999156847897E-2</v>
      </c>
      <c r="BS157" s="742">
        <v>3.0621317389600927E-2</v>
      </c>
      <c r="BT157" s="742">
        <v>4.178025851535648E-2</v>
      </c>
      <c r="BW157" s="1187">
        <f>'2018'!R\Max</f>
        <v>0</v>
      </c>
      <c r="BX157" s="1185">
        <f>'2019'!R\Max</f>
        <v>0.82806443862269585</v>
      </c>
      <c r="BY157" s="1185">
        <f>'2020'!R\Max</f>
        <v>0.88392070557965863</v>
      </c>
      <c r="BZ157" s="1185">
        <f>'2021'!R\Max</f>
        <v>0.59396566084082814</v>
      </c>
      <c r="CA157" s="1185">
        <f>'2022'!R\Max</f>
        <v>0.3023160598166289</v>
      </c>
      <c r="CB157" s="1185">
        <f>'2023'!R\Max</f>
        <v>0.3022213865779067</v>
      </c>
      <c r="CC157" s="1185">
        <f>'2024'!R\Max</f>
        <v>0.3020884380715308</v>
      </c>
      <c r="CD157" s="1185">
        <f>'2025'!R\Max</f>
        <v>0.30250882934435358</v>
      </c>
      <c r="CE157" s="1185">
        <f>'2026'!R\Max</f>
        <v>0.30248845961129445</v>
      </c>
      <c r="CF157" s="1186">
        <f>'2027'!R\Max</f>
        <v>0.30244951383896124</v>
      </c>
    </row>
    <row r="158" spans="1:84" s="6" customFormat="1" ht="11.25" x14ac:dyDescent="0.2">
      <c r="A158" s="11">
        <v>43244</v>
      </c>
      <c r="B158" s="382">
        <f>'2023'!Maxi_hp</f>
        <v>28.621272020184886</v>
      </c>
      <c r="C158" s="85">
        <f>'2023'!An_max</f>
        <v>2021</v>
      </c>
      <c r="D158" s="1132"/>
      <c r="E158" s="709"/>
      <c r="F158" s="13">
        <f t="shared" si="92"/>
        <v>11</v>
      </c>
      <c r="G158" s="13">
        <f t="shared" si="76"/>
        <v>12</v>
      </c>
      <c r="H158" s="175">
        <f t="shared" si="77"/>
        <v>43234</v>
      </c>
      <c r="I158" s="772">
        <f t="shared" si="78"/>
        <v>0.7142857142857143</v>
      </c>
      <c r="J158" s="763">
        <f t="shared" si="79"/>
        <v>64.74377434413347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P158" s="13">
        <f t="shared" si="80"/>
        <v>7</v>
      </c>
      <c r="AQ158" s="13">
        <f t="shared" si="81"/>
        <v>6</v>
      </c>
      <c r="AR158" s="175">
        <f t="shared" si="82"/>
        <v>43248</v>
      </c>
      <c r="AS158" s="772">
        <f t="shared" si="83"/>
        <v>0.14285714285714285</v>
      </c>
      <c r="AT158" s="789">
        <f t="shared" si="84"/>
        <v>64.714834402714459</v>
      </c>
      <c r="AU158" s="13">
        <f t="shared" si="85"/>
        <v>7</v>
      </c>
      <c r="AV158" s="13">
        <f t="shared" si="86"/>
        <v>6</v>
      </c>
      <c r="AW158" s="175">
        <f t="shared" si="87"/>
        <v>43262</v>
      </c>
      <c r="AX158" s="772">
        <f t="shared" si="88"/>
        <v>0.6428571428571429</v>
      </c>
      <c r="AY158" s="789">
        <f t="shared" si="89"/>
        <v>64.800015050864644</v>
      </c>
      <c r="AZ158" s="763">
        <f t="shared" si="93"/>
        <v>64.757424726789552</v>
      </c>
      <c r="BA158" s="647">
        <f t="shared" si="90"/>
        <v>0.44206987173861456</v>
      </c>
      <c r="BB158" s="642">
        <v>43244</v>
      </c>
      <c r="BC158" s="11">
        <v>43244</v>
      </c>
      <c r="BD158" s="292">
        <f>[2]!FeuilCaduc*(1-Persistant)+Persistant</f>
        <v>1</v>
      </c>
      <c r="BE158" s="293">
        <f>[2]!CroissVégét</f>
        <v>0.33129605339749552</v>
      </c>
      <c r="BF158" s="842">
        <f>1+[2]!Salcycl*Ksac</f>
        <v>1.0529421909291163</v>
      </c>
      <c r="BH158" s="1105">
        <f t="shared" si="91"/>
        <v>1.1404281084752832E-3</v>
      </c>
      <c r="BI158" s="11">
        <v>44340</v>
      </c>
      <c r="BJ158" s="742">
        <v>4.3758348096076055E-4</v>
      </c>
      <c r="BK158" s="742">
        <v>6.7926597525760869E-4</v>
      </c>
      <c r="BL158" s="742">
        <v>1.0286238225675033E-3</v>
      </c>
      <c r="BM158" s="742">
        <v>1.5882720917345901E-3</v>
      </c>
      <c r="BN158" s="742">
        <v>2.8284704300841454E-3</v>
      </c>
      <c r="BO158" s="743">
        <v>4.8523258225879303E-3</v>
      </c>
      <c r="BP158" s="742">
        <v>7.8711208893198336E-3</v>
      </c>
      <c r="BQ158" s="742">
        <v>1.2257829957159072E-2</v>
      </c>
      <c r="BR158" s="742">
        <v>1.9512270276320531E-2</v>
      </c>
      <c r="BS158" s="742">
        <v>2.8926286509868681E-2</v>
      </c>
      <c r="BT158" s="742">
        <v>3.96082311976396E-2</v>
      </c>
      <c r="BW158" s="1187">
        <f>'2018'!R\Max</f>
        <v>0</v>
      </c>
      <c r="BX158" s="1185">
        <f>'2019'!R\Max</f>
        <v>0.20022986062649947</v>
      </c>
      <c r="BY158" s="1185">
        <f>'2020'!R\Max</f>
        <v>0.28537345985224982</v>
      </c>
      <c r="BZ158" s="1185">
        <f>'2021'!R\Max</f>
        <v>0.44206987173861456</v>
      </c>
      <c r="CA158" s="1185">
        <f>'2022'!R\Max</f>
        <v>0.25174464608851893</v>
      </c>
      <c r="CB158" s="1185">
        <f>'2023'!R\Max</f>
        <v>0.2516706510263057</v>
      </c>
      <c r="CC158" s="1185">
        <f>'2024'!R\Max</f>
        <v>0.2515663987577833</v>
      </c>
      <c r="CD158" s="1185">
        <f>'2025'!R\Max</f>
        <v>0.25189525473829005</v>
      </c>
      <c r="CE158" s="1185">
        <f>'2026'!R\Max</f>
        <v>0.25187923255095868</v>
      </c>
      <c r="CF158" s="1186">
        <f>'2027'!R\Max</f>
        <v>0.25184883348405468</v>
      </c>
    </row>
    <row r="159" spans="1:84" s="6" customFormat="1" ht="11.25" x14ac:dyDescent="0.2">
      <c r="A159" s="11">
        <v>43245</v>
      </c>
      <c r="B159" s="382">
        <f>'2023'!Maxi_hp</f>
        <v>59.3893737120083</v>
      </c>
      <c r="C159" s="85">
        <f>'2023'!An_max</f>
        <v>2020</v>
      </c>
      <c r="D159" s="1132"/>
      <c r="E159" s="709"/>
      <c r="F159" s="13">
        <f t="shared" si="92"/>
        <v>11</v>
      </c>
      <c r="G159" s="13">
        <f t="shared" si="76"/>
        <v>12</v>
      </c>
      <c r="H159" s="175">
        <f t="shared" si="77"/>
        <v>43234</v>
      </c>
      <c r="I159" s="772">
        <f t="shared" si="78"/>
        <v>0.7857142857142857</v>
      </c>
      <c r="J159" s="763">
        <f t="shared" si="79"/>
        <v>64.797565707191822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P159" s="13">
        <f t="shared" si="80"/>
        <v>7</v>
      </c>
      <c r="AQ159" s="13">
        <f t="shared" si="81"/>
        <v>6</v>
      </c>
      <c r="AR159" s="175">
        <f t="shared" si="82"/>
        <v>43248</v>
      </c>
      <c r="AS159" s="772">
        <f t="shared" si="83"/>
        <v>0.10714285714285714</v>
      </c>
      <c r="AT159" s="789">
        <f t="shared" si="84"/>
        <v>64.774278098850374</v>
      </c>
      <c r="AU159" s="13">
        <f t="shared" si="85"/>
        <v>7</v>
      </c>
      <c r="AV159" s="13">
        <f t="shared" si="86"/>
        <v>6</v>
      </c>
      <c r="AW159" s="175">
        <f t="shared" si="87"/>
        <v>43262</v>
      </c>
      <c r="AX159" s="772">
        <f t="shared" si="88"/>
        <v>0.6071428571428571</v>
      </c>
      <c r="AY159" s="789">
        <f t="shared" si="89"/>
        <v>64.850544547209779</v>
      </c>
      <c r="AZ159" s="763">
        <f t="shared" si="93"/>
        <v>64.812411323030076</v>
      </c>
      <c r="BA159" s="647">
        <f t="shared" si="90"/>
        <v>0.91653711160042439</v>
      </c>
      <c r="BB159" s="642">
        <v>43245</v>
      </c>
      <c r="BC159" s="11">
        <v>43245</v>
      </c>
      <c r="BD159" s="292">
        <f>[2]!FeuilCaduc*(1-Persistant)+Persistant</f>
        <v>1</v>
      </c>
      <c r="BE159" s="293">
        <f>[2]!CroissVégét</f>
        <v>0.34048958423292969</v>
      </c>
      <c r="BF159" s="842">
        <f>1+[2]!Salcycl*Ksac</f>
        <v>1.054379476285028</v>
      </c>
      <c r="BH159" s="1105">
        <f t="shared" si="91"/>
        <v>1.1372627543709153E-3</v>
      </c>
      <c r="BI159" s="11">
        <v>44341</v>
      </c>
      <c r="BJ159" s="742">
        <v>4.6406104652375023E-4</v>
      </c>
      <c r="BK159" s="742">
        <v>7.0121249763567051E-4</v>
      </c>
      <c r="BL159" s="742">
        <v>1.0329559257245043E-3</v>
      </c>
      <c r="BM159" s="742">
        <v>1.5550748734938389E-3</v>
      </c>
      <c r="BN159" s="742">
        <v>2.711599354846066E-3</v>
      </c>
      <c r="BO159" s="743">
        <v>4.5895963638846607E-3</v>
      </c>
      <c r="BP159" s="742">
        <v>7.4121198611218379E-3</v>
      </c>
      <c r="BQ159" s="742">
        <v>1.1526311466044071E-2</v>
      </c>
      <c r="BR159" s="742">
        <v>1.8392668892261949E-2</v>
      </c>
      <c r="BS159" s="742">
        <v>2.7383535897040207E-2</v>
      </c>
      <c r="BT159" s="742">
        <v>3.7663238829950062E-2</v>
      </c>
      <c r="BW159" s="1187">
        <f>'2018'!R\Max</f>
        <v>0</v>
      </c>
      <c r="BX159" s="1185">
        <f>'2019'!R\Max</f>
        <v>0.53259505670242369</v>
      </c>
      <c r="BY159" s="1185">
        <f>'2020'!R\Max</f>
        <v>0.91653711160042439</v>
      </c>
      <c r="BZ159" s="1185">
        <f>'2021'!R\Max</f>
        <v>0.80030894527154361</v>
      </c>
      <c r="CA159" s="1185">
        <f>'2022'!R\Max</f>
        <v>0.70026504240736298</v>
      </c>
      <c r="CB159" s="1185">
        <f>'2023'!R\Max</f>
        <v>0.70018271743079685</v>
      </c>
      <c r="CC159" s="1185">
        <f>'2024'!R\Max</f>
        <v>0.70006600437629629</v>
      </c>
      <c r="CD159" s="1185">
        <f>'2025'!R\Max</f>
        <v>0.70043239258204448</v>
      </c>
      <c r="CE159" s="1185">
        <f>'2026'!R\Max</f>
        <v>0.70041445124738677</v>
      </c>
      <c r="CF159" s="1186">
        <f>'2027'!R\Max</f>
        <v>0.7003807410735492</v>
      </c>
    </row>
    <row r="160" spans="1:84" s="6" customFormat="1" ht="11.25" x14ac:dyDescent="0.2">
      <c r="A160" s="11">
        <v>43246</v>
      </c>
      <c r="B160" s="382">
        <f>'2023'!Maxi_hp</f>
        <v>63.356163340026761</v>
      </c>
      <c r="C160" s="85">
        <f>'2023'!An_max</f>
        <v>2020</v>
      </c>
      <c r="D160" s="1132"/>
      <c r="E160" s="709"/>
      <c r="F160" s="13">
        <f t="shared" si="92"/>
        <v>11</v>
      </c>
      <c r="G160" s="13">
        <f t="shared" si="76"/>
        <v>12</v>
      </c>
      <c r="H160" s="175">
        <f t="shared" si="77"/>
        <v>43234</v>
      </c>
      <c r="I160" s="772">
        <f t="shared" si="78"/>
        <v>0.8571428571428571</v>
      </c>
      <c r="J160" s="763">
        <f t="shared" si="79"/>
        <v>64.847174344424701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P160" s="13">
        <f t="shared" si="80"/>
        <v>7</v>
      </c>
      <c r="AQ160" s="13">
        <f t="shared" si="81"/>
        <v>6</v>
      </c>
      <c r="AR160" s="175">
        <f t="shared" si="82"/>
        <v>43248</v>
      </c>
      <c r="AS160" s="772">
        <f t="shared" si="83"/>
        <v>7.1428571428571425E-2</v>
      </c>
      <c r="AT160" s="789">
        <f t="shared" si="84"/>
        <v>64.83063185262894</v>
      </c>
      <c r="AU160" s="13">
        <f t="shared" si="85"/>
        <v>7</v>
      </c>
      <c r="AV160" s="13">
        <f t="shared" si="86"/>
        <v>6</v>
      </c>
      <c r="AW160" s="175">
        <f t="shared" si="87"/>
        <v>43262</v>
      </c>
      <c r="AX160" s="772">
        <f t="shared" si="88"/>
        <v>0.5714285714285714</v>
      </c>
      <c r="AY160" s="789">
        <f t="shared" si="89"/>
        <v>64.895106122217015</v>
      </c>
      <c r="AZ160" s="763">
        <f t="shared" si="93"/>
        <v>64.862868987422985</v>
      </c>
      <c r="BA160" s="647">
        <f t="shared" si="90"/>
        <v>0.97700730957869208</v>
      </c>
      <c r="BB160" s="642">
        <v>43246</v>
      </c>
      <c r="BC160" s="11">
        <v>43246</v>
      </c>
      <c r="BD160" s="292">
        <f>[2]!FeuilCaduc*(1-Persistant)+Persistant</f>
        <v>1</v>
      </c>
      <c r="BE160" s="293">
        <f>[2]!CroissVégét</f>
        <v>0.34980380891459434</v>
      </c>
      <c r="BF160" s="842">
        <f>1+[2]!Salcycl*Ksac</f>
        <v>1.0558162323616949</v>
      </c>
      <c r="BH160" s="1105">
        <f t="shared" si="91"/>
        <v>1.1393469482085393E-3</v>
      </c>
      <c r="BI160" s="11">
        <v>44342</v>
      </c>
      <c r="BJ160" s="742">
        <v>4.9229602977504065E-4</v>
      </c>
      <c r="BK160" s="742">
        <v>7.2587354805073515E-4</v>
      </c>
      <c r="BL160" s="742">
        <v>1.0419584410656677E-3</v>
      </c>
      <c r="BM160" s="742">
        <v>1.5294469931971203E-3</v>
      </c>
      <c r="BN160" s="742">
        <v>2.6050383901532938E-3</v>
      </c>
      <c r="BO160" s="743">
        <v>4.3447569822278658E-3</v>
      </c>
      <c r="BP160" s="742">
        <v>6.9807840134502351E-3</v>
      </c>
      <c r="BQ160" s="742">
        <v>1.0847476899395579E-2</v>
      </c>
      <c r="BR160" s="742">
        <v>1.7363153240544483E-2</v>
      </c>
      <c r="BS160" s="742">
        <v>2.5992969300108373E-2</v>
      </c>
      <c r="BT160" s="742">
        <v>3.5945112537577761E-2</v>
      </c>
      <c r="BW160" s="1187">
        <f>'2018'!R\Max</f>
        <v>0</v>
      </c>
      <c r="BX160" s="1185">
        <f>'2019'!R\Max</f>
        <v>0.43594867967801987</v>
      </c>
      <c r="BY160" s="1185">
        <f>'2020'!R\Max</f>
        <v>0.97700730957869208</v>
      </c>
      <c r="BZ160" s="1185">
        <f>'2021'!R\Max</f>
        <v>0.83213077696281978</v>
      </c>
      <c r="CA160" s="1185">
        <f>'2022'!R\Max</f>
        <v>0.36751613564088348</v>
      </c>
      <c r="CB160" s="1185">
        <f>'2023'!R\Max</f>
        <v>0.36743106679311338</v>
      </c>
      <c r="CC160" s="1185">
        <f>'2024'!R\Max</f>
        <v>0.36730941609245649</v>
      </c>
      <c r="CD160" s="1185">
        <f>'2025'!R\Max</f>
        <v>0.36768891272171705</v>
      </c>
      <c r="CE160" s="1185">
        <f>'2026'!R\Max</f>
        <v>0.36767020985189308</v>
      </c>
      <c r="CF160" s="1186">
        <f>'2027'!R\Max</f>
        <v>0.3676355024040911</v>
      </c>
    </row>
    <row r="161" spans="1:84" s="6" customFormat="1" ht="11.25" x14ac:dyDescent="0.2">
      <c r="A161" s="11">
        <v>43247</v>
      </c>
      <c r="B161" s="382">
        <f>'2023'!Maxi_hp</f>
        <v>62.931716158042121</v>
      </c>
      <c r="C161" s="85">
        <f>'2023'!An_max</f>
        <v>2021</v>
      </c>
      <c r="D161" s="1132"/>
      <c r="E161" s="709"/>
      <c r="F161" s="13">
        <f t="shared" si="92"/>
        <v>11</v>
      </c>
      <c r="G161" s="13">
        <f t="shared" si="76"/>
        <v>12</v>
      </c>
      <c r="H161" s="175">
        <f t="shared" si="77"/>
        <v>43234</v>
      </c>
      <c r="I161" s="772">
        <f t="shared" si="78"/>
        <v>0.9285714285714286</v>
      </c>
      <c r="J161" s="763">
        <f t="shared" si="79"/>
        <v>64.892939395617162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P161" s="13">
        <f t="shared" si="80"/>
        <v>7</v>
      </c>
      <c r="AQ161" s="13">
        <f t="shared" si="81"/>
        <v>6</v>
      </c>
      <c r="AR161" s="175">
        <f t="shared" si="82"/>
        <v>43248</v>
      </c>
      <c r="AS161" s="772">
        <f t="shared" si="83"/>
        <v>3.5714285714285712E-2</v>
      </c>
      <c r="AT161" s="789">
        <f t="shared" si="84"/>
        <v>64.884178280191762</v>
      </c>
      <c r="AU161" s="13">
        <f t="shared" si="85"/>
        <v>7</v>
      </c>
      <c r="AV161" s="13">
        <f t="shared" si="86"/>
        <v>6</v>
      </c>
      <c r="AW161" s="175">
        <f t="shared" si="87"/>
        <v>43262</v>
      </c>
      <c r="AX161" s="772">
        <f t="shared" si="88"/>
        <v>0.5357142857142857</v>
      </c>
      <c r="AY161" s="789">
        <f t="shared" si="89"/>
        <v>64.933996524049761</v>
      </c>
      <c r="AZ161" s="763">
        <f t="shared" si="93"/>
        <v>64.909087402120761</v>
      </c>
      <c r="BA161" s="647">
        <f t="shared" si="90"/>
        <v>0.96977755583518077</v>
      </c>
      <c r="BB161" s="642">
        <v>43247</v>
      </c>
      <c r="BC161" s="11">
        <v>43247</v>
      </c>
      <c r="BD161" s="292">
        <f>[2]!FeuilCaduc*(1-Persistant)+Persistant</f>
        <v>1</v>
      </c>
      <c r="BE161" s="293">
        <f>[2]!CroissVégét</f>
        <v>0.35923310369654604</v>
      </c>
      <c r="BF161" s="842">
        <f>1+[2]!Salcycl*Ksac</f>
        <v>1.0572507174332917</v>
      </c>
      <c r="BH161" s="1105">
        <f t="shared" si="91"/>
        <v>1.1466740207925284E-3</v>
      </c>
      <c r="BI161" s="11">
        <v>44343</v>
      </c>
      <c r="BJ161" s="742">
        <v>5.2228479580654168E-4</v>
      </c>
      <c r="BK161" s="742">
        <v>7.5324453081051384E-4</v>
      </c>
      <c r="BL161" s="742">
        <v>1.055625070539052E-3</v>
      </c>
      <c r="BM161" s="742">
        <v>1.5113802949932216E-3</v>
      </c>
      <c r="BN161" s="742">
        <v>2.5087811197993127E-3</v>
      </c>
      <c r="BO161" s="743">
        <v>4.1177996809987445E-3</v>
      </c>
      <c r="BP161" s="742">
        <v>6.5771042759214179E-3</v>
      </c>
      <c r="BQ161" s="742">
        <v>1.0221297832073864E-2</v>
      </c>
      <c r="BR161" s="742">
        <v>1.6423665825017558E-2</v>
      </c>
      <c r="BS161" s="742">
        <v>2.4754465726141581E-2</v>
      </c>
      <c r="BT161" s="742">
        <v>3.445364842977721E-2</v>
      </c>
      <c r="BW161" s="1187">
        <f>'2018'!R\Max</f>
        <v>0</v>
      </c>
      <c r="BX161" s="1185">
        <f>'2019'!R\Max</f>
        <v>0.55461443299264424</v>
      </c>
      <c r="BY161" s="1185">
        <f>'2020'!R\Max</f>
        <v>0.96915291530480208</v>
      </c>
      <c r="BZ161" s="1185">
        <f>'2021'!R\Max</f>
        <v>0.96977755583518077</v>
      </c>
      <c r="CA161" s="1185">
        <f>'2022'!R\Max</f>
        <v>0.69654957593324873</v>
      </c>
      <c r="CB161" s="1185">
        <f>'2023'!R\Max</f>
        <v>0.69647745198837707</v>
      </c>
      <c r="CC161" s="1185">
        <f>'2024'!R\Max</f>
        <v>0.69637296482041533</v>
      </c>
      <c r="CD161" s="1185">
        <f>'2025'!R\Max</f>
        <v>0.69669574602661566</v>
      </c>
      <c r="CE161" s="1185">
        <f>'2026'!R\Max</f>
        <v>0.69667975242761804</v>
      </c>
      <c r="CF161" s="1186">
        <f>'2027'!R\Max</f>
        <v>0.69665051833035163</v>
      </c>
    </row>
    <row r="162" spans="1:84" s="6" customFormat="1" ht="11.25" x14ac:dyDescent="0.2">
      <c r="A162" s="11">
        <v>43248</v>
      </c>
      <c r="B162" s="382">
        <f>'2023'!Maxi_hp</f>
        <v>62.080985179253567</v>
      </c>
      <c r="C162" s="85">
        <f>'2023'!An_max</f>
        <v>2020</v>
      </c>
      <c r="D162" s="1132"/>
      <c r="E162" s="771">
        <f>X$13/10</f>
        <v>64.935199999999995</v>
      </c>
      <c r="F162" s="13">
        <f t="shared" si="92"/>
        <v>13</v>
      </c>
      <c r="G162" s="13">
        <f t="shared" si="76"/>
        <v>12</v>
      </c>
      <c r="H162" s="175">
        <f t="shared" si="77"/>
        <v>43262</v>
      </c>
      <c r="I162" s="772">
        <f t="shared" si="78"/>
        <v>1</v>
      </c>
      <c r="J162" s="763">
        <f t="shared" si="79"/>
        <v>64.935200000554318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P162" s="13">
        <f t="shared" si="80"/>
        <v>7</v>
      </c>
      <c r="AQ162" s="13">
        <f t="shared" si="81"/>
        <v>8</v>
      </c>
      <c r="AR162" s="175">
        <f t="shared" si="82"/>
        <v>43248</v>
      </c>
      <c r="AS162" s="772">
        <f t="shared" si="83"/>
        <v>0</v>
      </c>
      <c r="AT162" s="789">
        <f t="shared" si="84"/>
        <v>64.935200000554318</v>
      </c>
      <c r="AU162" s="13">
        <f t="shared" si="85"/>
        <v>7</v>
      </c>
      <c r="AV162" s="13">
        <f t="shared" si="86"/>
        <v>6</v>
      </c>
      <c r="AW162" s="175">
        <f t="shared" si="87"/>
        <v>43262</v>
      </c>
      <c r="AX162" s="772">
        <f t="shared" si="88"/>
        <v>0.5</v>
      </c>
      <c r="AY162" s="789">
        <f t="shared" si="89"/>
        <v>64.967512499541044</v>
      </c>
      <c r="AZ162" s="763">
        <f t="shared" si="93"/>
        <v>64.951356250047681</v>
      </c>
      <c r="BA162" s="647">
        <f t="shared" si="90"/>
        <v>0.95604518317836262</v>
      </c>
      <c r="BB162" s="642">
        <v>43248</v>
      </c>
      <c r="BC162" s="11">
        <v>43248</v>
      </c>
      <c r="BD162" s="292">
        <f>[2]!FeuilCaduc*(1-Persistant)+Persistant</f>
        <v>1</v>
      </c>
      <c r="BE162" s="293">
        <f>[2]!CroissVégét</f>
        <v>0.3687715084596308</v>
      </c>
      <c r="BF162" s="842">
        <f>1+[2]!Salcycl*Ksac</f>
        <v>1.0586811760642236</v>
      </c>
      <c r="BH162" s="1105">
        <f t="shared" si="91"/>
        <v>1.1592367841535009E-3</v>
      </c>
      <c r="BI162" s="11">
        <v>44344</v>
      </c>
      <c r="BJ162" s="742">
        <v>5.5402368154498609E-4</v>
      </c>
      <c r="BK162" s="742">
        <v>7.8332070661484541E-4</v>
      </c>
      <c r="BL162" s="742">
        <v>1.0739490923217482E-3</v>
      </c>
      <c r="BM162" s="742">
        <v>1.5008657237133803E-3</v>
      </c>
      <c r="BN162" s="742">
        <v>2.4228195246688527E-3</v>
      </c>
      <c r="BO162" s="743">
        <v>3.9087133655709462E-3</v>
      </c>
      <c r="BP162" s="742">
        <v>6.2010665092292637E-3</v>
      </c>
      <c r="BQ162" s="742">
        <v>9.6477369368969806E-3</v>
      </c>
      <c r="BR162" s="742">
        <v>1.557413461977007E-2</v>
      </c>
      <c r="BS162" s="742">
        <v>2.3667881474977333E-2</v>
      </c>
      <c r="BT162" s="742">
        <v>3.3188610636868641E-2</v>
      </c>
      <c r="BW162" s="1187">
        <f>'2018'!R\Max</f>
        <v>0</v>
      </c>
      <c r="BX162" s="1185">
        <f>'2019'!R\Max</f>
        <v>0.45012282203266973</v>
      </c>
      <c r="BY162" s="1185">
        <f>'2020'!R\Max</f>
        <v>0.95604518317836262</v>
      </c>
      <c r="BZ162" s="1185">
        <f>'2021'!R\Max</f>
        <v>0.66631993783333709</v>
      </c>
      <c r="CA162" s="1185">
        <f>'2022'!R\Max</f>
        <v>0.92986108205271767</v>
      </c>
      <c r="CB162" s="1185">
        <f>'2023'!R\Max</f>
        <v>0.92984035092920025</v>
      </c>
      <c r="CC162" s="1185">
        <f>'2024'!R\Max</f>
        <v>0.92980979310186984</v>
      </c>
      <c r="CD162" s="1185">
        <f>'2025'!R\Max</f>
        <v>0.92990298593516552</v>
      </c>
      <c r="CE162" s="1185">
        <f>'2026'!R\Max</f>
        <v>0.92989834332752075</v>
      </c>
      <c r="CF162" s="1186">
        <f>'2027'!R\Max</f>
        <v>0.92989001254524439</v>
      </c>
    </row>
    <row r="163" spans="1:84" s="6" customFormat="1" ht="11.25" x14ac:dyDescent="0.2">
      <c r="A163" s="11">
        <v>43249</v>
      </c>
      <c r="B163" s="382">
        <f>'2023'!Maxi_hp</f>
        <v>65.925460607676612</v>
      </c>
      <c r="C163" s="85">
        <f>'2023'!An_max</f>
        <v>2023</v>
      </c>
      <c r="D163" s="1132"/>
      <c r="E163" s="709"/>
      <c r="F163" s="13">
        <f t="shared" si="92"/>
        <v>13</v>
      </c>
      <c r="G163" s="13">
        <f t="shared" si="76"/>
        <v>12</v>
      </c>
      <c r="H163" s="175">
        <f t="shared" si="77"/>
        <v>43262</v>
      </c>
      <c r="I163" s="772">
        <f t="shared" si="78"/>
        <v>0.9285714285714286</v>
      </c>
      <c r="J163" s="763">
        <f t="shared" si="79"/>
        <v>64.97295758064304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P163" s="13">
        <f t="shared" si="80"/>
        <v>7</v>
      </c>
      <c r="AQ163" s="13">
        <f t="shared" si="81"/>
        <v>8</v>
      </c>
      <c r="AR163" s="175">
        <f t="shared" si="82"/>
        <v>43248</v>
      </c>
      <c r="AS163" s="772">
        <f t="shared" si="83"/>
        <v>3.5714285714285712E-2</v>
      </c>
      <c r="AT163" s="789">
        <f t="shared" si="84"/>
        <v>64.981786994875534</v>
      </c>
      <c r="AU163" s="13">
        <f t="shared" si="85"/>
        <v>7</v>
      </c>
      <c r="AV163" s="13">
        <f t="shared" si="86"/>
        <v>6</v>
      </c>
      <c r="AW163" s="175">
        <f t="shared" si="87"/>
        <v>43262</v>
      </c>
      <c r="AX163" s="772">
        <f t="shared" si="88"/>
        <v>0.4642857142857143</v>
      </c>
      <c r="AY163" s="789">
        <f t="shared" si="89"/>
        <v>64.995950796960713</v>
      </c>
      <c r="AZ163" s="763">
        <f t="shared" si="93"/>
        <v>64.988868895918131</v>
      </c>
      <c r="BA163" s="647">
        <f t="shared" si="90"/>
        <v>1.0146599918258508</v>
      </c>
      <c r="BB163" s="642">
        <v>43249</v>
      </c>
      <c r="BC163" s="11">
        <v>43249</v>
      </c>
      <c r="BD163" s="292">
        <f>[2]!FeuilCaduc*(1-Persistant)+Persistant</f>
        <v>1</v>
      </c>
      <c r="BE163" s="293">
        <f>[2]!CroissVégét</f>
        <v>0.37841273812207477</v>
      </c>
      <c r="BF163" s="842">
        <f>1+[2]!Salcycl*Ksac</f>
        <v>1.0601058450790448</v>
      </c>
      <c r="BH163" s="1105">
        <f t="shared" si="91"/>
        <v>1.1770276024342899E-3</v>
      </c>
      <c r="BI163" s="11">
        <v>44345</v>
      </c>
      <c r="BJ163" s="742">
        <v>5.8750901987469407E-4</v>
      </c>
      <c r="BK163" s="742">
        <v>8.1609722955675805E-4</v>
      </c>
      <c r="BL163" s="742">
        <v>1.0969234239872506E-3</v>
      </c>
      <c r="BM163" s="742">
        <v>1.4978934266749345E-3</v>
      </c>
      <c r="BN163" s="742">
        <v>2.3471441205867604E-3</v>
      </c>
      <c r="BO163" s="743">
        <v>3.7174840816690739E-3</v>
      </c>
      <c r="BP163" s="742">
        <v>5.8526518731108609E-3</v>
      </c>
      <c r="BQ163" s="742">
        <v>9.1267486866451527E-3</v>
      </c>
      <c r="BR163" s="742">
        <v>1.4814474270945878E-2</v>
      </c>
      <c r="BS163" s="742">
        <v>2.2733052173251649E-2</v>
      </c>
      <c r="BT163" s="742">
        <v>3.2149734346427011E-2</v>
      </c>
      <c r="BW163" s="1187">
        <f>'2018'!R\Max</f>
        <v>0</v>
      </c>
      <c r="BX163" s="1185">
        <f>'2019'!R\Max</f>
        <v>0.63979641321711422</v>
      </c>
      <c r="BY163" s="1185">
        <f>'2020'!R\Max</f>
        <v>0.96409719295396323</v>
      </c>
      <c r="BZ163" s="1185">
        <f>'2021'!R\Max</f>
        <v>0.63107872321496195</v>
      </c>
      <c r="CA163" s="1185">
        <f>'2022'!R\Max</f>
        <v>1.014659991825851</v>
      </c>
      <c r="CB163" s="1185">
        <f>'2023'!R\Max</f>
        <v>1.0146599918258508</v>
      </c>
      <c r="CC163" s="1185">
        <f>'2024'!R\Max</f>
        <v>1.014659991825851</v>
      </c>
      <c r="CD163" s="1185">
        <f>'2025'!R\Max</f>
        <v>1.014659991825851</v>
      </c>
      <c r="CE163" s="1185">
        <f>'2026'!R\Max</f>
        <v>1.014659991825851</v>
      </c>
      <c r="CF163" s="1186">
        <f>'2027'!R\Max</f>
        <v>1.014659991825851</v>
      </c>
    </row>
    <row r="164" spans="1:84" s="6" customFormat="1" ht="11.25" x14ac:dyDescent="0.2">
      <c r="A164" s="11">
        <v>43250</v>
      </c>
      <c r="B164" s="382">
        <f>'2023'!Maxi_hp</f>
        <v>63.686724886206711</v>
      </c>
      <c r="C164" s="85">
        <f>'2023'!An_max</f>
        <v>2019</v>
      </c>
      <c r="D164" s="1132"/>
      <c r="E164" s="709"/>
      <c r="F164" s="13">
        <f t="shared" si="92"/>
        <v>13</v>
      </c>
      <c r="G164" s="13">
        <f t="shared" si="76"/>
        <v>12</v>
      </c>
      <c r="H164" s="175">
        <f t="shared" si="77"/>
        <v>43262</v>
      </c>
      <c r="I164" s="772">
        <f t="shared" si="78"/>
        <v>0.8571428571428571</v>
      </c>
      <c r="J164" s="763">
        <f t="shared" si="79"/>
        <v>65.005138192858013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P164" s="13">
        <f t="shared" si="80"/>
        <v>7</v>
      </c>
      <c r="AQ164" s="13">
        <f t="shared" si="81"/>
        <v>8</v>
      </c>
      <c r="AR164" s="175">
        <f t="shared" si="82"/>
        <v>43248</v>
      </c>
      <c r="AS164" s="772">
        <f t="shared" si="83"/>
        <v>7.1428571428571425E-2</v>
      </c>
      <c r="AT164" s="789">
        <f t="shared" si="84"/>
        <v>65.021963302711285</v>
      </c>
      <c r="AU164" s="13">
        <f t="shared" si="85"/>
        <v>7</v>
      </c>
      <c r="AV164" s="13">
        <f t="shared" si="86"/>
        <v>6</v>
      </c>
      <c r="AW164" s="175">
        <f t="shared" si="87"/>
        <v>43262</v>
      </c>
      <c r="AX164" s="772">
        <f t="shared" si="88"/>
        <v>0.42857142857142855</v>
      </c>
      <c r="AY164" s="789">
        <f t="shared" si="89"/>
        <v>65.019608162875699</v>
      </c>
      <c r="AZ164" s="763">
        <f t="shared" si="93"/>
        <v>65.020785732793485</v>
      </c>
      <c r="BA164" s="647">
        <f t="shared" si="90"/>
        <v>0.97971832160805783</v>
      </c>
      <c r="BB164" s="642">
        <v>43250</v>
      </c>
      <c r="BC164" s="11">
        <v>43250</v>
      </c>
      <c r="BD164" s="292">
        <f>[2]!FeuilCaduc*(1-Persistant)+Persistant</f>
        <v>1</v>
      </c>
      <c r="BE164" s="293">
        <f>[2]!CroissVégét</f>
        <v>0.38815019600224987</v>
      </c>
      <c r="BF164" s="842">
        <f>1+[2]!Salcycl*Ksac</f>
        <v>1.0615229597217257</v>
      </c>
      <c r="BH164" s="1105">
        <f t="shared" si="91"/>
        <v>1.1997211518966473E-3</v>
      </c>
      <c r="BI164" s="11">
        <v>44346</v>
      </c>
      <c r="BJ164" s="742">
        <v>6.2190447244698979E-4</v>
      </c>
      <c r="BK164" s="742">
        <v>8.5082628176618184E-4</v>
      </c>
      <c r="BL164" s="742">
        <v>1.1240602357595372E-3</v>
      </c>
      <c r="BM164" s="742">
        <v>1.5027890153937651E-3</v>
      </c>
      <c r="BN164" s="742">
        <v>2.2848983734685326E-3</v>
      </c>
      <c r="BO164" s="743">
        <v>3.5514303523392788E-3</v>
      </c>
      <c r="BP164" s="742">
        <v>5.544229815262868E-3</v>
      </c>
      <c r="BQ164" s="742">
        <v>8.6727950403075755E-3</v>
      </c>
      <c r="BR164" s="742">
        <v>1.4155226054384918E-2</v>
      </c>
      <c r="BS164" s="742">
        <v>2.1945997922725918E-2</v>
      </c>
      <c r="BT164" s="742">
        <v>3.1310192051213652E-2</v>
      </c>
      <c r="BW164" s="1187">
        <f>'2018'!R\Max</f>
        <v>0</v>
      </c>
      <c r="BX164" s="1185">
        <f>'2019'!R\Max</f>
        <v>0.97971832160805783</v>
      </c>
      <c r="BY164" s="1185">
        <f>'2020'!R\Max</f>
        <v>0.90703100619921662</v>
      </c>
      <c r="BZ164" s="1185">
        <f>'2021'!R\Max</f>
        <v>0.80997812358488075</v>
      </c>
      <c r="CA164" s="1185">
        <f>'2022'!R\Max</f>
        <v>0.86730621936348129</v>
      </c>
      <c r="CB164" s="1185">
        <f>'2023'!R\Max</f>
        <v>0.86727445436590667</v>
      </c>
      <c r="CC164" s="1185">
        <f>'2024'!R\Max</f>
        <v>0.86722530338256276</v>
      </c>
      <c r="CD164" s="1185">
        <f>'2025'!R\Max</f>
        <v>0.86737001858524532</v>
      </c>
      <c r="CE164" s="1185">
        <f>'2026'!R\Max</f>
        <v>0.86736273335891756</v>
      </c>
      <c r="CF164" s="1186">
        <f>'2027'!R\Max</f>
        <v>0.86735027475651105</v>
      </c>
    </row>
    <row r="165" spans="1:84" s="6" customFormat="1" ht="11.25" x14ac:dyDescent="0.2">
      <c r="A165" s="11">
        <v>43251</v>
      </c>
      <c r="B165" s="382">
        <f>'2023'!Maxi_hp</f>
        <v>64.708611084195553</v>
      </c>
      <c r="C165" s="85">
        <f>'2023'!An_max</f>
        <v>2019</v>
      </c>
      <c r="D165" s="1132"/>
      <c r="E165" s="709"/>
      <c r="F165" s="13">
        <f t="shared" si="92"/>
        <v>13</v>
      </c>
      <c r="G165" s="13">
        <f t="shared" si="76"/>
        <v>12</v>
      </c>
      <c r="H165" s="175">
        <f t="shared" si="77"/>
        <v>43262</v>
      </c>
      <c r="I165" s="772">
        <f t="shared" si="78"/>
        <v>0.7857142857142857</v>
      </c>
      <c r="J165" s="763">
        <f t="shared" si="79"/>
        <v>65.03196793033608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P165" s="13">
        <f t="shared" si="80"/>
        <v>7</v>
      </c>
      <c r="AQ165" s="13">
        <f t="shared" si="81"/>
        <v>8</v>
      </c>
      <c r="AR165" s="175">
        <f t="shared" si="82"/>
        <v>43248</v>
      </c>
      <c r="AS165" s="772">
        <f t="shared" si="83"/>
        <v>0.10714285714285714</v>
      </c>
      <c r="AT165" s="789">
        <f t="shared" si="84"/>
        <v>65.055912624139879</v>
      </c>
      <c r="AU165" s="13">
        <f t="shared" si="85"/>
        <v>7</v>
      </c>
      <c r="AV165" s="13">
        <f t="shared" si="86"/>
        <v>6</v>
      </c>
      <c r="AW165" s="175">
        <f t="shared" si="87"/>
        <v>43262</v>
      </c>
      <c r="AX165" s="772">
        <f t="shared" si="88"/>
        <v>0.39285714285714285</v>
      </c>
      <c r="AY165" s="789">
        <f t="shared" si="89"/>
        <v>65.038781345103473</v>
      </c>
      <c r="AZ165" s="763">
        <f t="shared" si="93"/>
        <v>65.047346984621669</v>
      </c>
      <c r="BA165" s="647">
        <f t="shared" si="90"/>
        <v>0.99502772472629286</v>
      </c>
      <c r="BB165" s="642">
        <v>43251</v>
      </c>
      <c r="BC165" s="11">
        <v>43251</v>
      </c>
      <c r="BD165" s="292">
        <f>[2]!FeuilCaduc*(1-Persistant)+Persistant</f>
        <v>1</v>
      </c>
      <c r="BE165" s="293">
        <f>[2]!CroissVégét</f>
        <v>0.3979769891015032</v>
      </c>
      <c r="BF165" s="842">
        <f>1+[2]!Salcycl*Ksac</f>
        <v>1.0629307599695514</v>
      </c>
      <c r="BH165" s="1105">
        <f t="shared" si="91"/>
        <v>1.2244983517316909E-3</v>
      </c>
      <c r="BI165" s="11">
        <v>44347</v>
      </c>
      <c r="BJ165" s="742">
        <v>6.561875485649281E-4</v>
      </c>
      <c r="BK165" s="742">
        <v>8.8584102077843936E-4</v>
      </c>
      <c r="BL165" s="742">
        <v>1.1527684880117755E-3</v>
      </c>
      <c r="BM165" s="742">
        <v>1.5118199658017545E-3</v>
      </c>
      <c r="BN165" s="742">
        <v>2.2324690363503237E-3</v>
      </c>
      <c r="BO165" s="743">
        <v>3.4020660557667858E-3</v>
      </c>
      <c r="BP165" s="742">
        <v>5.2595379252864212E-3</v>
      </c>
      <c r="BQ165" s="742">
        <v>8.2420042185248517E-3</v>
      </c>
      <c r="BR165" s="742">
        <v>1.3516850276748545E-2</v>
      </c>
      <c r="BS165" s="742">
        <v>2.1174464174253092E-2</v>
      </c>
      <c r="BT165" s="742">
        <v>3.0483634817354936E-2</v>
      </c>
      <c r="BW165" s="1187">
        <f>'2018'!R\Max</f>
        <v>0</v>
      </c>
      <c r="BX165" s="1185">
        <f>'2019'!R\Max</f>
        <v>0.99502772472629286</v>
      </c>
      <c r="BY165" s="1185">
        <f>'2020'!R\Max</f>
        <v>0.97315177476066395</v>
      </c>
      <c r="BZ165" s="1185">
        <f>'2021'!R\Max</f>
        <v>0.91731859298943264</v>
      </c>
      <c r="CA165" s="1185">
        <f>'2022'!R\Max</f>
        <v>0.92963897444613119</v>
      </c>
      <c r="CB165" s="1185">
        <f>'2023'!R\Max</f>
        <v>0.92962215362536704</v>
      </c>
      <c r="CC165" s="1185">
        <f>'2024'!R\Max</f>
        <v>0.92959544889290802</v>
      </c>
      <c r="CD165" s="1185">
        <f>'2025'!R\Max</f>
        <v>0.92967268619211374</v>
      </c>
      <c r="CE165" s="1185">
        <f>'2026'!R\Max</f>
        <v>0.92966876703723933</v>
      </c>
      <c r="CF165" s="1186">
        <f>'2027'!R\Max</f>
        <v>0.92966224540144993</v>
      </c>
    </row>
    <row r="166" spans="1:84" s="6" customFormat="1" ht="11.25" x14ac:dyDescent="0.2">
      <c r="A166" s="11">
        <v>43252</v>
      </c>
      <c r="B166" s="382">
        <f>'2023'!Maxi_hp</f>
        <v>65.140726705313512</v>
      </c>
      <c r="C166" s="85">
        <f>'2023'!An_max</f>
        <v>2019</v>
      </c>
      <c r="D166" s="1132"/>
      <c r="E166" s="709"/>
      <c r="F166" s="13">
        <f t="shared" si="92"/>
        <v>13</v>
      </c>
      <c r="G166" s="13">
        <f t="shared" si="76"/>
        <v>12</v>
      </c>
      <c r="H166" s="175">
        <f t="shared" si="77"/>
        <v>43262</v>
      </c>
      <c r="I166" s="772">
        <f t="shared" si="78"/>
        <v>0.7142857142857143</v>
      </c>
      <c r="J166" s="763">
        <f t="shared" si="79"/>
        <v>65.053672886426952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P166" s="13">
        <f t="shared" si="80"/>
        <v>7</v>
      </c>
      <c r="AQ166" s="13">
        <f t="shared" si="81"/>
        <v>8</v>
      </c>
      <c r="AR166" s="175">
        <f t="shared" si="82"/>
        <v>43248</v>
      </c>
      <c r="AS166" s="772">
        <f t="shared" si="83"/>
        <v>0.14285714285714285</v>
      </c>
      <c r="AT166" s="789">
        <f t="shared" si="84"/>
        <v>65.083818659984644</v>
      </c>
      <c r="AU166" s="13">
        <f t="shared" si="85"/>
        <v>7</v>
      </c>
      <c r="AV166" s="13">
        <f t="shared" si="86"/>
        <v>6</v>
      </c>
      <c r="AW166" s="175">
        <f t="shared" si="87"/>
        <v>43262</v>
      </c>
      <c r="AX166" s="772">
        <f t="shared" si="88"/>
        <v>0.35714285714285715</v>
      </c>
      <c r="AY166" s="789">
        <f t="shared" si="89"/>
        <v>65.053767091301935</v>
      </c>
      <c r="AZ166" s="763">
        <f t="shared" si="93"/>
        <v>65.068792875643283</v>
      </c>
      <c r="BA166" s="647">
        <f t="shared" si="90"/>
        <v>1.0013381845332321</v>
      </c>
      <c r="BB166" s="642">
        <v>43252</v>
      </c>
      <c r="BC166" s="11">
        <v>43252</v>
      </c>
      <c r="BD166" s="292">
        <f>[2]!FeuilCaduc*(1-Persistant)+Persistant</f>
        <v>1</v>
      </c>
      <c r="BE166" s="293">
        <f>[2]!CroissVégét</f>
        <v>0.4078859452556679</v>
      </c>
      <c r="BF166" s="842">
        <f>1+[2]!Salcycl*Ksac</f>
        <v>1.0643274969647172</v>
      </c>
      <c r="BH166" s="1105">
        <f t="shared" si="91"/>
        <v>1.2513562477263075E-3</v>
      </c>
      <c r="BI166" s="11">
        <v>44348</v>
      </c>
      <c r="BJ166" s="742">
        <v>6.9035805035028944E-4</v>
      </c>
      <c r="BK166" s="742">
        <v>9.2114082494393248E-4</v>
      </c>
      <c r="BL166" s="742">
        <v>1.183045886324605E-3</v>
      </c>
      <c r="BM166" s="742">
        <v>1.5249806808115916E-3</v>
      </c>
      <c r="BN166" s="742">
        <v>2.1898437487360991E-3</v>
      </c>
      <c r="BO166" s="743">
        <v>3.2693718630417909E-3</v>
      </c>
      <c r="BP166" s="742">
        <v>4.99855191381558E-3</v>
      </c>
      <c r="BQ166" s="742">
        <v>7.8343621614768016E-3</v>
      </c>
      <c r="BR166" s="742">
        <v>1.2899351368443149E-2</v>
      </c>
      <c r="BS166" s="742">
        <v>2.0418479606561787E-2</v>
      </c>
      <c r="BT166" s="742">
        <v>2.9670109943028888E-2</v>
      </c>
      <c r="BW166" s="1187">
        <f>'2018'!R\Max</f>
        <v>0</v>
      </c>
      <c r="BX166" s="1185">
        <f>'2019'!R\Max</f>
        <v>1.0013381845332321</v>
      </c>
      <c r="BY166" s="1185">
        <f>'2020'!R\Max</f>
        <v>0.95621504930323498</v>
      </c>
      <c r="BZ166" s="1185">
        <f>'2021'!R\Max</f>
        <v>0.55376832472263482</v>
      </c>
      <c r="CA166" s="1185">
        <f>'2022'!R\Max</f>
        <v>0.95611599293755245</v>
      </c>
      <c r="CB166" s="1185">
        <f>'2023'!R\Max</f>
        <v>0.95610595181779046</v>
      </c>
      <c r="CC166" s="1185">
        <f>'2024'!R\Max</f>
        <v>0.9560896128920684</v>
      </c>
      <c r="CD166" s="1185">
        <f>'2025'!R\Max</f>
        <v>0.95613610570919161</v>
      </c>
      <c r="CE166" s="1185">
        <f>'2026'!R\Max</f>
        <v>0.95613371926034152</v>
      </c>
      <c r="CF166" s="1186">
        <f>'2027'!R\Max</f>
        <v>0.95612986100188091</v>
      </c>
    </row>
    <row r="167" spans="1:84" s="6" customFormat="1" ht="11.25" x14ac:dyDescent="0.2">
      <c r="A167" s="11">
        <v>43253</v>
      </c>
      <c r="B167" s="382">
        <f>'2023'!Maxi_hp</f>
        <v>63.901540527508928</v>
      </c>
      <c r="C167" s="85">
        <f>'2023'!An_max</f>
        <v>2019</v>
      </c>
      <c r="D167" s="1132"/>
      <c r="E167" s="709"/>
      <c r="F167" s="13">
        <f t="shared" si="92"/>
        <v>13</v>
      </c>
      <c r="G167" s="13">
        <f t="shared" si="76"/>
        <v>12</v>
      </c>
      <c r="H167" s="175">
        <f t="shared" si="77"/>
        <v>43262</v>
      </c>
      <c r="I167" s="772">
        <f t="shared" si="78"/>
        <v>0.6428571428571429</v>
      </c>
      <c r="J167" s="763">
        <f t="shared" si="79"/>
        <v>65.07047915490611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P167" s="13">
        <f t="shared" si="80"/>
        <v>7</v>
      </c>
      <c r="AQ167" s="13">
        <f t="shared" si="81"/>
        <v>8</v>
      </c>
      <c r="AR167" s="175">
        <f t="shared" si="82"/>
        <v>43248</v>
      </c>
      <c r="AS167" s="772">
        <f t="shared" si="83"/>
        <v>0.17857142857142858</v>
      </c>
      <c r="AT167" s="789">
        <f t="shared" si="84"/>
        <v>65.105865110589988</v>
      </c>
      <c r="AU167" s="13">
        <f t="shared" si="85"/>
        <v>7</v>
      </c>
      <c r="AV167" s="13">
        <f t="shared" si="86"/>
        <v>6</v>
      </c>
      <c r="AW167" s="175">
        <f t="shared" si="87"/>
        <v>43262</v>
      </c>
      <c r="AX167" s="772">
        <f t="shared" si="88"/>
        <v>0.32142857142857145</v>
      </c>
      <c r="AY167" s="789">
        <f t="shared" si="89"/>
        <v>65.064862148703213</v>
      </c>
      <c r="AZ167" s="763">
        <f t="shared" si="93"/>
        <v>65.085363629646594</v>
      </c>
      <c r="BA167" s="647">
        <f t="shared" si="90"/>
        <v>0.98203580728805728</v>
      </c>
      <c r="BB167" s="642">
        <v>43253</v>
      </c>
      <c r="BC167" s="11">
        <v>43253</v>
      </c>
      <c r="BD167" s="292">
        <f>[2]!FeuilCaduc*(1-Persistant)+Persistant</f>
        <v>1</v>
      </c>
      <c r="BE167" s="293">
        <f>[2]!CroissVégét</f>
        <v>0.41786963208449301</v>
      </c>
      <c r="BF167" s="842">
        <f>1+[2]!Salcycl*Ksac</f>
        <v>1.0657114395247369</v>
      </c>
      <c r="BH167" s="1105">
        <f t="shared" si="91"/>
        <v>1.2802918935810414E-3</v>
      </c>
      <c r="BI167" s="11">
        <v>44349</v>
      </c>
      <c r="BJ167" s="742">
        <v>7.2441597089303476E-4</v>
      </c>
      <c r="BK167" s="742">
        <v>9.5672524377356119E-4</v>
      </c>
      <c r="BL167" s="742">
        <v>1.2148901961601141E-3</v>
      </c>
      <c r="BM167" s="742">
        <v>1.5422653630870972E-3</v>
      </c>
      <c r="BN167" s="742">
        <v>2.157009278211117E-3</v>
      </c>
      <c r="BO167" s="743">
        <v>3.1533266412167109E-3</v>
      </c>
      <c r="BP167" s="742">
        <v>4.7612445423143327E-3</v>
      </c>
      <c r="BQ167" s="742">
        <v>7.4498511238947421E-3</v>
      </c>
      <c r="BR167" s="742">
        <v>1.2302729121190473E-2</v>
      </c>
      <c r="BS167" s="742">
        <v>1.9678067894993198E-2</v>
      </c>
      <c r="BT167" s="742">
        <v>2.8869659606731424E-2</v>
      </c>
      <c r="BW167" s="1187">
        <f>'2018'!R\Max</f>
        <v>0</v>
      </c>
      <c r="BX167" s="1185">
        <f>'2019'!R\Max</f>
        <v>0.98203580728805728</v>
      </c>
      <c r="BY167" s="1185">
        <f>'2020'!R\Max</f>
        <v>0.46634223348435561</v>
      </c>
      <c r="BZ167" s="1185">
        <f>'2021'!R\Max</f>
        <v>0.62444085637726132</v>
      </c>
      <c r="CA167" s="1185">
        <f>'2022'!R\Max</f>
        <v>0.75088663757940599</v>
      </c>
      <c r="CB167" s="1185">
        <f>'2023'!R\Max</f>
        <v>0.75084502566227063</v>
      </c>
      <c r="CC167" s="1185">
        <f>'2024'!R\Max</f>
        <v>0.75077573594614955</v>
      </c>
      <c r="CD167" s="1185">
        <f>'2025'!R\Max</f>
        <v>0.75097011764303423</v>
      </c>
      <c r="CE167" s="1185">
        <f>'2026'!R\Max</f>
        <v>0.75095997903188161</v>
      </c>
      <c r="CF167" s="1186">
        <f>'2027'!R\Max</f>
        <v>0.75094407645226247</v>
      </c>
    </row>
    <row r="168" spans="1:84" s="6" customFormat="1" ht="11.25" x14ac:dyDescent="0.2">
      <c r="A168" s="11">
        <v>43254</v>
      </c>
      <c r="B168" s="382">
        <f>'2023'!Maxi_hp</f>
        <v>59.942123507520741</v>
      </c>
      <c r="C168" s="85">
        <f>'2023'!An_max</f>
        <v>2020</v>
      </c>
      <c r="D168" s="1132"/>
      <c r="E168" s="709"/>
      <c r="F168" s="13">
        <f t="shared" si="92"/>
        <v>13</v>
      </c>
      <c r="G168" s="13">
        <f t="shared" si="76"/>
        <v>12</v>
      </c>
      <c r="H168" s="175">
        <f t="shared" si="77"/>
        <v>43262</v>
      </c>
      <c r="I168" s="772">
        <f t="shared" si="78"/>
        <v>0.5714285714285714</v>
      </c>
      <c r="J168" s="763">
        <f t="shared" si="79"/>
        <v>65.08261282837816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P168" s="13">
        <f t="shared" si="80"/>
        <v>7</v>
      </c>
      <c r="AQ168" s="13">
        <f t="shared" si="81"/>
        <v>8</v>
      </c>
      <c r="AR168" s="175">
        <f t="shared" si="82"/>
        <v>43248</v>
      </c>
      <c r="AS168" s="772">
        <f t="shared" si="83"/>
        <v>0.21428571428571427</v>
      </c>
      <c r="AT168" s="789">
        <f t="shared" si="84"/>
        <v>65.12223567837583</v>
      </c>
      <c r="AU168" s="13">
        <f t="shared" si="85"/>
        <v>7</v>
      </c>
      <c r="AV168" s="13">
        <f t="shared" si="86"/>
        <v>6</v>
      </c>
      <c r="AW168" s="175">
        <f t="shared" si="87"/>
        <v>43262</v>
      </c>
      <c r="AX168" s="772">
        <f t="shared" si="88"/>
        <v>0.2857142857142857</v>
      </c>
      <c r="AY168" s="789">
        <f t="shared" si="89"/>
        <v>65.072363265923087</v>
      </c>
      <c r="AZ168" s="763">
        <f t="shared" si="93"/>
        <v>65.097299472149459</v>
      </c>
      <c r="BA168" s="647">
        <f t="shared" si="90"/>
        <v>0.921015935017655</v>
      </c>
      <c r="BB168" s="642">
        <v>43254</v>
      </c>
      <c r="BC168" s="11">
        <v>43254</v>
      </c>
      <c r="BD168" s="292">
        <f>[2]!FeuilCaduc*(1-Persistant)+Persistant</f>
        <v>1</v>
      </c>
      <c r="BE168" s="293">
        <f>[2]!CroissVégét</f>
        <v>0.42792037764903684</v>
      </c>
      <c r="BF168" s="842">
        <f>1+[2]!Salcycl*Ksac</f>
        <v>1.0670808806911596</v>
      </c>
      <c r="BH168" s="1105">
        <f t="shared" si="91"/>
        <v>1.3113023795817251E-3</v>
      </c>
      <c r="BI168" s="11">
        <v>44350</v>
      </c>
      <c r="BJ168" s="742">
        <v>7.5836149337485078E-4</v>
      </c>
      <c r="BK168" s="742">
        <v>9.9259400247725437E-4</v>
      </c>
      <c r="BL168" s="742">
        <v>1.2482992646781271E-3</v>
      </c>
      <c r="BM168" s="742">
        <v>1.5636680711746608E-3</v>
      </c>
      <c r="BN168" s="742">
        <v>2.1339516523195727E-3</v>
      </c>
      <c r="BO168" s="743">
        <v>3.0539076765237674E-3</v>
      </c>
      <c r="BP168" s="742">
        <v>4.547585939416488E-3</v>
      </c>
      <c r="BQ168" s="742">
        <v>7.0884499819949126E-3</v>
      </c>
      <c r="BR168" s="742">
        <v>1.1726978961761635E-2</v>
      </c>
      <c r="BS168" s="742">
        <v>1.8953247912314012E-2</v>
      </c>
      <c r="BT168" s="742">
        <v>2.8082321034612376E-2</v>
      </c>
      <c r="BW168" s="1187">
        <f>'2018'!R\Max</f>
        <v>0</v>
      </c>
      <c r="BX168" s="1185">
        <f>'2019'!R\Max</f>
        <v>0.75325860953656842</v>
      </c>
      <c r="BY168" s="1185">
        <f>'2020'!R\Max</f>
        <v>0.921015935017655</v>
      </c>
      <c r="BZ168" s="1185">
        <f>'2021'!R\Max</f>
        <v>0.81646918739002483</v>
      </c>
      <c r="CA168" s="1185">
        <f>'2022'!R\Max</f>
        <v>0.91020550537935285</v>
      </c>
      <c r="CB168" s="1185">
        <f>'2023'!R\Max</f>
        <v>0.91018861833589038</v>
      </c>
      <c r="CC168" s="1185">
        <f>'2024'!R\Max</f>
        <v>0.91015989387460383</v>
      </c>
      <c r="CD168" s="1185">
        <f>'2025'!R\Max</f>
        <v>0.91023951057028485</v>
      </c>
      <c r="CE168" s="1185">
        <f>'2026'!R\Max</f>
        <v>0.91023527107247737</v>
      </c>
      <c r="CF168" s="1186">
        <f>'2027'!R\Max</f>
        <v>0.91022882699885588</v>
      </c>
    </row>
    <row r="169" spans="1:84" s="6" customFormat="1" ht="11.25" x14ac:dyDescent="0.2">
      <c r="A169" s="11">
        <v>43255</v>
      </c>
      <c r="B169" s="382">
        <f>'2023'!Maxi_hp</f>
        <v>57.961791725127831</v>
      </c>
      <c r="C169" s="85">
        <f>'2023'!An_max</f>
        <v>2019</v>
      </c>
      <c r="D169" s="1132"/>
      <c r="E169" s="709"/>
      <c r="F169" s="13">
        <f t="shared" si="92"/>
        <v>13</v>
      </c>
      <c r="G169" s="13">
        <f t="shared" si="76"/>
        <v>12</v>
      </c>
      <c r="H169" s="175">
        <f t="shared" si="77"/>
        <v>43262</v>
      </c>
      <c r="I169" s="772">
        <f t="shared" si="78"/>
        <v>0.5</v>
      </c>
      <c r="J169" s="763">
        <f t="shared" si="79"/>
        <v>65.09030000008643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P169" s="13">
        <f t="shared" si="80"/>
        <v>7</v>
      </c>
      <c r="AQ169" s="13">
        <f t="shared" si="81"/>
        <v>8</v>
      </c>
      <c r="AR169" s="175">
        <f t="shared" si="82"/>
        <v>43248</v>
      </c>
      <c r="AS169" s="772">
        <f t="shared" si="83"/>
        <v>0.25</v>
      </c>
      <c r="AT169" s="789">
        <f t="shared" si="84"/>
        <v>65.133114062994721</v>
      </c>
      <c r="AU169" s="13">
        <f t="shared" si="85"/>
        <v>7</v>
      </c>
      <c r="AV169" s="13">
        <f t="shared" si="86"/>
        <v>6</v>
      </c>
      <c r="AW169" s="175">
        <f t="shared" si="87"/>
        <v>43262</v>
      </c>
      <c r="AX169" s="772">
        <f t="shared" si="88"/>
        <v>0.25</v>
      </c>
      <c r="AY169" s="789">
        <f t="shared" si="89"/>
        <v>65.076567187160251</v>
      </c>
      <c r="AZ169" s="763">
        <f t="shared" si="93"/>
        <v>65.104840625077486</v>
      </c>
      <c r="BA169" s="647">
        <f t="shared" si="90"/>
        <v>0.89048278660646618</v>
      </c>
      <c r="BB169" s="642">
        <v>43255</v>
      </c>
      <c r="BC169" s="11">
        <v>43255</v>
      </c>
      <c r="BD169" s="292">
        <f>[2]!FeuilCaduc*(1-Persistant)+Persistant</f>
        <v>1</v>
      </c>
      <c r="BE169" s="293">
        <f>[2]!CroissVégét</f>
        <v>0.43803029270835642</v>
      </c>
      <c r="BF169" s="842">
        <f>1+[2]!Salcycl*Ksac</f>
        <v>1.0684341442747858</v>
      </c>
      <c r="BH169" s="1105">
        <f t="shared" si="91"/>
        <v>1.3443848612777684E-3</v>
      </c>
      <c r="BI169" s="11">
        <v>44351</v>
      </c>
      <c r="BJ169" s="742">
        <v>7.9219499019623422E-4</v>
      </c>
      <c r="BK169" s="742">
        <v>1.0287470065072958E-3</v>
      </c>
      <c r="BL169" s="742">
        <v>1.2832710425587522E-3</v>
      </c>
      <c r="BM169" s="742">
        <v>1.5891827756429366E-3</v>
      </c>
      <c r="BN169" s="742">
        <v>2.1206562904545218E-3</v>
      </c>
      <c r="BO169" s="743">
        <v>2.9710908976114223E-3</v>
      </c>
      <c r="BP169" s="742">
        <v>4.357543917294854E-3</v>
      </c>
      <c r="BQ169" s="742">
        <v>6.750134540457948E-3</v>
      </c>
      <c r="BR169" s="742">
        <v>1.1172092225786844E-2</v>
      </c>
      <c r="BS169" s="742">
        <v>1.824403392964755E-2</v>
      </c>
      <c r="BT169" s="742">
        <v>2.7308126667981204E-2</v>
      </c>
      <c r="BW169" s="1187">
        <f>'2018'!R\Max</f>
        <v>0</v>
      </c>
      <c r="BX169" s="1185">
        <f>'2019'!R\Max</f>
        <v>0.89048278660646618</v>
      </c>
      <c r="BY169" s="1185">
        <f>'2020'!R\Max</f>
        <v>0.43352458273551342</v>
      </c>
      <c r="BZ169" s="1185">
        <f>'2021'!R\Max</f>
        <v>0.17295325903690861</v>
      </c>
      <c r="CA169" s="1185">
        <f>'2022'!R\Max</f>
        <v>0.51688938045548016</v>
      </c>
      <c r="CB169" s="1185">
        <f>'2023'!R\Max</f>
        <v>0.51684118183496741</v>
      </c>
      <c r="CC169" s="1185">
        <f>'2024'!R\Max</f>
        <v>0.51675854441841906</v>
      </c>
      <c r="CD169" s="1185">
        <f>'2025'!R\Max</f>
        <v>0.51698648118829749</v>
      </c>
      <c r="CE169" s="1185">
        <f>'2026'!R\Max</f>
        <v>0.51697401149690625</v>
      </c>
      <c r="CF169" s="1186">
        <f>'2027'!R\Max</f>
        <v>0.51695566025511885</v>
      </c>
    </row>
    <row r="170" spans="1:84" s="6" customFormat="1" ht="11.25" x14ac:dyDescent="0.2">
      <c r="A170" s="11">
        <v>43256</v>
      </c>
      <c r="B170" s="382">
        <f>'2023'!Maxi_hp</f>
        <v>47.729541453271779</v>
      </c>
      <c r="C170" s="85">
        <f>'2023'!An_max</f>
        <v>2021</v>
      </c>
      <c r="D170" s="1132"/>
      <c r="E170" s="709"/>
      <c r="F170" s="13">
        <f t="shared" si="92"/>
        <v>13</v>
      </c>
      <c r="G170" s="13">
        <f t="shared" si="76"/>
        <v>12</v>
      </c>
      <c r="H170" s="175">
        <f t="shared" si="77"/>
        <v>43262</v>
      </c>
      <c r="I170" s="772">
        <f t="shared" si="78"/>
        <v>0.42857142857142855</v>
      </c>
      <c r="J170" s="763">
        <f t="shared" si="79"/>
        <v>65.093766764338525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P170" s="13">
        <f t="shared" si="80"/>
        <v>7</v>
      </c>
      <c r="AQ170" s="13">
        <f t="shared" si="81"/>
        <v>8</v>
      </c>
      <c r="AR170" s="175">
        <f t="shared" si="82"/>
        <v>43248</v>
      </c>
      <c r="AS170" s="772">
        <f t="shared" si="83"/>
        <v>0.2857142857142857</v>
      </c>
      <c r="AT170" s="789">
        <f t="shared" si="84"/>
        <v>65.138683966121505</v>
      </c>
      <c r="AU170" s="13">
        <f t="shared" si="85"/>
        <v>7</v>
      </c>
      <c r="AV170" s="13">
        <f t="shared" si="86"/>
        <v>6</v>
      </c>
      <c r="AW170" s="175">
        <f t="shared" si="87"/>
        <v>43262</v>
      </c>
      <c r="AX170" s="772">
        <f t="shared" si="88"/>
        <v>0.21428571428571427</v>
      </c>
      <c r="AY170" s="789">
        <f t="shared" si="89"/>
        <v>65.077770662627046</v>
      </c>
      <c r="AZ170" s="763">
        <f t="shared" si="93"/>
        <v>65.108227314374275</v>
      </c>
      <c r="BA170" s="647">
        <f t="shared" si="90"/>
        <v>0.73324288677391924</v>
      </c>
      <c r="BB170" s="642">
        <v>43256</v>
      </c>
      <c r="BC170" s="11">
        <v>43256</v>
      </c>
      <c r="BD170" s="292">
        <f>[2]!FeuilCaduc*(1-Persistant)+Persistant</f>
        <v>1</v>
      </c>
      <c r="BE170" s="293">
        <f>[2]!CroissVégét</f>
        <v>0.44819129444890032</v>
      </c>
      <c r="BF170" s="842">
        <f>1+[2]!Salcycl*Ksac</f>
        <v>1.0697695913546346</v>
      </c>
      <c r="BH170" s="1105">
        <f t="shared" si="91"/>
        <v>1.3785542938625772E-3</v>
      </c>
      <c r="BI170" s="11">
        <v>44352</v>
      </c>
      <c r="BJ170" s="742">
        <v>8.2447323119692873E-4</v>
      </c>
      <c r="BK170" s="742">
        <v>1.063926628607127E-3</v>
      </c>
      <c r="BL170" s="742">
        <v>1.3187635526908052E-3</v>
      </c>
      <c r="BM170" s="742">
        <v>1.6180524800991872E-3</v>
      </c>
      <c r="BN170" s="742">
        <v>2.1168471393839022E-3</v>
      </c>
      <c r="BO170" s="743">
        <v>2.9056957551248657E-3</v>
      </c>
      <c r="BP170" s="742">
        <v>4.1944365180879286E-3</v>
      </c>
      <c r="BQ170" s="742">
        <v>6.4433507490537891E-3</v>
      </c>
      <c r="BR170" s="742">
        <v>1.065576031909376E-2</v>
      </c>
      <c r="BS170" s="742">
        <v>1.7573122504449021E-2</v>
      </c>
      <c r="BT170" s="742">
        <v>2.6569071356956676E-2</v>
      </c>
      <c r="BW170" s="1187">
        <f>'2018'!R\Max</f>
        <v>0</v>
      </c>
      <c r="BX170" s="1185">
        <f>'2019'!R\Max</f>
        <v>0.18169467785948923</v>
      </c>
      <c r="BY170" s="1185">
        <f>'2020'!R\Max</f>
        <v>0.58211666991599353</v>
      </c>
      <c r="BZ170" s="1185">
        <f>'2021'!R\Max</f>
        <v>0.73324288677391924</v>
      </c>
      <c r="CA170" s="1185">
        <f>'2022'!R\Max</f>
        <v>0.54010268012654439</v>
      </c>
      <c r="CB170" s="1185">
        <f>'2023'!R\Max</f>
        <v>0.54005777549995337</v>
      </c>
      <c r="CC170" s="1185">
        <f>'2024'!R\Max</f>
        <v>0.53998051641162692</v>
      </c>
      <c r="CD170" s="1185">
        <f>'2025'!R\Max</f>
        <v>0.54019333955436077</v>
      </c>
      <c r="CE170" s="1185">
        <f>'2026'!R\Max</f>
        <v>0.54018131372866374</v>
      </c>
      <c r="CF170" s="1186">
        <f>'2027'!R\Max</f>
        <v>0.5401641832509434</v>
      </c>
    </row>
    <row r="171" spans="1:84" s="6" customFormat="1" ht="11.25" x14ac:dyDescent="0.2">
      <c r="A171" s="11">
        <v>43257</v>
      </c>
      <c r="B171" s="382">
        <f>'2023'!Maxi_hp</f>
        <v>63.713317790939129</v>
      </c>
      <c r="C171" s="85">
        <f>'2023'!An_max</f>
        <v>2019</v>
      </c>
      <c r="D171" s="1132"/>
      <c r="E171" s="709"/>
      <c r="F171" s="13">
        <f t="shared" si="92"/>
        <v>13</v>
      </c>
      <c r="G171" s="13">
        <f t="shared" si="76"/>
        <v>12</v>
      </c>
      <c r="H171" s="175">
        <f t="shared" si="77"/>
        <v>43262</v>
      </c>
      <c r="I171" s="772">
        <f t="shared" si="78"/>
        <v>0.35714285714285715</v>
      </c>
      <c r="J171" s="763">
        <f t="shared" si="79"/>
        <v>65.093239212940844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P171" s="13">
        <f t="shared" si="80"/>
        <v>7</v>
      </c>
      <c r="AQ171" s="13">
        <f t="shared" si="81"/>
        <v>8</v>
      </c>
      <c r="AR171" s="175">
        <f t="shared" si="82"/>
        <v>43248</v>
      </c>
      <c r="AS171" s="772">
        <f t="shared" si="83"/>
        <v>0.32142857142857145</v>
      </c>
      <c r="AT171" s="789">
        <f t="shared" si="84"/>
        <v>65.139129087395446</v>
      </c>
      <c r="AU171" s="13">
        <f t="shared" si="85"/>
        <v>7</v>
      </c>
      <c r="AV171" s="13">
        <f t="shared" si="86"/>
        <v>6</v>
      </c>
      <c r="AW171" s="175">
        <f t="shared" si="87"/>
        <v>43262</v>
      </c>
      <c r="AX171" s="772">
        <f t="shared" si="88"/>
        <v>0.17857142857142858</v>
      </c>
      <c r="AY171" s="789">
        <f t="shared" si="89"/>
        <v>65.076270439662039</v>
      </c>
      <c r="AZ171" s="763">
        <f t="shared" si="93"/>
        <v>65.107699763528743</v>
      </c>
      <c r="BA171" s="647">
        <f t="shared" si="90"/>
        <v>0.97880084877190476</v>
      </c>
      <c r="BB171" s="642">
        <v>43257</v>
      </c>
      <c r="BC171" s="11">
        <v>43257</v>
      </c>
      <c r="BD171" s="292">
        <f>[2]!FeuilCaduc*(1-Persistant)+Persistant</f>
        <v>1</v>
      </c>
      <c r="BE171" s="293">
        <f>[2]!CroissVégét</f>
        <v>0.45839513154318023</v>
      </c>
      <c r="BF171" s="842">
        <f>1+[2]!Salcycl*Ksac</f>
        <v>1.0710856266873325</v>
      </c>
      <c r="BH171" s="1105">
        <f t="shared" si="91"/>
        <v>1.4113767422759865E-3</v>
      </c>
      <c r="BI171" s="11">
        <v>44353</v>
      </c>
      <c r="BJ171" s="742">
        <v>8.5443506300981217E-4</v>
      </c>
      <c r="BK171" s="742">
        <v>1.0970604415124585E-3</v>
      </c>
      <c r="BL171" s="742">
        <v>1.3526875306825671E-3</v>
      </c>
      <c r="BM171" s="742">
        <v>1.6464626343859268E-3</v>
      </c>
      <c r="BN171" s="742">
        <v>2.1159128758387112E-3</v>
      </c>
      <c r="BO171" s="743">
        <v>2.8485171065388061E-3</v>
      </c>
      <c r="BP171" s="742">
        <v>4.0472042589145664E-3</v>
      </c>
      <c r="BQ171" s="742">
        <v>6.1598428227097489E-3</v>
      </c>
      <c r="BR171" s="742">
        <v>1.0168313294430591E-2</v>
      </c>
      <c r="BS171" s="742">
        <v>1.6921863464905072E-2</v>
      </c>
      <c r="BT171" s="742">
        <v>2.5826349982776876E-2</v>
      </c>
      <c r="BW171" s="1187">
        <f>'2018'!R\Max</f>
        <v>0</v>
      </c>
      <c r="BX171" s="1185">
        <f>'2019'!R\Max</f>
        <v>0.97880084877190476</v>
      </c>
      <c r="BY171" s="1185">
        <f>'2020'!R\Max</f>
        <v>0.42819770924525397</v>
      </c>
      <c r="BZ171" s="1185">
        <f>'2021'!R\Max</f>
        <v>0.74565849784160465</v>
      </c>
      <c r="CA171" s="1185">
        <f>'2022'!R\Max</f>
        <v>0.72093894089537369</v>
      </c>
      <c r="CB171" s="1185">
        <f>'2023'!R\Max</f>
        <v>0.72090484008121913</v>
      </c>
      <c r="CC171" s="1185">
        <f>'2024'!R\Max</f>
        <v>0.72084604954711828</v>
      </c>
      <c r="CD171" s="1185">
        <f>'2025'!R\Max</f>
        <v>0.72100798622322848</v>
      </c>
      <c r="CE171" s="1185">
        <f>'2026'!R\Max</f>
        <v>0.72099851942684512</v>
      </c>
      <c r="CF171" s="1186">
        <f>'2027'!R\Max</f>
        <v>0.72098546192992652</v>
      </c>
    </row>
    <row r="172" spans="1:84" s="6" customFormat="1" ht="11.25" x14ac:dyDescent="0.2">
      <c r="A172" s="11">
        <v>43258</v>
      </c>
      <c r="B172" s="382">
        <f>'2023'!Maxi_hp</f>
        <v>57.56714176960822</v>
      </c>
      <c r="C172" s="85">
        <f>'2023'!An_max</f>
        <v>2021</v>
      </c>
      <c r="D172" s="1132"/>
      <c r="E172" s="709"/>
      <c r="F172" s="13">
        <f t="shared" si="92"/>
        <v>13</v>
      </c>
      <c r="G172" s="13">
        <f t="shared" si="76"/>
        <v>12</v>
      </c>
      <c r="H172" s="175">
        <f t="shared" si="77"/>
        <v>43262</v>
      </c>
      <c r="I172" s="772">
        <f t="shared" si="78"/>
        <v>0.2857142857142857</v>
      </c>
      <c r="J172" s="763">
        <f t="shared" si="79"/>
        <v>65.088943440467119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P172" s="13">
        <f t="shared" si="80"/>
        <v>7</v>
      </c>
      <c r="AQ172" s="13">
        <f t="shared" si="81"/>
        <v>8</v>
      </c>
      <c r="AR172" s="175">
        <f t="shared" si="82"/>
        <v>43248</v>
      </c>
      <c r="AS172" s="772">
        <f t="shared" si="83"/>
        <v>0.35714285714285715</v>
      </c>
      <c r="AT172" s="789">
        <f t="shared" si="84"/>
        <v>65.134633128185357</v>
      </c>
      <c r="AU172" s="13">
        <f t="shared" si="85"/>
        <v>7</v>
      </c>
      <c r="AV172" s="13">
        <f t="shared" si="86"/>
        <v>6</v>
      </c>
      <c r="AW172" s="175">
        <f t="shared" si="87"/>
        <v>43262</v>
      </c>
      <c r="AX172" s="772">
        <f t="shared" si="88"/>
        <v>0.14285714285714285</v>
      </c>
      <c r="AY172" s="789">
        <f t="shared" si="89"/>
        <v>65.072363264752283</v>
      </c>
      <c r="AZ172" s="763">
        <f t="shared" si="93"/>
        <v>65.10349819646882</v>
      </c>
      <c r="BA172" s="647">
        <f t="shared" si="90"/>
        <v>0.8844381046415567</v>
      </c>
      <c r="BB172" s="642">
        <v>43258</v>
      </c>
      <c r="BC172" s="11">
        <v>43258</v>
      </c>
      <c r="BD172" s="292">
        <f>[2]!FeuilCaduc*(1-Persistant)+Persistant</f>
        <v>1</v>
      </c>
      <c r="BE172" s="293">
        <f>[2]!CroissVégét</f>
        <v>0.46863341037883222</v>
      </c>
      <c r="BF172" s="842">
        <f>1+[2]!Salcycl*Ksac</f>
        <v>1.0723807049833933</v>
      </c>
      <c r="BH172" s="1105">
        <f t="shared" si="91"/>
        <v>1.442856225057882E-3</v>
      </c>
      <c r="BI172" s="11">
        <v>44354</v>
      </c>
      <c r="BJ172" s="742">
        <v>8.8208562534341584E-4</v>
      </c>
      <c r="BK172" s="742">
        <v>1.1281533586663202E-3</v>
      </c>
      <c r="BL172" s="742">
        <v>1.3850473209439957E-3</v>
      </c>
      <c r="BM172" s="742">
        <v>1.6744159517357374E-3</v>
      </c>
      <c r="BN172" s="742">
        <v>2.1178509158156201E-3</v>
      </c>
      <c r="BO172" s="743">
        <v>2.7995439727839613E-3</v>
      </c>
      <c r="BP172" s="742">
        <v>3.915824441784203E-3</v>
      </c>
      <c r="BQ172" s="742">
        <v>5.8995786403947962E-3</v>
      </c>
      <c r="BR172" s="742">
        <v>9.7097163864086605E-3</v>
      </c>
      <c r="BS172" s="742">
        <v>1.629025059831684E-2</v>
      </c>
      <c r="BT172" s="742">
        <v>2.5080013452200317E-2</v>
      </c>
      <c r="BW172" s="1187">
        <f>'2018'!R\Max</f>
        <v>0</v>
      </c>
      <c r="BX172" s="1185">
        <f>'2019'!R\Max</f>
        <v>0.33866054394495609</v>
      </c>
      <c r="BY172" s="1185">
        <f>'2020'!R\Max</f>
        <v>0.44457354426296014</v>
      </c>
      <c r="BZ172" s="1185">
        <f>'2021'!R\Max</f>
        <v>0.8844381046415567</v>
      </c>
      <c r="CA172" s="1185">
        <f>'2022'!R\Max</f>
        <v>0.54274597717395945</v>
      </c>
      <c r="CB172" s="1185">
        <f>'2023'!R\Max</f>
        <v>0.54270648162868107</v>
      </c>
      <c r="CC172" s="1185">
        <f>'2024'!R\Max</f>
        <v>0.54263838919604268</v>
      </c>
      <c r="CD172" s="1185">
        <f>'2025'!R\Max</f>
        <v>0.54282627123672034</v>
      </c>
      <c r="CE172" s="1185">
        <f>'2026'!R\Max</f>
        <v>0.5428148851201422</v>
      </c>
      <c r="CF172" s="1186">
        <f>'2027'!R\Max</f>
        <v>0.54279966821507208</v>
      </c>
    </row>
    <row r="173" spans="1:84" s="6" customFormat="1" ht="11.25" x14ac:dyDescent="0.2">
      <c r="A173" s="11">
        <v>43259</v>
      </c>
      <c r="B173" s="382">
        <f>'2023'!Maxi_hp</f>
        <v>66.080309605009333</v>
      </c>
      <c r="C173" s="85">
        <f>'2023'!An_max</f>
        <v>2019</v>
      </c>
      <c r="D173" s="1132"/>
      <c r="E173" s="709"/>
      <c r="F173" s="13">
        <f t="shared" si="92"/>
        <v>13</v>
      </c>
      <c r="G173" s="13">
        <f t="shared" si="76"/>
        <v>12</v>
      </c>
      <c r="H173" s="175">
        <f t="shared" si="77"/>
        <v>43262</v>
      </c>
      <c r="I173" s="772">
        <f t="shared" si="78"/>
        <v>0.21428571428571427</v>
      </c>
      <c r="J173" s="763">
        <f t="shared" si="79"/>
        <v>65.081105539202696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P173" s="13">
        <f t="shared" si="80"/>
        <v>7</v>
      </c>
      <c r="AQ173" s="13">
        <f t="shared" si="81"/>
        <v>8</v>
      </c>
      <c r="AR173" s="175">
        <f t="shared" si="82"/>
        <v>43248</v>
      </c>
      <c r="AS173" s="772">
        <f t="shared" si="83"/>
        <v>0.39285714285714285</v>
      </c>
      <c r="AT173" s="789">
        <f t="shared" si="84"/>
        <v>65.125379788662713</v>
      </c>
      <c r="AU173" s="13">
        <f t="shared" si="85"/>
        <v>7</v>
      </c>
      <c r="AV173" s="13">
        <f t="shared" si="86"/>
        <v>6</v>
      </c>
      <c r="AW173" s="175">
        <f t="shared" si="87"/>
        <v>43262</v>
      </c>
      <c r="AX173" s="772">
        <f t="shared" si="88"/>
        <v>0.10714285714285714</v>
      </c>
      <c r="AY173" s="789">
        <f t="shared" si="89"/>
        <v>65.066345886141065</v>
      </c>
      <c r="AZ173" s="763">
        <f t="shared" si="93"/>
        <v>65.095862837401882</v>
      </c>
      <c r="BA173" s="647">
        <f t="shared" si="90"/>
        <v>1.0153532128492309</v>
      </c>
      <c r="BB173" s="642">
        <v>43259</v>
      </c>
      <c r="BC173" s="11">
        <v>43259</v>
      </c>
      <c r="BD173" s="292">
        <f>[2]!FeuilCaduc*(1-Persistant)+Persistant</f>
        <v>1</v>
      </c>
      <c r="BE173" s="293">
        <f>[2]!CroissVégét</f>
        <v>0.4788976222853652</v>
      </c>
      <c r="BF173" s="842">
        <f>1+[2]!Salcycl*Ksac</f>
        <v>1.0736533370070429</v>
      </c>
      <c r="BH173" s="1105">
        <f t="shared" si="91"/>
        <v>1.4729969594551209E-3</v>
      </c>
      <c r="BI173" s="11">
        <v>44355</v>
      </c>
      <c r="BJ173" s="742">
        <v>9.0743025136333518E-4</v>
      </c>
      <c r="BK173" s="742">
        <v>1.1572105015410302E-3</v>
      </c>
      <c r="BL173" s="742">
        <v>1.4158474750990792E-3</v>
      </c>
      <c r="BM173" s="742">
        <v>1.7019153100122366E-3</v>
      </c>
      <c r="BN173" s="742">
        <v>2.1226586415958341E-3</v>
      </c>
      <c r="BO173" s="743">
        <v>2.7587649734050882E-3</v>
      </c>
      <c r="BP173" s="742">
        <v>3.800273389849191E-3</v>
      </c>
      <c r="BQ173" s="742">
        <v>5.6625242814851246E-3</v>
      </c>
      <c r="BR173" s="742">
        <v>9.2799318726748178E-3</v>
      </c>
      <c r="BS173" s="742">
        <v>1.5678273988216661E-2</v>
      </c>
      <c r="BT173" s="742">
        <v>2.433010879454478E-2</v>
      </c>
      <c r="BW173" s="1187">
        <f>'2018'!R\Max</f>
        <v>0</v>
      </c>
      <c r="BX173" s="1185">
        <f>'2019'!R\Max</f>
        <v>1.0153532128492309</v>
      </c>
      <c r="BY173" s="1185">
        <f>'2020'!R\Max</f>
        <v>0.6283700490396823</v>
      </c>
      <c r="BZ173" s="1185">
        <f>'2021'!R\Max</f>
        <v>0.98358934524307962</v>
      </c>
      <c r="CA173" s="1185">
        <f>'2022'!R\Max</f>
        <v>0.38197763388652023</v>
      </c>
      <c r="CB173" s="1185">
        <f>'2023'!R\Max</f>
        <v>0.38194228798593238</v>
      </c>
      <c r="CC173" s="1185">
        <f>'2024'!R\Max</f>
        <v>0.38188148235502489</v>
      </c>
      <c r="CD173" s="1185">
        <f>'2025'!R\Max</f>
        <v>0.38204987236090188</v>
      </c>
      <c r="CE173" s="1185">
        <f>'2026'!R\Max</f>
        <v>0.38203927621508421</v>
      </c>
      <c r="CF173" s="1186">
        <f>'2027'!R\Max</f>
        <v>0.38202553938687667</v>
      </c>
    </row>
    <row r="174" spans="1:84" s="6" customFormat="1" ht="11.25" x14ac:dyDescent="0.2">
      <c r="A174" s="11">
        <v>43260</v>
      </c>
      <c r="B174" s="382">
        <f>'2023'!Maxi_hp</f>
        <v>60.192808761372696</v>
      </c>
      <c r="C174" s="85">
        <f>'2023'!An_max</f>
        <v>2021</v>
      </c>
      <c r="D174" s="1132"/>
      <c r="E174" s="709"/>
      <c r="F174" s="13">
        <f t="shared" si="92"/>
        <v>13</v>
      </c>
      <c r="G174" s="13">
        <f t="shared" si="76"/>
        <v>12</v>
      </c>
      <c r="H174" s="175">
        <f t="shared" si="77"/>
        <v>43262</v>
      </c>
      <c r="I174" s="772">
        <f t="shared" si="78"/>
        <v>0.14285714285714285</v>
      </c>
      <c r="J174" s="763">
        <f t="shared" si="79"/>
        <v>65.069951603668088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P174" s="13">
        <f t="shared" si="80"/>
        <v>7</v>
      </c>
      <c r="AQ174" s="13">
        <f t="shared" si="81"/>
        <v>8</v>
      </c>
      <c r="AR174" s="175">
        <f t="shared" si="82"/>
        <v>43248</v>
      </c>
      <c r="AS174" s="772">
        <f t="shared" si="83"/>
        <v>0.42857142857142855</v>
      </c>
      <c r="AT174" s="789">
        <f t="shared" si="84"/>
        <v>65.111552770222929</v>
      </c>
      <c r="AU174" s="13">
        <f t="shared" si="85"/>
        <v>7</v>
      </c>
      <c r="AV174" s="13">
        <f t="shared" si="86"/>
        <v>6</v>
      </c>
      <c r="AW174" s="175">
        <f t="shared" si="87"/>
        <v>43262</v>
      </c>
      <c r="AX174" s="772">
        <f t="shared" si="88"/>
        <v>7.1428571428571425E-2</v>
      </c>
      <c r="AY174" s="789">
        <f t="shared" si="89"/>
        <v>65.05851505042186</v>
      </c>
      <c r="AZ174" s="763">
        <f t="shared" si="93"/>
        <v>65.085033910322394</v>
      </c>
      <c r="BA174" s="647">
        <f t="shared" si="90"/>
        <v>0.92504769525569375</v>
      </c>
      <c r="BB174" s="642">
        <v>43260</v>
      </c>
      <c r="BC174" s="11">
        <v>43260</v>
      </c>
      <c r="BD174" s="292">
        <f>[2]!FeuilCaduc*(1-Persistant)+Persistant</f>
        <v>1</v>
      </c>
      <c r="BE174" s="293">
        <f>[2]!CroissVégét</f>
        <v>0.48917917157397695</v>
      </c>
      <c r="BF174" s="842">
        <f>1+[2]!Salcycl*Ksac</f>
        <v>1.0749020954568203</v>
      </c>
      <c r="BH174" s="1105">
        <f t="shared" si="91"/>
        <v>1.501803343837793E-3</v>
      </c>
      <c r="BI174" s="11">
        <v>44356</v>
      </c>
      <c r="BJ174" s="742">
        <v>9.3047443691391394E-4</v>
      </c>
      <c r="BK174" s="742">
        <v>1.1842371725881949E-3</v>
      </c>
      <c r="BL174" s="742">
        <v>1.4450927314203727E-3</v>
      </c>
      <c r="BM174" s="742">
        <v>1.7289637460699673E-3</v>
      </c>
      <c r="BN174" s="742">
        <v>2.1303334407416635E-3</v>
      </c>
      <c r="BO174" s="743">
        <v>2.726168436905724E-3</v>
      </c>
      <c r="BP174" s="742">
        <v>3.7005266598956507E-3</v>
      </c>
      <c r="BQ174" s="742">
        <v>5.4486443361817065E-3</v>
      </c>
      <c r="BR174" s="742">
        <v>8.8789194569814326E-3</v>
      </c>
      <c r="BS174" s="742">
        <v>1.5085920270159684E-2</v>
      </c>
      <c r="BT174" s="742">
        <v>2.3576679101002303E-2</v>
      </c>
      <c r="BW174" s="1187">
        <f>'2018'!R\Max</f>
        <v>0</v>
      </c>
      <c r="BX174" s="1185">
        <f>'2019'!R\Max</f>
        <v>0.81665447899335297</v>
      </c>
      <c r="BY174" s="1185">
        <f>'2020'!R\Max</f>
        <v>0.74639509667094273</v>
      </c>
      <c r="BZ174" s="1185">
        <f>'2021'!R\Max</f>
        <v>0.92504769525569375</v>
      </c>
      <c r="CA174" s="1185">
        <f>'2022'!R\Max</f>
        <v>0.76024342951889223</v>
      </c>
      <c r="CB174" s="1185">
        <f>'2023'!R\Max</f>
        <v>0.760217684388801</v>
      </c>
      <c r="CC174" s="1185">
        <f>'2024'!R\Max</f>
        <v>0.760173597026503</v>
      </c>
      <c r="CD174" s="1185">
        <f>'2025'!R\Max</f>
        <v>0.76029639010471284</v>
      </c>
      <c r="CE174" s="1185">
        <f>'2026'!R\Max</f>
        <v>0.76028835761544378</v>
      </c>
      <c r="CF174" s="1186">
        <f>'2027'!R\Max</f>
        <v>0.76027823959029039</v>
      </c>
    </row>
    <row r="175" spans="1:84" s="6" customFormat="1" ht="11.25" x14ac:dyDescent="0.2">
      <c r="A175" s="11">
        <v>43261</v>
      </c>
      <c r="B175" s="382">
        <f>'2023'!Maxi_hp</f>
        <v>65.004837110945502</v>
      </c>
      <c r="C175" s="85">
        <f>'2023'!An_max</f>
        <v>2022</v>
      </c>
      <c r="D175" s="1132"/>
      <c r="E175" s="709"/>
      <c r="F175" s="13">
        <f t="shared" si="92"/>
        <v>13</v>
      </c>
      <c r="G175" s="13">
        <f t="shared" si="76"/>
        <v>12</v>
      </c>
      <c r="H175" s="175">
        <f t="shared" si="77"/>
        <v>43262</v>
      </c>
      <c r="I175" s="772">
        <f t="shared" si="78"/>
        <v>7.1428571428571425E-2</v>
      </c>
      <c r="J175" s="763">
        <f t="shared" si="79"/>
        <v>65.055707725722883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P175" s="13">
        <f t="shared" si="80"/>
        <v>7</v>
      </c>
      <c r="AQ175" s="13">
        <f t="shared" si="81"/>
        <v>8</v>
      </c>
      <c r="AR175" s="175">
        <f t="shared" si="82"/>
        <v>43248</v>
      </c>
      <c r="AS175" s="772">
        <f t="shared" si="83"/>
        <v>0.4642857142857143</v>
      </c>
      <c r="AT175" s="789">
        <f t="shared" si="84"/>
        <v>65.093335774088544</v>
      </c>
      <c r="AU175" s="13">
        <f t="shared" si="85"/>
        <v>7</v>
      </c>
      <c r="AV175" s="13">
        <f t="shared" si="86"/>
        <v>6</v>
      </c>
      <c r="AW175" s="175">
        <f t="shared" si="87"/>
        <v>43262</v>
      </c>
      <c r="AX175" s="772">
        <f t="shared" si="88"/>
        <v>3.5714285714285712E-2</v>
      </c>
      <c r="AY175" s="789">
        <f t="shared" si="89"/>
        <v>65.04916750610407</v>
      </c>
      <c r="AZ175" s="763">
        <f t="shared" si="93"/>
        <v>65.071251640096307</v>
      </c>
      <c r="BA175" s="647">
        <f t="shared" si="90"/>
        <v>0.99921804532521796</v>
      </c>
      <c r="BB175" s="642">
        <v>43261</v>
      </c>
      <c r="BC175" s="11">
        <v>43261</v>
      </c>
      <c r="BD175" s="292">
        <f>[2]!FeuilCaduc*(1-Persistant)+Persistant</f>
        <v>1</v>
      </c>
      <c r="BE175" s="293">
        <f>[2]!CroissVégét</f>
        <v>0.499469404196</v>
      </c>
      <c r="BF175" s="842">
        <f>1+[2]!Salcycl*Ksac</f>
        <v>1.0761256205851479</v>
      </c>
      <c r="BH175" s="1105">
        <f t="shared" si="91"/>
        <v>1.5292799401334127E-3</v>
      </c>
      <c r="BI175" s="11">
        <v>44357</v>
      </c>
      <c r="BJ175" s="742">
        <v>9.5122380975091385E-4</v>
      </c>
      <c r="BK175" s="742">
        <v>1.2092388282027395E-3</v>
      </c>
      <c r="BL175" s="742">
        <v>1.4727879942807505E-3</v>
      </c>
      <c r="BM175" s="742">
        <v>1.7555644501350536E-3</v>
      </c>
      <c r="BN175" s="742">
        <v>2.1408727451192331E-3</v>
      </c>
      <c r="BO175" s="743">
        <v>2.7017425111272842E-3</v>
      </c>
      <c r="BP175" s="742">
        <v>3.6165592548821333E-3</v>
      </c>
      <c r="BQ175" s="742">
        <v>5.2579022159996583E-3</v>
      </c>
      <c r="BR175" s="742">
        <v>8.5066366523742897E-3</v>
      </c>
      <c r="BS175" s="742">
        <v>1.4513172887713865E-2</v>
      </c>
      <c r="BT175" s="742">
        <v>2.2819763464260359E-2</v>
      </c>
      <c r="BW175" s="1187">
        <f>'2018'!R\Max</f>
        <v>0</v>
      </c>
      <c r="BX175" s="1185">
        <f>'2019'!R\Max</f>
        <v>0.40480446906108636</v>
      </c>
      <c r="BY175" s="1185">
        <f>'2020'!R\Max</f>
        <v>0.38439792556672286</v>
      </c>
      <c r="BZ175" s="1185">
        <f>'2021'!R\Max</f>
        <v>0.94070840850768811</v>
      </c>
      <c r="CA175" s="1185">
        <f>'2022'!R\Max</f>
        <v>0.99921804532521796</v>
      </c>
      <c r="CB175" s="1185">
        <f>'2023'!R\Max</f>
        <v>0.99921794087493487</v>
      </c>
      <c r="CC175" s="1185">
        <f>'2024'!R\Max</f>
        <v>0.99921776337441381</v>
      </c>
      <c r="CD175" s="1185">
        <f>'2025'!R\Max</f>
        <v>0.99921826197864017</v>
      </c>
      <c r="CE175" s="1185">
        <f>'2026'!R\Max</f>
        <v>0.99921822802562199</v>
      </c>
      <c r="CF175" s="1186">
        <f>'2027'!R\Max</f>
        <v>0.99921818638352089</v>
      </c>
    </row>
    <row r="176" spans="1:84" s="6" customFormat="1" ht="11.25" x14ac:dyDescent="0.2">
      <c r="A176" s="11">
        <v>43262</v>
      </c>
      <c r="B176" s="382">
        <f>'2023'!Maxi_hp</f>
        <v>61.004914058296308</v>
      </c>
      <c r="C176" s="85">
        <f>'2023'!An_max</f>
        <v>2022</v>
      </c>
      <c r="D176" s="1132"/>
      <c r="E176" s="771">
        <f>Y$13/10</f>
        <v>65.038600000000002</v>
      </c>
      <c r="F176" s="13">
        <f t="shared" si="92"/>
        <v>13</v>
      </c>
      <c r="G176" s="13">
        <f t="shared" si="76"/>
        <v>14</v>
      </c>
      <c r="H176" s="175">
        <f t="shared" si="77"/>
        <v>43262</v>
      </c>
      <c r="I176" s="772">
        <f t="shared" si="78"/>
        <v>0</v>
      </c>
      <c r="J176" s="763">
        <f t="shared" si="79"/>
        <v>65.038599999994034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P176" s="13">
        <f t="shared" si="80"/>
        <v>7</v>
      </c>
      <c r="AQ176" s="13">
        <f t="shared" si="81"/>
        <v>8</v>
      </c>
      <c r="AR176" s="175">
        <f t="shared" si="82"/>
        <v>43248</v>
      </c>
      <c r="AS176" s="772">
        <f t="shared" si="83"/>
        <v>0.5</v>
      </c>
      <c r="AT176" s="789">
        <f t="shared" si="84"/>
        <v>65.070912501029667</v>
      </c>
      <c r="AU176" s="13">
        <f t="shared" si="85"/>
        <v>7</v>
      </c>
      <c r="AV176" s="13">
        <f t="shared" si="86"/>
        <v>8</v>
      </c>
      <c r="AW176" s="175">
        <f t="shared" si="87"/>
        <v>43262</v>
      </c>
      <c r="AX176" s="772">
        <f t="shared" si="88"/>
        <v>0</v>
      </c>
      <c r="AY176" s="789">
        <f t="shared" si="89"/>
        <v>65.038599999248987</v>
      </c>
      <c r="AZ176" s="763">
        <f t="shared" si="93"/>
        <v>65.05475625013932</v>
      </c>
      <c r="BA176" s="647">
        <f t="shared" si="90"/>
        <v>0.93798012346978421</v>
      </c>
      <c r="BB176" s="642">
        <v>43262</v>
      </c>
      <c r="BC176" s="11">
        <v>43262</v>
      </c>
      <c r="BD176" s="292">
        <f>[2]!FeuilCaduc*(1-Persistant)+Persistant</f>
        <v>1</v>
      </c>
      <c r="BE176" s="293">
        <f>[2]!CroissVégét</f>
        <v>0.50975963681802305</v>
      </c>
      <c r="BF176" s="842">
        <f>1+[2]!Salcycl*Ksac</f>
        <v>1.0773226255164148</v>
      </c>
      <c r="BH176" s="1105">
        <f t="shared" si="91"/>
        <v>1.5554314562446364E-3</v>
      </c>
      <c r="BI176" s="11">
        <v>44358</v>
      </c>
      <c r="BJ176" s="742">
        <v>9.6968409876408335E-4</v>
      </c>
      <c r="BK176" s="742">
        <v>1.2322210516740411E-3</v>
      </c>
      <c r="BL176" s="742">
        <v>1.4989383135893403E-3</v>
      </c>
      <c r="BM176" s="742">
        <v>1.7817207601667823E-3</v>
      </c>
      <c r="BN176" s="742">
        <v>2.1542740698972046E-3</v>
      </c>
      <c r="BO176" s="743">
        <v>2.6854752735966619E-3</v>
      </c>
      <c r="BP176" s="742">
        <v>3.5483458364344886E-3</v>
      </c>
      <c r="BQ176" s="742">
        <v>5.0902604641918188E-3</v>
      </c>
      <c r="BR176" s="742">
        <v>8.163039164272393E-3</v>
      </c>
      <c r="BS176" s="742">
        <v>1.3960012348267915E-2</v>
      </c>
      <c r="BT176" s="742">
        <v>2.2059396917841968E-2</v>
      </c>
      <c r="BW176" s="1187">
        <f>'2018'!R\Max</f>
        <v>0</v>
      </c>
      <c r="BX176" s="1185">
        <f>'2019'!R\Max</f>
        <v>0.50972085348041896</v>
      </c>
      <c r="BY176" s="1185">
        <f>'2020'!R\Max</f>
        <v>0.74665477917543766</v>
      </c>
      <c r="BZ176" s="1185">
        <f>'2021'!R\Max</f>
        <v>0.73425612833318432</v>
      </c>
      <c r="CA176" s="1185">
        <f>'2022'!R\Max</f>
        <v>0.93798012346978421</v>
      </c>
      <c r="CB176" s="1185">
        <f>'2023'!R\Max</f>
        <v>0.93797273387824109</v>
      </c>
      <c r="CC176" s="1185">
        <f>'2024'!R\Max</f>
        <v>0.93796031635338806</v>
      </c>
      <c r="CD176" s="1185">
        <f>'2025'!R\Max</f>
        <v>0.93799561007111709</v>
      </c>
      <c r="CE176" s="1185">
        <f>'2026'!R\Max</f>
        <v>0.93799310537314118</v>
      </c>
      <c r="CF176" s="1186">
        <f>'2027'!R\Max</f>
        <v>0.9379901067340094</v>
      </c>
    </row>
    <row r="177" spans="1:84" s="6" customFormat="1" ht="11.25" x14ac:dyDescent="0.2">
      <c r="A177" s="11">
        <v>43263</v>
      </c>
      <c r="B177" s="382">
        <f>'2023'!Maxi_hp</f>
        <v>60.932539305572888</v>
      </c>
      <c r="C177" s="85">
        <f>'2023'!An_max</f>
        <v>2019</v>
      </c>
      <c r="D177" s="1132"/>
      <c r="E177" s="709"/>
      <c r="F177" s="13">
        <f t="shared" si="92"/>
        <v>13</v>
      </c>
      <c r="G177" s="13">
        <f t="shared" si="76"/>
        <v>14</v>
      </c>
      <c r="H177" s="175">
        <f t="shared" si="77"/>
        <v>43262</v>
      </c>
      <c r="I177" s="772">
        <f t="shared" si="78"/>
        <v>7.1428571428571425E-2</v>
      </c>
      <c r="J177" s="763">
        <f t="shared" si="79"/>
        <v>65.017799416423912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P177" s="13">
        <f t="shared" si="80"/>
        <v>7</v>
      </c>
      <c r="AQ177" s="13">
        <f t="shared" si="81"/>
        <v>8</v>
      </c>
      <c r="AR177" s="175">
        <f t="shared" si="82"/>
        <v>43248</v>
      </c>
      <c r="AS177" s="772">
        <f t="shared" si="83"/>
        <v>0.5357142857142857</v>
      </c>
      <c r="AT177" s="789">
        <f t="shared" si="84"/>
        <v>65.044466650738784</v>
      </c>
      <c r="AU177" s="13">
        <f t="shared" si="85"/>
        <v>7</v>
      </c>
      <c r="AV177" s="13">
        <f t="shared" si="86"/>
        <v>8</v>
      </c>
      <c r="AW177" s="175">
        <f t="shared" si="87"/>
        <v>43262</v>
      </c>
      <c r="AX177" s="772">
        <f t="shared" si="88"/>
        <v>3.5714285714285712E-2</v>
      </c>
      <c r="AY177" s="789">
        <f t="shared" si="89"/>
        <v>65.025420643841585</v>
      </c>
      <c r="AZ177" s="763">
        <f t="shared" si="93"/>
        <v>65.034943647290191</v>
      </c>
      <c r="BA177" s="647">
        <f t="shared" si="90"/>
        <v>0.93716705044589588</v>
      </c>
      <c r="BB177" s="642">
        <v>43263</v>
      </c>
      <c r="BC177" s="11">
        <v>43263</v>
      </c>
      <c r="BD177" s="292">
        <f>[2]!FeuilCaduc*(1-Persistant)+Persistant</f>
        <v>1</v>
      </c>
      <c r="BE177" s="293">
        <f>[2]!CroissVégét</f>
        <v>0.52004118610663486</v>
      </c>
      <c r="BF177" s="842">
        <f>1+[2]!Salcycl*Ksac</f>
        <v>1.0784919012248422</v>
      </c>
      <c r="BH177" s="1105">
        <f t="shared" si="91"/>
        <v>1.5802627284747703E-3</v>
      </c>
      <c r="BI177" s="11">
        <v>44359</v>
      </c>
      <c r="BJ177" s="742">
        <v>9.8586110320448899E-4</v>
      </c>
      <c r="BK177" s="742">
        <v>1.2531895261431517E-3</v>
      </c>
      <c r="BL177" s="742">
        <v>1.5235488642349315E-3</v>
      </c>
      <c r="BM177" s="742">
        <v>1.8074361562282198E-3</v>
      </c>
      <c r="BN177" s="742">
        <v>2.1705350525569088E-3</v>
      </c>
      <c r="BO177" s="743">
        <v>2.6773548418888853E-3</v>
      </c>
      <c r="BP177" s="742">
        <v>3.495860937361765E-3</v>
      </c>
      <c r="BQ177" s="742">
        <v>4.9456810662040262E-3</v>
      </c>
      <c r="BR177" s="742">
        <v>7.8480812735999429E-3</v>
      </c>
      <c r="BS177" s="742">
        <v>1.3426416478926853E-2</v>
      </c>
      <c r="BT177" s="742">
        <v>2.1295610375580639E-2</v>
      </c>
      <c r="BW177" s="1187">
        <f>'2018'!R\Max</f>
        <v>0</v>
      </c>
      <c r="BX177" s="1185">
        <f>'2019'!R\Max</f>
        <v>0.93716705044589588</v>
      </c>
      <c r="BY177" s="1185">
        <f>'2020'!R\Max</f>
        <v>0.49833351420572075</v>
      </c>
      <c r="BZ177" s="1185">
        <f>'2021'!R\Max</f>
        <v>0.81004289381200811</v>
      </c>
      <c r="CA177" s="1185">
        <f>'2022'!R\Max</f>
        <v>0.74066886713826785</v>
      </c>
      <c r="CB177" s="1185">
        <f>'2023'!R\Max</f>
        <v>0.74064557073789339</v>
      </c>
      <c r="CC177" s="1185">
        <f>'2024'!R\Max</f>
        <v>0.74060701084454872</v>
      </c>
      <c r="CD177" s="1185">
        <f>'2025'!R\Max</f>
        <v>0.74071830039624587</v>
      </c>
      <c r="CE177" s="1185">
        <f>'2026'!R\Max</f>
        <v>0.7407100646921092</v>
      </c>
      <c r="CF177" s="1186">
        <f>'2027'!R\Max</f>
        <v>0.74070041109234908</v>
      </c>
    </row>
    <row r="178" spans="1:84" s="6" customFormat="1" ht="11.25" x14ac:dyDescent="0.2">
      <c r="A178" s="11">
        <v>43264</v>
      </c>
      <c r="B178" s="382">
        <f>'2023'!Maxi_hp</f>
        <v>63.578698622220735</v>
      </c>
      <c r="C178" s="85">
        <f>'2023'!An_max</f>
        <v>2019</v>
      </c>
      <c r="D178" s="1132"/>
      <c r="E178" s="709"/>
      <c r="F178" s="13">
        <f t="shared" si="92"/>
        <v>13</v>
      </c>
      <c r="G178" s="13">
        <f t="shared" si="76"/>
        <v>14</v>
      </c>
      <c r="H178" s="175">
        <f t="shared" si="77"/>
        <v>43262</v>
      </c>
      <c r="I178" s="772">
        <f t="shared" si="78"/>
        <v>0.14285714285714285</v>
      </c>
      <c r="J178" s="763">
        <f t="shared" si="79"/>
        <v>64.992476968307571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P178" s="13">
        <f t="shared" si="80"/>
        <v>7</v>
      </c>
      <c r="AQ178" s="13">
        <f t="shared" si="81"/>
        <v>8</v>
      </c>
      <c r="AR178" s="175">
        <f t="shared" si="82"/>
        <v>43248</v>
      </c>
      <c r="AS178" s="772">
        <f t="shared" si="83"/>
        <v>0.5714285714285714</v>
      </c>
      <c r="AT178" s="789">
        <f t="shared" si="84"/>
        <v>65.014181924930625</v>
      </c>
      <c r="AU178" s="13">
        <f t="shared" si="85"/>
        <v>7</v>
      </c>
      <c r="AV178" s="13">
        <f t="shared" si="86"/>
        <v>8</v>
      </c>
      <c r="AW178" s="175">
        <f t="shared" si="87"/>
        <v>43262</v>
      </c>
      <c r="AX178" s="772">
        <f t="shared" si="88"/>
        <v>7.1428571428571425E-2</v>
      </c>
      <c r="AY178" s="789">
        <f t="shared" si="89"/>
        <v>65.008077404993983</v>
      </c>
      <c r="AZ178" s="763">
        <f t="shared" si="93"/>
        <v>65.011129664962311</v>
      </c>
      <c r="BA178" s="647">
        <f t="shared" si="90"/>
        <v>0.97824704624234837</v>
      </c>
      <c r="BB178" s="642">
        <v>43264</v>
      </c>
      <c r="BC178" s="11">
        <v>43264</v>
      </c>
      <c r="BD178" s="292">
        <f>[2]!FeuilCaduc*(1-Persistant)+Persistant</f>
        <v>1</v>
      </c>
      <c r="BE178" s="293">
        <f>[2]!CroissVégét</f>
        <v>0.53030539801316789</v>
      </c>
      <c r="BF178" s="842">
        <f>1+[2]!Salcycl*Ksac</f>
        <v>1.0796323211355012</v>
      </c>
      <c r="BH178" s="1105">
        <f t="shared" si="91"/>
        <v>1.6025363434133818E-3</v>
      </c>
      <c r="BI178" s="11">
        <v>44360</v>
      </c>
      <c r="BJ178" s="742">
        <v>9.9936772697524598E-4</v>
      </c>
      <c r="BK178" s="742">
        <v>1.2713345315751689E-3</v>
      </c>
      <c r="BL178" s="742">
        <v>1.5454372328755819E-3</v>
      </c>
      <c r="BM178" s="742">
        <v>1.8312529162727096E-3</v>
      </c>
      <c r="BN178" s="742">
        <v>2.1883927436180044E-3</v>
      </c>
      <c r="BO178" s="743">
        <v>2.6769212605332882E-3</v>
      </c>
      <c r="BP178" s="742">
        <v>3.4600521071271348E-3</v>
      </c>
      <c r="BQ178" s="742">
        <v>4.828652154695497E-3</v>
      </c>
      <c r="BR178" s="742">
        <v>7.5734357171190038E-3</v>
      </c>
      <c r="BS178" s="742">
        <v>1.2937045031378087E-2</v>
      </c>
      <c r="BT178" s="742">
        <v>2.0569949765196924E-2</v>
      </c>
      <c r="BW178" s="1187">
        <f>'2018'!R\Max</f>
        <v>0</v>
      </c>
      <c r="BX178" s="1185">
        <f>'2019'!R\Max</f>
        <v>0.97824704624234837</v>
      </c>
      <c r="BY178" s="1185">
        <f>'2020'!R\Max</f>
        <v>0.8103052469875941</v>
      </c>
      <c r="BZ178" s="1185">
        <f>'2021'!R\Max</f>
        <v>0.9465789668929836</v>
      </c>
      <c r="CA178" s="1185">
        <f>'2022'!R\Max</f>
        <v>0.91062090911088078</v>
      </c>
      <c r="CB178" s="1185">
        <f>'2023'!R\Max</f>
        <v>0.91061141174150317</v>
      </c>
      <c r="CC178" s="1185">
        <f>'2024'!R\Max</f>
        <v>0.91059598093807748</v>
      </c>
      <c r="CD178" s="1185">
        <f>'2025'!R\Max</f>
        <v>0.91064133752566689</v>
      </c>
      <c r="CE178" s="1185">
        <f>'2026'!R\Max</f>
        <v>0.91063784574115747</v>
      </c>
      <c r="CF178" s="1186">
        <f>'2027'!R\Max</f>
        <v>0.91063382097329837</v>
      </c>
    </row>
    <row r="179" spans="1:84" s="6" customFormat="1" ht="11.25" x14ac:dyDescent="0.2">
      <c r="A179" s="11">
        <v>43265</v>
      </c>
      <c r="B179" s="382">
        <f>'2023'!Maxi_hp</f>
        <v>54.737043912408573</v>
      </c>
      <c r="C179" s="85">
        <f>'2023'!An_max</f>
        <v>2021</v>
      </c>
      <c r="D179" s="1132"/>
      <c r="E179" s="709"/>
      <c r="F179" s="13">
        <f t="shared" si="92"/>
        <v>13</v>
      </c>
      <c r="G179" s="13">
        <f t="shared" si="76"/>
        <v>14</v>
      </c>
      <c r="H179" s="175">
        <f t="shared" si="77"/>
        <v>43262</v>
      </c>
      <c r="I179" s="772">
        <f t="shared" si="78"/>
        <v>0.21428571428571427</v>
      </c>
      <c r="J179" s="763">
        <f t="shared" si="79"/>
        <v>64.962858746200794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P179" s="13">
        <f t="shared" si="80"/>
        <v>7</v>
      </c>
      <c r="AQ179" s="13">
        <f t="shared" si="81"/>
        <v>8</v>
      </c>
      <c r="AR179" s="175">
        <f t="shared" si="82"/>
        <v>43248</v>
      </c>
      <c r="AS179" s="772">
        <f t="shared" si="83"/>
        <v>0.6071428571428571</v>
      </c>
      <c r="AT179" s="789">
        <f t="shared" si="84"/>
        <v>64.980242024801143</v>
      </c>
      <c r="AU179" s="13">
        <f t="shared" si="85"/>
        <v>7</v>
      </c>
      <c r="AV179" s="13">
        <f t="shared" si="86"/>
        <v>8</v>
      </c>
      <c r="AW179" s="175">
        <f t="shared" si="87"/>
        <v>43262</v>
      </c>
      <c r="AX179" s="772">
        <f t="shared" si="88"/>
        <v>0.10714285714285714</v>
      </c>
      <c r="AY179" s="789">
        <f t="shared" si="89"/>
        <v>64.986626802504603</v>
      </c>
      <c r="AZ179" s="763">
        <f t="shared" si="93"/>
        <v>64.983434413652873</v>
      </c>
      <c r="BA179" s="647">
        <f t="shared" si="90"/>
        <v>0.84258982700033569</v>
      </c>
      <c r="BB179" s="642">
        <v>43265</v>
      </c>
      <c r="BC179" s="11">
        <v>43265</v>
      </c>
      <c r="BD179" s="292">
        <f>[2]!FeuilCaduc*(1-Persistant)+Persistant</f>
        <v>1</v>
      </c>
      <c r="BE179" s="293">
        <f>[2]!CroissVégét</f>
        <v>0.54054367684881977</v>
      </c>
      <c r="BF179" s="842">
        <f>1+[2]!Salcycl*Ksac</f>
        <v>1.0807428453142849</v>
      </c>
      <c r="BH179" s="1105">
        <f t="shared" si="91"/>
        <v>1.6225740059177892E-3</v>
      </c>
      <c r="BI179" s="11">
        <v>44361</v>
      </c>
      <c r="BJ179" s="742">
        <v>1.0110355159549196E-3</v>
      </c>
      <c r="BK179" s="742">
        <v>1.2873993918562966E-3</v>
      </c>
      <c r="BL179" s="742">
        <v>1.5650869729277679E-3</v>
      </c>
      <c r="BM179" s="742">
        <v>1.852844443504108E-3</v>
      </c>
      <c r="BN179" s="742">
        <v>2.2047224337652187E-3</v>
      </c>
      <c r="BO179" s="743">
        <v>2.6768967833404717E-3</v>
      </c>
      <c r="BP179" s="742">
        <v>3.4286147185789272E-3</v>
      </c>
      <c r="BQ179" s="742">
        <v>4.7247467374326299E-3</v>
      </c>
      <c r="BR179" s="742">
        <v>7.3284932909618156E-3</v>
      </c>
      <c r="BS179" s="742">
        <v>1.2495587329020064E-2</v>
      </c>
      <c r="BT179" s="742">
        <v>1.9908651675354803E-2</v>
      </c>
      <c r="BW179" s="1187">
        <f>'2018'!R\Max</f>
        <v>0</v>
      </c>
      <c r="BX179" s="1185">
        <f>'2019'!R\Max</f>
        <v>0.45217058590989873</v>
      </c>
      <c r="BY179" s="1185">
        <f>'2020'!R\Max</f>
        <v>0.6766643906290023</v>
      </c>
      <c r="BZ179" s="1185">
        <f>'2021'!R\Max</f>
        <v>0.84258982700033569</v>
      </c>
      <c r="CA179" s="1185">
        <f>'2022'!R\Max</f>
        <v>0.78266457996226979</v>
      </c>
      <c r="CB179" s="1185">
        <f>'2023'!R\Max</f>
        <v>0.78264542956089456</v>
      </c>
      <c r="CC179" s="1185">
        <f>'2024'!R\Max</f>
        <v>0.78261487587348921</v>
      </c>
      <c r="CD179" s="1185">
        <f>'2025'!R\Max</f>
        <v>0.78270631711198291</v>
      </c>
      <c r="CE179" s="1185">
        <f>'2026'!R\Max</f>
        <v>0.7826990117353243</v>
      </c>
      <c r="CF179" s="1186">
        <f>'2027'!R\Max</f>
        <v>0.78269071997035844</v>
      </c>
    </row>
    <row r="180" spans="1:84" s="6" customFormat="1" ht="11.25" x14ac:dyDescent="0.2">
      <c r="A180" s="11">
        <v>43266</v>
      </c>
      <c r="B180" s="382">
        <f>'2023'!Maxi_hp</f>
        <v>60.074800201950083</v>
      </c>
      <c r="C180" s="85">
        <f>'2023'!An_max</f>
        <v>2022</v>
      </c>
      <c r="D180" s="1132"/>
      <c r="E180" s="709"/>
      <c r="F180" s="13">
        <f t="shared" si="92"/>
        <v>13</v>
      </c>
      <c r="G180" s="13">
        <f t="shared" si="76"/>
        <v>14</v>
      </c>
      <c r="H180" s="175">
        <f t="shared" si="77"/>
        <v>43262</v>
      </c>
      <c r="I180" s="772">
        <f t="shared" si="78"/>
        <v>0.2857142857142857</v>
      </c>
      <c r="J180" s="763">
        <f t="shared" si="79"/>
        <v>64.929170846087601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P180" s="13">
        <f t="shared" si="80"/>
        <v>7</v>
      </c>
      <c r="AQ180" s="13">
        <f t="shared" si="81"/>
        <v>8</v>
      </c>
      <c r="AR180" s="175">
        <f t="shared" si="82"/>
        <v>43248</v>
      </c>
      <c r="AS180" s="772">
        <f t="shared" si="83"/>
        <v>0.6428571428571429</v>
      </c>
      <c r="AT180" s="789">
        <f t="shared" si="84"/>
        <v>64.94283064867237</v>
      </c>
      <c r="AU180" s="13">
        <f t="shared" si="85"/>
        <v>7</v>
      </c>
      <c r="AV180" s="13">
        <f t="shared" si="86"/>
        <v>8</v>
      </c>
      <c r="AW180" s="175">
        <f t="shared" si="87"/>
        <v>43262</v>
      </c>
      <c r="AX180" s="772">
        <f t="shared" si="88"/>
        <v>0.14285714285714285</v>
      </c>
      <c r="AY180" s="789">
        <f t="shared" si="89"/>
        <v>64.961125364527106</v>
      </c>
      <c r="AZ180" s="763">
        <f t="shared" si="93"/>
        <v>64.951978006599745</v>
      </c>
      <c r="BA180" s="647">
        <f t="shared" si="90"/>
        <v>0.9252359058204418</v>
      </c>
      <c r="BB180" s="642">
        <v>43266</v>
      </c>
      <c r="BC180" s="11">
        <v>43266</v>
      </c>
      <c r="BD180" s="292">
        <f>[2]!FeuilCaduc*(1-Persistant)+Persistant</f>
        <v>1</v>
      </c>
      <c r="BE180" s="293">
        <f>[2]!CroissVégét</f>
        <v>0.55074751394309984</v>
      </c>
      <c r="BF180" s="842">
        <f>1+[2]!Salcycl*Ksac</f>
        <v>1.0818225242154214</v>
      </c>
      <c r="BH180" s="1105">
        <f t="shared" si="91"/>
        <v>1.6403824916484554E-3</v>
      </c>
      <c r="BI180" s="11">
        <v>44362</v>
      </c>
      <c r="BJ180" s="742">
        <v>1.0208694977770359E-3</v>
      </c>
      <c r="BK180" s="742">
        <v>1.3013900509765859E-3</v>
      </c>
      <c r="BL180" s="742">
        <v>1.5825047775184804E-3</v>
      </c>
      <c r="BM180" s="742">
        <v>1.8722178441794967E-3</v>
      </c>
      <c r="BN180" s="742">
        <v>2.2195303255706724E-3</v>
      </c>
      <c r="BO180" s="743">
        <v>2.6772843666610126E-3</v>
      </c>
      <c r="BP180" s="742">
        <v>3.4015448318870703E-3</v>
      </c>
      <c r="BQ180" s="742">
        <v>4.6339450754630668E-3</v>
      </c>
      <c r="BR180" s="742">
        <v>7.1132044573563131E-3</v>
      </c>
      <c r="BS180" s="742">
        <v>1.2101963470208817E-2</v>
      </c>
      <c r="BT180" s="742">
        <v>1.9311611738047667E-2</v>
      </c>
      <c r="BW180" s="1187">
        <f>'2018'!R\Max</f>
        <v>0</v>
      </c>
      <c r="BX180" s="1185">
        <f>'2019'!R\Max</f>
        <v>0.33098381188912024</v>
      </c>
      <c r="BY180" s="1185">
        <f>'2020'!R\Max</f>
        <v>0.77507031167897311</v>
      </c>
      <c r="BZ180" s="1185">
        <f>'2021'!R\Max</f>
        <v>0.85680580105606508</v>
      </c>
      <c r="CA180" s="1185">
        <f>'2022'!R\Max</f>
        <v>0.9252359058204418</v>
      </c>
      <c r="CB180" s="1185">
        <f>'2023'!R\Max</f>
        <v>0.92522836627778993</v>
      </c>
      <c r="CC180" s="1185">
        <f>'2024'!R\Max</f>
        <v>0.9252165453711928</v>
      </c>
      <c r="CD180" s="1185">
        <f>'2025'!R\Max</f>
        <v>0.92525253967193999</v>
      </c>
      <c r="CE180" s="1185">
        <f>'2026'!R\Max</f>
        <v>0.9252495647837975</v>
      </c>
      <c r="CF180" s="1186">
        <f>'2027'!R\Max</f>
        <v>0.92524623497243819</v>
      </c>
    </row>
    <row r="181" spans="1:84" s="6" customFormat="1" ht="11.25" x14ac:dyDescent="0.2">
      <c r="A181" s="11">
        <v>43267</v>
      </c>
      <c r="B181" s="382">
        <f>'2023'!Maxi_hp</f>
        <v>65.146942528286331</v>
      </c>
      <c r="C181" s="85">
        <f>'2023'!An_max</f>
        <v>2019</v>
      </c>
      <c r="D181" s="1132"/>
      <c r="E181" s="709"/>
      <c r="F181" s="13">
        <f t="shared" si="92"/>
        <v>13</v>
      </c>
      <c r="G181" s="13">
        <f t="shared" si="76"/>
        <v>14</v>
      </c>
      <c r="H181" s="175">
        <f t="shared" si="77"/>
        <v>43262</v>
      </c>
      <c r="I181" s="772">
        <f t="shared" si="78"/>
        <v>0.35714285714285715</v>
      </c>
      <c r="J181" s="763">
        <f t="shared" si="79"/>
        <v>64.891639358789789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P181" s="13">
        <f t="shared" si="80"/>
        <v>7</v>
      </c>
      <c r="AQ181" s="13">
        <f t="shared" si="81"/>
        <v>8</v>
      </c>
      <c r="AR181" s="175">
        <f t="shared" si="82"/>
        <v>43248</v>
      </c>
      <c r="AS181" s="772">
        <f t="shared" si="83"/>
        <v>0.6785714285714286</v>
      </c>
      <c r="AT181" s="789">
        <f t="shared" si="84"/>
        <v>64.902131501159502</v>
      </c>
      <c r="AU181" s="13">
        <f t="shared" si="85"/>
        <v>7</v>
      </c>
      <c r="AV181" s="13">
        <f t="shared" si="86"/>
        <v>8</v>
      </c>
      <c r="AW181" s="175">
        <f t="shared" si="87"/>
        <v>43262</v>
      </c>
      <c r="AX181" s="772">
        <f t="shared" si="88"/>
        <v>0.17857142857142858</v>
      </c>
      <c r="AY181" s="789">
        <f t="shared" si="89"/>
        <v>64.931629609595987</v>
      </c>
      <c r="AZ181" s="763">
        <f t="shared" si="93"/>
        <v>64.916880555377745</v>
      </c>
      <c r="BA181" s="647">
        <f t="shared" si="90"/>
        <v>1.0039342998885412</v>
      </c>
      <c r="BB181" s="642">
        <v>43267</v>
      </c>
      <c r="BC181" s="11">
        <v>43267</v>
      </c>
      <c r="BD181" s="292">
        <f>[2]!FeuilCaduc*(1-Persistant)+Persistant</f>
        <v>1</v>
      </c>
      <c r="BE181" s="293">
        <f>[2]!CroissVégét</f>
        <v>0.56090851568364364</v>
      </c>
      <c r="BF181" s="842">
        <f>1+[2]!Salcycl*Ksac</f>
        <v>1.082870501958191</v>
      </c>
      <c r="BH181" s="1105">
        <f t="shared" si="91"/>
        <v>1.6559685735897237E-3</v>
      </c>
      <c r="BI181" s="11">
        <v>44363</v>
      </c>
      <c r="BJ181" s="742">
        <v>1.0288746703969081E-3</v>
      </c>
      <c r="BK181" s="742">
        <v>1.3133124355728537E-3</v>
      </c>
      <c r="BL181" s="742">
        <v>1.5976973346466538E-3</v>
      </c>
      <c r="BM181" s="742">
        <v>1.8893802317013323E-3</v>
      </c>
      <c r="BN181" s="742">
        <v>2.2328226376197736E-3</v>
      </c>
      <c r="BO181" s="743">
        <v>2.6780869964068191E-3</v>
      </c>
      <c r="BP181" s="742">
        <v>3.3788385750785337E-3</v>
      </c>
      <c r="BQ181" s="742">
        <v>4.5562275641962482E-3</v>
      </c>
      <c r="BR181" s="742">
        <v>6.9275199186422881E-3</v>
      </c>
      <c r="BS181" s="742">
        <v>1.1756093687423086E-2</v>
      </c>
      <c r="BT181" s="742">
        <v>1.8778725398804867E-2</v>
      </c>
      <c r="BW181" s="1187">
        <f>'2018'!R\Max</f>
        <v>0</v>
      </c>
      <c r="BX181" s="1185">
        <f>'2019'!R\Max</f>
        <v>1.0039342998885412</v>
      </c>
      <c r="BY181" s="1185">
        <f>'2020'!R\Max</f>
        <v>0.69386010702380874</v>
      </c>
      <c r="BZ181" s="1185">
        <f>'2021'!R\Max</f>
        <v>0.79724494573297</v>
      </c>
      <c r="CA181" s="1185">
        <f>'2022'!R\Max</f>
        <v>0.85966492998237531</v>
      </c>
      <c r="CB181" s="1185">
        <f>'2023'!R\Max</f>
        <v>0.85965215005519391</v>
      </c>
      <c r="CC181" s="1185">
        <f>'2024'!R\Max</f>
        <v>0.85963244376165826</v>
      </c>
      <c r="CD181" s="1185">
        <f>'2025'!R\Max</f>
        <v>0.85969344008608806</v>
      </c>
      <c r="CE181" s="1185">
        <f>'2026'!R\Max</f>
        <v>0.85968824185754877</v>
      </c>
      <c r="CF181" s="1186">
        <f>'2027'!R\Max</f>
        <v>0.85968249586149181</v>
      </c>
    </row>
    <row r="182" spans="1:84" s="6" customFormat="1" ht="11.25" x14ac:dyDescent="0.2">
      <c r="A182" s="11">
        <v>43268</v>
      </c>
      <c r="B182" s="382">
        <f>'2023'!Maxi_hp</f>
        <v>64.280395132327001</v>
      </c>
      <c r="C182" s="85">
        <f>'2023'!An_max</f>
        <v>2019</v>
      </c>
      <c r="D182" s="1132"/>
      <c r="E182" s="709"/>
      <c r="F182" s="13">
        <f t="shared" si="92"/>
        <v>13</v>
      </c>
      <c r="G182" s="13">
        <f t="shared" si="76"/>
        <v>14</v>
      </c>
      <c r="H182" s="175">
        <f t="shared" si="77"/>
        <v>43262</v>
      </c>
      <c r="I182" s="772">
        <f t="shared" si="78"/>
        <v>0.42857142857142855</v>
      </c>
      <c r="J182" s="763">
        <f t="shared" si="79"/>
        <v>64.850490379546358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P182" s="13">
        <f t="shared" si="80"/>
        <v>7</v>
      </c>
      <c r="AQ182" s="13">
        <f t="shared" si="81"/>
        <v>8</v>
      </c>
      <c r="AR182" s="175">
        <f t="shared" si="82"/>
        <v>43248</v>
      </c>
      <c r="AS182" s="772">
        <f t="shared" si="83"/>
        <v>0.7142857142857143</v>
      </c>
      <c r="AT182" s="789">
        <f t="shared" si="84"/>
        <v>64.858328280278613</v>
      </c>
      <c r="AU182" s="13">
        <f t="shared" si="85"/>
        <v>7</v>
      </c>
      <c r="AV182" s="13">
        <f t="shared" si="86"/>
        <v>8</v>
      </c>
      <c r="AW182" s="175">
        <f t="shared" si="87"/>
        <v>43262</v>
      </c>
      <c r="AX182" s="772">
        <f t="shared" si="88"/>
        <v>0.21428571428571427</v>
      </c>
      <c r="AY182" s="789">
        <f t="shared" si="89"/>
        <v>64.898196064281677</v>
      </c>
      <c r="AZ182" s="763">
        <f t="shared" si="93"/>
        <v>64.878262172280145</v>
      </c>
      <c r="BA182" s="647">
        <f t="shared" si="90"/>
        <v>0.99120908347981962</v>
      </c>
      <c r="BB182" s="642">
        <v>43268</v>
      </c>
      <c r="BC182" s="11">
        <v>43268</v>
      </c>
      <c r="BD182" s="292">
        <f>[2]!FeuilCaduc*(1-Persistant)+Persistant</f>
        <v>1</v>
      </c>
      <c r="BE182" s="293">
        <f>[2]!CroissVégét</f>
        <v>0.57101843074296321</v>
      </c>
      <c r="BF182" s="842">
        <f>1+[2]!Salcycl*Ksac</f>
        <v>1.0838860191078752</v>
      </c>
      <c r="BH182" s="1105">
        <f t="shared" si="91"/>
        <v>1.6693389918256271E-3</v>
      </c>
      <c r="BI182" s="11">
        <v>44364</v>
      </c>
      <c r="BJ182" s="742">
        <v>1.0350559771865192E-3</v>
      </c>
      <c r="BK182" s="742">
        <v>1.3231724267893194E-3</v>
      </c>
      <c r="BL182" s="742">
        <v>1.6106712969218018E-3</v>
      </c>
      <c r="BM182" s="742">
        <v>1.9043386965421577E-3</v>
      </c>
      <c r="BN182" s="742">
        <v>2.2446055837911675E-3</v>
      </c>
      <c r="BO182" s="743">
        <v>2.6793076933439817E-3</v>
      </c>
      <c r="BP182" s="742">
        <v>3.3604922025954401E-3</v>
      </c>
      <c r="BQ182" s="742">
        <v>4.491574909598812E-3</v>
      </c>
      <c r="BR182" s="742">
        <v>6.7713910162370524E-3</v>
      </c>
      <c r="BS182" s="742">
        <v>1.1457898989978963E-2</v>
      </c>
      <c r="BT182" s="742">
        <v>1.8309888778580946E-2</v>
      </c>
      <c r="BW182" s="1187">
        <f>'2018'!R\Max</f>
        <v>0</v>
      </c>
      <c r="BX182" s="1185">
        <f>'2019'!R\Max</f>
        <v>0.99120908347981962</v>
      </c>
      <c r="BY182" s="1185">
        <f>'2020'!R\Max</f>
        <v>0.51329568789525903</v>
      </c>
      <c r="BZ182" s="1185">
        <f>'2021'!R\Max</f>
        <v>0.26208408202878158</v>
      </c>
      <c r="CA182" s="1185">
        <f>'2022'!R\Max</f>
        <v>0.88769773070351199</v>
      </c>
      <c r="CB182" s="1185">
        <f>'2023'!R\Max</f>
        <v>0.88768742011170421</v>
      </c>
      <c r="CC182" s="1185">
        <f>'2024'!R\Max</f>
        <v>0.88767176651205404</v>
      </c>
      <c r="CD182" s="1185">
        <f>'2025'!R\Max</f>
        <v>0.88772095282121188</v>
      </c>
      <c r="CE182" s="1185">
        <f>'2026'!R\Max</f>
        <v>0.88771664691745089</v>
      </c>
      <c r="CF182" s="1186">
        <f>'2027'!R\Max</f>
        <v>0.88771193972612128</v>
      </c>
    </row>
    <row r="183" spans="1:84" s="6" customFormat="1" ht="11.25" x14ac:dyDescent="0.2">
      <c r="A183" s="11">
        <v>43269</v>
      </c>
      <c r="B183" s="382">
        <f>'2023'!Maxi_hp</f>
        <v>62.624362697411456</v>
      </c>
      <c r="C183" s="85">
        <f>'2023'!An_max</f>
        <v>2019</v>
      </c>
      <c r="D183" s="1132"/>
      <c r="E183" s="709"/>
      <c r="F183" s="13">
        <f t="shared" si="92"/>
        <v>13</v>
      </c>
      <c r="G183" s="13">
        <f t="shared" si="76"/>
        <v>14</v>
      </c>
      <c r="H183" s="175">
        <f t="shared" si="77"/>
        <v>43262</v>
      </c>
      <c r="I183" s="772">
        <f t="shared" si="78"/>
        <v>0.5</v>
      </c>
      <c r="J183" s="763">
        <f t="shared" si="79"/>
        <v>64.805949999764564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P183" s="13">
        <f t="shared" si="80"/>
        <v>7</v>
      </c>
      <c r="AQ183" s="13">
        <f t="shared" si="81"/>
        <v>8</v>
      </c>
      <c r="AR183" s="175">
        <f t="shared" si="82"/>
        <v>43248</v>
      </c>
      <c r="AS183" s="772">
        <f t="shared" si="83"/>
        <v>0.75</v>
      </c>
      <c r="AT183" s="789">
        <f t="shared" si="84"/>
        <v>64.811604688316578</v>
      </c>
      <c r="AU183" s="13">
        <f t="shared" si="85"/>
        <v>7</v>
      </c>
      <c r="AV183" s="13">
        <f t="shared" si="86"/>
        <v>8</v>
      </c>
      <c r="AW183" s="175">
        <f t="shared" si="87"/>
        <v>43262</v>
      </c>
      <c r="AX183" s="772">
        <f t="shared" si="88"/>
        <v>0.25</v>
      </c>
      <c r="AY183" s="789">
        <f t="shared" si="89"/>
        <v>64.860881249792868</v>
      </c>
      <c r="AZ183" s="763">
        <f t="shared" si="93"/>
        <v>64.836242969054723</v>
      </c>
      <c r="BA183" s="647">
        <f t="shared" si="90"/>
        <v>0.96633662028932477</v>
      </c>
      <c r="BB183" s="642">
        <v>43269</v>
      </c>
      <c r="BC183" s="11">
        <v>43269</v>
      </c>
      <c r="BD183" s="292">
        <f>[2]!FeuilCaduc*(1-Persistant)+Persistant</f>
        <v>1</v>
      </c>
      <c r="BE183" s="293">
        <f>[2]!CroissVégét</f>
        <v>0.5810691763075071</v>
      </c>
      <c r="BF183" s="842">
        <f>1+[2]!Salcycl*Ksac</f>
        <v>1.0848684149395811</v>
      </c>
      <c r="BH183" s="1105">
        <f t="shared" si="91"/>
        <v>1.6805004233680968E-3</v>
      </c>
      <c r="BI183" s="11">
        <v>44365</v>
      </c>
      <c r="BJ183" s="742">
        <v>1.0394182820620147E-3</v>
      </c>
      <c r="BK183" s="742">
        <v>1.3309758321798119E-3</v>
      </c>
      <c r="BL183" s="742">
        <v>1.6214332513532043E-3</v>
      </c>
      <c r="BM183" s="742">
        <v>1.9171002762291165E-3</v>
      </c>
      <c r="BN183" s="742">
        <v>2.2548853526075936E-3</v>
      </c>
      <c r="BO183" s="743">
        <v>2.680949518471152E-3</v>
      </c>
      <c r="BP183" s="742">
        <v>3.3465021539618414E-3</v>
      </c>
      <c r="BQ183" s="742">
        <v>4.439968304538057E-3</v>
      </c>
      <c r="BR183" s="742">
        <v>6.6447701298283507E-3</v>
      </c>
      <c r="BS183" s="742">
        <v>1.1207301807131144E-2</v>
      </c>
      <c r="BT183" s="742">
        <v>1.7904999536261783E-2</v>
      </c>
      <c r="BW183" s="1187">
        <f>'2018'!R\Max</f>
        <v>0</v>
      </c>
      <c r="BX183" s="1185">
        <f>'2019'!R\Max</f>
        <v>0.96633662028932477</v>
      </c>
      <c r="BY183" s="1185">
        <f>'2020'!R\Max</f>
        <v>0.8120297489709869</v>
      </c>
      <c r="BZ183" s="1185">
        <f>'2021'!R\Max</f>
        <v>0.66976766068432536</v>
      </c>
      <c r="CA183" s="1185">
        <f>'2022'!R\Max</f>
        <v>0.92376057621919039</v>
      </c>
      <c r="CB183" s="1185">
        <f>'2023'!R\Max</f>
        <v>0.9237534286247967</v>
      </c>
      <c r="CC183" s="1185">
        <f>'2024'!R\Max</f>
        <v>0.9237427303959258</v>
      </c>
      <c r="CD183" s="1185">
        <f>'2025'!R\Max</f>
        <v>0.9237767986983445</v>
      </c>
      <c r="CE183" s="1185">
        <f>'2026'!R\Max</f>
        <v>0.92377374757851649</v>
      </c>
      <c r="CF183" s="1186">
        <f>'2027'!R\Max</f>
        <v>0.92377044417042276</v>
      </c>
    </row>
    <row r="184" spans="1:84" s="6" customFormat="1" ht="11.25" x14ac:dyDescent="0.2">
      <c r="A184" s="11">
        <v>43270</v>
      </c>
      <c r="B184" s="382">
        <f>'2023'!Maxi_hp</f>
        <v>61.369602347085966</v>
      </c>
      <c r="C184" s="85">
        <f>'2023'!An_max</f>
        <v>2022</v>
      </c>
      <c r="D184" s="1132"/>
      <c r="E184" s="709"/>
      <c r="F184" s="13">
        <f t="shared" si="92"/>
        <v>13</v>
      </c>
      <c r="G184" s="13">
        <f t="shared" si="76"/>
        <v>14</v>
      </c>
      <c r="H184" s="175">
        <f t="shared" si="77"/>
        <v>43262</v>
      </c>
      <c r="I184" s="772">
        <f t="shared" si="78"/>
        <v>0.5714285714285714</v>
      </c>
      <c r="J184" s="763">
        <f t="shared" si="79"/>
        <v>64.758244315534824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P184" s="13">
        <f t="shared" si="80"/>
        <v>7</v>
      </c>
      <c r="AQ184" s="13">
        <f t="shared" si="81"/>
        <v>8</v>
      </c>
      <c r="AR184" s="175">
        <f t="shared" si="82"/>
        <v>43248</v>
      </c>
      <c r="AS184" s="772">
        <f t="shared" si="83"/>
        <v>0.7857142857142857</v>
      </c>
      <c r="AT184" s="789">
        <f t="shared" si="84"/>
        <v>64.762144424766305</v>
      </c>
      <c r="AU184" s="13">
        <f t="shared" si="85"/>
        <v>7</v>
      </c>
      <c r="AV184" s="13">
        <f t="shared" si="86"/>
        <v>8</v>
      </c>
      <c r="AW184" s="175">
        <f t="shared" si="87"/>
        <v>43262</v>
      </c>
      <c r="AX184" s="772">
        <f t="shared" si="88"/>
        <v>0.2857142857142857</v>
      </c>
      <c r="AY184" s="789">
        <f t="shared" si="89"/>
        <v>64.81974169005241</v>
      </c>
      <c r="AZ184" s="763">
        <f t="shared" si="93"/>
        <v>64.790943057409351</v>
      </c>
      <c r="BA184" s="647">
        <f t="shared" si="90"/>
        <v>0.94767242373129068</v>
      </c>
      <c r="BB184" s="642">
        <v>43270</v>
      </c>
      <c r="BC184" s="11">
        <v>43270</v>
      </c>
      <c r="BD184" s="292">
        <f>[2]!FeuilCaduc*(1-Persistant)+Persistant</f>
        <v>1</v>
      </c>
      <c r="BE184" s="293">
        <f>[2]!CroissVégét</f>
        <v>0.5910528631363321</v>
      </c>
      <c r="BF184" s="842">
        <f>1+[2]!Salcycl*Ksac</f>
        <v>1.085817129167419</v>
      </c>
      <c r="BH184" s="1105">
        <f t="shared" si="91"/>
        <v>1.6882214921783469E-3</v>
      </c>
      <c r="BI184" s="11">
        <v>44366</v>
      </c>
      <c r="BJ184" s="742">
        <v>1.0415748015302939E-3</v>
      </c>
      <c r="BK184" s="742">
        <v>1.3359157702272854E-3</v>
      </c>
      <c r="BL184" s="742">
        <v>1.6288062035715036E-3</v>
      </c>
      <c r="BM184" s="742">
        <v>1.9262157631505517E-3</v>
      </c>
      <c r="BN184" s="742">
        <v>2.2624118041557296E-3</v>
      </c>
      <c r="BO184" s="743">
        <v>2.6825689426040506E-3</v>
      </c>
      <c r="BP184" s="742">
        <v>3.3378345989353597E-3</v>
      </c>
      <c r="BQ184" s="742">
        <v>4.4058999658809798E-3</v>
      </c>
      <c r="BR184" s="742">
        <v>6.5592890600087959E-3</v>
      </c>
      <c r="BS184" s="742">
        <v>1.1028823541298178E-2</v>
      </c>
      <c r="BT184" s="742">
        <v>1.7605329852734289E-2</v>
      </c>
      <c r="BW184" s="1187">
        <f>'2018'!R\Max</f>
        <v>0</v>
      </c>
      <c r="BX184" s="1185">
        <f>'2019'!R\Max</f>
        <v>0.78497819844511751</v>
      </c>
      <c r="BY184" s="1185">
        <f>'2020'!R\Max</f>
        <v>0.71209904856224226</v>
      </c>
      <c r="BZ184" s="1185">
        <f>'2021'!R\Max</f>
        <v>0.54399626099899667</v>
      </c>
      <c r="CA184" s="1185">
        <f>'2022'!R\Max</f>
        <v>0.94767242373129068</v>
      </c>
      <c r="CB184" s="1185">
        <f>'2023'!R\Max</f>
        <v>0.94766744557030347</v>
      </c>
      <c r="CC184" s="1185">
        <f>'2024'!R\Max</f>
        <v>0.94766008221152087</v>
      </c>
      <c r="CD184" s="1185">
        <f>'2025'!R\Max</f>
        <v>0.94768377174668172</v>
      </c>
      <c r="CE184" s="1185">
        <f>'2026'!R\Max</f>
        <v>0.94768161604155443</v>
      </c>
      <c r="CF184" s="1186">
        <f>'2027'!R\Max</f>
        <v>0.94767929928004113</v>
      </c>
    </row>
    <row r="185" spans="1:84" s="6" customFormat="1" ht="11.25" x14ac:dyDescent="0.2">
      <c r="A185" s="11">
        <v>43271</v>
      </c>
      <c r="B185" s="382">
        <f>'2023'!Maxi_hp</f>
        <v>61.978111723562009</v>
      </c>
      <c r="C185" s="85">
        <f>'2023'!An_max</f>
        <v>2020</v>
      </c>
      <c r="D185" s="1132"/>
      <c r="E185" s="709"/>
      <c r="F185" s="13">
        <f t="shared" si="92"/>
        <v>13</v>
      </c>
      <c r="G185" s="13">
        <f t="shared" si="76"/>
        <v>14</v>
      </c>
      <c r="H185" s="175">
        <f t="shared" si="77"/>
        <v>43262</v>
      </c>
      <c r="I185" s="772">
        <f t="shared" si="78"/>
        <v>0.6428571428571429</v>
      </c>
      <c r="J185" s="763">
        <f t="shared" si="79"/>
        <v>64.707599416987165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P185" s="13">
        <f t="shared" si="80"/>
        <v>7</v>
      </c>
      <c r="AQ185" s="13">
        <f t="shared" si="81"/>
        <v>8</v>
      </c>
      <c r="AR185" s="175">
        <f t="shared" si="82"/>
        <v>43248</v>
      </c>
      <c r="AS185" s="772">
        <f t="shared" si="83"/>
        <v>0.8214285714285714</v>
      </c>
      <c r="AT185" s="789">
        <f t="shared" si="84"/>
        <v>64.71013119190134</v>
      </c>
      <c r="AU185" s="13">
        <f t="shared" si="85"/>
        <v>7</v>
      </c>
      <c r="AV185" s="13">
        <f t="shared" si="86"/>
        <v>8</v>
      </c>
      <c r="AW185" s="175">
        <f t="shared" si="87"/>
        <v>43262</v>
      </c>
      <c r="AX185" s="772">
        <f t="shared" si="88"/>
        <v>0.32142857142857145</v>
      </c>
      <c r="AY185" s="789">
        <f t="shared" si="89"/>
        <v>64.774833910074079</v>
      </c>
      <c r="AZ185" s="763">
        <f t="shared" si="93"/>
        <v>64.742482550987717</v>
      </c>
      <c r="BA185" s="647">
        <f t="shared" si="90"/>
        <v>0.95781812773124442</v>
      </c>
      <c r="BB185" s="642">
        <v>43271</v>
      </c>
      <c r="BC185" s="11">
        <v>43271</v>
      </c>
      <c r="BD185" s="292">
        <f>[2]!FeuilCaduc*(1-Persistant)+Persistant</f>
        <v>1</v>
      </c>
      <c r="BE185" s="293">
        <f>[2]!CroissVégét</f>
        <v>0.60096181929049675</v>
      </c>
      <c r="BF185" s="842">
        <f>1+[2]!Salcycl*Ksac</f>
        <v>1.0867317031255332</v>
      </c>
      <c r="BH185" s="1105">
        <f t="shared" si="91"/>
        <v>1.6934840416120388E-3</v>
      </c>
      <c r="BI185" s="11">
        <v>44367</v>
      </c>
      <c r="BJ185" s="742">
        <v>1.0429614542202103E-3</v>
      </c>
      <c r="BK185" s="742">
        <v>1.339245417219871E-3</v>
      </c>
      <c r="BL185" s="742">
        <v>1.6338290452827711E-3</v>
      </c>
      <c r="BM185" s="742">
        <v>1.9324384874143674E-3</v>
      </c>
      <c r="BN185" s="742">
        <v>2.267451696678587E-3</v>
      </c>
      <c r="BO185" s="743">
        <v>2.683332890505831E-3</v>
      </c>
      <c r="BP185" s="742">
        <v>3.3311632226611237E-3</v>
      </c>
      <c r="BQ185" s="742">
        <v>4.3809494186974598E-3</v>
      </c>
      <c r="BR185" s="742">
        <v>6.4973415907888443E-3</v>
      </c>
      <c r="BS185" s="742">
        <v>1.0899870879386694E-2</v>
      </c>
      <c r="BT185" s="742">
        <v>1.7388948106666014E-2</v>
      </c>
      <c r="BW185" s="1187">
        <f>'2018'!R\Max</f>
        <v>0</v>
      </c>
      <c r="BX185" s="1185">
        <f>'2019'!R\Max</f>
        <v>0.42752866872123813</v>
      </c>
      <c r="BY185" s="1185">
        <f>'2020'!R\Max</f>
        <v>0.95781812773124442</v>
      </c>
      <c r="BZ185" s="1185">
        <f>'2021'!R\Max</f>
        <v>0.57345481285852851</v>
      </c>
      <c r="CA185" s="1185">
        <f>'2022'!R\Max</f>
        <v>0.56332361763705285</v>
      </c>
      <c r="CB185" s="1185">
        <f>'2023'!R\Max</f>
        <v>0.56329908321887856</v>
      </c>
      <c r="CC185" s="1185">
        <f>'2024'!R\Max</f>
        <v>0.56326315888109857</v>
      </c>
      <c r="CD185" s="1185">
        <f>'2025'!R\Max</f>
        <v>0.56337968493337642</v>
      </c>
      <c r="CE185" s="1185">
        <f>'2026'!R\Max</f>
        <v>0.56336896044162188</v>
      </c>
      <c r="CF185" s="1186">
        <f>'2027'!R\Max</f>
        <v>0.5633574980963586</v>
      </c>
    </row>
    <row r="186" spans="1:84" s="6" customFormat="1" ht="11.25" x14ac:dyDescent="0.2">
      <c r="A186" s="11">
        <v>43272</v>
      </c>
      <c r="B186" s="382">
        <f>'2023'!Maxi_hp</f>
        <v>55.551816026089647</v>
      </c>
      <c r="C186" s="85">
        <f>'2023'!An_max</f>
        <v>2020</v>
      </c>
      <c r="D186" s="1132"/>
      <c r="E186" s="709"/>
      <c r="F186" s="13">
        <f t="shared" si="92"/>
        <v>13</v>
      </c>
      <c r="G186" s="13">
        <f t="shared" si="76"/>
        <v>14</v>
      </c>
      <c r="H186" s="175">
        <f t="shared" si="77"/>
        <v>43262</v>
      </c>
      <c r="I186" s="772">
        <f t="shared" si="78"/>
        <v>0.7142857142857143</v>
      </c>
      <c r="J186" s="763">
        <f t="shared" si="79"/>
        <v>64.65424139994596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P186" s="13">
        <f t="shared" si="80"/>
        <v>7</v>
      </c>
      <c r="AQ186" s="13">
        <f t="shared" si="81"/>
        <v>8</v>
      </c>
      <c r="AR186" s="175">
        <f t="shared" si="82"/>
        <v>43248</v>
      </c>
      <c r="AS186" s="772">
        <f t="shared" si="83"/>
        <v>0.8571428571428571</v>
      </c>
      <c r="AT186" s="789">
        <f t="shared" si="84"/>
        <v>64.655748688642475</v>
      </c>
      <c r="AU186" s="13">
        <f t="shared" si="85"/>
        <v>7</v>
      </c>
      <c r="AV186" s="13">
        <f t="shared" si="86"/>
        <v>8</v>
      </c>
      <c r="AW186" s="175">
        <f t="shared" si="87"/>
        <v>43262</v>
      </c>
      <c r="AX186" s="772">
        <f t="shared" si="88"/>
        <v>0.35714285714285715</v>
      </c>
      <c r="AY186" s="789">
        <f t="shared" si="89"/>
        <v>64.726214430561029</v>
      </c>
      <c r="AZ186" s="763">
        <f t="shared" si="93"/>
        <v>64.690981559601752</v>
      </c>
      <c r="BA186" s="647">
        <f t="shared" si="90"/>
        <v>0.85921379360791761</v>
      </c>
      <c r="BB186" s="642">
        <v>43272</v>
      </c>
      <c r="BC186" s="11">
        <v>43272</v>
      </c>
      <c r="BD186" s="292">
        <f>[2]!FeuilCaduc*(1-Persistant)+Persistant</f>
        <v>1</v>
      </c>
      <c r="BE186" s="293">
        <f>[2]!CroissVégét</f>
        <v>0.61078861238975013</v>
      </c>
      <c r="BF186" s="842">
        <f>1+[2]!Salcycl*Ksac</f>
        <v>1.0876117803916576</v>
      </c>
      <c r="BH186" s="1105">
        <f t="shared" si="91"/>
        <v>1.6962947371309176E-3</v>
      </c>
      <c r="BI186" s="11">
        <v>44368</v>
      </c>
      <c r="BJ186" s="742">
        <v>1.0435810413430865E-3</v>
      </c>
      <c r="BK186" s="742">
        <v>1.3409694593020894E-3</v>
      </c>
      <c r="BL186" s="742">
        <v>1.6365081689513692E-3</v>
      </c>
      <c r="BM186" s="742">
        <v>1.9357762080024199E-3</v>
      </c>
      <c r="BN186" s="742">
        <v>2.2700125441142008E-3</v>
      </c>
      <c r="BO186" s="743">
        <v>2.6832465978802872E-3</v>
      </c>
      <c r="BP186" s="742">
        <v>3.3264891673715716E-3</v>
      </c>
      <c r="BQ186" s="742">
        <v>4.3651067911876645E-3</v>
      </c>
      <c r="BR186" s="742">
        <v>6.4588955433866899E-3</v>
      </c>
      <c r="BS186" s="742">
        <v>1.0820372239652787E-2</v>
      </c>
      <c r="BT186" s="742">
        <v>1.7255732606738142E-2</v>
      </c>
      <c r="BW186" s="1187">
        <f>'2018'!R\Max</f>
        <v>0</v>
      </c>
      <c r="BX186" s="1185">
        <f>'2019'!R\Max</f>
        <v>0.1657515721466839</v>
      </c>
      <c r="BY186" s="1185">
        <f>'2020'!R\Max</f>
        <v>0.85921379360791761</v>
      </c>
      <c r="BZ186" s="1185">
        <f>'2021'!R\Max</f>
        <v>0.59918669702142979</v>
      </c>
      <c r="CA186" s="1185">
        <f>'2022'!R\Max</f>
        <v>0.33480893132521955</v>
      </c>
      <c r="CB186" s="1185">
        <f>'2023'!R\Max</f>
        <v>0.33478675767909977</v>
      </c>
      <c r="CC186" s="1185">
        <f>'2024'!R\Max</f>
        <v>0.33475455489978734</v>
      </c>
      <c r="CD186" s="1185">
        <f>'2025'!R\Max</f>
        <v>0.33485961727662555</v>
      </c>
      <c r="CE186" s="1185">
        <f>'2026'!R\Max</f>
        <v>0.3348498857976443</v>
      </c>
      <c r="CF186" s="1186">
        <f>'2027'!R\Max</f>
        <v>0.3348395228987176</v>
      </c>
    </row>
    <row r="187" spans="1:84" s="6" customFormat="1" ht="11.25" x14ac:dyDescent="0.2">
      <c r="A187" s="11">
        <v>43273</v>
      </c>
      <c r="B187" s="382">
        <f>'2023'!Maxi_hp</f>
        <v>63.856670121040153</v>
      </c>
      <c r="C187" s="85">
        <f>'2023'!An_max</f>
        <v>2020</v>
      </c>
      <c r="D187" s="1132"/>
      <c r="E187" s="709"/>
      <c r="F187" s="13">
        <f t="shared" si="92"/>
        <v>13</v>
      </c>
      <c r="G187" s="13">
        <f t="shared" si="76"/>
        <v>14</v>
      </c>
      <c r="H187" s="175">
        <f t="shared" si="77"/>
        <v>43262</v>
      </c>
      <c r="I187" s="772">
        <f t="shared" si="78"/>
        <v>0.7857142857142857</v>
      </c>
      <c r="J187" s="763">
        <f t="shared" si="79"/>
        <v>64.598396355951465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P187" s="13">
        <f t="shared" si="80"/>
        <v>7</v>
      </c>
      <c r="AQ187" s="13">
        <f t="shared" si="81"/>
        <v>8</v>
      </c>
      <c r="AR187" s="175">
        <f t="shared" si="82"/>
        <v>43248</v>
      </c>
      <c r="AS187" s="772">
        <f t="shared" si="83"/>
        <v>0.8928571428571429</v>
      </c>
      <c r="AT187" s="789">
        <f t="shared" si="84"/>
        <v>64.599180617263272</v>
      </c>
      <c r="AU187" s="13">
        <f t="shared" si="85"/>
        <v>7</v>
      </c>
      <c r="AV187" s="13">
        <f t="shared" si="86"/>
        <v>8</v>
      </c>
      <c r="AW187" s="175">
        <f t="shared" si="87"/>
        <v>43262</v>
      </c>
      <c r="AX187" s="772">
        <f t="shared" si="88"/>
        <v>0.39285714285714285</v>
      </c>
      <c r="AY187" s="789">
        <f t="shared" si="89"/>
        <v>64.673939777910704</v>
      </c>
      <c r="AZ187" s="763">
        <f t="shared" si="93"/>
        <v>64.636560197586988</v>
      </c>
      <c r="BA187" s="647">
        <f t="shared" si="90"/>
        <v>0.98851788470375901</v>
      </c>
      <c r="BB187" s="642">
        <v>43273</v>
      </c>
      <c r="BC187" s="11">
        <v>43273</v>
      </c>
      <c r="BD187" s="292">
        <f>[2]!FeuilCaduc*(1-Persistant)+Persistant</f>
        <v>1</v>
      </c>
      <c r="BE187" s="293">
        <f>[2]!CroissVégét</f>
        <v>0.62052607026992535</v>
      </c>
      <c r="BF187" s="842">
        <f>1+[2]!Salcycl*Ksac</f>
        <v>1.0884571068481408</v>
      </c>
      <c r="BH187" s="1105">
        <f t="shared" si="91"/>
        <v>1.696660025153663E-3</v>
      </c>
      <c r="BI187" s="11">
        <v>44369</v>
      </c>
      <c r="BJ187" s="742">
        <v>1.0434362948322903E-3</v>
      </c>
      <c r="BK187" s="742">
        <v>1.3410924388407941E-3</v>
      </c>
      <c r="BL187" s="742">
        <v>1.6368497576372352E-3</v>
      </c>
      <c r="BM187" s="742">
        <v>1.936236426244902E-3</v>
      </c>
      <c r="BN187" s="742">
        <v>2.2701016381168424E-3</v>
      </c>
      <c r="BO187" s="743">
        <v>2.682315221408891E-3</v>
      </c>
      <c r="BP187" s="742">
        <v>3.3238137468498074E-3</v>
      </c>
      <c r="BQ187" s="742">
        <v>4.358363009634143E-3</v>
      </c>
      <c r="BR187" s="742">
        <v>6.4439208053611446E-3</v>
      </c>
      <c r="BS187" s="742">
        <v>1.0790260392603798E-2</v>
      </c>
      <c r="BT187" s="742">
        <v>1.7205568982137223E-2</v>
      </c>
      <c r="BW187" s="1187">
        <f>'2018'!R\Max</f>
        <v>0</v>
      </c>
      <c r="BX187" s="1185">
        <f>'2019'!R\Max</f>
        <v>0.91799784964928044</v>
      </c>
      <c r="BY187" s="1185">
        <f>'2020'!R\Max</f>
        <v>0.98851788470375901</v>
      </c>
      <c r="BZ187" s="1185">
        <f>'2021'!R\Max</f>
        <v>0.65803017720857471</v>
      </c>
      <c r="CA187" s="1185">
        <f>'2022'!R\Max</f>
        <v>0.80963544315487701</v>
      </c>
      <c r="CB187" s="1185">
        <f>'2023'!R\Max</f>
        <v>0.80962004841095447</v>
      </c>
      <c r="CC187" s="1185">
        <f>'2024'!R\Max</f>
        <v>0.80959782722000606</v>
      </c>
      <c r="CD187" s="1185">
        <f>'2025'!R\Max</f>
        <v>0.80967055394026799</v>
      </c>
      <c r="CE187" s="1185">
        <f>'2026'!R\Max</f>
        <v>0.8096638094830072</v>
      </c>
      <c r="CF187" s="1186">
        <f>'2027'!R\Max</f>
        <v>0.80965664078957511</v>
      </c>
    </row>
    <row r="188" spans="1:84" s="6" customFormat="1" ht="11.25" x14ac:dyDescent="0.2">
      <c r="A188" s="11">
        <v>43274</v>
      </c>
      <c r="B188" s="382">
        <f>'2023'!Maxi_hp</f>
        <v>56.926407326668489</v>
      </c>
      <c r="C188" s="85">
        <f>'2023'!An_max</f>
        <v>2020</v>
      </c>
      <c r="D188" s="1132"/>
      <c r="E188" s="709"/>
      <c r="F188" s="13">
        <f t="shared" si="92"/>
        <v>13</v>
      </c>
      <c r="G188" s="13">
        <f t="shared" si="76"/>
        <v>14</v>
      </c>
      <c r="H188" s="175">
        <f t="shared" si="77"/>
        <v>43262</v>
      </c>
      <c r="I188" s="772">
        <f t="shared" si="78"/>
        <v>0.8571428571428571</v>
      </c>
      <c r="J188" s="763">
        <f t="shared" si="79"/>
        <v>64.540290379311358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P188" s="13">
        <f t="shared" si="80"/>
        <v>7</v>
      </c>
      <c r="AQ188" s="13">
        <f t="shared" si="81"/>
        <v>8</v>
      </c>
      <c r="AR188" s="175">
        <f t="shared" si="82"/>
        <v>43248</v>
      </c>
      <c r="AS188" s="772">
        <f t="shared" si="83"/>
        <v>0.9285714285714286</v>
      </c>
      <c r="AT188" s="789">
        <f t="shared" si="84"/>
        <v>64.540610678201276</v>
      </c>
      <c r="AU188" s="13">
        <f t="shared" si="85"/>
        <v>7</v>
      </c>
      <c r="AV188" s="13">
        <f t="shared" si="86"/>
        <v>8</v>
      </c>
      <c r="AW188" s="175">
        <f t="shared" si="87"/>
        <v>43262</v>
      </c>
      <c r="AX188" s="772">
        <f t="shared" si="88"/>
        <v>0.42857142857142855</v>
      </c>
      <c r="AY188" s="789">
        <f t="shared" si="89"/>
        <v>64.618066471974757</v>
      </c>
      <c r="AZ188" s="763">
        <f t="shared" si="93"/>
        <v>64.579338575088016</v>
      </c>
      <c r="BA188" s="647">
        <f t="shared" si="90"/>
        <v>0.88202899292991821</v>
      </c>
      <c r="BB188" s="642">
        <v>43274</v>
      </c>
      <c r="BC188" s="11">
        <v>43274</v>
      </c>
      <c r="BD188" s="292">
        <f>[2]!FeuilCaduc*(1-Persistant)+Persistant</f>
        <v>1</v>
      </c>
      <c r="BE188" s="293">
        <f>[2]!CroissVégét</f>
        <v>0.6301672999323692</v>
      </c>
      <c r="BF188" s="842">
        <f>1+[2]!Salcycl*Ksac</f>
        <v>1.0892675301797436</v>
      </c>
      <c r="BH188" s="1105">
        <f t="shared" si="91"/>
        <v>1.6945687703797453E-3</v>
      </c>
      <c r="BI188" s="11">
        <v>44370</v>
      </c>
      <c r="BJ188" s="742">
        <v>1.0425192057197804E-3</v>
      </c>
      <c r="BK188" s="742">
        <v>1.3396050332678449E-3</v>
      </c>
      <c r="BL188" s="742">
        <v>1.634843034570059E-3</v>
      </c>
      <c r="BM188" s="742">
        <v>1.9338065707102748E-3</v>
      </c>
      <c r="BN188" s="742">
        <v>2.2677028239399158E-3</v>
      </c>
      <c r="BO188" s="743">
        <v>2.6805164152582674E-3</v>
      </c>
      <c r="BP188" s="742">
        <v>3.3231044904193045E-3</v>
      </c>
      <c r="BQ188" s="742">
        <v>4.3606653288509644E-3</v>
      </c>
      <c r="BR188" s="742">
        <v>6.452323667218496E-3</v>
      </c>
      <c r="BS188" s="742">
        <v>1.0809362594741355E-2</v>
      </c>
      <c r="BT188" s="742">
        <v>1.7238175032518035E-2</v>
      </c>
      <c r="BW188" s="1187">
        <f>'2018'!R\Max</f>
        <v>0</v>
      </c>
      <c r="BX188" s="1185">
        <f>'2019'!R\Max</f>
        <v>0.87520975454493877</v>
      </c>
      <c r="BY188" s="1185">
        <f>'2020'!R\Max</f>
        <v>0.88202899292991821</v>
      </c>
      <c r="BZ188" s="1185">
        <f>'2021'!R\Max</f>
        <v>0.41814853085740689</v>
      </c>
      <c r="CA188" s="1185">
        <f>'2022'!R\Max</f>
        <v>0.71835180963095069</v>
      </c>
      <c r="CB188" s="1185">
        <f>'2023'!R\Max</f>
        <v>0.71833143419092138</v>
      </c>
      <c r="CC188" s="1185">
        <f>'2024'!R\Max</f>
        <v>0.71830215385326412</v>
      </c>
      <c r="CD188" s="1185">
        <f>'2025'!R\Max</f>
        <v>0.71839807347957629</v>
      </c>
      <c r="CE188" s="1185">
        <f>'2026'!R\Max</f>
        <v>0.71838920862556643</v>
      </c>
      <c r="CF188" s="1186">
        <f>'2027'!R\Max</f>
        <v>0.71837976979571383</v>
      </c>
    </row>
    <row r="189" spans="1:84" s="6" customFormat="1" ht="11.25" x14ac:dyDescent="0.2">
      <c r="A189" s="11">
        <v>43275</v>
      </c>
      <c r="B189" s="382">
        <f>'2023'!Maxi_hp</f>
        <v>63.0959882762929</v>
      </c>
      <c r="C189" s="85">
        <f>'2023'!An_max</f>
        <v>2020</v>
      </c>
      <c r="D189" s="1132"/>
      <c r="E189" s="709"/>
      <c r="F189" s="13">
        <f t="shared" si="92"/>
        <v>13</v>
      </c>
      <c r="G189" s="13">
        <f t="shared" si="76"/>
        <v>14</v>
      </c>
      <c r="H189" s="175">
        <f t="shared" si="77"/>
        <v>43262</v>
      </c>
      <c r="I189" s="772">
        <f t="shared" si="78"/>
        <v>0.9285714285714286</v>
      </c>
      <c r="J189" s="763">
        <f t="shared" si="79"/>
        <v>64.480149563135839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P189" s="13">
        <f t="shared" si="80"/>
        <v>7</v>
      </c>
      <c r="AQ189" s="13">
        <f t="shared" si="81"/>
        <v>8</v>
      </c>
      <c r="AR189" s="175">
        <f t="shared" si="82"/>
        <v>43248</v>
      </c>
      <c r="AS189" s="772">
        <f t="shared" si="83"/>
        <v>0.9642857142857143</v>
      </c>
      <c r="AT189" s="789">
        <f t="shared" si="84"/>
        <v>64.480222572200006</v>
      </c>
      <c r="AU189" s="13">
        <f t="shared" si="85"/>
        <v>7</v>
      </c>
      <c r="AV189" s="13">
        <f t="shared" si="86"/>
        <v>8</v>
      </c>
      <c r="AW189" s="175">
        <f t="shared" si="87"/>
        <v>43262</v>
      </c>
      <c r="AX189" s="772">
        <f t="shared" si="88"/>
        <v>0.4642857142857143</v>
      </c>
      <c r="AY189" s="789">
        <f t="shared" si="89"/>
        <v>64.558651038751535</v>
      </c>
      <c r="AZ189" s="763">
        <f t="shared" si="93"/>
        <v>64.519436805475777</v>
      </c>
      <c r="BA189" s="647">
        <f t="shared" si="90"/>
        <v>0.97853352859413523</v>
      </c>
      <c r="BB189" s="642">
        <v>43275</v>
      </c>
      <c r="BC189" s="11">
        <v>43275</v>
      </c>
      <c r="BD189" s="292">
        <f>[2]!FeuilCaduc*(1-Persistant)+Persistant</f>
        <v>1</v>
      </c>
      <c r="BE189" s="293">
        <f>[2]!CroissVégét</f>
        <v>0.63970570469545396</v>
      </c>
      <c r="BF189" s="842">
        <f>1+[2]!Salcycl*Ksac</f>
        <v>1.0900429988118892</v>
      </c>
      <c r="BH189" s="1105">
        <f t="shared" si="91"/>
        <v>1.6900088206147851E-3</v>
      </c>
      <c r="BI189" s="11">
        <v>44371</v>
      </c>
      <c r="BJ189" s="742">
        <v>1.0408211792273727E-3</v>
      </c>
      <c r="BK189" s="742">
        <v>1.3364971339883576E-3</v>
      </c>
      <c r="BL189" s="742">
        <v>1.6304762430923913E-3</v>
      </c>
      <c r="BM189" s="742">
        <v>1.9284729048388326E-3</v>
      </c>
      <c r="BN189" s="742">
        <v>2.2627986290659429E-3</v>
      </c>
      <c r="BO189" s="743">
        <v>2.6778263875955177E-3</v>
      </c>
      <c r="BP189" s="742">
        <v>3.324327298558969E-3</v>
      </c>
      <c r="BQ189" s="742">
        <v>4.3719592144595325E-3</v>
      </c>
      <c r="BR189" s="742">
        <v>6.4840083101863621E-3</v>
      </c>
      <c r="BS189" s="742">
        <v>1.087750311020988E-2</v>
      </c>
      <c r="BT189" s="742">
        <v>1.7353264016296367E-2</v>
      </c>
      <c r="BW189" s="1187">
        <f>'2018'!R\Max</f>
        <v>0</v>
      </c>
      <c r="BX189" s="1185">
        <f>'2019'!R\Max</f>
        <v>0.63162314128947628</v>
      </c>
      <c r="BY189" s="1185">
        <f>'2020'!R\Max</f>
        <v>0.97853352859413523</v>
      </c>
      <c r="BZ189" s="1185">
        <f>'2021'!R\Max</f>
        <v>0.64996473427362678</v>
      </c>
      <c r="CA189" s="1185">
        <f>'2022'!R\Max</f>
        <v>0.76058993223811344</v>
      </c>
      <c r="CB189" s="1185">
        <f>'2023'!R\Max</f>
        <v>0.7605713486361394</v>
      </c>
      <c r="CC189" s="1185">
        <f>'2024'!R\Max</f>
        <v>0.76054471487824837</v>
      </c>
      <c r="CD189" s="1185">
        <f>'2025'!R\Max</f>
        <v>0.76063183801964318</v>
      </c>
      <c r="CE189" s="1185">
        <f>'2026'!R\Max</f>
        <v>0.76062385249526254</v>
      </c>
      <c r="CF189" s="1186">
        <f>'2027'!R\Max</f>
        <v>0.76061531876021038</v>
      </c>
    </row>
    <row r="190" spans="1:84" s="6" customFormat="1" ht="11.25" x14ac:dyDescent="0.2">
      <c r="A190" s="11">
        <v>43276</v>
      </c>
      <c r="B190" s="382">
        <f>'2023'!Maxi_hp</f>
        <v>58.333269226080525</v>
      </c>
      <c r="C190" s="85">
        <f>'2023'!An_max</f>
        <v>2021</v>
      </c>
      <c r="D190" s="1132"/>
      <c r="E190" s="771">
        <f>Z$13/10</f>
        <v>64.418199999999999</v>
      </c>
      <c r="F190" s="13">
        <f t="shared" si="92"/>
        <v>15</v>
      </c>
      <c r="G190" s="13">
        <f t="shared" si="76"/>
        <v>14</v>
      </c>
      <c r="H190" s="175">
        <f t="shared" si="77"/>
        <v>43290</v>
      </c>
      <c r="I190" s="772">
        <f t="shared" si="78"/>
        <v>1</v>
      </c>
      <c r="J190" s="763">
        <f t="shared" si="79"/>
        <v>64.418200000748044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P190" s="13">
        <f t="shared" si="80"/>
        <v>9</v>
      </c>
      <c r="AQ190" s="13">
        <f t="shared" si="81"/>
        <v>8</v>
      </c>
      <c r="AR190" s="175">
        <f t="shared" si="82"/>
        <v>43304</v>
      </c>
      <c r="AS190" s="772">
        <f t="shared" si="83"/>
        <v>1</v>
      </c>
      <c r="AT190" s="789">
        <f t="shared" si="84"/>
        <v>64.418200000375506</v>
      </c>
      <c r="AU190" s="13">
        <f t="shared" si="85"/>
        <v>7</v>
      </c>
      <c r="AV190" s="13">
        <f t="shared" si="86"/>
        <v>8</v>
      </c>
      <c r="AW190" s="175">
        <f t="shared" si="87"/>
        <v>43262</v>
      </c>
      <c r="AX190" s="772">
        <f t="shared" si="88"/>
        <v>0.5</v>
      </c>
      <c r="AY190" s="789">
        <f t="shared" si="89"/>
        <v>64.495749999396509</v>
      </c>
      <c r="AZ190" s="763">
        <f t="shared" si="93"/>
        <v>64.456974999886</v>
      </c>
      <c r="BA190" s="647">
        <f t="shared" si="90"/>
        <v>0.90554019245187134</v>
      </c>
      <c r="BB190" s="642">
        <v>43276</v>
      </c>
      <c r="BC190" s="11">
        <v>43276</v>
      </c>
      <c r="BD190" s="292">
        <f>[2]!FeuilCaduc*(1-Persistant)+Persistant</f>
        <v>1</v>
      </c>
      <c r="BE190" s="293">
        <f>[2]!CroissVégét</f>
        <v>0.64913499947740572</v>
      </c>
      <c r="BF190" s="842">
        <f>1+[2]!Salcycl*Ksac</f>
        <v>1.090783560297409</v>
      </c>
      <c r="BH190" s="1105">
        <f t="shared" si="91"/>
        <v>1.6829849088217436E-3</v>
      </c>
      <c r="BI190" s="11">
        <v>44372</v>
      </c>
      <c r="BJ190" s="742">
        <v>1.0383440090687469E-3</v>
      </c>
      <c r="BK190" s="742">
        <v>1.3317719808485764E-3</v>
      </c>
      <c r="BL190" s="742">
        <v>1.6237539165959664E-3</v>
      </c>
      <c r="BM190" s="742">
        <v>1.9202409609973537E-3</v>
      </c>
      <c r="BN190" s="742">
        <v>2.2553941775858067E-3</v>
      </c>
      <c r="BO190" s="743">
        <v>2.6742480582041864E-3</v>
      </c>
      <c r="BP190" s="742">
        <v>3.3274811890369187E-3</v>
      </c>
      <c r="BQ190" s="742">
        <v>4.392233594176149E-3</v>
      </c>
      <c r="BR190" s="742">
        <v>6.5389432321171772E-3</v>
      </c>
      <c r="BS190" s="742">
        <v>1.0994613957978185E-2</v>
      </c>
      <c r="BT190" s="742">
        <v>1.7550721036461377E-2</v>
      </c>
      <c r="BW190" s="1187">
        <f>'2018'!R\Max</f>
        <v>0</v>
      </c>
      <c r="BX190" s="1185">
        <f>'2019'!R\Max</f>
        <v>0.87865816580730716</v>
      </c>
      <c r="BY190" s="1185">
        <f>'2020'!R\Max</f>
        <v>0.87826724227105346</v>
      </c>
      <c r="BZ190" s="1185">
        <f>'2021'!R\Max</f>
        <v>0.90554019245187134</v>
      </c>
      <c r="CA190" s="1185">
        <f>'2022'!R\Max</f>
        <v>0.53337580342506608</v>
      </c>
      <c r="CB190" s="1185">
        <f>'2023'!R\Max</f>
        <v>0.533349934100673</v>
      </c>
      <c r="CC190" s="1185">
        <f>'2024'!R\Max</f>
        <v>0.53331290323431735</v>
      </c>
      <c r="CD190" s="1185">
        <f>'2025'!R\Max</f>
        <v>0.53343360748372781</v>
      </c>
      <c r="CE190" s="1185">
        <f>'2026'!R\Max</f>
        <v>0.53342268479863841</v>
      </c>
      <c r="CF190" s="1186">
        <f>'2027'!R\Max</f>
        <v>0.53341095064382471</v>
      </c>
    </row>
    <row r="191" spans="1:84" s="6" customFormat="1" ht="11.25" x14ac:dyDescent="0.2">
      <c r="A191" s="11">
        <v>43277</v>
      </c>
      <c r="B191" s="382">
        <f>'2023'!Maxi_hp</f>
        <v>61.173275923851143</v>
      </c>
      <c r="C191" s="85">
        <f>'2023'!An_max</f>
        <v>2019</v>
      </c>
      <c r="D191" s="1132"/>
      <c r="E191" s="709"/>
      <c r="F191" s="13">
        <f t="shared" si="92"/>
        <v>15</v>
      </c>
      <c r="G191" s="13">
        <f t="shared" si="76"/>
        <v>14</v>
      </c>
      <c r="H191" s="175">
        <f t="shared" si="77"/>
        <v>43290</v>
      </c>
      <c r="I191" s="772">
        <f t="shared" si="78"/>
        <v>0.9285714285714286</v>
      </c>
      <c r="J191" s="763">
        <f t="shared" si="79"/>
        <v>64.354592420400266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P191" s="13">
        <f t="shared" si="80"/>
        <v>9</v>
      </c>
      <c r="AQ191" s="13">
        <f t="shared" si="81"/>
        <v>8</v>
      </c>
      <c r="AR191" s="175">
        <f t="shared" si="82"/>
        <v>43304</v>
      </c>
      <c r="AS191" s="772">
        <f t="shared" si="83"/>
        <v>0.9642857142857143</v>
      </c>
      <c r="AT191" s="789">
        <f t="shared" si="84"/>
        <v>64.353838775679463</v>
      </c>
      <c r="AU191" s="13">
        <f t="shared" si="85"/>
        <v>7</v>
      </c>
      <c r="AV191" s="13">
        <f t="shared" si="86"/>
        <v>8</v>
      </c>
      <c r="AW191" s="175">
        <f t="shared" si="87"/>
        <v>43262</v>
      </c>
      <c r="AX191" s="772">
        <f t="shared" si="88"/>
        <v>0.5357142857142857</v>
      </c>
      <c r="AY191" s="789">
        <f t="shared" si="89"/>
        <v>64.429419879149648</v>
      </c>
      <c r="AZ191" s="763">
        <f t="shared" si="93"/>
        <v>64.391629327414563</v>
      </c>
      <c r="BA191" s="647">
        <f t="shared" si="90"/>
        <v>0.95056582013965718</v>
      </c>
      <c r="BB191" s="642">
        <v>43277</v>
      </c>
      <c r="BC191" s="11">
        <v>43277</v>
      </c>
      <c r="BD191" s="292">
        <f>[2]!FeuilCaduc*(1-Persistant)+Persistant</f>
        <v>1</v>
      </c>
      <c r="BE191" s="293">
        <f>[2]!CroissVégét</f>
        <v>0.65844922415907026</v>
      </c>
      <c r="BF191" s="842">
        <f>1+[2]!Salcycl*Ksac</f>
        <v>1.0914893591641537</v>
      </c>
      <c r="BH191" s="1105">
        <f t="shared" si="91"/>
        <v>1.673501751701515E-3</v>
      </c>
      <c r="BI191" s="11">
        <v>44373</v>
      </c>
      <c r="BJ191" s="742">
        <v>1.0350894838188015E-3</v>
      </c>
      <c r="BK191" s="742">
        <v>1.3254328030225136E-3</v>
      </c>
      <c r="BL191" s="742">
        <v>1.6146805729261703E-3</v>
      </c>
      <c r="BM191" s="742">
        <v>1.9091162524236659E-3</v>
      </c>
      <c r="BN191" s="742">
        <v>2.24549457709261E-3</v>
      </c>
      <c r="BO191" s="743">
        <v>2.669784341019514E-3</v>
      </c>
      <c r="BP191" s="742">
        <v>3.3325651923988421E-3</v>
      </c>
      <c r="BQ191" s="742">
        <v>4.4214774550616785E-3</v>
      </c>
      <c r="BR191" s="742">
        <v>6.6170970844711997E-3</v>
      </c>
      <c r="BS191" s="742">
        <v>1.1160627480528366E-2</v>
      </c>
      <c r="BT191" s="742">
        <v>1.7830431740144578E-2</v>
      </c>
      <c r="BW191" s="1187">
        <f>'2018'!R\Max</f>
        <v>0</v>
      </c>
      <c r="BX191" s="1185">
        <f>'2019'!R\Max</f>
        <v>0.95056582013965718</v>
      </c>
      <c r="BY191" s="1185">
        <f>'2020'!R\Max</f>
        <v>0.7888892290592765</v>
      </c>
      <c r="BZ191" s="1185">
        <f>'2021'!R\Max</f>
        <v>0.94531749663743259</v>
      </c>
      <c r="CA191" s="1185">
        <f>'2022'!R\Max</f>
        <v>0.20406704662903785</v>
      </c>
      <c r="CB191" s="1185">
        <f>'2023'!R\Max</f>
        <v>0.20405184918603311</v>
      </c>
      <c r="CC191" s="1185">
        <f>'2024'!R\Max</f>
        <v>0.20403009184754534</v>
      </c>
      <c r="CD191" s="1185">
        <f>'2025'!R\Max</f>
        <v>0.20410062036710935</v>
      </c>
      <c r="CE191" s="1185">
        <f>'2026'!R\Max</f>
        <v>0.20409434736658394</v>
      </c>
      <c r="CF191" s="1186">
        <f>'2027'!R\Max</f>
        <v>0.20408756175103954</v>
      </c>
    </row>
    <row r="192" spans="1:84" s="6" customFormat="1" ht="11.25" x14ac:dyDescent="0.2">
      <c r="A192" s="11">
        <v>43278</v>
      </c>
      <c r="B192" s="382">
        <f>'2023'!Maxi_hp</f>
        <v>60.985394415911713</v>
      </c>
      <c r="C192" s="85">
        <f>'2023'!An_max</f>
        <v>2019</v>
      </c>
      <c r="D192" s="1132"/>
      <c r="E192" s="709"/>
      <c r="F192" s="13">
        <f t="shared" si="92"/>
        <v>15</v>
      </c>
      <c r="G192" s="13">
        <f t="shared" si="76"/>
        <v>14</v>
      </c>
      <c r="H192" s="175">
        <f t="shared" si="77"/>
        <v>43290</v>
      </c>
      <c r="I192" s="772">
        <f t="shared" si="78"/>
        <v>0.8571428571428571</v>
      </c>
      <c r="J192" s="763">
        <f t="shared" si="79"/>
        <v>64.289176093680524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P192" s="13">
        <f t="shared" si="80"/>
        <v>9</v>
      </c>
      <c r="AQ192" s="13">
        <f t="shared" si="81"/>
        <v>8</v>
      </c>
      <c r="AR192" s="175">
        <f t="shared" si="82"/>
        <v>43304</v>
      </c>
      <c r="AS192" s="772">
        <f t="shared" si="83"/>
        <v>0.9285714285714286</v>
      </c>
      <c r="AT192" s="789">
        <f t="shared" si="84"/>
        <v>64.286312245524357</v>
      </c>
      <c r="AU192" s="13">
        <f t="shared" si="85"/>
        <v>7</v>
      </c>
      <c r="AV192" s="13">
        <f t="shared" si="86"/>
        <v>8</v>
      </c>
      <c r="AW192" s="175">
        <f t="shared" si="87"/>
        <v>43262</v>
      </c>
      <c r="AX192" s="772">
        <f t="shared" si="88"/>
        <v>0.5714285714285714</v>
      </c>
      <c r="AY192" s="789">
        <f t="shared" si="89"/>
        <v>64.359717200696466</v>
      </c>
      <c r="AZ192" s="763">
        <f t="shared" si="93"/>
        <v>64.323014723110418</v>
      </c>
      <c r="BA192" s="647">
        <f t="shared" si="90"/>
        <v>0.94861060790459306</v>
      </c>
      <c r="BB192" s="642">
        <v>43278</v>
      </c>
      <c r="BC192" s="11">
        <v>43278</v>
      </c>
      <c r="BD192" s="292">
        <f>[2]!FeuilCaduc*(1-Persistant)+Persistant</f>
        <v>1</v>
      </c>
      <c r="BE192" s="293">
        <f>[2]!CroissVégét</f>
        <v>0.66764275499450454</v>
      </c>
      <c r="BF192" s="842">
        <f>1+[2]!Salcycl*Ksac</f>
        <v>1.0921606342400472</v>
      </c>
      <c r="BH192" s="1105">
        <f t="shared" si="91"/>
        <v>1.6605941500499523E-3</v>
      </c>
      <c r="BI192" s="11">
        <v>44374</v>
      </c>
      <c r="BJ192" s="742">
        <v>1.0296338305801167E-3</v>
      </c>
      <c r="BK192" s="742">
        <v>1.3162409805277343E-3</v>
      </c>
      <c r="BL192" s="742">
        <v>1.6022337861985915E-3</v>
      </c>
      <c r="BM192" s="742">
        <v>1.8943628074806179E-3</v>
      </c>
      <c r="BN192" s="742">
        <v>2.2328472047110849E-3</v>
      </c>
      <c r="BO192" s="743">
        <v>2.6652721247977652E-3</v>
      </c>
      <c r="BP192" s="742">
        <v>3.3428882451344414E-3</v>
      </c>
      <c r="BQ192" s="742">
        <v>4.468045768962689E-3</v>
      </c>
      <c r="BR192" s="742">
        <v>6.7359190459972303E-3</v>
      </c>
      <c r="BS192" s="742">
        <v>1.1397876721141016E-2</v>
      </c>
      <c r="BT192" s="742">
        <v>1.8213972322377054E-2</v>
      </c>
      <c r="BW192" s="1187">
        <f>'2018'!R\Max</f>
        <v>0</v>
      </c>
      <c r="BX192" s="1185">
        <f>'2019'!R\Max</f>
        <v>0.94861060790459306</v>
      </c>
      <c r="BY192" s="1185">
        <f>'2020'!R\Max</f>
        <v>0.80794908199021687</v>
      </c>
      <c r="BZ192" s="1185">
        <f>'2021'!R\Max</f>
        <v>0.1394203872440076</v>
      </c>
      <c r="CA192" s="1185">
        <f>'2022'!R\Max</f>
        <v>0.30338301831481224</v>
      </c>
      <c r="CB192" s="1185">
        <f>'2023'!R\Max</f>
        <v>0.30335980641984872</v>
      </c>
      <c r="CC192" s="1185">
        <f>'2024'!R\Max</f>
        <v>0.30332651366684837</v>
      </c>
      <c r="CD192" s="1185">
        <f>'2025'!R\Max</f>
        <v>0.30343352747005381</v>
      </c>
      <c r="CE192" s="1185">
        <f>'2026'!R\Max</f>
        <v>0.30342423274609143</v>
      </c>
      <c r="CF192" s="1186">
        <f>'2027'!R\Max</f>
        <v>0.30341408958109073</v>
      </c>
    </row>
    <row r="193" spans="1:84" s="6" customFormat="1" ht="11.25" x14ac:dyDescent="0.2">
      <c r="A193" s="11">
        <v>43279</v>
      </c>
      <c r="B193" s="382">
        <f>'2023'!Maxi_hp</f>
        <v>66.57992359839362</v>
      </c>
      <c r="C193" s="85">
        <f>'2023'!An_max</f>
        <v>2023</v>
      </c>
      <c r="D193" s="1132"/>
      <c r="E193" s="709"/>
      <c r="F193" s="13">
        <f t="shared" si="92"/>
        <v>15</v>
      </c>
      <c r="G193" s="13">
        <f t="shared" si="76"/>
        <v>14</v>
      </c>
      <c r="H193" s="175">
        <f t="shared" si="77"/>
        <v>43290</v>
      </c>
      <c r="I193" s="772">
        <f t="shared" si="78"/>
        <v>0.7857142857142857</v>
      </c>
      <c r="J193" s="763">
        <f t="shared" si="79"/>
        <v>64.221724928037389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P193" s="13">
        <f t="shared" si="80"/>
        <v>9</v>
      </c>
      <c r="AQ193" s="13">
        <f t="shared" si="81"/>
        <v>8</v>
      </c>
      <c r="AR193" s="175">
        <f t="shared" si="82"/>
        <v>43304</v>
      </c>
      <c r="AS193" s="772">
        <f t="shared" si="83"/>
        <v>0.8928571428571429</v>
      </c>
      <c r="AT193" s="789">
        <f t="shared" si="84"/>
        <v>64.21562040857971</v>
      </c>
      <c r="AU193" s="13">
        <f t="shared" si="85"/>
        <v>7</v>
      </c>
      <c r="AV193" s="13">
        <f t="shared" si="86"/>
        <v>8</v>
      </c>
      <c r="AW193" s="175">
        <f t="shared" si="87"/>
        <v>43262</v>
      </c>
      <c r="AX193" s="772">
        <f t="shared" si="88"/>
        <v>0.6071428571428571</v>
      </c>
      <c r="AY193" s="789">
        <f t="shared" si="89"/>
        <v>64.28669848733449</v>
      </c>
      <c r="AZ193" s="763">
        <f t="shared" si="93"/>
        <v>64.251159447957093</v>
      </c>
      <c r="BA193" s="647">
        <f t="shared" si="90"/>
        <v>1.036719640791316</v>
      </c>
      <c r="BB193" s="642">
        <v>43279</v>
      </c>
      <c r="BC193" s="11">
        <v>43279</v>
      </c>
      <c r="BD193" s="292">
        <f>[2]!FeuilCaduc*(1-Persistant)+Persistant</f>
        <v>1</v>
      </c>
      <c r="BE193" s="293">
        <f>[2]!CroissVégét</f>
        <v>0.67671031405616355</v>
      </c>
      <c r="BF193" s="842">
        <f>1+[2]!Salcycl*Ksac</f>
        <v>1.0927977154762554</v>
      </c>
      <c r="BH193" s="1105">
        <f t="shared" si="91"/>
        <v>1.6455004620017858E-3</v>
      </c>
      <c r="BI193" s="11">
        <v>44375</v>
      </c>
      <c r="BJ193" s="742">
        <v>1.0223706974160859E-3</v>
      </c>
      <c r="BK193" s="742">
        <v>1.3050104053624609E-3</v>
      </c>
      <c r="BL193" s="742">
        <v>1.5875975813967617E-3</v>
      </c>
      <c r="BM193" s="742">
        <v>1.8774366215308688E-3</v>
      </c>
      <c r="BN193" s="742">
        <v>2.2187079757237387E-3</v>
      </c>
      <c r="BO193" s="743">
        <v>2.6611576210746404E-3</v>
      </c>
      <c r="BP193" s="742">
        <v>3.3574794383137104E-3</v>
      </c>
      <c r="BQ193" s="742">
        <v>4.5274256295927103E-3</v>
      </c>
      <c r="BR193" s="742">
        <v>6.8837279936670394E-3</v>
      </c>
      <c r="BS193" s="742">
        <v>1.1681778206730461E-2</v>
      </c>
      <c r="BT193" s="742">
        <v>1.8660016749323785E-2</v>
      </c>
      <c r="BW193" s="1187">
        <f>'2018'!R\Max</f>
        <v>0</v>
      </c>
      <c r="BX193" s="1185">
        <f>'2019'!R\Max</f>
        <v>0.9485166813566549</v>
      </c>
      <c r="BY193" s="1185">
        <f>'2020'!R\Max</f>
        <v>0.71285583149124088</v>
      </c>
      <c r="BZ193" s="1185">
        <f>'2021'!R\Max</f>
        <v>0.41906460640917342</v>
      </c>
      <c r="CA193" s="1185">
        <f>'2022'!R\Max</f>
        <v>1.0367196407913162</v>
      </c>
      <c r="CB193" s="1185">
        <f>'2023'!R\Max</f>
        <v>1.036719640791316</v>
      </c>
      <c r="CC193" s="1185">
        <f>'2024'!R\Max</f>
        <v>1.036719640791316</v>
      </c>
      <c r="CD193" s="1185">
        <f>'2025'!R\Max</f>
        <v>1.036719640791316</v>
      </c>
      <c r="CE193" s="1185">
        <f>'2026'!R\Max</f>
        <v>1.036719640791316</v>
      </c>
      <c r="CF193" s="1186">
        <f>'2027'!R\Max</f>
        <v>1.036719640791316</v>
      </c>
    </row>
    <row r="194" spans="1:84" s="6" customFormat="1" ht="11.25" x14ac:dyDescent="0.2">
      <c r="A194" s="11">
        <v>43280</v>
      </c>
      <c r="B194" s="382">
        <f>'2023'!Maxi_hp</f>
        <v>61.842506845841385</v>
      </c>
      <c r="C194" s="85">
        <f>'2023'!An_max</f>
        <v>2022</v>
      </c>
      <c r="D194" s="1132"/>
      <c r="E194" s="709"/>
      <c r="F194" s="13">
        <f t="shared" si="92"/>
        <v>15</v>
      </c>
      <c r="G194" s="13">
        <f t="shared" si="76"/>
        <v>14</v>
      </c>
      <c r="H194" s="175">
        <f t="shared" si="77"/>
        <v>43290</v>
      </c>
      <c r="I194" s="772">
        <f t="shared" si="78"/>
        <v>0.7142857142857143</v>
      </c>
      <c r="J194" s="763">
        <f t="shared" si="79"/>
        <v>64.152012828684278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P194" s="13">
        <f t="shared" si="80"/>
        <v>9</v>
      </c>
      <c r="AQ194" s="13">
        <f t="shared" si="81"/>
        <v>8</v>
      </c>
      <c r="AR194" s="175">
        <f t="shared" si="82"/>
        <v>43304</v>
      </c>
      <c r="AS194" s="772">
        <f t="shared" si="83"/>
        <v>0.8571428571428571</v>
      </c>
      <c r="AT194" s="789">
        <f t="shared" si="84"/>
        <v>64.141763266069546</v>
      </c>
      <c r="AU194" s="13">
        <f t="shared" si="85"/>
        <v>7</v>
      </c>
      <c r="AV194" s="13">
        <f t="shared" si="86"/>
        <v>8</v>
      </c>
      <c r="AW194" s="175">
        <f t="shared" si="87"/>
        <v>43262</v>
      </c>
      <c r="AX194" s="772">
        <f t="shared" si="88"/>
        <v>0.6428571428571429</v>
      </c>
      <c r="AY194" s="789">
        <f t="shared" si="89"/>
        <v>64.210420262387828</v>
      </c>
      <c r="AZ194" s="763">
        <f t="shared" si="93"/>
        <v>64.176091764228687</v>
      </c>
      <c r="BA194" s="647">
        <f t="shared" si="90"/>
        <v>0.96399947747531556</v>
      </c>
      <c r="BB194" s="642">
        <v>43280</v>
      </c>
      <c r="BC194" s="11">
        <v>43280</v>
      </c>
      <c r="BD194" s="292">
        <f>[2]!FeuilCaduc*(1-Persistant)+Persistant</f>
        <v>1</v>
      </c>
      <c r="BE194" s="293">
        <f>[2]!CroissVégét</f>
        <v>0.6856469767197082</v>
      </c>
      <c r="BF194" s="842">
        <f>1+[2]!Salcycl*Ksac</f>
        <v>1.0934010202930489</v>
      </c>
      <c r="BH194" s="1105">
        <f t="shared" si="91"/>
        <v>1.6282248674749525E-3</v>
      </c>
      <c r="BI194" s="11">
        <v>44376</v>
      </c>
      <c r="BJ194" s="742">
        <v>1.0133033674706261E-3</v>
      </c>
      <c r="BK194" s="742">
        <v>1.2917448546742232E-3</v>
      </c>
      <c r="BL194" s="742">
        <v>1.5707761115300327E-3</v>
      </c>
      <c r="BM194" s="742">
        <v>1.858341982277565E-3</v>
      </c>
      <c r="BN194" s="742">
        <v>2.2030803721742155E-3</v>
      </c>
      <c r="BO194" s="743">
        <v>2.6574417889078509E-3</v>
      </c>
      <c r="BP194" s="742">
        <v>3.3763344288951168E-3</v>
      </c>
      <c r="BQ194" s="742">
        <v>4.5996007911544004E-3</v>
      </c>
      <c r="BR194" s="742">
        <v>7.0604852489386987E-3</v>
      </c>
      <c r="BS194" s="742">
        <v>1.2012270289270023E-2</v>
      </c>
      <c r="BT194" s="742">
        <v>1.916848455954441E-2</v>
      </c>
      <c r="BW194" s="1187">
        <f>'2018'!R\Max</f>
        <v>0</v>
      </c>
      <c r="BX194" s="1185">
        <f>'2019'!R\Max</f>
        <v>0.91473334972652842</v>
      </c>
      <c r="BY194" s="1185">
        <f>'2020'!R\Max</f>
        <v>0.80761127913693143</v>
      </c>
      <c r="BZ194" s="1185">
        <f>'2021'!R\Max</f>
        <v>0.635745627955839</v>
      </c>
      <c r="CA194" s="1185">
        <f>'2022'!R\Max</f>
        <v>0.96399947747531556</v>
      </c>
      <c r="CB194" s="1185">
        <f>'2023'!R\Max</f>
        <v>0.96399534607744952</v>
      </c>
      <c r="CC194" s="1185">
        <f>'2024'!R\Max</f>
        <v>0.96398938801833722</v>
      </c>
      <c r="CD194" s="1185">
        <f>'2025'!R\Max</f>
        <v>0.96400814429368697</v>
      </c>
      <c r="CE194" s="1185">
        <f>'2026'!R\Max</f>
        <v>0.96400660741177491</v>
      </c>
      <c r="CF194" s="1186">
        <f>'2027'!R\Max</f>
        <v>0.96400489507128662</v>
      </c>
    </row>
    <row r="195" spans="1:84" s="6" customFormat="1" ht="11.25" x14ac:dyDescent="0.2">
      <c r="A195" s="11">
        <v>43281</v>
      </c>
      <c r="B195" s="382">
        <f>'2023'!Maxi_hp</f>
        <v>57.491267700625883</v>
      </c>
      <c r="C195" s="85">
        <f>'2023'!An_max</f>
        <v>2019</v>
      </c>
      <c r="D195" s="1132"/>
      <c r="E195" s="709"/>
      <c r="F195" s="13">
        <f t="shared" si="92"/>
        <v>15</v>
      </c>
      <c r="G195" s="13">
        <f t="shared" si="76"/>
        <v>14</v>
      </c>
      <c r="H195" s="175">
        <f t="shared" si="77"/>
        <v>43290</v>
      </c>
      <c r="I195" s="772">
        <f t="shared" si="78"/>
        <v>0.6428571428571429</v>
      </c>
      <c r="J195" s="763">
        <f t="shared" si="79"/>
        <v>64.079813703043129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P195" s="13">
        <f t="shared" si="80"/>
        <v>9</v>
      </c>
      <c r="AQ195" s="13">
        <f t="shared" si="81"/>
        <v>8</v>
      </c>
      <c r="AR195" s="175">
        <f t="shared" si="82"/>
        <v>43304</v>
      </c>
      <c r="AS195" s="772">
        <f t="shared" si="83"/>
        <v>0.8214285714285714</v>
      </c>
      <c r="AT195" s="789">
        <f t="shared" si="84"/>
        <v>64.064740816437237</v>
      </c>
      <c r="AU195" s="13">
        <f t="shared" si="85"/>
        <v>7</v>
      </c>
      <c r="AV195" s="13">
        <f t="shared" si="86"/>
        <v>8</v>
      </c>
      <c r="AW195" s="175">
        <f t="shared" si="87"/>
        <v>43262</v>
      </c>
      <c r="AX195" s="772">
        <f t="shared" si="88"/>
        <v>0.6785714285714286</v>
      </c>
      <c r="AY195" s="789">
        <f t="shared" si="89"/>
        <v>64.130939048754854</v>
      </c>
      <c r="AZ195" s="763">
        <f t="shared" si="93"/>
        <v>64.097839932596045</v>
      </c>
      <c r="BA195" s="647">
        <f t="shared" si="90"/>
        <v>0.89718219168130386</v>
      </c>
      <c r="BB195" s="642">
        <v>43281</v>
      </c>
      <c r="BC195" s="11">
        <v>43281</v>
      </c>
      <c r="BD195" s="292">
        <f>[2]!FeuilCaduc*(1-Persistant)+Persistant</f>
        <v>1</v>
      </c>
      <c r="BE195" s="293">
        <f>[2]!CroissVégét</f>
        <v>0.69444817721081942</v>
      </c>
      <c r="BF195" s="842">
        <f>1+[2]!Salcycl*Ksac</f>
        <v>1.0939710494766406</v>
      </c>
      <c r="BH195" s="1105">
        <f t="shared" si="91"/>
        <v>1.6087714750707366E-3</v>
      </c>
      <c r="BI195" s="11">
        <v>44377</v>
      </c>
      <c r="BJ195" s="742">
        <v>1.0024350768713787E-3</v>
      </c>
      <c r="BK195" s="742">
        <v>1.2764480455671509E-3</v>
      </c>
      <c r="BL195" s="742">
        <v>1.5517734592492736E-3</v>
      </c>
      <c r="BM195" s="742">
        <v>1.8370831022691428E-3</v>
      </c>
      <c r="BN195" s="742">
        <v>2.1859678196211201E-3</v>
      </c>
      <c r="BO195" s="743">
        <v>2.6541255875172452E-3</v>
      </c>
      <c r="BP195" s="742">
        <v>3.3994489854639854E-3</v>
      </c>
      <c r="BQ195" s="742">
        <v>4.684555373371529E-3</v>
      </c>
      <c r="BR195" s="742">
        <v>7.2661529882440366E-3</v>
      </c>
      <c r="BS195" s="742">
        <v>1.2389292806285321E-2</v>
      </c>
      <c r="BT195" s="742">
        <v>1.9739297440743566E-2</v>
      </c>
      <c r="BW195" s="1187">
        <f>'2018'!R\Max</f>
        <v>0</v>
      </c>
      <c r="BX195" s="1185">
        <f>'2019'!R\Max</f>
        <v>0.89718219168130386</v>
      </c>
      <c r="BY195" s="1185">
        <f>'2020'!R\Max</f>
        <v>0.39784631189048658</v>
      </c>
      <c r="BZ195" s="1185">
        <f>'2021'!R\Max</f>
        <v>0.81714949359947697</v>
      </c>
      <c r="CA195" s="1185">
        <f>'2022'!R\Max</f>
        <v>0.23377970404732371</v>
      </c>
      <c r="CB195" s="1185">
        <f>'2023'!R\Max</f>
        <v>0.23375927488892329</v>
      </c>
      <c r="CC195" s="1185">
        <f>'2024'!R\Max</f>
        <v>0.23372973213414422</v>
      </c>
      <c r="CD195" s="1185">
        <f>'2025'!R\Max</f>
        <v>0.23382170045261785</v>
      </c>
      <c r="CE195" s="1185">
        <f>'2026'!R\Max</f>
        <v>0.23381440895049205</v>
      </c>
      <c r="CF195" s="1186">
        <f>'2027'!R\Max</f>
        <v>0.23380618919006815</v>
      </c>
    </row>
    <row r="196" spans="1:84" s="6" customFormat="1" ht="11.25" x14ac:dyDescent="0.2">
      <c r="A196" s="11">
        <v>43282</v>
      </c>
      <c r="B196" s="382">
        <f>'2023'!Maxi_hp</f>
        <v>61.136183783970139</v>
      </c>
      <c r="C196" s="85">
        <f>'2023'!An_max</f>
        <v>2022</v>
      </c>
      <c r="D196" s="1132"/>
      <c r="E196" s="709"/>
      <c r="F196" s="13">
        <f t="shared" si="92"/>
        <v>15</v>
      </c>
      <c r="G196" s="13">
        <f t="shared" si="76"/>
        <v>14</v>
      </c>
      <c r="H196" s="175">
        <f t="shared" si="77"/>
        <v>43290</v>
      </c>
      <c r="I196" s="772">
        <f t="shared" si="78"/>
        <v>0.5714285714285714</v>
      </c>
      <c r="J196" s="763">
        <f t="shared" si="79"/>
        <v>64.00490145842943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P196" s="13">
        <f t="shared" si="80"/>
        <v>9</v>
      </c>
      <c r="AQ196" s="13">
        <f t="shared" si="81"/>
        <v>8</v>
      </c>
      <c r="AR196" s="175">
        <f t="shared" si="82"/>
        <v>43304</v>
      </c>
      <c r="AS196" s="772">
        <f t="shared" si="83"/>
        <v>0.7857142857142857</v>
      </c>
      <c r="AT196" s="789">
        <f t="shared" si="84"/>
        <v>63.984553061132985</v>
      </c>
      <c r="AU196" s="13">
        <f t="shared" si="85"/>
        <v>7</v>
      </c>
      <c r="AV196" s="13">
        <f t="shared" si="86"/>
        <v>8</v>
      </c>
      <c r="AW196" s="175">
        <f t="shared" si="87"/>
        <v>43262</v>
      </c>
      <c r="AX196" s="772">
        <f t="shared" si="88"/>
        <v>0.7142857142857143</v>
      </c>
      <c r="AY196" s="789">
        <f t="shared" si="89"/>
        <v>64.048311370557968</v>
      </c>
      <c r="AZ196" s="763">
        <f t="shared" si="93"/>
        <v>64.016432215845469</v>
      </c>
      <c r="BA196" s="647">
        <f t="shared" si="90"/>
        <v>0.9551797189107073</v>
      </c>
      <c r="BB196" s="642">
        <v>43282</v>
      </c>
      <c r="BC196" s="11">
        <v>43282</v>
      </c>
      <c r="BD196" s="292">
        <f>[2]!FeuilCaduc*(1-Persistant)+Persistant</f>
        <v>1</v>
      </c>
      <c r="BE196" s="293">
        <f>[2]!CroissVégét</f>
        <v>0.70310971225270513</v>
      </c>
      <c r="BF196" s="842">
        <f>1+[2]!Salcycl*Ksac</f>
        <v>1.0945083826587299</v>
      </c>
      <c r="BH196" s="1105">
        <f t="shared" si="91"/>
        <v>1.5871443091335484E-3</v>
      </c>
      <c r="BI196" s="11">
        <v>44378</v>
      </c>
      <c r="BJ196" s="742">
        <v>9.8976900406641142E-4</v>
      </c>
      <c r="BK196" s="742">
        <v>1.2591236230540799E-3</v>
      </c>
      <c r="BL196" s="742">
        <v>1.5305936238906618E-3</v>
      </c>
      <c r="BM196" s="742">
        <v>1.8136641060231542E-3</v>
      </c>
      <c r="BN196" s="742">
        <v>2.1673736782682851E-3</v>
      </c>
      <c r="BO196" s="743">
        <v>2.6512099785546347E-3</v>
      </c>
      <c r="BP196" s="742">
        <v>3.4268190133119442E-3</v>
      </c>
      <c r="BQ196" s="742">
        <v>4.7822739369434092E-3</v>
      </c>
      <c r="BR196" s="742">
        <v>7.50069441383866E-3</v>
      </c>
      <c r="BS196" s="742">
        <v>1.2812787356086571E-2</v>
      </c>
      <c r="BT196" s="742">
        <v>2.0372379598865481E-2</v>
      </c>
      <c r="BW196" s="1187">
        <f>'2018'!R\Max</f>
        <v>0</v>
      </c>
      <c r="BX196" s="1185">
        <f>'2019'!R\Max</f>
        <v>0.30510730031360311</v>
      </c>
      <c r="BY196" s="1185">
        <f>'2020'!R\Max</f>
        <v>0.93219417249955505</v>
      </c>
      <c r="BZ196" s="1185">
        <f>'2021'!R\Max</f>
        <v>0.92184076836526185</v>
      </c>
      <c r="CA196" s="1185">
        <f>'2022'!R\Max</f>
        <v>0.9551797189107073</v>
      </c>
      <c r="CB196" s="1185">
        <f>'2023'!R\Max</f>
        <v>0.9551740915010698</v>
      </c>
      <c r="CC196" s="1185">
        <f>'2024'!R\Max</f>
        <v>0.95516592843195847</v>
      </c>
      <c r="CD196" s="1185">
        <f>'2025'!R\Max</f>
        <v>0.95519103747743284</v>
      </c>
      <c r="CE196" s="1185">
        <f>'2026'!R\Max</f>
        <v>0.95518911695517805</v>
      </c>
      <c r="CF196" s="1186">
        <f>'2027'!R\Max</f>
        <v>0.95518692421083551</v>
      </c>
    </row>
    <row r="197" spans="1:84" s="6" customFormat="1" ht="11.25" x14ac:dyDescent="0.2">
      <c r="A197" s="11">
        <v>43283</v>
      </c>
      <c r="B197" s="382">
        <f>'2023'!Maxi_hp</f>
        <v>57.066664805016352</v>
      </c>
      <c r="C197" s="85">
        <f>'2023'!An_max</f>
        <v>2021</v>
      </c>
      <c r="D197" s="1132"/>
      <c r="E197" s="709"/>
      <c r="F197" s="13">
        <f t="shared" si="92"/>
        <v>15</v>
      </c>
      <c r="G197" s="13">
        <f t="shared" si="76"/>
        <v>14</v>
      </c>
      <c r="H197" s="175">
        <f t="shared" si="77"/>
        <v>43290</v>
      </c>
      <c r="I197" s="772">
        <f t="shared" si="78"/>
        <v>0.5</v>
      </c>
      <c r="J197" s="763">
        <f t="shared" si="79"/>
        <v>63.927050000615417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P197" s="13">
        <f t="shared" si="80"/>
        <v>9</v>
      </c>
      <c r="AQ197" s="13">
        <f t="shared" si="81"/>
        <v>8</v>
      </c>
      <c r="AR197" s="175">
        <f t="shared" si="82"/>
        <v>43304</v>
      </c>
      <c r="AS197" s="772">
        <f t="shared" si="83"/>
        <v>0.75</v>
      </c>
      <c r="AT197" s="789">
        <f t="shared" si="84"/>
        <v>63.901200000289826</v>
      </c>
      <c r="AU197" s="13">
        <f t="shared" si="85"/>
        <v>7</v>
      </c>
      <c r="AV197" s="13">
        <f t="shared" si="86"/>
        <v>8</v>
      </c>
      <c r="AW197" s="175">
        <f t="shared" si="87"/>
        <v>43262</v>
      </c>
      <c r="AX197" s="772">
        <f t="shared" si="88"/>
        <v>0.75</v>
      </c>
      <c r="AY197" s="789">
        <f t="shared" si="89"/>
        <v>63.962593749444935</v>
      </c>
      <c r="AZ197" s="763">
        <f t="shared" si="93"/>
        <v>63.931896874867377</v>
      </c>
      <c r="BA197" s="647">
        <f t="shared" si="90"/>
        <v>0.89268415802804879</v>
      </c>
      <c r="BB197" s="642">
        <v>43283</v>
      </c>
      <c r="BC197" s="11">
        <v>43283</v>
      </c>
      <c r="BD197" s="292">
        <f>[2]!FeuilCaduc*(1-Persistant)+Persistant</f>
        <v>1</v>
      </c>
      <c r="BE197" s="293">
        <f>[2]!CroissVégét</f>
        <v>0.71162774286802644</v>
      </c>
      <c r="BF197" s="842">
        <f>1+[2]!Salcycl*Ksac</f>
        <v>1.0950136734136524</v>
      </c>
      <c r="BH197" s="1105">
        <f t="shared" si="91"/>
        <v>1.5633472968250468E-3</v>
      </c>
      <c r="BI197" s="11">
        <v>44379</v>
      </c>
      <c r="BJ197" s="742">
        <v>9.7530825916983146E-4</v>
      </c>
      <c r="BK197" s="742">
        <v>1.2397751480200379E-3</v>
      </c>
      <c r="BL197" s="742">
        <v>1.5072405085333111E-3</v>
      </c>
      <c r="BM197" s="742">
        <v>1.7880890171664597E-3</v>
      </c>
      <c r="BN197" s="742">
        <v>2.1473012341143944E-3</v>
      </c>
      <c r="BO197" s="743">
        <v>2.6486959283968619E-3</v>
      </c>
      <c r="BP197" s="742">
        <v>3.4584405795457227E-3</v>
      </c>
      <c r="BQ197" s="742">
        <v>4.8927415590390043E-3</v>
      </c>
      <c r="BR197" s="742">
        <v>7.7640739247123404E-3</v>
      </c>
      <c r="BS197" s="742">
        <v>1.328269757310338E-2</v>
      </c>
      <c r="BT197" s="742">
        <v>2.1067658127352291E-2</v>
      </c>
      <c r="BW197" s="1187">
        <f>'2018'!R\Max</f>
        <v>0</v>
      </c>
      <c r="BX197" s="1185">
        <f>'2019'!R\Max</f>
        <v>0.50142675119944502</v>
      </c>
      <c r="BY197" s="1185">
        <f>'2020'!R\Max</f>
        <v>0.76184118407419188</v>
      </c>
      <c r="BZ197" s="1185">
        <f>'2021'!R\Max</f>
        <v>0.89268415802804879</v>
      </c>
      <c r="CA197" s="1185">
        <f>'2022'!R\Max</f>
        <v>0.89075879951097503</v>
      </c>
      <c r="CB197" s="1185">
        <f>'2023'!R\Max</f>
        <v>0.89074528458120517</v>
      </c>
      <c r="CC197" s="1185">
        <f>'2024'!R\Max</f>
        <v>0.89072562746632344</v>
      </c>
      <c r="CD197" s="1185">
        <f>'2025'!R\Max</f>
        <v>0.89078538433900267</v>
      </c>
      <c r="CE197" s="1185">
        <f>'2026'!R\Max</f>
        <v>0.89078098103021786</v>
      </c>
      <c r="CF197" s="1186">
        <f>'2027'!R\Max</f>
        <v>0.89077588549630038</v>
      </c>
    </row>
    <row r="198" spans="1:84" s="6" customFormat="1" ht="11.25" x14ac:dyDescent="0.2">
      <c r="A198" s="11">
        <v>43284</v>
      </c>
      <c r="B198" s="382">
        <f>'2023'!Maxi_hp</f>
        <v>51.612823612045531</v>
      </c>
      <c r="C198" s="85">
        <f>'2023'!An_max</f>
        <v>2019</v>
      </c>
      <c r="D198" s="1132"/>
      <c r="E198" s="709"/>
      <c r="F198" s="13">
        <f t="shared" si="92"/>
        <v>15</v>
      </c>
      <c r="G198" s="13">
        <f t="shared" si="76"/>
        <v>14</v>
      </c>
      <c r="H198" s="175">
        <f t="shared" si="77"/>
        <v>43290</v>
      </c>
      <c r="I198" s="772">
        <f t="shared" si="78"/>
        <v>0.42857142857142855</v>
      </c>
      <c r="J198" s="763">
        <f t="shared" si="79"/>
        <v>63.846033236756924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P198" s="13">
        <f t="shared" si="80"/>
        <v>9</v>
      </c>
      <c r="AQ198" s="13">
        <f t="shared" si="81"/>
        <v>8</v>
      </c>
      <c r="AR198" s="175">
        <f t="shared" si="82"/>
        <v>43304</v>
      </c>
      <c r="AS198" s="772">
        <f t="shared" si="83"/>
        <v>0.7142857142857143</v>
      </c>
      <c r="AT198" s="789">
        <f t="shared" si="84"/>
        <v>63.814681632710361</v>
      </c>
      <c r="AU198" s="13">
        <f t="shared" si="85"/>
        <v>7</v>
      </c>
      <c r="AV198" s="13">
        <f t="shared" si="86"/>
        <v>8</v>
      </c>
      <c r="AW198" s="175">
        <f t="shared" si="87"/>
        <v>43262</v>
      </c>
      <c r="AX198" s="772">
        <f t="shared" si="88"/>
        <v>0.7857142857142857</v>
      </c>
      <c r="AY198" s="789">
        <f t="shared" si="89"/>
        <v>63.873842711001636</v>
      </c>
      <c r="AZ198" s="763">
        <f t="shared" si="93"/>
        <v>63.844262171856002</v>
      </c>
      <c r="BA198" s="647">
        <f t="shared" si="90"/>
        <v>0.80839514994850792</v>
      </c>
      <c r="BB198" s="642">
        <v>43284</v>
      </c>
      <c r="BC198" s="11">
        <v>43284</v>
      </c>
      <c r="BD198" s="292">
        <f>[2]!FeuilCaduc*(1-Persistant)+Persistant</f>
        <v>1</v>
      </c>
      <c r="BE198" s="293">
        <f>[2]!CroissVégét</f>
        <v>0.71999879440261938</v>
      </c>
      <c r="BF198" s="842">
        <f>1+[2]!Salcycl*Ksac</f>
        <v>1.0954876440109018</v>
      </c>
      <c r="BH198" s="1105">
        <f t="shared" si="91"/>
        <v>1.5370730158574594E-3</v>
      </c>
      <c r="BI198" s="11">
        <v>44380</v>
      </c>
      <c r="BJ198" s="742">
        <v>9.5823911502655886E-4</v>
      </c>
      <c r="BK198" s="742">
        <v>1.2176773978022088E-3</v>
      </c>
      <c r="BL198" s="742">
        <v>1.4812466502482091E-3</v>
      </c>
      <c r="BM198" s="742">
        <v>1.7606914732568402E-3</v>
      </c>
      <c r="BN198" s="742">
        <v>2.1288476122213813E-3</v>
      </c>
      <c r="BO198" s="743">
        <v>2.6537791564044625E-3</v>
      </c>
      <c r="BP198" s="742">
        <v>3.5064654338942528E-3</v>
      </c>
      <c r="BQ198" s="742">
        <v>5.0301811576354957E-3</v>
      </c>
      <c r="BR198" s="742">
        <v>8.0666924771369119E-3</v>
      </c>
      <c r="BS198" s="742">
        <v>1.379524516841501E-2</v>
      </c>
      <c r="BT198" s="742">
        <v>2.1799034353058157E-2</v>
      </c>
      <c r="BW198" s="1187">
        <f>'2018'!R\Max</f>
        <v>0</v>
      </c>
      <c r="BX198" s="1185">
        <f>'2019'!R\Max</f>
        <v>0.80839514994850792</v>
      </c>
      <c r="BY198" s="1185">
        <f>'2020'!R\Max</f>
        <v>0.34045634532377073</v>
      </c>
      <c r="BZ198" s="1185">
        <f>'2021'!R\Max</f>
        <v>0.56924201988609047</v>
      </c>
      <c r="CA198" s="1185">
        <f>'2022'!R\Max</f>
        <v>0.7548430737978552</v>
      </c>
      <c r="CB198" s="1185">
        <f>'2023'!R\Max</f>
        <v>0.75481572959330079</v>
      </c>
      <c r="CC198" s="1185">
        <f>'2024'!R\Max</f>
        <v>0.75477596759094256</v>
      </c>
      <c r="CD198" s="1185">
        <f>'2025'!R\Max</f>
        <v>0.75489581234985159</v>
      </c>
      <c r="CE198" s="1185">
        <f>'2026'!R\Max</f>
        <v>0.75488730449864383</v>
      </c>
      <c r="CF198" s="1186">
        <f>'2027'!R\Max</f>
        <v>0.75487729951336302</v>
      </c>
    </row>
    <row r="199" spans="1:84" s="6" customFormat="1" ht="11.25" x14ac:dyDescent="0.2">
      <c r="A199" s="11">
        <v>43285</v>
      </c>
      <c r="B199" s="382">
        <f>'2023'!Maxi_hp</f>
        <v>59.307857255602293</v>
      </c>
      <c r="C199" s="85">
        <f>'2023'!An_max</f>
        <v>2019</v>
      </c>
      <c r="D199" s="1132"/>
      <c r="E199" s="709"/>
      <c r="F199" s="13">
        <f t="shared" si="92"/>
        <v>15</v>
      </c>
      <c r="G199" s="13">
        <f t="shared" si="76"/>
        <v>14</v>
      </c>
      <c r="H199" s="175">
        <f t="shared" si="77"/>
        <v>43290</v>
      </c>
      <c r="I199" s="772">
        <f t="shared" si="78"/>
        <v>0.35714285714285715</v>
      </c>
      <c r="J199" s="763">
        <f t="shared" si="79"/>
        <v>63.761625074169466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P199" s="13">
        <f t="shared" si="80"/>
        <v>9</v>
      </c>
      <c r="AQ199" s="13">
        <f t="shared" si="81"/>
        <v>8</v>
      </c>
      <c r="AR199" s="175">
        <f t="shared" si="82"/>
        <v>43304</v>
      </c>
      <c r="AS199" s="772">
        <f t="shared" si="83"/>
        <v>0.6785714285714286</v>
      </c>
      <c r="AT199" s="789">
        <f t="shared" si="84"/>
        <v>63.724997959419021</v>
      </c>
      <c r="AU199" s="13">
        <f t="shared" si="85"/>
        <v>7</v>
      </c>
      <c r="AV199" s="13">
        <f t="shared" si="86"/>
        <v>8</v>
      </c>
      <c r="AW199" s="175">
        <f t="shared" si="87"/>
        <v>43262</v>
      </c>
      <c r="AX199" s="772">
        <f t="shared" si="88"/>
        <v>0.8214285714285714</v>
      </c>
      <c r="AY199" s="789">
        <f t="shared" si="89"/>
        <v>63.782114777195133</v>
      </c>
      <c r="AZ199" s="763">
        <f t="shared" si="93"/>
        <v>63.753556368307073</v>
      </c>
      <c r="BA199" s="647">
        <f t="shared" si="90"/>
        <v>0.93014971288158965</v>
      </c>
      <c r="BB199" s="642">
        <v>43285</v>
      </c>
      <c r="BC199" s="11">
        <v>43285</v>
      </c>
      <c r="BD199" s="292">
        <f>[2]!FeuilCaduc*(1-Persistant)+Persistant</f>
        <v>1</v>
      </c>
      <c r="BE199" s="293">
        <f>[2]!CroissVégét</f>
        <v>0.72821975485053358</v>
      </c>
      <c r="BF199" s="842">
        <f>1+[2]!Salcycl*Ksac</f>
        <v>1.095931079863294</v>
      </c>
      <c r="BH199" s="1105">
        <f t="shared" si="91"/>
        <v>1.5095542522528659E-3</v>
      </c>
      <c r="BI199" s="11">
        <v>44381</v>
      </c>
      <c r="BJ199" s="742">
        <v>9.389542811425322E-4</v>
      </c>
      <c r="BK199" s="742">
        <v>1.193641247228726E-3</v>
      </c>
      <c r="BL199" s="742">
        <v>1.4537909777588025E-3</v>
      </c>
      <c r="BM199" s="742">
        <v>1.7329199914661406E-3</v>
      </c>
      <c r="BN199" s="742">
        <v>2.113258319235567E-3</v>
      </c>
      <c r="BO199" s="743">
        <v>2.6668936073330888E-3</v>
      </c>
      <c r="BP199" s="742">
        <v>3.5699104254617426E-3</v>
      </c>
      <c r="BQ199" s="742">
        <v>5.190082233995451E-3</v>
      </c>
      <c r="BR199" s="742">
        <v>8.3969122944497904E-3</v>
      </c>
      <c r="BS199" s="742">
        <v>1.4325972159432236E-2</v>
      </c>
      <c r="BT199" s="742">
        <v>2.2525418707757091E-2</v>
      </c>
      <c r="BW199" s="1187">
        <f>'2018'!R\Max</f>
        <v>0</v>
      </c>
      <c r="BX199" s="1185">
        <f>'2019'!R\Max</f>
        <v>0.93014971288158965</v>
      </c>
      <c r="BY199" s="1185">
        <f>'2020'!R\Max</f>
        <v>0.80271587292736823</v>
      </c>
      <c r="BZ199" s="1185">
        <f>'2021'!R\Max</f>
        <v>0.59363774469495934</v>
      </c>
      <c r="CA199" s="1185">
        <f>'2022'!R\Max</f>
        <v>0.79334242744445482</v>
      </c>
      <c r="CB199" s="1185">
        <f>'2023'!R\Max</f>
        <v>0.79331655702596759</v>
      </c>
      <c r="CC199" s="1185">
        <f>'2024'!R\Max</f>
        <v>0.79327904854702647</v>
      </c>
      <c r="CD199" s="1185">
        <f>'2025'!R\Max</f>
        <v>0.7933915177572971</v>
      </c>
      <c r="CE199" s="1185">
        <f>'2026'!R\Max</f>
        <v>0.79338380612579773</v>
      </c>
      <c r="CF199" s="1186">
        <f>'2027'!R\Max</f>
        <v>0.79337457820767954</v>
      </c>
    </row>
    <row r="200" spans="1:84" s="6" customFormat="1" ht="11.25" x14ac:dyDescent="0.2">
      <c r="A200" s="11">
        <v>43286</v>
      </c>
      <c r="B200" s="382">
        <f>'2023'!Maxi_hp</f>
        <v>62.396203571574965</v>
      </c>
      <c r="C200" s="85">
        <f>'2023'!An_max</f>
        <v>2021</v>
      </c>
      <c r="D200" s="1132"/>
      <c r="E200" s="709"/>
      <c r="F200" s="13">
        <f t="shared" si="92"/>
        <v>15</v>
      </c>
      <c r="G200" s="13">
        <f t="shared" si="76"/>
        <v>14</v>
      </c>
      <c r="H200" s="175">
        <f t="shared" si="77"/>
        <v>43290</v>
      </c>
      <c r="I200" s="772">
        <f t="shared" si="78"/>
        <v>0.2857142857142857</v>
      </c>
      <c r="J200" s="763">
        <f t="shared" si="79"/>
        <v>63.673599417401213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P200" s="13">
        <f t="shared" si="80"/>
        <v>9</v>
      </c>
      <c r="AQ200" s="13">
        <f t="shared" si="81"/>
        <v>8</v>
      </c>
      <c r="AR200" s="175">
        <f t="shared" si="82"/>
        <v>43304</v>
      </c>
      <c r="AS200" s="772">
        <f t="shared" si="83"/>
        <v>0.6428571428571429</v>
      </c>
      <c r="AT200" s="789">
        <f t="shared" si="84"/>
        <v>63.632148979843727</v>
      </c>
      <c r="AU200" s="13">
        <f t="shared" si="85"/>
        <v>7</v>
      </c>
      <c r="AV200" s="13">
        <f t="shared" si="86"/>
        <v>8</v>
      </c>
      <c r="AW200" s="175">
        <f t="shared" si="87"/>
        <v>43262</v>
      </c>
      <c r="AX200" s="772">
        <f t="shared" si="88"/>
        <v>0.8571428571428571</v>
      </c>
      <c r="AY200" s="789">
        <f t="shared" si="89"/>
        <v>63.687466472280867</v>
      </c>
      <c r="AZ200" s="763">
        <f t="shared" si="93"/>
        <v>63.659807726062297</v>
      </c>
      <c r="BA200" s="647">
        <f t="shared" si="90"/>
        <v>0.9799383754410913</v>
      </c>
      <c r="BB200" s="642">
        <v>43286</v>
      </c>
      <c r="BC200" s="11">
        <v>43286</v>
      </c>
      <c r="BD200" s="292">
        <f>[2]!FeuilCaduc*(1-Persistant)+Persistant</f>
        <v>1</v>
      </c>
      <c r="BE200" s="293">
        <f>[2]!CroissVégét</f>
        <v>0.73628787157048126</v>
      </c>
      <c r="BF200" s="842">
        <f>1+[2]!Salcycl*Ksac</f>
        <v>1.0963448237132147</v>
      </c>
      <c r="BH200" s="1105">
        <f t="shared" si="91"/>
        <v>1.4807932594346801E-3</v>
      </c>
      <c r="BI200" s="11">
        <v>44382</v>
      </c>
      <c r="BJ200" s="742">
        <v>9.1745718899346161E-4</v>
      </c>
      <c r="BK200" s="742">
        <v>1.167669808391362E-3</v>
      </c>
      <c r="BL200" s="742">
        <v>1.4248760230330551E-3</v>
      </c>
      <c r="BM200" s="742">
        <v>1.7047757094778902E-3</v>
      </c>
      <c r="BN200" s="742">
        <v>2.1005302807071556E-3</v>
      </c>
      <c r="BO200" s="743">
        <v>2.6880296025559984E-3</v>
      </c>
      <c r="BP200" s="742">
        <v>3.6487566476770743E-3</v>
      </c>
      <c r="BQ200" s="742">
        <v>5.3724183257287108E-3</v>
      </c>
      <c r="BR200" s="742">
        <v>8.7547042273609481E-3</v>
      </c>
      <c r="BS200" s="742">
        <v>1.4874869695878278E-2</v>
      </c>
      <c r="BT200" s="742">
        <v>2.3246843626943937E-2</v>
      </c>
      <c r="BW200" s="1187">
        <f>'2018'!R\Max</f>
        <v>0</v>
      </c>
      <c r="BX200" s="1185">
        <f>'2019'!R\Max</f>
        <v>0.90726763665313059</v>
      </c>
      <c r="BY200" s="1185">
        <f>'2020'!R\Max</f>
        <v>0.95178025142248401</v>
      </c>
      <c r="BZ200" s="1185">
        <f>'2021'!R\Max</f>
        <v>0.9799383754410913</v>
      </c>
      <c r="CA200" s="1185">
        <f>'2022'!R\Max</f>
        <v>0.95803310993096058</v>
      </c>
      <c r="CB200" s="1185">
        <f>'2023'!R\Max</f>
        <v>0.95802631575061559</v>
      </c>
      <c r="CC200" s="1185">
        <f>'2024'!R\Max</f>
        <v>0.95801651524813136</v>
      </c>
      <c r="CD200" s="1185">
        <f>'2025'!R\Max</f>
        <v>0.9580458363992308</v>
      </c>
      <c r="CE200" s="1185">
        <f>'2026'!R\Max</f>
        <v>0.95804388864226719</v>
      </c>
      <c r="CF200" s="1186">
        <f>'2027'!R\Max</f>
        <v>0.95804151519060465</v>
      </c>
    </row>
    <row r="201" spans="1:84" s="6" customFormat="1" ht="11.25" x14ac:dyDescent="0.2">
      <c r="A201" s="11">
        <v>43287</v>
      </c>
      <c r="B201" s="382">
        <f>'2023'!Maxi_hp</f>
        <v>61.545383485754634</v>
      </c>
      <c r="C201" s="85">
        <f>'2023'!An_max</f>
        <v>2020</v>
      </c>
      <c r="D201" s="1132"/>
      <c r="E201" s="709"/>
      <c r="F201" s="13">
        <f t="shared" si="92"/>
        <v>15</v>
      </c>
      <c r="G201" s="13">
        <f t="shared" si="76"/>
        <v>14</v>
      </c>
      <c r="H201" s="175">
        <f t="shared" si="77"/>
        <v>43290</v>
      </c>
      <c r="I201" s="772">
        <f t="shared" si="78"/>
        <v>0.21428571428571427</v>
      </c>
      <c r="J201" s="763">
        <f t="shared" si="79"/>
        <v>63.58173017560371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P201" s="13">
        <f t="shared" si="80"/>
        <v>9</v>
      </c>
      <c r="AQ201" s="13">
        <f t="shared" si="81"/>
        <v>8</v>
      </c>
      <c r="AR201" s="175">
        <f t="shared" si="82"/>
        <v>43304</v>
      </c>
      <c r="AS201" s="772">
        <f t="shared" si="83"/>
        <v>0.6071428571428571</v>
      </c>
      <c r="AT201" s="789">
        <f t="shared" si="84"/>
        <v>63.536134694223961</v>
      </c>
      <c r="AU201" s="13">
        <f t="shared" si="85"/>
        <v>7</v>
      </c>
      <c r="AV201" s="13">
        <f t="shared" si="86"/>
        <v>8</v>
      </c>
      <c r="AW201" s="175">
        <f t="shared" si="87"/>
        <v>43262</v>
      </c>
      <c r="AX201" s="772">
        <f t="shared" si="88"/>
        <v>0.8928571428571429</v>
      </c>
      <c r="AY201" s="789">
        <f t="shared" si="89"/>
        <v>63.589954318106173</v>
      </c>
      <c r="AZ201" s="763">
        <f t="shared" si="93"/>
        <v>63.56304450616507</v>
      </c>
      <c r="BA201" s="647">
        <f t="shared" si="90"/>
        <v>0.96797277009881655</v>
      </c>
      <c r="BB201" s="642">
        <v>43287</v>
      </c>
      <c r="BC201" s="11">
        <v>43287</v>
      </c>
      <c r="BD201" s="292">
        <f>[2]!FeuilCaduc*(1-Persistant)+Persistant</f>
        <v>1</v>
      </c>
      <c r="BE201" s="293">
        <f>[2]!CroissVégét</f>
        <v>0.74420074649273349</v>
      </c>
      <c r="BF201" s="842">
        <f>1+[2]!Salcycl*Ksac</f>
        <v>1.096729769601148</v>
      </c>
      <c r="BH201" s="1105">
        <f t="shared" si="91"/>
        <v>1.4507921786030139E-3</v>
      </c>
      <c r="BI201" s="11">
        <v>44383</v>
      </c>
      <c r="BJ201" s="742">
        <v>8.9375113971225015E-4</v>
      </c>
      <c r="BK201" s="742">
        <v>1.1397660625545572E-3</v>
      </c>
      <c r="BL201" s="742">
        <v>1.3945041975703778E-3</v>
      </c>
      <c r="BM201" s="742">
        <v>1.6762596857795523E-3</v>
      </c>
      <c r="BN201" s="742">
        <v>2.0906604968217251E-3</v>
      </c>
      <c r="BO201" s="743">
        <v>2.7171778056490938E-3</v>
      </c>
      <c r="BP201" s="742">
        <v>3.7429859411154801E-3</v>
      </c>
      <c r="BQ201" s="742">
        <v>5.5771642201944173E-3</v>
      </c>
      <c r="BR201" s="742">
        <v>9.1400409840802829E-3</v>
      </c>
      <c r="BS201" s="742">
        <v>1.5441930908339273E-2</v>
      </c>
      <c r="BT201" s="742">
        <v>2.3963343112903025E-2</v>
      </c>
      <c r="BW201" s="1187">
        <f>'2018'!R\Max</f>
        <v>0</v>
      </c>
      <c r="BX201" s="1185">
        <f>'2019'!R\Max</f>
        <v>0.90565435116112869</v>
      </c>
      <c r="BY201" s="1185">
        <f>'2020'!R\Max</f>
        <v>0.96797277009881655</v>
      </c>
      <c r="BZ201" s="1185">
        <f>'2021'!R\Max</f>
        <v>0.36359514876515553</v>
      </c>
      <c r="CA201" s="1185">
        <f>'2022'!R\Max</f>
        <v>0.74344129994671548</v>
      </c>
      <c r="CB201" s="1185">
        <f>'2023'!R\Max</f>
        <v>0.74340671499648792</v>
      </c>
      <c r="CC201" s="1185">
        <f>'2024'!R\Max</f>
        <v>0.74335717360333275</v>
      </c>
      <c r="CD201" s="1185">
        <f>'2025'!R\Max</f>
        <v>0.74350546491376135</v>
      </c>
      <c r="CE201" s="1185">
        <f>'2026'!R\Max</f>
        <v>0.74349588567799219</v>
      </c>
      <c r="CF201" s="1186">
        <f>'2027'!R\Max</f>
        <v>0.74348399693184131</v>
      </c>
    </row>
    <row r="202" spans="1:84" s="6" customFormat="1" ht="11.25" x14ac:dyDescent="0.2">
      <c r="A202" s="11">
        <v>43288</v>
      </c>
      <c r="B202" s="382">
        <f>'2023'!Maxi_hp</f>
        <v>58.7192468171447</v>
      </c>
      <c r="C202" s="85">
        <f>'2023'!An_max</f>
        <v>2022</v>
      </c>
      <c r="D202" s="1132"/>
      <c r="E202" s="709"/>
      <c r="F202" s="13">
        <f t="shared" si="92"/>
        <v>15</v>
      </c>
      <c r="G202" s="13">
        <f t="shared" si="76"/>
        <v>14</v>
      </c>
      <c r="H202" s="175">
        <f t="shared" si="77"/>
        <v>43290</v>
      </c>
      <c r="I202" s="772">
        <f t="shared" si="78"/>
        <v>0.14285714285714285</v>
      </c>
      <c r="J202" s="763">
        <f t="shared" si="79"/>
        <v>63.485791254575773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P202" s="13">
        <f t="shared" si="80"/>
        <v>9</v>
      </c>
      <c r="AQ202" s="13">
        <f t="shared" si="81"/>
        <v>8</v>
      </c>
      <c r="AR202" s="175">
        <f t="shared" si="82"/>
        <v>43304</v>
      </c>
      <c r="AS202" s="772">
        <f t="shared" si="83"/>
        <v>0.5714285714285714</v>
      </c>
      <c r="AT202" s="789">
        <f t="shared" si="84"/>
        <v>63.436955102320233</v>
      </c>
      <c r="AU202" s="13">
        <f t="shared" si="85"/>
        <v>7</v>
      </c>
      <c r="AV202" s="13">
        <f t="shared" si="86"/>
        <v>8</v>
      </c>
      <c r="AW202" s="175">
        <f t="shared" si="87"/>
        <v>43262</v>
      </c>
      <c r="AX202" s="772">
        <f t="shared" si="88"/>
        <v>0.9285714285714286</v>
      </c>
      <c r="AY202" s="789">
        <f t="shared" si="89"/>
        <v>63.489634839817882</v>
      </c>
      <c r="AZ202" s="763">
        <f t="shared" si="93"/>
        <v>63.463294971069061</v>
      </c>
      <c r="BA202" s="647">
        <f t="shared" si="90"/>
        <v>0.92491950807831314</v>
      </c>
      <c r="BB202" s="642">
        <v>43288</v>
      </c>
      <c r="BC202" s="11">
        <v>43288</v>
      </c>
      <c r="BD202" s="292">
        <f>[2]!FeuilCaduc*(1-Persistant)+Persistant</f>
        <v>1</v>
      </c>
      <c r="BE202" s="293">
        <f>[2]!CroissVégét</f>
        <v>0.75195632992281269</v>
      </c>
      <c r="BF202" s="842">
        <f>1+[2]!Salcycl*Ksac</f>
        <v>1.0970868566620553</v>
      </c>
      <c r="BH202" s="1105">
        <f t="shared" si="91"/>
        <v>1.4195530312156117E-3</v>
      </c>
      <c r="BI202" s="11">
        <v>44384</v>
      </c>
      <c r="BJ202" s="742">
        <v>8.6783929091599672E-4</v>
      </c>
      <c r="BK202" s="742">
        <v>1.1099328485806702E-3</v>
      </c>
      <c r="BL202" s="742">
        <v>1.3626777836053877E-3</v>
      </c>
      <c r="BM202" s="742">
        <v>1.6473728972593138E-3</v>
      </c>
      <c r="BN202" s="742">
        <v>2.0836460591132124E-3</v>
      </c>
      <c r="BO202" s="743">
        <v>2.7543292696591728E-3</v>
      </c>
      <c r="BP202" s="742">
        <v>3.8525809845121259E-3</v>
      </c>
      <c r="BQ202" s="742">
        <v>5.8042960874576032E-3</v>
      </c>
      <c r="BR202" s="742">
        <v>9.5528972944046216E-3</v>
      </c>
      <c r="BS202" s="742">
        <v>1.6027151017888094E-2</v>
      </c>
      <c r="BT202" s="742">
        <v>2.4674952708868162E-2</v>
      </c>
      <c r="BW202" s="1187">
        <f>'2018'!R\Max</f>
        <v>0</v>
      </c>
      <c r="BX202" s="1185">
        <f>'2019'!R\Max</f>
        <v>0.83654616274888294</v>
      </c>
      <c r="BY202" s="1185">
        <f>'2020'!R\Max</f>
        <v>0.67674258557271516</v>
      </c>
      <c r="BZ202" s="1185">
        <f>'2021'!R\Max</f>
        <v>0.61539304867474331</v>
      </c>
      <c r="CA202" s="1185">
        <f>'2022'!R\Max</f>
        <v>0.92491950807831314</v>
      </c>
      <c r="CB202" s="1185">
        <f>'2023'!R\Max</f>
        <v>0.92490597813366315</v>
      </c>
      <c r="CC202" s="1185">
        <f>'2024'!R\Max</f>
        <v>0.92488675334493342</v>
      </c>
      <c r="CD202" s="1185">
        <f>'2025'!R\Max</f>
        <v>0.92494443732421783</v>
      </c>
      <c r="CE202" s="1185">
        <f>'2026'!R\Max</f>
        <v>0.92494080171360404</v>
      </c>
      <c r="CF202" s="1186">
        <f>'2027'!R\Max</f>
        <v>0.92493620711878721</v>
      </c>
    </row>
    <row r="203" spans="1:84" s="6" customFormat="1" ht="11.25" x14ac:dyDescent="0.2">
      <c r="A203" s="11">
        <v>43289</v>
      </c>
      <c r="B203" s="382">
        <f>'2023'!Maxi_hp</f>
        <v>64.463220422098431</v>
      </c>
      <c r="C203" s="85">
        <f>'2023'!An_max</f>
        <v>2023</v>
      </c>
      <c r="D203" s="1132"/>
      <c r="E203" s="709"/>
      <c r="F203" s="13">
        <f t="shared" si="92"/>
        <v>15</v>
      </c>
      <c r="G203" s="13">
        <f t="shared" si="76"/>
        <v>14</v>
      </c>
      <c r="H203" s="175">
        <f t="shared" si="77"/>
        <v>43290</v>
      </c>
      <c r="I203" s="772">
        <f t="shared" si="78"/>
        <v>7.1428571428571425E-2</v>
      </c>
      <c r="J203" s="763">
        <f t="shared" si="79"/>
        <v>63.38555656019598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P203" s="13">
        <f t="shared" si="80"/>
        <v>9</v>
      </c>
      <c r="AQ203" s="13">
        <f t="shared" si="81"/>
        <v>8</v>
      </c>
      <c r="AR203" s="175">
        <f t="shared" si="82"/>
        <v>43304</v>
      </c>
      <c r="AS203" s="772">
        <f t="shared" si="83"/>
        <v>0.5357142857142857</v>
      </c>
      <c r="AT203" s="789">
        <f t="shared" si="84"/>
        <v>63.334610204425232</v>
      </c>
      <c r="AU203" s="13">
        <f t="shared" si="85"/>
        <v>7</v>
      </c>
      <c r="AV203" s="13">
        <f t="shared" si="86"/>
        <v>8</v>
      </c>
      <c r="AW203" s="175">
        <f t="shared" si="87"/>
        <v>43262</v>
      </c>
      <c r="AX203" s="772">
        <f t="shared" si="88"/>
        <v>0.9642857142857143</v>
      </c>
      <c r="AY203" s="789">
        <f t="shared" si="89"/>
        <v>63.386564558704514</v>
      </c>
      <c r="AZ203" s="763">
        <f t="shared" si="93"/>
        <v>63.360587381564869</v>
      </c>
      <c r="BA203" s="647">
        <f t="shared" si="90"/>
        <v>1.017001725951227</v>
      </c>
      <c r="BB203" s="642">
        <v>43289</v>
      </c>
      <c r="BC203" s="11">
        <v>43289</v>
      </c>
      <c r="BD203" s="292">
        <f>[2]!FeuilCaduc*(1-Persistant)+Persistant</f>
        <v>1</v>
      </c>
      <c r="BE203" s="293">
        <f>[2]!CroissVégét</f>
        <v>0.75955291305401751</v>
      </c>
      <c r="BF203" s="842">
        <f>1+[2]!Salcycl*Ksac</f>
        <v>1.0974170627961288</v>
      </c>
      <c r="BH203" s="1105">
        <f t="shared" si="91"/>
        <v>1.3870777114760344E-3</v>
      </c>
      <c r="BI203" s="11">
        <v>44385</v>
      </c>
      <c r="BJ203" s="742">
        <v>8.3972464353729488E-4</v>
      </c>
      <c r="BK203" s="742">
        <v>1.0781728513607799E-3</v>
      </c>
      <c r="BL203" s="742">
        <v>1.3293989253185857E-3</v>
      </c>
      <c r="BM203" s="742">
        <v>1.6181162368114584E-3</v>
      </c>
      <c r="BN203" s="742">
        <v>2.079484167188526E-3</v>
      </c>
      <c r="BO203" s="743">
        <v>2.7994754843888212E-3</v>
      </c>
      <c r="BP203" s="742">
        <v>3.9775253858005928E-3</v>
      </c>
      <c r="BQ203" s="742">
        <v>6.0537916132853134E-3</v>
      </c>
      <c r="BR203" s="742">
        <v>9.9932500738715742E-3</v>
      </c>
      <c r="BS203" s="742">
        <v>1.6630527445818326E-2</v>
      </c>
      <c r="BT203" s="742">
        <v>2.538170947334787E-2</v>
      </c>
      <c r="BW203" s="1187">
        <f>'2018'!R\Max</f>
        <v>0</v>
      </c>
      <c r="BX203" s="1185">
        <f>'2019'!R\Max</f>
        <v>0.54879370485161882</v>
      </c>
      <c r="BY203" s="1185">
        <f>'2020'!R\Max</f>
        <v>0.99336187967210032</v>
      </c>
      <c r="BZ203" s="1185">
        <f>'2021'!R\Max</f>
        <v>0.86824501498202644</v>
      </c>
      <c r="CA203" s="1185">
        <f>'2022'!R\Max</f>
        <v>1.0170017259512267</v>
      </c>
      <c r="CB203" s="1185">
        <f>'2023'!R\Max</f>
        <v>1.017001725951227</v>
      </c>
      <c r="CC203" s="1185">
        <f>'2024'!R\Max</f>
        <v>1.017001725951227</v>
      </c>
      <c r="CD203" s="1185">
        <f>'2025'!R\Max</f>
        <v>1.017001725951227</v>
      </c>
      <c r="CE203" s="1185">
        <f>'2026'!R\Max</f>
        <v>1.017001725951227</v>
      </c>
      <c r="CF203" s="1186">
        <f>'2027'!R\Max</f>
        <v>1.017001725951227</v>
      </c>
    </row>
    <row r="204" spans="1:84" s="6" customFormat="1" ht="11.25" x14ac:dyDescent="0.2">
      <c r="A204" s="11">
        <v>43290</v>
      </c>
      <c r="B204" s="382">
        <f>'2023'!Maxi_hp</f>
        <v>63.337531421263037</v>
      </c>
      <c r="C204" s="85">
        <f>'2023'!An_max</f>
        <v>2023</v>
      </c>
      <c r="D204" s="1132"/>
      <c r="E204" s="771">
        <f>AA$13/10</f>
        <v>63.280799999999999</v>
      </c>
      <c r="F204" s="13">
        <f t="shared" si="92"/>
        <v>15</v>
      </c>
      <c r="G204" s="13">
        <f t="shared" si="76"/>
        <v>16</v>
      </c>
      <c r="H204" s="175">
        <f t="shared" si="77"/>
        <v>43290</v>
      </c>
      <c r="I204" s="772">
        <f t="shared" si="78"/>
        <v>0</v>
      </c>
      <c r="J204" s="763">
        <f t="shared" si="79"/>
        <v>63.280800001323222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P204" s="13">
        <f t="shared" si="80"/>
        <v>9</v>
      </c>
      <c r="AQ204" s="13">
        <f t="shared" si="81"/>
        <v>8</v>
      </c>
      <c r="AR204" s="175">
        <f t="shared" si="82"/>
        <v>43304</v>
      </c>
      <c r="AS204" s="772">
        <f t="shared" si="83"/>
        <v>0.5</v>
      </c>
      <c r="AT204" s="789">
        <f t="shared" si="84"/>
        <v>63.229100000113249</v>
      </c>
      <c r="AU204" s="13">
        <f t="shared" si="85"/>
        <v>9</v>
      </c>
      <c r="AV204" s="13">
        <f t="shared" si="86"/>
        <v>8</v>
      </c>
      <c r="AW204" s="175">
        <f t="shared" si="87"/>
        <v>43318</v>
      </c>
      <c r="AX204" s="772">
        <f t="shared" si="88"/>
        <v>1</v>
      </c>
      <c r="AY204" s="789">
        <f t="shared" si="89"/>
        <v>63.280799999833107</v>
      </c>
      <c r="AZ204" s="763">
        <f t="shared" si="93"/>
        <v>63.254949999973178</v>
      </c>
      <c r="BA204" s="647">
        <f t="shared" si="90"/>
        <v>1.0008965028877421</v>
      </c>
      <c r="BB204" s="642">
        <v>43290</v>
      </c>
      <c r="BC204" s="11">
        <v>43290</v>
      </c>
      <c r="BD204" s="292">
        <f>[2]!FeuilCaduc*(1-Persistant)+Persistant</f>
        <v>1</v>
      </c>
      <c r="BE204" s="293">
        <f>[2]!CroissVégét</f>
        <v>0.76698911930492164</v>
      </c>
      <c r="BF204" s="842">
        <f>1+[2]!Salcycl*Ksac</f>
        <v>1.0977213982609613</v>
      </c>
      <c r="BH204" s="1105">
        <f t="shared" si="91"/>
        <v>1.3533679787784973E-3</v>
      </c>
      <c r="BI204" s="11">
        <v>44386</v>
      </c>
      <c r="BJ204" s="742">
        <v>8.0941002862901777E-4</v>
      </c>
      <c r="BK204" s="742">
        <v>1.0444885902115835E-3</v>
      </c>
      <c r="BL204" s="742">
        <v>1.2946696200054218E-3</v>
      </c>
      <c r="BM204" s="742">
        <v>1.5884905108914532E-3</v>
      </c>
      <c r="BN204" s="742">
        <v>2.0781721453885832E-3</v>
      </c>
      <c r="BO204" s="743">
        <v>2.852608423597287E-3</v>
      </c>
      <c r="BP204" s="742">
        <v>4.1178037730338788E-3</v>
      </c>
      <c r="BQ204" s="742">
        <v>6.3256301319657184E-3</v>
      </c>
      <c r="BR204" s="742">
        <v>1.0461078587621901E-2</v>
      </c>
      <c r="BS204" s="742">
        <v>1.7252059922888981E-2</v>
      </c>
      <c r="BT204" s="742">
        <v>2.6083651953697089E-2</v>
      </c>
      <c r="BW204" s="1187">
        <f>'2018'!R\Max</f>
        <v>0</v>
      </c>
      <c r="BX204" s="1185">
        <f>'2019'!R\Max</f>
        <v>0.40544087642084553</v>
      </c>
      <c r="BY204" s="1185">
        <f>'2020'!R\Max</f>
        <v>0.967714710339038</v>
      </c>
      <c r="BZ204" s="1185">
        <f>'2021'!R\Max</f>
        <v>0.98212679345929776</v>
      </c>
      <c r="CA204" s="1185">
        <f>'2022'!R\Max</f>
        <v>1.0008965028877421</v>
      </c>
      <c r="CB204" s="1185">
        <f>'2023'!R\Max</f>
        <v>1.0008965028877421</v>
      </c>
      <c r="CC204" s="1185">
        <f>'2024'!R\Max</f>
        <v>1.0008965028877421</v>
      </c>
      <c r="CD204" s="1185">
        <f>'2025'!R\Max</f>
        <v>1.0008965028877421</v>
      </c>
      <c r="CE204" s="1185">
        <f>'2026'!R\Max</f>
        <v>1.0008965028877421</v>
      </c>
      <c r="CF204" s="1186">
        <f>'2027'!R\Max</f>
        <v>1.0008965028877421</v>
      </c>
    </row>
    <row r="205" spans="1:84" s="6" customFormat="1" ht="11.25" x14ac:dyDescent="0.2">
      <c r="A205" s="11">
        <v>43291</v>
      </c>
      <c r="B205" s="382">
        <f>'2023'!Maxi_hp</f>
        <v>63.097862001735528</v>
      </c>
      <c r="C205" s="85">
        <f>'2023'!An_max</f>
        <v>2019</v>
      </c>
      <c r="D205" s="1132"/>
      <c r="E205" s="709"/>
      <c r="F205" s="13">
        <f t="shared" si="92"/>
        <v>15</v>
      </c>
      <c r="G205" s="13">
        <f t="shared" si="76"/>
        <v>16</v>
      </c>
      <c r="H205" s="175">
        <f t="shared" si="77"/>
        <v>43290</v>
      </c>
      <c r="I205" s="772">
        <f t="shared" si="78"/>
        <v>7.1428571428571425E-2</v>
      </c>
      <c r="J205" s="763">
        <f t="shared" si="79"/>
        <v>63.171370846112914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P205" s="13">
        <f t="shared" si="80"/>
        <v>9</v>
      </c>
      <c r="AQ205" s="13">
        <f t="shared" si="81"/>
        <v>8</v>
      </c>
      <c r="AR205" s="175">
        <f t="shared" si="82"/>
        <v>43304</v>
      </c>
      <c r="AS205" s="772">
        <f t="shared" si="83"/>
        <v>0.4642857142857143</v>
      </c>
      <c r="AT205" s="789">
        <f t="shared" si="84"/>
        <v>63.12042448967695</v>
      </c>
      <c r="AU205" s="13">
        <f t="shared" si="85"/>
        <v>9</v>
      </c>
      <c r="AV205" s="13">
        <f t="shared" si="86"/>
        <v>8</v>
      </c>
      <c r="AW205" s="175">
        <f t="shared" si="87"/>
        <v>43318</v>
      </c>
      <c r="AX205" s="772">
        <f t="shared" si="88"/>
        <v>0.9642857142857143</v>
      </c>
      <c r="AY205" s="789">
        <f t="shared" si="89"/>
        <v>63.172506021867903</v>
      </c>
      <c r="AZ205" s="763">
        <f t="shared" si="93"/>
        <v>63.146465255772426</v>
      </c>
      <c r="BA205" s="647">
        <f t="shared" si="90"/>
        <v>0.99883635825227768</v>
      </c>
      <c r="BB205" s="642">
        <v>43291</v>
      </c>
      <c r="BC205" s="11">
        <v>43291</v>
      </c>
      <c r="BD205" s="292">
        <f>[2]!FeuilCaduc*(1-Persistant)+Persistant</f>
        <v>1</v>
      </c>
      <c r="BE205" s="293">
        <f>[2]!CroissVégét</f>
        <v>0.77426389460057909</v>
      </c>
      <c r="BF205" s="842">
        <f>1+[2]!Salcycl*Ksac</f>
        <v>1.0980008992322881</v>
      </c>
      <c r="BH205" s="1105">
        <f t="shared" si="91"/>
        <v>1.3184254502130641E-3</v>
      </c>
      <c r="BI205" s="11">
        <v>44387</v>
      </c>
      <c r="BJ205" s="742">
        <v>7.7689809420593173E-4</v>
      </c>
      <c r="BK205" s="742">
        <v>1.0088824073194377E-3</v>
      </c>
      <c r="BL205" s="742">
        <v>1.2584917093032796E-3</v>
      </c>
      <c r="BM205" s="742">
        <v>1.5584964371411381E-3</v>
      </c>
      <c r="BN205" s="742">
        <v>2.0797074595382496E-3</v>
      </c>
      <c r="BO205" s="743">
        <v>2.9137205923192373E-3</v>
      </c>
      <c r="BP205" s="742">
        <v>4.2734018854706903E-3</v>
      </c>
      <c r="BQ205" s="742">
        <v>6.619792759376554E-3</v>
      </c>
      <c r="BR205" s="742">
        <v>1.0956364614672316E-2</v>
      </c>
      <c r="BS205" s="742">
        <v>1.789175059925658E-2</v>
      </c>
      <c r="BT205" s="742">
        <v>2.6780820160745341E-2</v>
      </c>
      <c r="BW205" s="1187">
        <f>'2018'!R\Max</f>
        <v>0</v>
      </c>
      <c r="BX205" s="1185">
        <f>'2019'!R\Max</f>
        <v>0.99883635825227768</v>
      </c>
      <c r="BY205" s="1185">
        <f>'2020'!R\Max</f>
        <v>0.87547164841861869</v>
      </c>
      <c r="BZ205" s="1185">
        <f>'2021'!R\Max</f>
        <v>0.85672429272060091</v>
      </c>
      <c r="CA205" s="1185">
        <f>'2022'!R\Max</f>
        <v>0.99280783321926058</v>
      </c>
      <c r="CB205" s="1185">
        <f>'2023'!R\Max</f>
        <v>0.99280610272707248</v>
      </c>
      <c r="CC205" s="1185">
        <f>'2024'!R\Max</f>
        <v>0.99280371394564348</v>
      </c>
      <c r="CD205" s="1185">
        <f>'2025'!R\Max</f>
        <v>0.99281100072525952</v>
      </c>
      <c r="CE205" s="1185">
        <f>'2026'!R\Max</f>
        <v>0.99281056493007414</v>
      </c>
      <c r="CF205" s="1186">
        <f>'2027'!R\Max</f>
        <v>0.992809986329237</v>
      </c>
    </row>
    <row r="206" spans="1:84" s="6" customFormat="1" ht="11.25" x14ac:dyDescent="0.2">
      <c r="A206" s="11">
        <v>43292</v>
      </c>
      <c r="B206" s="382">
        <f>'2023'!Maxi_hp</f>
        <v>62.66471285413887</v>
      </c>
      <c r="C206" s="85">
        <f>'2023'!An_max</f>
        <v>2019</v>
      </c>
      <c r="D206" s="1132"/>
      <c r="E206" s="709"/>
      <c r="F206" s="13">
        <f t="shared" si="92"/>
        <v>15</v>
      </c>
      <c r="G206" s="13">
        <f t="shared" si="76"/>
        <v>16</v>
      </c>
      <c r="H206" s="175">
        <f t="shared" si="77"/>
        <v>43290</v>
      </c>
      <c r="I206" s="772">
        <f t="shared" si="78"/>
        <v>0.14285714285714285</v>
      </c>
      <c r="J206" s="763">
        <f t="shared" si="79"/>
        <v>63.057419825771021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P206" s="13">
        <f t="shared" si="80"/>
        <v>9</v>
      </c>
      <c r="AQ206" s="13">
        <f t="shared" si="81"/>
        <v>8</v>
      </c>
      <c r="AR206" s="175">
        <f t="shared" si="82"/>
        <v>43304</v>
      </c>
      <c r="AS206" s="772">
        <f t="shared" si="83"/>
        <v>0.42857142857142855</v>
      </c>
      <c r="AT206" s="789">
        <f t="shared" si="84"/>
        <v>63.008583673834799</v>
      </c>
      <c r="AU206" s="13">
        <f t="shared" si="85"/>
        <v>9</v>
      </c>
      <c r="AV206" s="13">
        <f t="shared" si="86"/>
        <v>8</v>
      </c>
      <c r="AW206" s="175">
        <f t="shared" si="87"/>
        <v>43318</v>
      </c>
      <c r="AX206" s="772">
        <f t="shared" si="88"/>
        <v>0.9285714285714286</v>
      </c>
      <c r="AY206" s="789">
        <f t="shared" si="89"/>
        <v>63.061753279928652</v>
      </c>
      <c r="AZ206" s="763">
        <f t="shared" si="93"/>
        <v>63.035168476881722</v>
      </c>
      <c r="BA206" s="647">
        <f t="shared" si="90"/>
        <v>0.99377223215416666</v>
      </c>
      <c r="BB206" s="642">
        <v>43292</v>
      </c>
      <c r="BC206" s="11">
        <v>43292</v>
      </c>
      <c r="BD206" s="292">
        <f>[2]!FeuilCaduc*(1-Persistant)+Persistant</f>
        <v>1</v>
      </c>
      <c r="BE206" s="293">
        <f>[2]!CroissVégét</f>
        <v>0.78137649671730769</v>
      </c>
      <c r="BF206" s="842">
        <f>1+[2]!Salcycl*Ksac</f>
        <v>1.0982566213801102</v>
      </c>
      <c r="BH206" s="1105">
        <f t="shared" si="91"/>
        <v>1.2846397640027276E-3</v>
      </c>
      <c r="BI206" s="11">
        <v>44388</v>
      </c>
      <c r="BJ206" s="742">
        <v>7.4294178447886165E-4</v>
      </c>
      <c r="BK206" s="742">
        <v>9.7241166106908008E-4</v>
      </c>
      <c r="BL206" s="742">
        <v>1.2229176868361997E-3</v>
      </c>
      <c r="BM206" s="742">
        <v>1.5318741224073439E-3</v>
      </c>
      <c r="BN206" s="742">
        <v>2.0905621691188242E-3</v>
      </c>
      <c r="BO206" s="743">
        <v>2.9918127946256079E-3</v>
      </c>
      <c r="BP206" s="742">
        <v>4.4551202064146206E-3</v>
      </c>
      <c r="BQ206" s="742">
        <v>6.9443210458595521E-3</v>
      </c>
      <c r="BR206" s="742">
        <v>1.1488535154422415E-2</v>
      </c>
      <c r="BS206" s="742">
        <v>1.8567872905810433E-2</v>
      </c>
      <c r="BT206" s="742">
        <v>2.7511325250595946E-2</v>
      </c>
      <c r="BW206" s="1187">
        <f>'2018'!R\Max</f>
        <v>0</v>
      </c>
      <c r="BX206" s="1185">
        <f>'2019'!R\Max</f>
        <v>0.99377223215416666</v>
      </c>
      <c r="BY206" s="1185">
        <f>'2020'!R\Max</f>
        <v>0.77786491225701349</v>
      </c>
      <c r="BZ206" s="1185">
        <f>'2021'!R\Max</f>
        <v>0.84195406555254593</v>
      </c>
      <c r="CA206" s="1185">
        <f>'2022'!R\Max</f>
        <v>0.96058759210926026</v>
      </c>
      <c r="CB206" s="1185">
        <f>'2023'!R\Max</f>
        <v>0.96057772742195957</v>
      </c>
      <c r="CC206" s="1185">
        <f>'2024'!R\Max</f>
        <v>0.96056426644829584</v>
      </c>
      <c r="CD206" s="1185">
        <f>'2025'!R\Max</f>
        <v>0.96060572304351155</v>
      </c>
      <c r="CE206" s="1185">
        <f>'2026'!R\Max</f>
        <v>0.96060326077789493</v>
      </c>
      <c r="CF206" s="1186">
        <f>'2027'!R\Max</f>
        <v>0.96059994732152576</v>
      </c>
    </row>
    <row r="207" spans="1:84" s="6" customFormat="1" ht="11.25" x14ac:dyDescent="0.2">
      <c r="A207" s="11">
        <v>43293</v>
      </c>
      <c r="B207" s="382">
        <f>'2023'!Maxi_hp</f>
        <v>63.499999412795624</v>
      </c>
      <c r="C207" s="85">
        <f>'2023'!An_max</f>
        <v>2019</v>
      </c>
      <c r="D207" s="1132"/>
      <c r="E207" s="709"/>
      <c r="F207" s="13">
        <f t="shared" si="92"/>
        <v>15</v>
      </c>
      <c r="G207" s="13">
        <f t="shared" ref="G207:G270" si="94">INT((MATCH($A207,x.2m)+1)/2)*2</f>
        <v>16</v>
      </c>
      <c r="H207" s="175">
        <f t="shared" ref="H207:H270" si="95">INDEX(x.2m,F207)</f>
        <v>43290</v>
      </c>
      <c r="I207" s="772">
        <f t="shared" ref="I207:I270" si="96">($A207-H207)/(INDEX(x.2m,G207)-H207)</f>
        <v>0.21428571428571427</v>
      </c>
      <c r="J207" s="763">
        <f t="shared" ref="J207:J270" si="97">((1-I207)*(INDEX(a.m,F207)*$A207*$A207+INDEX(b.m,F207)*$A207+INDEX(c.m,F207))+I207*(INDEX(a.m,G207)*$A207*$A207+INDEX(b.m,G207)*$A207+INDEX(c.m,G207)))/10</f>
        <v>62.939173033274713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P207" s="13">
        <f t="shared" ref="AP207:AP270" si="98">INT(MATCH($A207,x.2lg)/2)*2+1</f>
        <v>9</v>
      </c>
      <c r="AQ207" s="13">
        <f t="shared" ref="AQ207:AQ270" si="99">INT((MATCH($A207,x.2lg)+1)/2)*2</f>
        <v>8</v>
      </c>
      <c r="AR207" s="175">
        <f t="shared" ref="AR207:AR270" si="100">INDEX(x.2lg,AP207)</f>
        <v>43304</v>
      </c>
      <c r="AS207" s="772">
        <f t="shared" ref="AS207:AS270" si="101">($A207-AR207)/(INDEX(x.2lg,AQ207)-AR207)</f>
        <v>0.39285714285714285</v>
      </c>
      <c r="AT207" s="789">
        <f t="shared" ref="AT207:AT270" si="102">((1-AS207)*(INDEX(a.lg,AP207)*$A207*$A207+INDEX(b.lg,AP207)*$A207+INDEX(c.lg,AP207))+AS207*(INDEX(a.lg,AQ207)*$A207*$A207+INDEX(b.lg,AQ207)*$A207+INDEX(c.lg,AQ207)))/10</f>
        <v>62.893577551096676</v>
      </c>
      <c r="AU207" s="13">
        <f t="shared" ref="AU207:AU270" si="103">INT(MATCH($A207,x.2ld)/2)*2+1</f>
        <v>9</v>
      </c>
      <c r="AV207" s="13">
        <f t="shared" ref="AV207:AV270" si="104">INT((MATCH($A207,x.2ld)+1)/2)*2</f>
        <v>8</v>
      </c>
      <c r="AW207" s="175">
        <f t="shared" ref="AW207:AW270" si="105">INDEX(x.2ld,AU207)</f>
        <v>43318</v>
      </c>
      <c r="AX207" s="772">
        <f t="shared" ref="AX207:AX270" si="106">($A207-AW207)/(INDEX(x.2ld,AV207)-AW207)</f>
        <v>0.8928571428571429</v>
      </c>
      <c r="AY207" s="789">
        <f t="shared" ref="AY207:AY270" si="107">((1-AX207)*(INDEX(a.ld,AU207)*$A207*$A207+INDEX(b.ld,AU207)*$A207+INDEX(c.ld,AU207))+AX207*(INDEX(a.ld,AV207)*$A207*$A207+INDEX(b.ld,AV207)*$A207+INDEX(c.ld,AV207)))/10</f>
        <v>62.948456987818439</v>
      </c>
      <c r="AZ207" s="763">
        <f t="shared" si="93"/>
        <v>62.921017269457558</v>
      </c>
      <c r="BA207" s="647">
        <f t="shared" ref="BA207:BA270" si="108">+B207/J207</f>
        <v>1.0089106092834175</v>
      </c>
      <c r="BB207" s="642">
        <v>43293</v>
      </c>
      <c r="BC207" s="11">
        <v>43293</v>
      </c>
      <c r="BD207" s="292">
        <f>[2]!FeuilCaduc*(1-Persistant)+Persistant</f>
        <v>1</v>
      </c>
      <c r="BE207" s="293">
        <f>[2]!CroissVégét</f>
        <v>0.78832648381074411</v>
      </c>
      <c r="BF207" s="842">
        <f>1+[2]!Salcycl*Ksac</f>
        <v>1.0984896335062639</v>
      </c>
      <c r="BH207" s="1105">
        <f t="shared" ref="BH207:BH270" si="109">INDEX($BJ207:$BT207,,$BH$10)*(1-Ratini)+INDEX($BJ207:$BT207,,$BH$10+1)*Ratini</f>
        <v>1.2529723937897577E-3</v>
      </c>
      <c r="BI207" s="11">
        <v>44389</v>
      </c>
      <c r="BJ207" s="742">
        <v>7.0895802566598245E-4</v>
      </c>
      <c r="BK207" s="742">
        <v>9.3631016872026171E-4</v>
      </c>
      <c r="BL207" s="742">
        <v>1.1889662700407396E-3</v>
      </c>
      <c r="BM207" s="742">
        <v>1.5093557442133014E-3</v>
      </c>
      <c r="BN207" s="742">
        <v>2.1109819505201947E-3</v>
      </c>
      <c r="BO207" s="743">
        <v>3.0860394023077679E-3</v>
      </c>
      <c r="BP207" s="742">
        <v>4.6596467582994839E-3</v>
      </c>
      <c r="BQ207" s="742">
        <v>7.2908825267765766E-3</v>
      </c>
      <c r="BR207" s="742">
        <v>1.2040207420206735E-2</v>
      </c>
      <c r="BS207" s="742">
        <v>1.9258167578162743E-2</v>
      </c>
      <c r="BT207" s="742">
        <v>2.8253624573193494E-2</v>
      </c>
      <c r="BW207" s="1187">
        <f>'2018'!R\Max</f>
        <v>0</v>
      </c>
      <c r="BX207" s="1185">
        <f>'2019'!R\Max</f>
        <v>1.0089106092834175</v>
      </c>
      <c r="BY207" s="1185">
        <f>'2020'!R\Max</f>
        <v>0.7662014857191829</v>
      </c>
      <c r="BZ207" s="1185">
        <f>'2021'!R\Max</f>
        <v>0.23241440714210704</v>
      </c>
      <c r="CA207" s="1185">
        <f>'2022'!R\Max</f>
        <v>0.9645773870340868</v>
      </c>
      <c r="CB207" s="1185">
        <f>'2023'!R\Max</f>
        <v>0.96456783742014141</v>
      </c>
      <c r="CC207" s="1185">
        <f>'2024'!R\Max</f>
        <v>0.96455497079183061</v>
      </c>
      <c r="CD207" s="1185">
        <f>'2025'!R\Max</f>
        <v>0.96459508194027932</v>
      </c>
      <c r="CE207" s="1185">
        <f>'2026'!R\Max</f>
        <v>0.96459269975959261</v>
      </c>
      <c r="CF207" s="1186">
        <f>'2027'!R\Max</f>
        <v>0.96458945735466628</v>
      </c>
    </row>
    <row r="208" spans="1:84" s="6" customFormat="1" ht="11.25" x14ac:dyDescent="0.2">
      <c r="A208" s="11">
        <v>43294</v>
      </c>
      <c r="B208" s="382">
        <f>'2023'!Maxi_hp</f>
        <v>60.352705657987606</v>
      </c>
      <c r="C208" s="85">
        <f>'2023'!An_max</f>
        <v>2022</v>
      </c>
      <c r="D208" s="1132"/>
      <c r="E208" s="709"/>
      <c r="F208" s="13">
        <f t="shared" ref="F208:F271" si="110">INT(MATCH($A208,x.2m)/2)*2+1</f>
        <v>15</v>
      </c>
      <c r="G208" s="13">
        <f t="shared" si="94"/>
        <v>16</v>
      </c>
      <c r="H208" s="175">
        <f t="shared" si="95"/>
        <v>43290</v>
      </c>
      <c r="I208" s="772">
        <f t="shared" si="96"/>
        <v>0.2857142857142857</v>
      </c>
      <c r="J208" s="763">
        <f t="shared" si="97"/>
        <v>62.816856560217481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P208" s="13">
        <f t="shared" si="98"/>
        <v>9</v>
      </c>
      <c r="AQ208" s="13">
        <f t="shared" si="99"/>
        <v>8</v>
      </c>
      <c r="AR208" s="175">
        <f t="shared" si="100"/>
        <v>43304</v>
      </c>
      <c r="AS208" s="772">
        <f t="shared" si="101"/>
        <v>0.35714285714285715</v>
      </c>
      <c r="AT208" s="789">
        <f t="shared" si="102"/>
        <v>62.775406122606775</v>
      </c>
      <c r="AU208" s="13">
        <f t="shared" si="103"/>
        <v>9</v>
      </c>
      <c r="AV208" s="13">
        <f t="shared" si="104"/>
        <v>8</v>
      </c>
      <c r="AW208" s="175">
        <f t="shared" si="105"/>
        <v>43318</v>
      </c>
      <c r="AX208" s="772">
        <f t="shared" si="106"/>
        <v>0.8571428571428571</v>
      </c>
      <c r="AY208" s="789">
        <f t="shared" si="107"/>
        <v>62.83253236168197</v>
      </c>
      <c r="AZ208" s="763">
        <f t="shared" ref="AZ208:AZ271" si="111">(AY208+AT208)/2</f>
        <v>62.803969242144376</v>
      </c>
      <c r="BA208" s="647">
        <f t="shared" si="108"/>
        <v>0.96077245763057739</v>
      </c>
      <c r="BB208" s="642">
        <v>43294</v>
      </c>
      <c r="BC208" s="11">
        <v>43294</v>
      </c>
      <c r="BD208" s="292">
        <f>[2]!FeuilCaduc*(1-Persistant)+Persistant</f>
        <v>1</v>
      </c>
      <c r="BE208" s="293">
        <f>[2]!CroissVégét</f>
        <v>0.79511370224543498</v>
      </c>
      <c r="BF208" s="842">
        <f>1+[2]!Salcycl*Ksac</f>
        <v>1.0987010112883271</v>
      </c>
      <c r="BH208" s="1105">
        <f t="shared" si="109"/>
        <v>1.2234205186888499E-3</v>
      </c>
      <c r="BI208" s="11">
        <v>44390</v>
      </c>
      <c r="BJ208" s="742">
        <v>6.7494624778131288E-4</v>
      </c>
      <c r="BK208" s="742">
        <v>9.0057694432422086E-4</v>
      </c>
      <c r="BL208" s="742">
        <v>1.1566351424782439E-3</v>
      </c>
      <c r="BM208" s="742">
        <v>1.4909364610588905E-3</v>
      </c>
      <c r="BN208" s="742">
        <v>2.1409568856144132E-3</v>
      </c>
      <c r="BO208" s="743">
        <v>3.1963852242212535E-3</v>
      </c>
      <c r="BP208" s="742">
        <v>4.8869624347222069E-3</v>
      </c>
      <c r="BQ208" s="742">
        <v>7.659465029727159E-3</v>
      </c>
      <c r="BR208" s="742">
        <v>1.2611381587461478E-2</v>
      </c>
      <c r="BS208" s="742">
        <v>1.9962650089841678E-2</v>
      </c>
      <c r="BT208" s="742">
        <v>2.9007743687707074E-2</v>
      </c>
      <c r="BW208" s="1187">
        <f>'2018'!R\Max</f>
        <v>0</v>
      </c>
      <c r="BX208" s="1185">
        <f>'2019'!R\Max</f>
        <v>0.87208146446853707</v>
      </c>
      <c r="BY208" s="1185">
        <f>'2020'!R\Max</f>
        <v>0.59912882396576583</v>
      </c>
      <c r="BZ208" s="1185">
        <f>'2021'!R\Max</f>
        <v>0.51611539798734918</v>
      </c>
      <c r="CA208" s="1185">
        <f>'2022'!R\Max</f>
        <v>0.96077245763057739</v>
      </c>
      <c r="CB208" s="1185">
        <f>'2023'!R\Max</f>
        <v>0.96076118439640956</v>
      </c>
      <c r="CC208" s="1185">
        <f>'2024'!R\Max</f>
        <v>0.96074619999999844</v>
      </c>
      <c r="CD208" s="1185">
        <f>'2025'!R\Max</f>
        <v>0.96079358470437981</v>
      </c>
      <c r="CE208" s="1185">
        <f>'2026'!R\Max</f>
        <v>0.96079075459062246</v>
      </c>
      <c r="CF208" s="1186">
        <f>'2027'!R\Max</f>
        <v>0.96078686634230759</v>
      </c>
    </row>
    <row r="209" spans="1:84" s="6" customFormat="1" ht="11.25" x14ac:dyDescent="0.2">
      <c r="A209" s="11">
        <v>43295</v>
      </c>
      <c r="B209" s="382">
        <f>'2023'!Maxi_hp</f>
        <v>62.42092802890074</v>
      </c>
      <c r="C209" s="85">
        <f>'2023'!An_max</f>
        <v>2019</v>
      </c>
      <c r="D209" s="1132"/>
      <c r="E209" s="709"/>
      <c r="F209" s="13">
        <f t="shared" si="110"/>
        <v>15</v>
      </c>
      <c r="G209" s="13">
        <f t="shared" si="94"/>
        <v>16</v>
      </c>
      <c r="H209" s="175">
        <f t="shared" si="95"/>
        <v>43290</v>
      </c>
      <c r="I209" s="772">
        <f t="shared" si="96"/>
        <v>0.35714285714285715</v>
      </c>
      <c r="J209" s="763">
        <f t="shared" si="97"/>
        <v>62.690696501306114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P209" s="13">
        <f t="shared" si="98"/>
        <v>9</v>
      </c>
      <c r="AQ209" s="13">
        <f t="shared" si="99"/>
        <v>8</v>
      </c>
      <c r="AR209" s="175">
        <f t="shared" si="100"/>
        <v>43304</v>
      </c>
      <c r="AS209" s="772">
        <f t="shared" si="101"/>
        <v>0.32142857142857145</v>
      </c>
      <c r="AT209" s="789">
        <f t="shared" si="102"/>
        <v>62.654069388032497</v>
      </c>
      <c r="AU209" s="13">
        <f t="shared" si="103"/>
        <v>9</v>
      </c>
      <c r="AV209" s="13">
        <f t="shared" si="104"/>
        <v>8</v>
      </c>
      <c r="AW209" s="175">
        <f t="shared" si="105"/>
        <v>43318</v>
      </c>
      <c r="AX209" s="772">
        <f t="shared" si="106"/>
        <v>0.8214285714285714</v>
      </c>
      <c r="AY209" s="789">
        <f t="shared" si="107"/>
        <v>62.713894615814617</v>
      </c>
      <c r="AZ209" s="763">
        <f t="shared" si="111"/>
        <v>62.683982001923553</v>
      </c>
      <c r="BA209" s="647">
        <f t="shared" si="108"/>
        <v>0.99569683402066278</v>
      </c>
      <c r="BB209" s="642">
        <v>43295</v>
      </c>
      <c r="BC209" s="11">
        <v>43295</v>
      </c>
      <c r="BD209" s="292">
        <f>[2]!FeuilCaduc*(1-Persistant)+Persistant</f>
        <v>1</v>
      </c>
      <c r="BE209" s="293">
        <f>[2]!CroissVégét</f>
        <v>0.80173827384170082</v>
      </c>
      <c r="BF209" s="842">
        <f>1+[2]!Salcycl*Ksac</f>
        <v>1.0988918311731697</v>
      </c>
      <c r="BH209" s="1105">
        <f t="shared" si="109"/>
        <v>1.1959813832331451E-3</v>
      </c>
      <c r="BI209" s="11">
        <v>44391</v>
      </c>
      <c r="BJ209" s="742">
        <v>6.4090579696019878E-4</v>
      </c>
      <c r="BK209" s="742">
        <v>8.6521093953044611E-4</v>
      </c>
      <c r="BL209" s="742">
        <v>1.1259220144234213E-3</v>
      </c>
      <c r="BM209" s="742">
        <v>1.4766116518997623E-3</v>
      </c>
      <c r="BN209" s="742">
        <v>2.1804777461264142E-3</v>
      </c>
      <c r="BO209" s="743">
        <v>3.3228363774213047E-3</v>
      </c>
      <c r="BP209" s="742">
        <v>5.1370501513174427E-3</v>
      </c>
      <c r="BQ209" s="742">
        <v>8.0500586970530079E-3</v>
      </c>
      <c r="BR209" s="742">
        <v>1.3202060474870507E-2</v>
      </c>
      <c r="BS209" s="742">
        <v>2.068133853878219E-2</v>
      </c>
      <c r="BT209" s="742">
        <v>2.9773710747160544E-2</v>
      </c>
      <c r="BW209" s="1187">
        <f>'2018'!R\Max</f>
        <v>0</v>
      </c>
      <c r="BX209" s="1185">
        <f>'2019'!R\Max</f>
        <v>0.99569683402066278</v>
      </c>
      <c r="BY209" s="1185">
        <f>'2020'!R\Max</f>
        <v>0.97606392563686017</v>
      </c>
      <c r="BZ209" s="1185">
        <f>'2021'!R\Max</f>
        <v>0.54067603513312235</v>
      </c>
      <c r="CA209" s="1185">
        <f>'2022'!R\Max</f>
        <v>0.95079565509995889</v>
      </c>
      <c r="CB209" s="1185">
        <f>'2023'!R\Max</f>
        <v>0.95078071179467627</v>
      </c>
      <c r="CC209" s="1185">
        <f>'2024'!R\Max</f>
        <v>0.95076112863768758</v>
      </c>
      <c r="CD209" s="1185">
        <f>'2025'!R\Max</f>
        <v>0.95082405223449551</v>
      </c>
      <c r="CE209" s="1185">
        <f>'2026'!R\Max</f>
        <v>0.95082025513245061</v>
      </c>
      <c r="CF209" s="1186">
        <f>'2027'!R\Max</f>
        <v>0.95081499946827996</v>
      </c>
    </row>
    <row r="210" spans="1:84" s="6" customFormat="1" ht="11.25" x14ac:dyDescent="0.2">
      <c r="A210" s="11">
        <v>43296</v>
      </c>
      <c r="B210" s="382">
        <f>'2023'!Maxi_hp</f>
        <v>64.059383068495961</v>
      </c>
      <c r="C210" s="85">
        <f>'2023'!An_max</f>
        <v>2019</v>
      </c>
      <c r="D210" s="1132"/>
      <c r="E210" s="709"/>
      <c r="F210" s="13">
        <f t="shared" si="110"/>
        <v>15</v>
      </c>
      <c r="G210" s="13">
        <f t="shared" si="94"/>
        <v>16</v>
      </c>
      <c r="H210" s="175">
        <f t="shared" si="95"/>
        <v>43290</v>
      </c>
      <c r="I210" s="772">
        <f t="shared" si="96"/>
        <v>0.42857142857142855</v>
      </c>
      <c r="J210" s="763">
        <f t="shared" si="97"/>
        <v>62.560918951353855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P210" s="13">
        <f t="shared" si="98"/>
        <v>9</v>
      </c>
      <c r="AQ210" s="13">
        <f t="shared" si="99"/>
        <v>8</v>
      </c>
      <c r="AR210" s="175">
        <f t="shared" si="100"/>
        <v>43304</v>
      </c>
      <c r="AS210" s="772">
        <f t="shared" si="101"/>
        <v>0.2857142857142857</v>
      </c>
      <c r="AT210" s="789">
        <f t="shared" si="102"/>
        <v>62.529567346668671</v>
      </c>
      <c r="AU210" s="13">
        <f t="shared" si="103"/>
        <v>9</v>
      </c>
      <c r="AV210" s="13">
        <f t="shared" si="104"/>
        <v>8</v>
      </c>
      <c r="AW210" s="175">
        <f t="shared" si="105"/>
        <v>43318</v>
      </c>
      <c r="AX210" s="772">
        <f t="shared" si="106"/>
        <v>0.7857142857142857</v>
      </c>
      <c r="AY210" s="789">
        <f t="shared" si="107"/>
        <v>62.592458965203591</v>
      </c>
      <c r="AZ210" s="763">
        <f t="shared" si="111"/>
        <v>62.561013155936131</v>
      </c>
      <c r="BA210" s="647">
        <f t="shared" si="108"/>
        <v>1.0239520797050197</v>
      </c>
      <c r="BB210" s="642">
        <v>43296</v>
      </c>
      <c r="BC210" s="11">
        <v>43296</v>
      </c>
      <c r="BD210" s="292">
        <f>[2]!FeuilCaduc*(1-Persistant)+Persistant</f>
        <v>1</v>
      </c>
      <c r="BE210" s="293">
        <f>[2]!CroissVégét</f>
        <v>0.80820058265200556</v>
      </c>
      <c r="BF210" s="842">
        <f>1+[2]!Salcycl*Ksac</f>
        <v>1.0990631644615032</v>
      </c>
      <c r="BH210" s="1105">
        <f t="shared" si="109"/>
        <v>1.1706523096817244E-3</v>
      </c>
      <c r="BI210" s="11">
        <v>44392</v>
      </c>
      <c r="BJ210" s="742">
        <v>6.0683593510084323E-4</v>
      </c>
      <c r="BK210" s="742">
        <v>8.302110455524408E-4</v>
      </c>
      <c r="BL210" s="742">
        <v>1.0968246322347458E-3</v>
      </c>
      <c r="BM210" s="742">
        <v>1.46637694021968E-3</v>
      </c>
      <c r="BN210" s="742">
        <v>2.2295360501565793E-3</v>
      </c>
      <c r="BO210" s="743">
        <v>3.4653803828224184E-3</v>
      </c>
      <c r="BP210" s="742">
        <v>5.4098949813322006E-3</v>
      </c>
      <c r="BQ210" s="742">
        <v>8.4626561174499567E-3</v>
      </c>
      <c r="BR210" s="742">
        <v>1.381224966187823E-2</v>
      </c>
      <c r="BS210" s="742">
        <v>2.1414253733789829E-2</v>
      </c>
      <c r="BT210" s="742">
        <v>3.0551556570779886E-2</v>
      </c>
      <c r="BW210" s="1187">
        <f>'2018'!R\Max</f>
        <v>0</v>
      </c>
      <c r="BX210" s="1185">
        <f>'2019'!R\Max</f>
        <v>1.0239520797050197</v>
      </c>
      <c r="BY210" s="1185">
        <f>'2020'!R\Max</f>
        <v>0.8253522906944355</v>
      </c>
      <c r="BZ210" s="1185">
        <f>'2021'!R\Max</f>
        <v>0.64740586977544279</v>
      </c>
      <c r="CA210" s="1185">
        <f>'2022'!R\Max</f>
        <v>0.92079354915669209</v>
      </c>
      <c r="CB210" s="1185">
        <f>'2023'!R\Max</f>
        <v>0.92076872442193425</v>
      </c>
      <c r="CC210" s="1185">
        <f>'2024'!R\Max</f>
        <v>0.92073666333215565</v>
      </c>
      <c r="CD210" s="1185">
        <f>'2025'!R\Max</f>
        <v>0.92084148045061276</v>
      </c>
      <c r="CE210" s="1185">
        <f>'2026'!R\Max</f>
        <v>0.92083506617240807</v>
      </c>
      <c r="CF210" s="1186">
        <f>'2027'!R\Max</f>
        <v>0.92082613736064123</v>
      </c>
    </row>
    <row r="211" spans="1:84" s="6" customFormat="1" ht="11.25" x14ac:dyDescent="0.2">
      <c r="A211" s="11">
        <v>43297</v>
      </c>
      <c r="B211" s="382">
        <f>'2023'!Maxi_hp</f>
        <v>61.939106503544039</v>
      </c>
      <c r="C211" s="85">
        <f>'2023'!An_max</f>
        <v>2019</v>
      </c>
      <c r="D211" s="1132"/>
      <c r="E211" s="709"/>
      <c r="F211" s="13">
        <f t="shared" si="110"/>
        <v>15</v>
      </c>
      <c r="G211" s="13">
        <f t="shared" si="94"/>
        <v>16</v>
      </c>
      <c r="H211" s="175">
        <f t="shared" si="95"/>
        <v>43290</v>
      </c>
      <c r="I211" s="772">
        <f t="shared" si="96"/>
        <v>0.5</v>
      </c>
      <c r="J211" s="763">
        <f t="shared" si="97"/>
        <v>62.427750000357626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P211" s="13">
        <f t="shared" si="98"/>
        <v>9</v>
      </c>
      <c r="AQ211" s="13">
        <f t="shared" si="99"/>
        <v>8</v>
      </c>
      <c r="AR211" s="175">
        <f t="shared" si="100"/>
        <v>43304</v>
      </c>
      <c r="AS211" s="772">
        <f t="shared" si="101"/>
        <v>0.25</v>
      </c>
      <c r="AT211" s="789">
        <f t="shared" si="102"/>
        <v>62.401899999845774</v>
      </c>
      <c r="AU211" s="13">
        <f t="shared" si="103"/>
        <v>9</v>
      </c>
      <c r="AV211" s="13">
        <f t="shared" si="104"/>
        <v>8</v>
      </c>
      <c r="AW211" s="175">
        <f t="shared" si="105"/>
        <v>43318</v>
      </c>
      <c r="AX211" s="772">
        <f t="shared" si="106"/>
        <v>0.75</v>
      </c>
      <c r="AY211" s="789">
        <f t="shared" si="107"/>
        <v>62.46814062464982</v>
      </c>
      <c r="AZ211" s="763">
        <f t="shared" si="111"/>
        <v>62.435020312247801</v>
      </c>
      <c r="BA211" s="647">
        <f t="shared" si="108"/>
        <v>0.99217265564094836</v>
      </c>
      <c r="BB211" s="642">
        <v>43297</v>
      </c>
      <c r="BC211" s="11">
        <v>43297</v>
      </c>
      <c r="BD211" s="292">
        <f>[2]!FeuilCaduc*(1-Persistant)+Persistant</f>
        <v>1</v>
      </c>
      <c r="BE211" s="293">
        <f>[2]!CroissVégét</f>
        <v>0.81450126137468837</v>
      </c>
      <c r="BF211" s="842">
        <f>1+[2]!Salcycl*Ksac</f>
        <v>1.0992160716224411</v>
      </c>
      <c r="BH211" s="1105">
        <f t="shared" si="109"/>
        <v>1.147430710279366E-3</v>
      </c>
      <c r="BI211" s="11">
        <v>44393</v>
      </c>
      <c r="BJ211" s="742">
        <v>5.7273583947916695E-4</v>
      </c>
      <c r="BK211" s="742">
        <v>7.9557609509808499E-4</v>
      </c>
      <c r="BL211" s="742">
        <v>1.0693407876796429E-3</v>
      </c>
      <c r="BM211" s="742">
        <v>1.4602282180450094E-3</v>
      </c>
      <c r="BN211" s="742">
        <v>2.2881241186213023E-3</v>
      </c>
      <c r="BO211" s="743">
        <v>3.6240062607367056E-3</v>
      </c>
      <c r="BP211" s="742">
        <v>5.7054842910163319E-3</v>
      </c>
      <c r="BQ211" s="742">
        <v>8.8972524572915913E-3</v>
      </c>
      <c r="BR211" s="742">
        <v>1.4441957605727258E-2</v>
      </c>
      <c r="BS211" s="742">
        <v>2.2161419280248566E-2</v>
      </c>
      <c r="BT211" s="742">
        <v>3.1341314715236782E-2</v>
      </c>
      <c r="BW211" s="1187">
        <f>'2018'!R\Max</f>
        <v>0</v>
      </c>
      <c r="BX211" s="1185">
        <f>'2019'!R\Max</f>
        <v>0.99217265564094836</v>
      </c>
      <c r="BY211" s="1185">
        <f>'2020'!R\Max</f>
        <v>0.41623512801786433</v>
      </c>
      <c r="BZ211" s="1185">
        <f>'2021'!R\Max</f>
        <v>0.69903614350580168</v>
      </c>
      <c r="CA211" s="1185">
        <f>'2022'!R\Max</f>
        <v>0.9505728729395011</v>
      </c>
      <c r="CB211" s="1185">
        <f>'2023'!R\Max</f>
        <v>0.95055586482260357</v>
      </c>
      <c r="CC211" s="1185">
        <f>'2024'!R\Max</f>
        <v>0.9505342220589269</v>
      </c>
      <c r="CD211" s="1185">
        <f>'2025'!R\Max</f>
        <v>0.95060628698672633</v>
      </c>
      <c r="CE211" s="1185">
        <f>'2026'!R\Max</f>
        <v>0.9506018025682641</v>
      </c>
      <c r="CF211" s="1186">
        <f>'2027'!R\Max</f>
        <v>0.95059553405555086</v>
      </c>
    </row>
    <row r="212" spans="1:84" s="6" customFormat="1" ht="11.25" x14ac:dyDescent="0.2">
      <c r="A212" s="11">
        <v>43298</v>
      </c>
      <c r="B212" s="382">
        <f>'2023'!Maxi_hp</f>
        <v>61.436079600146336</v>
      </c>
      <c r="C212" s="85">
        <f>'2023'!An_max</f>
        <v>2021</v>
      </c>
      <c r="D212" s="1132"/>
      <c r="E212" s="709"/>
      <c r="F212" s="13">
        <f t="shared" si="110"/>
        <v>15</v>
      </c>
      <c r="G212" s="13">
        <f t="shared" si="94"/>
        <v>16</v>
      </c>
      <c r="H212" s="175">
        <f t="shared" si="95"/>
        <v>43290</v>
      </c>
      <c r="I212" s="772">
        <f t="shared" si="96"/>
        <v>0.5714285714285714</v>
      </c>
      <c r="J212" s="763">
        <f t="shared" si="97"/>
        <v>62.291415743742675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P212" s="13">
        <f t="shared" si="98"/>
        <v>9</v>
      </c>
      <c r="AQ212" s="13">
        <f t="shared" si="99"/>
        <v>8</v>
      </c>
      <c r="AR212" s="175">
        <f t="shared" si="100"/>
        <v>43304</v>
      </c>
      <c r="AS212" s="772">
        <f t="shared" si="101"/>
        <v>0.21428571428571427</v>
      </c>
      <c r="AT212" s="789">
        <f t="shared" si="102"/>
        <v>62.271067346871959</v>
      </c>
      <c r="AU212" s="13">
        <f t="shared" si="103"/>
        <v>9</v>
      </c>
      <c r="AV212" s="13">
        <f t="shared" si="104"/>
        <v>8</v>
      </c>
      <c r="AW212" s="175">
        <f t="shared" si="105"/>
        <v>43318</v>
      </c>
      <c r="AX212" s="772">
        <f t="shared" si="106"/>
        <v>0.7142857142857143</v>
      </c>
      <c r="AY212" s="789">
        <f t="shared" si="107"/>
        <v>62.340854810604029</v>
      </c>
      <c r="AZ212" s="763">
        <f t="shared" si="111"/>
        <v>62.305961078737994</v>
      </c>
      <c r="BA212" s="647">
        <f t="shared" si="108"/>
        <v>0.98626879589452487</v>
      </c>
      <c r="BB212" s="642">
        <v>43298</v>
      </c>
      <c r="BC212" s="11">
        <v>43298</v>
      </c>
      <c r="BD212" s="292">
        <f>[2]!FeuilCaduc*(1-Persistant)+Persistant</f>
        <v>1</v>
      </c>
      <c r="BE212" s="293">
        <f>[2]!CroissVégét</f>
        <v>0.82064117750784105</v>
      </c>
      <c r="BF212" s="842">
        <f>1+[2]!Salcycl*Ksac</f>
        <v>1.0993515968744156</v>
      </c>
      <c r="BH212" s="1105">
        <f t="shared" si="109"/>
        <v>1.1290569306302016E-3</v>
      </c>
      <c r="BI212" s="11">
        <v>44394</v>
      </c>
      <c r="BJ212" s="742">
        <v>5.3960009372752715E-4</v>
      </c>
      <c r="BK212" s="742">
        <v>7.6292754405257734E-4</v>
      </c>
      <c r="BL212" s="742">
        <v>1.0459896393947793E-3</v>
      </c>
      <c r="BM212" s="742">
        <v>1.4617918189520796E-3</v>
      </c>
      <c r="BN212" s="742">
        <v>2.3597432495131351E-3</v>
      </c>
      <c r="BO212" s="743">
        <v>3.8069529673071573E-3</v>
      </c>
      <c r="BP212" s="742">
        <v>6.0396264294327656E-3</v>
      </c>
      <c r="BQ212" s="742">
        <v>9.3965653975125671E-3</v>
      </c>
      <c r="BR212" s="742">
        <v>1.5168673795888406E-2</v>
      </c>
      <c r="BS212" s="742">
        <v>2.3051706068981038E-2</v>
      </c>
      <c r="BT212" s="742">
        <v>3.232457024291762E-2</v>
      </c>
      <c r="BW212" s="1187">
        <f>'2018'!R\Max</f>
        <v>0</v>
      </c>
      <c r="BX212" s="1185">
        <f>'2019'!R\Max</f>
        <v>0.87220049487382789</v>
      </c>
      <c r="BY212" s="1185">
        <f>'2020'!R\Max</f>
        <v>0.42124244506552483</v>
      </c>
      <c r="BZ212" s="1185">
        <f>'2021'!R\Max</f>
        <v>0.98626879589452487</v>
      </c>
      <c r="CA212" s="1185">
        <f>'2022'!R\Max</f>
        <v>0.93665070805643647</v>
      </c>
      <c r="CB212" s="1185">
        <f>'2023'!R\Max</f>
        <v>0.93662777835712263</v>
      </c>
      <c r="CC212" s="1185">
        <f>'2024'!R\Max</f>
        <v>0.93659896677194021</v>
      </c>
      <c r="CD212" s="1185">
        <f>'2025'!R\Max</f>
        <v>0.93669645157824444</v>
      </c>
      <c r="CE212" s="1185">
        <f>'2026'!R\Max</f>
        <v>0.93669029682081129</v>
      </c>
      <c r="CF212" s="1186">
        <f>'2027'!R\Max</f>
        <v>0.9366816657254402</v>
      </c>
    </row>
    <row r="213" spans="1:84" s="6" customFormat="1" ht="11.25" x14ac:dyDescent="0.2">
      <c r="A213" s="11">
        <v>43299</v>
      </c>
      <c r="B213" s="382">
        <f>'2023'!Maxi_hp</f>
        <v>58.678514973829415</v>
      </c>
      <c r="C213" s="85">
        <f>'2023'!An_max</f>
        <v>2022</v>
      </c>
      <c r="D213" s="1132"/>
      <c r="E213" s="709"/>
      <c r="F213" s="13">
        <f t="shared" si="110"/>
        <v>15</v>
      </c>
      <c r="G213" s="13">
        <f t="shared" si="94"/>
        <v>16</v>
      </c>
      <c r="H213" s="175">
        <f t="shared" si="95"/>
        <v>43290</v>
      </c>
      <c r="I213" s="772">
        <f t="shared" si="96"/>
        <v>0.6428571428571429</v>
      </c>
      <c r="J213" s="763">
        <f t="shared" si="97"/>
        <v>62.152142273820935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P213" s="13">
        <f t="shared" si="98"/>
        <v>9</v>
      </c>
      <c r="AQ213" s="13">
        <f t="shared" si="99"/>
        <v>8</v>
      </c>
      <c r="AR213" s="175">
        <f t="shared" si="100"/>
        <v>43304</v>
      </c>
      <c r="AS213" s="772">
        <f t="shared" si="101"/>
        <v>0.17857142857142858</v>
      </c>
      <c r="AT213" s="789">
        <f t="shared" si="102"/>
        <v>62.137069387800452</v>
      </c>
      <c r="AU213" s="13">
        <f t="shared" si="103"/>
        <v>9</v>
      </c>
      <c r="AV213" s="13">
        <f t="shared" si="104"/>
        <v>8</v>
      </c>
      <c r="AW213" s="175">
        <f t="shared" si="105"/>
        <v>43318</v>
      </c>
      <c r="AX213" s="772">
        <f t="shared" si="106"/>
        <v>0.6785714285714286</v>
      </c>
      <c r="AY213" s="789">
        <f t="shared" si="107"/>
        <v>62.210516736483463</v>
      </c>
      <c r="AZ213" s="763">
        <f t="shared" si="111"/>
        <v>62.173793062141954</v>
      </c>
      <c r="BA213" s="647">
        <f t="shared" si="108"/>
        <v>0.94411089991575969</v>
      </c>
      <c r="BB213" s="642">
        <v>43299</v>
      </c>
      <c r="BC213" s="11">
        <v>43299</v>
      </c>
      <c r="BD213" s="292">
        <f>[2]!FeuilCaduc*(1-Persistant)+Persistant</f>
        <v>1</v>
      </c>
      <c r="BE213" s="293">
        <f>[2]!CroissVégét</f>
        <v>0.82662141934042188</v>
      </c>
      <c r="BF213" s="842">
        <f>1+[2]!Salcycl*Ksac</f>
        <v>1.0994707630658054</v>
      </c>
      <c r="BH213" s="1105">
        <f t="shared" si="109"/>
        <v>1.1158351022065992E-3</v>
      </c>
      <c r="BI213" s="11">
        <v>44395</v>
      </c>
      <c r="BJ213" s="742">
        <v>5.0823834668108374E-4</v>
      </c>
      <c r="BK213" s="742">
        <v>7.329865966986842E-4</v>
      </c>
      <c r="BL213" s="742">
        <v>1.0272348436591236E-3</v>
      </c>
      <c r="BM213" s="742">
        <v>1.4707328807983316E-3</v>
      </c>
      <c r="BN213" s="742">
        <v>2.4413093751704997E-3</v>
      </c>
      <c r="BO213" s="743">
        <v>4.007054615868799E-3</v>
      </c>
      <c r="BP213" s="742">
        <v>6.4002180993634819E-3</v>
      </c>
      <c r="BQ213" s="742">
        <v>9.9464038639799496E-3</v>
      </c>
      <c r="BR213" s="742">
        <v>1.59819639253703E-2</v>
      </c>
      <c r="BS213" s="742">
        <v>2.4088713350728885E-2</v>
      </c>
      <c r="BT213" s="742">
        <v>3.3527043972322278E-2</v>
      </c>
      <c r="BW213" s="1187">
        <f>'2018'!R\Max</f>
        <v>0</v>
      </c>
      <c r="BX213" s="1185">
        <f>'2019'!R\Max</f>
        <v>0.71153656278429489</v>
      </c>
      <c r="BY213" s="1185">
        <f>'2020'!R\Max</f>
        <v>0.44311372142530081</v>
      </c>
      <c r="BZ213" s="1185">
        <f>'2021'!R\Max</f>
        <v>0.89309070926235778</v>
      </c>
      <c r="CA213" s="1185">
        <f>'2022'!R\Max</f>
        <v>0.94411089991575969</v>
      </c>
      <c r="CB213" s="1185">
        <f>'2023'!R\Max</f>
        <v>0.94408909683300768</v>
      </c>
      <c r="CC213" s="1185">
        <f>'2024'!R\Max</f>
        <v>0.94406196827535616</v>
      </c>
      <c r="CD213" s="1185">
        <f>'2025'!R\Max</f>
        <v>0.94415492816473046</v>
      </c>
      <c r="CE213" s="1185">
        <f>'2026'!R\Max</f>
        <v>0.94414899220457615</v>
      </c>
      <c r="CF213" s="1186">
        <f>'2027'!R\Max</f>
        <v>0.94414064845009149</v>
      </c>
    </row>
    <row r="214" spans="1:84" s="6" customFormat="1" ht="11.25" x14ac:dyDescent="0.2">
      <c r="A214" s="11">
        <v>43300</v>
      </c>
      <c r="B214" s="382">
        <f>'2023'!Maxi_hp</f>
        <v>60.900356316381583</v>
      </c>
      <c r="C214" s="85">
        <f>'2023'!An_max</f>
        <v>2020</v>
      </c>
      <c r="D214" s="1132"/>
      <c r="E214" s="709"/>
      <c r="F214" s="13">
        <f t="shared" si="110"/>
        <v>15</v>
      </c>
      <c r="G214" s="13">
        <f t="shared" si="94"/>
        <v>16</v>
      </c>
      <c r="H214" s="175">
        <f t="shared" si="95"/>
        <v>43290</v>
      </c>
      <c r="I214" s="772">
        <f t="shared" si="96"/>
        <v>0.7142857142857143</v>
      </c>
      <c r="J214" s="763">
        <f t="shared" si="97"/>
        <v>62.010155684660596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P214" s="13">
        <f t="shared" si="98"/>
        <v>9</v>
      </c>
      <c r="AQ214" s="13">
        <f t="shared" si="99"/>
        <v>8</v>
      </c>
      <c r="AR214" s="175">
        <f t="shared" si="100"/>
        <v>43304</v>
      </c>
      <c r="AS214" s="772">
        <f t="shared" si="101"/>
        <v>0.14285714285714285</v>
      </c>
      <c r="AT214" s="789">
        <f t="shared" si="102"/>
        <v>61.999906122365168</v>
      </c>
      <c r="AU214" s="13">
        <f t="shared" si="103"/>
        <v>9</v>
      </c>
      <c r="AV214" s="13">
        <f t="shared" si="104"/>
        <v>8</v>
      </c>
      <c r="AW214" s="175">
        <f t="shared" si="105"/>
        <v>43318</v>
      </c>
      <c r="AX214" s="772">
        <f t="shared" si="106"/>
        <v>0.6428571428571429</v>
      </c>
      <c r="AY214" s="789">
        <f t="shared" si="107"/>
        <v>62.077041618020402</v>
      </c>
      <c r="AZ214" s="763">
        <f t="shared" si="111"/>
        <v>62.038473870192789</v>
      </c>
      <c r="BA214" s="647">
        <f t="shared" si="108"/>
        <v>0.9821029417516276</v>
      </c>
      <c r="BB214" s="642">
        <v>43300</v>
      </c>
      <c r="BC214" s="11">
        <v>43300</v>
      </c>
      <c r="BD214" s="292">
        <f>[2]!FeuilCaduc*(1-Persistant)+Persistant</f>
        <v>1</v>
      </c>
      <c r="BE214" s="293">
        <f>[2]!CroissVégét</f>
        <v>0.83244328187154937</v>
      </c>
      <c r="BF214" s="842">
        <f>1+[2]!Salcycl*Ksac</f>
        <v>1.0995745668853525</v>
      </c>
      <c r="BH214" s="1105">
        <f t="shared" si="109"/>
        <v>1.1077601262037768E-3</v>
      </c>
      <c r="BI214" s="11">
        <v>44396</v>
      </c>
      <c r="BJ214" s="742">
        <v>4.7864780164698383E-4</v>
      </c>
      <c r="BK214" s="742">
        <v>7.0574970553174217E-4</v>
      </c>
      <c r="BL214" s="742">
        <v>1.01307158103936E-3</v>
      </c>
      <c r="BM214" s="742">
        <v>1.4870451857267989E-3</v>
      </c>
      <c r="BN214" s="742">
        <v>2.5328172953632245E-3</v>
      </c>
      <c r="BO214" s="743">
        <v>4.2243045900330518E-3</v>
      </c>
      <c r="BP214" s="742">
        <v>6.7872514091515644E-3</v>
      </c>
      <c r="BQ214" s="742">
        <v>1.0546745570312084E-2</v>
      </c>
      <c r="BR214" s="742">
        <v>1.6881783775595415E-2</v>
      </c>
      <c r="BS214" s="742">
        <v>2.5272350092808312E-2</v>
      </c>
      <c r="BT214" s="742">
        <v>3.4948583891539896E-2</v>
      </c>
      <c r="BW214" s="1187">
        <f>'2018'!R\Max</f>
        <v>0</v>
      </c>
      <c r="BX214" s="1185">
        <f>'2019'!R\Max</f>
        <v>0.97192822735707851</v>
      </c>
      <c r="BY214" s="1185">
        <f>'2020'!R\Max</f>
        <v>0.9821029417516276</v>
      </c>
      <c r="BZ214" s="1185">
        <f>'2021'!R\Max</f>
        <v>0.97676051218787574</v>
      </c>
      <c r="CA214" s="1185">
        <f>'2022'!R\Max</f>
        <v>0.76538248955239874</v>
      </c>
      <c r="CB214" s="1185">
        <f>'2023'!R\Max</f>
        <v>0.76530306082000177</v>
      </c>
      <c r="CC214" s="1185">
        <f>'2024'!R\Max</f>
        <v>0.76520497564207846</v>
      </c>
      <c r="CD214" s="1185">
        <f>'2025'!R\Max</f>
        <v>0.76554443743926426</v>
      </c>
      <c r="CE214" s="1185">
        <f>'2026'!R\Max</f>
        <v>0.76552256612560521</v>
      </c>
      <c r="CF214" s="1186">
        <f>'2027'!R\Max</f>
        <v>0.76549177247981015</v>
      </c>
    </row>
    <row r="215" spans="1:84" s="6" customFormat="1" ht="11.25" x14ac:dyDescent="0.2">
      <c r="A215" s="11">
        <v>43301</v>
      </c>
      <c r="B215" s="382">
        <f>'2023'!Maxi_hp</f>
        <v>59.452822712934505</v>
      </c>
      <c r="C215" s="85">
        <f>'2023'!An_max</f>
        <v>2020</v>
      </c>
      <c r="D215" s="1132"/>
      <c r="E215" s="709"/>
      <c r="F215" s="13">
        <f t="shared" si="110"/>
        <v>15</v>
      </c>
      <c r="G215" s="13">
        <f t="shared" si="94"/>
        <v>16</v>
      </c>
      <c r="H215" s="175">
        <f t="shared" si="95"/>
        <v>43290</v>
      </c>
      <c r="I215" s="772">
        <f t="shared" si="96"/>
        <v>0.7857142857142857</v>
      </c>
      <c r="J215" s="763">
        <f t="shared" si="97"/>
        <v>61.86568206985082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P215" s="13">
        <f t="shared" si="98"/>
        <v>9</v>
      </c>
      <c r="AQ215" s="13">
        <f t="shared" si="99"/>
        <v>8</v>
      </c>
      <c r="AR215" s="175">
        <f t="shared" si="100"/>
        <v>43304</v>
      </c>
      <c r="AS215" s="772">
        <f t="shared" si="101"/>
        <v>0.10714285714285714</v>
      </c>
      <c r="AT215" s="789">
        <f t="shared" si="102"/>
        <v>61.859577551151496</v>
      </c>
      <c r="AU215" s="13">
        <f t="shared" si="103"/>
        <v>9</v>
      </c>
      <c r="AV215" s="13">
        <f t="shared" si="104"/>
        <v>8</v>
      </c>
      <c r="AW215" s="175">
        <f t="shared" si="105"/>
        <v>43318</v>
      </c>
      <c r="AX215" s="772">
        <f t="shared" si="106"/>
        <v>0.6071428571428571</v>
      </c>
      <c r="AY215" s="789">
        <f t="shared" si="107"/>
        <v>61.940344670122229</v>
      </c>
      <c r="AZ215" s="763">
        <f t="shared" si="111"/>
        <v>61.899961110636866</v>
      </c>
      <c r="BA215" s="647">
        <f t="shared" si="108"/>
        <v>0.96099841986398826</v>
      </c>
      <c r="BB215" s="642">
        <v>43301</v>
      </c>
      <c r="BC215" s="11">
        <v>43301</v>
      </c>
      <c r="BD215" s="292">
        <f>[2]!FeuilCaduc*(1-Persistant)+Persistant</f>
        <v>1</v>
      </c>
      <c r="BE215" s="293">
        <f>[2]!CroissVégét</f>
        <v>0.83810825274241962</v>
      </c>
      <c r="BF215" s="842">
        <f>1+[2]!Salcycl*Ksac</f>
        <v>1.0996639744289312</v>
      </c>
      <c r="BH215" s="1105">
        <f t="shared" si="109"/>
        <v>1.1048273264664522E-3</v>
      </c>
      <c r="BI215" s="11">
        <v>44397</v>
      </c>
      <c r="BJ215" s="742">
        <v>4.5082574222846724E-4</v>
      </c>
      <c r="BK215" s="742">
        <v>6.8121348920480759E-4</v>
      </c>
      <c r="BL215" s="742">
        <v>1.0034953922386802E-3</v>
      </c>
      <c r="BM215" s="742">
        <v>1.5107231889324706E-3</v>
      </c>
      <c r="BN215" s="742">
        <v>2.6342628861699691E-3</v>
      </c>
      <c r="BO215" s="743">
        <v>4.4586982742398345E-3</v>
      </c>
      <c r="BP215" s="742">
        <v>7.2007216785552703E-3</v>
      </c>
      <c r="BQ215" s="742">
        <v>1.1197574027730561E-2</v>
      </c>
      <c r="BR215" s="742">
        <v>1.7868098749141758E-2</v>
      </c>
      <c r="BS215" s="742">
        <v>2.6602540739198221E-2</v>
      </c>
      <c r="BT215" s="742">
        <v>3.6589060270050607E-2</v>
      </c>
      <c r="BW215" s="1187">
        <f>'2018'!R\Max</f>
        <v>0</v>
      </c>
      <c r="BX215" s="1185">
        <f>'2019'!R\Max</f>
        <v>0.45372398852648094</v>
      </c>
      <c r="BY215" s="1185">
        <f>'2020'!R\Max</f>
        <v>0.96099841986398826</v>
      </c>
      <c r="BZ215" s="1185">
        <f>'2021'!R\Max</f>
        <v>0.77732414666483518</v>
      </c>
      <c r="CA215" s="1185">
        <f>'2022'!R\Max</f>
        <v>0.73602470903309691</v>
      </c>
      <c r="CB215" s="1185">
        <f>'2023'!R\Max</f>
        <v>0.73593263489339877</v>
      </c>
      <c r="CC215" s="1185">
        <f>'2024'!R\Max</f>
        <v>0.73581954195847643</v>
      </c>
      <c r="CD215" s="1185">
        <f>'2025'!R\Max</f>
        <v>0.73621376306790964</v>
      </c>
      <c r="CE215" s="1185">
        <f>'2026'!R\Max</f>
        <v>0.73618820085354775</v>
      </c>
      <c r="CF215" s="1186">
        <f>'2027'!R\Max</f>
        <v>0.73615216600356026</v>
      </c>
    </row>
    <row r="216" spans="1:84" s="6" customFormat="1" ht="11.25" x14ac:dyDescent="0.2">
      <c r="A216" s="11">
        <v>43302</v>
      </c>
      <c r="B216" s="382">
        <f>'2023'!Maxi_hp</f>
        <v>57.625511170704193</v>
      </c>
      <c r="C216" s="85">
        <f>'2023'!An_max</f>
        <v>2022</v>
      </c>
      <c r="D216" s="1132"/>
      <c r="E216" s="709"/>
      <c r="F216" s="13">
        <f t="shared" si="110"/>
        <v>15</v>
      </c>
      <c r="G216" s="13">
        <f t="shared" si="94"/>
        <v>16</v>
      </c>
      <c r="H216" s="175">
        <f t="shared" si="95"/>
        <v>43290</v>
      </c>
      <c r="I216" s="772">
        <f t="shared" si="96"/>
        <v>0.8571428571428571</v>
      </c>
      <c r="J216" s="763">
        <f t="shared" si="97"/>
        <v>61.718947521916462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P216" s="13">
        <f t="shared" si="98"/>
        <v>9</v>
      </c>
      <c r="AQ216" s="13">
        <f t="shared" si="99"/>
        <v>8</v>
      </c>
      <c r="AR216" s="175">
        <f t="shared" si="100"/>
        <v>43304</v>
      </c>
      <c r="AS216" s="772">
        <f t="shared" si="101"/>
        <v>7.1428571428571425E-2</v>
      </c>
      <c r="AT216" s="789">
        <f t="shared" si="102"/>
        <v>61.716083673414381</v>
      </c>
      <c r="AU216" s="13">
        <f t="shared" si="103"/>
        <v>9</v>
      </c>
      <c r="AV216" s="13">
        <f t="shared" si="104"/>
        <v>8</v>
      </c>
      <c r="AW216" s="175">
        <f t="shared" si="105"/>
        <v>43318</v>
      </c>
      <c r="AX216" s="772">
        <f t="shared" si="106"/>
        <v>0.5714285714285714</v>
      </c>
      <c r="AY216" s="789">
        <f t="shared" si="107"/>
        <v>61.800341107909162</v>
      </c>
      <c r="AZ216" s="763">
        <f t="shared" si="111"/>
        <v>61.758212390661768</v>
      </c>
      <c r="BA216" s="647">
        <f t="shared" si="108"/>
        <v>0.9336761802401331</v>
      </c>
      <c r="BB216" s="642">
        <v>43302</v>
      </c>
      <c r="BC216" s="11">
        <v>43302</v>
      </c>
      <c r="BD216" s="292">
        <f>[2]!FeuilCaduc*(1-Persistant)+Persistant</f>
        <v>1</v>
      </c>
      <c r="BE216" s="293">
        <f>[2]!CroissVégét</f>
        <v>0.84361799825853956</v>
      </c>
      <c r="BF216" s="842">
        <f>1+[2]!Salcycl*Ksac</f>
        <v>1.0997399171454867</v>
      </c>
      <c r="BH216" s="1105">
        <f t="shared" si="109"/>
        <v>1.1070324798355439E-3</v>
      </c>
      <c r="BI216" s="11">
        <v>44398</v>
      </c>
      <c r="BJ216" s="742">
        <v>4.2476954265070993E-4</v>
      </c>
      <c r="BK216" s="742">
        <v>6.5937474836769811E-4</v>
      </c>
      <c r="BL216" s="742">
        <v>9.9850220513878168E-4</v>
      </c>
      <c r="BM216" s="742">
        <v>1.5417620622463258E-3</v>
      </c>
      <c r="BN216" s="742">
        <v>2.7456431589921852E-3</v>
      </c>
      <c r="BO216" s="743">
        <v>4.7102331558026341E-3</v>
      </c>
      <c r="BP216" s="742">
        <v>7.6406275962795081E-3</v>
      </c>
      <c r="BQ216" s="742">
        <v>1.1898878845610569E-2</v>
      </c>
      <c r="BR216" s="742">
        <v>1.8940884384282649E-2</v>
      </c>
      <c r="BS216" s="742">
        <v>2.8079226081393436E-2</v>
      </c>
      <c r="BT216" s="742">
        <v>3.8448366958655021E-2</v>
      </c>
      <c r="BW216" s="1187">
        <f>'2018'!R\Max</f>
        <v>0</v>
      </c>
      <c r="BX216" s="1185">
        <f>'2019'!R\Max</f>
        <v>0.75804749124097448</v>
      </c>
      <c r="BY216" s="1185">
        <f>'2020'!R\Max</f>
        <v>0.77342864001265343</v>
      </c>
      <c r="BZ216" s="1185">
        <f>'2021'!R\Max</f>
        <v>0.81843044278003418</v>
      </c>
      <c r="CA216" s="1185">
        <f>'2022'!R\Max</f>
        <v>0.9336761802401331</v>
      </c>
      <c r="CB216" s="1185">
        <f>'2023'!R\Max</f>
        <v>0.93364472173384361</v>
      </c>
      <c r="CC216" s="1185">
        <f>'2024'!R\Max</f>
        <v>0.93360621249316067</v>
      </c>
      <c r="CD216" s="1185">
        <f>'2025'!R\Max</f>
        <v>0.93374106913970623</v>
      </c>
      <c r="CE216" s="1185">
        <f>'2026'!R\Max</f>
        <v>0.93373229015094217</v>
      </c>
      <c r="CF216" s="1186">
        <f>'2027'!R\Max</f>
        <v>0.93371990197660149</v>
      </c>
    </row>
    <row r="217" spans="1:84" s="6" customFormat="1" ht="11.25" x14ac:dyDescent="0.2">
      <c r="A217" s="11">
        <v>43303</v>
      </c>
      <c r="B217" s="382">
        <f>'2023'!Maxi_hp</f>
        <v>56.185831469090324</v>
      </c>
      <c r="C217" s="85">
        <f>'2023'!An_max</f>
        <v>2021</v>
      </c>
      <c r="D217" s="1132"/>
      <c r="E217" s="709"/>
      <c r="F217" s="13">
        <f t="shared" si="110"/>
        <v>15</v>
      </c>
      <c r="G217" s="13">
        <f t="shared" si="94"/>
        <v>16</v>
      </c>
      <c r="H217" s="175">
        <f t="shared" si="95"/>
        <v>43290</v>
      </c>
      <c r="I217" s="772">
        <f t="shared" si="96"/>
        <v>0.9285714285714286</v>
      </c>
      <c r="J217" s="763">
        <f t="shared" si="97"/>
        <v>61.570178133887893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P217" s="13">
        <f t="shared" si="98"/>
        <v>9</v>
      </c>
      <c r="AQ217" s="13">
        <f t="shared" si="99"/>
        <v>8</v>
      </c>
      <c r="AR217" s="175">
        <f t="shared" si="100"/>
        <v>43304</v>
      </c>
      <c r="AS217" s="772">
        <f t="shared" si="101"/>
        <v>3.5714285714285712E-2</v>
      </c>
      <c r="AT217" s="789">
        <f t="shared" si="102"/>
        <v>61.569424489898879</v>
      </c>
      <c r="AU217" s="13">
        <f t="shared" si="103"/>
        <v>9</v>
      </c>
      <c r="AV217" s="13">
        <f t="shared" si="104"/>
        <v>8</v>
      </c>
      <c r="AW217" s="175">
        <f t="shared" si="105"/>
        <v>43318</v>
      </c>
      <c r="AX217" s="772">
        <f t="shared" si="106"/>
        <v>0.5357142857142857</v>
      </c>
      <c r="AY217" s="789">
        <f t="shared" si="107"/>
        <v>61.656946146009226</v>
      </c>
      <c r="AZ217" s="763">
        <f t="shared" si="111"/>
        <v>61.613185317954049</v>
      </c>
      <c r="BA217" s="647">
        <f t="shared" si="108"/>
        <v>0.91254943825095003</v>
      </c>
      <c r="BB217" s="642">
        <v>43303</v>
      </c>
      <c r="BC217" s="11">
        <v>43303</v>
      </c>
      <c r="BD217" s="292">
        <f>[2]!FeuilCaduc*(1-Persistant)+Persistant</f>
        <v>1</v>
      </c>
      <c r="BE217" s="293">
        <f>[2]!CroissVégét</f>
        <v>0.84897434957309781</v>
      </c>
      <c r="BF217" s="842">
        <f>1+[2]!Salcycl*Ksac</f>
        <v>1.0998032881810564</v>
      </c>
      <c r="BH217" s="1105">
        <f t="shared" si="109"/>
        <v>1.1143718465014285E-3</v>
      </c>
      <c r="BI217" s="11">
        <v>44399</v>
      </c>
      <c r="BJ217" s="742">
        <v>4.0047667809054132E-4</v>
      </c>
      <c r="BK217" s="742">
        <v>6.4023048151109758E-4</v>
      </c>
      <c r="BL217" s="742">
        <v>9.9808836184813441E-4</v>
      </c>
      <c r="BM217" s="742">
        <v>1.5801577377270888E-3</v>
      </c>
      <c r="BN217" s="742">
        <v>2.866956319578793E-3</v>
      </c>
      <c r="BO217" s="743">
        <v>4.9789089269689146E-3</v>
      </c>
      <c r="BP217" s="742">
        <v>8.1069713775304714E-3</v>
      </c>
      <c r="BQ217" s="742">
        <v>1.2650656032066991E-2</v>
      </c>
      <c r="BR217" s="742">
        <v>2.0100126869586215E-2</v>
      </c>
      <c r="BS217" s="742">
        <v>2.9702364129353152E-2</v>
      </c>
      <c r="BT217" s="742">
        <v>4.0526422689543179E-2</v>
      </c>
      <c r="BW217" s="1187">
        <f>'2018'!R\Max</f>
        <v>0</v>
      </c>
      <c r="BX217" s="1185">
        <f>'2019'!R\Max</f>
        <v>0.86201000627002367</v>
      </c>
      <c r="BY217" s="1185">
        <f>'2020'!R\Max</f>
        <v>0.88880830473717343</v>
      </c>
      <c r="BZ217" s="1185">
        <f>'2021'!R\Max</f>
        <v>0.91254943825095003</v>
      </c>
      <c r="CA217" s="1185">
        <f>'2022'!R\Max</f>
        <v>0.70494231336064839</v>
      </c>
      <c r="CB217" s="1185">
        <f>'2023'!R\Max</f>
        <v>0.70482904754403053</v>
      </c>
      <c r="CC217" s="1185">
        <f>'2024'!R\Max</f>
        <v>0.70469073641977209</v>
      </c>
      <c r="CD217" s="1185">
        <f>'2025'!R\Max</f>
        <v>0.70517674453048129</v>
      </c>
      <c r="CE217" s="1185">
        <f>'2026'!R\Max</f>
        <v>0.70514500700600879</v>
      </c>
      <c r="CF217" s="1186">
        <f>'2027'!R\Max</f>
        <v>0.70510019181295247</v>
      </c>
    </row>
    <row r="218" spans="1:84" s="6" customFormat="1" ht="11.25" x14ac:dyDescent="0.2">
      <c r="A218" s="11">
        <v>43304</v>
      </c>
      <c r="B218" s="382">
        <f>'2023'!Maxi_hp</f>
        <v>56.993648476218958</v>
      </c>
      <c r="C218" s="85">
        <f>'2023'!An_max</f>
        <v>2019</v>
      </c>
      <c r="D218" s="1132"/>
      <c r="E218" s="771">
        <f>AB$13/10</f>
        <v>61.419600000000003</v>
      </c>
      <c r="F218" s="13">
        <f t="shared" si="110"/>
        <v>17</v>
      </c>
      <c r="G218" s="13">
        <f t="shared" si="94"/>
        <v>16</v>
      </c>
      <c r="H218" s="175">
        <f t="shared" si="95"/>
        <v>43318</v>
      </c>
      <c r="I218" s="772">
        <f t="shared" si="96"/>
        <v>1</v>
      </c>
      <c r="J218" s="763">
        <f t="shared" si="97"/>
        <v>61.419599999487403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P218" s="13">
        <f t="shared" si="98"/>
        <v>9</v>
      </c>
      <c r="AQ218" s="13">
        <f t="shared" si="99"/>
        <v>10</v>
      </c>
      <c r="AR218" s="175">
        <f t="shared" si="100"/>
        <v>43304</v>
      </c>
      <c r="AS218" s="772">
        <f t="shared" si="101"/>
        <v>0</v>
      </c>
      <c r="AT218" s="789">
        <f t="shared" si="102"/>
        <v>61.419599999859926</v>
      </c>
      <c r="AU218" s="13">
        <f t="shared" si="103"/>
        <v>9</v>
      </c>
      <c r="AV218" s="13">
        <f t="shared" si="104"/>
        <v>8</v>
      </c>
      <c r="AW218" s="175">
        <f t="shared" si="105"/>
        <v>43318</v>
      </c>
      <c r="AX218" s="772">
        <f t="shared" si="106"/>
        <v>0.5</v>
      </c>
      <c r="AY218" s="789">
        <f t="shared" si="107"/>
        <v>61.510074999369678</v>
      </c>
      <c r="AZ218" s="763">
        <f t="shared" si="111"/>
        <v>61.464837499614802</v>
      </c>
      <c r="BA218" s="647">
        <f t="shared" si="108"/>
        <v>0.92793910212203623</v>
      </c>
      <c r="BB218" s="642">
        <v>43304</v>
      </c>
      <c r="BC218" s="11">
        <v>43304</v>
      </c>
      <c r="BD218" s="292">
        <f>[2]!FeuilCaduc*(1-Persistant)+Persistant</f>
        <v>1</v>
      </c>
      <c r="BE218" s="293">
        <f>[2]!CroissVégét</f>
        <v>0.854179289095362</v>
      </c>
      <c r="BF218" s="842">
        <f>1+[2]!Salcycl*Ksac</f>
        <v>1.0998549391357413</v>
      </c>
      <c r="BH218" s="1105">
        <f t="shared" si="109"/>
        <v>1.1268422003818468E-3</v>
      </c>
      <c r="BI218" s="11">
        <v>44400</v>
      </c>
      <c r="BJ218" s="742">
        <v>3.7794473501501019E-4</v>
      </c>
      <c r="BK218" s="742">
        <v>6.2377790082481898E-4</v>
      </c>
      <c r="BL218" s="742">
        <v>1.0022506457723214E-3</v>
      </c>
      <c r="BM218" s="742">
        <v>1.6259069512879374E-3</v>
      </c>
      <c r="BN218" s="742">
        <v>2.9982018271144085E-3</v>
      </c>
      <c r="BO218" s="743">
        <v>5.264727587090891E-3</v>
      </c>
      <c r="BP218" s="742">
        <v>8.5997589217500711E-3</v>
      </c>
      <c r="BQ218" s="742">
        <v>1.3452908294820758E-2</v>
      </c>
      <c r="BR218" s="742">
        <v>2.1345823558959736E-2</v>
      </c>
      <c r="BS218" s="742">
        <v>3.1471930983106133E-2</v>
      </c>
      <c r="BT218" s="742">
        <v>4.2823172377259293E-2</v>
      </c>
      <c r="BW218" s="1187">
        <f>'2018'!R\Max</f>
        <v>0</v>
      </c>
      <c r="BX218" s="1185">
        <f>'2019'!R\Max</f>
        <v>0.92793910212203623</v>
      </c>
      <c r="BY218" s="1185">
        <f>'2020'!R\Max</f>
        <v>0.80999213000653369</v>
      </c>
      <c r="BZ218" s="1185">
        <f>'2021'!R\Max</f>
        <v>0.74899313083789887</v>
      </c>
      <c r="CA218" s="1185">
        <f>'2022'!R\Max</f>
        <v>0.88288546713906801</v>
      </c>
      <c r="CB218" s="1185">
        <f>'2023'!R\Max</f>
        <v>0.88282510320909546</v>
      </c>
      <c r="CC218" s="1185">
        <f>'2024'!R\Max</f>
        <v>0.88275145309947978</v>
      </c>
      <c r="CD218" s="1185">
        <f>'2025'!R\Max</f>
        <v>0.88301055316284027</v>
      </c>
      <c r="CE218" s="1185">
        <f>'2026'!R\Max</f>
        <v>0.88299361960165057</v>
      </c>
      <c r="CF218" s="1186">
        <f>'2027'!R\Max</f>
        <v>0.88296969172090012</v>
      </c>
    </row>
    <row r="219" spans="1:84" s="6" customFormat="1" ht="11.25" x14ac:dyDescent="0.2">
      <c r="A219" s="11">
        <v>43305</v>
      </c>
      <c r="B219" s="382">
        <f>'2023'!Maxi_hp</f>
        <v>57.250617661501515</v>
      </c>
      <c r="C219" s="85">
        <f>'2023'!An_max</f>
        <v>2019</v>
      </c>
      <c r="D219" s="1132"/>
      <c r="E219" s="709"/>
      <c r="F219" s="13">
        <f t="shared" si="110"/>
        <v>17</v>
      </c>
      <c r="G219" s="13">
        <f t="shared" si="94"/>
        <v>16</v>
      </c>
      <c r="H219" s="175">
        <f t="shared" si="95"/>
        <v>43318</v>
      </c>
      <c r="I219" s="772">
        <f t="shared" si="96"/>
        <v>0.9285714285714286</v>
      </c>
      <c r="J219" s="763">
        <f t="shared" si="97"/>
        <v>61.267363848031628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P219" s="13">
        <f t="shared" si="98"/>
        <v>9</v>
      </c>
      <c r="AQ219" s="13">
        <f t="shared" si="99"/>
        <v>10</v>
      </c>
      <c r="AR219" s="175">
        <f t="shared" si="100"/>
        <v>43304</v>
      </c>
      <c r="AS219" s="772">
        <f t="shared" si="101"/>
        <v>3.5714285714285712E-2</v>
      </c>
      <c r="AT219" s="789">
        <f t="shared" si="102"/>
        <v>61.267754801708676</v>
      </c>
      <c r="AU219" s="13">
        <f t="shared" si="103"/>
        <v>9</v>
      </c>
      <c r="AV219" s="13">
        <f t="shared" si="104"/>
        <v>8</v>
      </c>
      <c r="AW219" s="175">
        <f t="shared" si="105"/>
        <v>43318</v>
      </c>
      <c r="AX219" s="772">
        <f t="shared" si="106"/>
        <v>0.4642857142857143</v>
      </c>
      <c r="AY219" s="789">
        <f t="shared" si="107"/>
        <v>61.35964288461421</v>
      </c>
      <c r="AZ219" s="763">
        <f t="shared" si="111"/>
        <v>61.313698843161447</v>
      </c>
      <c r="BA219" s="647">
        <f t="shared" si="108"/>
        <v>0.93443905638745439</v>
      </c>
      <c r="BB219" s="642">
        <v>43305</v>
      </c>
      <c r="BC219" s="11">
        <v>43305</v>
      </c>
      <c r="BD219" s="292">
        <f>[2]!FeuilCaduc*(1-Persistant)+Persistant</f>
        <v>1</v>
      </c>
      <c r="BE219" s="293">
        <f>[2]!CroissVégét</f>
        <v>0.85923493718111654</v>
      </c>
      <c r="BF219" s="842">
        <f>1+[2]!Salcycl*Ksac</f>
        <v>1.0998956772443464</v>
      </c>
      <c r="BH219" s="1105">
        <f t="shared" si="109"/>
        <v>1.1444390113831819E-3</v>
      </c>
      <c r="BI219" s="11">
        <v>44401</v>
      </c>
      <c r="BJ219" s="742">
        <v>3.5717084473365051E-4</v>
      </c>
      <c r="BK219" s="742">
        <v>6.1001346296297174E-4</v>
      </c>
      <c r="BL219" s="742">
        <v>1.0109846760779691E-3</v>
      </c>
      <c r="BM219" s="742">
        <v>1.6790045749574389E-3</v>
      </c>
      <c r="BN219" s="742">
        <v>3.1393753836450587E-3</v>
      </c>
      <c r="BO219" s="743">
        <v>5.5676845537520397E-3</v>
      </c>
      <c r="BP219" s="742">
        <v>9.1189852444469553E-3</v>
      </c>
      <c r="BQ219" s="742">
        <v>1.4305622240461896E-2</v>
      </c>
      <c r="BR219" s="742">
        <v>2.2677946864940606E-2</v>
      </c>
      <c r="BS219" s="742">
        <v>3.3387867787552088E-2</v>
      </c>
      <c r="BT219" s="742">
        <v>4.5338515204202789E-2</v>
      </c>
      <c r="BW219" s="1187">
        <f>'2018'!R\Max</f>
        <v>0</v>
      </c>
      <c r="BX219" s="1185">
        <f>'2019'!R\Max</f>
        <v>0.93443905638745439</v>
      </c>
      <c r="BY219" s="1185">
        <f>'2020'!R\Max</f>
        <v>0.81520958345860495</v>
      </c>
      <c r="BZ219" s="1185">
        <f>'2021'!R\Max</f>
        <v>0.58280170102700901</v>
      </c>
      <c r="CA219" s="1185">
        <f>'2022'!R\Max</f>
        <v>0.93302772486461449</v>
      </c>
      <c r="CB219" s="1185">
        <f>'2023'!R\Max</f>
        <v>0.93298863001999022</v>
      </c>
      <c r="CC219" s="1185">
        <f>'2024'!R\Max</f>
        <v>0.93294088211163129</v>
      </c>
      <c r="CD219" s="1185">
        <f>'2025'!R\Max</f>
        <v>0.93310874193845617</v>
      </c>
      <c r="CE219" s="1185">
        <f>'2026'!R\Max</f>
        <v>0.93309777634968505</v>
      </c>
      <c r="CF219" s="1186">
        <f>'2027'!R\Max</f>
        <v>0.93308227217896333</v>
      </c>
    </row>
    <row r="220" spans="1:84" s="6" customFormat="1" ht="11.25" x14ac:dyDescent="0.2">
      <c r="A220" s="11">
        <v>43306</v>
      </c>
      <c r="B220" s="382">
        <f>'2023'!Maxi_hp</f>
        <v>58.935772550617891</v>
      </c>
      <c r="C220" s="85">
        <f>'2023'!An_max</f>
        <v>2020</v>
      </c>
      <c r="D220" s="1132"/>
      <c r="E220" s="709"/>
      <c r="F220" s="13">
        <f t="shared" si="110"/>
        <v>17</v>
      </c>
      <c r="G220" s="13">
        <f t="shared" si="94"/>
        <v>16</v>
      </c>
      <c r="H220" s="175">
        <f t="shared" si="95"/>
        <v>43318</v>
      </c>
      <c r="I220" s="772">
        <f t="shared" si="96"/>
        <v>0.8571428571428571</v>
      </c>
      <c r="J220" s="763">
        <f t="shared" si="97"/>
        <v>61.113318950044253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P220" s="13">
        <f t="shared" si="98"/>
        <v>9</v>
      </c>
      <c r="AQ220" s="13">
        <f t="shared" si="99"/>
        <v>10</v>
      </c>
      <c r="AR220" s="175">
        <f t="shared" si="100"/>
        <v>43304</v>
      </c>
      <c r="AS220" s="772">
        <f t="shared" si="101"/>
        <v>7.1428571428571425E-2</v>
      </c>
      <c r="AT220" s="789">
        <f t="shared" si="102"/>
        <v>61.11486392135599</v>
      </c>
      <c r="AU220" s="13">
        <f t="shared" si="103"/>
        <v>9</v>
      </c>
      <c r="AV220" s="13">
        <f t="shared" si="104"/>
        <v>8</v>
      </c>
      <c r="AW220" s="175">
        <f t="shared" si="105"/>
        <v>43318</v>
      </c>
      <c r="AX220" s="772">
        <f t="shared" si="106"/>
        <v>0.42857142857142855</v>
      </c>
      <c r="AY220" s="789">
        <f t="shared" si="107"/>
        <v>61.205565014109013</v>
      </c>
      <c r="AZ220" s="763">
        <f t="shared" si="111"/>
        <v>61.160214467732501</v>
      </c>
      <c r="BA220" s="647">
        <f t="shared" si="108"/>
        <v>0.9643687098518352</v>
      </c>
      <c r="BB220" s="642">
        <v>43306</v>
      </c>
      <c r="BC220" s="11">
        <v>43306</v>
      </c>
      <c r="BD220" s="292">
        <f>[2]!FeuilCaduc*(1-Persistant)+Persistant</f>
        <v>1</v>
      </c>
      <c r="BE220" s="293">
        <f>[2]!CroissVégét</f>
        <v>0.86414353915538655</v>
      </c>
      <c r="BF220" s="842">
        <f>1+[2]!Salcycl*Ksac</f>
        <v>1.0999262629872408</v>
      </c>
      <c r="BH220" s="1105">
        <f t="shared" si="109"/>
        <v>1.169388321002334E-3</v>
      </c>
      <c r="BI220" s="11">
        <v>44402</v>
      </c>
      <c r="BJ220" s="742">
        <v>3.3850110490189853E-4</v>
      </c>
      <c r="BK220" s="742">
        <v>5.998860254417314E-4</v>
      </c>
      <c r="BL220" s="742">
        <v>1.0259140872776417E-3</v>
      </c>
      <c r="BM220" s="742">
        <v>1.7440896556125494E-3</v>
      </c>
      <c r="BN220" s="742">
        <v>3.2999306045061569E-3</v>
      </c>
      <c r="BO220" s="743">
        <v>5.9070168539420579E-3</v>
      </c>
      <c r="BP220" s="742">
        <v>9.7027694906927781E-3</v>
      </c>
      <c r="BQ220" s="742">
        <v>1.5277742753604532E-2</v>
      </c>
      <c r="BR220" s="742">
        <v>2.4185142760772341E-2</v>
      </c>
      <c r="BS220" s="742">
        <v>3.5568807907819258E-2</v>
      </c>
      <c r="BT220" s="742">
        <v>4.822879550790822E-2</v>
      </c>
      <c r="BW220" s="1187">
        <f>'2018'!R\Max</f>
        <v>0</v>
      </c>
      <c r="BX220" s="1185">
        <f>'2019'!R\Max</f>
        <v>0.93527340668123404</v>
      </c>
      <c r="BY220" s="1185">
        <f>'2020'!R\Max</f>
        <v>0.9643687098518352</v>
      </c>
      <c r="BZ220" s="1185">
        <f>'2021'!R\Max</f>
        <v>0.6319125314641012</v>
      </c>
      <c r="CA220" s="1185">
        <f>'2022'!R\Max</f>
        <v>0.56496655005183816</v>
      </c>
      <c r="CB220" s="1185">
        <f>'2023'!R\Max</f>
        <v>0.56480100418403412</v>
      </c>
      <c r="CC220" s="1185">
        <f>'2024'!R\Max</f>
        <v>0.56459817386078637</v>
      </c>
      <c r="CD220" s="1185">
        <f>'2025'!R\Max</f>
        <v>0.5653091127758193</v>
      </c>
      <c r="CE220" s="1185">
        <f>'2026'!R\Max</f>
        <v>0.56526277860148377</v>
      </c>
      <c r="CF220" s="1186">
        <f>'2027'!R\Max</f>
        <v>0.56519723889785523</v>
      </c>
    </row>
    <row r="221" spans="1:84" s="6" customFormat="1" ht="11.25" x14ac:dyDescent="0.2">
      <c r="A221" s="11">
        <v>43307</v>
      </c>
      <c r="B221" s="382">
        <f>'2023'!Maxi_hp</f>
        <v>58.480876245023246</v>
      </c>
      <c r="C221" s="85">
        <f>'2023'!An_max</f>
        <v>2022</v>
      </c>
      <c r="D221" s="1132"/>
      <c r="E221" s="709"/>
      <c r="F221" s="13">
        <f t="shared" si="110"/>
        <v>17</v>
      </c>
      <c r="G221" s="13">
        <f t="shared" si="94"/>
        <v>16</v>
      </c>
      <c r="H221" s="175">
        <f t="shared" si="95"/>
        <v>43318</v>
      </c>
      <c r="I221" s="772">
        <f t="shared" si="96"/>
        <v>0.7857142857142857</v>
      </c>
      <c r="J221" s="763">
        <f t="shared" si="97"/>
        <v>60.957239212707748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P221" s="13">
        <f t="shared" si="98"/>
        <v>9</v>
      </c>
      <c r="AQ221" s="13">
        <f t="shared" si="99"/>
        <v>10</v>
      </c>
      <c r="AR221" s="175">
        <f t="shared" si="100"/>
        <v>43304</v>
      </c>
      <c r="AS221" s="772">
        <f t="shared" si="101"/>
        <v>0.10714285714285714</v>
      </c>
      <c r="AT221" s="789">
        <f t="shared" si="102"/>
        <v>60.96067300513387</v>
      </c>
      <c r="AU221" s="13">
        <f t="shared" si="103"/>
        <v>9</v>
      </c>
      <c r="AV221" s="13">
        <f t="shared" si="104"/>
        <v>8</v>
      </c>
      <c r="AW221" s="175">
        <f t="shared" si="105"/>
        <v>43318</v>
      </c>
      <c r="AX221" s="772">
        <f t="shared" si="106"/>
        <v>0.39285714285714285</v>
      </c>
      <c r="AY221" s="789">
        <f t="shared" si="107"/>
        <v>61.047756605595353</v>
      </c>
      <c r="AZ221" s="763">
        <f t="shared" si="111"/>
        <v>61.004214805364612</v>
      </c>
      <c r="BA221" s="647">
        <f t="shared" si="108"/>
        <v>0.95937540807838528</v>
      </c>
      <c r="BB221" s="642">
        <v>43307</v>
      </c>
      <c r="BC221" s="11">
        <v>43307</v>
      </c>
      <c r="BD221" s="292">
        <f>[2]!FeuilCaduc*(1-Persistant)+Persistant</f>
        <v>1</v>
      </c>
      <c r="BE221" s="293">
        <f>[2]!CroissVégét</f>
        <v>0.86890745271110437</v>
      </c>
      <c r="BF221" s="842">
        <f>1+[2]!Salcycl*Ksac</f>
        <v>1.099947408133769</v>
      </c>
      <c r="BH221" s="1105">
        <f t="shared" si="109"/>
        <v>1.1993090266366126E-3</v>
      </c>
      <c r="BI221" s="11">
        <v>44403</v>
      </c>
      <c r="BJ221" s="742">
        <v>3.2118627634327519E-4</v>
      </c>
      <c r="BK221" s="742">
        <v>5.9234231980327733E-4</v>
      </c>
      <c r="BL221" s="742">
        <v>1.044993934344473E-3</v>
      </c>
      <c r="BM221" s="742">
        <v>1.8174345756530703E-3</v>
      </c>
      <c r="BN221" s="742">
        <v>3.4734164854546678E-3</v>
      </c>
      <c r="BO221" s="743">
        <v>6.2737473562256068E-3</v>
      </c>
      <c r="BP221" s="742">
        <v>1.0340327046862583E-2</v>
      </c>
      <c r="BQ221" s="742">
        <v>1.6361203779359203E-2</v>
      </c>
      <c r="BR221" s="742">
        <v>2.5857949217031814E-2</v>
      </c>
      <c r="BS221" s="742">
        <v>3.7996468220472382E-2</v>
      </c>
      <c r="BT221" s="742">
        <v>5.1455974216567515E-2</v>
      </c>
      <c r="BW221" s="1187">
        <f>'2018'!R\Max</f>
        <v>0</v>
      </c>
      <c r="BX221" s="1185">
        <f>'2019'!R\Max</f>
        <v>0.4426003879824561</v>
      </c>
      <c r="BY221" s="1185">
        <f>'2020'!R\Max</f>
        <v>0.95576450275556191</v>
      </c>
      <c r="BZ221" s="1185">
        <f>'2021'!R\Max</f>
        <v>0.59739462904254692</v>
      </c>
      <c r="CA221" s="1185">
        <f>'2022'!R\Max</f>
        <v>0.95937540807838528</v>
      </c>
      <c r="CB221" s="1185">
        <f>'2023'!R\Max</f>
        <v>0.95934702766712532</v>
      </c>
      <c r="CC221" s="1185">
        <f>'2024'!R\Max</f>
        <v>0.9593120762383518</v>
      </c>
      <c r="CD221" s="1185">
        <f>'2025'!R\Max</f>
        <v>0.95943378711921679</v>
      </c>
      <c r="CE221" s="1185">
        <f>'2026'!R\Max</f>
        <v>0.95942591608285233</v>
      </c>
      <c r="CF221" s="1186">
        <f>'2027'!R\Max</f>
        <v>0.95941476919235247</v>
      </c>
    </row>
    <row r="222" spans="1:84" s="6" customFormat="1" ht="11.25" x14ac:dyDescent="0.2">
      <c r="A222" s="11">
        <v>43308</v>
      </c>
      <c r="B222" s="382">
        <f>'2023'!Maxi_hp</f>
        <v>61.56989037067234</v>
      </c>
      <c r="C222" s="85">
        <f>'2023'!An_max</f>
        <v>2023</v>
      </c>
      <c r="D222" s="1132"/>
      <c r="E222" s="709"/>
      <c r="F222" s="13">
        <f t="shared" si="110"/>
        <v>17</v>
      </c>
      <c r="G222" s="13">
        <f t="shared" si="94"/>
        <v>16</v>
      </c>
      <c r="H222" s="175">
        <f t="shared" si="95"/>
        <v>43318</v>
      </c>
      <c r="I222" s="772">
        <f t="shared" si="96"/>
        <v>0.7142857142857143</v>
      </c>
      <c r="J222" s="763">
        <f t="shared" si="97"/>
        <v>60.798898542140208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P222" s="13">
        <f t="shared" si="98"/>
        <v>9</v>
      </c>
      <c r="AQ222" s="13">
        <f t="shared" si="99"/>
        <v>10</v>
      </c>
      <c r="AR222" s="175">
        <f t="shared" si="100"/>
        <v>43304</v>
      </c>
      <c r="AS222" s="772">
        <f t="shared" si="101"/>
        <v>0.14285714285714285</v>
      </c>
      <c r="AT222" s="789">
        <f t="shared" si="102"/>
        <v>60.804927696713378</v>
      </c>
      <c r="AU222" s="13">
        <f t="shared" si="103"/>
        <v>9</v>
      </c>
      <c r="AV222" s="13">
        <f t="shared" si="104"/>
        <v>8</v>
      </c>
      <c r="AW222" s="175">
        <f t="shared" si="105"/>
        <v>43318</v>
      </c>
      <c r="AX222" s="772">
        <f t="shared" si="106"/>
        <v>0.35714285714285715</v>
      </c>
      <c r="AY222" s="789">
        <f t="shared" si="107"/>
        <v>60.886132871758718</v>
      </c>
      <c r="AZ222" s="763">
        <f t="shared" si="111"/>
        <v>60.845530284236048</v>
      </c>
      <c r="BA222" s="647">
        <f t="shared" si="108"/>
        <v>1.0126810163838371</v>
      </c>
      <c r="BB222" s="642">
        <v>43308</v>
      </c>
      <c r="BC222" s="11">
        <v>43308</v>
      </c>
      <c r="BD222" s="292">
        <f>[2]!FeuilCaduc*(1-Persistant)+Persistant</f>
        <v>1</v>
      </c>
      <c r="BE222" s="293">
        <f>[2]!CroissVégét</f>
        <v>0.87352913572103608</v>
      </c>
      <c r="BF222" s="842">
        <f>1+[2]!Salcycl*Ksac</f>
        <v>1.0999597742164056</v>
      </c>
      <c r="BH222" s="1105">
        <f t="shared" si="109"/>
        <v>1.2341987757079483E-3</v>
      </c>
      <c r="BI222" s="11">
        <v>44404</v>
      </c>
      <c r="BJ222" s="742">
        <v>3.0522466638891127E-4</v>
      </c>
      <c r="BK222" s="742">
        <v>5.8738017748106812E-4</v>
      </c>
      <c r="BL222" s="742">
        <v>1.0682219964642269E-3</v>
      </c>
      <c r="BM222" s="742">
        <v>1.8990364547068588E-3</v>
      </c>
      <c r="BN222" s="742">
        <v>3.6598307595644129E-3</v>
      </c>
      <c r="BO222" s="743">
        <v>6.6678715389531769E-3</v>
      </c>
      <c r="BP222" s="742">
        <v>1.1031646215555279E-2</v>
      </c>
      <c r="BQ222" s="742">
        <v>1.7555972787854687E-2</v>
      </c>
      <c r="BR222" s="742">
        <v>2.7696319935660522E-2</v>
      </c>
      <c r="BS222" s="742">
        <v>4.0670777242219368E-2</v>
      </c>
      <c r="BT222" s="742">
        <v>5.5019950213408983E-2</v>
      </c>
      <c r="BW222" s="1187">
        <f>'2018'!R\Max</f>
        <v>0</v>
      </c>
      <c r="BX222" s="1185">
        <f>'2019'!R\Max</f>
        <v>0.22013738050269113</v>
      </c>
      <c r="BY222" s="1185">
        <f>'2020'!R\Max</f>
        <v>0.78531315708132454</v>
      </c>
      <c r="BZ222" s="1185">
        <f>'2021'!R\Max</f>
        <v>0.83074973526685725</v>
      </c>
      <c r="CA222" s="1185">
        <f>'2022'!R\Max</f>
        <v>1.0126810163838371</v>
      </c>
      <c r="CB222" s="1185">
        <f>'2023'!R\Max</f>
        <v>1.0126810163838371</v>
      </c>
      <c r="CC222" s="1185">
        <f>'2024'!R\Max</f>
        <v>1.0126810163838371</v>
      </c>
      <c r="CD222" s="1185">
        <f>'2025'!R\Max</f>
        <v>1.0126810163838371</v>
      </c>
      <c r="CE222" s="1185">
        <f>'2026'!R\Max</f>
        <v>1.0126810163838371</v>
      </c>
      <c r="CF222" s="1186">
        <f>'2027'!R\Max</f>
        <v>1.0126810163838371</v>
      </c>
    </row>
    <row r="223" spans="1:84" s="6" customFormat="1" ht="11.25" x14ac:dyDescent="0.2">
      <c r="A223" s="11">
        <v>43309</v>
      </c>
      <c r="B223" s="382">
        <f>'2023'!Maxi_hp</f>
        <v>61.483978261170357</v>
      </c>
      <c r="C223" s="85">
        <f>'2023'!An_max</f>
        <v>2019</v>
      </c>
      <c r="D223" s="1132"/>
      <c r="E223" s="709"/>
      <c r="F223" s="13">
        <f t="shared" si="110"/>
        <v>17</v>
      </c>
      <c r="G223" s="13">
        <f t="shared" si="94"/>
        <v>16</v>
      </c>
      <c r="H223" s="175">
        <f t="shared" si="95"/>
        <v>43318</v>
      </c>
      <c r="I223" s="772">
        <f t="shared" si="96"/>
        <v>0.6428571428571429</v>
      </c>
      <c r="J223" s="763">
        <f t="shared" si="97"/>
        <v>60.638070845018547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P223" s="13">
        <f t="shared" si="98"/>
        <v>9</v>
      </c>
      <c r="AQ223" s="13">
        <f t="shared" si="99"/>
        <v>10</v>
      </c>
      <c r="AR223" s="175">
        <f t="shared" si="100"/>
        <v>43304</v>
      </c>
      <c r="AS223" s="772">
        <f t="shared" si="101"/>
        <v>0.17857142857142858</v>
      </c>
      <c r="AT223" s="789">
        <f t="shared" si="102"/>
        <v>60.647373642453125</v>
      </c>
      <c r="AU223" s="13">
        <f t="shared" si="103"/>
        <v>9</v>
      </c>
      <c r="AV223" s="13">
        <f t="shared" si="104"/>
        <v>8</v>
      </c>
      <c r="AW223" s="175">
        <f t="shared" si="105"/>
        <v>43318</v>
      </c>
      <c r="AX223" s="772">
        <f t="shared" si="106"/>
        <v>0.32142857142857145</v>
      </c>
      <c r="AY223" s="789">
        <f t="shared" si="107"/>
        <v>60.720609028943421</v>
      </c>
      <c r="AZ223" s="763">
        <f t="shared" si="111"/>
        <v>60.683991335698273</v>
      </c>
      <c r="BA223" s="647">
        <f t="shared" si="108"/>
        <v>1.013950104354636</v>
      </c>
      <c r="BB223" s="642">
        <v>43309</v>
      </c>
      <c r="BC223" s="11">
        <v>43309</v>
      </c>
      <c r="BD223" s="292">
        <f>[2]!FeuilCaduc*(1-Persistant)+Persistant</f>
        <v>1</v>
      </c>
      <c r="BE223" s="293">
        <f>[2]!CroissVégét</f>
        <v>0.8780111344941991</v>
      </c>
      <c r="BF223" s="842">
        <f>1+[2]!Salcycl*Ksac</f>
        <v>1.0999639714297558</v>
      </c>
      <c r="BH223" s="1105">
        <f t="shared" si="109"/>
        <v>1.2740555827488397E-3</v>
      </c>
      <c r="BI223" s="11">
        <v>44405</v>
      </c>
      <c r="BJ223" s="742">
        <v>2.906147130714371E-4</v>
      </c>
      <c r="BK223" s="742">
        <v>5.8499764852940051E-4</v>
      </c>
      <c r="BL223" s="742">
        <v>1.0955963663465066E-3</v>
      </c>
      <c r="BM223" s="742">
        <v>1.9888929941596872E-3</v>
      </c>
      <c r="BN223" s="742">
        <v>3.8591719991893244E-3</v>
      </c>
      <c r="BO223" s="743">
        <v>7.089386661339965E-3</v>
      </c>
      <c r="BP223" s="742">
        <v>1.1776718896252744E-2</v>
      </c>
      <c r="BQ223" s="742">
        <v>1.8862024988486551E-2</v>
      </c>
      <c r="BR223" s="742">
        <v>2.9700220054373342E-2</v>
      </c>
      <c r="BS223" s="742">
        <v>4.3591680604575599E-2</v>
      </c>
      <c r="BT223" s="742">
        <v>5.8920645858306066E-2</v>
      </c>
      <c r="BW223" s="1187">
        <f>'2018'!R\Max</f>
        <v>0</v>
      </c>
      <c r="BX223" s="1185">
        <f>'2019'!R\Max</f>
        <v>1.013950104354636</v>
      </c>
      <c r="BY223" s="1185">
        <f>'2020'!R\Max</f>
        <v>0.90553488942172755</v>
      </c>
      <c r="BZ223" s="1185">
        <f>'2021'!R\Max</f>
        <v>0.48858663331376356</v>
      </c>
      <c r="CA223" s="1185">
        <f>'2022'!R\Max</f>
        <v>0.86575064696013215</v>
      </c>
      <c r="CB223" s="1185">
        <f>'2023'!R\Max</f>
        <v>0.86565108796185131</v>
      </c>
      <c r="CC223" s="1185">
        <f>'2024'!R\Max</f>
        <v>0.86552724670591052</v>
      </c>
      <c r="CD223" s="1185">
        <f>'2025'!R\Max</f>
        <v>0.86595211782014103</v>
      </c>
      <c r="CE223" s="1185">
        <f>'2026'!R\Max</f>
        <v>0.8659251952460707</v>
      </c>
      <c r="CF223" s="1186">
        <f>'2027'!R\Max</f>
        <v>0.86588694930316401</v>
      </c>
    </row>
    <row r="224" spans="1:84" s="6" customFormat="1" ht="11.25" x14ac:dyDescent="0.2">
      <c r="A224" s="11">
        <v>43310</v>
      </c>
      <c r="B224" s="382">
        <f>'2023'!Maxi_hp</f>
        <v>60.214404913663586</v>
      </c>
      <c r="C224" s="85">
        <f>'2023'!An_max</f>
        <v>2019</v>
      </c>
      <c r="D224" s="1132"/>
      <c r="E224" s="709"/>
      <c r="F224" s="13">
        <f t="shared" si="110"/>
        <v>17</v>
      </c>
      <c r="G224" s="13">
        <f t="shared" si="94"/>
        <v>16</v>
      </c>
      <c r="H224" s="175">
        <f t="shared" si="95"/>
        <v>43318</v>
      </c>
      <c r="I224" s="772">
        <f t="shared" si="96"/>
        <v>0.5714285714285714</v>
      </c>
      <c r="J224" s="763">
        <f t="shared" si="97"/>
        <v>60.474530029403311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P224" s="13">
        <f t="shared" si="98"/>
        <v>9</v>
      </c>
      <c r="AQ224" s="13">
        <f t="shared" si="99"/>
        <v>10</v>
      </c>
      <c r="AR224" s="175">
        <f t="shared" si="100"/>
        <v>43304</v>
      </c>
      <c r="AS224" s="772">
        <f t="shared" si="101"/>
        <v>0.21428571428571427</v>
      </c>
      <c r="AT224" s="789">
        <f t="shared" si="102"/>
        <v>60.487756486769229</v>
      </c>
      <c r="AU224" s="13">
        <f t="shared" si="103"/>
        <v>9</v>
      </c>
      <c r="AV224" s="13">
        <f t="shared" si="104"/>
        <v>8</v>
      </c>
      <c r="AW224" s="175">
        <f t="shared" si="105"/>
        <v>43318</v>
      </c>
      <c r="AX224" s="772">
        <f t="shared" si="106"/>
        <v>0.2857142857142857</v>
      </c>
      <c r="AY224" s="789">
        <f t="shared" si="107"/>
        <v>60.551100291524605</v>
      </c>
      <c r="AZ224" s="763">
        <f t="shared" si="111"/>
        <v>60.519428389146917</v>
      </c>
      <c r="BA224" s="647">
        <f t="shared" si="108"/>
        <v>0.99569860045851943</v>
      </c>
      <c r="BB224" s="642">
        <v>43310</v>
      </c>
      <c r="BC224" s="11">
        <v>43310</v>
      </c>
      <c r="BD224" s="292">
        <f>[2]!FeuilCaduc*(1-Persistant)+Persistant</f>
        <v>1</v>
      </c>
      <c r="BE224" s="293">
        <f>[2]!CroissVégét</f>
        <v>0.88235607250226589</v>
      </c>
      <c r="BF224" s="842">
        <f>1+[2]!Salcycl*Ksac</f>
        <v>1.0999605579445482</v>
      </c>
      <c r="BH224" s="1105">
        <f t="shared" si="109"/>
        <v>1.318877813979174E-3</v>
      </c>
      <c r="BI224" s="11">
        <v>44406</v>
      </c>
      <c r="BJ224" s="742">
        <v>2.7735498095821586E-4</v>
      </c>
      <c r="BK224" s="742">
        <v>5.8519299364016375E-4</v>
      </c>
      <c r="BL224" s="742">
        <v>1.1271154373583767E-3</v>
      </c>
      <c r="BM224" s="742">
        <v>2.0870024514905291E-3</v>
      </c>
      <c r="BN224" s="742">
        <v>4.0714395757198698E-3</v>
      </c>
      <c r="BO224" s="743">
        <v>7.5382916781637811E-3</v>
      </c>
      <c r="BP224" s="742">
        <v>1.2575540417960038E-2</v>
      </c>
      <c r="BQ224" s="742">
        <v>2.0279342983578794E-2</v>
      </c>
      <c r="BR224" s="742">
        <v>3.1869625631464109E-2</v>
      </c>
      <c r="BS224" s="742">
        <v>4.6759140286424562E-2</v>
      </c>
      <c r="BT224" s="742">
        <v>6.3158005939946707E-2</v>
      </c>
      <c r="BW224" s="1187">
        <f>'2018'!R\Max</f>
        <v>0</v>
      </c>
      <c r="BX224" s="1185">
        <f>'2019'!R\Max</f>
        <v>0.99569860045851943</v>
      </c>
      <c r="BY224" s="1185">
        <f>'2020'!R\Max</f>
        <v>0.58816157921772116</v>
      </c>
      <c r="BZ224" s="1185">
        <f>'2021'!R\Max</f>
        <v>0.94414259748666651</v>
      </c>
      <c r="CA224" s="1185">
        <f>'2022'!R\Max</f>
        <v>0.50279815500544034</v>
      </c>
      <c r="CB224" s="1185">
        <f>'2023'!R\Max</f>
        <v>0.50256553035588925</v>
      </c>
      <c r="CC224" s="1185">
        <f>'2024'!R\Max</f>
        <v>0.50227490519682882</v>
      </c>
      <c r="CD224" s="1185">
        <f>'2025'!R\Max</f>
        <v>0.50326448182632688</v>
      </c>
      <c r="CE224" s="1185">
        <f>'2026'!R\Max</f>
        <v>0.50320249327301037</v>
      </c>
      <c r="CF224" s="1186">
        <f>'2027'!R\Max</f>
        <v>0.50311427023141597</v>
      </c>
    </row>
    <row r="225" spans="1:84" s="6" customFormat="1" ht="11.25" x14ac:dyDescent="0.2">
      <c r="A225" s="11">
        <v>43311</v>
      </c>
      <c r="B225" s="382">
        <f>'2023'!Maxi_hp</f>
        <v>52.174946254120343</v>
      </c>
      <c r="C225" s="85">
        <f>'2023'!An_max</f>
        <v>2020</v>
      </c>
      <c r="D225" s="1132"/>
      <c r="E225" s="709"/>
      <c r="F225" s="13">
        <f t="shared" si="110"/>
        <v>17</v>
      </c>
      <c r="G225" s="13">
        <f t="shared" si="94"/>
        <v>16</v>
      </c>
      <c r="H225" s="175">
        <f t="shared" si="95"/>
        <v>43318</v>
      </c>
      <c r="I225" s="772">
        <f t="shared" si="96"/>
        <v>0.5</v>
      </c>
      <c r="J225" s="763">
        <f t="shared" si="97"/>
        <v>60.308049999922517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P225" s="13">
        <f t="shared" si="98"/>
        <v>9</v>
      </c>
      <c r="AQ225" s="13">
        <f t="shared" si="99"/>
        <v>10</v>
      </c>
      <c r="AR225" s="175">
        <f t="shared" si="100"/>
        <v>43304</v>
      </c>
      <c r="AS225" s="772">
        <f t="shared" si="101"/>
        <v>0.25</v>
      </c>
      <c r="AT225" s="789">
        <f t="shared" si="102"/>
        <v>60.325821874663234</v>
      </c>
      <c r="AU225" s="13">
        <f t="shared" si="103"/>
        <v>9</v>
      </c>
      <c r="AV225" s="13">
        <f t="shared" si="104"/>
        <v>8</v>
      </c>
      <c r="AW225" s="175">
        <f t="shared" si="105"/>
        <v>43318</v>
      </c>
      <c r="AX225" s="772">
        <f t="shared" si="106"/>
        <v>0.25</v>
      </c>
      <c r="AY225" s="789">
        <f t="shared" si="107"/>
        <v>60.377521874569354</v>
      </c>
      <c r="AZ225" s="763">
        <f t="shared" si="111"/>
        <v>60.351671874616294</v>
      </c>
      <c r="BA225" s="647">
        <f t="shared" si="108"/>
        <v>0.86514066122495048</v>
      </c>
      <c r="BB225" s="642">
        <v>43311</v>
      </c>
      <c r="BC225" s="11">
        <v>43311</v>
      </c>
      <c r="BD225" s="292">
        <f>[2]!FeuilCaduc*(1-Persistant)+Persistant</f>
        <v>1</v>
      </c>
      <c r="BE225" s="293">
        <f>[2]!CroissVégét</f>
        <v>0.88656663959603077</v>
      </c>
      <c r="BF225" s="842">
        <f>1+[2]!Salcycl*Ksac</f>
        <v>1.0999500396229689</v>
      </c>
      <c r="BH225" s="1105">
        <f t="shared" si="109"/>
        <v>1.3686641719255085E-3</v>
      </c>
      <c r="BI225" s="11">
        <v>44407</v>
      </c>
      <c r="BJ225" s="742">
        <v>2.6544415699448245E-4</v>
      </c>
      <c r="BK225" s="742">
        <v>5.8796467617928375E-4</v>
      </c>
      <c r="BL225" s="742">
        <v>1.1627778906945602E-3</v>
      </c>
      <c r="BM225" s="742">
        <v>2.1933636146728793E-3</v>
      </c>
      <c r="BN225" s="742">
        <v>4.2966336194673691E-3</v>
      </c>
      <c r="BO225" s="743">
        <v>8.0145871546974962E-3</v>
      </c>
      <c r="BP225" s="742">
        <v>1.3428109372234889E-2</v>
      </c>
      <c r="BQ225" s="742">
        <v>2.180791642266848E-2</v>
      </c>
      <c r="BR225" s="742">
        <v>3.4204523131592453E-2</v>
      </c>
      <c r="BS225" s="742">
        <v>5.0173133848018893E-2</v>
      </c>
      <c r="BT225" s="742">
        <v>6.7731996629950275E-2</v>
      </c>
      <c r="BW225" s="1187">
        <f>'2018'!R\Max</f>
        <v>0</v>
      </c>
      <c r="BX225" s="1185">
        <f>'2019'!R\Max</f>
        <v>0.49271923458149885</v>
      </c>
      <c r="BY225" s="1185">
        <f>'2020'!R\Max</f>
        <v>0.86514066122495048</v>
      </c>
      <c r="BZ225" s="1185">
        <f>'2021'!R\Max</f>
        <v>0.32130544577815934</v>
      </c>
      <c r="CA225" s="1185">
        <f>'2022'!R\Max</f>
        <v>0.8564054136452266</v>
      </c>
      <c r="CB225" s="1185">
        <f>'2023'!R\Max</f>
        <v>0.85628097348583687</v>
      </c>
      <c r="CC225" s="1185">
        <f>'2024'!R\Max</f>
        <v>0.85612462169336578</v>
      </c>
      <c r="CD225" s="1185">
        <f>'2025'!R\Max</f>
        <v>0.85665181187546591</v>
      </c>
      <c r="CE225" s="1185">
        <f>'2026'!R\Max</f>
        <v>0.85661928806587428</v>
      </c>
      <c r="CF225" s="1186">
        <f>'2027'!R\Max</f>
        <v>0.85657288129525166</v>
      </c>
    </row>
    <row r="226" spans="1:84" s="6" customFormat="1" ht="11.25" x14ac:dyDescent="0.2">
      <c r="A226" s="11">
        <v>43312</v>
      </c>
      <c r="B226" s="382">
        <f>'2023'!Maxi_hp</f>
        <v>57.043276941412763</v>
      </c>
      <c r="C226" s="85">
        <f>'2023'!An_max</f>
        <v>2022</v>
      </c>
      <c r="D226" s="1132"/>
      <c r="E226" s="709"/>
      <c r="F226" s="13">
        <f t="shared" si="110"/>
        <v>17</v>
      </c>
      <c r="G226" s="13">
        <f t="shared" si="94"/>
        <v>16</v>
      </c>
      <c r="H226" s="175">
        <f t="shared" si="95"/>
        <v>43318</v>
      </c>
      <c r="I226" s="772">
        <f t="shared" si="96"/>
        <v>0.42857142857142855</v>
      </c>
      <c r="J226" s="763">
        <f t="shared" si="97"/>
        <v>60.138404664450448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P226" s="13">
        <f t="shared" si="98"/>
        <v>9</v>
      </c>
      <c r="AQ226" s="13">
        <f t="shared" si="99"/>
        <v>10</v>
      </c>
      <c r="AR226" s="175">
        <f t="shared" si="100"/>
        <v>43304</v>
      </c>
      <c r="AS226" s="772">
        <f t="shared" si="101"/>
        <v>0.2857142857142857</v>
      </c>
      <c r="AT226" s="789">
        <f t="shared" si="102"/>
        <v>60.1613154518285</v>
      </c>
      <c r="AU226" s="13">
        <f t="shared" si="103"/>
        <v>9</v>
      </c>
      <c r="AV226" s="13">
        <f t="shared" si="104"/>
        <v>8</v>
      </c>
      <c r="AW226" s="175">
        <f t="shared" si="105"/>
        <v>43318</v>
      </c>
      <c r="AX226" s="772">
        <f t="shared" si="106"/>
        <v>0.21428571428571427</v>
      </c>
      <c r="AY226" s="789">
        <f t="shared" si="107"/>
        <v>60.199788994022775</v>
      </c>
      <c r="AZ226" s="763">
        <f t="shared" si="111"/>
        <v>60.180552222925641</v>
      </c>
      <c r="BA226" s="647">
        <f t="shared" si="108"/>
        <v>0.94853325856734438</v>
      </c>
      <c r="BB226" s="642">
        <v>43312</v>
      </c>
      <c r="BC226" s="11">
        <v>43312</v>
      </c>
      <c r="BD226" s="292">
        <f>[2]!FeuilCaduc*(1-Persistant)+Persistant</f>
        <v>1</v>
      </c>
      <c r="BE226" s="293">
        <f>[2]!CroissVégét</f>
        <v>0.89064558172697694</v>
      </c>
      <c r="BF226" s="842">
        <f>1+[2]!Salcycl*Ksac</f>
        <v>1.0999328701180882</v>
      </c>
      <c r="BH226" s="1105">
        <f t="shared" si="109"/>
        <v>1.4326249872578106E-3</v>
      </c>
      <c r="BI226" s="11">
        <v>44408</v>
      </c>
      <c r="BJ226" s="742">
        <v>2.5587845114638486E-4</v>
      </c>
      <c r="BK226" s="742">
        <v>5.9646297431912275E-4</v>
      </c>
      <c r="BL226" s="742">
        <v>1.2101081938450321E-3</v>
      </c>
      <c r="BM226" s="742">
        <v>2.3239397190227833E-3</v>
      </c>
      <c r="BN226" s="742">
        <v>4.561839926608015E-3</v>
      </c>
      <c r="BO226" s="743">
        <v>8.5515729593275674E-3</v>
      </c>
      <c r="BP226" s="742">
        <v>1.4377889180759752E-2</v>
      </c>
      <c r="BQ226" s="742">
        <v>2.3476092428712719E-2</v>
      </c>
      <c r="BR226" s="742">
        <v>3.6721528810940297E-2</v>
      </c>
      <c r="BS226" s="742">
        <v>5.3820436455691865E-2</v>
      </c>
      <c r="BT226" s="742">
        <v>7.2611394396314227E-2</v>
      </c>
      <c r="BW226" s="1187">
        <f>'2018'!R\Max</f>
        <v>0</v>
      </c>
      <c r="BX226" s="1185">
        <f>'2019'!R\Max</f>
        <v>0.91031330157112511</v>
      </c>
      <c r="BY226" s="1185">
        <f>'2020'!R\Max</f>
        <v>0.90727248512055203</v>
      </c>
      <c r="BZ226" s="1185">
        <f>'2021'!R\Max</f>
        <v>0.23270504527652533</v>
      </c>
      <c r="CA226" s="1185">
        <f>'2022'!R\Max</f>
        <v>0.94853325856734438</v>
      </c>
      <c r="CB226" s="1185">
        <f>'2023'!R\Max</f>
        <v>0.94847956709869075</v>
      </c>
      <c r="CC226" s="1185">
        <f>'2024'!R\Max</f>
        <v>0.94841187232470381</v>
      </c>
      <c r="CD226" s="1185">
        <f>'2025'!R\Max</f>
        <v>0.94863856453236195</v>
      </c>
      <c r="CE226" s="1185">
        <f>'2026'!R\Max</f>
        <v>0.94862472258632158</v>
      </c>
      <c r="CF226" s="1186">
        <f>'2027'!R\Max</f>
        <v>0.94860495576849357</v>
      </c>
    </row>
    <row r="227" spans="1:84" s="6" customFormat="1" ht="11.25" x14ac:dyDescent="0.2">
      <c r="A227" s="11">
        <v>43313</v>
      </c>
      <c r="B227" s="382">
        <f>'2023'!Maxi_hp</f>
        <v>59.244412021710168</v>
      </c>
      <c r="C227" s="85">
        <f>'2023'!An_max</f>
        <v>2022</v>
      </c>
      <c r="D227" s="1132"/>
      <c r="E227" s="709"/>
      <c r="F227" s="13">
        <f t="shared" si="110"/>
        <v>17</v>
      </c>
      <c r="G227" s="13">
        <f t="shared" si="94"/>
        <v>16</v>
      </c>
      <c r="H227" s="175">
        <f t="shared" si="95"/>
        <v>43318</v>
      </c>
      <c r="I227" s="772">
        <f t="shared" si="96"/>
        <v>0.35714285714285715</v>
      </c>
      <c r="J227" s="763">
        <f t="shared" si="97"/>
        <v>59.965367929610821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P227" s="13">
        <f t="shared" si="98"/>
        <v>9</v>
      </c>
      <c r="AQ227" s="13">
        <f t="shared" si="99"/>
        <v>10</v>
      </c>
      <c r="AR227" s="175">
        <f t="shared" si="100"/>
        <v>43304</v>
      </c>
      <c r="AS227" s="772">
        <f t="shared" si="101"/>
        <v>0.32142857142857145</v>
      </c>
      <c r="AT227" s="789">
        <f t="shared" si="102"/>
        <v>59.993982862401751</v>
      </c>
      <c r="AU227" s="13">
        <f t="shared" si="103"/>
        <v>9</v>
      </c>
      <c r="AV227" s="13">
        <f t="shared" si="104"/>
        <v>8</v>
      </c>
      <c r="AW227" s="175">
        <f t="shared" si="105"/>
        <v>43318</v>
      </c>
      <c r="AX227" s="772">
        <f t="shared" si="106"/>
        <v>0.17857142857142858</v>
      </c>
      <c r="AY227" s="789">
        <f t="shared" si="107"/>
        <v>60.017816863967369</v>
      </c>
      <c r="AZ227" s="763">
        <f t="shared" si="111"/>
        <v>60.00589986318456</v>
      </c>
      <c r="BA227" s="647">
        <f t="shared" si="108"/>
        <v>0.98797712858617104</v>
      </c>
      <c r="BB227" s="642">
        <v>43313</v>
      </c>
      <c r="BC227" s="11">
        <v>43313</v>
      </c>
      <c r="BD227" s="292">
        <f>[2]!FeuilCaduc*(1-Persistant)+Persistant</f>
        <v>1</v>
      </c>
      <c r="BE227" s="293">
        <f>[2]!CroissVégét</f>
        <v>0.89459569118431537</v>
      </c>
      <c r="BF227" s="842">
        <f>1+[2]!Salcycl*Ksac</f>
        <v>1.0999094513367731</v>
      </c>
      <c r="BH227" s="1105">
        <f t="shared" si="109"/>
        <v>1.5080225538098057E-3</v>
      </c>
      <c r="BI227" s="11">
        <v>44409</v>
      </c>
      <c r="BJ227" s="742">
        <v>2.4766437940015157E-4</v>
      </c>
      <c r="BK227" s="742">
        <v>6.0906844646769641E-4</v>
      </c>
      <c r="BL227" s="742">
        <v>1.2665899761868107E-3</v>
      </c>
      <c r="BM227" s="742">
        <v>2.4751064752654532E-3</v>
      </c>
      <c r="BN227" s="742">
        <v>4.863552897257809E-3</v>
      </c>
      <c r="BO227" s="743">
        <v>9.1410193625760319E-3</v>
      </c>
      <c r="BP227" s="742">
        <v>1.5409103386042648E-2</v>
      </c>
      <c r="BQ227" s="742">
        <v>2.5241292488249353E-2</v>
      </c>
      <c r="BR227" s="742">
        <v>3.9343436314473609E-2</v>
      </c>
      <c r="BS227" s="742">
        <v>5.7572669544085582E-2</v>
      </c>
      <c r="BT227" s="742">
        <v>7.7615308961812818E-2</v>
      </c>
      <c r="BW227" s="1187">
        <f>'2018'!R\Max</f>
        <v>0</v>
      </c>
      <c r="BX227" s="1185">
        <f>'2019'!R\Max</f>
        <v>0.87252317033500981</v>
      </c>
      <c r="BY227" s="1185">
        <f>'2020'!R\Max</f>
        <v>0.88097535314546549</v>
      </c>
      <c r="BZ227" s="1185">
        <f>'2021'!R\Max</f>
        <v>0.81508223163747417</v>
      </c>
      <c r="CA227" s="1185">
        <f>'2022'!R\Max</f>
        <v>0.98797712858617104</v>
      </c>
      <c r="CB227" s="1185">
        <f>'2023'!R\Max</f>
        <v>0.98796296925541149</v>
      </c>
      <c r="CC227" s="1185">
        <f>'2024'!R\Max</f>
        <v>0.98794509253223783</v>
      </c>
      <c r="CD227" s="1185">
        <f>'2025'!R\Max</f>
        <v>0.98800472512817872</v>
      </c>
      <c r="CE227" s="1185">
        <f>'2026'!R\Max</f>
        <v>0.98800110233966898</v>
      </c>
      <c r="CF227" s="1186">
        <f>'2027'!R\Max</f>
        <v>0.98799593302390709</v>
      </c>
    </row>
    <row r="228" spans="1:84" s="6" customFormat="1" ht="11.25" x14ac:dyDescent="0.2">
      <c r="A228" s="11">
        <v>43314</v>
      </c>
      <c r="B228" s="382">
        <f>'2023'!Maxi_hp</f>
        <v>57.154241429769726</v>
      </c>
      <c r="C228" s="85">
        <f>'2023'!An_max</f>
        <v>2022</v>
      </c>
      <c r="D228" s="1132"/>
      <c r="E228" s="709"/>
      <c r="F228" s="13">
        <f t="shared" si="110"/>
        <v>17</v>
      </c>
      <c r="G228" s="13">
        <f t="shared" si="94"/>
        <v>16</v>
      </c>
      <c r="H228" s="175">
        <f t="shared" si="95"/>
        <v>43318</v>
      </c>
      <c r="I228" s="772">
        <f t="shared" si="96"/>
        <v>0.2857142857142857</v>
      </c>
      <c r="J228" s="763">
        <f t="shared" si="97"/>
        <v>59.78871370298522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P228" s="13">
        <f t="shared" si="98"/>
        <v>9</v>
      </c>
      <c r="AQ228" s="13">
        <f t="shared" si="99"/>
        <v>10</v>
      </c>
      <c r="AR228" s="175">
        <f t="shared" si="100"/>
        <v>43304</v>
      </c>
      <c r="AS228" s="772">
        <f t="shared" si="101"/>
        <v>0.35714285714285715</v>
      </c>
      <c r="AT228" s="789">
        <f t="shared" si="102"/>
        <v>59.823569751903413</v>
      </c>
      <c r="AU228" s="13">
        <f t="shared" si="103"/>
        <v>9</v>
      </c>
      <c r="AV228" s="13">
        <f t="shared" si="104"/>
        <v>8</v>
      </c>
      <c r="AW228" s="175">
        <f t="shared" si="105"/>
        <v>43318</v>
      </c>
      <c r="AX228" s="772">
        <f t="shared" si="106"/>
        <v>0.14285714285714285</v>
      </c>
      <c r="AY228" s="789">
        <f t="shared" si="107"/>
        <v>59.831520699869316</v>
      </c>
      <c r="AZ228" s="763">
        <f t="shared" si="111"/>
        <v>59.827545225886368</v>
      </c>
      <c r="BA228" s="647">
        <f t="shared" si="108"/>
        <v>0.95593696351617685</v>
      </c>
      <c r="BB228" s="642">
        <v>43314</v>
      </c>
      <c r="BC228" s="11">
        <v>43314</v>
      </c>
      <c r="BD228" s="292">
        <f>[2]!FeuilCaduc*(1-Persistant)+Persistant</f>
        <v>1</v>
      </c>
      <c r="BE228" s="293">
        <f>[2]!CroissVégét</f>
        <v>0.89841979735358901</v>
      </c>
      <c r="BF228" s="842">
        <f>1+[2]!Salcycl*Ksac</f>
        <v>1.0998801342423872</v>
      </c>
      <c r="BH228" s="1105">
        <f t="shared" si="109"/>
        <v>1.594854328628709E-3</v>
      </c>
      <c r="BI228" s="11">
        <v>44410</v>
      </c>
      <c r="BJ228" s="742">
        <v>2.4080100420998367E-4</v>
      </c>
      <c r="BK228" s="742">
        <v>6.2577963843951894E-4</v>
      </c>
      <c r="BL228" s="742">
        <v>1.3322210463793263E-3</v>
      </c>
      <c r="BM228" s="742">
        <v>2.6468599320278994E-3</v>
      </c>
      <c r="BN228" s="742">
        <v>5.2017665954307932E-3</v>
      </c>
      <c r="BO228" s="743">
        <v>9.782922796403833E-3</v>
      </c>
      <c r="BP228" s="742">
        <v>1.6521750264596787E-2</v>
      </c>
      <c r="BQ228" s="742">
        <v>2.7103531786088014E-2</v>
      </c>
      <c r="BR228" s="742">
        <v>4.2070284106533136E-2</v>
      </c>
      <c r="BS228" s="742">
        <v>6.1429906758099943E-2</v>
      </c>
      <c r="BT228" s="742">
        <v>8.2743844760518243E-2</v>
      </c>
      <c r="BW228" s="1187">
        <f>'2018'!R\Max</f>
        <v>0</v>
      </c>
      <c r="BX228" s="1185">
        <f>'2019'!R\Max</f>
        <v>0.9558109740101568</v>
      </c>
      <c r="BY228" s="1185">
        <f>'2020'!R\Max</f>
        <v>0.70678426302788155</v>
      </c>
      <c r="BZ228" s="1185">
        <f>'2021'!R\Max</f>
        <v>0.94838212980039582</v>
      </c>
      <c r="CA228" s="1185">
        <f>'2022'!R\Max</f>
        <v>0.95593696351617685</v>
      </c>
      <c r="CB228" s="1185">
        <f>'2023'!R\Max</f>
        <v>0.95588269102412682</v>
      </c>
      <c r="CC228" s="1185">
        <f>'2024'!R\Max</f>
        <v>0.95581419631683551</v>
      </c>
      <c r="CD228" s="1185">
        <f>'2025'!R\Max</f>
        <v>0.95604237164179129</v>
      </c>
      <c r="CE228" s="1185">
        <f>'2026'!R\Max</f>
        <v>0.95602851766336761</v>
      </c>
      <c r="CF228" s="1186">
        <f>'2027'!R\Max</f>
        <v>0.95600879246712278</v>
      </c>
    </row>
    <row r="229" spans="1:84" s="6" customFormat="1" ht="11.25" x14ac:dyDescent="0.2">
      <c r="A229" s="11">
        <v>43315</v>
      </c>
      <c r="B229" s="382">
        <f>'2023'!Maxi_hp</f>
        <v>57.449799256977776</v>
      </c>
      <c r="C229" s="85">
        <f>'2023'!An_max</f>
        <v>2019</v>
      </c>
      <c r="D229" s="1132"/>
      <c r="E229" s="709"/>
      <c r="F229" s="13">
        <f t="shared" si="110"/>
        <v>17</v>
      </c>
      <c r="G229" s="13">
        <f t="shared" si="94"/>
        <v>16</v>
      </c>
      <c r="H229" s="175">
        <f t="shared" si="95"/>
        <v>43318</v>
      </c>
      <c r="I229" s="772">
        <f t="shared" si="96"/>
        <v>0.21428571428571427</v>
      </c>
      <c r="J229" s="763">
        <f t="shared" si="97"/>
        <v>59.608215889175028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P229" s="13">
        <f t="shared" si="98"/>
        <v>9</v>
      </c>
      <c r="AQ229" s="13">
        <f t="shared" si="99"/>
        <v>10</v>
      </c>
      <c r="AR229" s="175">
        <f t="shared" si="100"/>
        <v>43304</v>
      </c>
      <c r="AS229" s="772">
        <f t="shared" si="101"/>
        <v>0.39285714285714285</v>
      </c>
      <c r="AT229" s="789">
        <f t="shared" si="102"/>
        <v>59.649821765428143</v>
      </c>
      <c r="AU229" s="13">
        <f t="shared" si="103"/>
        <v>9</v>
      </c>
      <c r="AV229" s="13">
        <f t="shared" si="104"/>
        <v>8</v>
      </c>
      <c r="AW229" s="175">
        <f t="shared" si="105"/>
        <v>43318</v>
      </c>
      <c r="AX229" s="772">
        <f t="shared" si="106"/>
        <v>0.10714285714285714</v>
      </c>
      <c r="AY229" s="789">
        <f t="shared" si="107"/>
        <v>59.640815715491769</v>
      </c>
      <c r="AZ229" s="763">
        <f t="shared" si="111"/>
        <v>59.645318740459956</v>
      </c>
      <c r="BA229" s="647">
        <f t="shared" si="108"/>
        <v>0.96378994740909152</v>
      </c>
      <c r="BB229" s="642">
        <v>43315</v>
      </c>
      <c r="BC229" s="11">
        <v>43315</v>
      </c>
      <c r="BD229" s="292">
        <f>[2]!FeuilCaduc*(1-Persistant)+Persistant</f>
        <v>1</v>
      </c>
      <c r="BE229" s="293">
        <f>[2]!CroissVégét</f>
        <v>0.90212075799903491</v>
      </c>
      <c r="BF229" s="842">
        <f>1+[2]!Salcycl*Ksac</f>
        <v>1.0998452199707949</v>
      </c>
      <c r="BH229" s="1105">
        <f t="shared" si="109"/>
        <v>1.6931184796540252E-3</v>
      </c>
      <c r="BI229" s="11">
        <v>44411</v>
      </c>
      <c r="BJ229" s="742">
        <v>2.3528749287785928E-4</v>
      </c>
      <c r="BK229" s="742">
        <v>6.4659536894037405E-4</v>
      </c>
      <c r="BL229" s="742">
        <v>1.4069997865629137E-3</v>
      </c>
      <c r="BM229" s="742">
        <v>2.8391973992453749E-3</v>
      </c>
      <c r="BN229" s="742">
        <v>5.5764772797830403E-3</v>
      </c>
      <c r="BO229" s="743">
        <v>1.0477282654013908E-2</v>
      </c>
      <c r="BP229" s="742">
        <v>1.7715832546543148E-2</v>
      </c>
      <c r="BQ229" s="742">
        <v>2.9062830151187893E-2</v>
      </c>
      <c r="BR229" s="742">
        <v>4.490211478949311E-2</v>
      </c>
      <c r="BS229" s="742">
        <v>6.5392224484195363E-2</v>
      </c>
      <c r="BT229" s="742">
        <v>8.7997108797305754E-2</v>
      </c>
      <c r="BW229" s="1187">
        <f>'2018'!R\Max</f>
        <v>0</v>
      </c>
      <c r="BX229" s="1185">
        <f>'2019'!R\Max</f>
        <v>0.96378994740909152</v>
      </c>
      <c r="BY229" s="1185">
        <f>'2020'!R\Max</f>
        <v>0.58052332972892728</v>
      </c>
      <c r="BZ229" s="1185">
        <f>'2021'!R\Max</f>
        <v>0.63473605426933977</v>
      </c>
      <c r="CA229" s="1185">
        <f>'2022'!R\Max</f>
        <v>0.92366703251276616</v>
      </c>
      <c r="CB229" s="1185">
        <f>'2023'!R\Max</f>
        <v>0.92356907985674563</v>
      </c>
      <c r="CC229" s="1185">
        <f>'2024'!R\Max</f>
        <v>0.92344566020847429</v>
      </c>
      <c r="CD229" s="1185">
        <f>'2025'!R\Max</f>
        <v>0.92385701808452159</v>
      </c>
      <c r="CE229" s="1185">
        <f>'2026'!R\Max</f>
        <v>0.92383197179132737</v>
      </c>
      <c r="CF229" s="1186">
        <f>'2027'!R\Max</f>
        <v>0.92379642592982036</v>
      </c>
    </row>
    <row r="230" spans="1:84" s="6" customFormat="1" ht="11.25" x14ac:dyDescent="0.2">
      <c r="A230" s="11">
        <v>43316</v>
      </c>
      <c r="B230" s="382">
        <f>'2023'!Maxi_hp</f>
        <v>53.047340954372693</v>
      </c>
      <c r="C230" s="85">
        <f>'2023'!An_max</f>
        <v>2019</v>
      </c>
      <c r="D230" s="1132"/>
      <c r="E230" s="709"/>
      <c r="F230" s="13">
        <f t="shared" si="110"/>
        <v>17</v>
      </c>
      <c r="G230" s="13">
        <f t="shared" si="94"/>
        <v>16</v>
      </c>
      <c r="H230" s="175">
        <f t="shared" si="95"/>
        <v>43318</v>
      </c>
      <c r="I230" s="772">
        <f t="shared" si="96"/>
        <v>0.14285714285714285</v>
      </c>
      <c r="J230" s="763">
        <f t="shared" si="97"/>
        <v>59.423648395921511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P230" s="13">
        <f t="shared" si="98"/>
        <v>9</v>
      </c>
      <c r="AQ230" s="13">
        <f t="shared" si="99"/>
        <v>10</v>
      </c>
      <c r="AR230" s="175">
        <f t="shared" si="100"/>
        <v>43304</v>
      </c>
      <c r="AS230" s="772">
        <f t="shared" si="101"/>
        <v>0.42857142857142855</v>
      </c>
      <c r="AT230" s="789">
        <f t="shared" si="102"/>
        <v>59.472484548496347</v>
      </c>
      <c r="AU230" s="13">
        <f t="shared" si="103"/>
        <v>9</v>
      </c>
      <c r="AV230" s="13">
        <f t="shared" si="104"/>
        <v>8</v>
      </c>
      <c r="AW230" s="175">
        <f t="shared" si="105"/>
        <v>43318</v>
      </c>
      <c r="AX230" s="772">
        <f t="shared" si="106"/>
        <v>7.1428571428571425E-2</v>
      </c>
      <c r="AY230" s="789">
        <f t="shared" si="107"/>
        <v>59.445617128615936</v>
      </c>
      <c r="AZ230" s="763">
        <f t="shared" si="111"/>
        <v>59.459050838556138</v>
      </c>
      <c r="BA230" s="647">
        <f t="shared" si="108"/>
        <v>0.89269747627972218</v>
      </c>
      <c r="BB230" s="642">
        <v>43316</v>
      </c>
      <c r="BC230" s="11">
        <v>43316</v>
      </c>
      <c r="BD230" s="292">
        <f>[2]!FeuilCaduc*(1-Persistant)+Persistant</f>
        <v>1</v>
      </c>
      <c r="BE230" s="293">
        <f>[2]!CroissVégét</f>
        <v>0.90570145106838851</v>
      </c>
      <c r="BF230" s="842">
        <f>1+[2]!Salcycl*Ksac</f>
        <v>1.0998049612307244</v>
      </c>
      <c r="BH230" s="1105">
        <f t="shared" si="109"/>
        <v>1.8028138502001062E-3</v>
      </c>
      <c r="BI230" s="11">
        <v>44412</v>
      </c>
      <c r="BJ230" s="742">
        <v>2.3112311337510926E-4</v>
      </c>
      <c r="BK230" s="742">
        <v>6.7151471682880672E-4</v>
      </c>
      <c r="BL230" s="742">
        <v>1.4909251239445167E-3</v>
      </c>
      <c r="BM230" s="742">
        <v>3.0521173841915124E-3</v>
      </c>
      <c r="BN230" s="742">
        <v>5.9876832901831446E-3</v>
      </c>
      <c r="BO230" s="743">
        <v>1.1224101126790795E-2</v>
      </c>
      <c r="BP230" s="742">
        <v>1.8991357162431433E-2</v>
      </c>
      <c r="BQ230" s="742">
        <v>3.1119211754780714E-2</v>
      </c>
      <c r="BR230" s="742">
        <v>4.7838974777186384E-2</v>
      </c>
      <c r="BS230" s="742">
        <v>6.9459701523397047E-2</v>
      </c>
      <c r="BT230" s="742">
        <v>9.3375210259675726E-2</v>
      </c>
      <c r="BW230" s="1187">
        <f>'2018'!R\Max</f>
        <v>0</v>
      </c>
      <c r="BX230" s="1185">
        <f>'2019'!R\Max</f>
        <v>0.89269747627972218</v>
      </c>
      <c r="BY230" s="1185">
        <f>'2020'!R\Max</f>
        <v>0.8537763935652003</v>
      </c>
      <c r="BZ230" s="1185">
        <f>'2021'!R\Max</f>
        <v>0.6034790256957</v>
      </c>
      <c r="CA230" s="1185">
        <f>'2022'!R\Max</f>
        <v>0.86069373738590194</v>
      </c>
      <c r="CB230" s="1185">
        <f>'2023'!R\Max</f>
        <v>0.8605145589563632</v>
      </c>
      <c r="CC230" s="1185">
        <f>'2024'!R\Max</f>
        <v>0.86028940860793168</v>
      </c>
      <c r="CD230" s="1185">
        <f>'2025'!R\Max</f>
        <v>0.86104145400816279</v>
      </c>
      <c r="CE230" s="1185">
        <f>'2026'!R\Max</f>
        <v>0.86099540285652121</v>
      </c>
      <c r="CF230" s="1186">
        <f>'2027'!R\Max</f>
        <v>0.86093031267165321</v>
      </c>
    </row>
    <row r="231" spans="1:84" s="6" customFormat="1" ht="11.25" x14ac:dyDescent="0.2">
      <c r="A231" s="11">
        <v>43317</v>
      </c>
      <c r="B231" s="382">
        <f>'2023'!Maxi_hp</f>
        <v>58.00298989323845</v>
      </c>
      <c r="C231" s="85">
        <f>'2023'!An_max</f>
        <v>2020</v>
      </c>
      <c r="D231" s="1132"/>
      <c r="E231" s="709"/>
      <c r="F231" s="13">
        <f t="shared" si="110"/>
        <v>17</v>
      </c>
      <c r="G231" s="13">
        <f t="shared" si="94"/>
        <v>16</v>
      </c>
      <c r="H231" s="175">
        <f t="shared" si="95"/>
        <v>43318</v>
      </c>
      <c r="I231" s="772">
        <f t="shared" si="96"/>
        <v>7.1428571428571425E-2</v>
      </c>
      <c r="J231" s="763">
        <f t="shared" si="97"/>
        <v>59.234785132136736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P231" s="13">
        <f t="shared" si="98"/>
        <v>9</v>
      </c>
      <c r="AQ231" s="13">
        <f t="shared" si="99"/>
        <v>10</v>
      </c>
      <c r="AR231" s="175">
        <f t="shared" si="100"/>
        <v>43304</v>
      </c>
      <c r="AS231" s="772">
        <f t="shared" si="101"/>
        <v>0.4642857142857143</v>
      </c>
      <c r="AT231" s="789">
        <f t="shared" si="102"/>
        <v>59.291303744566221</v>
      </c>
      <c r="AU231" s="13">
        <f t="shared" si="103"/>
        <v>9</v>
      </c>
      <c r="AV231" s="13">
        <f t="shared" si="104"/>
        <v>8</v>
      </c>
      <c r="AW231" s="175">
        <f t="shared" si="105"/>
        <v>43318</v>
      </c>
      <c r="AX231" s="772">
        <f t="shared" si="106"/>
        <v>3.5714285714285712E-2</v>
      </c>
      <c r="AY231" s="789">
        <f t="shared" si="107"/>
        <v>59.245840150743199</v>
      </c>
      <c r="AZ231" s="763">
        <f t="shared" si="111"/>
        <v>59.268571947654706</v>
      </c>
      <c r="BA231" s="647">
        <f t="shared" si="108"/>
        <v>0.97920486693501996</v>
      </c>
      <c r="BB231" s="642">
        <v>43317</v>
      </c>
      <c r="BC231" s="11">
        <v>43317</v>
      </c>
      <c r="BD231" s="292">
        <f>[2]!FeuilCaduc*(1-Persistant)+Persistant</f>
        <v>1</v>
      </c>
      <c r="BE231" s="293">
        <f>[2]!CroissVégét</f>
        <v>0.90916476701567317</v>
      </c>
      <c r="BF231" s="842">
        <f>1+[2]!Salcycl*Ksac</f>
        <v>1.0997595639574502</v>
      </c>
      <c r="BH231" s="1105">
        <f t="shared" si="109"/>
        <v>1.9239399234334729E-3</v>
      </c>
      <c r="BI231" s="11">
        <v>44413</v>
      </c>
      <c r="BJ231" s="742">
        <v>2.2830723016303348E-4</v>
      </c>
      <c r="BK231" s="742">
        <v>7.00537008375417E-4</v>
      </c>
      <c r="BL231" s="742">
        <v>1.5839965023789679E-3</v>
      </c>
      <c r="BM231" s="742">
        <v>3.2856195274999903E-3</v>
      </c>
      <c r="BN231" s="742">
        <v>6.4353849342661433E-3</v>
      </c>
      <c r="BO231" s="743">
        <v>1.2023383041209416E-2</v>
      </c>
      <c r="BP231" s="742">
        <v>2.0348334990009546E-2</v>
      </c>
      <c r="BQ231" s="742">
        <v>3.3272704808409943E-2</v>
      </c>
      <c r="BR231" s="742">
        <v>5.0880913968199097E-2</v>
      </c>
      <c r="BS231" s="742">
        <v>7.3632418764108185E-2</v>
      </c>
      <c r="BT231" s="742">
        <v>9.8878260129317899E-2</v>
      </c>
      <c r="BW231" s="1187">
        <f>'2018'!R\Max</f>
        <v>0</v>
      </c>
      <c r="BX231" s="1185">
        <f>'2019'!R\Max</f>
        <v>0.91074713046930644</v>
      </c>
      <c r="BY231" s="1185">
        <f>'2020'!R\Max</f>
        <v>0.97920486693501996</v>
      </c>
      <c r="BZ231" s="1185">
        <f>'2021'!R\Max</f>
        <v>0.85434189363320223</v>
      </c>
      <c r="CA231" s="1185">
        <f>'2022'!R\Max</f>
        <v>0.84525523251245205</v>
      </c>
      <c r="CB231" s="1185">
        <f>'2023'!R\Max</f>
        <v>0.84504542461575616</v>
      </c>
      <c r="CC231" s="1185">
        <f>'2024'!R\Max</f>
        <v>0.84478266498082533</v>
      </c>
      <c r="CD231" s="1185">
        <f>'2025'!R\Max</f>
        <v>0.8456631190701569</v>
      </c>
      <c r="CE231" s="1185">
        <f>'2026'!R\Max</f>
        <v>0.84560879601381167</v>
      </c>
      <c r="CF231" s="1186">
        <f>'2027'!R\Max</f>
        <v>0.84553237076185472</v>
      </c>
    </row>
    <row r="232" spans="1:84" s="6" customFormat="1" ht="11.25" x14ac:dyDescent="0.2">
      <c r="A232" s="11">
        <v>43318</v>
      </c>
      <c r="B232" s="382">
        <f>'2023'!Maxi_hp</f>
        <v>57.070736386069342</v>
      </c>
      <c r="C232" s="85">
        <f>'2023'!An_max</f>
        <v>2020</v>
      </c>
      <c r="D232" s="1132"/>
      <c r="E232" s="771">
        <f>AC$13/10</f>
        <v>59.041399999999996</v>
      </c>
      <c r="F232" s="13">
        <f t="shared" si="110"/>
        <v>17</v>
      </c>
      <c r="G232" s="13">
        <f t="shared" si="94"/>
        <v>18</v>
      </c>
      <c r="H232" s="175">
        <f t="shared" si="95"/>
        <v>43318</v>
      </c>
      <c r="I232" s="772">
        <f t="shared" si="96"/>
        <v>0</v>
      </c>
      <c r="J232" s="763">
        <f t="shared" si="97"/>
        <v>59.041400000452995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P232" s="13">
        <f t="shared" si="98"/>
        <v>9</v>
      </c>
      <c r="AQ232" s="13">
        <f t="shared" si="99"/>
        <v>10</v>
      </c>
      <c r="AR232" s="175">
        <f t="shared" si="100"/>
        <v>43304</v>
      </c>
      <c r="AS232" s="772">
        <f t="shared" si="101"/>
        <v>0.5</v>
      </c>
      <c r="AT232" s="789">
        <f t="shared" si="102"/>
        <v>59.106024999916556</v>
      </c>
      <c r="AU232" s="13">
        <f t="shared" si="103"/>
        <v>9</v>
      </c>
      <c r="AV232" s="13">
        <f t="shared" si="104"/>
        <v>10</v>
      </c>
      <c r="AW232" s="175">
        <f t="shared" si="105"/>
        <v>43318</v>
      </c>
      <c r="AX232" s="772">
        <f t="shared" si="106"/>
        <v>0</v>
      </c>
      <c r="AY232" s="789">
        <f t="shared" si="107"/>
        <v>59.041399998962881</v>
      </c>
      <c r="AZ232" s="763">
        <f t="shared" si="111"/>
        <v>59.073712499439722</v>
      </c>
      <c r="BA232" s="647">
        <f t="shared" si="108"/>
        <v>0.96662234272275838</v>
      </c>
      <c r="BB232" s="642">
        <v>43318</v>
      </c>
      <c r="BC232" s="11">
        <v>43318</v>
      </c>
      <c r="BD232" s="292">
        <f>[2]!FeuilCaduc*(1-Persistant)+Persistant</f>
        <v>1</v>
      </c>
      <c r="BE232" s="293">
        <f>[2]!CroissVégét</f>
        <v>0.91251360163473627</v>
      </c>
      <c r="BF232" s="842">
        <f>1+[2]!Salcycl*Ksac</f>
        <v>1.0997091891870177</v>
      </c>
      <c r="BH232" s="1105">
        <f t="shared" si="109"/>
        <v>2.0564967868576668E-3</v>
      </c>
      <c r="BI232" s="11">
        <v>44414</v>
      </c>
      <c r="BJ232" s="742">
        <v>2.2683930001438039E-4</v>
      </c>
      <c r="BK232" s="742">
        <v>7.3366180452486647E-4</v>
      </c>
      <c r="BL232" s="742">
        <v>1.6862138539564565E-3</v>
      </c>
      <c r="BM232" s="742">
        <v>3.539704539199098E-3</v>
      </c>
      <c r="BN232" s="742">
        <v>6.91958437401273E-3</v>
      </c>
      <c r="BO232" s="743">
        <v>1.2875135695791086E-2</v>
      </c>
      <c r="BP232" s="742">
        <v>2.1786780601072891E-2</v>
      </c>
      <c r="BQ232" s="742">
        <v>3.5523341262100751E-2</v>
      </c>
      <c r="BR232" s="742">
        <v>5.4027985419364773E-2</v>
      </c>
      <c r="BS232" s="742">
        <v>7.7910458855211959E-2</v>
      </c>
      <c r="BT232" s="742">
        <v>0.10450637079406315</v>
      </c>
      <c r="BW232" s="1187">
        <f>'2018'!R\Max</f>
        <v>0</v>
      </c>
      <c r="BX232" s="1185">
        <f>'2019'!R\Max</f>
        <v>0.72914777686528087</v>
      </c>
      <c r="BY232" s="1185">
        <f>'2020'!R\Max</f>
        <v>0.96662234272275838</v>
      </c>
      <c r="BZ232" s="1185">
        <f>'2021'!R\Max</f>
        <v>0.36675600887429277</v>
      </c>
      <c r="CA232" s="1185">
        <f>'2022'!R\Max</f>
        <v>0.89937374129085879</v>
      </c>
      <c r="CB232" s="1185">
        <f>'2023'!R\Max</f>
        <v>0.89921822582586963</v>
      </c>
      <c r="CC232" s="1185">
        <f>'2024'!R\Max</f>
        <v>0.89902417521594125</v>
      </c>
      <c r="CD232" s="1185">
        <f>'2025'!R\Max</f>
        <v>0.89967687111617978</v>
      </c>
      <c r="CE232" s="1185">
        <f>'2026'!R\Max</f>
        <v>0.89963624756747917</v>
      </c>
      <c r="CF232" s="1186">
        <f>'2027'!R\Max</f>
        <v>0.89957938271791948</v>
      </c>
    </row>
    <row r="233" spans="1:84" s="6" customFormat="1" ht="11.25" x14ac:dyDescent="0.2">
      <c r="A233" s="11">
        <v>43319</v>
      </c>
      <c r="B233" s="382">
        <f>'2023'!Maxi_hp</f>
        <v>56.568958989801914</v>
      </c>
      <c r="C233" s="85">
        <f>'2023'!An_max</f>
        <v>2022</v>
      </c>
      <c r="D233" s="1132"/>
      <c r="E233" s="709"/>
      <c r="F233" s="13">
        <f t="shared" si="110"/>
        <v>17</v>
      </c>
      <c r="G233" s="13">
        <f t="shared" si="94"/>
        <v>18</v>
      </c>
      <c r="H233" s="175">
        <f t="shared" si="95"/>
        <v>43318</v>
      </c>
      <c r="I233" s="772">
        <f t="shared" si="96"/>
        <v>7.1428571428571425E-2</v>
      </c>
      <c r="J233" s="763">
        <f t="shared" si="97"/>
        <v>58.844811880322439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P233" s="13">
        <f t="shared" si="98"/>
        <v>9</v>
      </c>
      <c r="AQ233" s="13">
        <f t="shared" si="99"/>
        <v>10</v>
      </c>
      <c r="AR233" s="175">
        <f t="shared" si="100"/>
        <v>43304</v>
      </c>
      <c r="AS233" s="772">
        <f t="shared" si="101"/>
        <v>0.5357142857142857</v>
      </c>
      <c r="AT233" s="789">
        <f t="shared" si="102"/>
        <v>58.916393959069886</v>
      </c>
      <c r="AU233" s="13">
        <f t="shared" si="103"/>
        <v>9</v>
      </c>
      <c r="AV233" s="13">
        <f t="shared" si="104"/>
        <v>10</v>
      </c>
      <c r="AW233" s="175">
        <f t="shared" si="105"/>
        <v>43318</v>
      </c>
      <c r="AX233" s="772">
        <f t="shared" si="106"/>
        <v>3.5714285714285712E-2</v>
      </c>
      <c r="AY233" s="789">
        <f t="shared" si="107"/>
        <v>58.833575514916866</v>
      </c>
      <c r="AZ233" s="763">
        <f t="shared" si="111"/>
        <v>58.874984736993376</v>
      </c>
      <c r="BA233" s="647">
        <f t="shared" si="108"/>
        <v>0.96132449373533357</v>
      </c>
      <c r="BB233" s="642">
        <v>43319</v>
      </c>
      <c r="BC233" s="11">
        <v>43319</v>
      </c>
      <c r="BD233" s="292">
        <f>[2]!FeuilCaduc*(1-Persistant)+Persistant</f>
        <v>1</v>
      </c>
      <c r="BE233" s="293">
        <f>[2]!CroissVégét</f>
        <v>0.91575084939386342</v>
      </c>
      <c r="BF233" s="842">
        <f>1+[2]!Salcycl*Ksac</f>
        <v>1.099653955116902</v>
      </c>
      <c r="BH233" s="1105">
        <f t="shared" si="109"/>
        <v>2.200485096788639E-3</v>
      </c>
      <c r="BI233" s="11">
        <v>44415</v>
      </c>
      <c r="BJ233" s="742">
        <v>2.267188678335371E-4</v>
      </c>
      <c r="BK233" s="742">
        <v>7.7088888815429496E-4</v>
      </c>
      <c r="BL233" s="742">
        <v>1.7975775705821352E-3</v>
      </c>
      <c r="BM233" s="742">
        <v>3.8143741347304201E-3</v>
      </c>
      <c r="BN233" s="742">
        <v>7.4402855122971427E-3</v>
      </c>
      <c r="BO233" s="743">
        <v>1.377936869800047E-2</v>
      </c>
      <c r="BP233" s="742">
        <v>2.3306712008213767E-2</v>
      </c>
      <c r="BQ233" s="742">
        <v>3.7871156502365326E-2</v>
      </c>
      <c r="BR233" s="742">
        <v>5.728024501900391E-2</v>
      </c>
      <c r="BS233" s="742">
        <v>8.2293905878801824E-2</v>
      </c>
      <c r="BT233" s="742">
        <v>0.11025965565933545</v>
      </c>
      <c r="BW233" s="1187">
        <f>'2018'!R\Max</f>
        <v>0</v>
      </c>
      <c r="BX233" s="1185">
        <f>'2019'!R\Max</f>
        <v>0.78061132560569257</v>
      </c>
      <c r="BY233" s="1185">
        <f>'2020'!R\Max</f>
        <v>0.93673085073690654</v>
      </c>
      <c r="BZ233" s="1185">
        <f>'2021'!R\Max</f>
        <v>0.42998687877293845</v>
      </c>
      <c r="CA233" s="1185">
        <f>'2022'!R\Max</f>
        <v>0.96132449373533357</v>
      </c>
      <c r="CB233" s="1185">
        <f>'2023'!R\Max</f>
        <v>0.96125618325617246</v>
      </c>
      <c r="CC233" s="1185">
        <f>'2024'!R\Max</f>
        <v>0.96117129291689229</v>
      </c>
      <c r="CD233" s="1185">
        <f>'2025'!R\Max</f>
        <v>0.96145810922261188</v>
      </c>
      <c r="CE233" s="1185">
        <f>'2026'!R\Max</f>
        <v>0.96144008120719016</v>
      </c>
      <c r="CF233" s="1186">
        <f>'2027'!R\Max</f>
        <v>0.96141497973611245</v>
      </c>
    </row>
    <row r="234" spans="1:84" s="6" customFormat="1" ht="11.25" x14ac:dyDescent="0.2">
      <c r="A234" s="11">
        <v>43320</v>
      </c>
      <c r="B234" s="382">
        <f>'2023'!Maxi_hp</f>
        <v>57.38042233361849</v>
      </c>
      <c r="C234" s="85">
        <f>'2023'!An_max</f>
        <v>2022</v>
      </c>
      <c r="D234" s="1132"/>
      <c r="E234" s="709"/>
      <c r="F234" s="13">
        <f t="shared" si="110"/>
        <v>17</v>
      </c>
      <c r="G234" s="13">
        <f t="shared" si="94"/>
        <v>18</v>
      </c>
      <c r="H234" s="175">
        <f t="shared" si="95"/>
        <v>43318</v>
      </c>
      <c r="I234" s="772">
        <f t="shared" si="96"/>
        <v>0.14285714285714285</v>
      </c>
      <c r="J234" s="763">
        <f t="shared" si="97"/>
        <v>58.646188920949193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P234" s="13">
        <f t="shared" si="98"/>
        <v>9</v>
      </c>
      <c r="AQ234" s="13">
        <f t="shared" si="99"/>
        <v>10</v>
      </c>
      <c r="AR234" s="175">
        <f t="shared" si="100"/>
        <v>43304</v>
      </c>
      <c r="AS234" s="772">
        <f t="shared" si="101"/>
        <v>0.5714285714285714</v>
      </c>
      <c r="AT234" s="789">
        <f t="shared" si="102"/>
        <v>58.722156268411446</v>
      </c>
      <c r="AU234" s="13">
        <f t="shared" si="103"/>
        <v>9</v>
      </c>
      <c r="AV234" s="13">
        <f t="shared" si="104"/>
        <v>10</v>
      </c>
      <c r="AW234" s="175">
        <f t="shared" si="105"/>
        <v>43318</v>
      </c>
      <c r="AX234" s="772">
        <f t="shared" si="106"/>
        <v>7.1428571428571425E-2</v>
      </c>
      <c r="AY234" s="789">
        <f t="shared" si="107"/>
        <v>58.623560749632972</v>
      </c>
      <c r="AZ234" s="763">
        <f t="shared" si="111"/>
        <v>58.672858509022205</v>
      </c>
      <c r="BA234" s="647">
        <f t="shared" si="108"/>
        <v>0.97841689953567379</v>
      </c>
      <c r="BB234" s="642">
        <v>43320</v>
      </c>
      <c r="BC234" s="11">
        <v>43320</v>
      </c>
      <c r="BD234" s="292">
        <f>[2]!FeuilCaduc*(1-Persistant)+Persistant</f>
        <v>1</v>
      </c>
      <c r="BE234" s="293">
        <f>[2]!CroissVégét</f>
        <v>0.91887939725970647</v>
      </c>
      <c r="BF234" s="842">
        <f>1+[2]!Salcycl*Ksac</f>
        <v>1.0995939393180583</v>
      </c>
      <c r="BH234" s="1105">
        <f t="shared" si="109"/>
        <v>2.366437150112598E-3</v>
      </c>
      <c r="BI234" s="11">
        <v>44416</v>
      </c>
      <c r="BJ234" s="742">
        <v>2.2980496148340953E-4</v>
      </c>
      <c r="BK234" s="742">
        <v>8.1783120223410119E-4</v>
      </c>
      <c r="BL234" s="742">
        <v>1.9279134256444336E-3</v>
      </c>
      <c r="BM234" s="742">
        <v>4.1229906661515046E-3</v>
      </c>
      <c r="BN234" s="742">
        <v>8.0166834484851797E-3</v>
      </c>
      <c r="BO234" s="743">
        <v>1.4760034286113053E-2</v>
      </c>
      <c r="BP234" s="742">
        <v>2.4926547171766969E-2</v>
      </c>
      <c r="BQ234" s="742">
        <v>4.0319001516134059E-2</v>
      </c>
      <c r="BR234" s="742">
        <v>6.062371333423603E-2</v>
      </c>
      <c r="BS234" s="742">
        <v>8.6722643974102939E-2</v>
      </c>
      <c r="BT234" s="742">
        <v>0.11599910645843195</v>
      </c>
      <c r="BW234" s="1187">
        <f>'2018'!R\Max</f>
        <v>0</v>
      </c>
      <c r="BX234" s="1185">
        <f>'2019'!R\Max</f>
        <v>0.93074861569823686</v>
      </c>
      <c r="BY234" s="1185">
        <f>'2020'!R\Max</f>
        <v>0.89726690850061497</v>
      </c>
      <c r="BZ234" s="1185">
        <f>'2021'!R\Max</f>
        <v>0.64186008178516274</v>
      </c>
      <c r="CA234" s="1185">
        <f>'2022'!R\Max</f>
        <v>0.97841689953567379</v>
      </c>
      <c r="CB234" s="1185">
        <f>'2023'!R\Max</f>
        <v>0.97837553077366823</v>
      </c>
      <c r="CC234" s="1185">
        <f>'2024'!R\Max</f>
        <v>0.97832436618243157</v>
      </c>
      <c r="CD234" s="1185">
        <f>'2025'!R\Max</f>
        <v>0.97849828142295736</v>
      </c>
      <c r="CE234" s="1185">
        <f>'2026'!R\Max</f>
        <v>0.97848720860572491</v>
      </c>
      <c r="CF234" s="1186">
        <f>'2027'!R\Max</f>
        <v>0.97847188242891014</v>
      </c>
    </row>
    <row r="235" spans="1:84" s="6" customFormat="1" ht="11.25" x14ac:dyDescent="0.2">
      <c r="A235" s="11">
        <v>43321</v>
      </c>
      <c r="B235" s="382">
        <f>'2023'!Maxi_hp</f>
        <v>56.476341657102651</v>
      </c>
      <c r="C235" s="85">
        <f>'2023'!An_max</f>
        <v>2021</v>
      </c>
      <c r="D235" s="1132"/>
      <c r="E235" s="709"/>
      <c r="F235" s="13">
        <f t="shared" si="110"/>
        <v>17</v>
      </c>
      <c r="G235" s="13">
        <f t="shared" si="94"/>
        <v>18</v>
      </c>
      <c r="H235" s="175">
        <f t="shared" si="95"/>
        <v>43318</v>
      </c>
      <c r="I235" s="772">
        <f t="shared" si="96"/>
        <v>0.21428571428571427</v>
      </c>
      <c r="J235" s="763">
        <f t="shared" si="97"/>
        <v>58.445078936378877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P235" s="13">
        <f t="shared" si="98"/>
        <v>9</v>
      </c>
      <c r="AQ235" s="13">
        <f t="shared" si="99"/>
        <v>10</v>
      </c>
      <c r="AR235" s="175">
        <f t="shared" si="100"/>
        <v>43304</v>
      </c>
      <c r="AS235" s="772">
        <f t="shared" si="101"/>
        <v>0.6071428571428571</v>
      </c>
      <c r="AT235" s="789">
        <f t="shared" si="102"/>
        <v>58.523057570747497</v>
      </c>
      <c r="AU235" s="13">
        <f t="shared" si="103"/>
        <v>9</v>
      </c>
      <c r="AV235" s="13">
        <f t="shared" si="104"/>
        <v>10</v>
      </c>
      <c r="AW235" s="175">
        <f t="shared" si="105"/>
        <v>43318</v>
      </c>
      <c r="AX235" s="772">
        <f t="shared" si="106"/>
        <v>0.10714285714285714</v>
      </c>
      <c r="AY235" s="789">
        <f t="shared" si="107"/>
        <v>58.41114374540215</v>
      </c>
      <c r="AZ235" s="763">
        <f t="shared" si="111"/>
        <v>58.467100658074827</v>
      </c>
      <c r="BA235" s="647">
        <f t="shared" si="108"/>
        <v>0.96631474685115371</v>
      </c>
      <c r="BB235" s="642">
        <v>43321</v>
      </c>
      <c r="BC235" s="11">
        <v>43321</v>
      </c>
      <c r="BD235" s="292">
        <f>[2]!FeuilCaduc*(1-Persistant)+Persistant</f>
        <v>1</v>
      </c>
      <c r="BE235" s="293">
        <f>[2]!CroissVégét</f>
        <v>0.92190211899696306</v>
      </c>
      <c r="BF235" s="842">
        <f>1+[2]!Salcycl*Ksac</f>
        <v>1.0995291810627954</v>
      </c>
      <c r="BH235" s="1105">
        <f t="shared" si="109"/>
        <v>2.5521264567866602E-3</v>
      </c>
      <c r="BI235" s="11">
        <v>44417</v>
      </c>
      <c r="BJ235" s="742">
        <v>2.357487572336879E-4</v>
      </c>
      <c r="BK235" s="742">
        <v>8.7353744924942398E-4</v>
      </c>
      <c r="BL235" s="742">
        <v>2.0755960242030487E-3</v>
      </c>
      <c r="BM235" s="742">
        <v>4.4609198929216097E-3</v>
      </c>
      <c r="BN235" s="742">
        <v>8.6393411752280769E-3</v>
      </c>
      <c r="BO235" s="743">
        <v>1.5797935359758555E-2</v>
      </c>
      <c r="BP235" s="742">
        <v>2.6608252575481828E-2</v>
      </c>
      <c r="BQ235" s="742">
        <v>4.2798086537099454E-2</v>
      </c>
      <c r="BR235" s="742">
        <v>6.3969942155206558E-2</v>
      </c>
      <c r="BS235" s="742">
        <v>9.1078294680765212E-2</v>
      </c>
      <c r="BT235" s="742">
        <v>0.12156870396810801</v>
      </c>
      <c r="BW235" s="1187">
        <f>'2018'!R\Max</f>
        <v>0</v>
      </c>
      <c r="BX235" s="1185">
        <f>'2019'!R\Max</f>
        <v>0.8744955949861285</v>
      </c>
      <c r="BY235" s="1185">
        <f>'2020'!R\Max</f>
        <v>0.88220806475195501</v>
      </c>
      <c r="BZ235" s="1185">
        <f>'2021'!R\Max</f>
        <v>0.96631474685115371</v>
      </c>
      <c r="CA235" s="1185">
        <f>'2022'!R\Max</f>
        <v>0.94435412364054838</v>
      </c>
      <c r="CB235" s="1185">
        <f>'2023'!R\Max</f>
        <v>0.9442448426060317</v>
      </c>
      <c r="CC235" s="1185">
        <f>'2024'!R\Max</f>
        <v>0.9441104152684211</v>
      </c>
      <c r="CD235" s="1185">
        <f>'2025'!R\Max</f>
        <v>0.94457084501397781</v>
      </c>
      <c r="CE235" s="1185">
        <f>'2026'!R\Max</f>
        <v>0.94454106336747512</v>
      </c>
      <c r="CF235" s="1186">
        <f>'2027'!R\Max</f>
        <v>0.94450010664690909</v>
      </c>
    </row>
    <row r="236" spans="1:84" s="6" customFormat="1" ht="11.25" x14ac:dyDescent="0.2">
      <c r="A236" s="11">
        <v>43322</v>
      </c>
      <c r="B236" s="382">
        <f>'2023'!Maxi_hp</f>
        <v>53.155188356658869</v>
      </c>
      <c r="C236" s="85">
        <f>'2023'!An_max</f>
        <v>2022</v>
      </c>
      <c r="D236" s="1132"/>
      <c r="E236" s="709"/>
      <c r="F236" s="13">
        <f t="shared" si="110"/>
        <v>17</v>
      </c>
      <c r="G236" s="13">
        <f t="shared" si="94"/>
        <v>18</v>
      </c>
      <c r="H236" s="175">
        <f t="shared" si="95"/>
        <v>43318</v>
      </c>
      <c r="I236" s="772">
        <f t="shared" si="96"/>
        <v>0.2857142857142857</v>
      </c>
      <c r="J236" s="763">
        <f t="shared" si="97"/>
        <v>58.241029738102633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P236" s="13">
        <f t="shared" si="98"/>
        <v>9</v>
      </c>
      <c r="AQ236" s="13">
        <f t="shared" si="99"/>
        <v>10</v>
      </c>
      <c r="AR236" s="175">
        <f t="shared" si="100"/>
        <v>43304</v>
      </c>
      <c r="AS236" s="772">
        <f t="shared" si="101"/>
        <v>0.6428571428571429</v>
      </c>
      <c r="AT236" s="789">
        <f t="shared" si="102"/>
        <v>58.318843512955524</v>
      </c>
      <c r="AU236" s="13">
        <f t="shared" si="103"/>
        <v>9</v>
      </c>
      <c r="AV236" s="13">
        <f t="shared" si="104"/>
        <v>10</v>
      </c>
      <c r="AW236" s="175">
        <f t="shared" si="105"/>
        <v>43318</v>
      </c>
      <c r="AX236" s="772">
        <f t="shared" si="106"/>
        <v>0.14285714285714285</v>
      </c>
      <c r="AY236" s="789">
        <f t="shared" si="107"/>
        <v>58.196112535681053</v>
      </c>
      <c r="AZ236" s="763">
        <f t="shared" si="111"/>
        <v>58.257478024318289</v>
      </c>
      <c r="BA236" s="647">
        <f t="shared" si="108"/>
        <v>0.91267597080076202</v>
      </c>
      <c r="BB236" s="642">
        <v>43322</v>
      </c>
      <c r="BC236" s="11">
        <v>43322</v>
      </c>
      <c r="BD236" s="292">
        <f>[2]!FeuilCaduc*(1-Persistant)+Persistant</f>
        <v>1</v>
      </c>
      <c r="BE236" s="293">
        <f>[2]!CroissVégét</f>
        <v>0.92482186992875737</v>
      </c>
      <c r="BF236" s="842">
        <f>1+[2]!Salcycl*Ksac</f>
        <v>1.099459683732805</v>
      </c>
      <c r="BH236" s="1105">
        <f t="shared" si="109"/>
        <v>2.7575543494878013E-3</v>
      </c>
      <c r="BI236" s="11">
        <v>44418</v>
      </c>
      <c r="BJ236" s="742">
        <v>2.4454988905322074E-4</v>
      </c>
      <c r="BK236" s="742">
        <v>9.3800753438038058E-4</v>
      </c>
      <c r="BL236" s="742">
        <v>2.2406261443634477E-3</v>
      </c>
      <c r="BM236" s="742">
        <v>4.8281653691129968E-3</v>
      </c>
      <c r="BN236" s="742">
        <v>9.3082663700464457E-3</v>
      </c>
      <c r="BO236" s="743">
        <v>1.6893087512519202E-2</v>
      </c>
      <c r="BP236" s="742">
        <v>2.8351858184768573E-2</v>
      </c>
      <c r="BQ236" s="742">
        <v>4.5308464372475425E-2</v>
      </c>
      <c r="BR236" s="742">
        <v>6.7319007248374266E-2</v>
      </c>
      <c r="BS236" s="742">
        <v>9.5360966663875266E-2</v>
      </c>
      <c r="BT236" s="742">
        <v>0.12696859796801119</v>
      </c>
      <c r="BW236" s="1187">
        <f>'2018'!R\Max</f>
        <v>0</v>
      </c>
      <c r="BX236" s="1185">
        <f>'2019'!R\Max</f>
        <v>0.74440860466282732</v>
      </c>
      <c r="BY236" s="1185">
        <f>'2020'!R\Max</f>
        <v>0.71402709736443437</v>
      </c>
      <c r="BZ236" s="1185">
        <f>'2021'!R\Max</f>
        <v>0.88914705076150169</v>
      </c>
      <c r="CA236" s="1185">
        <f>'2022'!R\Max</f>
        <v>0.91267597080076202</v>
      </c>
      <c r="CB236" s="1185">
        <f>'2023'!R\Max</f>
        <v>0.91250069672246636</v>
      </c>
      <c r="CC236" s="1185">
        <f>'2024'!R\Max</f>
        <v>0.91228633295327866</v>
      </c>
      <c r="CD236" s="1185">
        <f>'2025'!R\Max</f>
        <v>0.91302698254892756</v>
      </c>
      <c r="CE236" s="1185">
        <f>'2026'!R\Max</f>
        <v>0.91297821350331887</v>
      </c>
      <c r="CF236" s="1186">
        <f>'2027'!R\Max</f>
        <v>0.91291159689493373</v>
      </c>
    </row>
    <row r="237" spans="1:84" s="6" customFormat="1" ht="11.25" x14ac:dyDescent="0.2">
      <c r="A237" s="11">
        <v>43323</v>
      </c>
      <c r="B237" s="382">
        <f>'2023'!Maxi_hp</f>
        <v>51.445554600155653</v>
      </c>
      <c r="C237" s="85">
        <f>'2023'!An_max</f>
        <v>2021</v>
      </c>
      <c r="D237" s="1132"/>
      <c r="E237" s="709"/>
      <c r="F237" s="13">
        <f t="shared" si="110"/>
        <v>17</v>
      </c>
      <c r="G237" s="13">
        <f t="shared" si="94"/>
        <v>18</v>
      </c>
      <c r="H237" s="175">
        <f t="shared" si="95"/>
        <v>43318</v>
      </c>
      <c r="I237" s="772">
        <f t="shared" si="96"/>
        <v>0.35714285714285715</v>
      </c>
      <c r="J237" s="763">
        <f t="shared" si="97"/>
        <v>58.033589139633946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P237" s="13">
        <f t="shared" si="98"/>
        <v>9</v>
      </c>
      <c r="AQ237" s="13">
        <f t="shared" si="99"/>
        <v>10</v>
      </c>
      <c r="AR237" s="175">
        <f t="shared" si="100"/>
        <v>43304</v>
      </c>
      <c r="AS237" s="772">
        <f t="shared" si="101"/>
        <v>0.6785714285714286</v>
      </c>
      <c r="AT237" s="789">
        <f t="shared" si="102"/>
        <v>58.109259739930607</v>
      </c>
      <c r="AU237" s="13">
        <f t="shared" si="103"/>
        <v>9</v>
      </c>
      <c r="AV237" s="13">
        <f t="shared" si="104"/>
        <v>10</v>
      </c>
      <c r="AW237" s="175">
        <f t="shared" si="105"/>
        <v>43318</v>
      </c>
      <c r="AX237" s="772">
        <f t="shared" si="106"/>
        <v>0.17857142857142858</v>
      </c>
      <c r="AY237" s="789">
        <f t="shared" si="107"/>
        <v>57.978255161643027</v>
      </c>
      <c r="AZ237" s="763">
        <f t="shared" si="111"/>
        <v>58.043757450786813</v>
      </c>
      <c r="BA237" s="647">
        <f t="shared" si="108"/>
        <v>0.88647894026290708</v>
      </c>
      <c r="BB237" s="642">
        <v>43323</v>
      </c>
      <c r="BC237" s="11">
        <v>43323</v>
      </c>
      <c r="BD237" s="292">
        <f>[2]!FeuilCaduc*(1-Persistant)+Persistant</f>
        <v>1</v>
      </c>
      <c r="BE237" s="293">
        <f>[2]!CroissVégét</f>
        <v>0.92764148214144238</v>
      </c>
      <c r="BF237" s="842">
        <f>1+[2]!Salcycl*Ksac</f>
        <v>1.0993854172719755</v>
      </c>
      <c r="BH237" s="1105">
        <f t="shared" si="109"/>
        <v>2.9827230250101216E-3</v>
      </c>
      <c r="BI237" s="11">
        <v>44419</v>
      </c>
      <c r="BJ237" s="742">
        <v>2.5620814198970039E-4</v>
      </c>
      <c r="BK237" s="742">
        <v>1.011241779717452E-3</v>
      </c>
      <c r="BL237" s="742">
        <v>2.4230053429704552E-3</v>
      </c>
      <c r="BM237" s="742">
        <v>5.2247318549047935E-3</v>
      </c>
      <c r="BN237" s="742">
        <v>1.0023468502452487E-2</v>
      </c>
      <c r="BO237" s="743">
        <v>1.8045508221362843E-2</v>
      </c>
      <c r="BP237" s="742">
        <v>3.0157395303225046E-2</v>
      </c>
      <c r="BQ237" s="742">
        <v>4.7850186472535132E-2</v>
      </c>
      <c r="BR237" s="742">
        <v>7.0670980358181326E-2</v>
      </c>
      <c r="BS237" s="742">
        <v>9.9570759093515607E-2</v>
      </c>
      <c r="BT237" s="742">
        <v>0.13219892185421725</v>
      </c>
      <c r="BW237" s="1187">
        <f>'2018'!R\Max</f>
        <v>0</v>
      </c>
      <c r="BX237" s="1185">
        <f>'2019'!R\Max</f>
        <v>0.47879770629595902</v>
      </c>
      <c r="BY237" s="1185">
        <f>'2020'!R\Max</f>
        <v>0.65487090908499668</v>
      </c>
      <c r="BZ237" s="1185">
        <f>'2021'!R\Max</f>
        <v>0.88647894026290708</v>
      </c>
      <c r="CA237" s="1185">
        <f>'2022'!R\Max</f>
        <v>0.82963579984845737</v>
      </c>
      <c r="CB237" s="1185">
        <f>'2023'!R\Max</f>
        <v>0.82930823355800953</v>
      </c>
      <c r="CC237" s="1185">
        <f>'2024'!R\Max</f>
        <v>0.82891015281062719</v>
      </c>
      <c r="CD237" s="1185">
        <f>'2025'!R\Max</f>
        <v>0.83029945574232855</v>
      </c>
      <c r="CE237" s="1185">
        <f>'2026'!R\Max</f>
        <v>0.83020613552262679</v>
      </c>
      <c r="CF237" s="1186">
        <f>'2027'!R\Max</f>
        <v>0.83007956070362454</v>
      </c>
    </row>
    <row r="238" spans="1:84" s="6" customFormat="1" ht="11.25" x14ac:dyDescent="0.2">
      <c r="A238" s="11">
        <v>43324</v>
      </c>
      <c r="B238" s="382">
        <f>'2023'!Maxi_hp</f>
        <v>51.220274033581461</v>
      </c>
      <c r="C238" s="85">
        <f>'2023'!An_max</f>
        <v>2022</v>
      </c>
      <c r="D238" s="1132"/>
      <c r="E238" s="709"/>
      <c r="F238" s="13">
        <f t="shared" si="110"/>
        <v>17</v>
      </c>
      <c r="G238" s="13">
        <f t="shared" si="94"/>
        <v>18</v>
      </c>
      <c r="H238" s="175">
        <f t="shared" si="95"/>
        <v>43318</v>
      </c>
      <c r="I238" s="772">
        <f t="shared" si="96"/>
        <v>0.42857142857142855</v>
      </c>
      <c r="J238" s="763">
        <f t="shared" si="97"/>
        <v>57.822304956721403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P238" s="13">
        <f t="shared" si="98"/>
        <v>9</v>
      </c>
      <c r="AQ238" s="13">
        <f t="shared" si="99"/>
        <v>10</v>
      </c>
      <c r="AR238" s="175">
        <f t="shared" si="100"/>
        <v>43304</v>
      </c>
      <c r="AS238" s="772">
        <f t="shared" si="101"/>
        <v>0.7142857142857143</v>
      </c>
      <c r="AT238" s="789">
        <f t="shared" si="102"/>
        <v>57.894051895077745</v>
      </c>
      <c r="AU238" s="13">
        <f t="shared" si="103"/>
        <v>9</v>
      </c>
      <c r="AV238" s="13">
        <f t="shared" si="104"/>
        <v>10</v>
      </c>
      <c r="AW238" s="175">
        <f t="shared" si="105"/>
        <v>43318</v>
      </c>
      <c r="AX238" s="772">
        <f t="shared" si="106"/>
        <v>0.21428571428571427</v>
      </c>
      <c r="AY238" s="789">
        <f t="shared" si="107"/>
        <v>57.757359656797988</v>
      </c>
      <c r="AZ238" s="763">
        <f t="shared" si="111"/>
        <v>57.825705775937863</v>
      </c>
      <c r="BA238" s="647">
        <f t="shared" si="108"/>
        <v>0.8858220728474695</v>
      </c>
      <c r="BB238" s="642">
        <v>43324</v>
      </c>
      <c r="BC238" s="11">
        <v>43324</v>
      </c>
      <c r="BD238" s="292">
        <f>[2]!FeuilCaduc*(1-Persistant)+Persistant</f>
        <v>1</v>
      </c>
      <c r="BE238" s="293">
        <f>[2]!CroissVégét</f>
        <v>0.93036376011657451</v>
      </c>
      <c r="BF238" s="842">
        <f>1+[2]!Salcycl*Ksac</f>
        <v>1.0993063206493434</v>
      </c>
      <c r="BH238" s="1105">
        <f t="shared" si="109"/>
        <v>3.2276354829802044E-3</v>
      </c>
      <c r="BI238" s="11">
        <v>44420</v>
      </c>
      <c r="BJ238" s="742">
        <v>2.7072344329842239E-4</v>
      </c>
      <c r="BK238" s="742">
        <v>1.0932408970475659E-3</v>
      </c>
      <c r="BL238" s="742">
        <v>2.622735901744415E-3</v>
      </c>
      <c r="BM238" s="742">
        <v>5.6506252255735384E-3</v>
      </c>
      <c r="BN238" s="742">
        <v>1.0784958690364171E-2</v>
      </c>
      <c r="BO238" s="743">
        <v>1.9255216669126555E-2</v>
      </c>
      <c r="BP238" s="742">
        <v>3.2024896380976609E-2</v>
      </c>
      <c r="BQ238" s="742">
        <v>5.0423302834586479E-2</v>
      </c>
      <c r="BR238" s="742">
        <v>7.4025929200190826E-2</v>
      </c>
      <c r="BS238" s="742">
        <v>0.10370776187448538</v>
      </c>
      <c r="BT238" s="742">
        <v>0.13725979317061446</v>
      </c>
      <c r="BW238" s="1187">
        <f>'2018'!R\Max</f>
        <v>0</v>
      </c>
      <c r="BX238" s="1185">
        <f>'2019'!R\Max</f>
        <v>0.54034237514664452</v>
      </c>
      <c r="BY238" s="1185">
        <f>'2020'!R\Max</f>
        <v>0.75918412646022537</v>
      </c>
      <c r="BZ238" s="1185">
        <f>'2021'!R\Max</f>
        <v>0.86229967628232151</v>
      </c>
      <c r="CA238" s="1185">
        <f>'2022'!R\Max</f>
        <v>0.8858220728474695</v>
      </c>
      <c r="CB238" s="1185">
        <f>'2023'!R\Max</f>
        <v>0.88557572374701432</v>
      </c>
      <c r="CC238" s="1185">
        <f>'2024'!R\Max</f>
        <v>0.88527810967854426</v>
      </c>
      <c r="CD238" s="1185">
        <f>'2025'!R\Max</f>
        <v>0.88632713758606418</v>
      </c>
      <c r="CE238" s="1185">
        <f>'2026'!R\Max</f>
        <v>0.88625526037213931</v>
      </c>
      <c r="CF238" s="1186">
        <f>'2027'!R\Max</f>
        <v>0.88615844697599178</v>
      </c>
    </row>
    <row r="239" spans="1:84" s="6" customFormat="1" ht="11.25" x14ac:dyDescent="0.2">
      <c r="A239" s="11">
        <v>43325</v>
      </c>
      <c r="B239" s="382">
        <f>'2023'!Maxi_hp</f>
        <v>52.158181392668176</v>
      </c>
      <c r="C239" s="85">
        <f>'2023'!An_max</f>
        <v>2019</v>
      </c>
      <c r="D239" s="1132"/>
      <c r="E239" s="709"/>
      <c r="F239" s="13">
        <f t="shared" si="110"/>
        <v>17</v>
      </c>
      <c r="G239" s="13">
        <f t="shared" si="94"/>
        <v>18</v>
      </c>
      <c r="H239" s="175">
        <f t="shared" si="95"/>
        <v>43318</v>
      </c>
      <c r="I239" s="772">
        <f t="shared" si="96"/>
        <v>0.5</v>
      </c>
      <c r="J239" s="763">
        <f t="shared" si="97"/>
        <v>57.606725000590089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P239" s="13">
        <f t="shared" si="98"/>
        <v>9</v>
      </c>
      <c r="AQ239" s="13">
        <f t="shared" si="99"/>
        <v>10</v>
      </c>
      <c r="AR239" s="175">
        <f t="shared" si="100"/>
        <v>43304</v>
      </c>
      <c r="AS239" s="772">
        <f t="shared" si="101"/>
        <v>0.75</v>
      </c>
      <c r="AT239" s="789">
        <f t="shared" si="102"/>
        <v>57.672965625207873</v>
      </c>
      <c r="AU239" s="13">
        <f t="shared" si="103"/>
        <v>9</v>
      </c>
      <c r="AV239" s="13">
        <f t="shared" si="104"/>
        <v>10</v>
      </c>
      <c r="AW239" s="175">
        <f t="shared" si="105"/>
        <v>43318</v>
      </c>
      <c r="AX239" s="772">
        <f t="shared" si="106"/>
        <v>0.25</v>
      </c>
      <c r="AY239" s="789">
        <f t="shared" si="107"/>
        <v>57.533214061707255</v>
      </c>
      <c r="AZ239" s="763">
        <f t="shared" si="111"/>
        <v>57.603089843457568</v>
      </c>
      <c r="BA239" s="647">
        <f t="shared" si="108"/>
        <v>0.90541827177528145</v>
      </c>
      <c r="BB239" s="642">
        <v>43325</v>
      </c>
      <c r="BC239" s="11">
        <v>43325</v>
      </c>
      <c r="BD239" s="292">
        <f>[2]!FeuilCaduc*(1-Persistant)+Persistant</f>
        <v>1</v>
      </c>
      <c r="BE239" s="293">
        <f>[2]!CroissVégét</f>
        <v>0.93299147677206173</v>
      </c>
      <c r="BF239" s="842">
        <f>1+[2]!Salcycl*Ksac</f>
        <v>1.0992223042986435</v>
      </c>
      <c r="BH239" s="1105">
        <f t="shared" si="109"/>
        <v>3.4922954645120689E-3</v>
      </c>
      <c r="BI239" s="11">
        <v>44421</v>
      </c>
      <c r="BJ239" s="742">
        <v>2.8809585356537364E-4</v>
      </c>
      <c r="BK239" s="742">
        <v>1.1840059606194498E-3</v>
      </c>
      <c r="BL239" s="742">
        <v>2.8398207733682109E-3</v>
      </c>
      <c r="BM239" s="742">
        <v>6.1058523803781935E-3</v>
      </c>
      <c r="BN239" s="742">
        <v>1.1592749556314638E-2</v>
      </c>
      <c r="BO239" s="743">
        <v>2.0522233566624675E-2</v>
      </c>
      <c r="BP239" s="742">
        <v>3.39543948223828E-2</v>
      </c>
      <c r="BQ239" s="742">
        <v>5.3027861905926066E-2</v>
      </c>
      <c r="BR239" s="742">
        <v>7.7383917452694254E-2</v>
      </c>
      <c r="BS239" s="742">
        <v>0.10777205587383741</v>
      </c>
      <c r="BT239" s="742">
        <v>0.14215131413737098</v>
      </c>
      <c r="BW239" s="1187">
        <f>'2018'!R\Max</f>
        <v>0</v>
      </c>
      <c r="BX239" s="1185">
        <f>'2019'!R\Max</f>
        <v>0.90541827177528145</v>
      </c>
      <c r="BY239" s="1185">
        <f>'2020'!R\Max</f>
        <v>0.465398812265432</v>
      </c>
      <c r="BZ239" s="1185">
        <f>'2021'!R\Max</f>
        <v>0.59045525773608321</v>
      </c>
      <c r="CA239" s="1185">
        <f>'2022'!R\Max</f>
        <v>0.5989099974308687</v>
      </c>
      <c r="CB239" s="1185">
        <f>'2023'!R\Max</f>
        <v>0.59829728664130022</v>
      </c>
      <c r="CC239" s="1185">
        <f>'2024'!R\Max</f>
        <v>0.59756300904626725</v>
      </c>
      <c r="CD239" s="1185">
        <f>'2025'!R\Max</f>
        <v>0.60018587636916321</v>
      </c>
      <c r="CE239" s="1185">
        <f>'2026'!R\Max</f>
        <v>0.60000175911574427</v>
      </c>
      <c r="CF239" s="1186">
        <f>'2027'!R\Max</f>
        <v>0.59975565036936396</v>
      </c>
    </row>
    <row r="240" spans="1:84" s="6" customFormat="1" ht="11.25" x14ac:dyDescent="0.2">
      <c r="A240" s="11">
        <v>43326</v>
      </c>
      <c r="B240" s="382">
        <f>'2023'!Maxi_hp</f>
        <v>56.516623137013951</v>
      </c>
      <c r="C240" s="85">
        <f>'2023'!An_max</f>
        <v>2019</v>
      </c>
      <c r="D240" s="1132"/>
      <c r="E240" s="709"/>
      <c r="F240" s="13">
        <f t="shared" si="110"/>
        <v>17</v>
      </c>
      <c r="G240" s="13">
        <f t="shared" si="94"/>
        <v>18</v>
      </c>
      <c r="H240" s="175">
        <f t="shared" si="95"/>
        <v>43318</v>
      </c>
      <c r="I240" s="772">
        <f t="shared" si="96"/>
        <v>0.5714285714285714</v>
      </c>
      <c r="J240" s="763">
        <f t="shared" si="97"/>
        <v>57.386397084168024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P240" s="13">
        <f t="shared" si="98"/>
        <v>9</v>
      </c>
      <c r="AQ240" s="13">
        <f t="shared" si="99"/>
        <v>10</v>
      </c>
      <c r="AR240" s="175">
        <f t="shared" si="100"/>
        <v>43304</v>
      </c>
      <c r="AS240" s="772">
        <f t="shared" si="101"/>
        <v>0.7857142857142857</v>
      </c>
      <c r="AT240" s="789">
        <f t="shared" si="102"/>
        <v>57.445746574098507</v>
      </c>
      <c r="AU240" s="13">
        <f t="shared" si="103"/>
        <v>9</v>
      </c>
      <c r="AV240" s="13">
        <f t="shared" si="104"/>
        <v>10</v>
      </c>
      <c r="AW240" s="175">
        <f t="shared" si="105"/>
        <v>43318</v>
      </c>
      <c r="AX240" s="772">
        <f t="shared" si="106"/>
        <v>0.2857142857142857</v>
      </c>
      <c r="AY240" s="789">
        <f t="shared" si="107"/>
        <v>57.305606414058374</v>
      </c>
      <c r="AZ240" s="763">
        <f t="shared" si="111"/>
        <v>57.375676494078441</v>
      </c>
      <c r="BA240" s="647">
        <f t="shared" si="108"/>
        <v>0.98484355193307593</v>
      </c>
      <c r="BB240" s="642">
        <v>43326</v>
      </c>
      <c r="BC240" s="11">
        <v>43326</v>
      </c>
      <c r="BD240" s="292">
        <f>[2]!FeuilCaduc*(1-Persistant)+Persistant</f>
        <v>1</v>
      </c>
      <c r="BE240" s="293">
        <f>[2]!CroissVégét</f>
        <v>0.93552736989395957</v>
      </c>
      <c r="BF240" s="842">
        <f>1+[2]!Salcycl*Ksac</f>
        <v>1.0991332525024169</v>
      </c>
      <c r="BH240" s="1105">
        <f t="shared" si="109"/>
        <v>3.7806681882033028E-3</v>
      </c>
      <c r="BI240" s="11">
        <v>44422</v>
      </c>
      <c r="BJ240" s="742">
        <v>3.0974554496299947E-4</v>
      </c>
      <c r="BK240" s="742">
        <v>1.2864359779984093E-3</v>
      </c>
      <c r="BL240" s="742">
        <v>3.0785316798291711E-3</v>
      </c>
      <c r="BM240" s="742">
        <v>6.5931508059217389E-3</v>
      </c>
      <c r="BN240" s="742">
        <v>1.2446475547587639E-2</v>
      </c>
      <c r="BO240" s="743">
        <v>2.1841926482692925E-2</v>
      </c>
      <c r="BP240" s="742">
        <v>3.5924476660271681E-2</v>
      </c>
      <c r="BQ240" s="742">
        <v>5.5630913585012737E-2</v>
      </c>
      <c r="BR240" s="742">
        <v>8.0685149639792134E-2</v>
      </c>
      <c r="BS240" s="742">
        <v>0.11168866702545166</v>
      </c>
      <c r="BT240" s="742">
        <v>0.14677568979247255</v>
      </c>
      <c r="BW240" s="1187">
        <f>'2018'!R\Max</f>
        <v>0</v>
      </c>
      <c r="BX240" s="1185">
        <f>'2019'!R\Max</f>
        <v>0.98484355193307593</v>
      </c>
      <c r="BY240" s="1185">
        <f>'2020'!R\Max</f>
        <v>0.31100038856042583</v>
      </c>
      <c r="BZ240" s="1185">
        <f>'2021'!R\Max</f>
        <v>0.8728796943903202</v>
      </c>
      <c r="CA240" s="1185">
        <f>'2022'!R\Max</f>
        <v>0.64722025673509609</v>
      </c>
      <c r="CB240" s="1185">
        <f>'2023'!R\Max</f>
        <v>0.64661189462033353</v>
      </c>
      <c r="CC240" s="1185">
        <f>'2024'!R\Max</f>
        <v>0.64588736907019362</v>
      </c>
      <c r="CD240" s="1185">
        <f>'2025'!R\Max</f>
        <v>0.64850497462977541</v>
      </c>
      <c r="CE240" s="1185">
        <f>'2026'!R\Max</f>
        <v>0.64831717181661941</v>
      </c>
      <c r="CF240" s="1186">
        <f>'2027'!R\Max</f>
        <v>0.64806789745004778</v>
      </c>
    </row>
    <row r="241" spans="1:84" s="6" customFormat="1" ht="11.25" x14ac:dyDescent="0.2">
      <c r="A241" s="11">
        <v>43327</v>
      </c>
      <c r="B241" s="382">
        <f>'2023'!Maxi_hp</f>
        <v>51.583884574540299</v>
      </c>
      <c r="C241" s="85">
        <f>'2023'!An_max</f>
        <v>2020</v>
      </c>
      <c r="D241" s="1132"/>
      <c r="E241" s="709"/>
      <c r="F241" s="13">
        <f t="shared" si="110"/>
        <v>17</v>
      </c>
      <c r="G241" s="13">
        <f t="shared" si="94"/>
        <v>18</v>
      </c>
      <c r="H241" s="175">
        <f t="shared" si="95"/>
        <v>43318</v>
      </c>
      <c r="I241" s="772">
        <f t="shared" si="96"/>
        <v>0.6428571428571429</v>
      </c>
      <c r="J241" s="763">
        <f t="shared" si="97"/>
        <v>57.160869023629594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P241" s="13">
        <f t="shared" si="98"/>
        <v>9</v>
      </c>
      <c r="AQ241" s="13">
        <f t="shared" si="99"/>
        <v>10</v>
      </c>
      <c r="AR241" s="175">
        <f t="shared" si="100"/>
        <v>43304</v>
      </c>
      <c r="AS241" s="772">
        <f t="shared" si="101"/>
        <v>0.8214285714285714</v>
      </c>
      <c r="AT241" s="789">
        <f t="shared" si="102"/>
        <v>57.212140387270061</v>
      </c>
      <c r="AU241" s="13">
        <f t="shared" si="103"/>
        <v>9</v>
      </c>
      <c r="AV241" s="13">
        <f t="shared" si="104"/>
        <v>10</v>
      </c>
      <c r="AW241" s="175">
        <f t="shared" si="105"/>
        <v>43318</v>
      </c>
      <c r="AX241" s="772">
        <f t="shared" si="106"/>
        <v>0.32142857142857145</v>
      </c>
      <c r="AY241" s="789">
        <f t="shared" si="107"/>
        <v>57.074324748611879</v>
      </c>
      <c r="AZ241" s="763">
        <f t="shared" si="111"/>
        <v>57.14323256794097</v>
      </c>
      <c r="BA241" s="647">
        <f t="shared" si="108"/>
        <v>0.90243352586567849</v>
      </c>
      <c r="BB241" s="642">
        <v>43327</v>
      </c>
      <c r="BC241" s="11">
        <v>43327</v>
      </c>
      <c r="BD241" s="292">
        <f>[2]!FeuilCaduc*(1-Persistant)+Persistant</f>
        <v>1</v>
      </c>
      <c r="BE241" s="293">
        <f>[2]!CroissVégét</f>
        <v>0.93797413894004</v>
      </c>
      <c r="BF241" s="842">
        <f>1+[2]!Salcycl*Ksac</f>
        <v>1.0990390256905012</v>
      </c>
      <c r="BH241" s="1105">
        <f t="shared" si="109"/>
        <v>4.083556546694473E-3</v>
      </c>
      <c r="BI241" s="11">
        <v>44423</v>
      </c>
      <c r="BJ241" s="742">
        <v>3.3467639754122808E-4</v>
      </c>
      <c r="BK241" s="742">
        <v>1.3973841687407562E-3</v>
      </c>
      <c r="BL241" s="742">
        <v>3.331354718228183E-3</v>
      </c>
      <c r="BM241" s="742">
        <v>7.0965811399836725E-3</v>
      </c>
      <c r="BN241" s="742">
        <v>1.3319093943099332E-2</v>
      </c>
      <c r="BO241" s="743">
        <v>2.3181054129574139E-2</v>
      </c>
      <c r="BP241" s="742">
        <v>3.789175842201295E-2</v>
      </c>
      <c r="BQ241" s="742">
        <v>5.8204180694137041E-2</v>
      </c>
      <c r="BR241" s="742">
        <v>8.3913078480308878E-2</v>
      </c>
      <c r="BS241" s="742">
        <v>0.11547086339997366</v>
      </c>
      <c r="BT241" s="742">
        <v>0.15116417294504603</v>
      </c>
      <c r="BW241" s="1187">
        <f>'2018'!R\Max</f>
        <v>0</v>
      </c>
      <c r="BX241" s="1185">
        <f>'2019'!R\Max</f>
        <v>0.51346740499270505</v>
      </c>
      <c r="BY241" s="1185">
        <f>'2020'!R\Max</f>
        <v>0.90243352586567849</v>
      </c>
      <c r="BZ241" s="1185">
        <f>'2021'!R\Max</f>
        <v>0.38907325639422091</v>
      </c>
      <c r="CA241" s="1185">
        <f>'2022'!R\Max</f>
        <v>0.76281433309006574</v>
      </c>
      <c r="CB241" s="1185">
        <f>'2023'!R\Max</f>
        <v>0.76231207870934181</v>
      </c>
      <c r="CC241" s="1185">
        <f>'2024'!R\Max</f>
        <v>0.76171708435912255</v>
      </c>
      <c r="CD241" s="1185">
        <f>'2025'!R\Max</f>
        <v>0.76388904595877094</v>
      </c>
      <c r="CE241" s="1185">
        <f>'2026'!R\Max</f>
        <v>0.76373004664271871</v>
      </c>
      <c r="CF241" s="1186">
        <f>'2027'!R\Max</f>
        <v>0.76352032479461829</v>
      </c>
    </row>
    <row r="242" spans="1:84" s="6" customFormat="1" ht="11.25" x14ac:dyDescent="0.2">
      <c r="A242" s="11">
        <v>43328</v>
      </c>
      <c r="B242" s="382">
        <f>'2023'!Maxi_hp</f>
        <v>55.530808319610884</v>
      </c>
      <c r="C242" s="85">
        <f>'2023'!An_max</f>
        <v>2019</v>
      </c>
      <c r="D242" s="1132"/>
      <c r="E242" s="709"/>
      <c r="F242" s="13">
        <f t="shared" si="110"/>
        <v>17</v>
      </c>
      <c r="G242" s="13">
        <f t="shared" si="94"/>
        <v>18</v>
      </c>
      <c r="H242" s="175">
        <f t="shared" si="95"/>
        <v>43318</v>
      </c>
      <c r="I242" s="772">
        <f t="shared" si="96"/>
        <v>0.7142857142857143</v>
      </c>
      <c r="J242" s="763">
        <f t="shared" si="97"/>
        <v>56.929688628975825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P242" s="13">
        <f t="shared" si="98"/>
        <v>9</v>
      </c>
      <c r="AQ242" s="13">
        <f t="shared" si="99"/>
        <v>10</v>
      </c>
      <c r="AR242" s="175">
        <f t="shared" si="100"/>
        <v>43304</v>
      </c>
      <c r="AS242" s="772">
        <f t="shared" si="101"/>
        <v>0.8571428571428571</v>
      </c>
      <c r="AT242" s="789">
        <f t="shared" si="102"/>
        <v>56.9718927112541</v>
      </c>
      <c r="AU242" s="13">
        <f t="shared" si="103"/>
        <v>9</v>
      </c>
      <c r="AV242" s="13">
        <f t="shared" si="104"/>
        <v>10</v>
      </c>
      <c r="AW242" s="175">
        <f t="shared" si="105"/>
        <v>43318</v>
      </c>
      <c r="AX242" s="772">
        <f t="shared" si="106"/>
        <v>0.35714285714285715</v>
      </c>
      <c r="AY242" s="789">
        <f t="shared" si="107"/>
        <v>56.8391571062484</v>
      </c>
      <c r="AZ242" s="763">
        <f t="shared" si="111"/>
        <v>56.905524908751246</v>
      </c>
      <c r="BA242" s="647">
        <f t="shared" si="108"/>
        <v>0.97542792973132575</v>
      </c>
      <c r="BB242" s="642">
        <v>43328</v>
      </c>
      <c r="BC242" s="11">
        <v>43328</v>
      </c>
      <c r="BD242" s="292">
        <f>[2]!FeuilCaduc*(1-Persistant)+Persistant</f>
        <v>1</v>
      </c>
      <c r="BE242" s="293">
        <f>[2]!CroissVégét</f>
        <v>0.94033444219607754</v>
      </c>
      <c r="BF242" s="842">
        <f>1+[2]!Salcycl*Ksac</f>
        <v>1.0989394626249316</v>
      </c>
      <c r="BH242" s="1105">
        <f t="shared" si="109"/>
        <v>4.4009661489303369E-3</v>
      </c>
      <c r="BI242" s="11">
        <v>44424</v>
      </c>
      <c r="BJ242" s="742">
        <v>3.6288885680240627E-4</v>
      </c>
      <c r="BK242" s="742">
        <v>1.5168525924873239E-3</v>
      </c>
      <c r="BL242" s="742">
        <v>3.5982945784839692E-3</v>
      </c>
      <c r="BM242" s="742">
        <v>7.6161526727654772E-3</v>
      </c>
      <c r="BN242" s="742">
        <v>1.4210620601842682E-2</v>
      </c>
      <c r="BO242" s="743">
        <v>2.4539640068970674E-2</v>
      </c>
      <c r="BP242" s="742">
        <v>3.9856273779139147E-2</v>
      </c>
      <c r="BQ242" s="742">
        <v>6.074770480017188E-2</v>
      </c>
      <c r="BR242" s="742">
        <v>8.7067753015349636E-2</v>
      </c>
      <c r="BS242" s="742">
        <v>0.11911869751762492</v>
      </c>
      <c r="BT242" s="742">
        <v>0.15531681983213375</v>
      </c>
      <c r="BW242" s="1187">
        <f>'2018'!R\Max</f>
        <v>0</v>
      </c>
      <c r="BX242" s="1185">
        <f>'2019'!R\Max</f>
        <v>0.97542792973132575</v>
      </c>
      <c r="BY242" s="1185">
        <f>'2020'!R\Max</f>
        <v>0.78753127185234217</v>
      </c>
      <c r="BZ242" s="1185">
        <f>'2021'!R\Max</f>
        <v>0.5933599191765434</v>
      </c>
      <c r="CA242" s="1185">
        <f>'2022'!R\Max</f>
        <v>0.61060311392014355</v>
      </c>
      <c r="CB242" s="1185">
        <f>'2023'!R\Max</f>
        <v>0.60991772068596495</v>
      </c>
      <c r="CC242" s="1185">
        <f>'2024'!R\Max</f>
        <v>0.60911102912909365</v>
      </c>
      <c r="CD242" s="1185">
        <f>'2025'!R\Max</f>
        <v>0.61209241651704649</v>
      </c>
      <c r="CE242" s="1185">
        <f>'2026'!R\Max</f>
        <v>0.61186922167030577</v>
      </c>
      <c r="CF242" s="1186">
        <f>'2027'!R\Max</f>
        <v>0.61157667824169892</v>
      </c>
    </row>
    <row r="243" spans="1:84" s="6" customFormat="1" ht="11.25" x14ac:dyDescent="0.2">
      <c r="A243" s="11">
        <v>43329</v>
      </c>
      <c r="B243" s="382">
        <f>'2023'!Maxi_hp</f>
        <v>54.275394990879882</v>
      </c>
      <c r="C243" s="85">
        <f>'2023'!An_max</f>
        <v>2019</v>
      </c>
      <c r="D243" s="1132"/>
      <c r="E243" s="709"/>
      <c r="F243" s="13">
        <f t="shared" si="110"/>
        <v>17</v>
      </c>
      <c r="G243" s="13">
        <f t="shared" si="94"/>
        <v>18</v>
      </c>
      <c r="H243" s="175">
        <f t="shared" si="95"/>
        <v>43318</v>
      </c>
      <c r="I243" s="772">
        <f t="shared" si="96"/>
        <v>0.7857142857142857</v>
      </c>
      <c r="J243" s="763">
        <f t="shared" si="97"/>
        <v>56.692403717179388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P243" s="13">
        <f t="shared" si="98"/>
        <v>9</v>
      </c>
      <c r="AQ243" s="13">
        <f t="shared" si="99"/>
        <v>10</v>
      </c>
      <c r="AR243" s="175">
        <f t="shared" si="100"/>
        <v>43304</v>
      </c>
      <c r="AS243" s="772">
        <f t="shared" si="101"/>
        <v>0.8928571428571429</v>
      </c>
      <c r="AT243" s="789">
        <f t="shared" si="102"/>
        <v>56.724749189535416</v>
      </c>
      <c r="AU243" s="13">
        <f t="shared" si="103"/>
        <v>9</v>
      </c>
      <c r="AV243" s="13">
        <f t="shared" si="104"/>
        <v>10</v>
      </c>
      <c r="AW243" s="175">
        <f t="shared" si="105"/>
        <v>43318</v>
      </c>
      <c r="AX243" s="772">
        <f t="shared" si="106"/>
        <v>0.39285714285714285</v>
      </c>
      <c r="AY243" s="789">
        <f t="shared" si="107"/>
        <v>56.599891521568814</v>
      </c>
      <c r="AZ243" s="763">
        <f t="shared" si="111"/>
        <v>56.662320355552112</v>
      </c>
      <c r="BA243" s="647">
        <f t="shared" si="108"/>
        <v>0.95736626835656491</v>
      </c>
      <c r="BB243" s="642">
        <v>43329</v>
      </c>
      <c r="BC243" s="11">
        <v>43329</v>
      </c>
      <c r="BD243" s="292">
        <f>[2]!FeuilCaduc*(1-Persistant)+Persistant</f>
        <v>1</v>
      </c>
      <c r="BE243" s="293">
        <f>[2]!CroissVégét</f>
        <v>0.94261089426578282</v>
      </c>
      <c r="BF243" s="842">
        <f>1+[2]!Salcycl*Ksac</f>
        <v>1.0988343824458022</v>
      </c>
      <c r="BH243" s="1105">
        <f t="shared" si="109"/>
        <v>4.7329028693832188E-3</v>
      </c>
      <c r="BI243" s="11">
        <v>44425</v>
      </c>
      <c r="BJ243" s="742">
        <v>3.9438348255792265E-4</v>
      </c>
      <c r="BK243" s="742">
        <v>1.6448435480244767E-3</v>
      </c>
      <c r="BL243" s="742">
        <v>3.8793562606200941E-3</v>
      </c>
      <c r="BM243" s="742">
        <v>8.1518747814371961E-3</v>
      </c>
      <c r="BN243" s="742">
        <v>1.5121071131302318E-2</v>
      </c>
      <c r="BO243" s="743">
        <v>2.5917707052149252E-2</v>
      </c>
      <c r="BP243" s="742">
        <v>4.1818053822017677E-2</v>
      </c>
      <c r="BQ243" s="742">
        <v>6.3261522933243733E-2</v>
      </c>
      <c r="BR243" s="742">
        <v>9.014921499868761E-2</v>
      </c>
      <c r="BS243" s="742">
        <v>0.12263221120385126</v>
      </c>
      <c r="BT243" s="742">
        <v>0.15923367073377254</v>
      </c>
      <c r="BW243" s="1187">
        <f>'2018'!R\Max</f>
        <v>0</v>
      </c>
      <c r="BX243" s="1185">
        <f>'2019'!R\Max</f>
        <v>0.95736626835656491</v>
      </c>
      <c r="BY243" s="1185">
        <f>'2020'!R\Max</f>
        <v>0.32149943713324702</v>
      </c>
      <c r="BZ243" s="1185">
        <f>'2021'!R\Max</f>
        <v>0.77088082599710561</v>
      </c>
      <c r="CA243" s="1185">
        <f>'2022'!R\Max</f>
        <v>0.44389348000415668</v>
      </c>
      <c r="CB243" s="1185">
        <f>'2023'!R\Max</f>
        <v>0.443156338223612</v>
      </c>
      <c r="CC243" s="1185">
        <f>'2024'!R\Max</f>
        <v>0.44229417481591776</v>
      </c>
      <c r="CD243" s="1185">
        <f>'2025'!R\Max</f>
        <v>0.44552029518236008</v>
      </c>
      <c r="CE243" s="1185">
        <f>'2026'!R\Max</f>
        <v>0.44527338681736311</v>
      </c>
      <c r="CF243" s="1186">
        <f>'2027'!R\Max</f>
        <v>0.44495168083670777</v>
      </c>
    </row>
    <row r="244" spans="1:84" s="6" customFormat="1" ht="11.25" x14ac:dyDescent="0.2">
      <c r="A244" s="11">
        <v>43330</v>
      </c>
      <c r="B244" s="382">
        <f>'2023'!Maxi_hp</f>
        <v>53.81892121253842</v>
      </c>
      <c r="C244" s="85">
        <f>'2023'!An_max</f>
        <v>2021</v>
      </c>
      <c r="D244" s="1132"/>
      <c r="E244" s="709"/>
      <c r="F244" s="13">
        <f t="shared" si="110"/>
        <v>17</v>
      </c>
      <c r="G244" s="13">
        <f t="shared" si="94"/>
        <v>18</v>
      </c>
      <c r="H244" s="175">
        <f t="shared" si="95"/>
        <v>43318</v>
      </c>
      <c r="I244" s="772">
        <f t="shared" si="96"/>
        <v>0.8571428571428571</v>
      </c>
      <c r="J244" s="763">
        <f t="shared" si="97"/>
        <v>56.448562099358867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P244" s="13">
        <f t="shared" si="98"/>
        <v>9</v>
      </c>
      <c r="AQ244" s="13">
        <f t="shared" si="99"/>
        <v>10</v>
      </c>
      <c r="AR244" s="175">
        <f t="shared" si="100"/>
        <v>43304</v>
      </c>
      <c r="AS244" s="772">
        <f t="shared" si="101"/>
        <v>0.9285714285714286</v>
      </c>
      <c r="AT244" s="789">
        <f t="shared" si="102"/>
        <v>56.470455466184241</v>
      </c>
      <c r="AU244" s="13">
        <f t="shared" si="103"/>
        <v>9</v>
      </c>
      <c r="AV244" s="13">
        <f t="shared" si="104"/>
        <v>10</v>
      </c>
      <c r="AW244" s="175">
        <f t="shared" si="105"/>
        <v>43318</v>
      </c>
      <c r="AX244" s="772">
        <f t="shared" si="106"/>
        <v>0.42857142857142855</v>
      </c>
      <c r="AY244" s="789">
        <f t="shared" si="107"/>
        <v>56.356316035028009</v>
      </c>
      <c r="AZ244" s="763">
        <f t="shared" si="111"/>
        <v>56.413385750606125</v>
      </c>
      <c r="BA244" s="647">
        <f t="shared" si="108"/>
        <v>0.95341527243525104</v>
      </c>
      <c r="BB244" s="642">
        <v>43330</v>
      </c>
      <c r="BC244" s="11">
        <v>43330</v>
      </c>
      <c r="BD244" s="292">
        <f>[2]!FeuilCaduc*(1-Persistant)+Persistant</f>
        <v>1</v>
      </c>
      <c r="BE244" s="293">
        <f>[2]!CroissVégét</f>
        <v>0.94480606387541</v>
      </c>
      <c r="BF244" s="842">
        <f>1+[2]!Salcycl*Ksac</f>
        <v>1.0987235865554541</v>
      </c>
      <c r="BH244" s="1105">
        <f t="shared" si="109"/>
        <v>5.079372802966514E-3</v>
      </c>
      <c r="BI244" s="11">
        <v>44426</v>
      </c>
      <c r="BJ244" s="742">
        <v>4.2916093873225766E-4</v>
      </c>
      <c r="BK244" s="742">
        <v>1.7813595468180524E-3</v>
      </c>
      <c r="BL244" s="742">
        <v>4.1745450309265278E-3</v>
      </c>
      <c r="BM244" s="742">
        <v>8.7037568800516548E-3</v>
      </c>
      <c r="BN244" s="742">
        <v>1.605046082884214E-2</v>
      </c>
      <c r="BO244" s="743">
        <v>2.7315276959736082E-2</v>
      </c>
      <c r="BP244" s="742">
        <v>4.37771270688996E-2</v>
      </c>
      <c r="BQ244" s="742">
        <v>6.5745667679871278E-2</v>
      </c>
      <c r="BR244" s="742">
        <v>9.3157499125449628E-2</v>
      </c>
      <c r="BS244" s="742">
        <v>0.12601143600831777</v>
      </c>
      <c r="BT244" s="742">
        <v>0.16291475070781425</v>
      </c>
      <c r="BW244" s="1187">
        <f>'2018'!R\Max</f>
        <v>0</v>
      </c>
      <c r="BX244" s="1185">
        <f>'2019'!R\Max</f>
        <v>0.67039323319161181</v>
      </c>
      <c r="BY244" s="1185">
        <f>'2020'!R\Max</f>
        <v>0.78446137048572639</v>
      </c>
      <c r="BZ244" s="1185">
        <f>'2021'!R\Max</f>
        <v>0.95341527243525104</v>
      </c>
      <c r="CA244" s="1185">
        <f>'2022'!R\Max</f>
        <v>0.7534976962458183</v>
      </c>
      <c r="CB244" s="1185">
        <f>'2023'!R\Max</f>
        <v>0.75292352480928837</v>
      </c>
      <c r="CC244" s="1185">
        <f>'2024'!R\Max</f>
        <v>0.75225388416440586</v>
      </c>
      <c r="CD244" s="1185">
        <f>'2025'!R\Max</f>
        <v>0.75477866441040042</v>
      </c>
      <c r="CE244" s="1185">
        <f>'2026'!R\Max</f>
        <v>0.75458236723101724</v>
      </c>
      <c r="CF244" s="1186">
        <f>'2027'!R\Max</f>
        <v>0.75432774101553091</v>
      </c>
    </row>
    <row r="245" spans="1:84" s="6" customFormat="1" ht="11.25" x14ac:dyDescent="0.2">
      <c r="A245" s="11">
        <v>43331</v>
      </c>
      <c r="B245" s="382">
        <f>'2023'!Maxi_hp</f>
        <v>48.769575691470848</v>
      </c>
      <c r="C245" s="85">
        <f>'2023'!An_max</f>
        <v>2021</v>
      </c>
      <c r="D245" s="1132"/>
      <c r="E245" s="709"/>
      <c r="F245" s="13">
        <f t="shared" si="110"/>
        <v>17</v>
      </c>
      <c r="G245" s="13">
        <f t="shared" si="94"/>
        <v>18</v>
      </c>
      <c r="H245" s="175">
        <f t="shared" si="95"/>
        <v>43318</v>
      </c>
      <c r="I245" s="772">
        <f t="shared" si="96"/>
        <v>0.9285714285714286</v>
      </c>
      <c r="J245" s="763">
        <f t="shared" si="97"/>
        <v>56.19771158817624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P245" s="13">
        <f t="shared" si="98"/>
        <v>9</v>
      </c>
      <c r="AQ245" s="13">
        <f t="shared" si="99"/>
        <v>10</v>
      </c>
      <c r="AR245" s="175">
        <f t="shared" si="100"/>
        <v>43304</v>
      </c>
      <c r="AS245" s="772">
        <f t="shared" si="101"/>
        <v>0.9642857142857143</v>
      </c>
      <c r="AT245" s="789">
        <f t="shared" si="102"/>
        <v>56.208757188543679</v>
      </c>
      <c r="AU245" s="13">
        <f t="shared" si="103"/>
        <v>9</v>
      </c>
      <c r="AV245" s="13">
        <f t="shared" si="104"/>
        <v>10</v>
      </c>
      <c r="AW245" s="175">
        <f t="shared" si="105"/>
        <v>43318</v>
      </c>
      <c r="AX245" s="772">
        <f t="shared" si="106"/>
        <v>0.4642857142857143</v>
      </c>
      <c r="AY245" s="789">
        <f t="shared" si="107"/>
        <v>56.108218680668095</v>
      </c>
      <c r="AZ245" s="763">
        <f t="shared" si="111"/>
        <v>56.158487934605887</v>
      </c>
      <c r="BA245" s="647">
        <f t="shared" si="108"/>
        <v>0.86782138121317665</v>
      </c>
      <c r="BB245" s="642">
        <v>43331</v>
      </c>
      <c r="BC245" s="11">
        <v>43331</v>
      </c>
      <c r="BD245" s="292">
        <f>[2]!FeuilCaduc*(1-Persistant)+Persistant</f>
        <v>1</v>
      </c>
      <c r="BE245" s="293">
        <f>[2]!CroissVégét</f>
        <v>0.94692247197428869</v>
      </c>
      <c r="BF245" s="842">
        <f>1+[2]!Salcycl*Ksac</f>
        <v>1.0986068603214107</v>
      </c>
      <c r="BH245" s="1105">
        <f t="shared" si="109"/>
        <v>5.4403822200112398E-3</v>
      </c>
      <c r="BI245" s="11">
        <v>44427</v>
      </c>
      <c r="BJ245" s="742">
        <v>4.6722198317213412E-4</v>
      </c>
      <c r="BK245" s="742">
        <v>1.9264032865687331E-3</v>
      </c>
      <c r="BL245" s="742">
        <v>4.483866378172577E-3</v>
      </c>
      <c r="BM245" s="742">
        <v>9.271808369568613E-3</v>
      </c>
      <c r="BN245" s="742">
        <v>1.6998804623299942E-2</v>
      </c>
      <c r="BO245" s="743">
        <v>2.8732370741873643E-2</v>
      </c>
      <c r="BP245" s="742">
        <v>4.5733519475561833E-2</v>
      </c>
      <c r="BQ245" s="742">
        <v>6.8200167277018484E-2</v>
      </c>
      <c r="BR245" s="742">
        <v>9.6092633262123514E-2</v>
      </c>
      <c r="BS245" s="742">
        <v>0.1292563936257283</v>
      </c>
      <c r="BT245" s="742">
        <v>0.16636007032713868</v>
      </c>
      <c r="BW245" s="1187">
        <f>'2018'!R\Max</f>
        <v>0</v>
      </c>
      <c r="BX245" s="1185">
        <f>'2019'!R\Max</f>
        <v>0.63981506137907251</v>
      </c>
      <c r="BY245" s="1185">
        <f>'2020'!R\Max</f>
        <v>0.67777069270693813</v>
      </c>
      <c r="BZ245" s="1185">
        <f>'2021'!R\Max</f>
        <v>0.86782138121317665</v>
      </c>
      <c r="CA245" s="1185">
        <f>'2022'!R\Max</f>
        <v>0.78400524046066544</v>
      </c>
      <c r="CB245" s="1185">
        <f>'2023'!R\Max</f>
        <v>0.78346483949616852</v>
      </c>
      <c r="CC245" s="1185">
        <f>'2024'!R\Max</f>
        <v>0.78283734007893191</v>
      </c>
      <c r="CD245" s="1185">
        <f>'2025'!R\Max</f>
        <v>0.78522720825828973</v>
      </c>
      <c r="CE245" s="1185">
        <f>'2026'!R\Max</f>
        <v>0.78503790510008609</v>
      </c>
      <c r="CF245" s="1186">
        <f>'2027'!R\Max</f>
        <v>0.78479351688435561</v>
      </c>
    </row>
    <row r="246" spans="1:84" s="6" customFormat="1" ht="11.25" x14ac:dyDescent="0.2">
      <c r="A246" s="11">
        <v>43332</v>
      </c>
      <c r="B246" s="382">
        <f>'2023'!Maxi_hp</f>
        <v>52.529091636366658</v>
      </c>
      <c r="C246" s="85">
        <f>'2023'!An_max</f>
        <v>2021</v>
      </c>
      <c r="D246" s="1132"/>
      <c r="E246" s="771">
        <f>AD$13/10</f>
        <v>55.939399999999999</v>
      </c>
      <c r="F246" s="13">
        <f t="shared" si="110"/>
        <v>19</v>
      </c>
      <c r="G246" s="13">
        <f t="shared" si="94"/>
        <v>18</v>
      </c>
      <c r="H246" s="175">
        <f t="shared" si="95"/>
        <v>43346</v>
      </c>
      <c r="I246" s="772">
        <f t="shared" si="96"/>
        <v>1</v>
      </c>
      <c r="J246" s="763">
        <f t="shared" si="97"/>
        <v>55.939399999380115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P246" s="13">
        <f t="shared" si="98"/>
        <v>11</v>
      </c>
      <c r="AQ246" s="13">
        <f t="shared" si="99"/>
        <v>10</v>
      </c>
      <c r="AR246" s="175">
        <f t="shared" si="100"/>
        <v>43360</v>
      </c>
      <c r="AS246" s="772">
        <f t="shared" si="101"/>
        <v>1</v>
      </c>
      <c r="AT246" s="789">
        <f t="shared" si="102"/>
        <v>55.939400000125168</v>
      </c>
      <c r="AU246" s="13">
        <f t="shared" si="103"/>
        <v>9</v>
      </c>
      <c r="AV246" s="13">
        <f t="shared" si="104"/>
        <v>10</v>
      </c>
      <c r="AW246" s="175">
        <f t="shared" si="105"/>
        <v>43318</v>
      </c>
      <c r="AX246" s="772">
        <f t="shared" si="106"/>
        <v>0.5</v>
      </c>
      <c r="AY246" s="789">
        <f t="shared" si="107"/>
        <v>55.855387498810884</v>
      </c>
      <c r="AZ246" s="763">
        <f t="shared" si="111"/>
        <v>55.897393749468023</v>
      </c>
      <c r="BA246" s="647">
        <f t="shared" si="108"/>
        <v>0.93903566425361651</v>
      </c>
      <c r="BB246" s="642">
        <v>43332</v>
      </c>
      <c r="BC246" s="11">
        <v>43332</v>
      </c>
      <c r="BD246" s="292">
        <f>[2]!FeuilCaduc*(1-Persistant)+Persistant</f>
        <v>1</v>
      </c>
      <c r="BE246" s="293">
        <f>[2]!CroissVégét</f>
        <v>0.94896259011285922</v>
      </c>
      <c r="BF246" s="842">
        <f>1+[2]!Salcycl*Ksac</f>
        <v>1.0984839745817732</v>
      </c>
      <c r="BH246" s="1105">
        <f t="shared" si="109"/>
        <v>5.8159375212710621E-3</v>
      </c>
      <c r="BI246" s="11">
        <v>44428</v>
      </c>
      <c r="BJ246" s="742">
        <v>5.0856745745821164E-4</v>
      </c>
      <c r="BK246" s="742">
        <v>2.0799776247778312E-3</v>
      </c>
      <c r="BL246" s="742">
        <v>4.8073259698434966E-3</v>
      </c>
      <c r="BM246" s="742">
        <v>9.8560385879264984E-3</v>
      </c>
      <c r="BN246" s="742">
        <v>1.796611701666713E-2</v>
      </c>
      <c r="BO246" s="743">
        <v>3.0169008358516342E-2</v>
      </c>
      <c r="BP246" s="742">
        <v>4.7687254445163446E-2</v>
      </c>
      <c r="BQ246" s="742">
        <v>7.0625045706454462E-2</v>
      </c>
      <c r="BR246" s="742">
        <v>9.8954638676983619E-2</v>
      </c>
      <c r="BS246" s="742">
        <v>0.13236709631718738</v>
      </c>
      <c r="BT246" s="742">
        <v>0.16956962641754664</v>
      </c>
      <c r="BW246" s="1187">
        <f>'2018'!R\Max</f>
        <v>0</v>
      </c>
      <c r="BX246" s="1185">
        <f>'2019'!R\Max</f>
        <v>0.61646561187191096</v>
      </c>
      <c r="BY246" s="1185">
        <f>'2020'!R\Max</f>
        <v>0.92161043949723376</v>
      </c>
      <c r="BZ246" s="1185">
        <f>'2021'!R\Max</f>
        <v>0.93903566425361651</v>
      </c>
      <c r="CA246" s="1185">
        <f>'2022'!R\Max</f>
        <v>0.92968812760773567</v>
      </c>
      <c r="CB246" s="1185">
        <f>'2023'!R\Max</f>
        <v>0.9294730874022693</v>
      </c>
      <c r="CC246" s="1185">
        <f>'2024'!R\Max</f>
        <v>0.92922421751876449</v>
      </c>
      <c r="CD246" s="1185">
        <f>'2025'!R\Max</f>
        <v>0.93018034902863</v>
      </c>
      <c r="CE246" s="1185">
        <f>'2026'!R\Max</f>
        <v>0.93010333897537267</v>
      </c>
      <c r="CF246" s="1186">
        <f>'2027'!R\Max</f>
        <v>0.93000433185477305</v>
      </c>
    </row>
    <row r="247" spans="1:84" s="6" customFormat="1" ht="11.25" x14ac:dyDescent="0.2">
      <c r="A247" s="11">
        <v>43333</v>
      </c>
      <c r="B247" s="382">
        <f>'2023'!Maxi_hp</f>
        <v>51.419921349849517</v>
      </c>
      <c r="C247" s="85">
        <f>'2023'!An_max</f>
        <v>2020</v>
      </c>
      <c r="D247" s="1132"/>
      <c r="E247" s="709"/>
      <c r="F247" s="13">
        <f t="shared" si="110"/>
        <v>19</v>
      </c>
      <c r="G247" s="13">
        <f t="shared" si="94"/>
        <v>18</v>
      </c>
      <c r="H247" s="175">
        <f t="shared" si="95"/>
        <v>43346</v>
      </c>
      <c r="I247" s="772">
        <f t="shared" si="96"/>
        <v>0.9285714285714286</v>
      </c>
      <c r="J247" s="763">
        <f t="shared" si="97"/>
        <v>55.674795481402953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P247" s="13">
        <f t="shared" si="98"/>
        <v>11</v>
      </c>
      <c r="AQ247" s="13">
        <f t="shared" si="99"/>
        <v>10</v>
      </c>
      <c r="AR247" s="175">
        <f t="shared" si="100"/>
        <v>43360</v>
      </c>
      <c r="AS247" s="772">
        <f t="shared" si="101"/>
        <v>0.9642857142857143</v>
      </c>
      <c r="AT247" s="789">
        <f t="shared" si="102"/>
        <v>55.662468686646648</v>
      </c>
      <c r="AU247" s="13">
        <f t="shared" si="103"/>
        <v>9</v>
      </c>
      <c r="AV247" s="13">
        <f t="shared" si="104"/>
        <v>10</v>
      </c>
      <c r="AW247" s="175">
        <f t="shared" si="105"/>
        <v>43318</v>
      </c>
      <c r="AX247" s="772">
        <f t="shared" si="106"/>
        <v>0.5357142857142857</v>
      </c>
      <c r="AY247" s="789">
        <f t="shared" si="107"/>
        <v>55.597610527330211</v>
      </c>
      <c r="AZ247" s="763">
        <f t="shared" si="111"/>
        <v>55.630039606988433</v>
      </c>
      <c r="BA247" s="647">
        <f t="shared" si="108"/>
        <v>0.92357629525599805</v>
      </c>
      <c r="BB247" s="642">
        <v>43333</v>
      </c>
      <c r="BC247" s="11">
        <v>43333</v>
      </c>
      <c r="BD247" s="292">
        <f>[2]!FeuilCaduc*(1-Persistant)+Persistant</f>
        <v>1</v>
      </c>
      <c r="BE247" s="293">
        <f>[2]!CroissVégét</f>
        <v>0.95092883908018766</v>
      </c>
      <c r="BF247" s="842">
        <f>1+[2]!Salcycl*Ksac</f>
        <v>1.0983546869402465</v>
      </c>
      <c r="BH247" s="1105">
        <f t="shared" si="109"/>
        <v>6.2060451928122777E-3</v>
      </c>
      <c r="BI247" s="11">
        <v>44429</v>
      </c>
      <c r="BJ247" s="742">
        <v>5.5319827670695149E-4</v>
      </c>
      <c r="BK247" s="742">
        <v>2.2420855522724409E-3</v>
      </c>
      <c r="BL247" s="742">
        <v>5.1449296082823632E-3</v>
      </c>
      <c r="BM247" s="742">
        <v>1.0456456759917845E-2</v>
      </c>
      <c r="BN247" s="742">
        <v>1.8952412025407969E-2</v>
      </c>
      <c r="BO247" s="743">
        <v>3.1625208719116095E-2</v>
      </c>
      <c r="BP247" s="742">
        <v>4.9638352837129092E-2</v>
      </c>
      <c r="BQ247" s="742">
        <v>7.3020322787660366E-2</v>
      </c>
      <c r="BR247" s="742">
        <v>0.10174353026846698</v>
      </c>
      <c r="BS247" s="742">
        <v>0.13534354732880258</v>
      </c>
      <c r="BT247" s="742">
        <v>0.17254340279209757</v>
      </c>
      <c r="BW247" s="1187">
        <f>'2018'!R\Max</f>
        <v>0</v>
      </c>
      <c r="BX247" s="1185">
        <f>'2019'!R\Max</f>
        <v>0.91674157153915503</v>
      </c>
      <c r="BY247" s="1185">
        <f>'2020'!R\Max</f>
        <v>0.92357629525599805</v>
      </c>
      <c r="BZ247" s="1185">
        <f>'2021'!R\Max</f>
        <v>0.88037763788006618</v>
      </c>
      <c r="CA247" s="1185">
        <f>'2022'!R\Max</f>
        <v>0.61186255913567944</v>
      </c>
      <c r="CB247" s="1185">
        <f>'2023'!R\Max</f>
        <v>0.61105979487014483</v>
      </c>
      <c r="CC247" s="1185">
        <f>'2024'!R\Max</f>
        <v>0.61013671707466166</v>
      </c>
      <c r="CD247" s="1185">
        <f>'2025'!R\Max</f>
        <v>0.61373217421436033</v>
      </c>
      <c r="CE247" s="1185">
        <f>'2026'!R\Max</f>
        <v>0.61343594186041739</v>
      </c>
      <c r="CF247" s="1186">
        <f>'2027'!R\Max</f>
        <v>0.61305705927166965</v>
      </c>
    </row>
    <row r="248" spans="1:84" s="6" customFormat="1" ht="11.25" x14ac:dyDescent="0.2">
      <c r="A248" s="11">
        <v>43334</v>
      </c>
      <c r="B248" s="382">
        <f>'2023'!Maxi_hp</f>
        <v>55.310874432474641</v>
      </c>
      <c r="C248" s="85">
        <f>'2023'!An_max</f>
        <v>2019</v>
      </c>
      <c r="D248" s="1132"/>
      <c r="E248" s="709"/>
      <c r="F248" s="13">
        <f t="shared" si="110"/>
        <v>19</v>
      </c>
      <c r="G248" s="13">
        <f t="shared" si="94"/>
        <v>18</v>
      </c>
      <c r="H248" s="175">
        <f t="shared" si="95"/>
        <v>43346</v>
      </c>
      <c r="I248" s="772">
        <f t="shared" si="96"/>
        <v>0.8571428571428571</v>
      </c>
      <c r="J248" s="763">
        <f t="shared" si="97"/>
        <v>55.405216909519268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P248" s="13">
        <f t="shared" si="98"/>
        <v>11</v>
      </c>
      <c r="AQ248" s="13">
        <f t="shared" si="99"/>
        <v>10</v>
      </c>
      <c r="AR248" s="175">
        <f t="shared" si="100"/>
        <v>43360</v>
      </c>
      <c r="AS248" s="772">
        <f t="shared" si="101"/>
        <v>0.9285714285714286</v>
      </c>
      <c r="AT248" s="789">
        <f t="shared" si="102"/>
        <v>55.378349489452589</v>
      </c>
      <c r="AU248" s="13">
        <f t="shared" si="103"/>
        <v>9</v>
      </c>
      <c r="AV248" s="13">
        <f t="shared" si="104"/>
        <v>10</v>
      </c>
      <c r="AW248" s="175">
        <f t="shared" si="105"/>
        <v>43318</v>
      </c>
      <c r="AX248" s="772">
        <f t="shared" si="106"/>
        <v>0.5714285714285714</v>
      </c>
      <c r="AY248" s="789">
        <f t="shared" si="107"/>
        <v>55.334675800693887</v>
      </c>
      <c r="AZ248" s="763">
        <f t="shared" si="111"/>
        <v>55.356512645073238</v>
      </c>
      <c r="BA248" s="647">
        <f t="shared" si="108"/>
        <v>0.99829722754810801</v>
      </c>
      <c r="BB248" s="642">
        <v>43334</v>
      </c>
      <c r="BC248" s="11">
        <v>43334</v>
      </c>
      <c r="BD248" s="292">
        <f>[2]!FeuilCaduc*(1-Persistant)+Persistant</f>
        <v>1</v>
      </c>
      <c r="BE248" s="293">
        <f>[2]!CroissVégét</f>
        <v>0.95282358778342446</v>
      </c>
      <c r="BF248" s="842">
        <f>1+[2]!Salcycl*Ksac</f>
        <v>1.0982187428415682</v>
      </c>
      <c r="BH248" s="1105">
        <f t="shared" si="109"/>
        <v>6.6131510728404405E-3</v>
      </c>
      <c r="BI248" s="11">
        <v>44430</v>
      </c>
      <c r="BJ248" s="742">
        <v>6.011877354985775E-4</v>
      </c>
      <c r="BK248" s="742">
        <v>2.4137330254464756E-3</v>
      </c>
      <c r="BL248" s="742">
        <v>5.4990886428147043E-3</v>
      </c>
      <c r="BM248" s="742">
        <v>1.1075646872632959E-2</v>
      </c>
      <c r="BN248" s="742">
        <v>1.9952993093809553E-2</v>
      </c>
      <c r="BO248" s="743">
        <v>3.3086116974950369E-2</v>
      </c>
      <c r="BP248" s="742">
        <v>5.1561252137559778E-2</v>
      </c>
      <c r="BQ248" s="742">
        <v>7.5345419354709217E-2</v>
      </c>
      <c r="BR248" s="742">
        <v>0.10440990645549177</v>
      </c>
      <c r="BS248" s="742">
        <v>0.13815591368539393</v>
      </c>
      <c r="BT248" s="742">
        <v>0.17530720502251962</v>
      </c>
      <c r="BW248" s="1187">
        <f>'2018'!R\Max</f>
        <v>0</v>
      </c>
      <c r="BX248" s="1185">
        <f>'2019'!R\Max</f>
        <v>0.99829722754810801</v>
      </c>
      <c r="BY248" s="1185">
        <f>'2020'!R\Max</f>
        <v>0.81963413760151083</v>
      </c>
      <c r="BZ248" s="1185">
        <f>'2021'!R\Max</f>
        <v>0.38096978927557618</v>
      </c>
      <c r="CA248" s="1185">
        <f>'2022'!R\Max</f>
        <v>0.49270372094377357</v>
      </c>
      <c r="CB248" s="1185">
        <f>'2023'!R\Max</f>
        <v>0.49183695427195023</v>
      </c>
      <c r="CC248" s="1185">
        <f>'2024'!R\Max</f>
        <v>0.49084516232386816</v>
      </c>
      <c r="CD248" s="1185">
        <f>'2025'!R\Max</f>
        <v>0.4947534180833601</v>
      </c>
      <c r="CE248" s="1185">
        <f>'2026'!R\Max</f>
        <v>0.49442496955052945</v>
      </c>
      <c r="CF248" s="1186">
        <f>'2027'!R\Max</f>
        <v>0.49400679778373352</v>
      </c>
    </row>
    <row r="249" spans="1:84" s="6" customFormat="1" ht="11.25" x14ac:dyDescent="0.2">
      <c r="A249" s="11">
        <v>43335</v>
      </c>
      <c r="B249" s="382">
        <f>'2023'!Maxi_hp</f>
        <v>52.494512682759208</v>
      </c>
      <c r="C249" s="85">
        <f>'2023'!An_max</f>
        <v>2019</v>
      </c>
      <c r="D249" s="1132"/>
      <c r="E249" s="709"/>
      <c r="F249" s="13">
        <f t="shared" si="110"/>
        <v>19</v>
      </c>
      <c r="G249" s="13">
        <f t="shared" si="94"/>
        <v>18</v>
      </c>
      <c r="H249" s="175">
        <f t="shared" si="95"/>
        <v>43346</v>
      </c>
      <c r="I249" s="772">
        <f t="shared" si="96"/>
        <v>0.7857142857142857</v>
      </c>
      <c r="J249" s="763">
        <f t="shared" si="97"/>
        <v>55.1304381923484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P249" s="13">
        <f t="shared" si="98"/>
        <v>11</v>
      </c>
      <c r="AQ249" s="13">
        <f t="shared" si="99"/>
        <v>10</v>
      </c>
      <c r="AR249" s="175">
        <f t="shared" si="100"/>
        <v>43360</v>
      </c>
      <c r="AS249" s="772">
        <f t="shared" si="101"/>
        <v>0.8928571428571429</v>
      </c>
      <c r="AT249" s="789">
        <f t="shared" si="102"/>
        <v>55.087240241627612</v>
      </c>
      <c r="AU249" s="13">
        <f t="shared" si="103"/>
        <v>9</v>
      </c>
      <c r="AV249" s="13">
        <f t="shared" si="104"/>
        <v>10</v>
      </c>
      <c r="AW249" s="175">
        <f t="shared" si="105"/>
        <v>43318</v>
      </c>
      <c r="AX249" s="772">
        <f t="shared" si="106"/>
        <v>0.6071428571428571</v>
      </c>
      <c r="AY249" s="789">
        <f t="shared" si="107"/>
        <v>55.066371359436644</v>
      </c>
      <c r="AZ249" s="763">
        <f t="shared" si="111"/>
        <v>55.076805800532128</v>
      </c>
      <c r="BA249" s="647">
        <f t="shared" si="108"/>
        <v>0.95218747399771198</v>
      </c>
      <c r="BB249" s="642">
        <v>43335</v>
      </c>
      <c r="BC249" s="11">
        <v>43335</v>
      </c>
      <c r="BD249" s="292">
        <f>[2]!FeuilCaduc*(1-Persistant)+Persistant</f>
        <v>1</v>
      </c>
      <c r="BE249" s="293">
        <f>[2]!CroissVégét</f>
        <v>0.95464915235219705</v>
      </c>
      <c r="BF249" s="842">
        <f>1+[2]!Salcycl*Ksac</f>
        <v>1.0980758764218175</v>
      </c>
      <c r="BH249" s="1105">
        <f t="shared" si="109"/>
        <v>7.0267306101055808E-3</v>
      </c>
      <c r="BI249" s="11">
        <v>44431</v>
      </c>
      <c r="BJ249" s="742">
        <v>6.5067742021252364E-4</v>
      </c>
      <c r="BK249" s="742">
        <v>2.58931024649697E-3</v>
      </c>
      <c r="BL249" s="742">
        <v>5.8599841150841726E-3</v>
      </c>
      <c r="BM249" s="742">
        <v>1.170025804728466E-2</v>
      </c>
      <c r="BN249" s="742">
        <v>2.0948682249564279E-2</v>
      </c>
      <c r="BO249" s="743">
        <v>3.4527806368187398E-2</v>
      </c>
      <c r="BP249" s="742">
        <v>5.3437567091791614E-2</v>
      </c>
      <c r="BQ249" s="742">
        <v>7.7597528707982297E-2</v>
      </c>
      <c r="BR249" s="742">
        <v>0.10696780112993914</v>
      </c>
      <c r="BS249" s="742">
        <v>0.14086438039930269</v>
      </c>
      <c r="BT249" s="742">
        <v>0.17800012342805821</v>
      </c>
      <c r="BW249" s="1187">
        <f>'2018'!R\Max</f>
        <v>0</v>
      </c>
      <c r="BX249" s="1185">
        <f>'2019'!R\Max</f>
        <v>0.95218747399771198</v>
      </c>
      <c r="BY249" s="1185">
        <f>'2020'!R\Max</f>
        <v>0.69213163797639365</v>
      </c>
      <c r="BZ249" s="1185">
        <f>'2021'!R\Max</f>
        <v>0.8966004613660904</v>
      </c>
      <c r="CA249" s="1185">
        <f>'2022'!R\Max</f>
        <v>0.88107828500133223</v>
      </c>
      <c r="CB249" s="1185">
        <f>'2023'!R\Max</f>
        <v>0.8807054433021736</v>
      </c>
      <c r="CC249" s="1185">
        <f>'2024'!R\Max</f>
        <v>0.88027916311853405</v>
      </c>
      <c r="CD249" s="1185">
        <f>'2025'!R\Max</f>
        <v>0.88196754500877828</v>
      </c>
      <c r="CE249" s="1185">
        <f>'2026'!R\Max</f>
        <v>0.88182402329357534</v>
      </c>
      <c r="CF249" s="1186">
        <f>'2027'!R\Max</f>
        <v>0.88164180987546903</v>
      </c>
    </row>
    <row r="250" spans="1:84" s="6" customFormat="1" ht="11.25" x14ac:dyDescent="0.2">
      <c r="A250" s="11">
        <v>43336</v>
      </c>
      <c r="B250" s="382">
        <f>'2023'!Maxi_hp</f>
        <v>52.36810981673333</v>
      </c>
      <c r="C250" s="85">
        <f>'2023'!An_max</f>
        <v>2019</v>
      </c>
      <c r="D250" s="1132"/>
      <c r="E250" s="709"/>
      <c r="F250" s="13">
        <f t="shared" si="110"/>
        <v>19</v>
      </c>
      <c r="G250" s="13">
        <f t="shared" si="94"/>
        <v>18</v>
      </c>
      <c r="H250" s="175">
        <f t="shared" si="95"/>
        <v>43346</v>
      </c>
      <c r="I250" s="772">
        <f t="shared" si="96"/>
        <v>0.7142857142857143</v>
      </c>
      <c r="J250" s="763">
        <f t="shared" si="97"/>
        <v>54.850233236168108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P250" s="13">
        <f t="shared" si="98"/>
        <v>11</v>
      </c>
      <c r="AQ250" s="13">
        <f t="shared" si="99"/>
        <v>10</v>
      </c>
      <c r="AR250" s="175">
        <f t="shared" si="100"/>
        <v>43360</v>
      </c>
      <c r="AS250" s="772">
        <f t="shared" si="101"/>
        <v>0.8571428571428571</v>
      </c>
      <c r="AT250" s="789">
        <f t="shared" si="102"/>
        <v>54.789338776469229</v>
      </c>
      <c r="AU250" s="13">
        <f t="shared" si="103"/>
        <v>9</v>
      </c>
      <c r="AV250" s="13">
        <f t="shared" si="104"/>
        <v>10</v>
      </c>
      <c r="AW250" s="175">
        <f t="shared" si="105"/>
        <v>43318</v>
      </c>
      <c r="AX250" s="772">
        <f t="shared" si="106"/>
        <v>0.6428571428571429</v>
      </c>
      <c r="AY250" s="789">
        <f t="shared" si="107"/>
        <v>54.792485239356758</v>
      </c>
      <c r="AZ250" s="763">
        <f t="shared" si="111"/>
        <v>54.790912007912993</v>
      </c>
      <c r="BA250" s="647">
        <f t="shared" si="108"/>
        <v>0.95474725861697751</v>
      </c>
      <c r="BB250" s="642">
        <v>43336</v>
      </c>
      <c r="BC250" s="11">
        <v>43336</v>
      </c>
      <c r="BD250" s="292">
        <f>[2]!FeuilCaduc*(1-Persistant)+Persistant</f>
        <v>1</v>
      </c>
      <c r="BE250" s="293">
        <f>[2]!CroissVégét</f>
        <v>0.95640779545152554</v>
      </c>
      <c r="BF250" s="842">
        <f>1+[2]!Salcycl*Ksac</f>
        <v>1.0979258111318362</v>
      </c>
      <c r="BH250" s="1105">
        <f t="shared" si="109"/>
        <v>7.446795020206419E-3</v>
      </c>
      <c r="BI250" s="11">
        <v>44432</v>
      </c>
      <c r="BJ250" s="742">
        <v>7.0166868512088843E-4</v>
      </c>
      <c r="BK250" s="742">
        <v>2.7688219550311434E-3</v>
      </c>
      <c r="BL250" s="742">
        <v>6.2276258368591979E-3</v>
      </c>
      <c r="BM250" s="742">
        <v>1.2330307122663517E-2</v>
      </c>
      <c r="BN250" s="742">
        <v>2.1939505489775028E-2</v>
      </c>
      <c r="BO250" s="743">
        <v>3.5950314839084709E-2</v>
      </c>
      <c r="BP250" s="742">
        <v>5.5267348123999104E-2</v>
      </c>
      <c r="BQ250" s="742">
        <v>7.9776715527760889E-2</v>
      </c>
      <c r="BR250" s="742">
        <v>0.1094172933246617</v>
      </c>
      <c r="BS250" s="742">
        <v>0.14346904641561409</v>
      </c>
      <c r="BT250" s="742">
        <v>0.1806222799048062</v>
      </c>
      <c r="BW250" s="1187">
        <f>'2018'!R\Max</f>
        <v>0</v>
      </c>
      <c r="BX250" s="1185">
        <f>'2019'!R\Max</f>
        <v>0.95474725861697751</v>
      </c>
      <c r="BY250" s="1185">
        <f>'2020'!R\Max</f>
        <v>0.821445026957908</v>
      </c>
      <c r="BZ250" s="1185">
        <f>'2021'!R\Max</f>
        <v>0.83820008679981484</v>
      </c>
      <c r="CA250" s="1185">
        <f>'2022'!R\Max</f>
        <v>0.89457669912579907</v>
      </c>
      <c r="CB250" s="1185">
        <f>'2023'!R\Max</f>
        <v>0.89423330904576592</v>
      </c>
      <c r="CC250" s="1185">
        <f>'2024'!R\Max</f>
        <v>0.89384200902950151</v>
      </c>
      <c r="CD250" s="1185">
        <f>'2025'!R\Max</f>
        <v>0.89540589054210629</v>
      </c>
      <c r="CE250" s="1185">
        <f>'2026'!R\Max</f>
        <v>0.89527081736003733</v>
      </c>
      <c r="CF250" s="1186">
        <f>'2027'!R\Max</f>
        <v>0.89509997426187615</v>
      </c>
    </row>
    <row r="251" spans="1:84" s="6" customFormat="1" ht="11.25" x14ac:dyDescent="0.2">
      <c r="A251" s="11">
        <v>43337</v>
      </c>
      <c r="B251" s="382">
        <f>'2023'!Maxi_hp</f>
        <v>49.230030482850516</v>
      </c>
      <c r="C251" s="85">
        <f>'2023'!An_max</f>
        <v>2021</v>
      </c>
      <c r="D251" s="1132"/>
      <c r="E251" s="709"/>
      <c r="F251" s="13">
        <f t="shared" si="110"/>
        <v>19</v>
      </c>
      <c r="G251" s="13">
        <f t="shared" si="94"/>
        <v>18</v>
      </c>
      <c r="H251" s="175">
        <f t="shared" si="95"/>
        <v>43346</v>
      </c>
      <c r="I251" s="772">
        <f t="shared" si="96"/>
        <v>0.6428571428571429</v>
      </c>
      <c r="J251" s="763">
        <f t="shared" si="97"/>
        <v>54.564375947575478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P251" s="13">
        <f t="shared" si="98"/>
        <v>11</v>
      </c>
      <c r="AQ251" s="13">
        <f t="shared" si="99"/>
        <v>10</v>
      </c>
      <c r="AR251" s="175">
        <f t="shared" si="100"/>
        <v>43360</v>
      </c>
      <c r="AS251" s="772">
        <f t="shared" si="101"/>
        <v>0.8214285714285714</v>
      </c>
      <c r="AT251" s="789">
        <f t="shared" si="102"/>
        <v>54.484842921420935</v>
      </c>
      <c r="AU251" s="13">
        <f t="shared" si="103"/>
        <v>9</v>
      </c>
      <c r="AV251" s="13">
        <f t="shared" si="104"/>
        <v>10</v>
      </c>
      <c r="AW251" s="175">
        <f t="shared" si="105"/>
        <v>43318</v>
      </c>
      <c r="AX251" s="772">
        <f t="shared" si="106"/>
        <v>0.6785714285714286</v>
      </c>
      <c r="AY251" s="789">
        <f t="shared" si="107"/>
        <v>54.512805479578674</v>
      </c>
      <c r="AZ251" s="763">
        <f t="shared" si="111"/>
        <v>54.498824200499804</v>
      </c>
      <c r="BA251" s="647">
        <f t="shared" si="108"/>
        <v>0.9022375795179971</v>
      </c>
      <c r="BB251" s="642">
        <v>43337</v>
      </c>
      <c r="BC251" s="11">
        <v>43337</v>
      </c>
      <c r="BD251" s="292">
        <f>[2]!FeuilCaduc*(1-Persistant)+Persistant</f>
        <v>1</v>
      </c>
      <c r="BE251" s="293">
        <f>[2]!CroissVégét</f>
        <v>0.95810172578745478</v>
      </c>
      <c r="BF251" s="842">
        <f>1+[2]!Salcycl*Ksac</f>
        <v>1.0977682601357563</v>
      </c>
      <c r="BH251" s="1105">
        <f t="shared" si="109"/>
        <v>7.8733591259284828E-3</v>
      </c>
      <c r="BI251" s="11">
        <v>44433</v>
      </c>
      <c r="BJ251" s="742">
        <v>7.5416328114455108E-4</v>
      </c>
      <c r="BK251" s="742">
        <v>2.9522743377373797E-3</v>
      </c>
      <c r="BL251" s="742">
        <v>6.6020267194763184E-3</v>
      </c>
      <c r="BM251" s="742">
        <v>1.2965816578067712E-2</v>
      </c>
      <c r="BN251" s="742">
        <v>2.2925498050282725E-2</v>
      </c>
      <c r="BO251" s="743">
        <v>3.7353694619683221E-2</v>
      </c>
      <c r="BP251" s="742">
        <v>5.7050666223100101E-2</v>
      </c>
      <c r="BQ251" s="742">
        <v>8.188307291648847E-2</v>
      </c>
      <c r="BR251" s="742">
        <v>0.11175849952398477</v>
      </c>
      <c r="BS251" s="742">
        <v>0.14597005969629251</v>
      </c>
      <c r="BT251" s="742">
        <v>0.18317385859213464</v>
      </c>
      <c r="BW251" s="1187">
        <f>'2018'!R\Max</f>
        <v>0</v>
      </c>
      <c r="BX251" s="1185">
        <f>'2019'!R\Max</f>
        <v>0.86799287781336143</v>
      </c>
      <c r="BY251" s="1185">
        <f>'2020'!R\Max</f>
        <v>0.8860808145026543</v>
      </c>
      <c r="BZ251" s="1185">
        <f>'2021'!R\Max</f>
        <v>0.9022375795179971</v>
      </c>
      <c r="CA251" s="1185">
        <f>'2022'!R\Max</f>
        <v>0.68392721962567771</v>
      </c>
      <c r="CB251" s="1185">
        <f>'2023'!R\Max</f>
        <v>0.68312360853548859</v>
      </c>
      <c r="CC251" s="1185">
        <f>'2024'!R\Max</f>
        <v>0.68221233987470342</v>
      </c>
      <c r="CD251" s="1185">
        <f>'2025'!R\Max</f>
        <v>0.68589650013485204</v>
      </c>
      <c r="CE251" s="1185">
        <f>'2026'!R\Max</f>
        <v>0.68557229972021172</v>
      </c>
      <c r="CF251" s="1186">
        <f>'2027'!R\Max</f>
        <v>0.68516403443829099</v>
      </c>
    </row>
    <row r="252" spans="1:84" s="6" customFormat="1" ht="11.25" x14ac:dyDescent="0.2">
      <c r="A252" s="11">
        <v>43338</v>
      </c>
      <c r="B252" s="382">
        <f>'2023'!Maxi_hp</f>
        <v>51.409197401417927</v>
      </c>
      <c r="C252" s="85">
        <f>'2023'!An_max</f>
        <v>2021</v>
      </c>
      <c r="D252" s="1132"/>
      <c r="E252" s="709"/>
      <c r="F252" s="13">
        <f t="shared" si="110"/>
        <v>19</v>
      </c>
      <c r="G252" s="13">
        <f t="shared" si="94"/>
        <v>18</v>
      </c>
      <c r="H252" s="175">
        <f t="shared" si="95"/>
        <v>43346</v>
      </c>
      <c r="I252" s="772">
        <f t="shared" si="96"/>
        <v>0.5714285714285714</v>
      </c>
      <c r="J252" s="763">
        <f t="shared" si="97"/>
        <v>54.272640233699761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P252" s="13">
        <f t="shared" si="98"/>
        <v>11</v>
      </c>
      <c r="AQ252" s="13">
        <f t="shared" si="99"/>
        <v>10</v>
      </c>
      <c r="AR252" s="175">
        <f t="shared" si="100"/>
        <v>43360</v>
      </c>
      <c r="AS252" s="772">
        <f t="shared" si="101"/>
        <v>0.7857142857142857</v>
      </c>
      <c r="AT252" s="789">
        <f t="shared" si="102"/>
        <v>54.173950509833432</v>
      </c>
      <c r="AU252" s="13">
        <f t="shared" si="103"/>
        <v>9</v>
      </c>
      <c r="AV252" s="13">
        <f t="shared" si="104"/>
        <v>10</v>
      </c>
      <c r="AW252" s="175">
        <f t="shared" si="105"/>
        <v>43318</v>
      </c>
      <c r="AX252" s="772">
        <f t="shared" si="106"/>
        <v>0.7142857142857143</v>
      </c>
      <c r="AY252" s="789">
        <f t="shared" si="107"/>
        <v>54.22712011486292</v>
      </c>
      <c r="AZ252" s="763">
        <f t="shared" si="111"/>
        <v>54.20053531234818</v>
      </c>
      <c r="BA252" s="647">
        <f t="shared" si="108"/>
        <v>0.94723966219532063</v>
      </c>
      <c r="BB252" s="642">
        <v>43338</v>
      </c>
      <c r="BC252" s="11">
        <v>43338</v>
      </c>
      <c r="BD252" s="292">
        <f>[2]!FeuilCaduc*(1-Persistant)+Persistant</f>
        <v>1</v>
      </c>
      <c r="BE252" s="293">
        <f>[2]!CroissVégét</f>
        <v>0.95973309779026206</v>
      </c>
      <c r="BF252" s="842">
        <f>1+[2]!Salcycl*Ksac</f>
        <v>1.0976029264903733</v>
      </c>
      <c r="BH252" s="1105">
        <f t="shared" si="109"/>
        <v>8.306434040334456E-3</v>
      </c>
      <c r="BI252" s="11">
        <v>44434</v>
      </c>
      <c r="BJ252" s="742">
        <v>8.0816266754966742E-4</v>
      </c>
      <c r="BK252" s="742">
        <v>3.1396723085842914E-3</v>
      </c>
      <c r="BL252" s="742">
        <v>6.9831966566996318E-3</v>
      </c>
      <c r="BM252" s="742">
        <v>1.360680241059036E-2</v>
      </c>
      <c r="BN252" s="742">
        <v>2.3906682799459303E-2</v>
      </c>
      <c r="BO252" s="743">
        <v>3.8737976833564426E-2</v>
      </c>
      <c r="BP252" s="742">
        <v>5.8787558543171747E-2</v>
      </c>
      <c r="BQ252" s="742">
        <v>8.3916643989745146E-2</v>
      </c>
      <c r="BR252" s="742">
        <v>0.11399146624775652</v>
      </c>
      <c r="BS252" s="742">
        <v>0.14836747676995668</v>
      </c>
      <c r="BT252" s="742">
        <v>0.18565492957581392</v>
      </c>
      <c r="BW252" s="1187">
        <f>'2018'!R\Max</f>
        <v>0</v>
      </c>
      <c r="BX252" s="1185">
        <f>'2019'!R\Max</f>
        <v>0.78997710264759535</v>
      </c>
      <c r="BY252" s="1185">
        <f>'2020'!R\Max</f>
        <v>0.9300013822673493</v>
      </c>
      <c r="BZ252" s="1185">
        <f>'2021'!R\Max</f>
        <v>0.94723966219532063</v>
      </c>
      <c r="CA252" s="1185">
        <f>'2022'!R\Max</f>
        <v>0.83436029805536316</v>
      </c>
      <c r="CB252" s="1185">
        <f>'2023'!R\Max</f>
        <v>0.83383574658047555</v>
      </c>
      <c r="CC252" s="1185">
        <f>'2024'!R\Max</f>
        <v>0.83324200698465889</v>
      </c>
      <c r="CD252" s="1185">
        <f>'2025'!R\Max</f>
        <v>0.83565826342644467</v>
      </c>
      <c r="CE252" s="1185">
        <f>'2026'!R\Max</f>
        <v>0.8354429705910128</v>
      </c>
      <c r="CF252" s="1186">
        <f>'2027'!R\Max</f>
        <v>0.83517267457223454</v>
      </c>
    </row>
    <row r="253" spans="1:84" s="6" customFormat="1" ht="11.25" x14ac:dyDescent="0.2">
      <c r="A253" s="11">
        <v>43339</v>
      </c>
      <c r="B253" s="382">
        <f>'2023'!Maxi_hp</f>
        <v>52.781666805057725</v>
      </c>
      <c r="C253" s="85">
        <f>'2023'!An_max</f>
        <v>2022</v>
      </c>
      <c r="D253" s="1132"/>
      <c r="E253" s="709"/>
      <c r="F253" s="13">
        <f t="shared" si="110"/>
        <v>19</v>
      </c>
      <c r="G253" s="13">
        <f t="shared" si="94"/>
        <v>18</v>
      </c>
      <c r="H253" s="175">
        <f t="shared" si="95"/>
        <v>43346</v>
      </c>
      <c r="I253" s="772">
        <f t="shared" si="96"/>
        <v>0.5</v>
      </c>
      <c r="J253" s="763">
        <f t="shared" si="97"/>
        <v>53.974799999967217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P253" s="13">
        <f t="shared" si="98"/>
        <v>11</v>
      </c>
      <c r="AQ253" s="13">
        <f t="shared" si="99"/>
        <v>10</v>
      </c>
      <c r="AR253" s="175">
        <f t="shared" si="100"/>
        <v>43360</v>
      </c>
      <c r="AS253" s="772">
        <f t="shared" si="101"/>
        <v>0.75</v>
      </c>
      <c r="AT253" s="789">
        <f t="shared" si="102"/>
        <v>53.856859375350176</v>
      </c>
      <c r="AU253" s="13">
        <f t="shared" si="103"/>
        <v>9</v>
      </c>
      <c r="AV253" s="13">
        <f t="shared" si="104"/>
        <v>10</v>
      </c>
      <c r="AW253" s="175">
        <f t="shared" si="105"/>
        <v>43318</v>
      </c>
      <c r="AX253" s="772">
        <f t="shared" si="106"/>
        <v>0.75</v>
      </c>
      <c r="AY253" s="789">
        <f t="shared" si="107"/>
        <v>53.935217186994848</v>
      </c>
      <c r="AZ253" s="763">
        <f t="shared" si="111"/>
        <v>53.896038281172508</v>
      </c>
      <c r="BA253" s="647">
        <f t="shared" si="108"/>
        <v>0.97789462499332624</v>
      </c>
      <c r="BB253" s="642">
        <v>43339</v>
      </c>
      <c r="BC253" s="11">
        <v>43339</v>
      </c>
      <c r="BD253" s="292">
        <f>[2]!FeuilCaduc*(1-Persistant)+Persistant</f>
        <v>1</v>
      </c>
      <c r="BE253" s="293">
        <f>[2]!CroissVégét</f>
        <v>0.9613040114607565</v>
      </c>
      <c r="BF253" s="842">
        <f>1+[2]!Salcycl*Ksac</f>
        <v>1.0974295031147474</v>
      </c>
      <c r="BH253" s="1105">
        <f t="shared" si="109"/>
        <v>8.746031440928401E-3</v>
      </c>
      <c r="BI253" s="11">
        <v>44435</v>
      </c>
      <c r="BJ253" s="742">
        <v>8.6366840211007175E-4</v>
      </c>
      <c r="BK253" s="742">
        <v>3.3310210716083707E-3</v>
      </c>
      <c r="BL253" s="742">
        <v>7.3711460812378622E-3</v>
      </c>
      <c r="BM253" s="742">
        <v>1.425328128389592E-2</v>
      </c>
      <c r="BN253" s="742">
        <v>2.4883083091016528E-2</v>
      </c>
      <c r="BO253" s="743">
        <v>4.0103192788854637E-2</v>
      </c>
      <c r="BP253" s="742">
        <v>6.0478061557083178E-2</v>
      </c>
      <c r="BQ253" s="742">
        <v>8.5877470314412854E-2</v>
      </c>
      <c r="BR253" s="742">
        <v>0.1161162371616931</v>
      </c>
      <c r="BS253" s="742">
        <v>0.15066135160289187</v>
      </c>
      <c r="BT253" s="742">
        <v>0.18806556176496769</v>
      </c>
      <c r="BW253" s="1187">
        <f>'2018'!R\Max</f>
        <v>0</v>
      </c>
      <c r="BX253" s="1185">
        <f>'2019'!R\Max</f>
        <v>0.67021228070403605</v>
      </c>
      <c r="BY253" s="1185">
        <f>'2020'!R\Max</f>
        <v>0.52214668832121469</v>
      </c>
      <c r="BZ253" s="1185">
        <f>'2021'!R\Max</f>
        <v>0.87187434266947306</v>
      </c>
      <c r="CA253" s="1185">
        <f>'2022'!R\Max</f>
        <v>0.97789462499332624</v>
      </c>
      <c r="CB253" s="1185">
        <f>'2023'!R\Max</f>
        <v>0.97781096204074258</v>
      </c>
      <c r="CC253" s="1185">
        <f>'2024'!R\Max</f>
        <v>0.97771642047629581</v>
      </c>
      <c r="CD253" s="1185">
        <f>'2025'!R\Max</f>
        <v>0.97810358432834743</v>
      </c>
      <c r="CE253" s="1185">
        <f>'2026'!R\Max</f>
        <v>0.97806867341363868</v>
      </c>
      <c r="CF253" s="1186">
        <f>'2027'!R\Max</f>
        <v>0.97802497115286657</v>
      </c>
    </row>
    <row r="254" spans="1:84" s="6" customFormat="1" ht="11.25" x14ac:dyDescent="0.2">
      <c r="A254" s="11">
        <v>43340</v>
      </c>
      <c r="B254" s="382">
        <f>'2023'!Maxi_hp</f>
        <v>52.903282092675809</v>
      </c>
      <c r="C254" s="85">
        <f>'2023'!An_max</f>
        <v>2021</v>
      </c>
      <c r="D254" s="1132"/>
      <c r="E254" s="709"/>
      <c r="F254" s="13">
        <f t="shared" si="110"/>
        <v>19</v>
      </c>
      <c r="G254" s="13">
        <f t="shared" si="94"/>
        <v>18</v>
      </c>
      <c r="H254" s="175">
        <f t="shared" si="95"/>
        <v>43346</v>
      </c>
      <c r="I254" s="772">
        <f t="shared" si="96"/>
        <v>0.42857142857142855</v>
      </c>
      <c r="J254" s="763">
        <f t="shared" si="97"/>
        <v>53.67062915510364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P254" s="13">
        <f t="shared" si="98"/>
        <v>11</v>
      </c>
      <c r="AQ254" s="13">
        <f t="shared" si="99"/>
        <v>10</v>
      </c>
      <c r="AR254" s="175">
        <f t="shared" si="100"/>
        <v>43360</v>
      </c>
      <c r="AS254" s="772">
        <f t="shared" si="101"/>
        <v>0.7142857142857143</v>
      </c>
      <c r="AT254" s="789">
        <f t="shared" si="102"/>
        <v>53.533767347144227</v>
      </c>
      <c r="AU254" s="13">
        <f t="shared" si="103"/>
        <v>9</v>
      </c>
      <c r="AV254" s="13">
        <f t="shared" si="104"/>
        <v>10</v>
      </c>
      <c r="AW254" s="175">
        <f t="shared" si="105"/>
        <v>43318</v>
      </c>
      <c r="AX254" s="772">
        <f t="shared" si="106"/>
        <v>0.7857142857142857</v>
      </c>
      <c r="AY254" s="789">
        <f t="shared" si="107"/>
        <v>53.636884729883505</v>
      </c>
      <c r="AZ254" s="763">
        <f t="shared" si="111"/>
        <v>53.58532603851387</v>
      </c>
      <c r="BA254" s="647">
        <f t="shared" si="108"/>
        <v>0.98570266317895661</v>
      </c>
      <c r="BB254" s="642">
        <v>43340</v>
      </c>
      <c r="BC254" s="11">
        <v>43340</v>
      </c>
      <c r="BD254" s="292">
        <f>[2]!FeuilCaduc*(1-Persistant)+Persistant</f>
        <v>1</v>
      </c>
      <c r="BE254" s="293">
        <f>[2]!CroissVégét</f>
        <v>0.96281651236587618</v>
      </c>
      <c r="BF254" s="842">
        <f>1+[2]!Salcycl*Ksac</f>
        <v>1.097247672562973</v>
      </c>
      <c r="BH254" s="1105">
        <f t="shared" si="109"/>
        <v>9.190210085839666E-3</v>
      </c>
      <c r="BI254" s="11">
        <v>44436</v>
      </c>
      <c r="BJ254" s="742">
        <v>9.2250089589546581E-4</v>
      </c>
      <c r="BK254" s="742">
        <v>3.5269853699453533E-3</v>
      </c>
      <c r="BL254" s="742">
        <v>7.7646117898127268E-3</v>
      </c>
      <c r="BM254" s="742">
        <v>1.4900596000266947E-2</v>
      </c>
      <c r="BN254" s="742">
        <v>2.5843727704534553E-2</v>
      </c>
      <c r="BO254" s="743">
        <v>4.1428772831254242E-2</v>
      </c>
      <c r="BP254" s="742">
        <v>6.2097923498475531E-2</v>
      </c>
      <c r="BQ254" s="742">
        <v>8.7737586224891487E-2</v>
      </c>
      <c r="BR254" s="742">
        <v>0.11814383252634192</v>
      </c>
      <c r="BS254" s="742">
        <v>0.15301783615842349</v>
      </c>
      <c r="BT254" s="742">
        <v>0.19085139335745446</v>
      </c>
      <c r="BW254" s="1187">
        <f>'2018'!R\Max</f>
        <v>0</v>
      </c>
      <c r="BX254" s="1185">
        <f>'2019'!R\Max</f>
        <v>0.8022025517827488</v>
      </c>
      <c r="BY254" s="1185">
        <f>'2020'!R\Max</f>
        <v>0.9015433470981471</v>
      </c>
      <c r="BZ254" s="1185">
        <f>'2021'!R\Max</f>
        <v>0.98570266317895661</v>
      </c>
      <c r="CA254" s="1185">
        <f>'2022'!R\Max</f>
        <v>0.94846593372379906</v>
      </c>
      <c r="CB254" s="1185">
        <f>'2023'!R\Max</f>
        <v>0.94827342288069394</v>
      </c>
      <c r="CC254" s="1185">
        <f>'2024'!R\Max</f>
        <v>0.94805646891656048</v>
      </c>
      <c r="CD254" s="1185">
        <f>'2025'!R\Max</f>
        <v>0.94895209557246596</v>
      </c>
      <c r="CE254" s="1185">
        <f>'2026'!R\Max</f>
        <v>0.94887020007518064</v>
      </c>
      <c r="CF254" s="1186">
        <f>'2027'!R\Max</f>
        <v>0.94876803743141103</v>
      </c>
    </row>
    <row r="255" spans="1:84" s="6" customFormat="1" ht="11.25" x14ac:dyDescent="0.2">
      <c r="A255" s="11">
        <v>43341</v>
      </c>
      <c r="B255" s="382">
        <f>'2023'!Maxi_hp</f>
        <v>52.164540919966655</v>
      </c>
      <c r="C255" s="85">
        <f>'2023'!An_max</f>
        <v>2021</v>
      </c>
      <c r="D255" s="1132"/>
      <c r="E255" s="709"/>
      <c r="F255" s="13">
        <f t="shared" si="110"/>
        <v>19</v>
      </c>
      <c r="G255" s="13">
        <f t="shared" si="94"/>
        <v>18</v>
      </c>
      <c r="H255" s="175">
        <f t="shared" si="95"/>
        <v>43346</v>
      </c>
      <c r="I255" s="772">
        <f t="shared" si="96"/>
        <v>0.35714285714285715</v>
      </c>
      <c r="J255" s="763">
        <f t="shared" si="97"/>
        <v>53.359901603417732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P255" s="13">
        <f t="shared" si="98"/>
        <v>11</v>
      </c>
      <c r="AQ255" s="13">
        <f t="shared" si="99"/>
        <v>10</v>
      </c>
      <c r="AR255" s="175">
        <f t="shared" si="100"/>
        <v>43360</v>
      </c>
      <c r="AS255" s="772">
        <f t="shared" si="101"/>
        <v>0.6785714285714286</v>
      </c>
      <c r="AT255" s="789">
        <f t="shared" si="102"/>
        <v>53.204872256996374</v>
      </c>
      <c r="AU255" s="13">
        <f t="shared" si="103"/>
        <v>9</v>
      </c>
      <c r="AV255" s="13">
        <f t="shared" si="104"/>
        <v>10</v>
      </c>
      <c r="AW255" s="175">
        <f t="shared" si="105"/>
        <v>43318</v>
      </c>
      <c r="AX255" s="772">
        <f t="shared" si="106"/>
        <v>0.8214285714285714</v>
      </c>
      <c r="AY255" s="789">
        <f t="shared" si="107"/>
        <v>53.331910780817267</v>
      </c>
      <c r="AZ255" s="763">
        <f t="shared" si="111"/>
        <v>53.268391518906824</v>
      </c>
      <c r="BA255" s="647">
        <f t="shared" si="108"/>
        <v>0.9775981467819177</v>
      </c>
      <c r="BB255" s="642">
        <v>43341</v>
      </c>
      <c r="BC255" s="11">
        <v>43341</v>
      </c>
      <c r="BD255" s="292">
        <f>[2]!FeuilCaduc*(1-Persistant)+Persistant</f>
        <v>1</v>
      </c>
      <c r="BE255" s="293">
        <f>[2]!CroissVégét</f>
        <v>0.96427259177046543</v>
      </c>
      <c r="BF255" s="842">
        <f>1+[2]!Salcycl*Ksac</f>
        <v>1.0970571066164099</v>
      </c>
      <c r="BH255" s="1105">
        <f t="shared" si="109"/>
        <v>9.6350189187880703E-3</v>
      </c>
      <c r="BI255" s="11">
        <v>44437</v>
      </c>
      <c r="BJ255" s="742">
        <v>9.8324148847036565E-4</v>
      </c>
      <c r="BK255" s="742">
        <v>3.7246717026817749E-3</v>
      </c>
      <c r="BL255" s="742">
        <v>8.1593340590379784E-3</v>
      </c>
      <c r="BM255" s="742">
        <v>1.5546031902414192E-2</v>
      </c>
      <c r="BN255" s="742">
        <v>2.6789017774093773E-2</v>
      </c>
      <c r="BO255" s="743">
        <v>4.2719400533160777E-2</v>
      </c>
      <c r="BP255" s="742">
        <v>6.3668634802814553E-2</v>
      </c>
      <c r="BQ255" s="742">
        <v>8.9530040658091517E-2</v>
      </c>
      <c r="BR255" s="742">
        <v>0.12013418670085846</v>
      </c>
      <c r="BS255" s="742">
        <v>0.15551211817297478</v>
      </c>
      <c r="BT255" s="742">
        <v>0.19411055599682986</v>
      </c>
      <c r="BW255" s="1187">
        <f>'2018'!R\Max</f>
        <v>0</v>
      </c>
      <c r="BX255" s="1185">
        <f>'2019'!R\Max</f>
        <v>0.9196726917966116</v>
      </c>
      <c r="BY255" s="1185">
        <f>'2020'!R\Max</f>
        <v>0.16185943141184345</v>
      </c>
      <c r="BZ255" s="1185">
        <f>'2021'!R\Max</f>
        <v>0.9775981467819177</v>
      </c>
      <c r="CA255" s="1185">
        <f>'2022'!R\Max</f>
        <v>0.66843555052497239</v>
      </c>
      <c r="CB255" s="1185">
        <f>'2023'!R\Max</f>
        <v>0.66754876372278815</v>
      </c>
      <c r="CC255" s="1185">
        <f>'2024'!R\Max</f>
        <v>0.66655396880034434</v>
      </c>
      <c r="CD255" s="1185">
        <f>'2025'!R\Max</f>
        <v>0.67070651640367096</v>
      </c>
      <c r="CE255" s="1185">
        <f>'2026'!R\Max</f>
        <v>0.67032015163239866</v>
      </c>
      <c r="CF255" s="1186">
        <f>'2027'!R\Max</f>
        <v>0.66984029502809939</v>
      </c>
    </row>
    <row r="256" spans="1:84" s="6" customFormat="1" ht="11.25" x14ac:dyDescent="0.2">
      <c r="A256" s="11">
        <v>43342</v>
      </c>
      <c r="B256" s="382">
        <f>'2023'!Maxi_hp</f>
        <v>50.422665541987861</v>
      </c>
      <c r="C256" s="85">
        <f>'2023'!An_max</f>
        <v>2021</v>
      </c>
      <c r="D256" s="1132"/>
      <c r="E256" s="709"/>
      <c r="F256" s="13">
        <f t="shared" si="110"/>
        <v>19</v>
      </c>
      <c r="G256" s="13">
        <f t="shared" si="94"/>
        <v>18</v>
      </c>
      <c r="H256" s="175">
        <f t="shared" si="95"/>
        <v>43346</v>
      </c>
      <c r="I256" s="772">
        <f t="shared" si="96"/>
        <v>0.2857142857142857</v>
      </c>
      <c r="J256" s="763">
        <f t="shared" si="97"/>
        <v>53.042391253794939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P256" s="13">
        <f t="shared" si="98"/>
        <v>11</v>
      </c>
      <c r="AQ256" s="13">
        <f t="shared" si="99"/>
        <v>10</v>
      </c>
      <c r="AR256" s="175">
        <f t="shared" si="100"/>
        <v>43360</v>
      </c>
      <c r="AS256" s="772">
        <f t="shared" si="101"/>
        <v>0.6428571428571429</v>
      </c>
      <c r="AT256" s="789">
        <f t="shared" si="102"/>
        <v>52.87037193870971</v>
      </c>
      <c r="AU256" s="13">
        <f t="shared" si="103"/>
        <v>9</v>
      </c>
      <c r="AV256" s="13">
        <f t="shared" si="104"/>
        <v>10</v>
      </c>
      <c r="AW256" s="175">
        <f t="shared" si="105"/>
        <v>43318</v>
      </c>
      <c r="AX256" s="772">
        <f t="shared" si="106"/>
        <v>0.8571428571428571</v>
      </c>
      <c r="AY256" s="789">
        <f t="shared" si="107"/>
        <v>53.020083381342033</v>
      </c>
      <c r="AZ256" s="763">
        <f t="shared" si="111"/>
        <v>52.945227660025871</v>
      </c>
      <c r="BA256" s="647">
        <f t="shared" si="108"/>
        <v>0.95061071626140825</v>
      </c>
      <c r="BB256" s="642">
        <v>43342</v>
      </c>
      <c r="BC256" s="11">
        <v>43342</v>
      </c>
      <c r="BD256" s="292">
        <f>[2]!FeuilCaduc*(1-Persistant)+Persistant</f>
        <v>1</v>
      </c>
      <c r="BE256" s="293">
        <f>[2]!CroissVégét</f>
        <v>0.96567418689281481</v>
      </c>
      <c r="BF256" s="842">
        <f>1+[2]!Salcycl*Ksac</f>
        <v>1.0968574657148698</v>
      </c>
      <c r="BH256" s="1105">
        <f t="shared" si="109"/>
        <v>1.0080469615704952E-2</v>
      </c>
      <c r="BI256" s="11">
        <v>44438</v>
      </c>
      <c r="BJ256" s="742">
        <v>1.0458922055776526E-3</v>
      </c>
      <c r="BK256" s="742">
        <v>3.924085549539171E-3</v>
      </c>
      <c r="BL256" s="742">
        <v>8.5553233697275369E-3</v>
      </c>
      <c r="BM256" s="742">
        <v>1.6189605453439209E-2</v>
      </c>
      <c r="BN256" s="742">
        <v>2.7718974724529031E-2</v>
      </c>
      <c r="BO256" s="743">
        <v>4.3975102454444949E-2</v>
      </c>
      <c r="BP256" s="742">
        <v>6.5190228034881906E-2</v>
      </c>
      <c r="BQ256" s="742">
        <v>9.1254870583266437E-2</v>
      </c>
      <c r="BR256" s="742">
        <v>0.12208735447358582</v>
      </c>
      <c r="BS256" s="742">
        <v>0.15814431663958542</v>
      </c>
      <c r="BT256" s="742">
        <v>0.1978432822591874</v>
      </c>
      <c r="BW256" s="1187">
        <f>'2018'!R\Max</f>
        <v>0</v>
      </c>
      <c r="BX256" s="1185">
        <f>'2019'!R\Max</f>
        <v>0.91656887967327705</v>
      </c>
      <c r="BY256" s="1185">
        <f>'2020'!R\Max</f>
        <v>0.39069312573403364</v>
      </c>
      <c r="BZ256" s="1185">
        <f>'2021'!R\Max</f>
        <v>0.95061071626140825</v>
      </c>
      <c r="CA256" s="1185">
        <f>'2022'!R\Max</f>
        <v>0.93947423065491587</v>
      </c>
      <c r="CB256" s="1185">
        <f>'2023'!R\Max</f>
        <v>0.93924273852486662</v>
      </c>
      <c r="CC256" s="1185">
        <f>'2024'!R\Max</f>
        <v>0.93898296644433232</v>
      </c>
      <c r="CD256" s="1185">
        <f>'2025'!R\Max</f>
        <v>0.94007033632742898</v>
      </c>
      <c r="CE256" s="1185">
        <f>'2026'!R\Max</f>
        <v>0.9399684285026586</v>
      </c>
      <c r="CF256" s="1186">
        <f>'2027'!R\Max</f>
        <v>0.93984214382052045</v>
      </c>
    </row>
    <row r="257" spans="1:84" s="6" customFormat="1" ht="11.25" x14ac:dyDescent="0.2">
      <c r="A257" s="11">
        <v>43343</v>
      </c>
      <c r="B257" s="382">
        <f>'2023'!Maxi_hp</f>
        <v>50.324433414295505</v>
      </c>
      <c r="C257" s="85">
        <f>'2023'!An_max</f>
        <v>2021</v>
      </c>
      <c r="D257" s="1132"/>
      <c r="E257" s="709"/>
      <c r="F257" s="13">
        <f t="shared" si="110"/>
        <v>19</v>
      </c>
      <c r="G257" s="13">
        <f t="shared" si="94"/>
        <v>18</v>
      </c>
      <c r="H257" s="175">
        <f t="shared" si="95"/>
        <v>43346</v>
      </c>
      <c r="I257" s="772">
        <f t="shared" si="96"/>
        <v>0.21428571428571427</v>
      </c>
      <c r="J257" s="763">
        <f t="shared" si="97"/>
        <v>52.717872012087277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P257" s="13">
        <f t="shared" si="98"/>
        <v>11</v>
      </c>
      <c r="AQ257" s="13">
        <f t="shared" si="99"/>
        <v>10</v>
      </c>
      <c r="AR257" s="175">
        <f t="shared" si="100"/>
        <v>43360</v>
      </c>
      <c r="AS257" s="772">
        <f t="shared" si="101"/>
        <v>0.6071428571428571</v>
      </c>
      <c r="AT257" s="789">
        <f t="shared" si="102"/>
        <v>52.530464222867565</v>
      </c>
      <c r="AU257" s="13">
        <f t="shared" si="103"/>
        <v>9</v>
      </c>
      <c r="AV257" s="13">
        <f t="shared" si="104"/>
        <v>10</v>
      </c>
      <c r="AW257" s="175">
        <f t="shared" si="105"/>
        <v>43318</v>
      </c>
      <c r="AX257" s="772">
        <f t="shared" si="106"/>
        <v>0.8928571428571429</v>
      </c>
      <c r="AY257" s="789">
        <f t="shared" si="107"/>
        <v>52.701190563450965</v>
      </c>
      <c r="AZ257" s="763">
        <f t="shared" si="111"/>
        <v>52.615827393159265</v>
      </c>
      <c r="BA257" s="647">
        <f t="shared" si="108"/>
        <v>0.95459910450780339</v>
      </c>
      <c r="BB257" s="642">
        <v>43343</v>
      </c>
      <c r="BC257" s="11">
        <v>43343</v>
      </c>
      <c r="BD257" s="292">
        <f>[2]!FeuilCaduc*(1-Persistant)+Persistant</f>
        <v>1</v>
      </c>
      <c r="BE257" s="293">
        <f>[2]!CroissVégét</f>
        <v>0.9670231812722152</v>
      </c>
      <c r="BF257" s="842">
        <f>1+[2]!Salcycl*Ksac</f>
        <v>1.0966483982491639</v>
      </c>
      <c r="BH257" s="1105">
        <f t="shared" si="109"/>
        <v>1.0526574187942731E-2</v>
      </c>
      <c r="BI257" s="11">
        <v>44439</v>
      </c>
      <c r="BJ257" s="742">
        <v>1.1104552016458632E-3</v>
      </c>
      <c r="BK257" s="742">
        <v>4.1252326050217449E-3</v>
      </c>
      <c r="BL257" s="742">
        <v>8.9525905321741536E-3</v>
      </c>
      <c r="BM257" s="742">
        <v>1.6831333475666926E-2</v>
      </c>
      <c r="BN257" s="742">
        <v>2.8633619932802886E-2</v>
      </c>
      <c r="BO257" s="743">
        <v>4.5195904451854375E-2</v>
      </c>
      <c r="BP257" s="742">
        <v>6.6662734598704337E-2</v>
      </c>
      <c r="BQ257" s="742">
        <v>9.2912111112699688E-2</v>
      </c>
      <c r="BR257" s="742">
        <v>0.124003390283333</v>
      </c>
      <c r="BS257" s="742">
        <v>0.16091455848889288</v>
      </c>
      <c r="BT257" s="742">
        <v>0.2020498284152262</v>
      </c>
      <c r="BW257" s="1187">
        <f>'2018'!R\Max</f>
        <v>0</v>
      </c>
      <c r="BX257" s="1185">
        <f>'2019'!R\Max</f>
        <v>0.8923199524338985</v>
      </c>
      <c r="BY257" s="1185">
        <f>'2020'!R\Max</f>
        <v>0.54898595378859272</v>
      </c>
      <c r="BZ257" s="1185">
        <f>'2021'!R\Max</f>
        <v>0.95459910450780339</v>
      </c>
      <c r="CA257" s="1185">
        <f>'2022'!R\Max</f>
        <v>0.44138197287421488</v>
      </c>
      <c r="CB257" s="1185">
        <f>'2023'!R\Max</f>
        <v>0.44036451292512396</v>
      </c>
      <c r="CC257" s="1185">
        <f>'2024'!R\Max</f>
        <v>0.4392296907994076</v>
      </c>
      <c r="CD257" s="1185">
        <f>'2025'!R\Max</f>
        <v>0.44404488674495368</v>
      </c>
      <c r="CE257" s="1185">
        <f>'2026'!R\Max</f>
        <v>0.44358451526431475</v>
      </c>
      <c r="CF257" s="1186">
        <f>'2027'!R\Max</f>
        <v>0.44301705771581301</v>
      </c>
    </row>
    <row r="258" spans="1:84" s="6" customFormat="1" ht="11.25" x14ac:dyDescent="0.2">
      <c r="A258" s="11">
        <v>43344</v>
      </c>
      <c r="B258" s="382">
        <f>'2023'!Maxi_hp</f>
        <v>47.157889501262005</v>
      </c>
      <c r="C258" s="85">
        <f>'2023'!An_max</f>
        <v>2022</v>
      </c>
      <c r="D258" s="1132"/>
      <c r="E258" s="709"/>
      <c r="F258" s="13">
        <f t="shared" si="110"/>
        <v>19</v>
      </c>
      <c r="G258" s="13">
        <f t="shared" si="94"/>
        <v>18</v>
      </c>
      <c r="H258" s="175">
        <f t="shared" si="95"/>
        <v>43346</v>
      </c>
      <c r="I258" s="772">
        <f t="shared" si="96"/>
        <v>0.14285714285714285</v>
      </c>
      <c r="J258" s="763">
        <f t="shared" si="97"/>
        <v>52.386117784359627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P258" s="13">
        <f t="shared" si="98"/>
        <v>11</v>
      </c>
      <c r="AQ258" s="13">
        <f t="shared" si="99"/>
        <v>10</v>
      </c>
      <c r="AR258" s="175">
        <f t="shared" si="100"/>
        <v>43360</v>
      </c>
      <c r="AS258" s="772">
        <f t="shared" si="101"/>
        <v>0.5714285714285714</v>
      </c>
      <c r="AT258" s="789">
        <f t="shared" si="102"/>
        <v>52.185346939308303</v>
      </c>
      <c r="AU258" s="13">
        <f t="shared" si="103"/>
        <v>9</v>
      </c>
      <c r="AV258" s="13">
        <f t="shared" si="104"/>
        <v>10</v>
      </c>
      <c r="AW258" s="175">
        <f t="shared" si="105"/>
        <v>43318</v>
      </c>
      <c r="AX258" s="772">
        <f t="shared" si="106"/>
        <v>0.9285714285714286</v>
      </c>
      <c r="AY258" s="789">
        <f t="shared" si="107"/>
        <v>52.375020370845291</v>
      </c>
      <c r="AZ258" s="763">
        <f t="shared" si="111"/>
        <v>52.280183655076797</v>
      </c>
      <c r="BA258" s="647">
        <f t="shared" si="108"/>
        <v>0.90019821081953588</v>
      </c>
      <c r="BB258" s="642">
        <v>43344</v>
      </c>
      <c r="BC258" s="11">
        <v>43344</v>
      </c>
      <c r="BD258" s="292">
        <f>[2]!FeuilCaduc*(1-Persistant)+Persistant</f>
        <v>1</v>
      </c>
      <c r="BE258" s="293">
        <f>[2]!CroissVégét</f>
        <v>0.96832140523745813</v>
      </c>
      <c r="BF258" s="842">
        <f>1+[2]!Salcycl*Ksac</f>
        <v>1.0964295397400963</v>
      </c>
      <c r="BH258" s="1105">
        <f t="shared" si="109"/>
        <v>1.0973344983220964E-2</v>
      </c>
      <c r="BI258" s="11">
        <v>44440</v>
      </c>
      <c r="BJ258" s="742">
        <v>1.1769327631352673E-3</v>
      </c>
      <c r="BK258" s="742">
        <v>4.3281187813836615E-3</v>
      </c>
      <c r="BL258" s="742">
        <v>9.3511466882210282E-3</v>
      </c>
      <c r="BM258" s="742">
        <v>1.7471233147083171E-2</v>
      </c>
      <c r="BN258" s="742">
        <v>2.9532974700531237E-2</v>
      </c>
      <c r="BO258" s="743">
        <v>4.638183161679265E-2</v>
      </c>
      <c r="BP258" s="742">
        <v>6.8086184650118245E-2</v>
      </c>
      <c r="BQ258" s="742">
        <v>9.4501795381443723E-2</v>
      </c>
      <c r="BR258" s="742">
        <v>0.12588234815263849</v>
      </c>
      <c r="BS258" s="742">
        <v>0.16382297883105149</v>
      </c>
      <c r="BT258" s="742">
        <v>0.20673047526399585</v>
      </c>
      <c r="BW258" s="1187">
        <f>'2018'!R\Max</f>
        <v>0</v>
      </c>
      <c r="BX258" s="1185">
        <f>'2019'!R\Max</f>
        <v>0.33951515946585603</v>
      </c>
      <c r="BY258" s="1185">
        <f>'2020'!R\Max</f>
        <v>0.81720196824518643</v>
      </c>
      <c r="BZ258" s="1185">
        <f>'2021'!R\Max</f>
        <v>0.58649584554146617</v>
      </c>
      <c r="CA258" s="1185">
        <f>'2022'!R\Max</f>
        <v>0.90019821081953588</v>
      </c>
      <c r="CB258" s="1185">
        <f>'2023'!R\Max</f>
        <v>0.89982116745406349</v>
      </c>
      <c r="CC258" s="1185">
        <f>'2024'!R\Max</f>
        <v>0.89939957442098839</v>
      </c>
      <c r="CD258" s="1185">
        <f>'2025'!R\Max</f>
        <v>0.90118647608932356</v>
      </c>
      <c r="CE258" s="1185">
        <f>'2026'!R\Max</f>
        <v>0.90101521832013287</v>
      </c>
      <c r="CF258" s="1186">
        <f>'2027'!R\Max</f>
        <v>0.900804411246513</v>
      </c>
    </row>
    <row r="259" spans="1:84" s="6" customFormat="1" ht="11.25" x14ac:dyDescent="0.2">
      <c r="A259" s="11">
        <v>43345</v>
      </c>
      <c r="B259" s="382">
        <f>'2023'!Maxi_hp</f>
        <v>49.191044286339199</v>
      </c>
      <c r="C259" s="85">
        <f>'2023'!An_max</f>
        <v>2019</v>
      </c>
      <c r="D259" s="1132"/>
      <c r="E259" s="709"/>
      <c r="F259" s="13">
        <f t="shared" si="110"/>
        <v>19</v>
      </c>
      <c r="G259" s="13">
        <f t="shared" si="94"/>
        <v>18</v>
      </c>
      <c r="H259" s="175">
        <f t="shared" si="95"/>
        <v>43346</v>
      </c>
      <c r="I259" s="772">
        <f t="shared" si="96"/>
        <v>7.1428571428571425E-2</v>
      </c>
      <c r="J259" s="763">
        <f t="shared" si="97"/>
        <v>52.046902478592735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P259" s="13">
        <f t="shared" si="98"/>
        <v>11</v>
      </c>
      <c r="AQ259" s="13">
        <f t="shared" si="99"/>
        <v>10</v>
      </c>
      <c r="AR259" s="175">
        <f t="shared" si="100"/>
        <v>43360</v>
      </c>
      <c r="AS259" s="772">
        <f t="shared" si="101"/>
        <v>0.5357142857142857</v>
      </c>
      <c r="AT259" s="789">
        <f t="shared" si="102"/>
        <v>51.835217921409217</v>
      </c>
      <c r="AU259" s="13">
        <f t="shared" si="103"/>
        <v>9</v>
      </c>
      <c r="AV259" s="13">
        <f t="shared" si="104"/>
        <v>10</v>
      </c>
      <c r="AW259" s="175">
        <f t="shared" si="105"/>
        <v>43318</v>
      </c>
      <c r="AX259" s="772">
        <f t="shared" si="106"/>
        <v>0.9642857142857143</v>
      </c>
      <c r="AY259" s="789">
        <f t="shared" si="107"/>
        <v>52.041360835491545</v>
      </c>
      <c r="AZ259" s="763">
        <f t="shared" si="111"/>
        <v>51.938289378450378</v>
      </c>
      <c r="BA259" s="647">
        <f t="shared" si="108"/>
        <v>0.94512914205743237</v>
      </c>
      <c r="BB259" s="642">
        <v>43345</v>
      </c>
      <c r="BC259" s="11">
        <v>43345</v>
      </c>
      <c r="BD259" s="292">
        <f>[2]!FeuilCaduc*(1-Persistant)+Persistant</f>
        <v>1</v>
      </c>
      <c r="BE259" s="293">
        <f>[2]!CroissVégét</f>
        <v>0.96957063646587138</v>
      </c>
      <c r="BF259" s="842">
        <f>1+[2]!Salcycl*Ksac</f>
        <v>1.0962005119313223</v>
      </c>
      <c r="BH259" s="1105">
        <f t="shared" si="109"/>
        <v>1.1420794686530206E-2</v>
      </c>
      <c r="BI259" s="11">
        <v>44441</v>
      </c>
      <c r="BJ259" s="742">
        <v>1.2453273118802535E-3</v>
      </c>
      <c r="BK259" s="742">
        <v>4.5327502115809987E-3</v>
      </c>
      <c r="BL259" s="742">
        <v>9.7510033132983138E-3</v>
      </c>
      <c r="BM259" s="742">
        <v>1.8109321997701589E-2</v>
      </c>
      <c r="BN259" s="742">
        <v>3.0417060226381201E-2</v>
      </c>
      <c r="BO259" s="743">
        <v>4.7532908212886998E-2</v>
      </c>
      <c r="BP259" s="742">
        <v>6.9460607009007094E-2</v>
      </c>
      <c r="BQ259" s="742">
        <v>9.602395442658572E-2</v>
      </c>
      <c r="BR259" s="742">
        <v>0.12772428162038776</v>
      </c>
      <c r="BS259" s="742">
        <v>0.16686972119682184</v>
      </c>
      <c r="BT259" s="742">
        <v>0.2118855289656271</v>
      </c>
      <c r="BW259" s="1187">
        <f>'2018'!R\Max</f>
        <v>0</v>
      </c>
      <c r="BX259" s="1185">
        <f>'2019'!R\Max</f>
        <v>0.94512914205743237</v>
      </c>
      <c r="BY259" s="1185">
        <f>'2020'!R\Max</f>
        <v>0.87683457474933868</v>
      </c>
      <c r="BZ259" s="1185">
        <f>'2021'!R\Max</f>
        <v>0.43239192447056918</v>
      </c>
      <c r="CA259" s="1185">
        <f>'2022'!R\Max</f>
        <v>0.78668555046043387</v>
      </c>
      <c r="CB259" s="1185">
        <f>'2023'!R\Max</f>
        <v>0.78597142111086038</v>
      </c>
      <c r="CC259" s="1185">
        <f>'2024'!R\Max</f>
        <v>0.78517473479723765</v>
      </c>
      <c r="CD259" s="1185">
        <f>'2025'!R\Max</f>
        <v>0.78857541669126086</v>
      </c>
      <c r="CE259" s="1185">
        <f>'2026'!R\Max</f>
        <v>0.7882455468181</v>
      </c>
      <c r="CF259" s="1186">
        <f>'2027'!R\Max</f>
        <v>0.78784102182981475</v>
      </c>
    </row>
    <row r="260" spans="1:84" s="6" customFormat="1" ht="11.25" x14ac:dyDescent="0.2">
      <c r="A260" s="11">
        <v>43346</v>
      </c>
      <c r="B260" s="382">
        <f>'2023'!Maxi_hp</f>
        <v>51.164853972749853</v>
      </c>
      <c r="C260" s="85">
        <f>'2023'!An_max</f>
        <v>2019</v>
      </c>
      <c r="D260" s="1132"/>
      <c r="E260" s="771">
        <f>AE$13/10</f>
        <v>51.7</v>
      </c>
      <c r="F260" s="13">
        <f t="shared" si="110"/>
        <v>19</v>
      </c>
      <c r="G260" s="13">
        <f t="shared" si="94"/>
        <v>20</v>
      </c>
      <c r="H260" s="175">
        <f t="shared" si="95"/>
        <v>43346</v>
      </c>
      <c r="I260" s="772">
        <f t="shared" si="96"/>
        <v>0</v>
      </c>
      <c r="J260" s="763">
        <f t="shared" si="97"/>
        <v>51.700000000745057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P260" s="13">
        <f t="shared" si="98"/>
        <v>11</v>
      </c>
      <c r="AQ260" s="13">
        <f t="shared" si="99"/>
        <v>10</v>
      </c>
      <c r="AR260" s="175">
        <f t="shared" si="100"/>
        <v>43360</v>
      </c>
      <c r="AS260" s="772">
        <f t="shared" si="101"/>
        <v>0.5</v>
      </c>
      <c r="AT260" s="789">
        <f t="shared" si="102"/>
        <v>51.480274999886753</v>
      </c>
      <c r="AU260" s="13">
        <f t="shared" si="103"/>
        <v>11</v>
      </c>
      <c r="AV260" s="13">
        <f t="shared" si="104"/>
        <v>10</v>
      </c>
      <c r="AW260" s="175">
        <f t="shared" si="105"/>
        <v>43374</v>
      </c>
      <c r="AX260" s="772">
        <f t="shared" si="106"/>
        <v>1</v>
      </c>
      <c r="AY260" s="789">
        <f t="shared" si="107"/>
        <v>51.699999998509881</v>
      </c>
      <c r="AZ260" s="763">
        <f t="shared" si="111"/>
        <v>51.59013749919832</v>
      </c>
      <c r="BA260" s="647">
        <f t="shared" si="108"/>
        <v>0.98964901299830765</v>
      </c>
      <c r="BB260" s="642">
        <v>43346</v>
      </c>
      <c r="BC260" s="11">
        <v>43346</v>
      </c>
      <c r="BD260" s="292">
        <f>[2]!FeuilCaduc*(1-Persistant)+Persistant</f>
        <v>1</v>
      </c>
      <c r="BE260" s="293">
        <f>[2]!CroissVégét</f>
        <v>0.97077260062312232</v>
      </c>
      <c r="BF260" s="842">
        <f>1+[2]!Salcycl*Ksac</f>
        <v>1.0959609218255175</v>
      </c>
      <c r="BH260" s="1105">
        <f t="shared" si="109"/>
        <v>1.1868936320920025E-2</v>
      </c>
      <c r="BI260" s="11">
        <v>44442</v>
      </c>
      <c r="BJ260" s="742">
        <v>1.3156414084193641E-3</v>
      </c>
      <c r="BK260" s="742">
        <v>4.7391332521780323E-3</v>
      </c>
      <c r="BL260" s="742">
        <v>1.0152172218360952E-2</v>
      </c>
      <c r="BM260" s="742">
        <v>1.8745617905745974E-2</v>
      </c>
      <c r="BN260" s="742">
        <v>3.1285897578156273E-2</v>
      </c>
      <c r="BO260" s="743">
        <v>4.8649157613064369E-2</v>
      </c>
      <c r="BP260" s="742">
        <v>7.078602907081781E-2</v>
      </c>
      <c r="BQ260" s="742">
        <v>9.7478617065511877E-2</v>
      </c>
      <c r="BR260" s="742">
        <v>0.12952924367309912</v>
      </c>
      <c r="BS260" s="742">
        <v>0.17005493777693567</v>
      </c>
      <c r="BT260" s="742">
        <v>0.21751532187189729</v>
      </c>
      <c r="BW260" s="1187">
        <f>'2018'!R\Max</f>
        <v>0</v>
      </c>
      <c r="BX260" s="1185">
        <f>'2019'!R\Max</f>
        <v>0.98964901299830765</v>
      </c>
      <c r="BY260" s="1185">
        <f>'2020'!R\Max</f>
        <v>0.97993666626612097</v>
      </c>
      <c r="BZ260" s="1185">
        <f>'2021'!R\Max</f>
        <v>0.57366237229617412</v>
      </c>
      <c r="CA260" s="1185">
        <f>'2022'!R\Max</f>
        <v>0.65080570566884788</v>
      </c>
      <c r="CB260" s="1185">
        <f>'2023'!R\Max</f>
        <v>0.64982570987115473</v>
      </c>
      <c r="CC260" s="1185">
        <f>'2024'!R\Max</f>
        <v>0.64873490722517257</v>
      </c>
      <c r="CD260" s="1185">
        <f>'2025'!R\Max</f>
        <v>0.65342416146881754</v>
      </c>
      <c r="CE260" s="1185">
        <f>'2026'!R\Max</f>
        <v>0.65296380772423257</v>
      </c>
      <c r="CF260" s="1186">
        <f>'2027'!R\Max</f>
        <v>0.65240146159422896</v>
      </c>
    </row>
    <row r="261" spans="1:84" s="6" customFormat="1" ht="11.25" x14ac:dyDescent="0.2">
      <c r="A261" s="11">
        <v>43347</v>
      </c>
      <c r="B261" s="382">
        <f>'2023'!Maxi_hp</f>
        <v>50.630743838713244</v>
      </c>
      <c r="C261" s="85">
        <f>'2023'!An_max</f>
        <v>2019</v>
      </c>
      <c r="D261" s="1132"/>
      <c r="E261" s="709"/>
      <c r="F261" s="13">
        <f t="shared" si="110"/>
        <v>19</v>
      </c>
      <c r="G261" s="13">
        <f t="shared" si="94"/>
        <v>20</v>
      </c>
      <c r="H261" s="175">
        <f t="shared" si="95"/>
        <v>43346</v>
      </c>
      <c r="I261" s="772">
        <f t="shared" si="96"/>
        <v>7.1428571428571425E-2</v>
      </c>
      <c r="J261" s="763">
        <f t="shared" si="97"/>
        <v>51.344524817275143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P261" s="13">
        <f t="shared" si="98"/>
        <v>11</v>
      </c>
      <c r="AQ261" s="13">
        <f t="shared" si="99"/>
        <v>10</v>
      </c>
      <c r="AR261" s="175">
        <f t="shared" si="100"/>
        <v>43360</v>
      </c>
      <c r="AS261" s="772">
        <f t="shared" si="101"/>
        <v>0.4642857142857143</v>
      </c>
      <c r="AT261" s="789">
        <f t="shared" si="102"/>
        <v>51.120716007825514</v>
      </c>
      <c r="AU261" s="13">
        <f t="shared" si="103"/>
        <v>11</v>
      </c>
      <c r="AV261" s="13">
        <f t="shared" si="104"/>
        <v>10</v>
      </c>
      <c r="AW261" s="175">
        <f t="shared" si="105"/>
        <v>43374</v>
      </c>
      <c r="AX261" s="772">
        <f t="shared" si="106"/>
        <v>0.9642857142857143</v>
      </c>
      <c r="AY261" s="789">
        <f t="shared" si="107"/>
        <v>51.348570945097265</v>
      </c>
      <c r="AZ261" s="763">
        <f t="shared" si="111"/>
        <v>51.234643476461386</v>
      </c>
      <c r="BA261" s="647">
        <f t="shared" si="108"/>
        <v>0.98609820655460145</v>
      </c>
      <c r="BB261" s="642">
        <v>43347</v>
      </c>
      <c r="BC261" s="11">
        <v>43347</v>
      </c>
      <c r="BD261" s="292">
        <f>[2]!FeuilCaduc*(1-Persistant)+Persistant</f>
        <v>1</v>
      </c>
      <c r="BE261" s="293">
        <f>[2]!CroissVégét</f>
        <v>0.97192897207465079</v>
      </c>
      <c r="BF261" s="842">
        <f>1+[2]!Salcycl*Ksac</f>
        <v>1.0957103606949434</v>
      </c>
      <c r="BH261" s="1105">
        <f t="shared" si="109"/>
        <v>1.2317783248249553E-2</v>
      </c>
      <c r="BI261" s="11">
        <v>44443</v>
      </c>
      <c r="BJ261" s="742">
        <v>1.3878777553203469E-3</v>
      </c>
      <c r="BK261" s="742">
        <v>4.947274486237445E-3</v>
      </c>
      <c r="BL261" s="742">
        <v>1.0554665551793683E-2</v>
      </c>
      <c r="BM261" s="742">
        <v>1.9380139093776467E-2</v>
      </c>
      <c r="BN261" s="742">
        <v>3.2139507664795931E-2</v>
      </c>
      <c r="BO261" s="743">
        <v>4.9730602236503947E-2</v>
      </c>
      <c r="BP261" s="742">
        <v>7.2062476717910204E-2</v>
      </c>
      <c r="BQ261" s="742">
        <v>9.8865809773958521E-2</v>
      </c>
      <c r="BR261" s="742">
        <v>0.13129728667593335</v>
      </c>
      <c r="BS261" s="742">
        <v>0.17337878966106882</v>
      </c>
      <c r="BT261" s="742">
        <v>0.22362021335623947</v>
      </c>
      <c r="BW261" s="1187">
        <f>'2018'!R\Max</f>
        <v>0</v>
      </c>
      <c r="BX261" s="1185">
        <f>'2019'!R\Max</f>
        <v>0.98609820655460145</v>
      </c>
      <c r="BY261" s="1185">
        <f>'2020'!R\Max</f>
        <v>0.95353671286170139</v>
      </c>
      <c r="BZ261" s="1185">
        <f>'2021'!R\Max</f>
        <v>0.84091469078544845</v>
      </c>
      <c r="CA261" s="1185">
        <f>'2022'!R\Max</f>
        <v>0.95779920896721904</v>
      </c>
      <c r="CB261" s="1185">
        <f>'2023'!R\Max</f>
        <v>0.95762233724341794</v>
      </c>
      <c r="CC261" s="1185">
        <f>'2024'!R\Max</f>
        <v>0.95742506855555165</v>
      </c>
      <c r="CD261" s="1185">
        <f>'2025'!R\Max</f>
        <v>0.95827280292420614</v>
      </c>
      <c r="CE261" s="1185">
        <f>'2026'!R\Max</f>
        <v>0.95818930988026241</v>
      </c>
      <c r="CF261" s="1186">
        <f>'2027'!R\Max</f>
        <v>0.9580875125232855</v>
      </c>
    </row>
    <row r="262" spans="1:84" s="6" customFormat="1" ht="11.25" x14ac:dyDescent="0.2">
      <c r="A262" s="11">
        <v>43348</v>
      </c>
      <c r="B262" s="382">
        <f>'2023'!Maxi_hp</f>
        <v>48.60501068816032</v>
      </c>
      <c r="C262" s="85">
        <f>'2023'!An_max</f>
        <v>2020</v>
      </c>
      <c r="D262" s="1132"/>
      <c r="E262" s="709"/>
      <c r="F262" s="13">
        <f t="shared" si="110"/>
        <v>19</v>
      </c>
      <c r="G262" s="13">
        <f t="shared" si="94"/>
        <v>20</v>
      </c>
      <c r="H262" s="175">
        <f t="shared" si="95"/>
        <v>43346</v>
      </c>
      <c r="I262" s="772">
        <f t="shared" si="96"/>
        <v>0.14285714285714285</v>
      </c>
      <c r="J262" s="763">
        <f t="shared" si="97"/>
        <v>50.98011895088213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P262" s="13">
        <f t="shared" si="98"/>
        <v>11</v>
      </c>
      <c r="AQ262" s="13">
        <f t="shared" si="99"/>
        <v>10</v>
      </c>
      <c r="AR262" s="175">
        <f t="shared" si="100"/>
        <v>43360</v>
      </c>
      <c r="AS262" s="772">
        <f t="shared" si="101"/>
        <v>0.42857142857142855</v>
      </c>
      <c r="AT262" s="789">
        <f t="shared" si="102"/>
        <v>50.756738775862104</v>
      </c>
      <c r="AU262" s="13">
        <f t="shared" si="103"/>
        <v>11</v>
      </c>
      <c r="AV262" s="13">
        <f t="shared" si="104"/>
        <v>10</v>
      </c>
      <c r="AW262" s="175">
        <f t="shared" si="105"/>
        <v>43374</v>
      </c>
      <c r="AX262" s="772">
        <f t="shared" si="106"/>
        <v>0.9285714285714286</v>
      </c>
      <c r="AY262" s="789">
        <f t="shared" si="107"/>
        <v>50.985319094825535</v>
      </c>
      <c r="AZ262" s="763">
        <f t="shared" si="111"/>
        <v>50.871028935343816</v>
      </c>
      <c r="BA262" s="647">
        <f t="shared" si="108"/>
        <v>0.95341108825167398</v>
      </c>
      <c r="BB262" s="642">
        <v>43348</v>
      </c>
      <c r="BC262" s="11">
        <v>43348</v>
      </c>
      <c r="BD262" s="292">
        <f>[2]!FeuilCaduc*(1-Persistant)+Persistant</f>
        <v>1</v>
      </c>
      <c r="BE262" s="293">
        <f>[2]!CroissVégét</f>
        <v>0.97304137466019458</v>
      </c>
      <c r="BF262" s="842">
        <f>1+[2]!Salcycl*Ksac</f>
        <v>1.0954484030987621</v>
      </c>
      <c r="BH262" s="1105">
        <f t="shared" si="109"/>
        <v>1.275927262647903E-2</v>
      </c>
      <c r="BI262" s="11">
        <v>44444</v>
      </c>
      <c r="BJ262" s="742">
        <v>1.4663390633057696E-3</v>
      </c>
      <c r="BK262" s="742">
        <v>5.1558681256762464E-3</v>
      </c>
      <c r="BL262" s="742">
        <v>1.0951243038715067E-2</v>
      </c>
      <c r="BM262" s="742">
        <v>2.0001527839331776E-2</v>
      </c>
      <c r="BN262" s="742">
        <v>3.2965012135281899E-2</v>
      </c>
      <c r="BO262" s="743">
        <v>5.0755760541958461E-2</v>
      </c>
      <c r="BP262" s="742">
        <v>7.326259537102138E-2</v>
      </c>
      <c r="BQ262" s="742">
        <v>0.10015441448111639</v>
      </c>
      <c r="BR262" s="742">
        <v>0.13313741086942804</v>
      </c>
      <c r="BS262" s="742">
        <v>0.17707010953724542</v>
      </c>
      <c r="BT262" s="742">
        <v>0.23053251236276873</v>
      </c>
      <c r="BW262" s="1187">
        <f>'2018'!R\Max</f>
        <v>0</v>
      </c>
      <c r="BX262" s="1185">
        <f>'2019'!R\Max</f>
        <v>0.80049623096066391</v>
      </c>
      <c r="BY262" s="1185">
        <f>'2020'!R\Max</f>
        <v>0.95341108825167398</v>
      </c>
      <c r="BZ262" s="1185">
        <f>'2021'!R\Max</f>
        <v>0.86738408337510842</v>
      </c>
      <c r="CA262" s="1185">
        <f>'2022'!R\Max</f>
        <v>0.83173321878121931</v>
      </c>
      <c r="CB262" s="1185">
        <f>'2023'!R\Max</f>
        <v>0.83111336983973128</v>
      </c>
      <c r="CC262" s="1185">
        <f>'2024'!R\Max</f>
        <v>0.83042277758637251</v>
      </c>
      <c r="CD262" s="1185">
        <f>'2025'!R\Max</f>
        <v>0.83340720664681278</v>
      </c>
      <c r="CE262" s="1185">
        <f>'2026'!R\Max</f>
        <v>0.83311006086147654</v>
      </c>
      <c r="CF262" s="1186">
        <f>'2027'!R\Max</f>
        <v>0.83274921637225663</v>
      </c>
    </row>
    <row r="263" spans="1:84" s="6" customFormat="1" ht="11.25" x14ac:dyDescent="0.2">
      <c r="A263" s="11">
        <v>43349</v>
      </c>
      <c r="B263" s="382">
        <f>'2023'!Maxi_hp</f>
        <v>51.979212378770349</v>
      </c>
      <c r="C263" s="85">
        <f>'2023'!An_max</f>
        <v>2019</v>
      </c>
      <c r="D263" s="1132"/>
      <c r="E263" s="709"/>
      <c r="F263" s="13">
        <f t="shared" si="110"/>
        <v>19</v>
      </c>
      <c r="G263" s="13">
        <f t="shared" si="94"/>
        <v>20</v>
      </c>
      <c r="H263" s="175">
        <f t="shared" si="95"/>
        <v>43346</v>
      </c>
      <c r="I263" s="772">
        <f t="shared" si="96"/>
        <v>0.21428571428571427</v>
      </c>
      <c r="J263" s="763">
        <f t="shared" si="97"/>
        <v>50.607347631667338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P263" s="13">
        <f t="shared" si="98"/>
        <v>11</v>
      </c>
      <c r="AQ263" s="13">
        <f t="shared" si="99"/>
        <v>10</v>
      </c>
      <c r="AR263" s="175">
        <f t="shared" si="100"/>
        <v>43360</v>
      </c>
      <c r="AS263" s="772">
        <f t="shared" si="101"/>
        <v>0.39285714285714285</v>
      </c>
      <c r="AT263" s="789">
        <f t="shared" si="102"/>
        <v>50.38854113460652</v>
      </c>
      <c r="AU263" s="13">
        <f t="shared" si="103"/>
        <v>11</v>
      </c>
      <c r="AV263" s="13">
        <f t="shared" si="104"/>
        <v>10</v>
      </c>
      <c r="AW263" s="175">
        <f t="shared" si="105"/>
        <v>43374</v>
      </c>
      <c r="AX263" s="772">
        <f t="shared" si="106"/>
        <v>0.8928571428571429</v>
      </c>
      <c r="AY263" s="789">
        <f t="shared" si="107"/>
        <v>50.610950992096754</v>
      </c>
      <c r="AZ263" s="763">
        <f t="shared" si="111"/>
        <v>50.499746063351637</v>
      </c>
      <c r="BA263" s="647">
        <f t="shared" si="108"/>
        <v>1.0271080151658565</v>
      </c>
      <c r="BB263" s="642">
        <v>43349</v>
      </c>
      <c r="BC263" s="11">
        <v>43349</v>
      </c>
      <c r="BD263" s="292">
        <f>[2]!FeuilCaduc*(1-Persistant)+Persistant</f>
        <v>1</v>
      </c>
      <c r="BE263" s="293">
        <f>[2]!CroissVégét</f>
        <v>0.97411138252345786</v>
      </c>
      <c r="BF263" s="842">
        <f>1+[2]!Salcycl*Ksac</f>
        <v>1.0951746059403074</v>
      </c>
      <c r="BH263" s="1105">
        <f t="shared" si="109"/>
        <v>1.3190971842739003E-2</v>
      </c>
      <c r="BI263" s="11">
        <v>44445</v>
      </c>
      <c r="BJ263" s="742">
        <v>1.5509578953067562E-3</v>
      </c>
      <c r="BK263" s="742">
        <v>5.3639162666720428E-3</v>
      </c>
      <c r="BL263" s="742">
        <v>1.13395051404966E-2</v>
      </c>
      <c r="BM263" s="742">
        <v>2.060721904714528E-2</v>
      </c>
      <c r="BN263" s="742">
        <v>3.3767142523831659E-2</v>
      </c>
      <c r="BO263" s="743">
        <v>5.1739537546157226E-2</v>
      </c>
      <c r="BP263" s="742">
        <v>7.4412013622664711E-2</v>
      </c>
      <c r="BQ263" s="742">
        <v>0.10138509315513794</v>
      </c>
      <c r="BR263" s="742">
        <v>0.13509920098210124</v>
      </c>
      <c r="BS263" s="742">
        <v>0.18115905454160097</v>
      </c>
      <c r="BT263" s="742">
        <v>0.23822691613915684</v>
      </c>
      <c r="BW263" s="1187">
        <f>'2018'!R\Max</f>
        <v>0</v>
      </c>
      <c r="BX263" s="1185">
        <f>'2019'!R\Max</f>
        <v>1.0271080151658565</v>
      </c>
      <c r="BY263" s="1185">
        <f>'2020'!R\Max</f>
        <v>0.89870092044706351</v>
      </c>
      <c r="BZ263" s="1185">
        <f>'2021'!R\Max</f>
        <v>0.95353885929148618</v>
      </c>
      <c r="CA263" s="1185">
        <f>'2022'!R\Max</f>
        <v>0.94154615874076097</v>
      </c>
      <c r="CB263" s="1185">
        <f>'2023'!R\Max</f>
        <v>0.94129922286933276</v>
      </c>
      <c r="CC263" s="1185">
        <f>'2024'!R\Max</f>
        <v>0.94102354349714967</v>
      </c>
      <c r="CD263" s="1185">
        <f>'2025'!R\Max</f>
        <v>0.94221587113462146</v>
      </c>
      <c r="CE263" s="1185">
        <f>'2026'!R\Max</f>
        <v>0.94209646423431304</v>
      </c>
      <c r="CF263" s="1186">
        <f>'2027'!R\Max</f>
        <v>0.94195188348364589</v>
      </c>
    </row>
    <row r="264" spans="1:84" s="6" customFormat="1" ht="11.25" x14ac:dyDescent="0.2">
      <c r="A264" s="11">
        <v>43350</v>
      </c>
      <c r="B264" s="382">
        <f>'2023'!Maxi_hp</f>
        <v>50.735283993858943</v>
      </c>
      <c r="C264" s="85">
        <f>'2023'!An_max</f>
        <v>2019</v>
      </c>
      <c r="D264" s="1132"/>
      <c r="E264" s="709"/>
      <c r="F264" s="13">
        <f t="shared" si="110"/>
        <v>19</v>
      </c>
      <c r="G264" s="13">
        <f t="shared" si="94"/>
        <v>20</v>
      </c>
      <c r="H264" s="175">
        <f t="shared" si="95"/>
        <v>43346</v>
      </c>
      <c r="I264" s="772">
        <f t="shared" si="96"/>
        <v>0.2857142857142857</v>
      </c>
      <c r="J264" s="763">
        <f t="shared" si="97"/>
        <v>50.226776093138113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P264" s="13">
        <f t="shared" si="98"/>
        <v>11</v>
      </c>
      <c r="AQ264" s="13">
        <f t="shared" si="99"/>
        <v>10</v>
      </c>
      <c r="AR264" s="175">
        <f t="shared" si="100"/>
        <v>43360</v>
      </c>
      <c r="AS264" s="772">
        <f t="shared" si="101"/>
        <v>0.35714285714285715</v>
      </c>
      <c r="AT264" s="789">
        <f t="shared" si="102"/>
        <v>50.016320919085821</v>
      </c>
      <c r="AU264" s="13">
        <f t="shared" si="103"/>
        <v>11</v>
      </c>
      <c r="AV264" s="13">
        <f t="shared" si="104"/>
        <v>10</v>
      </c>
      <c r="AW264" s="175">
        <f t="shared" si="105"/>
        <v>43374</v>
      </c>
      <c r="AX264" s="772">
        <f t="shared" si="106"/>
        <v>0.8571428571428571</v>
      </c>
      <c r="AY264" s="789">
        <f t="shared" si="107"/>
        <v>50.226173176416864</v>
      </c>
      <c r="AZ264" s="763">
        <f t="shared" si="111"/>
        <v>50.121247047751339</v>
      </c>
      <c r="BA264" s="647">
        <f t="shared" si="108"/>
        <v>1.0101242393057017</v>
      </c>
      <c r="BB264" s="642">
        <v>43350</v>
      </c>
      <c r="BC264" s="11">
        <v>43350</v>
      </c>
      <c r="BD264" s="292">
        <f>[2]!FeuilCaduc*(1-Persistant)+Persistant</f>
        <v>1</v>
      </c>
      <c r="BE264" s="293">
        <f>[2]!CroissVégét</f>
        <v>0.97514052098953308</v>
      </c>
      <c r="BF264" s="842">
        <f>1+[2]!Salcycl*Ksac</f>
        <v>1.0948885075979686</v>
      </c>
      <c r="BH264" s="1105">
        <f t="shared" si="109"/>
        <v>1.3612889917172959E-2</v>
      </c>
      <c r="BI264" s="11">
        <v>44446</v>
      </c>
      <c r="BJ264" s="742">
        <v>1.6417395838798337E-3</v>
      </c>
      <c r="BK264" s="742">
        <v>5.5714250207021462E-3</v>
      </c>
      <c r="BL264" s="742">
        <v>1.1719460108189252E-2</v>
      </c>
      <c r="BM264" s="742">
        <v>2.1197224818042513E-2</v>
      </c>
      <c r="BN264" s="742">
        <v>3.4545914748409075E-2</v>
      </c>
      <c r="BO264" s="743">
        <v>5.2681948623389541E-2</v>
      </c>
      <c r="BP264" s="742">
        <v>7.5510750695442899E-2</v>
      </c>
      <c r="BQ264" s="742">
        <v>0.10255786834413794</v>
      </c>
      <c r="BR264" s="742">
        <v>0.13718278755693825</v>
      </c>
      <c r="BS264" s="742">
        <v>0.18564594654519037</v>
      </c>
      <c r="BT264" s="742">
        <v>0.24670402877779743</v>
      </c>
      <c r="BW264" s="1187">
        <f>'2018'!R\Max</f>
        <v>0</v>
      </c>
      <c r="BX264" s="1185">
        <f>'2019'!R\Max</f>
        <v>1.0101242393057017</v>
      </c>
      <c r="BY264" s="1185">
        <f>'2020'!R\Max</f>
        <v>0.58722153307622715</v>
      </c>
      <c r="BZ264" s="1185">
        <f>'2021'!R\Max</f>
        <v>0.74482331537210633</v>
      </c>
      <c r="CA264" s="1185">
        <f>'2022'!R\Max</f>
        <v>0.76330039543734773</v>
      </c>
      <c r="CB264" s="1185">
        <f>'2023'!R\Max</f>
        <v>0.76248038717388167</v>
      </c>
      <c r="CC264" s="1185">
        <f>'2024'!R\Max</f>
        <v>0.76156475220484565</v>
      </c>
      <c r="CD264" s="1185">
        <f>'2025'!R\Max</f>
        <v>0.7655435394547041</v>
      </c>
      <c r="CE264" s="1185">
        <f>'2026'!R\Max</f>
        <v>0.7651406903823168</v>
      </c>
      <c r="CF264" s="1186">
        <f>'2027'!R\Max</f>
        <v>0.76465503044845118</v>
      </c>
    </row>
    <row r="265" spans="1:84" s="6" customFormat="1" ht="11.25" x14ac:dyDescent="0.2">
      <c r="A265" s="11">
        <v>43351</v>
      </c>
      <c r="B265" s="382">
        <f>'2023'!Maxi_hp</f>
        <v>44.572005255446598</v>
      </c>
      <c r="C265" s="85">
        <f>'2023'!An_max</f>
        <v>2019</v>
      </c>
      <c r="D265" s="1132"/>
      <c r="E265" s="709"/>
      <c r="F265" s="13">
        <f t="shared" si="110"/>
        <v>19</v>
      </c>
      <c r="G265" s="13">
        <f t="shared" si="94"/>
        <v>20</v>
      </c>
      <c r="H265" s="175">
        <f t="shared" si="95"/>
        <v>43346</v>
      </c>
      <c r="I265" s="772">
        <f t="shared" si="96"/>
        <v>0.35714285714285715</v>
      </c>
      <c r="J265" s="763">
        <f t="shared" si="97"/>
        <v>49.838969570132235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P265" s="13">
        <f t="shared" si="98"/>
        <v>11</v>
      </c>
      <c r="AQ265" s="13">
        <f t="shared" si="99"/>
        <v>10</v>
      </c>
      <c r="AR265" s="175">
        <f t="shared" si="100"/>
        <v>43360</v>
      </c>
      <c r="AS265" s="772">
        <f t="shared" si="101"/>
        <v>0.32142857142857145</v>
      </c>
      <c r="AT265" s="789">
        <f t="shared" si="102"/>
        <v>49.640275957701462</v>
      </c>
      <c r="AU265" s="13">
        <f t="shared" si="103"/>
        <v>11</v>
      </c>
      <c r="AV265" s="13">
        <f t="shared" si="104"/>
        <v>10</v>
      </c>
      <c r="AW265" s="175">
        <f t="shared" si="105"/>
        <v>43374</v>
      </c>
      <c r="AX265" s="772">
        <f t="shared" si="106"/>
        <v>0.8214285714285714</v>
      </c>
      <c r="AY265" s="789">
        <f t="shared" si="107"/>
        <v>49.831692191200069</v>
      </c>
      <c r="AZ265" s="763">
        <f t="shared" si="111"/>
        <v>49.735984074450769</v>
      </c>
      <c r="BA265" s="647">
        <f t="shared" si="108"/>
        <v>0.89432036095220457</v>
      </c>
      <c r="BB265" s="642">
        <v>43351</v>
      </c>
      <c r="BC265" s="11">
        <v>43351</v>
      </c>
      <c r="BD265" s="292">
        <f>[2]!FeuilCaduc*(1-Persistant)+Persistant</f>
        <v>1</v>
      </c>
      <c r="BE265" s="293">
        <f>[2]!CroissVégét</f>
        <v>0.97613026748322473</v>
      </c>
      <c r="BF265" s="842">
        <f>1+[2]!Salcycl*Ksac</f>
        <v>1.0945896271633486</v>
      </c>
      <c r="BH265" s="1105">
        <f t="shared" si="109"/>
        <v>1.4025035632726501E-2</v>
      </c>
      <c r="BI265" s="11">
        <v>44447</v>
      </c>
      <c r="BJ265" s="742">
        <v>1.7386898505380838E-3</v>
      </c>
      <c r="BK265" s="742">
        <v>5.7784006101735405E-3</v>
      </c>
      <c r="BL265" s="742">
        <v>1.20911160061877E-2</v>
      </c>
      <c r="BM265" s="742">
        <v>2.177155681320141E-2</v>
      </c>
      <c r="BN265" s="742">
        <v>3.5301344001716618E-2</v>
      </c>
      <c r="BO265" s="743">
        <v>5.3583007567824525E-2</v>
      </c>
      <c r="BP265" s="742">
        <v>7.6558823830935263E-2</v>
      </c>
      <c r="BQ265" s="742">
        <v>0.10367276026628995</v>
      </c>
      <c r="BR265" s="742">
        <v>0.13938830896045576</v>
      </c>
      <c r="BS265" s="742">
        <v>0.19053113153987622</v>
      </c>
      <c r="BT265" s="742">
        <v>0.25596450164481338</v>
      </c>
      <c r="BW265" s="1187">
        <f>'2018'!R\Max</f>
        <v>0</v>
      </c>
      <c r="BX265" s="1185">
        <f>'2019'!R\Max</f>
        <v>0.89432036095220457</v>
      </c>
      <c r="BY265" s="1185">
        <f>'2020'!R\Max</f>
        <v>0.81273878467596627</v>
      </c>
      <c r="BZ265" s="1185">
        <f>'2021'!R\Max</f>
        <v>0.65323907748573895</v>
      </c>
      <c r="CA265" s="1185">
        <f>'2022'!R\Max</f>
        <v>0.82891390028448642</v>
      </c>
      <c r="CB265" s="1185">
        <f>'2023'!R\Max</f>
        <v>0.8282621892627845</v>
      </c>
      <c r="CC265" s="1185">
        <f>'2024'!R\Max</f>
        <v>0.82753198140883844</v>
      </c>
      <c r="CD265" s="1185">
        <f>'2025'!R\Max</f>
        <v>0.83070392819883865</v>
      </c>
      <c r="CE265" s="1185">
        <f>'2026'!R\Max</f>
        <v>0.83038093802971114</v>
      </c>
      <c r="CF265" s="1186">
        <f>'2027'!R\Max</f>
        <v>0.82999280376052564</v>
      </c>
    </row>
    <row r="266" spans="1:84" s="6" customFormat="1" ht="11.25" x14ac:dyDescent="0.2">
      <c r="A266" s="11">
        <v>43352</v>
      </c>
      <c r="B266" s="382">
        <f>'2023'!Maxi_hp</f>
        <v>45.910285028445344</v>
      </c>
      <c r="C266" s="85">
        <f>'2023'!An_max</f>
        <v>2020</v>
      </c>
      <c r="D266" s="1132"/>
      <c r="E266" s="709"/>
      <c r="F266" s="13">
        <f t="shared" si="110"/>
        <v>19</v>
      </c>
      <c r="G266" s="13">
        <f t="shared" si="94"/>
        <v>20</v>
      </c>
      <c r="H266" s="175">
        <f t="shared" si="95"/>
        <v>43346</v>
      </c>
      <c r="I266" s="772">
        <f t="shared" si="96"/>
        <v>0.42857142857142855</v>
      </c>
      <c r="J266" s="763">
        <f t="shared" si="97"/>
        <v>49.444493295678072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P266" s="13">
        <f t="shared" si="98"/>
        <v>11</v>
      </c>
      <c r="AQ266" s="13">
        <f t="shared" si="99"/>
        <v>10</v>
      </c>
      <c r="AR266" s="175">
        <f t="shared" si="100"/>
        <v>43360</v>
      </c>
      <c r="AS266" s="772">
        <f t="shared" si="101"/>
        <v>0.2857142857142857</v>
      </c>
      <c r="AT266" s="789">
        <f t="shared" si="102"/>
        <v>49.260604082367252</v>
      </c>
      <c r="AU266" s="13">
        <f t="shared" si="103"/>
        <v>11</v>
      </c>
      <c r="AV266" s="13">
        <f t="shared" si="104"/>
        <v>10</v>
      </c>
      <c r="AW266" s="175">
        <f t="shared" si="105"/>
        <v>43374</v>
      </c>
      <c r="AX266" s="772">
        <f t="shared" si="106"/>
        <v>0.7857142857142857</v>
      </c>
      <c r="AY266" s="789">
        <f t="shared" si="107"/>
        <v>49.428214575596414</v>
      </c>
      <c r="AZ266" s="763">
        <f t="shared" si="111"/>
        <v>49.344409328981833</v>
      </c>
      <c r="BA266" s="647">
        <f t="shared" si="108"/>
        <v>0.92852170117108568</v>
      </c>
      <c r="BB266" s="642">
        <v>43352</v>
      </c>
      <c r="BC266" s="11">
        <v>43352</v>
      </c>
      <c r="BD266" s="292">
        <f>[2]!FeuilCaduc*(1-Persistant)+Persistant</f>
        <v>1</v>
      </c>
      <c r="BE266" s="293">
        <f>[2]!CroissVégét</f>
        <v>0.97708205248193514</v>
      </c>
      <c r="BF266" s="842">
        <f>1+[2]!Salcycl*Ksac</f>
        <v>1.0942774638199437</v>
      </c>
      <c r="BH266" s="1105">
        <f t="shared" si="109"/>
        <v>1.4427417517816982E-2</v>
      </c>
      <c r="BI266" s="11">
        <v>44448</v>
      </c>
      <c r="BJ266" s="742">
        <v>1.8418148165845036E-3</v>
      </c>
      <c r="BK266" s="742">
        <v>5.9848493674176445E-3</v>
      </c>
      <c r="BL266" s="742">
        <v>1.2454480697501283E-2</v>
      </c>
      <c r="BM266" s="742">
        <v>2.233022622640202E-2</v>
      </c>
      <c r="BN266" s="742">
        <v>3.6033444709959686E-2</v>
      </c>
      <c r="BO266" s="743">
        <v>5.4442726520635108E-2</v>
      </c>
      <c r="BP266" s="742">
        <v>7.7556248200563449E-2</v>
      </c>
      <c r="BQ266" s="742">
        <v>0.10472978670821682</v>
      </c>
      <c r="BR266" s="742">
        <v>0.14171591159780186</v>
      </c>
      <c r="BS266" s="742">
        <v>0.19581498033951195</v>
      </c>
      <c r="BT266" s="742">
        <v>0.26600903475807103</v>
      </c>
      <c r="BW266" s="1187">
        <f>'2018'!R\Max</f>
        <v>0</v>
      </c>
      <c r="BX266" s="1185">
        <f>'2019'!R\Max</f>
        <v>0.78871182720976341</v>
      </c>
      <c r="BY266" s="1185">
        <f>'2020'!R\Max</f>
        <v>0.92852170117108568</v>
      </c>
      <c r="BZ266" s="1185">
        <f>'2021'!R\Max</f>
        <v>0.39768008743477934</v>
      </c>
      <c r="CA266" s="1185">
        <f>'2022'!R\Max</f>
        <v>0.47282171507072168</v>
      </c>
      <c r="CB266" s="1185">
        <f>'2023'!R\Max</f>
        <v>0.47166433857116385</v>
      </c>
      <c r="CC266" s="1185">
        <f>'2024'!R\Max</f>
        <v>0.47036732282941157</v>
      </c>
      <c r="CD266" s="1185">
        <f>'2025'!R\Max</f>
        <v>0.47603578768146065</v>
      </c>
      <c r="CE266" s="1185">
        <f>'2026'!R\Max</f>
        <v>0.4754505619795153</v>
      </c>
      <c r="CF266" s="1186">
        <f>'2027'!R\Max</f>
        <v>0.47475110604640275</v>
      </c>
    </row>
    <row r="267" spans="1:84" s="6" customFormat="1" ht="11.25" x14ac:dyDescent="0.2">
      <c r="A267" s="11">
        <v>43353</v>
      </c>
      <c r="B267" s="382">
        <f>'2023'!Maxi_hp</f>
        <v>46.307820639917978</v>
      </c>
      <c r="C267" s="85">
        <f>'2023'!An_max</f>
        <v>2022</v>
      </c>
      <c r="D267" s="1132"/>
      <c r="E267" s="709"/>
      <c r="F267" s="13">
        <f t="shared" si="110"/>
        <v>19</v>
      </c>
      <c r="G267" s="13">
        <f t="shared" si="94"/>
        <v>20</v>
      </c>
      <c r="H267" s="175">
        <f t="shared" si="95"/>
        <v>43346</v>
      </c>
      <c r="I267" s="772">
        <f t="shared" si="96"/>
        <v>0.5</v>
      </c>
      <c r="J267" s="763">
        <f t="shared" si="97"/>
        <v>49.043912500515582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P267" s="13">
        <f t="shared" si="98"/>
        <v>11</v>
      </c>
      <c r="AQ267" s="13">
        <f t="shared" si="99"/>
        <v>10</v>
      </c>
      <c r="AR267" s="175">
        <f t="shared" si="100"/>
        <v>43360</v>
      </c>
      <c r="AS267" s="772">
        <f t="shared" si="101"/>
        <v>0.25</v>
      </c>
      <c r="AT267" s="789">
        <f t="shared" si="102"/>
        <v>48.877503125555812</v>
      </c>
      <c r="AU267" s="13">
        <f t="shared" si="103"/>
        <v>11</v>
      </c>
      <c r="AV267" s="13">
        <f t="shared" si="104"/>
        <v>10</v>
      </c>
      <c r="AW267" s="175">
        <f t="shared" si="105"/>
        <v>43374</v>
      </c>
      <c r="AX267" s="772">
        <f t="shared" si="106"/>
        <v>0.75</v>
      </c>
      <c r="AY267" s="789">
        <f t="shared" si="107"/>
        <v>49.016446874104439</v>
      </c>
      <c r="AZ267" s="763">
        <f t="shared" si="111"/>
        <v>48.946974999830125</v>
      </c>
      <c r="BA267" s="647">
        <f t="shared" si="108"/>
        <v>0.9442113868756119</v>
      </c>
      <c r="BB267" s="642">
        <v>43353</v>
      </c>
      <c r="BC267" s="11">
        <v>43353</v>
      </c>
      <c r="BD267" s="292">
        <f>[2]!FeuilCaduc*(1-Persistant)+Persistant</f>
        <v>1</v>
      </c>
      <c r="BE267" s="293">
        <f>[2]!CroissVégét</f>
        <v>0.97799726049726488</v>
      </c>
      <c r="BF267" s="842">
        <f>1+[2]!Salcycl*Ksac</f>
        <v>1.0939514963947516</v>
      </c>
      <c r="BH267" s="1105">
        <f t="shared" si="109"/>
        <v>1.4820043828434487E-2</v>
      </c>
      <c r="BI267" s="11">
        <v>44449</v>
      </c>
      <c r="BJ267" s="742">
        <v>1.9511210138781915E-3</v>
      </c>
      <c r="BK267" s="742">
        <v>6.1907777334534895E-3</v>
      </c>
      <c r="BL267" s="742">
        <v>1.2809561828535961E-2</v>
      </c>
      <c r="BM267" s="742">
        <v>2.2873243755388645E-2</v>
      </c>
      <c r="BN267" s="742">
        <v>3.674223049015831E-2</v>
      </c>
      <c r="BO267" s="743">
        <v>5.5261115894899043E-2</v>
      </c>
      <c r="BP267" s="742">
        <v>7.8503036813263274E-2</v>
      </c>
      <c r="BQ267" s="742">
        <v>0.10572896291903316</v>
      </c>
      <c r="BR267" s="742">
        <v>0.14416575012205926</v>
      </c>
      <c r="BS267" s="742">
        <v>0.20149788927333781</v>
      </c>
      <c r="BT267" s="742">
        <v>0.27683837815493123</v>
      </c>
      <c r="BW267" s="1187">
        <f>'2018'!R\Max</f>
        <v>0</v>
      </c>
      <c r="BX267" s="1185">
        <f>'2019'!R\Max</f>
        <v>0.29401104682767398</v>
      </c>
      <c r="BY267" s="1185">
        <f>'2020'!R\Max</f>
        <v>0.48760644495630684</v>
      </c>
      <c r="BZ267" s="1185">
        <f>'2021'!R\Max</f>
        <v>0.84048498093601209</v>
      </c>
      <c r="CA267" s="1185">
        <f>'2022'!R\Max</f>
        <v>0.9442113868756119</v>
      </c>
      <c r="CB267" s="1185">
        <f>'2023'!R\Max</f>
        <v>0.94396334417535466</v>
      </c>
      <c r="CC267" s="1185">
        <f>'2024'!R\Max</f>
        <v>0.94368278829202112</v>
      </c>
      <c r="CD267" s="1185">
        <f>'2025'!R\Max</f>
        <v>0.94489751414155487</v>
      </c>
      <c r="CE267" s="1185">
        <f>'2026'!R\Max</f>
        <v>0.94477254513552866</v>
      </c>
      <c r="CF267" s="1186">
        <f>'2027'!R\Max</f>
        <v>0.94462336696131211</v>
      </c>
    </row>
    <row r="268" spans="1:84" s="6" customFormat="1" ht="11.25" x14ac:dyDescent="0.2">
      <c r="A268" s="11">
        <v>43354</v>
      </c>
      <c r="B268" s="382">
        <f>'2023'!Maxi_hp</f>
        <v>46.152308154930608</v>
      </c>
      <c r="C268" s="85">
        <f>'2023'!An_max</f>
        <v>2022</v>
      </c>
      <c r="D268" s="1132"/>
      <c r="E268" s="709"/>
      <c r="F268" s="13">
        <f t="shared" si="110"/>
        <v>19</v>
      </c>
      <c r="G268" s="13">
        <f t="shared" si="94"/>
        <v>20</v>
      </c>
      <c r="H268" s="175">
        <f t="shared" si="95"/>
        <v>43346</v>
      </c>
      <c r="I268" s="772">
        <f t="shared" si="96"/>
        <v>0.5714285714285714</v>
      </c>
      <c r="J268" s="763">
        <f t="shared" si="97"/>
        <v>48.637792420280832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P268" s="13">
        <f t="shared" si="98"/>
        <v>11</v>
      </c>
      <c r="AQ268" s="13">
        <f t="shared" si="99"/>
        <v>10</v>
      </c>
      <c r="AR268" s="175">
        <f t="shared" si="100"/>
        <v>43360</v>
      </c>
      <c r="AS268" s="772">
        <f t="shared" si="101"/>
        <v>0.21428571428571427</v>
      </c>
      <c r="AT268" s="789">
        <f t="shared" si="102"/>
        <v>48.491170918249658</v>
      </c>
      <c r="AU268" s="13">
        <f t="shared" si="103"/>
        <v>11</v>
      </c>
      <c r="AV268" s="13">
        <f t="shared" si="104"/>
        <v>10</v>
      </c>
      <c r="AW268" s="175">
        <f t="shared" si="105"/>
        <v>43374</v>
      </c>
      <c r="AX268" s="772">
        <f t="shared" si="106"/>
        <v>0.7142857142857143</v>
      </c>
      <c r="AY268" s="789">
        <f t="shared" si="107"/>
        <v>48.597095625927409</v>
      </c>
      <c r="AZ268" s="763">
        <f t="shared" si="111"/>
        <v>48.54413327208853</v>
      </c>
      <c r="BA268" s="647">
        <f t="shared" si="108"/>
        <v>0.94889808641245332</v>
      </c>
      <c r="BB268" s="642">
        <v>43354</v>
      </c>
      <c r="BC268" s="11">
        <v>43354</v>
      </c>
      <c r="BD268" s="292">
        <f>[2]!FeuilCaduc*(1-Persistant)+Persistant</f>
        <v>1</v>
      </c>
      <c r="BE268" s="293">
        <f>[2]!CroissVégét</f>
        <v>0.97887723107993829</v>
      </c>
      <c r="BF268" s="842">
        <f>1+[2]!Salcycl*Ksac</f>
        <v>1.0936111831139266</v>
      </c>
      <c r="BH268" s="1105">
        <f t="shared" si="109"/>
        <v>1.519201810251081E-2</v>
      </c>
      <c r="BI268" s="11">
        <v>44450</v>
      </c>
      <c r="BJ268" s="742">
        <v>2.0646337950460747E-3</v>
      </c>
      <c r="BK268" s="742">
        <v>6.3917684886534059E-3</v>
      </c>
      <c r="BL268" s="742">
        <v>1.3146622048857248E-2</v>
      </c>
      <c r="BM268" s="742">
        <v>2.3385069992906533E-2</v>
      </c>
      <c r="BN268" s="742">
        <v>3.7406354052362221E-2</v>
      </c>
      <c r="BO268" s="743">
        <v>5.6013801385084515E-2</v>
      </c>
      <c r="BP268" s="742">
        <v>7.936522325929847E-2</v>
      </c>
      <c r="BQ268" s="742">
        <v>0.10677248675004336</v>
      </c>
      <c r="BR268" s="742">
        <v>0.14691992428657411</v>
      </c>
      <c r="BS268" s="742">
        <v>0.20761289718590967</v>
      </c>
      <c r="BT268" s="742">
        <v>0.28795518068793235</v>
      </c>
      <c r="BW268" s="1187">
        <f>'2018'!R\Max</f>
        <v>0</v>
      </c>
      <c r="BX268" s="1185">
        <f>'2019'!R\Max</f>
        <v>0.85539502186649619</v>
      </c>
      <c r="BY268" s="1185">
        <f>'2020'!R\Max</f>
        <v>0.788683551053313</v>
      </c>
      <c r="BZ268" s="1185">
        <f>'2021'!R\Max</f>
        <v>0.85192203843073733</v>
      </c>
      <c r="CA268" s="1185">
        <f>'2022'!R\Max</f>
        <v>0.94889808641245332</v>
      </c>
      <c r="CB268" s="1185">
        <f>'2023'!R\Max</f>
        <v>0.94866642721390981</v>
      </c>
      <c r="CC268" s="1185">
        <f>'2024'!R\Max</f>
        <v>0.94840248525744664</v>
      </c>
      <c r="CD268" s="1185">
        <f>'2025'!R\Max</f>
        <v>0.94953938517727643</v>
      </c>
      <c r="CE268" s="1185">
        <f>'2026'!R\Max</f>
        <v>0.94942198805291145</v>
      </c>
      <c r="CF268" s="1186">
        <f>'2027'!R\Max</f>
        <v>0.9492823468822742</v>
      </c>
    </row>
    <row r="269" spans="1:84" s="6" customFormat="1" ht="11.25" x14ac:dyDescent="0.2">
      <c r="A269" s="11">
        <v>43355</v>
      </c>
      <c r="B269" s="382">
        <f>'2023'!Maxi_hp</f>
        <v>47.332460641090549</v>
      </c>
      <c r="C269" s="85">
        <f>'2023'!An_max</f>
        <v>2019</v>
      </c>
      <c r="D269" s="1132"/>
      <c r="E269" s="709"/>
      <c r="F269" s="13">
        <f t="shared" si="110"/>
        <v>19</v>
      </c>
      <c r="G269" s="13">
        <f t="shared" si="94"/>
        <v>20</v>
      </c>
      <c r="H269" s="175">
        <f t="shared" si="95"/>
        <v>43346</v>
      </c>
      <c r="I269" s="772">
        <f t="shared" si="96"/>
        <v>0.6428571428571429</v>
      </c>
      <c r="J269" s="763">
        <f t="shared" si="97"/>
        <v>48.226698287363561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P269" s="13">
        <f t="shared" si="98"/>
        <v>11</v>
      </c>
      <c r="AQ269" s="13">
        <f t="shared" si="99"/>
        <v>10</v>
      </c>
      <c r="AR269" s="175">
        <f t="shared" si="100"/>
        <v>43360</v>
      </c>
      <c r="AS269" s="772">
        <f t="shared" si="101"/>
        <v>0.17857142857142858</v>
      </c>
      <c r="AT269" s="789">
        <f t="shared" si="102"/>
        <v>48.101805293799508</v>
      </c>
      <c r="AU269" s="13">
        <f t="shared" si="103"/>
        <v>11</v>
      </c>
      <c r="AV269" s="13">
        <f t="shared" si="104"/>
        <v>10</v>
      </c>
      <c r="AW269" s="175">
        <f t="shared" si="105"/>
        <v>43374</v>
      </c>
      <c r="AX269" s="772">
        <f t="shared" si="106"/>
        <v>0.6785714285714286</v>
      </c>
      <c r="AY269" s="789">
        <f t="shared" si="107"/>
        <v>48.170867373222222</v>
      </c>
      <c r="AZ269" s="763">
        <f t="shared" si="111"/>
        <v>48.136336333510869</v>
      </c>
      <c r="BA269" s="647">
        <f t="shared" si="108"/>
        <v>0.98145762247822543</v>
      </c>
      <c r="BB269" s="642">
        <v>43355</v>
      </c>
      <c r="BC269" s="11">
        <v>43355</v>
      </c>
      <c r="BD269" s="292">
        <f>[2]!FeuilCaduc*(1-Persistant)+Persistant</f>
        <v>1</v>
      </c>
      <c r="BE269" s="293">
        <f>[2]!CroissVégét</f>
        <v>0.97972325984311226</v>
      </c>
      <c r="BF269" s="842">
        <f>1+[2]!Salcycl*Ksac</f>
        <v>1.0932559615919248</v>
      </c>
      <c r="BH269" s="1105">
        <f t="shared" si="109"/>
        <v>1.5545298934955137E-2</v>
      </c>
      <c r="BI269" s="11">
        <v>44451</v>
      </c>
      <c r="BJ269" s="742">
        <v>2.1805365267484481E-3</v>
      </c>
      <c r="BK269" s="742">
        <v>6.5871648011779525E-3</v>
      </c>
      <c r="BL269" s="742">
        <v>1.3466939385419345E-2</v>
      </c>
      <c r="BM269" s="742">
        <v>2.3870389621343229E-2</v>
      </c>
      <c r="BN269" s="742">
        <v>3.8036833142637443E-2</v>
      </c>
      <c r="BO269" s="743">
        <v>5.6721420974925989E-2</v>
      </c>
      <c r="BP269" s="742">
        <v>8.0167135656962416E-2</v>
      </c>
      <c r="BQ269" s="742">
        <v>0.10788849989178712</v>
      </c>
      <c r="BR269" s="742">
        <v>0.14996771666531397</v>
      </c>
      <c r="BS269" s="742">
        <v>0.21399400644322833</v>
      </c>
      <c r="BT269" s="742">
        <v>0.29891342772703949</v>
      </c>
      <c r="BW269" s="1187">
        <f>'2018'!R\Max</f>
        <v>0</v>
      </c>
      <c r="BX269" s="1185">
        <f>'2019'!R\Max</f>
        <v>0.98145762247822543</v>
      </c>
      <c r="BY269" s="1185">
        <f>'2020'!R\Max</f>
        <v>0.9208490907448641</v>
      </c>
      <c r="BZ269" s="1185">
        <f>'2021'!R\Max</f>
        <v>0.93916545137305318</v>
      </c>
      <c r="CA269" s="1185">
        <f>'2022'!R\Max</f>
        <v>0.66253338908838011</v>
      </c>
      <c r="CB269" s="1185">
        <f>'2023'!R\Max</f>
        <v>0.66144826585116989</v>
      </c>
      <c r="CC269" s="1185">
        <f>'2024'!R\Max</f>
        <v>0.66020381996337973</v>
      </c>
      <c r="CD269" s="1185">
        <f>'2025'!R\Max</f>
        <v>0.6655460067358806</v>
      </c>
      <c r="CE269" s="1185">
        <f>'2026'!R\Max</f>
        <v>0.66498998200592585</v>
      </c>
      <c r="CF269" s="1186">
        <f>'2027'!R\Max</f>
        <v>0.66433192844535671</v>
      </c>
    </row>
    <row r="270" spans="1:84" s="6" customFormat="1" ht="11.25" x14ac:dyDescent="0.2">
      <c r="A270" s="11">
        <v>43356</v>
      </c>
      <c r="B270" s="382">
        <f>'2023'!Maxi_hp</f>
        <v>44.332714285498227</v>
      </c>
      <c r="C270" s="85">
        <f>'2023'!An_max</f>
        <v>2020</v>
      </c>
      <c r="D270" s="1132"/>
      <c r="E270" s="709"/>
      <c r="F270" s="13">
        <f t="shared" si="110"/>
        <v>19</v>
      </c>
      <c r="G270" s="13">
        <f t="shared" si="94"/>
        <v>20</v>
      </c>
      <c r="H270" s="175">
        <f t="shared" si="95"/>
        <v>43346</v>
      </c>
      <c r="I270" s="772">
        <f t="shared" si="96"/>
        <v>0.7142857142857143</v>
      </c>
      <c r="J270" s="763">
        <f t="shared" si="97"/>
        <v>47.811195335962942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P270" s="13">
        <f t="shared" si="98"/>
        <v>11</v>
      </c>
      <c r="AQ270" s="13">
        <f t="shared" si="99"/>
        <v>10</v>
      </c>
      <c r="AR270" s="175">
        <f t="shared" si="100"/>
        <v>43360</v>
      </c>
      <c r="AS270" s="772">
        <f t="shared" si="101"/>
        <v>0.14285714285714285</v>
      </c>
      <c r="AT270" s="789">
        <f t="shared" si="102"/>
        <v>47.709604082575872</v>
      </c>
      <c r="AU270" s="13">
        <f t="shared" si="103"/>
        <v>11</v>
      </c>
      <c r="AV270" s="13">
        <f t="shared" si="104"/>
        <v>10</v>
      </c>
      <c r="AW270" s="175">
        <f t="shared" si="105"/>
        <v>43374</v>
      </c>
      <c r="AX270" s="772">
        <f t="shared" si="106"/>
        <v>0.6428571428571429</v>
      </c>
      <c r="AY270" s="789">
        <f t="shared" si="107"/>
        <v>47.738468658451794</v>
      </c>
      <c r="AZ270" s="763">
        <f t="shared" si="111"/>
        <v>47.724036370513829</v>
      </c>
      <c r="BA270" s="647">
        <f t="shared" si="108"/>
        <v>0.92724546989419765</v>
      </c>
      <c r="BB270" s="642">
        <v>43356</v>
      </c>
      <c r="BC270" s="11">
        <v>43356</v>
      </c>
      <c r="BD270" s="292">
        <f>[2]!FeuilCaduc*(1-Persistant)+Persistant</f>
        <v>1</v>
      </c>
      <c r="BE270" s="293">
        <f>[2]!CroissVégét</f>
        <v>0.98053659949953242</v>
      </c>
      <c r="BF270" s="842">
        <f>1+[2]!Salcycl*Ksac</f>
        <v>1.0928852490814842</v>
      </c>
      <c r="BH270" s="1105">
        <f t="shared" si="109"/>
        <v>1.5879887425531879E-2</v>
      </c>
      <c r="BI270" s="11">
        <v>44452</v>
      </c>
      <c r="BJ270" s="742">
        <v>2.2988344665587279E-3</v>
      </c>
      <c r="BK270" s="742">
        <v>6.7769699422405441E-3</v>
      </c>
      <c r="BL270" s="742">
        <v>1.3770514862667274E-2</v>
      </c>
      <c r="BM270" s="742">
        <v>2.4329204042162978E-2</v>
      </c>
      <c r="BN270" s="742">
        <v>3.863367123079519E-2</v>
      </c>
      <c r="BO270" s="743">
        <v>5.7383976249724446E-2</v>
      </c>
      <c r="BP270" s="742">
        <v>8.0908772600850457E-2</v>
      </c>
      <c r="BQ270" s="742">
        <v>0.10907709840158226</v>
      </c>
      <c r="BR270" s="742">
        <v>0.15330942621755442</v>
      </c>
      <c r="BS270" s="742">
        <v>0.22064160672519925</v>
      </c>
      <c r="BT270" s="742">
        <v>0.30971338905384271</v>
      </c>
      <c r="BW270" s="1187">
        <f>'2018'!R\Max</f>
        <v>0</v>
      </c>
      <c r="BX270" s="1185">
        <f>'2019'!R\Max</f>
        <v>0.74895887415299689</v>
      </c>
      <c r="BY270" s="1185">
        <f>'2020'!R\Max</f>
        <v>0.92724546989419765</v>
      </c>
      <c r="BZ270" s="1185">
        <f>'2021'!R\Max</f>
        <v>0.67516985291455855</v>
      </c>
      <c r="CA270" s="1185">
        <f>'2022'!R\Max</f>
        <v>0.27595898450607187</v>
      </c>
      <c r="CB270" s="1185">
        <f>'2023'!R\Max</f>
        <v>0.2750000089885683</v>
      </c>
      <c r="CC270" s="1185">
        <f>'2024'!R\Max</f>
        <v>0.27389181855970185</v>
      </c>
      <c r="CD270" s="1185">
        <f>'2025'!R\Max</f>
        <v>0.2786251324198265</v>
      </c>
      <c r="CE270" s="1185">
        <f>'2026'!R\Max</f>
        <v>0.27812855550415444</v>
      </c>
      <c r="CF270" s="1186">
        <f>'2027'!R\Max</f>
        <v>0.27754405844291058</v>
      </c>
    </row>
    <row r="271" spans="1:84" s="6" customFormat="1" ht="11.25" x14ac:dyDescent="0.2">
      <c r="A271" s="11">
        <v>43357</v>
      </c>
      <c r="B271" s="382">
        <f>'2023'!Maxi_hp</f>
        <v>43.753374021516187</v>
      </c>
      <c r="C271" s="85">
        <f>'2023'!An_max</f>
        <v>2020</v>
      </c>
      <c r="D271" s="1132"/>
      <c r="E271" s="709"/>
      <c r="F271" s="13">
        <f t="shared" si="110"/>
        <v>19</v>
      </c>
      <c r="G271" s="13">
        <f t="shared" ref="G271:G334" si="112">INT((MATCH($A271,x.2m)+1)/2)*2</f>
        <v>20</v>
      </c>
      <c r="H271" s="175">
        <f t="shared" ref="H271:H334" si="113">INDEX(x.2m,F271)</f>
        <v>43346</v>
      </c>
      <c r="I271" s="772">
        <f t="shared" ref="I271:I334" si="114">($A271-H271)/(INDEX(x.2m,G271)-H271)</f>
        <v>0.7857142857142857</v>
      </c>
      <c r="J271" s="763">
        <f t="shared" ref="J271:J334" si="115">((1-I271)*(INDEX(a.m,F271)*$A271*$A271+INDEX(b.m,F271)*$A271+INDEX(c.m,F271))+I271*(INDEX(a.m,G271)*$A271*$A271+INDEX(b.m,G271)*$A271+INDEX(c.m,G271)))/10</f>
        <v>47.391848798042965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P271" s="13">
        <f t="shared" ref="AP271:AP334" si="116">INT(MATCH($A271,x.2lg)/2)*2+1</f>
        <v>11</v>
      </c>
      <c r="AQ271" s="13">
        <f t="shared" ref="AQ271:AQ334" si="117">INT((MATCH($A271,x.2lg)+1)/2)*2</f>
        <v>10</v>
      </c>
      <c r="AR271" s="175">
        <f t="shared" ref="AR271:AR334" si="118">INDEX(x.2lg,AP271)</f>
        <v>43360</v>
      </c>
      <c r="AS271" s="772">
        <f t="shared" ref="AS271:AS334" si="119">($A271-AR271)/(INDEX(x.2lg,AQ271)-AR271)</f>
        <v>0.10714285714285714</v>
      </c>
      <c r="AT271" s="789">
        <f t="shared" ref="AT271:AT334" si="120">((1-AS271)*(INDEX(a.lg,AP271)*$A271*$A271+INDEX(b.lg,AP271)*$A271+INDEX(c.lg,AP271))+AS271*(INDEX(a.lg,AQ271)*$A271*$A271+INDEX(b.lg,AQ271)*$A271+INDEX(c.lg,AQ271)))/10</f>
        <v>47.314765115162089</v>
      </c>
      <c r="AU271" s="13">
        <f t="shared" ref="AU271:AU334" si="121">INT(MATCH($A271,x.2ld)/2)*2+1</f>
        <v>11</v>
      </c>
      <c r="AV271" s="13">
        <f t="shared" ref="AV271:AV334" si="122">INT((MATCH($A271,x.2ld)+1)/2)*2</f>
        <v>10</v>
      </c>
      <c r="AW271" s="175">
        <f t="shared" ref="AW271:AW334" si="123">INDEX(x.2ld,AU271)</f>
        <v>43374</v>
      </c>
      <c r="AX271" s="772">
        <f t="shared" ref="AX271:AX334" si="124">($A271-AW271)/(INDEX(x.2ld,AV271)-AW271)</f>
        <v>0.6071428571428571</v>
      </c>
      <c r="AY271" s="789">
        <f t="shared" ref="AY271:AY334" si="125">((1-AX271)*(INDEX(a.ld,AU271)*$A271*$A271+INDEX(b.ld,AU271)*$A271+INDEX(c.ld,AU271))+AX271*(INDEX(a.ld,AV271)*$A271*$A271+INDEX(b.ld,AV271)*$A271+INDEX(c.ld,AV271)))/10</f>
        <v>47.300606020892573</v>
      </c>
      <c r="AZ271" s="763">
        <f t="shared" si="111"/>
        <v>47.307685568027331</v>
      </c>
      <c r="BA271" s="647">
        <f t="shared" ref="BA271:BA334" si="126">+B271/J271</f>
        <v>0.92322572617852738</v>
      </c>
      <c r="BB271" s="642">
        <v>43357</v>
      </c>
      <c r="BC271" s="11">
        <v>43357</v>
      </c>
      <c r="BD271" s="292">
        <f>[2]!FeuilCaduc*(1-Persistant)+Persistant</f>
        <v>1</v>
      </c>
      <c r="BE271" s="293">
        <f>[2]!CroissVégét</f>
        <v>0.98131846090840358</v>
      </c>
      <c r="BF271" s="842">
        <f>1+[2]!Salcycl*Ksac</f>
        <v>1.0924984430093083</v>
      </c>
      <c r="BH271" s="1105">
        <f t="shared" ref="BH271:BH334" si="127">INDEX($BJ271:$BT271,,$BH$10)*(1-Ratini)+INDEX($BJ271:$BT271,,$BH$10+1)*Ratini</f>
        <v>1.6195783779085003E-2</v>
      </c>
      <c r="BI271" s="11">
        <v>44453</v>
      </c>
      <c r="BJ271" s="742">
        <v>2.4195330930286188E-3</v>
      </c>
      <c r="BK271" s="742">
        <v>6.9611869748340922E-3</v>
      </c>
      <c r="BL271" s="742">
        <v>1.4057348706490847E-2</v>
      </c>
      <c r="BM271" s="742">
        <v>2.4761513375908383E-2</v>
      </c>
      <c r="BN271" s="742">
        <v>3.919687016500626E-2</v>
      </c>
      <c r="BO271" s="743">
        <v>5.8001466525292762E-2</v>
      </c>
      <c r="BP271" s="742">
        <v>8.1590129548742965E-2</v>
      </c>
      <c r="BQ271" s="742">
        <v>0.11033838337622265</v>
      </c>
      <c r="BR271" s="742">
        <v>0.1569453715218008</v>
      </c>
      <c r="BS271" s="742">
        <v>0.22755610789791667</v>
      </c>
      <c r="BT271" s="742">
        <v>0.32035533215514506</v>
      </c>
      <c r="BW271" s="1187">
        <f>'2018'!R\Max</f>
        <v>0</v>
      </c>
      <c r="BX271" s="1185">
        <f>'2019'!R\Max</f>
        <v>0.88330855249002804</v>
      </c>
      <c r="BY271" s="1185">
        <f>'2020'!R\Max</f>
        <v>0.92322572617852738</v>
      </c>
      <c r="BZ271" s="1185">
        <f>'2021'!R\Max</f>
        <v>0.43204906416800121</v>
      </c>
      <c r="CA271" s="1185">
        <f>'2022'!R\Max</f>
        <v>0.82087400324561044</v>
      </c>
      <c r="CB271" s="1185">
        <f>'2023'!R\Max</f>
        <v>0.82012903961060191</v>
      </c>
      <c r="CC271" s="1185">
        <f>'2024'!R\Max</f>
        <v>0.81925163843146454</v>
      </c>
      <c r="CD271" s="1185">
        <f>'2025'!R\Max</f>
        <v>0.82290761676525981</v>
      </c>
      <c r="CE271" s="1185">
        <f>'2026'!R\Max</f>
        <v>0.82252919063596808</v>
      </c>
      <c r="CF271" s="1186">
        <f>'2027'!R\Max</f>
        <v>0.82208395694710235</v>
      </c>
    </row>
    <row r="272" spans="1:84" s="6" customFormat="1" ht="11.25" x14ac:dyDescent="0.2">
      <c r="A272" s="11">
        <v>43358</v>
      </c>
      <c r="B272" s="382">
        <f>'2023'!Maxi_hp</f>
        <v>44.298163479728281</v>
      </c>
      <c r="C272" s="85">
        <f>'2023'!An_max</f>
        <v>2020</v>
      </c>
      <c r="D272" s="1132"/>
      <c r="E272" s="709"/>
      <c r="F272" s="13">
        <f t="shared" ref="F272:F335" si="128">INT(MATCH($A272,x.2m)/2)*2+1</f>
        <v>19</v>
      </c>
      <c r="G272" s="13">
        <f t="shared" si="112"/>
        <v>20</v>
      </c>
      <c r="H272" s="175">
        <f t="shared" si="113"/>
        <v>43346</v>
      </c>
      <c r="I272" s="772">
        <f t="shared" si="114"/>
        <v>0.8571428571428571</v>
      </c>
      <c r="J272" s="763">
        <f t="shared" si="115"/>
        <v>46.969223907377035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P272" s="13">
        <f t="shared" si="116"/>
        <v>11</v>
      </c>
      <c r="AQ272" s="13">
        <f t="shared" si="117"/>
        <v>10</v>
      </c>
      <c r="AR272" s="175">
        <f t="shared" si="118"/>
        <v>43360</v>
      </c>
      <c r="AS272" s="772">
        <f t="shared" si="119"/>
        <v>7.1428571428571425E-2</v>
      </c>
      <c r="AT272" s="789">
        <f t="shared" si="120"/>
        <v>46.917486225387883</v>
      </c>
      <c r="AU272" s="13">
        <f t="shared" si="121"/>
        <v>11</v>
      </c>
      <c r="AV272" s="13">
        <f t="shared" si="122"/>
        <v>10</v>
      </c>
      <c r="AW272" s="175">
        <f t="shared" si="123"/>
        <v>43374</v>
      </c>
      <c r="AX272" s="772">
        <f t="shared" si="124"/>
        <v>0.5714285714285714</v>
      </c>
      <c r="AY272" s="789">
        <f t="shared" si="125"/>
        <v>46.857986004890073</v>
      </c>
      <c r="AZ272" s="763">
        <f t="shared" ref="AZ272:AZ335" si="129">(AY272+AT272)/2</f>
        <v>46.887736115138978</v>
      </c>
      <c r="BA272" s="647">
        <f t="shared" si="126"/>
        <v>0.94313168910527312</v>
      </c>
      <c r="BB272" s="642">
        <v>43358</v>
      </c>
      <c r="BC272" s="11">
        <v>43358</v>
      </c>
      <c r="BD272" s="292">
        <f>[2]!FeuilCaduc*(1-Persistant)+Persistant</f>
        <v>1</v>
      </c>
      <c r="BE272" s="293">
        <f>[2]!CroissVégét</f>
        <v>0.98207001412819972</v>
      </c>
      <c r="BF272" s="842">
        <f>1+[2]!Salcycl*Ksac</f>
        <v>1.0920949218194924</v>
      </c>
      <c r="BH272" s="1105">
        <f t="shared" si="127"/>
        <v>1.6492987271957842E-2</v>
      </c>
      <c r="BI272" s="11">
        <v>44454</v>
      </c>
      <c r="BJ272" s="742">
        <v>2.542638109759879E-3</v>
      </c>
      <c r="BK272" s="742">
        <v>7.1398187435679182E-3</v>
      </c>
      <c r="BL272" s="742">
        <v>1.4327440314157268E-2</v>
      </c>
      <c r="BM272" s="742">
        <v>2.5167316414549324E-2</v>
      </c>
      <c r="BN272" s="742">
        <v>3.972643011110992E-2</v>
      </c>
      <c r="BO272" s="743">
        <v>5.857388876661155E-2</v>
      </c>
      <c r="BP272" s="742">
        <v>8.2211198712803371E-2</v>
      </c>
      <c r="BQ272" s="742">
        <v>0.11167246107612165</v>
      </c>
      <c r="BR272" s="742">
        <v>0.16087589128702329</v>
      </c>
      <c r="BS272" s="742">
        <v>0.23473794047241089</v>
      </c>
      <c r="BT272" s="742">
        <v>0.33083952192818866</v>
      </c>
      <c r="BW272" s="1187">
        <f>'2018'!R\Max</f>
        <v>0</v>
      </c>
      <c r="BX272" s="1185">
        <f>'2019'!R\Max</f>
        <v>0.88822903695484423</v>
      </c>
      <c r="BY272" s="1185">
        <f>'2020'!R\Max</f>
        <v>0.94313168910527312</v>
      </c>
      <c r="BZ272" s="1185">
        <f>'2021'!R\Max</f>
        <v>0.64717498960660969</v>
      </c>
      <c r="CA272" s="1185">
        <f>'2022'!R\Max</f>
        <v>0.90532319241591686</v>
      </c>
      <c r="CB272" s="1185">
        <f>'2023'!R\Max</f>
        <v>0.90487779953523195</v>
      </c>
      <c r="CC272" s="1185">
        <f>'2024'!R\Max</f>
        <v>0.90434478306724253</v>
      </c>
      <c r="CD272" s="1185">
        <f>'2025'!R\Max</f>
        <v>0.9065231933039507</v>
      </c>
      <c r="CE272" s="1185">
        <f>'2026'!R\Max</f>
        <v>0.90629900812152986</v>
      </c>
      <c r="CF272" s="1186">
        <f>'2027'!R\Max</f>
        <v>0.90603597964320493</v>
      </c>
    </row>
    <row r="273" spans="1:84" s="6" customFormat="1" ht="11.25" x14ac:dyDescent="0.2">
      <c r="A273" s="11">
        <v>43359</v>
      </c>
      <c r="B273" s="382">
        <f>'2023'!Maxi_hp</f>
        <v>41.309842416196986</v>
      </c>
      <c r="C273" s="85">
        <f>'2023'!An_max</f>
        <v>2019</v>
      </c>
      <c r="D273" s="1132"/>
      <c r="E273" s="709"/>
      <c r="F273" s="13">
        <f t="shared" si="128"/>
        <v>19</v>
      </c>
      <c r="G273" s="13">
        <f t="shared" si="112"/>
        <v>20</v>
      </c>
      <c r="H273" s="175">
        <f t="shared" si="113"/>
        <v>43346</v>
      </c>
      <c r="I273" s="772">
        <f t="shared" si="114"/>
        <v>0.9285714285714286</v>
      </c>
      <c r="J273" s="763">
        <f t="shared" si="115"/>
        <v>46.543885897099969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P273" s="13">
        <f t="shared" si="116"/>
        <v>11</v>
      </c>
      <c r="AQ273" s="13">
        <f t="shared" si="117"/>
        <v>10</v>
      </c>
      <c r="AR273" s="175">
        <f t="shared" si="118"/>
        <v>43360</v>
      </c>
      <c r="AS273" s="772">
        <f t="shared" si="119"/>
        <v>3.5714285714285712E-2</v>
      </c>
      <c r="AT273" s="789">
        <f t="shared" si="120"/>
        <v>46.51796524373016</v>
      </c>
      <c r="AU273" s="13">
        <f t="shared" si="121"/>
        <v>11</v>
      </c>
      <c r="AV273" s="13">
        <f t="shared" si="122"/>
        <v>10</v>
      </c>
      <c r="AW273" s="175">
        <f t="shared" si="123"/>
        <v>43374</v>
      </c>
      <c r="AX273" s="772">
        <f t="shared" si="124"/>
        <v>0.5357142857142857</v>
      </c>
      <c r="AY273" s="789">
        <f t="shared" si="125"/>
        <v>46.411315150901544</v>
      </c>
      <c r="AZ273" s="763">
        <f t="shared" si="129"/>
        <v>46.464640197315852</v>
      </c>
      <c r="BA273" s="647">
        <f t="shared" si="126"/>
        <v>0.8875460572313516</v>
      </c>
      <c r="BB273" s="642">
        <v>43359</v>
      </c>
      <c r="BC273" s="11">
        <v>43359</v>
      </c>
      <c r="BD273" s="292">
        <f>[2]!FeuilCaduc*(1-Persistant)+Persistant</f>
        <v>1</v>
      </c>
      <c r="BE273" s="293">
        <f>[2]!CroissVégét</f>
        <v>0.98279238947199099</v>
      </c>
      <c r="BF273" s="842">
        <f>1+[2]!Salcycl*Ksac</f>
        <v>1.0916740461435641</v>
      </c>
      <c r="BH273" s="1105">
        <f t="shared" si="127"/>
        <v>1.6771496218559296E-2</v>
      </c>
      <c r="BI273" s="11">
        <v>44455</v>
      </c>
      <c r="BJ273" s="742">
        <v>2.6681554494955304E-3</v>
      </c>
      <c r="BK273" s="742">
        <v>7.3128678645660306E-3</v>
      </c>
      <c r="BL273" s="742">
        <v>1.4580788224370414E-2</v>
      </c>
      <c r="BM273" s="742">
        <v>2.5546610574057261E-2</v>
      </c>
      <c r="BN273" s="742">
        <v>4.0222349492283323E-2</v>
      </c>
      <c r="BO273" s="743">
        <v>5.9101237507025117E-2</v>
      </c>
      <c r="BP273" s="742">
        <v>8.2771968951541958E-2</v>
      </c>
      <c r="BQ273" s="742">
        <v>0.11307944305047785</v>
      </c>
      <c r="BR273" s="742">
        <v>0.16510134486528349</v>
      </c>
      <c r="BS273" s="742">
        <v>0.24218755606536227</v>
      </c>
      <c r="BT273" s="742">
        <v>0.3411662203886347</v>
      </c>
      <c r="BW273" s="1187">
        <f>'2018'!R\Max</f>
        <v>0</v>
      </c>
      <c r="BX273" s="1185">
        <f>'2019'!R\Max</f>
        <v>0.8875460572313516</v>
      </c>
      <c r="BY273" s="1185">
        <f>'2020'!R\Max</f>
        <v>0.86958904856753627</v>
      </c>
      <c r="BZ273" s="1185">
        <f>'2021'!R\Max</f>
        <v>0.49994013885551308</v>
      </c>
      <c r="CA273" s="1185">
        <f>'2022'!R\Max</f>
        <v>0.62794313411095815</v>
      </c>
      <c r="CB273" s="1185">
        <f>'2023'!R\Max</f>
        <v>0.62669739054211382</v>
      </c>
      <c r="CC273" s="1185">
        <f>'2024'!R\Max</f>
        <v>0.62518692663800257</v>
      </c>
      <c r="CD273" s="1185">
        <f>'2025'!R\Max</f>
        <v>0.6312695440724625</v>
      </c>
      <c r="CE273" s="1185">
        <f>'2026'!R\Max</f>
        <v>0.63064306908913415</v>
      </c>
      <c r="CF273" s="1186">
        <f>'2027'!R\Max</f>
        <v>0.62991157338768011</v>
      </c>
    </row>
    <row r="274" spans="1:84" s="6" customFormat="1" ht="11.25" x14ac:dyDescent="0.2">
      <c r="A274" s="11">
        <v>43360</v>
      </c>
      <c r="B274" s="382">
        <f>'2023'!Maxi_hp</f>
        <v>46.172782046829937</v>
      </c>
      <c r="C274" s="85">
        <f>'2023'!An_max</f>
        <v>2023</v>
      </c>
      <c r="D274" s="1132"/>
      <c r="E274" s="771">
        <f>AF$13/10</f>
        <v>46.116399999999999</v>
      </c>
      <c r="F274" s="13">
        <f t="shared" si="128"/>
        <v>21</v>
      </c>
      <c r="G274" s="13">
        <f t="shared" si="112"/>
        <v>20</v>
      </c>
      <c r="H274" s="175">
        <f t="shared" si="113"/>
        <v>43374</v>
      </c>
      <c r="I274" s="772">
        <f t="shared" si="114"/>
        <v>1</v>
      </c>
      <c r="J274" s="763">
        <f t="shared" si="115"/>
        <v>46.116400001198052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P274" s="13">
        <f t="shared" si="116"/>
        <v>11</v>
      </c>
      <c r="AQ274" s="13">
        <f t="shared" si="117"/>
        <v>12</v>
      </c>
      <c r="AR274" s="175">
        <f t="shared" si="118"/>
        <v>43360</v>
      </c>
      <c r="AS274" s="772">
        <f t="shared" si="119"/>
        <v>0</v>
      </c>
      <c r="AT274" s="789">
        <f t="shared" si="120"/>
        <v>46.116400000452998</v>
      </c>
      <c r="AU274" s="13">
        <f t="shared" si="121"/>
        <v>11</v>
      </c>
      <c r="AV274" s="13">
        <f t="shared" si="122"/>
        <v>10</v>
      </c>
      <c r="AW274" s="175">
        <f t="shared" si="123"/>
        <v>43374</v>
      </c>
      <c r="AX274" s="772">
        <f t="shared" si="124"/>
        <v>0.5</v>
      </c>
      <c r="AY274" s="789">
        <f t="shared" si="125"/>
        <v>45.961299998871979</v>
      </c>
      <c r="AZ274" s="763">
        <f t="shared" si="129"/>
        <v>46.038849999662489</v>
      </c>
      <c r="BA274" s="647">
        <f t="shared" si="126"/>
        <v>1.0012226029271674</v>
      </c>
      <c r="BB274" s="642">
        <v>43360</v>
      </c>
      <c r="BC274" s="11">
        <v>43360</v>
      </c>
      <c r="BD274" s="292">
        <f>[2]!FeuilCaduc*(1-Persistant)+Persistant</f>
        <v>1</v>
      </c>
      <c r="BE274" s="293">
        <f>[2]!CroissVégét</f>
        <v>0.98348667856218763</v>
      </c>
      <c r="BF274" s="842">
        <f>1+[2]!Salcycl*Ksac</f>
        <v>1.0912351603125408</v>
      </c>
      <c r="BH274" s="1105">
        <f t="shared" si="127"/>
        <v>1.7031307938167949E-2</v>
      </c>
      <c r="BI274" s="11">
        <v>44456</v>
      </c>
      <c r="BJ274" s="742">
        <v>2.7960912782503222E-3</v>
      </c>
      <c r="BK274" s="742">
        <v>7.4803367154700718E-3</v>
      </c>
      <c r="BL274" s="742">
        <v>1.4817390087537193E-2</v>
      </c>
      <c r="BM274" s="742">
        <v>2.5899391847340969E-2</v>
      </c>
      <c r="BN274" s="742">
        <v>4.0684624929277415E-2</v>
      </c>
      <c r="BO274" s="743">
        <v>5.9583504768265787E-2</v>
      </c>
      <c r="BP274" s="742">
        <v>8.3272425662935676E-2</v>
      </c>
      <c r="BQ274" s="742">
        <v>0.11455944626402483</v>
      </c>
      <c r="BR274" s="742">
        <v>0.16962211276670927</v>
      </c>
      <c r="BS274" s="742">
        <v>0.24990542786329542</v>
      </c>
      <c r="BT274" s="742">
        <v>0.3513356863834674</v>
      </c>
      <c r="BW274" s="1187">
        <f>'2018'!R\Max</f>
        <v>0</v>
      </c>
      <c r="BX274" s="1185">
        <f>'2019'!R\Max</f>
        <v>0.86877386972048398</v>
      </c>
      <c r="BY274" s="1185">
        <f>'2020'!R\Max</f>
        <v>0.85224610211853802</v>
      </c>
      <c r="BZ274" s="1185">
        <f>'2021'!R\Max</f>
        <v>0.93984287556038915</v>
      </c>
      <c r="CA274" s="1185">
        <f>'2022'!R\Max</f>
        <v>1.0012226029271674</v>
      </c>
      <c r="CB274" s="1185">
        <f>'2023'!R\Max</f>
        <v>1.0012226029271674</v>
      </c>
      <c r="CC274" s="1185">
        <f>'2024'!R\Max</f>
        <v>1.0012226029271674</v>
      </c>
      <c r="CD274" s="1185">
        <f>'2025'!R\Max</f>
        <v>1.0012226029271671</v>
      </c>
      <c r="CE274" s="1185">
        <f>'2026'!R\Max</f>
        <v>1.0012226029271671</v>
      </c>
      <c r="CF274" s="1186">
        <f>'2027'!R\Max</f>
        <v>1.0012226029271674</v>
      </c>
    </row>
    <row r="275" spans="1:84" s="6" customFormat="1" ht="11.25" x14ac:dyDescent="0.2">
      <c r="A275" s="11">
        <v>43361</v>
      </c>
      <c r="B275" s="382">
        <f>'2023'!Maxi_hp</f>
        <v>46.550502444170561</v>
      </c>
      <c r="C275" s="85">
        <f>'2023'!An_max</f>
        <v>2023</v>
      </c>
      <c r="D275" s="1132"/>
      <c r="E275" s="709"/>
      <c r="F275" s="13">
        <f t="shared" si="128"/>
        <v>21</v>
      </c>
      <c r="G275" s="13">
        <f t="shared" si="112"/>
        <v>20</v>
      </c>
      <c r="H275" s="175">
        <f t="shared" si="113"/>
        <v>43374</v>
      </c>
      <c r="I275" s="772">
        <f t="shared" si="114"/>
        <v>0.9285714285714286</v>
      </c>
      <c r="J275" s="763">
        <f t="shared" si="115"/>
        <v>45.683713958705113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P275" s="13">
        <f t="shared" si="116"/>
        <v>11</v>
      </c>
      <c r="AQ275" s="13">
        <f t="shared" si="117"/>
        <v>12</v>
      </c>
      <c r="AR275" s="175">
        <f t="shared" si="118"/>
        <v>43360</v>
      </c>
      <c r="AS275" s="772">
        <f t="shared" si="119"/>
        <v>3.5714285714285712E-2</v>
      </c>
      <c r="AT275" s="789">
        <f t="shared" si="120"/>
        <v>45.708280408116323</v>
      </c>
      <c r="AU275" s="13">
        <f t="shared" si="121"/>
        <v>11</v>
      </c>
      <c r="AV275" s="13">
        <f t="shared" si="122"/>
        <v>10</v>
      </c>
      <c r="AW275" s="175">
        <f t="shared" si="123"/>
        <v>43374</v>
      </c>
      <c r="AX275" s="772">
        <f t="shared" si="124"/>
        <v>0.4642857142857143</v>
      </c>
      <c r="AY275" s="789">
        <f t="shared" si="125"/>
        <v>45.508647093163539</v>
      </c>
      <c r="AZ275" s="763">
        <f t="shared" si="129"/>
        <v>45.608463750639928</v>
      </c>
      <c r="BA275" s="647">
        <f t="shared" si="126"/>
        <v>1.0189736869084016</v>
      </c>
      <c r="BB275" s="642">
        <v>43361</v>
      </c>
      <c r="BC275" s="11">
        <v>43361</v>
      </c>
      <c r="BD275" s="292">
        <f>[2]!FeuilCaduc*(1-Persistant)+Persistant</f>
        <v>1</v>
      </c>
      <c r="BE275" s="293">
        <f>[2]!CroissVégét</f>
        <v>0.98415393538190332</v>
      </c>
      <c r="BF275" s="842">
        <f>1+[2]!Salcycl*Ksac</f>
        <v>1.0907775942226741</v>
      </c>
      <c r="BH275" s="1105">
        <f t="shared" si="127"/>
        <v>1.7272418721231194E-2</v>
      </c>
      <c r="BI275" s="11">
        <v>44457</v>
      </c>
      <c r="BJ275" s="742">
        <v>2.9264519993633343E-3</v>
      </c>
      <c r="BK275" s="742">
        <v>7.6422274252236156E-3</v>
      </c>
      <c r="BL275" s="742">
        <v>1.5037242635595223E-2</v>
      </c>
      <c r="BM275" s="742">
        <v>2.6225654756411716E-2</v>
      </c>
      <c r="BN275" s="742">
        <v>4.1113251179437114E-2</v>
      </c>
      <c r="BO275" s="743">
        <v>6.0020679978685716E-2</v>
      </c>
      <c r="BP275" s="742">
        <v>8.3712550675032985E-2</v>
      </c>
      <c r="BQ275" s="742">
        <v>0.11611259322036886</v>
      </c>
      <c r="BR275" s="742">
        <v>0.17443859716955487</v>
      </c>
      <c r="BS275" s="742">
        <v>0.25789205107959506</v>
      </c>
      <c r="BT275" s="742">
        <v>0.36134817529376545</v>
      </c>
      <c r="BW275" s="1187">
        <f>'2018'!R\Max</f>
        <v>0</v>
      </c>
      <c r="BX275" s="1185">
        <f>'2019'!R\Max</f>
        <v>0.60777718046960794</v>
      </c>
      <c r="BY275" s="1185">
        <f>'2020'!R\Max</f>
        <v>0.87431888810171166</v>
      </c>
      <c r="BZ275" s="1185">
        <f>'2021'!R\Max</f>
        <v>0.2041075194196631</v>
      </c>
      <c r="CA275" s="1185">
        <f>'2022'!R\Max</f>
        <v>1.0189736869084016</v>
      </c>
      <c r="CB275" s="1185">
        <f>'2023'!R\Max</f>
        <v>1.0189736869084016</v>
      </c>
      <c r="CC275" s="1185">
        <f>'2024'!R\Max</f>
        <v>1.0189736869084016</v>
      </c>
      <c r="CD275" s="1185">
        <f>'2025'!R\Max</f>
        <v>1.0189736869084016</v>
      </c>
      <c r="CE275" s="1185">
        <f>'2026'!R\Max</f>
        <v>1.0189736869084018</v>
      </c>
      <c r="CF275" s="1186">
        <f>'2027'!R\Max</f>
        <v>1.0189736869084016</v>
      </c>
    </row>
    <row r="276" spans="1:84" s="6" customFormat="1" ht="11.25" x14ac:dyDescent="0.2">
      <c r="A276" s="11">
        <v>43362</v>
      </c>
      <c r="B276" s="382">
        <f>'2023'!Maxi_hp</f>
        <v>44.638887158912787</v>
      </c>
      <c r="C276" s="85">
        <f>'2023'!An_max</f>
        <v>2022</v>
      </c>
      <c r="D276" s="1132"/>
      <c r="E276" s="709"/>
      <c r="F276" s="13">
        <f t="shared" si="128"/>
        <v>21</v>
      </c>
      <c r="G276" s="13">
        <f t="shared" si="112"/>
        <v>20</v>
      </c>
      <c r="H276" s="175">
        <f t="shared" si="113"/>
        <v>43374</v>
      </c>
      <c r="I276" s="772">
        <f t="shared" si="114"/>
        <v>0.8571428571428571</v>
      </c>
      <c r="J276" s="763">
        <f t="shared" si="115"/>
        <v>45.243076968685322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P276" s="13">
        <f t="shared" si="116"/>
        <v>11</v>
      </c>
      <c r="AQ276" s="13">
        <f t="shared" si="117"/>
        <v>12</v>
      </c>
      <c r="AR276" s="175">
        <f t="shared" si="118"/>
        <v>43360</v>
      </c>
      <c r="AS276" s="772">
        <f t="shared" si="119"/>
        <v>7.1428571428571425E-2</v>
      </c>
      <c r="AT276" s="789">
        <f t="shared" si="120"/>
        <v>45.289520299381444</v>
      </c>
      <c r="AU276" s="13">
        <f t="shared" si="121"/>
        <v>11</v>
      </c>
      <c r="AV276" s="13">
        <f t="shared" si="122"/>
        <v>10</v>
      </c>
      <c r="AW276" s="175">
        <f t="shared" si="123"/>
        <v>43374</v>
      </c>
      <c r="AX276" s="772">
        <f t="shared" si="124"/>
        <v>0.42857142857142855</v>
      </c>
      <c r="AY276" s="789">
        <f t="shared" si="125"/>
        <v>45.054062973122505</v>
      </c>
      <c r="AZ276" s="763">
        <f t="shared" si="129"/>
        <v>45.171791636251974</v>
      </c>
      <c r="BA276" s="647">
        <f t="shared" si="126"/>
        <v>0.98664569586655826</v>
      </c>
      <c r="BB276" s="642">
        <v>43362</v>
      </c>
      <c r="BC276" s="11">
        <v>43362</v>
      </c>
      <c r="BD276" s="292">
        <f>[2]!FeuilCaduc*(1-Persistant)+Persistant</f>
        <v>1</v>
      </c>
      <c r="BE276" s="293">
        <f>[2]!CroissVégét</f>
        <v>0.98479517732042654</v>
      </c>
      <c r="BF276" s="842">
        <f>1+[2]!Salcycl*Ksac</f>
        <v>1.090300665562592</v>
      </c>
      <c r="BH276" s="1105">
        <f t="shared" si="127"/>
        <v>1.748497224958126E-2</v>
      </c>
      <c r="BI276" s="11">
        <v>44458</v>
      </c>
      <c r="BJ276" s="742">
        <v>3.0510020503179535E-3</v>
      </c>
      <c r="BK276" s="742">
        <v>7.7923656809469818E-3</v>
      </c>
      <c r="BL276" s="742">
        <v>1.5232223955261791E-2</v>
      </c>
      <c r="BM276" s="742">
        <v>2.6508595639482432E-2</v>
      </c>
      <c r="BN276" s="742">
        <v>4.1480928480918604E-2</v>
      </c>
      <c r="BO276" s="743">
        <v>6.0379836579071776E-2</v>
      </c>
      <c r="BP276" s="742">
        <v>8.4149035179460652E-2</v>
      </c>
      <c r="BQ276" s="742">
        <v>0.11793947935966514</v>
      </c>
      <c r="BR276" s="742">
        <v>0.17961424812883631</v>
      </c>
      <c r="BS276" s="742">
        <v>0.26605565393594066</v>
      </c>
      <c r="BT276" s="742">
        <v>0.37097477202958506</v>
      </c>
      <c r="BW276" s="1187">
        <f>'2018'!R\Max</f>
        <v>0</v>
      </c>
      <c r="BX276" s="1185">
        <f>'2019'!R\Max</f>
        <v>0.90110326702475041</v>
      </c>
      <c r="BY276" s="1185">
        <f>'2020'!R\Max</f>
        <v>0.41136362645774305</v>
      </c>
      <c r="BZ276" s="1185">
        <f>'2021'!R\Max</f>
        <v>0.65578975327978128</v>
      </c>
      <c r="CA276" s="1185">
        <f>'2022'!R\Max</f>
        <v>0.98664569586655826</v>
      </c>
      <c r="CB276" s="1185">
        <f>'2023'!R\Max</f>
        <v>0.98656795297797584</v>
      </c>
      <c r="CC276" s="1185">
        <f>'2024'!R\Max</f>
        <v>0.98646808929417129</v>
      </c>
      <c r="CD276" s="1185">
        <f>'2025'!R\Max</f>
        <v>0.98683935723040073</v>
      </c>
      <c r="CE276" s="1185">
        <f>'2026'!R\Max</f>
        <v>0.98680256292412516</v>
      </c>
      <c r="CF276" s="1186">
        <f>'2027'!R\Max</f>
        <v>0.98675990149109039</v>
      </c>
    </row>
    <row r="277" spans="1:84" s="6" customFormat="1" ht="11.25" x14ac:dyDescent="0.2">
      <c r="A277" s="11">
        <v>43363</v>
      </c>
      <c r="B277" s="382">
        <f>'2023'!Maxi_hp</f>
        <v>45.787183013416694</v>
      </c>
      <c r="C277" s="85">
        <f>'2023'!An_max</f>
        <v>2023</v>
      </c>
      <c r="D277" s="1132"/>
      <c r="E277" s="709"/>
      <c r="F277" s="13">
        <f t="shared" si="128"/>
        <v>21</v>
      </c>
      <c r="G277" s="13">
        <f t="shared" si="112"/>
        <v>20</v>
      </c>
      <c r="H277" s="175">
        <f t="shared" si="113"/>
        <v>43374</v>
      </c>
      <c r="I277" s="772">
        <f t="shared" si="114"/>
        <v>0.7857142857142857</v>
      </c>
      <c r="J277" s="763">
        <f t="shared" si="115"/>
        <v>44.795506450347602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P277" s="13">
        <f t="shared" si="116"/>
        <v>11</v>
      </c>
      <c r="AQ277" s="13">
        <f t="shared" si="117"/>
        <v>12</v>
      </c>
      <c r="AR277" s="175">
        <f t="shared" si="118"/>
        <v>43360</v>
      </c>
      <c r="AS277" s="772">
        <f t="shared" si="119"/>
        <v>0.10714285714285714</v>
      </c>
      <c r="AT277" s="789">
        <f t="shared" si="120"/>
        <v>44.860953393844625</v>
      </c>
      <c r="AU277" s="13">
        <f t="shared" si="121"/>
        <v>11</v>
      </c>
      <c r="AV277" s="13">
        <f t="shared" si="122"/>
        <v>10</v>
      </c>
      <c r="AW277" s="175">
        <f t="shared" si="123"/>
        <v>43374</v>
      </c>
      <c r="AX277" s="772">
        <f t="shared" si="124"/>
        <v>0.39285714285714285</v>
      </c>
      <c r="AY277" s="789">
        <f t="shared" si="125"/>
        <v>44.598254181255058</v>
      </c>
      <c r="AZ277" s="763">
        <f t="shared" si="129"/>
        <v>44.729603787549841</v>
      </c>
      <c r="BA277" s="647">
        <f t="shared" si="126"/>
        <v>1.0221378580498535</v>
      </c>
      <c r="BB277" s="642">
        <v>43363</v>
      </c>
      <c r="BC277" s="11">
        <v>43363</v>
      </c>
      <c r="BD277" s="292">
        <f>[2]!FeuilCaduc*(1-Persistant)+Persistant</f>
        <v>1</v>
      </c>
      <c r="BE277" s="293">
        <f>[2]!CroissVégét</f>
        <v>0.98541138621054403</v>
      </c>
      <c r="BF277" s="842">
        <f>1+[2]!Salcycl*Ksac</f>
        <v>1.0898036824053938</v>
      </c>
      <c r="BH277" s="1105">
        <f t="shared" si="127"/>
        <v>1.7677057395529341E-2</v>
      </c>
      <c r="BI277" s="11">
        <v>44459</v>
      </c>
      <c r="BJ277" s="742">
        <v>3.1654268695983086E-3</v>
      </c>
      <c r="BK277" s="742">
        <v>7.9320646044749709E-3</v>
      </c>
      <c r="BL277" s="742">
        <v>1.5409598598026895E-2</v>
      </c>
      <c r="BM277" s="742">
        <v>2.6759605273769443E-2</v>
      </c>
      <c r="BN277" s="742">
        <v>4.1800565618282021E-2</v>
      </c>
      <c r="BO277" s="743">
        <v>6.0682504059866277E-2</v>
      </c>
      <c r="BP277" s="742">
        <v>8.4609373602710494E-2</v>
      </c>
      <c r="BQ277" s="742">
        <v>0.12007166131086409</v>
      </c>
      <c r="BR277" s="742">
        <v>0.18504025702788049</v>
      </c>
      <c r="BS277" s="742">
        <v>0.27416727189398798</v>
      </c>
      <c r="BT277" s="742">
        <v>0.37988249514802674</v>
      </c>
      <c r="BW277" s="1187">
        <f>'2018'!R\Max</f>
        <v>0</v>
      </c>
      <c r="BX277" s="1185">
        <f>'2019'!R\Max</f>
        <v>0.93061719946438837</v>
      </c>
      <c r="BY277" s="1185">
        <f>'2020'!R\Max</f>
        <v>0.67849827677832708</v>
      </c>
      <c r="BZ277" s="1185">
        <f>'2021'!R\Max</f>
        <v>0.63708046218036885</v>
      </c>
      <c r="CA277" s="1185">
        <f>'2022'!R\Max</f>
        <v>1.0221378580498539</v>
      </c>
      <c r="CB277" s="1185">
        <f>'2023'!R\Max</f>
        <v>1.0221378580498535</v>
      </c>
      <c r="CC277" s="1185">
        <f>'2024'!R\Max</f>
        <v>1.0221378580498539</v>
      </c>
      <c r="CD277" s="1185">
        <f>'2025'!R\Max</f>
        <v>1.0221378580498537</v>
      </c>
      <c r="CE277" s="1185">
        <f>'2026'!R\Max</f>
        <v>1.0221378580498537</v>
      </c>
      <c r="CF277" s="1186">
        <f>'2027'!R\Max</f>
        <v>1.0221378580498539</v>
      </c>
    </row>
    <row r="278" spans="1:84" s="6" customFormat="1" ht="11.25" x14ac:dyDescent="0.2">
      <c r="A278" s="11">
        <v>43364</v>
      </c>
      <c r="B278" s="382">
        <f>'2023'!Maxi_hp</f>
        <v>44.482939873798387</v>
      </c>
      <c r="C278" s="85">
        <f>'2023'!An_max</f>
        <v>2023</v>
      </c>
      <c r="D278" s="1132"/>
      <c r="E278" s="709"/>
      <c r="F278" s="13">
        <f t="shared" si="128"/>
        <v>21</v>
      </c>
      <c r="G278" s="13">
        <f t="shared" si="112"/>
        <v>20</v>
      </c>
      <c r="H278" s="175">
        <f t="shared" si="113"/>
        <v>43374</v>
      </c>
      <c r="I278" s="772">
        <f t="shared" si="114"/>
        <v>0.7142857142857143</v>
      </c>
      <c r="J278" s="763">
        <f t="shared" si="115"/>
        <v>44.342019825881081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P278" s="13">
        <f t="shared" si="116"/>
        <v>11</v>
      </c>
      <c r="AQ278" s="13">
        <f t="shared" si="117"/>
        <v>12</v>
      </c>
      <c r="AR278" s="175">
        <f t="shared" si="118"/>
        <v>43360</v>
      </c>
      <c r="AS278" s="772">
        <f t="shared" si="119"/>
        <v>0.14285714285714285</v>
      </c>
      <c r="AT278" s="789">
        <f t="shared" si="120"/>
        <v>44.423413412166497</v>
      </c>
      <c r="AU278" s="13">
        <f t="shared" si="121"/>
        <v>11</v>
      </c>
      <c r="AV278" s="13">
        <f t="shared" si="122"/>
        <v>10</v>
      </c>
      <c r="AW278" s="175">
        <f t="shared" si="123"/>
        <v>43374</v>
      </c>
      <c r="AX278" s="772">
        <f t="shared" si="124"/>
        <v>0.35714285714285715</v>
      </c>
      <c r="AY278" s="789">
        <f t="shared" si="125"/>
        <v>44.141927258776761</v>
      </c>
      <c r="AZ278" s="763">
        <f t="shared" si="129"/>
        <v>44.282670335471629</v>
      </c>
      <c r="BA278" s="647">
        <f t="shared" si="126"/>
        <v>1.0031780250081224</v>
      </c>
      <c r="BB278" s="642">
        <v>43364</v>
      </c>
      <c r="BC278" s="11">
        <v>43364</v>
      </c>
      <c r="BD278" s="292">
        <f>[2]!FeuilCaduc*(1-Persistant)+Persistant</f>
        <v>1</v>
      </c>
      <c r="BE278" s="293">
        <f>[2]!CroissVégét</f>
        <v>0.98600350935571934</v>
      </c>
      <c r="BF278" s="842">
        <f>1+[2]!Salcycl*Ksac</f>
        <v>1.0892859461649658</v>
      </c>
      <c r="BH278" s="1105">
        <f t="shared" si="127"/>
        <v>1.7848665222970718E-2</v>
      </c>
      <c r="BI278" s="11">
        <v>44460</v>
      </c>
      <c r="BJ278" s="742">
        <v>3.2697218098060726E-3</v>
      </c>
      <c r="BK278" s="742">
        <v>8.061320854097968E-3</v>
      </c>
      <c r="BL278" s="742">
        <v>1.5569359312098539E-2</v>
      </c>
      <c r="BM278" s="742">
        <v>2.6978667976473841E-2</v>
      </c>
      <c r="BN278" s="742">
        <v>4.2072137312372838E-2</v>
      </c>
      <c r="BO278" s="743">
        <v>6.0928652067023976E-2</v>
      </c>
      <c r="BP278" s="742">
        <v>8.5093615492571481E-2</v>
      </c>
      <c r="BQ278" s="742">
        <v>0.12250949812672018</v>
      </c>
      <c r="BR278" s="742">
        <v>0.19071705388179613</v>
      </c>
      <c r="BS278" s="742">
        <v>0.28222717108662337</v>
      </c>
      <c r="BT278" s="742">
        <v>0.38807106492552113</v>
      </c>
      <c r="BW278" s="1187">
        <f>'2018'!R\Max</f>
        <v>0</v>
      </c>
      <c r="BX278" s="1185">
        <f>'2019'!R\Max</f>
        <v>0.75956490608806582</v>
      </c>
      <c r="BY278" s="1185">
        <f>'2020'!R\Max</f>
        <v>0.79637661796967452</v>
      </c>
      <c r="BZ278" s="1185">
        <f>'2021'!R\Max</f>
        <v>0.3220339423512672</v>
      </c>
      <c r="CA278" s="1185">
        <f>'2022'!R\Max</f>
        <v>1.0031780250081224</v>
      </c>
      <c r="CB278" s="1185">
        <f>'2023'!R\Max</f>
        <v>1.0031780250081224</v>
      </c>
      <c r="CC278" s="1185">
        <f>'2024'!R\Max</f>
        <v>1.0031780250081224</v>
      </c>
      <c r="CD278" s="1185">
        <f>'2025'!R\Max</f>
        <v>1.0031780250081224</v>
      </c>
      <c r="CE278" s="1185">
        <f>'2026'!R\Max</f>
        <v>1.0031780250081224</v>
      </c>
      <c r="CF278" s="1186">
        <f>'2027'!R\Max</f>
        <v>1.0031780250081224</v>
      </c>
    </row>
    <row r="279" spans="1:84" s="6" customFormat="1" ht="11.25" x14ac:dyDescent="0.2">
      <c r="A279" s="11">
        <v>43365</v>
      </c>
      <c r="B279" s="382">
        <f>'2023'!Maxi_hp</f>
        <v>42.986661928230411</v>
      </c>
      <c r="C279" s="85">
        <f>'2023'!An_max</f>
        <v>2022</v>
      </c>
      <c r="D279" s="1132"/>
      <c r="E279" s="709"/>
      <c r="F279" s="13">
        <f t="shared" si="128"/>
        <v>21</v>
      </c>
      <c r="G279" s="13">
        <f t="shared" si="112"/>
        <v>20</v>
      </c>
      <c r="H279" s="175">
        <f t="shared" si="113"/>
        <v>43374</v>
      </c>
      <c r="I279" s="772">
        <f t="shared" si="114"/>
        <v>0.6428571428571429</v>
      </c>
      <c r="J279" s="763">
        <f t="shared" si="115"/>
        <v>43.883634512698542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P279" s="13">
        <f t="shared" si="116"/>
        <v>11</v>
      </c>
      <c r="AQ279" s="13">
        <f t="shared" si="117"/>
        <v>12</v>
      </c>
      <c r="AR279" s="175">
        <f t="shared" si="118"/>
        <v>43360</v>
      </c>
      <c r="AS279" s="772">
        <f t="shared" si="119"/>
        <v>0.17857142857142858</v>
      </c>
      <c r="AT279" s="789">
        <f t="shared" si="120"/>
        <v>43.977734069978553</v>
      </c>
      <c r="AU279" s="13">
        <f t="shared" si="121"/>
        <v>11</v>
      </c>
      <c r="AV279" s="13">
        <f t="shared" si="122"/>
        <v>10</v>
      </c>
      <c r="AW279" s="175">
        <f t="shared" si="123"/>
        <v>43374</v>
      </c>
      <c r="AX279" s="772">
        <f t="shared" si="124"/>
        <v>0.32142857142857145</v>
      </c>
      <c r="AY279" s="789">
        <f t="shared" si="125"/>
        <v>43.685788747854531</v>
      </c>
      <c r="AZ279" s="763">
        <f t="shared" si="129"/>
        <v>43.831761408916542</v>
      </c>
      <c r="BA279" s="647">
        <f t="shared" si="126"/>
        <v>0.979560202922377</v>
      </c>
      <c r="BB279" s="642">
        <v>43365</v>
      </c>
      <c r="BC279" s="11">
        <v>43365</v>
      </c>
      <c r="BD279" s="292">
        <f>[2]!FeuilCaduc*(1-Persistant)+Persistant</f>
        <v>1</v>
      </c>
      <c r="BE279" s="293">
        <f>[2]!CroissVégét</f>
        <v>0.98657246054533965</v>
      </c>
      <c r="BF279" s="842">
        <f>1+[2]!Salcycl*Ksac</f>
        <v>1.0887467549113883</v>
      </c>
      <c r="BH279" s="1105">
        <f t="shared" si="127"/>
        <v>1.7999786369483788E-2</v>
      </c>
      <c r="BI279" s="11">
        <v>44461</v>
      </c>
      <c r="BJ279" s="742">
        <v>3.3638817649154305E-3</v>
      </c>
      <c r="BK279" s="742">
        <v>8.1801308514238141E-3</v>
      </c>
      <c r="BL279" s="742">
        <v>1.5711498497804972E-2</v>
      </c>
      <c r="BM279" s="742">
        <v>2.7165767324291667E-2</v>
      </c>
      <c r="BN279" s="742">
        <v>4.2295617198356179E-2</v>
      </c>
      <c r="BO279" s="743">
        <v>6.1118249456733907E-2</v>
      </c>
      <c r="BP279" s="742">
        <v>8.5601816364139119E-2</v>
      </c>
      <c r="BQ279" s="742">
        <v>0.12525337707360115</v>
      </c>
      <c r="BR279" s="742">
        <v>0.19664509871219335</v>
      </c>
      <c r="BS279" s="742">
        <v>0.29023563314869172</v>
      </c>
      <c r="BT279" s="742">
        <v>0.39554017697229116</v>
      </c>
      <c r="BW279" s="1187">
        <f>'2018'!R\Max</f>
        <v>0</v>
      </c>
      <c r="BX279" s="1185">
        <f>'2019'!R\Max</f>
        <v>0.28660045766808195</v>
      </c>
      <c r="BY279" s="1185">
        <f>'2020'!R\Max</f>
        <v>0.63598537441515923</v>
      </c>
      <c r="BZ279" s="1185">
        <f>'2021'!R\Max</f>
        <v>0.92133629948944074</v>
      </c>
      <c r="CA279" s="1185">
        <f>'2022'!R\Max</f>
        <v>0.979560202922377</v>
      </c>
      <c r="CB279" s="1185">
        <f>'2023'!R\Max</f>
        <v>0.97942332877220617</v>
      </c>
      <c r="CC279" s="1185">
        <f>'2024'!R\Max</f>
        <v>0.97923956300461756</v>
      </c>
      <c r="CD279" s="1185">
        <f>'2025'!R\Max</f>
        <v>0.97986719429864944</v>
      </c>
      <c r="CE279" s="1185">
        <f>'2026'!R\Max</f>
        <v>0.97980888472458461</v>
      </c>
      <c r="CF279" s="1186">
        <f>'2027'!R\Max</f>
        <v>0.97974173817284527</v>
      </c>
    </row>
    <row r="280" spans="1:84" s="6" customFormat="1" ht="11.25" x14ac:dyDescent="0.2">
      <c r="A280" s="11">
        <v>43366</v>
      </c>
      <c r="B280" s="382">
        <f>'2023'!Maxi_hp</f>
        <v>39.136561933282216</v>
      </c>
      <c r="C280" s="85">
        <f>'2023'!An_max</f>
        <v>2019</v>
      </c>
      <c r="D280" s="1132"/>
      <c r="E280" s="709"/>
      <c r="F280" s="13">
        <f t="shared" si="128"/>
        <v>21</v>
      </c>
      <c r="G280" s="13">
        <f t="shared" si="112"/>
        <v>20</v>
      </c>
      <c r="H280" s="175">
        <f t="shared" si="113"/>
        <v>43374</v>
      </c>
      <c r="I280" s="772">
        <f t="shared" si="114"/>
        <v>0.5714285714285714</v>
      </c>
      <c r="J280" s="763">
        <f t="shared" si="115"/>
        <v>43.421367930288298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P280" s="13">
        <f t="shared" si="116"/>
        <v>11</v>
      </c>
      <c r="AQ280" s="13">
        <f t="shared" si="117"/>
        <v>12</v>
      </c>
      <c r="AR280" s="175">
        <f t="shared" si="118"/>
        <v>43360</v>
      </c>
      <c r="AS280" s="772">
        <f t="shared" si="119"/>
        <v>0.21428571428571427</v>
      </c>
      <c r="AT280" s="789">
        <f t="shared" si="120"/>
        <v>43.524749089724253</v>
      </c>
      <c r="AU280" s="13">
        <f t="shared" si="121"/>
        <v>11</v>
      </c>
      <c r="AV280" s="13">
        <f t="shared" si="122"/>
        <v>10</v>
      </c>
      <c r="AW280" s="175">
        <f t="shared" si="123"/>
        <v>43374</v>
      </c>
      <c r="AX280" s="772">
        <f t="shared" si="124"/>
        <v>0.2857142857142857</v>
      </c>
      <c r="AY280" s="789">
        <f t="shared" si="125"/>
        <v>43.230545189338066</v>
      </c>
      <c r="AZ280" s="763">
        <f t="shared" si="129"/>
        <v>43.377647139531163</v>
      </c>
      <c r="BA280" s="647">
        <f t="shared" si="126"/>
        <v>0.90132033601785166</v>
      </c>
      <c r="BB280" s="642">
        <v>43366</v>
      </c>
      <c r="BC280" s="11">
        <v>43366</v>
      </c>
      <c r="BD280" s="292">
        <f>[2]!FeuilCaduc*(1-Persistant)+Persistant</f>
        <v>1</v>
      </c>
      <c r="BE280" s="293">
        <f>[2]!CroissVégét</f>
        <v>0.98711912105647015</v>
      </c>
      <c r="BF280" s="842">
        <f>1+[2]!Salcycl*Ksac</f>
        <v>1.088185407035859</v>
      </c>
      <c r="BH280" s="1105">
        <f t="shared" si="127"/>
        <v>1.813050732298711E-2</v>
      </c>
      <c r="BI280" s="11">
        <v>44462</v>
      </c>
      <c r="BJ280" s="742">
        <v>3.447919482594838E-3</v>
      </c>
      <c r="BK280" s="742">
        <v>8.2885348048978638E-3</v>
      </c>
      <c r="BL280" s="742">
        <v>1.5836092303412982E-2</v>
      </c>
      <c r="BM280" s="742">
        <v>2.7321031221718597E-2</v>
      </c>
      <c r="BN280" s="742">
        <v>4.2471203324988792E-2</v>
      </c>
      <c r="BO280" s="743">
        <v>6.1251589502318904E-2</v>
      </c>
      <c r="BP280" s="742">
        <v>8.6134495283547399E-2</v>
      </c>
      <c r="BQ280" s="742">
        <v>0.12830439625494036</v>
      </c>
      <c r="BR280" s="742">
        <v>0.20282596056653104</v>
      </c>
      <c r="BS280" s="742">
        <v>0.29819454058062794</v>
      </c>
      <c r="BT280" s="742">
        <v>0.40229163893681941</v>
      </c>
      <c r="BW280" s="1187">
        <f>'2018'!R\Max</f>
        <v>0</v>
      </c>
      <c r="BX280" s="1185">
        <f>'2019'!R\Max</f>
        <v>0.90132033601785166</v>
      </c>
      <c r="BY280" s="1185">
        <f>'2020'!R\Max</f>
        <v>0.4887068162401817</v>
      </c>
      <c r="BZ280" s="1185">
        <f>'2021'!R\Max</f>
        <v>0.77036446901160671</v>
      </c>
      <c r="CA280" s="1185">
        <f>'2022'!R\Max</f>
        <v>0.63382766555524928</v>
      </c>
      <c r="CB280" s="1185">
        <f>'2023'!R\Max</f>
        <v>0.63215028913316829</v>
      </c>
      <c r="CC280" s="1185">
        <f>'2024'!R\Max</f>
        <v>0.62988530556326028</v>
      </c>
      <c r="CD280" s="1185">
        <f>'2025'!R\Max</f>
        <v>0.63746151917857319</v>
      </c>
      <c r="CE280" s="1185">
        <f>'2026'!R\Max</f>
        <v>0.63677066623023404</v>
      </c>
      <c r="CF280" s="1186">
        <f>'2027'!R\Max</f>
        <v>0.63597819581827031</v>
      </c>
    </row>
    <row r="281" spans="1:84" s="6" customFormat="1" ht="11.25" x14ac:dyDescent="0.2">
      <c r="A281" s="11">
        <v>43367</v>
      </c>
      <c r="B281" s="382">
        <f>'2023'!Maxi_hp</f>
        <v>35.871023448312265</v>
      </c>
      <c r="C281" s="85">
        <f>'2023'!An_max</f>
        <v>2021</v>
      </c>
      <c r="D281" s="1132"/>
      <c r="E281" s="709"/>
      <c r="F281" s="13">
        <f t="shared" si="128"/>
        <v>21</v>
      </c>
      <c r="G281" s="13">
        <f t="shared" si="112"/>
        <v>20</v>
      </c>
      <c r="H281" s="175">
        <f t="shared" si="113"/>
        <v>43374</v>
      </c>
      <c r="I281" s="772">
        <f t="shared" si="114"/>
        <v>0.5</v>
      </c>
      <c r="J281" s="763">
        <f t="shared" si="115"/>
        <v>42.9562375000678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P281" s="13">
        <f t="shared" si="116"/>
        <v>11</v>
      </c>
      <c r="AQ281" s="13">
        <f t="shared" si="117"/>
        <v>12</v>
      </c>
      <c r="AR281" s="175">
        <f t="shared" si="118"/>
        <v>43360</v>
      </c>
      <c r="AS281" s="772">
        <f t="shared" si="119"/>
        <v>0.25</v>
      </c>
      <c r="AT281" s="789">
        <f t="shared" si="120"/>
        <v>43.065292188525198</v>
      </c>
      <c r="AU281" s="13">
        <f t="shared" si="121"/>
        <v>11</v>
      </c>
      <c r="AV281" s="13">
        <f t="shared" si="122"/>
        <v>10</v>
      </c>
      <c r="AW281" s="175">
        <f t="shared" si="123"/>
        <v>43374</v>
      </c>
      <c r="AX281" s="772">
        <f t="shared" si="124"/>
        <v>0.25</v>
      </c>
      <c r="AY281" s="789">
        <f t="shared" si="125"/>
        <v>42.776903124619274</v>
      </c>
      <c r="AZ281" s="763">
        <f t="shared" si="129"/>
        <v>42.921097656572236</v>
      </c>
      <c r="BA281" s="647">
        <f t="shared" si="126"/>
        <v>0.83505971509389409</v>
      </c>
      <c r="BB281" s="642">
        <v>43367</v>
      </c>
      <c r="BC281" s="11">
        <v>43367</v>
      </c>
      <c r="BD281" s="292">
        <f>[2]!FeuilCaduc*(1-Persistant)+Persistant</f>
        <v>1</v>
      </c>
      <c r="BE281" s="293">
        <f>[2]!CroissVégét</f>
        <v>0.98764434064074225</v>
      </c>
      <c r="BF281" s="842">
        <f>1+[2]!Salcycl*Ksac</f>
        <v>1.0876012052511075</v>
      </c>
      <c r="BH281" s="1105">
        <f t="shared" si="127"/>
        <v>1.8240867603877851E-2</v>
      </c>
      <c r="BI281" s="11">
        <v>44463</v>
      </c>
      <c r="BJ281" s="742">
        <v>3.5218393854883254E-3</v>
      </c>
      <c r="BK281" s="742">
        <v>8.3865523111695314E-3</v>
      </c>
      <c r="BL281" s="742">
        <v>1.594317608246144E-2</v>
      </c>
      <c r="BM281" s="742">
        <v>2.7444515879946858E-2</v>
      </c>
      <c r="BN281" s="742">
        <v>4.2598981141395181E-2</v>
      </c>
      <c r="BO281" s="743">
        <v>6.1328801872348654E-2</v>
      </c>
      <c r="BP281" s="742">
        <v>8.6691957263494865E-2</v>
      </c>
      <c r="BQ281" s="742">
        <v>0.13166340341355134</v>
      </c>
      <c r="BR281" s="742">
        <v>0.20926081866838134</v>
      </c>
      <c r="BS281" s="742">
        <v>0.30610514305597175</v>
      </c>
      <c r="BT281" s="742">
        <v>0.40832626839863712</v>
      </c>
      <c r="BW281" s="1187">
        <f>'2018'!R\Max</f>
        <v>0</v>
      </c>
      <c r="BX281" s="1185">
        <f>'2019'!R\Max</f>
        <v>0.67106063865901955</v>
      </c>
      <c r="BY281" s="1185">
        <f>'2020'!R\Max</f>
        <v>0.76609126355038237</v>
      </c>
      <c r="BZ281" s="1185">
        <f>'2021'!R\Max</f>
        <v>0.83505971509389409</v>
      </c>
      <c r="CA281" s="1185">
        <f>'2022'!R\Max</f>
        <v>0.42841025821581458</v>
      </c>
      <c r="CB281" s="1185">
        <f>'2023'!R\Max</f>
        <v>0.42653123448191832</v>
      </c>
      <c r="CC281" s="1185">
        <f>'2024'!R\Max</f>
        <v>0.42397875292536541</v>
      </c>
      <c r="CD281" s="1185">
        <f>'2025'!R\Max</f>
        <v>0.43232020407773392</v>
      </c>
      <c r="CE281" s="1185">
        <f>'2026'!R\Max</f>
        <v>0.43157860857451835</v>
      </c>
      <c r="CF281" s="1186">
        <f>'2027'!R\Max</f>
        <v>0.43073027120593249</v>
      </c>
    </row>
    <row r="282" spans="1:84" s="6" customFormat="1" ht="11.25" x14ac:dyDescent="0.2">
      <c r="A282" s="11">
        <v>43368</v>
      </c>
      <c r="B282" s="382">
        <f>'2023'!Maxi_hp</f>
        <v>30.911204106697131</v>
      </c>
      <c r="C282" s="85">
        <f>'2023'!An_max</f>
        <v>2022</v>
      </c>
      <c r="D282" s="1132"/>
      <c r="E282" s="709"/>
      <c r="F282" s="13">
        <f t="shared" si="128"/>
        <v>21</v>
      </c>
      <c r="G282" s="13">
        <f t="shared" si="112"/>
        <v>20</v>
      </c>
      <c r="H282" s="175">
        <f t="shared" si="113"/>
        <v>43374</v>
      </c>
      <c r="I282" s="772">
        <f t="shared" si="114"/>
        <v>0.42857142857142855</v>
      </c>
      <c r="J282" s="763">
        <f t="shared" si="115"/>
        <v>42.489260641964414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P282" s="13">
        <f t="shared" si="116"/>
        <v>11</v>
      </c>
      <c r="AQ282" s="13">
        <f t="shared" si="117"/>
        <v>12</v>
      </c>
      <c r="AR282" s="175">
        <f t="shared" si="118"/>
        <v>43360</v>
      </c>
      <c r="AS282" s="772">
        <f t="shared" si="119"/>
        <v>0.2857142857142857</v>
      </c>
      <c r="AT282" s="789">
        <f t="shared" si="120"/>
        <v>42.600197084673809</v>
      </c>
      <c r="AU282" s="13">
        <f t="shared" si="121"/>
        <v>11</v>
      </c>
      <c r="AV282" s="13">
        <f t="shared" si="122"/>
        <v>10</v>
      </c>
      <c r="AW282" s="175">
        <f t="shared" si="123"/>
        <v>43374</v>
      </c>
      <c r="AX282" s="772">
        <f t="shared" si="124"/>
        <v>0.21428571428571427</v>
      </c>
      <c r="AY282" s="789">
        <f t="shared" si="125"/>
        <v>42.325569095881654</v>
      </c>
      <c r="AZ282" s="763">
        <f t="shared" si="129"/>
        <v>42.462883090277728</v>
      </c>
      <c r="BA282" s="647">
        <f t="shared" si="126"/>
        <v>0.72750628369766823</v>
      </c>
      <c r="BB282" s="642">
        <v>43368</v>
      </c>
      <c r="BC282" s="11">
        <v>43368</v>
      </c>
      <c r="BD282" s="292">
        <f>[2]!FeuilCaduc*(1-Persistant)+Persistant</f>
        <v>1</v>
      </c>
      <c r="BE282" s="293">
        <f>[2]!CroissVégét</f>
        <v>0.98814893849517882</v>
      </c>
      <c r="BF282" s="842">
        <f>1+[2]!Salcycl*Ksac</f>
        <v>1.0869934609088678</v>
      </c>
      <c r="BH282" s="1105">
        <f t="shared" si="127"/>
        <v>1.8321821514175191E-2</v>
      </c>
      <c r="BI282" s="11">
        <v>44464</v>
      </c>
      <c r="BJ282" s="742">
        <v>3.5835894184048532E-3</v>
      </c>
      <c r="BK282" s="742">
        <v>8.4699708662988767E-3</v>
      </c>
      <c r="BL282" s="742">
        <v>1.6024830521797446E-2</v>
      </c>
      <c r="BM282" s="742">
        <v>2.7522663746517715E-2</v>
      </c>
      <c r="BN282" s="742">
        <v>4.2659508198772088E-2</v>
      </c>
      <c r="BO282" s="743">
        <v>6.1381941779230509E-2</v>
      </c>
      <c r="BP282" s="742">
        <v>8.7447010382877888E-2</v>
      </c>
      <c r="BQ282" s="742">
        <v>0.13537338749558392</v>
      </c>
      <c r="BR282" s="742">
        <v>0.21588016216024827</v>
      </c>
      <c r="BS282" s="742">
        <v>0.31387563979492256</v>
      </c>
      <c r="BT282" s="742">
        <v>0.41397965965688621</v>
      </c>
      <c r="BW282" s="1187">
        <f>'2018'!R\Max</f>
        <v>0</v>
      </c>
      <c r="BX282" s="1185">
        <f>'2019'!R\Max</f>
        <v>0.69142026940953505</v>
      </c>
      <c r="BY282" s="1185">
        <f>'2020'!R\Max</f>
        <v>0.4815721776545695</v>
      </c>
      <c r="BZ282" s="1185">
        <f>'2021'!R\Max</f>
        <v>0.71394427520238368</v>
      </c>
      <c r="CA282" s="1185">
        <f>'2022'!R\Max</f>
        <v>0.72750628369766823</v>
      </c>
      <c r="CB282" s="1185">
        <f>'2023'!R\Max</f>
        <v>0.72588057428072905</v>
      </c>
      <c r="CC282" s="1185">
        <f>'2024'!R\Max</f>
        <v>0.72364640710207495</v>
      </c>
      <c r="CD282" s="1185">
        <f>'2025'!R\Max</f>
        <v>0.73071909467226515</v>
      </c>
      <c r="CE282" s="1185">
        <f>'2026'!R\Max</f>
        <v>0.73011795627606424</v>
      </c>
      <c r="CF282" s="1186">
        <f>'2027'!R\Max</f>
        <v>0.72942882978604984</v>
      </c>
    </row>
    <row r="283" spans="1:84" s="6" customFormat="1" ht="11.25" x14ac:dyDescent="0.2">
      <c r="A283" s="11">
        <v>43369</v>
      </c>
      <c r="B283" s="382">
        <f>'2023'!Maxi_hp</f>
        <v>33.236088483579834</v>
      </c>
      <c r="C283" s="85">
        <f>'2023'!An_max</f>
        <v>2022</v>
      </c>
      <c r="D283" s="1132"/>
      <c r="E283" s="709"/>
      <c r="F283" s="13">
        <f t="shared" si="128"/>
        <v>21</v>
      </c>
      <c r="G283" s="13">
        <f t="shared" si="112"/>
        <v>20</v>
      </c>
      <c r="H283" s="175">
        <f t="shared" si="113"/>
        <v>43374</v>
      </c>
      <c r="I283" s="772">
        <f t="shared" si="114"/>
        <v>0.35714285714285715</v>
      </c>
      <c r="J283" s="763">
        <f t="shared" si="115"/>
        <v>42.021454774308943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P283" s="13">
        <f t="shared" si="116"/>
        <v>11</v>
      </c>
      <c r="AQ283" s="13">
        <f t="shared" si="117"/>
        <v>12</v>
      </c>
      <c r="AR283" s="175">
        <f t="shared" si="118"/>
        <v>43360</v>
      </c>
      <c r="AS283" s="772">
        <f t="shared" si="119"/>
        <v>0.32142857142857145</v>
      </c>
      <c r="AT283" s="789">
        <f t="shared" si="120"/>
        <v>42.130297499629009</v>
      </c>
      <c r="AU283" s="13">
        <f t="shared" si="121"/>
        <v>11</v>
      </c>
      <c r="AV283" s="13">
        <f t="shared" si="122"/>
        <v>10</v>
      </c>
      <c r="AW283" s="175">
        <f t="shared" si="123"/>
        <v>43374</v>
      </c>
      <c r="AX283" s="772">
        <f t="shared" si="124"/>
        <v>0.17857142857142858</v>
      </c>
      <c r="AY283" s="789">
        <f t="shared" si="125"/>
        <v>41.87724964420444</v>
      </c>
      <c r="AZ283" s="763">
        <f t="shared" si="129"/>
        <v>42.003773571916724</v>
      </c>
      <c r="BA283" s="647">
        <f t="shared" si="126"/>
        <v>0.79093141020666657</v>
      </c>
      <c r="BB283" s="642">
        <v>43369</v>
      </c>
      <c r="BC283" s="11">
        <v>43369</v>
      </c>
      <c r="BD283" s="292">
        <f>[2]!FeuilCaduc*(1-Persistant)+Persistant</f>
        <v>1</v>
      </c>
      <c r="BE283" s="293">
        <f>[2]!CroissVégét</f>
        <v>0.98863370421593466</v>
      </c>
      <c r="BF283" s="842">
        <f>1+[2]!Salcycl*Ksac</f>
        <v>1.0863614986116576</v>
      </c>
      <c r="BH283" s="1105">
        <f t="shared" si="127"/>
        <v>1.8384271496956928E-2</v>
      </c>
      <c r="BI283" s="11">
        <v>44465</v>
      </c>
      <c r="BJ283" s="742">
        <v>3.6351454923188526E-3</v>
      </c>
      <c r="BK283" s="742">
        <v>8.5432120495100173E-3</v>
      </c>
      <c r="BL283" s="742">
        <v>1.6090800473697844E-2</v>
      </c>
      <c r="BM283" s="742">
        <v>2.7571014117837769E-2</v>
      </c>
      <c r="BN283" s="742">
        <v>4.2674116740919428E-2</v>
      </c>
      <c r="BO283" s="743">
        <v>6.1435403900822132E-2</v>
      </c>
      <c r="BP283" s="742">
        <v>8.8433941831975726E-2</v>
      </c>
      <c r="BQ283" s="742">
        <v>0.13933216110272589</v>
      </c>
      <c r="BR283" s="742">
        <v>0.22250158787218224</v>
      </c>
      <c r="BS283" s="742">
        <v>0.32147318523178503</v>
      </c>
      <c r="BT283" s="742">
        <v>0.41975154130136016</v>
      </c>
      <c r="BW283" s="1187">
        <f>'2018'!R\Max</f>
        <v>0</v>
      </c>
      <c r="BX283" s="1185">
        <f>'2019'!R\Max</f>
        <v>0.73737252062119485</v>
      </c>
      <c r="BY283" s="1185">
        <f>'2020'!R\Max</f>
        <v>0.4587278164031291</v>
      </c>
      <c r="BZ283" s="1185">
        <f>'2021'!R\Max</f>
        <v>0.75584183350251422</v>
      </c>
      <c r="CA283" s="1185">
        <f>'2022'!R\Max</f>
        <v>0.79093141020666657</v>
      </c>
      <c r="CB283" s="1185">
        <f>'2023'!R\Max</f>
        <v>0.78948421380413669</v>
      </c>
      <c r="CC283" s="1185">
        <f>'2024'!R\Max</f>
        <v>0.78748778894884242</v>
      </c>
      <c r="CD283" s="1185">
        <f>'2025'!R\Max</f>
        <v>0.79367133546347024</v>
      </c>
      <c r="CE283" s="1185">
        <f>'2026'!R\Max</f>
        <v>0.79316637897537534</v>
      </c>
      <c r="CF283" s="1186">
        <f>'2027'!R\Max</f>
        <v>0.79258628742490156</v>
      </c>
    </row>
    <row r="284" spans="1:84" s="6" customFormat="1" ht="11.25" x14ac:dyDescent="0.2">
      <c r="A284" s="11">
        <v>43370</v>
      </c>
      <c r="B284" s="382">
        <f>'2023'!Maxi_hp</f>
        <v>32.510091909422549</v>
      </c>
      <c r="C284" s="85">
        <f>'2023'!An_max</f>
        <v>2019</v>
      </c>
      <c r="D284" s="1132"/>
      <c r="E284" s="709"/>
      <c r="F284" s="13">
        <f t="shared" si="128"/>
        <v>21</v>
      </c>
      <c r="G284" s="13">
        <f t="shared" si="112"/>
        <v>20</v>
      </c>
      <c r="H284" s="175">
        <f t="shared" si="113"/>
        <v>43374</v>
      </c>
      <c r="I284" s="772">
        <f t="shared" si="114"/>
        <v>0.2857142857142857</v>
      </c>
      <c r="J284" s="763">
        <f t="shared" si="115"/>
        <v>41.553837317840333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P284" s="13">
        <f t="shared" si="116"/>
        <v>11</v>
      </c>
      <c r="AQ284" s="13">
        <f t="shared" si="117"/>
        <v>12</v>
      </c>
      <c r="AR284" s="175">
        <f t="shared" si="118"/>
        <v>43360</v>
      </c>
      <c r="AS284" s="772">
        <f t="shared" si="119"/>
        <v>0.35714285714285715</v>
      </c>
      <c r="AT284" s="789">
        <f t="shared" si="120"/>
        <v>41.656427149740708</v>
      </c>
      <c r="AU284" s="13">
        <f t="shared" si="121"/>
        <v>11</v>
      </c>
      <c r="AV284" s="13">
        <f t="shared" si="122"/>
        <v>10</v>
      </c>
      <c r="AW284" s="175">
        <f t="shared" si="123"/>
        <v>43374</v>
      </c>
      <c r="AX284" s="772">
        <f t="shared" si="124"/>
        <v>0.14285714285714285</v>
      </c>
      <c r="AY284" s="789">
        <f t="shared" si="125"/>
        <v>41.432651311638104</v>
      </c>
      <c r="AZ284" s="763">
        <f t="shared" si="129"/>
        <v>41.544539230689409</v>
      </c>
      <c r="BA284" s="647">
        <f t="shared" si="126"/>
        <v>0.78236076395921617</v>
      </c>
      <c r="BB284" s="642">
        <v>43370</v>
      </c>
      <c r="BC284" s="11">
        <v>43370</v>
      </c>
      <c r="BD284" s="292">
        <f>[2]!FeuilCaduc*(1-Persistant)+Persistant</f>
        <v>1</v>
      </c>
      <c r="BE284" s="293">
        <f>[2]!CroissVégét</f>
        <v>0.98909939873407315</v>
      </c>
      <c r="BF284" s="842">
        <f>1+[2]!Salcycl*Ksac</f>
        <v>1.0857046610919387</v>
      </c>
      <c r="BH284" s="1105">
        <f t="shared" si="127"/>
        <v>1.8428178110443217E-2</v>
      </c>
      <c r="BI284" s="11">
        <v>44466</v>
      </c>
      <c r="BJ284" s="742">
        <v>3.6764941821007232E-3</v>
      </c>
      <c r="BK284" s="742">
        <v>8.6062579683695035E-3</v>
      </c>
      <c r="BL284" s="742">
        <v>1.6141052599517029E-2</v>
      </c>
      <c r="BM284" s="742">
        <v>2.7589503105372486E-2</v>
      </c>
      <c r="BN284" s="742">
        <v>4.2642705006552789E-2</v>
      </c>
      <c r="BO284" s="743">
        <v>6.1489121191912827E-2</v>
      </c>
      <c r="BP284" s="742">
        <v>8.9652973069519068E-2</v>
      </c>
      <c r="BQ284" s="742">
        <v>0.14354006087999716</v>
      </c>
      <c r="BR284" s="742">
        <v>0.22912518613195595</v>
      </c>
      <c r="BS284" s="742">
        <v>0.32889760211512381</v>
      </c>
      <c r="BT284" s="742">
        <v>0.42564187072888748</v>
      </c>
      <c r="BW284" s="1187">
        <f>'2018'!R\Max</f>
        <v>0</v>
      </c>
      <c r="BX284" s="1185">
        <f>'2019'!R\Max</f>
        <v>0.78236076395921617</v>
      </c>
      <c r="BY284" s="1185">
        <f>'2020'!R\Max</f>
        <v>0.44389107478175643</v>
      </c>
      <c r="BZ284" s="1185">
        <f>'2021'!R\Max</f>
        <v>0.60663103474563462</v>
      </c>
      <c r="CA284" s="1185">
        <f>'2022'!R\Max</f>
        <v>0.38779768250523661</v>
      </c>
      <c r="CB284" s="1185">
        <f>'2023'!R\Max</f>
        <v>0.38558937942890154</v>
      </c>
      <c r="CC284" s="1185">
        <f>'2024'!R\Max</f>
        <v>0.3825717622230243</v>
      </c>
      <c r="CD284" s="1185">
        <f>'2025'!R\Max</f>
        <v>0.39186535359022923</v>
      </c>
      <c r="CE284" s="1185">
        <f>'2026'!R\Max</f>
        <v>0.39112546042332186</v>
      </c>
      <c r="CF284" s="1186">
        <f>'2027'!R\Max</f>
        <v>0.39027501817421817</v>
      </c>
    </row>
    <row r="285" spans="1:84" s="6" customFormat="1" ht="11.25" x14ac:dyDescent="0.2">
      <c r="A285" s="11">
        <v>43371</v>
      </c>
      <c r="B285" s="382">
        <f>'2023'!Maxi_hp</f>
        <v>28.599911688914776</v>
      </c>
      <c r="C285" s="85">
        <f>'2023'!An_max</f>
        <v>2019</v>
      </c>
      <c r="D285" s="1132"/>
      <c r="E285" s="709"/>
      <c r="F285" s="13">
        <f t="shared" si="128"/>
        <v>21</v>
      </c>
      <c r="G285" s="13">
        <f t="shared" si="112"/>
        <v>20</v>
      </c>
      <c r="H285" s="175">
        <f t="shared" si="113"/>
        <v>43374</v>
      </c>
      <c r="I285" s="772">
        <f t="shared" si="114"/>
        <v>0.21428571428571427</v>
      </c>
      <c r="J285" s="763">
        <f t="shared" si="115"/>
        <v>41.087425692412737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P285" s="13">
        <f t="shared" si="116"/>
        <v>11</v>
      </c>
      <c r="AQ285" s="13">
        <f t="shared" si="117"/>
        <v>12</v>
      </c>
      <c r="AR285" s="175">
        <f t="shared" si="118"/>
        <v>43360</v>
      </c>
      <c r="AS285" s="772">
        <f t="shared" si="119"/>
        <v>0.39285714285714285</v>
      </c>
      <c r="AT285" s="789">
        <f t="shared" si="120"/>
        <v>41.179419757345961</v>
      </c>
      <c r="AU285" s="13">
        <f t="shared" si="121"/>
        <v>11</v>
      </c>
      <c r="AV285" s="13">
        <f t="shared" si="122"/>
        <v>10</v>
      </c>
      <c r="AW285" s="175">
        <f t="shared" si="123"/>
        <v>43374</v>
      </c>
      <c r="AX285" s="772">
        <f t="shared" si="124"/>
        <v>0.10714285714285714</v>
      </c>
      <c r="AY285" s="789">
        <f t="shared" si="125"/>
        <v>40.992480639201986</v>
      </c>
      <c r="AZ285" s="763">
        <f t="shared" si="129"/>
        <v>41.085950198273977</v>
      </c>
      <c r="BA285" s="647">
        <f t="shared" si="126"/>
        <v>0.69607455826068165</v>
      </c>
      <c r="BB285" s="642">
        <v>43371</v>
      </c>
      <c r="BC285" s="11">
        <v>43371</v>
      </c>
      <c r="BD285" s="292">
        <f>[2]!FeuilCaduc*(1-Persistant)+Persistant</f>
        <v>1</v>
      </c>
      <c r="BE285" s="293">
        <f>[2]!CroissVégét</f>
        <v>0.98954675523264646</v>
      </c>
      <c r="BF285" s="842">
        <f>1+[2]!Salcycl*Ksac</f>
        <v>1.0850223143277369</v>
      </c>
      <c r="BH285" s="1105">
        <f t="shared" si="127"/>
        <v>1.8453499810568576E-2</v>
      </c>
      <c r="BI285" s="11">
        <v>44467</v>
      </c>
      <c r="BJ285" s="742">
        <v>3.7076208275813277E-3</v>
      </c>
      <c r="BK285" s="742">
        <v>8.6590893999013551E-3</v>
      </c>
      <c r="BL285" s="742">
        <v>1.6175551720247122E-2</v>
      </c>
      <c r="BM285" s="742">
        <v>2.7578063669139799E-2</v>
      </c>
      <c r="BN285" s="742">
        <v>4.2565166646322428E-2</v>
      </c>
      <c r="BO285" s="743">
        <v>6.1543026399755264E-2</v>
      </c>
      <c r="BP285" s="742">
        <v>9.1104343971889004E-2</v>
      </c>
      <c r="BQ285" s="742">
        <v>0.14799743024102191</v>
      </c>
      <c r="BR285" s="742">
        <v>0.23575101780694185</v>
      </c>
      <c r="BS285" s="742">
        <v>0.3361486621200338</v>
      </c>
      <c r="BT285" s="742">
        <v>0.43165059114873328</v>
      </c>
      <c r="BW285" s="1187">
        <f>'2018'!R\Max</f>
        <v>0</v>
      </c>
      <c r="BX285" s="1185">
        <f>'2019'!R\Max</f>
        <v>0.69607455826068165</v>
      </c>
      <c r="BY285" s="1185">
        <f>'2020'!R\Max</f>
        <v>0.31824557521683133</v>
      </c>
      <c r="BZ285" s="1185">
        <f>'2021'!R\Max</f>
        <v>0.63404828418551051</v>
      </c>
      <c r="CA285" s="1185">
        <f>'2022'!R\Max</f>
        <v>0.4621373934272639</v>
      </c>
      <c r="CB285" s="1185">
        <f>'2023'!R\Max</f>
        <v>0.4596696558273099</v>
      </c>
      <c r="CC285" s="1185">
        <f>'2024'!R\Max</f>
        <v>0.4563045392615821</v>
      </c>
      <c r="CD285" s="1185">
        <f>'2025'!R\Max</f>
        <v>0.46652029314077648</v>
      </c>
      <c r="CE285" s="1185">
        <f>'2026'!R\Max</f>
        <v>0.46574191063201953</v>
      </c>
      <c r="CF285" s="1186">
        <f>'2027'!R\Max</f>
        <v>0.46484253023432198</v>
      </c>
    </row>
    <row r="286" spans="1:84" s="6" customFormat="1" ht="11.25" x14ac:dyDescent="0.2">
      <c r="A286" s="11">
        <v>43372</v>
      </c>
      <c r="B286" s="382">
        <f>'2023'!Maxi_hp</f>
        <v>39.642846116741424</v>
      </c>
      <c r="C286" s="85">
        <f>'2023'!An_max</f>
        <v>2019</v>
      </c>
      <c r="D286" s="1132"/>
      <c r="E286" s="709"/>
      <c r="F286" s="13">
        <f t="shared" si="128"/>
        <v>21</v>
      </c>
      <c r="G286" s="13">
        <f t="shared" si="112"/>
        <v>20</v>
      </c>
      <c r="H286" s="175">
        <f t="shared" si="113"/>
        <v>43374</v>
      </c>
      <c r="I286" s="772">
        <f t="shared" si="114"/>
        <v>0.14285714285714285</v>
      </c>
      <c r="J286" s="763">
        <f t="shared" si="115"/>
        <v>40.623237317880353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P286" s="13">
        <f t="shared" si="116"/>
        <v>11</v>
      </c>
      <c r="AQ286" s="13">
        <f t="shared" si="117"/>
        <v>12</v>
      </c>
      <c r="AR286" s="175">
        <f t="shared" si="118"/>
        <v>43360</v>
      </c>
      <c r="AS286" s="772">
        <f t="shared" si="119"/>
        <v>0.42857142857142855</v>
      </c>
      <c r="AT286" s="789">
        <f t="shared" si="120"/>
        <v>40.700109038501978</v>
      </c>
      <c r="AU286" s="13">
        <f t="shared" si="121"/>
        <v>11</v>
      </c>
      <c r="AV286" s="13">
        <f t="shared" si="122"/>
        <v>10</v>
      </c>
      <c r="AW286" s="175">
        <f t="shared" si="123"/>
        <v>43374</v>
      </c>
      <c r="AX286" s="772">
        <f t="shared" si="124"/>
        <v>7.1428571428571425E-2</v>
      </c>
      <c r="AY286" s="789">
        <f t="shared" si="125"/>
        <v>40.557444168893355</v>
      </c>
      <c r="AZ286" s="763">
        <f t="shared" si="129"/>
        <v>40.628776603697666</v>
      </c>
      <c r="BA286" s="647">
        <f t="shared" si="126"/>
        <v>0.97586624636861696</v>
      </c>
      <c r="BB286" s="642">
        <v>43372</v>
      </c>
      <c r="BC286" s="11">
        <v>43372</v>
      </c>
      <c r="BD286" s="292">
        <f>[2]!FeuilCaduc*(1-Persistant)+Persistant</f>
        <v>1</v>
      </c>
      <c r="BE286" s="293">
        <f>[2]!CroissVégét</f>
        <v>0.98997648004446692</v>
      </c>
      <c r="BF286" s="842">
        <f>1+[2]!Salcycl*Ksac</f>
        <v>1.0843138528600409</v>
      </c>
      <c r="BH286" s="1105">
        <f t="shared" si="127"/>
        <v>1.8460193158615797E-2</v>
      </c>
      <c r="BI286" s="11">
        <v>44468</v>
      </c>
      <c r="BJ286" s="742">
        <v>3.7285096469574213E-3</v>
      </c>
      <c r="BK286" s="742">
        <v>8.7016859048369075E-3</v>
      </c>
      <c r="BL286" s="742">
        <v>1.6194260992709788E-2</v>
      </c>
      <c r="BM286" s="742">
        <v>2.7536625951288585E-2</v>
      </c>
      <c r="BN286" s="742">
        <v>4.2441391236403565E-2</v>
      </c>
      <c r="BO286" s="743">
        <v>6.1597052071578708E-2</v>
      </c>
      <c r="BP286" s="742">
        <v>9.2788310300889798E-2</v>
      </c>
      <c r="BQ286" s="742">
        <v>0.15270461668267268</v>
      </c>
      <c r="BR286" s="742">
        <v>0.24237911437413115</v>
      </c>
      <c r="BS286" s="742">
        <v>0.34322608787243536</v>
      </c>
      <c r="BT286" s="742">
        <v>0.43777763039674716</v>
      </c>
      <c r="BW286" s="1187">
        <f>'2018'!R\Max</f>
        <v>0</v>
      </c>
      <c r="BX286" s="1185">
        <f>'2019'!R\Max</f>
        <v>0.97586624636861696</v>
      </c>
      <c r="BY286" s="1185">
        <f>'2020'!R\Max</f>
        <v>0.77930923499095051</v>
      </c>
      <c r="BZ286" s="1185">
        <f>'2021'!R\Max</f>
        <v>0.6404193101077944</v>
      </c>
      <c r="CA286" s="1185">
        <f>'2022'!R\Max</f>
        <v>0.62705956041796862</v>
      </c>
      <c r="CB286" s="1185">
        <f>'2023'!R\Max</f>
        <v>0.62457933372613861</v>
      </c>
      <c r="CC286" s="1185">
        <f>'2024'!R\Max</f>
        <v>0.62120360101708283</v>
      </c>
      <c r="CD286" s="1185">
        <f>'2025'!R\Max</f>
        <v>0.63130892111055403</v>
      </c>
      <c r="CE286" s="1185">
        <f>'2026'!R\Max</f>
        <v>0.63057619312894619</v>
      </c>
      <c r="CF286" s="1186">
        <f>'2027'!R\Max</f>
        <v>0.62972325917930549</v>
      </c>
    </row>
    <row r="287" spans="1:84" s="6" customFormat="1" ht="11.25" x14ac:dyDescent="0.2">
      <c r="A287" s="11">
        <v>43373</v>
      </c>
      <c r="B287" s="382">
        <f>'2023'!Maxi_hp</f>
        <v>32.062263093878606</v>
      </c>
      <c r="C287" s="85">
        <f>'2023'!An_max</f>
        <v>2020</v>
      </c>
      <c r="D287" s="1132"/>
      <c r="E287" s="709"/>
      <c r="F287" s="13">
        <f t="shared" si="128"/>
        <v>21</v>
      </c>
      <c r="G287" s="13">
        <f t="shared" si="112"/>
        <v>20</v>
      </c>
      <c r="H287" s="175">
        <f t="shared" si="113"/>
        <v>43374</v>
      </c>
      <c r="I287" s="772">
        <f t="shared" si="114"/>
        <v>7.1428571428571425E-2</v>
      </c>
      <c r="J287" s="763">
        <f t="shared" si="115"/>
        <v>40.162289613791344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P287" s="13">
        <f t="shared" si="116"/>
        <v>11</v>
      </c>
      <c r="AQ287" s="13">
        <f t="shared" si="117"/>
        <v>12</v>
      </c>
      <c r="AR287" s="175">
        <f t="shared" si="118"/>
        <v>43360</v>
      </c>
      <c r="AS287" s="772">
        <f t="shared" si="119"/>
        <v>0.4642857142857143</v>
      </c>
      <c r="AT287" s="789">
        <f t="shared" si="120"/>
        <v>40.219328712512336</v>
      </c>
      <c r="AU287" s="13">
        <f t="shared" si="121"/>
        <v>11</v>
      </c>
      <c r="AV287" s="13">
        <f t="shared" si="122"/>
        <v>10</v>
      </c>
      <c r="AW287" s="175">
        <f t="shared" si="123"/>
        <v>43374</v>
      </c>
      <c r="AX287" s="772">
        <f t="shared" si="124"/>
        <v>3.5714285714285712E-2</v>
      </c>
      <c r="AY287" s="789">
        <f t="shared" si="125"/>
        <v>40.128248441811387</v>
      </c>
      <c r="AZ287" s="763">
        <f t="shared" si="129"/>
        <v>40.173788577161858</v>
      </c>
      <c r="BA287" s="647">
        <f t="shared" si="126"/>
        <v>0.79831761092795694</v>
      </c>
      <c r="BB287" s="642">
        <v>43373</v>
      </c>
      <c r="BC287" s="11">
        <v>43373</v>
      </c>
      <c r="BD287" s="292">
        <f>[2]!FeuilCaduc*(1-Persistant)+Persistant</f>
        <v>1</v>
      </c>
      <c r="BE287" s="293">
        <f>[2]!CroissVégét</f>
        <v>0.99038925353008489</v>
      </c>
      <c r="BF287" s="842">
        <f>1+[2]!Salcycl*Ksac</f>
        <v>1.0835787052738168</v>
      </c>
      <c r="BH287" s="1105">
        <f t="shared" si="127"/>
        <v>1.8448213029357011E-2</v>
      </c>
      <c r="BI287" s="11">
        <v>44469</v>
      </c>
      <c r="BJ287" s="742">
        <v>3.7391438502967474E-3</v>
      </c>
      <c r="BK287" s="742">
        <v>8.7340259420996946E-3</v>
      </c>
      <c r="BL287" s="742">
        <v>1.6197142086191826E-2</v>
      </c>
      <c r="BM287" s="742">
        <v>2.7465117610438308E-2</v>
      </c>
      <c r="BN287" s="742">
        <v>4.2271264793265588E-2</v>
      </c>
      <c r="BO287" s="743">
        <v>6.1651130563799748E-2</v>
      </c>
      <c r="BP287" s="742">
        <v>9.4705141173954163E-2</v>
      </c>
      <c r="BQ287" s="742">
        <v>0.15766196910351185</v>
      </c>
      <c r="BR287" s="742">
        <v>0.24900947799620732</v>
      </c>
      <c r="BS287" s="742">
        <v>0.35012955498214554</v>
      </c>
      <c r="BT287" s="742">
        <v>0.44402289976103515</v>
      </c>
      <c r="BW287" s="1187">
        <f>'2018'!R\Max</f>
        <v>0</v>
      </c>
      <c r="BX287" s="1185">
        <f>'2019'!R\Max</f>
        <v>0.6618779030477403</v>
      </c>
      <c r="BY287" s="1185">
        <f>'2020'!R\Max</f>
        <v>0.79831761092795694</v>
      </c>
      <c r="BZ287" s="1185">
        <f>'2021'!R\Max</f>
        <v>0.5506117219399187</v>
      </c>
      <c r="CA287" s="1185">
        <f>'2022'!R\Max</f>
        <v>0.73444277145507431</v>
      </c>
      <c r="CB287" s="1185">
        <f>'2023'!R\Max</f>
        <v>0.73223455214404565</v>
      </c>
      <c r="CC287" s="1185">
        <f>'2024'!R\Max</f>
        <v>0.72924364280180776</v>
      </c>
      <c r="CD287" s="1185">
        <f>'2025'!R\Max</f>
        <v>0.73810855685829924</v>
      </c>
      <c r="CE287" s="1185">
        <f>'2026'!R\Max</f>
        <v>0.73749683632448937</v>
      </c>
      <c r="CF287" s="1186">
        <f>'2027'!R\Max</f>
        <v>0.73677859349735642</v>
      </c>
    </row>
    <row r="288" spans="1:84" s="6" customFormat="1" ht="11.25" x14ac:dyDescent="0.2">
      <c r="A288" s="11">
        <v>43374</v>
      </c>
      <c r="B288" s="382">
        <f>'2023'!Maxi_hp</f>
        <v>38.101768879016269</v>
      </c>
      <c r="C288" s="85">
        <f>'2023'!An_max</f>
        <v>2020</v>
      </c>
      <c r="D288" s="1132"/>
      <c r="E288" s="771">
        <f>AG$13/10</f>
        <v>39.705600000000004</v>
      </c>
      <c r="F288" s="13">
        <f t="shared" si="128"/>
        <v>21</v>
      </c>
      <c r="G288" s="13">
        <f t="shared" si="112"/>
        <v>22</v>
      </c>
      <c r="H288" s="175">
        <f t="shared" si="113"/>
        <v>43374</v>
      </c>
      <c r="I288" s="772">
        <f t="shared" si="114"/>
        <v>0</v>
      </c>
      <c r="J288" s="763">
        <f t="shared" si="115"/>
        <v>39.70560000007972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P288" s="13">
        <f t="shared" si="116"/>
        <v>11</v>
      </c>
      <c r="AQ288" s="13">
        <f t="shared" si="117"/>
        <v>12</v>
      </c>
      <c r="AR288" s="175">
        <f t="shared" si="118"/>
        <v>43360</v>
      </c>
      <c r="AS288" s="772">
        <f t="shared" si="119"/>
        <v>0.5</v>
      </c>
      <c r="AT288" s="789">
        <f t="shared" si="120"/>
        <v>39.737912500649692</v>
      </c>
      <c r="AU288" s="13">
        <f t="shared" si="121"/>
        <v>11</v>
      </c>
      <c r="AV288" s="13">
        <f t="shared" si="122"/>
        <v>12</v>
      </c>
      <c r="AW288" s="175">
        <f t="shared" si="123"/>
        <v>43374</v>
      </c>
      <c r="AX288" s="772">
        <f t="shared" si="124"/>
        <v>0</v>
      </c>
      <c r="AY288" s="789">
        <f t="shared" si="125"/>
        <v>39.705599999893458</v>
      </c>
      <c r="AZ288" s="763">
        <f t="shared" si="129"/>
        <v>39.721756250271575</v>
      </c>
      <c r="BA288" s="647">
        <f t="shared" si="126"/>
        <v>0.95960692897071875</v>
      </c>
      <c r="BB288" s="642">
        <v>43374</v>
      </c>
      <c r="BC288" s="11">
        <v>43374</v>
      </c>
      <c r="BD288" s="292">
        <f>[2]!FeuilCaduc*(1-Persistant)+Persistant</f>
        <v>1</v>
      </c>
      <c r="BE288" s="293">
        <f>[2]!CroissVégét</f>
        <v>0.99078573093558142</v>
      </c>
      <c r="BF288" s="842">
        <f>1+[2]!Salcycl*Ksac</f>
        <v>1.0828163398012955</v>
      </c>
      <c r="BH288" s="1105">
        <f t="shared" si="127"/>
        <v>1.8417512818962232E-2</v>
      </c>
      <c r="BI288" s="11">
        <v>44470</v>
      </c>
      <c r="BJ288" s="742">
        <v>3.7395057529966916E-3</v>
      </c>
      <c r="BK288" s="742">
        <v>8.7560869831814041E-3</v>
      </c>
      <c r="BL288" s="742">
        <v>1.6184155358876934E-2</v>
      </c>
      <c r="BM288" s="742">
        <v>2.7363464155671157E-2</v>
      </c>
      <c r="BN288" s="742">
        <v>4.2054670287904689E-2</v>
      </c>
      <c r="BO288" s="743">
        <v>6.1705194050455547E-2</v>
      </c>
      <c r="BP288" s="742">
        <v>9.6855116533194299E-2</v>
      </c>
      <c r="BQ288" s="742">
        <v>0.16286983512036779</v>
      </c>
      <c r="BR288" s="742">
        <v>0.25564208159466101</v>
      </c>
      <c r="BS288" s="742">
        <v>0.35685869407172954</v>
      </c>
      <c r="BT288" s="742">
        <v>0.4503862928021895</v>
      </c>
      <c r="BW288" s="1187">
        <f>'2018'!R\Max</f>
        <v>5.4497138182534807E-2</v>
      </c>
      <c r="BX288" s="1185">
        <f>'2019'!R\Max</f>
        <v>0.75848618117137379</v>
      </c>
      <c r="BY288" s="1185">
        <f>'2020'!R\Max</f>
        <v>0.95960692897071875</v>
      </c>
      <c r="BZ288" s="1185">
        <f>'2021'!R\Max</f>
        <v>0.76901400678487064</v>
      </c>
      <c r="CA288" s="1185">
        <f>'2022'!R\Max</f>
        <v>0.89734763448861576</v>
      </c>
      <c r="CB288" s="1185">
        <f>'2023'!R\Max</f>
        <v>0.89623376206281224</v>
      </c>
      <c r="CC288" s="1185">
        <f>'2024'!R\Max</f>
        <v>0.89473202200412083</v>
      </c>
      <c r="CD288" s="1185">
        <f>'2025'!R\Max</f>
        <v>0.89914094738941963</v>
      </c>
      <c r="CE288" s="1185">
        <f>'2026'!R\Max</f>
        <v>0.89885274465401777</v>
      </c>
      <c r="CF288" s="1186">
        <f>'2027'!R\Max</f>
        <v>0.89851074130263897</v>
      </c>
    </row>
    <row r="289" spans="1:84" s="6" customFormat="1" ht="11.25" x14ac:dyDescent="0.2">
      <c r="A289" s="11">
        <v>43375</v>
      </c>
      <c r="B289" s="382">
        <f>'2023'!Maxi_hp</f>
        <v>37.706519945613685</v>
      </c>
      <c r="C289" s="85">
        <f>'2023'!An_max</f>
        <v>2022</v>
      </c>
      <c r="D289" s="1132"/>
      <c r="E289" s="709"/>
      <c r="F289" s="13">
        <f t="shared" si="128"/>
        <v>21</v>
      </c>
      <c r="G289" s="13">
        <f t="shared" si="112"/>
        <v>22</v>
      </c>
      <c r="H289" s="175">
        <f t="shared" si="113"/>
        <v>43374</v>
      </c>
      <c r="I289" s="772">
        <f t="shared" si="114"/>
        <v>7.1428571428571425E-2</v>
      </c>
      <c r="J289" s="763">
        <f t="shared" si="115"/>
        <v>39.249193002822409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P289" s="13">
        <f t="shared" si="116"/>
        <v>11</v>
      </c>
      <c r="AQ289" s="13">
        <f t="shared" si="117"/>
        <v>12</v>
      </c>
      <c r="AR289" s="175">
        <f t="shared" si="118"/>
        <v>43360</v>
      </c>
      <c r="AS289" s="772">
        <f t="shared" si="119"/>
        <v>0.5357142857142857</v>
      </c>
      <c r="AT289" s="789">
        <f t="shared" si="120"/>
        <v>39.256694119184147</v>
      </c>
      <c r="AU289" s="13">
        <f t="shared" si="121"/>
        <v>11</v>
      </c>
      <c r="AV289" s="13">
        <f t="shared" si="122"/>
        <v>12</v>
      </c>
      <c r="AW289" s="175">
        <f t="shared" si="123"/>
        <v>43374</v>
      </c>
      <c r="AX289" s="772">
        <f t="shared" si="124"/>
        <v>3.5714285714285712E-2</v>
      </c>
      <c r="AY289" s="789">
        <f t="shared" si="125"/>
        <v>39.284628416474774</v>
      </c>
      <c r="AZ289" s="763">
        <f t="shared" si="129"/>
        <v>39.27066126782946</v>
      </c>
      <c r="BA289" s="647">
        <f t="shared" si="126"/>
        <v>0.96069541972244399</v>
      </c>
      <c r="BB289" s="642">
        <v>43375</v>
      </c>
      <c r="BC289" s="11">
        <v>43375</v>
      </c>
      <c r="BD289" s="292">
        <f>[2]!FeuilCaduc*(1-Persistant)+Persistant</f>
        <v>1</v>
      </c>
      <c r="BE289" s="293">
        <f>[2]!CroissVégét</f>
        <v>0.99116654322989417</v>
      </c>
      <c r="BF289" s="842">
        <f>1+[2]!Salcycl*Ksac</f>
        <v>1.0820262700033811</v>
      </c>
      <c r="BH289" s="1105">
        <f t="shared" si="127"/>
        <v>1.8368044653149854E-2</v>
      </c>
      <c r="BI289" s="11">
        <v>44471</v>
      </c>
      <c r="BJ289" s="742">
        <v>3.7295768892919097E-3</v>
      </c>
      <c r="BK289" s="742">
        <v>8.7678456266320308E-3</v>
      </c>
      <c r="BL289" s="742">
        <v>1.6155260034489805E-2</v>
      </c>
      <c r="BM289" s="742">
        <v>2.7231589280884799E-2</v>
      </c>
      <c r="BN289" s="742">
        <v>4.1791488160632155E-2</v>
      </c>
      <c r="BO289" s="743">
        <v>6.1759174532444054E-2</v>
      </c>
      <c r="BP289" s="742">
        <v>9.9238524615674853E-2</v>
      </c>
      <c r="BQ289" s="742">
        <v>0.16832855838693117</v>
      </c>
      <c r="BR289" s="742">
        <v>0.26227686892610791</v>
      </c>
      <c r="BS289" s="742">
        <v>0.36341309280987771</v>
      </c>
      <c r="BT289" s="742">
        <v>0.45686768417927948</v>
      </c>
      <c r="BW289" s="1187">
        <f>'2018'!R\Max</f>
        <v>0.92198792665382345</v>
      </c>
      <c r="BX289" s="1185">
        <f>'2019'!R\Max</f>
        <v>0.65901779761742862</v>
      </c>
      <c r="BY289" s="1185">
        <f>'2020'!R\Max</f>
        <v>0.24170781138740155</v>
      </c>
      <c r="BZ289" s="1185">
        <f>'2021'!R\Max</f>
        <v>0.9582024502933767</v>
      </c>
      <c r="CA289" s="1185">
        <f>'2022'!R\Max</f>
        <v>0.96069541972244399</v>
      </c>
      <c r="CB289" s="1185">
        <f>'2023'!R\Max</f>
        <v>0.96020842542437668</v>
      </c>
      <c r="CC289" s="1185">
        <f>'2024'!R\Max</f>
        <v>0.95955738055458206</v>
      </c>
      <c r="CD289" s="1185">
        <f>'2025'!R\Max</f>
        <v>0.96146009885609462</v>
      </c>
      <c r="CE289" s="1185">
        <f>'2026'!R\Max</f>
        <v>0.96134200400409719</v>
      </c>
      <c r="CF289" s="1186">
        <f>'2027'!R\Max</f>
        <v>0.9612002295669575</v>
      </c>
    </row>
    <row r="290" spans="1:84" s="6" customFormat="1" ht="11.25" x14ac:dyDescent="0.2">
      <c r="A290" s="11">
        <v>43376</v>
      </c>
      <c r="B290" s="382">
        <f>'2023'!Maxi_hp</f>
        <v>36.052378620144729</v>
      </c>
      <c r="C290" s="85">
        <f>'2023'!An_max</f>
        <v>2018</v>
      </c>
      <c r="D290" s="1132"/>
      <c r="E290" s="709"/>
      <c r="F290" s="13">
        <f t="shared" si="128"/>
        <v>21</v>
      </c>
      <c r="G290" s="13">
        <f t="shared" si="112"/>
        <v>22</v>
      </c>
      <c r="H290" s="175">
        <f t="shared" si="113"/>
        <v>43374</v>
      </c>
      <c r="I290" s="772">
        <f t="shared" si="114"/>
        <v>0.14285714285714285</v>
      </c>
      <c r="J290" s="763">
        <f t="shared" si="115"/>
        <v>38.789168513220332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P290" s="13">
        <f t="shared" si="116"/>
        <v>11</v>
      </c>
      <c r="AQ290" s="13">
        <f t="shared" si="117"/>
        <v>12</v>
      </c>
      <c r="AR290" s="175">
        <f t="shared" si="118"/>
        <v>43360</v>
      </c>
      <c r="AS290" s="772">
        <f t="shared" si="119"/>
        <v>0.5714285714285714</v>
      </c>
      <c r="AT290" s="789">
        <f t="shared" si="120"/>
        <v>38.776507289069038</v>
      </c>
      <c r="AU290" s="13">
        <f t="shared" si="121"/>
        <v>11</v>
      </c>
      <c r="AV290" s="13">
        <f t="shared" si="122"/>
        <v>12</v>
      </c>
      <c r="AW290" s="175">
        <f t="shared" si="123"/>
        <v>43374</v>
      </c>
      <c r="AX290" s="772">
        <f t="shared" si="124"/>
        <v>7.1428571428571425E-2</v>
      </c>
      <c r="AY290" s="789">
        <f t="shared" si="125"/>
        <v>38.86031253626571</v>
      </c>
      <c r="AZ290" s="763">
        <f t="shared" si="129"/>
        <v>38.818409912667377</v>
      </c>
      <c r="BA290" s="647">
        <f t="shared" si="126"/>
        <v>0.92944448159174031</v>
      </c>
      <c r="BB290" s="642">
        <v>43376</v>
      </c>
      <c r="BC290" s="11">
        <v>43376</v>
      </c>
      <c r="BD290" s="292">
        <f>[2]!FeuilCaduc*(1-Persistant)+Persistant</f>
        <v>1</v>
      </c>
      <c r="BE290" s="293">
        <f>[2]!CroissVégét</f>
        <v>0.99153229792147035</v>
      </c>
      <c r="BF290" s="842">
        <f>1+[2]!Salcycl*Ksac</f>
        <v>1.0812080604825913</v>
      </c>
      <c r="BH290" s="1105">
        <f t="shared" si="127"/>
        <v>1.8290028956036774E-2</v>
      </c>
      <c r="BI290" s="11">
        <v>44472</v>
      </c>
      <c r="BJ290" s="742">
        <v>3.7106588112699153E-3</v>
      </c>
      <c r="BK290" s="742">
        <v>8.7638552914300494E-3</v>
      </c>
      <c r="BL290" s="742">
        <v>1.6101044590637464E-2</v>
      </c>
      <c r="BM290" s="742">
        <v>2.7058239132714431E-2</v>
      </c>
      <c r="BN290" s="742">
        <v>4.1468667421455802E-2</v>
      </c>
      <c r="BO290" s="743">
        <v>6.1924722128802297E-2</v>
      </c>
      <c r="BP290" s="742">
        <v>0.10191474372727494</v>
      </c>
      <c r="BQ290" s="742">
        <v>0.17397446659419291</v>
      </c>
      <c r="BR290" s="742">
        <v>0.26880941999511104</v>
      </c>
      <c r="BS290" s="742">
        <v>0.36972730592608793</v>
      </c>
      <c r="BT290" s="742">
        <v>0.46341422962957396</v>
      </c>
      <c r="BW290" s="1187">
        <f>'2018'!R\Max</f>
        <v>0.92944448159174031</v>
      </c>
      <c r="BX290" s="1185">
        <f>'2019'!R\Max</f>
        <v>0.9132928702130082</v>
      </c>
      <c r="BY290" s="1185">
        <f>'2020'!R\Max</f>
        <v>0.1379177087398907</v>
      </c>
      <c r="BZ290" s="1185">
        <f>'2021'!R\Max</f>
        <v>0.17355422380818561</v>
      </c>
      <c r="CA290" s="1185">
        <f>'2022'!R\Max</f>
        <v>0.91661231798556642</v>
      </c>
      <c r="CB290" s="1185">
        <f>'2023'!R\Max</f>
        <v>0.91556430414517886</v>
      </c>
      <c r="CC290" s="1185">
        <f>'2024'!R\Max</f>
        <v>0.91418103842708331</v>
      </c>
      <c r="CD290" s="1185">
        <f>'2025'!R\Max</f>
        <v>0.91823192144154042</v>
      </c>
      <c r="CE290" s="1185">
        <f>'2026'!R\Max</f>
        <v>0.91799230788941766</v>
      </c>
      <c r="CF290" s="1186">
        <f>'2027'!R\Max</f>
        <v>0.91770019282970694</v>
      </c>
    </row>
    <row r="291" spans="1:84" s="6" customFormat="1" ht="11.25" x14ac:dyDescent="0.2">
      <c r="A291" s="11">
        <v>43377</v>
      </c>
      <c r="B291" s="382">
        <f>'2023'!Maxi_hp</f>
        <v>38.105877849887769</v>
      </c>
      <c r="C291" s="85">
        <f>'2023'!An_max</f>
        <v>2022</v>
      </c>
      <c r="D291" s="1132"/>
      <c r="E291" s="709"/>
      <c r="F291" s="13">
        <f t="shared" si="128"/>
        <v>21</v>
      </c>
      <c r="G291" s="13">
        <f t="shared" si="112"/>
        <v>22</v>
      </c>
      <c r="H291" s="175">
        <f t="shared" si="113"/>
        <v>43374</v>
      </c>
      <c r="I291" s="772">
        <f t="shared" si="114"/>
        <v>0.21428571428571427</v>
      </c>
      <c r="J291" s="763">
        <f t="shared" si="115"/>
        <v>38.326656997163909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P291" s="13">
        <f t="shared" si="116"/>
        <v>11</v>
      </c>
      <c r="AQ291" s="13">
        <f t="shared" si="117"/>
        <v>12</v>
      </c>
      <c r="AR291" s="175">
        <f t="shared" si="118"/>
        <v>43360</v>
      </c>
      <c r="AS291" s="772">
        <f t="shared" si="119"/>
        <v>0.6071428571428571</v>
      </c>
      <c r="AT291" s="789">
        <f t="shared" si="120"/>
        <v>38.298185728570182</v>
      </c>
      <c r="AU291" s="13">
        <f t="shared" si="121"/>
        <v>11</v>
      </c>
      <c r="AV291" s="13">
        <f t="shared" si="122"/>
        <v>12</v>
      </c>
      <c r="AW291" s="175">
        <f t="shared" si="123"/>
        <v>43374</v>
      </c>
      <c r="AX291" s="772">
        <f t="shared" si="124"/>
        <v>0.10714285714285714</v>
      </c>
      <c r="AY291" s="789">
        <f t="shared" si="125"/>
        <v>38.433132807750795</v>
      </c>
      <c r="AZ291" s="763">
        <f t="shared" si="129"/>
        <v>38.365659268160485</v>
      </c>
      <c r="BA291" s="647">
        <f t="shared" si="126"/>
        <v>0.99423954071203036</v>
      </c>
      <c r="BB291" s="642">
        <v>43377</v>
      </c>
      <c r="BC291" s="11">
        <v>43377</v>
      </c>
      <c r="BD291" s="292">
        <f>[2]!FeuilCaduc*(1-Persistant)+Persistant</f>
        <v>1</v>
      </c>
      <c r="BE291" s="293">
        <f>[2]!CroissVégét</f>
        <v>0.99188357985413123</v>
      </c>
      <c r="BF291" s="842">
        <f>1+[2]!Salcycl*Ksac</f>
        <v>1.0803613325789374</v>
      </c>
      <c r="BH291" s="1105">
        <f t="shared" si="127"/>
        <v>1.8193312350217424E-2</v>
      </c>
      <c r="BI291" s="11">
        <v>44473</v>
      </c>
      <c r="BJ291" s="742">
        <v>3.691025546143179E-3</v>
      </c>
      <c r="BK291" s="742">
        <v>8.7502964860381328E-3</v>
      </c>
      <c r="BL291" s="742">
        <v>1.6029619183615337E-2</v>
      </c>
      <c r="BM291" s="742">
        <v>2.6860215934587039E-2</v>
      </c>
      <c r="BN291" s="742">
        <v>4.1113522599944684E-2</v>
      </c>
      <c r="BO291" s="743">
        <v>6.2235044674095651E-2</v>
      </c>
      <c r="BP291" s="742">
        <v>0.10482710429746273</v>
      </c>
      <c r="BQ291" s="742">
        <v>0.17960612029760067</v>
      </c>
      <c r="BR291" s="742">
        <v>0.27517606175786435</v>
      </c>
      <c r="BS291" s="742">
        <v>0.37589358970037584</v>
      </c>
      <c r="BT291" s="742">
        <v>0.4702562292852599</v>
      </c>
      <c r="BW291" s="1187">
        <f>'2018'!R\Max</f>
        <v>0.93756393668324955</v>
      </c>
      <c r="BX291" s="1185">
        <f>'2019'!R\Max</f>
        <v>0.31454462497003111</v>
      </c>
      <c r="BY291" s="1185">
        <f>'2020'!R\Max</f>
        <v>0.43930701362927538</v>
      </c>
      <c r="BZ291" s="1185">
        <f>'2021'!R\Max</f>
        <v>0.89912499786988187</v>
      </c>
      <c r="CA291" s="1185">
        <f>'2022'!R\Max</f>
        <v>0.99423954071203036</v>
      </c>
      <c r="CB291" s="1185">
        <f>'2023'!R\Max</f>
        <v>0.99415622344254073</v>
      </c>
      <c r="CC291" s="1185">
        <f>'2024'!R\Max</f>
        <v>0.99404726840073487</v>
      </c>
      <c r="CD291" s="1185">
        <f>'2025'!R\Max</f>
        <v>0.99436652644390078</v>
      </c>
      <c r="CE291" s="1185">
        <f>'2026'!R\Max</f>
        <v>0.99434862675291624</v>
      </c>
      <c r="CF291" s="1186">
        <f>'2027'!R\Max</f>
        <v>0.99432635267874003</v>
      </c>
    </row>
    <row r="292" spans="1:84" s="6" customFormat="1" ht="11.25" x14ac:dyDescent="0.2">
      <c r="A292" s="11">
        <v>43378</v>
      </c>
      <c r="B292" s="382">
        <f>'2023'!Maxi_hp</f>
        <v>38.512022634162193</v>
      </c>
      <c r="C292" s="85">
        <f>'2023'!An_max</f>
        <v>2023</v>
      </c>
      <c r="D292" s="1132"/>
      <c r="E292" s="709"/>
      <c r="F292" s="13">
        <f t="shared" si="128"/>
        <v>21</v>
      </c>
      <c r="G292" s="13">
        <f t="shared" si="112"/>
        <v>22</v>
      </c>
      <c r="H292" s="175">
        <f t="shared" si="113"/>
        <v>43374</v>
      </c>
      <c r="I292" s="772">
        <f t="shared" si="114"/>
        <v>0.2857142857142857</v>
      </c>
      <c r="J292" s="763">
        <f t="shared" si="115"/>
        <v>37.862788921222091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P292" s="13">
        <f t="shared" si="116"/>
        <v>11</v>
      </c>
      <c r="AQ292" s="13">
        <f t="shared" si="117"/>
        <v>12</v>
      </c>
      <c r="AR292" s="175">
        <f t="shared" si="118"/>
        <v>43360</v>
      </c>
      <c r="AS292" s="772">
        <f t="shared" si="119"/>
        <v>0.6428571428571429</v>
      </c>
      <c r="AT292" s="789">
        <f t="shared" si="120"/>
        <v>37.822563155474406</v>
      </c>
      <c r="AU292" s="13">
        <f t="shared" si="121"/>
        <v>11</v>
      </c>
      <c r="AV292" s="13">
        <f t="shared" si="122"/>
        <v>12</v>
      </c>
      <c r="AW292" s="175">
        <f t="shared" si="123"/>
        <v>43374</v>
      </c>
      <c r="AX292" s="772">
        <f t="shared" si="124"/>
        <v>0.14285714285714285</v>
      </c>
      <c r="AY292" s="789">
        <f t="shared" si="125"/>
        <v>38.003569679121895</v>
      </c>
      <c r="AZ292" s="763">
        <f t="shared" si="129"/>
        <v>37.913066417298154</v>
      </c>
      <c r="BA292" s="647">
        <f t="shared" si="126"/>
        <v>1.0171470124477864</v>
      </c>
      <c r="BB292" s="642">
        <v>43378</v>
      </c>
      <c r="BC292" s="11">
        <v>43378</v>
      </c>
      <c r="BD292" s="292">
        <f>[2]!FeuilCaduc*(1-Persistant)+Persistant</f>
        <v>1</v>
      </c>
      <c r="BE292" s="293">
        <f>[2]!CroissVégét</f>
        <v>0.99222095198209459</v>
      </c>
      <c r="BF292" s="842">
        <f>1+[2]!Salcycl*Ksac</f>
        <v>1.0794857699985778</v>
      </c>
      <c r="BH292" s="1105">
        <f t="shared" si="127"/>
        <v>1.8077844429263051E-2</v>
      </c>
      <c r="BI292" s="11">
        <v>44474</v>
      </c>
      <c r="BJ292" s="742">
        <v>3.6706714117278969E-3</v>
      </c>
      <c r="BK292" s="742">
        <v>8.7271449295150804E-3</v>
      </c>
      <c r="BL292" s="742">
        <v>1.5940938658483471E-2</v>
      </c>
      <c r="BM292" s="742">
        <v>2.6637448244675788E-2</v>
      </c>
      <c r="BN292" s="742">
        <v>4.0725951097041753E-2</v>
      </c>
      <c r="BO292" s="743">
        <v>6.269029361483601E-2</v>
      </c>
      <c r="BP292" s="742">
        <v>0.10797590875934669</v>
      </c>
      <c r="BQ292" s="742">
        <v>0.18522343520541215</v>
      </c>
      <c r="BR292" s="742">
        <v>0.28137639683648652</v>
      </c>
      <c r="BS292" s="742">
        <v>0.3819114552910019</v>
      </c>
      <c r="BT292" s="742">
        <v>0.47739375941854756</v>
      </c>
      <c r="BW292" s="1187">
        <f>'2018'!R\Max</f>
        <v>0.93442012883436198</v>
      </c>
      <c r="BX292" s="1185">
        <f>'2019'!R\Max</f>
        <v>0.90206524365719887</v>
      </c>
      <c r="BY292" s="1185">
        <f>'2020'!R\Max</f>
        <v>0.50611489179842417</v>
      </c>
      <c r="BZ292" s="1185">
        <f>'2021'!R\Max</f>
        <v>0.34018925815330009</v>
      </c>
      <c r="CA292" s="1185">
        <f>'2022'!R\Max</f>
        <v>1.0171470124477862</v>
      </c>
      <c r="CB292" s="1185">
        <f>'2023'!R\Max</f>
        <v>1.0171470124477864</v>
      </c>
      <c r="CC292" s="1185">
        <f>'2024'!R\Max</f>
        <v>1.0171470124477862</v>
      </c>
      <c r="CD292" s="1185">
        <f>'2025'!R\Max</f>
        <v>1.0171470124477862</v>
      </c>
      <c r="CE292" s="1185">
        <f>'2026'!R\Max</f>
        <v>1.0171470124477859</v>
      </c>
      <c r="CF292" s="1186">
        <f>'2027'!R\Max</f>
        <v>1.0171470124477862</v>
      </c>
    </row>
    <row r="293" spans="1:84" s="6" customFormat="1" ht="11.25" x14ac:dyDescent="0.2">
      <c r="A293" s="11">
        <v>43379</v>
      </c>
      <c r="B293" s="382">
        <f>'2023'!Maxi_hp</f>
        <v>33.993896318509428</v>
      </c>
      <c r="C293" s="85">
        <f>'2023'!An_max</f>
        <v>2018</v>
      </c>
      <c r="D293" s="1132"/>
      <c r="E293" s="709"/>
      <c r="F293" s="13">
        <f t="shared" si="128"/>
        <v>21</v>
      </c>
      <c r="G293" s="13">
        <f t="shared" si="112"/>
        <v>22</v>
      </c>
      <c r="H293" s="175">
        <f t="shared" si="113"/>
        <v>43374</v>
      </c>
      <c r="I293" s="772">
        <f t="shared" si="114"/>
        <v>0.35714285714285715</v>
      </c>
      <c r="J293" s="763">
        <f t="shared" si="115"/>
        <v>37.39869475245608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P293" s="13">
        <f t="shared" si="116"/>
        <v>11</v>
      </c>
      <c r="AQ293" s="13">
        <f t="shared" si="117"/>
        <v>12</v>
      </c>
      <c r="AR293" s="175">
        <f t="shared" si="118"/>
        <v>43360</v>
      </c>
      <c r="AS293" s="772">
        <f t="shared" si="119"/>
        <v>0.6785714285714286</v>
      </c>
      <c r="AT293" s="789">
        <f t="shared" si="120"/>
        <v>37.350473291959084</v>
      </c>
      <c r="AU293" s="13">
        <f t="shared" si="121"/>
        <v>11</v>
      </c>
      <c r="AV293" s="13">
        <f t="shared" si="122"/>
        <v>12</v>
      </c>
      <c r="AW293" s="175">
        <f t="shared" si="123"/>
        <v>43374</v>
      </c>
      <c r="AX293" s="772">
        <f t="shared" si="124"/>
        <v>0.17857142857142858</v>
      </c>
      <c r="AY293" s="789">
        <f t="shared" si="125"/>
        <v>37.572103598338018</v>
      </c>
      <c r="AZ293" s="763">
        <f t="shared" si="129"/>
        <v>37.461288445148554</v>
      </c>
      <c r="BA293" s="647">
        <f t="shared" si="126"/>
        <v>0.90895943143248203</v>
      </c>
      <c r="BB293" s="642">
        <v>43379</v>
      </c>
      <c r="BC293" s="11">
        <v>43379</v>
      </c>
      <c r="BD293" s="292">
        <f>[2]!FeuilCaduc*(1-Persistant)+Persistant</f>
        <v>1</v>
      </c>
      <c r="BE293" s="293">
        <f>[2]!CroissVégét</f>
        <v>0.99254495612417293</v>
      </c>
      <c r="BF293" s="842">
        <f>1+[2]!Salcycl*Ksac</f>
        <v>1.0785811243239922</v>
      </c>
      <c r="BH293" s="1105">
        <f t="shared" si="127"/>
        <v>1.7943574398257906E-2</v>
      </c>
      <c r="BI293" s="11">
        <v>44475</v>
      </c>
      <c r="BJ293" s="742">
        <v>3.6495907869697848E-3</v>
      </c>
      <c r="BK293" s="742">
        <v>8.6943759818081823E-3</v>
      </c>
      <c r="BL293" s="742">
        <v>1.5834957423547541E-2</v>
      </c>
      <c r="BM293" s="742">
        <v>2.638986442600692E-2</v>
      </c>
      <c r="BN293" s="742">
        <v>4.0305850493064226E-2</v>
      </c>
      <c r="BO293" s="743">
        <v>6.3290625709719522E-2</v>
      </c>
      <c r="BP293" s="742">
        <v>0.11136145754428266</v>
      </c>
      <c r="BQ293" s="742">
        <v>0.19082630171839063</v>
      </c>
      <c r="BR293" s="742">
        <v>0.28740999256434963</v>
      </c>
      <c r="BS293" s="742">
        <v>0.38778038045170965</v>
      </c>
      <c r="BT293" s="742">
        <v>0.48482688021365927</v>
      </c>
      <c r="BW293" s="1187">
        <f>'2018'!R\Max</f>
        <v>0.90895943143248203</v>
      </c>
      <c r="BX293" s="1185">
        <f>'2019'!R\Max</f>
        <v>0.51794944242847762</v>
      </c>
      <c r="BY293" s="1185">
        <f>'2020'!R\Max</f>
        <v>0.68776175228777048</v>
      </c>
      <c r="BZ293" s="1185">
        <f>'2021'!R\Max</f>
        <v>0.85165386733337289</v>
      </c>
      <c r="CA293" s="1185">
        <f>'2022'!R\Max</f>
        <v>0.43606083800217738</v>
      </c>
      <c r="CB293" s="1185">
        <f>'2023'!R\Max</f>
        <v>0.43211672463832074</v>
      </c>
      <c r="CC293" s="1185">
        <f>'2024'!R\Max</f>
        <v>0.42718731131514986</v>
      </c>
      <c r="CD293" s="1185">
        <f>'2025'!R\Max</f>
        <v>0.44217416960800526</v>
      </c>
      <c r="CE293" s="1185">
        <f>'2026'!R\Max</f>
        <v>0.44138705698380687</v>
      </c>
      <c r="CF293" s="1186">
        <f>'2027'!R\Max</f>
        <v>0.44035889031772851</v>
      </c>
    </row>
    <row r="294" spans="1:84" s="6" customFormat="1" ht="11.25" x14ac:dyDescent="0.2">
      <c r="A294" s="11">
        <v>43380</v>
      </c>
      <c r="B294" s="382">
        <f>'2023'!Maxi_hp</f>
        <v>37.024189714848987</v>
      </c>
      <c r="C294" s="85">
        <f>'2023'!An_max</f>
        <v>2021</v>
      </c>
      <c r="D294" s="1132"/>
      <c r="E294" s="709"/>
      <c r="F294" s="13">
        <f t="shared" si="128"/>
        <v>21</v>
      </c>
      <c r="G294" s="13">
        <f t="shared" si="112"/>
        <v>22</v>
      </c>
      <c r="H294" s="175">
        <f t="shared" si="113"/>
        <v>43374</v>
      </c>
      <c r="I294" s="772">
        <f t="shared" si="114"/>
        <v>0.42857142857142855</v>
      </c>
      <c r="J294" s="763">
        <f t="shared" si="115"/>
        <v>36.93550495659666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P294" s="13">
        <f t="shared" si="116"/>
        <v>11</v>
      </c>
      <c r="AQ294" s="13">
        <f t="shared" si="117"/>
        <v>12</v>
      </c>
      <c r="AR294" s="175">
        <f t="shared" si="118"/>
        <v>43360</v>
      </c>
      <c r="AS294" s="772">
        <f t="shared" si="119"/>
        <v>0.7142857142857143</v>
      </c>
      <c r="AT294" s="789">
        <f t="shared" si="120"/>
        <v>36.882749854560409</v>
      </c>
      <c r="AU294" s="13">
        <f t="shared" si="121"/>
        <v>11</v>
      </c>
      <c r="AV294" s="13">
        <f t="shared" si="122"/>
        <v>12</v>
      </c>
      <c r="AW294" s="175">
        <f t="shared" si="123"/>
        <v>43374</v>
      </c>
      <c r="AX294" s="772">
        <f t="shared" si="124"/>
        <v>0.21428571428571427</v>
      </c>
      <c r="AY294" s="789">
        <f t="shared" si="125"/>
        <v>37.139215014116573</v>
      </c>
      <c r="AZ294" s="763">
        <f t="shared" si="129"/>
        <v>37.010982434338487</v>
      </c>
      <c r="BA294" s="647">
        <f t="shared" si="126"/>
        <v>1.0024010706867699</v>
      </c>
      <c r="BB294" s="642">
        <v>43380</v>
      </c>
      <c r="BC294" s="11">
        <v>43380</v>
      </c>
      <c r="BD294" s="292">
        <f>[2]!FeuilCaduc*(1-Persistant)+Persistant</f>
        <v>1</v>
      </c>
      <c r="BE294" s="293">
        <f>[2]!CroissVégét</f>
        <v>0.9928561136972186</v>
      </c>
      <c r="BF294" s="842">
        <f>1+[2]!Salcycl*Ksac</f>
        <v>1.0776472203538121</v>
      </c>
      <c r="BH294" s="1105">
        <f t="shared" si="127"/>
        <v>1.7790451279828035E-2</v>
      </c>
      <c r="BI294" s="11">
        <v>44476</v>
      </c>
      <c r="BJ294" s="742">
        <v>3.6277781199252407E-3</v>
      </c>
      <c r="BK294" s="742">
        <v>8.6519647495002378E-3</v>
      </c>
      <c r="BL294" s="742">
        <v>1.5711629640083848E-2</v>
      </c>
      <c r="BM294" s="742">
        <v>2.6117392917795232E-2</v>
      </c>
      <c r="BN294" s="742">
        <v>3.9853118902699526E-2</v>
      </c>
      <c r="BO294" s="743">
        <v>6.403620144835577E-2</v>
      </c>
      <c r="BP294" s="742">
        <v>0.11498404652850726</v>
      </c>
      <c r="BQ294" s="742">
        <v>0.19641458516238708</v>
      </c>
      <c r="BR294" s="742">
        <v>0.29327638290087121</v>
      </c>
      <c r="BS294" s="742">
        <v>0.39349981125601291</v>
      </c>
      <c r="BT294" s="742">
        <v>0.49255563263674074</v>
      </c>
      <c r="BW294" s="1187">
        <f>'2018'!R\Max</f>
        <v>0.42218090709587958</v>
      </c>
      <c r="BX294" s="1185">
        <f>'2019'!R\Max</f>
        <v>0.82536215682448322</v>
      </c>
      <c r="BY294" s="1185">
        <f>'2020'!R\Max</f>
        <v>0.24227560933720846</v>
      </c>
      <c r="BZ294" s="1185">
        <f>'2021'!R\Max</f>
        <v>1.0024010706867699</v>
      </c>
      <c r="CA294" s="1185">
        <f>'2022'!R\Max</f>
        <v>0.76524500042181864</v>
      </c>
      <c r="CB294" s="1185">
        <f>'2023'!R\Max</f>
        <v>0.76220341274792591</v>
      </c>
      <c r="CC294" s="1185">
        <f>'2024'!R\Max</f>
        <v>0.75840840044517532</v>
      </c>
      <c r="CD294" s="1185">
        <f>'2025'!R\Max</f>
        <v>0.76991757921964799</v>
      </c>
      <c r="CE294" s="1185">
        <f>'2026'!R\Max</f>
        <v>0.76935208569880642</v>
      </c>
      <c r="CF294" s="1186">
        <f>'2027'!R\Max</f>
        <v>0.76858726387334619</v>
      </c>
    </row>
    <row r="295" spans="1:84" s="6" customFormat="1" ht="11.25" x14ac:dyDescent="0.2">
      <c r="A295" s="11">
        <v>43381</v>
      </c>
      <c r="B295" s="382">
        <f>'2023'!Maxi_hp</f>
        <v>36.120260428293889</v>
      </c>
      <c r="C295" s="85">
        <f>'2023'!An_max</f>
        <v>2021</v>
      </c>
      <c r="D295" s="1132"/>
      <c r="E295" s="709"/>
      <c r="F295" s="13">
        <f t="shared" si="128"/>
        <v>21</v>
      </c>
      <c r="G295" s="13">
        <f t="shared" si="112"/>
        <v>22</v>
      </c>
      <c r="H295" s="175">
        <f t="shared" si="113"/>
        <v>43374</v>
      </c>
      <c r="I295" s="772">
        <f t="shared" si="114"/>
        <v>0.5</v>
      </c>
      <c r="J295" s="763">
        <f t="shared" si="115"/>
        <v>36.474350000685078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P295" s="13">
        <f t="shared" si="116"/>
        <v>11</v>
      </c>
      <c r="AQ295" s="13">
        <f t="shared" si="117"/>
        <v>12</v>
      </c>
      <c r="AR295" s="175">
        <f t="shared" si="118"/>
        <v>43360</v>
      </c>
      <c r="AS295" s="772">
        <f t="shared" si="119"/>
        <v>0.75</v>
      </c>
      <c r="AT295" s="789">
        <f t="shared" si="120"/>
        <v>36.420226561836898</v>
      </c>
      <c r="AU295" s="13">
        <f t="shared" si="121"/>
        <v>11</v>
      </c>
      <c r="AV295" s="13">
        <f t="shared" si="122"/>
        <v>12</v>
      </c>
      <c r="AW295" s="175">
        <f t="shared" si="123"/>
        <v>43374</v>
      </c>
      <c r="AX295" s="772">
        <f t="shared" si="124"/>
        <v>0.25</v>
      </c>
      <c r="AY295" s="789">
        <f t="shared" si="125"/>
        <v>36.70538437492214</v>
      </c>
      <c r="AZ295" s="763">
        <f t="shared" si="129"/>
        <v>36.562805468379523</v>
      </c>
      <c r="BA295" s="647">
        <f t="shared" si="126"/>
        <v>0.99029209369366311</v>
      </c>
      <c r="BB295" s="642">
        <v>43381</v>
      </c>
      <c r="BC295" s="11">
        <v>43381</v>
      </c>
      <c r="BD295" s="292">
        <f>[2]!FeuilCaduc*(1-Persistant)+Persistant</f>
        <v>1</v>
      </c>
      <c r="BE295" s="293">
        <f>[2]!CroissVégét</f>
        <v>0.99315492642894099</v>
      </c>
      <c r="BF295" s="842">
        <f>1+[2]!Salcycl*Ksac</f>
        <v>1.0766839612203292</v>
      </c>
      <c r="BH295" s="1105">
        <f t="shared" si="127"/>
        <v>1.761842412033908E-2</v>
      </c>
      <c r="BI295" s="11">
        <v>44477</v>
      </c>
      <c r="BJ295" s="742">
        <v>3.6052279357768986E-3</v>
      </c>
      <c r="BK295" s="742">
        <v>8.5998861916383833E-3</v>
      </c>
      <c r="BL295" s="742">
        <v>1.5570909412213429E-2</v>
      </c>
      <c r="BM295" s="742">
        <v>2.5819962507028078E-2</v>
      </c>
      <c r="BN295" s="742">
        <v>3.9367655330380995E-2</v>
      </c>
      <c r="BO295" s="743">
        <v>6.4927183470593591E-2</v>
      </c>
      <c r="BP295" s="742">
        <v>0.11884396448081656</v>
      </c>
      <c r="BQ295" s="742">
        <v>0.20198812602270733</v>
      </c>
      <c r="BR295" s="742">
        <v>0.29897507034899584</v>
      </c>
      <c r="BS295" s="742">
        <v>0.39906916382512075</v>
      </c>
      <c r="BT295" s="742">
        <v>0.5005800353103258</v>
      </c>
      <c r="BW295" s="1187">
        <f>'2018'!R\Max</f>
        <v>0.41524549025992435</v>
      </c>
      <c r="BX295" s="1185">
        <f>'2019'!R\Max</f>
        <v>0.94480795409609153</v>
      </c>
      <c r="BY295" s="1185">
        <f>'2020'!R\Max</f>
        <v>0.81400728119833521</v>
      </c>
      <c r="BZ295" s="1185">
        <f>'2021'!R\Max</f>
        <v>0.99029209369366311</v>
      </c>
      <c r="CA295" s="1185">
        <f>'2022'!R\Max</f>
        <v>0.47059179391824124</v>
      </c>
      <c r="CB295" s="1185">
        <f>'2023'!R\Max</f>
        <v>0.46619663589330279</v>
      </c>
      <c r="CC295" s="1185">
        <f>'2024'!R\Max</f>
        <v>0.46085253705394308</v>
      </c>
      <c r="CD295" s="1185">
        <f>'2025'!R\Max</f>
        <v>0.47749313080158418</v>
      </c>
      <c r="CE295" s="1185">
        <f>'2026'!R\Max</f>
        <v>0.47669851035854116</v>
      </c>
      <c r="CF295" s="1186">
        <f>'2027'!R\Max</f>
        <v>0.47558662225634218</v>
      </c>
    </row>
    <row r="296" spans="1:84" s="6" customFormat="1" ht="11.25" x14ac:dyDescent="0.2">
      <c r="A296" s="11">
        <v>43382</v>
      </c>
      <c r="B296" s="382">
        <f>'2023'!Maxi_hp</f>
        <v>35.227074069795499</v>
      </c>
      <c r="C296" s="85">
        <f>'2023'!An_max</f>
        <v>2022</v>
      </c>
      <c r="D296" s="1132"/>
      <c r="E296" s="709"/>
      <c r="F296" s="13">
        <f t="shared" si="128"/>
        <v>21</v>
      </c>
      <c r="G296" s="13">
        <f t="shared" si="112"/>
        <v>22</v>
      </c>
      <c r="H296" s="175">
        <f t="shared" si="113"/>
        <v>43374</v>
      </c>
      <c r="I296" s="772">
        <f t="shared" si="114"/>
        <v>0.5714285714285714</v>
      </c>
      <c r="J296" s="763">
        <f t="shared" si="115"/>
        <v>36.016360350285787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P296" s="13">
        <f t="shared" si="116"/>
        <v>11</v>
      </c>
      <c r="AQ296" s="13">
        <f t="shared" si="117"/>
        <v>12</v>
      </c>
      <c r="AR296" s="175">
        <f t="shared" si="118"/>
        <v>43360</v>
      </c>
      <c r="AS296" s="772">
        <f t="shared" si="119"/>
        <v>0.7857142857142857</v>
      </c>
      <c r="AT296" s="789">
        <f t="shared" si="120"/>
        <v>35.963737135859475</v>
      </c>
      <c r="AU296" s="13">
        <f t="shared" si="121"/>
        <v>11</v>
      </c>
      <c r="AV296" s="13">
        <f t="shared" si="122"/>
        <v>12</v>
      </c>
      <c r="AW296" s="175">
        <f t="shared" si="123"/>
        <v>43374</v>
      </c>
      <c r="AX296" s="772">
        <f t="shared" si="124"/>
        <v>0.2857142857142857</v>
      </c>
      <c r="AY296" s="789">
        <f t="shared" si="125"/>
        <v>36.271092127942083</v>
      </c>
      <c r="AZ296" s="763">
        <f t="shared" si="129"/>
        <v>36.117414631900779</v>
      </c>
      <c r="BA296" s="647">
        <f t="shared" si="126"/>
        <v>0.97808534030607497</v>
      </c>
      <c r="BB296" s="642">
        <v>43382</v>
      </c>
      <c r="BC296" s="11">
        <v>43382</v>
      </c>
      <c r="BD296" s="292">
        <f>[2]!FeuilCaduc*(1-Persistant)+Persistant</f>
        <v>1</v>
      </c>
      <c r="BE296" s="293">
        <f>[2]!CroissVégét</f>
        <v>0.9934418770502661</v>
      </c>
      <c r="BF296" s="842">
        <f>1+[2]!Salcycl*Ksac</f>
        <v>1.0756913332331197</v>
      </c>
      <c r="BH296" s="1105">
        <f t="shared" si="127"/>
        <v>1.7422283888741518E-2</v>
      </c>
      <c r="BI296" s="11">
        <v>44478</v>
      </c>
      <c r="BJ296" s="742">
        <v>3.5767868244440779E-3</v>
      </c>
      <c r="BK296" s="742">
        <v>8.5319947093499358E-3</v>
      </c>
      <c r="BL296" s="742">
        <v>1.5407361714308546E-2</v>
      </c>
      <c r="BM296" s="742">
        <v>2.5493269408025404E-2</v>
      </c>
      <c r="BN296" s="742">
        <v>3.8919960248542516E-2</v>
      </c>
      <c r="BO296" s="743">
        <v>6.6030937232584672E-2</v>
      </c>
      <c r="BP296" s="742">
        <v>0.12288415069300274</v>
      </c>
      <c r="BQ296" s="742">
        <v>0.20751329857795944</v>
      </c>
      <c r="BR296" s="742">
        <v>0.30450293981191573</v>
      </c>
      <c r="BS296" s="742">
        <v>0.40461262561984462</v>
      </c>
      <c r="BT296" s="742">
        <v>0.50890477187153715</v>
      </c>
      <c r="BW296" s="1187">
        <f>'2018'!R\Max</f>
        <v>0.88537094966548446</v>
      </c>
      <c r="BX296" s="1185">
        <f>'2019'!R\Max</f>
        <v>0.27501122198587979</v>
      </c>
      <c r="BY296" s="1185">
        <f>'2020'!R\Max</f>
        <v>0.90186831485040064</v>
      </c>
      <c r="BZ296" s="1185">
        <f>'2021'!R\Max</f>
        <v>0.44201234114040211</v>
      </c>
      <c r="CA296" s="1185">
        <f>'2022'!R\Max</f>
        <v>0.97808534030607497</v>
      </c>
      <c r="CB296" s="1185">
        <f>'2023'!R\Max</f>
        <v>0.97768679099094435</v>
      </c>
      <c r="CC296" s="1185">
        <f>'2024'!R\Max</f>
        <v>0.97719912323899705</v>
      </c>
      <c r="CD296" s="1185">
        <f>'2025'!R\Max</f>
        <v>0.97870432282348152</v>
      </c>
      <c r="CE296" s="1185">
        <f>'2026'!R\Max</f>
        <v>0.97863766127849827</v>
      </c>
      <c r="CF296" s="1186">
        <f>'2027'!R\Max</f>
        <v>0.9785404222194144</v>
      </c>
    </row>
    <row r="297" spans="1:84" s="6" customFormat="1" ht="11.25" x14ac:dyDescent="0.2">
      <c r="A297" s="11">
        <v>43383</v>
      </c>
      <c r="B297" s="382">
        <f>'2023'!Maxi_hp</f>
        <v>29.978792140738321</v>
      </c>
      <c r="C297" s="85">
        <f>'2023'!An_max</f>
        <v>2022</v>
      </c>
      <c r="D297" s="1132"/>
      <c r="E297" s="709"/>
      <c r="F297" s="13">
        <f t="shared" si="128"/>
        <v>21</v>
      </c>
      <c r="G297" s="13">
        <f t="shared" si="112"/>
        <v>22</v>
      </c>
      <c r="H297" s="175">
        <f t="shared" si="113"/>
        <v>43374</v>
      </c>
      <c r="I297" s="772">
        <f t="shared" si="114"/>
        <v>0.6428571428571429</v>
      </c>
      <c r="J297" s="763">
        <f t="shared" si="115"/>
        <v>35.562666472413447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P297" s="13">
        <f t="shared" si="116"/>
        <v>11</v>
      </c>
      <c r="AQ297" s="13">
        <f t="shared" si="117"/>
        <v>12</v>
      </c>
      <c r="AR297" s="175">
        <f t="shared" si="118"/>
        <v>43360</v>
      </c>
      <c r="AS297" s="772">
        <f t="shared" si="119"/>
        <v>0.8214285714285714</v>
      </c>
      <c r="AT297" s="789">
        <f t="shared" si="120"/>
        <v>35.514115293137728</v>
      </c>
      <c r="AU297" s="13">
        <f t="shared" si="121"/>
        <v>11</v>
      </c>
      <c r="AV297" s="13">
        <f t="shared" si="122"/>
        <v>12</v>
      </c>
      <c r="AW297" s="175">
        <f t="shared" si="123"/>
        <v>43374</v>
      </c>
      <c r="AX297" s="772">
        <f t="shared" si="124"/>
        <v>0.32142857142857145</v>
      </c>
      <c r="AY297" s="789">
        <f t="shared" si="125"/>
        <v>35.836818722203112</v>
      </c>
      <c r="AZ297" s="763">
        <f t="shared" si="129"/>
        <v>35.67546700767042</v>
      </c>
      <c r="BA297" s="647">
        <f t="shared" si="126"/>
        <v>0.8429849365764901</v>
      </c>
      <c r="BB297" s="642">
        <v>43383</v>
      </c>
      <c r="BC297" s="11">
        <v>43383</v>
      </c>
      <c r="BD297" s="292">
        <f>[2]!FeuilCaduc*(1-Persistant)+Persistant</f>
        <v>1</v>
      </c>
      <c r="BE297" s="293">
        <f>[2]!CroissVégét</f>
        <v>0.99371742996744827</v>
      </c>
      <c r="BF297" s="842">
        <f>1+[2]!Salcycl*Ksac</f>
        <v>1.0746694103981191</v>
      </c>
      <c r="BH297" s="1105">
        <f t="shared" si="127"/>
        <v>1.7211046033763697E-2</v>
      </c>
      <c r="BI297" s="11">
        <v>44479</v>
      </c>
      <c r="BJ297" s="742">
        <v>3.5444975781006418E-3</v>
      </c>
      <c r="BK297" s="742">
        <v>8.4524832040157767E-3</v>
      </c>
      <c r="BL297" s="742">
        <v>1.5228877578928742E-2</v>
      </c>
      <c r="BM297" s="742">
        <v>2.5150833038319508E-2</v>
      </c>
      <c r="BN297" s="742">
        <v>3.8529534195332955E-2</v>
      </c>
      <c r="BO297" s="743">
        <v>6.7315320631010381E-2</v>
      </c>
      <c r="BP297" s="742">
        <v>0.12693070361132444</v>
      </c>
      <c r="BQ297" s="742">
        <v>0.2129469222623549</v>
      </c>
      <c r="BR297" s="742">
        <v>0.30992984746909097</v>
      </c>
      <c r="BS297" s="742">
        <v>0.41022226913212506</v>
      </c>
      <c r="BT297" s="742">
        <v>0.51719095009499738</v>
      </c>
      <c r="BW297" s="1187">
        <f>'2018'!R\Max</f>
        <v>0.62459936270292016</v>
      </c>
      <c r="BX297" s="1185">
        <f>'2019'!R\Max</f>
        <v>0.72146827715701634</v>
      </c>
      <c r="BY297" s="1185">
        <f>'2020'!R\Max</f>
        <v>0.72148734963999461</v>
      </c>
      <c r="BZ297" s="1185">
        <f>'2021'!R\Max</f>
        <v>0.67357139786654652</v>
      </c>
      <c r="CA297" s="1185">
        <f>'2022'!R\Max</f>
        <v>0.8429849365764901</v>
      </c>
      <c r="CB297" s="1185">
        <f>'2023'!R\Max</f>
        <v>0.84042750085456952</v>
      </c>
      <c r="CC297" s="1185">
        <f>'2024'!R\Max</f>
        <v>0.8373542876726644</v>
      </c>
      <c r="CD297" s="1185">
        <f>'2025'!R\Max</f>
        <v>0.84703878949249622</v>
      </c>
      <c r="CE297" s="1185">
        <f>'2026'!R\Max</f>
        <v>0.84662158607223414</v>
      </c>
      <c r="CF297" s="1186">
        <f>'2027'!R\Max</f>
        <v>0.84599049654742375</v>
      </c>
    </row>
    <row r="298" spans="1:84" s="6" customFormat="1" ht="11.25" x14ac:dyDescent="0.2">
      <c r="A298" s="11">
        <v>43384</v>
      </c>
      <c r="B298" s="382">
        <f>'2023'!Maxi_hp</f>
        <v>35.228282069749262</v>
      </c>
      <c r="C298" s="85">
        <f>'2023'!An_max</f>
        <v>2019</v>
      </c>
      <c r="D298" s="1132"/>
      <c r="E298" s="709"/>
      <c r="F298" s="13">
        <f t="shared" si="128"/>
        <v>21</v>
      </c>
      <c r="G298" s="13">
        <f t="shared" si="112"/>
        <v>22</v>
      </c>
      <c r="H298" s="175">
        <f t="shared" si="113"/>
        <v>43374</v>
      </c>
      <c r="I298" s="772">
        <f t="shared" si="114"/>
        <v>0.7142857142857143</v>
      </c>
      <c r="J298" s="763">
        <f t="shared" si="115"/>
        <v>35.114398834561662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P298" s="13">
        <f t="shared" si="116"/>
        <v>11</v>
      </c>
      <c r="AQ298" s="13">
        <f t="shared" si="117"/>
        <v>12</v>
      </c>
      <c r="AR298" s="175">
        <f t="shared" si="118"/>
        <v>43360</v>
      </c>
      <c r="AS298" s="772">
        <f t="shared" si="119"/>
        <v>0.8571428571428571</v>
      </c>
      <c r="AT298" s="789">
        <f t="shared" si="120"/>
        <v>35.072194751458511</v>
      </c>
      <c r="AU298" s="13">
        <f t="shared" si="121"/>
        <v>11</v>
      </c>
      <c r="AV298" s="13">
        <f t="shared" si="122"/>
        <v>12</v>
      </c>
      <c r="AW298" s="175">
        <f t="shared" si="123"/>
        <v>43374</v>
      </c>
      <c r="AX298" s="772">
        <f t="shared" si="124"/>
        <v>0.35714285714285715</v>
      </c>
      <c r="AY298" s="789">
        <f t="shared" si="125"/>
        <v>35.403044606552321</v>
      </c>
      <c r="AZ298" s="763">
        <f t="shared" si="129"/>
        <v>35.237619679005419</v>
      </c>
      <c r="BA298" s="647">
        <f t="shared" si="126"/>
        <v>1.003243206176593</v>
      </c>
      <c r="BB298" s="642">
        <v>43384</v>
      </c>
      <c r="BC298" s="11">
        <v>43384</v>
      </c>
      <c r="BD298" s="292">
        <f>[2]!FeuilCaduc*(1-Persistant)+Persistant</f>
        <v>1</v>
      </c>
      <c r="BE298" s="293">
        <f>[2]!CroissVégét</f>
        <v>0.99398203191418089</v>
      </c>
      <c r="BF298" s="842">
        <f>1+[2]!Salcycl*Ksac</f>
        <v>1.073618358562922</v>
      </c>
      <c r="BH298" s="1105">
        <f t="shared" si="127"/>
        <v>1.6984667024904438E-2</v>
      </c>
      <c r="BI298" s="11">
        <v>44480</v>
      </c>
      <c r="BJ298" s="742">
        <v>3.5083501272692537E-3</v>
      </c>
      <c r="BK298" s="742">
        <v>8.3613238281040215E-3</v>
      </c>
      <c r="BL298" s="742">
        <v>1.503541605903079E-2</v>
      </c>
      <c r="BM298" s="742">
        <v>2.4792599519093034E-2</v>
      </c>
      <c r="BN298" s="742">
        <v>3.8196422602362591E-2</v>
      </c>
      <c r="BO298" s="743">
        <v>6.8780548160379332E-2</v>
      </c>
      <c r="BP298" s="742">
        <v>0.13098351215144366</v>
      </c>
      <c r="BQ298" s="742">
        <v>0.21828864451623883</v>
      </c>
      <c r="BR298" s="742">
        <v>0.31525531930382161</v>
      </c>
      <c r="BS298" s="742">
        <v>0.41589777239360698</v>
      </c>
      <c r="BT298" s="742">
        <v>0.52543797873314846</v>
      </c>
      <c r="BW298" s="1187">
        <f>'2018'!R\Max</f>
        <v>0.73010610828945632</v>
      </c>
      <c r="BX298" s="1185">
        <f>'2019'!R\Max</f>
        <v>1.003243206176593</v>
      </c>
      <c r="BY298" s="1185">
        <f>'2020'!R\Max</f>
        <v>0.55307366991496665</v>
      </c>
      <c r="BZ298" s="1185">
        <f>'2021'!R\Max</f>
        <v>1.0010487363523495</v>
      </c>
      <c r="CA298" s="1185">
        <f>'2022'!R\Max</f>
        <v>0.73572493501176606</v>
      </c>
      <c r="CB298" s="1185">
        <f>'2023'!R\Max</f>
        <v>0.73182916780899032</v>
      </c>
      <c r="CC298" s="1185">
        <f>'2024'!R\Max</f>
        <v>0.7272217870994967</v>
      </c>
      <c r="CD298" s="1185">
        <f>'2025'!R\Max</f>
        <v>0.74203231901350941</v>
      </c>
      <c r="CE298" s="1185">
        <f>'2026'!R\Max</f>
        <v>0.74140884859443623</v>
      </c>
      <c r="CF298" s="1186">
        <f>'2027'!R\Max</f>
        <v>0.74043153045436982</v>
      </c>
    </row>
    <row r="299" spans="1:84" s="6" customFormat="1" ht="11.25" x14ac:dyDescent="0.2">
      <c r="A299" s="11">
        <v>43385</v>
      </c>
      <c r="B299" s="382">
        <f>'2023'!Maxi_hp</f>
        <v>34.24330519553645</v>
      </c>
      <c r="C299" s="85">
        <f>'2023'!An_max</f>
        <v>2021</v>
      </c>
      <c r="D299" s="1132"/>
      <c r="E299" s="709"/>
      <c r="F299" s="13">
        <f t="shared" si="128"/>
        <v>21</v>
      </c>
      <c r="G299" s="13">
        <f t="shared" si="112"/>
        <v>22</v>
      </c>
      <c r="H299" s="175">
        <f t="shared" si="113"/>
        <v>43374</v>
      </c>
      <c r="I299" s="772">
        <f t="shared" si="114"/>
        <v>0.7857142857142857</v>
      </c>
      <c r="J299" s="763">
        <f t="shared" si="115"/>
        <v>34.672687901310354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P299" s="13">
        <f t="shared" si="116"/>
        <v>11</v>
      </c>
      <c r="AQ299" s="13">
        <f t="shared" si="117"/>
        <v>12</v>
      </c>
      <c r="AR299" s="175">
        <f t="shared" si="118"/>
        <v>43360</v>
      </c>
      <c r="AS299" s="772">
        <f t="shared" si="119"/>
        <v>0.8928571428571429</v>
      </c>
      <c r="AT299" s="789">
        <f t="shared" si="120"/>
        <v>34.638809233637787</v>
      </c>
      <c r="AU299" s="13">
        <f t="shared" si="121"/>
        <v>11</v>
      </c>
      <c r="AV299" s="13">
        <f t="shared" si="122"/>
        <v>12</v>
      </c>
      <c r="AW299" s="175">
        <f t="shared" si="123"/>
        <v>43374</v>
      </c>
      <c r="AX299" s="772">
        <f t="shared" si="124"/>
        <v>0.39285714285714285</v>
      </c>
      <c r="AY299" s="789">
        <f t="shared" si="125"/>
        <v>34.970250227708107</v>
      </c>
      <c r="AZ299" s="763">
        <f t="shared" si="129"/>
        <v>34.804529730672947</v>
      </c>
      <c r="BA299" s="647">
        <f t="shared" si="126"/>
        <v>0.98761611136130933</v>
      </c>
      <c r="BB299" s="642">
        <v>43385</v>
      </c>
      <c r="BC299" s="11">
        <v>43385</v>
      </c>
      <c r="BD299" s="292">
        <f>[2]!FeuilCaduc*(1-Persistant)+Persistant</f>
        <v>1</v>
      </c>
      <c r="BE299" s="293">
        <f>[2]!CroissVégét</f>
        <v>0.99423611258398381</v>
      </c>
      <c r="BF299" s="842">
        <f>1+[2]!Salcycl*Ksac</f>
        <v>1.0725384391409973</v>
      </c>
      <c r="BH299" s="1105">
        <f t="shared" si="127"/>
        <v>1.674310420813175E-2</v>
      </c>
      <c r="BI299" s="11">
        <v>44481</v>
      </c>
      <c r="BJ299" s="742">
        <v>3.4683345294693139E-3</v>
      </c>
      <c r="BK299" s="742">
        <v>8.2584890335804986E-3</v>
      </c>
      <c r="BL299" s="742">
        <v>1.4826936936886281E-2</v>
      </c>
      <c r="BM299" s="742">
        <v>2.4418516437440353E-2</v>
      </c>
      <c r="BN299" s="742">
        <v>3.7920673037087571E-2</v>
      </c>
      <c r="BO299" s="743">
        <v>7.0426829898837459E-2</v>
      </c>
      <c r="BP299" s="742">
        <v>0.13504244781396205</v>
      </c>
      <c r="BQ299" s="742">
        <v>0.22353808890361748</v>
      </c>
      <c r="BR299" s="742">
        <v>0.3204788576175216</v>
      </c>
      <c r="BS299" s="742">
        <v>0.42163879016316946</v>
      </c>
      <c r="BT299" s="742">
        <v>0.53364523115862461</v>
      </c>
      <c r="BW299" s="1187">
        <f>'2018'!R\Max</f>
        <v>0.895005155593246</v>
      </c>
      <c r="BX299" s="1185">
        <f>'2019'!R\Max</f>
        <v>0.49134024017301442</v>
      </c>
      <c r="BY299" s="1185">
        <f>'2020'!R\Max</f>
        <v>0.48541660819681332</v>
      </c>
      <c r="BZ299" s="1185">
        <f>'2021'!R\Max</f>
        <v>0.98761611136130933</v>
      </c>
      <c r="CA299" s="1185">
        <f>'2022'!R\Max</f>
        <v>0.8061893123463918</v>
      </c>
      <c r="CB299" s="1185">
        <f>'2023'!R\Max</f>
        <v>0.80293879182436589</v>
      </c>
      <c r="CC299" s="1185">
        <f>'2024'!R\Max</f>
        <v>0.79912158458997751</v>
      </c>
      <c r="CD299" s="1185">
        <f>'2025'!R\Max</f>
        <v>0.81152279463155197</v>
      </c>
      <c r="CE299" s="1185">
        <f>'2026'!R\Max</f>
        <v>0.81101627954172406</v>
      </c>
      <c r="CF299" s="1186">
        <f>'2027'!R\Max</f>
        <v>0.81019335159637662</v>
      </c>
    </row>
    <row r="300" spans="1:84" s="6" customFormat="1" ht="11.25" x14ac:dyDescent="0.2">
      <c r="A300" s="11">
        <v>43386</v>
      </c>
      <c r="B300" s="382">
        <f>'2023'!Maxi_hp</f>
        <v>32.914868339815627</v>
      </c>
      <c r="C300" s="85">
        <f>'2023'!An_max</f>
        <v>2021</v>
      </c>
      <c r="D300" s="1132"/>
      <c r="E300" s="709"/>
      <c r="F300" s="13">
        <f t="shared" si="128"/>
        <v>21</v>
      </c>
      <c r="G300" s="13">
        <f t="shared" si="112"/>
        <v>22</v>
      </c>
      <c r="H300" s="175">
        <f t="shared" si="113"/>
        <v>43374</v>
      </c>
      <c r="I300" s="772">
        <f t="shared" si="114"/>
        <v>0.8571428571428571</v>
      </c>
      <c r="J300" s="763">
        <f t="shared" si="115"/>
        <v>34.23866414131065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P300" s="13">
        <f t="shared" si="116"/>
        <v>11</v>
      </c>
      <c r="AQ300" s="13">
        <f t="shared" si="117"/>
        <v>12</v>
      </c>
      <c r="AR300" s="175">
        <f t="shared" si="118"/>
        <v>43360</v>
      </c>
      <c r="AS300" s="772">
        <f t="shared" si="119"/>
        <v>0.9285714285714286</v>
      </c>
      <c r="AT300" s="789">
        <f t="shared" si="120"/>
        <v>34.21479245647788</v>
      </c>
      <c r="AU300" s="13">
        <f t="shared" si="121"/>
        <v>11</v>
      </c>
      <c r="AV300" s="13">
        <f t="shared" si="122"/>
        <v>12</v>
      </c>
      <c r="AW300" s="175">
        <f t="shared" si="123"/>
        <v>43374</v>
      </c>
      <c r="AX300" s="772">
        <f t="shared" si="124"/>
        <v>0.42857142857142855</v>
      </c>
      <c r="AY300" s="789">
        <f t="shared" si="125"/>
        <v>34.538916034198238</v>
      </c>
      <c r="AZ300" s="763">
        <f t="shared" si="129"/>
        <v>34.376854245338059</v>
      </c>
      <c r="BA300" s="647">
        <f t="shared" si="126"/>
        <v>0.96133623099220744</v>
      </c>
      <c r="BB300" s="642">
        <v>43386</v>
      </c>
      <c r="BC300" s="11">
        <v>43386</v>
      </c>
      <c r="BD300" s="292">
        <f>[2]!FeuilCaduc*(1-Persistant)+Persistant</f>
        <v>1</v>
      </c>
      <c r="BE300" s="293">
        <f>[2]!CroissVégét</f>
        <v>0.99448008524317211</v>
      </c>
      <c r="BF300" s="842">
        <f>1+[2]!Salcycl*Ksac</f>
        <v>1.0714300123699418</v>
      </c>
      <c r="BH300" s="1105">
        <f t="shared" si="127"/>
        <v>1.6486315969117149E-2</v>
      </c>
      <c r="BI300" s="11">
        <v>44482</v>
      </c>
      <c r="BJ300" s="742">
        <v>3.4244410110528195E-3</v>
      </c>
      <c r="BK300" s="742">
        <v>8.1439516984034167E-3</v>
      </c>
      <c r="BL300" s="742">
        <v>1.4603400885888239E-2</v>
      </c>
      <c r="BM300" s="742">
        <v>2.4028533015320628E-2</v>
      </c>
      <c r="BN300" s="742">
        <v>3.7702334571900788E-2</v>
      </c>
      <c r="BO300" s="743">
        <v>7.2254369545884503E-2</v>
      </c>
      <c r="BP300" s="742">
        <v>0.13910736466291199</v>
      </c>
      <c r="BQ300" s="742">
        <v>0.22869485618018637</v>
      </c>
      <c r="BR300" s="742">
        <v>0.32559994220245198</v>
      </c>
      <c r="BS300" s="742">
        <v>0.42744495327312265</v>
      </c>
      <c r="BT300" s="742">
        <v>0.54181204588973964</v>
      </c>
      <c r="BW300" s="1187">
        <f>'2018'!R\Max</f>
        <v>0.69676754772954397</v>
      </c>
      <c r="BX300" s="1185">
        <f>'2019'!R\Max</f>
        <v>0.92513041093485404</v>
      </c>
      <c r="BY300" s="1185">
        <f>'2020'!R\Max</f>
        <v>0.70392463816698969</v>
      </c>
      <c r="BZ300" s="1185">
        <f>'2021'!R\Max</f>
        <v>0.96133623099220744</v>
      </c>
      <c r="CA300" s="1185">
        <f>'2022'!R\Max</f>
        <v>0.67026408108424373</v>
      </c>
      <c r="CB300" s="1185">
        <f>'2023'!R\Max</f>
        <v>0.6655213219137911</v>
      </c>
      <c r="CC300" s="1185">
        <f>'2024'!R\Max</f>
        <v>0.66003692109810541</v>
      </c>
      <c r="CD300" s="1185">
        <f>'2025'!R\Max</f>
        <v>0.67825258744335282</v>
      </c>
      <c r="CE300" s="1185">
        <f>'2026'!R\Max</f>
        <v>0.67751500328048375</v>
      </c>
      <c r="CF300" s="1186">
        <f>'2027'!R\Max</f>
        <v>0.67627724603782069</v>
      </c>
    </row>
    <row r="301" spans="1:84" s="6" customFormat="1" ht="11.25" x14ac:dyDescent="0.2">
      <c r="A301" s="11">
        <v>43387</v>
      </c>
      <c r="B301" s="382">
        <f>'2023'!Maxi_hp</f>
        <v>34.821662172601158</v>
      </c>
      <c r="C301" s="85">
        <f>'2023'!An_max</f>
        <v>2021</v>
      </c>
      <c r="D301" s="1132"/>
      <c r="E301" s="709"/>
      <c r="F301" s="13">
        <f t="shared" si="128"/>
        <v>21</v>
      </c>
      <c r="G301" s="13">
        <f t="shared" si="112"/>
        <v>22</v>
      </c>
      <c r="H301" s="175">
        <f t="shared" si="113"/>
        <v>43374</v>
      </c>
      <c r="I301" s="772">
        <f t="shared" si="114"/>
        <v>0.9285714285714286</v>
      </c>
      <c r="J301" s="763">
        <f t="shared" si="115"/>
        <v>33.813458017891804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P301" s="13">
        <f t="shared" si="116"/>
        <v>11</v>
      </c>
      <c r="AQ301" s="13">
        <f t="shared" si="117"/>
        <v>12</v>
      </c>
      <c r="AR301" s="175">
        <f t="shared" si="118"/>
        <v>43360</v>
      </c>
      <c r="AS301" s="772">
        <f t="shared" si="119"/>
        <v>0.9642857142857143</v>
      </c>
      <c r="AT301" s="789">
        <f t="shared" si="120"/>
        <v>33.800978137845433</v>
      </c>
      <c r="AU301" s="13">
        <f t="shared" si="121"/>
        <v>11</v>
      </c>
      <c r="AV301" s="13">
        <f t="shared" si="122"/>
        <v>12</v>
      </c>
      <c r="AW301" s="175">
        <f t="shared" si="123"/>
        <v>43374</v>
      </c>
      <c r="AX301" s="772">
        <f t="shared" si="124"/>
        <v>0.4642857142857143</v>
      </c>
      <c r="AY301" s="789">
        <f t="shared" si="125"/>
        <v>34.10952247543527</v>
      </c>
      <c r="AZ301" s="763">
        <f t="shared" si="129"/>
        <v>33.955250306640352</v>
      </c>
      <c r="BA301" s="647">
        <f t="shared" si="126"/>
        <v>1.0298166533034236</v>
      </c>
      <c r="BB301" s="642">
        <v>43387</v>
      </c>
      <c r="BC301" s="11">
        <v>43387</v>
      </c>
      <c r="BD301" s="292">
        <f>[2]!FeuilCaduc*(1-Persistant)+Persistant</f>
        <v>1</v>
      </c>
      <c r="BE301" s="293">
        <f>[2]!CroissVégét</f>
        <v>0.99471434732473374</v>
      </c>
      <c r="BF301" s="842">
        <f>1+[2]!Salcycl*Ksac</f>
        <v>1.0702935400617797</v>
      </c>
      <c r="BH301" s="1105">
        <f t="shared" si="127"/>
        <v>1.6214261896629993E-2</v>
      </c>
      <c r="BI301" s="11">
        <v>44483</v>
      </c>
      <c r="BJ301" s="742">
        <v>3.3766600090733914E-3</v>
      </c>
      <c r="BK301" s="742">
        <v>8.0176852530969758E-3</v>
      </c>
      <c r="BL301" s="742">
        <v>1.4364769632499464E-2</v>
      </c>
      <c r="BM301" s="742">
        <v>2.3622600278744337E-2</v>
      </c>
      <c r="BN301" s="742">
        <v>3.7541457153584541E-2</v>
      </c>
      <c r="BO301" s="743">
        <v>7.4263362460762136E-2</v>
      </c>
      <c r="BP301" s="742">
        <v>0.14317809930553624</v>
      </c>
      <c r="BQ301" s="742">
        <v>0.23375852536349262</v>
      </c>
      <c r="BR301" s="742">
        <v>0.33061803151751484</v>
      </c>
      <c r="BS301" s="742">
        <v>0.43331586797942773</v>
      </c>
      <c r="BT301" s="742">
        <v>0.54993772712107036</v>
      </c>
      <c r="BW301" s="1187">
        <f>'2018'!R\Max</f>
        <v>0.91271261061294118</v>
      </c>
      <c r="BX301" s="1185">
        <f>'2019'!R\Max</f>
        <v>0.30658154311667291</v>
      </c>
      <c r="BY301" s="1185">
        <f>'2020'!R\Max</f>
        <v>0.64700717770457905</v>
      </c>
      <c r="BZ301" s="1185">
        <f>'2021'!R\Max</f>
        <v>1.0298166533034236</v>
      </c>
      <c r="CA301" s="1185">
        <f>'2022'!R\Max</f>
        <v>0.56739692457534951</v>
      </c>
      <c r="CB301" s="1185">
        <f>'2023'!R\Max</f>
        <v>0.56197198214093347</v>
      </c>
      <c r="CC301" s="1185">
        <f>'2024'!R\Max</f>
        <v>0.55578099731949382</v>
      </c>
      <c r="CD301" s="1185">
        <f>'2025'!R\Max</f>
        <v>0.57677665741106876</v>
      </c>
      <c r="CE301" s="1185">
        <f>'2026'!R\Max</f>
        <v>0.5759308086620526</v>
      </c>
      <c r="CF301" s="1186">
        <f>'2027'!R\Max</f>
        <v>0.57446726401275072</v>
      </c>
    </row>
    <row r="302" spans="1:84" s="6" customFormat="1" ht="11.25" x14ac:dyDescent="0.2">
      <c r="A302" s="11">
        <v>43388</v>
      </c>
      <c r="B302" s="382">
        <f>'2023'!Maxi_hp</f>
        <v>33.09419835540163</v>
      </c>
      <c r="C302" s="85">
        <f>'2023'!An_max</f>
        <v>2022</v>
      </c>
      <c r="D302" s="1132"/>
      <c r="E302" s="771">
        <f>AH$13/10</f>
        <v>33.398200000000003</v>
      </c>
      <c r="F302" s="13">
        <f t="shared" si="128"/>
        <v>23</v>
      </c>
      <c r="G302" s="13">
        <f t="shared" si="112"/>
        <v>22</v>
      </c>
      <c r="H302" s="175">
        <f t="shared" si="113"/>
        <v>43402</v>
      </c>
      <c r="I302" s="772">
        <f t="shared" si="114"/>
        <v>1</v>
      </c>
      <c r="J302" s="763">
        <f t="shared" si="115"/>
        <v>33.398200000822541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P302" s="13">
        <f t="shared" si="116"/>
        <v>13</v>
      </c>
      <c r="AQ302" s="13">
        <f t="shared" si="117"/>
        <v>12</v>
      </c>
      <c r="AR302" s="175">
        <f t="shared" si="118"/>
        <v>43416</v>
      </c>
      <c r="AS302" s="772">
        <f t="shared" si="119"/>
        <v>1</v>
      </c>
      <c r="AT302" s="789">
        <f t="shared" si="120"/>
        <v>33.398200000077487</v>
      </c>
      <c r="AU302" s="13">
        <f t="shared" si="121"/>
        <v>11</v>
      </c>
      <c r="AV302" s="13">
        <f t="shared" si="122"/>
        <v>12</v>
      </c>
      <c r="AW302" s="175">
        <f t="shared" si="123"/>
        <v>43374</v>
      </c>
      <c r="AX302" s="772">
        <f t="shared" si="124"/>
        <v>0.5</v>
      </c>
      <c r="AY302" s="789">
        <f t="shared" si="125"/>
        <v>33.682549999700861</v>
      </c>
      <c r="AZ302" s="763">
        <f t="shared" si="129"/>
        <v>33.540374999889174</v>
      </c>
      <c r="BA302" s="647">
        <f t="shared" si="126"/>
        <v>0.99089766378387389</v>
      </c>
      <c r="BB302" s="642">
        <v>43388</v>
      </c>
      <c r="BC302" s="11">
        <v>43388</v>
      </c>
      <c r="BD302" s="292">
        <f>[2]!FeuilCaduc*(1-Persistant)+Persistant</f>
        <v>1</v>
      </c>
      <c r="BE302" s="293">
        <f>[2]!CroissVégét</f>
        <v>0.99493928100346574</v>
      </c>
      <c r="BF302" s="842">
        <f>1+[2]!Salcycl*Ksac</f>
        <v>1.0691295878066698</v>
      </c>
      <c r="BH302" s="1105">
        <f t="shared" si="127"/>
        <v>1.5926902945763852E-2</v>
      </c>
      <c r="BI302" s="11">
        <v>44484</v>
      </c>
      <c r="BJ302" s="742">
        <v>3.3249822131205665E-3</v>
      </c>
      <c r="BK302" s="742">
        <v>7.8796638072422039E-3</v>
      </c>
      <c r="BL302" s="742">
        <v>1.4111006118052133E-2</v>
      </c>
      <c r="BM302" s="742">
        <v>2.3200671226714598E-2</v>
      </c>
      <c r="BN302" s="742">
        <v>3.743809097238588E-2</v>
      </c>
      <c r="BO302" s="743">
        <v>7.645399370015904E-2</v>
      </c>
      <c r="BP302" s="742">
        <v>0.14725447087076393</v>
      </c>
      <c r="BQ302" s="742">
        <v>0.23872865480092653</v>
      </c>
      <c r="BR302" s="742">
        <v>0.33553256386091568</v>
      </c>
      <c r="BS302" s="742">
        <v>0.43925111530778826</v>
      </c>
      <c r="BT302" s="742">
        <v>0.55802154524882108</v>
      </c>
      <c r="BW302" s="1187">
        <f>'2018'!R\Max</f>
        <v>0.33848191338055</v>
      </c>
      <c r="BX302" s="1185">
        <f>'2019'!R\Max</f>
        <v>0.83515372185087255</v>
      </c>
      <c r="BY302" s="1185">
        <f>'2020'!R\Max</f>
        <v>0.39350466129037265</v>
      </c>
      <c r="BZ302" s="1185">
        <f>'2021'!R\Max</f>
        <v>0.90902355323535344</v>
      </c>
      <c r="CA302" s="1185">
        <f>'2022'!R\Max</f>
        <v>0.99089766378387389</v>
      </c>
      <c r="CB302" s="1185">
        <f>'2023'!R\Max</f>
        <v>0.99069032858433215</v>
      </c>
      <c r="CC302" s="1185">
        <f>'2024'!R\Max</f>
        <v>0.99045056830187939</v>
      </c>
      <c r="CD302" s="1185">
        <f>'2025'!R\Max</f>
        <v>0.991254296716093</v>
      </c>
      <c r="CE302" s="1185">
        <f>'2026'!R\Max</f>
        <v>0.99122331473316005</v>
      </c>
      <c r="CF302" s="1186">
        <f>'2027'!R\Max</f>
        <v>0.99116788395650601</v>
      </c>
    </row>
    <row r="303" spans="1:84" s="6" customFormat="1" ht="11.25" x14ac:dyDescent="0.2">
      <c r="A303" s="11">
        <v>43389</v>
      </c>
      <c r="B303" s="382">
        <f>'2023'!Maxi_hp</f>
        <v>31.863522294539795</v>
      </c>
      <c r="C303" s="85">
        <f>'2023'!An_max</f>
        <v>2021</v>
      </c>
      <c r="D303" s="1132"/>
      <c r="E303" s="709"/>
      <c r="F303" s="13">
        <f t="shared" si="128"/>
        <v>23</v>
      </c>
      <c r="G303" s="13">
        <f t="shared" si="112"/>
        <v>22</v>
      </c>
      <c r="H303" s="175">
        <f t="shared" si="113"/>
        <v>43402</v>
      </c>
      <c r="I303" s="772">
        <f t="shared" si="114"/>
        <v>0.9285714285714286</v>
      </c>
      <c r="J303" s="763">
        <f t="shared" si="115"/>
        <v>32.991929192149215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P303" s="13">
        <f t="shared" si="116"/>
        <v>13</v>
      </c>
      <c r="AQ303" s="13">
        <f t="shared" si="117"/>
        <v>12</v>
      </c>
      <c r="AR303" s="175">
        <f t="shared" si="118"/>
        <v>43416</v>
      </c>
      <c r="AS303" s="772">
        <f t="shared" si="119"/>
        <v>0.9642857142857143</v>
      </c>
      <c r="AT303" s="789">
        <f t="shared" si="120"/>
        <v>33.00262623003551</v>
      </c>
      <c r="AU303" s="13">
        <f t="shared" si="121"/>
        <v>11</v>
      </c>
      <c r="AV303" s="13">
        <f t="shared" si="122"/>
        <v>12</v>
      </c>
      <c r="AW303" s="175">
        <f t="shared" si="123"/>
        <v>43374</v>
      </c>
      <c r="AX303" s="772">
        <f t="shared" si="124"/>
        <v>0.5357142857142857</v>
      </c>
      <c r="AY303" s="789">
        <f t="shared" si="125"/>
        <v>33.258479053836446</v>
      </c>
      <c r="AZ303" s="763">
        <f t="shared" si="129"/>
        <v>33.130552641935978</v>
      </c>
      <c r="BA303" s="647">
        <f t="shared" si="126"/>
        <v>0.96579748668113852</v>
      </c>
      <c r="BB303" s="642">
        <v>43389</v>
      </c>
      <c r="BC303" s="11">
        <v>43389</v>
      </c>
      <c r="BD303" s="292">
        <f>[2]!FeuilCaduc*(1-Persistant)+Persistant</f>
        <v>1</v>
      </c>
      <c r="BE303" s="293">
        <f>[2]!CroissVégét</f>
        <v>0.99515525375273173</v>
      </c>
      <c r="BF303" s="842">
        <f>1+[2]!Salcycl*Ksac</f>
        <v>1.0679388265951544</v>
      </c>
      <c r="BH303" s="1105">
        <f t="shared" si="127"/>
        <v>1.5624201601228052E-2</v>
      </c>
      <c r="BI303" s="11">
        <v>44485</v>
      </c>
      <c r="BJ303" s="742">
        <v>3.269398607167543E-3</v>
      </c>
      <c r="BK303" s="742">
        <v>7.7298622759998789E-3</v>
      </c>
      <c r="BL303" s="742">
        <v>1.3842074660605103E-2</v>
      </c>
      <c r="BM303" s="742">
        <v>2.2762701000263785E-2</v>
      </c>
      <c r="BN303" s="742">
        <v>3.739228583123811E-2</v>
      </c>
      <c r="BO303" s="743">
        <v>7.8826436056175272E-2</v>
      </c>
      <c r="BP303" s="742">
        <v>0.15133628098817545</v>
      </c>
      <c r="BQ303" s="742">
        <v>0.24360478323853099</v>
      </c>
      <c r="BR303" s="742">
        <v>0.34034295854401336</v>
      </c>
      <c r="BS303" s="742">
        <v>0.4452502504013145</v>
      </c>
      <c r="BT303" s="742">
        <v>0.56606273739817081</v>
      </c>
      <c r="BW303" s="1187">
        <f>'2018'!R\Max</f>
        <v>0.61887398645714831</v>
      </c>
      <c r="BX303" s="1185">
        <f>'2019'!R\Max</f>
        <v>0.90602615926137775</v>
      </c>
      <c r="BY303" s="1185">
        <f>'2020'!R\Max</f>
        <v>0.5484233998660546</v>
      </c>
      <c r="BZ303" s="1185">
        <f>'2021'!R\Max</f>
        <v>0.96579748668113852</v>
      </c>
      <c r="CA303" s="1185">
        <f>'2022'!R\Max</f>
        <v>0.93156419449974581</v>
      </c>
      <c r="CB303" s="1185">
        <f>'2023'!R\Max</f>
        <v>0.930059259563361</v>
      </c>
      <c r="CC303" s="1185">
        <f>'2024'!R\Max</f>
        <v>0.92833495096940144</v>
      </c>
      <c r="CD303" s="1185">
        <f>'2025'!R\Max</f>
        <v>0.93421899419640086</v>
      </c>
      <c r="CE303" s="1185">
        <f>'2026'!R\Max</f>
        <v>0.93399195016361769</v>
      </c>
      <c r="CF303" s="1186">
        <f>'2027'!R\Max</f>
        <v>0.93357478475061406</v>
      </c>
    </row>
    <row r="304" spans="1:84" s="6" customFormat="1" ht="11.25" x14ac:dyDescent="0.2">
      <c r="A304" s="11">
        <v>43390</v>
      </c>
      <c r="B304" s="382">
        <f>'2023'!Maxi_hp</f>
        <v>29.854260667658959</v>
      </c>
      <c r="C304" s="85">
        <f>'2023'!An_max</f>
        <v>2021</v>
      </c>
      <c r="D304" s="1132"/>
      <c r="E304" s="709"/>
      <c r="F304" s="13">
        <f t="shared" si="128"/>
        <v>23</v>
      </c>
      <c r="G304" s="13">
        <f t="shared" si="112"/>
        <v>22</v>
      </c>
      <c r="H304" s="175">
        <f t="shared" si="113"/>
        <v>43402</v>
      </c>
      <c r="I304" s="772">
        <f t="shared" si="114"/>
        <v>0.8571428571428571</v>
      </c>
      <c r="J304" s="763">
        <f t="shared" si="115"/>
        <v>32.592704956446383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P304" s="13">
        <f t="shared" si="116"/>
        <v>13</v>
      </c>
      <c r="AQ304" s="13">
        <f t="shared" si="117"/>
        <v>12</v>
      </c>
      <c r="AR304" s="175">
        <f t="shared" si="118"/>
        <v>43416</v>
      </c>
      <c r="AS304" s="772">
        <f t="shared" si="119"/>
        <v>0.9285714285714286</v>
      </c>
      <c r="AT304" s="789">
        <f t="shared" si="120"/>
        <v>32.609963410400923</v>
      </c>
      <c r="AU304" s="13">
        <f t="shared" si="121"/>
        <v>11</v>
      </c>
      <c r="AV304" s="13">
        <f t="shared" si="122"/>
        <v>12</v>
      </c>
      <c r="AW304" s="175">
        <f t="shared" si="123"/>
        <v>43374</v>
      </c>
      <c r="AX304" s="772">
        <f t="shared" si="124"/>
        <v>0.5714285714285714</v>
      </c>
      <c r="AY304" s="789">
        <f t="shared" si="125"/>
        <v>32.837790087025077</v>
      </c>
      <c r="AZ304" s="763">
        <f t="shared" si="129"/>
        <v>32.723876748712996</v>
      </c>
      <c r="BA304" s="647">
        <f t="shared" si="126"/>
        <v>0.91597983989218434</v>
      </c>
      <c r="BB304" s="642">
        <v>43390</v>
      </c>
      <c r="BC304" s="11">
        <v>43390</v>
      </c>
      <c r="BD304" s="292">
        <f>[2]!FeuilCaduc*(1-Persistant)+Persistant</f>
        <v>1</v>
      </c>
      <c r="BE304" s="293">
        <f>[2]!CroissVégét</f>
        <v>0.99536261888322142</v>
      </c>
      <c r="BF304" s="842">
        <f>1+[2]!Salcycl*Ksac</f>
        <v>1.0667220338282546</v>
      </c>
      <c r="BH304" s="1105">
        <f t="shared" si="127"/>
        <v>1.5311192151661653E-2</v>
      </c>
      <c r="BI304" s="11">
        <v>44486</v>
      </c>
      <c r="BJ304" s="742">
        <v>3.2076076696254756E-3</v>
      </c>
      <c r="BK304" s="742">
        <v>7.5681782561750248E-3</v>
      </c>
      <c r="BL304" s="742">
        <v>1.3558387423733853E-2</v>
      </c>
      <c r="BM304" s="742">
        <v>2.2332238302597358E-2</v>
      </c>
      <c r="BN304" s="742">
        <v>3.7554774751676748E-2</v>
      </c>
      <c r="BO304" s="743">
        <v>8.1414832765682912E-2</v>
      </c>
      <c r="BP304" s="742">
        <v>0.1554781803404319</v>
      </c>
      <c r="BQ304" s="742">
        <v>0.24840034981437739</v>
      </c>
      <c r="BR304" s="742">
        <v>0.34519617475227871</v>
      </c>
      <c r="BS304" s="742">
        <v>0.45147342809144164</v>
      </c>
      <c r="BT304" s="742">
        <v>0.57423319822468932</v>
      </c>
      <c r="BW304" s="1187">
        <f>'2018'!R\Max</f>
        <v>0.66106382527540497</v>
      </c>
      <c r="BX304" s="1185">
        <f>'2019'!R\Max</f>
        <v>0.58400410781985634</v>
      </c>
      <c r="BY304" s="1185">
        <f>'2020'!R\Max</f>
        <v>0.3467146057715455</v>
      </c>
      <c r="BZ304" s="1185">
        <f>'2021'!R\Max</f>
        <v>0.91597983989218434</v>
      </c>
      <c r="CA304" s="1185">
        <f>'2022'!R\Max</f>
        <v>0.59213391938354831</v>
      </c>
      <c r="CB304" s="1185">
        <f>'2023'!R\Max</f>
        <v>0.58633081240399165</v>
      </c>
      <c r="CC304" s="1185">
        <f>'2024'!R\Max</f>
        <v>0.57983287624650515</v>
      </c>
      <c r="CD304" s="1185">
        <f>'2025'!R\Max</f>
        <v>0.60285440382033684</v>
      </c>
      <c r="CE304" s="1185">
        <f>'2026'!R\Max</f>
        <v>0.60193040136433085</v>
      </c>
      <c r="CF304" s="1186">
        <f>'2027'!R\Max</f>
        <v>0.60020725011192066</v>
      </c>
    </row>
    <row r="305" spans="1:84" s="6" customFormat="1" ht="11.25" x14ac:dyDescent="0.2">
      <c r="A305" s="11">
        <v>43391</v>
      </c>
      <c r="B305" s="382">
        <f>'2023'!Maxi_hp</f>
        <v>32.364301744109355</v>
      </c>
      <c r="C305" s="85">
        <f>'2023'!An_max</f>
        <v>2020</v>
      </c>
      <c r="D305" s="1132"/>
      <c r="E305" s="709"/>
      <c r="F305" s="13">
        <f t="shared" si="128"/>
        <v>23</v>
      </c>
      <c r="G305" s="13">
        <f t="shared" si="112"/>
        <v>22</v>
      </c>
      <c r="H305" s="175">
        <f t="shared" si="113"/>
        <v>43402</v>
      </c>
      <c r="I305" s="772">
        <f t="shared" si="114"/>
        <v>0.7857142857142857</v>
      </c>
      <c r="J305" s="763">
        <f t="shared" si="115"/>
        <v>32.200188157175269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P305" s="13">
        <f t="shared" si="116"/>
        <v>13</v>
      </c>
      <c r="AQ305" s="13">
        <f t="shared" si="117"/>
        <v>12</v>
      </c>
      <c r="AR305" s="175">
        <f t="shared" si="118"/>
        <v>43416</v>
      </c>
      <c r="AS305" s="772">
        <f t="shared" si="119"/>
        <v>0.8928571428571429</v>
      </c>
      <c r="AT305" s="789">
        <f t="shared" si="120"/>
        <v>32.220352851359976</v>
      </c>
      <c r="AU305" s="13">
        <f t="shared" si="121"/>
        <v>11</v>
      </c>
      <c r="AV305" s="13">
        <f t="shared" si="122"/>
        <v>12</v>
      </c>
      <c r="AW305" s="175">
        <f t="shared" si="123"/>
        <v>43374</v>
      </c>
      <c r="AX305" s="772">
        <f t="shared" si="124"/>
        <v>0.6071428571428571</v>
      </c>
      <c r="AY305" s="789">
        <f t="shared" si="125"/>
        <v>32.42096354779455</v>
      </c>
      <c r="AZ305" s="763">
        <f t="shared" si="129"/>
        <v>32.320658199577267</v>
      </c>
      <c r="BA305" s="647">
        <f t="shared" si="126"/>
        <v>1.0050966654645934</v>
      </c>
      <c r="BB305" s="642">
        <v>43391</v>
      </c>
      <c r="BC305" s="11">
        <v>43391</v>
      </c>
      <c r="BD305" s="292">
        <f>[2]!FeuilCaduc*(1-Persistant)+Persistant</f>
        <v>1</v>
      </c>
      <c r="BE305" s="293">
        <f>[2]!CroissVégét</f>
        <v>0.99556171606410238</v>
      </c>
      <c r="BF305" s="842">
        <f>1+[2]!Salcycl*Ksac</f>
        <v>1.0654800936892384</v>
      </c>
      <c r="BH305" s="1105">
        <f t="shared" si="127"/>
        <v>1.4997653950686743E-2</v>
      </c>
      <c r="BI305" s="11">
        <v>44487</v>
      </c>
      <c r="BJ305" s="742">
        <v>3.1382667857174935E-3</v>
      </c>
      <c r="BK305" s="742">
        <v>7.4000527957124298E-3</v>
      </c>
      <c r="BL305" s="742">
        <v>1.3269354717199644E-2</v>
      </c>
      <c r="BM305" s="742">
        <v>2.1920540731854499E-2</v>
      </c>
      <c r="BN305" s="742">
        <v>3.7938859946713942E-2</v>
      </c>
      <c r="BO305" s="743">
        <v>8.4106796875869305E-2</v>
      </c>
      <c r="BP305" s="742">
        <v>0.15962047756279535</v>
      </c>
      <c r="BQ305" s="742">
        <v>0.25317938134509488</v>
      </c>
      <c r="BR305" s="742">
        <v>0.35019695824672464</v>
      </c>
      <c r="BS305" s="742">
        <v>0.45798588408719582</v>
      </c>
      <c r="BT305" s="742">
        <v>0.58258546424282998</v>
      </c>
      <c r="BW305" s="1187">
        <f>'2018'!R\Max</f>
        <v>0.3073023080362563</v>
      </c>
      <c r="BX305" s="1185">
        <f>'2019'!R\Max</f>
        <v>0.45943641511490435</v>
      </c>
      <c r="BY305" s="1185">
        <f>'2020'!R\Max</f>
        <v>1.0050966654645934</v>
      </c>
      <c r="BZ305" s="1185">
        <f>'2021'!R\Max</f>
        <v>0.96782194195415638</v>
      </c>
      <c r="CA305" s="1185">
        <f>'2022'!R\Max</f>
        <v>0.95367928074564945</v>
      </c>
      <c r="CB305" s="1185">
        <f>'2023'!R\Max</f>
        <v>0.95258129846704054</v>
      </c>
      <c r="CC305" s="1185">
        <f>'2024'!R\Max</f>
        <v>0.95133462894153664</v>
      </c>
      <c r="CD305" s="1185">
        <f>'2025'!R\Max</f>
        <v>0.95570331352990823</v>
      </c>
      <c r="CE305" s="1185">
        <f>'2026'!R\Max</f>
        <v>0.95553038018807079</v>
      </c>
      <c r="CF305" s="1186">
        <f>'2027'!R\Max</f>
        <v>0.95520380626909374</v>
      </c>
    </row>
    <row r="306" spans="1:84" s="6" customFormat="1" ht="11.25" x14ac:dyDescent="0.2">
      <c r="A306" s="11">
        <v>43392</v>
      </c>
      <c r="B306" s="382">
        <f>'2023'!Maxi_hp</f>
        <v>30.618334526163864</v>
      </c>
      <c r="C306" s="85">
        <f>'2023'!An_max</f>
        <v>2020</v>
      </c>
      <c r="D306" s="1132"/>
      <c r="E306" s="709"/>
      <c r="F306" s="13">
        <f t="shared" si="128"/>
        <v>23</v>
      </c>
      <c r="G306" s="13">
        <f t="shared" si="112"/>
        <v>22</v>
      </c>
      <c r="H306" s="175">
        <f t="shared" si="113"/>
        <v>43402</v>
      </c>
      <c r="I306" s="772">
        <f t="shared" si="114"/>
        <v>0.7142857142857143</v>
      </c>
      <c r="J306" s="763">
        <f t="shared" si="115"/>
        <v>31.814039649920801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P306" s="13">
        <f t="shared" si="116"/>
        <v>13</v>
      </c>
      <c r="AQ306" s="13">
        <f t="shared" si="117"/>
        <v>12</v>
      </c>
      <c r="AR306" s="175">
        <f t="shared" si="118"/>
        <v>43416</v>
      </c>
      <c r="AS306" s="772">
        <f t="shared" si="119"/>
        <v>0.8571428571428571</v>
      </c>
      <c r="AT306" s="789">
        <f t="shared" si="120"/>
        <v>31.833935860118697</v>
      </c>
      <c r="AU306" s="13">
        <f t="shared" si="121"/>
        <v>11</v>
      </c>
      <c r="AV306" s="13">
        <f t="shared" si="122"/>
        <v>12</v>
      </c>
      <c r="AW306" s="175">
        <f t="shared" si="123"/>
        <v>43374</v>
      </c>
      <c r="AX306" s="772">
        <f t="shared" si="124"/>
        <v>0.6428571428571429</v>
      </c>
      <c r="AY306" s="789">
        <f t="shared" si="125"/>
        <v>32.008479882903131</v>
      </c>
      <c r="AZ306" s="763">
        <f t="shared" si="129"/>
        <v>31.921207871510916</v>
      </c>
      <c r="BA306" s="647">
        <f t="shared" si="126"/>
        <v>0.96241580330840149</v>
      </c>
      <c r="BB306" s="642">
        <v>43392</v>
      </c>
      <c r="BC306" s="11">
        <v>43392</v>
      </c>
      <c r="BD306" s="292">
        <f>[2]!FeuilCaduc*(1-Persistant)+Persistant</f>
        <v>1</v>
      </c>
      <c r="BE306" s="293">
        <f>[2]!CroissVégét</f>
        <v>0.99575287182696259</v>
      </c>
      <c r="BF306" s="842">
        <f>1+[2]!Salcycl*Ksac</f>
        <v>1.0642139968557469</v>
      </c>
      <c r="BH306" s="1105">
        <f t="shared" si="127"/>
        <v>1.4683576904153312E-2</v>
      </c>
      <c r="BI306" s="11">
        <v>44488</v>
      </c>
      <c r="BJ306" s="742">
        <v>3.0613627730632447E-3</v>
      </c>
      <c r="BK306" s="742">
        <v>7.2254719386490194E-3</v>
      </c>
      <c r="BL306" s="742">
        <v>1.2974960548987722E-2</v>
      </c>
      <c r="BM306" s="742">
        <v>2.1527621818411041E-2</v>
      </c>
      <c r="BN306" s="742">
        <v>3.8544824736005866E-2</v>
      </c>
      <c r="BO306" s="743">
        <v>8.6902335855071525E-2</v>
      </c>
      <c r="BP306" s="742">
        <v>0.16376291358630909</v>
      </c>
      <c r="BQ306" s="742">
        <v>0.25794147966146735</v>
      </c>
      <c r="BR306" s="742">
        <v>0.35534504831774805</v>
      </c>
      <c r="BS306" s="742">
        <v>0.46478742235005882</v>
      </c>
      <c r="BT306" s="742">
        <v>0.59111900557231634</v>
      </c>
      <c r="BW306" s="1187">
        <f>'2018'!R\Max</f>
        <v>0.67356171087393912</v>
      </c>
      <c r="BX306" s="1185">
        <f>'2019'!R\Max</f>
        <v>0.83502094333763444</v>
      </c>
      <c r="BY306" s="1185">
        <f>'2020'!R\Max</f>
        <v>0.96241580330840149</v>
      </c>
      <c r="BZ306" s="1185">
        <f>'2021'!R\Max</f>
        <v>0.9357730123350062</v>
      </c>
      <c r="CA306" s="1185">
        <f>'2022'!R\Max</f>
        <v>0.51083573168908314</v>
      </c>
      <c r="CB306" s="1185">
        <f>'2023'!R\Max</f>
        <v>0.50454293924357096</v>
      </c>
      <c r="CC306" s="1185">
        <f>'2024'!R\Max</f>
        <v>0.49759254022674521</v>
      </c>
      <c r="CD306" s="1185">
        <f>'2025'!R\Max</f>
        <v>0.52308952819231969</v>
      </c>
      <c r="CE306" s="1185">
        <f>'2026'!R\Max</f>
        <v>0.52200445151418695</v>
      </c>
      <c r="CF306" s="1186">
        <f>'2027'!R\Max</f>
        <v>0.51996671757002377</v>
      </c>
    </row>
    <row r="307" spans="1:84" s="6" customFormat="1" ht="11.25" x14ac:dyDescent="0.2">
      <c r="A307" s="11">
        <v>43393</v>
      </c>
      <c r="B307" s="382">
        <f>'2023'!Maxi_hp</f>
        <v>26.917739526991838</v>
      </c>
      <c r="C307" s="85">
        <f>'2023'!An_max</f>
        <v>2020</v>
      </c>
      <c r="D307" s="1132"/>
      <c r="E307" s="709"/>
      <c r="F307" s="13">
        <f t="shared" si="128"/>
        <v>23</v>
      </c>
      <c r="G307" s="13">
        <f t="shared" si="112"/>
        <v>22</v>
      </c>
      <c r="H307" s="175">
        <f t="shared" si="113"/>
        <v>43402</v>
      </c>
      <c r="I307" s="772">
        <f t="shared" si="114"/>
        <v>0.6428571428571429</v>
      </c>
      <c r="J307" s="763">
        <f t="shared" si="115"/>
        <v>31.433920298623185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P307" s="13">
        <f t="shared" si="116"/>
        <v>13</v>
      </c>
      <c r="AQ307" s="13">
        <f t="shared" si="117"/>
        <v>12</v>
      </c>
      <c r="AR307" s="175">
        <f t="shared" si="118"/>
        <v>43416</v>
      </c>
      <c r="AS307" s="772">
        <f t="shared" si="119"/>
        <v>0.8214285714285714</v>
      </c>
      <c r="AT307" s="789">
        <f t="shared" si="120"/>
        <v>31.450853743563805</v>
      </c>
      <c r="AU307" s="13">
        <f t="shared" si="121"/>
        <v>11</v>
      </c>
      <c r="AV307" s="13">
        <f t="shared" si="122"/>
        <v>12</v>
      </c>
      <c r="AW307" s="175">
        <f t="shared" si="123"/>
        <v>43374</v>
      </c>
      <c r="AX307" s="772">
        <f t="shared" si="124"/>
        <v>0.6785714285714286</v>
      </c>
      <c r="AY307" s="789">
        <f t="shared" si="125"/>
        <v>31.600819542012839</v>
      </c>
      <c r="AZ307" s="763">
        <f t="shared" si="129"/>
        <v>31.52583664278832</v>
      </c>
      <c r="BA307" s="647">
        <f t="shared" si="126"/>
        <v>0.85632779084735555</v>
      </c>
      <c r="BB307" s="642">
        <v>43393</v>
      </c>
      <c r="BC307" s="11">
        <v>43393</v>
      </c>
      <c r="BD307" s="292">
        <f>[2]!FeuilCaduc*(1-Persistant)+Persistant</f>
        <v>1</v>
      </c>
      <c r="BE307" s="293">
        <f>[2]!CroissVégét</f>
        <v>0.99593640005294937</v>
      </c>
      <c r="BF307" s="842">
        <f>1+[2]!Salcycl*Ksac</f>
        <v>1.062924839536084</v>
      </c>
      <c r="BH307" s="1105">
        <f t="shared" si="127"/>
        <v>1.436895232265244E-2</v>
      </c>
      <c r="BI307" s="11">
        <v>44489</v>
      </c>
      <c r="BJ307" s="742">
        <v>2.9768831052010922E-3</v>
      </c>
      <c r="BK307" s="742">
        <v>7.0444227673788279E-3</v>
      </c>
      <c r="BL307" s="742">
        <v>1.2675190446864297E-2</v>
      </c>
      <c r="BM307" s="742">
        <v>2.1153496036579386E-2</v>
      </c>
      <c r="BN307" s="742">
        <v>3.9372940550515947E-2</v>
      </c>
      <c r="BO307" s="743">
        <v>8.9801440902558108E-2</v>
      </c>
      <c r="BP307" s="742">
        <v>0.1679052117548239</v>
      </c>
      <c r="BQ307" s="742">
        <v>0.26268622722211071</v>
      </c>
      <c r="BR307" s="742">
        <v>0.36064015647793862</v>
      </c>
      <c r="BS307" s="742">
        <v>0.47187780615578329</v>
      </c>
      <c r="BT307" s="742">
        <v>0.59983324894058321</v>
      </c>
      <c r="BW307" s="1187">
        <f>'2018'!R\Max</f>
        <v>0.40224244434819428</v>
      </c>
      <c r="BX307" s="1185">
        <f>'2019'!R\Max</f>
        <v>0.35953299898426999</v>
      </c>
      <c r="BY307" s="1185">
        <f>'2020'!R\Max</f>
        <v>0.85632779084735555</v>
      </c>
      <c r="BZ307" s="1185">
        <f>'2021'!R\Max</f>
        <v>0.76169203424312415</v>
      </c>
      <c r="CA307" s="1185">
        <f>'2022'!R\Max</f>
        <v>0.28271643362614013</v>
      </c>
      <c r="CB307" s="1185">
        <f>'2023'!R\Max</f>
        <v>0.27756346808512916</v>
      </c>
      <c r="CC307" s="1185">
        <f>'2024'!R\Max</f>
        <v>0.27195971657482848</v>
      </c>
      <c r="CD307" s="1185">
        <f>'2025'!R\Max</f>
        <v>0.29316248252771582</v>
      </c>
      <c r="CE307" s="1185">
        <f>'2026'!R\Max</f>
        <v>0.29220332049765263</v>
      </c>
      <c r="CF307" s="1186">
        <f>'2027'!R\Max</f>
        <v>0.29042177721853812</v>
      </c>
    </row>
    <row r="308" spans="1:84" s="6" customFormat="1" ht="11.25" x14ac:dyDescent="0.2">
      <c r="A308" s="11">
        <v>43394</v>
      </c>
      <c r="B308" s="382">
        <f>'2023'!Maxi_hp</f>
        <v>22.474187536944374</v>
      </c>
      <c r="C308" s="85">
        <f>'2023'!An_max</f>
        <v>2019</v>
      </c>
      <c r="D308" s="1132"/>
      <c r="E308" s="709"/>
      <c r="F308" s="13">
        <f t="shared" si="128"/>
        <v>23</v>
      </c>
      <c r="G308" s="13">
        <f t="shared" si="112"/>
        <v>22</v>
      </c>
      <c r="H308" s="175">
        <f t="shared" si="113"/>
        <v>43402</v>
      </c>
      <c r="I308" s="772">
        <f t="shared" si="114"/>
        <v>0.5714285714285714</v>
      </c>
      <c r="J308" s="763">
        <f t="shared" si="115"/>
        <v>31.059490962113649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P308" s="13">
        <f t="shared" si="116"/>
        <v>13</v>
      </c>
      <c r="AQ308" s="13">
        <f t="shared" si="117"/>
        <v>12</v>
      </c>
      <c r="AR308" s="175">
        <f t="shared" si="118"/>
        <v>43416</v>
      </c>
      <c r="AS308" s="772">
        <f t="shared" si="119"/>
        <v>0.7857142857142857</v>
      </c>
      <c r="AT308" s="789">
        <f t="shared" si="120"/>
        <v>31.071247812892711</v>
      </c>
      <c r="AU308" s="13">
        <f t="shared" si="121"/>
        <v>11</v>
      </c>
      <c r="AV308" s="13">
        <f t="shared" si="122"/>
        <v>12</v>
      </c>
      <c r="AW308" s="175">
        <f t="shared" si="123"/>
        <v>43374</v>
      </c>
      <c r="AX308" s="772">
        <f t="shared" si="124"/>
        <v>0.7142857142857143</v>
      </c>
      <c r="AY308" s="789">
        <f t="shared" si="125"/>
        <v>31.198462972816611</v>
      </c>
      <c r="AZ308" s="763">
        <f t="shared" si="129"/>
        <v>31.134855392854661</v>
      </c>
      <c r="BA308" s="647">
        <f t="shared" si="126"/>
        <v>0.72358518574429875</v>
      </c>
      <c r="BB308" s="642">
        <v>43394</v>
      </c>
      <c r="BC308" s="11">
        <v>43394</v>
      </c>
      <c r="BD308" s="292">
        <f>[2]!FeuilCaduc*(1-Persistant)+Persistant</f>
        <v>1</v>
      </c>
      <c r="BE308" s="293">
        <f>[2]!CroissVégét</f>
        <v>0.99611260244351996</v>
      </c>
      <c r="BF308" s="842">
        <f>1+[2]!Salcycl*Ksac</f>
        <v>1.0616138218188307</v>
      </c>
      <c r="BH308" s="1105">
        <f t="shared" si="127"/>
        <v>1.4053772922765736E-2</v>
      </c>
      <c r="BI308" s="11">
        <v>44490</v>
      </c>
      <c r="BJ308" s="742">
        <v>2.8848159929377509E-3</v>
      </c>
      <c r="BK308" s="742">
        <v>6.8568934705233583E-3</v>
      </c>
      <c r="BL308" s="742">
        <v>1.2370031512546967E-2</v>
      </c>
      <c r="BM308" s="742">
        <v>2.0798178593877375E-2</v>
      </c>
      <c r="BN308" s="742">
        <v>4.0423464517460116E-2</v>
      </c>
      <c r="BO308" s="743">
        <v>9.2804085842852935E-2</v>
      </c>
      <c r="BP308" s="742">
        <v>0.17204707785512108</v>
      </c>
      <c r="BQ308" s="742">
        <v>0.2674131873286919</v>
      </c>
      <c r="BR308" s="742">
        <v>0.36608196488328865</v>
      </c>
      <c r="BS308" s="742">
        <v>0.47925675497925685</v>
      </c>
      <c r="BT308" s="742">
        <v>0.60872757575121095</v>
      </c>
      <c r="BW308" s="1187">
        <f>'2018'!R\Max</f>
        <v>0.54036515956542597</v>
      </c>
      <c r="BX308" s="1185">
        <f>'2019'!R\Max</f>
        <v>0.72358518574429875</v>
      </c>
      <c r="BY308" s="1185">
        <f>'2020'!R\Max</f>
        <v>0.18225913071543642</v>
      </c>
      <c r="BZ308" s="1185">
        <f>'2021'!R\Max</f>
        <v>0.36288868047053091</v>
      </c>
      <c r="CA308" s="1185">
        <f>'2022'!R\Max</f>
        <v>0.50645686637169729</v>
      </c>
      <c r="CB308" s="1185">
        <f>'2023'!R\Max</f>
        <v>0.49986768933262038</v>
      </c>
      <c r="CC308" s="1185">
        <f>'2024'!R\Max</f>
        <v>0.49263806346915295</v>
      </c>
      <c r="CD308" s="1185">
        <f>'2025'!R\Max</f>
        <v>0.51989405439387493</v>
      </c>
      <c r="CE308" s="1185">
        <f>'2026'!R\Max</f>
        <v>0.51863161959240156</v>
      </c>
      <c r="CF308" s="1186">
        <f>'2027'!R\Max</f>
        <v>0.51631320783171952</v>
      </c>
    </row>
    <row r="309" spans="1:84" s="6" customFormat="1" ht="11.25" x14ac:dyDescent="0.2">
      <c r="A309" s="11">
        <v>43395</v>
      </c>
      <c r="B309" s="382">
        <f>'2023'!Maxi_hp</f>
        <v>28.583639581005087</v>
      </c>
      <c r="C309" s="85">
        <f>'2023'!An_max</f>
        <v>2022</v>
      </c>
      <c r="D309" s="1132"/>
      <c r="E309" s="709"/>
      <c r="F309" s="13">
        <f t="shared" si="128"/>
        <v>23</v>
      </c>
      <c r="G309" s="13">
        <f t="shared" si="112"/>
        <v>22</v>
      </c>
      <c r="H309" s="175">
        <f t="shared" si="113"/>
        <v>43402</v>
      </c>
      <c r="I309" s="772">
        <f t="shared" si="114"/>
        <v>0.5</v>
      </c>
      <c r="J309" s="763">
        <f t="shared" si="115"/>
        <v>30.690412500500678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P309" s="13">
        <f t="shared" si="116"/>
        <v>13</v>
      </c>
      <c r="AQ309" s="13">
        <f t="shared" si="117"/>
        <v>12</v>
      </c>
      <c r="AR309" s="175">
        <f t="shared" si="118"/>
        <v>43416</v>
      </c>
      <c r="AS309" s="772">
        <f t="shared" si="119"/>
        <v>0.75</v>
      </c>
      <c r="AT309" s="789">
        <f t="shared" si="120"/>
        <v>30.695259375125168</v>
      </c>
      <c r="AU309" s="13">
        <f t="shared" si="121"/>
        <v>11</v>
      </c>
      <c r="AV309" s="13">
        <f t="shared" si="122"/>
        <v>12</v>
      </c>
      <c r="AW309" s="175">
        <f t="shared" si="123"/>
        <v>43374</v>
      </c>
      <c r="AX309" s="772">
        <f t="shared" si="124"/>
        <v>0.75</v>
      </c>
      <c r="AY309" s="789">
        <f t="shared" si="125"/>
        <v>30.801890624756926</v>
      </c>
      <c r="AZ309" s="763">
        <f t="shared" si="129"/>
        <v>30.748574999941049</v>
      </c>
      <c r="BA309" s="647">
        <f t="shared" si="126"/>
        <v>0.93135403704784936</v>
      </c>
      <c r="BB309" s="642">
        <v>43395</v>
      </c>
      <c r="BC309" s="11">
        <v>43395</v>
      </c>
      <c r="BD309" s="292">
        <f>[2]!FeuilCaduc*(1-Persistant)+Persistant</f>
        <v>1</v>
      </c>
      <c r="BE309" s="293">
        <f>[2]!CroissVégét</f>
        <v>0.99628176897521181</v>
      </c>
      <c r="BF309" s="842">
        <f>1+[2]!Salcycl*Ksac</f>
        <v>1.0602822453304976</v>
      </c>
      <c r="BH309" s="1105">
        <f t="shared" si="127"/>
        <v>1.3738032828254639E-2</v>
      </c>
      <c r="BI309" s="11">
        <v>44491</v>
      </c>
      <c r="BJ309" s="742">
        <v>2.7851504656852448E-3</v>
      </c>
      <c r="BK309" s="742">
        <v>6.6628734107721556E-3</v>
      </c>
      <c r="BL309" s="742">
        <v>1.2059472475821786E-2</v>
      </c>
      <c r="BM309" s="742">
        <v>2.0461685220209743E-2</v>
      </c>
      <c r="BN309" s="742">
        <v>4.169663704510948E-2</v>
      </c>
      <c r="BO309" s="743">
        <v>9.5910226019751063E-2</v>
      </c>
      <c r="BP309" s="742">
        <v>0.1761882001464419</v>
      </c>
      <c r="BQ309" s="742">
        <v>0.27212190434019351</v>
      </c>
      <c r="BR309" s="742">
        <v>0.37167012475307543</v>
      </c>
      <c r="BS309" s="742">
        <v>0.48692394137763467</v>
      </c>
      <c r="BT309" s="742">
        <v>0.6178013201501551</v>
      </c>
      <c r="BW309" s="1187">
        <f>'2018'!R\Max</f>
        <v>0.66828739145010274</v>
      </c>
      <c r="BX309" s="1185">
        <f>'2019'!R\Max</f>
        <v>0.14163901052931221</v>
      </c>
      <c r="BY309" s="1185">
        <f>'2020'!R\Max</f>
        <v>0.73135514448079619</v>
      </c>
      <c r="BZ309" s="1185">
        <f>'2021'!R\Max</f>
        <v>0.43532451604187655</v>
      </c>
      <c r="CA309" s="1185">
        <f>'2022'!R\Max</f>
        <v>0.93135403704784936</v>
      </c>
      <c r="CB309" s="1185">
        <f>'2023'!R\Max</f>
        <v>0.92961151194270775</v>
      </c>
      <c r="CC309" s="1185">
        <f>'2024'!R\Max</f>
        <v>0.92765667654580797</v>
      </c>
      <c r="CD309" s="1185">
        <f>'2025'!R\Max</f>
        <v>0.93486315194257286</v>
      </c>
      <c r="CE309" s="1185">
        <f>'2026'!R\Max</f>
        <v>0.93452758571075101</v>
      </c>
      <c r="CF309" s="1186">
        <f>'2027'!R\Max</f>
        <v>0.9339192127960918</v>
      </c>
    </row>
    <row r="310" spans="1:84" s="6" customFormat="1" ht="11.25" x14ac:dyDescent="0.2">
      <c r="A310" s="11">
        <v>43396</v>
      </c>
      <c r="B310" s="382">
        <f>'2023'!Maxi_hp</f>
        <v>30.859930652265835</v>
      </c>
      <c r="C310" s="85">
        <f>'2023'!An_max</f>
        <v>2021</v>
      </c>
      <c r="D310" s="1132"/>
      <c r="E310" s="709"/>
      <c r="F310" s="13">
        <f t="shared" si="128"/>
        <v>23</v>
      </c>
      <c r="G310" s="13">
        <f t="shared" si="112"/>
        <v>22</v>
      </c>
      <c r="H310" s="175">
        <f t="shared" si="113"/>
        <v>43402</v>
      </c>
      <c r="I310" s="772">
        <f t="shared" si="114"/>
        <v>0.42857142857142855</v>
      </c>
      <c r="J310" s="763">
        <f t="shared" si="115"/>
        <v>30.326345772509065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P310" s="13">
        <f t="shared" si="116"/>
        <v>13</v>
      </c>
      <c r="AQ310" s="13">
        <f t="shared" si="117"/>
        <v>12</v>
      </c>
      <c r="AR310" s="175">
        <f t="shared" si="118"/>
        <v>43416</v>
      </c>
      <c r="AS310" s="772">
        <f t="shared" si="119"/>
        <v>0.7142857142857143</v>
      </c>
      <c r="AT310" s="789">
        <f t="shared" si="120"/>
        <v>30.323029737068072</v>
      </c>
      <c r="AU310" s="13">
        <f t="shared" si="121"/>
        <v>11</v>
      </c>
      <c r="AV310" s="13">
        <f t="shared" si="122"/>
        <v>12</v>
      </c>
      <c r="AW310" s="175">
        <f t="shared" si="123"/>
        <v>43374</v>
      </c>
      <c r="AX310" s="772">
        <f t="shared" si="124"/>
        <v>0.7857142857142857</v>
      </c>
      <c r="AY310" s="789">
        <f t="shared" si="125"/>
        <v>30.411582944442387</v>
      </c>
      <c r="AZ310" s="763">
        <f t="shared" si="129"/>
        <v>30.367306340755228</v>
      </c>
      <c r="BA310" s="647">
        <f t="shared" si="126"/>
        <v>1.0175947634363671</v>
      </c>
      <c r="BB310" s="642">
        <v>43396</v>
      </c>
      <c r="BC310" s="11">
        <v>43396</v>
      </c>
      <c r="BD310" s="292">
        <f>[2]!FeuilCaduc*(1-Persistant)+Persistant</f>
        <v>1</v>
      </c>
      <c r="BE310" s="293">
        <f>[2]!CroissVégét</f>
        <v>0.99644417833885535</v>
      </c>
      <c r="BF310" s="842">
        <f>1+[2]!Salcycl*Ksac</f>
        <v>1.0589315102015924</v>
      </c>
      <c r="BH310" s="1105">
        <f t="shared" si="127"/>
        <v>1.3438667153153285E-2</v>
      </c>
      <c r="BI310" s="11">
        <v>44492</v>
      </c>
      <c r="BJ310" s="742">
        <v>2.6817812119715773E-3</v>
      </c>
      <c r="BK310" s="742">
        <v>6.4656191599162744E-3</v>
      </c>
      <c r="BL310" s="742">
        <v>1.1747388755151024E-2</v>
      </c>
      <c r="BM310" s="742">
        <v>2.0213263032120812E-2</v>
      </c>
      <c r="BN310" s="742">
        <v>4.3224650306583838E-2</v>
      </c>
      <c r="BO310" s="743">
        <v>9.9136925767468798E-2</v>
      </c>
      <c r="BP310" s="742">
        <v>0.18035866109665091</v>
      </c>
      <c r="BQ310" s="742">
        <v>0.27678960073839193</v>
      </c>
      <c r="BR310" s="742">
        <v>0.37740850785168928</v>
      </c>
      <c r="BS310" s="742">
        <v>0.49473848131039017</v>
      </c>
      <c r="BT310" s="742">
        <v>0.62685865042722699</v>
      </c>
      <c r="BW310" s="1187">
        <f>'2018'!R\Max</f>
        <v>0.97308392052028181</v>
      </c>
      <c r="BX310" s="1185">
        <f>'2019'!R\Max</f>
        <v>0.60138479672931033</v>
      </c>
      <c r="BY310" s="1185">
        <f>'2020'!R\Max</f>
        <v>0.20103724957698738</v>
      </c>
      <c r="BZ310" s="1185">
        <f>'2021'!R\Max</f>
        <v>1.0175947634363671</v>
      </c>
      <c r="CA310" s="1185">
        <f>'2022'!R\Max</f>
        <v>0.62621394878090131</v>
      </c>
      <c r="CB310" s="1185">
        <f>'2023'!R\Max</f>
        <v>0.61975294845317386</v>
      </c>
      <c r="CC310" s="1185">
        <f>'2024'!R\Max</f>
        <v>0.61264006820177652</v>
      </c>
      <c r="CD310" s="1185">
        <f>'2025'!R\Max</f>
        <v>0.63985366421761158</v>
      </c>
      <c r="CE310" s="1185">
        <f>'2026'!R\Max</f>
        <v>0.63847149954304605</v>
      </c>
      <c r="CF310" s="1186">
        <f>'2027'!R\Max</f>
        <v>0.63603373846736921</v>
      </c>
    </row>
    <row r="311" spans="1:84" s="6" customFormat="1" ht="11.25" x14ac:dyDescent="0.2">
      <c r="A311" s="11">
        <v>43397</v>
      </c>
      <c r="B311" s="382">
        <f>'2023'!Maxi_hp</f>
        <v>31.094214113391882</v>
      </c>
      <c r="C311" s="85">
        <f>'2023'!An_max</f>
        <v>2021</v>
      </c>
      <c r="D311" s="1132"/>
      <c r="E311" s="709"/>
      <c r="F311" s="13">
        <f t="shared" si="128"/>
        <v>23</v>
      </c>
      <c r="G311" s="13">
        <f t="shared" si="112"/>
        <v>22</v>
      </c>
      <c r="H311" s="175">
        <f t="shared" si="113"/>
        <v>43402</v>
      </c>
      <c r="I311" s="772">
        <f t="shared" si="114"/>
        <v>0.35714285714285715</v>
      </c>
      <c r="J311" s="763">
        <f t="shared" si="115"/>
        <v>29.966951640588896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P311" s="13">
        <f t="shared" si="116"/>
        <v>13</v>
      </c>
      <c r="AQ311" s="13">
        <f t="shared" si="117"/>
        <v>12</v>
      </c>
      <c r="AR311" s="175">
        <f t="shared" si="118"/>
        <v>43416</v>
      </c>
      <c r="AS311" s="772">
        <f t="shared" si="119"/>
        <v>0.6785714285714286</v>
      </c>
      <c r="AT311" s="789">
        <f t="shared" si="120"/>
        <v>29.954700208934288</v>
      </c>
      <c r="AU311" s="13">
        <f t="shared" si="121"/>
        <v>11</v>
      </c>
      <c r="AV311" s="13">
        <f t="shared" si="122"/>
        <v>12</v>
      </c>
      <c r="AW311" s="175">
        <f t="shared" si="123"/>
        <v>43374</v>
      </c>
      <c r="AX311" s="772">
        <f t="shared" si="124"/>
        <v>0.8214285714285714</v>
      </c>
      <c r="AY311" s="789">
        <f t="shared" si="125"/>
        <v>30.02802038006152</v>
      </c>
      <c r="AZ311" s="763">
        <f t="shared" si="129"/>
        <v>29.991360294497902</v>
      </c>
      <c r="BA311" s="647">
        <f t="shared" si="126"/>
        <v>1.0376168549381632</v>
      </c>
      <c r="BB311" s="642">
        <v>43397</v>
      </c>
      <c r="BC311" s="11">
        <v>43397</v>
      </c>
      <c r="BD311" s="292">
        <f>[2]!FeuilCaduc*(1-Persistant)+Persistant</f>
        <v>1</v>
      </c>
      <c r="BE311" s="293">
        <f>[2]!CroissVégét</f>
        <v>0.99660009836364072</v>
      </c>
      <c r="BF311" s="842">
        <f>1+[2]!Salcycl*Ksac</f>
        <v>1.0575631113472419</v>
      </c>
      <c r="BH311" s="1105">
        <f t="shared" si="127"/>
        <v>1.3161051203785433E-2</v>
      </c>
      <c r="BI311" s="11">
        <v>44493</v>
      </c>
      <c r="BJ311" s="742">
        <v>2.5799219488702322E-3</v>
      </c>
      <c r="BK311" s="742">
        <v>6.2713690300797249E-3</v>
      </c>
      <c r="BL311" s="742">
        <v>1.1439345538803491E-2</v>
      </c>
      <c r="BM311" s="742">
        <v>2.0057526743565906E-2</v>
      </c>
      <c r="BN311" s="742">
        <v>4.4937163190513524E-2</v>
      </c>
      <c r="BO311" s="743">
        <v>0.10241765968925294</v>
      </c>
      <c r="BP311" s="742">
        <v>0.18461815886432117</v>
      </c>
      <c r="BQ311" s="742">
        <v>0.28145285526368991</v>
      </c>
      <c r="BR311" s="742">
        <v>0.38330395501802045</v>
      </c>
      <c r="BS311" s="742">
        <v>0.50258011613788234</v>
      </c>
      <c r="BT311" s="742">
        <v>0.63590152155283608</v>
      </c>
      <c r="BW311" s="1187">
        <f>'2018'!R\Max</f>
        <v>0.97341168446579662</v>
      </c>
      <c r="BX311" s="1185">
        <f>'2019'!R\Max</f>
        <v>0.62093402136076203</v>
      </c>
      <c r="BY311" s="1185">
        <f>'2020'!R\Max</f>
        <v>0.34573881949072593</v>
      </c>
      <c r="BZ311" s="1185">
        <f>'2021'!R\Max</f>
        <v>1.0376168549381632</v>
      </c>
      <c r="CA311" s="1185">
        <f>'2022'!R\Max</f>
        <v>0.75575712746517842</v>
      </c>
      <c r="CB311" s="1185">
        <f>'2023'!R\Max</f>
        <v>0.75053737686146627</v>
      </c>
      <c r="CC311" s="1185">
        <f>'2024'!R\Max</f>
        <v>0.74475530902845133</v>
      </c>
      <c r="CD311" s="1185">
        <f>'2025'!R\Max</f>
        <v>0.76688747015868131</v>
      </c>
      <c r="CE311" s="1185">
        <f>'2026'!R\Max</f>
        <v>0.7657185737933373</v>
      </c>
      <c r="CF311" s="1186">
        <f>'2027'!R\Max</f>
        <v>0.76370190220694578</v>
      </c>
    </row>
    <row r="312" spans="1:84" s="6" customFormat="1" ht="11.25" x14ac:dyDescent="0.2">
      <c r="A312" s="11">
        <v>43398</v>
      </c>
      <c r="B312" s="382">
        <f>'2023'!Maxi_hp</f>
        <v>29.799774376559132</v>
      </c>
      <c r="C312" s="85">
        <f>'2023'!An_max</f>
        <v>2021</v>
      </c>
      <c r="D312" s="1132"/>
      <c r="E312" s="709"/>
      <c r="F312" s="13">
        <f t="shared" si="128"/>
        <v>23</v>
      </c>
      <c r="G312" s="13">
        <f t="shared" si="112"/>
        <v>22</v>
      </c>
      <c r="H312" s="175">
        <f t="shared" si="113"/>
        <v>43402</v>
      </c>
      <c r="I312" s="772">
        <f t="shared" si="114"/>
        <v>0.2857142857142857</v>
      </c>
      <c r="J312" s="763">
        <f t="shared" si="115"/>
        <v>29.611890961868426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P312" s="13">
        <f t="shared" si="116"/>
        <v>13</v>
      </c>
      <c r="AQ312" s="13">
        <f t="shared" si="117"/>
        <v>12</v>
      </c>
      <c r="AR312" s="175">
        <f t="shared" si="118"/>
        <v>43416</v>
      </c>
      <c r="AS312" s="772">
        <f t="shared" si="119"/>
        <v>0.6428571428571429</v>
      </c>
      <c r="AT312" s="789">
        <f t="shared" si="120"/>
        <v>29.590412098169327</v>
      </c>
      <c r="AU312" s="13">
        <f t="shared" si="121"/>
        <v>11</v>
      </c>
      <c r="AV312" s="13">
        <f t="shared" si="122"/>
        <v>12</v>
      </c>
      <c r="AW312" s="175">
        <f t="shared" si="123"/>
        <v>43374</v>
      </c>
      <c r="AX312" s="772">
        <f t="shared" si="124"/>
        <v>0.8571428571428571</v>
      </c>
      <c r="AY312" s="789">
        <f t="shared" si="125"/>
        <v>29.651683382250901</v>
      </c>
      <c r="AZ312" s="763">
        <f t="shared" si="129"/>
        <v>29.621047740210116</v>
      </c>
      <c r="BA312" s="647">
        <f t="shared" si="126"/>
        <v>1.006344863789099</v>
      </c>
      <c r="BB312" s="642">
        <v>43398</v>
      </c>
      <c r="BC312" s="11">
        <v>43398</v>
      </c>
      <c r="BD312" s="292">
        <f>[2]!FeuilCaduc*(1-Persistant)+Persistant</f>
        <v>1</v>
      </c>
      <c r="BE312" s="293">
        <f>[2]!CroissVégét</f>
        <v>0.99674978642645717</v>
      </c>
      <c r="BF312" s="842">
        <f>1+[2]!Salcycl*Ksac</f>
        <v>1.0561786340742909</v>
      </c>
      <c r="BH312" s="1105">
        <f t="shared" si="127"/>
        <v>1.2905309947536903E-2</v>
      </c>
      <c r="BI312" s="11">
        <v>44494</v>
      </c>
      <c r="BJ312" s="742">
        <v>2.4795932246806842E-3</v>
      </c>
      <c r="BK312" s="742">
        <v>6.0801722997541408E-3</v>
      </c>
      <c r="BL312" s="742">
        <v>1.1135430961788017E-2</v>
      </c>
      <c r="BM312" s="742">
        <v>1.9994748857942477E-2</v>
      </c>
      <c r="BN312" s="742">
        <v>4.6834763812066547E-2</v>
      </c>
      <c r="BO312" s="743">
        <v>0.10575326763492267</v>
      </c>
      <c r="BP312" s="742">
        <v>0.18896818873793128</v>
      </c>
      <c r="BQ312" s="742">
        <v>0.28611374904678893</v>
      </c>
      <c r="BR312" s="742">
        <v>0.38935952007083419</v>
      </c>
      <c r="BS312" s="742">
        <v>0.51045260750934052</v>
      </c>
      <c r="BT312" s="742">
        <v>0.64493462297425086</v>
      </c>
      <c r="BW312" s="1187">
        <f>'2018'!R\Max</f>
        <v>0.96245202564187882</v>
      </c>
      <c r="BX312" s="1185">
        <f>'2019'!R\Max</f>
        <v>0.87625025352317121</v>
      </c>
      <c r="BY312" s="1185">
        <f>'2020'!R\Max</f>
        <v>0.90082120637572338</v>
      </c>
      <c r="BZ312" s="1185">
        <f>'2021'!R\Max</f>
        <v>1.006344863789099</v>
      </c>
      <c r="CA312" s="1185">
        <f>'2022'!R\Max</f>
        <v>0.70522850575234497</v>
      </c>
      <c r="CB312" s="1185">
        <f>'2023'!R\Max</f>
        <v>0.69923917856990758</v>
      </c>
      <c r="CC312" s="1185">
        <f>'2024'!R\Max</f>
        <v>0.69263484756132476</v>
      </c>
      <c r="CD312" s="1185">
        <f>'2025'!R\Max</f>
        <v>0.71832737146410408</v>
      </c>
      <c r="CE312" s="1185">
        <f>'2026'!R\Max</f>
        <v>0.7168882612542169</v>
      </c>
      <c r="CF312" s="1186">
        <f>'2027'!R\Max</f>
        <v>0.71446917598251714</v>
      </c>
    </row>
    <row r="313" spans="1:84" s="6" customFormat="1" ht="11.25" x14ac:dyDescent="0.2">
      <c r="A313" s="11">
        <v>43399</v>
      </c>
      <c r="B313" s="382">
        <f>'2023'!Maxi_hp</f>
        <v>29.263227957076836</v>
      </c>
      <c r="C313" s="85">
        <f>'2023'!An_max</f>
        <v>2019</v>
      </c>
      <c r="D313" s="1132"/>
      <c r="E313" s="709"/>
      <c r="F313" s="13">
        <f t="shared" si="128"/>
        <v>23</v>
      </c>
      <c r="G313" s="13">
        <f t="shared" si="112"/>
        <v>22</v>
      </c>
      <c r="H313" s="175">
        <f t="shared" si="113"/>
        <v>43402</v>
      </c>
      <c r="I313" s="772">
        <f t="shared" si="114"/>
        <v>0.21428571428571427</v>
      </c>
      <c r="J313" s="763">
        <f t="shared" si="115"/>
        <v>29.26082459948957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P313" s="13">
        <f t="shared" si="116"/>
        <v>13</v>
      </c>
      <c r="AQ313" s="13">
        <f t="shared" si="117"/>
        <v>12</v>
      </c>
      <c r="AR313" s="175">
        <f t="shared" si="118"/>
        <v>43416</v>
      </c>
      <c r="AS313" s="772">
        <f t="shared" si="119"/>
        <v>0.6071428571428571</v>
      </c>
      <c r="AT313" s="789">
        <f t="shared" si="120"/>
        <v>29.230306713442719</v>
      </c>
      <c r="AU313" s="13">
        <f t="shared" si="121"/>
        <v>11</v>
      </c>
      <c r="AV313" s="13">
        <f t="shared" si="122"/>
        <v>12</v>
      </c>
      <c r="AW313" s="175">
        <f t="shared" si="123"/>
        <v>43374</v>
      </c>
      <c r="AX313" s="772">
        <f t="shared" si="124"/>
        <v>0.8928571428571429</v>
      </c>
      <c r="AY313" s="789">
        <f t="shared" si="125"/>
        <v>29.283052395523658</v>
      </c>
      <c r="AZ313" s="763">
        <f t="shared" si="129"/>
        <v>29.256679554483188</v>
      </c>
      <c r="BA313" s="647">
        <f t="shared" si="126"/>
        <v>1.0000821356752643</v>
      </c>
      <c r="BB313" s="642">
        <v>43399</v>
      </c>
      <c r="BC313" s="11">
        <v>43399</v>
      </c>
      <c r="BD313" s="292">
        <f>[2]!FeuilCaduc*(1-Persistant)+Persistant</f>
        <v>1</v>
      </c>
      <c r="BE313" s="293">
        <f>[2]!CroissVégét</f>
        <v>0.99689348984691617</v>
      </c>
      <c r="BF313" s="842">
        <f>1+[2]!Salcycl*Ksac</f>
        <v>1.0547797490325519</v>
      </c>
      <c r="BH313" s="1105">
        <f t="shared" si="127"/>
        <v>1.2671456567213642E-2</v>
      </c>
      <c r="BI313" s="11">
        <v>44495</v>
      </c>
      <c r="BJ313" s="742">
        <v>2.3807929827587208E-3</v>
      </c>
      <c r="BK313" s="742">
        <v>5.8920239621097449E-3</v>
      </c>
      <c r="BL313" s="742">
        <v>1.0835634688859667E-2</v>
      </c>
      <c r="BM313" s="742">
        <v>2.0025036762115787E-2</v>
      </c>
      <c r="BN313" s="742">
        <v>4.8917696076184548E-2</v>
      </c>
      <c r="BO313" s="743">
        <v>0.10914378579523293</v>
      </c>
      <c r="BP313" s="742">
        <v>0.19340877586683355</v>
      </c>
      <c r="BQ313" s="742">
        <v>0.29077209423022182</v>
      </c>
      <c r="BR313" s="742">
        <v>0.39557516588785835</v>
      </c>
      <c r="BS313" s="742">
        <v>0.51835566027116664</v>
      </c>
      <c r="BT313" s="742">
        <v>0.6539574984173494</v>
      </c>
      <c r="BW313" s="1187">
        <f>'2018'!R\Max</f>
        <v>0.1395151840481946</v>
      </c>
      <c r="BX313" s="1185">
        <f>'2019'!R\Max</f>
        <v>1.0000821356752643</v>
      </c>
      <c r="BY313" s="1185">
        <f>'2020'!R\Max</f>
        <v>0.71568004794009732</v>
      </c>
      <c r="BZ313" s="1185">
        <f>'2021'!R\Max</f>
        <v>0.7191764409726954</v>
      </c>
      <c r="CA313" s="1185">
        <f>'2022'!R\Max</f>
        <v>0.56022675573065861</v>
      </c>
      <c r="CB313" s="1185">
        <f>'2023'!R\Max</f>
        <v>0.55301787361601218</v>
      </c>
      <c r="CC313" s="1185">
        <f>'2024'!R\Max</f>
        <v>0.54515270054095266</v>
      </c>
      <c r="CD313" s="1185">
        <f>'2025'!R\Max</f>
        <v>0.57654222031702829</v>
      </c>
      <c r="CE313" s="1185">
        <f>'2026'!R\Max</f>
        <v>0.5746569331497613</v>
      </c>
      <c r="CF313" s="1186">
        <f>'2027'!R\Max</f>
        <v>0.57157750145953135</v>
      </c>
    </row>
    <row r="314" spans="1:84" s="6" customFormat="1" ht="11.25" x14ac:dyDescent="0.2">
      <c r="A314" s="11">
        <v>43400</v>
      </c>
      <c r="B314" s="382">
        <f>'2023'!Maxi_hp</f>
        <v>29.643885541046256</v>
      </c>
      <c r="C314" s="85">
        <f>'2023'!An_max</f>
        <v>2021</v>
      </c>
      <c r="D314" s="1132"/>
      <c r="E314" s="709"/>
      <c r="F314" s="13">
        <f t="shared" si="128"/>
        <v>23</v>
      </c>
      <c r="G314" s="13">
        <f t="shared" si="112"/>
        <v>22</v>
      </c>
      <c r="H314" s="175">
        <f t="shared" si="113"/>
        <v>43402</v>
      </c>
      <c r="I314" s="772">
        <f t="shared" si="114"/>
        <v>0.14285714285714285</v>
      </c>
      <c r="J314" s="763">
        <f t="shared" si="115"/>
        <v>28.913413410420929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P314" s="13">
        <f t="shared" si="116"/>
        <v>13</v>
      </c>
      <c r="AQ314" s="13">
        <f t="shared" si="117"/>
        <v>12</v>
      </c>
      <c r="AR314" s="175">
        <f t="shared" si="118"/>
        <v>43416</v>
      </c>
      <c r="AS314" s="772">
        <f t="shared" si="119"/>
        <v>0.5714285714285714</v>
      </c>
      <c r="AT314" s="789">
        <f t="shared" si="120"/>
        <v>28.874525364062617</v>
      </c>
      <c r="AU314" s="13">
        <f t="shared" si="121"/>
        <v>11</v>
      </c>
      <c r="AV314" s="13">
        <f t="shared" si="122"/>
        <v>12</v>
      </c>
      <c r="AW314" s="175">
        <f t="shared" si="123"/>
        <v>43374</v>
      </c>
      <c r="AX314" s="772">
        <f t="shared" si="124"/>
        <v>0.9285714285714286</v>
      </c>
      <c r="AY314" s="789">
        <f t="shared" si="125"/>
        <v>28.922607870666049</v>
      </c>
      <c r="AZ314" s="763">
        <f t="shared" si="129"/>
        <v>28.898566617364331</v>
      </c>
      <c r="BA314" s="647">
        <f t="shared" si="126"/>
        <v>1.0252641263850932</v>
      </c>
      <c r="BB314" s="642">
        <v>43400</v>
      </c>
      <c r="BC314" s="11">
        <v>43400</v>
      </c>
      <c r="BD314" s="292">
        <f>[2]!FeuilCaduc*(1-Persistant)+Persistant</f>
        <v>1</v>
      </c>
      <c r="BE314" s="293">
        <f>[2]!CroissVégét</f>
        <v>0.99703144626847073</v>
      </c>
      <c r="BF314" s="842">
        <f>1+[2]!Salcycl*Ksac</f>
        <v>1.053368206533561</v>
      </c>
      <c r="BH314" s="1105">
        <f t="shared" si="127"/>
        <v>1.2459505944022502E-2</v>
      </c>
      <c r="BI314" s="11">
        <v>44496</v>
      </c>
      <c r="BJ314" s="742">
        <v>2.2835195946714513E-3</v>
      </c>
      <c r="BK314" s="742">
        <v>5.7069198328983184E-3</v>
      </c>
      <c r="BL314" s="742">
        <v>1.0539947670384077E-2</v>
      </c>
      <c r="BM314" s="742">
        <v>2.0148501194827754E-2</v>
      </c>
      <c r="BN314" s="742">
        <v>5.118620303830148E-2</v>
      </c>
      <c r="BO314" s="743">
        <v>0.11258923991568877</v>
      </c>
      <c r="BP314" s="742">
        <v>0.1979399324840945</v>
      </c>
      <c r="BQ314" s="742">
        <v>0.29542768593921825</v>
      </c>
      <c r="BR314" s="742">
        <v>0.40195083868530818</v>
      </c>
      <c r="BS314" s="742">
        <v>0.52628895172445023</v>
      </c>
      <c r="BT314" s="742">
        <v>0.66296965858818735</v>
      </c>
      <c r="BW314" s="1187">
        <f>'2018'!R\Max</f>
        <v>0.27554883093888927</v>
      </c>
      <c r="BX314" s="1185">
        <f>'2019'!R\Max</f>
        <v>0.75153350597690638</v>
      </c>
      <c r="BY314" s="1185">
        <f>'2020'!R\Max</f>
        <v>0.85469523482828935</v>
      </c>
      <c r="BZ314" s="1185">
        <f>'2021'!R\Max</f>
        <v>1.0252641263850932</v>
      </c>
      <c r="CA314" s="1185">
        <f>'2022'!R\Max</f>
        <v>0.44972977214873883</v>
      </c>
      <c r="CB314" s="1185">
        <f>'2023'!R\Max</f>
        <v>0.44237232779799213</v>
      </c>
      <c r="CC314" s="1185">
        <f>'2024'!R\Max</f>
        <v>0.43441600454898743</v>
      </c>
      <c r="CD314" s="1185">
        <f>'2025'!R\Max</f>
        <v>0.46691412617742173</v>
      </c>
      <c r="CE314" s="1185">
        <f>'2026'!R\Max</f>
        <v>0.46482972973926812</v>
      </c>
      <c r="CF314" s="1186">
        <f>'2027'!R\Max</f>
        <v>0.46152172322111479</v>
      </c>
    </row>
    <row r="315" spans="1:84" s="6" customFormat="1" ht="11.25" x14ac:dyDescent="0.2">
      <c r="A315" s="11">
        <v>43401</v>
      </c>
      <c r="B315" s="382">
        <f>'2023'!Maxi_hp</f>
        <v>28.741781736753882</v>
      </c>
      <c r="C315" s="85">
        <f>'2023'!An_max</f>
        <v>2021</v>
      </c>
      <c r="D315" s="1132"/>
      <c r="E315" s="709"/>
      <c r="F315" s="13">
        <f t="shared" si="128"/>
        <v>23</v>
      </c>
      <c r="G315" s="13">
        <f t="shared" si="112"/>
        <v>22</v>
      </c>
      <c r="H315" s="175">
        <f t="shared" si="113"/>
        <v>43402</v>
      </c>
      <c r="I315" s="772">
        <f t="shared" si="114"/>
        <v>7.1428571428571425E-2</v>
      </c>
      <c r="J315" s="763">
        <f t="shared" si="115"/>
        <v>28.569318258709142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P315" s="13">
        <f t="shared" si="116"/>
        <v>13</v>
      </c>
      <c r="AQ315" s="13">
        <f t="shared" si="117"/>
        <v>12</v>
      </c>
      <c r="AR315" s="175">
        <f t="shared" si="118"/>
        <v>43416</v>
      </c>
      <c r="AS315" s="772">
        <f t="shared" si="119"/>
        <v>0.5357142857142857</v>
      </c>
      <c r="AT315" s="789">
        <f t="shared" si="120"/>
        <v>28.523209356170678</v>
      </c>
      <c r="AU315" s="13">
        <f t="shared" si="121"/>
        <v>11</v>
      </c>
      <c r="AV315" s="13">
        <f t="shared" si="122"/>
        <v>12</v>
      </c>
      <c r="AW315" s="175">
        <f t="shared" si="123"/>
        <v>43374</v>
      </c>
      <c r="AX315" s="772">
        <f t="shared" si="124"/>
        <v>0.9642857142857143</v>
      </c>
      <c r="AY315" s="789">
        <f t="shared" si="125"/>
        <v>28.570830255976347</v>
      </c>
      <c r="AZ315" s="763">
        <f t="shared" si="129"/>
        <v>28.547019806073514</v>
      </c>
      <c r="BA315" s="647">
        <f t="shared" si="126"/>
        <v>1.006036667605541</v>
      </c>
      <c r="BB315" s="642">
        <v>43401</v>
      </c>
      <c r="BC315" s="11">
        <v>43401</v>
      </c>
      <c r="BD315" s="292">
        <f>[2]!FeuilCaduc*(1-Persistant)+Persistant</f>
        <v>1</v>
      </c>
      <c r="BE315" s="293">
        <f>[2]!CroissVégét</f>
        <v>0.99716388402603495</v>
      </c>
      <c r="BF315" s="842">
        <f>1+[2]!Salcycl*Ksac</f>
        <v>1.0519458302657334</v>
      </c>
      <c r="BH315" s="1105">
        <f t="shared" si="127"/>
        <v>1.2269474454073222E-2</v>
      </c>
      <c r="BI315" s="11">
        <v>44497</v>
      </c>
      <c r="BJ315" s="742">
        <v>2.1877718453686456E-3</v>
      </c>
      <c r="BK315" s="742">
        <v>5.5248565210133443E-3</v>
      </c>
      <c r="BL315" s="742">
        <v>1.0248362102329279E-2</v>
      </c>
      <c r="BM315" s="742">
        <v>2.0365255388322803E-2</v>
      </c>
      <c r="BN315" s="742">
        <v>5.3640525212497146E-2</v>
      </c>
      <c r="BO315" s="743">
        <v>0.11608964482357394</v>
      </c>
      <c r="BP315" s="742">
        <v>0.20256165711746613</v>
      </c>
      <c r="BQ315" s="742">
        <v>0.30008030235959321</v>
      </c>
      <c r="BR315" s="742">
        <v>0.40848646661209775</v>
      </c>
      <c r="BS315" s="742">
        <v>0.53425213143616535</v>
      </c>
      <c r="BT315" s="742">
        <v>0.6719705813774266</v>
      </c>
      <c r="BW315" s="1187">
        <f>'2018'!R\Max</f>
        <v>0.1196483917977211</v>
      </c>
      <c r="BX315" s="1185">
        <f>'2019'!R\Max</f>
        <v>0.36813708955905133</v>
      </c>
      <c r="BY315" s="1185">
        <f>'2020'!R\Max</f>
        <v>0.81701138721758271</v>
      </c>
      <c r="BZ315" s="1185">
        <f>'2021'!R\Max</f>
        <v>1.006036667605541</v>
      </c>
      <c r="CA315" s="1185">
        <f>'2022'!R\Max</f>
        <v>0.62771737750873158</v>
      </c>
      <c r="CB315" s="1185">
        <f>'2023'!R\Max</f>
        <v>0.62059953717952632</v>
      </c>
      <c r="CC315" s="1185">
        <f>'2024'!R\Max</f>
        <v>0.61283281351513286</v>
      </c>
      <c r="CD315" s="1185">
        <f>'2025'!R\Max</f>
        <v>0.64438243486611591</v>
      </c>
      <c r="CE315" s="1185">
        <f>'2026'!R\Max</f>
        <v>0.64229895812494542</v>
      </c>
      <c r="CF315" s="1186">
        <f>'2027'!R\Max</f>
        <v>0.63906661688822852</v>
      </c>
    </row>
    <row r="316" spans="1:84" s="6" customFormat="1" ht="11.25" x14ac:dyDescent="0.2">
      <c r="A316" s="11">
        <v>43402</v>
      </c>
      <c r="B316" s="382">
        <f>'2023'!Maxi_hp</f>
        <v>25.210255189313802</v>
      </c>
      <c r="C316" s="85">
        <f>'2023'!An_max</f>
        <v>2019</v>
      </c>
      <c r="D316" s="1132"/>
      <c r="E316" s="771">
        <f>AI$13/10</f>
        <v>28.228199999999998</v>
      </c>
      <c r="F316" s="13">
        <f t="shared" si="128"/>
        <v>23</v>
      </c>
      <c r="G316" s="13">
        <f t="shared" si="112"/>
        <v>24</v>
      </c>
      <c r="H316" s="175">
        <f t="shared" si="113"/>
        <v>43402</v>
      </c>
      <c r="I316" s="772">
        <f t="shared" si="114"/>
        <v>0</v>
      </c>
      <c r="J316" s="763">
        <f t="shared" si="115"/>
        <v>28.228199999779463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P316" s="13">
        <f t="shared" si="116"/>
        <v>13</v>
      </c>
      <c r="AQ316" s="13">
        <f t="shared" si="117"/>
        <v>12</v>
      </c>
      <c r="AR316" s="175">
        <f t="shared" si="118"/>
        <v>43416</v>
      </c>
      <c r="AS316" s="772">
        <f t="shared" si="119"/>
        <v>0.5</v>
      </c>
      <c r="AT316" s="789">
        <f t="shared" si="120"/>
        <v>28.17649999856949</v>
      </c>
      <c r="AU316" s="13">
        <f t="shared" si="121"/>
        <v>13</v>
      </c>
      <c r="AV316" s="13">
        <f t="shared" si="122"/>
        <v>12</v>
      </c>
      <c r="AW316" s="175">
        <f t="shared" si="123"/>
        <v>43430</v>
      </c>
      <c r="AX316" s="772">
        <f t="shared" si="124"/>
        <v>1</v>
      </c>
      <c r="AY316" s="789">
        <f t="shared" si="125"/>
        <v>28.228199999779463</v>
      </c>
      <c r="AZ316" s="763">
        <f t="shared" si="129"/>
        <v>28.202349999174476</v>
      </c>
      <c r="BA316" s="647">
        <f t="shared" si="126"/>
        <v>0.89308759288621875</v>
      </c>
      <c r="BB316" s="642">
        <v>43402</v>
      </c>
      <c r="BC316" s="11">
        <v>43402</v>
      </c>
      <c r="BD316" s="292">
        <f>[2]!FeuilCaduc*(1-Persistant)+Persistant</f>
        <v>1</v>
      </c>
      <c r="BE316" s="293">
        <f>[2]!CroissVégét</f>
        <v>0.99729102250050727</v>
      </c>
      <c r="BF316" s="842">
        <f>1+[2]!Salcycl*Ksac</f>
        <v>1.0505145104401628</v>
      </c>
      <c r="BH316" s="1105">
        <f t="shared" si="127"/>
        <v>1.2101379764841443E-2</v>
      </c>
      <c r="BI316" s="11">
        <v>44498</v>
      </c>
      <c r="BJ316" s="742">
        <v>2.0935489183466754E-3</v>
      </c>
      <c r="BK316" s="742">
        <v>5.3458313990319096E-3</v>
      </c>
      <c r="BL316" s="742">
        <v>9.9608713862241079E-3</v>
      </c>
      <c r="BM316" s="742">
        <v>2.0675414209912781E-2</v>
      </c>
      <c r="BN316" s="742">
        <v>5.6280898879505471E-2</v>
      </c>
      <c r="BO316" s="743">
        <v>0.11964500395465349</v>
      </c>
      <c r="BP316" s="742">
        <v>0.2072739337997753</v>
      </c>
      <c r="BQ316" s="742">
        <v>0.30472970481475986</v>
      </c>
      <c r="BR316" s="742">
        <v>0.41518195834285815</v>
      </c>
      <c r="BS316" s="742">
        <v>0.54224482104880589</v>
      </c>
      <c r="BT316" s="742">
        <v>0.6809597120627896</v>
      </c>
      <c r="BW316" s="1187">
        <f>'2018'!R\Max</f>
        <v>0.18131876235655764</v>
      </c>
      <c r="BX316" s="1185">
        <f>'2019'!R\Max</f>
        <v>0.89308759288621875</v>
      </c>
      <c r="BY316" s="1185">
        <f>'2020'!R\Max</f>
        <v>0.41707552065299697</v>
      </c>
      <c r="BZ316" s="1185">
        <f>'2021'!R\Max</f>
        <v>0.60846263080116314</v>
      </c>
      <c r="CA316" s="1185">
        <f>'2022'!R\Max</f>
        <v>0.81894091903246913</v>
      </c>
      <c r="CB316" s="1185">
        <f>'2023'!R\Max</f>
        <v>0.81431260824289109</v>
      </c>
      <c r="CC316" s="1185">
        <f>'2024'!R\Max</f>
        <v>0.80921039620708168</v>
      </c>
      <c r="CD316" s="1185">
        <f>'2025'!R\Max</f>
        <v>0.82977398898851396</v>
      </c>
      <c r="CE316" s="1185">
        <f>'2026'!R\Max</f>
        <v>0.82838102127144375</v>
      </c>
      <c r="CF316" s="1186">
        <f>'2027'!R\Max</f>
        <v>0.82626702487853843</v>
      </c>
    </row>
    <row r="317" spans="1:84" s="6" customFormat="1" ht="11.25" x14ac:dyDescent="0.2">
      <c r="A317" s="11">
        <v>43403</v>
      </c>
      <c r="B317" s="382">
        <f>'2023'!Maxi_hp</f>
        <v>25.555453874343382</v>
      </c>
      <c r="C317" s="85">
        <f>'2023'!An_max</f>
        <v>2020</v>
      </c>
      <c r="D317" s="1132"/>
      <c r="E317" s="709"/>
      <c r="F317" s="13">
        <f t="shared" si="128"/>
        <v>23</v>
      </c>
      <c r="G317" s="13">
        <f t="shared" si="112"/>
        <v>24</v>
      </c>
      <c r="H317" s="175">
        <f t="shared" si="113"/>
        <v>43402</v>
      </c>
      <c r="I317" s="772">
        <f t="shared" si="114"/>
        <v>7.1428571428571425E-2</v>
      </c>
      <c r="J317" s="763">
        <f t="shared" si="115"/>
        <v>27.889587608990929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P317" s="13">
        <f t="shared" si="116"/>
        <v>13</v>
      </c>
      <c r="AQ317" s="13">
        <f t="shared" si="117"/>
        <v>12</v>
      </c>
      <c r="AR317" s="175">
        <f t="shared" si="118"/>
        <v>43416</v>
      </c>
      <c r="AS317" s="772">
        <f t="shared" si="119"/>
        <v>0.4642857142857143</v>
      </c>
      <c r="AT317" s="789">
        <f t="shared" si="120"/>
        <v>27.834538601631561</v>
      </c>
      <c r="AU317" s="13">
        <f t="shared" si="121"/>
        <v>13</v>
      </c>
      <c r="AV317" s="13">
        <f t="shared" si="122"/>
        <v>12</v>
      </c>
      <c r="AW317" s="175">
        <f t="shared" si="123"/>
        <v>43430</v>
      </c>
      <c r="AX317" s="772">
        <f t="shared" si="124"/>
        <v>0.9642857142857143</v>
      </c>
      <c r="AY317" s="789">
        <f t="shared" si="125"/>
        <v>27.89230308359755</v>
      </c>
      <c r="AZ317" s="763">
        <f t="shared" si="129"/>
        <v>27.863420842614556</v>
      </c>
      <c r="BA317" s="647">
        <f t="shared" si="126"/>
        <v>0.91630805849939923</v>
      </c>
      <c r="BB317" s="642">
        <v>43403</v>
      </c>
      <c r="BC317" s="11">
        <v>43403</v>
      </c>
      <c r="BD317" s="292">
        <f>[2]!FeuilCaduc*(1-Persistant)+Persistant</f>
        <v>1</v>
      </c>
      <c r="BE317" s="293">
        <f>[2]!CroissVégét</f>
        <v>0.99741307246059263</v>
      </c>
      <c r="BF317" s="842">
        <f>1+[2]!Salcycl*Ksac</f>
        <v>1.0490761964064301</v>
      </c>
      <c r="BH317" s="1105">
        <f t="shared" si="127"/>
        <v>1.1955240631659977E-2</v>
      </c>
      <c r="BI317" s="11">
        <v>44499</v>
      </c>
      <c r="BJ317" s="742">
        <v>2.0008503808176636E-3</v>
      </c>
      <c r="BK317" s="742">
        <v>5.169842573769603E-3</v>
      </c>
      <c r="BL317" s="742">
        <v>9.6774700891405236E-3</v>
      </c>
      <c r="BM317" s="742">
        <v>2.1079093303587326E-2</v>
      </c>
      <c r="BN317" s="742">
        <v>5.9107554394836191E-2</v>
      </c>
      <c r="BO317" s="743">
        <v>0.12325530888012641</v>
      </c>
      <c r="BP317" s="742">
        <v>0.21207673127975504</v>
      </c>
      <c r="BQ317" s="742">
        <v>0.309375637843401</v>
      </c>
      <c r="BR317" s="742">
        <v>0.42203720167185388</v>
      </c>
      <c r="BS317" s="742">
        <v>0.55026661409119504</v>
      </c>
      <c r="BT317" s="742">
        <v>0.68993646351299309</v>
      </c>
      <c r="BW317" s="1187">
        <f>'2018'!R\Max</f>
        <v>0.88779699777681997</v>
      </c>
      <c r="BX317" s="1185">
        <f>'2019'!R\Max</f>
        <v>0.75654822271042632</v>
      </c>
      <c r="BY317" s="1185">
        <f>'2020'!R\Max</f>
        <v>0.91630805849939923</v>
      </c>
      <c r="BZ317" s="1185">
        <f>'2021'!R\Max</f>
        <v>0.43949658930048441</v>
      </c>
      <c r="CA317" s="1185">
        <f>'2022'!R\Max</f>
        <v>0.70895221409932418</v>
      </c>
      <c r="CB317" s="1185">
        <f>'2023'!R\Max</f>
        <v>0.70241530262622398</v>
      </c>
      <c r="CC317" s="1185">
        <f>'2024'!R\Max</f>
        <v>0.69527707579887121</v>
      </c>
      <c r="CD317" s="1185">
        <f>'2025'!R\Max</f>
        <v>0.72472926387968251</v>
      </c>
      <c r="CE317" s="1185">
        <f>'2026'!R\Max</f>
        <v>0.72260406451645942</v>
      </c>
      <c r="CF317" s="1186">
        <f>'2027'!R\Max</f>
        <v>0.71947112502586463</v>
      </c>
    </row>
    <row r="318" spans="1:84" s="6" customFormat="1" ht="11.25" x14ac:dyDescent="0.2">
      <c r="A318" s="11">
        <v>43404</v>
      </c>
      <c r="B318" s="382">
        <f>'2023'!Maxi_hp</f>
        <v>27.871025086088434</v>
      </c>
      <c r="C318" s="85">
        <f>'2023'!An_max</f>
        <v>2020</v>
      </c>
      <c r="D318" s="1132"/>
      <c r="E318" s="709"/>
      <c r="F318" s="13">
        <f t="shared" si="128"/>
        <v>23</v>
      </c>
      <c r="G318" s="13">
        <f t="shared" si="112"/>
        <v>24</v>
      </c>
      <c r="H318" s="175">
        <f t="shared" si="113"/>
        <v>43402</v>
      </c>
      <c r="I318" s="772">
        <f t="shared" si="114"/>
        <v>0.14285714285714285</v>
      </c>
      <c r="J318" s="763">
        <f t="shared" si="115"/>
        <v>27.553537609002422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P318" s="13">
        <f t="shared" si="116"/>
        <v>13</v>
      </c>
      <c r="AQ318" s="13">
        <f t="shared" si="117"/>
        <v>12</v>
      </c>
      <c r="AR318" s="175">
        <f t="shared" si="118"/>
        <v>43416</v>
      </c>
      <c r="AS318" s="772">
        <f t="shared" si="119"/>
        <v>0.42857142857142855</v>
      </c>
      <c r="AT318" s="789">
        <f t="shared" si="120"/>
        <v>27.497466471578388</v>
      </c>
      <c r="AU318" s="13">
        <f t="shared" si="121"/>
        <v>13</v>
      </c>
      <c r="AV318" s="13">
        <f t="shared" si="122"/>
        <v>12</v>
      </c>
      <c r="AW318" s="175">
        <f t="shared" si="123"/>
        <v>43430</v>
      </c>
      <c r="AX318" s="772">
        <f t="shared" si="124"/>
        <v>0.9285714285714286</v>
      </c>
      <c r="AY318" s="789">
        <f t="shared" si="125"/>
        <v>27.560489977470468</v>
      </c>
      <c r="AZ318" s="763">
        <f t="shared" si="129"/>
        <v>27.52897822452443</v>
      </c>
      <c r="BA318" s="647">
        <f t="shared" si="126"/>
        <v>1.0115225667785861</v>
      </c>
      <c r="BB318" s="642">
        <v>43404</v>
      </c>
      <c r="BC318" s="11">
        <v>43404</v>
      </c>
      <c r="BD318" s="292">
        <f>[2]!FeuilCaduc*(1-Persistant)+Persistant</f>
        <v>1</v>
      </c>
      <c r="BE318" s="293">
        <f>[2]!CroissVégét</f>
        <v>0.99753023639231442</v>
      </c>
      <c r="BF318" s="842">
        <f>1+[2]!Salcycl*Ksac</f>
        <v>1.0476328887826045</v>
      </c>
      <c r="BH318" s="1105">
        <f t="shared" si="127"/>
        <v>1.1865030252785697E-2</v>
      </c>
      <c r="BI318" s="11">
        <v>44500</v>
      </c>
      <c r="BJ318" s="742">
        <v>1.9108434241251753E-3</v>
      </c>
      <c r="BK318" s="742">
        <v>4.9989513955481044E-3</v>
      </c>
      <c r="BL318" s="742">
        <v>9.4236568798293594E-3</v>
      </c>
      <c r="BM318" s="742">
        <v>2.1644211498751658E-2</v>
      </c>
      <c r="BN318" s="742">
        <v>6.2035557256691264E-2</v>
      </c>
      <c r="BO318" s="743">
        <v>0.12688039115224778</v>
      </c>
      <c r="BP318" s="742">
        <v>0.21682152135616131</v>
      </c>
      <c r="BQ318" s="742">
        <v>0.31399887196597176</v>
      </c>
      <c r="BR318" s="742">
        <v>0.42892910989166255</v>
      </c>
      <c r="BS318" s="742">
        <v>0.55824750885348473</v>
      </c>
      <c r="BT318" s="742">
        <v>0.69886312784227667</v>
      </c>
      <c r="BW318" s="1187">
        <f>'2018'!R\Max</f>
        <v>0.42862110810652343</v>
      </c>
      <c r="BX318" s="1185">
        <f>'2019'!R\Max</f>
        <v>0.66666057933531775</v>
      </c>
      <c r="BY318" s="1185">
        <f>'2020'!R\Max</f>
        <v>1.0115225667785861</v>
      </c>
      <c r="BZ318" s="1185">
        <f>'2021'!R\Max</f>
        <v>0.67100599270825967</v>
      </c>
      <c r="CA318" s="1185">
        <f>'2022'!R\Max</f>
        <v>0.69886249311005044</v>
      </c>
      <c r="CB318" s="1185">
        <f>'2023'!R\Max</f>
        <v>0.6920750432038868</v>
      </c>
      <c r="CC318" s="1185">
        <f>'2024'!R\Max</f>
        <v>0.68468114820383541</v>
      </c>
      <c r="CD318" s="1185">
        <f>'2025'!R\Max</f>
        <v>0.71555464456711437</v>
      </c>
      <c r="CE318" s="1185">
        <f>'2026'!R\Max</f>
        <v>0.71322109908031728</v>
      </c>
      <c r="CF318" s="1186">
        <f>'2027'!R\Max</f>
        <v>0.70986546322537336</v>
      </c>
    </row>
    <row r="319" spans="1:84" s="6" customFormat="1" ht="11.25" x14ac:dyDescent="0.2">
      <c r="A319" s="11">
        <v>43405</v>
      </c>
      <c r="B319" s="382">
        <f>'2023'!Maxi_hp</f>
        <v>26.847448093899022</v>
      </c>
      <c r="C319" s="85">
        <f>'2023'!An_max</f>
        <v>2020</v>
      </c>
      <c r="D319" s="1132"/>
      <c r="E319" s="709"/>
      <c r="F319" s="13">
        <f t="shared" si="128"/>
        <v>23</v>
      </c>
      <c r="G319" s="13">
        <f t="shared" si="112"/>
        <v>24</v>
      </c>
      <c r="H319" s="175">
        <f t="shared" si="113"/>
        <v>43402</v>
      </c>
      <c r="I319" s="772">
        <f t="shared" si="114"/>
        <v>0.21428571428571427</v>
      </c>
      <c r="J319" s="763">
        <f t="shared" si="115"/>
        <v>27.220502186992338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P319" s="13">
        <f t="shared" si="116"/>
        <v>13</v>
      </c>
      <c r="AQ319" s="13">
        <f t="shared" si="117"/>
        <v>12</v>
      </c>
      <c r="AR319" s="175">
        <f t="shared" si="118"/>
        <v>43416</v>
      </c>
      <c r="AS319" s="772">
        <f t="shared" si="119"/>
        <v>0.39285714285714285</v>
      </c>
      <c r="AT319" s="789">
        <f t="shared" si="120"/>
        <v>27.165424916440884</v>
      </c>
      <c r="AU319" s="13">
        <f t="shared" si="121"/>
        <v>13</v>
      </c>
      <c r="AV319" s="13">
        <f t="shared" si="122"/>
        <v>12</v>
      </c>
      <c r="AW319" s="175">
        <f t="shared" si="123"/>
        <v>43430</v>
      </c>
      <c r="AX319" s="772">
        <f t="shared" si="124"/>
        <v>0.8928571428571429</v>
      </c>
      <c r="AY319" s="789">
        <f t="shared" si="125"/>
        <v>27.232887860227908</v>
      </c>
      <c r="AZ319" s="763">
        <f t="shared" si="129"/>
        <v>27.199156388334394</v>
      </c>
      <c r="BA319" s="647">
        <f t="shared" si="126"/>
        <v>0.98629510614717519</v>
      </c>
      <c r="BB319" s="642">
        <v>43405</v>
      </c>
      <c r="BC319" s="11">
        <v>43405</v>
      </c>
      <c r="BD319" s="292">
        <f>[2]!FeuilCaduc*(1-Persistant)+Persistant</f>
        <v>1</v>
      </c>
      <c r="BE319" s="293">
        <f>[2]!CroissVégét</f>
        <v>0.99764270881659778</v>
      </c>
      <c r="BF319" s="842">
        <f>1+[2]!Salcycl*Ksac</f>
        <v>1.0461866311481216</v>
      </c>
      <c r="BH319" s="1105">
        <f t="shared" si="127"/>
        <v>1.1825711414809401E-2</v>
      </c>
      <c r="BI319" s="11">
        <v>44501</v>
      </c>
      <c r="BJ319" s="742">
        <v>1.8258391180732635E-3</v>
      </c>
      <c r="BK319" s="742">
        <v>4.8332391062973403E-3</v>
      </c>
      <c r="BL319" s="742">
        <v>9.19901553064577E-3</v>
      </c>
      <c r="BM319" s="742">
        <v>2.2347221731014666E-2</v>
      </c>
      <c r="BN319" s="742">
        <v>6.4913245713557263E-2</v>
      </c>
      <c r="BO319" s="743">
        <v>0.13048593397603664</v>
      </c>
      <c r="BP319" s="742">
        <v>0.22145277164384733</v>
      </c>
      <c r="BQ319" s="742">
        <v>0.31858507358943217</v>
      </c>
      <c r="BR319" s="742">
        <v>0.43570874432364376</v>
      </c>
      <c r="BS319" s="742">
        <v>0.566025176649954</v>
      </c>
      <c r="BT319" s="742">
        <v>0.70756508508451554</v>
      </c>
      <c r="BW319" s="1187">
        <f>'2018'!R\Max</f>
        <v>0.72140491374227989</v>
      </c>
      <c r="BX319" s="1185">
        <f>'2019'!R\Max</f>
        <v>0.29734531008423137</v>
      </c>
      <c r="BY319" s="1185">
        <f>'2020'!R\Max</f>
        <v>0.98629510614717519</v>
      </c>
      <c r="BZ319" s="1185">
        <f>'2021'!R\Max</f>
        <v>0.63254883623472757</v>
      </c>
      <c r="CA319" s="1185">
        <f>'2022'!R\Max</f>
        <v>0.66623210994144699</v>
      </c>
      <c r="CB319" s="1185">
        <f>'2023'!R\Max</f>
        <v>0.6589362190545317</v>
      </c>
      <c r="CC319" s="1185">
        <f>'2024'!R\Max</f>
        <v>0.65101561948342479</v>
      </c>
      <c r="CD319" s="1185">
        <f>'2025'!R\Max</f>
        <v>0.68453132925054272</v>
      </c>
      <c r="CE319" s="1185">
        <f>'2026'!R\Max</f>
        <v>0.68188600820043777</v>
      </c>
      <c r="CF319" s="1186">
        <f>'2027'!R\Max</f>
        <v>0.67816414451658136</v>
      </c>
    </row>
    <row r="320" spans="1:84" s="6" customFormat="1" ht="11.25" x14ac:dyDescent="0.2">
      <c r="A320" s="11">
        <v>43406</v>
      </c>
      <c r="B320" s="382">
        <f>'2023'!Maxi_hp</f>
        <v>26.326466731477012</v>
      </c>
      <c r="C320" s="85">
        <f>'2023'!An_max</f>
        <v>2021</v>
      </c>
      <c r="D320" s="1132"/>
      <c r="E320" s="709"/>
      <c r="F320" s="13">
        <f t="shared" si="128"/>
        <v>23</v>
      </c>
      <c r="G320" s="13">
        <f t="shared" si="112"/>
        <v>24</v>
      </c>
      <c r="H320" s="175">
        <f t="shared" si="113"/>
        <v>43402</v>
      </c>
      <c r="I320" s="772">
        <f t="shared" si="114"/>
        <v>0.2857142857142857</v>
      </c>
      <c r="J320" s="763">
        <f t="shared" si="115"/>
        <v>26.890933527584586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P320" s="13">
        <f t="shared" si="116"/>
        <v>13</v>
      </c>
      <c r="AQ320" s="13">
        <f t="shared" si="117"/>
        <v>12</v>
      </c>
      <c r="AR320" s="175">
        <f t="shared" si="118"/>
        <v>43416</v>
      </c>
      <c r="AS320" s="772">
        <f t="shared" si="119"/>
        <v>0.35714285714285715</v>
      </c>
      <c r="AT320" s="789">
        <f t="shared" si="120"/>
        <v>26.838555247389841</v>
      </c>
      <c r="AU320" s="13">
        <f t="shared" si="121"/>
        <v>13</v>
      </c>
      <c r="AV320" s="13">
        <f t="shared" si="122"/>
        <v>12</v>
      </c>
      <c r="AW320" s="175">
        <f t="shared" si="123"/>
        <v>43430</v>
      </c>
      <c r="AX320" s="772">
        <f t="shared" si="124"/>
        <v>0.8571428571428571</v>
      </c>
      <c r="AY320" s="789">
        <f t="shared" si="125"/>
        <v>26.909623905803478</v>
      </c>
      <c r="AZ320" s="763">
        <f t="shared" si="129"/>
        <v>26.87408957659666</v>
      </c>
      <c r="BA320" s="647">
        <f t="shared" si="126"/>
        <v>0.97900902936193912</v>
      </c>
      <c r="BB320" s="642">
        <v>43406</v>
      </c>
      <c r="BC320" s="11">
        <v>43406</v>
      </c>
      <c r="BD320" s="292">
        <f>[2]!FeuilCaduc*(1-Persistant)+Persistant</f>
        <v>1</v>
      </c>
      <c r="BE320" s="293">
        <f>[2]!CroissVégét</f>
        <v>0.99775067659530603</v>
      </c>
      <c r="BF320" s="842">
        <f>1+[2]!Salcycl*Ksac</f>
        <v>1.0447395013523235</v>
      </c>
      <c r="BH320" s="1105">
        <f t="shared" si="127"/>
        <v>1.183734605240715E-2</v>
      </c>
      <c r="BI320" s="11">
        <v>44502</v>
      </c>
      <c r="BJ320" s="742">
        <v>1.7458430528262774E-3</v>
      </c>
      <c r="BK320" s="742">
        <v>4.6727088929603292E-3</v>
      </c>
      <c r="BL320" s="742">
        <v>9.0035795964818841E-3</v>
      </c>
      <c r="BM320" s="742">
        <v>2.3188299613301658E-2</v>
      </c>
      <c r="BN320" s="742">
        <v>6.7740484126263115E-2</v>
      </c>
      <c r="BO320" s="743">
        <v>0.13407178437590636</v>
      </c>
      <c r="BP320" s="742">
        <v>0.22597010966275402</v>
      </c>
      <c r="BQ320" s="742">
        <v>0.3231338903153253</v>
      </c>
      <c r="BR320" s="742">
        <v>0.44237553420399472</v>
      </c>
      <c r="BS320" s="742">
        <v>0.57359879540460867</v>
      </c>
      <c r="BT320" s="742">
        <v>0.71604135095411203</v>
      </c>
      <c r="BW320" s="1187">
        <f>'2018'!R\Max</f>
        <v>0.3102703814700698</v>
      </c>
      <c r="BX320" s="1185">
        <f>'2019'!R\Max</f>
        <v>0.21837440390792823</v>
      </c>
      <c r="BY320" s="1185">
        <f>'2020'!R\Max</f>
        <v>0.91036018448178968</v>
      </c>
      <c r="BZ320" s="1185">
        <f>'2021'!R\Max</f>
        <v>0.97900902936193912</v>
      </c>
      <c r="CA320" s="1185">
        <f>'2022'!R\Max</f>
        <v>0.93568566093721983</v>
      </c>
      <c r="CB320" s="1185">
        <f>'2023'!R\Max</f>
        <v>0.9336565468205632</v>
      </c>
      <c r="CC320" s="1185">
        <f>'2024'!R\Max</f>
        <v>0.93141305204348246</v>
      </c>
      <c r="CD320" s="1185">
        <f>'2025'!R\Max</f>
        <v>0.94068767422089294</v>
      </c>
      <c r="CE320" s="1185">
        <f>'2026'!R\Max</f>
        <v>0.93995917762441616</v>
      </c>
      <c r="CF320" s="1186">
        <f>'2027'!R\Max</f>
        <v>0.93894431024755398</v>
      </c>
    </row>
    <row r="321" spans="1:84" s="6" customFormat="1" ht="11.25" x14ac:dyDescent="0.2">
      <c r="A321" s="11">
        <v>43407</v>
      </c>
      <c r="B321" s="382">
        <f>'2023'!Maxi_hp</f>
        <v>25.417463869453393</v>
      </c>
      <c r="C321" s="85">
        <f>'2023'!An_max</f>
        <v>2020</v>
      </c>
      <c r="D321" s="1132"/>
      <c r="E321" s="709"/>
      <c r="F321" s="13">
        <f t="shared" si="128"/>
        <v>23</v>
      </c>
      <c r="G321" s="13">
        <f t="shared" si="112"/>
        <v>24</v>
      </c>
      <c r="H321" s="175">
        <f t="shared" si="113"/>
        <v>43402</v>
      </c>
      <c r="I321" s="772">
        <f t="shared" si="114"/>
        <v>0.35714285714285715</v>
      </c>
      <c r="J321" s="763">
        <f t="shared" si="115"/>
        <v>26.565283819447671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P321" s="13">
        <f t="shared" si="116"/>
        <v>13</v>
      </c>
      <c r="AQ321" s="13">
        <f t="shared" si="117"/>
        <v>12</v>
      </c>
      <c r="AR321" s="175">
        <f t="shared" si="118"/>
        <v>43416</v>
      </c>
      <c r="AS321" s="772">
        <f t="shared" si="119"/>
        <v>0.32142857142857145</v>
      </c>
      <c r="AT321" s="789">
        <f t="shared" si="120"/>
        <v>26.516998769635599</v>
      </c>
      <c r="AU321" s="13">
        <f t="shared" si="121"/>
        <v>13</v>
      </c>
      <c r="AV321" s="13">
        <f t="shared" si="122"/>
        <v>12</v>
      </c>
      <c r="AW321" s="175">
        <f t="shared" si="123"/>
        <v>43430</v>
      </c>
      <c r="AX321" s="772">
        <f t="shared" si="124"/>
        <v>0.8214285714285714</v>
      </c>
      <c r="AY321" s="789">
        <f t="shared" si="125"/>
        <v>26.590825295368479</v>
      </c>
      <c r="AZ321" s="763">
        <f t="shared" si="129"/>
        <v>26.553912032502041</v>
      </c>
      <c r="BA321" s="647">
        <f t="shared" si="126"/>
        <v>0.95679248308448361</v>
      </c>
      <c r="BB321" s="642">
        <v>43407</v>
      </c>
      <c r="BC321" s="11">
        <v>43407</v>
      </c>
      <c r="BD321" s="292">
        <f>[2]!FeuilCaduc*(1-Persistant)+Persistant</f>
        <v>1</v>
      </c>
      <c r="BE321" s="293">
        <f>[2]!CroissVégét</f>
        <v>0.99785431922609247</v>
      </c>
      <c r="BF321" s="842">
        <f>1+[2]!Salcycl*Ksac</f>
        <v>1.0432936024951529</v>
      </c>
      <c r="BH321" s="1105">
        <f t="shared" si="127"/>
        <v>1.1899995982106983E-2</v>
      </c>
      <c r="BI321" s="11">
        <v>44503</v>
      </c>
      <c r="BJ321" s="742">
        <v>1.6708611064852176E-3</v>
      </c>
      <c r="BK321" s="742">
        <v>4.5173645315113552E-3</v>
      </c>
      <c r="BL321" s="742">
        <v>8.8373833119788411E-3</v>
      </c>
      <c r="BM321" s="742">
        <v>2.4167617444328316E-2</v>
      </c>
      <c r="BN321" s="742">
        <v>7.0517126667165766E-2</v>
      </c>
      <c r="BO321" s="743">
        <v>0.13763777645473055</v>
      </c>
      <c r="BP321" s="742">
        <v>0.23037314692246014</v>
      </c>
      <c r="BQ321" s="742">
        <v>0.3276449536447027</v>
      </c>
      <c r="BR321" s="742">
        <v>0.44892888522671148</v>
      </c>
      <c r="BS321" s="742">
        <v>0.58096751656425172</v>
      </c>
      <c r="BT321" s="742">
        <v>0.72429091165715009</v>
      </c>
      <c r="BW321" s="1187">
        <f>'2018'!R\Max</f>
        <v>0.87322419392551254</v>
      </c>
      <c r="BX321" s="1185">
        <f>'2019'!R\Max</f>
        <v>0.52493756479765619</v>
      </c>
      <c r="BY321" s="1185">
        <f>'2020'!R\Max</f>
        <v>0.95679248308448361</v>
      </c>
      <c r="BZ321" s="1185">
        <f>'2021'!R\Max</f>
        <v>0.61379033311130116</v>
      </c>
      <c r="CA321" s="1185">
        <f>'2022'!R\Max</f>
        <v>0.23486827004347333</v>
      </c>
      <c r="CB321" s="1185">
        <f>'2023'!R\Max</f>
        <v>0.22919293737332289</v>
      </c>
      <c r="CC321" s="1185">
        <f>'2024'!R\Max</f>
        <v>0.22320045708206795</v>
      </c>
      <c r="CD321" s="1185">
        <f>'2025'!R\Max</f>
        <v>0.25020634767151584</v>
      </c>
      <c r="CE321" s="1185">
        <f>'2026'!R\Max</f>
        <v>0.24780731205374101</v>
      </c>
      <c r="CF321" s="1186">
        <f>'2027'!R\Max</f>
        <v>0.24458238875648119</v>
      </c>
    </row>
    <row r="322" spans="1:84" s="6" customFormat="1" ht="11.25" x14ac:dyDescent="0.2">
      <c r="A322" s="11">
        <v>43408</v>
      </c>
      <c r="B322" s="382">
        <f>'2023'!Maxi_hp</f>
        <v>18.882274393596006</v>
      </c>
      <c r="C322" s="85">
        <f>'2023'!An_max</f>
        <v>2018</v>
      </c>
      <c r="D322" s="1132"/>
      <c r="E322" s="709"/>
      <c r="F322" s="13">
        <f t="shared" si="128"/>
        <v>23</v>
      </c>
      <c r="G322" s="13">
        <f t="shared" si="112"/>
        <v>24</v>
      </c>
      <c r="H322" s="175">
        <f t="shared" si="113"/>
        <v>43402</v>
      </c>
      <c r="I322" s="772">
        <f t="shared" si="114"/>
        <v>0.42857142857142855</v>
      </c>
      <c r="J322" s="763">
        <f t="shared" si="115"/>
        <v>26.244005246886182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P322" s="13">
        <f t="shared" si="116"/>
        <v>13</v>
      </c>
      <c r="AQ322" s="13">
        <f t="shared" si="117"/>
        <v>12</v>
      </c>
      <c r="AR322" s="175">
        <f t="shared" si="118"/>
        <v>43416</v>
      </c>
      <c r="AS322" s="772">
        <f t="shared" si="119"/>
        <v>0.2857142857142857</v>
      </c>
      <c r="AT322" s="789">
        <f t="shared" si="120"/>
        <v>26.200896791900909</v>
      </c>
      <c r="AU322" s="13">
        <f t="shared" si="121"/>
        <v>13</v>
      </c>
      <c r="AV322" s="13">
        <f t="shared" si="122"/>
        <v>12</v>
      </c>
      <c r="AW322" s="175">
        <f t="shared" si="123"/>
        <v>43430</v>
      </c>
      <c r="AX322" s="772">
        <f t="shared" si="124"/>
        <v>0.7857142857142857</v>
      </c>
      <c r="AY322" s="789">
        <f t="shared" si="125"/>
        <v>26.276619204772366</v>
      </c>
      <c r="AZ322" s="763">
        <f t="shared" si="129"/>
        <v>26.238757998336638</v>
      </c>
      <c r="BA322" s="647">
        <f t="shared" si="126"/>
        <v>0.71948904963111016</v>
      </c>
      <c r="BB322" s="642">
        <v>43408</v>
      </c>
      <c r="BC322" s="11">
        <v>43408</v>
      </c>
      <c r="BD322" s="292">
        <f>[2]!FeuilCaduc*(1-Persistant)+Persistant</f>
        <v>1</v>
      </c>
      <c r="BE322" s="293">
        <f>[2]!CroissVégét</f>
        <v>0.99795380912643716</v>
      </c>
      <c r="BF322" s="842">
        <f>1+[2]!Salcycl*Ksac</f>
        <v>1.0418510536397143</v>
      </c>
      <c r="BH322" s="1105">
        <f t="shared" si="127"/>
        <v>1.2013722433171586E-2</v>
      </c>
      <c r="BI322" s="11">
        <v>44504</v>
      </c>
      <c r="BJ322" s="742">
        <v>1.6008993982610372E-3</v>
      </c>
      <c r="BK322" s="742">
        <v>4.3672103377984479E-3</v>
      </c>
      <c r="BL322" s="742">
        <v>8.7004613208471141E-3</v>
      </c>
      <c r="BM322" s="742">
        <v>2.5285342944620193E-2</v>
      </c>
      <c r="BN322" s="742">
        <v>7.3243017808919328E-2</v>
      </c>
      <c r="BO322" s="743">
        <v>0.1411837316055593</v>
      </c>
      <c r="BP322" s="742">
        <v>0.23466148000881729</v>
      </c>
      <c r="BQ322" s="742">
        <v>0.33211787935967868</v>
      </c>
      <c r="BR322" s="742">
        <v>0.45536818063753848</v>
      </c>
      <c r="BS322" s="742">
        <v>0.58813046703905814</v>
      </c>
      <c r="BT322" s="742">
        <v>0.73231272603801623</v>
      </c>
      <c r="BW322" s="1187">
        <f>'2018'!R\Max</f>
        <v>0.71948904963111016</v>
      </c>
      <c r="BX322" s="1185">
        <f>'2019'!R\Max</f>
        <v>0.40461860508407921</v>
      </c>
      <c r="BY322" s="1185">
        <f>'2020'!R\Max</f>
        <v>0.24599883813689724</v>
      </c>
      <c r="BZ322" s="1185">
        <f>'2021'!R\Max</f>
        <v>0.53904649843197527</v>
      </c>
      <c r="CA322" s="1185">
        <f>'2022'!R\Max</f>
        <v>0.50199580319130543</v>
      </c>
      <c r="CB322" s="1185">
        <f>'2023'!R\Max</f>
        <v>0.49338009648312575</v>
      </c>
      <c r="CC322" s="1185">
        <f>'2024'!R\Max</f>
        <v>0.48413976624927479</v>
      </c>
      <c r="CD322" s="1185">
        <f>'2025'!R\Max</f>
        <v>0.52492302226245213</v>
      </c>
      <c r="CE322" s="1185">
        <f>'2026'!R\Max</f>
        <v>0.5213259224880572</v>
      </c>
      <c r="CF322" s="1186">
        <f>'2027'!R\Max</f>
        <v>0.51651945646016517</v>
      </c>
    </row>
    <row r="323" spans="1:84" s="6" customFormat="1" ht="11.25" x14ac:dyDescent="0.2">
      <c r="A323" s="11">
        <v>43409</v>
      </c>
      <c r="B323" s="382">
        <f>'2023'!Maxi_hp</f>
        <v>24.048869114323441</v>
      </c>
      <c r="C323" s="85">
        <f>'2023'!An_max</f>
        <v>2022</v>
      </c>
      <c r="D323" s="1132"/>
      <c r="E323" s="709"/>
      <c r="F323" s="13">
        <f t="shared" si="128"/>
        <v>23</v>
      </c>
      <c r="G323" s="13">
        <f t="shared" si="112"/>
        <v>24</v>
      </c>
      <c r="H323" s="175">
        <f t="shared" si="113"/>
        <v>43402</v>
      </c>
      <c r="I323" s="772">
        <f t="shared" si="114"/>
        <v>0.5</v>
      </c>
      <c r="J323" s="763">
        <f t="shared" si="115"/>
        <v>25.927549999952316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P323" s="13">
        <f t="shared" si="116"/>
        <v>13</v>
      </c>
      <c r="AQ323" s="13">
        <f t="shared" si="117"/>
        <v>12</v>
      </c>
      <c r="AR323" s="175">
        <f t="shared" si="118"/>
        <v>43416</v>
      </c>
      <c r="AS323" s="772">
        <f t="shared" si="119"/>
        <v>0.25</v>
      </c>
      <c r="AT323" s="789">
        <f t="shared" si="120"/>
        <v>25.89039062410593</v>
      </c>
      <c r="AU323" s="13">
        <f t="shared" si="121"/>
        <v>13</v>
      </c>
      <c r="AV323" s="13">
        <f t="shared" si="122"/>
        <v>12</v>
      </c>
      <c r="AW323" s="175">
        <f t="shared" si="123"/>
        <v>43430</v>
      </c>
      <c r="AX323" s="772">
        <f t="shared" si="124"/>
        <v>0.75</v>
      </c>
      <c r="AY323" s="789">
        <f t="shared" si="125"/>
        <v>25.967132811993359</v>
      </c>
      <c r="AZ323" s="763">
        <f t="shared" si="129"/>
        <v>25.928761718049643</v>
      </c>
      <c r="BA323" s="647">
        <f t="shared" si="126"/>
        <v>0.92754113344175093</v>
      </c>
      <c r="BB323" s="642">
        <v>43409</v>
      </c>
      <c r="BC323" s="11">
        <v>43409</v>
      </c>
      <c r="BD323" s="292">
        <f>[2]!FeuilCaduc*(1-Persistant)+Persistant</f>
        <v>1</v>
      </c>
      <c r="BE323" s="293">
        <f>[2]!CroissVégét</f>
        <v>0.99804931190721602</v>
      </c>
      <c r="BF323" s="842">
        <f>1+[2]!Salcycl*Ksac</f>
        <v>1.0404139803191756</v>
      </c>
      <c r="BH323" s="1105">
        <f t="shared" si="127"/>
        <v>1.2178585578380845E-2</v>
      </c>
      <c r="BI323" s="11">
        <v>44505</v>
      </c>
      <c r="BJ323" s="742">
        <v>1.535964241634319E-3</v>
      </c>
      <c r="BK323" s="742">
        <v>4.2222511183487707E-3</v>
      </c>
      <c r="BL323" s="742">
        <v>8.5928484051135869E-3</v>
      </c>
      <c r="BM323" s="742">
        <v>2.6541637992324448E-2</v>
      </c>
      <c r="BN323" s="742">
        <v>7.59179928126366E-2</v>
      </c>
      <c r="BO323" s="743">
        <v>0.14470945872216004</v>
      </c>
      <c r="BP323" s="742">
        <v>0.23883469166862706</v>
      </c>
      <c r="BQ323" s="742">
        <v>0.33655226790220921</v>
      </c>
      <c r="BR323" s="742">
        <v>0.46169278232410926</v>
      </c>
      <c r="BS323" s="742">
        <v>0.59508675113823062</v>
      </c>
      <c r="BT323" s="742">
        <v>0.74010572771989425</v>
      </c>
      <c r="BW323" s="1187">
        <f>'2018'!R\Max</f>
        <v>0.41793110078453394</v>
      </c>
      <c r="BX323" s="1185">
        <f>'2019'!R\Max</f>
        <v>0.49234439903335686</v>
      </c>
      <c r="BY323" s="1185">
        <f>'2020'!R\Max</f>
        <v>0.54463156440791072</v>
      </c>
      <c r="BZ323" s="1185">
        <f>'2021'!R\Max</f>
        <v>0.48728104558789759</v>
      </c>
      <c r="CA323" s="1185">
        <f>'2022'!R\Max</f>
        <v>0.92754113344175093</v>
      </c>
      <c r="CB323" s="1185">
        <f>'2023'!R\Max</f>
        <v>0.92514669855104237</v>
      </c>
      <c r="CC323" s="1185">
        <f>'2024'!R\Max</f>
        <v>0.9224946543664958</v>
      </c>
      <c r="CD323" s="1185">
        <f>'2025'!R\Max</f>
        <v>0.93363895139695541</v>
      </c>
      <c r="CE323" s="1185">
        <f>'2026'!R\Max</f>
        <v>0.9326977005345366</v>
      </c>
      <c r="CF323" s="1186">
        <f>'2027'!R\Max</f>
        <v>0.93143611313043684</v>
      </c>
    </row>
    <row r="324" spans="1:84" s="6" customFormat="1" ht="11.25" x14ac:dyDescent="0.2">
      <c r="A324" s="11">
        <v>43410</v>
      </c>
      <c r="B324" s="382">
        <f>'2023'!Maxi_hp</f>
        <v>24.169643486522705</v>
      </c>
      <c r="C324" s="85">
        <f>'2023'!An_max</f>
        <v>2022</v>
      </c>
      <c r="D324" s="1132"/>
      <c r="E324" s="709"/>
      <c r="F324" s="13">
        <f t="shared" si="128"/>
        <v>23</v>
      </c>
      <c r="G324" s="13">
        <f t="shared" si="112"/>
        <v>24</v>
      </c>
      <c r="H324" s="175">
        <f t="shared" si="113"/>
        <v>43402</v>
      </c>
      <c r="I324" s="772">
        <f t="shared" si="114"/>
        <v>0.5714285714285714</v>
      </c>
      <c r="J324" s="763">
        <f t="shared" si="115"/>
        <v>25.616370261779856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P324" s="13">
        <f t="shared" si="116"/>
        <v>13</v>
      </c>
      <c r="AQ324" s="13">
        <f t="shared" si="117"/>
        <v>12</v>
      </c>
      <c r="AR324" s="175">
        <f t="shared" si="118"/>
        <v>43416</v>
      </c>
      <c r="AS324" s="772">
        <f t="shared" si="119"/>
        <v>0.21428571428571427</v>
      </c>
      <c r="AT324" s="789">
        <f t="shared" si="120"/>
        <v>25.585621574254972</v>
      </c>
      <c r="AU324" s="13">
        <f t="shared" si="121"/>
        <v>13</v>
      </c>
      <c r="AV324" s="13">
        <f t="shared" si="122"/>
        <v>12</v>
      </c>
      <c r="AW324" s="175">
        <f t="shared" si="123"/>
        <v>43430</v>
      </c>
      <c r="AX324" s="772">
        <f t="shared" si="124"/>
        <v>0.7142857142857143</v>
      </c>
      <c r="AY324" s="789">
        <f t="shared" si="125"/>
        <v>25.662493294051718</v>
      </c>
      <c r="AZ324" s="763">
        <f t="shared" si="129"/>
        <v>25.624057434153343</v>
      </c>
      <c r="BA324" s="647">
        <f t="shared" si="126"/>
        <v>0.94352335008930999</v>
      </c>
      <c r="BB324" s="642">
        <v>43410</v>
      </c>
      <c r="BC324" s="11">
        <v>43410</v>
      </c>
      <c r="BD324" s="292">
        <f>[2]!FeuilCaduc*(1-Persistant)+Persistant</f>
        <v>1</v>
      </c>
      <c r="BE324" s="293">
        <f>[2]!CroissVégét</f>
        <v>0.99814098663615436</v>
      </c>
      <c r="BF324" s="842">
        <f>1+[2]!Salcycl*Ksac</f>
        <v>1.0389845049027091</v>
      </c>
      <c r="BH324" s="1105">
        <f t="shared" si="127"/>
        <v>1.2412759672171526E-2</v>
      </c>
      <c r="BI324" s="11">
        <v>44506</v>
      </c>
      <c r="BJ324" s="742">
        <v>1.4761601841183994E-3</v>
      </c>
      <c r="BK324" s="742">
        <v>4.0849143948639378E-3</v>
      </c>
      <c r="BL324" s="742">
        <v>8.5430133544203285E-3</v>
      </c>
      <c r="BM324" s="742">
        <v>2.7913440983925616E-2</v>
      </c>
      <c r="BN324" s="742">
        <v>7.8479483485294696E-2</v>
      </c>
      <c r="BO324" s="743">
        <v>0.14814925330595477</v>
      </c>
      <c r="BP324" s="742">
        <v>0.24277198782861117</v>
      </c>
      <c r="BQ324" s="742">
        <v>0.34095799163489349</v>
      </c>
      <c r="BR324" s="742">
        <v>0.46785530372401007</v>
      </c>
      <c r="BS324" s="742">
        <v>0.60190147075888989</v>
      </c>
      <c r="BT324" s="742">
        <v>0.74768943142795319</v>
      </c>
      <c r="BW324" s="1187">
        <f>'2018'!R\Max</f>
        <v>0.75194786599769303</v>
      </c>
      <c r="BX324" s="1185">
        <f>'2019'!R\Max</f>
        <v>0.54245760123509212</v>
      </c>
      <c r="BY324" s="1185">
        <f>'2020'!R\Max</f>
        <v>0.79498406975370139</v>
      </c>
      <c r="BZ324" s="1185">
        <f>'2021'!R\Max</f>
        <v>0.75855956834307625</v>
      </c>
      <c r="CA324" s="1185">
        <f>'2022'!R\Max</f>
        <v>0.94352335008930999</v>
      </c>
      <c r="CB324" s="1185">
        <f>'2023'!R\Max</f>
        <v>0.94158756294152868</v>
      </c>
      <c r="CC324" s="1185">
        <f>'2024'!R\Max</f>
        <v>0.93943572728821245</v>
      </c>
      <c r="CD324" s="1185">
        <f>'2025'!R\Max</f>
        <v>0.94847652232110535</v>
      </c>
      <c r="CE324" s="1185">
        <f>'2026'!R\Max</f>
        <v>0.94770292163133274</v>
      </c>
      <c r="CF324" s="1186">
        <f>'2027'!R\Max</f>
        <v>0.94667439224459282</v>
      </c>
    </row>
    <row r="325" spans="1:84" s="6" customFormat="1" ht="11.25" x14ac:dyDescent="0.2">
      <c r="A325" s="11">
        <v>43411</v>
      </c>
      <c r="B325" s="382">
        <f>'2023'!Maxi_hp</f>
        <v>24.045788242607607</v>
      </c>
      <c r="C325" s="85">
        <f>'2023'!An_max</f>
        <v>2022</v>
      </c>
      <c r="D325" s="1132"/>
      <c r="E325" s="709"/>
      <c r="F325" s="13">
        <f t="shared" si="128"/>
        <v>23</v>
      </c>
      <c r="G325" s="13">
        <f t="shared" si="112"/>
        <v>24</v>
      </c>
      <c r="H325" s="175">
        <f t="shared" si="113"/>
        <v>43402</v>
      </c>
      <c r="I325" s="772">
        <f t="shared" si="114"/>
        <v>0.6428571428571429</v>
      </c>
      <c r="J325" s="763">
        <f t="shared" si="115"/>
        <v>25.310918221463048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P325" s="13">
        <f t="shared" si="116"/>
        <v>13</v>
      </c>
      <c r="AQ325" s="13">
        <f t="shared" si="117"/>
        <v>12</v>
      </c>
      <c r="AR325" s="175">
        <f t="shared" si="118"/>
        <v>43416</v>
      </c>
      <c r="AS325" s="772">
        <f t="shared" si="119"/>
        <v>0.17857142857142858</v>
      </c>
      <c r="AT325" s="789">
        <f t="shared" si="120"/>
        <v>25.286730948809002</v>
      </c>
      <c r="AU325" s="13">
        <f t="shared" si="121"/>
        <v>13</v>
      </c>
      <c r="AV325" s="13">
        <f t="shared" si="122"/>
        <v>12</v>
      </c>
      <c r="AW325" s="175">
        <f t="shared" si="123"/>
        <v>43430</v>
      </c>
      <c r="AX325" s="772">
        <f t="shared" si="124"/>
        <v>0.6785714285714286</v>
      </c>
      <c r="AY325" s="789">
        <f t="shared" si="125"/>
        <v>25.362827828180578</v>
      </c>
      <c r="AZ325" s="763">
        <f t="shared" si="129"/>
        <v>25.32477938849479</v>
      </c>
      <c r="BA325" s="647">
        <f t="shared" si="126"/>
        <v>0.95001643291697568</v>
      </c>
      <c r="BB325" s="642">
        <v>43411</v>
      </c>
      <c r="BC325" s="11">
        <v>43411</v>
      </c>
      <c r="BD325" s="292">
        <f>[2]!FeuilCaduc*(1-Persistant)+Persistant</f>
        <v>1</v>
      </c>
      <c r="BE325" s="293">
        <f>[2]!CroissVégét</f>
        <v>0.99822898609149657</v>
      </c>
      <c r="BF325" s="842">
        <f>1+[2]!Salcycl*Ksac</f>
        <v>1.0375647368868557</v>
      </c>
      <c r="BH325" s="1105">
        <f t="shared" si="127"/>
        <v>1.2699268751298363E-2</v>
      </c>
      <c r="BI325" s="11">
        <v>44507</v>
      </c>
      <c r="BJ325" s="742">
        <v>1.4175619392730668E-3</v>
      </c>
      <c r="BK325" s="742">
        <v>3.9519208328941541E-3</v>
      </c>
      <c r="BL325" s="742">
        <v>8.5471183121517309E-3</v>
      </c>
      <c r="BM325" s="742">
        <v>2.9331149869819221E-2</v>
      </c>
      <c r="BN325" s="742">
        <v>8.0895030831770853E-2</v>
      </c>
      <c r="BO325" s="743">
        <v>0.15148557093854509</v>
      </c>
      <c r="BP325" s="742">
        <v>0.24644215421347485</v>
      </c>
      <c r="BQ325" s="742">
        <v>0.34535712435635219</v>
      </c>
      <c r="BR325" s="742">
        <v>0.47385075901241008</v>
      </c>
      <c r="BS325" s="742">
        <v>0.60871532862546041</v>
      </c>
      <c r="BT325" s="742">
        <v>0.75525931053179729</v>
      </c>
      <c r="BW325" s="1187">
        <f>'2018'!R\Max</f>
        <v>0.43818898950498969</v>
      </c>
      <c r="BX325" s="1185">
        <f>'2019'!R\Max</f>
        <v>0.19270998126111236</v>
      </c>
      <c r="BY325" s="1185">
        <f>'2020'!R\Max</f>
        <v>0.55171214003582314</v>
      </c>
      <c r="BZ325" s="1185">
        <f>'2021'!R\Max</f>
        <v>0.40193062047430789</v>
      </c>
      <c r="CA325" s="1185">
        <f>'2022'!R\Max</f>
        <v>0.95001643291697568</v>
      </c>
      <c r="CB325" s="1185">
        <f>'2023'!R\Max</f>
        <v>0.94825685782298597</v>
      </c>
      <c r="CC325" s="1185">
        <f>'2024'!R\Max</f>
        <v>0.94629275469444429</v>
      </c>
      <c r="CD325" s="1185">
        <f>'2025'!R\Max</f>
        <v>0.95453485170850594</v>
      </c>
      <c r="CE325" s="1185">
        <f>'2026'!R\Max</f>
        <v>0.95382215395536207</v>
      </c>
      <c r="CF325" s="1186">
        <f>'2027'!R\Max</f>
        <v>0.9528805894876804</v>
      </c>
    </row>
    <row r="326" spans="1:84" s="6" customFormat="1" ht="11.25" x14ac:dyDescent="0.2">
      <c r="A326" s="11">
        <v>43412</v>
      </c>
      <c r="B326" s="382">
        <f>'2023'!Maxi_hp</f>
        <v>20.498806693630254</v>
      </c>
      <c r="C326" s="85">
        <f>'2023'!An_max</f>
        <v>2021</v>
      </c>
      <c r="D326" s="1132"/>
      <c r="E326" s="709"/>
      <c r="F326" s="13">
        <f t="shared" si="128"/>
        <v>23</v>
      </c>
      <c r="G326" s="13">
        <f t="shared" si="112"/>
        <v>24</v>
      </c>
      <c r="H326" s="175">
        <f t="shared" si="113"/>
        <v>43402</v>
      </c>
      <c r="I326" s="772">
        <f t="shared" si="114"/>
        <v>0.7142857142857143</v>
      </c>
      <c r="J326" s="763">
        <f t="shared" si="115"/>
        <v>25.011646063519372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P326" s="13">
        <f t="shared" si="116"/>
        <v>13</v>
      </c>
      <c r="AQ326" s="13">
        <f t="shared" si="117"/>
        <v>12</v>
      </c>
      <c r="AR326" s="175">
        <f t="shared" si="118"/>
        <v>43416</v>
      </c>
      <c r="AS326" s="772">
        <f t="shared" si="119"/>
        <v>0.14285714285714285</v>
      </c>
      <c r="AT326" s="789">
        <f t="shared" si="120"/>
        <v>24.993860057422093</v>
      </c>
      <c r="AU326" s="13">
        <f t="shared" si="121"/>
        <v>13</v>
      </c>
      <c r="AV326" s="13">
        <f t="shared" si="122"/>
        <v>12</v>
      </c>
      <c r="AW326" s="175">
        <f t="shared" si="123"/>
        <v>43430</v>
      </c>
      <c r="AX326" s="772">
        <f t="shared" si="124"/>
        <v>0.6428571428571429</v>
      </c>
      <c r="AY326" s="789">
        <f t="shared" si="125"/>
        <v>25.068263591506653</v>
      </c>
      <c r="AZ326" s="763">
        <f t="shared" si="129"/>
        <v>25.031061824464373</v>
      </c>
      <c r="BA326" s="647">
        <f t="shared" si="126"/>
        <v>0.81957047695188279</v>
      </c>
      <c r="BB326" s="642">
        <v>43412</v>
      </c>
      <c r="BC326" s="11">
        <v>43412</v>
      </c>
      <c r="BD326" s="292">
        <f>[2]!FeuilCaduc*(1-Persistant)+Persistant</f>
        <v>1</v>
      </c>
      <c r="BE326" s="293">
        <f>[2]!CroissVégét</f>
        <v>0.99831345700622864</v>
      </c>
      <c r="BF326" s="842">
        <f>1+[2]!Salcycl*Ksac</f>
        <v>1.0361567631798401</v>
      </c>
      <c r="BH326" s="1105">
        <f t="shared" si="127"/>
        <v>1.3038168115806659E-2</v>
      </c>
      <c r="BI326" s="11">
        <v>44508</v>
      </c>
      <c r="BJ326" s="742">
        <v>1.3601709278853904E-3</v>
      </c>
      <c r="BK326" s="742">
        <v>3.823275200066395E-3</v>
      </c>
      <c r="BL326" s="742">
        <v>8.6052295612473063E-3</v>
      </c>
      <c r="BM326" s="742">
        <v>3.0794775956897235E-2</v>
      </c>
      <c r="BN326" s="742">
        <v>8.3164318407630985E-2</v>
      </c>
      <c r="BO326" s="743">
        <v>0.15471807338321913</v>
      </c>
      <c r="BP326" s="742">
        <v>0.24984453622911121</v>
      </c>
      <c r="BQ326" s="742">
        <v>0.34974926698907249</v>
      </c>
      <c r="BR326" s="742">
        <v>0.47967838435918925</v>
      </c>
      <c r="BS326" s="742">
        <v>0.61552765285400313</v>
      </c>
      <c r="BT326" s="742">
        <v>0.76281452963937191</v>
      </c>
      <c r="BW326" s="1187">
        <f>'2018'!R\Max</f>
        <v>0.54679250854547079</v>
      </c>
      <c r="BX326" s="1185">
        <f>'2019'!R\Max</f>
        <v>0.57771151208596794</v>
      </c>
      <c r="BY326" s="1185">
        <f>'2020'!R\Max</f>
        <v>0.156836053097448</v>
      </c>
      <c r="BZ326" s="1185">
        <f>'2021'!R\Max</f>
        <v>0.81957047695188279</v>
      </c>
      <c r="CA326" s="1185">
        <f>'2022'!R\Max</f>
        <v>0.614121982426724</v>
      </c>
      <c r="CB326" s="1185">
        <f>'2023'!R\Max</f>
        <v>0.60527356523601084</v>
      </c>
      <c r="CC326" s="1185">
        <f>'2024'!R\Max</f>
        <v>0.59560905186755009</v>
      </c>
      <c r="CD326" s="1185">
        <f>'2025'!R\Max</f>
        <v>0.63796169200062203</v>
      </c>
      <c r="CE326" s="1185">
        <f>'2026'!R\Max</f>
        <v>0.63406401234225573</v>
      </c>
      <c r="CF326" s="1186">
        <f>'2027'!R\Max</f>
        <v>0.62900180549749107</v>
      </c>
    </row>
    <row r="327" spans="1:84" s="6" customFormat="1" ht="11.25" x14ac:dyDescent="0.2">
      <c r="A327" s="11">
        <v>43413</v>
      </c>
      <c r="B327" s="382">
        <f>'2023'!Maxi_hp</f>
        <v>19.612077061652013</v>
      </c>
      <c r="C327" s="85">
        <f>'2023'!An_max</f>
        <v>2020</v>
      </c>
      <c r="D327" s="1132"/>
      <c r="E327" s="709"/>
      <c r="F327" s="13">
        <f t="shared" si="128"/>
        <v>23</v>
      </c>
      <c r="G327" s="13">
        <f t="shared" si="112"/>
        <v>24</v>
      </c>
      <c r="H327" s="175">
        <f t="shared" si="113"/>
        <v>43402</v>
      </c>
      <c r="I327" s="772">
        <f t="shared" si="114"/>
        <v>0.7857142857142857</v>
      </c>
      <c r="J327" s="763">
        <f t="shared" si="115"/>
        <v>24.71900597693665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P327" s="13">
        <f t="shared" si="116"/>
        <v>13</v>
      </c>
      <c r="AQ327" s="13">
        <f t="shared" si="117"/>
        <v>12</v>
      </c>
      <c r="AR327" s="175">
        <f t="shared" si="118"/>
        <v>43416</v>
      </c>
      <c r="AS327" s="772">
        <f t="shared" si="119"/>
        <v>0.10714285714285714</v>
      </c>
      <c r="AT327" s="789">
        <f t="shared" si="120"/>
        <v>24.707150208284812</v>
      </c>
      <c r="AU327" s="13">
        <f t="shared" si="121"/>
        <v>13</v>
      </c>
      <c r="AV327" s="13">
        <f t="shared" si="122"/>
        <v>12</v>
      </c>
      <c r="AW327" s="175">
        <f t="shared" si="123"/>
        <v>43430</v>
      </c>
      <c r="AX327" s="772">
        <f t="shared" si="124"/>
        <v>0.6071428571428571</v>
      </c>
      <c r="AY327" s="789">
        <f t="shared" si="125"/>
        <v>24.778927764083658</v>
      </c>
      <c r="AZ327" s="763">
        <f t="shared" si="129"/>
        <v>24.743038986184235</v>
      </c>
      <c r="BA327" s="647">
        <f t="shared" si="126"/>
        <v>0.79340071683911928</v>
      </c>
      <c r="BB327" s="642">
        <v>43413</v>
      </c>
      <c r="BC327" s="11">
        <v>43413</v>
      </c>
      <c r="BD327" s="292">
        <f>[2]!FeuilCaduc*(1-Persistant)+Persistant</f>
        <v>1</v>
      </c>
      <c r="BE327" s="293">
        <f>[2]!CroissVégét</f>
        <v>0.99839454030316765</v>
      </c>
      <c r="BF327" s="842">
        <f>1+[2]!Salcycl*Ksac</f>
        <v>1.0347626384469126</v>
      </c>
      <c r="BH327" s="1105">
        <f t="shared" si="127"/>
        <v>1.3429510021129177E-2</v>
      </c>
      <c r="BI327" s="11">
        <v>44509</v>
      </c>
      <c r="BJ327" s="742">
        <v>1.3039887393417019E-3</v>
      </c>
      <c r="BK327" s="742">
        <v>3.6989825856868289E-3</v>
      </c>
      <c r="BL327" s="742">
        <v>8.7174112989733717E-3</v>
      </c>
      <c r="BM327" s="742">
        <v>3.230432366630541E-2</v>
      </c>
      <c r="BN327" s="742">
        <v>8.5287026738720892E-2</v>
      </c>
      <c r="BO327" s="743">
        <v>0.15784641448807232</v>
      </c>
      <c r="BP327" s="742">
        <v>0.25297847661131706</v>
      </c>
      <c r="BQ327" s="742">
        <v>0.35413400521663602</v>
      </c>
      <c r="BR327" s="742">
        <v>0.4853374012755593</v>
      </c>
      <c r="BS327" s="742">
        <v>0.62233774770367845</v>
      </c>
      <c r="BT327" s="742">
        <v>0.77035422746706417</v>
      </c>
      <c r="BW327" s="1187">
        <f>'2018'!R\Max</f>
        <v>0.15755870942735273</v>
      </c>
      <c r="BX327" s="1185">
        <f>'2019'!R\Max</f>
        <v>0.71895252461890458</v>
      </c>
      <c r="BY327" s="1185">
        <f>'2020'!R\Max</f>
        <v>0.79340071683911928</v>
      </c>
      <c r="BZ327" s="1185">
        <f>'2021'!R\Max</f>
        <v>0.72182210889360698</v>
      </c>
      <c r="CA327" s="1185">
        <f>'2022'!R\Max</f>
        <v>0.35712667212324967</v>
      </c>
      <c r="CB327" s="1185">
        <f>'2023'!R\Max</f>
        <v>0.34846070917308192</v>
      </c>
      <c r="CC327" s="1185">
        <f>'2024'!R\Max</f>
        <v>0.33913622022621076</v>
      </c>
      <c r="CD327" s="1185">
        <f>'2025'!R\Max</f>
        <v>0.38136667159395621</v>
      </c>
      <c r="CE327" s="1185">
        <f>'2026'!R\Max</f>
        <v>0.37728812125053907</v>
      </c>
      <c r="CF327" s="1186">
        <f>'2027'!R\Max</f>
        <v>0.37206199669695661</v>
      </c>
    </row>
    <row r="328" spans="1:84" s="6" customFormat="1" ht="11.25" x14ac:dyDescent="0.2">
      <c r="A328" s="11">
        <v>43414</v>
      </c>
      <c r="B328" s="382">
        <f>'2023'!Maxi_hp</f>
        <v>21.016789567634788</v>
      </c>
      <c r="C328" s="85">
        <f>'2023'!An_max</f>
        <v>2022</v>
      </c>
      <c r="D328" s="1132"/>
      <c r="E328" s="709"/>
      <c r="F328" s="13">
        <f t="shared" si="128"/>
        <v>23</v>
      </c>
      <c r="G328" s="13">
        <f t="shared" si="112"/>
        <v>24</v>
      </c>
      <c r="H328" s="175">
        <f t="shared" si="113"/>
        <v>43402</v>
      </c>
      <c r="I328" s="772">
        <f t="shared" si="114"/>
        <v>0.8571428571428571</v>
      </c>
      <c r="J328" s="763">
        <f t="shared" si="115"/>
        <v>24.43345014559371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P328" s="13">
        <f t="shared" si="116"/>
        <v>13</v>
      </c>
      <c r="AQ328" s="13">
        <f t="shared" si="117"/>
        <v>12</v>
      </c>
      <c r="AR328" s="175">
        <f t="shared" si="118"/>
        <v>43416</v>
      </c>
      <c r="AS328" s="772">
        <f t="shared" si="119"/>
        <v>7.1428571428571425E-2</v>
      </c>
      <c r="AT328" s="789">
        <f t="shared" si="120"/>
        <v>24.426742710864971</v>
      </c>
      <c r="AU328" s="13">
        <f t="shared" si="121"/>
        <v>13</v>
      </c>
      <c r="AV328" s="13">
        <f t="shared" si="122"/>
        <v>12</v>
      </c>
      <c r="AW328" s="175">
        <f t="shared" si="123"/>
        <v>43430</v>
      </c>
      <c r="AX328" s="772">
        <f t="shared" si="124"/>
        <v>0.5714285714285714</v>
      </c>
      <c r="AY328" s="789">
        <f t="shared" si="125"/>
        <v>24.494947521494964</v>
      </c>
      <c r="AZ328" s="763">
        <f t="shared" si="129"/>
        <v>24.460845116179968</v>
      </c>
      <c r="BA328" s="647">
        <f t="shared" si="126"/>
        <v>0.86016462850724018</v>
      </c>
      <c r="BB328" s="642">
        <v>43414</v>
      </c>
      <c r="BC328" s="11">
        <v>43414</v>
      </c>
      <c r="BD328" s="292">
        <f>[2]!FeuilCaduc*(1-Persistant)+Persistant</f>
        <v>1</v>
      </c>
      <c r="BE328" s="293">
        <f>[2]!CroissVégét</f>
        <v>0.99847237132123801</v>
      </c>
      <c r="BF328" s="842">
        <f>1+[2]!Salcycl*Ksac</f>
        <v>1.0333843755847791</v>
      </c>
      <c r="BH328" s="1105">
        <f t="shared" si="127"/>
        <v>1.3873343199213486E-2</v>
      </c>
      <c r="BI328" s="11">
        <v>44510</v>
      </c>
      <c r="BJ328" s="742">
        <v>1.2490171199861138E-3</v>
      </c>
      <c r="BK328" s="742">
        <v>3.5790483595288642E-3</v>
      </c>
      <c r="BL328" s="742">
        <v>8.8837251411030688E-3</v>
      </c>
      <c r="BM328" s="742">
        <v>3.3859790122454804E-2</v>
      </c>
      <c r="BN328" s="742">
        <v>8.7262834678383305E-2</v>
      </c>
      <c r="BO328" s="743">
        <v>0.16087024115763957</v>
      </c>
      <c r="BP328" s="742">
        <v>0.25584331789893039</v>
      </c>
      <c r="BQ328" s="742">
        <v>0.35851090956525994</v>
      </c>
      <c r="BR328" s="742">
        <v>0.49082701817706553</v>
      </c>
      <c r="BS328" s="742">
        <v>0.62914489361368087</v>
      </c>
      <c r="BT328" s="742">
        <v>0.77787751699516627</v>
      </c>
      <c r="BW328" s="1187">
        <f>'2018'!R\Max</f>
        <v>0.63627026306584633</v>
      </c>
      <c r="BX328" s="1185">
        <f>'2019'!R\Max</f>
        <v>0.76521708562417379</v>
      </c>
      <c r="BY328" s="1185">
        <f>'2020'!R\Max</f>
        <v>0.80879423843614284</v>
      </c>
      <c r="BZ328" s="1185">
        <f>'2021'!R\Max</f>
        <v>0.26515505138323525</v>
      </c>
      <c r="CA328" s="1185">
        <f>'2022'!R\Max</f>
        <v>0.86016462850724018</v>
      </c>
      <c r="CB328" s="1185">
        <f>'2023'!R\Max</f>
        <v>0.85543680403740618</v>
      </c>
      <c r="CC328" s="1185">
        <f>'2024'!R\Max</f>
        <v>0.85010420578814416</v>
      </c>
      <c r="CD328" s="1185">
        <f>'2025'!R\Max</f>
        <v>0.87246054947715557</v>
      </c>
      <c r="CE328" s="1185">
        <f>'2026'!R\Max</f>
        <v>0.87047142365475705</v>
      </c>
      <c r="CF328" s="1186">
        <f>'2027'!R\Max</f>
        <v>0.86787603748613296</v>
      </c>
    </row>
    <row r="329" spans="1:84" s="6" customFormat="1" ht="11.25" x14ac:dyDescent="0.2">
      <c r="A329" s="11">
        <v>43415</v>
      </c>
      <c r="B329" s="382">
        <f>'2023'!Maxi_hp</f>
        <v>21.778957702491802</v>
      </c>
      <c r="C329" s="85">
        <f>'2023'!An_max</f>
        <v>2022</v>
      </c>
      <c r="D329" s="1132"/>
      <c r="E329" s="709"/>
      <c r="F329" s="13">
        <f t="shared" si="128"/>
        <v>23</v>
      </c>
      <c r="G329" s="13">
        <f t="shared" si="112"/>
        <v>24</v>
      </c>
      <c r="H329" s="175">
        <f t="shared" si="113"/>
        <v>43402</v>
      </c>
      <c r="I329" s="772">
        <f t="shared" si="114"/>
        <v>0.9285714285714286</v>
      </c>
      <c r="J329" s="763">
        <f t="shared" si="115"/>
        <v>24.155430757041486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P329" s="13">
        <f t="shared" si="116"/>
        <v>13</v>
      </c>
      <c r="AQ329" s="13">
        <f t="shared" si="117"/>
        <v>12</v>
      </c>
      <c r="AR329" s="175">
        <f t="shared" si="118"/>
        <v>43416</v>
      </c>
      <c r="AS329" s="772">
        <f t="shared" si="119"/>
        <v>3.5714285714285712E-2</v>
      </c>
      <c r="AT329" s="789">
        <f t="shared" si="120"/>
        <v>24.152778871117956</v>
      </c>
      <c r="AU329" s="13">
        <f t="shared" si="121"/>
        <v>13</v>
      </c>
      <c r="AV329" s="13">
        <f t="shared" si="122"/>
        <v>12</v>
      </c>
      <c r="AW329" s="175">
        <f t="shared" si="123"/>
        <v>43430</v>
      </c>
      <c r="AX329" s="772">
        <f t="shared" si="124"/>
        <v>0.5357142857142857</v>
      </c>
      <c r="AY329" s="789">
        <f t="shared" si="125"/>
        <v>24.216450040361714</v>
      </c>
      <c r="AZ329" s="763">
        <f t="shared" si="129"/>
        <v>24.184614455739833</v>
      </c>
      <c r="BA329" s="647">
        <f t="shared" si="126"/>
        <v>0.90161744253486664</v>
      </c>
      <c r="BB329" s="642">
        <v>43415</v>
      </c>
      <c r="BC329" s="11">
        <v>43415</v>
      </c>
      <c r="BD329" s="292">
        <f>[2]!FeuilCaduc*(1-Persistant)+Persistant</f>
        <v>1</v>
      </c>
      <c r="BE329" s="293">
        <f>[2]!CroissVégét</f>
        <v>0.99854708003323223</v>
      </c>
      <c r="BF329" s="842">
        <f>1+[2]!Salcycl*Ksac</f>
        <v>1.0320239363925774</v>
      </c>
      <c r="BH329" s="1105">
        <f t="shared" si="127"/>
        <v>1.4369712379528492E-2</v>
      </c>
      <c r="BI329" s="11">
        <v>44511</v>
      </c>
      <c r="BJ329" s="742">
        <v>1.195257961466723E-3</v>
      </c>
      <c r="BK329" s="742">
        <v>3.4634781305864959E-3</v>
      </c>
      <c r="BL329" s="742">
        <v>9.1042296260167438E-3</v>
      </c>
      <c r="BM329" s="742">
        <v>3.5461164741747812E-2</v>
      </c>
      <c r="BN329" s="742">
        <v>8.9091420763911688E-2</v>
      </c>
      <c r="BO329" s="743">
        <v>0.16378919432310701</v>
      </c>
      <c r="BP329" s="742">
        <v>0.25843840490467967</v>
      </c>
      <c r="BQ329" s="742">
        <v>0.3628795354821297</v>
      </c>
      <c r="BR329" s="742">
        <v>0.49614643194219438</v>
      </c>
      <c r="BS329" s="742">
        <v>0.63594834723453253</v>
      </c>
      <c r="BT329" s="742">
        <v>0.78538348561634885</v>
      </c>
      <c r="BW329" s="1187">
        <f>'2018'!R\Max</f>
        <v>0.82882965952511178</v>
      </c>
      <c r="BX329" s="1185">
        <f>'2019'!R\Max</f>
        <v>0.86783963731660263</v>
      </c>
      <c r="BY329" s="1185">
        <f>'2020'!R\Max</f>
        <v>0.55930616596686022</v>
      </c>
      <c r="BZ329" s="1185">
        <f>'2021'!R\Max</f>
        <v>0.37670001918600848</v>
      </c>
      <c r="CA329" s="1185">
        <f>'2022'!R\Max</f>
        <v>0.90161744253486664</v>
      </c>
      <c r="CB329" s="1185">
        <f>'2023'!R\Max</f>
        <v>0.89804786318706709</v>
      </c>
      <c r="CC329" s="1185">
        <f>'2024'!R\Max</f>
        <v>0.89397503399076372</v>
      </c>
      <c r="CD329" s="1185">
        <f>'2025'!R\Max</f>
        <v>0.91080936256658573</v>
      </c>
      <c r="CE329" s="1185">
        <f>'2026'!R\Max</f>
        <v>0.90932482592468922</v>
      </c>
      <c r="CF329" s="1186">
        <f>'2027'!R\Max</f>
        <v>0.90738448198769028</v>
      </c>
    </row>
    <row r="330" spans="1:84" s="6" customFormat="1" ht="11.25" x14ac:dyDescent="0.2">
      <c r="A330" s="11">
        <v>43416</v>
      </c>
      <c r="B330" s="382">
        <f>'2023'!Maxi_hp</f>
        <v>21.646886416658624</v>
      </c>
      <c r="C330" s="85">
        <f>'2023'!An_max</f>
        <v>2022</v>
      </c>
      <c r="D330" s="1132"/>
      <c r="E330" s="771">
        <f>AJ$13/10</f>
        <v>23.885400000000001</v>
      </c>
      <c r="F330" s="13">
        <f t="shared" si="128"/>
        <v>25</v>
      </c>
      <c r="G330" s="13">
        <f t="shared" si="112"/>
        <v>24</v>
      </c>
      <c r="H330" s="175">
        <f t="shared" si="113"/>
        <v>43430</v>
      </c>
      <c r="I330" s="772">
        <f t="shared" si="114"/>
        <v>1</v>
      </c>
      <c r="J330" s="763">
        <f t="shared" si="115"/>
        <v>23.885400000214577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P330" s="13">
        <f t="shared" si="116"/>
        <v>13</v>
      </c>
      <c r="AQ330" s="13">
        <f t="shared" si="117"/>
        <v>14</v>
      </c>
      <c r="AR330" s="175">
        <f t="shared" si="118"/>
        <v>43416</v>
      </c>
      <c r="AS330" s="772">
        <f t="shared" si="119"/>
        <v>0</v>
      </c>
      <c r="AT330" s="789">
        <f t="shared" si="120"/>
        <v>23.885399998724459</v>
      </c>
      <c r="AU330" s="13">
        <f t="shared" si="121"/>
        <v>13</v>
      </c>
      <c r="AV330" s="13">
        <f t="shared" si="122"/>
        <v>12</v>
      </c>
      <c r="AW330" s="175">
        <f t="shared" si="123"/>
        <v>43430</v>
      </c>
      <c r="AX330" s="772">
        <f t="shared" si="124"/>
        <v>0.5</v>
      </c>
      <c r="AY330" s="789">
        <f t="shared" si="125"/>
        <v>23.943562499433757</v>
      </c>
      <c r="AZ330" s="763">
        <f t="shared" si="129"/>
        <v>23.91448124907911</v>
      </c>
      <c r="BA330" s="647">
        <f t="shared" si="126"/>
        <v>0.90628109290462611</v>
      </c>
      <c r="BB330" s="642">
        <v>43416</v>
      </c>
      <c r="BC330" s="11">
        <v>43416</v>
      </c>
      <c r="BD330" s="292">
        <f>[2]!FeuilCaduc*(1-Persistant)+Persistant</f>
        <v>1</v>
      </c>
      <c r="BE330" s="293">
        <f>[2]!CroissVégét</f>
        <v>0.99861879125535868</v>
      </c>
      <c r="BF330" s="842">
        <f>1+[2]!Salcycl*Ksac</f>
        <v>1.0306832225056806</v>
      </c>
      <c r="BH330" s="1105">
        <f t="shared" si="127"/>
        <v>1.4918657810243588E-2</v>
      </c>
      <c r="BI330" s="11">
        <v>44512</v>
      </c>
      <c r="BJ330" s="742">
        <v>1.1427132890977783E-3</v>
      </c>
      <c r="BK330" s="742">
        <v>3.3522777058732282E-3</v>
      </c>
      <c r="BL330" s="742">
        <v>9.3789797189135302E-3</v>
      </c>
      <c r="BM330" s="742">
        <v>3.7108428821722647E-2</v>
      </c>
      <c r="BN330" s="742">
        <v>9.0772464574091008E-2</v>
      </c>
      <c r="BO330" s="743">
        <v>0.16660290991453153</v>
      </c>
      <c r="BP330" s="742">
        <v>0.26076308718923508</v>
      </c>
      <c r="BQ330" s="742">
        <v>0.36723942341821886</v>
      </c>
      <c r="BR330" s="742">
        <v>0.50129482947712278</v>
      </c>
      <c r="BS330" s="742">
        <v>0.64274734146725276</v>
      </c>
      <c r="BT330" s="742">
        <v>0.7928711952938825</v>
      </c>
      <c r="BW330" s="1187">
        <f>'2018'!R\Max</f>
        <v>0.89731270786747086</v>
      </c>
      <c r="BX330" s="1185">
        <f>'2019'!R\Max</f>
        <v>0.66617537970304952</v>
      </c>
      <c r="BY330" s="1185">
        <f>'2020'!R\Max</f>
        <v>0.83476004151190297</v>
      </c>
      <c r="BZ330" s="1185">
        <f>'2021'!R\Max</f>
        <v>0.37252860417177136</v>
      </c>
      <c r="CA330" s="1185">
        <f>'2022'!R\Max</f>
        <v>0.90628109290462611</v>
      </c>
      <c r="CB330" s="1185">
        <f>'2023'!R\Max</f>
        <v>0.90278521211887963</v>
      </c>
      <c r="CC330" s="1185">
        <f>'2024'!R\Max</f>
        <v>0.89875864691852625</v>
      </c>
      <c r="CD330" s="1185">
        <f>'2025'!R\Max</f>
        <v>0.9152224930712678</v>
      </c>
      <c r="CE330" s="1185">
        <f>'2026'!R\Max</f>
        <v>0.91377899740280177</v>
      </c>
      <c r="CF330" s="1186">
        <f>'2027'!R\Max</f>
        <v>0.91188883195364323</v>
      </c>
    </row>
    <row r="331" spans="1:84" s="6" customFormat="1" ht="11.25" x14ac:dyDescent="0.2">
      <c r="A331" s="11">
        <v>43417</v>
      </c>
      <c r="B331" s="382">
        <f>'2023'!Maxi_hp</f>
        <v>23.471862617221571</v>
      </c>
      <c r="C331" s="85">
        <f>'2023'!An_max</f>
        <v>2020</v>
      </c>
      <c r="D331" s="1132"/>
      <c r="E331" s="709"/>
      <c r="F331" s="13">
        <f t="shared" si="128"/>
        <v>25</v>
      </c>
      <c r="G331" s="13">
        <f t="shared" si="112"/>
        <v>24</v>
      </c>
      <c r="H331" s="175">
        <f t="shared" si="113"/>
        <v>43430</v>
      </c>
      <c r="I331" s="772">
        <f t="shared" si="114"/>
        <v>0.9285714285714286</v>
      </c>
      <c r="J331" s="763">
        <f t="shared" si="115"/>
        <v>23.623414394419108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P331" s="13">
        <f t="shared" si="116"/>
        <v>13</v>
      </c>
      <c r="AQ331" s="13">
        <f t="shared" si="117"/>
        <v>14</v>
      </c>
      <c r="AR331" s="175">
        <f t="shared" si="118"/>
        <v>43416</v>
      </c>
      <c r="AS331" s="772">
        <f t="shared" si="119"/>
        <v>3.5714285714285712E-2</v>
      </c>
      <c r="AT331" s="789">
        <f t="shared" si="120"/>
        <v>23.622580636931318</v>
      </c>
      <c r="AU331" s="13">
        <f t="shared" si="121"/>
        <v>13</v>
      </c>
      <c r="AV331" s="13">
        <f t="shared" si="122"/>
        <v>12</v>
      </c>
      <c r="AW331" s="175">
        <f t="shared" si="123"/>
        <v>43430</v>
      </c>
      <c r="AX331" s="772">
        <f t="shared" si="124"/>
        <v>0.4642857142857143</v>
      </c>
      <c r="AY331" s="789">
        <f t="shared" si="125"/>
        <v>23.67641207538545</v>
      </c>
      <c r="AZ331" s="763">
        <f t="shared" si="129"/>
        <v>23.649496356158384</v>
      </c>
      <c r="BA331" s="647">
        <f t="shared" si="126"/>
        <v>0.99358467939192818</v>
      </c>
      <c r="BB331" s="642">
        <v>43417</v>
      </c>
      <c r="BC331" s="11">
        <v>43417</v>
      </c>
      <c r="BD331" s="292">
        <f>[2]!FeuilCaduc*(1-Persistant)+Persistant</f>
        <v>1</v>
      </c>
      <c r="BE331" s="293">
        <f>[2]!CroissVégét</f>
        <v>0.99868762484886009</v>
      </c>
      <c r="BF331" s="842">
        <f>1+[2]!Salcycl*Ksac</f>
        <v>1.029364066656854</v>
      </c>
      <c r="BH331" s="1105">
        <f t="shared" si="127"/>
        <v>1.5520214779192701E-2</v>
      </c>
      <c r="BI331" s="11">
        <v>44513</v>
      </c>
      <c r="BJ331" s="742">
        <v>1.0913852502025647E-3</v>
      </c>
      <c r="BK331" s="742">
        <v>3.2454530491657051E-3</v>
      </c>
      <c r="BL331" s="742">
        <v>9.7080263158852067E-3</v>
      </c>
      <c r="BM331" s="742">
        <v>3.8801555129672913E-2</v>
      </c>
      <c r="BN331" s="742">
        <v>9.2305648085387673E-2</v>
      </c>
      <c r="BO331" s="743">
        <v>0.16931101983057026</v>
      </c>
      <c r="BP331" s="742">
        <v>0.26281672153130026</v>
      </c>
      <c r="BQ331" s="742">
        <v>0.37159009890555961</v>
      </c>
      <c r="BR331" s="742">
        <v>0.50627138927287263</v>
      </c>
      <c r="BS331" s="742">
        <v>0.64954108549279166</v>
      </c>
      <c r="BT331" s="742">
        <v>0.80033968270781308</v>
      </c>
      <c r="BW331" s="1187">
        <f>'2018'!R\Max</f>
        <v>0.32703089675107383</v>
      </c>
      <c r="BX331" s="1185">
        <f>'2019'!R\Max</f>
        <v>0.81189480028047512</v>
      </c>
      <c r="BY331" s="1185">
        <f>'2020'!R\Max</f>
        <v>0.99358467939192818</v>
      </c>
      <c r="BZ331" s="1185">
        <f>'2021'!R\Max</f>
        <v>0.26208434483038273</v>
      </c>
      <c r="CA331" s="1185">
        <f>'2022'!R\Max</f>
        <v>0.80399321611290842</v>
      </c>
      <c r="CB331" s="1185">
        <f>'2023'!R\Max</f>
        <v>0.79738601406973064</v>
      </c>
      <c r="CC331" s="1185">
        <f>'2024'!R\Max</f>
        <v>0.78977063107711165</v>
      </c>
      <c r="CD331" s="1185">
        <f>'2025'!R\Max</f>
        <v>0.8210146932063711</v>
      </c>
      <c r="CE331" s="1185">
        <f>'2026'!R\Max</f>
        <v>0.81824643810649855</v>
      </c>
      <c r="CF331" s="1186">
        <f>'2027'!R\Max</f>
        <v>0.81462512128210562</v>
      </c>
    </row>
    <row r="332" spans="1:84" s="6" customFormat="1" ht="11.25" x14ac:dyDescent="0.2">
      <c r="A332" s="11">
        <v>43418</v>
      </c>
      <c r="B332" s="382">
        <f>'2023'!Maxi_hp</f>
        <v>17.097007227824616</v>
      </c>
      <c r="C332" s="85">
        <f>'2023'!An_max</f>
        <v>2020</v>
      </c>
      <c r="D332" s="1132"/>
      <c r="E332" s="709"/>
      <c r="F332" s="13">
        <f t="shared" si="128"/>
        <v>25</v>
      </c>
      <c r="G332" s="13">
        <f t="shared" si="112"/>
        <v>24</v>
      </c>
      <c r="H332" s="175">
        <f t="shared" si="113"/>
        <v>43430</v>
      </c>
      <c r="I332" s="772">
        <f t="shared" si="114"/>
        <v>0.8571428571428571</v>
      </c>
      <c r="J332" s="763">
        <f t="shared" si="115"/>
        <v>23.369002914748023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P332" s="13">
        <f t="shared" si="116"/>
        <v>13</v>
      </c>
      <c r="AQ332" s="13">
        <f t="shared" si="117"/>
        <v>14</v>
      </c>
      <c r="AR332" s="175">
        <f t="shared" si="118"/>
        <v>43416</v>
      </c>
      <c r="AS332" s="772">
        <f t="shared" si="119"/>
        <v>7.1428571428571425E-2</v>
      </c>
      <c r="AT332" s="789">
        <f t="shared" si="120"/>
        <v>23.362420939175145</v>
      </c>
      <c r="AU332" s="13">
        <f t="shared" si="121"/>
        <v>13</v>
      </c>
      <c r="AV332" s="13">
        <f t="shared" si="122"/>
        <v>12</v>
      </c>
      <c r="AW332" s="175">
        <f t="shared" si="123"/>
        <v>43430</v>
      </c>
      <c r="AX332" s="772">
        <f t="shared" si="124"/>
        <v>0.42857142857142855</v>
      </c>
      <c r="AY332" s="789">
        <f t="shared" si="125"/>
        <v>23.415125946913445</v>
      </c>
      <c r="AZ332" s="763">
        <f t="shared" si="129"/>
        <v>23.388773443044293</v>
      </c>
      <c r="BA332" s="647">
        <f t="shared" si="126"/>
        <v>0.73161047093861276</v>
      </c>
      <c r="BB332" s="642">
        <v>43418</v>
      </c>
      <c r="BC332" s="11">
        <v>43418</v>
      </c>
      <c r="BD332" s="292">
        <f>[2]!FeuilCaduc*(1-Persistant)+Persistant</f>
        <v>1</v>
      </c>
      <c r="BE332" s="293">
        <f>[2]!CroissVégét</f>
        <v>0.99875369591398344</v>
      </c>
      <c r="BF332" s="842">
        <f>1+[2]!Salcycl*Ksac</f>
        <v>1.0280682243269867</v>
      </c>
      <c r="BH332" s="1105">
        <f t="shared" si="127"/>
        <v>1.6147104409920569E-2</v>
      </c>
      <c r="BI332" s="11">
        <v>44514</v>
      </c>
      <c r="BJ332" s="742">
        <v>1.0431647734265798E-3</v>
      </c>
      <c r="BK332" s="742">
        <v>3.1458752204686015E-3</v>
      </c>
      <c r="BL332" s="742">
        <v>1.0079614257057948E-2</v>
      </c>
      <c r="BM332" s="742">
        <v>4.0451082887864934E-2</v>
      </c>
      <c r="BN332" s="742">
        <v>9.3668944407580612E-2</v>
      </c>
      <c r="BO332" s="743">
        <v>0.17183365083699628</v>
      </c>
      <c r="BP332" s="742">
        <v>0.2646617454074609</v>
      </c>
      <c r="BQ332" s="742">
        <v>0.37587703147578472</v>
      </c>
      <c r="BR332" s="742">
        <v>0.51106298988883114</v>
      </c>
      <c r="BS332" s="742">
        <v>0.65615276136445877</v>
      </c>
      <c r="BT332" s="742">
        <v>0.80749547786308917</v>
      </c>
      <c r="BW332" s="1187">
        <f>'2018'!R\Max</f>
        <v>0.7026023468809971</v>
      </c>
      <c r="BX332" s="1185">
        <f>'2019'!R\Max</f>
        <v>0.25580435089008152</v>
      </c>
      <c r="BY332" s="1185">
        <f>'2020'!R\Max</f>
        <v>0.73161047093861276</v>
      </c>
      <c r="BZ332" s="1185">
        <f>'2021'!R\Max</f>
        <v>0.22815947852772755</v>
      </c>
      <c r="CA332" s="1185">
        <f>'2022'!R\Max</f>
        <v>0.44948314506434239</v>
      </c>
      <c r="CB332" s="1185">
        <f>'2023'!R\Max</f>
        <v>0.43902545566494555</v>
      </c>
      <c r="CC332" s="1185">
        <f>'2024'!R\Max</f>
        <v>0.42724184188792991</v>
      </c>
      <c r="CD332" s="1185">
        <f>'2025'!R\Max</f>
        <v>0.47767669228092696</v>
      </c>
      <c r="CE332" s="1185">
        <f>'2026'!R\Max</f>
        <v>0.47295271616103429</v>
      </c>
      <c r="CF332" s="1186">
        <f>'2027'!R\Max</f>
        <v>0.46684024874150615</v>
      </c>
    </row>
    <row r="333" spans="1:84" s="6" customFormat="1" ht="11.25" x14ac:dyDescent="0.2">
      <c r="A333" s="11">
        <v>43419</v>
      </c>
      <c r="B333" s="382">
        <f>'2023'!Maxi_hp</f>
        <v>21.895850327793376</v>
      </c>
      <c r="C333" s="85">
        <f>'2023'!An_max</f>
        <v>2020</v>
      </c>
      <c r="D333" s="1132"/>
      <c r="E333" s="709"/>
      <c r="F333" s="13">
        <f t="shared" si="128"/>
        <v>25</v>
      </c>
      <c r="G333" s="13">
        <f t="shared" si="112"/>
        <v>24</v>
      </c>
      <c r="H333" s="175">
        <f t="shared" si="113"/>
        <v>43430</v>
      </c>
      <c r="I333" s="772">
        <f t="shared" si="114"/>
        <v>0.7857142857142857</v>
      </c>
      <c r="J333" s="763">
        <f t="shared" si="115"/>
        <v>23.121826420671173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P333" s="13">
        <f t="shared" si="116"/>
        <v>13</v>
      </c>
      <c r="AQ333" s="13">
        <f t="shared" si="117"/>
        <v>14</v>
      </c>
      <c r="AR333" s="175">
        <f t="shared" si="118"/>
        <v>43416</v>
      </c>
      <c r="AS333" s="772">
        <f t="shared" si="119"/>
        <v>0.10714285714285714</v>
      </c>
      <c r="AT333" s="789">
        <f t="shared" si="120"/>
        <v>23.105250634652165</v>
      </c>
      <c r="AU333" s="13">
        <f t="shared" si="121"/>
        <v>13</v>
      </c>
      <c r="AV333" s="13">
        <f t="shared" si="122"/>
        <v>12</v>
      </c>
      <c r="AW333" s="175">
        <f t="shared" si="123"/>
        <v>43430</v>
      </c>
      <c r="AX333" s="772">
        <f t="shared" si="124"/>
        <v>0.39285714285714285</v>
      </c>
      <c r="AY333" s="789">
        <f t="shared" si="125"/>
        <v>23.159831289574505</v>
      </c>
      <c r="AZ333" s="763">
        <f t="shared" si="129"/>
        <v>23.132540962113335</v>
      </c>
      <c r="BA333" s="647">
        <f t="shared" si="126"/>
        <v>0.9469775410223753</v>
      </c>
      <c r="BB333" s="642">
        <v>43419</v>
      </c>
      <c r="BC333" s="11">
        <v>43419</v>
      </c>
      <c r="BD333" s="292">
        <f>[2]!FeuilCaduc*(1-Persistant)+Persistant</f>
        <v>1</v>
      </c>
      <c r="BE333" s="293">
        <f>[2]!CroissVégét</f>
        <v>0.99881711497657366</v>
      </c>
      <c r="BF333" s="842">
        <f>1+[2]!Salcycl*Ksac</f>
        <v>1.0267973658447787</v>
      </c>
      <c r="BH333" s="1105">
        <f t="shared" si="127"/>
        <v>1.6765139475225573E-2</v>
      </c>
      <c r="BI333" s="11">
        <v>44515</v>
      </c>
      <c r="BJ333" s="742">
        <v>9.9688134257620029E-4</v>
      </c>
      <c r="BK333" s="742">
        <v>3.0514773679143951E-3</v>
      </c>
      <c r="BL333" s="742">
        <v>1.0468098326769447E-2</v>
      </c>
      <c r="BM333" s="742">
        <v>4.198860893147225E-2</v>
      </c>
      <c r="BN333" s="742">
        <v>9.4947744382394991E-2</v>
      </c>
      <c r="BO333" s="743">
        <v>0.17421075391892574</v>
      </c>
      <c r="BP333" s="742">
        <v>0.26644708028195951</v>
      </c>
      <c r="BQ333" s="742">
        <v>0.38011873884438452</v>
      </c>
      <c r="BR333" s="742">
        <v>0.51579255536102431</v>
      </c>
      <c r="BS333" s="742">
        <v>0.66265135999220726</v>
      </c>
      <c r="BT333" s="742">
        <v>0.81437456811676245</v>
      </c>
      <c r="BW333" s="1187">
        <f>'2018'!R\Max</f>
        <v>0.64306189729774299</v>
      </c>
      <c r="BX333" s="1185">
        <f>'2019'!R\Max</f>
        <v>0.63213453378067219</v>
      </c>
      <c r="BY333" s="1185">
        <f>'2020'!R\Max</f>
        <v>0.9469775410223753</v>
      </c>
      <c r="BZ333" s="1185">
        <f>'2021'!R\Max</f>
        <v>0.28921643691888571</v>
      </c>
      <c r="CA333" s="1185">
        <f>'2022'!R\Max</f>
        <v>0.56136068252811211</v>
      </c>
      <c r="CB333" s="1185">
        <f>'2023'!R\Max</f>
        <v>0.5506621522795645</v>
      </c>
      <c r="CC333" s="1185">
        <f>'2024'!R\Max</f>
        <v>0.53838015261253092</v>
      </c>
      <c r="CD333" s="1185">
        <f>'2025'!R\Max</f>
        <v>0.58945351793378031</v>
      </c>
      <c r="CE333" s="1185">
        <f>'2026'!R\Max</f>
        <v>0.58480993248920699</v>
      </c>
      <c r="CF333" s="1186">
        <f>'2027'!R\Max</f>
        <v>0.57874859059477013</v>
      </c>
    </row>
    <row r="334" spans="1:84" s="6" customFormat="1" ht="11.25" x14ac:dyDescent="0.2">
      <c r="A334" s="11">
        <v>43420</v>
      </c>
      <c r="B334" s="382">
        <f>'2023'!Maxi_hp</f>
        <v>21.302314417663752</v>
      </c>
      <c r="C334" s="85">
        <f>'2023'!An_max</f>
        <v>2022</v>
      </c>
      <c r="D334" s="1132"/>
      <c r="E334" s="709"/>
      <c r="F334" s="13">
        <f t="shared" si="128"/>
        <v>25</v>
      </c>
      <c r="G334" s="13">
        <f t="shared" si="112"/>
        <v>24</v>
      </c>
      <c r="H334" s="175">
        <f t="shared" si="113"/>
        <v>43430</v>
      </c>
      <c r="I334" s="772">
        <f t="shared" si="114"/>
        <v>0.7142857142857143</v>
      </c>
      <c r="J334" s="763">
        <f t="shared" si="115"/>
        <v>22.881545773042099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P334" s="13">
        <f t="shared" si="116"/>
        <v>13</v>
      </c>
      <c r="AQ334" s="13">
        <f t="shared" si="117"/>
        <v>14</v>
      </c>
      <c r="AR334" s="175">
        <f t="shared" si="118"/>
        <v>43416</v>
      </c>
      <c r="AS334" s="772">
        <f t="shared" si="119"/>
        <v>0.14285714285714285</v>
      </c>
      <c r="AT334" s="789">
        <f t="shared" si="120"/>
        <v>22.851399452132839</v>
      </c>
      <c r="AU334" s="13">
        <f t="shared" si="121"/>
        <v>13</v>
      </c>
      <c r="AV334" s="13">
        <f t="shared" si="122"/>
        <v>12</v>
      </c>
      <c r="AW334" s="175">
        <f t="shared" si="123"/>
        <v>43430</v>
      </c>
      <c r="AX334" s="772">
        <f t="shared" si="124"/>
        <v>0.35714285714285715</v>
      </c>
      <c r="AY334" s="789">
        <f t="shared" si="125"/>
        <v>22.910655282810332</v>
      </c>
      <c r="AZ334" s="763">
        <f t="shared" si="129"/>
        <v>22.881027367471585</v>
      </c>
      <c r="BA334" s="647">
        <f t="shared" si="126"/>
        <v>0.93098231338728354</v>
      </c>
      <c r="BB334" s="642">
        <v>43420</v>
      </c>
      <c r="BC334" s="11">
        <v>43420</v>
      </c>
      <c r="BD334" s="292">
        <f>[2]!FeuilCaduc*(1-Persistant)+Persistant</f>
        <v>1</v>
      </c>
      <c r="BE334" s="293">
        <f>[2]!CroissVégét</f>
        <v>0.9988779881675528</v>
      </c>
      <c r="BF334" s="842">
        <f>1+[2]!Salcycl*Ksac</f>
        <v>1.0255530689914025</v>
      </c>
      <c r="BH334" s="1105">
        <f t="shared" si="127"/>
        <v>1.7374270675360425E-2</v>
      </c>
      <c r="BI334" s="11">
        <v>44516</v>
      </c>
      <c r="BJ334" s="742">
        <v>9.5253811415244288E-4</v>
      </c>
      <c r="BK334" s="742">
        <v>2.9622664352611737E-3</v>
      </c>
      <c r="BL334" s="742">
        <v>1.0873473314039137E-2</v>
      </c>
      <c r="BM334" s="742">
        <v>4.3413907358493493E-2</v>
      </c>
      <c r="BN334" s="742">
        <v>9.6141816896497437E-2</v>
      </c>
      <c r="BO334" s="743">
        <v>0.17644191470155005</v>
      </c>
      <c r="BP334" s="742">
        <v>0.26817235168782594</v>
      </c>
      <c r="BQ334" s="742">
        <v>0.38431466581095225</v>
      </c>
      <c r="BR334" s="742">
        <v>0.52045937193929759</v>
      </c>
      <c r="BS334" s="742">
        <v>0.66903590956648784</v>
      </c>
      <c r="BT334" s="742">
        <v>0.82097564504113751</v>
      </c>
      <c r="BW334" s="1187">
        <f>'2018'!R\Max</f>
        <v>0.90834874817171651</v>
      </c>
      <c r="BX334" s="1185">
        <f>'2019'!R\Max</f>
        <v>0.65481921663257525</v>
      </c>
      <c r="BY334" s="1185">
        <f>'2020'!R\Max</f>
        <v>0.75796961561981657</v>
      </c>
      <c r="BZ334" s="1185">
        <f>'2021'!R\Max</f>
        <v>0.39816336586713363</v>
      </c>
      <c r="CA334" s="1185">
        <f>'2022'!R\Max</f>
        <v>0.93098231338728354</v>
      </c>
      <c r="CB334" s="1185">
        <f>'2023'!R\Max</f>
        <v>0.92807770397023281</v>
      </c>
      <c r="CC334" s="1185">
        <f>'2024'!R\Max</f>
        <v>0.92459290275080386</v>
      </c>
      <c r="CD334" s="1185">
        <f>'2025'!R\Max</f>
        <v>0.93811038603692098</v>
      </c>
      <c r="CE334" s="1185">
        <f>'2026'!R\Max</f>
        <v>0.93697633853362883</v>
      </c>
      <c r="CF334" s="1186">
        <f>'2027'!R\Max</f>
        <v>0.93546674498790006</v>
      </c>
    </row>
    <row r="335" spans="1:84" s="6" customFormat="1" ht="11.25" x14ac:dyDescent="0.2">
      <c r="A335" s="11">
        <v>43421</v>
      </c>
      <c r="B335" s="382">
        <f>'2023'!Maxi_hp</f>
        <v>21.938135822618069</v>
      </c>
      <c r="C335" s="85">
        <f>'2023'!An_max</f>
        <v>2018</v>
      </c>
      <c r="D335" s="1132"/>
      <c r="E335" s="709"/>
      <c r="F335" s="13">
        <f t="shared" si="128"/>
        <v>25</v>
      </c>
      <c r="G335" s="13">
        <f t="shared" ref="G335:G380" si="130">INT((MATCH($A335,x.2m)+1)/2)*2</f>
        <v>24</v>
      </c>
      <c r="H335" s="175">
        <f t="shared" ref="H335:H380" si="131">INDEX(x.2m,F335)</f>
        <v>43430</v>
      </c>
      <c r="I335" s="772">
        <f t="shared" ref="I335:I380" si="132">($A335-H335)/(INDEX(x.2m,G335)-H335)</f>
        <v>0.6428571428571429</v>
      </c>
      <c r="J335" s="763">
        <f t="shared" ref="J335:J380" si="133">((1-I335)*(INDEX(a.m,F335)*$A335*$A335+INDEX(b.m,F335)*$A335+INDEX(c.m,F335))+I335*(INDEX(a.m,G335)*$A335*$A335+INDEX(b.m,G335)*$A335+INDEX(c.m,G335)))/10</f>
        <v>22.647821829308356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P335" s="13">
        <f t="shared" ref="AP335:AP380" si="134">INT(MATCH($A335,x.2lg)/2)*2+1</f>
        <v>13</v>
      </c>
      <c r="AQ335" s="13">
        <f t="shared" ref="AQ335:AQ380" si="135">INT((MATCH($A335,x.2lg)+1)/2)*2</f>
        <v>14</v>
      </c>
      <c r="AR335" s="175">
        <f t="shared" ref="AR335:AR380" si="136">INDEX(x.2lg,AP335)</f>
        <v>43416</v>
      </c>
      <c r="AS335" s="772">
        <f t="shared" ref="AS335:AS380" si="137">($A335-AR335)/(INDEX(x.2lg,AQ335)-AR335)</f>
        <v>0.17857142857142858</v>
      </c>
      <c r="AT335" s="789">
        <f t="shared" ref="AT335:AT380" si="138">((1-AS335)*(INDEX(a.lg,AP335)*$A335*$A335+INDEX(b.lg,AP335)*$A335+INDEX(c.lg,AP335))+AS335*(INDEX(a.lg,AQ335)*$A335*$A335+INDEX(b.lg,AQ335)*$A335+INDEX(c.lg,AQ335)))/10</f>
        <v>22.601197118072637</v>
      </c>
      <c r="AU335" s="13">
        <f t="shared" ref="AU335:AU380" si="139">INT(MATCH($A335,x.2ld)/2)*2+1</f>
        <v>13</v>
      </c>
      <c r="AV335" s="13">
        <f t="shared" ref="AV335:AV380" si="140">INT((MATCH($A335,x.2ld)+1)/2)*2</f>
        <v>12</v>
      </c>
      <c r="AW335" s="175">
        <f t="shared" ref="AW335:AW380" si="141">INDEX(x.2ld,AU335)</f>
        <v>43430</v>
      </c>
      <c r="AX335" s="772">
        <f t="shared" ref="AX335:AX380" si="142">($A335-AW335)/(INDEX(x.2ld,AV335)-AW335)</f>
        <v>0.32142857142857145</v>
      </c>
      <c r="AY335" s="789">
        <f t="shared" ref="AY335:AY380" si="143">((1-AX335)*(INDEX(a.ld,AU335)*$A335*$A335+INDEX(b.ld,AU335)*$A335+INDEX(c.ld,AU335))+AX335*(INDEX(a.ld,AV335)*$A335*$A335+INDEX(b.ld,AV335)*$A335+INDEX(c.ld,AV335)))/10</f>
        <v>22.667725104199992</v>
      </c>
      <c r="AZ335" s="763">
        <f t="shared" si="129"/>
        <v>22.634461111136314</v>
      </c>
      <c r="BA335" s="647">
        <f t="shared" ref="BA335:BA380" si="144">+B335/J335</f>
        <v>0.96866427102619257</v>
      </c>
      <c r="BB335" s="642">
        <v>43421</v>
      </c>
      <c r="BC335" s="11">
        <v>43421</v>
      </c>
      <c r="BD335" s="292">
        <f>[2]!FeuilCaduc*(1-Persistant)+Persistant</f>
        <v>1</v>
      </c>
      <c r="BE335" s="293">
        <f>[2]!CroissVégét</f>
        <v>0.99893641739554129</v>
      </c>
      <c r="BF335" s="842">
        <f>1+[2]!Salcycl*Ksac</f>
        <v>1.0243368121623271</v>
      </c>
      <c r="BH335" s="1105">
        <f t="shared" ref="BH335:BH380" si="145">INDEX($BJ335:$BT335,,$BH$10)*(1-Ratini)+INDEX($BJ335:$BT335,,$BH$10+1)*Ratini</f>
        <v>1.7974447224341966E-2</v>
      </c>
      <c r="BI335" s="11">
        <v>44517</v>
      </c>
      <c r="BJ335" s="742">
        <v>9.101382517193897E-4</v>
      </c>
      <c r="BK335" s="742">
        <v>2.8782492797005867E-3</v>
      </c>
      <c r="BL335" s="742">
        <v>1.1295731222312935E-2</v>
      </c>
      <c r="BM335" s="742">
        <v>4.4726755985326848E-2</v>
      </c>
      <c r="BN335" s="742">
        <v>9.7250933235906903E-2</v>
      </c>
      <c r="BO335" s="743">
        <v>0.17852672231832187</v>
      </c>
      <c r="BP335" s="742">
        <v>0.26983718374989368</v>
      </c>
      <c r="BQ335" s="742">
        <v>0.38846424578305533</v>
      </c>
      <c r="BR335" s="742">
        <v>0.52506271415908423</v>
      </c>
      <c r="BS335" s="742">
        <v>0.67530542446062614</v>
      </c>
      <c r="BT335" s="742">
        <v>0.8272973985612454</v>
      </c>
      <c r="BW335" s="1187">
        <f>'2018'!R\Max</f>
        <v>0.96866427102619257</v>
      </c>
      <c r="BX335" s="1185">
        <f>'2019'!R\Max</f>
        <v>0.42298984312240295</v>
      </c>
      <c r="BY335" s="1185">
        <f>'2020'!R\Max</f>
        <v>0.75712251618418513</v>
      </c>
      <c r="BZ335" s="1185">
        <f>'2021'!R\Max</f>
        <v>0.14358076129812383</v>
      </c>
      <c r="CA335" s="1185">
        <f>'2022'!R\Max</f>
        <v>0.59213978820738744</v>
      </c>
      <c r="CB335" s="1185">
        <f>'2023'!R\Max</f>
        <v>0.58113463281579625</v>
      </c>
      <c r="CC335" s="1185">
        <f>'2024'!R\Max</f>
        <v>0.56826506788586684</v>
      </c>
      <c r="CD335" s="1185">
        <f>'2025'!R\Max</f>
        <v>0.62036003089984393</v>
      </c>
      <c r="CE335" s="1185">
        <f>'2026'!R\Max</f>
        <v>0.61573890711448398</v>
      </c>
      <c r="CF335" s="1186">
        <f>'2027'!R\Max</f>
        <v>0.60965197416783468</v>
      </c>
    </row>
    <row r="336" spans="1:84" s="6" customFormat="1" ht="11.25" x14ac:dyDescent="0.2">
      <c r="A336" s="11">
        <v>43422</v>
      </c>
      <c r="B336" s="382">
        <f>'2023'!Maxi_hp</f>
        <v>20.856889266520181</v>
      </c>
      <c r="C336" s="85">
        <f>'2023'!An_max</f>
        <v>2020</v>
      </c>
      <c r="D336" s="1132"/>
      <c r="E336" s="709"/>
      <c r="F336" s="13">
        <f t="shared" ref="F336:F380" si="146">INT(MATCH($A336,x.2m)/2)*2+1</f>
        <v>25</v>
      </c>
      <c r="G336" s="13">
        <f t="shared" si="130"/>
        <v>24</v>
      </c>
      <c r="H336" s="175">
        <f t="shared" si="131"/>
        <v>43430</v>
      </c>
      <c r="I336" s="772">
        <f t="shared" si="132"/>
        <v>0.5714285714285714</v>
      </c>
      <c r="J336" s="763">
        <f t="shared" si="133"/>
        <v>22.420315451281411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P336" s="13">
        <f t="shared" si="134"/>
        <v>13</v>
      </c>
      <c r="AQ336" s="13">
        <f t="shared" si="135"/>
        <v>14</v>
      </c>
      <c r="AR336" s="175">
        <f t="shared" si="136"/>
        <v>43416</v>
      </c>
      <c r="AS336" s="772">
        <f t="shared" si="137"/>
        <v>0.21428571428571427</v>
      </c>
      <c r="AT336" s="789">
        <f t="shared" si="138"/>
        <v>22.354973360151053</v>
      </c>
      <c r="AU336" s="13">
        <f t="shared" si="139"/>
        <v>13</v>
      </c>
      <c r="AV336" s="13">
        <f t="shared" si="140"/>
        <v>12</v>
      </c>
      <c r="AW336" s="175">
        <f t="shared" si="141"/>
        <v>43430</v>
      </c>
      <c r="AX336" s="772">
        <f t="shared" si="142"/>
        <v>0.2857142857142857</v>
      </c>
      <c r="AY336" s="789">
        <f t="shared" si="143"/>
        <v>22.431167929406676</v>
      </c>
      <c r="AZ336" s="763">
        <f t="shared" ref="AZ336:AZ380" si="147">(AY336+AT336)/2</f>
        <v>22.393070644778867</v>
      </c>
      <c r="BA336" s="647">
        <f t="shared" si="144"/>
        <v>0.9302674314213597</v>
      </c>
      <c r="BB336" s="642">
        <v>43422</v>
      </c>
      <c r="BC336" s="11">
        <v>43422</v>
      </c>
      <c r="BD336" s="292">
        <f>[2]!FeuilCaduc*(1-Persistant)+Persistant</f>
        <v>1</v>
      </c>
      <c r="BE336" s="293">
        <f>[2]!CroissVégét</f>
        <v>0.99899250051286803</v>
      </c>
      <c r="BF336" s="842">
        <f>1+[2]!Salcycl*Ksac</f>
        <v>1.0231499681341927</v>
      </c>
      <c r="BH336" s="1105">
        <f t="shared" si="145"/>
        <v>1.8565616933534167E-2</v>
      </c>
      <c r="BI336" s="11">
        <v>44518</v>
      </c>
      <c r="BJ336" s="742">
        <v>8.6968490772632002E-4</v>
      </c>
      <c r="BK336" s="742">
        <v>2.7994326234149023E-3</v>
      </c>
      <c r="BL336" s="742">
        <v>1.1734861116414011E-2</v>
      </c>
      <c r="BM336" s="742">
        <v>4.5926937378208722E-2</v>
      </c>
      <c r="BN336" s="742">
        <v>9.8274867857742795E-2</v>
      </c>
      <c r="BO336" s="743">
        <v>0.1804647707401722</v>
      </c>
      <c r="BP336" s="742">
        <v>0.27144119971349451</v>
      </c>
      <c r="BQ336" s="742">
        <v>0.39256690117723542</v>
      </c>
      <c r="BR336" s="742">
        <v>0.52960184538424748</v>
      </c>
      <c r="BS336" s="742">
        <v>0.68145890623679517</v>
      </c>
      <c r="BT336" s="742">
        <v>0.83333851944387882</v>
      </c>
      <c r="BW336" s="1187">
        <f>'2018'!R\Max</f>
        <v>0.86514909352129066</v>
      </c>
      <c r="BX336" s="1185">
        <f>'2019'!R\Max</f>
        <v>0.44655964304756873</v>
      </c>
      <c r="BY336" s="1185">
        <f>'2020'!R\Max</f>
        <v>0.9302674314213597</v>
      </c>
      <c r="BZ336" s="1185">
        <f>'2021'!R\Max</f>
        <v>0.8059099449122944</v>
      </c>
      <c r="CA336" s="1185">
        <f>'2022'!R\Max</f>
        <v>0.56383367999882761</v>
      </c>
      <c r="CB336" s="1185">
        <f>'2023'!R\Max</f>
        <v>0.5523782031594604</v>
      </c>
      <c r="CC336" s="1185">
        <f>'2024'!R\Max</f>
        <v>0.53892648302973079</v>
      </c>
      <c r="CD336" s="1185">
        <f>'2025'!R\Max</f>
        <v>0.59305726424825145</v>
      </c>
      <c r="CE336" s="1185">
        <f>'2026'!R\Max</f>
        <v>0.58827453619631043</v>
      </c>
      <c r="CF336" s="1186">
        <f>'2027'!R\Max</f>
        <v>0.58195883916214508</v>
      </c>
    </row>
    <row r="337" spans="1:84" s="6" customFormat="1" ht="11.25" x14ac:dyDescent="0.2">
      <c r="A337" s="11">
        <v>43423</v>
      </c>
      <c r="B337" s="382">
        <f>'2023'!Maxi_hp</f>
        <v>22.157788716528341</v>
      </c>
      <c r="C337" s="85">
        <f>'2023'!An_max</f>
        <v>2021</v>
      </c>
      <c r="D337" s="1132"/>
      <c r="E337" s="709"/>
      <c r="F337" s="13">
        <f t="shared" si="146"/>
        <v>25</v>
      </c>
      <c r="G337" s="13">
        <f t="shared" si="130"/>
        <v>24</v>
      </c>
      <c r="H337" s="175">
        <f t="shared" si="131"/>
        <v>43430</v>
      </c>
      <c r="I337" s="772">
        <f t="shared" si="132"/>
        <v>0.5</v>
      </c>
      <c r="J337" s="763">
        <f t="shared" si="133"/>
        <v>22.198687499016522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P337" s="13">
        <f t="shared" si="134"/>
        <v>13</v>
      </c>
      <c r="AQ337" s="13">
        <f t="shared" si="135"/>
        <v>14</v>
      </c>
      <c r="AR337" s="175">
        <f t="shared" si="136"/>
        <v>43416</v>
      </c>
      <c r="AS337" s="772">
        <f t="shared" si="137"/>
        <v>0.25</v>
      </c>
      <c r="AT337" s="789">
        <f t="shared" si="138"/>
        <v>22.113057908229528</v>
      </c>
      <c r="AU337" s="13">
        <f t="shared" si="139"/>
        <v>13</v>
      </c>
      <c r="AV337" s="13">
        <f t="shared" si="140"/>
        <v>12</v>
      </c>
      <c r="AW337" s="175">
        <f t="shared" si="141"/>
        <v>43430</v>
      </c>
      <c r="AX337" s="772">
        <f t="shared" si="142"/>
        <v>0.25</v>
      </c>
      <c r="AY337" s="789">
        <f t="shared" si="143"/>
        <v>22.201110936887563</v>
      </c>
      <c r="AZ337" s="763">
        <f t="shared" si="147"/>
        <v>22.157084422558547</v>
      </c>
      <c r="BA337" s="647">
        <f t="shared" si="144"/>
        <v>0.9981576035749864</v>
      </c>
      <c r="BB337" s="642">
        <v>43423</v>
      </c>
      <c r="BC337" s="11">
        <v>43423</v>
      </c>
      <c r="BD337" s="292">
        <f>[2]!FeuilCaduc*(1-Persistant)+Persistant</f>
        <v>1</v>
      </c>
      <c r="BE337" s="293">
        <f>[2]!CroissVégét</f>
        <v>0.99904633147520905</v>
      </c>
      <c r="BF337" s="842">
        <f>1+[2]!Salcycl*Ksac</f>
        <v>1.0219937984799359</v>
      </c>
      <c r="BH337" s="1105">
        <f t="shared" si="145"/>
        <v>1.9147726295321844E-2</v>
      </c>
      <c r="BI337" s="11">
        <v>44519</v>
      </c>
      <c r="BJ337" s="742">
        <v>8.3118120533263724E-4</v>
      </c>
      <c r="BK337" s="742">
        <v>2.7258230051441213E-3</v>
      </c>
      <c r="BL337" s="742">
        <v>1.2190848969551644E-2</v>
      </c>
      <c r="BM337" s="742">
        <v>4.7014239884873667E-2</v>
      </c>
      <c r="BN337" s="742">
        <v>9.9213399162411106E-2</v>
      </c>
      <c r="BO337" s="743">
        <v>0.18225566010553154</v>
      </c>
      <c r="BP337" s="742">
        <v>0.27298402247433212</v>
      </c>
      <c r="BQ337" s="742">
        <v>0.39662204382175076</v>
      </c>
      <c r="BR337" s="742">
        <v>0.53407601835224983</v>
      </c>
      <c r="BS337" s="742">
        <v>0.68749534465498607</v>
      </c>
      <c r="BT337" s="742">
        <v>0.83909770179026932</v>
      </c>
      <c r="BW337" s="1187">
        <f>'2018'!R\Max</f>
        <v>0.6611525916310691</v>
      </c>
      <c r="BX337" s="1185">
        <f>'2019'!R\Max</f>
        <v>0.7495363719892183</v>
      </c>
      <c r="BY337" s="1185">
        <f>'2020'!R\Max</f>
        <v>0.95066184032196333</v>
      </c>
      <c r="BZ337" s="1185">
        <f>'2021'!R\Max</f>
        <v>0.9981576035749864</v>
      </c>
      <c r="CA337" s="1185">
        <f>'2022'!R\Max</f>
        <v>0.41033294387197705</v>
      </c>
      <c r="CB337" s="1185">
        <f>'2023'!R\Max</f>
        <v>0.39887942211845512</v>
      </c>
      <c r="CC337" s="1185">
        <f>'2024'!R\Max</f>
        <v>0.38555601161258907</v>
      </c>
      <c r="CD337" s="1185">
        <f>'2025'!R\Max</f>
        <v>0.44002075862443069</v>
      </c>
      <c r="CE337" s="1185">
        <f>'2026'!R\Max</f>
        <v>0.43510260868271655</v>
      </c>
      <c r="CF337" s="1186">
        <f>'2027'!R\Max</f>
        <v>0.42863003231437991</v>
      </c>
    </row>
    <row r="338" spans="1:84" s="6" customFormat="1" ht="11.25" x14ac:dyDescent="0.2">
      <c r="A338" s="11">
        <v>43424</v>
      </c>
      <c r="B338" s="382">
        <f>'2023'!Maxi_hp</f>
        <v>22.532430665642437</v>
      </c>
      <c r="C338" s="85">
        <f>'2023'!An_max</f>
        <v>2019</v>
      </c>
      <c r="D338" s="1132"/>
      <c r="E338" s="709"/>
      <c r="F338" s="13">
        <f t="shared" si="146"/>
        <v>25</v>
      </c>
      <c r="G338" s="13">
        <f t="shared" si="130"/>
        <v>24</v>
      </c>
      <c r="H338" s="175">
        <f t="shared" si="131"/>
        <v>43430</v>
      </c>
      <c r="I338" s="772">
        <f t="shared" si="132"/>
        <v>0.42857142857142855</v>
      </c>
      <c r="J338" s="763">
        <f t="shared" si="133"/>
        <v>21.982598833633318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P338" s="13">
        <f t="shared" si="134"/>
        <v>13</v>
      </c>
      <c r="AQ338" s="13">
        <f t="shared" si="135"/>
        <v>14</v>
      </c>
      <c r="AR338" s="175">
        <f t="shared" si="136"/>
        <v>43416</v>
      </c>
      <c r="AS338" s="772">
        <f t="shared" si="137"/>
        <v>0.2857142857142857</v>
      </c>
      <c r="AT338" s="789">
        <f t="shared" si="138"/>
        <v>21.875780487060545</v>
      </c>
      <c r="AU338" s="13">
        <f t="shared" si="139"/>
        <v>13</v>
      </c>
      <c r="AV338" s="13">
        <f t="shared" si="140"/>
        <v>12</v>
      </c>
      <c r="AW338" s="175">
        <f t="shared" si="141"/>
        <v>43430</v>
      </c>
      <c r="AX338" s="772">
        <f t="shared" si="142"/>
        <v>0.21428571428571427</v>
      </c>
      <c r="AY338" s="789">
        <f t="shared" si="143"/>
        <v>21.977681303450037</v>
      </c>
      <c r="AZ338" s="763">
        <f t="shared" si="147"/>
        <v>21.92673089525529</v>
      </c>
      <c r="BA338" s="647">
        <f t="shared" si="144"/>
        <v>1.0250121396551111</v>
      </c>
      <c r="BB338" s="642">
        <v>43424</v>
      </c>
      <c r="BC338" s="11">
        <v>43424</v>
      </c>
      <c r="BD338" s="292">
        <f>[2]!FeuilCaduc*(1-Persistant)+Persistant</f>
        <v>1</v>
      </c>
      <c r="BE338" s="293">
        <f>[2]!CroissVégét</f>
        <v>0.99909800049508712</v>
      </c>
      <c r="BF338" s="842">
        <f>1+[2]!Salcycl*Ksac</f>
        <v>1.0208694486702825</v>
      </c>
      <c r="BH338" s="1105">
        <f t="shared" si="145"/>
        <v>1.9702335282796933E-2</v>
      </c>
      <c r="BI338" s="11">
        <v>44520</v>
      </c>
      <c r="BJ338" s="742">
        <v>7.9519782325471189E-4</v>
      </c>
      <c r="BK338" s="742">
        <v>2.661876631533023E-3</v>
      </c>
      <c r="BL338" s="742">
        <v>1.2649613405574479E-2</v>
      </c>
      <c r="BM338" s="742">
        <v>4.7952764438264399E-2</v>
      </c>
      <c r="BN338" s="742">
        <v>0.10008623008335642</v>
      </c>
      <c r="BO338" s="743">
        <v>0.18389103750251823</v>
      </c>
      <c r="BP338" s="742">
        <v>0.27459836862427178</v>
      </c>
      <c r="BQ338" s="742">
        <v>0.40062247657551292</v>
      </c>
      <c r="BR338" s="742">
        <v>0.53847405335574128</v>
      </c>
      <c r="BS338" s="742">
        <v>0.69320087265844721</v>
      </c>
      <c r="BT338" s="742">
        <v>0.84432645730510503</v>
      </c>
      <c r="BW338" s="1187">
        <f>'2018'!R\Max</f>
        <v>0.51675831313832687</v>
      </c>
      <c r="BX338" s="1185">
        <f>'2019'!R\Max</f>
        <v>1.0250121396551111</v>
      </c>
      <c r="BY338" s="1185">
        <f>'2020'!R\Max</f>
        <v>0.28222529304945793</v>
      </c>
      <c r="BZ338" s="1185">
        <f>'2021'!R\Max</f>
        <v>0.80366408216998397</v>
      </c>
      <c r="CA338" s="1185">
        <f>'2022'!R\Max</f>
        <v>0.70508722381396338</v>
      </c>
      <c r="CB338" s="1185">
        <f>'2023'!R\Max</f>
        <v>0.69486754410637919</v>
      </c>
      <c r="CC338" s="1185">
        <f>'2024'!R\Max</f>
        <v>0.68254114375011421</v>
      </c>
      <c r="CD338" s="1185">
        <f>'2025'!R\Max</f>
        <v>0.7300473012416161</v>
      </c>
      <c r="CE338" s="1185">
        <f>'2026'!R\Max</f>
        <v>0.72604759708498345</v>
      </c>
      <c r="CF338" s="1186">
        <f>'2027'!R\Max</f>
        <v>0.72069457001088244</v>
      </c>
    </row>
    <row r="339" spans="1:84" s="6" customFormat="1" ht="11.25" x14ac:dyDescent="0.2">
      <c r="A339" s="11">
        <v>43425</v>
      </c>
      <c r="B339" s="382">
        <f>'2023'!Maxi_hp</f>
        <v>21.71388989490131</v>
      </c>
      <c r="C339" s="85">
        <f>'2023'!An_max</f>
        <v>2019</v>
      </c>
      <c r="D339" s="1132"/>
      <c r="E339" s="709"/>
      <c r="F339" s="13">
        <f>INT(MATCH($A339,x.2m)/2)*2+1</f>
        <v>25</v>
      </c>
      <c r="G339" s="13">
        <f>INT((MATCH($A339,x.2m)+1)/2)*2</f>
        <v>24</v>
      </c>
      <c r="H339" s="175">
        <f t="shared" si="131"/>
        <v>43430</v>
      </c>
      <c r="I339" s="772">
        <f t="shared" si="132"/>
        <v>0.35714285714285715</v>
      </c>
      <c r="J339" s="763">
        <f t="shared" si="133"/>
        <v>21.771710313005105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P339" s="13">
        <f t="shared" si="134"/>
        <v>13</v>
      </c>
      <c r="AQ339" s="13">
        <f t="shared" si="135"/>
        <v>14</v>
      </c>
      <c r="AR339" s="175">
        <f t="shared" si="136"/>
        <v>43416</v>
      </c>
      <c r="AS339" s="772">
        <f t="shared" si="137"/>
        <v>0.32142857142857145</v>
      </c>
      <c r="AT339" s="789">
        <f t="shared" si="138"/>
        <v>21.64347082929952</v>
      </c>
      <c r="AU339" s="13">
        <f t="shared" si="139"/>
        <v>13</v>
      </c>
      <c r="AV339" s="13">
        <f t="shared" si="140"/>
        <v>12</v>
      </c>
      <c r="AW339" s="175">
        <f t="shared" si="141"/>
        <v>43430</v>
      </c>
      <c r="AX339" s="772">
        <f t="shared" si="142"/>
        <v>0.17857142857142858</v>
      </c>
      <c r="AY339" s="789">
        <f t="shared" si="143"/>
        <v>21.761006208455989</v>
      </c>
      <c r="AZ339" s="763">
        <f t="shared" si="147"/>
        <v>21.702238518877756</v>
      </c>
      <c r="BA339" s="647">
        <f t="shared" si="144"/>
        <v>0.9973442408854184</v>
      </c>
      <c r="BB339" s="642">
        <v>43425</v>
      </c>
      <c r="BC339" s="11">
        <v>43425</v>
      </c>
      <c r="BD339" s="292">
        <f>[2]!FeuilCaduc*(1-Persistant)+Persistant</f>
        <v>1</v>
      </c>
      <c r="BE339" s="293">
        <f>[2]!CroissVégét</f>
        <v>0.99914759418945731</v>
      </c>
      <c r="BF339" s="842">
        <f>1+[2]!Salcycl*Ksac</f>
        <v>1.0197779438943388</v>
      </c>
      <c r="BH339" s="1105">
        <f t="shared" si="145"/>
        <v>2.0211151388527405E-2</v>
      </c>
      <c r="BI339" s="11">
        <v>44521</v>
      </c>
      <c r="BJ339" s="742">
        <v>7.6163960396854319E-4</v>
      </c>
      <c r="BK339" s="742">
        <v>2.6051670214559089E-3</v>
      </c>
      <c r="BL339" s="742">
        <v>1.3082522418928509E-2</v>
      </c>
      <c r="BM339" s="742">
        <v>4.8765634492655995E-2</v>
      </c>
      <c r="BN339" s="742">
        <v>0.10095592336705018</v>
      </c>
      <c r="BO339" s="743">
        <v>0.18543639394794528</v>
      </c>
      <c r="BP339" s="742">
        <v>0.27640503940671807</v>
      </c>
      <c r="BQ339" s="742">
        <v>0.40455723900108037</v>
      </c>
      <c r="BR339" s="742">
        <v>0.54284217402256896</v>
      </c>
      <c r="BS339" s="742">
        <v>0.69850787465748088</v>
      </c>
      <c r="BT339" s="742">
        <v>0.84900255765192023</v>
      </c>
      <c r="BW339" s="1187">
        <f>'2018'!R\Max</f>
        <v>0.96005570243918581</v>
      </c>
      <c r="BX339" s="1185">
        <f>'2019'!R\Max</f>
        <v>0.9973442408854184</v>
      </c>
      <c r="BY339" s="1185">
        <f>'2020'!R\Max</f>
        <v>0.87659216947209473</v>
      </c>
      <c r="BZ339" s="1185">
        <f>'2021'!R\Max</f>
        <v>0.41534316132910265</v>
      </c>
      <c r="CA339" s="1185">
        <f>'2022'!R\Max</f>
        <v>0.16006737913099639</v>
      </c>
      <c r="CB339" s="1185">
        <f>'2023'!R\Max</f>
        <v>0.15432893049620855</v>
      </c>
      <c r="CC339" s="1185">
        <f>'2024'!R\Max</f>
        <v>0.14769957485508697</v>
      </c>
      <c r="CD339" s="1185">
        <f>'2025'!R\Max</f>
        <v>0.17505791443896962</v>
      </c>
      <c r="CE339" s="1185">
        <f>'2026'!R\Max</f>
        <v>0.1725518340706205</v>
      </c>
      <c r="CF339" s="1186">
        <f>'2027'!R\Max</f>
        <v>0.16925846789078405</v>
      </c>
    </row>
    <row r="340" spans="1:84" s="6" customFormat="1" ht="11.25" x14ac:dyDescent="0.2">
      <c r="A340" s="11">
        <v>43426</v>
      </c>
      <c r="B340" s="382">
        <f>'2023'!Maxi_hp</f>
        <v>22.055020906483698</v>
      </c>
      <c r="C340" s="85">
        <f>'2023'!An_max</f>
        <v>2020</v>
      </c>
      <c r="D340" s="1132"/>
      <c r="E340" s="709"/>
      <c r="F340" s="13">
        <f t="shared" si="146"/>
        <v>25</v>
      </c>
      <c r="G340" s="13">
        <f t="shared" si="130"/>
        <v>24</v>
      </c>
      <c r="H340" s="175">
        <f t="shared" si="131"/>
        <v>43430</v>
      </c>
      <c r="I340" s="772">
        <f t="shared" si="132"/>
        <v>0.2857142857142857</v>
      </c>
      <c r="J340" s="763">
        <f t="shared" si="133"/>
        <v>21.565682798517603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P340" s="13">
        <f t="shared" si="134"/>
        <v>13</v>
      </c>
      <c r="AQ340" s="13">
        <f t="shared" si="135"/>
        <v>14</v>
      </c>
      <c r="AR340" s="175">
        <f t="shared" si="136"/>
        <v>43416</v>
      </c>
      <c r="AS340" s="772">
        <f t="shared" si="137"/>
        <v>0.35714285714285715</v>
      </c>
      <c r="AT340" s="789">
        <f t="shared" si="138"/>
        <v>21.416458659193346</v>
      </c>
      <c r="AU340" s="13">
        <f t="shared" si="139"/>
        <v>13</v>
      </c>
      <c r="AV340" s="13">
        <f t="shared" si="140"/>
        <v>12</v>
      </c>
      <c r="AW340" s="175">
        <f t="shared" si="141"/>
        <v>43430</v>
      </c>
      <c r="AX340" s="772">
        <f t="shared" si="142"/>
        <v>0.14285714285714285</v>
      </c>
      <c r="AY340" s="789">
        <f t="shared" si="143"/>
        <v>21.551212826477631</v>
      </c>
      <c r="AZ340" s="763">
        <f t="shared" si="147"/>
        <v>21.483835742835488</v>
      </c>
      <c r="BA340" s="647">
        <f t="shared" si="144"/>
        <v>1.0226905919250435</v>
      </c>
      <c r="BB340" s="642">
        <v>43426</v>
      </c>
      <c r="BC340" s="11">
        <v>43426</v>
      </c>
      <c r="BD340" s="292">
        <f>[2]!FeuilCaduc*(1-Persistant)+Persistant</f>
        <v>1</v>
      </c>
      <c r="BE340" s="293">
        <f>[2]!CroissVégét</f>
        <v>0.99919519572159454</v>
      </c>
      <c r="BF340" s="842">
        <f>1+[2]!Salcycl*Ksac</f>
        <v>1.0187201856263339</v>
      </c>
      <c r="BH340" s="1105">
        <f t="shared" si="145"/>
        <v>2.0674088054524302E-2</v>
      </c>
      <c r="BI340" s="11">
        <v>44522</v>
      </c>
      <c r="BJ340" s="742">
        <v>7.3050977598150828E-4</v>
      </c>
      <c r="BK340" s="742">
        <v>2.5557010910382165E-3</v>
      </c>
      <c r="BL340" s="742">
        <v>1.3489517501417794E-2</v>
      </c>
      <c r="BM340" s="742">
        <v>4.945265113362405E-2</v>
      </c>
      <c r="BN340" s="742">
        <v>0.10182233326489397</v>
      </c>
      <c r="BO340" s="743">
        <v>0.18689139215552297</v>
      </c>
      <c r="BP340" s="742">
        <v>0.27840384038038313</v>
      </c>
      <c r="BQ340" s="742">
        <v>0.40842567647638939</v>
      </c>
      <c r="BR340" s="742">
        <v>0.54717960251507203</v>
      </c>
      <c r="BS340" s="742">
        <v>0.70341505751504796</v>
      </c>
      <c r="BT340" s="742">
        <v>0.85312447065196728</v>
      </c>
      <c r="BW340" s="1187">
        <f>'2018'!R\Max</f>
        <v>0.90255760634619664</v>
      </c>
      <c r="BX340" s="1185">
        <f>'2019'!R\Max</f>
        <v>0.46402558307455138</v>
      </c>
      <c r="BY340" s="1185">
        <f>'2020'!R\Max</f>
        <v>1.0226905919250435</v>
      </c>
      <c r="BZ340" s="1185">
        <f>'2021'!R\Max</f>
        <v>0.7636739687688715</v>
      </c>
      <c r="CA340" s="1185">
        <f>'2022'!R\Max</f>
        <v>0.43829092544079917</v>
      </c>
      <c r="CB340" s="1185">
        <f>'2023'!R\Max</f>
        <v>0.42579808358669363</v>
      </c>
      <c r="CC340" s="1185">
        <f>'2024'!R\Max</f>
        <v>0.41108031416957858</v>
      </c>
      <c r="CD340" s="1185">
        <f>'2025'!R\Max</f>
        <v>0.46977792614989761</v>
      </c>
      <c r="CE340" s="1185">
        <f>'2026'!R\Max</f>
        <v>0.464616891242076</v>
      </c>
      <c r="CF340" s="1186">
        <f>'2027'!R\Max</f>
        <v>0.4577703090105063</v>
      </c>
    </row>
    <row r="341" spans="1:84" s="6" customFormat="1" ht="11.25" x14ac:dyDescent="0.2">
      <c r="A341" s="11">
        <v>43427</v>
      </c>
      <c r="B341" s="382">
        <f>'2023'!Maxi_hp</f>
        <v>21.439200666327118</v>
      </c>
      <c r="C341" s="85">
        <f>'2023'!An_max</f>
        <v>2020</v>
      </c>
      <c r="D341" s="1132"/>
      <c r="E341" s="709"/>
      <c r="F341" s="13">
        <f t="shared" si="146"/>
        <v>25</v>
      </c>
      <c r="G341" s="13">
        <f t="shared" si="130"/>
        <v>24</v>
      </c>
      <c r="H341" s="175">
        <f t="shared" si="131"/>
        <v>43430</v>
      </c>
      <c r="I341" s="772">
        <f t="shared" si="132"/>
        <v>0.21428571428571427</v>
      </c>
      <c r="J341" s="763">
        <f t="shared" si="133"/>
        <v>21.364177149587441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P341" s="13">
        <f t="shared" si="134"/>
        <v>13</v>
      </c>
      <c r="AQ341" s="13">
        <f t="shared" si="135"/>
        <v>14</v>
      </c>
      <c r="AR341" s="175">
        <f t="shared" si="136"/>
        <v>43416</v>
      </c>
      <c r="AS341" s="772">
        <f t="shared" si="137"/>
        <v>0.39285714285714285</v>
      </c>
      <c r="AT341" s="789">
        <f t="shared" si="138"/>
        <v>21.195073704794048</v>
      </c>
      <c r="AU341" s="13">
        <f t="shared" si="139"/>
        <v>13</v>
      </c>
      <c r="AV341" s="13">
        <f t="shared" si="140"/>
        <v>12</v>
      </c>
      <c r="AW341" s="175">
        <f t="shared" si="141"/>
        <v>43430</v>
      </c>
      <c r="AX341" s="772">
        <f t="shared" si="142"/>
        <v>0.10714285714285714</v>
      </c>
      <c r="AY341" s="789">
        <f t="shared" si="143"/>
        <v>21.348428337515465</v>
      </c>
      <c r="AZ341" s="763">
        <f t="shared" si="147"/>
        <v>21.271751021154756</v>
      </c>
      <c r="BA341" s="647">
        <f t="shared" si="144"/>
        <v>1.0035116501896786</v>
      </c>
      <c r="BB341" s="642">
        <v>43427</v>
      </c>
      <c r="BC341" s="11">
        <v>43427</v>
      </c>
      <c r="BD341" s="292">
        <f>[2]!FeuilCaduc*(1-Persistant)+Persistant</f>
        <v>1</v>
      </c>
      <c r="BE341" s="293">
        <f>[2]!CroissVégét</f>
        <v>0.99924088493749397</v>
      </c>
      <c r="BF341" s="842">
        <f>1+[2]!Salcycl*Ksac</f>
        <v>1.0176969489596728</v>
      </c>
      <c r="BH341" s="1105">
        <f t="shared" si="145"/>
        <v>2.1090930876590294E-2</v>
      </c>
      <c r="BI341" s="11">
        <v>44523</v>
      </c>
      <c r="BJ341" s="742">
        <v>7.0180704976160785E-4</v>
      </c>
      <c r="BK341" s="742">
        <v>2.513469500792224E-3</v>
      </c>
      <c r="BL341" s="742">
        <v>1.3870455199535893E-2</v>
      </c>
      <c r="BM341" s="742">
        <v>5.0013315756416939E-2</v>
      </c>
      <c r="BN341" s="742">
        <v>0.10268467231045121</v>
      </c>
      <c r="BO341" s="743">
        <v>0.18825452828818801</v>
      </c>
      <c r="BP341" s="742">
        <v>0.28059280251820934</v>
      </c>
      <c r="BQ341" s="742">
        <v>0.41222456266611424</v>
      </c>
      <c r="BR341" s="742">
        <v>0.55148211722608531</v>
      </c>
      <c r="BS341" s="742">
        <v>0.70791675022809086</v>
      </c>
      <c r="BT341" s="742">
        <v>0.85668538104590775</v>
      </c>
      <c r="BW341" s="1187">
        <f>'2018'!R\Max</f>
        <v>0.64483400151042425</v>
      </c>
      <c r="BX341" s="1185">
        <f>'2019'!R\Max</f>
        <v>0.27458994706751927</v>
      </c>
      <c r="BY341" s="1185">
        <f>'2020'!R\Max</f>
        <v>1.0035116501896786</v>
      </c>
      <c r="BZ341" s="1185">
        <f>'2021'!R\Max</f>
        <v>0.55459822744729959</v>
      </c>
      <c r="CA341" s="1185">
        <f>'2022'!R\Max</f>
        <v>0.68067999519108335</v>
      </c>
      <c r="CB341" s="1185">
        <f>'2023'!R\Max</f>
        <v>0.6692633438764235</v>
      </c>
      <c r="CC341" s="1185">
        <f>'2024'!R\Max</f>
        <v>0.65543062218585624</v>
      </c>
      <c r="CD341" s="1185">
        <f>'2025'!R\Max</f>
        <v>0.70808647779286393</v>
      </c>
      <c r="CE341" s="1185">
        <f>'2026'!R\Max</f>
        <v>0.70371627182642982</v>
      </c>
      <c r="CF341" s="1186">
        <f>'2027'!R\Max</f>
        <v>0.69784856035441378</v>
      </c>
    </row>
    <row r="342" spans="1:84" s="6" customFormat="1" ht="11.25" x14ac:dyDescent="0.2">
      <c r="A342" s="11">
        <v>43428</v>
      </c>
      <c r="B342" s="382">
        <f>'2023'!Maxi_hp</f>
        <v>20.206281401845153</v>
      </c>
      <c r="C342" s="85">
        <f>'2023'!An_max</f>
        <v>2020</v>
      </c>
      <c r="D342" s="1132"/>
      <c r="E342" s="709"/>
      <c r="F342" s="13">
        <f t="shared" si="146"/>
        <v>25</v>
      </c>
      <c r="G342" s="13">
        <f t="shared" si="130"/>
        <v>24</v>
      </c>
      <c r="H342" s="175">
        <f t="shared" si="131"/>
        <v>43430</v>
      </c>
      <c r="I342" s="772">
        <f t="shared" si="132"/>
        <v>0.14285714285714285</v>
      </c>
      <c r="J342" s="763">
        <f t="shared" si="133"/>
        <v>21.166854227760009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P342" s="13">
        <f t="shared" si="134"/>
        <v>13</v>
      </c>
      <c r="AQ342" s="13">
        <f t="shared" si="135"/>
        <v>14</v>
      </c>
      <c r="AR342" s="175">
        <f t="shared" si="136"/>
        <v>43416</v>
      </c>
      <c r="AS342" s="772">
        <f t="shared" si="137"/>
        <v>0.42857142857142855</v>
      </c>
      <c r="AT342" s="789">
        <f t="shared" si="138"/>
        <v>20.979645696921004</v>
      </c>
      <c r="AU342" s="13">
        <f t="shared" si="139"/>
        <v>13</v>
      </c>
      <c r="AV342" s="13">
        <f t="shared" si="140"/>
        <v>12</v>
      </c>
      <c r="AW342" s="175">
        <f t="shared" si="141"/>
        <v>43430</v>
      </c>
      <c r="AX342" s="772">
        <f t="shared" si="142"/>
        <v>7.1428571428571425E-2</v>
      </c>
      <c r="AY342" s="789">
        <f t="shared" si="143"/>
        <v>21.152779919281603</v>
      </c>
      <c r="AZ342" s="763">
        <f t="shared" si="147"/>
        <v>21.066212808101305</v>
      </c>
      <c r="BA342" s="647">
        <f t="shared" si="144"/>
        <v>0.9546190087776445</v>
      </c>
      <c r="BB342" s="642">
        <v>43428</v>
      </c>
      <c r="BC342" s="11">
        <v>43428</v>
      </c>
      <c r="BD342" s="292">
        <f>[2]!FeuilCaduc*(1-Persistant)+Persistant</f>
        <v>1</v>
      </c>
      <c r="BE342" s="293">
        <f>[2]!CroissVégét</f>
        <v>0.99928473849698995</v>
      </c>
      <c r="BF342" s="842">
        <f>1+[2]!Salcycl*Ksac</f>
        <v>1.0167088807233866</v>
      </c>
      <c r="BH342" s="1105">
        <f t="shared" si="145"/>
        <v>2.1461549036390064E-2</v>
      </c>
      <c r="BI342" s="11">
        <v>44524</v>
      </c>
      <c r="BJ342" s="742">
        <v>6.7553341483028771E-4</v>
      </c>
      <c r="BK342" s="742">
        <v>2.4784733696189116E-3</v>
      </c>
      <c r="BL342" s="742">
        <v>1.4225243819903872E-2</v>
      </c>
      <c r="BM342" s="742">
        <v>5.0447340823516679E-2</v>
      </c>
      <c r="BN342" s="742">
        <v>0.10354255818721181</v>
      </c>
      <c r="BO342" s="743">
        <v>0.18952505829282573</v>
      </c>
      <c r="BP342" s="742">
        <v>0.28297104018363345</v>
      </c>
      <c r="BQ342" s="742">
        <v>0.41595229677688583</v>
      </c>
      <c r="BR342" s="742">
        <v>0.55574768233709981</v>
      </c>
      <c r="BS342" s="742">
        <v>0.71201016252791893</v>
      </c>
      <c r="BT342" s="742">
        <v>0.85968201573052716</v>
      </c>
      <c r="BW342" s="1187">
        <f>'2018'!R\Max</f>
        <v>0.80178659129674834</v>
      </c>
      <c r="BX342" s="1185">
        <f>'2019'!R\Max</f>
        <v>0.5271206270072174</v>
      </c>
      <c r="BY342" s="1185">
        <f>'2020'!R\Max</f>
        <v>0.9546190087776445</v>
      </c>
      <c r="BZ342" s="1185">
        <f>'2021'!R\Max</f>
        <v>5.347377693967003E-2</v>
      </c>
      <c r="CA342" s="1185">
        <f>'2022'!R\Max</f>
        <v>0.61548061404216181</v>
      </c>
      <c r="CB342" s="1185">
        <f>'2023'!R\Max</f>
        <v>0.60282118193311629</v>
      </c>
      <c r="CC342" s="1185">
        <f>'2024'!R\Max</f>
        <v>0.58760823520010053</v>
      </c>
      <c r="CD342" s="1185">
        <f>'2025'!R\Max</f>
        <v>0.64609520153901701</v>
      </c>
      <c r="CE342" s="1185">
        <f>'2026'!R\Max</f>
        <v>0.64118591201881625</v>
      </c>
      <c r="CF342" s="1186">
        <f>'2027'!R\Max</f>
        <v>0.63461770112067295</v>
      </c>
    </row>
    <row r="343" spans="1:84" s="6" customFormat="1" ht="11.25" x14ac:dyDescent="0.2">
      <c r="A343" s="11">
        <v>43429</v>
      </c>
      <c r="B343" s="382">
        <f>'2023'!Maxi_hp</f>
        <v>18.507554622634164</v>
      </c>
      <c r="C343" s="85">
        <f>'2023'!An_max</f>
        <v>2020</v>
      </c>
      <c r="D343" s="1132"/>
      <c r="E343" s="709"/>
      <c r="F343" s="13">
        <f t="shared" si="146"/>
        <v>25</v>
      </c>
      <c r="G343" s="13">
        <f t="shared" si="130"/>
        <v>24</v>
      </c>
      <c r="H343" s="175">
        <f t="shared" si="131"/>
        <v>43430</v>
      </c>
      <c r="I343" s="772">
        <f t="shared" si="132"/>
        <v>7.1428571428571425E-2</v>
      </c>
      <c r="J343" s="763">
        <f t="shared" si="133"/>
        <v>20.973374891121473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P343" s="13">
        <f t="shared" si="134"/>
        <v>13</v>
      </c>
      <c r="AQ343" s="13">
        <f t="shared" si="135"/>
        <v>14</v>
      </c>
      <c r="AR343" s="175">
        <f t="shared" si="136"/>
        <v>43416</v>
      </c>
      <c r="AS343" s="772">
        <f t="shared" si="137"/>
        <v>0.4642857142857143</v>
      </c>
      <c r="AT343" s="789">
        <f t="shared" si="138"/>
        <v>20.770504358996238</v>
      </c>
      <c r="AU343" s="13">
        <f t="shared" si="139"/>
        <v>13</v>
      </c>
      <c r="AV343" s="13">
        <f t="shared" si="140"/>
        <v>12</v>
      </c>
      <c r="AW343" s="175">
        <f t="shared" si="141"/>
        <v>43430</v>
      </c>
      <c r="AX343" s="772">
        <f t="shared" si="142"/>
        <v>3.5714285714285712E-2</v>
      </c>
      <c r="AY343" s="789">
        <f t="shared" si="143"/>
        <v>20.96439474618861</v>
      </c>
      <c r="AZ343" s="763">
        <f t="shared" si="147"/>
        <v>20.867449552592426</v>
      </c>
      <c r="BA343" s="647">
        <f t="shared" si="144"/>
        <v>0.88243092581484583</v>
      </c>
      <c r="BB343" s="642">
        <v>43429</v>
      </c>
      <c r="BC343" s="11">
        <v>43429</v>
      </c>
      <c r="BD343" s="292">
        <f>[2]!FeuilCaduc*(1-Persistant)+Persistant</f>
        <v>1</v>
      </c>
      <c r="BE343" s="293">
        <f>[2]!CroissVégét</f>
        <v>0.99932682999978462</v>
      </c>
      <c r="BF343" s="842">
        <f>1+[2]!Salcycl*Ksac</f>
        <v>1.0157564983898819</v>
      </c>
      <c r="BH343" s="1105">
        <f t="shared" si="145"/>
        <v>2.1785926663125409E-2</v>
      </c>
      <c r="BI343" s="11">
        <v>44525</v>
      </c>
      <c r="BJ343" s="742">
        <v>6.5169410753934871E-4</v>
      </c>
      <c r="BK343" s="742">
        <v>2.4507255748705261E-3</v>
      </c>
      <c r="BL343" s="742">
        <v>1.4553866362399387E-2</v>
      </c>
      <c r="BM343" s="742">
        <v>5.0754714987753254E-2</v>
      </c>
      <c r="BN343" s="742">
        <v>0.10439613384951861</v>
      </c>
      <c r="BO343" s="743">
        <v>0.19070321549806799</v>
      </c>
      <c r="BP343" s="742">
        <v>0.28553907002650941</v>
      </c>
      <c r="BQ343" s="742">
        <v>0.41960939489764182</v>
      </c>
      <c r="BR343" s="742">
        <v>0.5599770858370009</v>
      </c>
      <c r="BS343" s="742">
        <v>0.71569619061668144</v>
      </c>
      <c r="BT343" s="742">
        <v>0.86211557790926996</v>
      </c>
      <c r="BW343" s="1187">
        <f>'2018'!R\Max</f>
        <v>0.47174833223456009</v>
      </c>
      <c r="BX343" s="1185">
        <f>'2019'!R\Max</f>
        <v>0.54444800980875763</v>
      </c>
      <c r="BY343" s="1185">
        <f>'2020'!R\Max</f>
        <v>0.88243092581484583</v>
      </c>
      <c r="BZ343" s="1185">
        <f>'2021'!R\Max</f>
        <v>0.65798017575565382</v>
      </c>
      <c r="CA343" s="1185">
        <f>'2022'!R\Max</f>
        <v>0.2420035674909439</v>
      </c>
      <c r="CB343" s="1185">
        <f>'2023'!R\Max</f>
        <v>0.23252602039269354</v>
      </c>
      <c r="CC343" s="1185">
        <f>'2024'!R\Max</f>
        <v>0.22161352869288709</v>
      </c>
      <c r="CD343" s="1185">
        <f>'2025'!R\Max</f>
        <v>0.26639629534836828</v>
      </c>
      <c r="CE343" s="1185">
        <f>'2026'!R\Max</f>
        <v>0.26233244339637046</v>
      </c>
      <c r="CF343" s="1186">
        <f>'2027'!R\Max</f>
        <v>0.25699795010309723</v>
      </c>
    </row>
    <row r="344" spans="1:84" s="6" customFormat="1" ht="11.25" x14ac:dyDescent="0.2">
      <c r="A344" s="11">
        <v>43430</v>
      </c>
      <c r="B344" s="382">
        <f>'2023'!Maxi_hp</f>
        <v>20.367586395989942</v>
      </c>
      <c r="C344" s="85">
        <f>'2023'!An_max</f>
        <v>2020</v>
      </c>
      <c r="D344" s="1132"/>
      <c r="E344" s="771">
        <f>AK$13/10</f>
        <v>20.7834</v>
      </c>
      <c r="F344" s="13">
        <f t="shared" si="146"/>
        <v>25</v>
      </c>
      <c r="G344" s="13">
        <f t="shared" si="130"/>
        <v>26</v>
      </c>
      <c r="H344" s="175">
        <f t="shared" si="131"/>
        <v>43430</v>
      </c>
      <c r="I344" s="772">
        <f t="shared" si="132"/>
        <v>0</v>
      </c>
      <c r="J344" s="763">
        <f t="shared" si="133"/>
        <v>20.78339999988675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P344" s="13">
        <f t="shared" si="134"/>
        <v>13</v>
      </c>
      <c r="AQ344" s="13">
        <f t="shared" si="135"/>
        <v>14</v>
      </c>
      <c r="AR344" s="175">
        <f t="shared" si="136"/>
        <v>43416</v>
      </c>
      <c r="AS344" s="772">
        <f t="shared" si="137"/>
        <v>0.5</v>
      </c>
      <c r="AT344" s="789">
        <f t="shared" si="138"/>
        <v>20.567979422211646</v>
      </c>
      <c r="AU344" s="13">
        <f t="shared" si="139"/>
        <v>13</v>
      </c>
      <c r="AV344" s="13">
        <f t="shared" si="140"/>
        <v>14</v>
      </c>
      <c r="AW344" s="175">
        <f t="shared" si="141"/>
        <v>43430</v>
      </c>
      <c r="AX344" s="772">
        <f t="shared" si="142"/>
        <v>0</v>
      </c>
      <c r="AY344" s="789">
        <f t="shared" si="143"/>
        <v>20.783399998396636</v>
      </c>
      <c r="AZ344" s="763">
        <f t="shared" si="147"/>
        <v>20.675689710304141</v>
      </c>
      <c r="BA344" s="647">
        <f t="shared" si="144"/>
        <v>0.9799929942213943</v>
      </c>
      <c r="BB344" s="642">
        <v>43430</v>
      </c>
      <c r="BC344" s="11">
        <v>43430</v>
      </c>
      <c r="BD344" s="292">
        <f>[2]!FeuilCaduc*(1-Persistant)+Persistant</f>
        <v>1</v>
      </c>
      <c r="BE344" s="293">
        <f>[2]!CroissVégét</f>
        <v>0.99936723010658135</v>
      </c>
      <c r="BF344" s="842">
        <f>1+[2]!Salcycl*Ksac</f>
        <v>1.0148401897766381</v>
      </c>
      <c r="BH344" s="1105">
        <f t="shared" si="145"/>
        <v>2.2064058181775953E-2</v>
      </c>
      <c r="BI344" s="11">
        <v>44526</v>
      </c>
      <c r="BJ344" s="742">
        <v>6.3029375453645814E-4</v>
      </c>
      <c r="BK344" s="742">
        <v>2.4302375383859873E-3</v>
      </c>
      <c r="BL344" s="742">
        <v>1.4856312857467314E-2</v>
      </c>
      <c r="BM344" s="742">
        <v>5.09354502768836E-2</v>
      </c>
      <c r="BN344" s="742">
        <v>0.10524554950360653</v>
      </c>
      <c r="BO344" s="743">
        <v>0.19178925735889371</v>
      </c>
      <c r="BP344" s="742">
        <v>0.28829739690470674</v>
      </c>
      <c r="BQ344" s="742">
        <v>0.42319641304757089</v>
      </c>
      <c r="BR344" s="742">
        <v>0.56417115385504568</v>
      </c>
      <c r="BS344" s="742">
        <v>0.71897582518166769</v>
      </c>
      <c r="BT344" s="742">
        <v>0.86398737980705764</v>
      </c>
      <c r="BW344" s="1187">
        <f>'2018'!R\Max</f>
        <v>0.21400998063478818</v>
      </c>
      <c r="BX344" s="1185">
        <f>'2019'!R\Max</f>
        <v>0.83441467938648228</v>
      </c>
      <c r="BY344" s="1185">
        <f>'2020'!R\Max</f>
        <v>0.9799929942213943</v>
      </c>
      <c r="BZ344" s="1185">
        <f>'2021'!R\Max</f>
        <v>0.37227573081083609</v>
      </c>
      <c r="CA344" s="1185">
        <f>'2022'!R\Max</f>
        <v>0.54643905426745643</v>
      </c>
      <c r="CB344" s="1185">
        <f>'2023'!R\Max</f>
        <v>0.53266400713598938</v>
      </c>
      <c r="CC344" s="1185">
        <f>'2024'!R\Max</f>
        <v>0.51633851090783245</v>
      </c>
      <c r="CD344" s="1185">
        <f>'2025'!R\Max</f>
        <v>0.58002844730161829</v>
      </c>
      <c r="CE344" s="1185">
        <f>'2026'!R\Max</f>
        <v>0.57460597958287007</v>
      </c>
      <c r="CF344" s="1186">
        <f>'2027'!R\Max</f>
        <v>0.56740211493410353</v>
      </c>
    </row>
    <row r="345" spans="1:84" s="6" customFormat="1" ht="11.25" x14ac:dyDescent="0.2">
      <c r="A345" s="11">
        <v>43431</v>
      </c>
      <c r="B345" s="382">
        <f>'2023'!Maxi_hp</f>
        <v>18.723509974078482</v>
      </c>
      <c r="C345" s="85">
        <f>'2023'!An_max</f>
        <v>2018</v>
      </c>
      <c r="D345" s="1132"/>
      <c r="E345" s="709"/>
      <c r="F345" s="13">
        <f t="shared" si="146"/>
        <v>25</v>
      </c>
      <c r="G345" s="13">
        <f t="shared" si="130"/>
        <v>26</v>
      </c>
      <c r="H345" s="175">
        <f t="shared" si="131"/>
        <v>43430</v>
      </c>
      <c r="I345" s="772">
        <f t="shared" si="132"/>
        <v>7.1428571428571425E-2</v>
      </c>
      <c r="J345" s="763">
        <f t="shared" si="133"/>
        <v>20.595233855609386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P345" s="13">
        <f t="shared" si="134"/>
        <v>13</v>
      </c>
      <c r="AQ345" s="13">
        <f t="shared" si="135"/>
        <v>14</v>
      </c>
      <c r="AR345" s="175">
        <f t="shared" si="136"/>
        <v>43416</v>
      </c>
      <c r="AS345" s="772">
        <f t="shared" si="137"/>
        <v>0.5357142857142857</v>
      </c>
      <c r="AT345" s="789">
        <f t="shared" si="138"/>
        <v>20.372400614832127</v>
      </c>
      <c r="AU345" s="13">
        <f t="shared" si="139"/>
        <v>13</v>
      </c>
      <c r="AV345" s="13">
        <f t="shared" si="140"/>
        <v>14</v>
      </c>
      <c r="AW345" s="175">
        <f t="shared" si="141"/>
        <v>43430</v>
      </c>
      <c r="AX345" s="772">
        <f t="shared" si="142"/>
        <v>3.5714285714285712E-2</v>
      </c>
      <c r="AY345" s="789">
        <f t="shared" si="143"/>
        <v>20.6077244842425</v>
      </c>
      <c r="AZ345" s="763">
        <f t="shared" si="147"/>
        <v>20.490062549537313</v>
      </c>
      <c r="BA345" s="647">
        <f t="shared" si="144"/>
        <v>0.90911859051208999</v>
      </c>
      <c r="BB345" s="642">
        <v>43431</v>
      </c>
      <c r="BC345" s="11">
        <v>43431</v>
      </c>
      <c r="BD345" s="292">
        <f>[2]!FeuilCaduc*(1-Persistant)+Persistant</f>
        <v>1</v>
      </c>
      <c r="BE345" s="293">
        <f>[2]!CroissVégét</f>
        <v>0.9994060066555025</v>
      </c>
      <c r="BF345" s="842">
        <f>1+[2]!Salcycl*Ksac</f>
        <v>1.0139602135382435</v>
      </c>
      <c r="BH345" s="1105">
        <f t="shared" si="145"/>
        <v>2.2295947359736577E-2</v>
      </c>
      <c r="BI345" s="11">
        <v>44527</v>
      </c>
      <c r="BJ345" s="742">
        <v>6.1133642401626457E-4</v>
      </c>
      <c r="BK345" s="742">
        <v>2.4170193789952326E-3</v>
      </c>
      <c r="BL345" s="742">
        <v>1.5132579826597152E-2</v>
      </c>
      <c r="BM345" s="742">
        <v>5.0989579482548848E-2</v>
      </c>
      <c r="BN345" s="742">
        <v>0.10609096256845413</v>
      </c>
      <c r="BO345" s="743">
        <v>0.19278346362940479</v>
      </c>
      <c r="BP345" s="742">
        <v>0.29124651797143597</v>
      </c>
      <c r="BQ345" s="742">
        <v>0.42671394590693162</v>
      </c>
      <c r="BR345" s="742">
        <v>0.56833075018246249</v>
      </c>
      <c r="BS345" s="742">
        <v>0.72185014328041086</v>
      </c>
      <c r="BT345" s="742">
        <v>0.86529883140693831</v>
      </c>
      <c r="BW345" s="1187">
        <f>'2018'!R\Max</f>
        <v>0.90911859051208999</v>
      </c>
      <c r="BX345" s="1185">
        <f>'2019'!R\Max</f>
        <v>0.75572074738477413</v>
      </c>
      <c r="BY345" s="1185">
        <f>'2020'!R\Max</f>
        <v>0.76702636761751997</v>
      </c>
      <c r="BZ345" s="1185">
        <f>'2021'!R\Max</f>
        <v>0.53570417365604139</v>
      </c>
      <c r="CA345" s="1185">
        <f>'2022'!R\Max</f>
        <v>0.66617997819239949</v>
      </c>
      <c r="CB345" s="1185">
        <f>'2023'!R\Max</f>
        <v>0.65347696659341836</v>
      </c>
      <c r="CC345" s="1185">
        <f>'2024'!R\Max</f>
        <v>0.63827016805394543</v>
      </c>
      <c r="CD345" s="1185">
        <f>'2025'!R\Max</f>
        <v>0.69643203234484541</v>
      </c>
      <c r="CE345" s="1185">
        <f>'2026'!R\Max</f>
        <v>0.69161373946384652</v>
      </c>
      <c r="CF345" s="1186">
        <f>'2027'!R\Max</f>
        <v>0.68519315229642908</v>
      </c>
    </row>
    <row r="346" spans="1:84" s="6" customFormat="1" ht="11.25" x14ac:dyDescent="0.2">
      <c r="A346" s="11">
        <v>43432</v>
      </c>
      <c r="B346" s="382">
        <f>'2023'!Maxi_hp</f>
        <v>15.043607934783193</v>
      </c>
      <c r="C346" s="85">
        <f>'2023'!An_max</f>
        <v>2018</v>
      </c>
      <c r="D346" s="1132"/>
      <c r="E346" s="709"/>
      <c r="F346" s="13">
        <f t="shared" si="146"/>
        <v>25</v>
      </c>
      <c r="G346" s="13">
        <f t="shared" si="130"/>
        <v>26</v>
      </c>
      <c r="H346" s="175">
        <f t="shared" si="131"/>
        <v>43430</v>
      </c>
      <c r="I346" s="772">
        <f t="shared" si="132"/>
        <v>0.14285714285714285</v>
      </c>
      <c r="J346" s="763">
        <f t="shared" si="133"/>
        <v>20.408085130367962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P346" s="13">
        <f t="shared" si="134"/>
        <v>13</v>
      </c>
      <c r="AQ346" s="13">
        <f t="shared" si="135"/>
        <v>14</v>
      </c>
      <c r="AR346" s="175">
        <f t="shared" si="136"/>
        <v>43416</v>
      </c>
      <c r="AS346" s="772">
        <f t="shared" si="137"/>
        <v>0.5714285714285714</v>
      </c>
      <c r="AT346" s="789">
        <f t="shared" si="138"/>
        <v>20.18409766320671</v>
      </c>
      <c r="AU346" s="13">
        <f t="shared" si="139"/>
        <v>13</v>
      </c>
      <c r="AV346" s="13">
        <f t="shared" si="140"/>
        <v>14</v>
      </c>
      <c r="AW346" s="175">
        <f t="shared" si="141"/>
        <v>43430</v>
      </c>
      <c r="AX346" s="772">
        <f t="shared" si="142"/>
        <v>7.1428571428571425E-2</v>
      </c>
      <c r="AY346" s="789">
        <f t="shared" si="143"/>
        <v>20.435446842068011</v>
      </c>
      <c r="AZ346" s="763">
        <f t="shared" si="147"/>
        <v>20.309772252637359</v>
      </c>
      <c r="BA346" s="647">
        <f t="shared" si="144"/>
        <v>0.73713961102591474</v>
      </c>
      <c r="BB346" s="642">
        <v>43432</v>
      </c>
      <c r="BC346" s="11">
        <v>43432</v>
      </c>
      <c r="BD346" s="292">
        <f>[2]!FeuilCaduc*(1-Persistant)+Persistant</f>
        <v>1</v>
      </c>
      <c r="BE346" s="293">
        <f>[2]!CroissVégét</f>
        <v>0.99944322477397196</v>
      </c>
      <c r="BF346" s="842">
        <f>1+[2]!Salcycl*Ksac</f>
        <v>1.0131167004389636</v>
      </c>
      <c r="BH346" s="1105">
        <f t="shared" si="145"/>
        <v>2.2487393486535695E-2</v>
      </c>
      <c r="BI346" s="11">
        <v>44528</v>
      </c>
      <c r="BJ346" s="742">
        <v>5.9455646337535305E-4</v>
      </c>
      <c r="BK346" s="742">
        <v>2.415123606255011E-3</v>
      </c>
      <c r="BL346" s="742">
        <v>1.5386252581000117E-2</v>
      </c>
      <c r="BM346" s="742">
        <v>5.093177022039188E-2</v>
      </c>
      <c r="BN346" s="742">
        <v>0.10693853015340841</v>
      </c>
      <c r="BO346" s="743">
        <v>0.19369934220628826</v>
      </c>
      <c r="BP346" s="742">
        <v>0.29431503059403935</v>
      </c>
      <c r="BQ346" s="742">
        <v>0.43008706626688192</v>
      </c>
      <c r="BR346" s="742">
        <v>0.57234646492991981</v>
      </c>
      <c r="BS346" s="742">
        <v>0.72424933218716214</v>
      </c>
      <c r="BT346" s="742">
        <v>0.86594635317826762</v>
      </c>
      <c r="BW346" s="1187">
        <f>'2018'!R\Max</f>
        <v>0.73713961102591474</v>
      </c>
      <c r="BX346" s="1185">
        <f>'2019'!R\Max</f>
        <v>0.45624504682241451</v>
      </c>
      <c r="BY346" s="1185">
        <f>'2020'!R\Max</f>
        <v>0.60225005286230127</v>
      </c>
      <c r="BZ346" s="1185">
        <f>'2021'!R\Max</f>
        <v>0.31901319572954262</v>
      </c>
      <c r="CA346" s="1185">
        <f>'2022'!R\Max</f>
        <v>0.51805165477985005</v>
      </c>
      <c r="CB346" s="1185">
        <f>'2023'!R\Max</f>
        <v>0.50362415160726204</v>
      </c>
      <c r="CC346" s="1185">
        <f>'2024'!R\Max</f>
        <v>0.48676953799132061</v>
      </c>
      <c r="CD346" s="1185">
        <f>'2025'!R\Max</f>
        <v>0.55344708649356433</v>
      </c>
      <c r="CE346" s="1185">
        <f>'2026'!R\Max</f>
        <v>0.54770661779246566</v>
      </c>
      <c r="CF346" s="1186">
        <f>'2027'!R\Max</f>
        <v>0.54014464564428399</v>
      </c>
    </row>
    <row r="347" spans="1:84" s="6" customFormat="1" ht="11.25" x14ac:dyDescent="0.2">
      <c r="A347" s="11">
        <v>43433</v>
      </c>
      <c r="B347" s="382">
        <f>'2023'!Maxi_hp</f>
        <v>19.948122922418964</v>
      </c>
      <c r="C347" s="85">
        <f>'2023'!An_max</f>
        <v>2018</v>
      </c>
      <c r="D347" s="1132"/>
      <c r="E347" s="709"/>
      <c r="F347" s="13">
        <f t="shared" si="146"/>
        <v>25</v>
      </c>
      <c r="G347" s="13">
        <f t="shared" si="130"/>
        <v>26</v>
      </c>
      <c r="H347" s="175">
        <f t="shared" si="131"/>
        <v>43430</v>
      </c>
      <c r="I347" s="772">
        <f t="shared" si="132"/>
        <v>0.21428571428571427</v>
      </c>
      <c r="J347" s="763">
        <f t="shared" si="133"/>
        <v>20.222971245965788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P347" s="13">
        <f t="shared" si="134"/>
        <v>13</v>
      </c>
      <c r="AQ347" s="13">
        <f t="shared" si="135"/>
        <v>14</v>
      </c>
      <c r="AR347" s="175">
        <f t="shared" si="136"/>
        <v>43416</v>
      </c>
      <c r="AS347" s="772">
        <f t="shared" si="137"/>
        <v>0.6071428571428571</v>
      </c>
      <c r="AT347" s="789">
        <f t="shared" si="138"/>
        <v>20.003400295892995</v>
      </c>
      <c r="AU347" s="13">
        <f t="shared" si="139"/>
        <v>13</v>
      </c>
      <c r="AV347" s="13">
        <f t="shared" si="140"/>
        <v>14</v>
      </c>
      <c r="AW347" s="175">
        <f t="shared" si="141"/>
        <v>43430</v>
      </c>
      <c r="AX347" s="772">
        <f t="shared" si="142"/>
        <v>0.10714285714285714</v>
      </c>
      <c r="AY347" s="789">
        <f t="shared" si="143"/>
        <v>20.266919001670821</v>
      </c>
      <c r="AZ347" s="763">
        <f t="shared" si="147"/>
        <v>20.135159648781908</v>
      </c>
      <c r="BA347" s="647">
        <f t="shared" si="144"/>
        <v>0.98640910278692839</v>
      </c>
      <c r="BB347" s="642">
        <v>43433</v>
      </c>
      <c r="BC347" s="11">
        <v>43433</v>
      </c>
      <c r="BD347" s="292">
        <f>[2]!FeuilCaduc*(1-Persistant)+Persistant</f>
        <v>1</v>
      </c>
      <c r="BE347" s="293">
        <f>[2]!CroissVégét</f>
        <v>0.9994789469862303</v>
      </c>
      <c r="BF347" s="842">
        <f>1+[2]!Salcycl*Ksac</f>
        <v>1.0123096553899191</v>
      </c>
      <c r="BH347" s="1105">
        <f t="shared" si="145"/>
        <v>2.2665829868564184E-2</v>
      </c>
      <c r="BI347" s="11">
        <v>44529</v>
      </c>
      <c r="BJ347" s="742">
        <v>5.7806108418571758E-4</v>
      </c>
      <c r="BK347" s="742">
        <v>2.4216835605897478E-3</v>
      </c>
      <c r="BL347" s="742">
        <v>1.5629186185650856E-2</v>
      </c>
      <c r="BM347" s="742">
        <v>5.0851856103118979E-2</v>
      </c>
      <c r="BN347" s="742">
        <v>0.10781022049330108</v>
      </c>
      <c r="BO347" s="743">
        <v>0.19461701861730832</v>
      </c>
      <c r="BP347" s="742">
        <v>0.29744009812466793</v>
      </c>
      <c r="BQ347" s="742">
        <v>0.43337066572072747</v>
      </c>
      <c r="BR347" s="742">
        <v>0.57623154299291746</v>
      </c>
      <c r="BS347" s="742">
        <v>0.72635126569076025</v>
      </c>
      <c r="BT347" s="742">
        <v>0.86622507381676395</v>
      </c>
      <c r="BW347" s="1187">
        <f>'2018'!R\Max</f>
        <v>0.98640910278692839</v>
      </c>
      <c r="BX347" s="1185">
        <f>'2019'!R\Max</f>
        <v>0.74680227691074474</v>
      </c>
      <c r="BY347" s="1185">
        <f>'2020'!R\Max</f>
        <v>0.47141028399309087</v>
      </c>
      <c r="BZ347" s="1185">
        <f>'2021'!R\Max</f>
        <v>0.36639242600109928</v>
      </c>
      <c r="CA347" s="1185">
        <f>'2022'!R\Max</f>
        <v>0.59915727446447653</v>
      </c>
      <c r="CB347" s="1185">
        <f>'2023'!R\Max</f>
        <v>0.58493900227258089</v>
      </c>
      <c r="CC347" s="1185">
        <f>'2024'!R\Max</f>
        <v>0.56826250352705021</v>
      </c>
      <c r="CD347" s="1185">
        <f>'2025'!R\Max</f>
        <v>0.63352602418861159</v>
      </c>
      <c r="CE347" s="1185">
        <f>'2026'!R\Max</f>
        <v>0.62799892390755296</v>
      </c>
      <c r="CF347" s="1186">
        <f>'2027'!R\Max</f>
        <v>0.62071647986201839</v>
      </c>
    </row>
    <row r="348" spans="1:84" s="6" customFormat="1" ht="11.25" x14ac:dyDescent="0.2">
      <c r="A348" s="11">
        <v>43434</v>
      </c>
      <c r="B348" s="382">
        <f>'2023'!Maxi_hp</f>
        <v>19.841900082377851</v>
      </c>
      <c r="C348" s="85">
        <f>'2023'!An_max</f>
        <v>2021</v>
      </c>
      <c r="D348" s="1132"/>
      <c r="E348" s="709"/>
      <c r="F348" s="13">
        <f t="shared" si="146"/>
        <v>25</v>
      </c>
      <c r="G348" s="13">
        <f t="shared" si="130"/>
        <v>26</v>
      </c>
      <c r="H348" s="175">
        <f t="shared" si="131"/>
        <v>43430</v>
      </c>
      <c r="I348" s="772">
        <f t="shared" si="132"/>
        <v>0.2857142857142857</v>
      </c>
      <c r="J348" s="763">
        <f t="shared" si="133"/>
        <v>20.040909620374443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P348" s="13">
        <f t="shared" si="134"/>
        <v>13</v>
      </c>
      <c r="AQ348" s="13">
        <f t="shared" si="135"/>
        <v>14</v>
      </c>
      <c r="AR348" s="175">
        <f t="shared" si="136"/>
        <v>43416</v>
      </c>
      <c r="AS348" s="772">
        <f t="shared" si="137"/>
        <v>0.6428571428571429</v>
      </c>
      <c r="AT348" s="789">
        <f t="shared" si="138"/>
        <v>19.830638240916386</v>
      </c>
      <c r="AU348" s="13">
        <f t="shared" si="139"/>
        <v>13</v>
      </c>
      <c r="AV348" s="13">
        <f t="shared" si="140"/>
        <v>14</v>
      </c>
      <c r="AW348" s="175">
        <f t="shared" si="141"/>
        <v>43430</v>
      </c>
      <c r="AX348" s="772">
        <f t="shared" si="142"/>
        <v>0.14285714285714285</v>
      </c>
      <c r="AY348" s="789">
        <f t="shared" si="143"/>
        <v>20.102492892103534</v>
      </c>
      <c r="AZ348" s="763">
        <f t="shared" si="147"/>
        <v>19.96656556650996</v>
      </c>
      <c r="BA348" s="647">
        <f t="shared" si="144"/>
        <v>0.99006983506405966</v>
      </c>
      <c r="BB348" s="642">
        <v>43434</v>
      </c>
      <c r="BC348" s="11">
        <v>43434</v>
      </c>
      <c r="BD348" s="292">
        <f>[2]!FeuilCaduc*(1-Persistant)+Persistant</f>
        <v>1</v>
      </c>
      <c r="BE348" s="293">
        <f>[2]!CroissVégét</f>
        <v>0.99951323331664843</v>
      </c>
      <c r="BF348" s="842">
        <f>1+[2]!Salcycl*Ksac</f>
        <v>1.0115389602290221</v>
      </c>
      <c r="BH348" s="1105">
        <f t="shared" si="145"/>
        <v>2.2831290378548599E-2</v>
      </c>
      <c r="BI348" s="11">
        <v>44530</v>
      </c>
      <c r="BJ348" s="742">
        <v>5.6185247299249961E-4</v>
      </c>
      <c r="BK348" s="742">
        <v>2.4367064494962309E-3</v>
      </c>
      <c r="BL348" s="742">
        <v>1.5861396977936152E-2</v>
      </c>
      <c r="BM348" s="742">
        <v>5.0749941243129044E-2</v>
      </c>
      <c r="BN348" s="742">
        <v>0.10870621888666311</v>
      </c>
      <c r="BO348" s="743">
        <v>0.19553685055800288</v>
      </c>
      <c r="BP348" s="742">
        <v>0.3006221898092245</v>
      </c>
      <c r="BQ348" s="742">
        <v>0.436565445930787</v>
      </c>
      <c r="BR348" s="742">
        <v>0.57998693996825745</v>
      </c>
      <c r="BS348" s="742">
        <v>0.72815726061125741</v>
      </c>
      <c r="BT348" s="742">
        <v>0.86613668022336487</v>
      </c>
      <c r="BW348" s="1187">
        <f>'2018'!R\Max</f>
        <v>0.40718628849365202</v>
      </c>
      <c r="BX348" s="1185">
        <f>'2019'!R\Max</f>
        <v>0.67119028993947405</v>
      </c>
      <c r="BY348" s="1185">
        <f>'2020'!R\Max</f>
        <v>0.91416897296215094</v>
      </c>
      <c r="BZ348" s="1185">
        <f>'2021'!R\Max</f>
        <v>0.99006983506405966</v>
      </c>
      <c r="CA348" s="1185">
        <f>'2022'!R\Max</f>
        <v>0.23241470111121121</v>
      </c>
      <c r="CB348" s="1185">
        <f>'2023'!R\Max</f>
        <v>0.22233622707605827</v>
      </c>
      <c r="CC348" s="1185">
        <f>'2024'!R\Max</f>
        <v>0.21108211390258791</v>
      </c>
      <c r="CD348" s="1185">
        <f>'2025'!R\Max</f>
        <v>0.25858519119796658</v>
      </c>
      <c r="CE348" s="1185">
        <f>'2026'!R\Max</f>
        <v>0.25419138198053842</v>
      </c>
      <c r="CF348" s="1186">
        <f>'2027'!R\Max</f>
        <v>0.24853459772152536</v>
      </c>
    </row>
    <row r="349" spans="1:84" s="6" customFormat="1" ht="11.25" x14ac:dyDescent="0.2">
      <c r="A349" s="11">
        <v>43435</v>
      </c>
      <c r="B349" s="382">
        <f>'2023'!Maxi_hp</f>
        <v>18.774902602934571</v>
      </c>
      <c r="C349" s="85">
        <f>'2023'!An_max</f>
        <v>2020</v>
      </c>
      <c r="D349" s="1132"/>
      <c r="E349" s="709"/>
      <c r="F349" s="13">
        <f t="shared" si="146"/>
        <v>25</v>
      </c>
      <c r="G349" s="13">
        <f t="shared" si="130"/>
        <v>26</v>
      </c>
      <c r="H349" s="175">
        <f t="shared" si="131"/>
        <v>43430</v>
      </c>
      <c r="I349" s="772">
        <f t="shared" si="132"/>
        <v>0.35714285714285715</v>
      </c>
      <c r="J349" s="763">
        <f t="shared" si="133"/>
        <v>19.862917673747454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P349" s="13">
        <f t="shared" si="134"/>
        <v>13</v>
      </c>
      <c r="AQ349" s="13">
        <f t="shared" si="135"/>
        <v>14</v>
      </c>
      <c r="AR349" s="175">
        <f t="shared" si="136"/>
        <v>43416</v>
      </c>
      <c r="AS349" s="772">
        <f t="shared" si="137"/>
        <v>0.6785714285714286</v>
      </c>
      <c r="AT349" s="789">
        <f t="shared" si="138"/>
        <v>19.666141223322068</v>
      </c>
      <c r="AU349" s="13">
        <f t="shared" si="139"/>
        <v>13</v>
      </c>
      <c r="AV349" s="13">
        <f t="shared" si="140"/>
        <v>14</v>
      </c>
      <c r="AW349" s="175">
        <f t="shared" si="141"/>
        <v>43430</v>
      </c>
      <c r="AX349" s="772">
        <f t="shared" si="142"/>
        <v>0.17857142857142858</v>
      </c>
      <c r="AY349" s="789">
        <f t="shared" si="143"/>
        <v>19.942520443083986</v>
      </c>
      <c r="AZ349" s="763">
        <f t="shared" si="147"/>
        <v>19.804330833203025</v>
      </c>
      <c r="BA349" s="647">
        <f t="shared" si="144"/>
        <v>0.94522380404109019</v>
      </c>
      <c r="BB349" s="642">
        <v>43435</v>
      </c>
      <c r="BC349" s="11">
        <v>43435</v>
      </c>
      <c r="BD349" s="292">
        <f>[2]!FeuilCaduc*(1-Persistant)+Persistant</f>
        <v>1</v>
      </c>
      <c r="BE349" s="293">
        <f>[2]!CroissVégét</f>
        <v>0.99954614138899944</v>
      </c>
      <c r="BF349" s="842">
        <f>1+[2]!Salcycl*Ksac</f>
        <v>1.0108043772160835</v>
      </c>
      <c r="BH349" s="1105">
        <f t="shared" si="145"/>
        <v>2.2983811564483758E-2</v>
      </c>
      <c r="BI349" s="11">
        <v>44531</v>
      </c>
      <c r="BJ349" s="742">
        <v>5.4593264995959358E-4</v>
      </c>
      <c r="BK349" s="742">
        <v>2.4601987190784069E-3</v>
      </c>
      <c r="BL349" s="742">
        <v>1.6082904309544992E-2</v>
      </c>
      <c r="BM349" s="742">
        <v>5.0626131070052705E-2</v>
      </c>
      <c r="BN349" s="742">
        <v>0.1096267153120903</v>
      </c>
      <c r="BO349" s="743">
        <v>0.19645920269858555</v>
      </c>
      <c r="BP349" s="742">
        <v>0.30386179477093084</v>
      </c>
      <c r="BQ349" s="742">
        <v>0.43967214339310973</v>
      </c>
      <c r="BR349" s="742">
        <v>0.58361365486832473</v>
      </c>
      <c r="BS349" s="742">
        <v>0.72966867787216039</v>
      </c>
      <c r="BT349" s="742">
        <v>0.86568289467792781</v>
      </c>
      <c r="BW349" s="1187">
        <f>'2018'!R\Max</f>
        <v>0.80200637825083232</v>
      </c>
      <c r="BX349" s="1185">
        <f>'2019'!R\Max</f>
        <v>0.43426258556945813</v>
      </c>
      <c r="BY349" s="1185">
        <f>'2020'!R\Max</f>
        <v>0.94522380404109019</v>
      </c>
      <c r="BZ349" s="1185">
        <f>'2021'!R\Max</f>
        <v>0.2439035404005909</v>
      </c>
      <c r="CA349" s="1185">
        <f>'2022'!R\Max</f>
        <v>0.2026935654432783</v>
      </c>
      <c r="CB349" s="1185">
        <f>'2023'!R\Max</f>
        <v>0.19373776179356153</v>
      </c>
      <c r="CC349" s="1185">
        <f>'2024'!R\Max</f>
        <v>0.18381460215466849</v>
      </c>
      <c r="CD349" s="1185">
        <f>'2025'!R\Max</f>
        <v>0.22604711275068542</v>
      </c>
      <c r="CE349" s="1185">
        <f>'2026'!R\Max</f>
        <v>0.22211558050729888</v>
      </c>
      <c r="CF349" s="1186">
        <f>'2027'!R\Max</f>
        <v>0.21707914229102546</v>
      </c>
    </row>
    <row r="350" spans="1:84" s="6" customFormat="1" ht="11.25" x14ac:dyDescent="0.2">
      <c r="A350" s="11">
        <v>43436</v>
      </c>
      <c r="B350" s="382">
        <f>'2023'!Maxi_hp</f>
        <v>8.2901078959824659</v>
      </c>
      <c r="C350" s="85">
        <f>'2023'!An_max</f>
        <v>2021</v>
      </c>
      <c r="D350" s="1132"/>
      <c r="E350" s="709"/>
      <c r="F350" s="13">
        <f t="shared" si="146"/>
        <v>25</v>
      </c>
      <c r="G350" s="13">
        <f t="shared" si="130"/>
        <v>26</v>
      </c>
      <c r="H350" s="175">
        <f t="shared" si="131"/>
        <v>43430</v>
      </c>
      <c r="I350" s="772">
        <f t="shared" si="132"/>
        <v>0.42857142857142855</v>
      </c>
      <c r="J350" s="763">
        <f t="shared" si="133"/>
        <v>19.690012826664105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P350" s="13">
        <f t="shared" si="134"/>
        <v>13</v>
      </c>
      <c r="AQ350" s="13">
        <f t="shared" si="135"/>
        <v>14</v>
      </c>
      <c r="AR350" s="175">
        <f t="shared" si="136"/>
        <v>43416</v>
      </c>
      <c r="AS350" s="772">
        <f t="shared" si="137"/>
        <v>0.7142857142857143</v>
      </c>
      <c r="AT350" s="789">
        <f t="shared" si="138"/>
        <v>19.510238976989477</v>
      </c>
      <c r="AU350" s="13">
        <f t="shared" si="139"/>
        <v>13</v>
      </c>
      <c r="AV350" s="13">
        <f t="shared" si="140"/>
        <v>14</v>
      </c>
      <c r="AW350" s="175">
        <f t="shared" si="141"/>
        <v>43430</v>
      </c>
      <c r="AX350" s="772">
        <f t="shared" si="142"/>
        <v>0.21428571428571427</v>
      </c>
      <c r="AY350" s="789">
        <f t="shared" si="143"/>
        <v>19.787353581562638</v>
      </c>
      <c r="AZ350" s="763">
        <f t="shared" si="147"/>
        <v>19.648796279276056</v>
      </c>
      <c r="BA350" s="647">
        <f t="shared" si="144"/>
        <v>0.42103110693539253</v>
      </c>
      <c r="BB350" s="642">
        <v>43436</v>
      </c>
      <c r="BC350" s="11">
        <v>43436</v>
      </c>
      <c r="BD350" s="292">
        <f>[2]!FeuilCaduc*(1-Persistant)+Persistant</f>
        <v>1</v>
      </c>
      <c r="BE350" s="293">
        <f>[2]!CroissVégét</f>
        <v>0.99957772652184329</v>
      </c>
      <c r="BF350" s="842">
        <f>1+[2]!Salcycl*Ksac</f>
        <v>1.01010555321004</v>
      </c>
      <c r="BH350" s="1105">
        <f t="shared" si="145"/>
        <v>2.3123432387152771E-2</v>
      </c>
      <c r="BI350" s="11">
        <v>44532</v>
      </c>
      <c r="BJ350" s="742">
        <v>5.3030347510025827E-4</v>
      </c>
      <c r="BK350" s="742">
        <v>2.4921662308873636E-3</v>
      </c>
      <c r="BL350" s="742">
        <v>1.6293730328107599E-2</v>
      </c>
      <c r="BM350" s="742">
        <v>5.0480531891548865E-2</v>
      </c>
      <c r="BN350" s="742">
        <v>0.11057190496880338</v>
      </c>
      <c r="BO350" s="743">
        <v>0.19738444679443812</v>
      </c>
      <c r="BP350" s="742">
        <v>0.30715942329020607</v>
      </c>
      <c r="BQ350" s="742">
        <v>0.44269152773188991</v>
      </c>
      <c r="BR350" s="742">
        <v>0.58711272761416133</v>
      </c>
      <c r="BS350" s="742">
        <v>0.73088691659576133</v>
      </c>
      <c r="BT350" s="742">
        <v>0.86486546751075244</v>
      </c>
      <c r="BW350" s="1187">
        <f>'2018'!R\Max</f>
        <v>0.38227994315849234</v>
      </c>
      <c r="BX350" s="1185">
        <f>'2019'!R\Max</f>
        <v>0.20059497440721508</v>
      </c>
      <c r="BY350" s="1185">
        <f>'2020'!R\Max</f>
        <v>0.23709614473126175</v>
      </c>
      <c r="BZ350" s="1185">
        <f>'2021'!R\Max</f>
        <v>0.42103110693539253</v>
      </c>
      <c r="CA350" s="1185">
        <f>'2022'!R\Max</f>
        <v>0.28274715230665876</v>
      </c>
      <c r="CB350" s="1185">
        <f>'2023'!R\Max</f>
        <v>0.27031094776230929</v>
      </c>
      <c r="CC350" s="1185">
        <f>'2024'!R\Max</f>
        <v>0.25661349296456859</v>
      </c>
      <c r="CD350" s="1185">
        <f>'2025'!R\Max</f>
        <v>0.31521139184500629</v>
      </c>
      <c r="CE350" s="1185">
        <f>'2026'!R\Max</f>
        <v>0.30974209552954174</v>
      </c>
      <c r="CF350" s="1186">
        <f>'2027'!R\Max</f>
        <v>0.30276485069951753</v>
      </c>
    </row>
    <row r="351" spans="1:84" s="6" customFormat="1" ht="11.25" x14ac:dyDescent="0.2">
      <c r="A351" s="11">
        <v>43437</v>
      </c>
      <c r="B351" s="382">
        <f>'2023'!Maxi_hp</f>
        <v>13.468073041251417</v>
      </c>
      <c r="C351" s="85">
        <f>'2023'!An_max</f>
        <v>2021</v>
      </c>
      <c r="D351" s="1132"/>
      <c r="E351" s="709"/>
      <c r="F351" s="13">
        <f t="shared" si="146"/>
        <v>25</v>
      </c>
      <c r="G351" s="13">
        <f t="shared" si="130"/>
        <v>26</v>
      </c>
      <c r="H351" s="175">
        <f t="shared" si="131"/>
        <v>43430</v>
      </c>
      <c r="I351" s="772">
        <f t="shared" si="132"/>
        <v>0.5</v>
      </c>
      <c r="J351" s="763">
        <f t="shared" si="133"/>
        <v>19.523212498426439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P351" s="13">
        <f t="shared" si="134"/>
        <v>13</v>
      </c>
      <c r="AQ351" s="13">
        <f t="shared" si="135"/>
        <v>14</v>
      </c>
      <c r="AR351" s="175">
        <f t="shared" si="136"/>
        <v>43416</v>
      </c>
      <c r="AS351" s="772">
        <f t="shared" si="137"/>
        <v>0.75</v>
      </c>
      <c r="AT351" s="789">
        <f t="shared" si="138"/>
        <v>19.363261226192115</v>
      </c>
      <c r="AU351" s="13">
        <f t="shared" si="139"/>
        <v>13</v>
      </c>
      <c r="AV351" s="13">
        <f t="shared" si="140"/>
        <v>14</v>
      </c>
      <c r="AW351" s="175">
        <f t="shared" si="141"/>
        <v>43430</v>
      </c>
      <c r="AX351" s="772">
        <f t="shared" si="142"/>
        <v>0.25</v>
      </c>
      <c r="AY351" s="789">
        <f t="shared" si="143"/>
        <v>19.637344236671925</v>
      </c>
      <c r="AZ351" s="763">
        <f t="shared" si="147"/>
        <v>19.500302731432022</v>
      </c>
      <c r="BA351" s="647">
        <f t="shared" si="144"/>
        <v>0.68984922652134928</v>
      </c>
      <c r="BB351" s="642">
        <v>43437</v>
      </c>
      <c r="BC351" s="11">
        <v>43437</v>
      </c>
      <c r="BD351" s="292">
        <f>[2]!FeuilCaduc*(1-Persistant)+Persistant</f>
        <v>1</v>
      </c>
      <c r="BE351" s="293">
        <f>[2]!CroissVégét</f>
        <v>0.99960804182016849</v>
      </c>
      <c r="BF351" s="842">
        <f>1+[2]!Salcycl*Ksac</f>
        <v>1.0094420244900926</v>
      </c>
      <c r="BH351" s="1105">
        <f t="shared" si="145"/>
        <v>2.3250193957348248E-2</v>
      </c>
      <c r="BI351" s="11">
        <v>44533</v>
      </c>
      <c r="BJ351" s="742">
        <v>5.1496665450015704E-4</v>
      </c>
      <c r="BK351" s="742">
        <v>2.5326144387293049E-3</v>
      </c>
      <c r="BL351" s="742">
        <v>1.6493899758628146E-2</v>
      </c>
      <c r="BM351" s="742">
        <v>5.0313250453432136E-2</v>
      </c>
      <c r="BN351" s="742">
        <v>0.11154198881578546</v>
      </c>
      <c r="BO351" s="743">
        <v>0.19831296179404026</v>
      </c>
      <c r="BP351" s="742">
        <v>0.31051560808062045</v>
      </c>
      <c r="BQ351" s="742">
        <v>0.44562439998816722</v>
      </c>
      <c r="BR351" s="742">
        <v>0.59048523652094931</v>
      </c>
      <c r="BS351" s="742">
        <v>0.7318134081889015</v>
      </c>
      <c r="BT351" s="742">
        <v>0.8636861697627074</v>
      </c>
      <c r="BW351" s="1187">
        <f>'2018'!R\Max</f>
        <v>0.45880864874967847</v>
      </c>
      <c r="BX351" s="1185">
        <f>'2019'!R\Max</f>
        <v>0.22573354392526127</v>
      </c>
      <c r="BY351" s="1185">
        <f>'2020'!R\Max</f>
        <v>8.4941262326655539E-2</v>
      </c>
      <c r="BZ351" s="1185">
        <f>'2021'!R\Max</f>
        <v>0.68984922652134928</v>
      </c>
      <c r="CA351" s="1185">
        <f>'2022'!R\Max</f>
        <v>0.46178019058951147</v>
      </c>
      <c r="CB351" s="1185">
        <f>'2023'!R\Max</f>
        <v>0.44611039442933154</v>
      </c>
      <c r="CC351" s="1185">
        <f>'2024'!R\Max</f>
        <v>0.42858841911685291</v>
      </c>
      <c r="CD351" s="1185">
        <f>'2025'!R\Max</f>
        <v>0.50128728087133767</v>
      </c>
      <c r="CE351" s="1185">
        <f>'2026'!R\Max</f>
        <v>0.49476900409593116</v>
      </c>
      <c r="CF351" s="1186">
        <f>'2027'!R\Max</f>
        <v>0.48640688879035937</v>
      </c>
    </row>
    <row r="352" spans="1:84" s="6" customFormat="1" ht="11.25" x14ac:dyDescent="0.2">
      <c r="A352" s="11">
        <v>43438</v>
      </c>
      <c r="B352" s="382">
        <f>'2023'!Maxi_hp</f>
        <v>16.33460099180688</v>
      </c>
      <c r="C352" s="85">
        <f>'2023'!An_max</f>
        <v>2022</v>
      </c>
      <c r="D352" s="1132"/>
      <c r="E352" s="709"/>
      <c r="F352" s="13">
        <f t="shared" si="146"/>
        <v>25</v>
      </c>
      <c r="G352" s="13">
        <f t="shared" si="130"/>
        <v>26</v>
      </c>
      <c r="H352" s="175">
        <f t="shared" si="131"/>
        <v>43430</v>
      </c>
      <c r="I352" s="772">
        <f t="shared" si="132"/>
        <v>0.5714285714285714</v>
      </c>
      <c r="J352" s="763">
        <f t="shared" si="133"/>
        <v>19.363534108549356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P352" s="13">
        <f t="shared" si="134"/>
        <v>13</v>
      </c>
      <c r="AQ352" s="13">
        <f t="shared" si="135"/>
        <v>14</v>
      </c>
      <c r="AR352" s="175">
        <f t="shared" si="136"/>
        <v>43416</v>
      </c>
      <c r="AS352" s="772">
        <f t="shared" si="137"/>
        <v>0.7857142857142857</v>
      </c>
      <c r="AT352" s="789">
        <f t="shared" si="138"/>
        <v>19.225537698715925</v>
      </c>
      <c r="AU352" s="13">
        <f t="shared" si="139"/>
        <v>13</v>
      </c>
      <c r="AV352" s="13">
        <f t="shared" si="140"/>
        <v>14</v>
      </c>
      <c r="AW352" s="175">
        <f t="shared" si="141"/>
        <v>43430</v>
      </c>
      <c r="AX352" s="772">
        <f t="shared" si="142"/>
        <v>0.2857142857142857</v>
      </c>
      <c r="AY352" s="789">
        <f t="shared" si="143"/>
        <v>19.492844338395766</v>
      </c>
      <c r="AZ352" s="763">
        <f t="shared" si="147"/>
        <v>19.359191018555848</v>
      </c>
      <c r="BA352" s="647">
        <f t="shared" si="144"/>
        <v>0.84357539797421865</v>
      </c>
      <c r="BB352" s="642">
        <v>43438</v>
      </c>
      <c r="BC352" s="11">
        <v>43438</v>
      </c>
      <c r="BD352" s="292">
        <f>[2]!FeuilCaduc*(1-Persistant)+Persistant</f>
        <v>1</v>
      </c>
      <c r="BE352" s="293">
        <f>[2]!CroissVégét</f>
        <v>0.99963713826343847</v>
      </c>
      <c r="BF352" s="842">
        <f>1+[2]!Salcycl*Ksac</f>
        <v>1.0088132221777539</v>
      </c>
      <c r="BH352" s="1105">
        <f t="shared" si="145"/>
        <v>2.3361985496294035E-2</v>
      </c>
      <c r="BI352" s="11">
        <v>44534</v>
      </c>
      <c r="BJ352" s="742">
        <v>5.0053714526379579E-4</v>
      </c>
      <c r="BK352" s="742">
        <v>2.5800229707926572E-3</v>
      </c>
      <c r="BL352" s="742">
        <v>1.6679183348025244E-2</v>
      </c>
      <c r="BM352" s="742">
        <v>5.0130661751542092E-2</v>
      </c>
      <c r="BN352" s="742">
        <v>0.11250610835222012</v>
      </c>
      <c r="BO352" s="743">
        <v>0.19920418756931343</v>
      </c>
      <c r="BP352" s="742">
        <v>0.31378268758066641</v>
      </c>
      <c r="BQ352" s="742">
        <v>0.44834818221112133</v>
      </c>
      <c r="BR352" s="742">
        <v>0.59361018525479292</v>
      </c>
      <c r="BS352" s="742">
        <v>0.73243110336776229</v>
      </c>
      <c r="BT352" s="742">
        <v>0.86216772196445568</v>
      </c>
      <c r="BW352" s="1187">
        <f>'2018'!R\Max</f>
        <v>0.25405057648742901</v>
      </c>
      <c r="BX352" s="1185">
        <f>'2019'!R\Max</f>
        <v>0.36435051354488218</v>
      </c>
      <c r="BY352" s="1185">
        <f>'2020'!R\Max</f>
        <v>0.6268043216442466</v>
      </c>
      <c r="BZ352" s="1185">
        <f>'2021'!R\Max</f>
        <v>0.34594938856967833</v>
      </c>
      <c r="CA352" s="1185">
        <f>'2022'!R\Max</f>
        <v>0.84357539797421865</v>
      </c>
      <c r="CB352" s="1185">
        <f>'2023'!R\Max</f>
        <v>0.83491309424616578</v>
      </c>
      <c r="CC352" s="1185">
        <f>'2024'!R\Max</f>
        <v>0.82478449850077473</v>
      </c>
      <c r="CD352" s="1185">
        <f>'2025'!R\Max</f>
        <v>0.86373675109755932</v>
      </c>
      <c r="CE352" s="1185">
        <f>'2026'!R\Max</f>
        <v>0.86056442958442847</v>
      </c>
      <c r="CF352" s="1186">
        <f>'2027'!R\Max</f>
        <v>0.85642500130732913</v>
      </c>
    </row>
    <row r="353" spans="1:84" s="6" customFormat="1" ht="11.25" x14ac:dyDescent="0.2">
      <c r="A353" s="11">
        <v>43439</v>
      </c>
      <c r="B353" s="382">
        <f>'2023'!Maxi_hp</f>
        <v>19.680771499615478</v>
      </c>
      <c r="C353" s="85">
        <f>'2023'!An_max</f>
        <v>2023</v>
      </c>
      <c r="D353" s="1132"/>
      <c r="E353" s="709"/>
      <c r="F353" s="13">
        <f t="shared" si="146"/>
        <v>25</v>
      </c>
      <c r="G353" s="13">
        <f t="shared" si="130"/>
        <v>26</v>
      </c>
      <c r="H353" s="175">
        <f t="shared" si="131"/>
        <v>43430</v>
      </c>
      <c r="I353" s="772">
        <f t="shared" si="132"/>
        <v>0.6428571428571429</v>
      </c>
      <c r="J353" s="763">
        <f t="shared" si="133"/>
        <v>19.211995078250766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P353" s="13">
        <f t="shared" si="134"/>
        <v>13</v>
      </c>
      <c r="AQ353" s="13">
        <f t="shared" si="135"/>
        <v>14</v>
      </c>
      <c r="AR353" s="175">
        <f t="shared" si="136"/>
        <v>43416</v>
      </c>
      <c r="AS353" s="772">
        <f t="shared" si="137"/>
        <v>0.8214285714285714</v>
      </c>
      <c r="AT353" s="789">
        <f t="shared" si="138"/>
        <v>19.097398123251544</v>
      </c>
      <c r="AU353" s="13">
        <f t="shared" si="139"/>
        <v>13</v>
      </c>
      <c r="AV353" s="13">
        <f t="shared" si="140"/>
        <v>14</v>
      </c>
      <c r="AW353" s="175">
        <f t="shared" si="141"/>
        <v>43430</v>
      </c>
      <c r="AX353" s="772">
        <f t="shared" si="142"/>
        <v>0.32142857142857145</v>
      </c>
      <c r="AY353" s="789">
        <f t="shared" si="143"/>
        <v>19.354205813711243</v>
      </c>
      <c r="AZ353" s="763">
        <f t="shared" si="147"/>
        <v>19.225801968481392</v>
      </c>
      <c r="BA353" s="647">
        <f t="shared" si="144"/>
        <v>1.0244001947458021</v>
      </c>
      <c r="BB353" s="642">
        <v>43439</v>
      </c>
      <c r="BC353" s="11">
        <v>43439</v>
      </c>
      <c r="BD353" s="292">
        <f>[2]!FeuilCaduc*(1-Persistant)+Persistant</f>
        <v>1</v>
      </c>
      <c r="BE353" s="293">
        <f>[2]!CroissVégét</f>
        <v>0.99966506479017636</v>
      </c>
      <c r="BF353" s="842">
        <f>1+[2]!Salcycl*Ksac</f>
        <v>1.008218478212396</v>
      </c>
      <c r="BH353" s="1105">
        <f t="shared" si="145"/>
        <v>2.3477273832393092E-2</v>
      </c>
      <c r="BI353" s="11">
        <v>44535</v>
      </c>
      <c r="BJ353" s="742">
        <v>4.8644766915530342E-4</v>
      </c>
      <c r="BK353" s="742">
        <v>2.6299379808036867E-3</v>
      </c>
      <c r="BL353" s="742">
        <v>1.6863702441256012E-2</v>
      </c>
      <c r="BM353" s="742">
        <v>4.9968638911363904E-2</v>
      </c>
      <c r="BN353" s="742">
        <v>0.11344451493545275</v>
      </c>
      <c r="BO353" s="743">
        <v>0.20006649081788738</v>
      </c>
      <c r="BP353" s="742">
        <v>0.31682786809094216</v>
      </c>
      <c r="BQ353" s="742">
        <v>0.45087033446512242</v>
      </c>
      <c r="BR353" s="742">
        <v>0.59649915410991317</v>
      </c>
      <c r="BS353" s="742">
        <v>0.73295475439398972</v>
      </c>
      <c r="BT353" s="742">
        <v>0.86055960355013994</v>
      </c>
      <c r="BW353" s="1187">
        <f>'2018'!R\Max</f>
        <v>0.82980741753665654</v>
      </c>
      <c r="BX353" s="1185">
        <f>'2019'!R\Max</f>
        <v>0.4636498301785234</v>
      </c>
      <c r="BY353" s="1185">
        <f>'2020'!R\Max</f>
        <v>0.41575215843721519</v>
      </c>
      <c r="BZ353" s="1185">
        <f>'2021'!R\Max</f>
        <v>0.37527808052288275</v>
      </c>
      <c r="CA353" s="1185">
        <f>'2022'!R\Max</f>
        <v>1.0244001947458021</v>
      </c>
      <c r="CB353" s="1185">
        <f>'2023'!R\Max</f>
        <v>1.0244001947458021</v>
      </c>
      <c r="CC353" s="1185">
        <f>'2024'!R\Max</f>
        <v>1.0244001947458024</v>
      </c>
      <c r="CD353" s="1185">
        <f>'2025'!R\Max</f>
        <v>1.0244001947458021</v>
      </c>
      <c r="CE353" s="1185">
        <f>'2026'!R\Max</f>
        <v>1.0244001947458024</v>
      </c>
      <c r="CF353" s="1186">
        <f>'2027'!R\Max</f>
        <v>1.0244001947458026</v>
      </c>
    </row>
    <row r="354" spans="1:84" s="6" customFormat="1" ht="11.25" x14ac:dyDescent="0.2">
      <c r="A354" s="11">
        <v>43440</v>
      </c>
      <c r="B354" s="382">
        <f>'2023'!Maxi_hp</f>
        <v>16.269133792401302</v>
      </c>
      <c r="C354" s="85">
        <f>'2023'!An_max</f>
        <v>2020</v>
      </c>
      <c r="D354" s="1132"/>
      <c r="E354" s="709"/>
      <c r="F354" s="13">
        <f t="shared" si="146"/>
        <v>25</v>
      </c>
      <c r="G354" s="13">
        <f t="shared" si="130"/>
        <v>26</v>
      </c>
      <c r="H354" s="175">
        <f t="shared" si="131"/>
        <v>43430</v>
      </c>
      <c r="I354" s="772">
        <f t="shared" si="132"/>
        <v>0.7142857142857143</v>
      </c>
      <c r="J354" s="763">
        <f t="shared" si="133"/>
        <v>19.069612826619828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P354" s="13">
        <f t="shared" si="134"/>
        <v>13</v>
      </c>
      <c r="AQ354" s="13">
        <f t="shared" si="135"/>
        <v>14</v>
      </c>
      <c r="AR354" s="175">
        <f t="shared" si="136"/>
        <v>43416</v>
      </c>
      <c r="AS354" s="772">
        <f t="shared" si="137"/>
        <v>0.8571428571428571</v>
      </c>
      <c r="AT354" s="789">
        <f t="shared" si="138"/>
        <v>18.979172228063852</v>
      </c>
      <c r="AU354" s="13">
        <f t="shared" si="139"/>
        <v>13</v>
      </c>
      <c r="AV354" s="13">
        <f t="shared" si="140"/>
        <v>14</v>
      </c>
      <c r="AW354" s="175">
        <f t="shared" si="141"/>
        <v>43430</v>
      </c>
      <c r="AX354" s="772">
        <f t="shared" si="142"/>
        <v>0.35714285714285715</v>
      </c>
      <c r="AY354" s="789">
        <f t="shared" si="143"/>
        <v>19.22178059081946</v>
      </c>
      <c r="AZ354" s="763">
        <f t="shared" si="147"/>
        <v>19.100476409441654</v>
      </c>
      <c r="BA354" s="647">
        <f t="shared" si="144"/>
        <v>0.85314442093395537</v>
      </c>
      <c r="BB354" s="642">
        <v>43440</v>
      </c>
      <c r="BC354" s="11">
        <v>43440</v>
      </c>
      <c r="BD354" s="292">
        <f>[2]!FeuilCaduc*(1-Persistant)+Persistant</f>
        <v>1</v>
      </c>
      <c r="BE354" s="293">
        <f>[2]!CroissVégét</f>
        <v>0.9996918683792223</v>
      </c>
      <c r="BF354" s="842">
        <f>1+[2]!Salcycl*Ksac</f>
        <v>1.0076570318289273</v>
      </c>
      <c r="BH354" s="1105">
        <f t="shared" si="145"/>
        <v>2.3596106195066108E-2</v>
      </c>
      <c r="BI354" s="11">
        <v>44536</v>
      </c>
      <c r="BJ354" s="742">
        <v>4.7269950350430307E-4</v>
      </c>
      <c r="BK354" s="742">
        <v>2.6823643315026739E-3</v>
      </c>
      <c r="BL354" s="742">
        <v>1.7047488973979796E-2</v>
      </c>
      <c r="BM354" s="742">
        <v>4.9827290423109349E-2</v>
      </c>
      <c r="BN354" s="742">
        <v>0.11435742661268257</v>
      </c>
      <c r="BO354" s="743">
        <v>0.20090027076727865</v>
      </c>
      <c r="BP354" s="742">
        <v>0.31965173807321529</v>
      </c>
      <c r="BQ354" s="742">
        <v>0.45319173459341933</v>
      </c>
      <c r="BR354" s="742">
        <v>0.59915331468921162</v>
      </c>
      <c r="BS354" s="742">
        <v>0.73338586887692803</v>
      </c>
      <c r="BT354" s="742">
        <v>0.85886362352600243</v>
      </c>
      <c r="BW354" s="1187">
        <f>'2018'!R\Max</f>
        <v>0.6960560285848435</v>
      </c>
      <c r="BX354" s="1185">
        <f>'2019'!R\Max</f>
        <v>0.65101253033923645</v>
      </c>
      <c r="BY354" s="1185">
        <f>'2020'!R\Max</f>
        <v>0.85314442093395537</v>
      </c>
      <c r="BZ354" s="1185">
        <f>'2021'!R\Max</f>
        <v>0.55140161974268154</v>
      </c>
      <c r="CA354" s="1185">
        <f>'2022'!R\Max</f>
        <v>0.70498812440163316</v>
      </c>
      <c r="CB354" s="1185">
        <f>'2023'!R\Max</f>
        <v>0.69106627603988913</v>
      </c>
      <c r="CC354" s="1185">
        <f>'2024'!R\Max</f>
        <v>0.67532293872832694</v>
      </c>
      <c r="CD354" s="1185">
        <f>'2025'!R\Max</f>
        <v>0.73863266893412649</v>
      </c>
      <c r="CE354" s="1185">
        <f>'2026'!R\Max</f>
        <v>0.73321475835815808</v>
      </c>
      <c r="CF354" s="1186">
        <f>'2027'!R\Max</f>
        <v>0.72626352517595305</v>
      </c>
    </row>
    <row r="355" spans="1:84" s="6" customFormat="1" ht="11.25" x14ac:dyDescent="0.2">
      <c r="A355" s="11">
        <v>43441</v>
      </c>
      <c r="B355" s="382">
        <f>'2023'!Maxi_hp</f>
        <v>17.136477996690616</v>
      </c>
      <c r="C355" s="85">
        <f>'2023'!An_max</f>
        <v>2022</v>
      </c>
      <c r="D355" s="1132"/>
      <c r="E355" s="709"/>
      <c r="F355" s="13">
        <f t="shared" si="146"/>
        <v>25</v>
      </c>
      <c r="G355" s="13">
        <f t="shared" si="130"/>
        <v>26</v>
      </c>
      <c r="H355" s="175">
        <f t="shared" si="131"/>
        <v>43430</v>
      </c>
      <c r="I355" s="772">
        <f t="shared" si="132"/>
        <v>0.7857142857142857</v>
      </c>
      <c r="J355" s="763">
        <f t="shared" si="133"/>
        <v>18.937404774661573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P355" s="13">
        <f t="shared" si="134"/>
        <v>13</v>
      </c>
      <c r="AQ355" s="13">
        <f t="shared" si="135"/>
        <v>14</v>
      </c>
      <c r="AR355" s="175">
        <f t="shared" si="136"/>
        <v>43416</v>
      </c>
      <c r="AS355" s="772">
        <f t="shared" si="137"/>
        <v>0.8928571428571429</v>
      </c>
      <c r="AT355" s="789">
        <f t="shared" si="138"/>
        <v>18.871189737665865</v>
      </c>
      <c r="AU355" s="13">
        <f t="shared" si="139"/>
        <v>13</v>
      </c>
      <c r="AV355" s="13">
        <f t="shared" si="140"/>
        <v>14</v>
      </c>
      <c r="AW355" s="175">
        <f t="shared" si="141"/>
        <v>43430</v>
      </c>
      <c r="AX355" s="772">
        <f t="shared" si="142"/>
        <v>0.39285714285714285</v>
      </c>
      <c r="AY355" s="789">
        <f t="shared" si="143"/>
        <v>19.095920599464858</v>
      </c>
      <c r="AZ355" s="763">
        <f t="shared" si="147"/>
        <v>18.98355516856536</v>
      </c>
      <c r="BA355" s="647">
        <f t="shared" si="144"/>
        <v>0.90490107808327491</v>
      </c>
      <c r="BB355" s="642">
        <v>43441</v>
      </c>
      <c r="BC355" s="11">
        <v>43441</v>
      </c>
      <c r="BD355" s="292">
        <f>[2]!FeuilCaduc*(1-Persistant)+Persistant</f>
        <v>1</v>
      </c>
      <c r="BE355" s="293">
        <f>[2]!CroissVégét</f>
        <v>0.99971759412779237</v>
      </c>
      <c r="BF355" s="842">
        <f>1+[2]!Salcycl*Ksac</f>
        <v>1.0071280364827317</v>
      </c>
      <c r="BH355" s="1105">
        <f t="shared" si="145"/>
        <v>2.3718530690993139E-2</v>
      </c>
      <c r="BI355" s="11">
        <v>44537</v>
      </c>
      <c r="BJ355" s="742">
        <v>4.5929380115678235E-4</v>
      </c>
      <c r="BK355" s="742">
        <v>2.7373072475668798E-3</v>
      </c>
      <c r="BL355" s="742">
        <v>1.7230576426425167E-2</v>
      </c>
      <c r="BM355" s="742">
        <v>4.9706722981268714E-2</v>
      </c>
      <c r="BN355" s="742">
        <v>0.11524506973131578</v>
      </c>
      <c r="BO355" s="743">
        <v>0.20170593434656214</v>
      </c>
      <c r="BP355" s="742">
        <v>0.32225491583229454</v>
      </c>
      <c r="BQ355" s="742">
        <v>0.45531328545810651</v>
      </c>
      <c r="BR355" s="742">
        <v>0.6015738673279073</v>
      </c>
      <c r="BS355" s="742">
        <v>0.7337259604690024</v>
      </c>
      <c r="BT355" s="742">
        <v>0.85708157906869575</v>
      </c>
      <c r="BW355" s="1187">
        <f>'2018'!R\Max</f>
        <v>0.87607548465209795</v>
      </c>
      <c r="BX355" s="1185">
        <f>'2019'!R\Max</f>
        <v>0.70361626088265539</v>
      </c>
      <c r="BY355" s="1185">
        <f>'2020'!R\Max</f>
        <v>0.79929770993006455</v>
      </c>
      <c r="BZ355" s="1185">
        <f>'2021'!R\Max</f>
        <v>0.32491921781286015</v>
      </c>
      <c r="CA355" s="1185">
        <f>'2022'!R\Max</f>
        <v>0.90490107808327491</v>
      </c>
      <c r="CB355" s="1185">
        <f>'2023'!R\Max</f>
        <v>0.89898773012836763</v>
      </c>
      <c r="CC355" s="1185">
        <f>'2024'!R\Max</f>
        <v>0.89214376615907165</v>
      </c>
      <c r="CD355" s="1185">
        <f>'2025'!R\Max</f>
        <v>0.91859500413730366</v>
      </c>
      <c r="CE355" s="1185">
        <f>'2026'!R\Max</f>
        <v>0.91644283992627895</v>
      </c>
      <c r="CF355" s="1186">
        <f>'2027'!R\Max</f>
        <v>0.91366052429442401</v>
      </c>
    </row>
    <row r="356" spans="1:84" s="6" customFormat="1" ht="11.25" x14ac:dyDescent="0.2">
      <c r="A356" s="11">
        <v>43442</v>
      </c>
      <c r="B356" s="382">
        <f>'2023'!Maxi_hp</f>
        <v>15.197501570723485</v>
      </c>
      <c r="C356" s="85">
        <f>'2023'!An_max</f>
        <v>2019</v>
      </c>
      <c r="D356" s="1132"/>
      <c r="E356" s="709"/>
      <c r="F356" s="13">
        <f t="shared" si="146"/>
        <v>25</v>
      </c>
      <c r="G356" s="13">
        <f t="shared" si="130"/>
        <v>26</v>
      </c>
      <c r="H356" s="175">
        <f t="shared" si="131"/>
        <v>43430</v>
      </c>
      <c r="I356" s="772">
        <f t="shared" si="132"/>
        <v>0.8571428571428571</v>
      </c>
      <c r="J356" s="763">
        <f t="shared" si="133"/>
        <v>18.816388338697809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P356" s="13">
        <f t="shared" si="134"/>
        <v>13</v>
      </c>
      <c r="AQ356" s="13">
        <f t="shared" si="135"/>
        <v>14</v>
      </c>
      <c r="AR356" s="175">
        <f t="shared" si="136"/>
        <v>43416</v>
      </c>
      <c r="AS356" s="772">
        <f t="shared" si="137"/>
        <v>0.9285714285714286</v>
      </c>
      <c r="AT356" s="789">
        <f t="shared" si="138"/>
        <v>18.773780385191948</v>
      </c>
      <c r="AU356" s="13">
        <f t="shared" si="139"/>
        <v>13</v>
      </c>
      <c r="AV356" s="13">
        <f t="shared" si="140"/>
        <v>14</v>
      </c>
      <c r="AW356" s="175">
        <f t="shared" si="141"/>
        <v>43430</v>
      </c>
      <c r="AX356" s="772">
        <f t="shared" si="142"/>
        <v>0.42857142857142855</v>
      </c>
      <c r="AY356" s="789">
        <f t="shared" si="143"/>
        <v>18.976977768327508</v>
      </c>
      <c r="AZ356" s="763">
        <f t="shared" si="147"/>
        <v>18.875379076759728</v>
      </c>
      <c r="BA356" s="647">
        <f t="shared" si="144"/>
        <v>0.80767367770935528</v>
      </c>
      <c r="BB356" s="642">
        <v>43442</v>
      </c>
      <c r="BC356" s="11">
        <v>43442</v>
      </c>
      <c r="BD356" s="292">
        <f>[2]!FeuilCaduc*(1-Persistant)+Persistant</f>
        <v>1</v>
      </c>
      <c r="BE356" s="293">
        <f>[2]!CroissVégét</f>
        <v>0.99974228532646048</v>
      </c>
      <c r="BF356" s="842">
        <f>1+[2]!Salcycl*Ksac</f>
        <v>1.006630567163999</v>
      </c>
      <c r="BH356" s="1105">
        <f t="shared" si="145"/>
        <v>2.3844596379799431E-2</v>
      </c>
      <c r="BI356" s="11">
        <v>44538</v>
      </c>
      <c r="BJ356" s="742">
        <v>4.4623159763156647E-4</v>
      </c>
      <c r="BK356" s="742">
        <v>2.7947723680081557E-3</v>
      </c>
      <c r="BL356" s="742">
        <v>1.741299980947987E-2</v>
      </c>
      <c r="BM356" s="742">
        <v>4.9607041919182672E-2</v>
      </c>
      <c r="BN356" s="742">
        <v>0.11610767841810904</v>
      </c>
      <c r="BO356" s="743">
        <v>0.2024838956104906</v>
      </c>
      <c r="BP356" s="742">
        <v>0.32463804493987519</v>
      </c>
      <c r="BQ356" s="742">
        <v>0.45723591080416209</v>
      </c>
      <c r="BR356" s="742">
        <v>0.60376203626228031</v>
      </c>
      <c r="BS356" s="742">
        <v>0.73397654700759496</v>
      </c>
      <c r="BT356" s="742">
        <v>0.85521525377833163</v>
      </c>
      <c r="BW356" s="1187">
        <f>'2018'!R\Max</f>
        <v>0.6546976457699093</v>
      </c>
      <c r="BX356" s="1185">
        <f>'2019'!R\Max</f>
        <v>0.80767367770935528</v>
      </c>
      <c r="BY356" s="1185">
        <f>'2020'!R\Max</f>
        <v>0.14584265849262573</v>
      </c>
      <c r="BZ356" s="1185">
        <f>'2021'!R\Max</f>
        <v>0.52513878021231208</v>
      </c>
      <c r="CA356" s="1185">
        <f>'2022'!R\Max</f>
        <v>0.24167476463921622</v>
      </c>
      <c r="CB356" s="1185">
        <f>'2023'!R\Max</f>
        <v>0.22980926188486922</v>
      </c>
      <c r="CC356" s="1185">
        <f>'2024'!R\Max</f>
        <v>0.21734512953383162</v>
      </c>
      <c r="CD356" s="1185">
        <f>'2025'!R\Max</f>
        <v>0.27378503729361603</v>
      </c>
      <c r="CE356" s="1185">
        <f>'2026'!R\Max</f>
        <v>0.26824058628627956</v>
      </c>
      <c r="CF356" s="1186">
        <f>'2027'!R\Max</f>
        <v>0.26138575882339737</v>
      </c>
    </row>
    <row r="357" spans="1:84" s="6" customFormat="1" ht="11.25" x14ac:dyDescent="0.2">
      <c r="A357" s="11">
        <v>43443</v>
      </c>
      <c r="B357" s="382">
        <f>'2023'!Maxi_hp</f>
        <v>9.1861126811797025</v>
      </c>
      <c r="C357" s="85">
        <f>'2023'!An_max</f>
        <v>2020</v>
      </c>
      <c r="D357" s="1132"/>
      <c r="E357" s="709"/>
      <c r="F357" s="13">
        <f t="shared" si="146"/>
        <v>25</v>
      </c>
      <c r="G357" s="13">
        <f t="shared" si="130"/>
        <v>26</v>
      </c>
      <c r="H357" s="175">
        <f t="shared" si="131"/>
        <v>43430</v>
      </c>
      <c r="I357" s="772">
        <f t="shared" si="132"/>
        <v>0.9285714285714286</v>
      </c>
      <c r="J357" s="763">
        <f t="shared" si="133"/>
        <v>18.707580939414246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P357" s="13">
        <f t="shared" si="134"/>
        <v>13</v>
      </c>
      <c r="AQ357" s="13">
        <f t="shared" si="135"/>
        <v>14</v>
      </c>
      <c r="AR357" s="175">
        <f t="shared" si="136"/>
        <v>43416</v>
      </c>
      <c r="AS357" s="772">
        <f t="shared" si="137"/>
        <v>0.9642857142857143</v>
      </c>
      <c r="AT357" s="789">
        <f t="shared" si="138"/>
        <v>18.687273897257235</v>
      </c>
      <c r="AU357" s="13">
        <f t="shared" si="139"/>
        <v>13</v>
      </c>
      <c r="AV357" s="13">
        <f t="shared" si="140"/>
        <v>14</v>
      </c>
      <c r="AW357" s="175">
        <f t="shared" si="141"/>
        <v>43430</v>
      </c>
      <c r="AX357" s="772">
        <f t="shared" si="142"/>
        <v>0.4642857142857143</v>
      </c>
      <c r="AY357" s="789">
        <f t="shared" si="143"/>
        <v>18.865304025874604</v>
      </c>
      <c r="AZ357" s="763">
        <f t="shared" si="147"/>
        <v>18.776288961565918</v>
      </c>
      <c r="BA357" s="647">
        <f t="shared" si="144"/>
        <v>0.49103690695924523</v>
      </c>
      <c r="BB357" s="642">
        <v>43443</v>
      </c>
      <c r="BC357" s="11">
        <v>43443</v>
      </c>
      <c r="BD357" s="292">
        <f>[2]!FeuilCaduc*(1-Persistant)+Persistant</f>
        <v>1</v>
      </c>
      <c r="BE357" s="293">
        <f>[2]!CroissVégét</f>
        <v>0.99976598353118062</v>
      </c>
      <c r="BF357" s="842">
        <f>1+[2]!Salcycl*Ksac</f>
        <v>1.0061636280411046</v>
      </c>
      <c r="BH357" s="1105">
        <f t="shared" si="145"/>
        <v>2.3974353349725246E-2</v>
      </c>
      <c r="BI357" s="11">
        <v>44539</v>
      </c>
      <c r="BJ357" s="742">
        <v>4.3351381827613024E-4</v>
      </c>
      <c r="BK357" s="742">
        <v>2.8547657985695828E-3</v>
      </c>
      <c r="BL357" s="742">
        <v>1.7594795650771159E-2</v>
      </c>
      <c r="BM357" s="742">
        <v>4.9528351643572173E-2</v>
      </c>
      <c r="BN357" s="742">
        <v>0.11694549405824139</v>
      </c>
      <c r="BO357" s="743">
        <v>0.20323457516347163</v>
      </c>
      <c r="BP357" s="742">
        <v>0.32680178965818646</v>
      </c>
      <c r="BQ357" s="742">
        <v>0.45896055112317136</v>
      </c>
      <c r="BR357" s="742">
        <v>0.60571906479798598</v>
      </c>
      <c r="BS357" s="742">
        <v>0.73413914865634144</v>
      </c>
      <c r="BT357" s="742">
        <v>0.85326641593081209</v>
      </c>
      <c r="BW357" s="1187">
        <f>'2018'!R\Max</f>
        <v>0.281280825383873</v>
      </c>
      <c r="BX357" s="1185">
        <f>'2019'!R\Max</f>
        <v>0.4843293003294516</v>
      </c>
      <c r="BY357" s="1185">
        <f>'2020'!R\Max</f>
        <v>0.49103690695924523</v>
      </c>
      <c r="BZ357" s="1185">
        <f>'2021'!R\Max</f>
        <v>0.4380691128343922</v>
      </c>
      <c r="CA357" s="1185">
        <f>'2022'!R\Max</f>
        <v>0.48341142298011053</v>
      </c>
      <c r="CB357" s="1185">
        <f>'2023'!R\Max</f>
        <v>0.46638007851209001</v>
      </c>
      <c r="CC357" s="1185">
        <f>'2024'!R\Max</f>
        <v>0.44802535323204179</v>
      </c>
      <c r="CD357" s="1185">
        <f>'2025'!R\Max</f>
        <v>0.52724636719075479</v>
      </c>
      <c r="CE357" s="1185">
        <f>'2026'!R\Max</f>
        <v>0.51989231737167818</v>
      </c>
      <c r="CF357" s="1186">
        <f>'2027'!R\Max</f>
        <v>0.51070006313137006</v>
      </c>
    </row>
    <row r="358" spans="1:84" s="6" customFormat="1" ht="11.25" x14ac:dyDescent="0.2">
      <c r="A358" s="11">
        <v>43444</v>
      </c>
      <c r="B358" s="382">
        <f>'2023'!Maxi_hp</f>
        <v>16.709769802628212</v>
      </c>
      <c r="C358" s="85">
        <f>'2023'!An_max</f>
        <v>2019</v>
      </c>
      <c r="D358" s="1132"/>
      <c r="E358" s="771">
        <f>AL$13/10</f>
        <v>18.612000000000002</v>
      </c>
      <c r="F358" s="13">
        <f t="shared" si="146"/>
        <v>27</v>
      </c>
      <c r="G358" s="13">
        <f t="shared" si="130"/>
        <v>26</v>
      </c>
      <c r="H358" s="175">
        <f t="shared" si="131"/>
        <v>43458</v>
      </c>
      <c r="I358" s="772">
        <f t="shared" si="132"/>
        <v>1</v>
      </c>
      <c r="J358" s="763">
        <f t="shared" si="133"/>
        <v>18.611999998986722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P358" s="13">
        <f t="shared" si="134"/>
        <v>15</v>
      </c>
      <c r="AQ358" s="13">
        <f t="shared" si="135"/>
        <v>14</v>
      </c>
      <c r="AR358" s="175">
        <f t="shared" si="136"/>
        <v>43473</v>
      </c>
      <c r="AS358" s="772">
        <f t="shared" si="137"/>
        <v>1</v>
      </c>
      <c r="AT358" s="789">
        <f t="shared" si="138"/>
        <v>18.612000000476836</v>
      </c>
      <c r="AU358" s="13">
        <f t="shared" si="139"/>
        <v>13</v>
      </c>
      <c r="AV358" s="13">
        <f t="shared" si="140"/>
        <v>14</v>
      </c>
      <c r="AW358" s="175">
        <f t="shared" si="141"/>
        <v>43430</v>
      </c>
      <c r="AX358" s="772">
        <f t="shared" si="142"/>
        <v>0.5</v>
      </c>
      <c r="AY358" s="789">
        <f t="shared" si="143"/>
        <v>18.761251300200819</v>
      </c>
      <c r="AZ358" s="763">
        <f t="shared" si="147"/>
        <v>18.686625650338826</v>
      </c>
      <c r="BA358" s="647">
        <f t="shared" si="144"/>
        <v>0.89779549771856482</v>
      </c>
      <c r="BB358" s="642">
        <v>43444</v>
      </c>
      <c r="BC358" s="11">
        <v>43444</v>
      </c>
      <c r="BD358" s="292">
        <f>[2]!FeuilCaduc*(1-Persistant)+Persistant</f>
        <v>1</v>
      </c>
      <c r="BE358" s="293">
        <f>[2]!CroissVégét</f>
        <v>0.9997887286324697</v>
      </c>
      <c r="BF358" s="842">
        <f>1+[2]!Salcycl*Ksac</f>
        <v>1.0057261603707564</v>
      </c>
      <c r="BH358" s="1105">
        <f t="shared" si="145"/>
        <v>2.4107852793007277E-2</v>
      </c>
      <c r="BI358" s="11">
        <v>44540</v>
      </c>
      <c r="BJ358" s="742">
        <v>4.2114128541710107E-4</v>
      </c>
      <c r="BK358" s="742">
        <v>2.9172941640881341E-3</v>
      </c>
      <c r="BL358" s="742">
        <v>1.7776001980535028E-2</v>
      </c>
      <c r="BM358" s="742">
        <v>4.9470756068470491E-2</v>
      </c>
      <c r="BN358" s="742">
        <v>0.11775876477298049</v>
      </c>
      <c r="BO358" s="743">
        <v>0.20395839958109632</v>
      </c>
      <c r="BP358" s="742">
        <v>0.32874683035970559</v>
      </c>
      <c r="BQ358" s="742">
        <v>0.46048815951152139</v>
      </c>
      <c r="BR358" s="742">
        <v>0.60744621047107539</v>
      </c>
      <c r="BS358" s="742">
        <v>0.73421528603757302</v>
      </c>
      <c r="BT358" s="742">
        <v>0.85123681671984897</v>
      </c>
      <c r="BW358" s="1187">
        <f>'2018'!R\Max</f>
        <v>0.64173099919363874</v>
      </c>
      <c r="BX358" s="1185">
        <f>'2019'!R\Max</f>
        <v>0.89779549771856482</v>
      </c>
      <c r="BY358" s="1185">
        <f>'2020'!R\Max</f>
        <v>0.42624101612469889</v>
      </c>
      <c r="BZ358" s="1185">
        <f>'2021'!R\Max</f>
        <v>0.14681146331544262</v>
      </c>
      <c r="CA358" s="1185">
        <f>'2022'!R\Max</f>
        <v>0.74790163006050281</v>
      </c>
      <c r="CB358" s="1185">
        <f>'2023'!R\Max</f>
        <v>0.73469265356063485</v>
      </c>
      <c r="CC358" s="1185">
        <f>'2024'!R\Max</f>
        <v>0.71996486176961116</v>
      </c>
      <c r="CD358" s="1185">
        <f>'2025'!R\Max</f>
        <v>0.77989690521643806</v>
      </c>
      <c r="CE358" s="1185">
        <f>'2026'!R\Max</f>
        <v>0.77471133537081294</v>
      </c>
      <c r="CF358" s="1186">
        <f>'2027'!R\Max</f>
        <v>0.76814238489046305</v>
      </c>
    </row>
    <row r="359" spans="1:84" s="6" customFormat="1" ht="11.25" x14ac:dyDescent="0.2">
      <c r="A359" s="11">
        <v>43445</v>
      </c>
      <c r="B359" s="382">
        <f>'2023'!Maxi_hp</f>
        <v>15.16428753732999</v>
      </c>
      <c r="C359" s="85">
        <f>'2023'!An_max</f>
        <v>2018</v>
      </c>
      <c r="D359" s="1132"/>
      <c r="E359" s="709"/>
      <c r="F359" s="13">
        <f t="shared" si="146"/>
        <v>27</v>
      </c>
      <c r="G359" s="13">
        <f t="shared" si="130"/>
        <v>26</v>
      </c>
      <c r="H359" s="175">
        <f t="shared" si="131"/>
        <v>43458</v>
      </c>
      <c r="I359" s="772">
        <f t="shared" si="132"/>
        <v>0.9285714285714286</v>
      </c>
      <c r="J359" s="763">
        <f t="shared" si="133"/>
        <v>18.527845736060822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P359" s="13">
        <f t="shared" si="134"/>
        <v>15</v>
      </c>
      <c r="AQ359" s="13">
        <f t="shared" si="135"/>
        <v>14</v>
      </c>
      <c r="AR359" s="175">
        <f t="shared" si="136"/>
        <v>43473</v>
      </c>
      <c r="AS359" s="772">
        <f t="shared" si="137"/>
        <v>0.96551724137931039</v>
      </c>
      <c r="AT359" s="789">
        <f t="shared" si="138"/>
        <v>18.546817686537217</v>
      </c>
      <c r="AU359" s="13">
        <f t="shared" si="139"/>
        <v>13</v>
      </c>
      <c r="AV359" s="13">
        <f t="shared" si="140"/>
        <v>14</v>
      </c>
      <c r="AW359" s="175">
        <f t="shared" si="141"/>
        <v>43430</v>
      </c>
      <c r="AX359" s="772">
        <f t="shared" si="142"/>
        <v>0.5357142857142857</v>
      </c>
      <c r="AY359" s="789">
        <f t="shared" si="143"/>
        <v>18.665171520837713</v>
      </c>
      <c r="AZ359" s="763">
        <f t="shared" si="147"/>
        <v>18.605994603687463</v>
      </c>
      <c r="BA359" s="647">
        <f t="shared" si="144"/>
        <v>0.81845929383013349</v>
      </c>
      <c r="BB359" s="642">
        <v>43445</v>
      </c>
      <c r="BC359" s="11">
        <v>43445</v>
      </c>
      <c r="BD359" s="292">
        <f>[2]!FeuilCaduc*(1-Persistant)+Persistant</f>
        <v>1</v>
      </c>
      <c r="BE359" s="293">
        <f>[2]!CroissVégét</f>
        <v>0.99981055892185233</v>
      </c>
      <c r="BF359" s="842">
        <f>1+[2]!Salcycl*Ksac</f>
        <v>1.0053170506112459</v>
      </c>
      <c r="BH359" s="1105">
        <f t="shared" si="145"/>
        <v>2.4245147081633847E-2</v>
      </c>
      <c r="BI359" s="11">
        <v>44541</v>
      </c>
      <c r="BJ359" s="742">
        <v>4.0911472551785063E-4</v>
      </c>
      <c r="BK359" s="742">
        <v>2.9823646609008375E-3</v>
      </c>
      <c r="BL359" s="742">
        <v>1.7956658317757862E-2</v>
      </c>
      <c r="BM359" s="742">
        <v>4.9434359049935067E-2</v>
      </c>
      <c r="BN359" s="742">
        <v>0.11854774489916677</v>
      </c>
      <c r="BO359" s="743">
        <v>0.20465580083484436</v>
      </c>
      <c r="BP359" s="742">
        <v>0.33047385895195797</v>
      </c>
      <c r="BQ359" s="742">
        <v>0.46181969753576396</v>
      </c>
      <c r="BR359" s="742">
        <v>0.60894474021848044</v>
      </c>
      <c r="BS359" s="742">
        <v>0.73420647837628283</v>
      </c>
      <c r="BT359" s="742">
        <v>0.84912818851242866</v>
      </c>
      <c r="BW359" s="1187">
        <f>'2018'!R\Max</f>
        <v>0.81845929383013349</v>
      </c>
      <c r="BX359" s="1185">
        <f>'2019'!R\Max</f>
        <v>0.10592541688717021</v>
      </c>
      <c r="BY359" s="1185">
        <f>'2020'!R\Max</f>
        <v>0.28284239737019123</v>
      </c>
      <c r="BZ359" s="1185">
        <f>'2021'!R\Max</f>
        <v>0.58453632519952603</v>
      </c>
      <c r="CA359" s="1185">
        <f>'2022'!R\Max</f>
        <v>0.79401796963692406</v>
      </c>
      <c r="CB359" s="1185">
        <f>'2023'!R\Max</f>
        <v>0.78243729402909246</v>
      </c>
      <c r="CC359" s="1185">
        <f>'2024'!R\Max</f>
        <v>0.76948260136346158</v>
      </c>
      <c r="CD359" s="1185">
        <f>'2025'!R\Max</f>
        <v>0.82183739057587557</v>
      </c>
      <c r="CE359" s="1185">
        <f>'2026'!R\Max</f>
        <v>0.81734208335369918</v>
      </c>
      <c r="CF359" s="1186">
        <f>'2027'!R\Max</f>
        <v>0.81165014824369119</v>
      </c>
    </row>
    <row r="360" spans="1:84" s="6" customFormat="1" ht="11.25" x14ac:dyDescent="0.2">
      <c r="A360" s="11">
        <v>43446</v>
      </c>
      <c r="B360" s="382">
        <f>'2023'!Maxi_hp</f>
        <v>18.180866502884243</v>
      </c>
      <c r="C360" s="85">
        <f>'2023'!An_max</f>
        <v>2021</v>
      </c>
      <c r="D360" s="1132"/>
      <c r="E360" s="709"/>
      <c r="F360" s="13">
        <f t="shared" si="146"/>
        <v>27</v>
      </c>
      <c r="G360" s="13">
        <f t="shared" si="130"/>
        <v>26</v>
      </c>
      <c r="H360" s="175">
        <f t="shared" si="131"/>
        <v>43458</v>
      </c>
      <c r="I360" s="772">
        <f t="shared" si="132"/>
        <v>0.8571428571428571</v>
      </c>
      <c r="J360" s="763">
        <f t="shared" si="133"/>
        <v>18.452724288829735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P360" s="13">
        <f t="shared" si="134"/>
        <v>15</v>
      </c>
      <c r="AQ360" s="13">
        <f t="shared" si="135"/>
        <v>14</v>
      </c>
      <c r="AR360" s="175">
        <f t="shared" si="136"/>
        <v>43473</v>
      </c>
      <c r="AS360" s="772">
        <f t="shared" si="137"/>
        <v>0.93103448275862066</v>
      </c>
      <c r="AT360" s="789">
        <f t="shared" si="138"/>
        <v>18.490348564653562</v>
      </c>
      <c r="AU360" s="13">
        <f t="shared" si="139"/>
        <v>13</v>
      </c>
      <c r="AV360" s="13">
        <f t="shared" si="140"/>
        <v>14</v>
      </c>
      <c r="AW360" s="175">
        <f t="shared" si="141"/>
        <v>43430</v>
      </c>
      <c r="AX360" s="772">
        <f t="shared" si="142"/>
        <v>0.5714285714285714</v>
      </c>
      <c r="AY360" s="789">
        <f t="shared" si="143"/>
        <v>18.577416616678239</v>
      </c>
      <c r="AZ360" s="763">
        <f t="shared" si="147"/>
        <v>18.5338825906659</v>
      </c>
      <c r="BA360" s="647">
        <f t="shared" si="144"/>
        <v>0.98526733604804029</v>
      </c>
      <c r="BB360" s="642">
        <v>43446</v>
      </c>
      <c r="BC360" s="11">
        <v>43446</v>
      </c>
      <c r="BD360" s="292">
        <f>[2]!FeuilCaduc*(1-Persistant)+Persistant</f>
        <v>1</v>
      </c>
      <c r="BE360" s="293">
        <f>[2]!CroissVégét</f>
        <v>0.99983151115568181</v>
      </c>
      <c r="BF360" s="842">
        <f>1+[2]!Salcycl*Ksac</f>
        <v>1.0049351386743228</v>
      </c>
      <c r="BH360" s="1105">
        <f t="shared" si="145"/>
        <v>2.438628984284797E-2</v>
      </c>
      <c r="BI360" s="11">
        <v>44542</v>
      </c>
      <c r="BJ360" s="742">
        <v>3.9743477633139089E-4</v>
      </c>
      <c r="BK360" s="742">
        <v>3.0499851092213159E-3</v>
      </c>
      <c r="BL360" s="742">
        <v>1.8136805656133861E-2</v>
      </c>
      <c r="BM360" s="742">
        <v>4.9419264820235197E-2</v>
      </c>
      <c r="BN360" s="742">
        <v>0.11931269446747102</v>
      </c>
      <c r="BO360" s="743">
        <v>0.20532721571465049</v>
      </c>
      <c r="BP360" s="742">
        <v>0.33198357429888919</v>
      </c>
      <c r="BQ360" s="742">
        <v>0.46295613109315309</v>
      </c>
      <c r="BR360" s="742">
        <v>0.61021592554212889</v>
      </c>
      <c r="BS360" s="742">
        <v>0.73411424163634498</v>
      </c>
      <c r="BT360" s="742">
        <v>0.84694224309525323</v>
      </c>
      <c r="BW360" s="1187">
        <f>'2018'!R\Max</f>
        <v>0.20487807511752462</v>
      </c>
      <c r="BX360" s="1185">
        <f>'2019'!R\Max</f>
        <v>0.34117553342546059</v>
      </c>
      <c r="BY360" s="1185">
        <f>'2020'!R\Max</f>
        <v>0.35940480431147848</v>
      </c>
      <c r="BZ360" s="1185">
        <f>'2021'!R\Max</f>
        <v>0.98526733604804029</v>
      </c>
      <c r="CA360" s="1185">
        <f>'2022'!R\Max</f>
        <v>0.2497457101350456</v>
      </c>
      <c r="CB360" s="1185">
        <f>'2023'!R\Max</f>
        <v>0.23706948922596421</v>
      </c>
      <c r="CC360" s="1185">
        <f>'2024'!R\Max</f>
        <v>0.22398381746293419</v>
      </c>
      <c r="CD360" s="1185">
        <f>'2025'!R\Max</f>
        <v>0.28463338675231176</v>
      </c>
      <c r="CE360" s="1185">
        <f>'2026'!R\Max</f>
        <v>0.27850450745590732</v>
      </c>
      <c r="CF360" s="1186">
        <f>'2027'!R\Max</f>
        <v>0.27104441222399972</v>
      </c>
    </row>
    <row r="361" spans="1:84" s="6" customFormat="1" ht="11.25" x14ac:dyDescent="0.2">
      <c r="A361" s="11">
        <v>43447</v>
      </c>
      <c r="B361" s="382">
        <f>'2023'!Maxi_hp</f>
        <v>18.504532146725122</v>
      </c>
      <c r="C361" s="85">
        <f>'2023'!An_max</f>
        <v>2021</v>
      </c>
      <c r="D361" s="1132"/>
      <c r="E361" s="709"/>
      <c r="F361" s="13">
        <f t="shared" si="146"/>
        <v>27</v>
      </c>
      <c r="G361" s="13">
        <f t="shared" si="130"/>
        <v>26</v>
      </c>
      <c r="H361" s="175">
        <f t="shared" si="131"/>
        <v>43458</v>
      </c>
      <c r="I361" s="772">
        <f t="shared" si="132"/>
        <v>0.7857142857142857</v>
      </c>
      <c r="J361" s="763">
        <f t="shared" si="133"/>
        <v>18.386761960706544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P361" s="13">
        <f t="shared" si="134"/>
        <v>15</v>
      </c>
      <c r="AQ361" s="13">
        <f t="shared" si="135"/>
        <v>14</v>
      </c>
      <c r="AR361" s="175">
        <f t="shared" si="136"/>
        <v>43473</v>
      </c>
      <c r="AS361" s="772">
        <f t="shared" si="137"/>
        <v>0.89655172413793105</v>
      </c>
      <c r="AT361" s="789">
        <f t="shared" si="138"/>
        <v>18.442566285616365</v>
      </c>
      <c r="AU361" s="13">
        <f t="shared" si="139"/>
        <v>13</v>
      </c>
      <c r="AV361" s="13">
        <f t="shared" si="140"/>
        <v>14</v>
      </c>
      <c r="AW361" s="175">
        <f t="shared" si="141"/>
        <v>43430</v>
      </c>
      <c r="AX361" s="772">
        <f t="shared" si="142"/>
        <v>0.6071428571428571</v>
      </c>
      <c r="AY361" s="789">
        <f t="shared" si="143"/>
        <v>18.498338513289177</v>
      </c>
      <c r="AZ361" s="763">
        <f t="shared" si="147"/>
        <v>18.470452399452771</v>
      </c>
      <c r="BA361" s="647">
        <f t="shared" si="144"/>
        <v>1.006405161837101</v>
      </c>
      <c r="BB361" s="642">
        <v>43447</v>
      </c>
      <c r="BC361" s="11">
        <v>43447</v>
      </c>
      <c r="BD361" s="292">
        <f>[2]!FeuilCaduc*(1-Persistant)+Persistant</f>
        <v>1</v>
      </c>
      <c r="BE361" s="293">
        <f>[2]!CroissVégét</f>
        <v>0.99985162061643362</v>
      </c>
      <c r="BF361" s="842">
        <f>1+[2]!Salcycl*Ksac</f>
        <v>1.0045792262509643</v>
      </c>
      <c r="BH361" s="1105">
        <f t="shared" si="145"/>
        <v>2.451706722548045E-2</v>
      </c>
      <c r="BI361" s="11">
        <v>44543</v>
      </c>
      <c r="BJ361" s="742">
        <v>3.8690585098576829E-4</v>
      </c>
      <c r="BK361" s="742">
        <v>3.1122285778380564E-3</v>
      </c>
      <c r="BL361" s="742">
        <v>1.8302645951459365E-2</v>
      </c>
      <c r="BM361" s="742">
        <v>4.9409593969084668E-2</v>
      </c>
      <c r="BN361" s="742">
        <v>0.12000965708483978</v>
      </c>
      <c r="BO361" s="743">
        <v>0.20593208324505785</v>
      </c>
      <c r="BP361" s="742">
        <v>0.33330823289846612</v>
      </c>
      <c r="BQ361" s="742">
        <v>0.46394898893484365</v>
      </c>
      <c r="BR361" s="742">
        <v>0.61133729916006074</v>
      </c>
      <c r="BS361" s="742">
        <v>0.7340267895225403</v>
      </c>
      <c r="BT361" s="742">
        <v>0.84492564367430267</v>
      </c>
      <c r="BW361" s="1187">
        <f>'2018'!R\Max</f>
        <v>9.735190098701027E-2</v>
      </c>
      <c r="BX361" s="1185">
        <f>'2019'!R\Max</f>
        <v>0.11932774099791209</v>
      </c>
      <c r="BY361" s="1185">
        <f>'2020'!R\Max</f>
        <v>0.51276453551369661</v>
      </c>
      <c r="BZ361" s="1185">
        <f>'2021'!R\Max</f>
        <v>1.006405161837101</v>
      </c>
      <c r="CA361" s="1185">
        <f>'2022'!R\Max</f>
        <v>0.30434001516174281</v>
      </c>
      <c r="CB361" s="1185">
        <f>'2023'!R\Max</f>
        <v>0.28968684154939683</v>
      </c>
      <c r="CC361" s="1185">
        <f>'2024'!R\Max</f>
        <v>0.2745108520080391</v>
      </c>
      <c r="CD361" s="1185">
        <f>'2025'!R\Max</f>
        <v>0.34434985350460096</v>
      </c>
      <c r="CE361" s="1185">
        <f>'2026'!R\Max</f>
        <v>0.33734026320220567</v>
      </c>
      <c r="CF361" s="1186">
        <f>'2027'!R\Max</f>
        <v>0.3288080928058143</v>
      </c>
    </row>
    <row r="362" spans="1:84" s="6" customFormat="1" ht="11.25" x14ac:dyDescent="0.2">
      <c r="A362" s="11">
        <v>43448</v>
      </c>
      <c r="B362" s="382">
        <f>'2023'!Maxi_hp</f>
        <v>18.47305077116031</v>
      </c>
      <c r="C362" s="85">
        <f>'2023'!An_max</f>
        <v>2021</v>
      </c>
      <c r="D362" s="1132"/>
      <c r="E362" s="709"/>
      <c r="F362" s="13">
        <f t="shared" si="146"/>
        <v>27</v>
      </c>
      <c r="G362" s="13">
        <f t="shared" si="130"/>
        <v>26</v>
      </c>
      <c r="H362" s="175">
        <f t="shared" si="131"/>
        <v>43458</v>
      </c>
      <c r="I362" s="772">
        <f t="shared" si="132"/>
        <v>0.7142857142857143</v>
      </c>
      <c r="J362" s="763">
        <f t="shared" si="133"/>
        <v>18.330085050208229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P362" s="13">
        <f t="shared" si="134"/>
        <v>15</v>
      </c>
      <c r="AQ362" s="13">
        <f t="shared" si="135"/>
        <v>14</v>
      </c>
      <c r="AR362" s="175">
        <f t="shared" si="136"/>
        <v>43473</v>
      </c>
      <c r="AS362" s="772">
        <f t="shared" si="137"/>
        <v>0.86206896551724133</v>
      </c>
      <c r="AT362" s="789">
        <f t="shared" si="138"/>
        <v>18.403444510441403</v>
      </c>
      <c r="AU362" s="13">
        <f t="shared" si="139"/>
        <v>13</v>
      </c>
      <c r="AV362" s="13">
        <f t="shared" si="140"/>
        <v>14</v>
      </c>
      <c r="AW362" s="175">
        <f t="shared" si="141"/>
        <v>43430</v>
      </c>
      <c r="AX362" s="772">
        <f t="shared" si="142"/>
        <v>0.6428571428571429</v>
      </c>
      <c r="AY362" s="789">
        <f t="shared" si="143"/>
        <v>18.428289145124811</v>
      </c>
      <c r="AZ362" s="763">
        <f t="shared" si="147"/>
        <v>18.415866827783105</v>
      </c>
      <c r="BA362" s="647">
        <f t="shared" si="144"/>
        <v>1.0077995121441325</v>
      </c>
      <c r="BB362" s="642">
        <v>43448</v>
      </c>
      <c r="BC362" s="11">
        <v>43448</v>
      </c>
      <c r="BD362" s="292">
        <f>[2]!FeuilCaduc*(1-Persistant)+Persistant</f>
        <v>1</v>
      </c>
      <c r="BE362" s="293">
        <f>[2]!CroissVégét</f>
        <v>0.99987092117157228</v>
      </c>
      <c r="BF362" s="842">
        <f>1+[2]!Salcycl*Ksac</f>
        <v>1.0042480851466158</v>
      </c>
      <c r="BH362" s="1105">
        <f t="shared" si="145"/>
        <v>2.4637532751081402E-2</v>
      </c>
      <c r="BI362" s="11">
        <v>44544</v>
      </c>
      <c r="BJ362" s="742">
        <v>3.775285914446744E-4</v>
      </c>
      <c r="BK362" s="742">
        <v>3.1691027107667844E-3</v>
      </c>
      <c r="BL362" s="742">
        <v>1.8454220347260089E-2</v>
      </c>
      <c r="BM362" s="742">
        <v>4.940544959952959E-2</v>
      </c>
      <c r="BN362" s="742">
        <v>0.12063889379487959</v>
      </c>
      <c r="BO362" s="743">
        <v>0.20647083995376272</v>
      </c>
      <c r="BP362" s="742">
        <v>0.33444854008331443</v>
      </c>
      <c r="BQ362" s="742">
        <v>0.46479924328178684</v>
      </c>
      <c r="BR362" s="742">
        <v>0.61231014239962933</v>
      </c>
      <c r="BS362" s="742">
        <v>0.73394564317038513</v>
      </c>
      <c r="BT362" s="742">
        <v>0.84308010443700909</v>
      </c>
      <c r="BW362" s="1187">
        <f>'2018'!R\Max</f>
        <v>0.10759389490585675</v>
      </c>
      <c r="BX362" s="1185">
        <f>'2019'!R\Max</f>
        <v>0.76929774998058331</v>
      </c>
      <c r="BY362" s="1185">
        <f>'2020'!R\Max</f>
        <v>0.4643167460415572</v>
      </c>
      <c r="BZ362" s="1185">
        <f>'2021'!R\Max</f>
        <v>1.0077995121441325</v>
      </c>
      <c r="CA362" s="1185">
        <f>'2022'!R\Max</f>
        <v>0.79058172668492843</v>
      </c>
      <c r="CB362" s="1185">
        <f>'2023'!R\Max</f>
        <v>0.77866921437895398</v>
      </c>
      <c r="CC362" s="1185">
        <f>'2024'!R\Max</f>
        <v>0.76545288781436394</v>
      </c>
      <c r="CD362" s="1185">
        <f>'2025'!R\Max</f>
        <v>0.81943012253671021</v>
      </c>
      <c r="CE362" s="1185">
        <f>'2026'!R\Max</f>
        <v>0.81471651697067937</v>
      </c>
      <c r="CF362" s="1186">
        <f>'2027'!R\Max</f>
        <v>0.80880035329565192</v>
      </c>
    </row>
    <row r="363" spans="1:84" s="6" customFormat="1" ht="11.25" x14ac:dyDescent="0.2">
      <c r="A363" s="11">
        <v>43449</v>
      </c>
      <c r="B363" s="382">
        <f>'2023'!Maxi_hp</f>
        <v>17.873939107740306</v>
      </c>
      <c r="C363" s="85">
        <f>'2023'!An_max</f>
        <v>2021</v>
      </c>
      <c r="D363" s="1132"/>
      <c r="E363" s="709"/>
      <c r="F363" s="13">
        <f t="shared" si="146"/>
        <v>27</v>
      </c>
      <c r="G363" s="13">
        <f t="shared" si="130"/>
        <v>26</v>
      </c>
      <c r="H363" s="175">
        <f t="shared" si="131"/>
        <v>43458</v>
      </c>
      <c r="I363" s="772">
        <f t="shared" si="132"/>
        <v>0.6428571428571429</v>
      </c>
      <c r="J363" s="763">
        <f t="shared" si="133"/>
        <v>18.282819857022595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P363" s="13">
        <f t="shared" si="134"/>
        <v>15</v>
      </c>
      <c r="AQ363" s="13">
        <f t="shared" si="135"/>
        <v>14</v>
      </c>
      <c r="AR363" s="175">
        <f t="shared" si="136"/>
        <v>43473</v>
      </c>
      <c r="AS363" s="772">
        <f t="shared" si="137"/>
        <v>0.82758620689655171</v>
      </c>
      <c r="AT363" s="789">
        <f t="shared" si="138"/>
        <v>18.372956889508099</v>
      </c>
      <c r="AU363" s="13">
        <f t="shared" si="139"/>
        <v>13</v>
      </c>
      <c r="AV363" s="13">
        <f t="shared" si="140"/>
        <v>14</v>
      </c>
      <c r="AW363" s="175">
        <f t="shared" si="141"/>
        <v>43430</v>
      </c>
      <c r="AX363" s="772">
        <f t="shared" si="142"/>
        <v>0.6785714285714286</v>
      </c>
      <c r="AY363" s="789">
        <f t="shared" si="143"/>
        <v>18.367620437645485</v>
      </c>
      <c r="AZ363" s="763">
        <f t="shared" si="147"/>
        <v>18.370288663576794</v>
      </c>
      <c r="BA363" s="647">
        <f t="shared" si="144"/>
        <v>0.97763579401427869</v>
      </c>
      <c r="BB363" s="642">
        <v>43449</v>
      </c>
      <c r="BC363" s="11">
        <v>43449</v>
      </c>
      <c r="BD363" s="292">
        <f>[2]!FeuilCaduc*(1-Persistant)+Persistant</f>
        <v>1</v>
      </c>
      <c r="BE363" s="293">
        <f>[2]!CroissVégét</f>
        <v>0.99988944533008528</v>
      </c>
      <c r="BF363" s="842">
        <f>1+[2]!Salcycl*Ksac</f>
        <v>1.0039404655623656</v>
      </c>
      <c r="BH363" s="1105">
        <f t="shared" si="145"/>
        <v>2.4747740178672654E-2</v>
      </c>
      <c r="BI363" s="11">
        <v>44545</v>
      </c>
      <c r="BJ363" s="742">
        <v>3.6930364255003035E-4</v>
      </c>
      <c r="BK363" s="742">
        <v>3.2206152408504832E-3</v>
      </c>
      <c r="BL363" s="742">
        <v>1.8591570212603301E-2</v>
      </c>
      <c r="BM363" s="742">
        <v>4.9406935099875308E-2</v>
      </c>
      <c r="BN363" s="742">
        <v>0.1212006659142556</v>
      </c>
      <c r="BO363" s="743">
        <v>0.20694392188140701</v>
      </c>
      <c r="BP363" s="742">
        <v>0.33540519716490408</v>
      </c>
      <c r="BQ363" s="742">
        <v>0.46550786268589056</v>
      </c>
      <c r="BR363" s="742">
        <v>0.61313573330847815</v>
      </c>
      <c r="BS363" s="742">
        <v>0.73387232243890033</v>
      </c>
      <c r="BT363" s="742">
        <v>0.84140733511422261</v>
      </c>
      <c r="BW363" s="1187">
        <f>'2018'!R\Max</f>
        <v>0.32842353625270937</v>
      </c>
      <c r="BX363" s="1185">
        <f>'2019'!R\Max</f>
        <v>0.97500247956937935</v>
      </c>
      <c r="BY363" s="1185">
        <f>'2020'!R\Max</f>
        <v>0.12592425924459746</v>
      </c>
      <c r="BZ363" s="1185">
        <f>'2021'!R\Max</f>
        <v>0.97763579401427869</v>
      </c>
      <c r="CA363" s="1185">
        <f>'2022'!R\Max</f>
        <v>0.35705387851214759</v>
      </c>
      <c r="CB363" s="1185">
        <f>'2023'!R\Max</f>
        <v>0.34097727686153134</v>
      </c>
      <c r="CC363" s="1185">
        <f>'2024'!R\Max</f>
        <v>0.3242743510850099</v>
      </c>
      <c r="CD363" s="1185">
        <f>'2025'!R\Max</f>
        <v>0.40058804793468117</v>
      </c>
      <c r="CE363" s="1185">
        <f>'2026'!R\Max</f>
        <v>0.39296897097331562</v>
      </c>
      <c r="CF363" s="1186">
        <f>'2027'!R\Max</f>
        <v>0.38370901784456429</v>
      </c>
    </row>
    <row r="364" spans="1:84" s="6" customFormat="1" ht="11.25" x14ac:dyDescent="0.2">
      <c r="A364" s="11">
        <v>43450</v>
      </c>
      <c r="B364" s="382">
        <f>'2023'!Maxi_hp</f>
        <v>18.022426039936903</v>
      </c>
      <c r="C364" s="85">
        <f>'2023'!An_max</f>
        <v>2021</v>
      </c>
      <c r="D364" s="1132"/>
      <c r="E364" s="709"/>
      <c r="F364" s="13">
        <f t="shared" si="146"/>
        <v>27</v>
      </c>
      <c r="G364" s="13">
        <f t="shared" si="130"/>
        <v>26</v>
      </c>
      <c r="H364" s="175">
        <f t="shared" si="131"/>
        <v>43458</v>
      </c>
      <c r="I364" s="772">
        <f t="shared" si="132"/>
        <v>0.5714285714285714</v>
      </c>
      <c r="J364" s="763">
        <f t="shared" si="133"/>
        <v>18.245092683179038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P364" s="13">
        <f t="shared" si="134"/>
        <v>15</v>
      </c>
      <c r="AQ364" s="13">
        <f t="shared" si="135"/>
        <v>14</v>
      </c>
      <c r="AR364" s="175">
        <f t="shared" si="136"/>
        <v>43473</v>
      </c>
      <c r="AS364" s="772">
        <f t="shared" si="137"/>
        <v>0.7931034482758621</v>
      </c>
      <c r="AT364" s="789">
        <f t="shared" si="138"/>
        <v>18.351077074531851</v>
      </c>
      <c r="AU364" s="13">
        <f t="shared" si="139"/>
        <v>13</v>
      </c>
      <c r="AV364" s="13">
        <f t="shared" si="140"/>
        <v>14</v>
      </c>
      <c r="AW364" s="175">
        <f t="shared" si="141"/>
        <v>43430</v>
      </c>
      <c r="AX364" s="772">
        <f t="shared" si="142"/>
        <v>0.7142857142857143</v>
      </c>
      <c r="AY364" s="789">
        <f t="shared" si="143"/>
        <v>18.316684315672944</v>
      </c>
      <c r="AZ364" s="763">
        <f t="shared" si="147"/>
        <v>18.333880695102398</v>
      </c>
      <c r="BA364" s="647">
        <f t="shared" si="144"/>
        <v>0.98779580640621123</v>
      </c>
      <c r="BB364" s="642">
        <v>43450</v>
      </c>
      <c r="BC364" s="11">
        <v>43450</v>
      </c>
      <c r="BD364" s="292">
        <f>[2]!FeuilCaduc*(1-Persistant)+Persistant</f>
        <v>1</v>
      </c>
      <c r="BE364" s="293">
        <f>[2]!CroissVégét</f>
        <v>0.9999072242967757</v>
      </c>
      <c r="BF364" s="842">
        <f>1+[2]!Salcycl*Ksac</f>
        <v>1.0036551042599178</v>
      </c>
      <c r="BH364" s="1105">
        <f t="shared" si="145"/>
        <v>2.484774328352949E-2</v>
      </c>
      <c r="BI364" s="11">
        <v>44546</v>
      </c>
      <c r="BJ364" s="742">
        <v>3.6223167588306205E-4</v>
      </c>
      <c r="BK364" s="742">
        <v>3.2667738771666693E-3</v>
      </c>
      <c r="BL364" s="742">
        <v>1.8714736840265239E-2</v>
      </c>
      <c r="BM364" s="742">
        <v>4.9414154245377401E-2</v>
      </c>
      <c r="BN364" s="742">
        <v>0.12169523359114726</v>
      </c>
      <c r="BO364" s="743">
        <v>0.20735176315087264</v>
      </c>
      <c r="BP364" s="742">
        <v>0.33617889750929458</v>
      </c>
      <c r="BQ364" s="742">
        <v>0.46607580893944117</v>
      </c>
      <c r="BR364" s="742">
        <v>0.61381534340105437</v>
      </c>
      <c r="BS364" s="742">
        <v>0.73380834584573318</v>
      </c>
      <c r="BT364" s="742">
        <v>0.83990904431505353</v>
      </c>
      <c r="BW364" s="1187">
        <f>'2018'!R\Max</f>
        <v>0.16445146184896928</v>
      </c>
      <c r="BX364" s="1185">
        <f>'2019'!R\Max</f>
        <v>0.6795335034172707</v>
      </c>
      <c r="BY364" s="1185">
        <f>'2020'!R\Max</f>
        <v>0.13389390689049441</v>
      </c>
      <c r="BZ364" s="1185">
        <f>'2021'!R\Max</f>
        <v>0.98779580640621123</v>
      </c>
      <c r="CA364" s="1185">
        <f>'2022'!R\Max</f>
        <v>0.31304474583530306</v>
      </c>
      <c r="CB364" s="1185">
        <f>'2023'!R\Max</f>
        <v>0.29798892099071272</v>
      </c>
      <c r="CC364" s="1185">
        <f>'2024'!R\Max</f>
        <v>0.28246713840296267</v>
      </c>
      <c r="CD364" s="1185">
        <f>'2025'!R\Max</f>
        <v>0.35437284851377293</v>
      </c>
      <c r="CE364" s="1185">
        <f>'2026'!R\Max</f>
        <v>0.34706646767587085</v>
      </c>
      <c r="CF364" s="1186">
        <f>'2027'!R\Max</f>
        <v>0.33823537207608406</v>
      </c>
    </row>
    <row r="365" spans="1:84" s="6" customFormat="1" ht="11.25" x14ac:dyDescent="0.2">
      <c r="A365" s="11">
        <v>43451</v>
      </c>
      <c r="B365" s="382">
        <f>'2023'!Maxi_hp</f>
        <v>18.022391356123773</v>
      </c>
      <c r="C365" s="85">
        <f>'2023'!An_max</f>
        <v>2021</v>
      </c>
      <c r="D365" s="1132"/>
      <c r="E365" s="709"/>
      <c r="F365" s="13">
        <f t="shared" si="146"/>
        <v>27</v>
      </c>
      <c r="G365" s="13">
        <f t="shared" si="130"/>
        <v>26</v>
      </c>
      <c r="H365" s="175">
        <f t="shared" si="131"/>
        <v>43458</v>
      </c>
      <c r="I365" s="772">
        <f t="shared" si="132"/>
        <v>0.5</v>
      </c>
      <c r="J365" s="763">
        <f t="shared" si="133"/>
        <v>18.217029828578234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P365" s="13">
        <f t="shared" si="134"/>
        <v>15</v>
      </c>
      <c r="AQ365" s="13">
        <f t="shared" si="135"/>
        <v>14</v>
      </c>
      <c r="AR365" s="175">
        <f t="shared" si="136"/>
        <v>43473</v>
      </c>
      <c r="AS365" s="772">
        <f t="shared" si="137"/>
        <v>0.75862068965517238</v>
      </c>
      <c r="AT365" s="789">
        <f t="shared" si="138"/>
        <v>18.337778722571915</v>
      </c>
      <c r="AU365" s="13">
        <f t="shared" si="139"/>
        <v>13</v>
      </c>
      <c r="AV365" s="13">
        <f t="shared" si="140"/>
        <v>14</v>
      </c>
      <c r="AW365" s="175">
        <f t="shared" si="141"/>
        <v>43430</v>
      </c>
      <c r="AX365" s="772">
        <f t="shared" si="142"/>
        <v>0.75</v>
      </c>
      <c r="AY365" s="789">
        <f t="shared" si="143"/>
        <v>18.275832713954152</v>
      </c>
      <c r="AZ365" s="763">
        <f t="shared" si="147"/>
        <v>18.306805718263035</v>
      </c>
      <c r="BA365" s="647">
        <f t="shared" si="144"/>
        <v>0.98931557590419494</v>
      </c>
      <c r="BB365" s="642">
        <v>43451</v>
      </c>
      <c r="BC365" s="11">
        <v>43451</v>
      </c>
      <c r="BD365" s="292">
        <f>[2]!FeuilCaduc*(1-Persistant)+Persistant</f>
        <v>1</v>
      </c>
      <c r="BE365" s="293">
        <f>[2]!CroissVégét</f>
        <v>0.99992428802440059</v>
      </c>
      <c r="BF365" s="842">
        <f>1+[2]!Salcycl*Ksac</f>
        <v>1.0033907325501814</v>
      </c>
      <c r="BH365" s="1105">
        <f t="shared" si="145"/>
        <v>2.4937595636541167E-2</v>
      </c>
      <c r="BI365" s="11">
        <v>44547</v>
      </c>
      <c r="BJ365" s="742">
        <v>3.56313413634086E-4</v>
      </c>
      <c r="BK365" s="742">
        <v>3.3075861925097589E-3</v>
      </c>
      <c r="BL365" s="742">
        <v>1.882376114533298E-2</v>
      </c>
      <c r="BM365" s="742">
        <v>4.9427211301089589E-2</v>
      </c>
      <c r="BN365" s="742">
        <v>0.12212285436653834</v>
      </c>
      <c r="BO365" s="743">
        <v>0.20769479454141862</v>
      </c>
      <c r="BP365" s="742">
        <v>0.33677032262072676</v>
      </c>
      <c r="BQ365" s="742">
        <v>0.46650403399541635</v>
      </c>
      <c r="BR365" s="742">
        <v>0.61435023441947534</v>
      </c>
      <c r="BS365" s="742">
        <v>0.73375523051946201</v>
      </c>
      <c r="BT365" s="742">
        <v>0.83858694288142666</v>
      </c>
      <c r="BW365" s="1187">
        <f>'2018'!R\Max</f>
        <v>0.83757508511719536</v>
      </c>
      <c r="BX365" s="1185">
        <f>'2019'!R\Max</f>
        <v>0.58597671316185651</v>
      </c>
      <c r="BY365" s="1185">
        <f>'2020'!R\Max</f>
        <v>0.76566269595732339</v>
      </c>
      <c r="BZ365" s="1185">
        <f>'2021'!R\Max</f>
        <v>0.98931557590419494</v>
      </c>
      <c r="CA365" s="1185">
        <f>'2022'!R\Max</f>
        <v>0.19213202415106073</v>
      </c>
      <c r="CB365" s="1185">
        <f>'2023'!R\Max</f>
        <v>0.18218923386211155</v>
      </c>
      <c r="CC365" s="1185">
        <f>'2024'!R\Max</f>
        <v>0.17202657130672216</v>
      </c>
      <c r="CD365" s="1185">
        <f>'2025'!R\Max</f>
        <v>0.21986204944467258</v>
      </c>
      <c r="CE365" s="1185">
        <f>'2026'!R\Max</f>
        <v>0.21490321075460495</v>
      </c>
      <c r="CF365" s="1186">
        <f>'2027'!R\Max</f>
        <v>0.20894563009033906</v>
      </c>
    </row>
    <row r="366" spans="1:84" s="6" customFormat="1" ht="11.25" x14ac:dyDescent="0.2">
      <c r="A366" s="11">
        <v>43452</v>
      </c>
      <c r="B366" s="382">
        <f>'2023'!Maxi_hp</f>
        <v>18.412762938360004</v>
      </c>
      <c r="C366" s="85">
        <f>'2023'!An_max</f>
        <v>2021</v>
      </c>
      <c r="D366" s="1132"/>
      <c r="E366" s="709"/>
      <c r="F366" s="13">
        <f t="shared" si="146"/>
        <v>27</v>
      </c>
      <c r="G366" s="13">
        <f t="shared" si="130"/>
        <v>26</v>
      </c>
      <c r="H366" s="175">
        <f t="shared" si="131"/>
        <v>43458</v>
      </c>
      <c r="I366" s="772">
        <f t="shared" si="132"/>
        <v>0.42857142857142855</v>
      </c>
      <c r="J366" s="763">
        <f t="shared" si="133"/>
        <v>18.198757592056477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P366" s="13">
        <f t="shared" si="134"/>
        <v>15</v>
      </c>
      <c r="AQ366" s="13">
        <f t="shared" si="135"/>
        <v>14</v>
      </c>
      <c r="AR366" s="175">
        <f t="shared" si="136"/>
        <v>43473</v>
      </c>
      <c r="AS366" s="772">
        <f t="shared" si="137"/>
        <v>0.72413793103448276</v>
      </c>
      <c r="AT366" s="789">
        <f t="shared" si="138"/>
        <v>18.333035484572935</v>
      </c>
      <c r="AU366" s="13">
        <f t="shared" si="139"/>
        <v>13</v>
      </c>
      <c r="AV366" s="13">
        <f t="shared" si="140"/>
        <v>14</v>
      </c>
      <c r="AW366" s="175">
        <f t="shared" si="141"/>
        <v>43430</v>
      </c>
      <c r="AX366" s="772">
        <f t="shared" si="142"/>
        <v>0.7857142857142857</v>
      </c>
      <c r="AY366" s="789">
        <f t="shared" si="143"/>
        <v>18.245417556858492</v>
      </c>
      <c r="AZ366" s="763">
        <f t="shared" si="147"/>
        <v>18.289226520715715</v>
      </c>
      <c r="BA366" s="647">
        <f t="shared" si="144"/>
        <v>1.0117593382526804</v>
      </c>
      <c r="BB366" s="642">
        <v>43452</v>
      </c>
      <c r="BC366" s="11">
        <v>43452</v>
      </c>
      <c r="BD366" s="292">
        <f>[2]!FeuilCaduc*(1-Persistant)+Persistant</f>
        <v>1</v>
      </c>
      <c r="BE366" s="293">
        <f>[2]!CroissVégét</f>
        <v>0.99994066526373915</v>
      </c>
      <c r="BF366" s="842">
        <f>1+[2]!Salcycl*Ksac</f>
        <v>1.0031460840477424</v>
      </c>
      <c r="BH366" s="1105">
        <f t="shared" si="145"/>
        <v>2.5008868333259666E-2</v>
      </c>
      <c r="BI366" s="11">
        <v>44548</v>
      </c>
      <c r="BJ366" s="742">
        <v>3.5208438290138238E-4</v>
      </c>
      <c r="BK366" s="742">
        <v>3.3391683775641783E-3</v>
      </c>
      <c r="BL366" s="742">
        <v>1.8908422977004409E-2</v>
      </c>
      <c r="BM366" s="742">
        <v>4.9444852390745524E-2</v>
      </c>
      <c r="BN366" s="742">
        <v>0.1224455375906482</v>
      </c>
      <c r="BO366" s="743">
        <v>0.20794564265869217</v>
      </c>
      <c r="BP366" s="742">
        <v>0.33713972931606162</v>
      </c>
      <c r="BQ366" s="742">
        <v>0.46676841746939729</v>
      </c>
      <c r="BR366" s="742">
        <v>0.61470751525594747</v>
      </c>
      <c r="BS366" s="742">
        <v>0.73373018751098129</v>
      </c>
      <c r="BT366" s="742">
        <v>0.83758264466368137</v>
      </c>
      <c r="BW366" s="1187">
        <f>'2018'!R\Max</f>
        <v>0.61627037071546709</v>
      </c>
      <c r="BX366" s="1185">
        <f>'2019'!R\Max</f>
        <v>0.81444452580223092</v>
      </c>
      <c r="BY366" s="1185">
        <f>'2020'!R\Max</f>
        <v>0.47856734104060045</v>
      </c>
      <c r="BZ366" s="1185">
        <f>'2021'!R\Max</f>
        <v>1.0117593382526804</v>
      </c>
      <c r="CA366" s="1185">
        <f>'2022'!R\Max</f>
        <v>0.84057192903576494</v>
      </c>
      <c r="CB366" s="1185">
        <f>'2023'!R\Max</f>
        <v>0.83079824965295135</v>
      </c>
      <c r="CC366" s="1185">
        <f>'2024'!R\Max</f>
        <v>0.81991929850328515</v>
      </c>
      <c r="CD366" s="1185">
        <f>'2025'!R\Max</f>
        <v>0.86408587946833759</v>
      </c>
      <c r="CE366" s="1185">
        <f>'2026'!R\Max</f>
        <v>0.86023020524820171</v>
      </c>
      <c r="CF366" s="1186">
        <f>'2027'!R\Max</f>
        <v>0.85541126965435543</v>
      </c>
    </row>
    <row r="367" spans="1:84" s="6" customFormat="1" ht="11.25" x14ac:dyDescent="0.2">
      <c r="A367" s="11">
        <v>43453</v>
      </c>
      <c r="B367" s="382">
        <f>'2023'!Maxi_hp</f>
        <v>17.957139739546754</v>
      </c>
      <c r="C367" s="85">
        <f>'2023'!An_max</f>
        <v>2021</v>
      </c>
      <c r="D367" s="1132"/>
      <c r="E367" s="709"/>
      <c r="F367" s="13">
        <f t="shared" si="146"/>
        <v>27</v>
      </c>
      <c r="G367" s="13">
        <f t="shared" si="130"/>
        <v>26</v>
      </c>
      <c r="H367" s="175">
        <f t="shared" si="131"/>
        <v>43458</v>
      </c>
      <c r="I367" s="772">
        <f t="shared" si="132"/>
        <v>0.35714285714285715</v>
      </c>
      <c r="J367" s="763">
        <f t="shared" si="133"/>
        <v>18.190402276494673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P367" s="13">
        <f t="shared" si="134"/>
        <v>15</v>
      </c>
      <c r="AQ367" s="13">
        <f t="shared" si="135"/>
        <v>14</v>
      </c>
      <c r="AR367" s="175">
        <f t="shared" si="136"/>
        <v>43473</v>
      </c>
      <c r="AS367" s="772">
        <f t="shared" si="137"/>
        <v>0.68965517241379315</v>
      </c>
      <c r="AT367" s="789">
        <f t="shared" si="138"/>
        <v>18.336821014819474</v>
      </c>
      <c r="AU367" s="13">
        <f t="shared" si="139"/>
        <v>13</v>
      </c>
      <c r="AV367" s="13">
        <f t="shared" si="140"/>
        <v>14</v>
      </c>
      <c r="AW367" s="175">
        <f t="shared" si="141"/>
        <v>43430</v>
      </c>
      <c r="AX367" s="772">
        <f t="shared" si="142"/>
        <v>0.8214285714285714</v>
      </c>
      <c r="AY367" s="789">
        <f t="shared" si="143"/>
        <v>18.225790776924363</v>
      </c>
      <c r="AZ367" s="763">
        <f t="shared" si="147"/>
        <v>18.281305895871917</v>
      </c>
      <c r="BA367" s="647">
        <f t="shared" si="144"/>
        <v>0.98717661471130103</v>
      </c>
      <c r="BB367" s="642">
        <v>43453</v>
      </c>
      <c r="BC367" s="11">
        <v>43453</v>
      </c>
      <c r="BD367" s="292">
        <f>[2]!FeuilCaduc*(1-Persistant)+Persistant</f>
        <v>1</v>
      </c>
      <c r="BE367" s="293">
        <f>[2]!CroissVégét</f>
        <v>0.99995638361167161</v>
      </c>
      <c r="BF367" s="842">
        <f>1+[2]!Salcycl*Ksac</f>
        <v>1.0029199021364084</v>
      </c>
      <c r="BH367" s="1105">
        <f t="shared" si="145"/>
        <v>2.5063765617400952E-2</v>
      </c>
      <c r="BI367" s="11">
        <v>44549</v>
      </c>
      <c r="BJ367" s="742">
        <v>3.4893175672881071E-4</v>
      </c>
      <c r="BK367" s="742">
        <v>3.3630525653984117E-3</v>
      </c>
      <c r="BL367" s="742">
        <v>1.8973017028905619E-2</v>
      </c>
      <c r="BM367" s="742">
        <v>4.946090823814684E-2</v>
      </c>
      <c r="BN367" s="742">
        <v>0.12269460804250126</v>
      </c>
      <c r="BO367" s="743">
        <v>0.20814569904289096</v>
      </c>
      <c r="BP367" s="742">
        <v>0.33743610226644316</v>
      </c>
      <c r="BQ367" s="742">
        <v>0.46699339565792092</v>
      </c>
      <c r="BR367" s="742">
        <v>0.61501062789290162</v>
      </c>
      <c r="BS367" s="742">
        <v>0.7337532630523449</v>
      </c>
      <c r="BT367" s="742">
        <v>0.83687698614953143</v>
      </c>
      <c r="BW367" s="1187">
        <f>'2018'!R\Max</f>
        <v>0.90059937749729457</v>
      </c>
      <c r="BX367" s="1185">
        <f>'2019'!R\Max</f>
        <v>0.52378887571277233</v>
      </c>
      <c r="BY367" s="1185">
        <f>'2020'!R\Max</f>
        <v>0.51364265164229361</v>
      </c>
      <c r="BZ367" s="1185">
        <f>'2021'!R\Max</f>
        <v>0.98717661471130103</v>
      </c>
      <c r="CA367" s="1185">
        <f>'2022'!R\Max</f>
        <v>0.82202382946721086</v>
      </c>
      <c r="CB367" s="1185">
        <f>'2023'!R\Max</f>
        <v>0.81136165559951079</v>
      </c>
      <c r="CC367" s="1185">
        <f>'2024'!R\Max</f>
        <v>0.79953156965449756</v>
      </c>
      <c r="CD367" s="1185">
        <f>'2025'!R\Max</f>
        <v>0.84781393788552595</v>
      </c>
      <c r="CE367" s="1185">
        <f>'2026'!R\Max</f>
        <v>0.8435663323733753</v>
      </c>
      <c r="CF367" s="1186">
        <f>'2027'!R\Max</f>
        <v>0.83826938682399299</v>
      </c>
    </row>
    <row r="368" spans="1:84" s="6" customFormat="1" ht="11.25" x14ac:dyDescent="0.2">
      <c r="A368" s="11">
        <v>43454</v>
      </c>
      <c r="B368" s="382">
        <f>'2023'!Maxi_hp</f>
        <v>18.802231330650311</v>
      </c>
      <c r="C368" s="85">
        <f>'2023'!An_max</f>
        <v>2021</v>
      </c>
      <c r="D368" s="1132"/>
      <c r="E368" s="709"/>
      <c r="F368" s="13">
        <f t="shared" si="146"/>
        <v>27</v>
      </c>
      <c r="G368" s="13">
        <f t="shared" si="130"/>
        <v>26</v>
      </c>
      <c r="H368" s="175">
        <f t="shared" si="131"/>
        <v>43458</v>
      </c>
      <c r="I368" s="772">
        <f t="shared" si="132"/>
        <v>0.2857142857142857</v>
      </c>
      <c r="J368" s="763">
        <f t="shared" si="133"/>
        <v>18.192090180941992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P368" s="13">
        <f t="shared" si="134"/>
        <v>15</v>
      </c>
      <c r="AQ368" s="13">
        <f t="shared" si="135"/>
        <v>14</v>
      </c>
      <c r="AR368" s="175">
        <f t="shared" si="136"/>
        <v>43473</v>
      </c>
      <c r="AS368" s="772">
        <f t="shared" si="137"/>
        <v>0.65517241379310343</v>
      </c>
      <c r="AT368" s="789">
        <f t="shared" si="138"/>
        <v>18.349108968469601</v>
      </c>
      <c r="AU368" s="13">
        <f t="shared" si="139"/>
        <v>13</v>
      </c>
      <c r="AV368" s="13">
        <f t="shared" si="140"/>
        <v>14</v>
      </c>
      <c r="AW368" s="175">
        <f t="shared" si="141"/>
        <v>43430</v>
      </c>
      <c r="AX368" s="772">
        <f t="shared" si="142"/>
        <v>0.8571428571428571</v>
      </c>
      <c r="AY368" s="789">
        <f t="shared" si="143"/>
        <v>18.217304298281668</v>
      </c>
      <c r="AZ368" s="763">
        <f t="shared" si="147"/>
        <v>18.283206633375634</v>
      </c>
      <c r="BA368" s="647">
        <f t="shared" si="144"/>
        <v>1.0335388151465685</v>
      </c>
      <c r="BB368" s="642">
        <v>43454</v>
      </c>
      <c r="BC368" s="11">
        <v>43454</v>
      </c>
      <c r="BD368" s="292">
        <f>[2]!FeuilCaduc*(1-Persistant)+Persistant</f>
        <v>1</v>
      </c>
      <c r="BE368" s="293">
        <f>[2]!CroissVégét</f>
        <v>0.99997146955734828</v>
      </c>
      <c r="BF368" s="842">
        <f>1+[2]!Salcycl*Ksac</f>
        <v>1.0027109470943973</v>
      </c>
      <c r="BH368" s="1105">
        <f t="shared" si="145"/>
        <v>2.5102334979048339E-2</v>
      </c>
      <c r="BI368" s="11">
        <v>44550</v>
      </c>
      <c r="BJ368" s="742">
        <v>3.4685654841289993E-4</v>
      </c>
      <c r="BK368" s="742">
        <v>3.3792436431561591E-3</v>
      </c>
      <c r="BL368" s="742">
        <v>1.9017577179359455E-2</v>
      </c>
      <c r="BM368" s="742">
        <v>4.9475480856734144E-2</v>
      </c>
      <c r="BN368" s="742">
        <v>0.12287029996849587</v>
      </c>
      <c r="BO368" s="743">
        <v>0.20829538108436216</v>
      </c>
      <c r="BP368" s="742">
        <v>0.33766012063842582</v>
      </c>
      <c r="BQ368" s="742">
        <v>0.46717992514020262</v>
      </c>
      <c r="BR368" s="742">
        <v>0.61526083149118271</v>
      </c>
      <c r="BS368" s="742">
        <v>0.73382598985426262</v>
      </c>
      <c r="BT368" s="742">
        <v>0.8364717812700152</v>
      </c>
      <c r="BW368" s="1187">
        <f>'2018'!R\Max</f>
        <v>0.60517547477802125</v>
      </c>
      <c r="BX368" s="1185">
        <f>'2019'!R\Max</f>
        <v>0.40766606572464209</v>
      </c>
      <c r="BY368" s="1185">
        <f>'2020'!R\Max</f>
        <v>0.44896817097704556</v>
      </c>
      <c r="BZ368" s="1185">
        <f>'2021'!R\Max</f>
        <v>1.0335388151465685</v>
      </c>
      <c r="CA368" s="1185">
        <f>'2022'!R\Max</f>
        <v>0.23349567734569829</v>
      </c>
      <c r="CB368" s="1185">
        <f>'2023'!R\Max</f>
        <v>0.22138854542089889</v>
      </c>
      <c r="CC368" s="1185">
        <f>'2024'!R\Max</f>
        <v>0.20902780988322034</v>
      </c>
      <c r="CD368" s="1185">
        <f>'2025'!R\Max</f>
        <v>0.26736009694574131</v>
      </c>
      <c r="CE368" s="1185">
        <f>'2026'!R\Max</f>
        <v>0.26127159603214895</v>
      </c>
      <c r="CF368" s="1186">
        <f>'2027'!R\Max</f>
        <v>0.25398176150205687</v>
      </c>
    </row>
    <row r="369" spans="1:84" s="6" customFormat="1" ht="11.25" x14ac:dyDescent="0.2">
      <c r="A369" s="11">
        <v>43455</v>
      </c>
      <c r="B369" s="382">
        <f>'2023'!Maxi_hp</f>
        <v>17.850386035050892</v>
      </c>
      <c r="C369" s="85">
        <f>'2023'!An_max</f>
        <v>2022</v>
      </c>
      <c r="D369" s="1132"/>
      <c r="E369" s="709"/>
      <c r="F369" s="13">
        <f t="shared" si="146"/>
        <v>27</v>
      </c>
      <c r="G369" s="13">
        <f t="shared" si="130"/>
        <v>26</v>
      </c>
      <c r="H369" s="175">
        <f t="shared" si="131"/>
        <v>43458</v>
      </c>
      <c r="I369" s="772">
        <f t="shared" si="132"/>
        <v>0.21428571428571427</v>
      </c>
      <c r="J369" s="763">
        <f t="shared" si="133"/>
        <v>18.203947601041623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P369" s="13">
        <f t="shared" si="134"/>
        <v>15</v>
      </c>
      <c r="AQ369" s="13">
        <f t="shared" si="135"/>
        <v>14</v>
      </c>
      <c r="AR369" s="175">
        <f t="shared" si="136"/>
        <v>43473</v>
      </c>
      <c r="AS369" s="772">
        <f t="shared" si="137"/>
        <v>0.62068965517241381</v>
      </c>
      <c r="AT369" s="789">
        <f t="shared" si="138"/>
        <v>18.369872999705116</v>
      </c>
      <c r="AU369" s="13">
        <f t="shared" si="139"/>
        <v>13</v>
      </c>
      <c r="AV369" s="13">
        <f t="shared" si="140"/>
        <v>14</v>
      </c>
      <c r="AW369" s="175">
        <f t="shared" si="141"/>
        <v>43430</v>
      </c>
      <c r="AX369" s="772">
        <f t="shared" si="142"/>
        <v>0.8928571428571429</v>
      </c>
      <c r="AY369" s="789">
        <f t="shared" si="143"/>
        <v>18.220310054825887</v>
      </c>
      <c r="AZ369" s="763">
        <f t="shared" si="147"/>
        <v>18.295091527265502</v>
      </c>
      <c r="BA369" s="647">
        <f t="shared" si="144"/>
        <v>0.98057775303800043</v>
      </c>
      <c r="BB369" s="642">
        <v>43455</v>
      </c>
      <c r="BC369" s="11">
        <v>43455</v>
      </c>
      <c r="BD369" s="292">
        <f>[2]!FeuilCaduc*(1-Persistant)+Persistant</f>
        <v>1</v>
      </c>
      <c r="BE369" s="293">
        <f>[2]!CroissVégét</f>
        <v>0.99998594852652212</v>
      </c>
      <c r="BF369" s="842">
        <f>1+[2]!Salcycl*Ksac</f>
        <v>1.0025180028315217</v>
      </c>
      <c r="BH369" s="1105">
        <f t="shared" si="145"/>
        <v>2.5124621724868582E-2</v>
      </c>
      <c r="BI369" s="11">
        <v>44551</v>
      </c>
      <c r="BJ369" s="742">
        <v>3.4585990894358133E-4</v>
      </c>
      <c r="BK369" s="742">
        <v>3.3877454961501758E-3</v>
      </c>
      <c r="BL369" s="742">
        <v>1.9042134665234075E-2</v>
      </c>
      <c r="BM369" s="742">
        <v>4.9488671911252009E-2</v>
      </c>
      <c r="BN369" s="742">
        <v>0.12297283777059725</v>
      </c>
      <c r="BO369" s="743">
        <v>0.20839509902038719</v>
      </c>
      <c r="BP369" s="742">
        <v>0.33781245320176417</v>
      </c>
      <c r="BQ369" s="742">
        <v>0.46732895605395952</v>
      </c>
      <c r="BR369" s="742">
        <v>0.61545937643552751</v>
      </c>
      <c r="BS369" s="742">
        <v>0.73394990468594834</v>
      </c>
      <c r="BT369" s="742">
        <v>0.83636887999729481</v>
      </c>
      <c r="BW369" s="1187">
        <f>'2018'!R\Max</f>
        <v>0.46028579221928373</v>
      </c>
      <c r="BX369" s="1185">
        <f>'2019'!R\Max</f>
        <v>0.86536321877367794</v>
      </c>
      <c r="BY369" s="1185">
        <f>'2020'!R\Max</f>
        <v>0.31972639612989306</v>
      </c>
      <c r="BZ369" s="1185">
        <f>'2021'!R\Max</f>
        <v>0.85173075146218935</v>
      </c>
      <c r="CA369" s="1185">
        <f>'2022'!R\Max</f>
        <v>0.98057775303800043</v>
      </c>
      <c r="CB369" s="1185">
        <f>'2023'!R\Max</f>
        <v>0.97917425584250939</v>
      </c>
      <c r="CC369" s="1185">
        <f>'2024'!R\Max</f>
        <v>0.97757883795992351</v>
      </c>
      <c r="CD369" s="1185">
        <f>'2025'!R\Max</f>
        <v>0.98384516529103394</v>
      </c>
      <c r="CE369" s="1185">
        <f>'2026'!R\Max</f>
        <v>0.98331836665397376</v>
      </c>
      <c r="CF369" s="1186">
        <f>'2027'!R\Max</f>
        <v>0.98265544888851575</v>
      </c>
    </row>
    <row r="370" spans="1:84" s="6" customFormat="1" ht="11.25" x14ac:dyDescent="0.2">
      <c r="A370" s="11">
        <v>43456</v>
      </c>
      <c r="B370" s="382">
        <f>'2023'!Maxi_hp</f>
        <v>17.758391649876643</v>
      </c>
      <c r="C370" s="85">
        <f>'2023'!An_max</f>
        <v>2021</v>
      </c>
      <c r="D370" s="1132"/>
      <c r="E370" s="709"/>
      <c r="F370" s="13">
        <f t="shared" si="146"/>
        <v>27</v>
      </c>
      <c r="G370" s="13">
        <f t="shared" si="130"/>
        <v>26</v>
      </c>
      <c r="H370" s="175">
        <f t="shared" si="131"/>
        <v>43458</v>
      </c>
      <c r="I370" s="772">
        <f t="shared" si="132"/>
        <v>0.14285714285714285</v>
      </c>
      <c r="J370" s="763">
        <f t="shared" si="133"/>
        <v>18.226100846912182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P370" s="13">
        <f t="shared" si="134"/>
        <v>15</v>
      </c>
      <c r="AQ370" s="13">
        <f t="shared" si="135"/>
        <v>14</v>
      </c>
      <c r="AR370" s="175">
        <f t="shared" si="136"/>
        <v>43473</v>
      </c>
      <c r="AS370" s="772">
        <f t="shared" si="137"/>
        <v>0.58620689655172409</v>
      </c>
      <c r="AT370" s="789">
        <f t="shared" si="138"/>
        <v>18.399086760806625</v>
      </c>
      <c r="AU370" s="13">
        <f t="shared" si="139"/>
        <v>13</v>
      </c>
      <c r="AV370" s="13">
        <f t="shared" si="140"/>
        <v>14</v>
      </c>
      <c r="AW370" s="175">
        <f t="shared" si="141"/>
        <v>43430</v>
      </c>
      <c r="AX370" s="772">
        <f t="shared" si="142"/>
        <v>0.9285714285714286</v>
      </c>
      <c r="AY370" s="789">
        <f t="shared" si="143"/>
        <v>18.23515997129892</v>
      </c>
      <c r="AZ370" s="763">
        <f t="shared" si="147"/>
        <v>18.317123366052773</v>
      </c>
      <c r="BA370" s="647">
        <f t="shared" si="144"/>
        <v>0.97433849395633199</v>
      </c>
      <c r="BB370" s="642">
        <v>43456</v>
      </c>
      <c r="BC370" s="11">
        <v>43456</v>
      </c>
      <c r="BD370" s="292">
        <f>[2]!FeuilCaduc*(1-Persistant)+Persistant</f>
        <v>1</v>
      </c>
      <c r="BE370" s="293">
        <f>[2]!CroissVégét</f>
        <v>0.99999984492411664</v>
      </c>
      <c r="BF370" s="842">
        <f>1+[2]!Salcycl*Ksac</f>
        <v>1.0023398831948833</v>
      </c>
      <c r="BH370" s="1105">
        <f t="shared" si="145"/>
        <v>2.5130668624398708E-2</v>
      </c>
      <c r="BI370" s="11">
        <v>44552</v>
      </c>
      <c r="BJ370" s="744">
        <v>3.4594314920661026E-4</v>
      </c>
      <c r="BK370" s="744">
        <v>3.3885608460039237E-3</v>
      </c>
      <c r="BL370" s="744">
        <v>1.9046717654638678E-2</v>
      </c>
      <c r="BM370" s="744">
        <v>4.9500582658812874E-2</v>
      </c>
      <c r="BN370" s="744">
        <v>0.12300243441101939</v>
      </c>
      <c r="BO370" s="745">
        <v>0.20844525476960188</v>
      </c>
      <c r="BP370" s="744">
        <v>0.33789375663339016</v>
      </c>
      <c r="BQ370" s="744">
        <v>0.46744143103072616</v>
      </c>
      <c r="BR370" s="744">
        <v>0.61560750288514876</v>
      </c>
      <c r="BS370" s="744">
        <v>0.73412654899058249</v>
      </c>
      <c r="BT370" s="744">
        <v>0.83657017411598245</v>
      </c>
      <c r="BW370" s="1187">
        <f>'2018'!R\Max</f>
        <v>0.38945131936613964</v>
      </c>
      <c r="BX370" s="1185">
        <f>'2019'!R\Max</f>
        <v>0.33291280715953053</v>
      </c>
      <c r="BY370" s="1185">
        <f>'2020'!R\Max</f>
        <v>0.48696331326801806</v>
      </c>
      <c r="BZ370" s="1185">
        <f>'2021'!R\Max</f>
        <v>0.97433849395633199</v>
      </c>
      <c r="CA370" s="1185">
        <f>'2022'!R\Max</f>
        <v>0.84762622429311929</v>
      </c>
      <c r="CB370" s="1185">
        <f>'2023'!R\Max</f>
        <v>0.83821117782186938</v>
      </c>
      <c r="CC370" s="1185">
        <f>'2024'!R\Max</f>
        <v>0.82772920179436738</v>
      </c>
      <c r="CD370" s="1185">
        <f>'2025'!R\Max</f>
        <v>0.87028017171804284</v>
      </c>
      <c r="CE370" s="1185">
        <f>'2026'!R\Max</f>
        <v>0.86655609165859171</v>
      </c>
      <c r="CF370" s="1186">
        <f>'2027'!R\Max</f>
        <v>0.86190947753650882</v>
      </c>
    </row>
    <row r="371" spans="1:84" s="6" customFormat="1" ht="11.25" x14ac:dyDescent="0.2">
      <c r="A371" s="11">
        <v>43457</v>
      </c>
      <c r="B371" s="382">
        <f>'2023'!Maxi_hp</f>
        <v>16.329649322578813</v>
      </c>
      <c r="C371" s="85">
        <f>'2023'!An_max</f>
        <v>2022</v>
      </c>
      <c r="D371" s="1132"/>
      <c r="E371" s="709"/>
      <c r="F371" s="13">
        <f t="shared" si="146"/>
        <v>27</v>
      </c>
      <c r="G371" s="13">
        <f t="shared" si="130"/>
        <v>26</v>
      </c>
      <c r="H371" s="175">
        <f t="shared" si="131"/>
        <v>43458</v>
      </c>
      <c r="I371" s="772">
        <f t="shared" si="132"/>
        <v>7.1428571428571425E-2</v>
      </c>
      <c r="J371" s="763">
        <f t="shared" si="133"/>
        <v>18.258676214196853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P371" s="13">
        <f t="shared" si="134"/>
        <v>15</v>
      </c>
      <c r="AQ371" s="13">
        <f t="shared" si="135"/>
        <v>14</v>
      </c>
      <c r="AR371" s="175">
        <f t="shared" si="136"/>
        <v>43473</v>
      </c>
      <c r="AS371" s="772">
        <f t="shared" si="137"/>
        <v>0.55172413793103448</v>
      </c>
      <c r="AT371" s="789">
        <f t="shared" si="138"/>
        <v>18.436723905699004</v>
      </c>
      <c r="AU371" s="13">
        <f t="shared" si="139"/>
        <v>13</v>
      </c>
      <c r="AV371" s="13">
        <f t="shared" si="140"/>
        <v>14</v>
      </c>
      <c r="AW371" s="175">
        <f t="shared" si="141"/>
        <v>43430</v>
      </c>
      <c r="AX371" s="772">
        <f t="shared" si="142"/>
        <v>0.9642857142857143</v>
      </c>
      <c r="AY371" s="789">
        <f t="shared" si="143"/>
        <v>18.262205976088133</v>
      </c>
      <c r="AZ371" s="763">
        <f t="shared" si="147"/>
        <v>18.349464940893569</v>
      </c>
      <c r="BA371" s="647">
        <f t="shared" si="144"/>
        <v>0.89435012325164387</v>
      </c>
      <c r="BB371" s="642">
        <v>43457</v>
      </c>
      <c r="BC371" s="11">
        <v>43457</v>
      </c>
      <c r="BD371" s="292">
        <f>[2]!FeuilCaduc*(1-Persistant)+Persistant</f>
        <v>1</v>
      </c>
      <c r="BE371" s="293">
        <f>[2]!CroissVégét</f>
        <v>0.99999984492411664</v>
      </c>
      <c r="BF371" s="842">
        <f>1+[2]!Salcycl*Ksac</f>
        <v>1.0021754378040815</v>
      </c>
      <c r="BH371" s="1105">
        <f t="shared" si="145"/>
        <v>2.5120532917332412E-2</v>
      </c>
      <c r="BI371" s="11">
        <v>44553</v>
      </c>
      <c r="BJ371" s="742">
        <v>3.4710800207514751E-4</v>
      </c>
      <c r="BK371" s="742">
        <v>3.3816934259080955E-3</v>
      </c>
      <c r="BL371" s="742">
        <v>1.9031363972345502E-2</v>
      </c>
      <c r="BM371" s="742">
        <v>4.9511348107647533E-2</v>
      </c>
      <c r="BN371" s="742">
        <v>0.12295937479510617</v>
      </c>
      <c r="BO371" s="743">
        <v>0.20844638482536848</v>
      </c>
      <c r="BP371" s="742">
        <v>0.33790490735015993</v>
      </c>
      <c r="BQ371" s="742">
        <v>0.46751860723700184</v>
      </c>
      <c r="BR371" s="742">
        <v>0.61570686484423243</v>
      </c>
      <c r="BS371" s="742">
        <v>0.73435797702142314</v>
      </c>
      <c r="BT371" s="742">
        <v>0.83707818150587454</v>
      </c>
      <c r="BW371" s="1187">
        <f>'2018'!R\Max</f>
        <v>0.25376319858362339</v>
      </c>
      <c r="BX371" s="1185">
        <f>'2019'!R\Max</f>
        <v>0.41245531616419423</v>
      </c>
      <c r="BY371" s="1185">
        <f>'2020'!R\Max</f>
        <v>0.88400536979880284</v>
      </c>
      <c r="BZ371" s="1185">
        <f>'2021'!R\Max</f>
        <v>0.3456325122836939</v>
      </c>
      <c r="CA371" s="1185">
        <f>'2022'!R\Max</f>
        <v>0.89435012325164387</v>
      </c>
      <c r="CB371" s="1185">
        <f>'2023'!R\Max</f>
        <v>0.88745057701367114</v>
      </c>
      <c r="CC371" s="1185">
        <f>'2024'!R\Max</f>
        <v>0.87971376210257624</v>
      </c>
      <c r="CD371" s="1185">
        <f>'2025'!R\Max</f>
        <v>0.91076019350723536</v>
      </c>
      <c r="CE371" s="1185">
        <f>'2026'!R\Max</f>
        <v>0.90808200032979669</v>
      </c>
      <c r="CF371" s="1186">
        <f>'2027'!R\Max</f>
        <v>0.90472938007319637</v>
      </c>
    </row>
    <row r="372" spans="1:84" s="6" customFormat="1" ht="11.25" x14ac:dyDescent="0.2">
      <c r="A372" s="11">
        <v>43458</v>
      </c>
      <c r="B372" s="382">
        <f>'2023'!Maxi_hp</f>
        <v>18.957181052151114</v>
      </c>
      <c r="C372" s="85">
        <f>'2023'!An_max</f>
        <v>2023</v>
      </c>
      <c r="D372" s="1132"/>
      <c r="E372" s="771">
        <f>AM$13/10</f>
        <v>18.3018</v>
      </c>
      <c r="F372" s="13">
        <f t="shared" si="146"/>
        <v>27</v>
      </c>
      <c r="G372" s="13">
        <f t="shared" si="130"/>
        <v>28</v>
      </c>
      <c r="H372" s="175">
        <f t="shared" si="131"/>
        <v>43458</v>
      </c>
      <c r="I372" s="772">
        <f t="shared" si="132"/>
        <v>0</v>
      </c>
      <c r="J372" s="763">
        <f t="shared" si="133"/>
        <v>18.301800002157687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P372" s="13">
        <f t="shared" si="134"/>
        <v>15</v>
      </c>
      <c r="AQ372" s="13">
        <f t="shared" si="135"/>
        <v>14</v>
      </c>
      <c r="AR372" s="175">
        <f t="shared" si="136"/>
        <v>43473</v>
      </c>
      <c r="AS372" s="772">
        <f t="shared" si="137"/>
        <v>0.51724137931034486</v>
      </c>
      <c r="AT372" s="789">
        <f t="shared" si="138"/>
        <v>18.482758089180653</v>
      </c>
      <c r="AU372" s="13">
        <f t="shared" si="139"/>
        <v>15</v>
      </c>
      <c r="AV372" s="13">
        <f t="shared" si="140"/>
        <v>14</v>
      </c>
      <c r="AW372" s="175">
        <f t="shared" si="141"/>
        <v>43487</v>
      </c>
      <c r="AX372" s="772">
        <f t="shared" si="142"/>
        <v>1</v>
      </c>
      <c r="AY372" s="789">
        <f t="shared" si="143"/>
        <v>18.301800000667573</v>
      </c>
      <c r="AZ372" s="763">
        <f t="shared" si="147"/>
        <v>18.392279044924113</v>
      </c>
      <c r="BA372" s="647">
        <f t="shared" si="144"/>
        <v>1.0358096498659235</v>
      </c>
      <c r="BB372" s="642">
        <v>43458</v>
      </c>
      <c r="BC372" s="11">
        <v>43458</v>
      </c>
      <c r="BD372" s="292">
        <f>[2]!FeuilCaduc*(1-Persistant)+Persistant</f>
        <v>1</v>
      </c>
      <c r="BE372" s="293">
        <f>[2]!CroissVégét</f>
        <v>0.99999984492411664</v>
      </c>
      <c r="BF372" s="842">
        <f>1+[2]!Salcycl*Ksac</f>
        <v>1.0020235573817138</v>
      </c>
      <c r="BH372" s="1105">
        <f t="shared" si="145"/>
        <v>2.5094195268108202E-2</v>
      </c>
      <c r="BI372" s="11">
        <v>44554</v>
      </c>
      <c r="BJ372" s="742">
        <v>3.4935539105575134E-4</v>
      </c>
      <c r="BK372" s="742">
        <v>3.3671356116747523E-3</v>
      </c>
      <c r="BL372" s="742">
        <v>1.8996051966666587E-2</v>
      </c>
      <c r="BM372" s="742">
        <v>4.9520958199685945E-2</v>
      </c>
      <c r="BN372" s="742">
        <v>0.12284357025845037</v>
      </c>
      <c r="BO372" s="743">
        <v>0.20839840651768859</v>
      </c>
      <c r="BP372" s="742">
        <v>0.33784577984182135</v>
      </c>
      <c r="BQ372" s="742">
        <v>0.4675603673623881</v>
      </c>
      <c r="BR372" s="742">
        <v>0.61575730574146237</v>
      </c>
      <c r="BS372" s="742">
        <v>0.73464410506869748</v>
      </c>
      <c r="BT372" s="742">
        <v>0.8378930295790068</v>
      </c>
      <c r="BW372" s="1187">
        <f>'2018'!R\Max</f>
        <v>0.28280911420706956</v>
      </c>
      <c r="BX372" s="1185">
        <f>'2019'!R\Max</f>
        <v>0.75682993535014798</v>
      </c>
      <c r="BY372" s="1185">
        <f>'2020'!R\Max</f>
        <v>0.56528092817579212</v>
      </c>
      <c r="BZ372" s="1185">
        <f>'2021'!R\Max</f>
        <v>0.55995778010491193</v>
      </c>
      <c r="CA372" s="1185">
        <f>'2022'!R\Max</f>
        <v>1.0358096498659237</v>
      </c>
      <c r="CB372" s="1185">
        <f>'2023'!R\Max</f>
        <v>1.0358096498659235</v>
      </c>
      <c r="CC372" s="1185">
        <f>'2024'!R\Max</f>
        <v>1.0358096498659237</v>
      </c>
      <c r="CD372" s="1185">
        <f>'2025'!R\Max</f>
        <v>1.0358096498659237</v>
      </c>
      <c r="CE372" s="1185">
        <f>'2026'!R\Max</f>
        <v>1.0358096498659239</v>
      </c>
      <c r="CF372" s="1186">
        <f>'2027'!R\Max</f>
        <v>1.0358096498659235</v>
      </c>
    </row>
    <row r="373" spans="1:84" s="6" customFormat="1" ht="11.25" x14ac:dyDescent="0.2">
      <c r="A373" s="11">
        <v>43459</v>
      </c>
      <c r="B373" s="382">
        <f>'2023'!Maxi_hp</f>
        <v>13.907050225818837</v>
      </c>
      <c r="C373" s="85">
        <f>'2023'!An_max</f>
        <v>2018</v>
      </c>
      <c r="D373" s="1132"/>
      <c r="E373" s="709"/>
      <c r="F373" s="13">
        <f t="shared" si="146"/>
        <v>27</v>
      </c>
      <c r="G373" s="13">
        <f t="shared" si="130"/>
        <v>28</v>
      </c>
      <c r="H373" s="175">
        <f t="shared" si="131"/>
        <v>43458</v>
      </c>
      <c r="I373" s="772">
        <f t="shared" si="132"/>
        <v>6.6666666666666666E-2</v>
      </c>
      <c r="J373" s="763">
        <f t="shared" si="133"/>
        <v>18.355900784035523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P373" s="13">
        <f t="shared" si="134"/>
        <v>15</v>
      </c>
      <c r="AQ373" s="13">
        <f t="shared" si="135"/>
        <v>14</v>
      </c>
      <c r="AR373" s="175">
        <f t="shared" si="136"/>
        <v>43473</v>
      </c>
      <c r="AS373" s="772">
        <f t="shared" si="137"/>
        <v>0.48275862068965519</v>
      </c>
      <c r="AT373" s="789">
        <f t="shared" si="138"/>
        <v>18.537162962555886</v>
      </c>
      <c r="AU373" s="13">
        <f t="shared" si="139"/>
        <v>15</v>
      </c>
      <c r="AV373" s="13">
        <f t="shared" si="140"/>
        <v>14</v>
      </c>
      <c r="AW373" s="175">
        <f t="shared" si="141"/>
        <v>43487</v>
      </c>
      <c r="AX373" s="772">
        <f t="shared" si="142"/>
        <v>0.96551724137931039</v>
      </c>
      <c r="AY373" s="789">
        <f t="shared" si="143"/>
        <v>18.354432899941656</v>
      </c>
      <c r="AZ373" s="763">
        <f t="shared" si="147"/>
        <v>18.445797931248769</v>
      </c>
      <c r="BA373" s="647">
        <f t="shared" si="144"/>
        <v>0.75763376526386894</v>
      </c>
      <c r="BB373" s="642">
        <v>43459</v>
      </c>
      <c r="BC373" s="11">
        <v>43459</v>
      </c>
      <c r="BD373" s="292">
        <f>[2]!FeuilCaduc*(1-Persistant)+Persistant</f>
        <v>1</v>
      </c>
      <c r="BE373" s="293">
        <f>[2]!CroissVégét</f>
        <v>0.99999984492411664</v>
      </c>
      <c r="BF373" s="842">
        <f>1+[2]!Salcycl*Ksac</f>
        <v>1.0018831785499605</v>
      </c>
      <c r="BH373" s="1105">
        <f t="shared" si="145"/>
        <v>2.5051572804636185E-2</v>
      </c>
      <c r="BI373" s="11">
        <v>44555</v>
      </c>
      <c r="BJ373" s="742">
        <v>3.5268559273028677E-4</v>
      </c>
      <c r="BK373" s="742">
        <v>3.344870251735407E-3</v>
      </c>
      <c r="BL373" s="742">
        <v>1.8940710491858595E-2</v>
      </c>
      <c r="BM373" s="742">
        <v>4.952928309170726E-2</v>
      </c>
      <c r="BN373" s="742">
        <v>0.12265462229954198</v>
      </c>
      <c r="BO373" s="743">
        <v>0.20830072504892494</v>
      </c>
      <c r="BP373" s="742">
        <v>0.33771542005618688</v>
      </c>
      <c r="BQ373" s="742">
        <v>0.467565458673248</v>
      </c>
      <c r="BR373" s="742">
        <v>0.61575717328686552</v>
      </c>
      <c r="BS373" s="742">
        <v>0.73498308545794588</v>
      </c>
      <c r="BT373" s="742">
        <v>0.83901287827512949</v>
      </c>
      <c r="BW373" s="1187">
        <f>'2018'!R\Max</f>
        <v>0.75763376526386894</v>
      </c>
      <c r="BX373" s="1185">
        <f>'2019'!R\Max</f>
        <v>0.55860338617895111</v>
      </c>
      <c r="BY373" s="1185">
        <f>'2020'!R\Max</f>
        <v>0.54713916973107868</v>
      </c>
      <c r="BZ373" s="1185">
        <f>'2021'!R\Max</f>
        <v>0.52060479806186311</v>
      </c>
      <c r="CA373" s="1185">
        <f>'2022'!R\Max</f>
        <v>0.53442735339897263</v>
      </c>
      <c r="CB373" s="1185">
        <f>'2023'!R\Max</f>
        <v>0.5168142121142616</v>
      </c>
      <c r="CC373" s="1185">
        <f>'2024'!R\Max</f>
        <v>0.49809888811449554</v>
      </c>
      <c r="CD373" s="1185">
        <f>'2025'!R\Max</f>
        <v>0.58023548413175285</v>
      </c>
      <c r="CE373" s="1185">
        <f>'2026'!R\Max</f>
        <v>0.57236794044292227</v>
      </c>
      <c r="CF373" s="1186">
        <f>'2027'!R\Max</f>
        <v>0.56273843446740646</v>
      </c>
    </row>
    <row r="374" spans="1:84" s="6" customFormat="1" ht="11.25" x14ac:dyDescent="0.2">
      <c r="A374" s="11">
        <v>43460</v>
      </c>
      <c r="B374" s="382">
        <f>'2023'!Maxi_hp</f>
        <v>17.58318067946076</v>
      </c>
      <c r="C374" s="85">
        <f>'2023'!An_max</f>
        <v>2018</v>
      </c>
      <c r="D374" s="1132"/>
      <c r="E374" s="709"/>
      <c r="F374" s="13">
        <f t="shared" si="146"/>
        <v>27</v>
      </c>
      <c r="G374" s="13">
        <f t="shared" si="130"/>
        <v>28</v>
      </c>
      <c r="H374" s="175">
        <f t="shared" si="131"/>
        <v>43458</v>
      </c>
      <c r="I374" s="772">
        <f t="shared" si="132"/>
        <v>0.13333333333333333</v>
      </c>
      <c r="J374" s="763">
        <f t="shared" si="133"/>
        <v>18.421146351794402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P374" s="13">
        <f t="shared" si="134"/>
        <v>15</v>
      </c>
      <c r="AQ374" s="13">
        <f t="shared" si="135"/>
        <v>14</v>
      </c>
      <c r="AR374" s="175">
        <f t="shared" si="136"/>
        <v>43473</v>
      </c>
      <c r="AS374" s="772">
        <f t="shared" si="137"/>
        <v>0.44827586206896552</v>
      </c>
      <c r="AT374" s="789">
        <f t="shared" si="138"/>
        <v>18.599912185555901</v>
      </c>
      <c r="AU374" s="13">
        <f t="shared" si="139"/>
        <v>15</v>
      </c>
      <c r="AV374" s="13">
        <f t="shared" si="140"/>
        <v>14</v>
      </c>
      <c r="AW374" s="175">
        <f t="shared" si="141"/>
        <v>43487</v>
      </c>
      <c r="AX374" s="772">
        <f t="shared" si="142"/>
        <v>0.93103448275862066</v>
      </c>
      <c r="AY374" s="789">
        <f t="shared" si="143"/>
        <v>18.420098074397139</v>
      </c>
      <c r="AZ374" s="763">
        <f t="shared" si="147"/>
        <v>18.51000512997652</v>
      </c>
      <c r="BA374" s="647">
        <f t="shared" si="144"/>
        <v>0.95451066636512472</v>
      </c>
      <c r="BB374" s="642">
        <v>43460</v>
      </c>
      <c r="BC374" s="11">
        <v>43460</v>
      </c>
      <c r="BD374" s="292">
        <f>[2]!FeuilCaduc*(1-Persistant)+Persistant</f>
        <v>1</v>
      </c>
      <c r="BE374" s="293">
        <f>[2]!CroissVégét</f>
        <v>0.99999984492411664</v>
      </c>
      <c r="BF374" s="842">
        <f>1+[2]!Salcycl*Ksac</f>
        <v>1.0017532880692508</v>
      </c>
      <c r="BH374" s="1105">
        <f t="shared" si="145"/>
        <v>2.4992580125042796E-2</v>
      </c>
      <c r="BI374" s="11">
        <v>44556</v>
      </c>
      <c r="BJ374" s="742">
        <v>3.5709904313423852E-4</v>
      </c>
      <c r="BK374" s="742">
        <v>3.3148790341140919E-3</v>
      </c>
      <c r="BL374" s="742">
        <v>1.8865265342182507E-2</v>
      </c>
      <c r="BM374" s="742">
        <v>4.9536192534527755E-2</v>
      </c>
      <c r="BN374" s="742">
        <v>0.12239212101034679</v>
      </c>
      <c r="BO374" s="743">
        <v>0.20815273732823558</v>
      </c>
      <c r="BP374" s="742">
        <v>0.33751286188560675</v>
      </c>
      <c r="BQ374" s="742">
        <v>0.46753262095572468</v>
      </c>
      <c r="BR374" s="742">
        <v>0.61570480500008551</v>
      </c>
      <c r="BS374" s="742">
        <v>0.73537307518354</v>
      </c>
      <c r="BT374" s="742">
        <v>0.84043592923883303</v>
      </c>
      <c r="BW374" s="1187">
        <f>'2018'!R\Max</f>
        <v>0.95451066636512472</v>
      </c>
      <c r="BX374" s="1185">
        <f>'2019'!R\Max</f>
        <v>0.34423096744522902</v>
      </c>
      <c r="BY374" s="1185">
        <f>'2020'!R\Max</f>
        <v>0.17912483872566934</v>
      </c>
      <c r="BZ374" s="1185">
        <f>'2021'!R\Max</f>
        <v>0.62534871246705581</v>
      </c>
      <c r="CA374" s="1185">
        <f>'2022'!R\Max</f>
        <v>0.88565777217154484</v>
      </c>
      <c r="CB374" s="1185">
        <f>'2023'!R\Max</f>
        <v>0.87833245989560416</v>
      </c>
      <c r="CC374" s="1185">
        <f>'2024'!R\Max</f>
        <v>0.87012649460059732</v>
      </c>
      <c r="CD374" s="1185">
        <f>'2025'!R\Max</f>
        <v>0.90309711000106396</v>
      </c>
      <c r="CE374" s="1185">
        <f>'2026'!R\Max</f>
        <v>0.90025982383717151</v>
      </c>
      <c r="CF374" s="1186">
        <f>'2027'!R\Max</f>
        <v>0.89670020342772716</v>
      </c>
    </row>
    <row r="375" spans="1:84" s="6" customFormat="1" ht="11.25" x14ac:dyDescent="0.2">
      <c r="A375" s="11">
        <v>43461</v>
      </c>
      <c r="B375" s="382">
        <f>'2023'!Maxi_hp</f>
        <v>17.819544852558497</v>
      </c>
      <c r="C375" s="85">
        <f>'2023'!An_max</f>
        <v>2018</v>
      </c>
      <c r="D375" s="1132"/>
      <c r="E375" s="709"/>
      <c r="F375" s="13">
        <f t="shared" si="146"/>
        <v>27</v>
      </c>
      <c r="G375" s="13">
        <f t="shared" si="130"/>
        <v>28</v>
      </c>
      <c r="H375" s="175">
        <f t="shared" si="131"/>
        <v>43458</v>
      </c>
      <c r="I375" s="772">
        <f t="shared" si="132"/>
        <v>0.2</v>
      </c>
      <c r="J375" s="763">
        <f t="shared" si="133"/>
        <v>18.497271843254566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P375" s="13">
        <f t="shared" si="134"/>
        <v>15</v>
      </c>
      <c r="AQ375" s="13">
        <f t="shared" si="135"/>
        <v>14</v>
      </c>
      <c r="AR375" s="175">
        <f t="shared" si="136"/>
        <v>43473</v>
      </c>
      <c r="AS375" s="772">
        <f t="shared" si="137"/>
        <v>0.41379310344827586</v>
      </c>
      <c r="AT375" s="789">
        <f t="shared" si="138"/>
        <v>18.670979405734048</v>
      </c>
      <c r="AU375" s="13">
        <f t="shared" si="139"/>
        <v>15</v>
      </c>
      <c r="AV375" s="13">
        <f t="shared" si="140"/>
        <v>14</v>
      </c>
      <c r="AW375" s="175">
        <f t="shared" si="141"/>
        <v>43487</v>
      </c>
      <c r="AX375" s="772">
        <f t="shared" si="142"/>
        <v>0.89655172413793105</v>
      </c>
      <c r="AY375" s="789">
        <f t="shared" si="143"/>
        <v>18.498401252745555</v>
      </c>
      <c r="AZ375" s="763">
        <f t="shared" si="147"/>
        <v>18.584690329239802</v>
      </c>
      <c r="BA375" s="647">
        <f t="shared" si="144"/>
        <v>0.96336070549002517</v>
      </c>
      <c r="BB375" s="642">
        <v>43461</v>
      </c>
      <c r="BC375" s="11">
        <v>43461</v>
      </c>
      <c r="BD375" s="292">
        <f>[2]!FeuilCaduc*(1-Persistant)+Persistant</f>
        <v>1</v>
      </c>
      <c r="BE375" s="293">
        <f>[2]!CroissVégét</f>
        <v>0.99999984492411664</v>
      </c>
      <c r="BF375" s="842">
        <f>1+[2]!Salcycl*Ksac</f>
        <v>1.0016329265003474</v>
      </c>
      <c r="BH375" s="1105">
        <f t="shared" si="145"/>
        <v>2.4914968981639904E-2</v>
      </c>
      <c r="BI375" s="11">
        <v>44557</v>
      </c>
      <c r="BJ375" s="742">
        <v>3.6321169555772947E-4</v>
      </c>
      <c r="BK375" s="742">
        <v>3.2756121508060697E-3</v>
      </c>
      <c r="BL375" s="742">
        <v>1.8765369657687873E-2</v>
      </c>
      <c r="BM375" s="742">
        <v>4.9547844495545244E-2</v>
      </c>
      <c r="BN375" s="742">
        <v>0.12202448067574256</v>
      </c>
      <c r="BO375" s="743">
        <v>0.20791275441970472</v>
      </c>
      <c r="BP375" s="742">
        <v>0.33708843125717558</v>
      </c>
      <c r="BQ375" s="742">
        <v>0.46733677945377766</v>
      </c>
      <c r="BR375" s="742">
        <v>0.61547602399084356</v>
      </c>
      <c r="BS375" s="742">
        <v>0.73579366812493718</v>
      </c>
      <c r="BT375" s="742">
        <v>0.84218142258333517</v>
      </c>
      <c r="BW375" s="1187">
        <f>'2018'!R\Max</f>
        <v>0.96336070549002517</v>
      </c>
      <c r="BX375" s="1185">
        <f>'2019'!R\Max</f>
        <v>0.85354946624484229</v>
      </c>
      <c r="BY375" s="1185">
        <f>'2020'!R\Max</f>
        <v>0.56225791563312921</v>
      </c>
      <c r="BZ375" s="1185">
        <f>'2021'!R\Max</f>
        <v>0.63880329126221413</v>
      </c>
      <c r="CA375" s="1185">
        <f>'2022'!R\Max</f>
        <v>0.38121405908357375</v>
      </c>
      <c r="CB375" s="1185">
        <f>'2023'!R\Max</f>
        <v>0.3648220431471666</v>
      </c>
      <c r="CC375" s="1185">
        <f>'2024'!R\Max</f>
        <v>0.34776176292178235</v>
      </c>
      <c r="CD375" s="1185">
        <f>'2025'!R\Max</f>
        <v>0.42543907579336482</v>
      </c>
      <c r="CE375" s="1185">
        <f>'2026'!R\Max</f>
        <v>0.41770140332731448</v>
      </c>
      <c r="CF375" s="1186">
        <f>'2027'!R\Max</f>
        <v>0.40830327302329944</v>
      </c>
    </row>
    <row r="376" spans="1:84" s="6" customFormat="1" ht="11.25" x14ac:dyDescent="0.2">
      <c r="A376" s="11">
        <v>43462</v>
      </c>
      <c r="B376" s="382">
        <f>'2023'!Maxi_hp</f>
        <v>17.454162146130681</v>
      </c>
      <c r="C376" s="85">
        <f>'2023'!An_max</f>
        <v>2022</v>
      </c>
      <c r="D376" s="1132"/>
      <c r="E376" s="709"/>
      <c r="F376" s="13">
        <f t="shared" si="146"/>
        <v>27</v>
      </c>
      <c r="G376" s="13">
        <f t="shared" si="130"/>
        <v>28</v>
      </c>
      <c r="H376" s="175">
        <f t="shared" si="131"/>
        <v>43458</v>
      </c>
      <c r="I376" s="772">
        <f t="shared" si="132"/>
        <v>0.26666666666666666</v>
      </c>
      <c r="J376" s="763">
        <f t="shared" si="133"/>
        <v>18.584012389282385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P376" s="13">
        <f t="shared" si="134"/>
        <v>15</v>
      </c>
      <c r="AQ376" s="13">
        <f t="shared" si="135"/>
        <v>14</v>
      </c>
      <c r="AR376" s="175">
        <f t="shared" si="136"/>
        <v>43473</v>
      </c>
      <c r="AS376" s="772">
        <f t="shared" si="137"/>
        <v>0.37931034482758619</v>
      </c>
      <c r="AT376" s="789">
        <f t="shared" si="138"/>
        <v>18.750338280252343</v>
      </c>
      <c r="AU376" s="13">
        <f t="shared" si="139"/>
        <v>15</v>
      </c>
      <c r="AV376" s="13">
        <f t="shared" si="140"/>
        <v>14</v>
      </c>
      <c r="AW376" s="175">
        <f t="shared" si="141"/>
        <v>43487</v>
      </c>
      <c r="AX376" s="772">
        <f t="shared" si="142"/>
        <v>0.86206896551724133</v>
      </c>
      <c r="AY376" s="789">
        <f t="shared" si="143"/>
        <v>18.588948166575925</v>
      </c>
      <c r="AZ376" s="763">
        <f t="shared" si="147"/>
        <v>18.669643223414134</v>
      </c>
      <c r="BA376" s="647">
        <f t="shared" si="144"/>
        <v>0.93920310536365648</v>
      </c>
      <c r="BB376" s="642">
        <v>43462</v>
      </c>
      <c r="BC376" s="11">
        <v>43462</v>
      </c>
      <c r="BD376" s="292">
        <f>[2]!FeuilCaduc*(1-Persistant)+Persistant</f>
        <v>1</v>
      </c>
      <c r="BE376" s="293">
        <f>[2]!CroissVégét</f>
        <v>0.99999984492411664</v>
      </c>
      <c r="BF376" s="842">
        <f>1+[2]!Salcycl*Ksac</f>
        <v>1.0015211912766164</v>
      </c>
      <c r="BH376" s="1105">
        <f t="shared" si="145"/>
        <v>2.4827153880993866E-2</v>
      </c>
      <c r="BI376" s="11">
        <v>44558</v>
      </c>
      <c r="BJ376" s="742">
        <v>3.704887111390761E-4</v>
      </c>
      <c r="BK376" s="742">
        <v>3.2309499614424056E-3</v>
      </c>
      <c r="BL376" s="742">
        <v>1.8651229212248849E-2</v>
      </c>
      <c r="BM376" s="742">
        <v>4.9565478369212122E-2</v>
      </c>
      <c r="BN376" s="742">
        <v>0.12158959005579571</v>
      </c>
      <c r="BO376" s="743">
        <v>0.20760798990906626</v>
      </c>
      <c r="BP376" s="742">
        <v>0.33648148810267614</v>
      </c>
      <c r="BQ376" s="742">
        <v>0.46700164363593394</v>
      </c>
      <c r="BR376" s="742">
        <v>0.61510324138218175</v>
      </c>
      <c r="BS376" s="742">
        <v>0.7362272654654225</v>
      </c>
      <c r="BT376" s="742">
        <v>0.84410735019274008</v>
      </c>
      <c r="BW376" s="1187">
        <f>'2018'!R\Max</f>
        <v>0.16455804016374376</v>
      </c>
      <c r="BX376" s="1185">
        <f>'2019'!R\Max</f>
        <v>0.20329628114424655</v>
      </c>
      <c r="BY376" s="1185">
        <f>'2020'!R\Max</f>
        <v>0.35120598546886095</v>
      </c>
      <c r="BZ376" s="1185">
        <f>'2021'!R\Max</f>
        <v>0.31333208348164859</v>
      </c>
      <c r="CA376" s="1185">
        <f>'2022'!R\Max</f>
        <v>0.93920310536365648</v>
      </c>
      <c r="CB376" s="1185">
        <f>'2023'!R\Max</f>
        <v>0.93509721234191512</v>
      </c>
      <c r="CC376" s="1185">
        <f>'2024'!R\Max</f>
        <v>0.9304519679150095</v>
      </c>
      <c r="CD376" s="1185">
        <f>'2025'!R\Max</f>
        <v>0.94883221896341274</v>
      </c>
      <c r="CE376" s="1185">
        <f>'2026'!R\Max</f>
        <v>0.94728532899120577</v>
      </c>
      <c r="CF376" s="1186">
        <f>'2027'!R\Max</f>
        <v>0.9453312591781009</v>
      </c>
    </row>
    <row r="377" spans="1:84" s="6" customFormat="1" ht="11.25" x14ac:dyDescent="0.2">
      <c r="A377" s="11">
        <v>43463</v>
      </c>
      <c r="B377" s="382">
        <f>'2023'!Maxi_hp</f>
        <v>19.042847861253957</v>
      </c>
      <c r="C377" s="85">
        <f>'2023'!An_max</f>
        <v>2019</v>
      </c>
      <c r="D377" s="1132"/>
      <c r="E377" s="709"/>
      <c r="F377" s="13">
        <f t="shared" si="146"/>
        <v>27</v>
      </c>
      <c r="G377" s="13">
        <f t="shared" si="130"/>
        <v>28</v>
      </c>
      <c r="H377" s="175">
        <f t="shared" si="131"/>
        <v>43458</v>
      </c>
      <c r="I377" s="772">
        <f t="shared" si="132"/>
        <v>0.33333333333333331</v>
      </c>
      <c r="J377" s="763">
        <f t="shared" si="133"/>
        <v>18.681103121737642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P377" s="13">
        <f t="shared" si="134"/>
        <v>15</v>
      </c>
      <c r="AQ377" s="13">
        <f t="shared" si="135"/>
        <v>14</v>
      </c>
      <c r="AR377" s="175">
        <f t="shared" si="136"/>
        <v>43473</v>
      </c>
      <c r="AS377" s="772">
        <f t="shared" si="137"/>
        <v>0.34482758620689657</v>
      </c>
      <c r="AT377" s="789">
        <f t="shared" si="138"/>
        <v>18.837962461237247</v>
      </c>
      <c r="AU377" s="13">
        <f t="shared" si="139"/>
        <v>15</v>
      </c>
      <c r="AV377" s="13">
        <f t="shared" si="140"/>
        <v>14</v>
      </c>
      <c r="AW377" s="175">
        <f t="shared" si="141"/>
        <v>43487</v>
      </c>
      <c r="AX377" s="772">
        <f t="shared" si="142"/>
        <v>0.82758620689655171</v>
      </c>
      <c r="AY377" s="789">
        <f t="shared" si="143"/>
        <v>18.691344546141298</v>
      </c>
      <c r="AZ377" s="763">
        <f t="shared" si="147"/>
        <v>18.764653503689274</v>
      </c>
      <c r="BA377" s="647">
        <f t="shared" si="144"/>
        <v>1.0193642065545574</v>
      </c>
      <c r="BB377" s="642">
        <v>43463</v>
      </c>
      <c r="BC377" s="11">
        <v>43463</v>
      </c>
      <c r="BD377" s="292">
        <f>[2]!FeuilCaduc*(1-Persistant)+Persistant</f>
        <v>1</v>
      </c>
      <c r="BE377" s="293">
        <f>[2]!CroissVégét</f>
        <v>0.99999984492411664</v>
      </c>
      <c r="BF377" s="842">
        <f>1+[2]!Salcycl*Ksac</f>
        <v>1.0014172391787171</v>
      </c>
      <c r="BH377" s="1105">
        <f t="shared" si="145"/>
        <v>2.4729052376265239E-2</v>
      </c>
      <c r="BI377" s="11">
        <v>44559</v>
      </c>
      <c r="BJ377" s="742">
        <v>3.7893097517904752E-4</v>
      </c>
      <c r="BK377" s="742">
        <v>3.1808747942456282E-3</v>
      </c>
      <c r="BL377" s="742">
        <v>1.852277117766607E-2</v>
      </c>
      <c r="BM377" s="742">
        <v>4.9588973180201022E-2</v>
      </c>
      <c r="BN377" s="742">
        <v>0.12108702415169126</v>
      </c>
      <c r="BO377" s="743">
        <v>0.20723780530191158</v>
      </c>
      <c r="BP377" s="742">
        <v>0.3356908968298668</v>
      </c>
      <c r="BQ377" s="742">
        <v>0.46652580628469204</v>
      </c>
      <c r="BR377" s="742">
        <v>0.6145846556512139</v>
      </c>
      <c r="BS377" s="742">
        <v>0.7366719888173664</v>
      </c>
      <c r="BT377" s="742">
        <v>0.8462118455872929</v>
      </c>
      <c r="BW377" s="1187">
        <f>'2018'!R\Max</f>
        <v>0.17977457045744255</v>
      </c>
      <c r="BX377" s="1185">
        <f>'2019'!R\Max</f>
        <v>1.0193642065545574</v>
      </c>
      <c r="BY377" s="1185">
        <f>'2020'!R\Max</f>
        <v>0.39917426974884918</v>
      </c>
      <c r="BZ377" s="1185">
        <f>'2021'!R\Max</f>
        <v>0.31703896492430511</v>
      </c>
      <c r="CA377" s="1185">
        <f>'2022'!R\Max</f>
        <v>0.58794878528903893</v>
      </c>
      <c r="CB377" s="1185">
        <f>'2023'!R\Max</f>
        <v>0.57106068032840007</v>
      </c>
      <c r="CC377" s="1185">
        <f>'2024'!R\Max</f>
        <v>0.55289913918398514</v>
      </c>
      <c r="CD377" s="1185">
        <f>'2025'!R\Max</f>
        <v>0.63102827017980556</v>
      </c>
      <c r="CE377" s="1185">
        <f>'2026'!R\Max</f>
        <v>0.62376824246246454</v>
      </c>
      <c r="CF377" s="1186">
        <f>'2027'!R\Max</f>
        <v>0.61478146101202003</v>
      </c>
    </row>
    <row r="378" spans="1:84" s="6" customFormat="1" ht="11.25" x14ac:dyDescent="0.2">
      <c r="A378" s="11">
        <v>43464</v>
      </c>
      <c r="B378" s="382">
        <f>'2023'!Maxi_hp</f>
        <v>18.153924992563482</v>
      </c>
      <c r="C378" s="85">
        <f>'2023'!An_max</f>
        <v>2019</v>
      </c>
      <c r="D378" s="1132"/>
      <c r="E378" s="709"/>
      <c r="F378" s="13">
        <f t="shared" si="146"/>
        <v>27</v>
      </c>
      <c r="G378" s="13">
        <f t="shared" si="130"/>
        <v>28</v>
      </c>
      <c r="H378" s="175">
        <f t="shared" si="131"/>
        <v>43458</v>
      </c>
      <c r="I378" s="772">
        <f t="shared" si="132"/>
        <v>0.4</v>
      </c>
      <c r="J378" s="763">
        <f t="shared" si="133"/>
        <v>18.788279173970221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P378" s="13">
        <f t="shared" si="134"/>
        <v>15</v>
      </c>
      <c r="AQ378" s="13">
        <f t="shared" si="135"/>
        <v>14</v>
      </c>
      <c r="AR378" s="175">
        <f t="shared" si="136"/>
        <v>43473</v>
      </c>
      <c r="AS378" s="772">
        <f t="shared" si="137"/>
        <v>0.31034482758620691</v>
      </c>
      <c r="AT378" s="789">
        <f t="shared" si="138"/>
        <v>18.933825601431828</v>
      </c>
      <c r="AU378" s="13">
        <f t="shared" si="139"/>
        <v>15</v>
      </c>
      <c r="AV378" s="13">
        <f t="shared" si="140"/>
        <v>14</v>
      </c>
      <c r="AW378" s="175">
        <f t="shared" si="141"/>
        <v>43487</v>
      </c>
      <c r="AX378" s="772">
        <f t="shared" si="142"/>
        <v>0.7931034482758621</v>
      </c>
      <c r="AY378" s="789">
        <f t="shared" si="143"/>
        <v>18.805196123441746</v>
      </c>
      <c r="AZ378" s="763">
        <f t="shared" si="147"/>
        <v>18.869510862436787</v>
      </c>
      <c r="BA378" s="647">
        <f t="shared" si="144"/>
        <v>0.96623670664391714</v>
      </c>
      <c r="BB378" s="642">
        <v>43464</v>
      </c>
      <c r="BC378" s="11">
        <v>43464</v>
      </c>
      <c r="BD378" s="292">
        <f>[2]!FeuilCaduc*(1-Persistant)+Persistant</f>
        <v>1</v>
      </c>
      <c r="BE378" s="293">
        <f>[2]!CroissVégét</f>
        <v>0.99999984492411664</v>
      </c>
      <c r="BF378" s="842">
        <f>1+[2]!Salcycl*Ksac</f>
        <v>1.0013202882093937</v>
      </c>
      <c r="BH378" s="1105">
        <f t="shared" si="145"/>
        <v>2.4620581872463666E-2</v>
      </c>
      <c r="BI378" s="11">
        <v>44560</v>
      </c>
      <c r="BJ378" s="742">
        <v>3.8853942412941526E-4</v>
      </c>
      <c r="BK378" s="742">
        <v>3.1253688625060018E-3</v>
      </c>
      <c r="BL378" s="742">
        <v>1.8379922402068229E-2</v>
      </c>
      <c r="BM378" s="742">
        <v>4.9618208508101745E-2</v>
      </c>
      <c r="BN378" s="742">
        <v>0.12051635542577362</v>
      </c>
      <c r="BO378" s="743">
        <v>0.20680155864778779</v>
      </c>
      <c r="BP378" s="742">
        <v>0.33471550905216635</v>
      </c>
      <c r="BQ378" s="742">
        <v>0.46590784948558278</v>
      </c>
      <c r="BR378" s="742">
        <v>0.61391845473336926</v>
      </c>
      <c r="BS378" s="742">
        <v>0.7371259580851931</v>
      </c>
      <c r="BT378" s="742">
        <v>0.84849304343413667</v>
      </c>
      <c r="BW378" s="1187">
        <f>'2018'!R\Max</f>
        <v>0.17658147022912019</v>
      </c>
      <c r="BX378" s="1185">
        <f>'2019'!R\Max</f>
        <v>0.96623670664391714</v>
      </c>
      <c r="BY378" s="1185">
        <f>'2020'!R\Max</f>
        <v>0.37787847365563082</v>
      </c>
      <c r="BZ378" s="1185">
        <f>'2021'!R\Max</f>
        <v>0.84112591406301263</v>
      </c>
      <c r="CA378" s="1185">
        <f>'2022'!R\Max</f>
        <v>0.76840417870549638</v>
      </c>
      <c r="CB378" s="1185">
        <f>'2023'!R\Max</f>
        <v>0.75592840172620035</v>
      </c>
      <c r="CC378" s="1185">
        <f>'2024'!R\Max</f>
        <v>0.74212475872174266</v>
      </c>
      <c r="CD378" s="1185">
        <f>'2025'!R\Max</f>
        <v>0.79879384691512634</v>
      </c>
      <c r="CE378" s="1185">
        <f>'2026'!R\Max</f>
        <v>0.79382113562530476</v>
      </c>
      <c r="CF378" s="1186">
        <f>'2027'!R\Max</f>
        <v>0.78757708188375453</v>
      </c>
    </row>
    <row r="379" spans="1:84" s="6" customFormat="1" ht="11.25" x14ac:dyDescent="0.2">
      <c r="A379" s="11">
        <v>43465</v>
      </c>
      <c r="B379" s="382">
        <f>'2023'!Maxi_hp</f>
        <v>18.304438481335758</v>
      </c>
      <c r="C379" s="85">
        <f>'2023'!An_max</f>
        <v>2021</v>
      </c>
      <c r="D379" s="1132"/>
      <c r="E379" s="709"/>
      <c r="F379" s="13">
        <f t="shared" si="146"/>
        <v>27</v>
      </c>
      <c r="G379" s="13">
        <f t="shared" si="130"/>
        <v>28</v>
      </c>
      <c r="H379" s="175">
        <f t="shared" si="131"/>
        <v>43458</v>
      </c>
      <c r="I379" s="772">
        <f t="shared" si="132"/>
        <v>0.46666666666666667</v>
      </c>
      <c r="J379" s="763">
        <f t="shared" si="133"/>
        <v>18.905275678833327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P379" s="13">
        <f t="shared" si="134"/>
        <v>15</v>
      </c>
      <c r="AQ379" s="13">
        <f t="shared" si="135"/>
        <v>14</v>
      </c>
      <c r="AR379" s="175">
        <f t="shared" si="136"/>
        <v>43473</v>
      </c>
      <c r="AS379" s="772">
        <f t="shared" si="137"/>
        <v>0.27586206896551724</v>
      </c>
      <c r="AT379" s="789">
        <f t="shared" si="138"/>
        <v>19.037901359436841</v>
      </c>
      <c r="AU379" s="13">
        <f t="shared" si="139"/>
        <v>15</v>
      </c>
      <c r="AV379" s="13">
        <f t="shared" si="140"/>
        <v>14</v>
      </c>
      <c r="AW379" s="175">
        <f t="shared" si="141"/>
        <v>43487</v>
      </c>
      <c r="AX379" s="772">
        <f t="shared" si="142"/>
        <v>0.75862068965517238</v>
      </c>
      <c r="AY379" s="789">
        <f t="shared" si="143"/>
        <v>18.930108632995136</v>
      </c>
      <c r="AZ379" s="763">
        <f t="shared" si="147"/>
        <v>18.984004996215987</v>
      </c>
      <c r="BA379" s="647">
        <f t="shared" si="144"/>
        <v>0.96821854345291158</v>
      </c>
      <c r="BB379" s="642">
        <v>43465</v>
      </c>
      <c r="BC379" s="11">
        <v>43465</v>
      </c>
      <c r="BD379" s="292">
        <f>[2]!FeuilCaduc*(1-Persistant)+Persistant</f>
        <v>1</v>
      </c>
      <c r="BE379" s="293">
        <f>[2]!CroissVégét</f>
        <v>0.99999984492411664</v>
      </c>
      <c r="BF379" s="842">
        <f>1+[2]!Salcycl*Ksac</f>
        <v>1.0012296188714382</v>
      </c>
      <c r="BH379" s="1105">
        <f t="shared" si="145"/>
        <v>2.450165989976337E-2</v>
      </c>
      <c r="BI379" s="11">
        <v>44561</v>
      </c>
      <c r="BJ379" s="742">
        <v>3.9931501613256585E-4</v>
      </c>
      <c r="BK379" s="742">
        <v>3.0644144036285248E-3</v>
      </c>
      <c r="BL379" s="742">
        <v>1.8222609782726957E-2</v>
      </c>
      <c r="BM379" s="742">
        <v>4.9653064362181504E-2</v>
      </c>
      <c r="BN379" s="742">
        <v>0.11987715558230842</v>
      </c>
      <c r="BO379" s="743">
        <v>0.20629860630813293</v>
      </c>
      <c r="BP379" s="742">
        <v>0.33355416843636004</v>
      </c>
      <c r="BQ379" s="742">
        <v>0.46514634844633584</v>
      </c>
      <c r="BR379" s="742">
        <v>0.61310282004367722</v>
      </c>
      <c r="BS379" s="742">
        <v>0.7375872915502838</v>
      </c>
      <c r="BT379" s="742">
        <v>0.85094907543504894</v>
      </c>
      <c r="BW379" s="1187">
        <f>'2018'!R\Max</f>
        <v>0.28973030228750579</v>
      </c>
      <c r="BX379" s="1185">
        <f>'2019'!R\Max</f>
        <v>0.72119062031950454</v>
      </c>
      <c r="BY379" s="1185">
        <f>'2020'!R\Max</f>
        <v>0.4363287917238346</v>
      </c>
      <c r="BZ379" s="1185">
        <f>'2021'!R\Max</f>
        <v>0.96821854345291158</v>
      </c>
      <c r="CA379" s="1185">
        <f>'2022'!R\Max</f>
        <v>0.57490875471562752</v>
      </c>
      <c r="CB379" s="1185">
        <f>'2023'!R\Max</f>
        <v>0.55813505631247617</v>
      </c>
      <c r="CC379" s="1185">
        <f>'2024'!R\Max</f>
        <v>0.54004465370260757</v>
      </c>
      <c r="CD379" s="1185">
        <f>'2025'!R\Max</f>
        <v>0.61762547606946128</v>
      </c>
      <c r="CE379" s="1185">
        <f>'2026'!R\Max</f>
        <v>0.61046316960649338</v>
      </c>
      <c r="CF379" s="1186">
        <f>'2027'!R\Max</f>
        <v>0.60155560003460073</v>
      </c>
    </row>
    <row r="380" spans="1:84" s="6" customFormat="1" ht="12" customHeight="1" thickBot="1" x14ac:dyDescent="0.25">
      <c r="A380" s="11">
        <v>43466</v>
      </c>
      <c r="B380" s="383">
        <f>'2023'!Maxi_hp</f>
        <v>13.062281165272948</v>
      </c>
      <c r="C380" s="128">
        <f>'2023'!An_max</f>
        <v>2020</v>
      </c>
      <c r="D380" s="1133"/>
      <c r="E380" s="773"/>
      <c r="F380" s="14">
        <f t="shared" si="146"/>
        <v>27</v>
      </c>
      <c r="G380" s="14">
        <f t="shared" si="130"/>
        <v>28</v>
      </c>
      <c r="H380" s="765">
        <f t="shared" si="131"/>
        <v>43458</v>
      </c>
      <c r="I380" s="766">
        <f t="shared" si="132"/>
        <v>0.53333333333333333</v>
      </c>
      <c r="J380" s="764">
        <f t="shared" si="133"/>
        <v>19.031827771464982</v>
      </c>
      <c r="M380" s="831" t="s">
        <v>245</v>
      </c>
      <c r="N380" s="832">
        <f>$AZ22*10</f>
        <v>202.21644993242001</v>
      </c>
      <c r="O380" s="832">
        <f>$AZ36*10</f>
        <v>236.32060617022216</v>
      </c>
      <c r="P380" s="832">
        <f>$AZ50*10</f>
        <v>281.79707792960107</v>
      </c>
      <c r="Q380" s="832">
        <f>$AZ64*10</f>
        <v>335.59762500226498</v>
      </c>
      <c r="R380" s="832">
        <f>$AZ78*10</f>
        <v>396.50668750004843</v>
      </c>
      <c r="S380" s="832">
        <f>$AZ92*10</f>
        <v>461.32556250039488</v>
      </c>
      <c r="T380" s="832">
        <f>$AZ106*10</f>
        <v>523.65637500304729</v>
      </c>
      <c r="U380" s="832">
        <f>$AZ120*10</f>
        <v>576.58425000496209</v>
      </c>
      <c r="V380" s="832">
        <f>$AZ134*10</f>
        <v>615.39156250096858</v>
      </c>
      <c r="W380" s="832">
        <f>$AZ148*10</f>
        <v>638.94737499952316</v>
      </c>
      <c r="X380" s="832">
        <f>$AZ162*10</f>
        <v>649.51356250047684</v>
      </c>
      <c r="Y380" s="832">
        <f>$AZ176*10</f>
        <v>650.54756250139326</v>
      </c>
      <c r="Z380" s="832">
        <f>$AZ190*10</f>
        <v>644.56974999886006</v>
      </c>
      <c r="AA380" s="832">
        <f>$AZ204*10</f>
        <v>632.54949999973178</v>
      </c>
      <c r="AB380" s="832">
        <f>$AZ218*10</f>
        <v>614.64837499614805</v>
      </c>
      <c r="AC380" s="832">
        <f>$AZ232*10</f>
        <v>590.73712499439716</v>
      </c>
      <c r="AD380" s="832">
        <f>$AZ246*10</f>
        <v>558.97393749468029</v>
      </c>
      <c r="AE380" s="832">
        <f>$AZ260*10</f>
        <v>515.90137499198318</v>
      </c>
      <c r="AF380" s="832">
        <f>$AZ274*10</f>
        <v>460.38849999662489</v>
      </c>
      <c r="AG380" s="832">
        <f>$AZ288*10</f>
        <v>397.21756250271574</v>
      </c>
      <c r="AH380" s="832">
        <f>$AZ302*10</f>
        <v>335.40374999889173</v>
      </c>
      <c r="AI380" s="832">
        <f>$AZ316*10</f>
        <v>282.02349999174476</v>
      </c>
      <c r="AJ380" s="832">
        <f>$AZ330*10</f>
        <v>239.14481249079108</v>
      </c>
      <c r="AK380" s="832">
        <f>$AZ344*10</f>
        <v>206.75689710304141</v>
      </c>
      <c r="AL380" s="832">
        <f>$AZ358*10</f>
        <v>186.86625650338826</v>
      </c>
      <c r="AM380" s="832">
        <f>$AZ372*10</f>
        <v>183.92279044924112</v>
      </c>
      <c r="AP380" s="14">
        <f t="shared" si="134"/>
        <v>15</v>
      </c>
      <c r="AQ380" s="14">
        <f t="shared" si="135"/>
        <v>14</v>
      </c>
      <c r="AR380" s="765">
        <f t="shared" si="136"/>
        <v>43473</v>
      </c>
      <c r="AS380" s="766">
        <f t="shared" si="137"/>
        <v>0.2413793103448276</v>
      </c>
      <c r="AT380" s="790">
        <f t="shared" si="138"/>
        <v>19.150163382959779</v>
      </c>
      <c r="AU380" s="14">
        <f t="shared" si="139"/>
        <v>15</v>
      </c>
      <c r="AV380" s="14">
        <f t="shared" si="140"/>
        <v>14</v>
      </c>
      <c r="AW380" s="765">
        <f t="shared" si="141"/>
        <v>43487</v>
      </c>
      <c r="AX380" s="766">
        <f t="shared" si="142"/>
        <v>0.72413793103448276</v>
      </c>
      <c r="AY380" s="790">
        <f t="shared" si="143"/>
        <v>19.065687803667167</v>
      </c>
      <c r="AZ380" s="764">
        <f t="shared" si="147"/>
        <v>19.107925593313475</v>
      </c>
      <c r="BA380" s="647">
        <f t="shared" si="144"/>
        <v>0.68633876483779643</v>
      </c>
      <c r="BB380" s="642">
        <v>43466</v>
      </c>
      <c r="BC380" s="11">
        <v>43466</v>
      </c>
      <c r="BD380" s="294">
        <f>[2]!FeuilCaduc*(1-Persistant)+Persistant</f>
        <v>1</v>
      </c>
      <c r="BE380" s="295">
        <f>[2]!CroissVégét</f>
        <v>0.99999984492411664</v>
      </c>
      <c r="BF380" s="843">
        <f>1+[2]!Salcycl*Ksac</f>
        <v>1.0011445748571535</v>
      </c>
      <c r="BH380" s="1106">
        <f t="shared" si="145"/>
        <v>2.4372204386507557E-2</v>
      </c>
      <c r="BI380" s="11">
        <v>44562</v>
      </c>
      <c r="BJ380" s="847">
        <v>4.1125870155699063E-4</v>
      </c>
      <c r="BK380" s="746">
        <v>2.9979938181374922E-3</v>
      </c>
      <c r="BL380" s="746">
        <v>1.8050760638635126E-2</v>
      </c>
      <c r="BM380" s="746">
        <v>4.9693421055535425E-2</v>
      </c>
      <c r="BN380" s="746">
        <v>0.11916899734671965</v>
      </c>
      <c r="BO380" s="747">
        <v>0.20572830472163448</v>
      </c>
      <c r="BP380" s="746">
        <v>0.33220571554611583</v>
      </c>
      <c r="BQ380" s="746">
        <v>0.46423987531026545</v>
      </c>
      <c r="BR380" s="746">
        <v>0.61213593049044202</v>
      </c>
      <c r="BS380" s="746">
        <v>0.73805410594683185</v>
      </c>
      <c r="BT380" s="746">
        <v>0.85357806620388721</v>
      </c>
      <c r="BW380" s="1188">
        <f>'2018'!R\Max</f>
        <v>0</v>
      </c>
      <c r="BX380" s="1189">
        <f>'2019'!R\Max</f>
        <v>0</v>
      </c>
      <c r="BY380" s="1189">
        <f>'2020'!R\Max</f>
        <v>0.68633876483779643</v>
      </c>
      <c r="BZ380" s="1189">
        <f>'2021'!R\Max</f>
        <v>0</v>
      </c>
      <c r="CA380" s="1189">
        <f>'2022'!R\Max</f>
        <v>0</v>
      </c>
      <c r="CB380" s="1189">
        <f>'2023'!R\Max</f>
        <v>0</v>
      </c>
      <c r="CC380" s="1189">
        <f>'2024'!R\Max</f>
        <v>0.66375021965041825</v>
      </c>
      <c r="CD380" s="1189">
        <f>'2025'!R\Max</f>
        <v>0</v>
      </c>
      <c r="CE380" s="1189">
        <f>'2026'!R\Max</f>
        <v>0</v>
      </c>
      <c r="CF380" s="1190">
        <f>'2027'!R\Max</f>
        <v>0</v>
      </c>
    </row>
    <row r="381" spans="1:84" ht="12" customHeight="1" x14ac:dyDescent="0.25">
      <c r="B381" s="638" t="s">
        <v>363</v>
      </c>
      <c r="M381" s="136" t="s">
        <v>246</v>
      </c>
      <c r="N381" s="833">
        <f t="shared" ref="N381:AM381" si="148">1-N3/N380*Ajust_M</f>
        <v>2.9001099199198466E-3</v>
      </c>
      <c r="O381" s="833">
        <f t="shared" si="148"/>
        <v>-1.9693324137914914E-3</v>
      </c>
      <c r="P381" s="833">
        <f t="shared" si="148"/>
        <v>-1.7208200807534713E-3</v>
      </c>
      <c r="Q381" s="833">
        <f t="shared" si="148"/>
        <v>1.7331022597703027E-3</v>
      </c>
      <c r="R381" s="833">
        <f t="shared" si="148"/>
        <v>1.2223942630181783E-3</v>
      </c>
      <c r="S381" s="833">
        <f t="shared" si="148"/>
        <v>3.5021363117004878E-4</v>
      </c>
      <c r="T381" s="833">
        <f t="shared" si="148"/>
        <v>-1.1106997350109893E-3</v>
      </c>
      <c r="U381" s="833">
        <f t="shared" si="148"/>
        <v>-6.7249494767618323E-4</v>
      </c>
      <c r="V381" s="833">
        <f t="shared" si="148"/>
        <v>-1.4176949314772536E-3</v>
      </c>
      <c r="W381" s="833">
        <f t="shared" si="148"/>
        <v>-1.0114291568519285E-4</v>
      </c>
      <c r="X381" s="833">
        <f t="shared" si="148"/>
        <v>2.4874384432382879E-4</v>
      </c>
      <c r="Y381" s="833">
        <f t="shared" si="148"/>
        <v>2.4834848473198612E-4</v>
      </c>
      <c r="Z381" s="833">
        <f t="shared" si="148"/>
        <v>6.015640648056042E-4</v>
      </c>
      <c r="AA381" s="833">
        <f t="shared" si="148"/>
        <v>-4.0866367022385219E-4</v>
      </c>
      <c r="AB381" s="833">
        <f t="shared" si="148"/>
        <v>7.3598990016188193E-4</v>
      </c>
      <c r="AC381" s="833">
        <f t="shared" si="148"/>
        <v>5.4698609707359847E-4</v>
      </c>
      <c r="AD381" s="833">
        <f t="shared" si="148"/>
        <v>-7.51488534872502E-4</v>
      </c>
      <c r="AE381" s="833">
        <f t="shared" si="148"/>
        <v>-2.1295252567099521E-3</v>
      </c>
      <c r="AF381" s="833">
        <f t="shared" si="148"/>
        <v>-1.6844469472647727E-3</v>
      </c>
      <c r="AG381" s="833">
        <f t="shared" si="148"/>
        <v>4.0673554738568374E-4</v>
      </c>
      <c r="AH381" s="833">
        <f t="shared" si="148"/>
        <v>4.2389209986365417E-3</v>
      </c>
      <c r="AI381" s="833">
        <f t="shared" si="148"/>
        <v>-9.1659031344137887E-4</v>
      </c>
      <c r="AJ381" s="833">
        <f t="shared" si="148"/>
        <v>1.2160518464195968E-3</v>
      </c>
      <c r="AK381" s="833">
        <f t="shared" si="148"/>
        <v>-5.2095137431946714E-3</v>
      </c>
      <c r="AL381" s="833">
        <f t="shared" si="148"/>
        <v>3.9935326867037713E-3</v>
      </c>
      <c r="AM381" s="833">
        <f t="shared" si="148"/>
        <v>4.9194036640652916E-3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7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61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47" priority="22" stopIfTrue="1" operator="lessThan">
      <formula>0.01</formula>
    </cfRule>
    <cfRule type="cellIs" dxfId="46" priority="23" stopIfTrue="1" operator="greaterThan">
      <formula>0.05</formula>
    </cfRule>
  </conditionalFormatting>
  <conditionalFormatting sqref="A9:J9 A7:E7 G7:J7">
    <cfRule type="cellIs" dxfId="45" priority="52" stopIfTrue="1" operator="lessThan">
      <formula>0.01</formula>
    </cfRule>
    <cfRule type="cellIs" dxfId="44" priority="53" stopIfTrue="1" operator="greaterThan">
      <formula>0.05</formula>
    </cfRule>
  </conditionalFormatting>
  <conditionalFormatting sqref="N381:AM381">
    <cfRule type="cellIs" dxfId="43" priority="3" stopIfTrue="1" operator="notBetween">
      <formula>-0.01</formula>
      <formula>0.01</formula>
    </cfRule>
  </conditionalFormatting>
  <conditionalFormatting sqref="F7">
    <cfRule type="cellIs" dxfId="6" priority="1" stopIfTrue="1" operator="lessThan">
      <formula>0.01</formula>
    </cfRule>
    <cfRule type="cellIs" dxfId="5" priority="2" stopIfTrue="1" operator="greaterThan">
      <formula>0.05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/>
  <dimension ref="A1:BZ79"/>
  <sheetViews>
    <sheetView tabSelected="1" zoomScaleNormal="100" workbookViewId="0">
      <pane ySplit="7" topLeftCell="A17" activePane="bottomLeft" state="frozen"/>
      <selection activeCell="B15" sqref="B15:B380"/>
      <selection pane="bottomLeft" activeCell="AA24" sqref="AA24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9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55" t="s">
        <v>24</v>
      </c>
      <c r="I1" s="1255"/>
      <c r="J1" s="1255"/>
      <c r="K1" s="1255"/>
      <c r="L1" s="15"/>
      <c r="M1" s="34"/>
      <c r="N1" s="539"/>
      <c r="O1" s="540"/>
      <c r="P1" s="541" t="s">
        <v>4</v>
      </c>
      <c r="Q1" s="1140">
        <v>8.5000000000000006E-3</v>
      </c>
      <c r="R1" s="542"/>
      <c r="S1" s="543" t="s">
        <v>105</v>
      </c>
      <c r="T1" s="845">
        <f>PertePVan/365.25</f>
        <v>2.3271731690622863E-5</v>
      </c>
      <c r="U1" s="540"/>
      <c r="V1" s="544"/>
      <c r="W1" s="210"/>
      <c r="X1" s="545"/>
      <c r="Y1" s="537" t="s">
        <v>165</v>
      </c>
      <c r="Z1" s="1256">
        <v>0.21</v>
      </c>
      <c r="AA1" s="1257"/>
      <c r="AB1" s="632"/>
      <c r="AC1" s="633"/>
      <c r="AE1" s="537" t="s">
        <v>249</v>
      </c>
      <c r="AF1" s="1182">
        <v>0.1</v>
      </c>
      <c r="AG1" s="540"/>
      <c r="AH1" s="210"/>
      <c r="AI1" s="210"/>
      <c r="AJ1" s="210"/>
      <c r="AK1" s="210"/>
      <c r="AL1" s="537" t="s">
        <v>123</v>
      </c>
      <c r="AM1" s="651">
        <v>1</v>
      </c>
      <c r="AN1" s="631"/>
      <c r="AO1" s="210"/>
      <c r="AP1" s="210"/>
      <c r="AQ1" s="210"/>
      <c r="AR1" s="537" t="s">
        <v>104</v>
      </c>
      <c r="AS1" s="370">
        <v>1</v>
      </c>
      <c r="AT1" s="652" t="s">
        <v>54</v>
      </c>
      <c r="AU1" s="538"/>
    </row>
    <row r="2" spans="1:78" s="534" customFormat="1" ht="18" customHeight="1" thickBot="1" x14ac:dyDescent="0.35">
      <c r="A2" s="83" t="s">
        <v>132</v>
      </c>
      <c r="B2" s="1212" t="str">
        <f>Station</f>
        <v>Crèche Ayguesvives</v>
      </c>
      <c r="C2" s="1213"/>
      <c r="D2" s="1213"/>
      <c r="E2" s="1213"/>
      <c r="F2" s="1214"/>
      <c r="G2" s="844" t="s">
        <v>250</v>
      </c>
      <c r="K2" s="81"/>
      <c r="L2" s="535"/>
      <c r="M2" s="38"/>
      <c r="U2" s="35"/>
      <c r="V2" s="35"/>
      <c r="W2" s="35">
        <f>U5/Recap!L38</f>
        <v>0.24301494223757764</v>
      </c>
      <c r="X2" s="536"/>
      <c r="AA2" s="538"/>
      <c r="AB2" s="538"/>
      <c r="AC2" s="538"/>
      <c r="AD2" s="538"/>
      <c r="AE2" s="537" t="s">
        <v>166</v>
      </c>
      <c r="AF2" s="657">
        <v>2.5</v>
      </c>
      <c r="AG2" s="658">
        <f>+Tau_i*365</f>
        <v>912.5</v>
      </c>
      <c r="AH2" s="544"/>
      <c r="AI2" s="242"/>
      <c r="AJ2" s="545"/>
      <c r="AL2" s="649" t="s">
        <v>198</v>
      </c>
      <c r="AM2" s="1253">
        <v>0.7</v>
      </c>
      <c r="AN2" s="1254"/>
      <c r="AS2" s="211" t="s">
        <v>124</v>
      </c>
      <c r="AT2" s="653">
        <f>H_i</f>
        <v>-2.800224011995649</v>
      </c>
      <c r="AU2" s="650"/>
      <c r="AY2" s="660"/>
      <c r="AZ2" s="660"/>
      <c r="BB2" s="536"/>
      <c r="BE2" s="31"/>
      <c r="BF2" s="29"/>
      <c r="BH2" s="536"/>
      <c r="BI2" s="536"/>
      <c r="BJ2" s="536"/>
      <c r="BK2" s="70"/>
      <c r="BL2" s="70"/>
      <c r="BM2" s="536"/>
      <c r="BN2" s="536"/>
      <c r="BO2" s="536"/>
      <c r="BP2" s="536"/>
      <c r="BQ2" s="70"/>
      <c r="BR2" s="70"/>
      <c r="BS2" s="536"/>
      <c r="BT2" s="536"/>
      <c r="BU2" s="536"/>
      <c r="BW2" s="31"/>
      <c r="BX2" s="29"/>
      <c r="BZ2" s="536"/>
    </row>
    <row r="3" spans="1:78" s="80" customFormat="1" ht="12.75" customHeight="1" x14ac:dyDescent="0.25">
      <c r="A3" s="1247">
        <f>'2018'!An</f>
        <v>2018</v>
      </c>
      <c r="B3" s="1248"/>
      <c r="C3" s="1248"/>
      <c r="D3" s="1248"/>
      <c r="E3" s="1248"/>
      <c r="F3" s="1249"/>
      <c r="G3" s="1247">
        <f>'2019'!An</f>
        <v>2019</v>
      </c>
      <c r="H3" s="1248"/>
      <c r="I3" s="1248"/>
      <c r="J3" s="1248"/>
      <c r="K3" s="1248"/>
      <c r="L3" s="1249"/>
      <c r="M3" s="1247">
        <f>'2020'!An</f>
        <v>2020</v>
      </c>
      <c r="N3" s="1248"/>
      <c r="O3" s="1248"/>
      <c r="P3" s="1248"/>
      <c r="Q3" s="1248"/>
      <c r="R3" s="1249"/>
      <c r="S3" s="1247">
        <f>'2021'!An</f>
        <v>2021</v>
      </c>
      <c r="T3" s="1248"/>
      <c r="U3" s="1248"/>
      <c r="V3" s="1248"/>
      <c r="W3" s="1248"/>
      <c r="X3" s="1249"/>
      <c r="Y3" s="1247">
        <f>'2022'!An</f>
        <v>2022</v>
      </c>
      <c r="Z3" s="1248"/>
      <c r="AA3" s="1248"/>
      <c r="AB3" s="1248"/>
      <c r="AC3" s="1248"/>
      <c r="AD3" s="1249"/>
      <c r="AE3" s="1247">
        <f>'2023'!An</f>
        <v>2023</v>
      </c>
      <c r="AF3" s="1248"/>
      <c r="AG3" s="1248"/>
      <c r="AH3" s="1248"/>
      <c r="AI3" s="1248"/>
      <c r="AJ3" s="1249"/>
      <c r="AK3" s="1247">
        <f>'2024'!An</f>
        <v>2024</v>
      </c>
      <c r="AL3" s="1248"/>
      <c r="AM3" s="1252"/>
      <c r="AN3" s="1252"/>
      <c r="AO3" s="1248"/>
      <c r="AP3" s="1249"/>
      <c r="AQ3" s="1247">
        <f>'2025'!An</f>
        <v>2025</v>
      </c>
      <c r="AR3" s="1248"/>
      <c r="AS3" s="1248"/>
      <c r="AT3" s="1248"/>
      <c r="AU3" s="1248"/>
      <c r="AV3" s="1249"/>
      <c r="AW3" s="1247">
        <f>'2026'!An</f>
        <v>2026</v>
      </c>
      <c r="AX3" s="1248"/>
      <c r="AY3" s="1248"/>
      <c r="AZ3" s="1248"/>
      <c r="BA3" s="1248"/>
      <c r="BB3" s="1249"/>
      <c r="BC3" s="1247">
        <f>'2027'!An</f>
        <v>2027</v>
      </c>
      <c r="BD3" s="1248"/>
      <c r="BE3" s="1248"/>
      <c r="BF3" s="1248"/>
      <c r="BG3" s="1248"/>
      <c r="BH3" s="1249"/>
      <c r="BI3" s="1243" t="e">
        <v>#NAME?</v>
      </c>
      <c r="BJ3" s="1244"/>
      <c r="BK3" s="1244"/>
      <c r="BL3" s="1244"/>
      <c r="BM3" s="1244"/>
      <c r="BN3" s="1245"/>
      <c r="BO3" s="1243" t="e">
        <v>#NAME?</v>
      </c>
      <c r="BP3" s="1244"/>
      <c r="BQ3" s="1244"/>
      <c r="BR3" s="1244"/>
      <c r="BS3" s="1244"/>
      <c r="BT3" s="1245"/>
      <c r="BU3" s="1243" t="e">
        <v>#NAME?</v>
      </c>
      <c r="BV3" s="1244"/>
      <c r="BW3" s="1244"/>
      <c r="BX3" s="1244"/>
      <c r="BY3" s="1244"/>
      <c r="BZ3" s="1245"/>
    </row>
    <row r="4" spans="1:78" s="428" customFormat="1" ht="15" customHeight="1" x14ac:dyDescent="0.25">
      <c r="A4" s="215" t="s">
        <v>77</v>
      </c>
      <c r="B4" s="442" t="s">
        <v>135</v>
      </c>
      <c r="C4" s="443" t="s">
        <v>135</v>
      </c>
      <c r="D4" s="444" t="s">
        <v>80</v>
      </c>
      <c r="E4" s="578" t="s">
        <v>80</v>
      </c>
      <c r="F4" s="432"/>
      <c r="G4" s="360" t="s">
        <v>92</v>
      </c>
      <c r="H4" s="442" t="s">
        <v>135</v>
      </c>
      <c r="I4" s="443" t="s">
        <v>135</v>
      </c>
      <c r="J4" s="444" t="s">
        <v>80</v>
      </c>
      <c r="K4" s="578" t="s">
        <v>80</v>
      </c>
      <c r="L4" s="432"/>
      <c r="M4" s="360" t="s">
        <v>92</v>
      </c>
      <c r="N4" s="442" t="s">
        <v>135</v>
      </c>
      <c r="O4" s="443" t="s">
        <v>135</v>
      </c>
      <c r="P4" s="444" t="s">
        <v>80</v>
      </c>
      <c r="Q4" s="578" t="s">
        <v>80</v>
      </c>
      <c r="R4" s="432"/>
      <c r="S4" s="360" t="s">
        <v>92</v>
      </c>
      <c r="T4" s="442" t="s">
        <v>135</v>
      </c>
      <c r="U4" s="443" t="s">
        <v>135</v>
      </c>
      <c r="V4" s="444" t="s">
        <v>80</v>
      </c>
      <c r="W4" s="578" t="s">
        <v>80</v>
      </c>
      <c r="X4" s="432"/>
      <c r="Y4" s="360" t="s">
        <v>92</v>
      </c>
      <c r="Z4" s="442" t="s">
        <v>135</v>
      </c>
      <c r="AA4" s="443" t="s">
        <v>135</v>
      </c>
      <c r="AB4" s="444" t="s">
        <v>80</v>
      </c>
      <c r="AC4" s="578" t="s">
        <v>80</v>
      </c>
      <c r="AD4" s="432"/>
      <c r="AE4" s="360" t="s">
        <v>92</v>
      </c>
      <c r="AF4" s="442" t="s">
        <v>135</v>
      </c>
      <c r="AG4" s="443" t="s">
        <v>135</v>
      </c>
      <c r="AH4" s="444" t="s">
        <v>80</v>
      </c>
      <c r="AI4" s="578" t="s">
        <v>80</v>
      </c>
      <c r="AJ4" s="432"/>
      <c r="AK4" s="360" t="s">
        <v>92</v>
      </c>
      <c r="AL4" s="442" t="s">
        <v>135</v>
      </c>
      <c r="AM4" s="443" t="s">
        <v>135</v>
      </c>
      <c r="AN4" s="444" t="s">
        <v>80</v>
      </c>
      <c r="AO4" s="578" t="s">
        <v>80</v>
      </c>
      <c r="AP4" s="432"/>
      <c r="AQ4" s="360" t="s">
        <v>92</v>
      </c>
      <c r="AR4" s="442" t="s">
        <v>135</v>
      </c>
      <c r="AS4" s="443" t="s">
        <v>135</v>
      </c>
      <c r="AT4" s="444" t="s">
        <v>80</v>
      </c>
      <c r="AU4" s="578" t="s">
        <v>80</v>
      </c>
      <c r="AV4" s="432"/>
      <c r="AW4" s="360" t="s">
        <v>92</v>
      </c>
      <c r="AX4" s="442" t="s">
        <v>135</v>
      </c>
      <c r="AY4" s="443" t="s">
        <v>135</v>
      </c>
      <c r="AZ4" s="444" t="s">
        <v>80</v>
      </c>
      <c r="BA4" s="578" t="s">
        <v>80</v>
      </c>
      <c r="BB4" s="432"/>
      <c r="BC4" s="360" t="s">
        <v>92</v>
      </c>
      <c r="BD4" s="442" t="s">
        <v>135</v>
      </c>
      <c r="BE4" s="443" t="s">
        <v>135</v>
      </c>
      <c r="BF4" s="444" t="s">
        <v>80</v>
      </c>
      <c r="BG4" s="578" t="s">
        <v>80</v>
      </c>
      <c r="BH4" s="432"/>
      <c r="BI4" s="360" t="s">
        <v>92</v>
      </c>
      <c r="BJ4" s="442" t="s">
        <v>135</v>
      </c>
      <c r="BK4" s="443" t="s">
        <v>135</v>
      </c>
      <c r="BL4" s="444" t="s">
        <v>80</v>
      </c>
      <c r="BM4" s="578" t="s">
        <v>80</v>
      </c>
      <c r="BN4" s="432"/>
      <c r="BO4" s="360" t="s">
        <v>92</v>
      </c>
      <c r="BP4" s="442" t="s">
        <v>135</v>
      </c>
      <c r="BQ4" s="443" t="s">
        <v>135</v>
      </c>
      <c r="BR4" s="444" t="s">
        <v>80</v>
      </c>
      <c r="BS4" s="578" t="s">
        <v>80</v>
      </c>
      <c r="BT4" s="432"/>
      <c r="BU4" s="360" t="s">
        <v>92</v>
      </c>
      <c r="BV4" s="442" t="s">
        <v>135</v>
      </c>
      <c r="BW4" s="443" t="s">
        <v>135</v>
      </c>
      <c r="BX4" s="444" t="s">
        <v>80</v>
      </c>
      <c r="BY4" s="578" t="s">
        <v>80</v>
      </c>
      <c r="BZ4" s="432"/>
    </row>
    <row r="5" spans="1:78" s="428" customFormat="1" ht="15" customHeight="1" x14ac:dyDescent="0.25">
      <c r="A5" s="215" t="s">
        <v>16</v>
      </c>
      <c r="B5" s="433" t="s">
        <v>135</v>
      </c>
      <c r="C5" s="439" t="s">
        <v>135</v>
      </c>
      <c r="D5" s="440" t="s">
        <v>135</v>
      </c>
      <c r="E5" s="441" t="s">
        <v>135</v>
      </c>
      <c r="F5" s="189"/>
      <c r="G5" s="360" t="s">
        <v>93</v>
      </c>
      <c r="H5" s="433" t="s">
        <v>135</v>
      </c>
      <c r="I5" s="439" t="s">
        <v>135</v>
      </c>
      <c r="J5" s="440" t="s">
        <v>135</v>
      </c>
      <c r="K5" s="441" t="s">
        <v>135</v>
      </c>
      <c r="L5" s="189"/>
      <c r="M5" s="360" t="s">
        <v>93</v>
      </c>
      <c r="N5" s="433">
        <v>43831</v>
      </c>
      <c r="O5" s="439" t="s">
        <v>353</v>
      </c>
      <c r="P5" s="440">
        <v>0.14000000000000001</v>
      </c>
      <c r="Q5" s="1198">
        <v>1</v>
      </c>
      <c r="R5" s="189"/>
      <c r="S5" s="360" t="s">
        <v>93</v>
      </c>
      <c r="T5" s="433">
        <v>44306</v>
      </c>
      <c r="U5" s="1181">
        <v>2.5000000000000001E-2</v>
      </c>
      <c r="V5" s="440">
        <v>0.16</v>
      </c>
      <c r="W5" s="1198">
        <v>0.8</v>
      </c>
      <c r="X5" s="189"/>
      <c r="Y5" s="360" t="s">
        <v>93</v>
      </c>
      <c r="Z5" s="433">
        <v>44854</v>
      </c>
      <c r="AA5" s="439">
        <v>2.5000000000000001E-2</v>
      </c>
      <c r="AB5" s="440">
        <v>0.22</v>
      </c>
      <c r="AC5" s="441">
        <v>2.5</v>
      </c>
      <c r="AD5" s="189"/>
      <c r="AE5" s="360" t="s">
        <v>93</v>
      </c>
      <c r="AF5" s="433">
        <v>45046</v>
      </c>
      <c r="AG5" s="439" t="s">
        <v>135</v>
      </c>
      <c r="AH5" s="440">
        <f>AVERAGE(AB10,V10,P10)</f>
        <v>0.17333333333333334</v>
      </c>
      <c r="AI5" s="441">
        <f>AVERAGE(AC10,W10,Q10)</f>
        <v>1.4333333333333333</v>
      </c>
      <c r="AJ5" s="189"/>
      <c r="AK5" s="360" t="s">
        <v>93</v>
      </c>
      <c r="AL5" s="433" t="s">
        <v>135</v>
      </c>
      <c r="AM5" s="439" t="s">
        <v>135</v>
      </c>
      <c r="AN5" s="440" t="s">
        <v>135</v>
      </c>
      <c r="AO5" s="441" t="s">
        <v>135</v>
      </c>
      <c r="AP5" s="189"/>
      <c r="AQ5" s="360" t="s">
        <v>93</v>
      </c>
      <c r="AR5" s="433" t="s">
        <v>135</v>
      </c>
      <c r="AS5" s="439" t="s">
        <v>135</v>
      </c>
      <c r="AT5" s="440" t="s">
        <v>135</v>
      </c>
      <c r="AU5" s="441" t="s">
        <v>135</v>
      </c>
      <c r="AV5" s="189"/>
      <c r="AW5" s="360" t="s">
        <v>93</v>
      </c>
      <c r="AX5" s="433" t="s">
        <v>135</v>
      </c>
      <c r="AY5" s="439" t="s">
        <v>135</v>
      </c>
      <c r="AZ5" s="440" t="s">
        <v>135</v>
      </c>
      <c r="BA5" s="441" t="s">
        <v>135</v>
      </c>
      <c r="BB5" s="189"/>
      <c r="BC5" s="360" t="s">
        <v>93</v>
      </c>
      <c r="BD5" s="433" t="s">
        <v>135</v>
      </c>
      <c r="BE5" s="439" t="s">
        <v>135</v>
      </c>
      <c r="BF5" s="440" t="s">
        <v>135</v>
      </c>
      <c r="BG5" s="441" t="s">
        <v>135</v>
      </c>
      <c r="BH5" s="189"/>
      <c r="BI5" s="360" t="s">
        <v>93</v>
      </c>
      <c r="BJ5" s="433" t="s">
        <v>135</v>
      </c>
      <c r="BK5" s="439" t="s">
        <v>135</v>
      </c>
      <c r="BL5" s="440" t="s">
        <v>135</v>
      </c>
      <c r="BM5" s="441" t="s">
        <v>135</v>
      </c>
      <c r="BN5" s="189"/>
      <c r="BO5" s="360" t="s">
        <v>93</v>
      </c>
      <c r="BP5" s="433" t="s">
        <v>135</v>
      </c>
      <c r="BQ5" s="439" t="s">
        <v>135</v>
      </c>
      <c r="BR5" s="440" t="s">
        <v>135</v>
      </c>
      <c r="BS5" s="441" t="s">
        <v>135</v>
      </c>
      <c r="BT5" s="189"/>
      <c r="BU5" s="360" t="s">
        <v>93</v>
      </c>
      <c r="BV5" s="433" t="s">
        <v>135</v>
      </c>
      <c r="BW5" s="439" t="s">
        <v>135</v>
      </c>
      <c r="BX5" s="440" t="s">
        <v>135</v>
      </c>
      <c r="BY5" s="441" t="s">
        <v>135</v>
      </c>
      <c r="BZ5" s="189"/>
    </row>
    <row r="6" spans="1:78" s="428" customFormat="1" ht="15" customHeight="1" x14ac:dyDescent="0.25">
      <c r="A6" s="215" t="s">
        <v>18</v>
      </c>
      <c r="B6" s="420" t="s">
        <v>135</v>
      </c>
      <c r="C6" s="434" t="s">
        <v>135</v>
      </c>
      <c r="D6" s="1246" t="s">
        <v>135</v>
      </c>
      <c r="E6" s="1246"/>
      <c r="F6" s="190"/>
      <c r="G6" s="360" t="s">
        <v>94</v>
      </c>
      <c r="H6" s="420" t="s">
        <v>135</v>
      </c>
      <c r="I6" s="434" t="s">
        <v>135</v>
      </c>
      <c r="J6" s="1246" t="s">
        <v>135</v>
      </c>
      <c r="K6" s="1246"/>
      <c r="L6" s="190"/>
      <c r="M6" s="360" t="s">
        <v>94</v>
      </c>
      <c r="N6" s="420" t="s">
        <v>135</v>
      </c>
      <c r="O6" s="434" t="s">
        <v>135</v>
      </c>
      <c r="P6" s="1246" t="s">
        <v>135</v>
      </c>
      <c r="Q6" s="1246"/>
      <c r="R6" s="190"/>
      <c r="S6" s="360" t="s">
        <v>94</v>
      </c>
      <c r="T6" s="420" t="s">
        <v>135</v>
      </c>
      <c r="U6" s="434" t="s">
        <v>135</v>
      </c>
      <c r="V6" s="1246" t="s">
        <v>135</v>
      </c>
      <c r="W6" s="1246"/>
      <c r="X6" s="190"/>
      <c r="Y6" s="360" t="s">
        <v>94</v>
      </c>
      <c r="Z6" s="420" t="s">
        <v>135</v>
      </c>
      <c r="AA6" s="434" t="s">
        <v>135</v>
      </c>
      <c r="AB6" s="1246" t="s">
        <v>135</v>
      </c>
      <c r="AC6" s="1246"/>
      <c r="AD6" s="190"/>
      <c r="AE6" s="360" t="s">
        <v>94</v>
      </c>
      <c r="AF6" s="420" t="s">
        <v>135</v>
      </c>
      <c r="AG6" s="434" t="s">
        <v>135</v>
      </c>
      <c r="AH6" s="1246" t="s">
        <v>135</v>
      </c>
      <c r="AI6" s="1246"/>
      <c r="AJ6" s="190"/>
      <c r="AK6" s="360" t="s">
        <v>94</v>
      </c>
      <c r="AL6" s="420" t="s">
        <v>135</v>
      </c>
      <c r="AM6" s="434" t="s">
        <v>135</v>
      </c>
      <c r="AN6" s="1246" t="s">
        <v>135</v>
      </c>
      <c r="AO6" s="1246"/>
      <c r="AP6" s="190"/>
      <c r="AQ6" s="360" t="s">
        <v>94</v>
      </c>
      <c r="AR6" s="420" t="s">
        <v>135</v>
      </c>
      <c r="AS6" s="434" t="s">
        <v>135</v>
      </c>
      <c r="AT6" s="1246" t="s">
        <v>135</v>
      </c>
      <c r="AU6" s="1246"/>
      <c r="AV6" s="190"/>
      <c r="AW6" s="360" t="s">
        <v>94</v>
      </c>
      <c r="AX6" s="420" t="s">
        <v>135</v>
      </c>
      <c r="AY6" s="434" t="s">
        <v>135</v>
      </c>
      <c r="AZ6" s="1246" t="s">
        <v>135</v>
      </c>
      <c r="BA6" s="1246"/>
      <c r="BB6" s="190"/>
      <c r="BC6" s="360" t="s">
        <v>94</v>
      </c>
      <c r="BD6" s="420" t="s">
        <v>135</v>
      </c>
      <c r="BE6" s="434" t="s">
        <v>135</v>
      </c>
      <c r="BF6" s="1246" t="s">
        <v>135</v>
      </c>
      <c r="BG6" s="1246"/>
      <c r="BH6" s="190"/>
      <c r="BI6" s="360" t="s">
        <v>94</v>
      </c>
      <c r="BJ6" s="420" t="s">
        <v>135</v>
      </c>
      <c r="BK6" s="434" t="s">
        <v>135</v>
      </c>
      <c r="BL6" s="1246" t="s">
        <v>135</v>
      </c>
      <c r="BM6" s="1246"/>
      <c r="BN6" s="190"/>
      <c r="BO6" s="360" t="s">
        <v>94</v>
      </c>
      <c r="BP6" s="420" t="s">
        <v>135</v>
      </c>
      <c r="BQ6" s="434" t="s">
        <v>135</v>
      </c>
      <c r="BR6" s="1246" t="s">
        <v>135</v>
      </c>
      <c r="BS6" s="1246"/>
      <c r="BT6" s="190"/>
      <c r="BU6" s="360" t="s">
        <v>94</v>
      </c>
      <c r="BV6" s="420" t="s">
        <v>135</v>
      </c>
      <c r="BW6" s="434" t="s">
        <v>135</v>
      </c>
      <c r="BX6" s="1246" t="s">
        <v>135</v>
      </c>
      <c r="BY6" s="1246"/>
      <c r="BZ6" s="190"/>
    </row>
    <row r="7" spans="1:78" ht="15.75" x14ac:dyDescent="0.25">
      <c r="A7" s="853" t="s">
        <v>255</v>
      </c>
      <c r="B7" s="431"/>
      <c r="C7" s="431"/>
      <c r="D7" s="223"/>
      <c r="E7" s="1250">
        <f>'2018'!Dépas_env</f>
        <v>-1.3590897213071607E-2</v>
      </c>
      <c r="F7" s="1251"/>
      <c r="G7" s="853" t="s">
        <v>254</v>
      </c>
      <c r="H7" s="431"/>
      <c r="I7" s="431"/>
      <c r="J7" s="223"/>
      <c r="K7" s="1250">
        <f>'2019'!Dépas_env</f>
        <v>2.7108015165856481E-2</v>
      </c>
      <c r="L7" s="1251"/>
      <c r="M7" s="853" t="s">
        <v>254</v>
      </c>
      <c r="N7" s="431"/>
      <c r="O7" s="431"/>
      <c r="P7" s="223"/>
      <c r="Q7" s="1250">
        <f>'2020'!Dépas_env</f>
        <v>2.7874087522292701E-2</v>
      </c>
      <c r="R7" s="1251"/>
      <c r="S7" s="853" t="s">
        <v>254</v>
      </c>
      <c r="T7" s="431"/>
      <c r="U7" s="431"/>
      <c r="V7" s="223"/>
      <c r="W7" s="1250">
        <f>'2021'!Dépas_env</f>
        <v>3.7616854938163247E-2</v>
      </c>
      <c r="X7" s="1251"/>
      <c r="Y7" s="853" t="s">
        <v>254</v>
      </c>
      <c r="Z7" s="431"/>
      <c r="AA7" s="431"/>
      <c r="AB7" s="223"/>
      <c r="AC7" s="1250">
        <f>'2022'!Dépas_env</f>
        <v>3.6719640791316177E-2</v>
      </c>
      <c r="AD7" s="1251"/>
      <c r="AE7" s="853" t="s">
        <v>254</v>
      </c>
      <c r="AF7" s="431"/>
      <c r="AG7" s="431"/>
      <c r="AH7" s="223"/>
      <c r="AI7" s="1250">
        <f>'2023'!Dépas_env</f>
        <v>3.6719640791315955E-2</v>
      </c>
      <c r="AJ7" s="1251"/>
      <c r="AK7" s="853" t="s">
        <v>254</v>
      </c>
      <c r="AL7" s="431"/>
      <c r="AM7" s="431"/>
      <c r="AN7" s="223"/>
      <c r="AO7" s="1250">
        <f>'2024'!Dépas_env</f>
        <v>3.6719640791315955E-2</v>
      </c>
      <c r="AP7" s="1251"/>
      <c r="AQ7" s="853" t="s">
        <v>254</v>
      </c>
      <c r="AR7" s="431"/>
      <c r="AS7" s="431"/>
      <c r="AT7" s="223"/>
      <c r="AU7" s="1250">
        <f>'2025'!Dépas_env</f>
        <v>3.6719640791315955E-2</v>
      </c>
      <c r="AV7" s="1251"/>
      <c r="AW7" s="853" t="s">
        <v>254</v>
      </c>
      <c r="AX7" s="431"/>
      <c r="AY7" s="431"/>
      <c r="AZ7" s="223"/>
      <c r="BA7" s="1250">
        <f>'2026'!Dépas_env</f>
        <v>3.6719640791315955E-2</v>
      </c>
      <c r="BB7" s="1251"/>
      <c r="BC7" s="853" t="s">
        <v>254</v>
      </c>
      <c r="BD7" s="431"/>
      <c r="BE7" s="431"/>
      <c r="BF7" s="223"/>
      <c r="BG7" s="1250">
        <f>'2027'!Dépas_env</f>
        <v>3.6719640791315955E-2</v>
      </c>
      <c r="BH7" s="1251"/>
      <c r="BI7" s="853" t="s">
        <v>254</v>
      </c>
      <c r="BJ7" s="431"/>
      <c r="BK7" s="431"/>
      <c r="BL7" s="223"/>
      <c r="BM7" s="1250"/>
      <c r="BN7" s="1251"/>
      <c r="BO7" s="853" t="s">
        <v>254</v>
      </c>
      <c r="BP7" s="431"/>
      <c r="BQ7" s="431"/>
      <c r="BR7" s="223"/>
      <c r="BS7" s="1250"/>
      <c r="BT7" s="1251"/>
      <c r="BU7" s="853" t="s">
        <v>254</v>
      </c>
      <c r="BV7" s="431"/>
      <c r="BW7" s="431"/>
      <c r="BX7" s="223"/>
      <c r="BY7" s="1250"/>
      <c r="BZ7" s="1251"/>
    </row>
    <row r="8" spans="1:78" ht="15.75" x14ac:dyDescent="0.25">
      <c r="A8" s="427" t="s">
        <v>134</v>
      </c>
      <c r="T8" s="659" t="s">
        <v>195</v>
      </c>
    </row>
    <row r="9" spans="1:78" s="28" customFormat="1" ht="15" customHeight="1" x14ac:dyDescent="0.25">
      <c r="A9" s="446" t="s">
        <v>77</v>
      </c>
      <c r="B9" s="581">
        <f>IF(B4="D",T0,IF(YEAR(B4)=A3,B4, "err."))</f>
        <v>43313</v>
      </c>
      <c r="C9" s="582">
        <f>IF(B9&gt;T0,IF(C4="D",0,C4),0)</f>
        <v>0</v>
      </c>
      <c r="D9" s="583" t="s">
        <v>80</v>
      </c>
      <c r="E9" s="463" t="s">
        <v>80</v>
      </c>
      <c r="F9" s="1193">
        <f>IF(C5="I",T0,B10)</f>
        <v>43313</v>
      </c>
      <c r="G9" s="447" t="s">
        <v>92</v>
      </c>
      <c r="H9" s="581">
        <f>IF(H4="D",B9,IF(YEAR(H4)=G3,H4, "err."))</f>
        <v>43313</v>
      </c>
      <c r="I9" s="582">
        <f>IF(YEAR(H9)=G3,IF(I4="D",C9,I4),C9)</f>
        <v>0</v>
      </c>
      <c r="J9" s="584" t="s">
        <v>80</v>
      </c>
      <c r="K9" s="451" t="s">
        <v>80</v>
      </c>
      <c r="L9" s="1193">
        <f>IF(I5="I",F9,IF(YEAR(H10)=G3,H10,F9))</f>
        <v>43313</v>
      </c>
      <c r="M9" s="449" t="s">
        <v>92</v>
      </c>
      <c r="N9" s="581">
        <f>IF(N4="D",H9,IF(YEAR(N4)=M3,N4, "err."))</f>
        <v>43313</v>
      </c>
      <c r="O9" s="582">
        <f>IF(YEAR(N9)=M3,IF(O4="D",I9,O4),I9)</f>
        <v>0</v>
      </c>
      <c r="P9" s="584" t="s">
        <v>80</v>
      </c>
      <c r="Q9" s="451" t="s">
        <v>80</v>
      </c>
      <c r="R9" s="1193">
        <f>IF(O5="I",L9,IF(YEAR(N10)=M3,N10,L9))</f>
        <v>43313</v>
      </c>
      <c r="S9" s="447" t="s">
        <v>92</v>
      </c>
      <c r="T9" s="581">
        <f>IF(T4="D",N9,IF(YEAR(T4)=S3,T4, "err."))</f>
        <v>43313</v>
      </c>
      <c r="U9" s="582">
        <f>IF(YEAR(T9)=S3,IF(U4="D",O9,U4),O9)</f>
        <v>0</v>
      </c>
      <c r="V9" s="584" t="s">
        <v>80</v>
      </c>
      <c r="W9" s="451" t="s">
        <v>80</v>
      </c>
      <c r="X9" s="1193">
        <f>IF(U5="I",R9,IF(YEAR(T10)=S3,T10,R9))</f>
        <v>44306</v>
      </c>
      <c r="Y9" s="447" t="s">
        <v>92</v>
      </c>
      <c r="Z9" s="581">
        <f>IF(Z4="D",T9,IF(YEAR(Z4)=Y3,Z4, "err."))</f>
        <v>43313</v>
      </c>
      <c r="AA9" s="582">
        <f>IF(YEAR(Z9)=Y3,IF(AA4="D",U9,AA4),U9)</f>
        <v>0</v>
      </c>
      <c r="AB9" s="584" t="s">
        <v>80</v>
      </c>
      <c r="AC9" s="451" t="s">
        <v>80</v>
      </c>
      <c r="AD9" s="1193">
        <f>IF(AA5="I",X9,IF(YEAR(Z10)=Y3,Z10,X9))</f>
        <v>44854</v>
      </c>
      <c r="AE9" s="447" t="s">
        <v>92</v>
      </c>
      <c r="AF9" s="581">
        <f>IF(AF4="D",Z9,IF(YEAR(AF4)=AE3,AF4, "err."))</f>
        <v>43313</v>
      </c>
      <c r="AG9" s="582">
        <f>IF(YEAR(AF9)=AE3,IF(AG4="D",AA9,AG4),AA9)</f>
        <v>0</v>
      </c>
      <c r="AH9" s="584" t="s">
        <v>80</v>
      </c>
      <c r="AI9" s="451" t="s">
        <v>80</v>
      </c>
      <c r="AJ9" s="1193">
        <f>IF(AG5="I",AD9,IF(YEAR(AF10)=AE3,AF10,AD9))</f>
        <v>45046</v>
      </c>
      <c r="AK9" s="447" t="s">
        <v>92</v>
      </c>
      <c r="AL9" s="597">
        <f>IF(AL4="D",AF9,AL4)</f>
        <v>43313</v>
      </c>
      <c r="AM9" s="598">
        <f>IF(AM4="D",AG9,AM4)</f>
        <v>0</v>
      </c>
      <c r="AN9" s="584" t="s">
        <v>80</v>
      </c>
      <c r="AO9" s="599" t="s">
        <v>80</v>
      </c>
      <c r="AP9" s="1193">
        <f>IF(AM5="I",AJ9,IF(YEAR(AL10)=AK3,AL10,AJ9))</f>
        <v>45412</v>
      </c>
      <c r="AQ9" s="447" t="s">
        <v>92</v>
      </c>
      <c r="AR9" s="581">
        <f>IF(AR4="D",AL9,AR4)</f>
        <v>43313</v>
      </c>
      <c r="AS9" s="582">
        <f>IF(AS4="D",AM9,AS4)</f>
        <v>0</v>
      </c>
      <c r="AT9" s="584" t="s">
        <v>80</v>
      </c>
      <c r="AU9" s="451" t="s">
        <v>80</v>
      </c>
      <c r="AV9" s="1193">
        <f>IF(AS5="I",AP9,IF(YEAR(AR10)=AQ3,AR10,AP9))</f>
        <v>45777</v>
      </c>
      <c r="AW9" s="447" t="s">
        <v>92</v>
      </c>
      <c r="AX9" s="581">
        <f>IF(AX4="D",AR9,AX4)</f>
        <v>43313</v>
      </c>
      <c r="AY9" s="582">
        <f>IF(AY4="D",AS9,AY4)</f>
        <v>0</v>
      </c>
      <c r="AZ9" s="584" t="s">
        <v>80</v>
      </c>
      <c r="BA9" s="451" t="s">
        <v>80</v>
      </c>
      <c r="BB9" s="1193">
        <f>IF(AY5="I",AV9,IF(YEAR(AX10)=AW3,AX10,AV9))</f>
        <v>46142</v>
      </c>
      <c r="BC9" s="447" t="s">
        <v>92</v>
      </c>
      <c r="BD9" s="581">
        <f>IF(BD4="D",AX9,BD4)</f>
        <v>43313</v>
      </c>
      <c r="BE9" s="582">
        <f>IF(BE4="D",AY9,BE4)</f>
        <v>0</v>
      </c>
      <c r="BF9" s="584" t="s">
        <v>80</v>
      </c>
      <c r="BG9" s="451" t="s">
        <v>80</v>
      </c>
      <c r="BH9" s="1193">
        <f>IF(BE5="I",BB9,IF(YEAR(BD10)=BC3,BD10,BB9))</f>
        <v>46507</v>
      </c>
      <c r="BI9" s="447" t="s">
        <v>92</v>
      </c>
      <c r="BJ9" s="581">
        <f>IF(BJ4="D",BD9,BJ4)</f>
        <v>43313</v>
      </c>
      <c r="BK9" s="582">
        <f>IF(BK4="D",BE9,BK4)</f>
        <v>0</v>
      </c>
      <c r="BL9" s="584" t="s">
        <v>80</v>
      </c>
      <c r="BM9" s="451" t="s">
        <v>80</v>
      </c>
      <c r="BN9" s="1193" t="e">
        <f>IF(BK5="I",BH9,IF(YEAR(BJ10)=BI3,BJ10,BH9))</f>
        <v>#NAME?</v>
      </c>
      <c r="BO9" s="447" t="s">
        <v>92</v>
      </c>
      <c r="BP9" s="581">
        <f>IF(BP4="D",BJ9,BP4)</f>
        <v>43313</v>
      </c>
      <c r="BQ9" s="582">
        <f>IF(BQ4="D",BK9,BQ4)</f>
        <v>0</v>
      </c>
      <c r="BR9" s="584" t="s">
        <v>80</v>
      </c>
      <c r="BS9" s="451" t="s">
        <v>80</v>
      </c>
      <c r="BT9" s="1193" t="e">
        <f>IF(BQ5="I",BN9,IF(YEAR(BP10)=BO3,BP10,BN9))</f>
        <v>#NAME?</v>
      </c>
      <c r="BU9" s="447" t="s">
        <v>92</v>
      </c>
      <c r="BV9" s="581">
        <f>IF(BV4="D",BP9,BV4)</f>
        <v>43313</v>
      </c>
      <c r="BW9" s="582">
        <f>IF(BW4="D",BQ9,BW4)</f>
        <v>0</v>
      </c>
      <c r="BX9" s="584" t="s">
        <v>80</v>
      </c>
      <c r="BY9" s="451" t="s">
        <v>80</v>
      </c>
      <c r="BZ9" s="1193" t="e">
        <f>IF(BW5="I",BT9,IF(YEAR(BV10)=BU3,BV10,BT9))</f>
        <v>#NAME?</v>
      </c>
    </row>
    <row r="10" spans="1:78" s="450" customFormat="1" ht="15" customHeight="1" x14ac:dyDescent="0.25">
      <c r="A10" s="464" t="s">
        <v>16</v>
      </c>
      <c r="B10" s="579">
        <f>IF(B5="D",T0,IF(YEAR(B5)=A3,B5, "err."))</f>
        <v>43313</v>
      </c>
      <c r="C10" s="585">
        <f>IF(B10&gt;T0,IF(C5="D",0,C5),0)</f>
        <v>0</v>
      </c>
      <c r="D10" s="586">
        <f>IF(YEAR(B10)=A3,IF(D5="D",Salim_i,D5),Salim_i)</f>
        <v>0.21</v>
      </c>
      <c r="E10" s="587">
        <f>IF(E5="D",Tau_i,IF(YEAR(B10)=A3,E5,Tau_i))</f>
        <v>2.5</v>
      </c>
      <c r="F10" s="1194">
        <f>C10</f>
        <v>0</v>
      </c>
      <c r="G10" s="449" t="s">
        <v>93</v>
      </c>
      <c r="H10" s="579">
        <f>IF(H5="D",IF(AND(G3&gt;=YEAR(F9)+Inter_net,G3&gt;Amaj),DATE(G3,4,30),B10),IF(YEAR(H5)=G3,H5,"err."))</f>
        <v>43313</v>
      </c>
      <c r="I10" s="585">
        <f>IF(G3=YEAR(H10),IF(I5="D",F10,I5),C13)</f>
        <v>0</v>
      </c>
      <c r="J10" s="586">
        <f>IF(G3=YEAR(H10),IF(J5="D",D10,J5),D10)</f>
        <v>0.21</v>
      </c>
      <c r="K10" s="587">
        <f>IF(G3=YEAR(H10),IF(K5="D",E10,K5),E10)</f>
        <v>2.5</v>
      </c>
      <c r="L10" s="1194">
        <f>IF(I5="I",F10,IF(I5="D",F10,I5))</f>
        <v>0</v>
      </c>
      <c r="M10" s="449" t="s">
        <v>93</v>
      </c>
      <c r="N10" s="579">
        <f>IF(N5="D",IF(AND(M3&gt;=YEAR(L9)+Inter_net,M3&gt;Amaj),DATE(M3,4,30),H10),IF(YEAR(N5)=M3,N5,"err."))</f>
        <v>43831</v>
      </c>
      <c r="O10" s="585" t="str">
        <f>IF(M3=YEAR(N10),IF(O5="D",L10,O5),I13)</f>
        <v>I</v>
      </c>
      <c r="P10" s="586">
        <f>IF(M3=YEAR(N10),IF(P5="D",J10,P5),J10)</f>
        <v>0.14000000000000001</v>
      </c>
      <c r="Q10" s="587">
        <f>IF(M3=YEAR(N10),IF(Q5="D",K10,Q5),K10)</f>
        <v>1</v>
      </c>
      <c r="R10" s="1194">
        <f>IF(O5="I",L10,IF(O5="D",L10,O5))</f>
        <v>0</v>
      </c>
      <c r="S10" s="449" t="s">
        <v>93</v>
      </c>
      <c r="T10" s="579">
        <f>IF(T5="D",IF(AND(S3&gt;=YEAR(R9)+Inter_net,S3&gt;Amaj),DATE(S3,4,30),N10),IF(YEAR(T5)=S3,T5,"err."))</f>
        <v>44306</v>
      </c>
      <c r="U10" s="585">
        <f>IF(S3=YEAR(T10),IF(U5="D",R10,U5),O13)</f>
        <v>2.5000000000000001E-2</v>
      </c>
      <c r="V10" s="586">
        <f>IF(S3=YEAR(T10),IF(V5="D",P10,V5),P10)</f>
        <v>0.16</v>
      </c>
      <c r="W10" s="587">
        <f>IF(S3=YEAR(T10),IF(W5="D",Q10,W5),Q10)</f>
        <v>0.8</v>
      </c>
      <c r="X10" s="1194">
        <f>IF(U5="I",R10,IF(U5="D",R10,U5))</f>
        <v>2.5000000000000001E-2</v>
      </c>
      <c r="Y10" s="449" t="s">
        <v>93</v>
      </c>
      <c r="Z10" s="579">
        <f>IF(Z5="D",IF(AND(Y3&gt;=YEAR(X9)+Inter_net,Y3&gt;Amaj),DATE(Y3,4,30),T10),IF(YEAR(Z5)=Y3,Z5,"err."))</f>
        <v>44854</v>
      </c>
      <c r="AA10" s="585">
        <f>IF(Y3=YEAR(Z10),IF(AA5="D",X10,AA5),U13)</f>
        <v>2.5000000000000001E-2</v>
      </c>
      <c r="AB10" s="586">
        <f>IF(Y3=YEAR(Z10),IF(AB5="D",V10,AB5),V10)</f>
        <v>0.22</v>
      </c>
      <c r="AC10" s="587">
        <f>IF(Y3=YEAR(Z10),IF(AC5="D",W10,AC5),W10)</f>
        <v>2.5</v>
      </c>
      <c r="AD10" s="1194">
        <f>IF(AA5="I",X10,IF(AA5="D",X10,AA5))</f>
        <v>2.5000000000000001E-2</v>
      </c>
      <c r="AE10" s="449" t="s">
        <v>93</v>
      </c>
      <c r="AF10" s="579">
        <f>IF(AF5="D",IF(AND(AE3&gt;=YEAR(AD9)+Inter_net,AE3&gt;Amaj),DATE(AE3,4,30),Z10),IF(YEAR(AF5)=AE3,AF5,"err."))</f>
        <v>45046</v>
      </c>
      <c r="AG10" s="585">
        <f>IF(AE3=YEAR(AF10),IF(AG5="D",AD10,AG5),AA13)</f>
        <v>2.5000000000000001E-2</v>
      </c>
      <c r="AH10" s="586">
        <f>IF(AE3=YEAR(AF10),IF(AH5="D",AB10,AH5),AB10)</f>
        <v>0.17333333333333334</v>
      </c>
      <c r="AI10" s="587">
        <f>IF(AE3=YEAR(AF10),IF(AI5="D",AC10,AI5),AC10)</f>
        <v>1.4333333333333333</v>
      </c>
      <c r="AJ10" s="1194">
        <f>IF(AG5="I",AD10,IF(AG5="D",AD10,AG5))</f>
        <v>2.5000000000000001E-2</v>
      </c>
      <c r="AK10" s="449" t="s">
        <v>93</v>
      </c>
      <c r="AL10" s="579">
        <f>IF(AL5="D",IF(AND(AK3&gt;=YEAR(AJ9)+Inter_net,AK3&gt;Amaj),DATE(AK3,4,30),AF10),IF(YEAR(AL5)=AK3,AL5,"err."))</f>
        <v>45412</v>
      </c>
      <c r="AM10" s="585">
        <f>IF(AK3=YEAR(AL10),IF(AM5="D",AJ10,AM5),AG13)</f>
        <v>2.5000000000000001E-2</v>
      </c>
      <c r="AN10" s="586">
        <f>IF(AN5="D",AH10,AN5)</f>
        <v>0.17333333333333334</v>
      </c>
      <c r="AO10" s="587">
        <f>IF(AO5="D",AI10,AO5)</f>
        <v>1.4333333333333333</v>
      </c>
      <c r="AP10" s="1194">
        <f>IF(AM5="I",AJ10,IF(AM5="D",AJ10,AM5))</f>
        <v>2.5000000000000001E-2</v>
      </c>
      <c r="AQ10" s="449" t="s">
        <v>93</v>
      </c>
      <c r="AR10" s="579">
        <f>IF(AR5="D",IF(AND(AQ3&gt;=YEAR(AP9)+Inter_net,AQ3&gt;Amaj),DATE(AQ3,4,30),AL10),IF(YEAR(AR5)=AQ3,AR5,"err."))</f>
        <v>45777</v>
      </c>
      <c r="AS10" s="585">
        <f>IF(AQ3=YEAR(AR10),IF(AS5="D",AP10,AS5),AM13)</f>
        <v>2.5000000000000001E-2</v>
      </c>
      <c r="AT10" s="586">
        <f>IF(AT5="D",AN10,AT5)</f>
        <v>0.17333333333333334</v>
      </c>
      <c r="AU10" s="587">
        <f>IF(AU5="D",AO10,AU5)</f>
        <v>1.4333333333333333</v>
      </c>
      <c r="AV10" s="1194">
        <f>IF(AS5="I",AP10,IF(AS5="D",AP10,AS5))</f>
        <v>2.5000000000000001E-2</v>
      </c>
      <c r="AW10" s="449" t="s">
        <v>93</v>
      </c>
      <c r="AX10" s="579">
        <f>IF(AX5="D",IF(AND(AW3&gt;=YEAR(AV9)+Inter_net,AW3&gt;Amaj),DATE(AW3,4,30),AR10),IF(YEAR(AX5)=AW3,AX5,"err."))</f>
        <v>46142</v>
      </c>
      <c r="AY10" s="585">
        <f>IF(AW3=YEAR(AX10),IF(AY5="D",AV10,AY5),AS13)</f>
        <v>2.5000000000000001E-2</v>
      </c>
      <c r="AZ10" s="586">
        <f>IF(AZ5="D",AT10,AZ5)</f>
        <v>0.17333333333333334</v>
      </c>
      <c r="BA10" s="587">
        <f>IF(BA5="D",AU10,BA5)</f>
        <v>1.4333333333333333</v>
      </c>
      <c r="BB10" s="1194">
        <f>IF(AY5="I",AV10,IF(AY5="D",AV10,AY5))</f>
        <v>2.5000000000000001E-2</v>
      </c>
      <c r="BC10" s="449" t="s">
        <v>93</v>
      </c>
      <c r="BD10" s="579">
        <f>IF(BD5="D",IF(AND(BC3&gt;=YEAR(BB9)+Inter_net,BC3&gt;Amaj),DATE(BC3,4,30),AX10),IF(YEAR(BD5)=BC3,BD5,"err."))</f>
        <v>46507</v>
      </c>
      <c r="BE10" s="585">
        <f>IF(BC3=YEAR(BD10),IF(BE5="D",BB10,BE5),AY13)</f>
        <v>2.5000000000000001E-2</v>
      </c>
      <c r="BF10" s="586">
        <f>IF(BF5="D",AZ10,BF5)</f>
        <v>0.17333333333333334</v>
      </c>
      <c r="BG10" s="587">
        <f>IF(BG5="D",BA10,BG5)</f>
        <v>1.4333333333333333</v>
      </c>
      <c r="BH10" s="1194">
        <f>IF(BE5="I",BB10,IF(BE5="D",BB10,BE5))</f>
        <v>2.5000000000000001E-2</v>
      </c>
      <c r="BI10" s="449" t="s">
        <v>93</v>
      </c>
      <c r="BJ10" s="579" t="e">
        <f>IF(BJ5="D",IF(AND(BI3&gt;=YEAR(BH9)+Inter_net,BI3&gt;Amaj),DATE(BI3,4,30),BD10),IF(YEAR(BJ5)=BI3,BJ5,"err."))</f>
        <v>#NAME?</v>
      </c>
      <c r="BK10" s="585" t="e">
        <f>IF(BI3=YEAR(BJ10),IF(BK5="D",BH10,BK5),BE13)</f>
        <v>#NAME?</v>
      </c>
      <c r="BL10" s="586">
        <f>IF(BL5="D",BF10,BL5)</f>
        <v>0.17333333333333334</v>
      </c>
      <c r="BM10" s="587">
        <f>IF(BM5="D",BG10,BM5)</f>
        <v>1.4333333333333333</v>
      </c>
      <c r="BN10" s="1194">
        <f>IF(BK5="I",BH10,IF(BK5="D",BH10,BK5))</f>
        <v>2.5000000000000001E-2</v>
      </c>
      <c r="BO10" s="449" t="s">
        <v>93</v>
      </c>
      <c r="BP10" s="579" t="e">
        <f>IF(BP5="D",IF(AND(BO3&gt;=YEAR(BN9)+Inter_net,BO3&gt;Amaj),DATE(BO3,4,30),BJ10),IF(YEAR(BP5)=BO3,BP5,"err."))</f>
        <v>#NAME?</v>
      </c>
      <c r="BQ10" s="585" t="e">
        <f>IF(BO3=YEAR(BP10),IF(BQ5="D",BN10,BQ5),BK13)</f>
        <v>#NAME?</v>
      </c>
      <c r="BR10" s="586">
        <f>IF(BR5="D",BL10,BR5)</f>
        <v>0.17333333333333334</v>
      </c>
      <c r="BS10" s="587">
        <f>IF(BS5="D",BM10,BS5)</f>
        <v>1.4333333333333333</v>
      </c>
      <c r="BT10" s="1194">
        <f>IF(BQ5="I",BN10,IF(BQ5="D",BN10,BQ5))</f>
        <v>2.5000000000000001E-2</v>
      </c>
      <c r="BU10" s="449" t="s">
        <v>93</v>
      </c>
      <c r="BV10" s="579" t="e">
        <f>IF(BV5="D",IF(AND(BU3&gt;=YEAR(BT9)+Inter_net,BU3&gt;Amaj),DATE(BU3,4,30),BP10),IF(YEAR(BV5)=BU3,BV5,"err."))</f>
        <v>#NAME?</v>
      </c>
      <c r="BW10" s="585" t="e">
        <f>IF(BU3=YEAR(BV10),IF(BW5="D",BT10,BW5),BQ13)</f>
        <v>#NAME?</v>
      </c>
      <c r="BX10" s="586">
        <f>IF(BX5="D",BR10,BX5)</f>
        <v>0.17333333333333334</v>
      </c>
      <c r="BY10" s="587">
        <f>IF(BY5="D",BS10,BY5)</f>
        <v>1.4333333333333333</v>
      </c>
      <c r="BZ10" s="1194">
        <f>IF(BW5="I",BT10,IF(BW5="D",BT10,BW5))</f>
        <v>2.5000000000000001E-2</v>
      </c>
    </row>
    <row r="11" spans="1:78" s="450" customFormat="1" ht="15" customHeight="1" x14ac:dyDescent="0.25">
      <c r="A11" s="448" t="s">
        <v>18</v>
      </c>
      <c r="B11" s="580">
        <f>IF(B6="D",DATE(A3,1,1),IF(YEAR(B6)=A3,B6, "err."))</f>
        <v>43101</v>
      </c>
      <c r="C11" s="588">
        <f>IF(C6="D",D_i,C6)</f>
        <v>1</v>
      </c>
      <c r="D11" s="1242">
        <f>IF(D6="D",IF(B11&gt;DATE(A3,1,1),H_i,H_i+PousHi),D6)</f>
        <v>-2.1002240119956488</v>
      </c>
      <c r="E11" s="1242"/>
      <c r="F11" s="190"/>
      <c r="G11" s="449" t="s">
        <v>94</v>
      </c>
      <c r="H11" s="580">
        <f>IF(H6="D",IF(AND(G3&gt;=YEAR(B11)+Inter_tai,G3&gt;Amaj),DATE(G3,3,31),B11),IF(YEAR(H6)=G3,H6,"err."))</f>
        <v>43101</v>
      </c>
      <c r="I11" s="588">
        <f>IF(I6="D",IF(G3=YEAR(H11),D_i,C11),I6)</f>
        <v>1</v>
      </c>
      <c r="J11" s="1242">
        <f>IF(J6="D",IF(G3=YEAR(H11),H_i,D16+E16),J6)</f>
        <v>-1.4002241205487671</v>
      </c>
      <c r="K11" s="1242"/>
      <c r="L11" s="190"/>
      <c r="M11" s="449" t="s">
        <v>94</v>
      </c>
      <c r="N11" s="580">
        <f>IF(N6="D",IF(AND(M3&gt;=YEAR(H11)+Inter_tai,M3&gt;Amaj),DATE(M3,3,31),H11),IF(YEAR(N6)=M3,N6,"err."))</f>
        <v>43101</v>
      </c>
      <c r="O11" s="588">
        <f>IF(O6="D",IF(M3=YEAR(N11),D_i,I11),O6)</f>
        <v>1</v>
      </c>
      <c r="P11" s="1242">
        <f>IF(P6="D",IF(M3=YEAR(N11),H_i,J16+K16),P6)</f>
        <v>-0.70022422910188542</v>
      </c>
      <c r="Q11" s="1242"/>
      <c r="R11" s="190"/>
      <c r="S11" s="449" t="s">
        <v>94</v>
      </c>
      <c r="T11" s="580">
        <f>IF(T6="D",IF(AND(S3&gt;=YEAR(N11)+Inter_tai,S3&gt;Amaj),DATE(S3,3,31),N11),IF(YEAR(T6)=S3,T6,"err."))</f>
        <v>43101</v>
      </c>
      <c r="U11" s="588">
        <f>IF(U6="D",IF(S3=YEAR(T11),D_i,O11),U6)</f>
        <v>1</v>
      </c>
      <c r="V11" s="1242">
        <f>IF(V6="D",IF(S3=YEAR(T11),H_i,P16+Q16),V6)</f>
        <v>-2.2433765500362579E-4</v>
      </c>
      <c r="W11" s="1242"/>
      <c r="X11" s="190"/>
      <c r="Y11" s="449" t="s">
        <v>94</v>
      </c>
      <c r="Z11" s="580">
        <f>IF(Z6="D",IF(AND(Y3&gt;=YEAR(T11)+Inter_tai,Y3&gt;Amaj),DATE(Y3,3,31),T11),IF(YEAR(Z6)=Y3,Z6,"err."))</f>
        <v>43101</v>
      </c>
      <c r="AA11" s="588">
        <f>IF(AA6="D",IF(Y3=YEAR(Z11),D_i,U11),AA6)</f>
        <v>1</v>
      </c>
      <c r="AB11" s="1242">
        <f>IF(AB6="D",IF(Y3=YEAR(Z11),H_i,V16+W16),AB6)</f>
        <v>0.69977555379187817</v>
      </c>
      <c r="AC11" s="1242"/>
      <c r="AD11" s="190"/>
      <c r="AE11" s="449" t="s">
        <v>94</v>
      </c>
      <c r="AF11" s="580">
        <f>IF(AF6="D",IF(AND(AE3&gt;=YEAR(Z11)+Inter_tai,AE3&gt;Amaj),DATE(AE3,3,31),Z11),IF(YEAR(AF6)=AE3,AF6,"err."))</f>
        <v>43101</v>
      </c>
      <c r="AG11" s="588">
        <f>IF(AG6="D",IF(AE3=YEAR(AF11),D_i,AA11),AG6)</f>
        <v>1</v>
      </c>
      <c r="AH11" s="1242">
        <f>IF(AH6="D",IF(AE3=YEAR(AF11),H_i,AB16+AC16),AH6)</f>
        <v>1.3997754452387601</v>
      </c>
      <c r="AI11" s="1242"/>
      <c r="AJ11" s="190"/>
      <c r="AK11" s="449" t="s">
        <v>94</v>
      </c>
      <c r="AL11" s="580">
        <f>IF(AL6="D",IF(AND(AK3&gt;=YEAR(AF11)+Inter_tai,AK3&gt;Amaj),DATE(AK3,3,31),AF11),IF(YEAR(AL6)=AK3,AL6,"err."))</f>
        <v>43101</v>
      </c>
      <c r="AM11" s="588">
        <f>IF(AM6="D",IF(AK3=YEAR(AL11),D_i,AG11),AM6)</f>
        <v>1</v>
      </c>
      <c r="AN11" s="1242">
        <f>IF(AN6="D",IF(AK3=YEAR(AL11),H_i,AH16+PousHi),AN6)</f>
        <v>2.0997753366856413</v>
      </c>
      <c r="AO11" s="1242"/>
      <c r="AP11" s="190"/>
      <c r="AQ11" s="449" t="s">
        <v>94</v>
      </c>
      <c r="AR11" s="580">
        <f>IF(AR6="D",IF(AND(AQ3&gt;=YEAR(AL11)+Inter_tai,AQ3&gt;Amaj),DATE(AQ3,3,31),AL11),IF(YEAR(AR6)=AQ3,AR6,"err."))</f>
        <v>45747</v>
      </c>
      <c r="AS11" s="588">
        <f>IF(AS6="D",IF(AQ3=YEAR(AR11),D_i,AM11),AS6)</f>
        <v>1</v>
      </c>
      <c r="AT11" s="1242">
        <f>IF(AT6="D",IF(AQ3=YEAR(AR11),H_i,AN16+PousHi),AT6)</f>
        <v>-2.800224011995649</v>
      </c>
      <c r="AU11" s="1242"/>
      <c r="AV11" s="190"/>
      <c r="AW11" s="449" t="s">
        <v>94</v>
      </c>
      <c r="AX11" s="580">
        <f>IF(AX6="D",IF(AND(AW3&gt;=YEAR(AR11)+Inter_tai,AW3&gt;Amaj),DATE(AW3,3,31),AR11),IF(YEAR(AX6)=AW3,AX6,"err."))</f>
        <v>45747</v>
      </c>
      <c r="AY11" s="588">
        <f>IF(AY6="D",IF(AW3=YEAR(AX11),D_i,AS11),AY6)</f>
        <v>1</v>
      </c>
      <c r="AZ11" s="1242">
        <f>IF(AZ6="D",IF(AW3=YEAR(AX11),H_i,AT16+PousHi),AZ6)</f>
        <v>-1.435207473344166</v>
      </c>
      <c r="BA11" s="1242"/>
      <c r="BB11" s="190"/>
      <c r="BC11" s="449" t="s">
        <v>94</v>
      </c>
      <c r="BD11" s="580">
        <f>IF(BD6="D",IF(AND(BC3&gt;=YEAR(AX11)+Inter_tai,BC3&gt;Amaj),DATE(BC3,3,31),AX11),IF(YEAR(BD6)=BC3,BD6,"err."))</f>
        <v>45747</v>
      </c>
      <c r="BE11" s="588">
        <f>IF(BE6="D",IF(BC3=YEAR(BD11),D_i,AY11),BE6)</f>
        <v>1</v>
      </c>
      <c r="BF11" s="1242">
        <f>IF(BF6="D",IF(BC3=YEAR(BD11),H_i,AZ16+PousHi),BF6)</f>
        <v>-0.7352075818972843</v>
      </c>
      <c r="BG11" s="1242"/>
      <c r="BH11" s="190"/>
      <c r="BI11" s="449" t="s">
        <v>94</v>
      </c>
      <c r="BJ11" s="580" t="e">
        <f>IF(BJ6="D",IF(AND(BI3&gt;=YEAR(BD11)+Inter_tai,BI3&gt;Amaj),DATE(BI3,3,31),BD11),IF(YEAR(BJ6)=BI3,BJ6,"err."))</f>
        <v>#NAME?</v>
      </c>
      <c r="BK11" s="588" t="e">
        <f>IF(BK6="D",IF(BI3=YEAR(BJ11),D_i,BE11),BK6)</f>
        <v>#NAME?</v>
      </c>
      <c r="BL11" s="1242" t="e">
        <f>IF(BL6="D",IF(BI3=YEAR(BJ11),H_i,BF16+PousHi),BL6)</f>
        <v>#NAME?</v>
      </c>
      <c r="BM11" s="1242"/>
      <c r="BN11" s="190"/>
      <c r="BO11" s="449" t="s">
        <v>94</v>
      </c>
      <c r="BP11" s="580" t="e">
        <f>IF(BP6="D",IF(AND(BO3&gt;=YEAR(BJ11)+Inter_tai,BO3&gt;Amaj),DATE(BO3,3,31),BJ11),IF(YEAR(BP6)=BO3,BP6,"err."))</f>
        <v>#NAME?</v>
      </c>
      <c r="BQ11" s="588" t="e">
        <f>IF(BQ6="D",IF(BO3=YEAR(BP11),D_i,BK11),BQ6)</f>
        <v>#NAME?</v>
      </c>
      <c r="BR11" s="1242" t="e">
        <f>IF(BR6="D",IF(BO3=YEAR(BP11),H_i,BL16+PousHi),BR6)</f>
        <v>#NAME?</v>
      </c>
      <c r="BS11" s="1242"/>
      <c r="BT11" s="190"/>
      <c r="BU11" s="449" t="s">
        <v>94</v>
      </c>
      <c r="BV11" s="580" t="e">
        <f>IF(BV6="D",IF(AND(BU3&gt;=YEAR(BP11)+Inter_tai,BU3&gt;Amaj),DATE(BU3,3,31),BP11),IF(YEAR(BV6)=BU3,BV6,"err."))</f>
        <v>#NAME?</v>
      </c>
      <c r="BW11" s="588" t="e">
        <f>IF(BW6="D",IF(BU3=YEAR(BV11),D_i,BQ11),BW6)</f>
        <v>#NAME?</v>
      </c>
      <c r="BX11" s="1242" t="e">
        <f>IF(BX6="D",IF(BU3=YEAR(BV11),H_i,BR16+PousHi),BX6)</f>
        <v>#NAME?</v>
      </c>
      <c r="BY11" s="1242"/>
      <c r="BZ11" s="190"/>
    </row>
    <row r="12" spans="1:78" x14ac:dyDescent="0.25">
      <c r="A12" s="8" t="s">
        <v>164</v>
      </c>
      <c r="B12" s="445"/>
      <c r="C12" s="455"/>
      <c r="D12" s="405"/>
      <c r="E12" s="456"/>
      <c r="H12" s="445"/>
      <c r="L12" s="466"/>
      <c r="M12" s="456"/>
      <c r="AL12" s="456"/>
      <c r="AM12" s="455"/>
      <c r="AN12" s="405"/>
      <c r="AO12" s="456"/>
    </row>
    <row r="13" spans="1:78" s="411" customFormat="1" ht="15" customHeight="1" x14ac:dyDescent="0.25">
      <c r="A13" s="460" t="s">
        <v>16</v>
      </c>
      <c r="B13" s="589">
        <f>+'2018'!Tnet</f>
        <v>43313</v>
      </c>
      <c r="C13" s="590">
        <f>+'2018'!Resal</f>
        <v>0</v>
      </c>
      <c r="D13" s="591">
        <f>+'2018'!Salim</f>
        <v>0.21</v>
      </c>
      <c r="E13" s="592">
        <f>+'2018'!Tau_j/365</f>
        <v>2.5</v>
      </c>
      <c r="F13" s="465"/>
      <c r="G13" s="467" t="s">
        <v>93</v>
      </c>
      <c r="H13" s="589">
        <f>+'2019'!Tnet</f>
        <v>43313</v>
      </c>
      <c r="I13" s="590">
        <f>+'2019'!Resal</f>
        <v>0</v>
      </c>
      <c r="J13" s="591">
        <f>+'2019'!Salim</f>
        <v>0.21</v>
      </c>
      <c r="K13" s="592">
        <f>+'2019'!Tau_j/365</f>
        <v>2.5</v>
      </c>
      <c r="L13" s="468"/>
      <c r="M13" s="449" t="s">
        <v>93</v>
      </c>
      <c r="N13" s="589">
        <f>+'2020'!Tnet</f>
        <v>43831</v>
      </c>
      <c r="O13" s="590">
        <f>+'2020'!Resal</f>
        <v>9.0962770414730373E-2</v>
      </c>
      <c r="P13" s="591">
        <f>+'2020'!Salim</f>
        <v>0.14000000000000001</v>
      </c>
      <c r="Q13" s="592">
        <f>+'2020'!Tau_j/365</f>
        <v>1</v>
      </c>
      <c r="R13" s="468"/>
      <c r="S13" s="449" t="s">
        <v>93</v>
      </c>
      <c r="T13" s="589">
        <f>+'2021'!Tnet</f>
        <v>44306</v>
      </c>
      <c r="U13" s="590">
        <f>+'2021'!Resal</f>
        <v>2.5000000000000001E-2</v>
      </c>
      <c r="V13" s="591">
        <f>+'2021'!Salim</f>
        <v>0.16</v>
      </c>
      <c r="W13" s="592">
        <f>+'2021'!Tau_j/365</f>
        <v>0.8</v>
      </c>
      <c r="X13" s="468"/>
      <c r="Y13" s="449" t="s">
        <v>93</v>
      </c>
      <c r="Z13" s="589">
        <f>+'2022'!Tnet</f>
        <v>44854</v>
      </c>
      <c r="AA13" s="590">
        <f>+'2022'!Resal</f>
        <v>2.5000000000000001E-2</v>
      </c>
      <c r="AB13" s="591">
        <f>+'2022'!Salim</f>
        <v>0.22</v>
      </c>
      <c r="AC13" s="592">
        <f>+'2022'!Tau_j/365</f>
        <v>2.5</v>
      </c>
      <c r="AD13" s="468"/>
      <c r="AE13" s="449" t="s">
        <v>93</v>
      </c>
      <c r="AF13" s="589">
        <f>+'2023'!Tnet</f>
        <v>45046</v>
      </c>
      <c r="AG13" s="590">
        <f>+'2023'!Resal</f>
        <v>2.5000000000000001E-2</v>
      </c>
      <c r="AH13" s="591">
        <f>+'2023'!Salim</f>
        <v>0.17333333333333334</v>
      </c>
      <c r="AI13" s="592">
        <f>+'2023'!Tau_j/365</f>
        <v>1.4333333333333331</v>
      </c>
      <c r="AJ13" s="468"/>
      <c r="AK13" s="449" t="s">
        <v>93</v>
      </c>
      <c r="AL13" s="589">
        <f>+'2024'!Tnet</f>
        <v>45412</v>
      </c>
      <c r="AM13" s="590">
        <f>+'2024'!Resal</f>
        <v>2.5000000000000001E-2</v>
      </c>
      <c r="AN13" s="591">
        <f>+'2024'!Salim</f>
        <v>0.17333333333333334</v>
      </c>
      <c r="AO13" s="592">
        <f>+'2024'!Tau_j/365</f>
        <v>1.4333333333333331</v>
      </c>
      <c r="AP13" s="465"/>
      <c r="AQ13" s="449" t="s">
        <v>93</v>
      </c>
      <c r="AR13" s="589">
        <f>+'2025'!Tnet</f>
        <v>45777</v>
      </c>
      <c r="AS13" s="590">
        <f>+'2025'!Resal</f>
        <v>2.5000000000000001E-2</v>
      </c>
      <c r="AT13" s="591">
        <f>+'2025'!Salim</f>
        <v>0.17333333333333334</v>
      </c>
      <c r="AU13" s="592">
        <f>+'2025'!Tau_j/365</f>
        <v>1.4333333333333331</v>
      </c>
      <c r="AV13" s="465"/>
      <c r="AW13" s="449" t="s">
        <v>93</v>
      </c>
      <c r="AX13" s="589">
        <f>+'2026'!Tnet</f>
        <v>46142</v>
      </c>
      <c r="AY13" s="590">
        <f>+'2026'!Resal</f>
        <v>2.5000000000000001E-2</v>
      </c>
      <c r="AZ13" s="591">
        <f>+'2026'!Salim</f>
        <v>0.17333333333333334</v>
      </c>
      <c r="BA13" s="592">
        <f>+'2026'!Tau_j/365</f>
        <v>1.4333333333333331</v>
      </c>
      <c r="BB13" s="465"/>
      <c r="BC13" s="449" t="s">
        <v>93</v>
      </c>
      <c r="BD13" s="589">
        <f>+'2027'!Tnet</f>
        <v>46507</v>
      </c>
      <c r="BE13" s="590">
        <f>+'2027'!Resal</f>
        <v>2.5000000000000001E-2</v>
      </c>
      <c r="BF13" s="591">
        <f>+'2027'!Salim</f>
        <v>0.17333333333333334</v>
      </c>
      <c r="BG13" s="592">
        <f>+'2027'!Tau_j/365</f>
        <v>1.4333333333333331</v>
      </c>
      <c r="BH13" s="465"/>
      <c r="BI13" s="449" t="s">
        <v>93</v>
      </c>
      <c r="BJ13" s="589">
        <f>+'2018'!Tnet</f>
        <v>43313</v>
      </c>
      <c r="BK13" s="590">
        <f>+'2018'!Resal</f>
        <v>0</v>
      </c>
      <c r="BL13" s="591">
        <f>+'2018'!Salim</f>
        <v>0.21</v>
      </c>
      <c r="BM13" s="592">
        <f>+'2018'!Tau_j/365</f>
        <v>2.5</v>
      </c>
      <c r="BN13" s="465"/>
      <c r="BO13" s="449" t="s">
        <v>93</v>
      </c>
      <c r="BP13" s="589">
        <f>+'2018'!Tnet</f>
        <v>43313</v>
      </c>
      <c r="BQ13" s="590">
        <f>+'2018'!Resal</f>
        <v>0</v>
      </c>
      <c r="BR13" s="591">
        <f>+'2018'!Salim</f>
        <v>0.21</v>
      </c>
      <c r="BS13" s="592">
        <f>+'2018'!Tau_j/365</f>
        <v>2.5</v>
      </c>
      <c r="BT13" s="465"/>
      <c r="BU13" s="449" t="s">
        <v>93</v>
      </c>
      <c r="BV13" s="589">
        <f>+'2018'!Tnet</f>
        <v>43313</v>
      </c>
      <c r="BW13" s="590">
        <f>+'2018'!Resal</f>
        <v>0</v>
      </c>
      <c r="BX13" s="591">
        <f>+'2018'!Salim</f>
        <v>0.21</v>
      </c>
      <c r="BY13" s="592">
        <f>+'2018'!Tau_j/365</f>
        <v>2.5</v>
      </c>
      <c r="BZ13" s="465"/>
    </row>
    <row r="14" spans="1:78" s="459" customFormat="1" ht="12.75" customHeight="1" x14ac:dyDescent="0.25">
      <c r="A14" s="477"/>
      <c r="B14" s="478" t="s">
        <v>2</v>
      </c>
      <c r="C14" s="478" t="s">
        <v>129</v>
      </c>
      <c r="D14" s="478" t="s">
        <v>130</v>
      </c>
      <c r="E14" s="478" t="s">
        <v>131</v>
      </c>
      <c r="F14" s="479"/>
      <c r="G14" s="480"/>
      <c r="H14" s="481" t="s">
        <v>2</v>
      </c>
      <c r="I14" s="481" t="s">
        <v>129</v>
      </c>
      <c r="J14" s="481" t="s">
        <v>130</v>
      </c>
      <c r="K14" s="481" t="s">
        <v>131</v>
      </c>
      <c r="L14" s="482"/>
      <c r="M14" s="483"/>
      <c r="N14" s="481" t="s">
        <v>2</v>
      </c>
      <c r="O14" s="481" t="s">
        <v>129</v>
      </c>
      <c r="P14" s="481" t="s">
        <v>130</v>
      </c>
      <c r="Q14" s="481" t="s">
        <v>131</v>
      </c>
      <c r="R14" s="479"/>
      <c r="S14" s="480"/>
      <c r="T14" s="481" t="s">
        <v>2</v>
      </c>
      <c r="U14" s="481" t="s">
        <v>129</v>
      </c>
      <c r="V14" s="481" t="s">
        <v>130</v>
      </c>
      <c r="W14" s="481" t="s">
        <v>131</v>
      </c>
      <c r="X14" s="479"/>
      <c r="Y14" s="480"/>
      <c r="Z14" s="481" t="s">
        <v>2</v>
      </c>
      <c r="AA14" s="481" t="s">
        <v>129</v>
      </c>
      <c r="AB14" s="481" t="s">
        <v>130</v>
      </c>
      <c r="AC14" s="481" t="s">
        <v>131</v>
      </c>
      <c r="AD14" s="479"/>
      <c r="AE14" s="480"/>
      <c r="AF14" s="481" t="s">
        <v>2</v>
      </c>
      <c r="AG14" s="481" t="s">
        <v>129</v>
      </c>
      <c r="AH14" s="481" t="s">
        <v>130</v>
      </c>
      <c r="AI14" s="481" t="s">
        <v>131</v>
      </c>
      <c r="AJ14" s="479"/>
      <c r="AK14" s="480"/>
      <c r="AL14" s="481" t="s">
        <v>2</v>
      </c>
      <c r="AM14" s="481" t="s">
        <v>129</v>
      </c>
      <c r="AN14" s="481" t="s">
        <v>130</v>
      </c>
      <c r="AO14" s="481" t="s">
        <v>131</v>
      </c>
      <c r="AP14" s="479"/>
      <c r="AQ14" s="480"/>
      <c r="AR14" s="481" t="s">
        <v>2</v>
      </c>
      <c r="AS14" s="481" t="s">
        <v>129</v>
      </c>
      <c r="AT14" s="481" t="s">
        <v>130</v>
      </c>
      <c r="AU14" s="481" t="s">
        <v>131</v>
      </c>
      <c r="AV14" s="479"/>
      <c r="AW14" s="480"/>
      <c r="AX14" s="481" t="s">
        <v>2</v>
      </c>
      <c r="AY14" s="481" t="s">
        <v>129</v>
      </c>
      <c r="AZ14" s="481" t="s">
        <v>130</v>
      </c>
      <c r="BA14" s="481" t="s">
        <v>131</v>
      </c>
      <c r="BB14" s="479"/>
      <c r="BC14" s="480"/>
      <c r="BD14" s="481" t="s">
        <v>2</v>
      </c>
      <c r="BE14" s="481" t="s">
        <v>129</v>
      </c>
      <c r="BF14" s="481" t="s">
        <v>130</v>
      </c>
      <c r="BG14" s="481" t="s">
        <v>131</v>
      </c>
      <c r="BH14" s="479"/>
      <c r="BI14" s="480"/>
      <c r="BJ14" s="481" t="s">
        <v>2</v>
      </c>
      <c r="BK14" s="481" t="s">
        <v>129</v>
      </c>
      <c r="BL14" s="481" t="s">
        <v>130</v>
      </c>
      <c r="BM14" s="481" t="s">
        <v>131</v>
      </c>
      <c r="BN14" s="479"/>
      <c r="BO14" s="480"/>
      <c r="BP14" s="481" t="s">
        <v>2</v>
      </c>
      <c r="BQ14" s="481" t="s">
        <v>129</v>
      </c>
      <c r="BR14" s="481" t="s">
        <v>130</v>
      </c>
      <c r="BS14" s="481" t="s">
        <v>131</v>
      </c>
      <c r="BT14" s="479"/>
      <c r="BU14" s="480"/>
      <c r="BV14" s="481" t="s">
        <v>2</v>
      </c>
      <c r="BW14" s="481" t="s">
        <v>129</v>
      </c>
      <c r="BX14" s="481" t="s">
        <v>130</v>
      </c>
      <c r="BY14" s="481" t="s">
        <v>131</v>
      </c>
      <c r="BZ14" s="479"/>
    </row>
    <row r="15" spans="1:78" s="462" customFormat="1" ht="15" customHeight="1" x14ac:dyDescent="0.25">
      <c r="A15" s="484" t="s">
        <v>125</v>
      </c>
      <c r="B15" s="593">
        <f>B11</f>
        <v>43101</v>
      </c>
      <c r="C15" s="594">
        <f>'2018'!Dd</f>
        <v>1</v>
      </c>
      <c r="D15" s="594">
        <f>'2018'!Df</f>
        <v>1</v>
      </c>
      <c r="E15" s="594">
        <f>'2018'!PousD</f>
        <v>0</v>
      </c>
      <c r="F15" s="469"/>
      <c r="G15" s="485" t="s">
        <v>128</v>
      </c>
      <c r="H15" s="593">
        <f>H11</f>
        <v>43101</v>
      </c>
      <c r="I15" s="594">
        <f>'2019'!Dd</f>
        <v>1</v>
      </c>
      <c r="J15" s="594">
        <f>'2019'!Df</f>
        <v>1</v>
      </c>
      <c r="K15" s="594">
        <f>'2019'!PousD</f>
        <v>0</v>
      </c>
      <c r="L15" s="469"/>
      <c r="M15" s="485" t="s">
        <v>128</v>
      </c>
      <c r="N15" s="593">
        <f>N11</f>
        <v>43101</v>
      </c>
      <c r="O15" s="594">
        <f>'2020'!Dd</f>
        <v>1</v>
      </c>
      <c r="P15" s="594">
        <f>'2020'!Df</f>
        <v>1</v>
      </c>
      <c r="Q15" s="594">
        <f>'2020'!PousD</f>
        <v>0</v>
      </c>
      <c r="R15" s="469"/>
      <c r="S15" s="486" t="s">
        <v>128</v>
      </c>
      <c r="T15" s="593">
        <f>T11</f>
        <v>43101</v>
      </c>
      <c r="U15" s="594">
        <f>'2021'!Dd</f>
        <v>1</v>
      </c>
      <c r="V15" s="594">
        <f>'2021'!Df</f>
        <v>1</v>
      </c>
      <c r="W15" s="594">
        <f>'2021'!PousD</f>
        <v>0</v>
      </c>
      <c r="X15" s="469"/>
      <c r="Y15" s="486" t="s">
        <v>128</v>
      </c>
      <c r="Z15" s="593">
        <f>Z11</f>
        <v>43101</v>
      </c>
      <c r="AA15" s="594">
        <f>'2022'!Dd</f>
        <v>1</v>
      </c>
      <c r="AB15" s="594">
        <f>'2022'!Df</f>
        <v>1</v>
      </c>
      <c r="AC15" s="594">
        <f>'2022'!PousD</f>
        <v>0</v>
      </c>
      <c r="AD15" s="469"/>
      <c r="AE15" s="486" t="s">
        <v>128</v>
      </c>
      <c r="AF15" s="593">
        <f>AF11</f>
        <v>43101</v>
      </c>
      <c r="AG15" s="594">
        <f>'2023'!Dd</f>
        <v>1</v>
      </c>
      <c r="AH15" s="594">
        <f>'2023'!Df</f>
        <v>1</v>
      </c>
      <c r="AI15" s="594">
        <f>'2023'!PousD</f>
        <v>0</v>
      </c>
      <c r="AJ15" s="469"/>
      <c r="AK15" s="486" t="s">
        <v>128</v>
      </c>
      <c r="AL15" s="593">
        <f>AL11</f>
        <v>43101</v>
      </c>
      <c r="AM15" s="594">
        <f>'2024'!Dd</f>
        <v>1</v>
      </c>
      <c r="AN15" s="594">
        <f>'2024'!Df</f>
        <v>1</v>
      </c>
      <c r="AO15" s="594">
        <f>'2024'!PousD</f>
        <v>0</v>
      </c>
      <c r="AP15" s="469"/>
      <c r="AQ15" s="486" t="s">
        <v>128</v>
      </c>
      <c r="AR15" s="593">
        <f>AR11</f>
        <v>45747</v>
      </c>
      <c r="AS15" s="594">
        <f>'2025'!Dd</f>
        <v>1</v>
      </c>
      <c r="AT15" s="594">
        <f>'2025'!Df</f>
        <v>1</v>
      </c>
      <c r="AU15" s="594">
        <f>'2025'!PousD</f>
        <v>0</v>
      </c>
      <c r="AV15" s="469"/>
      <c r="AW15" s="486" t="s">
        <v>128</v>
      </c>
      <c r="AX15" s="593">
        <f>AX11</f>
        <v>45747</v>
      </c>
      <c r="AY15" s="594">
        <f>'2026'!Dd</f>
        <v>1</v>
      </c>
      <c r="AZ15" s="594">
        <f>'2026'!Df</f>
        <v>1</v>
      </c>
      <c r="BA15" s="594">
        <f>'2026'!PousD</f>
        <v>0</v>
      </c>
      <c r="BB15" s="469"/>
      <c r="BC15" s="486" t="s">
        <v>128</v>
      </c>
      <c r="BD15" s="593">
        <f>BD11</f>
        <v>45747</v>
      </c>
      <c r="BE15" s="594">
        <f>'2027'!Dd</f>
        <v>1</v>
      </c>
      <c r="BF15" s="594">
        <f>'2027'!Df</f>
        <v>1</v>
      </c>
      <c r="BG15" s="594">
        <f>'2027'!PousD</f>
        <v>0</v>
      </c>
      <c r="BH15" s="469"/>
      <c r="BI15" s="486" t="s">
        <v>128</v>
      </c>
      <c r="BJ15" s="593" t="e">
        <f>BJ11</f>
        <v>#NAME?</v>
      </c>
      <c r="BK15" s="594">
        <f>'2018'!Dd</f>
        <v>1</v>
      </c>
      <c r="BL15" s="594">
        <f>'2018'!Df</f>
        <v>1</v>
      </c>
      <c r="BM15" s="594">
        <f>'2018'!PousD</f>
        <v>0</v>
      </c>
      <c r="BN15" s="469"/>
      <c r="BO15" s="486" t="s">
        <v>128</v>
      </c>
      <c r="BP15" s="593" t="e">
        <f>BP11</f>
        <v>#NAME?</v>
      </c>
      <c r="BQ15" s="594">
        <f>'2018'!Dd</f>
        <v>1</v>
      </c>
      <c r="BR15" s="594">
        <f>'2018'!Df</f>
        <v>1</v>
      </c>
      <c r="BS15" s="594">
        <f>'2018'!PousD</f>
        <v>0</v>
      </c>
      <c r="BT15" s="469"/>
      <c r="BU15" s="486" t="s">
        <v>128</v>
      </c>
      <c r="BV15" s="593" t="e">
        <f>BV11</f>
        <v>#NAME?</v>
      </c>
      <c r="BW15" s="594">
        <f>'2018'!Dd</f>
        <v>1</v>
      </c>
      <c r="BX15" s="594">
        <f>'2018'!Df</f>
        <v>1</v>
      </c>
      <c r="BY15" s="594">
        <f>'2018'!PousD</f>
        <v>0</v>
      </c>
      <c r="BZ15" s="469"/>
    </row>
    <row r="16" spans="1:78" s="462" customFormat="1" ht="15" customHeight="1" x14ac:dyDescent="0.25">
      <c r="A16" s="474" t="s">
        <v>126</v>
      </c>
      <c r="B16" s="595"/>
      <c r="C16" s="596">
        <f>'2018'!Hdd</f>
        <v>-2.800224011995649</v>
      </c>
      <c r="D16" s="596">
        <f>'2018'!Hdf</f>
        <v>-2.1002241205487673</v>
      </c>
      <c r="E16" s="596">
        <f>'2018'!PousH</f>
        <v>0.70000000000000018</v>
      </c>
      <c r="F16" s="461"/>
      <c r="G16" s="475" t="s">
        <v>127</v>
      </c>
      <c r="H16" s="595"/>
      <c r="I16" s="596">
        <f>'2019'!Hdd</f>
        <v>-2.1002241205487673</v>
      </c>
      <c r="J16" s="596">
        <f>'2019'!Hdf</f>
        <v>-1.4002242291018856</v>
      </c>
      <c r="K16" s="596">
        <f>'2019'!PousH</f>
        <v>0.70000000000000018</v>
      </c>
      <c r="L16" s="461"/>
      <c r="M16" s="475" t="s">
        <v>127</v>
      </c>
      <c r="N16" s="595"/>
      <c r="O16" s="596">
        <f>'2020'!Hdd</f>
        <v>-1.4002242291018856</v>
      </c>
      <c r="P16" s="596">
        <f>'2020'!Hdf</f>
        <v>-0.7002243376550038</v>
      </c>
      <c r="Q16" s="596">
        <f>'2020'!PousH</f>
        <v>0.70000000000000018</v>
      </c>
      <c r="R16" s="461"/>
      <c r="S16" s="476" t="s">
        <v>127</v>
      </c>
      <c r="T16" s="595"/>
      <c r="U16" s="596">
        <f>'2021'!Hdd</f>
        <v>-0.7002243376550038</v>
      </c>
      <c r="V16" s="596">
        <f>'2021'!Hdf</f>
        <v>-2.2444620812200888E-4</v>
      </c>
      <c r="W16" s="596">
        <f>'2021'!PousH</f>
        <v>0.70000000000000018</v>
      </c>
      <c r="X16" s="461"/>
      <c r="Y16" s="476" t="s">
        <v>127</v>
      </c>
      <c r="Z16" s="595"/>
      <c r="AA16" s="596">
        <f>'2022'!Hdd</f>
        <v>-2.2444620812200888E-4</v>
      </c>
      <c r="AB16" s="596">
        <f>'2022'!Hdf</f>
        <v>0.69977544523875979</v>
      </c>
      <c r="AC16" s="596">
        <f>'2022'!PousH</f>
        <v>0.70000000000000018</v>
      </c>
      <c r="AD16" s="461"/>
      <c r="AE16" s="476" t="s">
        <v>127</v>
      </c>
      <c r="AF16" s="595"/>
      <c r="AG16" s="596">
        <f>'2023'!Hdd</f>
        <v>0.69977544523875979</v>
      </c>
      <c r="AH16" s="596">
        <f>'2023'!Hdf</f>
        <v>1.3997753366856416</v>
      </c>
      <c r="AI16" s="596">
        <f>'2023'!PousH</f>
        <v>0.70000000000000029</v>
      </c>
      <c r="AJ16" s="461"/>
      <c r="AK16" s="476" t="s">
        <v>127</v>
      </c>
      <c r="AL16" s="595"/>
      <c r="AM16" s="596">
        <f>'2024'!Hdd</f>
        <v>1.3997753366856416</v>
      </c>
      <c r="AN16" s="596">
        <f>'2024'!Hdf</f>
        <v>2.0997752281325228</v>
      </c>
      <c r="AO16" s="596">
        <f>'2024'!PousH</f>
        <v>0.69999999999999973</v>
      </c>
      <c r="AP16" s="461"/>
      <c r="AQ16" s="476" t="s">
        <v>127</v>
      </c>
      <c r="AR16" s="595"/>
      <c r="AS16" s="596">
        <f>'2025'!Hdd</f>
        <v>2.0997752281325228</v>
      </c>
      <c r="AT16" s="596">
        <f>'2025'!Hdf</f>
        <v>-2.1352074733441659</v>
      </c>
      <c r="AU16" s="596">
        <f>'2025'!PousH</f>
        <v>0.69999999999999973</v>
      </c>
      <c r="AV16" s="461"/>
      <c r="AW16" s="476" t="s">
        <v>127</v>
      </c>
      <c r="AX16" s="595"/>
      <c r="AY16" s="596">
        <f>'2026'!Hdd</f>
        <v>-2.1352074733441659</v>
      </c>
      <c r="AZ16" s="596">
        <f>'2026'!Hdf</f>
        <v>-1.4352075818972843</v>
      </c>
      <c r="BA16" s="596">
        <f>'2026'!PousH</f>
        <v>0.7</v>
      </c>
      <c r="BB16" s="461"/>
      <c r="BC16" s="476" t="s">
        <v>127</v>
      </c>
      <c r="BD16" s="595"/>
      <c r="BE16" s="596">
        <f>'2027'!Hdd</f>
        <v>-1.4352075818972843</v>
      </c>
      <c r="BF16" s="596">
        <f>'2027'!Hdf</f>
        <v>-0.73520769045040268</v>
      </c>
      <c r="BG16" s="596">
        <f>'2027'!PousH</f>
        <v>0.7</v>
      </c>
      <c r="BH16" s="461"/>
      <c r="BI16" s="476" t="s">
        <v>127</v>
      </c>
      <c r="BJ16" s="595"/>
      <c r="BK16" s="596">
        <f>'2018'!Hdd</f>
        <v>-2.800224011995649</v>
      </c>
      <c r="BL16" s="596">
        <f>'2018'!Hdf</f>
        <v>-2.1002241205487673</v>
      </c>
      <c r="BM16" s="596">
        <f>'2018'!PousH</f>
        <v>0.70000000000000018</v>
      </c>
      <c r="BN16" s="461"/>
      <c r="BO16" s="476" t="s">
        <v>127</v>
      </c>
      <c r="BP16" s="595"/>
      <c r="BQ16" s="596">
        <f>'2018'!Hdd</f>
        <v>-2.800224011995649</v>
      </c>
      <c r="BR16" s="596">
        <f>'2018'!Hdf</f>
        <v>-2.1002241205487673</v>
      </c>
      <c r="BS16" s="596">
        <f>'2018'!PousH</f>
        <v>0.70000000000000018</v>
      </c>
      <c r="BT16" s="461"/>
      <c r="BU16" s="476" t="s">
        <v>127</v>
      </c>
      <c r="BV16" s="595"/>
      <c r="BW16" s="596">
        <f>'2018'!Hdd</f>
        <v>-2.800224011995649</v>
      </c>
      <c r="BX16" s="596">
        <f>'2018'!Hdf</f>
        <v>-2.1002241205487673</v>
      </c>
      <c r="BY16" s="596">
        <f>'2018'!PousH</f>
        <v>0.70000000000000018</v>
      </c>
      <c r="BZ16" s="461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9" t="s">
        <v>64</v>
      </c>
      <c r="C19" s="430" t="s">
        <v>65</v>
      </c>
      <c r="D19" s="430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61" t="s">
        <v>2</v>
      </c>
      <c r="AF19" s="429" t="s">
        <v>64</v>
      </c>
      <c r="AG19" s="430" t="s">
        <v>65</v>
      </c>
      <c r="AH19" s="430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1.140159065352634E-5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2">
        <f>'2023'!A29</f>
        <v>44941</v>
      </c>
      <c r="AF20" s="91">
        <f>'2023'!L29</f>
        <v>3.7177668672508712E-2</v>
      </c>
      <c r="AG20" s="48">
        <f>'2023'!O29</f>
        <v>4.2746628955916452E-2</v>
      </c>
      <c r="AH20" s="66">
        <f>'2023'!P29</f>
        <v>0.10030186333129532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1.4400095879757002E-5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2">
        <f>'2023'!A60</f>
        <v>44972</v>
      </c>
      <c r="AF21" s="91">
        <f>'2023'!L60</f>
        <v>3.7872021013054979E-2</v>
      </c>
      <c r="AG21" s="48">
        <f>'2023'!O60</f>
        <v>4.867008801432357E-2</v>
      </c>
      <c r="AH21" s="66">
        <f>'2023'!P60</f>
        <v>4.6336721827772653E-2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4.3439635437538812E-5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2">
        <f>'2023'!A88</f>
        <v>45000</v>
      </c>
      <c r="AF22" s="91">
        <f>'2023'!L88</f>
        <v>3.8498747557724422E-2</v>
      </c>
      <c r="AG22" s="48">
        <f>'2023'!O88</f>
        <v>5.3898789688594517E-2</v>
      </c>
      <c r="AH22" s="66">
        <f>'2023'!P88</f>
        <v>1.3844028914867303E-2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7.6061874654763563E-5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2">
        <f>'2023'!A119</f>
        <v>45031</v>
      </c>
      <c r="AF23" s="91">
        <f>'2023'!L119</f>
        <v>3.9192147184373027E-2</v>
      </c>
      <c r="AG23" s="48">
        <f>'2023'!O119</f>
        <v>5.9970541849516945E-2</v>
      </c>
      <c r="AH23" s="66">
        <f>'2023'!P119</f>
        <v>8.0389807945954548E-3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2.6767839422341237E-5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2">
        <f>'2023'!A149</f>
        <v>45061</v>
      </c>
      <c r="AF24" s="91">
        <f>'2023'!L149</f>
        <v>3.9862702958934459E-2</v>
      </c>
      <c r="AG24" s="48">
        <f>'2023'!O149</f>
        <v>3.0367745536422353E-2</v>
      </c>
      <c r="AH24" s="66">
        <f>'2023'!P149</f>
        <v>1.6604388672093911E-3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0</v>
      </c>
      <c r="C25" s="48">
        <f>'2018'!O180</f>
        <v>0</v>
      </c>
      <c r="D25" s="66">
        <f>'2018'!P180</f>
        <v>1.5481795310019816E-5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2">
        <f>'2023'!A180</f>
        <v>45092</v>
      </c>
      <c r="AF25" s="91">
        <f>'2023'!L180</f>
        <v>4.0555118950706293E-2</v>
      </c>
      <c r="AG25" s="48">
        <f>'2023'!O180</f>
        <v>4.0552582456552834E-2</v>
      </c>
      <c r="AH25" s="66">
        <f>'2023'!P180</f>
        <v>2.5869051070003337E-4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0</v>
      </c>
      <c r="C26" s="48">
        <f>'2018'!O210</f>
        <v>0</v>
      </c>
      <c r="D26" s="66">
        <f>'2018'!P210</f>
        <v>3.0076860962611031E-5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2">
        <f>'2023'!A210</f>
        <v>45122</v>
      </c>
      <c r="AF26" s="91">
        <f>'2023'!L210</f>
        <v>4.122472349596018E-2</v>
      </c>
      <c r="AG26" s="48">
        <f>'2023'!O210</f>
        <v>4.9519641914649158E-2</v>
      </c>
      <c r="AH26" s="66">
        <f>'2023'!P210</f>
        <v>7.264629916379987E-4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3.2575117522959385E-4</v>
      </c>
      <c r="C27" s="48">
        <f>'2018'!O241</f>
        <v>3.5139878597049592E-3</v>
      </c>
      <c r="D27" s="66">
        <f>'2018'!P241</f>
        <v>3.8924557916050507E-4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2">
        <f>'2023'!A241</f>
        <v>45153</v>
      </c>
      <c r="AF27" s="91">
        <f>'2023'!L241</f>
        <v>4.1916157248208741E-2</v>
      </c>
      <c r="AG27" s="48">
        <f>'2023'!O241</f>
        <v>5.7629667526657748E-2</v>
      </c>
      <c r="AH27" s="66">
        <f>'2023'!P241</f>
        <v>6.4628153940461076E-3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1.0466797742767486E-3</v>
      </c>
      <c r="C28" s="48">
        <f>'2018'!O272</f>
        <v>1.1035568202837779E-2</v>
      </c>
      <c r="D28" s="66">
        <f>'2018'!P272</f>
        <v>1.4278873111706711E-3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2">
        <f>'2023'!A272</f>
        <v>45184</v>
      </c>
      <c r="AF28" s="91">
        <f>'2023'!L272</f>
        <v>4.2607092363659338E-2</v>
      </c>
      <c r="AG28" s="48">
        <f>'2023'!O272</f>
        <v>6.4861698596148626E-2</v>
      </c>
      <c r="AH28" s="66">
        <f>'2023'!P272</f>
        <v>1.4778549369492374E-2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1.7438575871262518E-3</v>
      </c>
      <c r="C29" s="48">
        <f>'2018'!O302</f>
        <v>1.7715464865668596E-2</v>
      </c>
      <c r="D29" s="66">
        <f>'2018'!P302</f>
        <v>1.7059329145157182E-3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2">
        <f>'2023'!A302</f>
        <v>45214</v>
      </c>
      <c r="AF29" s="91">
        <f>'2023'!L302</f>
        <v>4.3275264819638282E-2</v>
      </c>
      <c r="AG29" s="48">
        <f>'2023'!O302</f>
        <v>7.0286657775454411E-2</v>
      </c>
      <c r="AH29" s="66">
        <f>'2023'!P302</f>
        <v>4.5156741272904373E-2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2.4637634995632318E-3</v>
      </c>
      <c r="C30" s="48">
        <f>'2018'!O333</f>
        <v>2.3648108806024123E-2</v>
      </c>
      <c r="D30" s="66">
        <f>'2018'!P333</f>
        <v>8.5782289348378567E-3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2">
        <f>'2023'!A333</f>
        <v>45245</v>
      </c>
      <c r="AF30" s="91">
        <f>'2023'!L333</f>
        <v>4.39652197962902E-2</v>
      </c>
      <c r="AG30" s="48">
        <f>'2023'!O333</f>
        <v>7.385960506141967E-2</v>
      </c>
      <c r="AH30" s="66">
        <f>'2023'!P333</f>
        <v>0.11483861867142091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3.1599523179199895E-3</v>
      </c>
      <c r="C31" s="49">
        <f>'2018'!O363</f>
        <v>2.9192501724948978E-2</v>
      </c>
      <c r="D31" s="67">
        <f>'2018'!P363</f>
        <v>1.0617363053300759E-2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3">
        <f>'2023'!A363</f>
        <v>45275</v>
      </c>
      <c r="AF31" s="92">
        <f>'2023'!L363</f>
        <v>4.463244440386227E-2</v>
      </c>
      <c r="AG31" s="49">
        <f>'2023'!O363</f>
        <v>7.7888822209964029E-2</v>
      </c>
      <c r="AH31" s="67">
        <f>'2023'!P363</f>
        <v>0.17852460298460859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3.8788369944978696E-3</v>
      </c>
      <c r="C32" s="48">
        <f>'2019'!O29</f>
        <v>3.5132287423866537E-2</v>
      </c>
      <c r="D32" s="66">
        <f>'2019'!P29</f>
        <v>1.0524728273704041E-2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2">
        <f>'2024'!A29</f>
        <v>45306</v>
      </c>
      <c r="AF32" s="91">
        <f>'2024'!L29</f>
        <v>4.5321420632109422E-2</v>
      </c>
      <c r="AG32" s="48">
        <f>'2024'!O29</f>
        <v>8.3118429727964294E-2</v>
      </c>
      <c r="AH32" s="66">
        <f>'2024'!P29</f>
        <v>0.13537951594091313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4.5972032376726535E-3</v>
      </c>
      <c r="C33" s="48">
        <f>'2019'!O60</f>
        <v>4.0975875837287637E-2</v>
      </c>
      <c r="D33" s="66">
        <f>'2019'!P60</f>
        <v>1.9586481603288152E-3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2">
        <f>'2024'!A60</f>
        <v>45337</v>
      </c>
      <c r="AF33" s="91">
        <f>'2024'!L60</f>
        <v>4.6009899995835268E-2</v>
      </c>
      <c r="AG33" s="48">
        <f>'2024'!O60</f>
        <v>8.8312857924812901E-2</v>
      </c>
      <c r="AH33" s="66">
        <f>'2024'!P60</f>
        <v>6.5027816483504558E-2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5.2456048734155214E-3</v>
      </c>
      <c r="C34" s="48">
        <f>'2019'!O88</f>
        <v>4.6127719417986615E-2</v>
      </c>
      <c r="D34" s="66">
        <f>'2019'!P88</f>
        <v>1.7208115770345788E-3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2">
        <f>'2024'!A88</f>
        <v>45365</v>
      </c>
      <c r="AF34" s="91">
        <f>'2024'!L88</f>
        <v>4.6631325556761194E-2</v>
      </c>
      <c r="AG34" s="48">
        <f>'2024'!O88</f>
        <v>9.2831101437670718E-2</v>
      </c>
      <c r="AH34" s="66">
        <f>'2024'!P88</f>
        <v>2.0992855101154007E-2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5.9629854534571924E-3</v>
      </c>
      <c r="C35" s="48">
        <f>'2019'!O119</f>
        <v>5.2056709790551568E-2</v>
      </c>
      <c r="D35" s="66">
        <f>'2019'!P119</f>
        <v>9.2332085612976359E-4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2">
        <f>'2024'!A119</f>
        <v>45396</v>
      </c>
      <c r="AF35" s="91">
        <f>'2024'!L119</f>
        <v>4.7318860264842222E-2</v>
      </c>
      <c r="AG35" s="48">
        <f>'2024'!O119</f>
        <v>9.8318548791227173E-2</v>
      </c>
      <c r="AH35" s="66">
        <f>'2024'!P119</f>
        <v>1.0814231511990116E-2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6.6567321357711151E-3</v>
      </c>
      <c r="C36" s="48">
        <f>'2019'!O149</f>
        <v>5.8952208463362896E-2</v>
      </c>
      <c r="D36" s="66">
        <f>'2019'!P149</f>
        <v>1.4404933475540421E-4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2">
        <f>'2024'!A149</f>
        <v>45426</v>
      </c>
      <c r="AF36" s="91">
        <f>'2024'!L149</f>
        <v>4.7983744338898293E-2</v>
      </c>
      <c r="AG36" s="48">
        <f>'2024'!O149</f>
        <v>3.0080864162178467E-2</v>
      </c>
      <c r="AH36" s="66">
        <f>'2024'!P149</f>
        <v>2.4621824665072441E-3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7.3730950623106528E-3</v>
      </c>
      <c r="C37" s="48">
        <f>'2019'!O180</f>
        <v>6.6848348186660717E-2</v>
      </c>
      <c r="D37" s="66">
        <f>'2019'!P180</f>
        <v>4.5870133589782993E-5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2">
        <f>'2024'!A180</f>
        <v>45457</v>
      </c>
      <c r="AF37" s="91">
        <f>'2024'!L180</f>
        <v>4.8670303731891407E-2</v>
      </c>
      <c r="AG37" s="48">
        <f>'2024'!O180</f>
        <v>4.0271402717485201E-2</v>
      </c>
      <c r="AH37" s="66">
        <f>'2024'!P180</f>
        <v>3.7826881778954405E-4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8.0658576174255092E-3</v>
      </c>
      <c r="C38" s="48">
        <f>'2019'!O210</f>
        <v>7.3181886453648495E-2</v>
      </c>
      <c r="D38" s="66">
        <f>'2019'!P210</f>
        <v>9.3650936277691065E-5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2">
        <f>'2024'!A210</f>
        <v>45487</v>
      </c>
      <c r="AF38" s="91">
        <f>'2024'!L210</f>
        <v>4.933424462233571E-2</v>
      </c>
      <c r="AG38" s="48">
        <f>'2024'!O210</f>
        <v>4.9249900976589302E-2</v>
      </c>
      <c r="AH38" s="66">
        <f>'2024'!P210</f>
        <v>1.0338816245071213E-3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8.7812043340740331E-3</v>
      </c>
      <c r="C39" s="48">
        <f>'2019'!O241</f>
        <v>7.8445034936768951E-2</v>
      </c>
      <c r="D39" s="66">
        <f>'2019'!P241</f>
        <v>1.0194861070724765E-3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2">
        <f>'2024'!A241</f>
        <v>45518</v>
      </c>
      <c r="AF39" s="91">
        <f>'2024'!L241</f>
        <v>5.0019830083792072E-2</v>
      </c>
      <c r="AG39" s="48">
        <f>'2024'!O241</f>
        <v>5.7375451219706552E-2</v>
      </c>
      <c r="AH39" s="66">
        <f>'2024'!P241</f>
        <v>8.7494393834873264E-3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9.4960351687671807E-3</v>
      </c>
      <c r="C40" s="48">
        <f>'2019'!O272</f>
        <v>8.3006141331289737E-2</v>
      </c>
      <c r="D40" s="66">
        <f>'2019'!P272</f>
        <v>3.3003361510358185E-3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2">
        <f>'2024'!A272</f>
        <v>45549</v>
      </c>
      <c r="AF40" s="91">
        <f>'2024'!L272</f>
        <v>5.0704921126024427E-2</v>
      </c>
      <c r="AG40" s="48">
        <f>'2024'!O272</f>
        <v>6.4623621970006664E-2</v>
      </c>
      <c r="AH40" s="66">
        <f>'2024'!P272</f>
        <v>1.9060159466283755E-2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1.0187316106362698E-2</v>
      </c>
      <c r="C41" s="48">
        <f>'2019'!O302</f>
        <v>8.5893855815205866E-2</v>
      </c>
      <c r="D41" s="66">
        <f>'2019'!P302</f>
        <v>4.2476342470303208E-3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2">
        <f>'2024'!A302</f>
        <v>45579</v>
      </c>
      <c r="AF41" s="91">
        <f>'2024'!L302</f>
        <v>5.1367442040103461E-2</v>
      </c>
      <c r="AG41" s="48">
        <f>'2024'!O302</f>
        <v>7.0066576584660215E-2</v>
      </c>
      <c r="AH41" s="66">
        <f>'2024'!P302</f>
        <v>6.2549993613786575E-2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1.0901132904542199E-2</v>
      </c>
      <c r="C42" s="48">
        <f>'2019'!O333</f>
        <v>8.6939848127020922E-2</v>
      </c>
      <c r="D42" s="66">
        <f>'2019'!P333</f>
        <v>2.2164731425758474E-2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2">
        <f>'2024'!A333</f>
        <v>45610</v>
      </c>
      <c r="AF42" s="91">
        <f>'2024'!L333</f>
        <v>5.2051561233755317E-2</v>
      </c>
      <c r="AG42" s="48">
        <f>'2024'!O333</f>
        <v>7.3660398607425806E-2</v>
      </c>
      <c r="AH42" s="66">
        <f>'2024'!P333</f>
        <v>0.14665811316188834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1.1591433212766566E-2</v>
      </c>
      <c r="C43" s="49">
        <f>'2019'!O363</f>
        <v>8.9073918858770765E-2</v>
      </c>
      <c r="D43" s="67">
        <f>'2019'!P363</f>
        <v>3.3333155796988416E-2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3">
        <f>'2024'!A363</f>
        <v>45640</v>
      </c>
      <c r="AF43" s="92">
        <f>'2024'!L363</f>
        <v>5.2713142316526906E-2</v>
      </c>
      <c r="AG43" s="49">
        <f>'2024'!O363</f>
        <v>7.7704904807173264E-2</v>
      </c>
      <c r="AH43" s="67">
        <f>'2024'!P363</f>
        <v>0.2242162257843483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1.2304237412912644E-2</v>
      </c>
      <c r="C44" s="48">
        <f>'2020'!O29</f>
        <v>9.283764368579274E-2</v>
      </c>
      <c r="D44" s="66">
        <f>'2020'!P29</f>
        <v>2.5878780971167543E-2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2">
        <f>'2025'!A29</f>
        <v>45672</v>
      </c>
      <c r="AF44" s="91">
        <f>'2025'!L29</f>
        <v>5.3418319891438526E-2</v>
      </c>
      <c r="AG44" s="48">
        <f>'2025'!O29</f>
        <v>8.3118429727964294E-2</v>
      </c>
      <c r="AH44" s="66">
        <f>'2025'!P29</f>
        <v>0.17535772005734077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1.3016527564673419E-2</v>
      </c>
      <c r="C45" s="48">
        <f>'2020'!O60</f>
        <v>9.6682449643672438E-2</v>
      </c>
      <c r="D45" s="66">
        <f>'2020'!P60</f>
        <v>7.650274159956125E-3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2">
        <f>'2025'!A60</f>
        <v>45703</v>
      </c>
      <c r="AF45" s="91">
        <f>'2025'!L60</f>
        <v>5.4100960066802317E-2</v>
      </c>
      <c r="AG45" s="48">
        <f>'2025'!O60</f>
        <v>8.8312857924812901E-2</v>
      </c>
      <c r="AH45" s="66">
        <f>'2025'!P60</f>
        <v>8.5028165683182527E-2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1.3659444884234762E-2</v>
      </c>
      <c r="C46" s="48">
        <f>'2020'!O88</f>
        <v>9.9975670865499758E-2</v>
      </c>
      <c r="D46" s="66">
        <f>'2020'!P88</f>
        <v>3.8632247872892179E-3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2">
        <f>'2025'!A88</f>
        <v>45731</v>
      </c>
      <c r="AF46" s="91">
        <f>'2025'!L88</f>
        <v>5.4717115141647676E-2</v>
      </c>
      <c r="AG46" s="48">
        <f>'2025'!O88</f>
        <v>9.2831101437670718E-2</v>
      </c>
      <c r="AH46" s="66">
        <f>'2025'!P88</f>
        <v>3.0594854615773024E-2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1.437075770980667E-2</v>
      </c>
      <c r="C47" s="48">
        <f>'2020'!O119</f>
        <v>0.10414227981136316</v>
      </c>
      <c r="D47" s="66">
        <f>'2020'!P119</f>
        <v>2.1892772775669888E-3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2">
        <f>'2025'!A119</f>
        <v>45762</v>
      </c>
      <c r="AF47" s="91">
        <f>'2025'!L119</f>
        <v>5.5398818673258465E-2</v>
      </c>
      <c r="AG47" s="48">
        <f>'2025'!O119</f>
        <v>9.8318548791227173E-2</v>
      </c>
      <c r="AH47" s="66">
        <f>'2025'!P119</f>
        <v>3.3719068291258235E-5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1.5058636538083814E-2</v>
      </c>
      <c r="C48" s="48">
        <f>'2020'!O149</f>
        <v>0.11029914607148561</v>
      </c>
      <c r="D48" s="66">
        <f>'2020'!P149</f>
        <v>3.5850144140013547E-4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2">
        <f>'2025'!A149</f>
        <v>45792</v>
      </c>
      <c r="AF48" s="91">
        <f>'2025'!L149</f>
        <v>5.6058063677282943E-2</v>
      </c>
      <c r="AG48" s="48">
        <f>'2025'!O149</f>
        <v>3.0367745536422353E-2</v>
      </c>
      <c r="AH48" s="66">
        <f>'2025'!P149</f>
        <v>2.1516345492231502E-5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1.5768940317678948E-2</v>
      </c>
      <c r="C49" s="48">
        <f>'2020'!O180</f>
        <v>0.11769868199957956</v>
      </c>
      <c r="D49" s="66">
        <f>'2020'!P180</f>
        <v>7.9569444160596699E-5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2">
        <f>'2025'!A180</f>
        <v>45823</v>
      </c>
      <c r="AF49" s="91">
        <f>'2025'!L180</f>
        <v>5.6738800165729075E-2</v>
      </c>
      <c r="AG49" s="48">
        <f>'2025'!O180</f>
        <v>4.0552582456552834E-2</v>
      </c>
      <c r="AH49" s="66">
        <f>'2025'!P180</f>
        <v>1.4076938161910249E-5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1.6455843342709997E-2</v>
      </c>
      <c r="C50" s="48">
        <f>'2020'!O210</f>
        <v>0.1222803986303786</v>
      </c>
      <c r="D50" s="66">
        <f>'2020'!P210</f>
        <v>1.8175762022325793E-4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2">
        <f>'2025'!A210</f>
        <v>45853</v>
      </c>
      <c r="AF50" s="91">
        <f>'2025'!L210</f>
        <v>5.7397109985548922E-2</v>
      </c>
      <c r="AG50" s="48">
        <f>'2025'!O210</f>
        <v>4.9519641914649158E-2</v>
      </c>
      <c r="AH50" s="66">
        <f>'2025'!P210</f>
        <v>2.8217016017082142E-5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1.7165139507729354E-2</v>
      </c>
      <c r="C51" s="48">
        <f>'2020'!O241</f>
        <v>0.12484973930905377</v>
      </c>
      <c r="D51" s="66">
        <f>'2020'!P241</f>
        <v>1.8522030967646329E-3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2">
        <f>'2025'!A241</f>
        <v>45884</v>
      </c>
      <c r="AF51" s="91">
        <f>'2025'!L241</f>
        <v>5.807688080264739E-2</v>
      </c>
      <c r="AG51" s="48">
        <f>'2025'!O241</f>
        <v>5.7629667526657748E-2</v>
      </c>
      <c r="AH51" s="66">
        <f>'2025'!P241</f>
        <v>3.6850617791187468E-4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1.7873924154230392E-2</v>
      </c>
      <c r="C52" s="48">
        <f>'2020'!O272</f>
        <v>0.12640856790526456</v>
      </c>
      <c r="D52" s="66">
        <f>'2020'!P272</f>
        <v>5.4891709662353259E-3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2">
        <f>'2025'!A272</f>
        <v>45915</v>
      </c>
      <c r="AF52" s="91">
        <f>'2025'!L272</f>
        <v>5.8756161393831441E-2</v>
      </c>
      <c r="AG52" s="48">
        <f>'2025'!O272</f>
        <v>6.4861698596148626E-2</v>
      </c>
      <c r="AH52" s="66">
        <f>'2025'!P272</f>
        <v>1.3552240520196112E-3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1.8559358093571898E-2</v>
      </c>
      <c r="C53" s="48">
        <f>'2020'!O302</f>
        <v>0.12579618436851331</v>
      </c>
      <c r="D53" s="66">
        <f>'2020'!P302</f>
        <v>8.9112876566152105E-3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2">
        <f>'2025'!A302</f>
        <v>45945</v>
      </c>
      <c r="AF53" s="91">
        <f>'2025'!L302</f>
        <v>5.9413063280507439E-2</v>
      </c>
      <c r="AG53" s="48">
        <f>'2025'!O302</f>
        <v>7.0286657775454411E-2</v>
      </c>
      <c r="AH53" s="66">
        <f>'2025'!P302</f>
        <v>1.620243187179369E-3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1.9267137280491453E-2</v>
      </c>
      <c r="C54" s="48">
        <f>'2020'!O333</f>
        <v>0.12268286805094299</v>
      </c>
      <c r="D54" s="66">
        <f>'2020'!P333</f>
        <v>3.9655298578102106E-2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2">
        <f>'2025'!A333</f>
        <v>45976</v>
      </c>
      <c r="AF54" s="91">
        <f>'2025'!L333</f>
        <v>6.0091380265633765E-2</v>
      </c>
      <c r="AG54" s="48">
        <f>'2025'!O333</f>
        <v>7.385960506141967E-2</v>
      </c>
      <c r="AH54" s="66">
        <f>'2025'!P333</f>
        <v>8.1490137809646056E-3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1.9951598884829336E-2</v>
      </c>
      <c r="C55" s="49">
        <f>'2020'!O363</f>
        <v>0.12157731907405564</v>
      </c>
      <c r="D55" s="67">
        <f>'2020'!P363</f>
        <v>6.0130241200752596E-2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3">
        <f>'2025'!A363</f>
        <v>46006</v>
      </c>
      <c r="AF55" s="92">
        <f>'2025'!L363</f>
        <v>6.0747350291977642E-2</v>
      </c>
      <c r="AG55" s="49">
        <f>'2025'!O363</f>
        <v>7.7888822209964029E-2</v>
      </c>
      <c r="AH55" s="67">
        <f>'2025'!P363</f>
        <v>1.0086688731275604E-2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2.0681164748842851E-2</v>
      </c>
      <c r="C56" s="48">
        <f>'2021'!O29</f>
        <v>0.12272568576197329</v>
      </c>
      <c r="D56" s="66">
        <f>'2021'!P29</f>
        <v>4.6011337500937124E-2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2">
        <f>'2026'!A29</f>
        <v>46037</v>
      </c>
      <c r="AF56" s="91">
        <f>'2026'!L29</f>
        <v>6.1424705037987581E-2</v>
      </c>
      <c r="AG56" s="48">
        <f>'2026'!O29</f>
        <v>8.3118429727964294E-2</v>
      </c>
      <c r="AH56" s="66">
        <f>'2026'!P29</f>
        <v>9.9993118830725806E-3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2.1387413766208341E-2</v>
      </c>
      <c r="C57" s="48">
        <f>'2021'!O60</f>
        <v>0.12413714317011623</v>
      </c>
      <c r="D57" s="66">
        <f>'2021'!P60</f>
        <v>1.6607421439661381E-2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2">
        <f>'2026'!A60</f>
        <v>46068</v>
      </c>
      <c r="AF57" s="91">
        <f>'2026'!L60</f>
        <v>6.2101571300465341E-2</v>
      </c>
      <c r="AG57" s="48">
        <f>'2026'!O60</f>
        <v>8.8312857924812901E-2</v>
      </c>
      <c r="AH57" s="66">
        <f>'2026'!P60</f>
        <v>1.8614819796029804E-3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2.202487832200084E-2</v>
      </c>
      <c r="C58" s="48">
        <f>'2021'!O88</f>
        <v>0.12542619451943501</v>
      </c>
      <c r="D58" s="66">
        <f>'2021'!P88</f>
        <v>6.352922908954394E-3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2">
        <f>'2026'!A88</f>
        <v>46096</v>
      </c>
      <c r="AF58" s="91">
        <f>'2026'!L88</f>
        <v>6.2712514807262365E-2</v>
      </c>
      <c r="AG58" s="48">
        <f>'2026'!O88</f>
        <v>9.2831101437670718E-2</v>
      </c>
      <c r="AH58" s="66">
        <f>'2026'!P88</f>
        <v>1.6369828577462056E-3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2.2730158302157522E-2</v>
      </c>
      <c r="C59" s="48">
        <f>'2021'!O119</f>
        <v>0.12772280776027267</v>
      </c>
      <c r="D59" s="66">
        <f>'2021'!P119</f>
        <v>3.7573698163437478E-3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2">
        <f>'2026'!A119</f>
        <v>46127</v>
      </c>
      <c r="AF59" s="91">
        <f>'2026'!L119</f>
        <v>6.3388452348315139E-2</v>
      </c>
      <c r="AG59" s="48">
        <f>'2026'!O119</f>
        <v>9.8318548791227173E-2</v>
      </c>
      <c r="AH59" s="66">
        <f>'2026'!P119</f>
        <v>8.8097804976625821E-4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2.3412203035383605E-2</v>
      </c>
      <c r="C60" s="48">
        <f>'2021'!O149</f>
        <v>3.7529599143083792E-2</v>
      </c>
      <c r="D60" s="66">
        <f>'2021'!P149</f>
        <v>6.8539759962904718E-4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2">
        <f>'2026'!A149</f>
        <v>46157</v>
      </c>
      <c r="AF60" s="91">
        <f>'2026'!L149</f>
        <v>6.4042121320688983E-2</v>
      </c>
      <c r="AG60" s="48">
        <f>'2026'!O149</f>
        <v>3.0367745536422353E-2</v>
      </c>
      <c r="AH60" s="66">
        <f>'2026'!P149</f>
        <v>1.3333182780127858E-4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2.411648252756815E-2</v>
      </c>
      <c r="C61" s="48">
        <f>'2021'!O180</f>
        <v>5.2532382268308281E-2</v>
      </c>
      <c r="D61" s="66">
        <f>'2021'!P180</f>
        <v>1.2375971476494832E-4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2">
        <f>'2026'!A180</f>
        <v>46188</v>
      </c>
      <c r="AF61" s="91">
        <f>'2026'!L180</f>
        <v>6.4717099998029881E-2</v>
      </c>
      <c r="AG61" s="48">
        <f>'2026'!O180</f>
        <v>4.0552582456552834E-2</v>
      </c>
      <c r="AH61" s="66">
        <f>'2026'!P180</f>
        <v>4.4185969227666195E-5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2.4797559733611751E-2</v>
      </c>
      <c r="C62" s="48">
        <f>'2021'!O210</f>
        <v>6.5328351386518324E-2</v>
      </c>
      <c r="D62" s="66">
        <f>'2021'!P210</f>
        <v>3.0620940608107241E-4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2">
        <f>'2026'!A210</f>
        <v>46218</v>
      </c>
      <c r="AF62" s="91">
        <f>'2026'!L210</f>
        <v>6.5369841696182096E-2</v>
      </c>
      <c r="AG62" s="48">
        <f>'2026'!O210</f>
        <v>4.9519641914649158E-2</v>
      </c>
      <c r="AH62" s="66">
        <f>'2026'!P210</f>
        <v>8.9810187396998563E-5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2.550084015708487E-2</v>
      </c>
      <c r="C63" s="48">
        <f>'2021'!O241</f>
        <v>7.645877584714697E-2</v>
      </c>
      <c r="D63" s="66">
        <f>'2021'!P241</f>
        <v>2.9391414271491586E-3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2">
        <f>'2026'!A241</f>
        <v>46249</v>
      </c>
      <c r="AF63" s="91">
        <f>'2026'!L241</f>
        <v>6.6043862870024839E-2</v>
      </c>
      <c r="AG63" s="48">
        <f>'2026'!O241</f>
        <v>5.7629667526657748E-2</v>
      </c>
      <c r="AH63" s="66">
        <f>'2026'!P241</f>
        <v>9.8521162385603622E-4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2.6203613400373027E-2</v>
      </c>
      <c r="C64" s="48">
        <f>'2021'!O272</f>
        <v>8.592305554705483E-2</v>
      </c>
      <c r="D64" s="66">
        <f>'2021'!P272</f>
        <v>8.0171874254865768E-3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2">
        <f>'2026'!A272</f>
        <v>46280</v>
      </c>
      <c r="AF64" s="91">
        <f>'2026'!L272</f>
        <v>6.6717397964386027E-2</v>
      </c>
      <c r="AG64" s="48">
        <f>'2026'!O272</f>
        <v>6.4861698596148626E-2</v>
      </c>
      <c r="AH64" s="66">
        <f>'2026'!P272</f>
        <v>3.2027416175056185E-3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2.6883233980458665E-2</v>
      </c>
      <c r="C65" s="48">
        <f>'2021'!O302</f>
        <v>9.2605312476265633E-2</v>
      </c>
      <c r="D65" s="66">
        <f>'2021'!P302</f>
        <v>1.6270970186249629E-2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2">
        <f>'2026'!A302</f>
        <v>46310</v>
      </c>
      <c r="AF65" s="91">
        <f>'2026'!L302</f>
        <v>6.7368743637986284E-2</v>
      </c>
      <c r="AG65" s="48">
        <f>'2026'!O302</f>
        <v>7.0286657775454411E-2</v>
      </c>
      <c r="AH65" s="66">
        <f>'2026'!P302</f>
        <v>4.1134158130841638E-3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2.7585010291752643E-2</v>
      </c>
      <c r="C66" s="48">
        <f>'2021'!O333</f>
        <v>9.6527991324695514E-2</v>
      </c>
      <c r="D66" s="66">
        <f>'2021'!P333</f>
        <v>6.1252073571425786E-2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2">
        <f>'2026'!A333</f>
        <v>46341</v>
      </c>
      <c r="AF66" s="91">
        <f>'2026'!L333</f>
        <v>6.8041323276670673E-2</v>
      </c>
      <c r="AG66" s="48">
        <f>'2026'!O333</f>
        <v>7.385960506141967E-2</v>
      </c>
      <c r="AH66" s="66">
        <f>'2026'!P333</f>
        <v>2.1443586271841758E-2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2.8263666783483021E-2</v>
      </c>
      <c r="C67" s="49">
        <f>'2021'!O363</f>
        <v>0.10084789234708161</v>
      </c>
      <c r="D67" s="67">
        <f>'2021'!P363</f>
        <v>8.967614457059217E-2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3">
        <f>'2026'!A363</f>
        <v>46371</v>
      </c>
      <c r="AF67" s="92">
        <f>'2026'!L363</f>
        <v>6.8691744971807855E-2</v>
      </c>
      <c r="AG67" s="49">
        <f>'2026'!O363</f>
        <v>7.7888822209964029E-2</v>
      </c>
      <c r="AH67" s="67">
        <f>'2026'!P363</f>
        <v>3.209678914791738E-2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2.8964447576999119E-2</v>
      </c>
      <c r="C68" s="48">
        <f>'2022'!O29</f>
        <v>0.10648388270537834</v>
      </c>
      <c r="D68" s="66">
        <f>'2022'!P29</f>
        <v>7.1432346460356913E-2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2">
        <f>'2027'!A29</f>
        <v>46402</v>
      </c>
      <c r="AF68" s="91">
        <f>'2027'!L29</f>
        <v>6.9363370510194811E-2</v>
      </c>
      <c r="AG68" s="48">
        <f>'2027'!O29</f>
        <v>8.3118429727964294E-2</v>
      </c>
      <c r="AH68" s="66">
        <f>'2027'!P29</f>
        <v>2.5071374604277268E-2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2.9664722992972181E-2</v>
      </c>
      <c r="C69" s="48">
        <f>'2022'!O60</f>
        <v>0.11188047646379987</v>
      </c>
      <c r="D69" s="66">
        <f>'2022'!P60</f>
        <v>2.9066388847542167E-2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2">
        <f>'2027'!A60</f>
        <v>46433</v>
      </c>
      <c r="AF69" s="91">
        <f>'2027'!L60</f>
        <v>7.0034511696745128E-2</v>
      </c>
      <c r="AG69" s="48">
        <f>'2027'!O60</f>
        <v>8.8312857924812901E-2</v>
      </c>
      <c r="AH69" s="66">
        <f>'2027'!P60</f>
        <v>7.3364064233644027E-3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3.029679574068489E-2</v>
      </c>
      <c r="C70" s="48">
        <f>'2022'!O88</f>
        <v>0.11639121300636657</v>
      </c>
      <c r="D70" s="66">
        <f>'2022'!P88</f>
        <v>9.2312923675934994E-3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2">
        <f>'2027'!A88</f>
        <v>46461</v>
      </c>
      <c r="AF70" s="91">
        <f>'2027'!L88</f>
        <v>7.0640287716022598E-2</v>
      </c>
      <c r="AG70" s="48">
        <f>'2027'!O88</f>
        <v>9.2831101437670718E-2</v>
      </c>
      <c r="AH70" s="66">
        <f>'2027'!P88</f>
        <v>3.7530672152389592E-3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3.0996110315767766E-2</v>
      </c>
      <c r="C71" s="48">
        <f>'2022'!O119</f>
        <v>0.12184903426579033</v>
      </c>
      <c r="D71" s="66">
        <f>'2022'!P119</f>
        <v>5.6360901841579006E-3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2">
        <f>'2027'!A119</f>
        <v>46492</v>
      </c>
      <c r="AF71" s="91">
        <f>'2027'!L119</f>
        <v>7.1310508036467435E-2</v>
      </c>
      <c r="AG71" s="48">
        <f>'2027'!O119</f>
        <v>9.8318548791227173E-2</v>
      </c>
      <c r="AH71" s="66">
        <f>'2027'!P119</f>
        <v>2.1248290513356904E-3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3.1672386172481581E-2</v>
      </c>
      <c r="C72" s="48">
        <f>'2022'!O149</f>
        <v>0.1295072913024197</v>
      </c>
      <c r="D72" s="66">
        <f>'2022'!P149</f>
        <v>1.108469200322811E-3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2">
        <f>'2027'!A149</f>
        <v>46522</v>
      </c>
      <c r="AF72" s="91">
        <f>'2027'!L149</f>
        <v>7.1958648140428627E-2</v>
      </c>
      <c r="AG72" s="48">
        <f>'2027'!O149</f>
        <v>3.0367745536422353E-2</v>
      </c>
      <c r="AH72" s="66">
        <f>'2027'!P149</f>
        <v>3.4778393444600983E-4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3.2370708721928154E-2</v>
      </c>
      <c r="C73" s="48">
        <f>'2022'!O180</f>
        <v>0.13855080857857216</v>
      </c>
      <c r="D73" s="66">
        <f>'2022'!P180</f>
        <v>1.8240841523721623E-4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2">
        <f>'2027'!A180</f>
        <v>46553</v>
      </c>
      <c r="AF73" s="91">
        <f>'2027'!L180</f>
        <v>7.26279177074306E-2</v>
      </c>
      <c r="AG73" s="48">
        <f>'2027'!O180</f>
        <v>4.0552582456552834E-2</v>
      </c>
      <c r="AH73" s="66">
        <f>'2027'!P180</f>
        <v>7.7885279798479894E-5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3.3046025235005994E-2</v>
      </c>
      <c r="C74" s="48">
        <f>'2022'!O210</f>
        <v>0.14418509336975635</v>
      </c>
      <c r="D74" s="66">
        <f>'2022'!P210</f>
        <v>4.8831506247629347E-4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2">
        <f>'2027'!A210</f>
        <v>46583</v>
      </c>
      <c r="AF74" s="91">
        <f>'2027'!L210</f>
        <v>7.3275138380248794E-2</v>
      </c>
      <c r="AG74" s="48">
        <f>'2027'!O210</f>
        <v>4.9519641914649158E-2</v>
      </c>
      <c r="AH74" s="66">
        <f>'2027'!P210</f>
        <v>1.7553798964348413E-4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3.3743357166072463E-2</v>
      </c>
      <c r="C75" s="48">
        <f>'2022'!O241</f>
        <v>0.14737125770524534</v>
      </c>
      <c r="D75" s="66">
        <f>'2022'!P241</f>
        <v>4.5271670291042697E-3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2">
        <f>'2027'!A241</f>
        <v>46614</v>
      </c>
      <c r="AF75" s="91">
        <f>'2027'!L241</f>
        <v>7.3943458542516716E-2</v>
      </c>
      <c r="AG75" s="48">
        <f>'2027'!O241</f>
        <v>5.7629667526657748E-2</v>
      </c>
      <c r="AH75" s="66">
        <f>'2027'!P241</f>
        <v>1.7978820210854819E-3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3.444018620678968E-2</v>
      </c>
      <c r="C76" s="48">
        <f>'2022'!O272</f>
        <v>0.14929008566976434</v>
      </c>
      <c r="D76" s="66">
        <f>'2022'!P272</f>
        <v>1.1175943094491872E-2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2">
        <f>'2027'!A272</f>
        <v>46645</v>
      </c>
      <c r="AF76" s="91">
        <f>'2027'!L272</f>
        <v>7.4611296736664778E-2</v>
      </c>
      <c r="AG76" s="48">
        <f>'2027'!O272</f>
        <v>6.4861698596148626E-2</v>
      </c>
      <c r="AH76" s="66">
        <f>'2027'!P272</f>
        <v>5.3628302442621234E-3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3.5114058414355553E-2</v>
      </c>
      <c r="C77" s="48">
        <f>'2022'!O302</f>
        <v>0.1485828794287711</v>
      </c>
      <c r="D77" s="66">
        <f>'2022'!P302</f>
        <v>2.9594005261891286E-2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2">
        <f>'2027'!A302</f>
        <v>46675</v>
      </c>
      <c r="AF77" s="91">
        <f>'2027'!L302</f>
        <v>7.5257133192797698E-2</v>
      </c>
      <c r="AG77" s="48">
        <f>'2027'!O302</f>
        <v>7.0286657775454411E-2</v>
      </c>
      <c r="AH77" s="66">
        <f>'2027'!P302</f>
        <v>8.5434784990106871E-3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3.5809898955337149E-2</v>
      </c>
      <c r="C78" s="48">
        <f>'2022'!O333</f>
        <v>3.1294478087137555E-2</v>
      </c>
      <c r="D78" s="66">
        <f>'2022'!P333</f>
        <v>8.6378371223581066E-2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2">
        <f>'2027'!A333</f>
        <v>46706</v>
      </c>
      <c r="AF78" s="91">
        <f>'2027'!L333</f>
        <v>7.5924024012712255E-2</v>
      </c>
      <c r="AG78" s="48">
        <f>'2027'!O333</f>
        <v>7.385960506141967E-2</v>
      </c>
      <c r="AH78" s="66">
        <f>'2027'!P333</f>
        <v>3.8575973269532937E-2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3.6482815229008092E-2</v>
      </c>
      <c r="C79" s="49">
        <f>'2022'!O363</f>
        <v>3.6751560809994602E-2</v>
      </c>
      <c r="D79" s="67">
        <f>'2022'!P363</f>
        <v>0.13393572339408208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3">
        <f>'2027'!A363</f>
        <v>46736</v>
      </c>
      <c r="AF79" s="92">
        <f>'2027'!L363</f>
        <v>7.6568944305584363E-2</v>
      </c>
      <c r="AG79" s="49">
        <f>'2027'!O363</f>
        <v>7.7888822209964029E-2</v>
      </c>
      <c r="AH79" s="67">
        <f>'2027'!P363</f>
        <v>5.8653648455703145E-2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J6:K6"/>
    <mergeCell ref="P6:Q6"/>
    <mergeCell ref="V6:W6"/>
    <mergeCell ref="AB6:AC6"/>
    <mergeCell ref="AE3:AJ3"/>
    <mergeCell ref="AM2:AN2"/>
    <mergeCell ref="H1:K1"/>
    <mergeCell ref="B2:F2"/>
    <mergeCell ref="A3:F3"/>
    <mergeCell ref="G3:L3"/>
    <mergeCell ref="Z1:AA1"/>
    <mergeCell ref="M3:R3"/>
    <mergeCell ref="S3:X3"/>
    <mergeCell ref="Y3:AD3"/>
    <mergeCell ref="Q7:R7"/>
    <mergeCell ref="D6:E6"/>
    <mergeCell ref="AB11:AC11"/>
    <mergeCell ref="AT11:AU11"/>
    <mergeCell ref="AN11:AO11"/>
    <mergeCell ref="AH11:AI11"/>
    <mergeCell ref="E7:F7"/>
    <mergeCell ref="AI7:AJ7"/>
    <mergeCell ref="V11:W11"/>
    <mergeCell ref="P11:Q11"/>
    <mergeCell ref="J11:K11"/>
    <mergeCell ref="D11:E11"/>
    <mergeCell ref="AC7:AD7"/>
    <mergeCell ref="W7:X7"/>
    <mergeCell ref="K7:L7"/>
    <mergeCell ref="AH6:AI6"/>
    <mergeCell ref="AW3:BB3"/>
    <mergeCell ref="AQ3:AV3"/>
    <mergeCell ref="AN6:AO6"/>
    <mergeCell ref="AT6:AU6"/>
    <mergeCell ref="AZ11:BA11"/>
    <mergeCell ref="AO7:AP7"/>
    <mergeCell ref="BA7:BB7"/>
    <mergeCell ref="AZ6:BA6"/>
    <mergeCell ref="AU7:AV7"/>
    <mergeCell ref="AK3:AP3"/>
    <mergeCell ref="BX11:BY11"/>
    <mergeCell ref="BR11:BS11"/>
    <mergeCell ref="BL11:BM11"/>
    <mergeCell ref="BO3:BT3"/>
    <mergeCell ref="BF11:BG11"/>
    <mergeCell ref="BX6:BY6"/>
    <mergeCell ref="BL6:BM6"/>
    <mergeCell ref="BR6:BS6"/>
    <mergeCell ref="BC3:BH3"/>
    <mergeCell ref="BM7:BN7"/>
    <mergeCell ref="BG7:BH7"/>
    <mergeCell ref="BS7:BT7"/>
    <mergeCell ref="BI3:BN3"/>
    <mergeCell ref="BY7:BZ7"/>
    <mergeCell ref="BF6:BG6"/>
    <mergeCell ref="BU3:BZ3"/>
  </mergeCells>
  <conditionalFormatting sqref="B5 H5 N5 T5 Z5 AF5 AL5 AR5 AX5 BD5 BJ5 BP5 BV5">
    <cfRule type="expression" dxfId="42" priority="136" stopIfTrue="1">
      <formula>AND(B5="D",C5&lt;&gt;"D")</formula>
    </cfRule>
    <cfRule type="expression" dxfId="41" priority="996" stopIfTrue="1">
      <formula>YEAR(B5)&lt;&gt;A3</formula>
    </cfRule>
  </conditionalFormatting>
  <conditionalFormatting sqref="B4 H4 N4 T4 Z4 AF4 AL4 AR4 AX4 BD4 BJ4 BP4 BV4">
    <cfRule type="expression" dxfId="40" priority="137" stopIfTrue="1">
      <formula>YEAR(B4)&lt;&gt;A3</formula>
    </cfRule>
    <cfRule type="expression" dxfId="39" priority="153" stopIfTrue="1">
      <formula>AND(B4="D",C4&lt;&gt;"D")</formula>
    </cfRule>
  </conditionalFormatting>
  <conditionalFormatting sqref="B6 H6 N6 T6 Z6 AF6 AL6 AR6 AX6 BD6 BJ6 BP6 BV6">
    <cfRule type="expression" dxfId="38" priority="158" stopIfTrue="1">
      <formula>YEAR(B6)&lt;&gt;A3</formula>
    </cfRule>
  </conditionalFormatting>
  <conditionalFormatting sqref="B4:BY6">
    <cfRule type="cellIs" dxfId="37" priority="1166" stopIfTrue="1" operator="equal">
      <formula>"D"</formula>
    </cfRule>
  </conditionalFormatting>
  <conditionalFormatting sqref="BD11:BG11 AX11:BA11 AR11:AU11 AL11:AO11 AF11:AI11 Z11:AC11 T11:W11 N11:Q11 H11:K11 B11:E11">
    <cfRule type="expression" dxfId="36" priority="152" stopIfTrue="1">
      <formula>B6&lt;&gt;"D"</formula>
    </cfRule>
  </conditionalFormatting>
  <conditionalFormatting sqref="B6">
    <cfRule type="expression" dxfId="35" priority="110" stopIfTrue="1">
      <formula>AND(B6="D",D6&lt;H_i)</formula>
    </cfRule>
  </conditionalFormatting>
  <conditionalFormatting sqref="H6 N6 T6 Z6 AL6 AR6 BD6 BJ6 BP6 BV6 AF6 AX6">
    <cfRule type="expression" dxfId="34" priority="1167" stopIfTrue="1">
      <formula>AND(H6="D",J6&lt;D16)</formula>
    </cfRule>
  </conditionalFormatting>
  <conditionalFormatting sqref="E7 K7 Q7 W7 AC7 AI7 AO7 AU7 BA7 BG7 BM7 BS7 BY7">
    <cfRule type="cellIs" dxfId="33" priority="27" stopIfTrue="1" operator="lessThan">
      <formula>0.01</formula>
    </cfRule>
    <cfRule type="cellIs" dxfId="32" priority="28" stopIfTrue="1" operator="greaterThan">
      <formula>0.05</formula>
    </cfRule>
  </conditionalFormatting>
  <conditionalFormatting sqref="BJ11">
    <cfRule type="expression" dxfId="31" priority="6" stopIfTrue="1">
      <formula>BJ6&lt;&gt;"D"</formula>
    </cfRule>
  </conditionalFormatting>
  <conditionalFormatting sqref="BP11">
    <cfRule type="expression" dxfId="30" priority="5" stopIfTrue="1">
      <formula>BP6&lt;&gt;"D"</formula>
    </cfRule>
  </conditionalFormatting>
  <conditionalFormatting sqref="BV11">
    <cfRule type="expression" dxfId="29" priority="4" stopIfTrue="1">
      <formula>BV6&lt;&gt;"D"</formula>
    </cfRule>
  </conditionalFormatting>
  <conditionalFormatting sqref="B9:C9 H9:I9 N9:O9 T9:U9 Z9 AF9:AG9 AL9 AR9:AS9 AX9:AY9 BD9:BE9 BJ9:BK9 BP9:BQ9 BV9">
    <cfRule type="expression" dxfId="28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7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5"/>
  <dimension ref="A1:AN385"/>
  <sheetViews>
    <sheetView workbookViewId="0">
      <pane xSplit="22" ySplit="28" topLeftCell="AA368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3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YEAR(E6)</f>
        <v>2018</v>
      </c>
      <c r="K1" s="1263"/>
      <c r="L1" s="113" t="str">
        <f>"Calcul pertes et enveloppes en "&amp;TEXT(An,0)</f>
        <v>Calcul pertes et enveloppes en 2018</v>
      </c>
      <c r="M1" s="245"/>
      <c r="N1" s="245"/>
      <c r="O1" s="458"/>
      <c r="P1" s="458"/>
      <c r="Q1" s="458"/>
      <c r="R1" s="458"/>
      <c r="S1" s="458"/>
      <c r="T1" s="458"/>
      <c r="U1" s="458"/>
      <c r="V1" s="458"/>
      <c r="W1" s="456"/>
      <c r="X1" s="487" t="str">
        <f>"Prévision sans nettoyage ni taille végétation en "&amp;TEXT(An,0)</f>
        <v>Prévision sans nettoyage ni taille végétation en 2018</v>
      </c>
      <c r="Y1" s="488"/>
      <c r="Z1" s="489"/>
      <c r="AA1" s="490"/>
      <c r="AB1" s="491"/>
      <c r="AC1" s="492"/>
      <c r="AD1" s="492"/>
      <c r="AE1" s="492"/>
      <c r="AF1" s="458"/>
      <c r="AG1" s="458"/>
      <c r="AH1" s="458"/>
      <c r="AI1" s="492"/>
      <c r="AL1" s="854" t="s">
        <v>269</v>
      </c>
    </row>
    <row r="2" spans="1:40" s="6" customFormat="1" ht="16.5" thickBot="1" x14ac:dyDescent="0.3"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98"/>
      <c r="AD2" s="498"/>
      <c r="AE2" s="498"/>
      <c r="AF2" s="462"/>
      <c r="AG2" s="499"/>
      <c r="AH2" s="500"/>
      <c r="AI2" s="498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67">
        <v>44947</v>
      </c>
      <c r="F3" s="1268"/>
      <c r="G3" s="616">
        <f>YEAR(Tmaj)</f>
        <v>2023</v>
      </c>
      <c r="H3" s="565"/>
      <c r="I3" s="565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 t="s">
        <v>96</v>
      </c>
      <c r="Y3" s="503"/>
      <c r="Z3" s="504"/>
      <c r="AA3" s="498"/>
      <c r="AB3" s="498"/>
      <c r="AC3" s="505"/>
      <c r="AD3" s="495"/>
      <c r="AE3" s="505"/>
      <c r="AF3" s="495"/>
      <c r="AG3" s="499"/>
      <c r="AH3" s="500"/>
      <c r="AI3" s="505"/>
      <c r="AJ3" s="858">
        <f>AL11-AJ11</f>
        <v>0</v>
      </c>
      <c r="AK3" s="859">
        <f>AM11-AK11</f>
        <v>0</v>
      </c>
      <c r="AL3" s="858"/>
      <c r="AM3" s="859"/>
      <c r="AN3" s="857" t="s">
        <v>270</v>
      </c>
    </row>
    <row r="4" spans="1:40" s="19" customFormat="1" ht="16.5" customHeight="1" thickBot="1" x14ac:dyDescent="0.3">
      <c r="D4" s="105" t="s">
        <v>133</v>
      </c>
      <c r="E4" s="1269" t="s">
        <v>286</v>
      </c>
      <c r="F4" s="1270"/>
      <c r="G4" s="1270"/>
      <c r="H4" s="1270"/>
      <c r="I4" s="1271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505"/>
      <c r="AD4" s="505"/>
      <c r="AE4" s="505"/>
      <c r="AF4" s="495"/>
      <c r="AG4" s="499"/>
      <c r="AH4" s="500"/>
      <c r="AI4" s="505"/>
      <c r="AJ4" s="858">
        <f>AL12-AJ12</f>
        <v>0</v>
      </c>
      <c r="AK4" s="859">
        <f>AM12-AK12</f>
        <v>0</v>
      </c>
      <c r="AL4" s="858"/>
      <c r="AM4" s="859"/>
      <c r="AN4" s="857" t="s">
        <v>271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67">
        <v>43313</v>
      </c>
      <c r="F5" s="1268"/>
      <c r="G5" s="560"/>
      <c r="H5" s="560"/>
      <c r="I5" s="560"/>
      <c r="J5" s="19"/>
      <c r="K5" s="194"/>
      <c r="L5" s="506"/>
      <c r="M5" s="505"/>
      <c r="N5" s="505"/>
      <c r="O5" s="428"/>
      <c r="P5" s="508"/>
      <c r="Q5" s="508"/>
      <c r="R5" s="495"/>
      <c r="S5" s="499"/>
      <c r="T5" s="499"/>
      <c r="U5" s="495"/>
      <c r="V5" s="507"/>
      <c r="W5" s="508"/>
      <c r="X5" s="509"/>
      <c r="Y5" s="510"/>
      <c r="Z5" s="238">
        <f>Wh_Psa_s-Wh_Psa</f>
        <v>0</v>
      </c>
      <c r="AA5" s="239">
        <f>Wh_Pvg_s-Wh_Pvg</f>
        <v>0</v>
      </c>
      <c r="AB5" s="514" t="s">
        <v>6</v>
      </c>
      <c r="AC5" s="495"/>
      <c r="AD5" s="505"/>
      <c r="AE5" s="508"/>
      <c r="AF5" s="495"/>
      <c r="AG5" s="499"/>
      <c r="AH5" s="500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57" t="s">
        <v>267</v>
      </c>
    </row>
    <row r="6" spans="1:40" s="6" customFormat="1" ht="16.5" customHeight="1" thickBot="1" x14ac:dyDescent="0.3">
      <c r="A6" s="35"/>
      <c r="B6" s="180"/>
      <c r="C6" s="180"/>
      <c r="D6" s="106" t="s">
        <v>11</v>
      </c>
      <c r="E6" s="1267">
        <v>43354</v>
      </c>
      <c r="F6" s="1268"/>
      <c r="G6" s="576"/>
      <c r="H6" s="557"/>
      <c r="I6" s="557"/>
      <c r="J6" s="35"/>
      <c r="K6" s="195"/>
      <c r="L6" s="154" t="s">
        <v>83</v>
      </c>
      <c r="M6" s="41"/>
      <c r="N6" s="41"/>
      <c r="O6" s="508"/>
      <c r="P6" s="498"/>
      <c r="Q6" s="498"/>
      <c r="R6" s="515"/>
      <c r="S6" s="499"/>
      <c r="T6" s="499"/>
      <c r="U6" s="515"/>
      <c r="V6" s="500"/>
      <c r="W6" s="462"/>
      <c r="X6" s="497"/>
      <c r="Y6" s="498"/>
      <c r="Z6" s="462"/>
      <c r="AA6" s="462"/>
      <c r="AB6" s="516"/>
      <c r="AC6" s="500"/>
      <c r="AD6" s="515"/>
      <c r="AE6" s="515"/>
      <c r="AF6" s="500"/>
      <c r="AG6" s="499"/>
      <c r="AH6" s="499"/>
      <c r="AI6" s="500"/>
      <c r="AJ6" s="516">
        <f>SUMIF(AJ15:AJ380,"FAUX",Wh)</f>
        <v>1364.6160000000002</v>
      </c>
      <c r="AK6" s="516">
        <f>SUMIF(AK15:AK380,"FAUX",Wh)</f>
        <v>1364.6160000000002</v>
      </c>
      <c r="AL6" s="516">
        <f>SUMIF(AJ15:AJ380,"FAUX",Wh_s)</f>
        <v>1364.6160000000002</v>
      </c>
      <c r="AM6" s="516">
        <f>SUMIF(AK15:AK380,"FAUX",Wh_s)</f>
        <v>1364.6160000000002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AND(YEAR(Tnet)=An,Resal_2018="I")</f>
        <v>0</v>
      </c>
      <c r="F7" s="322" t="b">
        <f>YEAR(Tnet)=An</f>
        <v>1</v>
      </c>
      <c r="J7" s="180"/>
      <c r="K7" s="193"/>
      <c r="L7" s="191" t="s">
        <v>81</v>
      </c>
      <c r="M7" s="868"/>
      <c r="N7" s="868"/>
      <c r="O7" s="498"/>
      <c r="P7" s="250"/>
      <c r="Q7" s="250"/>
      <c r="R7" s="517"/>
      <c r="S7" s="517"/>
      <c r="T7" s="517"/>
      <c r="U7" s="250"/>
      <c r="V7" s="428"/>
      <c r="W7" s="518"/>
      <c r="X7" s="519"/>
      <c r="Y7" s="250"/>
      <c r="Z7" s="518"/>
      <c r="AA7" s="518"/>
      <c r="AB7" s="250"/>
      <c r="AC7" s="498"/>
      <c r="AD7" s="250"/>
      <c r="AE7" s="250"/>
      <c r="AF7" s="493"/>
      <c r="AG7" s="493"/>
      <c r="AH7" s="493"/>
      <c r="AI7" s="493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57" t="s">
        <v>259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2" t="b">
        <f>AND(YEAR(Tnet)=An,Tnet&gt;T0,Resal_2018&lt;&gt;"I")</f>
        <v>0</v>
      </c>
      <c r="F8" s="323" t="b">
        <f>AND(YEAR(Ttai)=An,Ttai&gt;DATE(An,1,1))</f>
        <v>0</v>
      </c>
      <c r="H8" s="181" t="s">
        <v>76</v>
      </c>
      <c r="I8" s="98"/>
      <c r="J8" s="158"/>
      <c r="K8" s="193"/>
      <c r="L8" s="114"/>
      <c r="M8" s="114"/>
      <c r="N8" s="114"/>
      <c r="O8" s="520" t="s">
        <v>95</v>
      </c>
      <c r="P8" s="498"/>
      <c r="Q8" s="498"/>
      <c r="R8" s="498"/>
      <c r="S8" s="498"/>
      <c r="T8" s="498"/>
      <c r="U8" s="498"/>
      <c r="W8" s="406"/>
      <c r="X8" s="1260" t="s">
        <v>102</v>
      </c>
      <c r="Y8" s="1261"/>
      <c r="Z8" s="498"/>
      <c r="AA8" s="498"/>
      <c r="AB8" s="462"/>
      <c r="AC8" s="520" t="s">
        <v>95</v>
      </c>
      <c r="AD8" s="462"/>
      <c r="AE8" s="462"/>
      <c r="AF8" s="462"/>
      <c r="AG8" s="462"/>
      <c r="AH8" s="462"/>
      <c r="AI8" s="462"/>
      <c r="AJ8" s="516">
        <f>SUMIF(AJ15:AJ380,"FAUX",Wh_pvt)</f>
        <v>1367.7023772712794</v>
      </c>
      <c r="AK8" s="516">
        <f>SUMIF(AK15:AK380,"FAUX",Wh_sa)</f>
        <v>1398.3235413237048</v>
      </c>
      <c r="AL8" s="516">
        <f>SUMIF(AJ15:AJ380,"FAUX",Wh_pvt_s)</f>
        <v>1367.7023772712794</v>
      </c>
      <c r="AM8" s="516">
        <f>SUMIF(AK15:AK380,"FAUX",Wh_sa_s)</f>
        <v>1398.3235413237048</v>
      </c>
      <c r="AN8" s="857" t="s">
        <v>260</v>
      </c>
    </row>
    <row r="9" spans="1:40" s="19" customFormat="1" ht="15" customHeight="1" x14ac:dyDescent="0.25">
      <c r="A9" s="185"/>
      <c r="D9" s="73">
        <f>SUM(D$15:D$380)</f>
        <v>1367.7023772712794</v>
      </c>
      <c r="E9" s="73">
        <f>SUM(E$15:E$380)</f>
        <v>1398.3235413237048</v>
      </c>
      <c r="F9" s="73">
        <f>SUM(F$15:F$380)</f>
        <v>1403.1758466090839</v>
      </c>
      <c r="H9" s="1264">
        <f>+SUM(Wh)</f>
        <v>1364.6160000000002</v>
      </c>
      <c r="I9" s="1265"/>
      <c r="J9" s="1266"/>
      <c r="K9" s="193"/>
      <c r="L9" s="114"/>
      <c r="M9" s="114"/>
      <c r="N9" s="114"/>
      <c r="O9" s="327">
        <f>MAX(T0,Tnet_2018)</f>
        <v>43313</v>
      </c>
      <c r="P9" s="246" t="s">
        <v>112</v>
      </c>
      <c r="Q9" s="247"/>
      <c r="R9" s="247"/>
      <c r="S9" s="247"/>
      <c r="T9" s="247"/>
      <c r="U9" s="247"/>
      <c r="V9" s="462"/>
      <c r="W9" s="521"/>
      <c r="X9" s="1258">
        <f>+SUM(Wh_s)</f>
        <v>1364.6160000000002</v>
      </c>
      <c r="Y9" s="1259"/>
      <c r="Z9" s="516">
        <f>SUM(Z$15:Z$380)</f>
        <v>1367.7023772712794</v>
      </c>
      <c r="AA9" s="516">
        <f>SUM(AA$15:AA$380)</f>
        <v>1398.3235413237048</v>
      </c>
      <c r="AB9" s="516">
        <f>F9</f>
        <v>1403.1758466090839</v>
      </c>
      <c r="AC9" s="327">
        <f>IF(An_Tnet,Tnet,T0)</f>
        <v>43313</v>
      </c>
      <c r="AD9" s="317" t="s">
        <v>103</v>
      </c>
      <c r="AE9" s="318"/>
      <c r="AF9" s="318"/>
      <c r="AG9" s="318"/>
      <c r="AH9" s="318"/>
      <c r="AI9" s="319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K10" s="195"/>
      <c r="L10" s="114"/>
      <c r="M10" s="114"/>
      <c r="N10" s="114"/>
      <c r="O10" s="320">
        <f>IF(Inflex,Salim_i*(1-EXP((T0-Tnet)/Tau_j)),IF(Acti_net,Resal_2018,0))</f>
        <v>0</v>
      </c>
      <c r="P10" s="421" t="b">
        <f>NOT(Acti_tai)</f>
        <v>1</v>
      </c>
      <c r="Q10" s="259">
        <f>IF(Acti_tai,0,Dens-Dd)</f>
        <v>0</v>
      </c>
      <c r="R10" s="262"/>
      <c r="S10" s="263"/>
      <c r="T10" s="265"/>
      <c r="U10" s="268">
        <f>IF(Acti_tai,PousHi,Htf_2018-H_i)</f>
        <v>0.70000000000000018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IF(OR(Inflex,GainD),Salim_i*(1-EXP((T0-Tnet)/Tau_ij)),IF(Acti_net,Salim_i*(1-EXP((T0-Tnet)/Tau_ij)),0))</f>
        <v>0</v>
      </c>
      <c r="AD10" s="428"/>
      <c r="AE10" s="428"/>
      <c r="AF10" s="262"/>
      <c r="AG10" s="263"/>
      <c r="AH10" s="264"/>
      <c r="AI10" s="428"/>
      <c r="AJ10" s="516">
        <f>SUMIF(AJ15:AJ380,"FAUX",Wh_sa)</f>
        <v>1398.3235413237048</v>
      </c>
      <c r="AK10" s="516">
        <f>SUMIF(AK15:AK380,"FAUX",Wh_hp)</f>
        <v>1403.1758466090839</v>
      </c>
      <c r="AL10" s="516">
        <f>SUMIF(AJ15:AJ380,"FAUX",Wh_sa_s)</f>
        <v>1398.3235413237048</v>
      </c>
      <c r="AM10" s="516">
        <f>SUMIF(AK15:AK380,"FAUX",Wh_hp)</f>
        <v>1403.1758466090839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220">
        <f>D$9-Prod_an</f>
        <v>3.0863772712791615</v>
      </c>
      <c r="E11" s="221">
        <f>(E$9-D$9)*Prod_an/D$9</f>
        <v>30.552063883907749</v>
      </c>
      <c r="F11" s="222">
        <f>(F$9-E$9)*Prod_an/E$9</f>
        <v>4.7353371617019926</v>
      </c>
      <c r="G11" s="187" t="s">
        <v>6</v>
      </c>
      <c r="K11" s="196"/>
      <c r="L11" s="184">
        <f>Tvie_2018</f>
        <v>43313</v>
      </c>
      <c r="M11" s="869"/>
      <c r="N11" s="869"/>
      <c r="O11" s="320">
        <f>Salim_2018</f>
        <v>0.21</v>
      </c>
      <c r="P11" s="258">
        <f>Ttai_2018</f>
        <v>43101</v>
      </c>
      <c r="Q11" s="274">
        <f>Dens_2018</f>
        <v>1</v>
      </c>
      <c r="R11" s="524"/>
      <c r="S11" s="249"/>
      <c r="T11" s="525"/>
      <c r="U11" s="268">
        <f>Htf_2018</f>
        <v>-2.1002240119956488</v>
      </c>
      <c r="V11" s="428"/>
      <c r="W11" s="519"/>
      <c r="X11" s="526" t="s">
        <v>43</v>
      </c>
      <c r="Y11" s="50">
        <f>Z$9-Prod_an_s</f>
        <v>3.0863772712791615</v>
      </c>
      <c r="Z11" s="51">
        <f>(AA$9-Z$9)*Prod_an_s/Z$9</f>
        <v>30.552063883907749</v>
      </c>
      <c r="AA11" s="188">
        <f>(AB$9-AA$9)*Prod_an_s/AA$9</f>
        <v>4.7353371617019926</v>
      </c>
      <c r="AB11" s="527" t="s">
        <v>6</v>
      </c>
      <c r="AC11" s="473"/>
      <c r="AD11" s="258"/>
      <c r="AE11" s="274" t="str">
        <f>IF(Acti_tai,IF(GainD,Di,Dd)+PousD*Croi_tai,"NA")</f>
        <v>NA</v>
      </c>
      <c r="AF11" s="249"/>
      <c r="AG11" s="249"/>
      <c r="AH11" s="249"/>
      <c r="AI11" s="268" t="str">
        <f>IF(Acti_tai,IF(GainD,H_i,Hdd)+PousH*Croi_tai,"NA")</f>
        <v>NA</v>
      </c>
      <c r="AJ11" s="858">
        <f>IF($AJ7=0,0,($AJ9-$AJ7)*$AJ5/$AJ7)</f>
        <v>0</v>
      </c>
      <c r="AK11" s="859">
        <f>IF($AK7=0,0,($AK9-$AK7)*$AK5/$AK7)</f>
        <v>0</v>
      </c>
      <c r="AL11" s="858">
        <f>IF($AL7=0,0,($AL9-$AL7)*$AL5/$AL7)</f>
        <v>0</v>
      </c>
      <c r="AM11" s="859">
        <f>IF($AM7=0,0,($AM9-$AM7)*$AM5/$AM7)</f>
        <v>0</v>
      </c>
      <c r="AN11" s="857" t="s">
        <v>272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3" t="s">
        <v>17</v>
      </c>
      <c r="G12" s="109">
        <f>G383-1</f>
        <v>-1.3590897213071607E-2</v>
      </c>
      <c r="I12" s="102"/>
      <c r="J12" s="99"/>
      <c r="K12" s="193"/>
      <c r="L12" s="206">
        <f>Pspv_2018</f>
        <v>0</v>
      </c>
      <c r="M12" s="214"/>
      <c r="N12" s="214"/>
      <c r="O12" s="528">
        <f>Tau_2018*365</f>
        <v>912.5</v>
      </c>
      <c r="P12" s="529">
        <f>INDEX(Croivg,MIN(MAX(Ttai-$A$15,0)+1,366))</f>
        <v>2.3909964587625958E-6</v>
      </c>
      <c r="Q12" s="298">
        <f>D_i</f>
        <v>1</v>
      </c>
      <c r="R12" s="280"/>
      <c r="S12" s="281"/>
      <c r="T12" s="530"/>
      <c r="U12" s="299">
        <f>H_i</f>
        <v>-2.800224011995649</v>
      </c>
      <c r="V12" s="518"/>
      <c r="W12" s="505"/>
      <c r="X12" s="506"/>
      <c r="Y12" s="505"/>
      <c r="Z12" s="428"/>
      <c r="AA12" s="428"/>
      <c r="AB12" s="505"/>
      <c r="AC12" s="320" t="b">
        <f>NOT(An_Tnet)</f>
        <v>0</v>
      </c>
      <c r="AD12" s="428"/>
      <c r="AE12" s="298">
        <f>D_i</f>
        <v>1</v>
      </c>
      <c r="AF12" s="205"/>
      <c r="AG12" s="205"/>
      <c r="AH12" s="205"/>
      <c r="AI12" s="299">
        <f>H_i</f>
        <v>-2.800224011995649</v>
      </c>
      <c r="AJ12" s="858">
        <f>IF($AJ8=0,0,($AJ10-$AJ8)*$AJ6/$AJ8)</f>
        <v>30.552063883907749</v>
      </c>
      <c r="AK12" s="859">
        <f>IF($AK8=0,0,($AK10-$AK8)*$AK6/$AK8)</f>
        <v>4.7353371617019926</v>
      </c>
      <c r="AL12" s="858">
        <f>IF($AL8=0,0,($AL10-$AL8)*$AL6/$AL8)</f>
        <v>30.552063883907749</v>
      </c>
      <c r="AM12" s="859">
        <f>IF($AM8=0,0,($AM10-$AM8)*$AM6/$AM8)</f>
        <v>4.7353371617019926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204</v>
      </c>
      <c r="V13" s="124" t="s">
        <v>41</v>
      </c>
      <c r="W13" s="862" t="s">
        <v>46</v>
      </c>
      <c r="X13" s="261"/>
      <c r="Y13" s="124" t="s">
        <v>119</v>
      </c>
      <c r="Z13" s="124" t="s">
        <v>120</v>
      </c>
      <c r="AA13" s="124" t="s">
        <v>121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30.552063883907749</v>
      </c>
      <c r="AK13" s="73">
        <f>+AK11+AK12</f>
        <v>4.7353371617019926</v>
      </c>
      <c r="AL13" s="73">
        <f>+AL11+AL12</f>
        <v>30.552063883907749</v>
      </c>
      <c r="AM13" s="73">
        <f>+AM11+AM12</f>
        <v>4.7353371617019926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391" t="s">
        <v>189</v>
      </c>
      <c r="C14" s="391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210</v>
      </c>
      <c r="V14" s="45" t="str">
        <f>"Enveloppe "&amp; TEXT(An,0)</f>
        <v>Enveloppe 2018</v>
      </c>
      <c r="W14" s="435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56">
        <f>DATE(An,1,1)</f>
        <v>43101</v>
      </c>
      <c r="B15" s="621"/>
      <c r="C15" s="879"/>
      <c r="D15" s="395"/>
      <c r="E15" s="387"/>
      <c r="F15" s="387"/>
      <c r="G15" s="110"/>
      <c r="I15" s="381">
        <f t="shared" ref="I15:I78" si="0">Wh_hp</f>
        <v>0</v>
      </c>
      <c r="J15" s="84">
        <v>2018</v>
      </c>
      <c r="K15" s="199">
        <f t="shared" ref="K15:K78" si="1">t</f>
        <v>43101</v>
      </c>
      <c r="L15" s="437">
        <f t="shared" ref="L15:L78" si="2">IF(t&lt;T0,0,IF(t&lt;Tvie,1-EXP((T0-t)*PertePVj),1-EXP((T0-t)*PertePVj)+Pspv))</f>
        <v>0</v>
      </c>
      <c r="M15" s="881"/>
      <c r="N15" s="881"/>
      <c r="O15" s="326">
        <f t="shared" ref="O15:O78" si="3">IF(t&lt;T0,0,IF(t&lt;Tnet,Salim_i*(1-EXP((T0-t)/Tau_ij)),Resal+(Salim-Resal)*(1-EXP((Tnet-t)/(Tau_j)))))*Salcycl</f>
        <v>0</v>
      </c>
      <c r="P15" s="304">
        <f>(INDEX(Models!$BJ15:$BT15,,T15)*(1-R15)+INDEX(Models!$BJ15:$BT15,,T15+1)*R15-ERP_i)*Q15*Ramure*Pc/MaxiM</f>
        <v>2.5044477411095502E-8</v>
      </c>
      <c r="Q15" s="305">
        <f>IF(OR(t&lt;Ttai,Notai),Dd+PousD*Croivg,Dens+PousD*(Croivg-Croi_tai))</f>
        <v>1</v>
      </c>
      <c r="R15" s="306">
        <f t="shared" ref="R15:R78" si="4">(Hp_vg-S15)/(INDEX(Echel_vg,T15+1)-S15)</f>
        <v>0.19977766170187206</v>
      </c>
      <c r="S15" s="836">
        <f>INDEX(Echel_vg,T15)</f>
        <v>-3</v>
      </c>
      <c r="T15" s="251">
        <f>MIN(MATCH(Hp_vg,Echel_vg),10)</f>
        <v>3</v>
      </c>
      <c r="U15" s="252">
        <f>IF(OR(t&lt;Ttai,Notai),Hdd+PousH*Croivg,Hdtf+PousH*(Croivg-Croi_tai))</f>
        <v>-2.8002223382981279</v>
      </c>
      <c r="V15" s="384">
        <f t="shared" ref="V15:V78" si="5">MaxiM*(1-Ppv)*(1-Pvg)*(1-Psa)</f>
        <v>19.03182729273664</v>
      </c>
      <c r="W15" s="58"/>
      <c r="X15" s="156">
        <f t="shared" ref="X15:X78" si="6">t</f>
        <v>43101</v>
      </c>
      <c r="Y15" s="387">
        <f t="shared" ref="Y15:Y78" si="7">Wh_pvt_s*(1-Ppv)</f>
        <v>0</v>
      </c>
      <c r="Z15" s="387">
        <f t="shared" ref="Z15:Z78" si="8">Wh_sa_s*(1-Psa_s)</f>
        <v>0</v>
      </c>
      <c r="AA15" s="388">
        <f t="shared" ref="AA15:AA78" si="9">Wh_hp*(1-Pvg_s*MEDIAN((-Sdif+Wh/Env_an)/Csdif,0,1))</f>
        <v>0</v>
      </c>
      <c r="AB15" s="199">
        <f t="shared" ref="AB15:AB78" si="10">t</f>
        <v>43101</v>
      </c>
      <c r="AC15" s="454">
        <f t="shared" ref="AC15:AC78" si="11">IF(t&lt;T0,0,IF(OR(t&lt;Tnet,NoTnet),Salim_i*(1-EXP((T0-t)/Tau_ij)),Resal_s+(Salim-Resal_s)*(1-EXP((Tnet_s-t)/Tau_j))))*Salcycl</f>
        <v>0</v>
      </c>
      <c r="AD15" s="304">
        <f>(INDEX(Models!$BJ15:$BT15,,AH15)*(1-AF15)+INDEX(Models!$BJ15:$BT15,,AH15+1)*AF15-ERP_i)*AE15*Ramure*Pc/MaxiM</f>
        <v>2.5044477411095502E-8</v>
      </c>
      <c r="AE15" s="305">
        <f t="shared" ref="AE15:AE78" si="12">Dd+PousD*Croivg</f>
        <v>1</v>
      </c>
      <c r="AF15" s="306">
        <f t="shared" ref="AF15:AF78" si="13">(Hp_vg_s-AG15)/(INDEX(Echel_vg,AH15+1)-AG15)</f>
        <v>0.19977766170187206</v>
      </c>
      <c r="AG15" s="836">
        <f>INDEX(Echel_vg,AH15)</f>
        <v>-3</v>
      </c>
      <c r="AH15" s="251">
        <f t="shared" ref="AH15:AH78" si="14">MIN(MATCH(Hp_vg_s,Echel_vg),10)</f>
        <v>3</v>
      </c>
      <c r="AI15" s="226">
        <f t="shared" ref="AI15:AI78" si="15">Hdd+PousH*Croivg</f>
        <v>-2.8002223382981279</v>
      </c>
      <c r="AJ15" s="267" t="b">
        <f t="shared" ref="AJ15:AJ78" si="16">t&lt;Tnet</f>
        <v>1</v>
      </c>
      <c r="AK15" s="267" t="b">
        <f t="shared" ref="AK15:AK78" si="17">t&lt;Ttai</f>
        <v>0</v>
      </c>
      <c r="AL15" s="267"/>
      <c r="AM15" s="267"/>
      <c r="AN15" s="75"/>
    </row>
    <row r="16" spans="1:40" s="6" customFormat="1" ht="11.25" customHeight="1" x14ac:dyDescent="0.2">
      <c r="A16" s="56">
        <f>A15+1</f>
        <v>43102</v>
      </c>
      <c r="B16" s="622"/>
      <c r="C16" s="879"/>
      <c r="D16" s="395"/>
      <c r="E16" s="387"/>
      <c r="F16" s="387"/>
      <c r="G16" s="110"/>
      <c r="I16" s="382">
        <f t="shared" si="0"/>
        <v>0</v>
      </c>
      <c r="J16" s="85">
        <v>2018</v>
      </c>
      <c r="K16" s="199">
        <f t="shared" si="1"/>
        <v>43102</v>
      </c>
      <c r="L16" s="437">
        <f t="shared" si="2"/>
        <v>0</v>
      </c>
      <c r="M16" s="881"/>
      <c r="N16" s="881"/>
      <c r="O16" s="326">
        <f t="shared" si="3"/>
        <v>0</v>
      </c>
      <c r="P16" s="171">
        <f>(INDEX(Models!$BJ16:$BT16,,T16)*(1-R16)+INDEX(Models!$BJ16:$BT16,,T16+1)*R16-ERP_i)*Q16*Ramure*Pc/MaxiM</f>
        <v>6.3723091447875131E-7</v>
      </c>
      <c r="Q16" s="307">
        <f t="shared" ref="Q16:Q78" si="18">IF(OR(t&lt;Ttai,Notai),Dd+PousD*Croivg,Dens+PousD*(Croivg-Croi_tai))</f>
        <v>1</v>
      </c>
      <c r="R16" s="179">
        <f t="shared" si="4"/>
        <v>0.1998185621614641</v>
      </c>
      <c r="S16" s="837">
        <f t="shared" ref="S16:S79" si="19">INDEX(Echel_vg,T16)</f>
        <v>-3</v>
      </c>
      <c r="T16" s="178">
        <f t="shared" ref="T16:T78" si="20">MIN(MATCH(Hp_vg,Echel_vg),10)</f>
        <v>3</v>
      </c>
      <c r="U16" s="253">
        <f t="shared" ref="U16:U78" si="21">IF(OR(t&lt;Ttai,Notai),Hdd+PousH*Croivg,Hdtf+PousH*(Croivg-Croi_tai))</f>
        <v>-2.8001814378385359</v>
      </c>
      <c r="V16" s="385">
        <f t="shared" si="5"/>
        <v>19.167658365320399</v>
      </c>
      <c r="W16" s="58"/>
      <c r="X16" s="157">
        <f t="shared" si="6"/>
        <v>43102</v>
      </c>
      <c r="Y16" s="387">
        <f t="shared" si="7"/>
        <v>0</v>
      </c>
      <c r="Z16" s="387">
        <f t="shared" si="8"/>
        <v>0</v>
      </c>
      <c r="AA16" s="388">
        <f t="shared" si="9"/>
        <v>0</v>
      </c>
      <c r="AB16" s="199">
        <f t="shared" si="10"/>
        <v>43102</v>
      </c>
      <c r="AC16" s="426">
        <f t="shared" si="11"/>
        <v>0</v>
      </c>
      <c r="AD16" s="171">
        <f>(INDEX(Models!$BJ16:$BT16,,AH16)*(1-AF16)+INDEX(Models!$BJ16:$BT16,,AH16+1)*AF16-ERP_i)*AE16*Ramure*Pc/MaxiM</f>
        <v>6.3723091447875131E-7</v>
      </c>
      <c r="AE16" s="307">
        <f t="shared" si="12"/>
        <v>1</v>
      </c>
      <c r="AF16" s="179">
        <f t="shared" si="13"/>
        <v>0.1998185621614641</v>
      </c>
      <c r="AG16" s="837">
        <f t="shared" ref="AG16:AG78" si="22">INDEX(Echel_vg,AH16)</f>
        <v>-3</v>
      </c>
      <c r="AH16" s="178">
        <f t="shared" si="14"/>
        <v>3</v>
      </c>
      <c r="AI16" s="227">
        <f t="shared" si="15"/>
        <v>-2.8001814378385359</v>
      </c>
      <c r="AJ16" s="267" t="b">
        <f t="shared" si="16"/>
        <v>1</v>
      </c>
      <c r="AK16" s="267" t="b">
        <f t="shared" si="17"/>
        <v>0</v>
      </c>
      <c r="AL16" s="267"/>
      <c r="AM16" s="267"/>
      <c r="AN16" s="75"/>
    </row>
    <row r="17" spans="1:40" s="6" customFormat="1" ht="11.25" customHeight="1" x14ac:dyDescent="0.2">
      <c r="A17" s="56">
        <f t="shared" ref="A17:A80" si="23">A16+1</f>
        <v>43103</v>
      </c>
      <c r="B17" s="622"/>
      <c r="C17" s="879"/>
      <c r="D17" s="395"/>
      <c r="E17" s="387"/>
      <c r="F17" s="387"/>
      <c r="G17" s="110"/>
      <c r="I17" s="382">
        <f t="shared" si="0"/>
        <v>0</v>
      </c>
      <c r="J17" s="85">
        <v>2018</v>
      </c>
      <c r="K17" s="199">
        <f t="shared" si="1"/>
        <v>43103</v>
      </c>
      <c r="L17" s="437">
        <f t="shared" si="2"/>
        <v>0</v>
      </c>
      <c r="M17" s="881"/>
      <c r="N17" s="881"/>
      <c r="O17" s="326">
        <f t="shared" si="3"/>
        <v>0</v>
      </c>
      <c r="P17" s="171">
        <f>(INDEX(Models!$BJ17:$BT17,,T17)*(1-R17)+INDEX(Models!$BJ17:$BT17,,T17+1)*R17-ERP_i)*Q17*Ramure*Pc/MaxiM</f>
        <v>1.2756331327774575E-6</v>
      </c>
      <c r="Q17" s="307">
        <f t="shared" si="18"/>
        <v>1</v>
      </c>
      <c r="R17" s="179">
        <f t="shared" si="4"/>
        <v>0.19986117339514964</v>
      </c>
      <c r="S17" s="837">
        <f t="shared" si="19"/>
        <v>-3</v>
      </c>
      <c r="T17" s="178">
        <f t="shared" si="20"/>
        <v>3</v>
      </c>
      <c r="U17" s="253">
        <f t="shared" si="21"/>
        <v>-2.8001388266048504</v>
      </c>
      <c r="V17" s="385">
        <f t="shared" si="5"/>
        <v>19.312514606493068</v>
      </c>
      <c r="W17" s="58"/>
      <c r="X17" s="157">
        <f t="shared" si="6"/>
        <v>43103</v>
      </c>
      <c r="Y17" s="387">
        <f t="shared" si="7"/>
        <v>0</v>
      </c>
      <c r="Z17" s="387">
        <f t="shared" si="8"/>
        <v>0</v>
      </c>
      <c r="AA17" s="388">
        <f t="shared" si="9"/>
        <v>0</v>
      </c>
      <c r="AB17" s="199">
        <f t="shared" si="10"/>
        <v>43103</v>
      </c>
      <c r="AC17" s="426">
        <f t="shared" si="11"/>
        <v>0</v>
      </c>
      <c r="AD17" s="171">
        <f>(INDEX(Models!$BJ17:$BT17,,AH17)*(1-AF17)+INDEX(Models!$BJ17:$BT17,,AH17+1)*AF17-ERP_i)*AE17*Ramure*Pc/MaxiM</f>
        <v>1.2756331327774575E-6</v>
      </c>
      <c r="AE17" s="307">
        <f t="shared" si="12"/>
        <v>1</v>
      </c>
      <c r="AF17" s="179">
        <f t="shared" si="13"/>
        <v>0.19986117339514964</v>
      </c>
      <c r="AG17" s="837">
        <f t="shared" si="22"/>
        <v>-3</v>
      </c>
      <c r="AH17" s="178">
        <f t="shared" si="14"/>
        <v>3</v>
      </c>
      <c r="AI17" s="227">
        <f t="shared" si="15"/>
        <v>-2.8001388266048504</v>
      </c>
      <c r="AJ17" s="267" t="b">
        <f t="shared" si="16"/>
        <v>1</v>
      </c>
      <c r="AK17" s="267" t="b">
        <f t="shared" si="17"/>
        <v>0</v>
      </c>
      <c r="AL17" s="267"/>
      <c r="AM17" s="267"/>
      <c r="AN17" s="75"/>
    </row>
    <row r="18" spans="1:40" s="6" customFormat="1" ht="11.25" customHeight="1" x14ac:dyDescent="0.2">
      <c r="A18" s="56">
        <f t="shared" si="23"/>
        <v>43104</v>
      </c>
      <c r="B18" s="622"/>
      <c r="C18" s="879"/>
      <c r="D18" s="395"/>
      <c r="E18" s="387"/>
      <c r="F18" s="387"/>
      <c r="G18" s="110"/>
      <c r="I18" s="382">
        <f t="shared" si="0"/>
        <v>0</v>
      </c>
      <c r="J18" s="85">
        <v>2018</v>
      </c>
      <c r="K18" s="199">
        <f t="shared" si="1"/>
        <v>43104</v>
      </c>
      <c r="L18" s="437">
        <f t="shared" si="2"/>
        <v>0</v>
      </c>
      <c r="M18" s="881"/>
      <c r="N18" s="881"/>
      <c r="O18" s="326">
        <f t="shared" si="3"/>
        <v>0</v>
      </c>
      <c r="P18" s="171">
        <f>(INDEX(Models!$BJ18:$BT18,,T18)*(1-R18)+INDEX(Models!$BJ18:$BT18,,T18+1)*R18-ERP_i)*Q18*Ramure*Pc/MaxiM</f>
        <v>1.9417850857026348E-6</v>
      </c>
      <c r="Q18" s="307">
        <f t="shared" si="18"/>
        <v>1</v>
      </c>
      <c r="R18" s="179">
        <f t="shared" si="4"/>
        <v>0.19990556673896265</v>
      </c>
      <c r="S18" s="837">
        <f t="shared" si="19"/>
        <v>-3</v>
      </c>
      <c r="T18" s="178">
        <f t="shared" si="20"/>
        <v>3</v>
      </c>
      <c r="U18" s="253">
        <f t="shared" si="21"/>
        <v>-2.8000944332610374</v>
      </c>
      <c r="V18" s="385">
        <f t="shared" si="5"/>
        <v>19.466131092075052</v>
      </c>
      <c r="W18" s="58"/>
      <c r="X18" s="157">
        <f t="shared" si="6"/>
        <v>43104</v>
      </c>
      <c r="Y18" s="387">
        <f t="shared" si="7"/>
        <v>0</v>
      </c>
      <c r="Z18" s="387">
        <f t="shared" si="8"/>
        <v>0</v>
      </c>
      <c r="AA18" s="388">
        <f t="shared" si="9"/>
        <v>0</v>
      </c>
      <c r="AB18" s="199">
        <f t="shared" si="10"/>
        <v>43104</v>
      </c>
      <c r="AC18" s="426">
        <f t="shared" si="11"/>
        <v>0</v>
      </c>
      <c r="AD18" s="171">
        <f>(INDEX(Models!$BJ18:$BT18,,AH18)*(1-AF18)+INDEX(Models!$BJ18:$BT18,,AH18+1)*AF18-ERP_i)*AE18*Ramure*Pc/MaxiM</f>
        <v>1.9417850857026348E-6</v>
      </c>
      <c r="AE18" s="307">
        <f t="shared" si="12"/>
        <v>1</v>
      </c>
      <c r="AF18" s="179">
        <f t="shared" si="13"/>
        <v>0.19990556673896265</v>
      </c>
      <c r="AG18" s="837">
        <f t="shared" si="22"/>
        <v>-3</v>
      </c>
      <c r="AH18" s="178">
        <f t="shared" si="14"/>
        <v>3</v>
      </c>
      <c r="AI18" s="227">
        <f t="shared" si="15"/>
        <v>-2.8000944332610374</v>
      </c>
      <c r="AJ18" s="267" t="b">
        <f t="shared" si="16"/>
        <v>1</v>
      </c>
      <c r="AK18" s="267" t="b">
        <f t="shared" si="17"/>
        <v>0</v>
      </c>
      <c r="AL18" s="267"/>
      <c r="AM18" s="267"/>
      <c r="AN18" s="75"/>
    </row>
    <row r="19" spans="1:40" s="6" customFormat="1" ht="11.25" customHeight="1" x14ac:dyDescent="0.2">
      <c r="A19" s="56">
        <f t="shared" si="23"/>
        <v>43105</v>
      </c>
      <c r="B19" s="622"/>
      <c r="C19" s="879"/>
      <c r="D19" s="395"/>
      <c r="E19" s="387"/>
      <c r="F19" s="387"/>
      <c r="G19" s="110"/>
      <c r="I19" s="382">
        <f t="shared" si="0"/>
        <v>0</v>
      </c>
      <c r="J19" s="85">
        <v>2018</v>
      </c>
      <c r="K19" s="199">
        <f t="shared" si="1"/>
        <v>43105</v>
      </c>
      <c r="L19" s="437">
        <f t="shared" si="2"/>
        <v>0</v>
      </c>
      <c r="M19" s="881"/>
      <c r="N19" s="881"/>
      <c r="O19" s="326">
        <f t="shared" si="3"/>
        <v>0</v>
      </c>
      <c r="P19" s="171">
        <f>(INDEX(Models!$BJ19:$BT19,,T19)*(1-R19)+INDEX(Models!$BJ19:$BT19,,T19+1)*R19-ERP_i)*Q19*Ramure*Pc/MaxiM</f>
        <v>2.6373185125523307E-6</v>
      </c>
      <c r="Q19" s="307">
        <f t="shared" si="18"/>
        <v>1</v>
      </c>
      <c r="R19" s="179">
        <f t="shared" si="4"/>
        <v>0.19995181648454885</v>
      </c>
      <c r="S19" s="837">
        <f t="shared" si="19"/>
        <v>-3</v>
      </c>
      <c r="T19" s="178">
        <f t="shared" si="20"/>
        <v>3</v>
      </c>
      <c r="U19" s="253">
        <f t="shared" si="21"/>
        <v>-2.8000481835154512</v>
      </c>
      <c r="V19" s="385">
        <f t="shared" si="5"/>
        <v>19.628242893788101</v>
      </c>
      <c r="W19" s="58"/>
      <c r="X19" s="157">
        <f t="shared" si="6"/>
        <v>43105</v>
      </c>
      <c r="Y19" s="387">
        <f t="shared" si="7"/>
        <v>0</v>
      </c>
      <c r="Z19" s="387">
        <f t="shared" si="8"/>
        <v>0</v>
      </c>
      <c r="AA19" s="388">
        <f t="shared" si="9"/>
        <v>0</v>
      </c>
      <c r="AB19" s="199">
        <f t="shared" si="10"/>
        <v>43105</v>
      </c>
      <c r="AC19" s="426">
        <f t="shared" si="11"/>
        <v>0</v>
      </c>
      <c r="AD19" s="171">
        <f>(INDEX(Models!$BJ19:$BT19,,AH19)*(1-AF19)+INDEX(Models!$BJ19:$BT19,,AH19+1)*AF19-ERP_i)*AE19*Ramure*Pc/MaxiM</f>
        <v>2.6373185125523307E-6</v>
      </c>
      <c r="AE19" s="307">
        <f t="shared" si="12"/>
        <v>1</v>
      </c>
      <c r="AF19" s="179">
        <f t="shared" si="13"/>
        <v>0.19995181648454885</v>
      </c>
      <c r="AG19" s="837">
        <f t="shared" si="22"/>
        <v>-3</v>
      </c>
      <c r="AH19" s="178">
        <f t="shared" si="14"/>
        <v>3</v>
      </c>
      <c r="AI19" s="227">
        <f t="shared" si="15"/>
        <v>-2.8000481835154512</v>
      </c>
      <c r="AJ19" s="267" t="b">
        <f t="shared" si="16"/>
        <v>1</v>
      </c>
      <c r="AK19" s="267" t="b">
        <f t="shared" si="17"/>
        <v>0</v>
      </c>
      <c r="AL19" s="267"/>
      <c r="AM19" s="267"/>
      <c r="AN19" s="75"/>
    </row>
    <row r="20" spans="1:40" s="6" customFormat="1" ht="11.25" customHeight="1" x14ac:dyDescent="0.2">
      <c r="A20" s="56">
        <f t="shared" si="23"/>
        <v>43106</v>
      </c>
      <c r="B20" s="622"/>
      <c r="C20" s="879"/>
      <c r="D20" s="395"/>
      <c r="E20" s="387"/>
      <c r="F20" s="387"/>
      <c r="G20" s="110"/>
      <c r="I20" s="382">
        <f t="shared" si="0"/>
        <v>0</v>
      </c>
      <c r="J20" s="85">
        <v>2018</v>
      </c>
      <c r="K20" s="199">
        <f t="shared" si="1"/>
        <v>43106</v>
      </c>
      <c r="L20" s="437">
        <f t="shared" si="2"/>
        <v>0</v>
      </c>
      <c r="M20" s="881"/>
      <c r="N20" s="881"/>
      <c r="O20" s="326">
        <f t="shared" si="3"/>
        <v>0</v>
      </c>
      <c r="P20" s="171">
        <f>(INDEX(Models!$BJ20:$BT20,,T20)*(1-R20)+INDEX(Models!$BJ20:$BT20,,T20+1)*R20-ERP_i)*Q20*Ramure*Pc/MaxiM</f>
        <v>3.3639663072518231E-6</v>
      </c>
      <c r="Q20" s="307">
        <f t="shared" si="18"/>
        <v>1</v>
      </c>
      <c r="R20" s="179">
        <f t="shared" si="4"/>
        <v>0.20000000000000018</v>
      </c>
      <c r="S20" s="837">
        <f t="shared" si="19"/>
        <v>-3</v>
      </c>
      <c r="T20" s="178">
        <f t="shared" si="20"/>
        <v>3</v>
      </c>
      <c r="U20" s="253">
        <f t="shared" si="21"/>
        <v>-2.8</v>
      </c>
      <c r="V20" s="385">
        <f t="shared" si="5"/>
        <v>19.798585076366308</v>
      </c>
      <c r="W20" s="58"/>
      <c r="X20" s="157">
        <f t="shared" si="6"/>
        <v>43106</v>
      </c>
      <c r="Y20" s="387">
        <f t="shared" si="7"/>
        <v>0</v>
      </c>
      <c r="Z20" s="387">
        <f t="shared" si="8"/>
        <v>0</v>
      </c>
      <c r="AA20" s="388">
        <f t="shared" si="9"/>
        <v>0</v>
      </c>
      <c r="AB20" s="199">
        <f t="shared" si="10"/>
        <v>43106</v>
      </c>
      <c r="AC20" s="426">
        <f t="shared" si="11"/>
        <v>0</v>
      </c>
      <c r="AD20" s="171">
        <f>(INDEX(Models!$BJ20:$BT20,,AH20)*(1-AF20)+INDEX(Models!$BJ20:$BT20,,AH20+1)*AF20-ERP_i)*AE20*Ramure*Pc/MaxiM</f>
        <v>3.3639663072518231E-6</v>
      </c>
      <c r="AE20" s="307">
        <f t="shared" si="12"/>
        <v>1</v>
      </c>
      <c r="AF20" s="179">
        <f t="shared" si="13"/>
        <v>0.20000000000000018</v>
      </c>
      <c r="AG20" s="837">
        <f t="shared" si="22"/>
        <v>-3</v>
      </c>
      <c r="AH20" s="178">
        <f t="shared" si="14"/>
        <v>3</v>
      </c>
      <c r="AI20" s="227">
        <f t="shared" si="15"/>
        <v>-2.8</v>
      </c>
      <c r="AJ20" s="267" t="b">
        <f t="shared" si="16"/>
        <v>1</v>
      </c>
      <c r="AK20" s="267" t="b">
        <f t="shared" si="17"/>
        <v>0</v>
      </c>
      <c r="AL20" s="267"/>
      <c r="AM20" s="267"/>
      <c r="AN20" s="75"/>
    </row>
    <row r="21" spans="1:40" s="6" customFormat="1" ht="11.25" customHeight="1" x14ac:dyDescent="0.2">
      <c r="A21" s="56">
        <f t="shared" si="23"/>
        <v>43107</v>
      </c>
      <c r="B21" s="622"/>
      <c r="C21" s="879"/>
      <c r="D21" s="395"/>
      <c r="E21" s="387"/>
      <c r="F21" s="387"/>
      <c r="G21" s="110"/>
      <c r="I21" s="382">
        <f t="shared" si="0"/>
        <v>0</v>
      </c>
      <c r="J21" s="85">
        <v>2018</v>
      </c>
      <c r="K21" s="199">
        <f t="shared" si="1"/>
        <v>43107</v>
      </c>
      <c r="L21" s="437">
        <f t="shared" si="2"/>
        <v>0</v>
      </c>
      <c r="M21" s="881"/>
      <c r="N21" s="881"/>
      <c r="O21" s="326">
        <f t="shared" si="3"/>
        <v>0</v>
      </c>
      <c r="P21" s="171">
        <f>(INDEX(Models!$BJ21:$BT21,,T21)*(1-R21)+INDEX(Models!$BJ21:$BT21,,T21+1)*R21-ERP_i)*Q21*Ramure*Pc/MaxiM</f>
        <v>4.1235660154937963E-6</v>
      </c>
      <c r="Q21" s="307">
        <f t="shared" si="18"/>
        <v>1</v>
      </c>
      <c r="R21" s="179">
        <f t="shared" si="4"/>
        <v>0.2000501978554885</v>
      </c>
      <c r="S21" s="837">
        <f t="shared" si="19"/>
        <v>-3</v>
      </c>
      <c r="T21" s="178">
        <f t="shared" si="20"/>
        <v>3</v>
      </c>
      <c r="U21" s="253">
        <f t="shared" si="21"/>
        <v>-2.7999498021445115</v>
      </c>
      <c r="V21" s="385">
        <f t="shared" si="5"/>
        <v>19.976892702306579</v>
      </c>
      <c r="W21" s="58"/>
      <c r="X21" s="157">
        <f t="shared" si="6"/>
        <v>43107</v>
      </c>
      <c r="Y21" s="387">
        <f t="shared" si="7"/>
        <v>0</v>
      </c>
      <c r="Z21" s="387">
        <f t="shared" si="8"/>
        <v>0</v>
      </c>
      <c r="AA21" s="388">
        <f t="shared" si="9"/>
        <v>0</v>
      </c>
      <c r="AB21" s="199">
        <f t="shared" si="10"/>
        <v>43107</v>
      </c>
      <c r="AC21" s="426">
        <f t="shared" si="11"/>
        <v>0</v>
      </c>
      <c r="AD21" s="171">
        <f>(INDEX(Models!$BJ21:$BT21,,AH21)*(1-AF21)+INDEX(Models!$BJ21:$BT21,,AH21+1)*AF21-ERP_i)*AE21*Ramure*Pc/MaxiM</f>
        <v>4.1235660154937963E-6</v>
      </c>
      <c r="AE21" s="307">
        <f t="shared" si="12"/>
        <v>1</v>
      </c>
      <c r="AF21" s="179">
        <f t="shared" si="13"/>
        <v>0.2000501978554885</v>
      </c>
      <c r="AG21" s="837">
        <f t="shared" si="22"/>
        <v>-3</v>
      </c>
      <c r="AH21" s="178">
        <f t="shared" si="14"/>
        <v>3</v>
      </c>
      <c r="AI21" s="227">
        <f t="shared" si="15"/>
        <v>-2.7999498021445115</v>
      </c>
      <c r="AJ21" s="267" t="b">
        <f t="shared" si="16"/>
        <v>1</v>
      </c>
      <c r="AK21" s="267" t="b">
        <f t="shared" si="17"/>
        <v>0</v>
      </c>
      <c r="AL21" s="267"/>
      <c r="AM21" s="267"/>
      <c r="AN21" s="75"/>
    </row>
    <row r="22" spans="1:40" s="6" customFormat="1" ht="11.25" customHeight="1" x14ac:dyDescent="0.2">
      <c r="A22" s="56">
        <f t="shared" si="23"/>
        <v>43108</v>
      </c>
      <c r="B22" s="622"/>
      <c r="C22" s="879"/>
      <c r="D22" s="395"/>
      <c r="E22" s="387"/>
      <c r="F22" s="387"/>
      <c r="G22" s="110"/>
      <c r="I22" s="382">
        <f t="shared" si="0"/>
        <v>0</v>
      </c>
      <c r="J22" s="85">
        <v>2018</v>
      </c>
      <c r="K22" s="199">
        <f t="shared" si="1"/>
        <v>43108</v>
      </c>
      <c r="L22" s="437">
        <f t="shared" si="2"/>
        <v>0</v>
      </c>
      <c r="M22" s="881"/>
      <c r="N22" s="881"/>
      <c r="O22" s="326">
        <f t="shared" si="3"/>
        <v>0</v>
      </c>
      <c r="P22" s="171">
        <f>(INDEX(Models!$BJ22:$BT22,,T22)*(1-R22)+INDEX(Models!$BJ22:$BT22,,T22+1)*R22-ERP_i)*Q22*Ramure*Pc/MaxiM</f>
        <v>4.918063486548438E-6</v>
      </c>
      <c r="Q22" s="307">
        <f t="shared" si="18"/>
        <v>1</v>
      </c>
      <c r="R22" s="179">
        <f t="shared" si="4"/>
        <v>0.20010249395388469</v>
      </c>
      <c r="S22" s="837">
        <f t="shared" si="19"/>
        <v>-3</v>
      </c>
      <c r="T22" s="178">
        <f t="shared" si="20"/>
        <v>3</v>
      </c>
      <c r="U22" s="253">
        <f t="shared" si="21"/>
        <v>-2.7998975060461153</v>
      </c>
      <c r="V22" s="385">
        <f t="shared" si="5"/>
        <v>20.162900838099194</v>
      </c>
      <c r="W22" s="58"/>
      <c r="X22" s="157">
        <f t="shared" si="6"/>
        <v>43108</v>
      </c>
      <c r="Y22" s="387">
        <f t="shared" si="7"/>
        <v>0</v>
      </c>
      <c r="Z22" s="387">
        <f t="shared" si="8"/>
        <v>0</v>
      </c>
      <c r="AA22" s="388">
        <f t="shared" si="9"/>
        <v>0</v>
      </c>
      <c r="AB22" s="199">
        <f t="shared" si="10"/>
        <v>43108</v>
      </c>
      <c r="AC22" s="426">
        <f t="shared" si="11"/>
        <v>0</v>
      </c>
      <c r="AD22" s="171">
        <f>(INDEX(Models!$BJ22:$BT22,,AH22)*(1-AF22)+INDEX(Models!$BJ22:$BT22,,AH22+1)*AF22-ERP_i)*AE22*Ramure*Pc/MaxiM</f>
        <v>4.918063486548438E-6</v>
      </c>
      <c r="AE22" s="307">
        <f t="shared" si="12"/>
        <v>1</v>
      </c>
      <c r="AF22" s="179">
        <f t="shared" si="13"/>
        <v>0.20010249395388469</v>
      </c>
      <c r="AG22" s="837">
        <f t="shared" si="22"/>
        <v>-3</v>
      </c>
      <c r="AH22" s="178">
        <f t="shared" si="14"/>
        <v>3</v>
      </c>
      <c r="AI22" s="227">
        <f t="shared" si="15"/>
        <v>-2.7998975060461153</v>
      </c>
      <c r="AJ22" s="267" t="b">
        <f t="shared" si="16"/>
        <v>1</v>
      </c>
      <c r="AK22" s="267" t="b">
        <f t="shared" si="17"/>
        <v>0</v>
      </c>
      <c r="AL22" s="267"/>
      <c r="AM22" s="267"/>
      <c r="AN22" s="75"/>
    </row>
    <row r="23" spans="1:40" s="6" customFormat="1" ht="11.25" customHeight="1" x14ac:dyDescent="0.2">
      <c r="A23" s="56">
        <f t="shared" si="23"/>
        <v>43109</v>
      </c>
      <c r="B23" s="622"/>
      <c r="C23" s="879"/>
      <c r="D23" s="395"/>
      <c r="E23" s="387"/>
      <c r="F23" s="387"/>
      <c r="G23" s="110"/>
      <c r="I23" s="382">
        <f t="shared" si="0"/>
        <v>0</v>
      </c>
      <c r="J23" s="85">
        <v>2018</v>
      </c>
      <c r="K23" s="199">
        <f t="shared" si="1"/>
        <v>43109</v>
      </c>
      <c r="L23" s="437">
        <f t="shared" si="2"/>
        <v>0</v>
      </c>
      <c r="M23" s="881"/>
      <c r="N23" s="881"/>
      <c r="O23" s="326">
        <f t="shared" si="3"/>
        <v>0</v>
      </c>
      <c r="P23" s="171">
        <f>(INDEX(Models!$BJ23:$BT23,,T23)*(1-R23)+INDEX(Models!$BJ23:$BT23,,T23+1)*R23-ERP_i)*Q23*Ramure*Pc/MaxiM</f>
        <v>5.7488602336301097E-6</v>
      </c>
      <c r="Q23" s="307">
        <f t="shared" si="18"/>
        <v>1</v>
      </c>
      <c r="R23" s="179">
        <f t="shared" si="4"/>
        <v>0.20015697566653357</v>
      </c>
      <c r="S23" s="837">
        <f t="shared" si="19"/>
        <v>-3</v>
      </c>
      <c r="T23" s="178">
        <f t="shared" si="20"/>
        <v>3</v>
      </c>
      <c r="U23" s="253">
        <f t="shared" si="21"/>
        <v>-2.7998430243334664</v>
      </c>
      <c r="V23" s="385">
        <f t="shared" si="5"/>
        <v>20.358669098224645</v>
      </c>
      <c r="W23" s="58"/>
      <c r="X23" s="157">
        <f t="shared" si="6"/>
        <v>43109</v>
      </c>
      <c r="Y23" s="387">
        <f t="shared" si="7"/>
        <v>0</v>
      </c>
      <c r="Z23" s="387">
        <f t="shared" si="8"/>
        <v>0</v>
      </c>
      <c r="AA23" s="388">
        <f t="shared" si="9"/>
        <v>0</v>
      </c>
      <c r="AB23" s="199">
        <f t="shared" si="10"/>
        <v>43109</v>
      </c>
      <c r="AC23" s="426">
        <f t="shared" si="11"/>
        <v>0</v>
      </c>
      <c r="AD23" s="171">
        <f>(INDEX(Models!$BJ23:$BT23,,AH23)*(1-AF23)+INDEX(Models!$BJ23:$BT23,,AH23+1)*AF23-ERP_i)*AE23*Ramure*Pc/MaxiM</f>
        <v>5.7488602336301097E-6</v>
      </c>
      <c r="AE23" s="307">
        <f t="shared" si="12"/>
        <v>1</v>
      </c>
      <c r="AF23" s="179">
        <f t="shared" si="13"/>
        <v>0.20015697566653357</v>
      </c>
      <c r="AG23" s="837">
        <f t="shared" si="22"/>
        <v>-3</v>
      </c>
      <c r="AH23" s="178">
        <f t="shared" si="14"/>
        <v>3</v>
      </c>
      <c r="AI23" s="227">
        <f t="shared" si="15"/>
        <v>-2.7998430243334664</v>
      </c>
      <c r="AJ23" s="267" t="b">
        <f t="shared" si="16"/>
        <v>1</v>
      </c>
      <c r="AK23" s="267" t="b">
        <f t="shared" si="17"/>
        <v>0</v>
      </c>
      <c r="AL23" s="267"/>
      <c r="AM23" s="267"/>
      <c r="AN23" s="75"/>
    </row>
    <row r="24" spans="1:40" s="6" customFormat="1" ht="11.25" customHeight="1" x14ac:dyDescent="0.2">
      <c r="A24" s="56">
        <f t="shared" si="23"/>
        <v>43110</v>
      </c>
      <c r="B24" s="622"/>
      <c r="C24" s="879"/>
      <c r="D24" s="395"/>
      <c r="E24" s="387"/>
      <c r="F24" s="387"/>
      <c r="G24" s="110"/>
      <c r="I24" s="382">
        <f t="shared" si="0"/>
        <v>0</v>
      </c>
      <c r="J24" s="85">
        <v>2018</v>
      </c>
      <c r="K24" s="199">
        <f t="shared" si="1"/>
        <v>43110</v>
      </c>
      <c r="L24" s="437">
        <f t="shared" si="2"/>
        <v>0</v>
      </c>
      <c r="M24" s="881"/>
      <c r="N24" s="881"/>
      <c r="O24" s="326">
        <f t="shared" si="3"/>
        <v>0</v>
      </c>
      <c r="P24" s="171">
        <f>(INDEX(Models!$BJ24:$BT24,,T24)*(1-R24)+INDEX(Models!$BJ24:$BT24,,T24+1)*R24-ERP_i)*Q24*Ramure*Pc/MaxiM</f>
        <v>6.6130181772203694E-6</v>
      </c>
      <c r="Q24" s="307">
        <f t="shared" si="18"/>
        <v>1</v>
      </c>
      <c r="R24" s="179">
        <f t="shared" si="4"/>
        <v>0.20021373397439124</v>
      </c>
      <c r="S24" s="837">
        <f t="shared" si="19"/>
        <v>-3</v>
      </c>
      <c r="T24" s="178">
        <f t="shared" si="20"/>
        <v>3</v>
      </c>
      <c r="U24" s="253">
        <f t="shared" si="21"/>
        <v>-2.7997862660256088</v>
      </c>
      <c r="V24" s="385">
        <f t="shared" si="5"/>
        <v>20.565935844551461</v>
      </c>
      <c r="W24" s="58"/>
      <c r="X24" s="157">
        <f t="shared" si="6"/>
        <v>43110</v>
      </c>
      <c r="Y24" s="387">
        <f t="shared" si="7"/>
        <v>0</v>
      </c>
      <c r="Z24" s="387">
        <f t="shared" si="8"/>
        <v>0</v>
      </c>
      <c r="AA24" s="388">
        <f t="shared" si="9"/>
        <v>0</v>
      </c>
      <c r="AB24" s="199">
        <f t="shared" si="10"/>
        <v>43110</v>
      </c>
      <c r="AC24" s="426">
        <f t="shared" si="11"/>
        <v>0</v>
      </c>
      <c r="AD24" s="171">
        <f>(INDEX(Models!$BJ24:$BT24,,AH24)*(1-AF24)+INDEX(Models!$BJ24:$BT24,,AH24+1)*AF24-ERP_i)*AE24*Ramure*Pc/MaxiM</f>
        <v>6.6130181772203694E-6</v>
      </c>
      <c r="AE24" s="307">
        <f t="shared" si="12"/>
        <v>1</v>
      </c>
      <c r="AF24" s="179">
        <f t="shared" si="13"/>
        <v>0.20021373397439124</v>
      </c>
      <c r="AG24" s="837">
        <f t="shared" si="22"/>
        <v>-3</v>
      </c>
      <c r="AH24" s="178">
        <f t="shared" si="14"/>
        <v>3</v>
      </c>
      <c r="AI24" s="227">
        <f t="shared" si="15"/>
        <v>-2.7997862660256088</v>
      </c>
      <c r="AJ24" s="267" t="b">
        <f t="shared" si="16"/>
        <v>1</v>
      </c>
      <c r="AK24" s="267" t="b">
        <f t="shared" si="17"/>
        <v>0</v>
      </c>
      <c r="AL24" s="267"/>
      <c r="AM24" s="267"/>
      <c r="AN24" s="75"/>
    </row>
    <row r="25" spans="1:40" s="6" customFormat="1" ht="11.25" customHeight="1" x14ac:dyDescent="0.2">
      <c r="A25" s="56">
        <f t="shared" si="23"/>
        <v>43111</v>
      </c>
      <c r="B25" s="622"/>
      <c r="C25" s="879"/>
      <c r="D25" s="395"/>
      <c r="E25" s="387"/>
      <c r="F25" s="387"/>
      <c r="G25" s="110"/>
      <c r="I25" s="382">
        <f t="shared" si="0"/>
        <v>0</v>
      </c>
      <c r="J25" s="85">
        <v>2018</v>
      </c>
      <c r="K25" s="199">
        <f t="shared" si="1"/>
        <v>43111</v>
      </c>
      <c r="L25" s="437">
        <f t="shared" si="2"/>
        <v>0</v>
      </c>
      <c r="M25" s="881"/>
      <c r="N25" s="881"/>
      <c r="O25" s="326">
        <f t="shared" si="3"/>
        <v>0</v>
      </c>
      <c r="P25" s="171">
        <f>(INDEX(Models!$BJ25:$BT25,,T25)*(1-R25)+INDEX(Models!$BJ25:$BT25,,T25+1)*R25-ERP_i)*Q25*Ramure*Pc/MaxiM</f>
        <v>7.5086311282086071E-6</v>
      </c>
      <c r="Q25" s="307">
        <f t="shared" si="18"/>
        <v>1</v>
      </c>
      <c r="R25" s="179">
        <f t="shared" si="4"/>
        <v>0.20027286361470331</v>
      </c>
      <c r="S25" s="837">
        <f t="shared" si="19"/>
        <v>-3</v>
      </c>
      <c r="T25" s="178">
        <f t="shared" si="20"/>
        <v>3</v>
      </c>
      <c r="U25" s="253">
        <f t="shared" si="21"/>
        <v>-2.7997271363852967</v>
      </c>
      <c r="V25" s="385">
        <f t="shared" si="5"/>
        <v>20.783954182975595</v>
      </c>
      <c r="W25" s="58"/>
      <c r="X25" s="157">
        <f t="shared" si="6"/>
        <v>43111</v>
      </c>
      <c r="Y25" s="387">
        <f t="shared" si="7"/>
        <v>0</v>
      </c>
      <c r="Z25" s="387">
        <f t="shared" si="8"/>
        <v>0</v>
      </c>
      <c r="AA25" s="388">
        <f t="shared" si="9"/>
        <v>0</v>
      </c>
      <c r="AB25" s="199">
        <f t="shared" si="10"/>
        <v>43111</v>
      </c>
      <c r="AC25" s="426">
        <f t="shared" si="11"/>
        <v>0</v>
      </c>
      <c r="AD25" s="171">
        <f>(INDEX(Models!$BJ25:$BT25,,AH25)*(1-AF25)+INDEX(Models!$BJ25:$BT25,,AH25+1)*AF25-ERP_i)*AE25*Ramure*Pc/MaxiM</f>
        <v>7.5086311282086071E-6</v>
      </c>
      <c r="AE25" s="307">
        <f t="shared" si="12"/>
        <v>1</v>
      </c>
      <c r="AF25" s="179">
        <f t="shared" si="13"/>
        <v>0.20027286361470331</v>
      </c>
      <c r="AG25" s="837">
        <f t="shared" si="22"/>
        <v>-3</v>
      </c>
      <c r="AH25" s="178">
        <f t="shared" si="14"/>
        <v>3</v>
      </c>
      <c r="AI25" s="227">
        <f t="shared" si="15"/>
        <v>-2.7997271363852967</v>
      </c>
      <c r="AJ25" s="267" t="b">
        <f t="shared" si="16"/>
        <v>1</v>
      </c>
      <c r="AK25" s="267" t="b">
        <f t="shared" si="17"/>
        <v>0</v>
      </c>
      <c r="AL25" s="267"/>
      <c r="AM25" s="267"/>
      <c r="AN25" s="75"/>
    </row>
    <row r="26" spans="1:40" s="6" customFormat="1" ht="11.25" customHeight="1" x14ac:dyDescent="0.2">
      <c r="A26" s="56">
        <f t="shared" si="23"/>
        <v>43112</v>
      </c>
      <c r="B26" s="622"/>
      <c r="C26" s="879"/>
      <c r="D26" s="395"/>
      <c r="E26" s="387"/>
      <c r="F26" s="387"/>
      <c r="G26" s="110"/>
      <c r="I26" s="382">
        <f t="shared" si="0"/>
        <v>0</v>
      </c>
      <c r="J26" s="85">
        <v>2018</v>
      </c>
      <c r="K26" s="199">
        <f t="shared" si="1"/>
        <v>43112</v>
      </c>
      <c r="L26" s="437">
        <f t="shared" si="2"/>
        <v>0</v>
      </c>
      <c r="M26" s="881"/>
      <c r="N26" s="881"/>
      <c r="O26" s="326">
        <f t="shared" si="3"/>
        <v>0</v>
      </c>
      <c r="P26" s="171">
        <f>(INDEX(Models!$BJ26:$BT26,,T26)*(1-R26)+INDEX(Models!$BJ26:$BT26,,T26+1)*R26-ERP_i)*Q26*Ramure*Pc/MaxiM</f>
        <v>8.4354256309337418E-6</v>
      </c>
      <c r="Q26" s="307">
        <f t="shared" si="18"/>
        <v>1</v>
      </c>
      <c r="R26" s="179">
        <f t="shared" si="4"/>
        <v>0.20033446323344295</v>
      </c>
      <c r="S26" s="837">
        <f t="shared" si="19"/>
        <v>-3</v>
      </c>
      <c r="T26" s="178">
        <f t="shared" si="20"/>
        <v>3</v>
      </c>
      <c r="U26" s="253">
        <f t="shared" si="21"/>
        <v>-2.7996655367665571</v>
      </c>
      <c r="V26" s="385">
        <f t="shared" si="5"/>
        <v>21.011977191774076</v>
      </c>
      <c r="W26" s="58"/>
      <c r="X26" s="157">
        <f t="shared" si="6"/>
        <v>43112</v>
      </c>
      <c r="Y26" s="387">
        <f t="shared" si="7"/>
        <v>0</v>
      </c>
      <c r="Z26" s="387">
        <f t="shared" si="8"/>
        <v>0</v>
      </c>
      <c r="AA26" s="388">
        <f t="shared" si="9"/>
        <v>0</v>
      </c>
      <c r="AB26" s="199">
        <f t="shared" si="10"/>
        <v>43112</v>
      </c>
      <c r="AC26" s="426">
        <f t="shared" si="11"/>
        <v>0</v>
      </c>
      <c r="AD26" s="171">
        <f>(INDEX(Models!$BJ26:$BT26,,AH26)*(1-AF26)+INDEX(Models!$BJ26:$BT26,,AH26+1)*AF26-ERP_i)*AE26*Ramure*Pc/MaxiM</f>
        <v>8.4354256309337418E-6</v>
      </c>
      <c r="AE26" s="307">
        <f t="shared" si="12"/>
        <v>1</v>
      </c>
      <c r="AF26" s="179">
        <f t="shared" si="13"/>
        <v>0.20033446323344295</v>
      </c>
      <c r="AG26" s="837">
        <f t="shared" si="22"/>
        <v>-3</v>
      </c>
      <c r="AH26" s="178">
        <f t="shared" si="14"/>
        <v>3</v>
      </c>
      <c r="AI26" s="227">
        <f t="shared" si="15"/>
        <v>-2.7996655367665571</v>
      </c>
      <c r="AJ26" s="267" t="b">
        <f t="shared" si="16"/>
        <v>1</v>
      </c>
      <c r="AK26" s="267" t="b">
        <f t="shared" si="17"/>
        <v>0</v>
      </c>
      <c r="AL26" s="267"/>
      <c r="AM26" s="267"/>
      <c r="AN26" s="75"/>
    </row>
    <row r="27" spans="1:40" s="6" customFormat="1" ht="11.25" customHeight="1" x14ac:dyDescent="0.2">
      <c r="A27" s="56">
        <f t="shared" si="23"/>
        <v>43113</v>
      </c>
      <c r="B27" s="622"/>
      <c r="C27" s="879"/>
      <c r="D27" s="395"/>
      <c r="E27" s="387"/>
      <c r="F27" s="387"/>
      <c r="G27" s="110"/>
      <c r="I27" s="382">
        <f t="shared" si="0"/>
        <v>0</v>
      </c>
      <c r="J27" s="85">
        <v>2018</v>
      </c>
      <c r="K27" s="199">
        <f t="shared" si="1"/>
        <v>43113</v>
      </c>
      <c r="L27" s="437">
        <f t="shared" si="2"/>
        <v>0</v>
      </c>
      <c r="M27" s="881"/>
      <c r="N27" s="881"/>
      <c r="O27" s="326">
        <f t="shared" si="3"/>
        <v>0</v>
      </c>
      <c r="P27" s="171">
        <f>(INDEX(Models!$BJ27:$BT27,,T27)*(1-R27)+INDEX(Models!$BJ27:$BT27,,T27+1)*R27-ERP_i)*Q27*Ramure*Pc/MaxiM</f>
        <v>9.393221034124297E-6</v>
      </c>
      <c r="Q27" s="307">
        <f t="shared" si="18"/>
        <v>1</v>
      </c>
      <c r="R27" s="179">
        <f t="shared" si="4"/>
        <v>0.20039863554369974</v>
      </c>
      <c r="S27" s="837">
        <f t="shared" si="19"/>
        <v>-3</v>
      </c>
      <c r="T27" s="178">
        <f t="shared" si="20"/>
        <v>3</v>
      </c>
      <c r="U27" s="253">
        <f t="shared" si="21"/>
        <v>-2.7996013644563003</v>
      </c>
      <c r="V27" s="385">
        <f t="shared" si="5"/>
        <v>21.249257940948425</v>
      </c>
      <c r="W27" s="58"/>
      <c r="X27" s="157">
        <f t="shared" si="6"/>
        <v>43113</v>
      </c>
      <c r="Y27" s="387">
        <f t="shared" si="7"/>
        <v>0</v>
      </c>
      <c r="Z27" s="387">
        <f t="shared" si="8"/>
        <v>0</v>
      </c>
      <c r="AA27" s="388">
        <f t="shared" si="9"/>
        <v>0</v>
      </c>
      <c r="AB27" s="199">
        <f t="shared" si="10"/>
        <v>43113</v>
      </c>
      <c r="AC27" s="426">
        <f t="shared" si="11"/>
        <v>0</v>
      </c>
      <c r="AD27" s="171">
        <f>(INDEX(Models!$BJ27:$BT27,,AH27)*(1-AF27)+INDEX(Models!$BJ27:$BT27,,AH27+1)*AF27-ERP_i)*AE27*Ramure*Pc/MaxiM</f>
        <v>9.393221034124297E-6</v>
      </c>
      <c r="AE27" s="307">
        <f t="shared" si="12"/>
        <v>1</v>
      </c>
      <c r="AF27" s="179">
        <f t="shared" si="13"/>
        <v>0.20039863554369974</v>
      </c>
      <c r="AG27" s="837">
        <f t="shared" si="22"/>
        <v>-3</v>
      </c>
      <c r="AH27" s="178">
        <f t="shared" si="14"/>
        <v>3</v>
      </c>
      <c r="AI27" s="227">
        <f t="shared" si="15"/>
        <v>-2.7996013644563003</v>
      </c>
      <c r="AJ27" s="267" t="b">
        <f t="shared" si="16"/>
        <v>1</v>
      </c>
      <c r="AK27" s="267" t="b">
        <f t="shared" si="17"/>
        <v>0</v>
      </c>
      <c r="AL27" s="267"/>
      <c r="AM27" s="267"/>
      <c r="AN27" s="75"/>
    </row>
    <row r="28" spans="1:40" s="6" customFormat="1" ht="11.25" customHeight="1" x14ac:dyDescent="0.2">
      <c r="A28" s="56">
        <f t="shared" si="23"/>
        <v>43114</v>
      </c>
      <c r="B28" s="622"/>
      <c r="C28" s="879"/>
      <c r="D28" s="395"/>
      <c r="E28" s="387"/>
      <c r="F28" s="387"/>
      <c r="G28" s="110"/>
      <c r="I28" s="382">
        <f t="shared" si="0"/>
        <v>0</v>
      </c>
      <c r="J28" s="85">
        <v>2018</v>
      </c>
      <c r="K28" s="199">
        <f t="shared" si="1"/>
        <v>43114</v>
      </c>
      <c r="L28" s="437">
        <f t="shared" si="2"/>
        <v>0</v>
      </c>
      <c r="M28" s="881"/>
      <c r="N28" s="881"/>
      <c r="O28" s="326">
        <f t="shared" si="3"/>
        <v>0</v>
      </c>
      <c r="P28" s="171">
        <f>(INDEX(Models!$BJ28:$BT28,,T28)*(1-R28)+INDEX(Models!$BJ28:$BT28,,T28+1)*R28-ERP_i)*Q28*Ramure*Pc/MaxiM</f>
        <v>1.0381935481494849E-5</v>
      </c>
      <c r="Q28" s="307">
        <f t="shared" si="18"/>
        <v>1</v>
      </c>
      <c r="R28" s="179">
        <f t="shared" si="4"/>
        <v>0.20046548749024495</v>
      </c>
      <c r="S28" s="837">
        <f t="shared" si="19"/>
        <v>-3</v>
      </c>
      <c r="T28" s="178">
        <f t="shared" si="20"/>
        <v>3</v>
      </c>
      <c r="U28" s="253">
        <f t="shared" si="21"/>
        <v>-2.799534512509755</v>
      </c>
      <c r="V28" s="385">
        <f t="shared" si="5"/>
        <v>21.495049505065584</v>
      </c>
      <c r="W28" s="58"/>
      <c r="X28" s="157">
        <f t="shared" si="6"/>
        <v>43114</v>
      </c>
      <c r="Y28" s="387">
        <f t="shared" si="7"/>
        <v>0</v>
      </c>
      <c r="Z28" s="387">
        <f t="shared" si="8"/>
        <v>0</v>
      </c>
      <c r="AA28" s="388">
        <f t="shared" si="9"/>
        <v>0</v>
      </c>
      <c r="AB28" s="199">
        <f t="shared" si="10"/>
        <v>43114</v>
      </c>
      <c r="AC28" s="426">
        <f t="shared" si="11"/>
        <v>0</v>
      </c>
      <c r="AD28" s="171">
        <f>(INDEX(Models!$BJ28:$BT28,,AH28)*(1-AF28)+INDEX(Models!$BJ28:$BT28,,AH28+1)*AF28-ERP_i)*AE28*Ramure*Pc/MaxiM</f>
        <v>1.0381935481494849E-5</v>
      </c>
      <c r="AE28" s="307">
        <f t="shared" si="12"/>
        <v>1</v>
      </c>
      <c r="AF28" s="179">
        <f t="shared" si="13"/>
        <v>0.20046548749024495</v>
      </c>
      <c r="AG28" s="837">
        <f t="shared" si="22"/>
        <v>-3</v>
      </c>
      <c r="AH28" s="178">
        <f t="shared" si="14"/>
        <v>3</v>
      </c>
      <c r="AI28" s="227">
        <f t="shared" si="15"/>
        <v>-2.799534512509755</v>
      </c>
      <c r="AJ28" s="267" t="b">
        <f t="shared" si="16"/>
        <v>1</v>
      </c>
      <c r="AK28" s="267" t="b">
        <f t="shared" si="17"/>
        <v>0</v>
      </c>
      <c r="AL28" s="267"/>
      <c r="AM28" s="267"/>
      <c r="AN28" s="75"/>
    </row>
    <row r="29" spans="1:40" s="6" customFormat="1" ht="11.25" customHeight="1" x14ac:dyDescent="0.2">
      <c r="A29" s="56">
        <f t="shared" si="23"/>
        <v>43115</v>
      </c>
      <c r="B29" s="622"/>
      <c r="C29" s="879"/>
      <c r="D29" s="395"/>
      <c r="E29" s="387"/>
      <c r="F29" s="387"/>
      <c r="G29" s="110"/>
      <c r="I29" s="382">
        <f t="shared" si="0"/>
        <v>0</v>
      </c>
      <c r="J29" s="85">
        <v>2018</v>
      </c>
      <c r="K29" s="199">
        <f t="shared" si="1"/>
        <v>43115</v>
      </c>
      <c r="L29" s="437">
        <f t="shared" si="2"/>
        <v>0</v>
      </c>
      <c r="M29" s="881"/>
      <c r="N29" s="881"/>
      <c r="O29" s="326">
        <f t="shared" si="3"/>
        <v>0</v>
      </c>
      <c r="P29" s="171">
        <f>(INDEX(Models!$BJ29:$BT29,,T29)*(1-R29)+INDEX(Models!$BJ29:$BT29,,T29+1)*R29-ERP_i)*Q29*Ramure*Pc/MaxiM</f>
        <v>1.140159065352634E-5</v>
      </c>
      <c r="Q29" s="307">
        <f t="shared" si="18"/>
        <v>1</v>
      </c>
      <c r="R29" s="179">
        <f t="shared" si="4"/>
        <v>0.20053513042048632</v>
      </c>
      <c r="S29" s="837">
        <f t="shared" si="19"/>
        <v>-3</v>
      </c>
      <c r="T29" s="178">
        <f t="shared" si="20"/>
        <v>3</v>
      </c>
      <c r="U29" s="253">
        <f t="shared" si="21"/>
        <v>-2.7994648695795137</v>
      </c>
      <c r="V29" s="385">
        <f t="shared" si="5"/>
        <v>21.748604959817264</v>
      </c>
      <c r="W29" s="58"/>
      <c r="X29" s="157">
        <f t="shared" si="6"/>
        <v>43115</v>
      </c>
      <c r="Y29" s="387">
        <f t="shared" si="7"/>
        <v>0</v>
      </c>
      <c r="Z29" s="387">
        <f t="shared" si="8"/>
        <v>0</v>
      </c>
      <c r="AA29" s="388">
        <f t="shared" si="9"/>
        <v>0</v>
      </c>
      <c r="AB29" s="199">
        <f t="shared" si="10"/>
        <v>43115</v>
      </c>
      <c r="AC29" s="426">
        <f t="shared" si="11"/>
        <v>0</v>
      </c>
      <c r="AD29" s="171">
        <f>(INDEX(Models!$BJ29:$BT29,,AH29)*(1-AF29)+INDEX(Models!$BJ29:$BT29,,AH29+1)*AF29-ERP_i)*AE29*Ramure*Pc/MaxiM</f>
        <v>1.140159065352634E-5</v>
      </c>
      <c r="AE29" s="307">
        <f t="shared" si="12"/>
        <v>1</v>
      </c>
      <c r="AF29" s="179">
        <f t="shared" si="13"/>
        <v>0.20053513042048632</v>
      </c>
      <c r="AG29" s="837">
        <f t="shared" si="22"/>
        <v>-3</v>
      </c>
      <c r="AH29" s="178">
        <f t="shared" si="14"/>
        <v>3</v>
      </c>
      <c r="AI29" s="227">
        <f t="shared" si="15"/>
        <v>-2.7994648695795137</v>
      </c>
      <c r="AJ29" s="267" t="b">
        <f t="shared" si="16"/>
        <v>1</v>
      </c>
      <c r="AK29" s="267" t="b">
        <f t="shared" si="17"/>
        <v>0</v>
      </c>
      <c r="AL29" s="267"/>
      <c r="AM29" s="267"/>
      <c r="AN29" s="75"/>
    </row>
    <row r="30" spans="1:40" s="6" customFormat="1" ht="11.25" customHeight="1" x14ac:dyDescent="0.2">
      <c r="A30" s="56">
        <f t="shared" si="23"/>
        <v>43116</v>
      </c>
      <c r="B30" s="622"/>
      <c r="C30" s="879"/>
      <c r="D30" s="395"/>
      <c r="E30" s="387"/>
      <c r="F30" s="387"/>
      <c r="G30" s="110"/>
      <c r="I30" s="382">
        <f t="shared" si="0"/>
        <v>0</v>
      </c>
      <c r="J30" s="85">
        <v>2018</v>
      </c>
      <c r="K30" s="199">
        <f t="shared" si="1"/>
        <v>43116</v>
      </c>
      <c r="L30" s="437">
        <f t="shared" si="2"/>
        <v>0</v>
      </c>
      <c r="M30" s="881"/>
      <c r="N30" s="881"/>
      <c r="O30" s="326">
        <f t="shared" si="3"/>
        <v>0</v>
      </c>
      <c r="P30" s="171">
        <f>(INDEX(Models!$BJ30:$BT30,,T30)*(1-R30)+INDEX(Models!$BJ30:$BT30,,T30+1)*R30-ERP_i)*Q30*Ramure*Pc/MaxiM</f>
        <v>1.2425490703277855E-5</v>
      </c>
      <c r="Q30" s="307">
        <f t="shared" si="18"/>
        <v>1</v>
      </c>
      <c r="R30" s="179">
        <f t="shared" si="4"/>
        <v>0.20060768026203668</v>
      </c>
      <c r="S30" s="837">
        <f t="shared" si="19"/>
        <v>-3</v>
      </c>
      <c r="T30" s="178">
        <f t="shared" si="20"/>
        <v>3</v>
      </c>
      <c r="U30" s="253">
        <f t="shared" si="21"/>
        <v>-2.7993923197379633</v>
      </c>
      <c r="V30" s="385">
        <f t="shared" si="5"/>
        <v>22.009177962593924</v>
      </c>
      <c r="W30" s="58"/>
      <c r="X30" s="157">
        <f t="shared" si="6"/>
        <v>43116</v>
      </c>
      <c r="Y30" s="387">
        <f t="shared" si="7"/>
        <v>0</v>
      </c>
      <c r="Z30" s="387">
        <f t="shared" si="8"/>
        <v>0</v>
      </c>
      <c r="AA30" s="388">
        <f t="shared" si="9"/>
        <v>0</v>
      </c>
      <c r="AB30" s="199">
        <f t="shared" si="10"/>
        <v>43116</v>
      </c>
      <c r="AC30" s="426">
        <f t="shared" si="11"/>
        <v>0</v>
      </c>
      <c r="AD30" s="171">
        <f>(INDEX(Models!$BJ30:$BT30,,AH30)*(1-AF30)+INDEX(Models!$BJ30:$BT30,,AH30+1)*AF30-ERP_i)*AE30*Ramure*Pc/MaxiM</f>
        <v>1.2425490703277855E-5</v>
      </c>
      <c r="AE30" s="307">
        <f t="shared" si="12"/>
        <v>1</v>
      </c>
      <c r="AF30" s="179">
        <f t="shared" si="13"/>
        <v>0.20060768026203668</v>
      </c>
      <c r="AG30" s="837">
        <f t="shared" si="22"/>
        <v>-3</v>
      </c>
      <c r="AH30" s="178">
        <f t="shared" si="14"/>
        <v>3</v>
      </c>
      <c r="AI30" s="227">
        <f t="shared" si="15"/>
        <v>-2.7993923197379633</v>
      </c>
      <c r="AJ30" s="267" t="b">
        <f t="shared" si="16"/>
        <v>1</v>
      </c>
      <c r="AK30" s="267" t="b">
        <f t="shared" si="17"/>
        <v>0</v>
      </c>
      <c r="AL30" s="267"/>
      <c r="AM30" s="267"/>
      <c r="AN30" s="75"/>
    </row>
    <row r="31" spans="1:40" s="6" customFormat="1" ht="11.25" x14ac:dyDescent="0.2">
      <c r="A31" s="56">
        <f t="shared" si="23"/>
        <v>43117</v>
      </c>
      <c r="B31" s="622"/>
      <c r="C31" s="879"/>
      <c r="D31" s="395"/>
      <c r="E31" s="387"/>
      <c r="F31" s="387"/>
      <c r="G31" s="110"/>
      <c r="I31" s="382">
        <f t="shared" si="0"/>
        <v>0</v>
      </c>
      <c r="J31" s="85">
        <v>2018</v>
      </c>
      <c r="K31" s="199">
        <f t="shared" si="1"/>
        <v>43117</v>
      </c>
      <c r="L31" s="437">
        <f t="shared" si="2"/>
        <v>0</v>
      </c>
      <c r="M31" s="881"/>
      <c r="N31" s="881"/>
      <c r="O31" s="326">
        <f t="shared" si="3"/>
        <v>0</v>
      </c>
      <c r="P31" s="171">
        <f>(INDEX(Models!$BJ31:$BT31,,T31)*(1-R31)+INDEX(Models!$BJ31:$BT31,,T31+1)*R31-ERP_i)*Q31*Ramure*Pc/MaxiM</f>
        <v>1.3443492121881753E-5</v>
      </c>
      <c r="Q31" s="307">
        <f t="shared" si="18"/>
        <v>1</v>
      </c>
      <c r="R31" s="179">
        <f t="shared" si="4"/>
        <v>0.20068325770713269</v>
      </c>
      <c r="S31" s="837">
        <f t="shared" si="19"/>
        <v>-3</v>
      </c>
      <c r="T31" s="178">
        <f t="shared" si="20"/>
        <v>3</v>
      </c>
      <c r="U31" s="253">
        <f t="shared" si="21"/>
        <v>-2.7993167422928673</v>
      </c>
      <c r="V31" s="385">
        <f t="shared" si="5"/>
        <v>22.276021838254884</v>
      </c>
      <c r="W31" s="58"/>
      <c r="X31" s="157">
        <f t="shared" si="6"/>
        <v>43117</v>
      </c>
      <c r="Y31" s="387">
        <f t="shared" si="7"/>
        <v>0</v>
      </c>
      <c r="Z31" s="387">
        <f t="shared" si="8"/>
        <v>0</v>
      </c>
      <c r="AA31" s="388">
        <f t="shared" si="9"/>
        <v>0</v>
      </c>
      <c r="AB31" s="199">
        <f t="shared" si="10"/>
        <v>43117</v>
      </c>
      <c r="AC31" s="426">
        <f t="shared" si="11"/>
        <v>0</v>
      </c>
      <c r="AD31" s="171">
        <f>(INDEX(Models!$BJ31:$BT31,,AH31)*(1-AF31)+INDEX(Models!$BJ31:$BT31,,AH31+1)*AF31-ERP_i)*AE31*Ramure*Pc/MaxiM</f>
        <v>1.3443492121881753E-5</v>
      </c>
      <c r="AE31" s="307">
        <f t="shared" si="12"/>
        <v>1</v>
      </c>
      <c r="AF31" s="179">
        <f t="shared" si="13"/>
        <v>0.20068325770713269</v>
      </c>
      <c r="AG31" s="837">
        <f t="shared" si="22"/>
        <v>-3</v>
      </c>
      <c r="AH31" s="178">
        <f t="shared" si="14"/>
        <v>3</v>
      </c>
      <c r="AI31" s="227">
        <f t="shared" si="15"/>
        <v>-2.7993167422928673</v>
      </c>
      <c r="AJ31" s="267" t="b">
        <f t="shared" si="16"/>
        <v>1</v>
      </c>
      <c r="AK31" s="267" t="b">
        <f t="shared" si="17"/>
        <v>0</v>
      </c>
      <c r="AL31" s="267"/>
      <c r="AM31" s="267"/>
      <c r="AN31" s="75"/>
    </row>
    <row r="32" spans="1:40" s="6" customFormat="1" ht="11.25" customHeight="1" x14ac:dyDescent="0.2">
      <c r="A32" s="56">
        <f t="shared" si="23"/>
        <v>43118</v>
      </c>
      <c r="B32" s="622"/>
      <c r="C32" s="879"/>
      <c r="D32" s="395"/>
      <c r="E32" s="387"/>
      <c r="F32" s="387"/>
      <c r="G32" s="110"/>
      <c r="I32" s="382">
        <f t="shared" si="0"/>
        <v>0</v>
      </c>
      <c r="J32" s="85">
        <v>2018</v>
      </c>
      <c r="K32" s="199">
        <f t="shared" si="1"/>
        <v>43118</v>
      </c>
      <c r="L32" s="437">
        <f t="shared" si="2"/>
        <v>0</v>
      </c>
      <c r="M32" s="881"/>
      <c r="N32" s="881"/>
      <c r="O32" s="326">
        <f t="shared" si="3"/>
        <v>0</v>
      </c>
      <c r="P32" s="171">
        <f>(INDEX(Models!$BJ32:$BT32,,T32)*(1-R32)+INDEX(Models!$BJ32:$BT32,,T32+1)*R32-ERP_i)*Q32*Ramure*Pc/MaxiM</f>
        <v>1.4448495577833058E-5</v>
      </c>
      <c r="Q32" s="307">
        <f t="shared" si="18"/>
        <v>1</v>
      </c>
      <c r="R32" s="179">
        <f t="shared" si="4"/>
        <v>0.20076198840413095</v>
      </c>
      <c r="S32" s="837">
        <f t="shared" si="19"/>
        <v>-3</v>
      </c>
      <c r="T32" s="178">
        <f t="shared" si="20"/>
        <v>3</v>
      </c>
      <c r="U32" s="253">
        <f t="shared" si="21"/>
        <v>-2.799238011595869</v>
      </c>
      <c r="V32" s="385">
        <f t="shared" si="5"/>
        <v>22.548389857294165</v>
      </c>
      <c r="W32" s="58"/>
      <c r="X32" s="157">
        <f t="shared" si="6"/>
        <v>43118</v>
      </c>
      <c r="Y32" s="387">
        <f t="shared" si="7"/>
        <v>0</v>
      </c>
      <c r="Z32" s="387">
        <f t="shared" si="8"/>
        <v>0</v>
      </c>
      <c r="AA32" s="388">
        <f t="shared" si="9"/>
        <v>0</v>
      </c>
      <c r="AB32" s="199">
        <f t="shared" si="10"/>
        <v>43118</v>
      </c>
      <c r="AC32" s="426">
        <f t="shared" si="11"/>
        <v>0</v>
      </c>
      <c r="AD32" s="171">
        <f>(INDEX(Models!$BJ32:$BT32,,AH32)*(1-AF32)+INDEX(Models!$BJ32:$BT32,,AH32+1)*AF32-ERP_i)*AE32*Ramure*Pc/MaxiM</f>
        <v>1.4448495577833058E-5</v>
      </c>
      <c r="AE32" s="307">
        <f t="shared" si="12"/>
        <v>1</v>
      </c>
      <c r="AF32" s="179">
        <f t="shared" si="13"/>
        <v>0.20076198840413095</v>
      </c>
      <c r="AG32" s="837">
        <f t="shared" si="22"/>
        <v>-3</v>
      </c>
      <c r="AH32" s="178">
        <f t="shared" si="14"/>
        <v>3</v>
      </c>
      <c r="AI32" s="227">
        <f t="shared" si="15"/>
        <v>-2.799238011595869</v>
      </c>
      <c r="AJ32" s="267" t="b">
        <f t="shared" si="16"/>
        <v>1</v>
      </c>
      <c r="AK32" s="267" t="b">
        <f t="shared" si="17"/>
        <v>0</v>
      </c>
      <c r="AL32" s="267"/>
      <c r="AM32" s="267"/>
      <c r="AN32" s="75"/>
    </row>
    <row r="33" spans="1:40" s="6" customFormat="1" ht="11.25" customHeight="1" x14ac:dyDescent="0.2">
      <c r="A33" s="56">
        <f t="shared" si="23"/>
        <v>43119</v>
      </c>
      <c r="B33" s="622"/>
      <c r="C33" s="879"/>
      <c r="D33" s="395"/>
      <c r="E33" s="387"/>
      <c r="F33" s="387"/>
      <c r="G33" s="110"/>
      <c r="I33" s="382">
        <f t="shared" si="0"/>
        <v>0</v>
      </c>
      <c r="J33" s="85">
        <v>2018</v>
      </c>
      <c r="K33" s="199">
        <f t="shared" si="1"/>
        <v>43119</v>
      </c>
      <c r="L33" s="437">
        <f t="shared" si="2"/>
        <v>0</v>
      </c>
      <c r="M33" s="881"/>
      <c r="N33" s="881"/>
      <c r="O33" s="326">
        <f t="shared" si="3"/>
        <v>0</v>
      </c>
      <c r="P33" s="171">
        <f>(INDEX(Models!$BJ33:$BT33,,T33)*(1-R33)+INDEX(Models!$BJ33:$BT33,,T33+1)*R33-ERP_i)*Q33*Ramure*Pc/MaxiM</f>
        <v>1.5433203767149149E-5</v>
      </c>
      <c r="Q33" s="307">
        <f t="shared" si="18"/>
        <v>1</v>
      </c>
      <c r="R33" s="179">
        <f t="shared" si="4"/>
        <v>0.2008440031563361</v>
      </c>
      <c r="S33" s="837">
        <f t="shared" si="19"/>
        <v>-3</v>
      </c>
      <c r="T33" s="178">
        <f t="shared" si="20"/>
        <v>3</v>
      </c>
      <c r="U33" s="253">
        <f t="shared" si="21"/>
        <v>-2.7991559968436639</v>
      </c>
      <c r="V33" s="385">
        <f t="shared" si="5"/>
        <v>22.825535304386783</v>
      </c>
      <c r="W33" s="58"/>
      <c r="X33" s="157">
        <f t="shared" si="6"/>
        <v>43119</v>
      </c>
      <c r="Y33" s="387">
        <f t="shared" si="7"/>
        <v>0</v>
      </c>
      <c r="Z33" s="387">
        <f t="shared" si="8"/>
        <v>0</v>
      </c>
      <c r="AA33" s="388">
        <f t="shared" si="9"/>
        <v>0</v>
      </c>
      <c r="AB33" s="199">
        <f t="shared" si="10"/>
        <v>43119</v>
      </c>
      <c r="AC33" s="426">
        <f t="shared" si="11"/>
        <v>0</v>
      </c>
      <c r="AD33" s="171">
        <f>(INDEX(Models!$BJ33:$BT33,,AH33)*(1-AF33)+INDEX(Models!$BJ33:$BT33,,AH33+1)*AF33-ERP_i)*AE33*Ramure*Pc/MaxiM</f>
        <v>1.5433203767149149E-5</v>
      </c>
      <c r="AE33" s="307">
        <f t="shared" si="12"/>
        <v>1</v>
      </c>
      <c r="AF33" s="179">
        <f t="shared" si="13"/>
        <v>0.2008440031563361</v>
      </c>
      <c r="AG33" s="837">
        <f t="shared" si="22"/>
        <v>-3</v>
      </c>
      <c r="AH33" s="178">
        <f t="shared" si="14"/>
        <v>3</v>
      </c>
      <c r="AI33" s="227">
        <f t="shared" si="15"/>
        <v>-2.7991559968436639</v>
      </c>
      <c r="AJ33" s="267" t="b">
        <f t="shared" si="16"/>
        <v>1</v>
      </c>
      <c r="AK33" s="267" t="b">
        <f t="shared" si="17"/>
        <v>0</v>
      </c>
      <c r="AL33" s="267"/>
      <c r="AM33" s="267"/>
      <c r="AN33" s="75"/>
    </row>
    <row r="34" spans="1:40" s="6" customFormat="1" ht="11.25" customHeight="1" x14ac:dyDescent="0.2">
      <c r="A34" s="56">
        <f t="shared" si="23"/>
        <v>43120</v>
      </c>
      <c r="B34" s="622"/>
      <c r="C34" s="879"/>
      <c r="D34" s="395"/>
      <c r="E34" s="387"/>
      <c r="F34" s="387"/>
      <c r="G34" s="110"/>
      <c r="I34" s="382">
        <f t="shared" si="0"/>
        <v>0</v>
      </c>
      <c r="J34" s="85">
        <v>2018</v>
      </c>
      <c r="K34" s="199">
        <f t="shared" si="1"/>
        <v>43120</v>
      </c>
      <c r="L34" s="437">
        <f t="shared" si="2"/>
        <v>0</v>
      </c>
      <c r="M34" s="881"/>
      <c r="N34" s="881"/>
      <c r="O34" s="326">
        <f t="shared" si="3"/>
        <v>0</v>
      </c>
      <c r="P34" s="171">
        <f>(INDEX(Models!$BJ34:$BT34,,T34)*(1-R34)+INDEX(Models!$BJ34:$BT34,,T34+1)*R34-ERP_i)*Q34*Ramure*Pc/MaxiM</f>
        <v>1.6390188498791307E-5</v>
      </c>
      <c r="Q34" s="307">
        <f t="shared" si="18"/>
        <v>1</v>
      </c>
      <c r="R34" s="179">
        <f t="shared" si="4"/>
        <v>0.20092943812839614</v>
      </c>
      <c r="S34" s="837">
        <f t="shared" si="19"/>
        <v>-3</v>
      </c>
      <c r="T34" s="178">
        <f t="shared" si="20"/>
        <v>3</v>
      </c>
      <c r="U34" s="253">
        <f t="shared" si="21"/>
        <v>-2.7990705618716039</v>
      </c>
      <c r="V34" s="385">
        <f t="shared" si="5"/>
        <v>23.106711476880125</v>
      </c>
      <c r="W34" s="58"/>
      <c r="X34" s="157">
        <f t="shared" si="6"/>
        <v>43120</v>
      </c>
      <c r="Y34" s="387">
        <f t="shared" si="7"/>
        <v>0</v>
      </c>
      <c r="Z34" s="387">
        <f t="shared" si="8"/>
        <v>0</v>
      </c>
      <c r="AA34" s="388">
        <f t="shared" si="9"/>
        <v>0</v>
      </c>
      <c r="AB34" s="199">
        <f t="shared" si="10"/>
        <v>43120</v>
      </c>
      <c r="AC34" s="426">
        <f t="shared" si="11"/>
        <v>0</v>
      </c>
      <c r="AD34" s="171">
        <f>(INDEX(Models!$BJ34:$BT34,,AH34)*(1-AF34)+INDEX(Models!$BJ34:$BT34,,AH34+1)*AF34-ERP_i)*AE34*Ramure*Pc/MaxiM</f>
        <v>1.6390188498791307E-5</v>
      </c>
      <c r="AE34" s="307">
        <f t="shared" si="12"/>
        <v>1</v>
      </c>
      <c r="AF34" s="179">
        <f t="shared" si="13"/>
        <v>0.20092943812839614</v>
      </c>
      <c r="AG34" s="837">
        <f t="shared" si="22"/>
        <v>-3</v>
      </c>
      <c r="AH34" s="178">
        <f t="shared" si="14"/>
        <v>3</v>
      </c>
      <c r="AI34" s="227">
        <f t="shared" si="15"/>
        <v>-2.7990705618716039</v>
      </c>
      <c r="AJ34" s="267" t="b">
        <f t="shared" si="16"/>
        <v>1</v>
      </c>
      <c r="AK34" s="267" t="b">
        <f t="shared" si="17"/>
        <v>0</v>
      </c>
      <c r="AL34" s="267"/>
      <c r="AM34" s="267"/>
      <c r="AN34" s="75"/>
    </row>
    <row r="35" spans="1:40" s="6" customFormat="1" ht="11.25" customHeight="1" x14ac:dyDescent="0.2">
      <c r="A35" s="56">
        <f t="shared" si="23"/>
        <v>43121</v>
      </c>
      <c r="B35" s="622"/>
      <c r="C35" s="879"/>
      <c r="D35" s="395"/>
      <c r="E35" s="387"/>
      <c r="F35" s="387"/>
      <c r="G35" s="110"/>
      <c r="I35" s="382">
        <f t="shared" si="0"/>
        <v>0</v>
      </c>
      <c r="J35" s="85">
        <v>2018</v>
      </c>
      <c r="K35" s="199">
        <f t="shared" si="1"/>
        <v>43121</v>
      </c>
      <c r="L35" s="437">
        <f t="shared" si="2"/>
        <v>0</v>
      </c>
      <c r="M35" s="881"/>
      <c r="N35" s="881"/>
      <c r="O35" s="326">
        <f t="shared" si="3"/>
        <v>0</v>
      </c>
      <c r="P35" s="171">
        <f>(INDEX(Models!$BJ35:$BT35,,T35)*(1-R35)+INDEX(Models!$BJ35:$BT35,,T35+1)*R35-ERP_i)*Q35*Ramure*Pc/MaxiM</f>
        <v>1.7311834423607986E-5</v>
      </c>
      <c r="Q35" s="307">
        <f t="shared" si="18"/>
        <v>1</v>
      </c>
      <c r="R35" s="179">
        <f t="shared" si="4"/>
        <v>0.20101843506052663</v>
      </c>
      <c r="S35" s="837">
        <f t="shared" si="19"/>
        <v>-3</v>
      </c>
      <c r="T35" s="178">
        <f t="shared" si="20"/>
        <v>3</v>
      </c>
      <c r="U35" s="253">
        <f t="shared" si="21"/>
        <v>-2.7989815649394734</v>
      </c>
      <c r="V35" s="385">
        <f t="shared" si="5"/>
        <v>23.391171689951243</v>
      </c>
      <c r="W35" s="58"/>
      <c r="X35" s="157">
        <f t="shared" si="6"/>
        <v>43121</v>
      </c>
      <c r="Y35" s="387">
        <f t="shared" si="7"/>
        <v>0</v>
      </c>
      <c r="Z35" s="387">
        <f t="shared" si="8"/>
        <v>0</v>
      </c>
      <c r="AA35" s="388">
        <f t="shared" si="9"/>
        <v>0</v>
      </c>
      <c r="AB35" s="199">
        <f t="shared" si="10"/>
        <v>43121</v>
      </c>
      <c r="AC35" s="426">
        <f t="shared" si="11"/>
        <v>0</v>
      </c>
      <c r="AD35" s="171">
        <f>(INDEX(Models!$BJ35:$BT35,,AH35)*(1-AF35)+INDEX(Models!$BJ35:$BT35,,AH35+1)*AF35-ERP_i)*AE35*Ramure*Pc/MaxiM</f>
        <v>1.7311834423607986E-5</v>
      </c>
      <c r="AE35" s="307">
        <f t="shared" si="12"/>
        <v>1</v>
      </c>
      <c r="AF35" s="179">
        <f t="shared" si="13"/>
        <v>0.20101843506052663</v>
      </c>
      <c r="AG35" s="837">
        <f t="shared" si="22"/>
        <v>-3</v>
      </c>
      <c r="AH35" s="178">
        <f t="shared" si="14"/>
        <v>3</v>
      </c>
      <c r="AI35" s="227">
        <f t="shared" si="15"/>
        <v>-2.7989815649394734</v>
      </c>
      <c r="AJ35" s="267" t="b">
        <f t="shared" si="16"/>
        <v>1</v>
      </c>
      <c r="AK35" s="267" t="b">
        <f t="shared" si="17"/>
        <v>0</v>
      </c>
      <c r="AL35" s="267"/>
      <c r="AM35" s="267"/>
      <c r="AN35" s="75"/>
    </row>
    <row r="36" spans="1:40" s="6" customFormat="1" ht="11.25" customHeight="1" x14ac:dyDescent="0.2">
      <c r="A36" s="56">
        <f t="shared" si="23"/>
        <v>43122</v>
      </c>
      <c r="B36" s="622"/>
      <c r="C36" s="879"/>
      <c r="D36" s="395"/>
      <c r="E36" s="387"/>
      <c r="F36" s="387"/>
      <c r="G36" s="110"/>
      <c r="I36" s="382">
        <f t="shared" si="0"/>
        <v>0</v>
      </c>
      <c r="J36" s="85">
        <v>2018</v>
      </c>
      <c r="K36" s="199">
        <f t="shared" si="1"/>
        <v>43122</v>
      </c>
      <c r="L36" s="437">
        <f t="shared" si="2"/>
        <v>0</v>
      </c>
      <c r="M36" s="881"/>
      <c r="N36" s="881"/>
      <c r="O36" s="326">
        <f t="shared" si="3"/>
        <v>0</v>
      </c>
      <c r="P36" s="171">
        <f>(INDEX(Models!$BJ36:$BT36,,T36)*(1-R36)+INDEX(Models!$BJ36:$BT36,,T36+1)*R36-ERP_i)*Q36*Ramure*Pc/MaxiM</f>
        <v>1.8190189742704845E-5</v>
      </c>
      <c r="Q36" s="307">
        <f t="shared" si="18"/>
        <v>1</v>
      </c>
      <c r="R36" s="179">
        <f t="shared" si="4"/>
        <v>0.20111114149082177</v>
      </c>
      <c r="S36" s="837">
        <f t="shared" si="19"/>
        <v>-3</v>
      </c>
      <c r="T36" s="178">
        <f t="shared" si="20"/>
        <v>3</v>
      </c>
      <c r="U36" s="253">
        <f t="shared" si="21"/>
        <v>-2.7988888585091782</v>
      </c>
      <c r="V36" s="385">
        <f t="shared" si="5"/>
        <v>23.678169280873146</v>
      </c>
      <c r="W36" s="58"/>
      <c r="X36" s="157">
        <f t="shared" si="6"/>
        <v>43122</v>
      </c>
      <c r="Y36" s="387">
        <f t="shared" si="7"/>
        <v>0</v>
      </c>
      <c r="Z36" s="387">
        <f t="shared" si="8"/>
        <v>0</v>
      </c>
      <c r="AA36" s="388">
        <f t="shared" si="9"/>
        <v>0</v>
      </c>
      <c r="AB36" s="199">
        <f t="shared" si="10"/>
        <v>43122</v>
      </c>
      <c r="AC36" s="426">
        <f t="shared" si="11"/>
        <v>0</v>
      </c>
      <c r="AD36" s="171">
        <f>(INDEX(Models!$BJ36:$BT36,,AH36)*(1-AF36)+INDEX(Models!$BJ36:$BT36,,AH36+1)*AF36-ERP_i)*AE36*Ramure*Pc/MaxiM</f>
        <v>1.8190189742704845E-5</v>
      </c>
      <c r="AE36" s="307">
        <f t="shared" si="12"/>
        <v>1</v>
      </c>
      <c r="AF36" s="179">
        <f t="shared" si="13"/>
        <v>0.20111114149082177</v>
      </c>
      <c r="AG36" s="837">
        <f t="shared" si="22"/>
        <v>-3</v>
      </c>
      <c r="AH36" s="178">
        <f t="shared" si="14"/>
        <v>3</v>
      </c>
      <c r="AI36" s="227">
        <f t="shared" si="15"/>
        <v>-2.7988888585091782</v>
      </c>
      <c r="AJ36" s="267" t="b">
        <f t="shared" si="16"/>
        <v>1</v>
      </c>
      <c r="AK36" s="267" t="b">
        <f t="shared" si="17"/>
        <v>0</v>
      </c>
      <c r="AL36" s="267"/>
      <c r="AM36" s="267"/>
      <c r="AN36" s="75"/>
    </row>
    <row r="37" spans="1:40" s="6" customFormat="1" ht="11.25" customHeight="1" x14ac:dyDescent="0.2">
      <c r="A37" s="56">
        <f t="shared" si="23"/>
        <v>43123</v>
      </c>
      <c r="B37" s="622"/>
      <c r="C37" s="879"/>
      <c r="D37" s="395"/>
      <c r="E37" s="387"/>
      <c r="F37" s="387"/>
      <c r="G37" s="110"/>
      <c r="I37" s="382">
        <f t="shared" si="0"/>
        <v>0</v>
      </c>
      <c r="J37" s="85">
        <v>2018</v>
      </c>
      <c r="K37" s="199">
        <f t="shared" si="1"/>
        <v>43123</v>
      </c>
      <c r="L37" s="437">
        <f t="shared" si="2"/>
        <v>0</v>
      </c>
      <c r="M37" s="881"/>
      <c r="N37" s="881"/>
      <c r="O37" s="326">
        <f t="shared" si="3"/>
        <v>0</v>
      </c>
      <c r="P37" s="171">
        <f>(INDEX(Models!$BJ37:$BT37,,T37)*(1-R37)+INDEX(Models!$BJ37:$BT37,,T37+1)*R37-ERP_i)*Q37*Ramure*Pc/MaxiM</f>
        <v>1.9014923520694977E-5</v>
      </c>
      <c r="Q37" s="307">
        <f t="shared" si="18"/>
        <v>1</v>
      </c>
      <c r="R37" s="179">
        <f t="shared" si="4"/>
        <v>0.20120771098590984</v>
      </c>
      <c r="S37" s="837">
        <f t="shared" si="19"/>
        <v>-3</v>
      </c>
      <c r="T37" s="178">
        <f t="shared" si="20"/>
        <v>3</v>
      </c>
      <c r="U37" s="253">
        <f t="shared" si="21"/>
        <v>-2.7987922890140902</v>
      </c>
      <c r="V37" s="385">
        <f t="shared" si="5"/>
        <v>23.96955962690075</v>
      </c>
      <c r="W37" s="58"/>
      <c r="X37" s="157">
        <f t="shared" si="6"/>
        <v>43123</v>
      </c>
      <c r="Y37" s="387">
        <f t="shared" si="7"/>
        <v>0</v>
      </c>
      <c r="Z37" s="387">
        <f t="shared" si="8"/>
        <v>0</v>
      </c>
      <c r="AA37" s="388">
        <f t="shared" si="9"/>
        <v>0</v>
      </c>
      <c r="AB37" s="199">
        <f t="shared" si="10"/>
        <v>43123</v>
      </c>
      <c r="AC37" s="426">
        <f t="shared" si="11"/>
        <v>0</v>
      </c>
      <c r="AD37" s="171">
        <f>(INDEX(Models!$BJ37:$BT37,,AH37)*(1-AF37)+INDEX(Models!$BJ37:$BT37,,AH37+1)*AF37-ERP_i)*AE37*Ramure*Pc/MaxiM</f>
        <v>1.9014923520694977E-5</v>
      </c>
      <c r="AE37" s="307">
        <f t="shared" si="12"/>
        <v>1</v>
      </c>
      <c r="AF37" s="179">
        <f t="shared" si="13"/>
        <v>0.20120771098590984</v>
      </c>
      <c r="AG37" s="837">
        <f t="shared" si="22"/>
        <v>-3</v>
      </c>
      <c r="AH37" s="178">
        <f t="shared" si="14"/>
        <v>3</v>
      </c>
      <c r="AI37" s="227">
        <f t="shared" si="15"/>
        <v>-2.7987922890140902</v>
      </c>
      <c r="AJ37" s="267" t="b">
        <f t="shared" si="16"/>
        <v>1</v>
      </c>
      <c r="AK37" s="267" t="b">
        <f t="shared" si="17"/>
        <v>0</v>
      </c>
      <c r="AL37" s="267"/>
      <c r="AM37" s="267"/>
      <c r="AN37" s="75"/>
    </row>
    <row r="38" spans="1:40" s="6" customFormat="1" ht="11.25" customHeight="1" x14ac:dyDescent="0.2">
      <c r="A38" s="56">
        <f t="shared" si="23"/>
        <v>43124</v>
      </c>
      <c r="B38" s="622"/>
      <c r="C38" s="879"/>
      <c r="D38" s="395"/>
      <c r="E38" s="387"/>
      <c r="F38" s="387"/>
      <c r="G38" s="110"/>
      <c r="I38" s="382">
        <f t="shared" si="0"/>
        <v>0</v>
      </c>
      <c r="J38" s="85">
        <v>2018</v>
      </c>
      <c r="K38" s="199">
        <f t="shared" si="1"/>
        <v>43124</v>
      </c>
      <c r="L38" s="437">
        <f t="shared" si="2"/>
        <v>0</v>
      </c>
      <c r="M38" s="881"/>
      <c r="N38" s="881"/>
      <c r="O38" s="326">
        <f t="shared" si="3"/>
        <v>0</v>
      </c>
      <c r="P38" s="171">
        <f>(INDEX(Models!$BJ38:$BT38,,T38)*(1-R38)+INDEX(Models!$BJ38:$BT38,,T38+1)*R38-ERP_i)*Q38*Ramure*Pc/MaxiM</f>
        <v>1.974492281005147E-5</v>
      </c>
      <c r="Q38" s="307">
        <f t="shared" si="18"/>
        <v>1</v>
      </c>
      <c r="R38" s="179">
        <f t="shared" si="4"/>
        <v>0.2013083033802312</v>
      </c>
      <c r="S38" s="837">
        <f t="shared" si="19"/>
        <v>-3</v>
      </c>
      <c r="T38" s="178">
        <f t="shared" si="20"/>
        <v>3</v>
      </c>
      <c r="U38" s="253">
        <f t="shared" si="21"/>
        <v>-2.7986916966197688</v>
      </c>
      <c r="V38" s="385">
        <f t="shared" si="5"/>
        <v>24.267470686637392</v>
      </c>
      <c r="W38" s="58"/>
      <c r="X38" s="157">
        <f t="shared" si="6"/>
        <v>43124</v>
      </c>
      <c r="Y38" s="387">
        <f t="shared" si="7"/>
        <v>0</v>
      </c>
      <c r="Z38" s="387">
        <f t="shared" si="8"/>
        <v>0</v>
      </c>
      <c r="AA38" s="388">
        <f t="shared" si="9"/>
        <v>0</v>
      </c>
      <c r="AB38" s="199">
        <f t="shared" si="10"/>
        <v>43124</v>
      </c>
      <c r="AC38" s="426">
        <f t="shared" si="11"/>
        <v>0</v>
      </c>
      <c r="AD38" s="171">
        <f>(INDEX(Models!$BJ38:$BT38,,AH38)*(1-AF38)+INDEX(Models!$BJ38:$BT38,,AH38+1)*AF38-ERP_i)*AE38*Ramure*Pc/MaxiM</f>
        <v>1.974492281005147E-5</v>
      </c>
      <c r="AE38" s="307">
        <f t="shared" si="12"/>
        <v>1</v>
      </c>
      <c r="AF38" s="179">
        <f t="shared" si="13"/>
        <v>0.2013083033802312</v>
      </c>
      <c r="AG38" s="837">
        <f t="shared" si="22"/>
        <v>-3</v>
      </c>
      <c r="AH38" s="178">
        <f t="shared" si="14"/>
        <v>3</v>
      </c>
      <c r="AI38" s="227">
        <f t="shared" si="15"/>
        <v>-2.7986916966197688</v>
      </c>
      <c r="AJ38" s="267" t="b">
        <f t="shared" si="16"/>
        <v>1</v>
      </c>
      <c r="AK38" s="267" t="b">
        <f t="shared" si="17"/>
        <v>0</v>
      </c>
      <c r="AL38" s="267"/>
      <c r="AM38" s="267"/>
      <c r="AN38" s="75"/>
    </row>
    <row r="39" spans="1:40" s="6" customFormat="1" ht="11.25" customHeight="1" x14ac:dyDescent="0.2">
      <c r="A39" s="56">
        <f t="shared" si="23"/>
        <v>43125</v>
      </c>
      <c r="B39" s="622"/>
      <c r="C39" s="879"/>
      <c r="D39" s="395"/>
      <c r="E39" s="387"/>
      <c r="F39" s="387"/>
      <c r="G39" s="110"/>
      <c r="I39" s="382">
        <f t="shared" si="0"/>
        <v>0</v>
      </c>
      <c r="J39" s="85">
        <v>2018</v>
      </c>
      <c r="K39" s="199">
        <f t="shared" si="1"/>
        <v>43125</v>
      </c>
      <c r="L39" s="437">
        <f t="shared" si="2"/>
        <v>0</v>
      </c>
      <c r="M39" s="881"/>
      <c r="N39" s="881"/>
      <c r="O39" s="326">
        <f t="shared" si="3"/>
        <v>0</v>
      </c>
      <c r="P39" s="171">
        <f>(INDEX(Models!$BJ39:$BT39,,T39)*(1-R39)+INDEX(Models!$BJ39:$BT39,,T39+1)*R39-ERP_i)*Q39*Ramure*Pc/MaxiM</f>
        <v>2.0378741961834867E-5</v>
      </c>
      <c r="Q39" s="307">
        <f t="shared" si="18"/>
        <v>1</v>
      </c>
      <c r="R39" s="179">
        <f t="shared" si="4"/>
        <v>0.20141308502420241</v>
      </c>
      <c r="S39" s="837">
        <f t="shared" si="19"/>
        <v>-3</v>
      </c>
      <c r="T39" s="178">
        <f t="shared" si="20"/>
        <v>3</v>
      </c>
      <c r="U39" s="253">
        <f t="shared" si="21"/>
        <v>-2.7985869149757976</v>
      </c>
      <c r="V39" s="385">
        <f t="shared" si="5"/>
        <v>24.571563429564069</v>
      </c>
      <c r="W39" s="58"/>
      <c r="X39" s="157">
        <f t="shared" si="6"/>
        <v>43125</v>
      </c>
      <c r="Y39" s="387">
        <f t="shared" si="7"/>
        <v>0</v>
      </c>
      <c r="Z39" s="387">
        <f t="shared" si="8"/>
        <v>0</v>
      </c>
      <c r="AA39" s="388">
        <f t="shared" si="9"/>
        <v>0</v>
      </c>
      <c r="AB39" s="199">
        <f t="shared" si="10"/>
        <v>43125</v>
      </c>
      <c r="AC39" s="426">
        <f t="shared" si="11"/>
        <v>0</v>
      </c>
      <c r="AD39" s="171">
        <f>(INDEX(Models!$BJ39:$BT39,,AH39)*(1-AF39)+INDEX(Models!$BJ39:$BT39,,AH39+1)*AF39-ERP_i)*AE39*Ramure*Pc/MaxiM</f>
        <v>2.0378741961834867E-5</v>
      </c>
      <c r="AE39" s="307">
        <f t="shared" si="12"/>
        <v>1</v>
      </c>
      <c r="AF39" s="179">
        <f t="shared" si="13"/>
        <v>0.20141308502420241</v>
      </c>
      <c r="AG39" s="837">
        <f t="shared" si="22"/>
        <v>-3</v>
      </c>
      <c r="AH39" s="178">
        <f t="shared" si="14"/>
        <v>3</v>
      </c>
      <c r="AI39" s="227">
        <f t="shared" si="15"/>
        <v>-2.7985869149757976</v>
      </c>
      <c r="AJ39" s="267" t="b">
        <f t="shared" si="16"/>
        <v>1</v>
      </c>
      <c r="AK39" s="267" t="b">
        <f t="shared" si="17"/>
        <v>0</v>
      </c>
      <c r="AL39" s="267"/>
      <c r="AM39" s="267"/>
      <c r="AN39" s="75"/>
    </row>
    <row r="40" spans="1:40" s="6" customFormat="1" ht="11.25" x14ac:dyDescent="0.2">
      <c r="A40" s="56">
        <f t="shared" si="23"/>
        <v>43126</v>
      </c>
      <c r="B40" s="622"/>
      <c r="C40" s="879"/>
      <c r="D40" s="395"/>
      <c r="E40" s="387"/>
      <c r="F40" s="387"/>
      <c r="G40" s="110"/>
      <c r="I40" s="382">
        <f t="shared" si="0"/>
        <v>0</v>
      </c>
      <c r="J40" s="85">
        <v>2018</v>
      </c>
      <c r="K40" s="199">
        <f t="shared" si="1"/>
        <v>43126</v>
      </c>
      <c r="L40" s="437">
        <f t="shared" si="2"/>
        <v>0</v>
      </c>
      <c r="M40" s="881"/>
      <c r="N40" s="881"/>
      <c r="O40" s="326">
        <f t="shared" si="3"/>
        <v>0</v>
      </c>
      <c r="P40" s="171">
        <f>(INDEX(Models!$BJ40:$BT40,,T40)*(1-R40)+INDEX(Models!$BJ40:$BT40,,T40+1)*R40-ERP_i)*Q40*Ramure*Pc/MaxiM</f>
        <v>2.0903303711889855E-5</v>
      </c>
      <c r="Q40" s="307">
        <f t="shared" si="18"/>
        <v>1</v>
      </c>
      <c r="R40" s="179">
        <f t="shared" si="4"/>
        <v>0.20152222904155215</v>
      </c>
      <c r="S40" s="837">
        <f t="shared" si="19"/>
        <v>-3</v>
      </c>
      <c r="T40" s="178">
        <f t="shared" si="20"/>
        <v>3</v>
      </c>
      <c r="U40" s="253">
        <f t="shared" si="21"/>
        <v>-2.7984777709584479</v>
      </c>
      <c r="V40" s="385">
        <f t="shared" si="5"/>
        <v>24.881499125387634</v>
      </c>
      <c r="W40" s="58"/>
      <c r="X40" s="157">
        <f t="shared" si="6"/>
        <v>43126</v>
      </c>
      <c r="Y40" s="387">
        <f t="shared" si="7"/>
        <v>0</v>
      </c>
      <c r="Z40" s="387">
        <f t="shared" si="8"/>
        <v>0</v>
      </c>
      <c r="AA40" s="388">
        <f t="shared" si="9"/>
        <v>0</v>
      </c>
      <c r="AB40" s="199">
        <f t="shared" si="10"/>
        <v>43126</v>
      </c>
      <c r="AC40" s="426">
        <f t="shared" si="11"/>
        <v>0</v>
      </c>
      <c r="AD40" s="171">
        <f>(INDEX(Models!$BJ40:$BT40,,AH40)*(1-AF40)+INDEX(Models!$BJ40:$BT40,,AH40+1)*AF40-ERP_i)*AE40*Ramure*Pc/MaxiM</f>
        <v>2.0903303711889855E-5</v>
      </c>
      <c r="AE40" s="307">
        <f t="shared" si="12"/>
        <v>1</v>
      </c>
      <c r="AF40" s="179">
        <f t="shared" si="13"/>
        <v>0.20152222904155215</v>
      </c>
      <c r="AG40" s="837">
        <f t="shared" si="22"/>
        <v>-3</v>
      </c>
      <c r="AH40" s="178">
        <f t="shared" si="14"/>
        <v>3</v>
      </c>
      <c r="AI40" s="227">
        <f t="shared" si="15"/>
        <v>-2.7984777709584479</v>
      </c>
      <c r="AJ40" s="267" t="b">
        <f t="shared" si="16"/>
        <v>1</v>
      </c>
      <c r="AK40" s="267" t="b">
        <f t="shared" si="17"/>
        <v>0</v>
      </c>
      <c r="AL40" s="267"/>
      <c r="AM40" s="267"/>
      <c r="AN40" s="75"/>
    </row>
    <row r="41" spans="1:40" s="6" customFormat="1" ht="11.25" customHeight="1" x14ac:dyDescent="0.2">
      <c r="A41" s="56">
        <f t="shared" si="23"/>
        <v>43127</v>
      </c>
      <c r="B41" s="622"/>
      <c r="C41" s="879"/>
      <c r="D41" s="395"/>
      <c r="E41" s="387"/>
      <c r="F41" s="387"/>
      <c r="G41" s="110"/>
      <c r="I41" s="382">
        <f t="shared" si="0"/>
        <v>0</v>
      </c>
      <c r="J41" s="85">
        <v>2018</v>
      </c>
      <c r="K41" s="199">
        <f t="shared" si="1"/>
        <v>43127</v>
      </c>
      <c r="L41" s="437">
        <f t="shared" si="2"/>
        <v>0</v>
      </c>
      <c r="M41" s="881"/>
      <c r="N41" s="881"/>
      <c r="O41" s="326">
        <f t="shared" si="3"/>
        <v>0</v>
      </c>
      <c r="P41" s="171">
        <f>(INDEX(Models!$BJ41:$BT41,,T41)*(1-R41)+INDEX(Models!$BJ41:$BT41,,T41+1)*R41-ERP_i)*Q41*Ramure*Pc/MaxiM</f>
        <v>2.1305005116645355E-5</v>
      </c>
      <c r="Q41" s="307">
        <f t="shared" si="18"/>
        <v>1</v>
      </c>
      <c r="R41" s="179">
        <f t="shared" si="4"/>
        <v>0.20163591559610294</v>
      </c>
      <c r="S41" s="837">
        <f t="shared" si="19"/>
        <v>-3</v>
      </c>
      <c r="T41" s="178">
        <f t="shared" si="20"/>
        <v>3</v>
      </c>
      <c r="U41" s="253">
        <f t="shared" si="21"/>
        <v>-2.7983640844038971</v>
      </c>
      <c r="V41" s="385">
        <f t="shared" si="5"/>
        <v>25.196939078418964</v>
      </c>
      <c r="W41" s="58"/>
      <c r="X41" s="157">
        <f t="shared" si="6"/>
        <v>43127</v>
      </c>
      <c r="Y41" s="387">
        <f t="shared" si="7"/>
        <v>0</v>
      </c>
      <c r="Z41" s="387">
        <f t="shared" si="8"/>
        <v>0</v>
      </c>
      <c r="AA41" s="388">
        <f t="shared" si="9"/>
        <v>0</v>
      </c>
      <c r="AB41" s="199">
        <f t="shared" si="10"/>
        <v>43127</v>
      </c>
      <c r="AC41" s="426">
        <f t="shared" si="11"/>
        <v>0</v>
      </c>
      <c r="AD41" s="171">
        <f>(INDEX(Models!$BJ41:$BT41,,AH41)*(1-AF41)+INDEX(Models!$BJ41:$BT41,,AH41+1)*AF41-ERP_i)*AE41*Ramure*Pc/MaxiM</f>
        <v>2.1305005116645355E-5</v>
      </c>
      <c r="AE41" s="307">
        <f t="shared" si="12"/>
        <v>1</v>
      </c>
      <c r="AF41" s="179">
        <f t="shared" si="13"/>
        <v>0.20163591559610294</v>
      </c>
      <c r="AG41" s="837">
        <f t="shared" si="22"/>
        <v>-3</v>
      </c>
      <c r="AH41" s="178">
        <f t="shared" si="14"/>
        <v>3</v>
      </c>
      <c r="AI41" s="227">
        <f t="shared" si="15"/>
        <v>-2.7983640844038971</v>
      </c>
      <c r="AJ41" s="267" t="b">
        <f t="shared" si="16"/>
        <v>1</v>
      </c>
      <c r="AK41" s="267" t="b">
        <f t="shared" si="17"/>
        <v>0</v>
      </c>
      <c r="AL41" s="267"/>
      <c r="AM41" s="267"/>
      <c r="AN41" s="75"/>
    </row>
    <row r="42" spans="1:40" s="6" customFormat="1" ht="11.25" x14ac:dyDescent="0.2">
      <c r="A42" s="56">
        <f t="shared" si="23"/>
        <v>43128</v>
      </c>
      <c r="B42" s="622"/>
      <c r="C42" s="879"/>
      <c r="D42" s="395"/>
      <c r="E42" s="387"/>
      <c r="F42" s="387"/>
      <c r="G42" s="110"/>
      <c r="I42" s="382">
        <f t="shared" si="0"/>
        <v>0</v>
      </c>
      <c r="J42" s="85">
        <v>2018</v>
      </c>
      <c r="K42" s="199">
        <f t="shared" si="1"/>
        <v>43128</v>
      </c>
      <c r="L42" s="437">
        <f t="shared" si="2"/>
        <v>0</v>
      </c>
      <c r="M42" s="881"/>
      <c r="N42" s="881"/>
      <c r="O42" s="326">
        <f t="shared" si="3"/>
        <v>0</v>
      </c>
      <c r="P42" s="171">
        <f>(INDEX(Models!$BJ42:$BT42,,T42)*(1-R42)+INDEX(Models!$BJ42:$BT42,,T42+1)*R42-ERP_i)*Q42*Ramure*Pc/MaxiM</f>
        <v>2.1569674175728278E-5</v>
      </c>
      <c r="Q42" s="307">
        <f t="shared" si="18"/>
        <v>1</v>
      </c>
      <c r="R42" s="179">
        <f t="shared" si="4"/>
        <v>0.20175433216828687</v>
      </c>
      <c r="S42" s="837">
        <f t="shared" si="19"/>
        <v>-3</v>
      </c>
      <c r="T42" s="178">
        <f t="shared" si="20"/>
        <v>3</v>
      </c>
      <c r="U42" s="253">
        <f t="shared" si="21"/>
        <v>-2.7982456678317131</v>
      </c>
      <c r="V42" s="385">
        <f t="shared" si="5"/>
        <v>25.517544627157388</v>
      </c>
      <c r="W42" s="58"/>
      <c r="X42" s="157">
        <f t="shared" si="6"/>
        <v>43128</v>
      </c>
      <c r="Y42" s="387">
        <f t="shared" si="7"/>
        <v>0</v>
      </c>
      <c r="Z42" s="387">
        <f t="shared" si="8"/>
        <v>0</v>
      </c>
      <c r="AA42" s="388">
        <f t="shared" si="9"/>
        <v>0</v>
      </c>
      <c r="AB42" s="199">
        <f t="shared" si="10"/>
        <v>43128</v>
      </c>
      <c r="AC42" s="426">
        <f t="shared" si="11"/>
        <v>0</v>
      </c>
      <c r="AD42" s="171">
        <f>(INDEX(Models!$BJ42:$BT42,,AH42)*(1-AF42)+INDEX(Models!$BJ42:$BT42,,AH42+1)*AF42-ERP_i)*AE42*Ramure*Pc/MaxiM</f>
        <v>2.1569674175728278E-5</v>
      </c>
      <c r="AE42" s="307">
        <f t="shared" si="12"/>
        <v>1</v>
      </c>
      <c r="AF42" s="179">
        <f t="shared" si="13"/>
        <v>0.20175433216828687</v>
      </c>
      <c r="AG42" s="837">
        <f t="shared" si="22"/>
        <v>-3</v>
      </c>
      <c r="AH42" s="178">
        <f t="shared" si="14"/>
        <v>3</v>
      </c>
      <c r="AI42" s="227">
        <f t="shared" si="15"/>
        <v>-2.7982456678317131</v>
      </c>
      <c r="AJ42" s="267" t="b">
        <f t="shared" si="16"/>
        <v>1</v>
      </c>
      <c r="AK42" s="267" t="b">
        <f t="shared" si="17"/>
        <v>0</v>
      </c>
      <c r="AL42" s="267"/>
      <c r="AM42" s="267"/>
      <c r="AN42" s="75"/>
    </row>
    <row r="43" spans="1:40" s="6" customFormat="1" ht="11.25" customHeight="1" x14ac:dyDescent="0.2">
      <c r="A43" s="56">
        <f t="shared" si="23"/>
        <v>43129</v>
      </c>
      <c r="B43" s="622"/>
      <c r="C43" s="879"/>
      <c r="D43" s="395"/>
      <c r="E43" s="387"/>
      <c r="F43" s="387"/>
      <c r="G43" s="110"/>
      <c r="I43" s="382">
        <f t="shared" si="0"/>
        <v>0</v>
      </c>
      <c r="J43" s="85">
        <v>2018</v>
      </c>
      <c r="K43" s="199">
        <f t="shared" si="1"/>
        <v>43129</v>
      </c>
      <c r="L43" s="437">
        <f t="shared" si="2"/>
        <v>0</v>
      </c>
      <c r="M43" s="881"/>
      <c r="N43" s="881"/>
      <c r="O43" s="326">
        <f t="shared" si="3"/>
        <v>0</v>
      </c>
      <c r="P43" s="171">
        <f>(INDEX(Models!$BJ43:$BT43,,T43)*(1-R43)+INDEX(Models!$BJ43:$BT43,,T43+1)*R43-ERP_i)*Q43*Ramure*Pc/MaxiM</f>
        <v>2.1682522201839855E-5</v>
      </c>
      <c r="Q43" s="307">
        <f t="shared" si="18"/>
        <v>1</v>
      </c>
      <c r="R43" s="179">
        <f t="shared" si="4"/>
        <v>0.20187767384168653</v>
      </c>
      <c r="S43" s="837">
        <f t="shared" si="19"/>
        <v>-3</v>
      </c>
      <c r="T43" s="178">
        <f t="shared" si="20"/>
        <v>3</v>
      </c>
      <c r="U43" s="253">
        <f t="shared" si="21"/>
        <v>-2.7981223261583135</v>
      </c>
      <c r="V43" s="385">
        <f t="shared" si="5"/>
        <v>25.842977147425053</v>
      </c>
      <c r="W43" s="58"/>
      <c r="X43" s="157">
        <f t="shared" si="6"/>
        <v>43129</v>
      </c>
      <c r="Y43" s="387">
        <f t="shared" si="7"/>
        <v>0</v>
      </c>
      <c r="Z43" s="387">
        <f t="shared" si="8"/>
        <v>0</v>
      </c>
      <c r="AA43" s="388">
        <f t="shared" si="9"/>
        <v>0</v>
      </c>
      <c r="AB43" s="199">
        <f t="shared" si="10"/>
        <v>43129</v>
      </c>
      <c r="AC43" s="426">
        <f t="shared" si="11"/>
        <v>0</v>
      </c>
      <c r="AD43" s="171">
        <f>(INDEX(Models!$BJ43:$BT43,,AH43)*(1-AF43)+INDEX(Models!$BJ43:$BT43,,AH43+1)*AF43-ERP_i)*AE43*Ramure*Pc/MaxiM</f>
        <v>2.1682522201839855E-5</v>
      </c>
      <c r="AE43" s="307">
        <f t="shared" si="12"/>
        <v>1</v>
      </c>
      <c r="AF43" s="179">
        <f t="shared" si="13"/>
        <v>0.20187767384168653</v>
      </c>
      <c r="AG43" s="837">
        <f t="shared" si="22"/>
        <v>-3</v>
      </c>
      <c r="AH43" s="178">
        <f t="shared" si="14"/>
        <v>3</v>
      </c>
      <c r="AI43" s="227">
        <f t="shared" si="15"/>
        <v>-2.7981223261583135</v>
      </c>
      <c r="AJ43" s="267" t="b">
        <f t="shared" si="16"/>
        <v>1</v>
      </c>
      <c r="AK43" s="267" t="b">
        <f t="shared" si="17"/>
        <v>0</v>
      </c>
      <c r="AL43" s="267"/>
      <c r="AM43" s="267"/>
      <c r="AN43" s="75"/>
    </row>
    <row r="44" spans="1:40" s="6" customFormat="1" ht="11.25" x14ac:dyDescent="0.2">
      <c r="A44" s="56">
        <f t="shared" si="23"/>
        <v>43130</v>
      </c>
      <c r="B44" s="622"/>
      <c r="C44" s="879"/>
      <c r="D44" s="395"/>
      <c r="E44" s="387"/>
      <c r="F44" s="387"/>
      <c r="G44" s="110"/>
      <c r="I44" s="382">
        <f t="shared" si="0"/>
        <v>0</v>
      </c>
      <c r="J44" s="85">
        <v>2018</v>
      </c>
      <c r="K44" s="199">
        <f t="shared" si="1"/>
        <v>43130</v>
      </c>
      <c r="L44" s="437">
        <f t="shared" si="2"/>
        <v>0</v>
      </c>
      <c r="M44" s="881"/>
      <c r="N44" s="881"/>
      <c r="O44" s="326">
        <f t="shared" si="3"/>
        <v>0</v>
      </c>
      <c r="P44" s="171">
        <f>(INDEX(Models!$BJ44:$BT44,,T44)*(1-R44)+INDEX(Models!$BJ44:$BT44,,T44+1)*R44-ERP_i)*Q44*Ramure*Pc/MaxiM</f>
        <v>2.1661316432314089E-5</v>
      </c>
      <c r="Q44" s="307">
        <f t="shared" si="18"/>
        <v>1</v>
      </c>
      <c r="R44" s="179">
        <f t="shared" si="4"/>
        <v>0.20200614359987723</v>
      </c>
      <c r="S44" s="837">
        <f t="shared" si="19"/>
        <v>-3</v>
      </c>
      <c r="T44" s="178">
        <f t="shared" si="20"/>
        <v>3</v>
      </c>
      <c r="U44" s="253">
        <f t="shared" si="21"/>
        <v>-2.7979938564001228</v>
      </c>
      <c r="V44" s="385">
        <f t="shared" si="5"/>
        <v>26.172897187862066</v>
      </c>
      <c r="W44" s="58"/>
      <c r="X44" s="157">
        <f t="shared" si="6"/>
        <v>43130</v>
      </c>
      <c r="Y44" s="387">
        <f t="shared" si="7"/>
        <v>0</v>
      </c>
      <c r="Z44" s="387">
        <f t="shared" si="8"/>
        <v>0</v>
      </c>
      <c r="AA44" s="388">
        <f t="shared" si="9"/>
        <v>0</v>
      </c>
      <c r="AB44" s="199">
        <f t="shared" si="10"/>
        <v>43130</v>
      </c>
      <c r="AC44" s="426">
        <f t="shared" si="11"/>
        <v>0</v>
      </c>
      <c r="AD44" s="171">
        <f>(INDEX(Models!$BJ44:$BT44,,AH44)*(1-AF44)+INDEX(Models!$BJ44:$BT44,,AH44+1)*AF44-ERP_i)*AE44*Ramure*Pc/MaxiM</f>
        <v>2.1661316432314089E-5</v>
      </c>
      <c r="AE44" s="307">
        <f t="shared" si="12"/>
        <v>1</v>
      </c>
      <c r="AF44" s="179">
        <f t="shared" si="13"/>
        <v>0.20200614359987723</v>
      </c>
      <c r="AG44" s="837">
        <f t="shared" si="22"/>
        <v>-3</v>
      </c>
      <c r="AH44" s="178">
        <f t="shared" si="14"/>
        <v>3</v>
      </c>
      <c r="AI44" s="227">
        <f t="shared" si="15"/>
        <v>-2.7979938564001228</v>
      </c>
      <c r="AJ44" s="267" t="b">
        <f t="shared" si="16"/>
        <v>1</v>
      </c>
      <c r="AK44" s="267" t="b">
        <f t="shared" si="17"/>
        <v>0</v>
      </c>
      <c r="AL44" s="267"/>
      <c r="AM44" s="267"/>
      <c r="AN44" s="75"/>
    </row>
    <row r="45" spans="1:40" s="6" customFormat="1" ht="11.25" x14ac:dyDescent="0.2">
      <c r="A45" s="56">
        <f t="shared" si="23"/>
        <v>43131</v>
      </c>
      <c r="B45" s="622"/>
      <c r="C45" s="879"/>
      <c r="D45" s="395"/>
      <c r="E45" s="387"/>
      <c r="F45" s="387"/>
      <c r="G45" s="110"/>
      <c r="I45" s="382">
        <f t="shared" si="0"/>
        <v>0</v>
      </c>
      <c r="J45" s="85">
        <v>2018</v>
      </c>
      <c r="K45" s="199">
        <f t="shared" si="1"/>
        <v>43131</v>
      </c>
      <c r="L45" s="437">
        <f t="shared" si="2"/>
        <v>0</v>
      </c>
      <c r="M45" s="881"/>
      <c r="N45" s="881"/>
      <c r="O45" s="326">
        <f t="shared" si="3"/>
        <v>0</v>
      </c>
      <c r="P45" s="171">
        <f>(INDEX(Models!$BJ45:$BT45,,T45)*(1-R45)+INDEX(Models!$BJ45:$BT45,,T45+1)*R45-ERP_i)*Q45*Ramure*Pc/MaxiM</f>
        <v>2.1557933598347526E-5</v>
      </c>
      <c r="Q45" s="307">
        <f t="shared" si="18"/>
        <v>1</v>
      </c>
      <c r="R45" s="179">
        <f t="shared" si="4"/>
        <v>0.20213995263387918</v>
      </c>
      <c r="S45" s="837">
        <f t="shared" si="19"/>
        <v>-3</v>
      </c>
      <c r="T45" s="178">
        <f t="shared" si="20"/>
        <v>3</v>
      </c>
      <c r="U45" s="253">
        <f t="shared" si="21"/>
        <v>-2.7978600473661208</v>
      </c>
      <c r="V45" s="385">
        <f t="shared" si="5"/>
        <v>26.506964375631014</v>
      </c>
      <c r="W45" s="58"/>
      <c r="X45" s="157">
        <f t="shared" si="6"/>
        <v>43131</v>
      </c>
      <c r="Y45" s="387">
        <f t="shared" si="7"/>
        <v>0</v>
      </c>
      <c r="Z45" s="387">
        <f t="shared" si="8"/>
        <v>0</v>
      </c>
      <c r="AA45" s="388">
        <f t="shared" si="9"/>
        <v>0</v>
      </c>
      <c r="AB45" s="199">
        <f t="shared" si="10"/>
        <v>43131</v>
      </c>
      <c r="AC45" s="426">
        <f t="shared" si="11"/>
        <v>0</v>
      </c>
      <c r="AD45" s="171">
        <f>(INDEX(Models!$BJ45:$BT45,,AH45)*(1-AF45)+INDEX(Models!$BJ45:$BT45,,AH45+1)*AF45-ERP_i)*AE45*Ramure*Pc/MaxiM</f>
        <v>2.1557933598347526E-5</v>
      </c>
      <c r="AE45" s="307">
        <f t="shared" si="12"/>
        <v>1</v>
      </c>
      <c r="AF45" s="179">
        <f t="shared" si="13"/>
        <v>0.20213995263387918</v>
      </c>
      <c r="AG45" s="837">
        <f t="shared" si="22"/>
        <v>-3</v>
      </c>
      <c r="AH45" s="178">
        <f t="shared" si="14"/>
        <v>3</v>
      </c>
      <c r="AI45" s="227">
        <f t="shared" si="15"/>
        <v>-2.7978600473661208</v>
      </c>
      <c r="AJ45" s="267" t="b">
        <f t="shared" si="16"/>
        <v>1</v>
      </c>
      <c r="AK45" s="267" t="b">
        <f t="shared" si="17"/>
        <v>0</v>
      </c>
      <c r="AL45" s="267"/>
      <c r="AM45" s="267"/>
      <c r="AN45" s="75"/>
    </row>
    <row r="46" spans="1:40" s="6" customFormat="1" ht="11.25" x14ac:dyDescent="0.2">
      <c r="A46" s="56">
        <f t="shared" si="23"/>
        <v>43132</v>
      </c>
      <c r="B46" s="622"/>
      <c r="C46" s="879"/>
      <c r="D46" s="395"/>
      <c r="E46" s="387"/>
      <c r="F46" s="387"/>
      <c r="G46" s="110"/>
      <c r="I46" s="382">
        <f t="shared" si="0"/>
        <v>0</v>
      </c>
      <c r="J46" s="85">
        <v>2018</v>
      </c>
      <c r="K46" s="199">
        <f t="shared" si="1"/>
        <v>43132</v>
      </c>
      <c r="L46" s="437">
        <f t="shared" si="2"/>
        <v>0</v>
      </c>
      <c r="M46" s="881"/>
      <c r="N46" s="881"/>
      <c r="O46" s="326">
        <f t="shared" si="3"/>
        <v>0</v>
      </c>
      <c r="P46" s="171">
        <f>(INDEX(Models!$BJ46:$BT46,,T46)*(1-R46)+INDEX(Models!$BJ46:$BT46,,T46+1)*R46-ERP_i)*Q46*Ramure*Pc/MaxiM</f>
        <v>2.1368944425526047E-5</v>
      </c>
      <c r="Q46" s="307">
        <f t="shared" si="18"/>
        <v>1</v>
      </c>
      <c r="R46" s="179">
        <f t="shared" si="4"/>
        <v>0.20227932066049625</v>
      </c>
      <c r="S46" s="837">
        <f t="shared" si="19"/>
        <v>-3</v>
      </c>
      <c r="T46" s="178">
        <f t="shared" si="20"/>
        <v>3</v>
      </c>
      <c r="U46" s="253">
        <f t="shared" si="21"/>
        <v>-2.7977206793395037</v>
      </c>
      <c r="V46" s="385">
        <f t="shared" si="5"/>
        <v>26.844839753474265</v>
      </c>
      <c r="W46" s="58"/>
      <c r="X46" s="157">
        <f t="shared" si="6"/>
        <v>43132</v>
      </c>
      <c r="Y46" s="387">
        <f t="shared" si="7"/>
        <v>0</v>
      </c>
      <c r="Z46" s="387">
        <f t="shared" si="8"/>
        <v>0</v>
      </c>
      <c r="AA46" s="388">
        <f t="shared" si="9"/>
        <v>0</v>
      </c>
      <c r="AB46" s="199">
        <f t="shared" si="10"/>
        <v>43132</v>
      </c>
      <c r="AC46" s="426">
        <f t="shared" si="11"/>
        <v>0</v>
      </c>
      <c r="AD46" s="171">
        <f>(INDEX(Models!$BJ46:$BT46,,AH46)*(1-AF46)+INDEX(Models!$BJ46:$BT46,,AH46+1)*AF46-ERP_i)*AE46*Ramure*Pc/MaxiM</f>
        <v>2.1368944425526047E-5</v>
      </c>
      <c r="AE46" s="307">
        <f t="shared" si="12"/>
        <v>1</v>
      </c>
      <c r="AF46" s="179">
        <f t="shared" si="13"/>
        <v>0.20227932066049625</v>
      </c>
      <c r="AG46" s="837">
        <f t="shared" si="22"/>
        <v>-3</v>
      </c>
      <c r="AH46" s="178">
        <f t="shared" si="14"/>
        <v>3</v>
      </c>
      <c r="AI46" s="227">
        <f t="shared" si="15"/>
        <v>-2.7977206793395037</v>
      </c>
      <c r="AJ46" s="267" t="b">
        <f t="shared" si="16"/>
        <v>1</v>
      </c>
      <c r="AK46" s="267" t="b">
        <f t="shared" si="17"/>
        <v>0</v>
      </c>
      <c r="AL46" s="267"/>
      <c r="AM46" s="267"/>
      <c r="AN46" s="75"/>
    </row>
    <row r="47" spans="1:40" s="6" customFormat="1" ht="11.25" x14ac:dyDescent="0.2">
      <c r="A47" s="56">
        <f t="shared" si="23"/>
        <v>43133</v>
      </c>
      <c r="B47" s="622"/>
      <c r="C47" s="879"/>
      <c r="D47" s="395"/>
      <c r="E47" s="387"/>
      <c r="F47" s="387"/>
      <c r="G47" s="110"/>
      <c r="I47" s="382">
        <f t="shared" si="0"/>
        <v>0</v>
      </c>
      <c r="J47" s="85">
        <v>2018</v>
      </c>
      <c r="K47" s="199">
        <f t="shared" si="1"/>
        <v>43133</v>
      </c>
      <c r="L47" s="437">
        <f t="shared" si="2"/>
        <v>0</v>
      </c>
      <c r="M47" s="881"/>
      <c r="N47" s="881"/>
      <c r="O47" s="326">
        <f t="shared" si="3"/>
        <v>0</v>
      </c>
      <c r="P47" s="171">
        <f>(INDEX(Models!$BJ47:$BT47,,T47)*(1-R47)+INDEX(Models!$BJ47:$BT47,,T47+1)*R47-ERP_i)*Q47*Ramure*Pc/MaxiM</f>
        <v>2.1090722809188767E-5</v>
      </c>
      <c r="Q47" s="307">
        <f t="shared" si="18"/>
        <v>1</v>
      </c>
      <c r="R47" s="179">
        <f t="shared" si="4"/>
        <v>0.20242447625183901</v>
      </c>
      <c r="S47" s="837">
        <f t="shared" si="19"/>
        <v>-3</v>
      </c>
      <c r="T47" s="178">
        <f t="shared" si="20"/>
        <v>3</v>
      </c>
      <c r="U47" s="253">
        <f t="shared" si="21"/>
        <v>-2.797575523748161</v>
      </c>
      <c r="V47" s="385">
        <f t="shared" si="5"/>
        <v>27.186184373985547</v>
      </c>
      <c r="W47" s="58"/>
      <c r="X47" s="157">
        <f t="shared" si="6"/>
        <v>43133</v>
      </c>
      <c r="Y47" s="387">
        <f t="shared" si="7"/>
        <v>0</v>
      </c>
      <c r="Z47" s="387">
        <f t="shared" si="8"/>
        <v>0</v>
      </c>
      <c r="AA47" s="388">
        <f t="shared" si="9"/>
        <v>0</v>
      </c>
      <c r="AB47" s="199">
        <f t="shared" si="10"/>
        <v>43133</v>
      </c>
      <c r="AC47" s="426">
        <f t="shared" si="11"/>
        <v>0</v>
      </c>
      <c r="AD47" s="171">
        <f>(INDEX(Models!$BJ47:$BT47,,AH47)*(1-AF47)+INDEX(Models!$BJ47:$BT47,,AH47+1)*AF47-ERP_i)*AE47*Ramure*Pc/MaxiM</f>
        <v>2.1090722809188767E-5</v>
      </c>
      <c r="AE47" s="307">
        <f t="shared" si="12"/>
        <v>1</v>
      </c>
      <c r="AF47" s="179">
        <f t="shared" si="13"/>
        <v>0.20242447625183901</v>
      </c>
      <c r="AG47" s="837">
        <f t="shared" si="22"/>
        <v>-3</v>
      </c>
      <c r="AH47" s="178">
        <f t="shared" si="14"/>
        <v>3</v>
      </c>
      <c r="AI47" s="227">
        <f t="shared" si="15"/>
        <v>-2.797575523748161</v>
      </c>
      <c r="AJ47" s="267" t="b">
        <f t="shared" si="16"/>
        <v>1</v>
      </c>
      <c r="AK47" s="267" t="b">
        <f t="shared" si="17"/>
        <v>0</v>
      </c>
      <c r="AL47" s="267"/>
      <c r="AM47" s="267"/>
      <c r="AN47" s="75"/>
    </row>
    <row r="48" spans="1:40" s="6" customFormat="1" ht="11.25" x14ac:dyDescent="0.2">
      <c r="A48" s="56">
        <f t="shared" si="23"/>
        <v>43134</v>
      </c>
      <c r="B48" s="622"/>
      <c r="C48" s="879"/>
      <c r="D48" s="395"/>
      <c r="E48" s="387"/>
      <c r="F48" s="387"/>
      <c r="G48" s="110"/>
      <c r="I48" s="382">
        <f t="shared" si="0"/>
        <v>0</v>
      </c>
      <c r="J48" s="85">
        <v>2018</v>
      </c>
      <c r="K48" s="199">
        <f t="shared" si="1"/>
        <v>43134</v>
      </c>
      <c r="L48" s="437">
        <f t="shared" si="2"/>
        <v>0</v>
      </c>
      <c r="M48" s="881"/>
      <c r="N48" s="881"/>
      <c r="O48" s="326">
        <f t="shared" si="3"/>
        <v>0</v>
      </c>
      <c r="P48" s="171">
        <f>(INDEX(Models!$BJ48:$BT48,,T48)*(1-R48)+INDEX(Models!$BJ48:$BT48,,T48+1)*R48-ERP_i)*Q48*Ramure*Pc/MaxiM</f>
        <v>2.0719426987033593E-5</v>
      </c>
      <c r="Q48" s="307">
        <f t="shared" si="18"/>
        <v>1</v>
      </c>
      <c r="R48" s="179">
        <f t="shared" si="4"/>
        <v>0.20257565717632486</v>
      </c>
      <c r="S48" s="837">
        <f t="shared" si="19"/>
        <v>-3</v>
      </c>
      <c r="T48" s="178">
        <f t="shared" si="20"/>
        <v>3</v>
      </c>
      <c r="U48" s="253">
        <f t="shared" si="21"/>
        <v>-2.7974243428236751</v>
      </c>
      <c r="V48" s="385">
        <f t="shared" si="5"/>
        <v>27.530659306628777</v>
      </c>
      <c r="W48" s="58"/>
      <c r="X48" s="157">
        <f t="shared" si="6"/>
        <v>43134</v>
      </c>
      <c r="Y48" s="387">
        <f t="shared" si="7"/>
        <v>0</v>
      </c>
      <c r="Z48" s="387">
        <f t="shared" si="8"/>
        <v>0</v>
      </c>
      <c r="AA48" s="388">
        <f t="shared" si="9"/>
        <v>0</v>
      </c>
      <c r="AB48" s="199">
        <f t="shared" si="10"/>
        <v>43134</v>
      </c>
      <c r="AC48" s="426">
        <f t="shared" si="11"/>
        <v>0</v>
      </c>
      <c r="AD48" s="171">
        <f>(INDEX(Models!$BJ48:$BT48,,AH48)*(1-AF48)+INDEX(Models!$BJ48:$BT48,,AH48+1)*AF48-ERP_i)*AE48*Ramure*Pc/MaxiM</f>
        <v>2.0719426987033593E-5</v>
      </c>
      <c r="AE48" s="307">
        <f t="shared" si="12"/>
        <v>1</v>
      </c>
      <c r="AF48" s="179">
        <f t="shared" si="13"/>
        <v>0.20257565717632486</v>
      </c>
      <c r="AG48" s="837">
        <f t="shared" si="22"/>
        <v>-3</v>
      </c>
      <c r="AH48" s="178">
        <f t="shared" si="14"/>
        <v>3</v>
      </c>
      <c r="AI48" s="227">
        <f t="shared" si="15"/>
        <v>-2.7974243428236751</v>
      </c>
      <c r="AJ48" s="267" t="b">
        <f t="shared" si="16"/>
        <v>1</v>
      </c>
      <c r="AK48" s="267" t="b">
        <f t="shared" si="17"/>
        <v>0</v>
      </c>
      <c r="AL48" s="267"/>
      <c r="AM48" s="267"/>
      <c r="AN48" s="75"/>
    </row>
    <row r="49" spans="1:40" s="6" customFormat="1" ht="11.25" x14ac:dyDescent="0.2">
      <c r="A49" s="56">
        <f t="shared" si="23"/>
        <v>43135</v>
      </c>
      <c r="B49" s="622"/>
      <c r="C49" s="879"/>
      <c r="D49" s="395"/>
      <c r="E49" s="387"/>
      <c r="F49" s="387"/>
      <c r="G49" s="110"/>
      <c r="I49" s="382">
        <f t="shared" si="0"/>
        <v>0</v>
      </c>
      <c r="J49" s="85">
        <v>2018</v>
      </c>
      <c r="K49" s="199">
        <f t="shared" si="1"/>
        <v>43135</v>
      </c>
      <c r="L49" s="437">
        <f t="shared" si="2"/>
        <v>0</v>
      </c>
      <c r="M49" s="881"/>
      <c r="N49" s="881"/>
      <c r="O49" s="326">
        <f t="shared" si="3"/>
        <v>0</v>
      </c>
      <c r="P49" s="171">
        <f>(INDEX(Models!$BJ49:$BT49,,T49)*(1-R49)+INDEX(Models!$BJ49:$BT49,,T49+1)*R49-ERP_i)*Q49*Ramure*Pc/MaxiM</f>
        <v>2.0250980225251443E-5</v>
      </c>
      <c r="Q49" s="307">
        <f t="shared" si="18"/>
        <v>1</v>
      </c>
      <c r="R49" s="179">
        <f t="shared" si="4"/>
        <v>0.20273311075143763</v>
      </c>
      <c r="S49" s="837">
        <f t="shared" si="19"/>
        <v>-3</v>
      </c>
      <c r="T49" s="178">
        <f t="shared" si="20"/>
        <v>3</v>
      </c>
      <c r="U49" s="253">
        <f t="shared" si="21"/>
        <v>-2.7972668892485624</v>
      </c>
      <c r="V49" s="385">
        <f t="shared" si="5"/>
        <v>27.877925630745185</v>
      </c>
      <c r="W49" s="58"/>
      <c r="X49" s="157">
        <f t="shared" si="6"/>
        <v>43135</v>
      </c>
      <c r="Y49" s="387">
        <f t="shared" si="7"/>
        <v>0</v>
      </c>
      <c r="Z49" s="387">
        <f t="shared" si="8"/>
        <v>0</v>
      </c>
      <c r="AA49" s="388">
        <f t="shared" si="9"/>
        <v>0</v>
      </c>
      <c r="AB49" s="199">
        <f t="shared" si="10"/>
        <v>43135</v>
      </c>
      <c r="AC49" s="426">
        <f t="shared" si="11"/>
        <v>0</v>
      </c>
      <c r="AD49" s="171">
        <f>(INDEX(Models!$BJ49:$BT49,,AH49)*(1-AF49)+INDEX(Models!$BJ49:$BT49,,AH49+1)*AF49-ERP_i)*AE49*Ramure*Pc/MaxiM</f>
        <v>2.0250980225251443E-5</v>
      </c>
      <c r="AE49" s="307">
        <f t="shared" si="12"/>
        <v>1</v>
      </c>
      <c r="AF49" s="179">
        <f t="shared" si="13"/>
        <v>0.20273311075143763</v>
      </c>
      <c r="AG49" s="837">
        <f t="shared" si="22"/>
        <v>-3</v>
      </c>
      <c r="AH49" s="178">
        <f t="shared" si="14"/>
        <v>3</v>
      </c>
      <c r="AI49" s="227">
        <f t="shared" si="15"/>
        <v>-2.7972668892485624</v>
      </c>
      <c r="AJ49" s="267" t="b">
        <f t="shared" si="16"/>
        <v>1</v>
      </c>
      <c r="AK49" s="267" t="b">
        <f t="shared" si="17"/>
        <v>0</v>
      </c>
      <c r="AL49" s="267"/>
      <c r="AM49" s="267"/>
      <c r="AN49" s="75"/>
    </row>
    <row r="50" spans="1:40" s="6" customFormat="1" ht="11.25" x14ac:dyDescent="0.2">
      <c r="A50" s="56">
        <f t="shared" si="23"/>
        <v>43136</v>
      </c>
      <c r="B50" s="622"/>
      <c r="C50" s="879"/>
      <c r="D50" s="395"/>
      <c r="E50" s="387"/>
      <c r="F50" s="387"/>
      <c r="G50" s="110"/>
      <c r="I50" s="382">
        <f t="shared" si="0"/>
        <v>0</v>
      </c>
      <c r="J50" s="85">
        <v>2018</v>
      </c>
      <c r="K50" s="199">
        <f t="shared" si="1"/>
        <v>43136</v>
      </c>
      <c r="L50" s="437">
        <f t="shared" si="2"/>
        <v>0</v>
      </c>
      <c r="M50" s="881"/>
      <c r="N50" s="881"/>
      <c r="O50" s="326">
        <f t="shared" si="3"/>
        <v>0</v>
      </c>
      <c r="P50" s="171">
        <f>(INDEX(Models!$BJ50:$BT50,,T50)*(1-R50)+INDEX(Models!$BJ50:$BT50,,T50+1)*R50-ERP_i)*Q50*Ramure*Pc/MaxiM</f>
        <v>1.9681050921584454E-5</v>
      </c>
      <c r="Q50" s="307">
        <f t="shared" si="18"/>
        <v>1</v>
      </c>
      <c r="R50" s="179">
        <f t="shared" si="4"/>
        <v>0.20289709420853042</v>
      </c>
      <c r="S50" s="837">
        <f t="shared" si="19"/>
        <v>-3</v>
      </c>
      <c r="T50" s="178">
        <f t="shared" si="20"/>
        <v>3</v>
      </c>
      <c r="U50" s="253">
        <f t="shared" si="21"/>
        <v>-2.7971029057914696</v>
      </c>
      <c r="V50" s="385">
        <f t="shared" si="5"/>
        <v>28.227644439137844</v>
      </c>
      <c r="W50" s="58"/>
      <c r="X50" s="157">
        <f t="shared" si="6"/>
        <v>43136</v>
      </c>
      <c r="Y50" s="387">
        <f t="shared" si="7"/>
        <v>0</v>
      </c>
      <c r="Z50" s="387">
        <f t="shared" si="8"/>
        <v>0</v>
      </c>
      <c r="AA50" s="388">
        <f t="shared" si="9"/>
        <v>0</v>
      </c>
      <c r="AB50" s="199">
        <f t="shared" si="10"/>
        <v>43136</v>
      </c>
      <c r="AC50" s="426">
        <f t="shared" si="11"/>
        <v>0</v>
      </c>
      <c r="AD50" s="171">
        <f>(INDEX(Models!$BJ50:$BT50,,AH50)*(1-AF50)+INDEX(Models!$BJ50:$BT50,,AH50+1)*AF50-ERP_i)*AE50*Ramure*Pc/MaxiM</f>
        <v>1.9681050921584454E-5</v>
      </c>
      <c r="AE50" s="307">
        <f t="shared" si="12"/>
        <v>1</v>
      </c>
      <c r="AF50" s="179">
        <f t="shared" si="13"/>
        <v>0.20289709420853042</v>
      </c>
      <c r="AG50" s="837">
        <f t="shared" si="22"/>
        <v>-3</v>
      </c>
      <c r="AH50" s="178">
        <f t="shared" si="14"/>
        <v>3</v>
      </c>
      <c r="AI50" s="227">
        <f t="shared" si="15"/>
        <v>-2.7971029057914696</v>
      </c>
      <c r="AJ50" s="267" t="b">
        <f t="shared" si="16"/>
        <v>1</v>
      </c>
      <c r="AK50" s="267" t="b">
        <f t="shared" si="17"/>
        <v>0</v>
      </c>
      <c r="AL50" s="267"/>
      <c r="AM50" s="267"/>
      <c r="AN50" s="75"/>
    </row>
    <row r="51" spans="1:40" s="6" customFormat="1" ht="11.25" x14ac:dyDescent="0.2">
      <c r="A51" s="56">
        <f t="shared" si="23"/>
        <v>43137</v>
      </c>
      <c r="B51" s="622"/>
      <c r="C51" s="879"/>
      <c r="D51" s="395"/>
      <c r="E51" s="387"/>
      <c r="F51" s="387"/>
      <c r="G51" s="110"/>
      <c r="I51" s="382">
        <f t="shared" si="0"/>
        <v>0</v>
      </c>
      <c r="J51" s="85">
        <v>2018</v>
      </c>
      <c r="K51" s="199">
        <f t="shared" si="1"/>
        <v>43137</v>
      </c>
      <c r="L51" s="437">
        <f t="shared" si="2"/>
        <v>0</v>
      </c>
      <c r="M51" s="881"/>
      <c r="N51" s="881"/>
      <c r="O51" s="326">
        <f t="shared" si="3"/>
        <v>0</v>
      </c>
      <c r="P51" s="171">
        <f>(INDEX(Models!$BJ51:$BT51,,T51)*(1-R51)+INDEX(Models!$BJ51:$BT51,,T51+1)*R51-ERP_i)*Q51*Ramure*Pc/MaxiM</f>
        <v>1.9004631133411734E-5</v>
      </c>
      <c r="Q51" s="307">
        <f t="shared" si="18"/>
        <v>1</v>
      </c>
      <c r="R51" s="179">
        <f t="shared" si="4"/>
        <v>0.2030678750699626</v>
      </c>
      <c r="S51" s="837">
        <f t="shared" si="19"/>
        <v>-3</v>
      </c>
      <c r="T51" s="178">
        <f t="shared" si="20"/>
        <v>3</v>
      </c>
      <c r="U51" s="253">
        <f t="shared" si="21"/>
        <v>-2.7969321249300374</v>
      </c>
      <c r="V51" s="385">
        <f t="shared" si="5"/>
        <v>28.580079758166825</v>
      </c>
      <c r="W51" s="58"/>
      <c r="X51" s="157">
        <f t="shared" si="6"/>
        <v>43137</v>
      </c>
      <c r="Y51" s="387">
        <f t="shared" si="7"/>
        <v>0</v>
      </c>
      <c r="Z51" s="387">
        <f t="shared" si="8"/>
        <v>0</v>
      </c>
      <c r="AA51" s="388">
        <f t="shared" si="9"/>
        <v>0</v>
      </c>
      <c r="AB51" s="199">
        <f t="shared" si="10"/>
        <v>43137</v>
      </c>
      <c r="AC51" s="426">
        <f t="shared" si="11"/>
        <v>0</v>
      </c>
      <c r="AD51" s="171">
        <f>(INDEX(Models!$BJ51:$BT51,,AH51)*(1-AF51)+INDEX(Models!$BJ51:$BT51,,AH51+1)*AF51-ERP_i)*AE51*Ramure*Pc/MaxiM</f>
        <v>1.9004631133411734E-5</v>
      </c>
      <c r="AE51" s="307">
        <f t="shared" si="12"/>
        <v>1</v>
      </c>
      <c r="AF51" s="179">
        <f t="shared" si="13"/>
        <v>0.2030678750699626</v>
      </c>
      <c r="AG51" s="837">
        <f t="shared" si="22"/>
        <v>-3</v>
      </c>
      <c r="AH51" s="178">
        <f t="shared" si="14"/>
        <v>3</v>
      </c>
      <c r="AI51" s="227">
        <f t="shared" si="15"/>
        <v>-2.7969321249300374</v>
      </c>
      <c r="AJ51" s="267" t="b">
        <f t="shared" si="16"/>
        <v>1</v>
      </c>
      <c r="AK51" s="267" t="b">
        <f t="shared" si="17"/>
        <v>0</v>
      </c>
      <c r="AL51" s="267"/>
      <c r="AM51" s="267"/>
      <c r="AN51" s="75"/>
    </row>
    <row r="52" spans="1:40" s="6" customFormat="1" ht="11.25" x14ac:dyDescent="0.2">
      <c r="A52" s="56">
        <f t="shared" si="23"/>
        <v>43138</v>
      </c>
      <c r="B52" s="622"/>
      <c r="C52" s="879"/>
      <c r="D52" s="395"/>
      <c r="E52" s="387"/>
      <c r="F52" s="387"/>
      <c r="G52" s="110"/>
      <c r="I52" s="382">
        <f t="shared" si="0"/>
        <v>0</v>
      </c>
      <c r="J52" s="85">
        <v>2018</v>
      </c>
      <c r="K52" s="199">
        <f t="shared" si="1"/>
        <v>43138</v>
      </c>
      <c r="L52" s="437">
        <f t="shared" si="2"/>
        <v>0</v>
      </c>
      <c r="M52" s="881"/>
      <c r="N52" s="881"/>
      <c r="O52" s="326">
        <f t="shared" si="3"/>
        <v>0</v>
      </c>
      <c r="P52" s="171">
        <f>(INDEX(Models!$BJ52:$BT52,,T52)*(1-R52)+INDEX(Models!$BJ52:$BT52,,T52+1)*R52-ERP_i)*Q52*Ramure*Pc/MaxiM</f>
        <v>1.8288777133979281E-5</v>
      </c>
      <c r="Q52" s="307">
        <f t="shared" si="18"/>
        <v>1</v>
      </c>
      <c r="R52" s="179">
        <f t="shared" si="4"/>
        <v>0.20324573153882453</v>
      </c>
      <c r="S52" s="837">
        <f t="shared" si="19"/>
        <v>-3</v>
      </c>
      <c r="T52" s="178">
        <f t="shared" si="20"/>
        <v>3</v>
      </c>
      <c r="U52" s="253">
        <f t="shared" si="21"/>
        <v>-2.7967542684611755</v>
      </c>
      <c r="V52" s="385">
        <f t="shared" si="5"/>
        <v>28.935794988346814</v>
      </c>
      <c r="W52" s="58"/>
      <c r="X52" s="157">
        <f t="shared" si="6"/>
        <v>43138</v>
      </c>
      <c r="Y52" s="387">
        <f t="shared" si="7"/>
        <v>0</v>
      </c>
      <c r="Z52" s="387">
        <f t="shared" si="8"/>
        <v>0</v>
      </c>
      <c r="AA52" s="388">
        <f t="shared" si="9"/>
        <v>0</v>
      </c>
      <c r="AB52" s="199">
        <f t="shared" si="10"/>
        <v>43138</v>
      </c>
      <c r="AC52" s="426">
        <f t="shared" si="11"/>
        <v>0</v>
      </c>
      <c r="AD52" s="171">
        <f>(INDEX(Models!$BJ52:$BT52,,AH52)*(1-AF52)+INDEX(Models!$BJ52:$BT52,,AH52+1)*AF52-ERP_i)*AE52*Ramure*Pc/MaxiM</f>
        <v>1.8288777133979281E-5</v>
      </c>
      <c r="AE52" s="307">
        <f t="shared" si="12"/>
        <v>1</v>
      </c>
      <c r="AF52" s="179">
        <f t="shared" si="13"/>
        <v>0.20324573153882453</v>
      </c>
      <c r="AG52" s="837">
        <f t="shared" si="22"/>
        <v>-3</v>
      </c>
      <c r="AH52" s="178">
        <f t="shared" si="14"/>
        <v>3</v>
      </c>
      <c r="AI52" s="227">
        <f t="shared" si="15"/>
        <v>-2.7967542684611755</v>
      </c>
      <c r="AJ52" s="267" t="b">
        <f t="shared" si="16"/>
        <v>1</v>
      </c>
      <c r="AK52" s="267" t="b">
        <f t="shared" si="17"/>
        <v>0</v>
      </c>
      <c r="AL52" s="267"/>
      <c r="AM52" s="267"/>
      <c r="AN52" s="75"/>
    </row>
    <row r="53" spans="1:40" s="6" customFormat="1" ht="11.25" x14ac:dyDescent="0.2">
      <c r="A53" s="56">
        <f t="shared" si="23"/>
        <v>43139</v>
      </c>
      <c r="B53" s="622"/>
      <c r="C53" s="879"/>
      <c r="D53" s="395"/>
      <c r="E53" s="387"/>
      <c r="F53" s="387"/>
      <c r="G53" s="110"/>
      <c r="I53" s="382">
        <f t="shared" si="0"/>
        <v>0</v>
      </c>
      <c r="J53" s="85">
        <v>2018</v>
      </c>
      <c r="K53" s="199">
        <f t="shared" si="1"/>
        <v>43139</v>
      </c>
      <c r="L53" s="437">
        <f t="shared" si="2"/>
        <v>0</v>
      </c>
      <c r="M53" s="881"/>
      <c r="N53" s="881"/>
      <c r="O53" s="326">
        <f t="shared" si="3"/>
        <v>0</v>
      </c>
      <c r="P53" s="171">
        <f>(INDEX(Models!$BJ53:$BT53,,T53)*(1-R53)+INDEX(Models!$BJ53:$BT53,,T53+1)*R53-ERP_i)*Q53*Ramure*Pc/MaxiM</f>
        <v>1.7596159433701307E-5</v>
      </c>
      <c r="Q53" s="307">
        <f t="shared" si="18"/>
        <v>1</v>
      </c>
      <c r="R53" s="179">
        <f t="shared" si="4"/>
        <v>0.20343095290153723</v>
      </c>
      <c r="S53" s="837">
        <f t="shared" si="19"/>
        <v>-3</v>
      </c>
      <c r="T53" s="178">
        <f t="shared" si="20"/>
        <v>3</v>
      </c>
      <c r="U53" s="253">
        <f t="shared" si="21"/>
        <v>-2.7965690470984628</v>
      </c>
      <c r="V53" s="385">
        <f t="shared" si="5"/>
        <v>29.294901385909565</v>
      </c>
      <c r="W53" s="58"/>
      <c r="X53" s="157">
        <f t="shared" si="6"/>
        <v>43139</v>
      </c>
      <c r="Y53" s="387">
        <f t="shared" si="7"/>
        <v>0</v>
      </c>
      <c r="Z53" s="387">
        <f t="shared" si="8"/>
        <v>0</v>
      </c>
      <c r="AA53" s="388">
        <f t="shared" si="9"/>
        <v>0</v>
      </c>
      <c r="AB53" s="199">
        <f t="shared" si="10"/>
        <v>43139</v>
      </c>
      <c r="AC53" s="426">
        <f t="shared" si="11"/>
        <v>0</v>
      </c>
      <c r="AD53" s="171">
        <f>(INDEX(Models!$BJ53:$BT53,,AH53)*(1-AF53)+INDEX(Models!$BJ53:$BT53,,AH53+1)*AF53-ERP_i)*AE53*Ramure*Pc/MaxiM</f>
        <v>1.7596159433701307E-5</v>
      </c>
      <c r="AE53" s="307">
        <f t="shared" si="12"/>
        <v>1</v>
      </c>
      <c r="AF53" s="179">
        <f t="shared" si="13"/>
        <v>0.20343095290153723</v>
      </c>
      <c r="AG53" s="837">
        <f t="shared" si="22"/>
        <v>-3</v>
      </c>
      <c r="AH53" s="178">
        <f t="shared" si="14"/>
        <v>3</v>
      </c>
      <c r="AI53" s="227">
        <f t="shared" si="15"/>
        <v>-2.7965690470984628</v>
      </c>
      <c r="AJ53" s="267" t="b">
        <f t="shared" si="16"/>
        <v>1</v>
      </c>
      <c r="AK53" s="267" t="b">
        <f t="shared" si="17"/>
        <v>0</v>
      </c>
      <c r="AL53" s="267"/>
      <c r="AM53" s="267"/>
      <c r="AN53" s="75"/>
    </row>
    <row r="54" spans="1:40" s="6" customFormat="1" ht="11.25" x14ac:dyDescent="0.2">
      <c r="A54" s="56">
        <f t="shared" si="23"/>
        <v>43140</v>
      </c>
      <c r="B54" s="622"/>
      <c r="C54" s="879"/>
      <c r="D54" s="395"/>
      <c r="E54" s="387"/>
      <c r="F54" s="387"/>
      <c r="G54" s="110"/>
      <c r="I54" s="382">
        <f t="shared" si="0"/>
        <v>0</v>
      </c>
      <c r="J54" s="85">
        <v>2018</v>
      </c>
      <c r="K54" s="199">
        <f t="shared" si="1"/>
        <v>43140</v>
      </c>
      <c r="L54" s="437">
        <f t="shared" si="2"/>
        <v>0</v>
      </c>
      <c r="M54" s="881"/>
      <c r="N54" s="881"/>
      <c r="O54" s="326">
        <f t="shared" si="3"/>
        <v>0</v>
      </c>
      <c r="P54" s="171">
        <f>(INDEX(Models!$BJ54:$BT54,,T54)*(1-R54)+INDEX(Models!$BJ54:$BT54,,T54+1)*R54-ERP_i)*Q54*Ramure*Pc/MaxiM</f>
        <v>1.6937531871474842E-5</v>
      </c>
      <c r="Q54" s="307">
        <f t="shared" si="18"/>
        <v>1</v>
      </c>
      <c r="R54" s="179">
        <f t="shared" si="4"/>
        <v>0.20362383994356481</v>
      </c>
      <c r="S54" s="837">
        <f t="shared" si="19"/>
        <v>-3</v>
      </c>
      <c r="T54" s="178">
        <f t="shared" si="20"/>
        <v>3</v>
      </c>
      <c r="U54" s="253">
        <f t="shared" si="21"/>
        <v>-2.7963761600564352</v>
      </c>
      <c r="V54" s="385">
        <f t="shared" si="5"/>
        <v>29.65751166037014</v>
      </c>
      <c r="W54" s="58"/>
      <c r="X54" s="157">
        <f t="shared" si="6"/>
        <v>43140</v>
      </c>
      <c r="Y54" s="387">
        <f t="shared" si="7"/>
        <v>0</v>
      </c>
      <c r="Z54" s="387">
        <f t="shared" si="8"/>
        <v>0</v>
      </c>
      <c r="AA54" s="388">
        <f t="shared" si="9"/>
        <v>0</v>
      </c>
      <c r="AB54" s="199">
        <f t="shared" si="10"/>
        <v>43140</v>
      </c>
      <c r="AC54" s="426">
        <f t="shared" si="11"/>
        <v>0</v>
      </c>
      <c r="AD54" s="171">
        <f>(INDEX(Models!$BJ54:$BT54,,AH54)*(1-AF54)+INDEX(Models!$BJ54:$BT54,,AH54+1)*AF54-ERP_i)*AE54*Ramure*Pc/MaxiM</f>
        <v>1.6937531871474842E-5</v>
      </c>
      <c r="AE54" s="307">
        <f t="shared" si="12"/>
        <v>1</v>
      </c>
      <c r="AF54" s="179">
        <f t="shared" si="13"/>
        <v>0.20362383994356481</v>
      </c>
      <c r="AG54" s="837">
        <f t="shared" si="22"/>
        <v>-3</v>
      </c>
      <c r="AH54" s="178">
        <f t="shared" si="14"/>
        <v>3</v>
      </c>
      <c r="AI54" s="227">
        <f t="shared" si="15"/>
        <v>-2.7963761600564352</v>
      </c>
      <c r="AJ54" s="267" t="b">
        <f t="shared" si="16"/>
        <v>1</v>
      </c>
      <c r="AK54" s="267" t="b">
        <f t="shared" si="17"/>
        <v>0</v>
      </c>
      <c r="AL54" s="267"/>
      <c r="AM54" s="267"/>
      <c r="AN54" s="75"/>
    </row>
    <row r="55" spans="1:40" s="6" customFormat="1" ht="11.25" customHeight="1" x14ac:dyDescent="0.2">
      <c r="A55" s="56">
        <f t="shared" si="23"/>
        <v>43141</v>
      </c>
      <c r="B55" s="622"/>
      <c r="C55" s="879"/>
      <c r="D55" s="395"/>
      <c r="E55" s="387"/>
      <c r="F55" s="387"/>
      <c r="G55" s="110"/>
      <c r="I55" s="382">
        <f t="shared" si="0"/>
        <v>0</v>
      </c>
      <c r="J55" s="85">
        <v>2018</v>
      </c>
      <c r="K55" s="199">
        <f t="shared" si="1"/>
        <v>43141</v>
      </c>
      <c r="L55" s="437">
        <f t="shared" si="2"/>
        <v>0</v>
      </c>
      <c r="M55" s="881"/>
      <c r="N55" s="881"/>
      <c r="O55" s="326">
        <f t="shared" si="3"/>
        <v>0</v>
      </c>
      <c r="P55" s="171">
        <f>(INDEX(Models!$BJ55:$BT55,,T55)*(1-R55)+INDEX(Models!$BJ55:$BT55,,T55+1)*R55-ERP_i)*Q55*Ramure*Pc/MaxiM</f>
        <v>1.6324242078444321E-5</v>
      </c>
      <c r="Q55" s="307">
        <f t="shared" si="18"/>
        <v>1</v>
      </c>
      <c r="R55" s="179">
        <f t="shared" si="4"/>
        <v>0.20382470537849251</v>
      </c>
      <c r="S55" s="837">
        <f t="shared" si="19"/>
        <v>-3</v>
      </c>
      <c r="T55" s="178">
        <f t="shared" si="20"/>
        <v>3</v>
      </c>
      <c r="U55" s="253">
        <f t="shared" si="21"/>
        <v>-2.7961752946215075</v>
      </c>
      <c r="V55" s="385">
        <f t="shared" si="5"/>
        <v>30.023738484874304</v>
      </c>
      <c r="W55" s="58"/>
      <c r="X55" s="157">
        <f t="shared" si="6"/>
        <v>43141</v>
      </c>
      <c r="Y55" s="387">
        <f t="shared" si="7"/>
        <v>0</v>
      </c>
      <c r="Z55" s="387">
        <f t="shared" si="8"/>
        <v>0</v>
      </c>
      <c r="AA55" s="388">
        <f t="shared" si="9"/>
        <v>0</v>
      </c>
      <c r="AB55" s="199">
        <f t="shared" si="10"/>
        <v>43141</v>
      </c>
      <c r="AC55" s="426">
        <f t="shared" si="11"/>
        <v>0</v>
      </c>
      <c r="AD55" s="171">
        <f>(INDEX(Models!$BJ55:$BT55,,AH55)*(1-AF55)+INDEX(Models!$BJ55:$BT55,,AH55+1)*AF55-ERP_i)*AE55*Ramure*Pc/MaxiM</f>
        <v>1.6324242078444321E-5</v>
      </c>
      <c r="AE55" s="307">
        <f t="shared" si="12"/>
        <v>1</v>
      </c>
      <c r="AF55" s="179">
        <f t="shared" si="13"/>
        <v>0.20382470537849251</v>
      </c>
      <c r="AG55" s="837">
        <f t="shared" si="22"/>
        <v>-3</v>
      </c>
      <c r="AH55" s="178">
        <f t="shared" si="14"/>
        <v>3</v>
      </c>
      <c r="AI55" s="227">
        <f t="shared" si="15"/>
        <v>-2.7961752946215075</v>
      </c>
      <c r="AJ55" s="267" t="b">
        <f t="shared" si="16"/>
        <v>1</v>
      </c>
      <c r="AK55" s="267" t="b">
        <f t="shared" si="17"/>
        <v>0</v>
      </c>
      <c r="AL55" s="267"/>
      <c r="AM55" s="267"/>
      <c r="AN55" s="75"/>
    </row>
    <row r="56" spans="1:40" s="6" customFormat="1" ht="11.25" customHeight="1" x14ac:dyDescent="0.2">
      <c r="A56" s="56">
        <f t="shared" si="23"/>
        <v>43142</v>
      </c>
      <c r="B56" s="622"/>
      <c r="C56" s="879"/>
      <c r="D56" s="395"/>
      <c r="E56" s="387"/>
      <c r="F56" s="387"/>
      <c r="G56" s="110"/>
      <c r="I56" s="382">
        <f t="shared" si="0"/>
        <v>0</v>
      </c>
      <c r="J56" s="85">
        <v>2018</v>
      </c>
      <c r="K56" s="199">
        <f t="shared" si="1"/>
        <v>43142</v>
      </c>
      <c r="L56" s="437">
        <f t="shared" si="2"/>
        <v>0</v>
      </c>
      <c r="M56" s="881"/>
      <c r="N56" s="881"/>
      <c r="O56" s="326">
        <f t="shared" si="3"/>
        <v>0</v>
      </c>
      <c r="P56" s="171">
        <f>(INDEX(Models!$BJ56:$BT56,,T56)*(1-R56)+INDEX(Models!$BJ56:$BT56,,T56+1)*R56-ERP_i)*Q56*Ramure*Pc/MaxiM</f>
        <v>1.5768264235063309E-5</v>
      </c>
      <c r="Q56" s="307">
        <f t="shared" si="18"/>
        <v>1</v>
      </c>
      <c r="R56" s="179">
        <f t="shared" si="4"/>
        <v>0.20403387429069797</v>
      </c>
      <c r="S56" s="837">
        <f t="shared" si="19"/>
        <v>-3</v>
      </c>
      <c r="T56" s="178">
        <f t="shared" si="20"/>
        <v>3</v>
      </c>
      <c r="U56" s="253">
        <f t="shared" si="21"/>
        <v>-2.795966125709302</v>
      </c>
      <c r="V56" s="385">
        <f t="shared" si="5"/>
        <v>30.393694496710463</v>
      </c>
      <c r="W56" s="58"/>
      <c r="X56" s="157">
        <f t="shared" si="6"/>
        <v>43142</v>
      </c>
      <c r="Y56" s="387">
        <f t="shared" si="7"/>
        <v>0</v>
      </c>
      <c r="Z56" s="387">
        <f t="shared" si="8"/>
        <v>0</v>
      </c>
      <c r="AA56" s="388">
        <f t="shared" si="9"/>
        <v>0</v>
      </c>
      <c r="AB56" s="199">
        <f t="shared" si="10"/>
        <v>43142</v>
      </c>
      <c r="AC56" s="426">
        <f t="shared" si="11"/>
        <v>0</v>
      </c>
      <c r="AD56" s="171">
        <f>(INDEX(Models!$BJ56:$BT56,,AH56)*(1-AF56)+INDEX(Models!$BJ56:$BT56,,AH56+1)*AF56-ERP_i)*AE56*Ramure*Pc/MaxiM</f>
        <v>1.5768264235063309E-5</v>
      </c>
      <c r="AE56" s="307">
        <f t="shared" si="12"/>
        <v>1</v>
      </c>
      <c r="AF56" s="179">
        <f t="shared" si="13"/>
        <v>0.20403387429069797</v>
      </c>
      <c r="AG56" s="837">
        <f t="shared" si="22"/>
        <v>-3</v>
      </c>
      <c r="AH56" s="178">
        <f t="shared" si="14"/>
        <v>3</v>
      </c>
      <c r="AI56" s="227">
        <f t="shared" si="15"/>
        <v>-2.795966125709302</v>
      </c>
      <c r="AJ56" s="267" t="b">
        <f t="shared" si="16"/>
        <v>1</v>
      </c>
      <c r="AK56" s="267" t="b">
        <f t="shared" si="17"/>
        <v>0</v>
      </c>
      <c r="AL56" s="267"/>
      <c r="AM56" s="267"/>
      <c r="AN56" s="75"/>
    </row>
    <row r="57" spans="1:40" s="6" customFormat="1" ht="11.25" customHeight="1" x14ac:dyDescent="0.2">
      <c r="A57" s="56">
        <f t="shared" si="23"/>
        <v>43143</v>
      </c>
      <c r="B57" s="622"/>
      <c r="C57" s="879"/>
      <c r="D57" s="395"/>
      <c r="E57" s="387"/>
      <c r="F57" s="387"/>
      <c r="G57" s="110"/>
      <c r="I57" s="382">
        <f t="shared" si="0"/>
        <v>0</v>
      </c>
      <c r="J57" s="85">
        <v>2018</v>
      </c>
      <c r="K57" s="199">
        <f t="shared" si="1"/>
        <v>43143</v>
      </c>
      <c r="L57" s="437">
        <f t="shared" si="2"/>
        <v>0</v>
      </c>
      <c r="M57" s="881"/>
      <c r="N57" s="881"/>
      <c r="O57" s="326">
        <f t="shared" si="3"/>
        <v>0</v>
      </c>
      <c r="P57" s="171">
        <f>(INDEX(Models!$BJ57:$BT57,,T57)*(1-R57)+INDEX(Models!$BJ57:$BT57,,T57+1)*R57-ERP_i)*Q57*Ramure*Pc/MaxiM</f>
        <v>1.5282232974342326E-5</v>
      </c>
      <c r="Q57" s="307">
        <f t="shared" si="18"/>
        <v>1</v>
      </c>
      <c r="R57" s="179">
        <f t="shared" si="4"/>
        <v>0.20425168459183007</v>
      </c>
      <c r="S57" s="837">
        <f t="shared" si="19"/>
        <v>-3</v>
      </c>
      <c r="T57" s="178">
        <f t="shared" si="20"/>
        <v>3</v>
      </c>
      <c r="U57" s="253">
        <f t="shared" si="21"/>
        <v>-2.7957483154081699</v>
      </c>
      <c r="V57" s="385">
        <f t="shared" si="5"/>
        <v>30.767492296536872</v>
      </c>
      <c r="W57" s="58"/>
      <c r="X57" s="157">
        <f t="shared" si="6"/>
        <v>43143</v>
      </c>
      <c r="Y57" s="387">
        <f t="shared" si="7"/>
        <v>0</v>
      </c>
      <c r="Z57" s="387">
        <f t="shared" si="8"/>
        <v>0</v>
      </c>
      <c r="AA57" s="388">
        <f t="shared" si="9"/>
        <v>0</v>
      </c>
      <c r="AB57" s="199">
        <f t="shared" si="10"/>
        <v>43143</v>
      </c>
      <c r="AC57" s="426">
        <f t="shared" si="11"/>
        <v>0</v>
      </c>
      <c r="AD57" s="171">
        <f>(INDEX(Models!$BJ57:$BT57,,AH57)*(1-AF57)+INDEX(Models!$BJ57:$BT57,,AH57+1)*AF57-ERP_i)*AE57*Ramure*Pc/MaxiM</f>
        <v>1.5282232974342326E-5</v>
      </c>
      <c r="AE57" s="307">
        <f t="shared" si="12"/>
        <v>1</v>
      </c>
      <c r="AF57" s="179">
        <f t="shared" si="13"/>
        <v>0.20425168459183007</v>
      </c>
      <c r="AG57" s="837">
        <f t="shared" si="22"/>
        <v>-3</v>
      </c>
      <c r="AH57" s="178">
        <f t="shared" si="14"/>
        <v>3</v>
      </c>
      <c r="AI57" s="227">
        <f t="shared" si="15"/>
        <v>-2.7957483154081699</v>
      </c>
      <c r="AJ57" s="267" t="b">
        <f t="shared" si="16"/>
        <v>1</v>
      </c>
      <c r="AK57" s="267" t="b">
        <f t="shared" si="17"/>
        <v>0</v>
      </c>
      <c r="AL57" s="267"/>
      <c r="AM57" s="267"/>
      <c r="AN57" s="75"/>
    </row>
    <row r="58" spans="1:40" s="6" customFormat="1" ht="11.25" customHeight="1" x14ac:dyDescent="0.2">
      <c r="A58" s="56">
        <f t="shared" si="23"/>
        <v>43144</v>
      </c>
      <c r="B58" s="622"/>
      <c r="C58" s="879"/>
      <c r="D58" s="395"/>
      <c r="E58" s="387"/>
      <c r="F58" s="387"/>
      <c r="G58" s="110"/>
      <c r="I58" s="382">
        <f t="shared" si="0"/>
        <v>0</v>
      </c>
      <c r="J58" s="85">
        <v>2018</v>
      </c>
      <c r="K58" s="199">
        <f t="shared" si="1"/>
        <v>43144</v>
      </c>
      <c r="L58" s="437">
        <f t="shared" si="2"/>
        <v>0</v>
      </c>
      <c r="M58" s="881"/>
      <c r="N58" s="881"/>
      <c r="O58" s="326">
        <f t="shared" si="3"/>
        <v>0</v>
      </c>
      <c r="P58" s="171">
        <f>(INDEX(Models!$BJ58:$BT58,,T58)*(1-R58)+INDEX(Models!$BJ58:$BT58,,T58+1)*R58-ERP_i)*Q58*Ramure*Pc/MaxiM</f>
        <v>1.4911872527281193E-5</v>
      </c>
      <c r="Q58" s="307">
        <f t="shared" si="18"/>
        <v>1</v>
      </c>
      <c r="R58" s="179">
        <f t="shared" si="4"/>
        <v>0.20447848749128505</v>
      </c>
      <c r="S58" s="837">
        <f t="shared" si="19"/>
        <v>-3</v>
      </c>
      <c r="T58" s="178">
        <f t="shared" si="20"/>
        <v>3</v>
      </c>
      <c r="U58" s="253">
        <f t="shared" si="21"/>
        <v>-2.7955215125087149</v>
      </c>
      <c r="V58" s="385">
        <f t="shared" si="5"/>
        <v>31.145243430726467</v>
      </c>
      <c r="W58" s="58"/>
      <c r="X58" s="157">
        <f t="shared" si="6"/>
        <v>43144</v>
      </c>
      <c r="Y58" s="387">
        <f t="shared" si="7"/>
        <v>0</v>
      </c>
      <c r="Z58" s="387">
        <f t="shared" si="8"/>
        <v>0</v>
      </c>
      <c r="AA58" s="388">
        <f t="shared" si="9"/>
        <v>0</v>
      </c>
      <c r="AB58" s="199">
        <f t="shared" si="10"/>
        <v>43144</v>
      </c>
      <c r="AC58" s="426">
        <f t="shared" si="11"/>
        <v>0</v>
      </c>
      <c r="AD58" s="171">
        <f>(INDEX(Models!$BJ58:$BT58,,AH58)*(1-AF58)+INDEX(Models!$BJ58:$BT58,,AH58+1)*AF58-ERP_i)*AE58*Ramure*Pc/MaxiM</f>
        <v>1.4911872527281193E-5</v>
      </c>
      <c r="AE58" s="307">
        <f t="shared" si="12"/>
        <v>1</v>
      </c>
      <c r="AF58" s="179">
        <f t="shared" si="13"/>
        <v>0.20447848749128505</v>
      </c>
      <c r="AG58" s="837">
        <f t="shared" si="22"/>
        <v>-3</v>
      </c>
      <c r="AH58" s="178">
        <f t="shared" si="14"/>
        <v>3</v>
      </c>
      <c r="AI58" s="227">
        <f t="shared" si="15"/>
        <v>-2.7955215125087149</v>
      </c>
      <c r="AJ58" s="267" t="b">
        <f t="shared" si="16"/>
        <v>1</v>
      </c>
      <c r="AK58" s="267" t="b">
        <f t="shared" si="17"/>
        <v>0</v>
      </c>
      <c r="AL58" s="267"/>
      <c r="AM58" s="267"/>
      <c r="AN58" s="75"/>
    </row>
    <row r="59" spans="1:40" s="6" customFormat="1" ht="11.25" x14ac:dyDescent="0.2">
      <c r="A59" s="56">
        <f t="shared" si="23"/>
        <v>43145</v>
      </c>
      <c r="B59" s="622"/>
      <c r="C59" s="879"/>
      <c r="D59" s="395"/>
      <c r="E59" s="387"/>
      <c r="F59" s="387"/>
      <c r="G59" s="110"/>
      <c r="I59" s="382">
        <f t="shared" si="0"/>
        <v>0</v>
      </c>
      <c r="J59" s="85">
        <v>2018</v>
      </c>
      <c r="K59" s="199">
        <f t="shared" si="1"/>
        <v>43145</v>
      </c>
      <c r="L59" s="437">
        <f t="shared" si="2"/>
        <v>0</v>
      </c>
      <c r="M59" s="881"/>
      <c r="N59" s="881"/>
      <c r="O59" s="326">
        <f t="shared" si="3"/>
        <v>0</v>
      </c>
      <c r="P59" s="171">
        <f>(INDEX(Models!$BJ59:$BT59,,T59)*(1-R59)+INDEX(Models!$BJ59:$BT59,,T59+1)*R59-ERP_i)*Q59*Ramure*Pc/MaxiM</f>
        <v>1.4613865625440758E-5</v>
      </c>
      <c r="Q59" s="307">
        <f t="shared" si="18"/>
        <v>1</v>
      </c>
      <c r="R59" s="179">
        <f t="shared" si="4"/>
        <v>0.20471464798085925</v>
      </c>
      <c r="S59" s="837">
        <f t="shared" si="19"/>
        <v>-3</v>
      </c>
      <c r="T59" s="178">
        <f t="shared" si="20"/>
        <v>3</v>
      </c>
      <c r="U59" s="253">
        <f t="shared" si="21"/>
        <v>-2.7952853520191407</v>
      </c>
      <c r="V59" s="385">
        <f t="shared" si="5"/>
        <v>31.527062183270548</v>
      </c>
      <c r="W59" s="58"/>
      <c r="X59" s="157">
        <f t="shared" si="6"/>
        <v>43145</v>
      </c>
      <c r="Y59" s="387">
        <f t="shared" si="7"/>
        <v>0</v>
      </c>
      <c r="Z59" s="387">
        <f t="shared" si="8"/>
        <v>0</v>
      </c>
      <c r="AA59" s="388">
        <f t="shared" si="9"/>
        <v>0</v>
      </c>
      <c r="AB59" s="199">
        <f t="shared" si="10"/>
        <v>43145</v>
      </c>
      <c r="AC59" s="426">
        <f t="shared" si="11"/>
        <v>0</v>
      </c>
      <c r="AD59" s="171">
        <f>(INDEX(Models!$BJ59:$BT59,,AH59)*(1-AF59)+INDEX(Models!$BJ59:$BT59,,AH59+1)*AF59-ERP_i)*AE59*Ramure*Pc/MaxiM</f>
        <v>1.4613865625440758E-5</v>
      </c>
      <c r="AE59" s="307">
        <f t="shared" si="12"/>
        <v>1</v>
      </c>
      <c r="AF59" s="179">
        <f t="shared" si="13"/>
        <v>0.20471464798085925</v>
      </c>
      <c r="AG59" s="837">
        <f t="shared" si="22"/>
        <v>-3</v>
      </c>
      <c r="AH59" s="178">
        <f t="shared" si="14"/>
        <v>3</v>
      </c>
      <c r="AI59" s="227">
        <f t="shared" si="15"/>
        <v>-2.7952853520191407</v>
      </c>
      <c r="AJ59" s="267" t="b">
        <f t="shared" si="16"/>
        <v>1</v>
      </c>
      <c r="AK59" s="267" t="b">
        <f t="shared" si="17"/>
        <v>0</v>
      </c>
      <c r="AL59" s="267"/>
      <c r="AM59" s="267"/>
      <c r="AN59" s="75"/>
    </row>
    <row r="60" spans="1:40" s="6" customFormat="1" ht="11.25" x14ac:dyDescent="0.2">
      <c r="A60" s="56">
        <f t="shared" si="23"/>
        <v>43146</v>
      </c>
      <c r="B60" s="622"/>
      <c r="C60" s="879"/>
      <c r="D60" s="395"/>
      <c r="E60" s="387"/>
      <c r="F60" s="387"/>
      <c r="G60" s="110"/>
      <c r="I60" s="382">
        <f t="shared" si="0"/>
        <v>0</v>
      </c>
      <c r="J60" s="85">
        <v>2018</v>
      </c>
      <c r="K60" s="199">
        <f t="shared" si="1"/>
        <v>43146</v>
      </c>
      <c r="L60" s="437">
        <f t="shared" si="2"/>
        <v>0</v>
      </c>
      <c r="M60" s="881"/>
      <c r="N60" s="881"/>
      <c r="O60" s="326">
        <f t="shared" si="3"/>
        <v>0</v>
      </c>
      <c r="P60" s="171">
        <f>(INDEX(Models!$BJ60:$BT60,,T60)*(1-R60)+INDEX(Models!$BJ60:$BT60,,T60+1)*R60-ERP_i)*Q60*Ramure*Pc/MaxiM</f>
        <v>1.4400095879757002E-5</v>
      </c>
      <c r="Q60" s="307">
        <f t="shared" si="18"/>
        <v>1</v>
      </c>
      <c r="R60" s="179">
        <f t="shared" si="4"/>
        <v>0.20496054533372199</v>
      </c>
      <c r="S60" s="837">
        <f t="shared" si="19"/>
        <v>-3</v>
      </c>
      <c r="T60" s="178">
        <f t="shared" si="20"/>
        <v>3</v>
      </c>
      <c r="U60" s="253">
        <f t="shared" si="21"/>
        <v>-2.795039454666278</v>
      </c>
      <c r="V60" s="385">
        <f t="shared" si="5"/>
        <v>31.913061142620133</v>
      </c>
      <c r="W60" s="58"/>
      <c r="X60" s="157">
        <f t="shared" si="6"/>
        <v>43146</v>
      </c>
      <c r="Y60" s="387">
        <f t="shared" si="7"/>
        <v>0</v>
      </c>
      <c r="Z60" s="387">
        <f t="shared" si="8"/>
        <v>0</v>
      </c>
      <c r="AA60" s="388">
        <f t="shared" si="9"/>
        <v>0</v>
      </c>
      <c r="AB60" s="199">
        <f t="shared" si="10"/>
        <v>43146</v>
      </c>
      <c r="AC60" s="426">
        <f t="shared" si="11"/>
        <v>0</v>
      </c>
      <c r="AD60" s="171">
        <f>(INDEX(Models!$BJ60:$BT60,,AH60)*(1-AF60)+INDEX(Models!$BJ60:$BT60,,AH60+1)*AF60-ERP_i)*AE60*Ramure*Pc/MaxiM</f>
        <v>1.4400095879757002E-5</v>
      </c>
      <c r="AE60" s="307">
        <f t="shared" si="12"/>
        <v>1</v>
      </c>
      <c r="AF60" s="179">
        <f t="shared" si="13"/>
        <v>0.20496054533372199</v>
      </c>
      <c r="AG60" s="837">
        <f t="shared" si="22"/>
        <v>-3</v>
      </c>
      <c r="AH60" s="178">
        <f t="shared" si="14"/>
        <v>3</v>
      </c>
      <c r="AI60" s="227">
        <f t="shared" si="15"/>
        <v>-2.795039454666278</v>
      </c>
      <c r="AJ60" s="267" t="b">
        <f t="shared" si="16"/>
        <v>1</v>
      </c>
      <c r="AK60" s="267" t="b">
        <f t="shared" si="17"/>
        <v>0</v>
      </c>
      <c r="AL60" s="267"/>
      <c r="AM60" s="267"/>
      <c r="AN60" s="75"/>
    </row>
    <row r="61" spans="1:40" s="6" customFormat="1" ht="11.25" customHeight="1" x14ac:dyDescent="0.2">
      <c r="A61" s="56">
        <f t="shared" si="23"/>
        <v>43147</v>
      </c>
      <c r="B61" s="622"/>
      <c r="C61" s="879"/>
      <c r="D61" s="395"/>
      <c r="E61" s="387"/>
      <c r="F61" s="387"/>
      <c r="G61" s="110"/>
      <c r="I61" s="382">
        <f t="shared" si="0"/>
        <v>0</v>
      </c>
      <c r="J61" s="85">
        <v>2018</v>
      </c>
      <c r="K61" s="199">
        <f t="shared" si="1"/>
        <v>43147</v>
      </c>
      <c r="L61" s="437">
        <f t="shared" si="2"/>
        <v>0</v>
      </c>
      <c r="M61" s="881"/>
      <c r="N61" s="881"/>
      <c r="O61" s="326">
        <f t="shared" si="3"/>
        <v>0</v>
      </c>
      <c r="P61" s="171">
        <f>(INDEX(Models!$BJ61:$BT61,,T61)*(1-R61)+INDEX(Models!$BJ61:$BT61,,T61+1)*R61-ERP_i)*Q61*Ramure*Pc/MaxiM</f>
        <v>1.4283099264352479E-5</v>
      </c>
      <c r="Q61" s="307">
        <f t="shared" si="18"/>
        <v>1</v>
      </c>
      <c r="R61" s="179">
        <f t="shared" si="4"/>
        <v>0.2052165736178253</v>
      </c>
      <c r="S61" s="837">
        <f t="shared" si="19"/>
        <v>-3</v>
      </c>
      <c r="T61" s="178">
        <f t="shared" si="20"/>
        <v>3</v>
      </c>
      <c r="U61" s="253">
        <f t="shared" si="21"/>
        <v>-2.7947834263821747</v>
      </c>
      <c r="V61" s="385">
        <f t="shared" si="5"/>
        <v>32.303352850687318</v>
      </c>
      <c r="W61" s="58"/>
      <c r="X61" s="157">
        <f t="shared" si="6"/>
        <v>43147</v>
      </c>
      <c r="Y61" s="387">
        <f t="shared" si="7"/>
        <v>0</v>
      </c>
      <c r="Z61" s="387">
        <f t="shared" si="8"/>
        <v>0</v>
      </c>
      <c r="AA61" s="388">
        <f t="shared" si="9"/>
        <v>0</v>
      </c>
      <c r="AB61" s="199">
        <f t="shared" si="10"/>
        <v>43147</v>
      </c>
      <c r="AC61" s="426">
        <f t="shared" si="11"/>
        <v>0</v>
      </c>
      <c r="AD61" s="171">
        <f>(INDEX(Models!$BJ61:$BT61,,AH61)*(1-AF61)+INDEX(Models!$BJ61:$BT61,,AH61+1)*AF61-ERP_i)*AE61*Ramure*Pc/MaxiM</f>
        <v>1.4283099264352479E-5</v>
      </c>
      <c r="AE61" s="307">
        <f t="shared" si="12"/>
        <v>1</v>
      </c>
      <c r="AF61" s="179">
        <f t="shared" si="13"/>
        <v>0.2052165736178253</v>
      </c>
      <c r="AG61" s="837">
        <f t="shared" si="22"/>
        <v>-3</v>
      </c>
      <c r="AH61" s="178">
        <f t="shared" si="14"/>
        <v>3</v>
      </c>
      <c r="AI61" s="227">
        <f t="shared" si="15"/>
        <v>-2.7947834263821747</v>
      </c>
      <c r="AJ61" s="267" t="b">
        <f t="shared" si="16"/>
        <v>1</v>
      </c>
      <c r="AK61" s="267" t="b">
        <f t="shared" si="17"/>
        <v>0</v>
      </c>
      <c r="AL61" s="267"/>
      <c r="AM61" s="267"/>
      <c r="AN61" s="75"/>
    </row>
    <row r="62" spans="1:40" s="6" customFormat="1" ht="11.25" x14ac:dyDescent="0.2">
      <c r="A62" s="56">
        <f t="shared" si="23"/>
        <v>43148</v>
      </c>
      <c r="B62" s="622"/>
      <c r="C62" s="879"/>
      <c r="D62" s="395"/>
      <c r="E62" s="387"/>
      <c r="F62" s="387"/>
      <c r="G62" s="110"/>
      <c r="I62" s="382">
        <f t="shared" si="0"/>
        <v>0</v>
      </c>
      <c r="J62" s="85">
        <v>2018</v>
      </c>
      <c r="K62" s="199">
        <f t="shared" si="1"/>
        <v>43148</v>
      </c>
      <c r="L62" s="437">
        <f t="shared" si="2"/>
        <v>0</v>
      </c>
      <c r="M62" s="881"/>
      <c r="N62" s="881"/>
      <c r="O62" s="326">
        <f t="shared" si="3"/>
        <v>0</v>
      </c>
      <c r="P62" s="171">
        <f>(INDEX(Models!$BJ62:$BT62,,T62)*(1-R62)+INDEX(Models!$BJ62:$BT62,,T62+1)*R62-ERP_i)*Q62*Ramure*Pc/MaxiM</f>
        <v>1.4276097148922228E-5</v>
      </c>
      <c r="Q62" s="307">
        <f t="shared" si="18"/>
        <v>1</v>
      </c>
      <c r="R62" s="179">
        <f t="shared" si="4"/>
        <v>0.2054831422238439</v>
      </c>
      <c r="S62" s="837">
        <f t="shared" si="19"/>
        <v>-3</v>
      </c>
      <c r="T62" s="178">
        <f t="shared" si="20"/>
        <v>3</v>
      </c>
      <c r="U62" s="253">
        <f t="shared" si="21"/>
        <v>-2.7945168577761561</v>
      </c>
      <c r="V62" s="385">
        <f t="shared" si="5"/>
        <v>32.698049810515506</v>
      </c>
      <c r="W62" s="58"/>
      <c r="X62" s="157">
        <f t="shared" si="6"/>
        <v>43148</v>
      </c>
      <c r="Y62" s="387">
        <f t="shared" si="7"/>
        <v>0</v>
      </c>
      <c r="Z62" s="387">
        <f t="shared" si="8"/>
        <v>0</v>
      </c>
      <c r="AA62" s="388">
        <f t="shared" si="9"/>
        <v>0</v>
      </c>
      <c r="AB62" s="199">
        <f t="shared" si="10"/>
        <v>43148</v>
      </c>
      <c r="AC62" s="426">
        <f t="shared" si="11"/>
        <v>0</v>
      </c>
      <c r="AD62" s="171">
        <f>(INDEX(Models!$BJ62:$BT62,,AH62)*(1-AF62)+INDEX(Models!$BJ62:$BT62,,AH62+1)*AF62-ERP_i)*AE62*Ramure*Pc/MaxiM</f>
        <v>1.4276097148922228E-5</v>
      </c>
      <c r="AE62" s="307">
        <f t="shared" si="12"/>
        <v>1</v>
      </c>
      <c r="AF62" s="179">
        <f t="shared" si="13"/>
        <v>0.2054831422238439</v>
      </c>
      <c r="AG62" s="837">
        <f t="shared" si="22"/>
        <v>-3</v>
      </c>
      <c r="AH62" s="178">
        <f t="shared" si="14"/>
        <v>3</v>
      </c>
      <c r="AI62" s="227">
        <f t="shared" si="15"/>
        <v>-2.7945168577761561</v>
      </c>
      <c r="AJ62" s="267" t="b">
        <f t="shared" si="16"/>
        <v>1</v>
      </c>
      <c r="AK62" s="267" t="b">
        <f t="shared" si="17"/>
        <v>0</v>
      </c>
      <c r="AL62" s="267"/>
      <c r="AM62" s="267"/>
      <c r="AN62" s="75"/>
    </row>
    <row r="63" spans="1:40" s="6" customFormat="1" ht="11.25" customHeight="1" x14ac:dyDescent="0.2">
      <c r="A63" s="56">
        <f t="shared" si="23"/>
        <v>43149</v>
      </c>
      <c r="B63" s="622"/>
      <c r="C63" s="879"/>
      <c r="D63" s="395"/>
      <c r="E63" s="387"/>
      <c r="F63" s="387"/>
      <c r="G63" s="110"/>
      <c r="I63" s="382">
        <f t="shared" si="0"/>
        <v>0</v>
      </c>
      <c r="J63" s="85">
        <v>2018</v>
      </c>
      <c r="K63" s="199">
        <f t="shared" si="1"/>
        <v>43149</v>
      </c>
      <c r="L63" s="437">
        <f t="shared" si="2"/>
        <v>0</v>
      </c>
      <c r="M63" s="881"/>
      <c r="N63" s="881"/>
      <c r="O63" s="326">
        <f t="shared" si="3"/>
        <v>0</v>
      </c>
      <c r="P63" s="171">
        <f>(INDEX(Models!$BJ63:$BT63,,T63)*(1-R63)+INDEX(Models!$BJ63:$BT63,,T63+1)*R63-ERP_i)*Q63*Ramure*Pc/MaxiM</f>
        <v>1.4393030602128087E-5</v>
      </c>
      <c r="Q63" s="307">
        <f t="shared" si="18"/>
        <v>1</v>
      </c>
      <c r="R63" s="179">
        <f t="shared" si="4"/>
        <v>0.2057606764076918</v>
      </c>
      <c r="S63" s="837">
        <f t="shared" si="19"/>
        <v>-3</v>
      </c>
      <c r="T63" s="178">
        <f t="shared" si="20"/>
        <v>3</v>
      </c>
      <c r="U63" s="253">
        <f t="shared" si="21"/>
        <v>-2.7942393235923082</v>
      </c>
      <c r="V63" s="385">
        <f t="shared" si="5"/>
        <v>33.097264475610096</v>
      </c>
      <c r="W63" s="58"/>
      <c r="X63" s="157">
        <f t="shared" si="6"/>
        <v>43149</v>
      </c>
      <c r="Y63" s="387">
        <f t="shared" si="7"/>
        <v>0</v>
      </c>
      <c r="Z63" s="387">
        <f t="shared" si="8"/>
        <v>0</v>
      </c>
      <c r="AA63" s="388">
        <f t="shared" si="9"/>
        <v>0</v>
      </c>
      <c r="AB63" s="199">
        <f t="shared" si="10"/>
        <v>43149</v>
      </c>
      <c r="AC63" s="426">
        <f t="shared" si="11"/>
        <v>0</v>
      </c>
      <c r="AD63" s="171">
        <f>(INDEX(Models!$BJ63:$BT63,,AH63)*(1-AF63)+INDEX(Models!$BJ63:$BT63,,AH63+1)*AF63-ERP_i)*AE63*Ramure*Pc/MaxiM</f>
        <v>1.4393030602128087E-5</v>
      </c>
      <c r="AE63" s="307">
        <f t="shared" si="12"/>
        <v>1</v>
      </c>
      <c r="AF63" s="179">
        <f t="shared" si="13"/>
        <v>0.2057606764076918</v>
      </c>
      <c r="AG63" s="837">
        <f t="shared" si="22"/>
        <v>-3</v>
      </c>
      <c r="AH63" s="178">
        <f t="shared" si="14"/>
        <v>3</v>
      </c>
      <c r="AI63" s="227">
        <f t="shared" si="15"/>
        <v>-2.7942393235923082</v>
      </c>
      <c r="AJ63" s="267" t="b">
        <f t="shared" si="16"/>
        <v>1</v>
      </c>
      <c r="AK63" s="267" t="b">
        <f t="shared" si="17"/>
        <v>0</v>
      </c>
      <c r="AL63" s="267"/>
      <c r="AM63" s="267"/>
      <c r="AN63" s="75"/>
    </row>
    <row r="64" spans="1:40" s="6" customFormat="1" ht="11.25" x14ac:dyDescent="0.2">
      <c r="A64" s="56">
        <f t="shared" si="23"/>
        <v>43150</v>
      </c>
      <c r="B64" s="622"/>
      <c r="C64" s="879"/>
      <c r="D64" s="395"/>
      <c r="E64" s="387"/>
      <c r="F64" s="387"/>
      <c r="G64" s="110"/>
      <c r="I64" s="382">
        <f t="shared" si="0"/>
        <v>0</v>
      </c>
      <c r="J64" s="85">
        <v>2018</v>
      </c>
      <c r="K64" s="199">
        <f t="shared" si="1"/>
        <v>43150</v>
      </c>
      <c r="L64" s="437">
        <f t="shared" si="2"/>
        <v>0</v>
      </c>
      <c r="M64" s="881"/>
      <c r="N64" s="881"/>
      <c r="O64" s="326">
        <f t="shared" si="3"/>
        <v>0</v>
      </c>
      <c r="P64" s="171">
        <f>(INDEX(Models!$BJ64:$BT64,,T64)*(1-R64)+INDEX(Models!$BJ64:$BT64,,T64+1)*R64-ERP_i)*Q64*Ramure*Pc/MaxiM</f>
        <v>1.4648596012072376E-5</v>
      </c>
      <c r="Q64" s="307">
        <f t="shared" si="18"/>
        <v>1</v>
      </c>
      <c r="R64" s="179">
        <f t="shared" si="4"/>
        <v>0.20604961784762432</v>
      </c>
      <c r="S64" s="837">
        <f t="shared" si="19"/>
        <v>-3</v>
      </c>
      <c r="T64" s="178">
        <f t="shared" si="20"/>
        <v>3</v>
      </c>
      <c r="U64" s="253">
        <f t="shared" si="21"/>
        <v>-2.7939503821523757</v>
      </c>
      <c r="V64" s="385">
        <f t="shared" si="5"/>
        <v>33.501109248858093</v>
      </c>
      <c r="W64" s="58"/>
      <c r="X64" s="157">
        <f t="shared" si="6"/>
        <v>43150</v>
      </c>
      <c r="Y64" s="387">
        <f t="shared" si="7"/>
        <v>0</v>
      </c>
      <c r="Z64" s="387">
        <f t="shared" si="8"/>
        <v>0</v>
      </c>
      <c r="AA64" s="388">
        <f t="shared" si="9"/>
        <v>0</v>
      </c>
      <c r="AB64" s="199">
        <f t="shared" si="10"/>
        <v>43150</v>
      </c>
      <c r="AC64" s="426">
        <f t="shared" si="11"/>
        <v>0</v>
      </c>
      <c r="AD64" s="171">
        <f>(INDEX(Models!$BJ64:$BT64,,AH64)*(1-AF64)+INDEX(Models!$BJ64:$BT64,,AH64+1)*AF64-ERP_i)*AE64*Ramure*Pc/MaxiM</f>
        <v>1.4648596012072376E-5</v>
      </c>
      <c r="AE64" s="307">
        <f t="shared" si="12"/>
        <v>1</v>
      </c>
      <c r="AF64" s="179">
        <f t="shared" si="13"/>
        <v>0.20604961784762432</v>
      </c>
      <c r="AG64" s="837">
        <f t="shared" si="22"/>
        <v>-3</v>
      </c>
      <c r="AH64" s="178">
        <f t="shared" si="14"/>
        <v>3</v>
      </c>
      <c r="AI64" s="227">
        <f t="shared" si="15"/>
        <v>-2.7939503821523757</v>
      </c>
      <c r="AJ64" s="267" t="b">
        <f t="shared" si="16"/>
        <v>1</v>
      </c>
      <c r="AK64" s="267" t="b">
        <f t="shared" si="17"/>
        <v>0</v>
      </c>
      <c r="AL64" s="267"/>
      <c r="AM64" s="267"/>
      <c r="AN64" s="75"/>
    </row>
    <row r="65" spans="1:40" s="6" customFormat="1" ht="11.25" customHeight="1" x14ac:dyDescent="0.2">
      <c r="A65" s="56">
        <f t="shared" si="23"/>
        <v>43151</v>
      </c>
      <c r="B65" s="622"/>
      <c r="C65" s="879"/>
      <c r="D65" s="395"/>
      <c r="E65" s="387"/>
      <c r="F65" s="387"/>
      <c r="G65" s="110"/>
      <c r="I65" s="382">
        <f t="shared" si="0"/>
        <v>0</v>
      </c>
      <c r="J65" s="85">
        <v>2018</v>
      </c>
      <c r="K65" s="199">
        <f t="shared" si="1"/>
        <v>43151</v>
      </c>
      <c r="L65" s="437">
        <f t="shared" si="2"/>
        <v>0</v>
      </c>
      <c r="M65" s="881"/>
      <c r="N65" s="881"/>
      <c r="O65" s="326">
        <f t="shared" si="3"/>
        <v>0</v>
      </c>
      <c r="P65" s="171">
        <f>(INDEX(Models!$BJ65:$BT65,,T65)*(1-R65)+INDEX(Models!$BJ65:$BT65,,T65+1)*R65-ERP_i)*Q65*Ramure*Pc/MaxiM</f>
        <v>1.5057972529918607E-5</v>
      </c>
      <c r="Q65" s="307">
        <f t="shared" si="18"/>
        <v>1</v>
      </c>
      <c r="R65" s="179">
        <f t="shared" si="4"/>
        <v>0.20635042521589853</v>
      </c>
      <c r="S65" s="837">
        <f t="shared" si="19"/>
        <v>-3</v>
      </c>
      <c r="T65" s="178">
        <f t="shared" si="20"/>
        <v>3</v>
      </c>
      <c r="U65" s="253">
        <f t="shared" si="21"/>
        <v>-2.7936495747841015</v>
      </c>
      <c r="V65" s="385">
        <f t="shared" si="5"/>
        <v>33.910393597466765</v>
      </c>
      <c r="W65" s="58"/>
      <c r="X65" s="157">
        <f t="shared" si="6"/>
        <v>43151</v>
      </c>
      <c r="Y65" s="387">
        <f t="shared" si="7"/>
        <v>0</v>
      </c>
      <c r="Z65" s="387">
        <f t="shared" si="8"/>
        <v>0</v>
      </c>
      <c r="AA65" s="388">
        <f t="shared" si="9"/>
        <v>0</v>
      </c>
      <c r="AB65" s="199">
        <f t="shared" si="10"/>
        <v>43151</v>
      </c>
      <c r="AC65" s="426">
        <f t="shared" si="11"/>
        <v>0</v>
      </c>
      <c r="AD65" s="171">
        <f>(INDEX(Models!$BJ65:$BT65,,AH65)*(1-AF65)+INDEX(Models!$BJ65:$BT65,,AH65+1)*AF65-ERP_i)*AE65*Ramure*Pc/MaxiM</f>
        <v>1.5057972529918607E-5</v>
      </c>
      <c r="AE65" s="307">
        <f t="shared" si="12"/>
        <v>1</v>
      </c>
      <c r="AF65" s="179">
        <f t="shared" si="13"/>
        <v>0.20635042521589853</v>
      </c>
      <c r="AG65" s="837">
        <f t="shared" si="22"/>
        <v>-3</v>
      </c>
      <c r="AH65" s="178">
        <f t="shared" si="14"/>
        <v>3</v>
      </c>
      <c r="AI65" s="227">
        <f t="shared" si="15"/>
        <v>-2.7936495747841015</v>
      </c>
      <c r="AJ65" s="267" t="b">
        <f t="shared" si="16"/>
        <v>1</v>
      </c>
      <c r="AK65" s="267" t="b">
        <f t="shared" si="17"/>
        <v>0</v>
      </c>
      <c r="AL65" s="267"/>
      <c r="AM65" s="267"/>
      <c r="AN65" s="75"/>
    </row>
    <row r="66" spans="1:40" s="6" customFormat="1" ht="11.25" customHeight="1" x14ac:dyDescent="0.2">
      <c r="A66" s="56">
        <f t="shared" si="23"/>
        <v>43152</v>
      </c>
      <c r="B66" s="622"/>
      <c r="C66" s="879"/>
      <c r="D66" s="395"/>
      <c r="E66" s="387"/>
      <c r="F66" s="387"/>
      <c r="G66" s="110"/>
      <c r="I66" s="382">
        <f t="shared" si="0"/>
        <v>0</v>
      </c>
      <c r="J66" s="85">
        <v>2018</v>
      </c>
      <c r="K66" s="199">
        <f t="shared" si="1"/>
        <v>43152</v>
      </c>
      <c r="L66" s="437">
        <f t="shared" si="2"/>
        <v>0</v>
      </c>
      <c r="M66" s="881"/>
      <c r="N66" s="881"/>
      <c r="O66" s="326">
        <f t="shared" si="3"/>
        <v>0</v>
      </c>
      <c r="P66" s="171">
        <f>(INDEX(Models!$BJ66:$BT66,,T66)*(1-R66)+INDEX(Models!$BJ66:$BT66,,T66+1)*R66-ERP_i)*Q66*Ramure*Pc/MaxiM</f>
        <v>1.5639467928605732E-5</v>
      </c>
      <c r="Q66" s="307">
        <f t="shared" si="18"/>
        <v>1</v>
      </c>
      <c r="R66" s="179">
        <f t="shared" si="4"/>
        <v>0.20666357476489994</v>
      </c>
      <c r="S66" s="837">
        <f t="shared" si="19"/>
        <v>-3</v>
      </c>
      <c r="T66" s="178">
        <f t="shared" si="20"/>
        <v>3</v>
      </c>
      <c r="U66" s="253">
        <f t="shared" si="21"/>
        <v>-2.7933364252351001</v>
      </c>
      <c r="V66" s="385">
        <f t="shared" si="5"/>
        <v>34.32555003895753</v>
      </c>
      <c r="W66" s="58"/>
      <c r="X66" s="157">
        <f t="shared" si="6"/>
        <v>43152</v>
      </c>
      <c r="Y66" s="387">
        <f t="shared" si="7"/>
        <v>0</v>
      </c>
      <c r="Z66" s="387">
        <f t="shared" si="8"/>
        <v>0</v>
      </c>
      <c r="AA66" s="388">
        <f t="shared" si="9"/>
        <v>0</v>
      </c>
      <c r="AB66" s="199">
        <f t="shared" si="10"/>
        <v>43152</v>
      </c>
      <c r="AC66" s="426">
        <f t="shared" si="11"/>
        <v>0</v>
      </c>
      <c r="AD66" s="171">
        <f>(INDEX(Models!$BJ66:$BT66,,AH66)*(1-AF66)+INDEX(Models!$BJ66:$BT66,,AH66+1)*AF66-ERP_i)*AE66*Ramure*Pc/MaxiM</f>
        <v>1.5639467928605732E-5</v>
      </c>
      <c r="AE66" s="307">
        <f t="shared" si="12"/>
        <v>1</v>
      </c>
      <c r="AF66" s="179">
        <f t="shared" si="13"/>
        <v>0.20666357476489994</v>
      </c>
      <c r="AG66" s="837">
        <f t="shared" si="22"/>
        <v>-3</v>
      </c>
      <c r="AH66" s="178">
        <f t="shared" si="14"/>
        <v>3</v>
      </c>
      <c r="AI66" s="227">
        <f t="shared" si="15"/>
        <v>-2.7933364252351001</v>
      </c>
      <c r="AJ66" s="267" t="b">
        <f t="shared" si="16"/>
        <v>1</v>
      </c>
      <c r="AK66" s="267" t="b">
        <f t="shared" si="17"/>
        <v>0</v>
      </c>
      <c r="AL66" s="267"/>
      <c r="AM66" s="267"/>
      <c r="AN66" s="75"/>
    </row>
    <row r="67" spans="1:40" s="6" customFormat="1" ht="11.25" customHeight="1" x14ac:dyDescent="0.2">
      <c r="A67" s="56">
        <f t="shared" si="23"/>
        <v>43153</v>
      </c>
      <c r="B67" s="622"/>
      <c r="C67" s="879"/>
      <c r="D67" s="395"/>
      <c r="E67" s="387"/>
      <c r="F67" s="387"/>
      <c r="G67" s="110"/>
      <c r="I67" s="382">
        <f t="shared" si="0"/>
        <v>0</v>
      </c>
      <c r="J67" s="85">
        <v>2018</v>
      </c>
      <c r="K67" s="199">
        <f t="shared" si="1"/>
        <v>43153</v>
      </c>
      <c r="L67" s="437">
        <f t="shared" si="2"/>
        <v>0</v>
      </c>
      <c r="M67" s="881"/>
      <c r="N67" s="881"/>
      <c r="O67" s="326">
        <f t="shared" si="3"/>
        <v>0</v>
      </c>
      <c r="P67" s="171">
        <f>(INDEX(Models!$BJ67:$BT67,,T67)*(1-R67)+INDEX(Models!$BJ67:$BT67,,T67+1)*R67-ERP_i)*Q67*Ramure*Pc/MaxiM</f>
        <v>1.6285270044855439E-5</v>
      </c>
      <c r="Q67" s="307">
        <f t="shared" si="18"/>
        <v>1</v>
      </c>
      <c r="R67" s="179">
        <f t="shared" si="4"/>
        <v>0.20698956092759691</v>
      </c>
      <c r="S67" s="837">
        <f t="shared" si="19"/>
        <v>-3</v>
      </c>
      <c r="T67" s="178">
        <f t="shared" si="20"/>
        <v>3</v>
      </c>
      <c r="U67" s="253">
        <f t="shared" si="21"/>
        <v>-2.7930104390724031</v>
      </c>
      <c r="V67" s="385">
        <f t="shared" si="5"/>
        <v>34.746129912888719</v>
      </c>
      <c r="W67" s="58"/>
      <c r="X67" s="157">
        <f t="shared" si="6"/>
        <v>43153</v>
      </c>
      <c r="Y67" s="387">
        <f t="shared" si="7"/>
        <v>0</v>
      </c>
      <c r="Z67" s="387">
        <f t="shared" si="8"/>
        <v>0</v>
      </c>
      <c r="AA67" s="388">
        <f t="shared" si="9"/>
        <v>0</v>
      </c>
      <c r="AB67" s="199">
        <f t="shared" si="10"/>
        <v>43153</v>
      </c>
      <c r="AC67" s="426">
        <f t="shared" si="11"/>
        <v>0</v>
      </c>
      <c r="AD67" s="171">
        <f>(INDEX(Models!$BJ67:$BT67,,AH67)*(1-AF67)+INDEX(Models!$BJ67:$BT67,,AH67+1)*AF67-ERP_i)*AE67*Ramure*Pc/MaxiM</f>
        <v>1.6285270044855439E-5</v>
      </c>
      <c r="AE67" s="307">
        <f t="shared" si="12"/>
        <v>1</v>
      </c>
      <c r="AF67" s="179">
        <f t="shared" si="13"/>
        <v>0.20698956092759691</v>
      </c>
      <c r="AG67" s="837">
        <f t="shared" si="22"/>
        <v>-3</v>
      </c>
      <c r="AH67" s="178">
        <f t="shared" si="14"/>
        <v>3</v>
      </c>
      <c r="AI67" s="227">
        <f t="shared" si="15"/>
        <v>-2.7930104390724031</v>
      </c>
      <c r="AJ67" s="267" t="b">
        <f t="shared" si="16"/>
        <v>1</v>
      </c>
      <c r="AK67" s="267" t="b">
        <f t="shared" si="17"/>
        <v>0</v>
      </c>
      <c r="AL67" s="267"/>
      <c r="AM67" s="267"/>
      <c r="AN67" s="75"/>
    </row>
    <row r="68" spans="1:40" s="6" customFormat="1" ht="11.25" customHeight="1" x14ac:dyDescent="0.2">
      <c r="A68" s="56">
        <f t="shared" si="23"/>
        <v>43154</v>
      </c>
      <c r="B68" s="622"/>
      <c r="C68" s="879"/>
      <c r="D68" s="395"/>
      <c r="E68" s="387"/>
      <c r="F68" s="387"/>
      <c r="G68" s="110"/>
      <c r="I68" s="382">
        <f t="shared" si="0"/>
        <v>0</v>
      </c>
      <c r="J68" s="85">
        <v>2018</v>
      </c>
      <c r="K68" s="199">
        <f t="shared" si="1"/>
        <v>43154</v>
      </c>
      <c r="L68" s="437">
        <f t="shared" si="2"/>
        <v>0</v>
      </c>
      <c r="M68" s="881"/>
      <c r="N68" s="881"/>
      <c r="O68" s="326">
        <f t="shared" si="3"/>
        <v>0</v>
      </c>
      <c r="P68" s="171">
        <f>(INDEX(Models!$BJ68:$BT68,,T68)*(1-R68)+INDEX(Models!$BJ68:$BT68,,T68+1)*R68-ERP_i)*Q68*Ramure*Pc/MaxiM</f>
        <v>1.7000885902796366E-5</v>
      </c>
      <c r="Q68" s="307">
        <f t="shared" si="18"/>
        <v>1</v>
      </c>
      <c r="R68" s="179">
        <f t="shared" si="4"/>
        <v>0.20732889693212586</v>
      </c>
      <c r="S68" s="837">
        <f t="shared" si="19"/>
        <v>-3</v>
      </c>
      <c r="T68" s="178">
        <f t="shared" si="20"/>
        <v>3</v>
      </c>
      <c r="U68" s="253">
        <f t="shared" si="21"/>
        <v>-2.7926711030678741</v>
      </c>
      <c r="V68" s="385">
        <f t="shared" si="5"/>
        <v>35.171680757582116</v>
      </c>
      <c r="W68" s="58"/>
      <c r="X68" s="157">
        <f t="shared" si="6"/>
        <v>43154</v>
      </c>
      <c r="Y68" s="387">
        <f t="shared" si="7"/>
        <v>0</v>
      </c>
      <c r="Z68" s="387">
        <f t="shared" si="8"/>
        <v>0</v>
      </c>
      <c r="AA68" s="388">
        <f t="shared" si="9"/>
        <v>0</v>
      </c>
      <c r="AB68" s="199">
        <f t="shared" si="10"/>
        <v>43154</v>
      </c>
      <c r="AC68" s="426">
        <f t="shared" si="11"/>
        <v>0</v>
      </c>
      <c r="AD68" s="171">
        <f>(INDEX(Models!$BJ68:$BT68,,AH68)*(1-AF68)+INDEX(Models!$BJ68:$BT68,,AH68+1)*AF68-ERP_i)*AE68*Ramure*Pc/MaxiM</f>
        <v>1.7000885902796366E-5</v>
      </c>
      <c r="AE68" s="307">
        <f t="shared" si="12"/>
        <v>1</v>
      </c>
      <c r="AF68" s="179">
        <f t="shared" si="13"/>
        <v>0.20732889693212586</v>
      </c>
      <c r="AG68" s="837">
        <f t="shared" si="22"/>
        <v>-3</v>
      </c>
      <c r="AH68" s="178">
        <f t="shared" si="14"/>
        <v>3</v>
      </c>
      <c r="AI68" s="227">
        <f t="shared" si="15"/>
        <v>-2.7926711030678741</v>
      </c>
      <c r="AJ68" s="267" t="b">
        <f t="shared" si="16"/>
        <v>1</v>
      </c>
      <c r="AK68" s="267" t="b">
        <f t="shared" si="17"/>
        <v>0</v>
      </c>
      <c r="AL68" s="267"/>
      <c r="AM68" s="267"/>
      <c r="AN68" s="75"/>
    </row>
    <row r="69" spans="1:40" s="6" customFormat="1" ht="11.25" customHeight="1" x14ac:dyDescent="0.2">
      <c r="A69" s="56">
        <f t="shared" si="23"/>
        <v>43155</v>
      </c>
      <c r="B69" s="622"/>
      <c r="C69" s="879"/>
      <c r="D69" s="395"/>
      <c r="E69" s="387"/>
      <c r="F69" s="387"/>
      <c r="G69" s="110"/>
      <c r="I69" s="382">
        <f t="shared" si="0"/>
        <v>0</v>
      </c>
      <c r="J69" s="85">
        <v>2018</v>
      </c>
      <c r="K69" s="199">
        <f t="shared" si="1"/>
        <v>43155</v>
      </c>
      <c r="L69" s="437">
        <f t="shared" si="2"/>
        <v>0</v>
      </c>
      <c r="M69" s="881"/>
      <c r="N69" s="881"/>
      <c r="O69" s="326">
        <f t="shared" si="3"/>
        <v>0</v>
      </c>
      <c r="P69" s="171">
        <f>(INDEX(Models!$BJ69:$BT69,,T69)*(1-R69)+INDEX(Models!$BJ69:$BT69,,T69+1)*R69-ERP_i)*Q69*Ramure*Pc/MaxiM</f>
        <v>1.7792194009014588E-5</v>
      </c>
      <c r="Q69" s="307">
        <f t="shared" si="18"/>
        <v>1</v>
      </c>
      <c r="R69" s="179">
        <f t="shared" si="4"/>
        <v>0.2076821154302313</v>
      </c>
      <c r="S69" s="837">
        <f t="shared" si="19"/>
        <v>-3</v>
      </c>
      <c r="T69" s="178">
        <f t="shared" si="20"/>
        <v>3</v>
      </c>
      <c r="U69" s="253">
        <f t="shared" si="21"/>
        <v>-2.7923178845697687</v>
      </c>
      <c r="V69" s="385">
        <f t="shared" si="5"/>
        <v>35.601750082618182</v>
      </c>
      <c r="W69" s="58"/>
      <c r="X69" s="157">
        <f t="shared" si="6"/>
        <v>43155</v>
      </c>
      <c r="Y69" s="387">
        <f t="shared" si="7"/>
        <v>0</v>
      </c>
      <c r="Z69" s="387">
        <f t="shared" si="8"/>
        <v>0</v>
      </c>
      <c r="AA69" s="388">
        <f t="shared" si="9"/>
        <v>0</v>
      </c>
      <c r="AB69" s="199">
        <f t="shared" si="10"/>
        <v>43155</v>
      </c>
      <c r="AC69" s="426">
        <f t="shared" si="11"/>
        <v>0</v>
      </c>
      <c r="AD69" s="171">
        <f>(INDEX(Models!$BJ69:$BT69,,AH69)*(1-AF69)+INDEX(Models!$BJ69:$BT69,,AH69+1)*AF69-ERP_i)*AE69*Ramure*Pc/MaxiM</f>
        <v>1.7792194009014588E-5</v>
      </c>
      <c r="AE69" s="307">
        <f t="shared" si="12"/>
        <v>1</v>
      </c>
      <c r="AF69" s="179">
        <f t="shared" si="13"/>
        <v>0.2076821154302313</v>
      </c>
      <c r="AG69" s="837">
        <f t="shared" si="22"/>
        <v>-3</v>
      </c>
      <c r="AH69" s="178">
        <f t="shared" si="14"/>
        <v>3</v>
      </c>
      <c r="AI69" s="227">
        <f t="shared" si="15"/>
        <v>-2.7923178845697687</v>
      </c>
      <c r="AJ69" s="267" t="b">
        <f t="shared" si="16"/>
        <v>1</v>
      </c>
      <c r="AK69" s="267" t="b">
        <f t="shared" si="17"/>
        <v>0</v>
      </c>
      <c r="AL69" s="267"/>
      <c r="AM69" s="267"/>
      <c r="AN69" s="75"/>
    </row>
    <row r="70" spans="1:40" s="6" customFormat="1" ht="11.25" customHeight="1" x14ac:dyDescent="0.2">
      <c r="A70" s="56">
        <f t="shared" si="23"/>
        <v>43156</v>
      </c>
      <c r="B70" s="622"/>
      <c r="C70" s="879"/>
      <c r="D70" s="395"/>
      <c r="E70" s="387"/>
      <c r="F70" s="387"/>
      <c r="G70" s="110"/>
      <c r="I70" s="382">
        <f t="shared" si="0"/>
        <v>0</v>
      </c>
      <c r="J70" s="85">
        <v>2018</v>
      </c>
      <c r="K70" s="199">
        <f t="shared" si="1"/>
        <v>43156</v>
      </c>
      <c r="L70" s="437">
        <f t="shared" si="2"/>
        <v>0</v>
      </c>
      <c r="M70" s="881"/>
      <c r="N70" s="881"/>
      <c r="O70" s="326">
        <f t="shared" si="3"/>
        <v>0</v>
      </c>
      <c r="P70" s="171">
        <f>(INDEX(Models!$BJ70:$BT70,,T70)*(1-R70)+INDEX(Models!$BJ70:$BT70,,T70+1)*R70-ERP_i)*Q70*Ramure*Pc/MaxiM</f>
        <v>1.8665390189873425E-5</v>
      </c>
      <c r="Q70" s="307">
        <f t="shared" si="18"/>
        <v>1</v>
      </c>
      <c r="R70" s="179">
        <f t="shared" si="4"/>
        <v>0.20804976913922202</v>
      </c>
      <c r="S70" s="837">
        <f t="shared" si="19"/>
        <v>-3</v>
      </c>
      <c r="T70" s="178">
        <f t="shared" si="20"/>
        <v>3</v>
      </c>
      <c r="U70" s="253">
        <f t="shared" si="21"/>
        <v>-2.791950230860778</v>
      </c>
      <c r="V70" s="385">
        <f t="shared" si="5"/>
        <v>36.035885381037481</v>
      </c>
      <c r="W70" s="58"/>
      <c r="X70" s="157">
        <f t="shared" si="6"/>
        <v>43156</v>
      </c>
      <c r="Y70" s="387">
        <f t="shared" si="7"/>
        <v>0</v>
      </c>
      <c r="Z70" s="387">
        <f t="shared" si="8"/>
        <v>0</v>
      </c>
      <c r="AA70" s="388">
        <f t="shared" si="9"/>
        <v>0</v>
      </c>
      <c r="AB70" s="199">
        <f t="shared" si="10"/>
        <v>43156</v>
      </c>
      <c r="AC70" s="426">
        <f t="shared" si="11"/>
        <v>0</v>
      </c>
      <c r="AD70" s="171">
        <f>(INDEX(Models!$BJ70:$BT70,,AH70)*(1-AF70)+INDEX(Models!$BJ70:$BT70,,AH70+1)*AF70-ERP_i)*AE70*Ramure*Pc/MaxiM</f>
        <v>1.8665390189873425E-5</v>
      </c>
      <c r="AE70" s="307">
        <f t="shared" si="12"/>
        <v>1</v>
      </c>
      <c r="AF70" s="179">
        <f t="shared" si="13"/>
        <v>0.20804976913922202</v>
      </c>
      <c r="AG70" s="837">
        <f t="shared" si="22"/>
        <v>-3</v>
      </c>
      <c r="AH70" s="178">
        <f t="shared" si="14"/>
        <v>3</v>
      </c>
      <c r="AI70" s="227">
        <f t="shared" si="15"/>
        <v>-2.791950230860778</v>
      </c>
      <c r="AJ70" s="267" t="b">
        <f t="shared" si="16"/>
        <v>1</v>
      </c>
      <c r="AK70" s="267" t="b">
        <f t="shared" si="17"/>
        <v>0</v>
      </c>
      <c r="AL70" s="267"/>
      <c r="AM70" s="267"/>
      <c r="AN70" s="75"/>
    </row>
    <row r="71" spans="1:40" s="6" customFormat="1" ht="11.25" x14ac:dyDescent="0.2">
      <c r="A71" s="56">
        <f t="shared" si="23"/>
        <v>43157</v>
      </c>
      <c r="B71" s="622"/>
      <c r="C71" s="879"/>
      <c r="D71" s="395"/>
      <c r="E71" s="387"/>
      <c r="F71" s="387"/>
      <c r="G71" s="110"/>
      <c r="I71" s="382">
        <f t="shared" si="0"/>
        <v>0</v>
      </c>
      <c r="J71" s="85">
        <v>2018</v>
      </c>
      <c r="K71" s="199">
        <f t="shared" si="1"/>
        <v>43157</v>
      </c>
      <c r="L71" s="437">
        <f t="shared" si="2"/>
        <v>0</v>
      </c>
      <c r="M71" s="881"/>
      <c r="N71" s="881"/>
      <c r="O71" s="326">
        <f t="shared" si="3"/>
        <v>0</v>
      </c>
      <c r="P71" s="171">
        <f>(INDEX(Models!$BJ71:$BT71,,T71)*(1-R71)+INDEX(Models!$BJ71:$BT71,,T71+1)*R71-ERP_i)*Q71*Ramure*Pc/MaxiM</f>
        <v>1.9627009478148572E-5</v>
      </c>
      <c r="Q71" s="307">
        <f t="shared" si="18"/>
        <v>1</v>
      </c>
      <c r="R71" s="179">
        <f t="shared" si="4"/>
        <v>0.2084324314970134</v>
      </c>
      <c r="S71" s="837">
        <f t="shared" si="19"/>
        <v>-3</v>
      </c>
      <c r="T71" s="178">
        <f t="shared" si="20"/>
        <v>3</v>
      </c>
      <c r="U71" s="253">
        <f t="shared" si="21"/>
        <v>-2.7915675685029866</v>
      </c>
      <c r="V71" s="385">
        <f t="shared" si="5"/>
        <v>36.473634117387171</v>
      </c>
      <c r="W71" s="58"/>
      <c r="X71" s="157">
        <f t="shared" si="6"/>
        <v>43157</v>
      </c>
      <c r="Y71" s="387">
        <f t="shared" si="7"/>
        <v>0</v>
      </c>
      <c r="Z71" s="387">
        <f t="shared" si="8"/>
        <v>0</v>
      </c>
      <c r="AA71" s="388">
        <f t="shared" si="9"/>
        <v>0</v>
      </c>
      <c r="AB71" s="199">
        <f t="shared" si="10"/>
        <v>43157</v>
      </c>
      <c r="AC71" s="426">
        <f t="shared" si="11"/>
        <v>0</v>
      </c>
      <c r="AD71" s="171">
        <f>(INDEX(Models!$BJ71:$BT71,,AH71)*(1-AF71)+INDEX(Models!$BJ71:$BT71,,AH71+1)*AF71-ERP_i)*AE71*Ramure*Pc/MaxiM</f>
        <v>1.9627009478148572E-5</v>
      </c>
      <c r="AE71" s="307">
        <f t="shared" si="12"/>
        <v>1</v>
      </c>
      <c r="AF71" s="179">
        <f t="shared" si="13"/>
        <v>0.2084324314970134</v>
      </c>
      <c r="AG71" s="837">
        <f t="shared" si="22"/>
        <v>-3</v>
      </c>
      <c r="AH71" s="178">
        <f t="shared" si="14"/>
        <v>3</v>
      </c>
      <c r="AI71" s="227">
        <f t="shared" si="15"/>
        <v>-2.7915675685029866</v>
      </c>
      <c r="AJ71" s="267" t="b">
        <f t="shared" si="16"/>
        <v>1</v>
      </c>
      <c r="AK71" s="267" t="b">
        <f t="shared" si="17"/>
        <v>0</v>
      </c>
      <c r="AL71" s="267"/>
      <c r="AM71" s="267"/>
      <c r="AN71" s="75"/>
    </row>
    <row r="72" spans="1:40" s="6" customFormat="1" ht="11.25" customHeight="1" x14ac:dyDescent="0.2">
      <c r="A72" s="56">
        <f t="shared" si="23"/>
        <v>43158</v>
      </c>
      <c r="B72" s="622"/>
      <c r="C72" s="879"/>
      <c r="D72" s="395"/>
      <c r="E72" s="387"/>
      <c r="F72" s="387"/>
      <c r="G72" s="110"/>
      <c r="I72" s="382">
        <f t="shared" si="0"/>
        <v>0</v>
      </c>
      <c r="J72" s="85">
        <v>2018</v>
      </c>
      <c r="K72" s="199">
        <f t="shared" si="1"/>
        <v>43158</v>
      </c>
      <c r="L72" s="437">
        <f t="shared" si="2"/>
        <v>0</v>
      </c>
      <c r="M72" s="881"/>
      <c r="N72" s="881"/>
      <c r="O72" s="326">
        <f t="shared" si="3"/>
        <v>0</v>
      </c>
      <c r="P72" s="171">
        <f>(INDEX(Models!$BJ72:$BT72,,T72)*(1-R72)+INDEX(Models!$BJ72:$BT72,,T72+1)*R72-ERP_i)*Q72*Ramure*Pc/MaxiM</f>
        <v>2.0679814573256303E-5</v>
      </c>
      <c r="Q72" s="307">
        <f t="shared" si="18"/>
        <v>1</v>
      </c>
      <c r="R72" s="179">
        <f t="shared" si="4"/>
        <v>0.20883069732974757</v>
      </c>
      <c r="S72" s="837">
        <f t="shared" si="19"/>
        <v>-3</v>
      </c>
      <c r="T72" s="178">
        <f t="shared" si="20"/>
        <v>3</v>
      </c>
      <c r="U72" s="253">
        <f t="shared" si="21"/>
        <v>-2.7911693026702524</v>
      </c>
      <c r="V72" s="385">
        <f t="shared" si="5"/>
        <v>36.914543887013686</v>
      </c>
      <c r="W72" s="58"/>
      <c r="X72" s="157">
        <f t="shared" si="6"/>
        <v>43158</v>
      </c>
      <c r="Y72" s="387">
        <f t="shared" si="7"/>
        <v>0</v>
      </c>
      <c r="Z72" s="387">
        <f t="shared" si="8"/>
        <v>0</v>
      </c>
      <c r="AA72" s="388">
        <f t="shared" si="9"/>
        <v>0</v>
      </c>
      <c r="AB72" s="199">
        <f t="shared" si="10"/>
        <v>43158</v>
      </c>
      <c r="AC72" s="426">
        <f t="shared" si="11"/>
        <v>0</v>
      </c>
      <c r="AD72" s="171">
        <f>(INDEX(Models!$BJ72:$BT72,,AH72)*(1-AF72)+INDEX(Models!$BJ72:$BT72,,AH72+1)*AF72-ERP_i)*AE72*Ramure*Pc/MaxiM</f>
        <v>2.0679814573256303E-5</v>
      </c>
      <c r="AE72" s="307">
        <f t="shared" si="12"/>
        <v>1</v>
      </c>
      <c r="AF72" s="179">
        <f t="shared" si="13"/>
        <v>0.20883069732974757</v>
      </c>
      <c r="AG72" s="837">
        <f t="shared" si="22"/>
        <v>-3</v>
      </c>
      <c r="AH72" s="178">
        <f t="shared" si="14"/>
        <v>3</v>
      </c>
      <c r="AI72" s="227">
        <f t="shared" si="15"/>
        <v>-2.7911693026702524</v>
      </c>
      <c r="AJ72" s="267" t="b">
        <f t="shared" si="16"/>
        <v>1</v>
      </c>
      <c r="AK72" s="267" t="b">
        <f t="shared" si="17"/>
        <v>0</v>
      </c>
      <c r="AL72" s="267"/>
      <c r="AM72" s="267"/>
      <c r="AN72" s="75"/>
    </row>
    <row r="73" spans="1:40" s="6" customFormat="1" ht="11.25" customHeight="1" x14ac:dyDescent="0.2">
      <c r="A73" s="56">
        <f t="shared" si="23"/>
        <v>43159</v>
      </c>
      <c r="B73" s="622"/>
      <c r="C73" s="879"/>
      <c r="D73" s="395"/>
      <c r="E73" s="387"/>
      <c r="F73" s="387"/>
      <c r="G73" s="110"/>
      <c r="I73" s="382">
        <f t="shared" si="0"/>
        <v>0</v>
      </c>
      <c r="J73" s="85">
        <v>2018</v>
      </c>
      <c r="K73" s="199">
        <f t="shared" si="1"/>
        <v>43159</v>
      </c>
      <c r="L73" s="437">
        <f t="shared" si="2"/>
        <v>0</v>
      </c>
      <c r="M73" s="881"/>
      <c r="N73" s="881"/>
      <c r="O73" s="326">
        <f t="shared" si="3"/>
        <v>0</v>
      </c>
      <c r="P73" s="171">
        <f>(INDEX(Models!$BJ73:$BT73,,T73)*(1-R73)+INDEX(Models!$BJ73:$BT73,,T73+1)*R73-ERP_i)*Q73*Ramure*Pc/MaxiM</f>
        <v>2.1776318387555123E-5</v>
      </c>
      <c r="Q73" s="307">
        <f t="shared" si="18"/>
        <v>1</v>
      </c>
      <c r="R73" s="179">
        <f t="shared" si="4"/>
        <v>0.20924518353137023</v>
      </c>
      <c r="S73" s="837">
        <f t="shared" si="19"/>
        <v>-3</v>
      </c>
      <c r="T73" s="178">
        <f t="shared" si="20"/>
        <v>3</v>
      </c>
      <c r="U73" s="253">
        <f t="shared" si="21"/>
        <v>-2.7907548164686298</v>
      </c>
      <c r="V73" s="385">
        <f t="shared" si="5"/>
        <v>37.35816415570573</v>
      </c>
      <c r="W73" s="58"/>
      <c r="X73" s="157">
        <f t="shared" si="6"/>
        <v>43159</v>
      </c>
      <c r="Y73" s="387">
        <f t="shared" si="7"/>
        <v>0</v>
      </c>
      <c r="Z73" s="387">
        <f t="shared" si="8"/>
        <v>0</v>
      </c>
      <c r="AA73" s="388">
        <f t="shared" si="9"/>
        <v>0</v>
      </c>
      <c r="AB73" s="199">
        <f t="shared" si="10"/>
        <v>43159</v>
      </c>
      <c r="AC73" s="426">
        <f t="shared" si="11"/>
        <v>0</v>
      </c>
      <c r="AD73" s="171">
        <f>(INDEX(Models!$BJ73:$BT73,,AH73)*(1-AF73)+INDEX(Models!$BJ73:$BT73,,AH73+1)*AF73-ERP_i)*AE73*Ramure*Pc/MaxiM</f>
        <v>2.1776318387555123E-5</v>
      </c>
      <c r="AE73" s="307">
        <f t="shared" si="12"/>
        <v>1</v>
      </c>
      <c r="AF73" s="179">
        <f t="shared" si="13"/>
        <v>0.20924518353137023</v>
      </c>
      <c r="AG73" s="837">
        <f t="shared" si="22"/>
        <v>-3</v>
      </c>
      <c r="AH73" s="178">
        <f t="shared" si="14"/>
        <v>3</v>
      </c>
      <c r="AI73" s="227">
        <f t="shared" si="15"/>
        <v>-2.7907548164686298</v>
      </c>
      <c r="AJ73" s="267" t="b">
        <f t="shared" si="16"/>
        <v>1</v>
      </c>
      <c r="AK73" s="267" t="b">
        <f t="shared" si="17"/>
        <v>0</v>
      </c>
      <c r="AL73" s="267"/>
      <c r="AM73" s="267"/>
      <c r="AN73" s="75"/>
    </row>
    <row r="74" spans="1:40" s="6" customFormat="1" ht="11.25" customHeight="1" x14ac:dyDescent="0.2">
      <c r="A74" s="56">
        <f t="shared" si="23"/>
        <v>43160</v>
      </c>
      <c r="B74" s="622"/>
      <c r="C74" s="879"/>
      <c r="D74" s="395"/>
      <c r="E74" s="387"/>
      <c r="F74" s="387"/>
      <c r="G74" s="110"/>
      <c r="I74" s="382">
        <f t="shared" si="0"/>
        <v>0</v>
      </c>
      <c r="J74" s="85">
        <v>2018</v>
      </c>
      <c r="K74" s="199">
        <f t="shared" si="1"/>
        <v>43160</v>
      </c>
      <c r="L74" s="437">
        <f t="shared" si="2"/>
        <v>0</v>
      </c>
      <c r="M74" s="881"/>
      <c r="N74" s="881"/>
      <c r="O74" s="326">
        <f t="shared" si="3"/>
        <v>0</v>
      </c>
      <c r="P74" s="171">
        <f>(INDEX(Models!$BJ74:$BT74,,T74)*(1-R74)+INDEX(Models!$BJ74:$BT74,,T74+1)*R74-ERP_i)*Q74*Ramure*Pc/MaxiM</f>
        <v>2.2918363412350648E-5</v>
      </c>
      <c r="Q74" s="307">
        <f t="shared" si="18"/>
        <v>1</v>
      </c>
      <c r="R74" s="179">
        <f t="shared" si="4"/>
        <v>0.20967652975445272</v>
      </c>
      <c r="S74" s="837">
        <f t="shared" si="19"/>
        <v>-3</v>
      </c>
      <c r="T74" s="178">
        <f t="shared" si="20"/>
        <v>3</v>
      </c>
      <c r="U74" s="253">
        <f t="shared" si="21"/>
        <v>-2.7903234702455473</v>
      </c>
      <c r="V74" s="385">
        <f t="shared" si="5"/>
        <v>37.804042610941679</v>
      </c>
      <c r="W74" s="58"/>
      <c r="X74" s="157">
        <f t="shared" si="6"/>
        <v>43160</v>
      </c>
      <c r="Y74" s="387">
        <f t="shared" si="7"/>
        <v>0</v>
      </c>
      <c r="Z74" s="387">
        <f t="shared" si="8"/>
        <v>0</v>
      </c>
      <c r="AA74" s="388">
        <f t="shared" si="9"/>
        <v>0</v>
      </c>
      <c r="AB74" s="199">
        <f t="shared" si="10"/>
        <v>43160</v>
      </c>
      <c r="AC74" s="426">
        <f t="shared" si="11"/>
        <v>0</v>
      </c>
      <c r="AD74" s="171">
        <f>(INDEX(Models!$BJ74:$BT74,,AH74)*(1-AF74)+INDEX(Models!$BJ74:$BT74,,AH74+1)*AF74-ERP_i)*AE74*Ramure*Pc/MaxiM</f>
        <v>2.2918363412350648E-5</v>
      </c>
      <c r="AE74" s="307">
        <f t="shared" si="12"/>
        <v>1</v>
      </c>
      <c r="AF74" s="179">
        <f t="shared" si="13"/>
        <v>0.20967652975445272</v>
      </c>
      <c r="AG74" s="837">
        <f t="shared" si="22"/>
        <v>-3</v>
      </c>
      <c r="AH74" s="178">
        <f t="shared" si="14"/>
        <v>3</v>
      </c>
      <c r="AI74" s="227">
        <f t="shared" si="15"/>
        <v>-2.7903234702455473</v>
      </c>
      <c r="AJ74" s="267" t="b">
        <f t="shared" si="16"/>
        <v>1</v>
      </c>
      <c r="AK74" s="267" t="b">
        <f t="shared" si="17"/>
        <v>0</v>
      </c>
      <c r="AL74" s="267"/>
      <c r="AM74" s="267"/>
      <c r="AN74" s="75"/>
    </row>
    <row r="75" spans="1:40" s="6" customFormat="1" ht="11.25" customHeight="1" x14ac:dyDescent="0.2">
      <c r="A75" s="56">
        <f t="shared" si="23"/>
        <v>43161</v>
      </c>
      <c r="B75" s="622"/>
      <c r="C75" s="879"/>
      <c r="D75" s="395"/>
      <c r="E75" s="387"/>
      <c r="F75" s="387"/>
      <c r="G75" s="110"/>
      <c r="I75" s="382">
        <f t="shared" si="0"/>
        <v>0</v>
      </c>
      <c r="J75" s="85">
        <v>2018</v>
      </c>
      <c r="K75" s="199">
        <f t="shared" si="1"/>
        <v>43161</v>
      </c>
      <c r="L75" s="437">
        <f t="shared" si="2"/>
        <v>0</v>
      </c>
      <c r="M75" s="881"/>
      <c r="N75" s="881"/>
      <c r="O75" s="326">
        <f t="shared" si="3"/>
        <v>0</v>
      </c>
      <c r="P75" s="171">
        <f>(INDEX(Models!$BJ75:$BT75,,T75)*(1-R75)+INDEX(Models!$BJ75:$BT75,,T75+1)*R75-ERP_i)*Q75*Ramure*Pc/MaxiM</f>
        <v>2.4107887385695715E-5</v>
      </c>
      <c r="Q75" s="307">
        <f t="shared" si="18"/>
        <v>1</v>
      </c>
      <c r="R75" s="179">
        <f t="shared" si="4"/>
        <v>0.2101253991114187</v>
      </c>
      <c r="S75" s="837">
        <f t="shared" si="19"/>
        <v>-3</v>
      </c>
      <c r="T75" s="178">
        <f t="shared" si="20"/>
        <v>3</v>
      </c>
      <c r="U75" s="253">
        <f t="shared" si="21"/>
        <v>-2.7898746008885813</v>
      </c>
      <c r="V75" s="385">
        <f t="shared" si="5"/>
        <v>38.251726934739843</v>
      </c>
      <c r="W75" s="58"/>
      <c r="X75" s="157">
        <f t="shared" si="6"/>
        <v>43161</v>
      </c>
      <c r="Y75" s="387">
        <f t="shared" si="7"/>
        <v>0</v>
      </c>
      <c r="Z75" s="387">
        <f t="shared" si="8"/>
        <v>0</v>
      </c>
      <c r="AA75" s="388">
        <f t="shared" si="9"/>
        <v>0</v>
      </c>
      <c r="AB75" s="199">
        <f t="shared" si="10"/>
        <v>43161</v>
      </c>
      <c r="AC75" s="426">
        <f t="shared" si="11"/>
        <v>0</v>
      </c>
      <c r="AD75" s="171">
        <f>(INDEX(Models!$BJ75:$BT75,,AH75)*(1-AF75)+INDEX(Models!$BJ75:$BT75,,AH75+1)*AF75-ERP_i)*AE75*Ramure*Pc/MaxiM</f>
        <v>2.4107887385695715E-5</v>
      </c>
      <c r="AE75" s="307">
        <f t="shared" si="12"/>
        <v>1</v>
      </c>
      <c r="AF75" s="179">
        <f t="shared" si="13"/>
        <v>0.2101253991114187</v>
      </c>
      <c r="AG75" s="837">
        <f t="shared" si="22"/>
        <v>-3</v>
      </c>
      <c r="AH75" s="178">
        <f t="shared" si="14"/>
        <v>3</v>
      </c>
      <c r="AI75" s="227">
        <f t="shared" si="15"/>
        <v>-2.7898746008885813</v>
      </c>
      <c r="AJ75" s="267" t="b">
        <f t="shared" si="16"/>
        <v>1</v>
      </c>
      <c r="AK75" s="267" t="b">
        <f t="shared" si="17"/>
        <v>0</v>
      </c>
      <c r="AL75" s="267"/>
      <c r="AM75" s="267"/>
      <c r="AN75" s="75"/>
    </row>
    <row r="76" spans="1:40" s="6" customFormat="1" ht="11.25" customHeight="1" x14ac:dyDescent="0.2">
      <c r="A76" s="56">
        <f t="shared" si="23"/>
        <v>43162</v>
      </c>
      <c r="B76" s="622"/>
      <c r="C76" s="879"/>
      <c r="D76" s="395"/>
      <c r="E76" s="387"/>
      <c r="F76" s="387"/>
      <c r="G76" s="110"/>
      <c r="I76" s="382">
        <f t="shared" si="0"/>
        <v>0</v>
      </c>
      <c r="J76" s="85">
        <v>2018</v>
      </c>
      <c r="K76" s="199">
        <f t="shared" si="1"/>
        <v>43162</v>
      </c>
      <c r="L76" s="437">
        <f t="shared" si="2"/>
        <v>0</v>
      </c>
      <c r="M76" s="881"/>
      <c r="N76" s="881"/>
      <c r="O76" s="326">
        <f t="shared" si="3"/>
        <v>0</v>
      </c>
      <c r="P76" s="171">
        <f>(INDEX(Models!$BJ76:$BT76,,T76)*(1-R76)+INDEX(Models!$BJ76:$BT76,,T76+1)*R76-ERP_i)*Q76*Ramure*Pc/MaxiM</f>
        <v>2.5346927454655411E-5</v>
      </c>
      <c r="Q76" s="307">
        <f t="shared" si="18"/>
        <v>1</v>
      </c>
      <c r="R76" s="179">
        <f t="shared" si="4"/>
        <v>0.21059247888521959</v>
      </c>
      <c r="S76" s="837">
        <f t="shared" si="19"/>
        <v>-3</v>
      </c>
      <c r="T76" s="178">
        <f t="shared" si="20"/>
        <v>3</v>
      </c>
      <c r="U76" s="253">
        <f t="shared" si="21"/>
        <v>-2.7894075211147804</v>
      </c>
      <c r="V76" s="385">
        <f t="shared" si="5"/>
        <v>38.700764801912854</v>
      </c>
      <c r="W76" s="58"/>
      <c r="X76" s="157">
        <f t="shared" si="6"/>
        <v>43162</v>
      </c>
      <c r="Y76" s="387">
        <f t="shared" si="7"/>
        <v>0</v>
      </c>
      <c r="Z76" s="387">
        <f t="shared" si="8"/>
        <v>0</v>
      </c>
      <c r="AA76" s="388">
        <f t="shared" si="9"/>
        <v>0</v>
      </c>
      <c r="AB76" s="199">
        <f t="shared" si="10"/>
        <v>43162</v>
      </c>
      <c r="AC76" s="426">
        <f t="shared" si="11"/>
        <v>0</v>
      </c>
      <c r="AD76" s="171">
        <f>(INDEX(Models!$BJ76:$BT76,,AH76)*(1-AF76)+INDEX(Models!$BJ76:$BT76,,AH76+1)*AF76-ERP_i)*AE76*Ramure*Pc/MaxiM</f>
        <v>2.5346927454655411E-5</v>
      </c>
      <c r="AE76" s="307">
        <f t="shared" si="12"/>
        <v>1</v>
      </c>
      <c r="AF76" s="179">
        <f t="shared" si="13"/>
        <v>0.21059247888521959</v>
      </c>
      <c r="AG76" s="837">
        <f t="shared" si="22"/>
        <v>-3</v>
      </c>
      <c r="AH76" s="178">
        <f t="shared" si="14"/>
        <v>3</v>
      </c>
      <c r="AI76" s="227">
        <f t="shared" si="15"/>
        <v>-2.7894075211147804</v>
      </c>
      <c r="AJ76" s="267" t="b">
        <f t="shared" si="16"/>
        <v>1</v>
      </c>
      <c r="AK76" s="267" t="b">
        <f t="shared" si="17"/>
        <v>0</v>
      </c>
      <c r="AL76" s="267"/>
      <c r="AM76" s="267"/>
      <c r="AN76" s="75"/>
    </row>
    <row r="77" spans="1:40" s="6" customFormat="1" ht="11.25" x14ac:dyDescent="0.2">
      <c r="A77" s="56">
        <f t="shared" si="23"/>
        <v>43163</v>
      </c>
      <c r="B77" s="622"/>
      <c r="C77" s="879"/>
      <c r="D77" s="395"/>
      <c r="E77" s="387"/>
      <c r="F77" s="387"/>
      <c r="G77" s="110"/>
      <c r="I77" s="382">
        <f t="shared" si="0"/>
        <v>0</v>
      </c>
      <c r="J77" s="85">
        <v>2018</v>
      </c>
      <c r="K77" s="199">
        <f t="shared" si="1"/>
        <v>43163</v>
      </c>
      <c r="L77" s="437">
        <f t="shared" si="2"/>
        <v>0</v>
      </c>
      <c r="M77" s="881"/>
      <c r="N77" s="881"/>
      <c r="O77" s="326">
        <f t="shared" si="3"/>
        <v>0</v>
      </c>
      <c r="P77" s="171">
        <f>(INDEX(Models!$BJ77:$BT77,,T77)*(1-R77)+INDEX(Models!$BJ77:$BT77,,T77+1)*R77-ERP_i)*Q77*Ramure*Pc/MaxiM</f>
        <v>2.6637624552901332E-5</v>
      </c>
      <c r="Q77" s="307">
        <f t="shared" si="18"/>
        <v>1</v>
      </c>
      <c r="R77" s="179">
        <f t="shared" si="4"/>
        <v>0.21107848124835726</v>
      </c>
      <c r="S77" s="837">
        <f t="shared" si="19"/>
        <v>-3</v>
      </c>
      <c r="T77" s="178">
        <f t="shared" si="20"/>
        <v>3</v>
      </c>
      <c r="U77" s="253">
        <f t="shared" si="21"/>
        <v>-2.7889215187516427</v>
      </c>
      <c r="V77" s="385">
        <f t="shared" si="5"/>
        <v>39.150703883533026</v>
      </c>
      <c r="W77" s="58"/>
      <c r="X77" s="157">
        <f t="shared" si="6"/>
        <v>43163</v>
      </c>
      <c r="Y77" s="387">
        <f t="shared" si="7"/>
        <v>0</v>
      </c>
      <c r="Z77" s="387">
        <f t="shared" si="8"/>
        <v>0</v>
      </c>
      <c r="AA77" s="388">
        <f t="shared" si="9"/>
        <v>0</v>
      </c>
      <c r="AB77" s="199">
        <f t="shared" si="10"/>
        <v>43163</v>
      </c>
      <c r="AC77" s="426">
        <f t="shared" si="11"/>
        <v>0</v>
      </c>
      <c r="AD77" s="171">
        <f>(INDEX(Models!$BJ77:$BT77,,AH77)*(1-AF77)+INDEX(Models!$BJ77:$BT77,,AH77+1)*AF77-ERP_i)*AE77*Ramure*Pc/MaxiM</f>
        <v>2.6637624552901332E-5</v>
      </c>
      <c r="AE77" s="307">
        <f t="shared" si="12"/>
        <v>1</v>
      </c>
      <c r="AF77" s="179">
        <f t="shared" si="13"/>
        <v>0.21107848124835726</v>
      </c>
      <c r="AG77" s="837">
        <f t="shared" si="22"/>
        <v>-3</v>
      </c>
      <c r="AH77" s="178">
        <f t="shared" si="14"/>
        <v>3</v>
      </c>
      <c r="AI77" s="227">
        <f t="shared" si="15"/>
        <v>-2.7889215187516427</v>
      </c>
      <c r="AJ77" s="267" t="b">
        <f t="shared" si="16"/>
        <v>1</v>
      </c>
      <c r="AK77" s="267" t="b">
        <f t="shared" si="17"/>
        <v>0</v>
      </c>
      <c r="AL77" s="267"/>
      <c r="AM77" s="267"/>
      <c r="AN77" s="75"/>
    </row>
    <row r="78" spans="1:40" s="6" customFormat="1" ht="11.25" customHeight="1" x14ac:dyDescent="0.2">
      <c r="A78" s="56">
        <f t="shared" si="23"/>
        <v>43164</v>
      </c>
      <c r="B78" s="622"/>
      <c r="C78" s="879"/>
      <c r="D78" s="395"/>
      <c r="E78" s="387"/>
      <c r="F78" s="387"/>
      <c r="G78" s="110"/>
      <c r="I78" s="382">
        <f t="shared" si="0"/>
        <v>0</v>
      </c>
      <c r="J78" s="85">
        <v>2018</v>
      </c>
      <c r="K78" s="199">
        <f t="shared" si="1"/>
        <v>43164</v>
      </c>
      <c r="L78" s="437">
        <f t="shared" si="2"/>
        <v>0</v>
      </c>
      <c r="M78" s="881"/>
      <c r="N78" s="881"/>
      <c r="O78" s="326">
        <f t="shared" si="3"/>
        <v>0</v>
      </c>
      <c r="P78" s="171">
        <f>(INDEX(Models!$BJ78:$BT78,,T78)*(1-R78)+INDEX(Models!$BJ78:$BT78,,T78+1)*R78-ERP_i)*Q78*Ramure*Pc/MaxiM</f>
        <v>2.7982228017125107E-5</v>
      </c>
      <c r="Q78" s="307">
        <f t="shared" si="18"/>
        <v>1</v>
      </c>
      <c r="R78" s="179">
        <f t="shared" si="4"/>
        <v>0.21158414398901115</v>
      </c>
      <c r="S78" s="837">
        <f t="shared" si="19"/>
        <v>-3</v>
      </c>
      <c r="T78" s="178">
        <f t="shared" si="20"/>
        <v>3</v>
      </c>
      <c r="U78" s="253">
        <f t="shared" si="21"/>
        <v>-2.7884158560109888</v>
      </c>
      <c r="V78" s="385">
        <f t="shared" si="5"/>
        <v>39.601091842197704</v>
      </c>
      <c r="W78" s="58"/>
      <c r="X78" s="157">
        <f t="shared" si="6"/>
        <v>43164</v>
      </c>
      <c r="Y78" s="387">
        <f t="shared" si="7"/>
        <v>0</v>
      </c>
      <c r="Z78" s="387">
        <f t="shared" si="8"/>
        <v>0</v>
      </c>
      <c r="AA78" s="388">
        <f t="shared" si="9"/>
        <v>0</v>
      </c>
      <c r="AB78" s="199">
        <f t="shared" si="10"/>
        <v>43164</v>
      </c>
      <c r="AC78" s="426">
        <f t="shared" si="11"/>
        <v>0</v>
      </c>
      <c r="AD78" s="171">
        <f>(INDEX(Models!$BJ78:$BT78,,AH78)*(1-AF78)+INDEX(Models!$BJ78:$BT78,,AH78+1)*AF78-ERP_i)*AE78*Ramure*Pc/MaxiM</f>
        <v>2.7982228017125107E-5</v>
      </c>
      <c r="AE78" s="307">
        <f t="shared" si="12"/>
        <v>1</v>
      </c>
      <c r="AF78" s="179">
        <f t="shared" si="13"/>
        <v>0.21158414398901115</v>
      </c>
      <c r="AG78" s="837">
        <f t="shared" si="22"/>
        <v>-3</v>
      </c>
      <c r="AH78" s="178">
        <f t="shared" si="14"/>
        <v>3</v>
      </c>
      <c r="AI78" s="227">
        <f t="shared" si="15"/>
        <v>-2.7884158560109888</v>
      </c>
      <c r="AJ78" s="267" t="b">
        <f t="shared" si="16"/>
        <v>1</v>
      </c>
      <c r="AK78" s="267" t="b">
        <f t="shared" si="17"/>
        <v>0</v>
      </c>
      <c r="AL78" s="267"/>
      <c r="AM78" s="267"/>
      <c r="AN78" s="75"/>
    </row>
    <row r="79" spans="1:40" s="6" customFormat="1" ht="11.25" x14ac:dyDescent="0.2">
      <c r="A79" s="56">
        <f t="shared" si="23"/>
        <v>43165</v>
      </c>
      <c r="B79" s="622"/>
      <c r="C79" s="879"/>
      <c r="D79" s="395"/>
      <c r="E79" s="387"/>
      <c r="F79" s="387"/>
      <c r="G79" s="110"/>
      <c r="I79" s="382">
        <f t="shared" ref="I79:I142" si="24">Wh_hp</f>
        <v>0</v>
      </c>
      <c r="J79" s="85">
        <v>2018</v>
      </c>
      <c r="K79" s="199">
        <f t="shared" ref="K79:K142" si="25">t</f>
        <v>43165</v>
      </c>
      <c r="L79" s="437">
        <f t="shared" ref="L79:L142" si="26">IF(t&lt;T0,0,IF(t&lt;Tvie,1-EXP((T0-t)*PertePVj),1-EXP((T0-t)*PertePVj)+Pspv))</f>
        <v>0</v>
      </c>
      <c r="M79" s="881"/>
      <c r="N79" s="881"/>
      <c r="O79" s="326">
        <f t="shared" ref="O79:O142" si="27">IF(t&lt;T0,0,IF(t&lt;Tnet,Salim_i*(1-EXP((T0-t)/Tau_ij)),Resal+(Salim-Resal)*(1-EXP((Tnet-t)/(Tau_j)))))*Salcycl</f>
        <v>0</v>
      </c>
      <c r="P79" s="171">
        <f>(INDEX(Models!$BJ79:$BT79,,T79)*(1-R79)+INDEX(Models!$BJ79:$BT79,,T79+1)*R79-ERP_i)*Q79*Ramure*Pc/MaxiM</f>
        <v>2.9381193126171483E-5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0.21211023124286843</v>
      </c>
      <c r="S79" s="837">
        <f t="shared" si="19"/>
        <v>-3</v>
      </c>
      <c r="T79" s="178">
        <f t="shared" ref="T79:T142" si="30">MIN(MATCH(Hp_vg,Echel_vg),10)</f>
        <v>3</v>
      </c>
      <c r="U79" s="253">
        <f t="shared" ref="U79:U142" si="31">IF(OR(t&lt;Ttai,Notai),Hdd+PousH*Croivg,Hdtf+PousH*(Croivg-Croi_tai))</f>
        <v>-2.7878897687571316</v>
      </c>
      <c r="V79" s="385">
        <f t="shared" ref="V79:V142" si="32">MaxiM*(1-Ppv)*(1-Pvg)*(1-Psa)</f>
        <v>40.054076408702123</v>
      </c>
      <c r="W79" s="58"/>
      <c r="X79" s="157">
        <f t="shared" ref="X79:X142" si="33">t</f>
        <v>43165</v>
      </c>
      <c r="Y79" s="387">
        <f t="shared" ref="Y79:Y142" si="34">Wh_pvt_s*(1-Ppv)</f>
        <v>0</v>
      </c>
      <c r="Z79" s="387">
        <f t="shared" ref="Z79:Z142" si="35">Wh_sa_s*(1-Psa_s)</f>
        <v>0</v>
      </c>
      <c r="AA79" s="388">
        <f t="shared" ref="AA79:AA142" si="36">Wh_hp*(1-Pvg_s*MEDIAN((-Sdif+Wh/Env_an)/Csdif,0,1))</f>
        <v>0</v>
      </c>
      <c r="AB79" s="199">
        <f t="shared" ref="AB79:AB142" si="37">t</f>
        <v>43165</v>
      </c>
      <c r="AC79" s="426">
        <f t="shared" ref="AC79:AC142" si="38">IF(t&lt;T0,0,IF(OR(t&lt;Tnet,NoTnet),Salim_i*(1-EXP((T0-t)/Tau_ij)),Resal_s+(Salim-Resal_s)*(1-EXP((Tnet_s-t)/Tau_j))))*Salcycl</f>
        <v>0</v>
      </c>
      <c r="AD79" s="171">
        <f>(INDEX(Models!$BJ79:$BT79,,AH79)*(1-AF79)+INDEX(Models!$BJ79:$BT79,,AH79+1)*AF79-ERP_i)*AE79*Ramure*Pc/MaxiM</f>
        <v>2.9381193126171483E-5</v>
      </c>
      <c r="AE79" s="307">
        <f t="shared" ref="AE79:AE142" si="39">Dd+PousD*Croivg</f>
        <v>1</v>
      </c>
      <c r="AF79" s="179">
        <f t="shared" ref="AF79:AF142" si="40">(Hp_vg_s-AG79)/(INDEX(Echel_vg,AH79+1)-AG79)</f>
        <v>0.21211023124286843</v>
      </c>
      <c r="AG79" s="837">
        <f t="shared" ref="AG79:AG142" si="41">INDEX(Echel_vg,AH79)</f>
        <v>-3</v>
      </c>
      <c r="AH79" s="178">
        <f t="shared" ref="AH79:AH142" si="42">MIN(MATCH(Hp_vg_s,Echel_vg),10)</f>
        <v>3</v>
      </c>
      <c r="AI79" s="227">
        <f t="shared" ref="AI79:AI142" si="43">Hdd+PousH*Croivg</f>
        <v>-2.7878897687571316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si="23"/>
        <v>43166</v>
      </c>
      <c r="B80" s="622"/>
      <c r="C80" s="879"/>
      <c r="D80" s="395"/>
      <c r="E80" s="387"/>
      <c r="F80" s="387"/>
      <c r="G80" s="110"/>
      <c r="I80" s="382">
        <f t="shared" si="24"/>
        <v>0</v>
      </c>
      <c r="J80" s="85">
        <v>2018</v>
      </c>
      <c r="K80" s="199">
        <f t="shared" si="25"/>
        <v>43166</v>
      </c>
      <c r="L80" s="437">
        <f t="shared" si="26"/>
        <v>0</v>
      </c>
      <c r="M80" s="881"/>
      <c r="N80" s="881"/>
      <c r="O80" s="326">
        <f t="shared" si="27"/>
        <v>0</v>
      </c>
      <c r="P80" s="171">
        <f>(INDEX(Models!$BJ80:$BT80,,T80)*(1-R80)+INDEX(Models!$BJ80:$BT80,,T80+1)*R80-ERP_i)*Q80*Ramure*Pc/MaxiM</f>
        <v>3.081821002049591E-5</v>
      </c>
      <c r="Q80" s="307">
        <f t="shared" si="28"/>
        <v>1</v>
      </c>
      <c r="R80" s="179">
        <f t="shared" si="29"/>
        <v>0.2126575342290784</v>
      </c>
      <c r="S80" s="837">
        <f t="shared" ref="S80:S143" si="46">INDEX(Echel_vg,T80)</f>
        <v>-3</v>
      </c>
      <c r="T80" s="178">
        <f t="shared" si="30"/>
        <v>3</v>
      </c>
      <c r="U80" s="253">
        <f t="shared" si="31"/>
        <v>-2.7873424657709216</v>
      </c>
      <c r="V80" s="385">
        <f t="shared" si="32"/>
        <v>40.511655254838722</v>
      </c>
      <c r="W80" s="58"/>
      <c r="X80" s="157">
        <f t="shared" si="33"/>
        <v>43166</v>
      </c>
      <c r="Y80" s="387">
        <f t="shared" si="34"/>
        <v>0</v>
      </c>
      <c r="Z80" s="387">
        <f t="shared" si="35"/>
        <v>0</v>
      </c>
      <c r="AA80" s="388">
        <f t="shared" si="36"/>
        <v>0</v>
      </c>
      <c r="AB80" s="199">
        <f t="shared" si="37"/>
        <v>43166</v>
      </c>
      <c r="AC80" s="426">
        <f t="shared" si="38"/>
        <v>0</v>
      </c>
      <c r="AD80" s="171">
        <f>(INDEX(Models!$BJ80:$BT80,,AH80)*(1-AF80)+INDEX(Models!$BJ80:$BT80,,AH80+1)*AF80-ERP_i)*AE80*Ramure*Pc/MaxiM</f>
        <v>3.081821002049591E-5</v>
      </c>
      <c r="AE80" s="307">
        <f t="shared" si="39"/>
        <v>1</v>
      </c>
      <c r="AF80" s="179">
        <f t="shared" si="40"/>
        <v>0.2126575342290784</v>
      </c>
      <c r="AG80" s="837">
        <f t="shared" si="41"/>
        <v>-3</v>
      </c>
      <c r="AH80" s="178">
        <f t="shared" si="42"/>
        <v>3</v>
      </c>
      <c r="AI80" s="227">
        <f t="shared" si="43"/>
        <v>-2.7873424657709216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ref="A81:A144" si="47">A80+1</f>
        <v>43167</v>
      </c>
      <c r="B81" s="622"/>
      <c r="C81" s="879"/>
      <c r="D81" s="395"/>
      <c r="E81" s="387"/>
      <c r="F81" s="387"/>
      <c r="G81" s="110"/>
      <c r="I81" s="382">
        <f t="shared" si="24"/>
        <v>0</v>
      </c>
      <c r="J81" s="85">
        <v>2018</v>
      </c>
      <c r="K81" s="199">
        <f t="shared" si="25"/>
        <v>43167</v>
      </c>
      <c r="L81" s="437">
        <f t="shared" si="26"/>
        <v>0</v>
      </c>
      <c r="M81" s="881"/>
      <c r="N81" s="881"/>
      <c r="O81" s="326">
        <f t="shared" si="27"/>
        <v>0</v>
      </c>
      <c r="P81" s="171">
        <f>(INDEX(Models!$BJ81:$BT81,,T81)*(1-R81)+INDEX(Models!$BJ81:$BT81,,T81+1)*R81-ERP_i)*Q81*Ramure*Pc/MaxiM</f>
        <v>3.2290466018129797E-5</v>
      </c>
      <c r="Q81" s="307">
        <f t="shared" si="28"/>
        <v>1</v>
      </c>
      <c r="R81" s="179">
        <f t="shared" si="29"/>
        <v>0.2132268719885726</v>
      </c>
      <c r="S81" s="837">
        <f t="shared" si="46"/>
        <v>-3</v>
      </c>
      <c r="T81" s="178">
        <f t="shared" si="30"/>
        <v>3</v>
      </c>
      <c r="U81" s="253">
        <f t="shared" si="31"/>
        <v>-2.7867731280114274</v>
      </c>
      <c r="V81" s="385">
        <f t="shared" si="32"/>
        <v>40.973150166100595</v>
      </c>
      <c r="W81" s="58"/>
      <c r="X81" s="157">
        <f t="shared" si="33"/>
        <v>43167</v>
      </c>
      <c r="Y81" s="387">
        <f t="shared" si="34"/>
        <v>0</v>
      </c>
      <c r="Z81" s="387">
        <f t="shared" si="35"/>
        <v>0</v>
      </c>
      <c r="AA81" s="388">
        <f t="shared" si="36"/>
        <v>0</v>
      </c>
      <c r="AB81" s="199">
        <f t="shared" si="37"/>
        <v>43167</v>
      </c>
      <c r="AC81" s="426">
        <f t="shared" si="38"/>
        <v>0</v>
      </c>
      <c r="AD81" s="171">
        <f>(INDEX(Models!$BJ81:$BT81,,AH81)*(1-AF81)+INDEX(Models!$BJ81:$BT81,,AH81+1)*AF81-ERP_i)*AE81*Ramure*Pc/MaxiM</f>
        <v>3.2290466018129797E-5</v>
      </c>
      <c r="AE81" s="307">
        <f t="shared" si="39"/>
        <v>1</v>
      </c>
      <c r="AF81" s="179">
        <f t="shared" si="40"/>
        <v>0.2132268719885726</v>
      </c>
      <c r="AG81" s="837">
        <f t="shared" si="41"/>
        <v>-3</v>
      </c>
      <c r="AH81" s="178">
        <f t="shared" si="42"/>
        <v>3</v>
      </c>
      <c r="AI81" s="227">
        <f t="shared" si="43"/>
        <v>-2.7867731280114274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7"/>
        <v>43168</v>
      </c>
      <c r="B82" s="622"/>
      <c r="C82" s="879"/>
      <c r="D82" s="395"/>
      <c r="E82" s="387"/>
      <c r="F82" s="387"/>
      <c r="G82" s="110"/>
      <c r="I82" s="382">
        <f t="shared" si="24"/>
        <v>0</v>
      </c>
      <c r="J82" s="85">
        <v>2018</v>
      </c>
      <c r="K82" s="199">
        <f t="shared" si="25"/>
        <v>43168</v>
      </c>
      <c r="L82" s="437">
        <f t="shared" si="26"/>
        <v>0</v>
      </c>
      <c r="M82" s="881"/>
      <c r="N82" s="881"/>
      <c r="O82" s="326">
        <f t="shared" si="27"/>
        <v>0</v>
      </c>
      <c r="P82" s="171">
        <f>(INDEX(Models!$BJ82:$BT82,,T82)*(1-R82)+INDEX(Models!$BJ82:$BT82,,T82+1)*R82-ERP_i)*Q82*Ramure*Pc/MaxiM</f>
        <v>3.379837416740003E-5</v>
      </c>
      <c r="Q82" s="307">
        <f t="shared" si="28"/>
        <v>1</v>
      </c>
      <c r="R82" s="179">
        <f t="shared" si="29"/>
        <v>0.21381909212279426</v>
      </c>
      <c r="S82" s="837">
        <f t="shared" si="46"/>
        <v>-3</v>
      </c>
      <c r="T82" s="178">
        <f t="shared" si="30"/>
        <v>3</v>
      </c>
      <c r="U82" s="253">
        <f t="shared" si="31"/>
        <v>-2.7861809078772057</v>
      </c>
      <c r="V82" s="385">
        <f t="shared" si="32"/>
        <v>41.437882801689355</v>
      </c>
      <c r="W82" s="58"/>
      <c r="X82" s="157">
        <f t="shared" si="33"/>
        <v>43168</v>
      </c>
      <c r="Y82" s="387">
        <f t="shared" si="34"/>
        <v>0</v>
      </c>
      <c r="Z82" s="387">
        <f t="shared" si="35"/>
        <v>0</v>
      </c>
      <c r="AA82" s="388">
        <f t="shared" si="36"/>
        <v>0</v>
      </c>
      <c r="AB82" s="199">
        <f t="shared" si="37"/>
        <v>43168</v>
      </c>
      <c r="AC82" s="426">
        <f t="shared" si="38"/>
        <v>0</v>
      </c>
      <c r="AD82" s="171">
        <f>(INDEX(Models!$BJ82:$BT82,,AH82)*(1-AF82)+INDEX(Models!$BJ82:$BT82,,AH82+1)*AF82-ERP_i)*AE82*Ramure*Pc/MaxiM</f>
        <v>3.379837416740003E-5</v>
      </c>
      <c r="AE82" s="307">
        <f t="shared" si="39"/>
        <v>1</v>
      </c>
      <c r="AF82" s="179">
        <f t="shared" si="40"/>
        <v>0.21381909212279426</v>
      </c>
      <c r="AG82" s="837">
        <f t="shared" si="41"/>
        <v>-3</v>
      </c>
      <c r="AH82" s="178">
        <f t="shared" si="42"/>
        <v>3</v>
      </c>
      <c r="AI82" s="227">
        <f t="shared" si="43"/>
        <v>-2.7861809078772057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customHeight="1" x14ac:dyDescent="0.2">
      <c r="A83" s="56">
        <f t="shared" si="47"/>
        <v>43169</v>
      </c>
      <c r="B83" s="622"/>
      <c r="C83" s="879"/>
      <c r="D83" s="395"/>
      <c r="E83" s="387"/>
      <c r="F83" s="387"/>
      <c r="G83" s="110"/>
      <c r="I83" s="382">
        <f t="shared" si="24"/>
        <v>0</v>
      </c>
      <c r="J83" s="85">
        <v>2018</v>
      </c>
      <c r="K83" s="199">
        <f t="shared" si="25"/>
        <v>43169</v>
      </c>
      <c r="L83" s="437">
        <f t="shared" si="26"/>
        <v>0</v>
      </c>
      <c r="M83" s="881"/>
      <c r="N83" s="881"/>
      <c r="O83" s="326">
        <f t="shared" si="27"/>
        <v>0</v>
      </c>
      <c r="P83" s="171">
        <f>(INDEX(Models!$BJ83:$BT83,,T83)*(1-R83)+INDEX(Models!$BJ83:$BT83,,T83+1)*R83-ERP_i)*Q83*Ramure*Pc/MaxiM</f>
        <v>3.534236259135086E-5</v>
      </c>
      <c r="Q83" s="307">
        <f t="shared" si="28"/>
        <v>1</v>
      </c>
      <c r="R83" s="179">
        <f t="shared" si="29"/>
        <v>0.21443507153066577</v>
      </c>
      <c r="S83" s="837">
        <f t="shared" si="46"/>
        <v>-3</v>
      </c>
      <c r="T83" s="178">
        <f t="shared" si="30"/>
        <v>3</v>
      </c>
      <c r="U83" s="253">
        <f t="shared" si="31"/>
        <v>-2.7855649284693342</v>
      </c>
      <c r="V83" s="385">
        <f t="shared" si="32"/>
        <v>41.905174823824026</v>
      </c>
      <c r="W83" s="58"/>
      <c r="X83" s="157">
        <f t="shared" si="33"/>
        <v>43169</v>
      </c>
      <c r="Y83" s="387">
        <f t="shared" si="34"/>
        <v>0</v>
      </c>
      <c r="Z83" s="387">
        <f t="shared" si="35"/>
        <v>0</v>
      </c>
      <c r="AA83" s="388">
        <f t="shared" si="36"/>
        <v>0</v>
      </c>
      <c r="AB83" s="199">
        <f t="shared" si="37"/>
        <v>43169</v>
      </c>
      <c r="AC83" s="426">
        <f t="shared" si="38"/>
        <v>0</v>
      </c>
      <c r="AD83" s="171">
        <f>(INDEX(Models!$BJ83:$BT83,,AH83)*(1-AF83)+INDEX(Models!$BJ83:$BT83,,AH83+1)*AF83-ERP_i)*AE83*Ramure*Pc/MaxiM</f>
        <v>3.534236259135086E-5</v>
      </c>
      <c r="AE83" s="307">
        <f t="shared" si="39"/>
        <v>1</v>
      </c>
      <c r="AF83" s="179">
        <f t="shared" si="40"/>
        <v>0.21443507153066577</v>
      </c>
      <c r="AG83" s="837">
        <f t="shared" si="41"/>
        <v>-3</v>
      </c>
      <c r="AH83" s="178">
        <f t="shared" si="42"/>
        <v>3</v>
      </c>
      <c r="AI83" s="227">
        <f t="shared" si="43"/>
        <v>-2.7855649284693342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customHeight="1" x14ac:dyDescent="0.2">
      <c r="A84" s="56">
        <f t="shared" si="47"/>
        <v>43170</v>
      </c>
      <c r="B84" s="622"/>
      <c r="C84" s="879"/>
      <c r="D84" s="395"/>
      <c r="E84" s="387"/>
      <c r="F84" s="387"/>
      <c r="G84" s="110"/>
      <c r="I84" s="382">
        <f t="shared" si="24"/>
        <v>0</v>
      </c>
      <c r="J84" s="85">
        <v>2018</v>
      </c>
      <c r="K84" s="199">
        <f t="shared" si="25"/>
        <v>43170</v>
      </c>
      <c r="L84" s="437">
        <f t="shared" si="26"/>
        <v>0</v>
      </c>
      <c r="M84" s="881"/>
      <c r="N84" s="881"/>
      <c r="O84" s="326">
        <f t="shared" si="27"/>
        <v>0</v>
      </c>
      <c r="P84" s="171">
        <f>(INDEX(Models!$BJ84:$BT84,,T84)*(1-R84)+INDEX(Models!$BJ84:$BT84,,T84+1)*R84-ERP_i)*Q84*Ramure*Pc/MaxiM</f>
        <v>3.6922870962756787E-5</v>
      </c>
      <c r="Q84" s="307">
        <f t="shared" si="28"/>
        <v>1</v>
      </c>
      <c r="R84" s="179">
        <f t="shared" si="29"/>
        <v>0.21507571714139662</v>
      </c>
      <c r="S84" s="837">
        <f t="shared" si="46"/>
        <v>-3</v>
      </c>
      <c r="T84" s="178">
        <f t="shared" si="30"/>
        <v>3</v>
      </c>
      <c r="U84" s="253">
        <f t="shared" si="31"/>
        <v>-2.7849242828586034</v>
      </c>
      <c r="V84" s="385">
        <f t="shared" si="32"/>
        <v>42.374347896117307</v>
      </c>
      <c r="W84" s="58"/>
      <c r="X84" s="157">
        <f t="shared" si="33"/>
        <v>43170</v>
      </c>
      <c r="Y84" s="387">
        <f t="shared" si="34"/>
        <v>0</v>
      </c>
      <c r="Z84" s="387">
        <f t="shared" si="35"/>
        <v>0</v>
      </c>
      <c r="AA84" s="388">
        <f t="shared" si="36"/>
        <v>0</v>
      </c>
      <c r="AB84" s="199">
        <f t="shared" si="37"/>
        <v>43170</v>
      </c>
      <c r="AC84" s="426">
        <f t="shared" si="38"/>
        <v>0</v>
      </c>
      <c r="AD84" s="171">
        <f>(INDEX(Models!$BJ84:$BT84,,AH84)*(1-AF84)+INDEX(Models!$BJ84:$BT84,,AH84+1)*AF84-ERP_i)*AE84*Ramure*Pc/MaxiM</f>
        <v>3.6922870962756787E-5</v>
      </c>
      <c r="AE84" s="307">
        <f t="shared" si="39"/>
        <v>1</v>
      </c>
      <c r="AF84" s="179">
        <f t="shared" si="40"/>
        <v>0.21507571714139662</v>
      </c>
      <c r="AG84" s="837">
        <f t="shared" si="41"/>
        <v>-3</v>
      </c>
      <c r="AH84" s="178">
        <f t="shared" si="42"/>
        <v>3</v>
      </c>
      <c r="AI84" s="227">
        <f t="shared" si="43"/>
        <v>-2.7849242828586034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customHeight="1" x14ac:dyDescent="0.2">
      <c r="A85" s="56">
        <f t="shared" si="47"/>
        <v>43171</v>
      </c>
      <c r="B85" s="622"/>
      <c r="C85" s="879"/>
      <c r="D85" s="395"/>
      <c r="E85" s="387"/>
      <c r="F85" s="387"/>
      <c r="G85" s="110"/>
      <c r="I85" s="382">
        <f t="shared" si="24"/>
        <v>0</v>
      </c>
      <c r="J85" s="85">
        <v>2018</v>
      </c>
      <c r="K85" s="199">
        <f t="shared" si="25"/>
        <v>43171</v>
      </c>
      <c r="L85" s="437">
        <f t="shared" si="26"/>
        <v>0</v>
      </c>
      <c r="M85" s="881"/>
      <c r="N85" s="881"/>
      <c r="O85" s="326">
        <f t="shared" si="27"/>
        <v>0</v>
      </c>
      <c r="P85" s="171">
        <f>(INDEX(Models!$BJ85:$BT85,,T85)*(1-R85)+INDEX(Models!$BJ85:$BT85,,T85+1)*R85-ERP_i)*Q85*Ramure*Pc/MaxiM</f>
        <v>3.854034671545056E-5</v>
      </c>
      <c r="Q85" s="307">
        <f t="shared" si="28"/>
        <v>1</v>
      </c>
      <c r="R85" s="179">
        <f t="shared" si="29"/>
        <v>0.21574196664049383</v>
      </c>
      <c r="S85" s="837">
        <f t="shared" si="46"/>
        <v>-3</v>
      </c>
      <c r="T85" s="178">
        <f t="shared" si="30"/>
        <v>3</v>
      </c>
      <c r="U85" s="253">
        <f t="shared" si="31"/>
        <v>-2.7842580333595062</v>
      </c>
      <c r="V85" s="385">
        <f t="shared" si="32"/>
        <v>42.84472368586318</v>
      </c>
      <c r="W85" s="58"/>
      <c r="X85" s="157">
        <f t="shared" si="33"/>
        <v>43171</v>
      </c>
      <c r="Y85" s="387">
        <f t="shared" si="34"/>
        <v>0</v>
      </c>
      <c r="Z85" s="387">
        <f t="shared" si="35"/>
        <v>0</v>
      </c>
      <c r="AA85" s="388">
        <f t="shared" si="36"/>
        <v>0</v>
      </c>
      <c r="AB85" s="199">
        <f t="shared" si="37"/>
        <v>43171</v>
      </c>
      <c r="AC85" s="426">
        <f t="shared" si="38"/>
        <v>0</v>
      </c>
      <c r="AD85" s="171">
        <f>(INDEX(Models!$BJ85:$BT85,,AH85)*(1-AF85)+INDEX(Models!$BJ85:$BT85,,AH85+1)*AF85-ERP_i)*AE85*Ramure*Pc/MaxiM</f>
        <v>3.854034671545056E-5</v>
      </c>
      <c r="AE85" s="307">
        <f t="shared" si="39"/>
        <v>1</v>
      </c>
      <c r="AF85" s="179">
        <f t="shared" si="40"/>
        <v>0.21574196664049383</v>
      </c>
      <c r="AG85" s="837">
        <f t="shared" si="41"/>
        <v>-3</v>
      </c>
      <c r="AH85" s="178">
        <f t="shared" si="42"/>
        <v>3</v>
      </c>
      <c r="AI85" s="227">
        <f t="shared" si="43"/>
        <v>-2.7842580333595062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customHeight="1" x14ac:dyDescent="0.2">
      <c r="A86" s="56">
        <f t="shared" si="47"/>
        <v>43172</v>
      </c>
      <c r="B86" s="622"/>
      <c r="C86" s="879"/>
      <c r="D86" s="395"/>
      <c r="E86" s="387"/>
      <c r="F86" s="387"/>
      <c r="G86" s="110"/>
      <c r="I86" s="382">
        <f t="shared" si="24"/>
        <v>0</v>
      </c>
      <c r="J86" s="85">
        <v>2018</v>
      </c>
      <c r="K86" s="199">
        <f t="shared" si="25"/>
        <v>43172</v>
      </c>
      <c r="L86" s="437">
        <f t="shared" si="26"/>
        <v>0</v>
      </c>
      <c r="M86" s="881"/>
      <c r="N86" s="881"/>
      <c r="O86" s="326">
        <f t="shared" si="27"/>
        <v>0</v>
      </c>
      <c r="P86" s="171">
        <f>(INDEX(Models!$BJ86:$BT86,,T86)*(1-R86)+INDEX(Models!$BJ86:$BT86,,T86+1)*R86-ERP_i)*Q86*Ramure*Pc/MaxiM</f>
        <v>4.0163917978302796E-5</v>
      </c>
      <c r="Q86" s="307">
        <f t="shared" si="28"/>
        <v>1</v>
      </c>
      <c r="R86" s="179">
        <f t="shared" si="29"/>
        <v>0.21643478918607784</v>
      </c>
      <c r="S86" s="837">
        <f t="shared" si="46"/>
        <v>-3</v>
      </c>
      <c r="T86" s="178">
        <f t="shared" si="30"/>
        <v>3</v>
      </c>
      <c r="U86" s="253">
        <f t="shared" si="31"/>
        <v>-2.7835652108139222</v>
      </c>
      <c r="V86" s="385">
        <f t="shared" si="32"/>
        <v>43.315625219457587</v>
      </c>
      <c r="W86" s="58"/>
      <c r="X86" s="157">
        <f t="shared" si="33"/>
        <v>43172</v>
      </c>
      <c r="Y86" s="387">
        <f t="shared" si="34"/>
        <v>0</v>
      </c>
      <c r="Z86" s="387">
        <f t="shared" si="35"/>
        <v>0</v>
      </c>
      <c r="AA86" s="388">
        <f t="shared" si="36"/>
        <v>0</v>
      </c>
      <c r="AB86" s="199">
        <f t="shared" si="37"/>
        <v>43172</v>
      </c>
      <c r="AC86" s="426">
        <f t="shared" si="38"/>
        <v>0</v>
      </c>
      <c r="AD86" s="171">
        <f>(INDEX(Models!$BJ86:$BT86,,AH86)*(1-AF86)+INDEX(Models!$BJ86:$BT86,,AH86+1)*AF86-ERP_i)*AE86*Ramure*Pc/MaxiM</f>
        <v>4.0163917978302796E-5</v>
      </c>
      <c r="AE86" s="307">
        <f t="shared" si="39"/>
        <v>1</v>
      </c>
      <c r="AF86" s="179">
        <f t="shared" si="40"/>
        <v>0.21643478918607784</v>
      </c>
      <c r="AG86" s="837">
        <f t="shared" si="41"/>
        <v>-3</v>
      </c>
      <c r="AH86" s="178">
        <f t="shared" si="42"/>
        <v>3</v>
      </c>
      <c r="AI86" s="227">
        <f t="shared" si="43"/>
        <v>-2.7835652108139222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customHeight="1" x14ac:dyDescent="0.2">
      <c r="A87" s="56">
        <f t="shared" si="47"/>
        <v>43173</v>
      </c>
      <c r="B87" s="622"/>
      <c r="C87" s="879"/>
      <c r="D87" s="395"/>
      <c r="E87" s="387"/>
      <c r="F87" s="387"/>
      <c r="G87" s="110"/>
      <c r="I87" s="382">
        <f t="shared" si="24"/>
        <v>0</v>
      </c>
      <c r="J87" s="85">
        <v>2018</v>
      </c>
      <c r="K87" s="199">
        <f t="shared" si="25"/>
        <v>43173</v>
      </c>
      <c r="L87" s="437">
        <f t="shared" si="26"/>
        <v>0</v>
      </c>
      <c r="M87" s="881"/>
      <c r="N87" s="881"/>
      <c r="O87" s="326">
        <f t="shared" si="27"/>
        <v>0</v>
      </c>
      <c r="P87" s="171">
        <f>(INDEX(Models!$BJ87:$BT87,,T87)*(1-R87)+INDEX(Models!$BJ87:$BT87,,T87+1)*R87-ERP_i)*Q87*Ramure*Pc/MaxiM</f>
        <v>4.1797717896971633E-5</v>
      </c>
      <c r="Q87" s="307">
        <f t="shared" si="28"/>
        <v>1</v>
      </c>
      <c r="R87" s="179">
        <f t="shared" si="29"/>
        <v>0.21715518611233042</v>
      </c>
      <c r="S87" s="837">
        <f t="shared" si="46"/>
        <v>-3</v>
      </c>
      <c r="T87" s="178">
        <f t="shared" si="30"/>
        <v>3</v>
      </c>
      <c r="U87" s="253">
        <f t="shared" si="31"/>
        <v>-2.7828448138876696</v>
      </c>
      <c r="V87" s="385">
        <f t="shared" si="32"/>
        <v>43.786374053552684</v>
      </c>
      <c r="W87" s="58"/>
      <c r="X87" s="157">
        <f t="shared" si="33"/>
        <v>43173</v>
      </c>
      <c r="Y87" s="387">
        <f t="shared" si="34"/>
        <v>0</v>
      </c>
      <c r="Z87" s="387">
        <f t="shared" si="35"/>
        <v>0</v>
      </c>
      <c r="AA87" s="388">
        <f t="shared" si="36"/>
        <v>0</v>
      </c>
      <c r="AB87" s="199">
        <f t="shared" si="37"/>
        <v>43173</v>
      </c>
      <c r="AC87" s="426">
        <f t="shared" si="38"/>
        <v>0</v>
      </c>
      <c r="AD87" s="171">
        <f>(INDEX(Models!$BJ87:$BT87,,AH87)*(1-AF87)+INDEX(Models!$BJ87:$BT87,,AH87+1)*AF87-ERP_i)*AE87*Ramure*Pc/MaxiM</f>
        <v>4.1797717896971633E-5</v>
      </c>
      <c r="AE87" s="307">
        <f t="shared" si="39"/>
        <v>1</v>
      </c>
      <c r="AF87" s="179">
        <f t="shared" si="40"/>
        <v>0.21715518611233042</v>
      </c>
      <c r="AG87" s="837">
        <f t="shared" si="41"/>
        <v>-3</v>
      </c>
      <c r="AH87" s="178">
        <f t="shared" si="42"/>
        <v>3</v>
      </c>
      <c r="AI87" s="227">
        <f t="shared" si="43"/>
        <v>-2.7828448138876696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7"/>
        <v>43174</v>
      </c>
      <c r="B88" s="622"/>
      <c r="C88" s="879"/>
      <c r="D88" s="395"/>
      <c r="E88" s="387"/>
      <c r="F88" s="387"/>
      <c r="G88" s="110"/>
      <c r="I88" s="382">
        <f t="shared" si="24"/>
        <v>0</v>
      </c>
      <c r="J88" s="85">
        <v>2018</v>
      </c>
      <c r="K88" s="199">
        <f t="shared" si="25"/>
        <v>43174</v>
      </c>
      <c r="L88" s="437">
        <f t="shared" si="26"/>
        <v>0</v>
      </c>
      <c r="M88" s="881"/>
      <c r="N88" s="881"/>
      <c r="O88" s="326">
        <f t="shared" si="27"/>
        <v>0</v>
      </c>
      <c r="P88" s="171">
        <f>(INDEX(Models!$BJ88:$BT88,,T88)*(1-R88)+INDEX(Models!$BJ88:$BT88,,T88+1)*R88-ERP_i)*Q88*Ramure*Pc/MaxiM</f>
        <v>4.3439635437538812E-5</v>
      </c>
      <c r="Q88" s="307">
        <f t="shared" si="28"/>
        <v>1</v>
      </c>
      <c r="R88" s="179">
        <f t="shared" si="29"/>
        <v>0.2179041916166149</v>
      </c>
      <c r="S88" s="837">
        <f t="shared" si="46"/>
        <v>-3</v>
      </c>
      <c r="T88" s="178">
        <f t="shared" si="30"/>
        <v>3</v>
      </c>
      <c r="U88" s="253">
        <f t="shared" si="31"/>
        <v>-2.7820958083833851</v>
      </c>
      <c r="V88" s="385">
        <f t="shared" si="32"/>
        <v>44.25629201676734</v>
      </c>
      <c r="W88" s="58"/>
      <c r="X88" s="157">
        <f t="shared" si="33"/>
        <v>43174</v>
      </c>
      <c r="Y88" s="387">
        <f t="shared" si="34"/>
        <v>0</v>
      </c>
      <c r="Z88" s="387">
        <f t="shared" si="35"/>
        <v>0</v>
      </c>
      <c r="AA88" s="388">
        <f t="shared" si="36"/>
        <v>0</v>
      </c>
      <c r="AB88" s="199">
        <f t="shared" si="37"/>
        <v>43174</v>
      </c>
      <c r="AC88" s="426">
        <f t="shared" si="38"/>
        <v>0</v>
      </c>
      <c r="AD88" s="171">
        <f>(INDEX(Models!$BJ88:$BT88,,AH88)*(1-AF88)+INDEX(Models!$BJ88:$BT88,,AH88+1)*AF88-ERP_i)*AE88*Ramure*Pc/MaxiM</f>
        <v>4.3439635437538812E-5</v>
      </c>
      <c r="AE88" s="307">
        <f t="shared" si="39"/>
        <v>1</v>
      </c>
      <c r="AF88" s="179">
        <f t="shared" si="40"/>
        <v>0.2179041916166149</v>
      </c>
      <c r="AG88" s="837">
        <f t="shared" si="41"/>
        <v>-3</v>
      </c>
      <c r="AH88" s="178">
        <f t="shared" si="42"/>
        <v>3</v>
      </c>
      <c r="AI88" s="227">
        <f t="shared" si="43"/>
        <v>-2.7820958083833851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customHeight="1" x14ac:dyDescent="0.2">
      <c r="A89" s="56">
        <f t="shared" si="47"/>
        <v>43175</v>
      </c>
      <c r="B89" s="622"/>
      <c r="C89" s="879"/>
      <c r="D89" s="395"/>
      <c r="E89" s="387"/>
      <c r="F89" s="387"/>
      <c r="G89" s="110"/>
      <c r="I89" s="382">
        <f t="shared" si="24"/>
        <v>0</v>
      </c>
      <c r="J89" s="85">
        <v>2018</v>
      </c>
      <c r="K89" s="199">
        <f t="shared" si="25"/>
        <v>43175</v>
      </c>
      <c r="L89" s="437">
        <f t="shared" si="26"/>
        <v>0</v>
      </c>
      <c r="M89" s="881"/>
      <c r="N89" s="881"/>
      <c r="O89" s="326">
        <f t="shared" si="27"/>
        <v>0</v>
      </c>
      <c r="P89" s="171">
        <f>(INDEX(Models!$BJ89:$BT89,,T89)*(1-R89)+INDEX(Models!$BJ89:$BT89,,T89+1)*R89-ERP_i)*Q89*Ramure*Pc/MaxiM</f>
        <v>4.5087385295418702E-5</v>
      </c>
      <c r="Q89" s="307">
        <f t="shared" si="28"/>
        <v>1</v>
      </c>
      <c r="R89" s="179">
        <f t="shared" si="29"/>
        <v>0.21868287342649539</v>
      </c>
      <c r="S89" s="837">
        <f t="shared" si="46"/>
        <v>-3</v>
      </c>
      <c r="T89" s="178">
        <f t="shared" si="30"/>
        <v>3</v>
      </c>
      <c r="U89" s="253">
        <f t="shared" si="31"/>
        <v>-2.7813171265735046</v>
      </c>
      <c r="V89" s="385">
        <f t="shared" si="32"/>
        <v>44.724700954886536</v>
      </c>
      <c r="W89" s="58"/>
      <c r="X89" s="157">
        <f t="shared" si="33"/>
        <v>43175</v>
      </c>
      <c r="Y89" s="387">
        <f t="shared" si="34"/>
        <v>0</v>
      </c>
      <c r="Z89" s="387">
        <f t="shared" si="35"/>
        <v>0</v>
      </c>
      <c r="AA89" s="388">
        <f t="shared" si="36"/>
        <v>0</v>
      </c>
      <c r="AB89" s="199">
        <f t="shared" si="37"/>
        <v>43175</v>
      </c>
      <c r="AC89" s="426">
        <f t="shared" si="38"/>
        <v>0</v>
      </c>
      <c r="AD89" s="171">
        <f>(INDEX(Models!$BJ89:$BT89,,AH89)*(1-AF89)+INDEX(Models!$BJ89:$BT89,,AH89+1)*AF89-ERP_i)*AE89*Ramure*Pc/MaxiM</f>
        <v>4.5087385295418702E-5</v>
      </c>
      <c r="AE89" s="307">
        <f t="shared" si="39"/>
        <v>1</v>
      </c>
      <c r="AF89" s="179">
        <f t="shared" si="40"/>
        <v>0.21868287342649539</v>
      </c>
      <c r="AG89" s="837">
        <f t="shared" si="41"/>
        <v>-3</v>
      </c>
      <c r="AH89" s="178">
        <f t="shared" si="42"/>
        <v>3</v>
      </c>
      <c r="AI89" s="227">
        <f t="shared" si="43"/>
        <v>-2.7813171265735046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customHeight="1" x14ac:dyDescent="0.2">
      <c r="A90" s="56">
        <f t="shared" si="47"/>
        <v>43176</v>
      </c>
      <c r="B90" s="622"/>
      <c r="C90" s="879"/>
      <c r="D90" s="395"/>
      <c r="E90" s="387"/>
      <c r="F90" s="387"/>
      <c r="G90" s="110"/>
      <c r="I90" s="382">
        <f t="shared" si="24"/>
        <v>0</v>
      </c>
      <c r="J90" s="85">
        <v>2018</v>
      </c>
      <c r="K90" s="199">
        <f t="shared" si="25"/>
        <v>43176</v>
      </c>
      <c r="L90" s="437">
        <f t="shared" si="26"/>
        <v>0</v>
      </c>
      <c r="M90" s="881"/>
      <c r="N90" s="881"/>
      <c r="O90" s="326">
        <f t="shared" si="27"/>
        <v>0</v>
      </c>
      <c r="P90" s="171">
        <f>(INDEX(Models!$BJ90:$BT90,,T90)*(1-R90)+INDEX(Models!$BJ90:$BT90,,T90+1)*R90-ERP_i)*Q90*Ramure*Pc/MaxiM</f>
        <v>4.6738490028702137E-5</v>
      </c>
      <c r="Q90" s="307">
        <f t="shared" si="28"/>
        <v>1</v>
      </c>
      <c r="R90" s="179">
        <f t="shared" si="29"/>
        <v>0.21949233344256536</v>
      </c>
      <c r="S90" s="837">
        <f t="shared" si="46"/>
        <v>-3</v>
      </c>
      <c r="T90" s="178">
        <f t="shared" si="30"/>
        <v>3</v>
      </c>
      <c r="U90" s="253">
        <f t="shared" si="31"/>
        <v>-2.7805076665574346</v>
      </c>
      <c r="V90" s="385">
        <f t="shared" si="32"/>
        <v>45.190922731020741</v>
      </c>
      <c r="W90" s="58"/>
      <c r="X90" s="157">
        <f t="shared" si="33"/>
        <v>43176</v>
      </c>
      <c r="Y90" s="387">
        <f t="shared" si="34"/>
        <v>0</v>
      </c>
      <c r="Z90" s="387">
        <f t="shared" si="35"/>
        <v>0</v>
      </c>
      <c r="AA90" s="388">
        <f t="shared" si="36"/>
        <v>0</v>
      </c>
      <c r="AB90" s="199">
        <f t="shared" si="37"/>
        <v>43176</v>
      </c>
      <c r="AC90" s="426">
        <f t="shared" si="38"/>
        <v>0</v>
      </c>
      <c r="AD90" s="171">
        <f>(INDEX(Models!$BJ90:$BT90,,AH90)*(1-AF90)+INDEX(Models!$BJ90:$BT90,,AH90+1)*AF90-ERP_i)*AE90*Ramure*Pc/MaxiM</f>
        <v>4.6738490028702137E-5</v>
      </c>
      <c r="AE90" s="307">
        <f t="shared" si="39"/>
        <v>1</v>
      </c>
      <c r="AF90" s="179">
        <f t="shared" si="40"/>
        <v>0.21949233344256536</v>
      </c>
      <c r="AG90" s="837">
        <f t="shared" si="41"/>
        <v>-3</v>
      </c>
      <c r="AH90" s="178">
        <f t="shared" si="42"/>
        <v>3</v>
      </c>
      <c r="AI90" s="227">
        <f t="shared" si="43"/>
        <v>-2.7805076665574346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customHeight="1" x14ac:dyDescent="0.2">
      <c r="A91" s="56">
        <f t="shared" si="47"/>
        <v>43177</v>
      </c>
      <c r="B91" s="622"/>
      <c r="C91" s="879"/>
      <c r="D91" s="395"/>
      <c r="E91" s="387"/>
      <c r="F91" s="387"/>
      <c r="G91" s="110"/>
      <c r="I91" s="382">
        <f t="shared" si="24"/>
        <v>0</v>
      </c>
      <c r="J91" s="85">
        <v>2018</v>
      </c>
      <c r="K91" s="199">
        <f t="shared" si="25"/>
        <v>43177</v>
      </c>
      <c r="L91" s="437">
        <f t="shared" si="26"/>
        <v>0</v>
      </c>
      <c r="M91" s="881"/>
      <c r="N91" s="881"/>
      <c r="O91" s="326">
        <f t="shared" si="27"/>
        <v>0</v>
      </c>
      <c r="P91" s="171">
        <f>(INDEX(Models!$BJ91:$BT91,,T91)*(1-R91)+INDEX(Models!$BJ91:$BT91,,T91+1)*R91-ERP_i)*Q91*Ramure*Pc/MaxiM</f>
        <v>4.8390261023150132E-5</v>
      </c>
      <c r="Q91" s="307">
        <f t="shared" si="28"/>
        <v>1</v>
      </c>
      <c r="R91" s="179">
        <f t="shared" si="29"/>
        <v>0.2203337083526411</v>
      </c>
      <c r="S91" s="837">
        <f t="shared" si="46"/>
        <v>-3</v>
      </c>
      <c r="T91" s="178">
        <f t="shared" si="30"/>
        <v>3</v>
      </c>
      <c r="U91" s="253">
        <f t="shared" si="31"/>
        <v>-2.7796662916473589</v>
      </c>
      <c r="V91" s="385">
        <f t="shared" si="32"/>
        <v>45.654279227149239</v>
      </c>
      <c r="W91" s="58"/>
      <c r="X91" s="157">
        <f t="shared" si="33"/>
        <v>43177</v>
      </c>
      <c r="Y91" s="387">
        <f t="shared" si="34"/>
        <v>0</v>
      </c>
      <c r="Z91" s="387">
        <f t="shared" si="35"/>
        <v>0</v>
      </c>
      <c r="AA91" s="388">
        <f t="shared" si="36"/>
        <v>0</v>
      </c>
      <c r="AB91" s="199">
        <f t="shared" si="37"/>
        <v>43177</v>
      </c>
      <c r="AC91" s="426">
        <f t="shared" si="38"/>
        <v>0</v>
      </c>
      <c r="AD91" s="171">
        <f>(INDEX(Models!$BJ91:$BT91,,AH91)*(1-AF91)+INDEX(Models!$BJ91:$BT91,,AH91+1)*AF91-ERP_i)*AE91*Ramure*Pc/MaxiM</f>
        <v>4.8390261023150132E-5</v>
      </c>
      <c r="AE91" s="307">
        <f t="shared" si="39"/>
        <v>1</v>
      </c>
      <c r="AF91" s="179">
        <f t="shared" si="40"/>
        <v>0.2203337083526411</v>
      </c>
      <c r="AG91" s="837">
        <f t="shared" si="41"/>
        <v>-3</v>
      </c>
      <c r="AH91" s="178">
        <f t="shared" si="42"/>
        <v>3</v>
      </c>
      <c r="AI91" s="227">
        <f t="shared" si="43"/>
        <v>-2.7796662916473589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customHeight="1" x14ac:dyDescent="0.2">
      <c r="A92" s="56">
        <f t="shared" si="47"/>
        <v>43178</v>
      </c>
      <c r="B92" s="622"/>
      <c r="C92" s="879"/>
      <c r="D92" s="395"/>
      <c r="E92" s="387"/>
      <c r="F92" s="387"/>
      <c r="G92" s="110"/>
      <c r="I92" s="382">
        <f t="shared" si="24"/>
        <v>0</v>
      </c>
      <c r="J92" s="85">
        <v>2018</v>
      </c>
      <c r="K92" s="199">
        <f t="shared" si="25"/>
        <v>43178</v>
      </c>
      <c r="L92" s="437">
        <f t="shared" si="26"/>
        <v>0</v>
      </c>
      <c r="M92" s="881"/>
      <c r="N92" s="881"/>
      <c r="O92" s="326">
        <f t="shared" si="27"/>
        <v>0</v>
      </c>
      <c r="P92" s="171">
        <f>(INDEX(Models!$BJ92:$BT92,,T92)*(1-R92)+INDEX(Models!$BJ92:$BT92,,T92+1)*R92-ERP_i)*Q92*Ramure*Pc/MaxiM</f>
        <v>5.0039778210129983E-5</v>
      </c>
      <c r="Q92" s="307">
        <f t="shared" si="28"/>
        <v>1</v>
      </c>
      <c r="R92" s="179">
        <f t="shared" si="29"/>
        <v>0.22120817021253014</v>
      </c>
      <c r="S92" s="837">
        <f t="shared" si="46"/>
        <v>-3</v>
      </c>
      <c r="T92" s="178">
        <f t="shared" si="30"/>
        <v>3</v>
      </c>
      <c r="U92" s="253">
        <f t="shared" si="31"/>
        <v>-2.7787918297874699</v>
      </c>
      <c r="V92" s="385">
        <f t="shared" si="32"/>
        <v>46.114092345652615</v>
      </c>
      <c r="W92" s="58"/>
      <c r="X92" s="157">
        <f t="shared" si="33"/>
        <v>43178</v>
      </c>
      <c r="Y92" s="387">
        <f t="shared" si="34"/>
        <v>0</v>
      </c>
      <c r="Z92" s="387">
        <f t="shared" si="35"/>
        <v>0</v>
      </c>
      <c r="AA92" s="388">
        <f t="shared" si="36"/>
        <v>0</v>
      </c>
      <c r="AB92" s="199">
        <f t="shared" si="37"/>
        <v>43178</v>
      </c>
      <c r="AC92" s="426">
        <f t="shared" si="38"/>
        <v>0</v>
      </c>
      <c r="AD92" s="171">
        <f>(INDEX(Models!$BJ92:$BT92,,AH92)*(1-AF92)+INDEX(Models!$BJ92:$BT92,,AH92+1)*AF92-ERP_i)*AE92*Ramure*Pc/MaxiM</f>
        <v>5.0039778210129983E-5</v>
      </c>
      <c r="AE92" s="307">
        <f t="shared" si="39"/>
        <v>1</v>
      </c>
      <c r="AF92" s="179">
        <f t="shared" si="40"/>
        <v>0.22120817021253014</v>
      </c>
      <c r="AG92" s="837">
        <f t="shared" si="41"/>
        <v>-3</v>
      </c>
      <c r="AH92" s="178">
        <f t="shared" si="42"/>
        <v>3</v>
      </c>
      <c r="AI92" s="227">
        <f t="shared" si="43"/>
        <v>-2.7787918297874699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7"/>
        <v>43179</v>
      </c>
      <c r="B93" s="622"/>
      <c r="C93" s="879"/>
      <c r="D93" s="395"/>
      <c r="E93" s="387"/>
      <c r="F93" s="387"/>
      <c r="G93" s="110"/>
      <c r="I93" s="382">
        <f t="shared" si="24"/>
        <v>0</v>
      </c>
      <c r="J93" s="85">
        <v>2018</v>
      </c>
      <c r="K93" s="199">
        <f t="shared" si="25"/>
        <v>43179</v>
      </c>
      <c r="L93" s="437">
        <f t="shared" si="26"/>
        <v>0</v>
      </c>
      <c r="M93" s="881"/>
      <c r="N93" s="881"/>
      <c r="O93" s="326">
        <f t="shared" si="27"/>
        <v>0</v>
      </c>
      <c r="P93" s="171">
        <f>(INDEX(Models!$BJ93:$BT93,,T93)*(1-R93)+INDEX(Models!$BJ93:$BT93,,T93+1)*R93-ERP_i)*Q93*Ramure*Pc/MaxiM</f>
        <v>5.1679814114877479E-5</v>
      </c>
      <c r="Q93" s="307">
        <f t="shared" si="28"/>
        <v>1</v>
      </c>
      <c r="R93" s="179">
        <f t="shared" si="29"/>
        <v>0.22211692698820018</v>
      </c>
      <c r="S93" s="837">
        <f t="shared" si="46"/>
        <v>-3</v>
      </c>
      <c r="T93" s="178">
        <f t="shared" si="30"/>
        <v>3</v>
      </c>
      <c r="U93" s="253">
        <f t="shared" si="31"/>
        <v>-2.7778830730117998</v>
      </c>
      <c r="V93" s="385">
        <f t="shared" si="32"/>
        <v>46.57333918411949</v>
      </c>
      <c r="W93" s="58"/>
      <c r="X93" s="157">
        <f t="shared" si="33"/>
        <v>43179</v>
      </c>
      <c r="Y93" s="387">
        <f t="shared" si="34"/>
        <v>0</v>
      </c>
      <c r="Z93" s="387">
        <f t="shared" si="35"/>
        <v>0</v>
      </c>
      <c r="AA93" s="388">
        <f t="shared" si="36"/>
        <v>0</v>
      </c>
      <c r="AB93" s="199">
        <f t="shared" si="37"/>
        <v>43179</v>
      </c>
      <c r="AC93" s="426">
        <f t="shared" si="38"/>
        <v>0</v>
      </c>
      <c r="AD93" s="171">
        <f>(INDEX(Models!$BJ93:$BT93,,AH93)*(1-AF93)+INDEX(Models!$BJ93:$BT93,,AH93+1)*AF93-ERP_i)*AE93*Ramure*Pc/MaxiM</f>
        <v>5.1679814114877479E-5</v>
      </c>
      <c r="AE93" s="307">
        <f t="shared" si="39"/>
        <v>1</v>
      </c>
      <c r="AF93" s="179">
        <f t="shared" si="40"/>
        <v>0.22211692698820018</v>
      </c>
      <c r="AG93" s="837">
        <f t="shared" si="41"/>
        <v>-3</v>
      </c>
      <c r="AH93" s="178">
        <f t="shared" si="42"/>
        <v>3</v>
      </c>
      <c r="AI93" s="227">
        <f t="shared" si="43"/>
        <v>-2.7778830730117998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customHeight="1" x14ac:dyDescent="0.2">
      <c r="A94" s="56">
        <f t="shared" si="47"/>
        <v>43180</v>
      </c>
      <c r="B94" s="622"/>
      <c r="C94" s="879"/>
      <c r="D94" s="395"/>
      <c r="E94" s="387"/>
      <c r="F94" s="387"/>
      <c r="G94" s="110"/>
      <c r="I94" s="382">
        <f t="shared" si="24"/>
        <v>0</v>
      </c>
      <c r="J94" s="85">
        <v>2018</v>
      </c>
      <c r="K94" s="199">
        <f t="shared" si="25"/>
        <v>43180</v>
      </c>
      <c r="L94" s="437">
        <f t="shared" si="26"/>
        <v>0</v>
      </c>
      <c r="M94" s="881"/>
      <c r="N94" s="881"/>
      <c r="O94" s="326">
        <f t="shared" si="27"/>
        <v>0</v>
      </c>
      <c r="P94" s="171">
        <f>(INDEX(Models!$BJ94:$BT94,,T94)*(1-R94)+INDEX(Models!$BJ94:$BT94,,T94+1)*R94-ERP_i)*Q94*Ramure*Pc/MaxiM</f>
        <v>5.3275880813791195E-5</v>
      </c>
      <c r="Q94" s="307">
        <f t="shared" si="28"/>
        <v>1</v>
      </c>
      <c r="R94" s="179">
        <f t="shared" si="29"/>
        <v>0.22306122305378073</v>
      </c>
      <c r="S94" s="837">
        <f t="shared" si="46"/>
        <v>-3</v>
      </c>
      <c r="T94" s="178">
        <f t="shared" si="30"/>
        <v>3</v>
      </c>
      <c r="U94" s="253">
        <f t="shared" si="31"/>
        <v>-2.7769387769462193</v>
      </c>
      <c r="V94" s="385">
        <f t="shared" si="32"/>
        <v>47.034847396292363</v>
      </c>
      <c r="W94" s="58"/>
      <c r="X94" s="157">
        <f t="shared" si="33"/>
        <v>43180</v>
      </c>
      <c r="Y94" s="387">
        <f t="shared" si="34"/>
        <v>0</v>
      </c>
      <c r="Z94" s="387">
        <f t="shared" si="35"/>
        <v>0</v>
      </c>
      <c r="AA94" s="388">
        <f t="shared" si="36"/>
        <v>0</v>
      </c>
      <c r="AB94" s="199">
        <f t="shared" si="37"/>
        <v>43180</v>
      </c>
      <c r="AC94" s="426">
        <f t="shared" si="38"/>
        <v>0</v>
      </c>
      <c r="AD94" s="171">
        <f>(INDEX(Models!$BJ94:$BT94,,AH94)*(1-AF94)+INDEX(Models!$BJ94:$BT94,,AH94+1)*AF94-ERP_i)*AE94*Ramure*Pc/MaxiM</f>
        <v>5.3275880813791195E-5</v>
      </c>
      <c r="AE94" s="307">
        <f t="shared" si="39"/>
        <v>1</v>
      </c>
      <c r="AF94" s="179">
        <f t="shared" si="40"/>
        <v>0.22306122305378073</v>
      </c>
      <c r="AG94" s="837">
        <f t="shared" si="41"/>
        <v>-3</v>
      </c>
      <c r="AH94" s="178">
        <f t="shared" si="42"/>
        <v>3</v>
      </c>
      <c r="AI94" s="227">
        <f t="shared" si="43"/>
        <v>-2.7769387769462193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customHeight="1" x14ac:dyDescent="0.2">
      <c r="A95" s="56">
        <f t="shared" si="47"/>
        <v>43181</v>
      </c>
      <c r="B95" s="622"/>
      <c r="C95" s="879"/>
      <c r="D95" s="395"/>
      <c r="E95" s="387"/>
      <c r="F95" s="387"/>
      <c r="G95" s="110"/>
      <c r="I95" s="382">
        <f t="shared" si="24"/>
        <v>0</v>
      </c>
      <c r="J95" s="85">
        <v>2018</v>
      </c>
      <c r="K95" s="199">
        <f t="shared" si="25"/>
        <v>43181</v>
      </c>
      <c r="L95" s="437">
        <f t="shared" si="26"/>
        <v>0</v>
      </c>
      <c r="M95" s="881"/>
      <c r="N95" s="881"/>
      <c r="O95" s="326">
        <f t="shared" si="27"/>
        <v>0</v>
      </c>
      <c r="P95" s="171">
        <f>(INDEX(Models!$BJ95:$BT95,,T95)*(1-R95)+INDEX(Models!$BJ95:$BT95,,T95+1)*R95-ERP_i)*Q95*Ramure*Pc/MaxiM</f>
        <v>5.4848422450276794E-5</v>
      </c>
      <c r="Q95" s="307">
        <f t="shared" si="28"/>
        <v>1</v>
      </c>
      <c r="R95" s="179">
        <f t="shared" si="29"/>
        <v>0.22404233963942533</v>
      </c>
      <c r="S95" s="837">
        <f t="shared" si="46"/>
        <v>-3</v>
      </c>
      <c r="T95" s="178">
        <f t="shared" si="30"/>
        <v>3</v>
      </c>
      <c r="U95" s="253">
        <f t="shared" si="31"/>
        <v>-2.7759576603605747</v>
      </c>
      <c r="V95" s="385">
        <f t="shared" si="32"/>
        <v>47.497711738022844</v>
      </c>
      <c r="W95" s="58"/>
      <c r="X95" s="157">
        <f t="shared" si="33"/>
        <v>43181</v>
      </c>
      <c r="Y95" s="387">
        <f t="shared" si="34"/>
        <v>0</v>
      </c>
      <c r="Z95" s="387">
        <f t="shared" si="35"/>
        <v>0</v>
      </c>
      <c r="AA95" s="388">
        <f t="shared" si="36"/>
        <v>0</v>
      </c>
      <c r="AB95" s="199">
        <f t="shared" si="37"/>
        <v>43181</v>
      </c>
      <c r="AC95" s="426">
        <f t="shared" si="38"/>
        <v>0</v>
      </c>
      <c r="AD95" s="171">
        <f>(INDEX(Models!$BJ95:$BT95,,AH95)*(1-AF95)+INDEX(Models!$BJ95:$BT95,,AH95+1)*AF95-ERP_i)*AE95*Ramure*Pc/MaxiM</f>
        <v>5.4848422450276794E-5</v>
      </c>
      <c r="AE95" s="307">
        <f t="shared" si="39"/>
        <v>1</v>
      </c>
      <c r="AF95" s="179">
        <f t="shared" si="40"/>
        <v>0.22404233963942533</v>
      </c>
      <c r="AG95" s="837">
        <f t="shared" si="41"/>
        <v>-3</v>
      </c>
      <c r="AH95" s="178">
        <f t="shared" si="42"/>
        <v>3</v>
      </c>
      <c r="AI95" s="227">
        <f t="shared" si="43"/>
        <v>-2.7759576603605747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7"/>
        <v>43182</v>
      </c>
      <c r="B96" s="622"/>
      <c r="C96" s="879"/>
      <c r="D96" s="395"/>
      <c r="E96" s="387"/>
      <c r="F96" s="387"/>
      <c r="G96" s="110"/>
      <c r="I96" s="382">
        <f t="shared" si="24"/>
        <v>0</v>
      </c>
      <c r="J96" s="85">
        <v>2018</v>
      </c>
      <c r="K96" s="199">
        <f t="shared" si="25"/>
        <v>43182</v>
      </c>
      <c r="L96" s="437">
        <f t="shared" si="26"/>
        <v>0</v>
      </c>
      <c r="M96" s="881"/>
      <c r="N96" s="881"/>
      <c r="O96" s="326">
        <f t="shared" si="27"/>
        <v>0</v>
      </c>
      <c r="P96" s="171">
        <f>(INDEX(Models!$BJ96:$BT96,,T96)*(1-R96)+INDEX(Models!$BJ96:$BT96,,T96+1)*R96-ERP_i)*Q96*Ramure*Pc/MaxiM</f>
        <v>5.6393046878929734E-5</v>
      </c>
      <c r="Q96" s="307">
        <f t="shared" si="28"/>
        <v>1</v>
      </c>
      <c r="R96" s="179">
        <f t="shared" si="29"/>
        <v>0.22506159522263758</v>
      </c>
      <c r="S96" s="837">
        <f t="shared" si="46"/>
        <v>-3</v>
      </c>
      <c r="T96" s="178">
        <f t="shared" si="30"/>
        <v>3</v>
      </c>
      <c r="U96" s="253">
        <f t="shared" si="31"/>
        <v>-2.7749384047773624</v>
      </c>
      <c r="V96" s="385">
        <f t="shared" si="32"/>
        <v>47.96102812328207</v>
      </c>
      <c r="W96" s="58"/>
      <c r="X96" s="157">
        <f t="shared" si="33"/>
        <v>43182</v>
      </c>
      <c r="Y96" s="387">
        <f t="shared" si="34"/>
        <v>0</v>
      </c>
      <c r="Z96" s="387">
        <f t="shared" si="35"/>
        <v>0</v>
      </c>
      <c r="AA96" s="388">
        <f t="shared" si="36"/>
        <v>0</v>
      </c>
      <c r="AB96" s="199">
        <f t="shared" si="37"/>
        <v>43182</v>
      </c>
      <c r="AC96" s="426">
        <f t="shared" si="38"/>
        <v>0</v>
      </c>
      <c r="AD96" s="171">
        <f>(INDEX(Models!$BJ96:$BT96,,AH96)*(1-AF96)+INDEX(Models!$BJ96:$BT96,,AH96+1)*AF96-ERP_i)*AE96*Ramure*Pc/MaxiM</f>
        <v>5.6393046878929734E-5</v>
      </c>
      <c r="AE96" s="307">
        <f t="shared" si="39"/>
        <v>1</v>
      </c>
      <c r="AF96" s="179">
        <f t="shared" si="40"/>
        <v>0.22506159522263758</v>
      </c>
      <c r="AG96" s="837">
        <f t="shared" si="41"/>
        <v>-3</v>
      </c>
      <c r="AH96" s="178">
        <f t="shared" si="42"/>
        <v>3</v>
      </c>
      <c r="AI96" s="227">
        <f t="shared" si="43"/>
        <v>-2.7749384047773624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customHeight="1" x14ac:dyDescent="0.2">
      <c r="A97" s="56">
        <f t="shared" si="47"/>
        <v>43183</v>
      </c>
      <c r="B97" s="622"/>
      <c r="C97" s="879"/>
      <c r="D97" s="395"/>
      <c r="E97" s="387"/>
      <c r="F97" s="387"/>
      <c r="G97" s="110"/>
      <c r="I97" s="382">
        <f t="shared" si="24"/>
        <v>0</v>
      </c>
      <c r="J97" s="85">
        <v>2018</v>
      </c>
      <c r="K97" s="199">
        <f t="shared" si="25"/>
        <v>43183</v>
      </c>
      <c r="L97" s="437">
        <f t="shared" si="26"/>
        <v>0</v>
      </c>
      <c r="M97" s="881"/>
      <c r="N97" s="881"/>
      <c r="O97" s="326">
        <f t="shared" si="27"/>
        <v>0</v>
      </c>
      <c r="P97" s="171">
        <f>(INDEX(Models!$BJ97:$BT97,,T97)*(1-R97)+INDEX(Models!$BJ97:$BT97,,T97+1)*R97-ERP_i)*Q97*Ramure*Pc/MaxiM</f>
        <v>5.7905051545699053E-5</v>
      </c>
      <c r="Q97" s="307">
        <f t="shared" si="28"/>
        <v>1</v>
      </c>
      <c r="R97" s="179">
        <f t="shared" si="29"/>
        <v>0.22612034585622132</v>
      </c>
      <c r="S97" s="837">
        <f t="shared" si="46"/>
        <v>-3</v>
      </c>
      <c r="T97" s="178">
        <f t="shared" si="30"/>
        <v>3</v>
      </c>
      <c r="U97" s="253">
        <f t="shared" si="31"/>
        <v>-2.7738796541437787</v>
      </c>
      <c r="V97" s="385">
        <f t="shared" si="32"/>
        <v>48.423892496699487</v>
      </c>
      <c r="W97" s="58"/>
      <c r="X97" s="157">
        <f t="shared" si="33"/>
        <v>43183</v>
      </c>
      <c r="Y97" s="387">
        <f t="shared" si="34"/>
        <v>0</v>
      </c>
      <c r="Z97" s="387">
        <f t="shared" si="35"/>
        <v>0</v>
      </c>
      <c r="AA97" s="388">
        <f t="shared" si="36"/>
        <v>0</v>
      </c>
      <c r="AB97" s="199">
        <f t="shared" si="37"/>
        <v>43183</v>
      </c>
      <c r="AC97" s="426">
        <f t="shared" si="38"/>
        <v>0</v>
      </c>
      <c r="AD97" s="171">
        <f>(INDEX(Models!$BJ97:$BT97,,AH97)*(1-AF97)+INDEX(Models!$BJ97:$BT97,,AH97+1)*AF97-ERP_i)*AE97*Ramure*Pc/MaxiM</f>
        <v>5.7905051545699053E-5</v>
      </c>
      <c r="AE97" s="307">
        <f t="shared" si="39"/>
        <v>1</v>
      </c>
      <c r="AF97" s="179">
        <f t="shared" si="40"/>
        <v>0.22612034585622132</v>
      </c>
      <c r="AG97" s="837">
        <f t="shared" si="41"/>
        <v>-3</v>
      </c>
      <c r="AH97" s="178">
        <f t="shared" si="42"/>
        <v>3</v>
      </c>
      <c r="AI97" s="227">
        <f t="shared" si="43"/>
        <v>-2.7738796541437787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7"/>
        <v>43184</v>
      </c>
      <c r="B98" s="622"/>
      <c r="C98" s="879"/>
      <c r="D98" s="395"/>
      <c r="E98" s="387"/>
      <c r="F98" s="387"/>
      <c r="G98" s="110"/>
      <c r="I98" s="382">
        <f t="shared" si="24"/>
        <v>0</v>
      </c>
      <c r="J98" s="85">
        <v>2018</v>
      </c>
      <c r="K98" s="199">
        <f t="shared" si="25"/>
        <v>43184</v>
      </c>
      <c r="L98" s="437">
        <f t="shared" si="26"/>
        <v>0</v>
      </c>
      <c r="M98" s="881"/>
      <c r="N98" s="881"/>
      <c r="O98" s="326">
        <f t="shared" si="27"/>
        <v>0</v>
      </c>
      <c r="P98" s="171">
        <f>(INDEX(Models!$BJ98:$BT98,,T98)*(1-R98)+INDEX(Models!$BJ98:$BT98,,T98+1)*R98-ERP_i)*Q98*Ramure*Pc/MaxiM</f>
        <v>5.9379394102498257E-5</v>
      </c>
      <c r="Q98" s="307">
        <f t="shared" si="28"/>
        <v>1</v>
      </c>
      <c r="R98" s="179">
        <f t="shared" si="29"/>
        <v>0.22721998542556765</v>
      </c>
      <c r="S98" s="837">
        <f t="shared" si="46"/>
        <v>-3</v>
      </c>
      <c r="T98" s="178">
        <f t="shared" si="30"/>
        <v>3</v>
      </c>
      <c r="U98" s="253">
        <f t="shared" si="31"/>
        <v>-2.7727800145744324</v>
      </c>
      <c r="V98" s="385">
        <f t="shared" si="32"/>
        <v>48.885400832490141</v>
      </c>
      <c r="W98" s="58"/>
      <c r="X98" s="157">
        <f t="shared" si="33"/>
        <v>43184</v>
      </c>
      <c r="Y98" s="387">
        <f t="shared" si="34"/>
        <v>0</v>
      </c>
      <c r="Z98" s="387">
        <f t="shared" si="35"/>
        <v>0</v>
      </c>
      <c r="AA98" s="388">
        <f t="shared" si="36"/>
        <v>0</v>
      </c>
      <c r="AB98" s="199">
        <f t="shared" si="37"/>
        <v>43184</v>
      </c>
      <c r="AC98" s="426">
        <f t="shared" si="38"/>
        <v>0</v>
      </c>
      <c r="AD98" s="171">
        <f>(INDEX(Models!$BJ98:$BT98,,AH98)*(1-AF98)+INDEX(Models!$BJ98:$BT98,,AH98+1)*AF98-ERP_i)*AE98*Ramure*Pc/MaxiM</f>
        <v>5.9379394102498257E-5</v>
      </c>
      <c r="AE98" s="307">
        <f t="shared" si="39"/>
        <v>1</v>
      </c>
      <c r="AF98" s="179">
        <f t="shared" si="40"/>
        <v>0.22721998542556765</v>
      </c>
      <c r="AG98" s="837">
        <f t="shared" si="41"/>
        <v>-3</v>
      </c>
      <c r="AH98" s="178">
        <f t="shared" si="42"/>
        <v>3</v>
      </c>
      <c r="AI98" s="227">
        <f t="shared" si="43"/>
        <v>-2.7727800145744324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7"/>
        <v>43185</v>
      </c>
      <c r="B99" s="622"/>
      <c r="C99" s="879"/>
      <c r="D99" s="395"/>
      <c r="E99" s="387"/>
      <c r="F99" s="387"/>
      <c r="G99" s="110"/>
      <c r="I99" s="382">
        <f t="shared" si="24"/>
        <v>0</v>
      </c>
      <c r="J99" s="85">
        <v>2018</v>
      </c>
      <c r="K99" s="199">
        <f t="shared" si="25"/>
        <v>43185</v>
      </c>
      <c r="L99" s="437">
        <f t="shared" si="26"/>
        <v>0</v>
      </c>
      <c r="M99" s="881"/>
      <c r="N99" s="881"/>
      <c r="O99" s="326">
        <f t="shared" si="27"/>
        <v>0</v>
      </c>
      <c r="P99" s="171">
        <f>(INDEX(Models!$BJ99:$BT99,,T99)*(1-R99)+INDEX(Models!$BJ99:$BT99,,T99+1)*R99-ERP_i)*Q99*Ramure*Pc/MaxiM</f>
        <v>6.0810661152294678E-5</v>
      </c>
      <c r="Q99" s="307">
        <f t="shared" si="28"/>
        <v>1</v>
      </c>
      <c r="R99" s="179">
        <f t="shared" si="29"/>
        <v>0.22836194582753278</v>
      </c>
      <c r="S99" s="837">
        <f t="shared" si="46"/>
        <v>-3</v>
      </c>
      <c r="T99" s="178">
        <f t="shared" si="30"/>
        <v>3</v>
      </c>
      <c r="U99" s="253">
        <f t="shared" si="31"/>
        <v>-2.7716380541724672</v>
      </c>
      <c r="V99" s="385">
        <f t="shared" si="32"/>
        <v>49.344649136857647</v>
      </c>
      <c r="W99" s="58"/>
      <c r="X99" s="157">
        <f t="shared" si="33"/>
        <v>43185</v>
      </c>
      <c r="Y99" s="387">
        <f t="shared" si="34"/>
        <v>0</v>
      </c>
      <c r="Z99" s="387">
        <f t="shared" si="35"/>
        <v>0</v>
      </c>
      <c r="AA99" s="388">
        <f t="shared" si="36"/>
        <v>0</v>
      </c>
      <c r="AB99" s="199">
        <f t="shared" si="37"/>
        <v>43185</v>
      </c>
      <c r="AC99" s="426">
        <f t="shared" si="38"/>
        <v>0</v>
      </c>
      <c r="AD99" s="171">
        <f>(INDEX(Models!$BJ99:$BT99,,AH99)*(1-AF99)+INDEX(Models!$BJ99:$BT99,,AH99+1)*AF99-ERP_i)*AE99*Ramure*Pc/MaxiM</f>
        <v>6.0810661152294678E-5</v>
      </c>
      <c r="AE99" s="307">
        <f t="shared" si="39"/>
        <v>1</v>
      </c>
      <c r="AF99" s="179">
        <f t="shared" si="40"/>
        <v>0.22836194582753278</v>
      </c>
      <c r="AG99" s="837">
        <f t="shared" si="41"/>
        <v>-3</v>
      </c>
      <c r="AH99" s="178">
        <f t="shared" si="42"/>
        <v>3</v>
      </c>
      <c r="AI99" s="227">
        <f t="shared" si="43"/>
        <v>-2.7716380541724672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7"/>
        <v>43186</v>
      </c>
      <c r="B100" s="622"/>
      <c r="C100" s="879"/>
      <c r="D100" s="395"/>
      <c r="E100" s="387"/>
      <c r="F100" s="387"/>
      <c r="G100" s="110"/>
      <c r="I100" s="382">
        <f t="shared" si="24"/>
        <v>0</v>
      </c>
      <c r="J100" s="85">
        <v>2018</v>
      </c>
      <c r="K100" s="199">
        <f t="shared" si="25"/>
        <v>43186</v>
      </c>
      <c r="L100" s="437">
        <f t="shared" si="26"/>
        <v>0</v>
      </c>
      <c r="M100" s="881"/>
      <c r="N100" s="881"/>
      <c r="O100" s="326">
        <f t="shared" si="27"/>
        <v>0</v>
      </c>
      <c r="P100" s="171">
        <f>(INDEX(Models!$BJ100:$BT100,,T100)*(1-R100)+INDEX(Models!$BJ100:$BT100,,T100+1)*R100-ERP_i)*Q100*Ramure*Pc/MaxiM</f>
        <v>6.2169844784233433E-5</v>
      </c>
      <c r="Q100" s="307">
        <f t="shared" si="28"/>
        <v>1</v>
      </c>
      <c r="R100" s="179">
        <f t="shared" si="29"/>
        <v>0.2295476970626833</v>
      </c>
      <c r="S100" s="837">
        <f t="shared" si="46"/>
        <v>-3</v>
      </c>
      <c r="T100" s="178">
        <f t="shared" si="30"/>
        <v>3</v>
      </c>
      <c r="U100" s="253">
        <f t="shared" si="31"/>
        <v>-2.7704523029373167</v>
      </c>
      <c r="V100" s="385">
        <f t="shared" si="32"/>
        <v>49.800734607517846</v>
      </c>
      <c r="W100" s="58"/>
      <c r="X100" s="157">
        <f t="shared" si="33"/>
        <v>43186</v>
      </c>
      <c r="Y100" s="387">
        <f t="shared" si="34"/>
        <v>0</v>
      </c>
      <c r="Z100" s="387">
        <f t="shared" si="35"/>
        <v>0</v>
      </c>
      <c r="AA100" s="388">
        <f t="shared" si="36"/>
        <v>0</v>
      </c>
      <c r="AB100" s="199">
        <f t="shared" si="37"/>
        <v>43186</v>
      </c>
      <c r="AC100" s="426">
        <f t="shared" si="38"/>
        <v>0</v>
      </c>
      <c r="AD100" s="171">
        <f>(INDEX(Models!$BJ100:$BT100,,AH100)*(1-AF100)+INDEX(Models!$BJ100:$BT100,,AH100+1)*AF100-ERP_i)*AE100*Ramure*Pc/MaxiM</f>
        <v>6.2169844784233433E-5</v>
      </c>
      <c r="AE100" s="307">
        <f t="shared" si="39"/>
        <v>1</v>
      </c>
      <c r="AF100" s="179">
        <f t="shared" si="40"/>
        <v>0.2295476970626833</v>
      </c>
      <c r="AG100" s="837">
        <f t="shared" si="41"/>
        <v>-3</v>
      </c>
      <c r="AH100" s="178">
        <f t="shared" si="42"/>
        <v>3</v>
      </c>
      <c r="AI100" s="227">
        <f t="shared" si="43"/>
        <v>-2.7704523029373167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7"/>
        <v>43187</v>
      </c>
      <c r="B101" s="622"/>
      <c r="C101" s="879"/>
      <c r="D101" s="395"/>
      <c r="E101" s="387"/>
      <c r="F101" s="387"/>
      <c r="G101" s="110"/>
      <c r="I101" s="382">
        <f t="shared" si="24"/>
        <v>0</v>
      </c>
      <c r="J101" s="85">
        <v>2018</v>
      </c>
      <c r="K101" s="199">
        <f t="shared" si="25"/>
        <v>43187</v>
      </c>
      <c r="L101" s="437">
        <f t="shared" si="26"/>
        <v>0</v>
      </c>
      <c r="M101" s="881"/>
      <c r="N101" s="881"/>
      <c r="O101" s="326">
        <f t="shared" si="27"/>
        <v>0</v>
      </c>
      <c r="P101" s="171">
        <f>(INDEX(Models!$BJ101:$BT101,,T101)*(1-R101)+INDEX(Models!$BJ101:$BT101,,T101+1)*R101-ERP_i)*Q101*Ramure*Pc/MaxiM</f>
        <v>6.3498681925894639E-5</v>
      </c>
      <c r="Q101" s="307">
        <f t="shared" si="28"/>
        <v>1</v>
      </c>
      <c r="R101" s="179">
        <f t="shared" si="29"/>
        <v>0.23077874723221292</v>
      </c>
      <c r="S101" s="837">
        <f t="shared" si="46"/>
        <v>-3</v>
      </c>
      <c r="T101" s="178">
        <f t="shared" si="30"/>
        <v>3</v>
      </c>
      <c r="U101" s="253">
        <f t="shared" si="31"/>
        <v>-2.7692212527677871</v>
      </c>
      <c r="V101" s="385">
        <f t="shared" si="32"/>
        <v>50.252750942075558</v>
      </c>
      <c r="W101" s="58"/>
      <c r="X101" s="157">
        <f t="shared" si="33"/>
        <v>43187</v>
      </c>
      <c r="Y101" s="387">
        <f t="shared" si="34"/>
        <v>0</v>
      </c>
      <c r="Z101" s="387">
        <f t="shared" si="35"/>
        <v>0</v>
      </c>
      <c r="AA101" s="388">
        <f t="shared" si="36"/>
        <v>0</v>
      </c>
      <c r="AB101" s="199">
        <f t="shared" si="37"/>
        <v>43187</v>
      </c>
      <c r="AC101" s="426">
        <f t="shared" si="38"/>
        <v>0</v>
      </c>
      <c r="AD101" s="171">
        <f>(INDEX(Models!$BJ101:$BT101,,AH101)*(1-AF101)+INDEX(Models!$BJ101:$BT101,,AH101+1)*AF101-ERP_i)*AE101*Ramure*Pc/MaxiM</f>
        <v>6.3498681925894639E-5</v>
      </c>
      <c r="AE101" s="307">
        <f t="shared" si="39"/>
        <v>1</v>
      </c>
      <c r="AF101" s="179">
        <f t="shared" si="40"/>
        <v>0.23077874723221292</v>
      </c>
      <c r="AG101" s="837">
        <f t="shared" si="41"/>
        <v>-3</v>
      </c>
      <c r="AH101" s="178">
        <f t="shared" si="42"/>
        <v>3</v>
      </c>
      <c r="AI101" s="227">
        <f t="shared" si="43"/>
        <v>-2.7692212527677871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7"/>
        <v>43188</v>
      </c>
      <c r="B102" s="622"/>
      <c r="C102" s="879"/>
      <c r="D102" s="395"/>
      <c r="E102" s="387"/>
      <c r="F102" s="387"/>
      <c r="G102" s="110"/>
      <c r="I102" s="382">
        <f t="shared" si="24"/>
        <v>0</v>
      </c>
      <c r="J102" s="85">
        <v>2018</v>
      </c>
      <c r="K102" s="199">
        <f t="shared" si="25"/>
        <v>43188</v>
      </c>
      <c r="L102" s="437">
        <f t="shared" si="26"/>
        <v>0</v>
      </c>
      <c r="M102" s="881"/>
      <c r="N102" s="881"/>
      <c r="O102" s="326">
        <f t="shared" si="27"/>
        <v>0</v>
      </c>
      <c r="P102" s="171">
        <f>(INDEX(Models!$BJ102:$BT102,,T102)*(1-R102)+INDEX(Models!$BJ102:$BT102,,T102+1)*R102-ERP_i)*Q102*Ramure*Pc/MaxiM</f>
        <v>6.479288473478424E-5</v>
      </c>
      <c r="Q102" s="307">
        <f t="shared" si="28"/>
        <v>1</v>
      </c>
      <c r="R102" s="179">
        <f t="shared" si="29"/>
        <v>0.23205664243035384</v>
      </c>
      <c r="S102" s="837">
        <f t="shared" si="46"/>
        <v>-3</v>
      </c>
      <c r="T102" s="178">
        <f t="shared" si="30"/>
        <v>3</v>
      </c>
      <c r="U102" s="253">
        <f t="shared" si="31"/>
        <v>-2.7679433575696462</v>
      </c>
      <c r="V102" s="385">
        <f t="shared" si="32"/>
        <v>50.699794100643111</v>
      </c>
      <c r="W102" s="58"/>
      <c r="X102" s="157">
        <f t="shared" si="33"/>
        <v>43188</v>
      </c>
      <c r="Y102" s="387">
        <f t="shared" si="34"/>
        <v>0</v>
      </c>
      <c r="Z102" s="387">
        <f t="shared" si="35"/>
        <v>0</v>
      </c>
      <c r="AA102" s="388">
        <f t="shared" si="36"/>
        <v>0</v>
      </c>
      <c r="AB102" s="199">
        <f t="shared" si="37"/>
        <v>43188</v>
      </c>
      <c r="AC102" s="426">
        <f t="shared" si="38"/>
        <v>0</v>
      </c>
      <c r="AD102" s="171">
        <f>(INDEX(Models!$BJ102:$BT102,,AH102)*(1-AF102)+INDEX(Models!$BJ102:$BT102,,AH102+1)*AF102-ERP_i)*AE102*Ramure*Pc/MaxiM</f>
        <v>6.479288473478424E-5</v>
      </c>
      <c r="AE102" s="307">
        <f t="shared" si="39"/>
        <v>1</v>
      </c>
      <c r="AF102" s="179">
        <f t="shared" si="40"/>
        <v>0.23205664243035384</v>
      </c>
      <c r="AG102" s="837">
        <f t="shared" si="41"/>
        <v>-3</v>
      </c>
      <c r="AH102" s="178">
        <f t="shared" si="42"/>
        <v>3</v>
      </c>
      <c r="AI102" s="227">
        <f t="shared" si="43"/>
        <v>-2.7679433575696462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7"/>
        <v>43189</v>
      </c>
      <c r="B103" s="622"/>
      <c r="C103" s="879"/>
      <c r="D103" s="395"/>
      <c r="E103" s="387"/>
      <c r="F103" s="387"/>
      <c r="G103" s="110"/>
      <c r="I103" s="382">
        <f t="shared" si="24"/>
        <v>0</v>
      </c>
      <c r="J103" s="85">
        <v>2018</v>
      </c>
      <c r="K103" s="199">
        <f t="shared" si="25"/>
        <v>43189</v>
      </c>
      <c r="L103" s="437">
        <f t="shared" si="26"/>
        <v>0</v>
      </c>
      <c r="M103" s="881"/>
      <c r="N103" s="881"/>
      <c r="O103" s="326">
        <f t="shared" si="27"/>
        <v>0</v>
      </c>
      <c r="P103" s="171">
        <f>(INDEX(Models!$BJ103:$BT103,,T103)*(1-R103)+INDEX(Models!$BJ103:$BT103,,T103+1)*R103-ERP_i)*Q103*Ramure*Pc/MaxiM</f>
        <v>6.6047814955732834E-5</v>
      </c>
      <c r="Q103" s="307">
        <f t="shared" si="28"/>
        <v>1</v>
      </c>
      <c r="R103" s="179">
        <f t="shared" si="29"/>
        <v>0.23338296652261947</v>
      </c>
      <c r="S103" s="837">
        <f t="shared" si="46"/>
        <v>-3</v>
      </c>
      <c r="T103" s="178">
        <f t="shared" si="30"/>
        <v>3</v>
      </c>
      <c r="U103" s="253">
        <f t="shared" si="31"/>
        <v>-2.7666170334773805</v>
      </c>
      <c r="V103" s="385">
        <f t="shared" si="32"/>
        <v>51.140960075170277</v>
      </c>
      <c r="W103" s="58"/>
      <c r="X103" s="157">
        <f t="shared" si="33"/>
        <v>43189</v>
      </c>
      <c r="Y103" s="387">
        <f t="shared" si="34"/>
        <v>0</v>
      </c>
      <c r="Z103" s="387">
        <f t="shared" si="35"/>
        <v>0</v>
      </c>
      <c r="AA103" s="388">
        <f t="shared" si="36"/>
        <v>0</v>
      </c>
      <c r="AB103" s="199">
        <f t="shared" si="37"/>
        <v>43189</v>
      </c>
      <c r="AC103" s="426">
        <f t="shared" si="38"/>
        <v>0</v>
      </c>
      <c r="AD103" s="171">
        <f>(INDEX(Models!$BJ103:$BT103,,AH103)*(1-AF103)+INDEX(Models!$BJ103:$BT103,,AH103+1)*AF103-ERP_i)*AE103*Ramure*Pc/MaxiM</f>
        <v>6.6047814955732834E-5</v>
      </c>
      <c r="AE103" s="307">
        <f t="shared" si="39"/>
        <v>1</v>
      </c>
      <c r="AF103" s="179">
        <f t="shared" si="40"/>
        <v>0.23338296652261947</v>
      </c>
      <c r="AG103" s="837">
        <f t="shared" si="41"/>
        <v>-3</v>
      </c>
      <c r="AH103" s="178">
        <f t="shared" si="42"/>
        <v>3</v>
      </c>
      <c r="AI103" s="227">
        <f t="shared" si="43"/>
        <v>-2.7666170334773805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7"/>
        <v>43190</v>
      </c>
      <c r="B104" s="622"/>
      <c r="C104" s="879"/>
      <c r="D104" s="395"/>
      <c r="E104" s="387"/>
      <c r="F104" s="387"/>
      <c r="G104" s="110"/>
      <c r="I104" s="382">
        <f t="shared" si="24"/>
        <v>0</v>
      </c>
      <c r="J104" s="85">
        <v>2018</v>
      </c>
      <c r="K104" s="199">
        <f t="shared" si="25"/>
        <v>43190</v>
      </c>
      <c r="L104" s="437">
        <f t="shared" si="26"/>
        <v>0</v>
      </c>
      <c r="M104" s="881"/>
      <c r="N104" s="881"/>
      <c r="O104" s="326">
        <f t="shared" si="27"/>
        <v>0</v>
      </c>
      <c r="P104" s="171">
        <f>(INDEX(Models!$BJ104:$BT104,,T104)*(1-R104)+INDEX(Models!$BJ104:$BT104,,T104+1)*R104-ERP_i)*Q104*Ramure*Pc/MaxiM</f>
        <v>6.7258454570463762E-5</v>
      </c>
      <c r="Q104" s="307">
        <f t="shared" si="28"/>
        <v>1</v>
      </c>
      <c r="R104" s="179">
        <f t="shared" si="29"/>
        <v>0.23475934079974969</v>
      </c>
      <c r="S104" s="837">
        <f t="shared" si="46"/>
        <v>-3</v>
      </c>
      <c r="T104" s="178">
        <f t="shared" si="30"/>
        <v>3</v>
      </c>
      <c r="U104" s="253">
        <f t="shared" si="31"/>
        <v>-2.7652406592002503</v>
      </c>
      <c r="V104" s="385">
        <f t="shared" si="32"/>
        <v>51.57534488261301</v>
      </c>
      <c r="W104" s="58"/>
      <c r="X104" s="157">
        <f t="shared" si="33"/>
        <v>43190</v>
      </c>
      <c r="Y104" s="387">
        <f t="shared" si="34"/>
        <v>0</v>
      </c>
      <c r="Z104" s="387">
        <f t="shared" si="35"/>
        <v>0</v>
      </c>
      <c r="AA104" s="388">
        <f t="shared" si="36"/>
        <v>0</v>
      </c>
      <c r="AB104" s="199">
        <f t="shared" si="37"/>
        <v>43190</v>
      </c>
      <c r="AC104" s="426">
        <f t="shared" si="38"/>
        <v>0</v>
      </c>
      <c r="AD104" s="171">
        <f>(INDEX(Models!$BJ104:$BT104,,AH104)*(1-AF104)+INDEX(Models!$BJ104:$BT104,,AH104+1)*AF104-ERP_i)*AE104*Ramure*Pc/MaxiM</f>
        <v>6.7258454570463762E-5</v>
      </c>
      <c r="AE104" s="307">
        <f t="shared" si="39"/>
        <v>1</v>
      </c>
      <c r="AF104" s="179">
        <f t="shared" si="40"/>
        <v>0.23475934079974969</v>
      </c>
      <c r="AG104" s="837">
        <f t="shared" si="41"/>
        <v>-3</v>
      </c>
      <c r="AH104" s="178">
        <f t="shared" si="42"/>
        <v>3</v>
      </c>
      <c r="AI104" s="227">
        <f t="shared" si="43"/>
        <v>-2.7652406592002503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customHeight="1" x14ac:dyDescent="0.2">
      <c r="A105" s="56">
        <f t="shared" si="47"/>
        <v>43191</v>
      </c>
      <c r="B105" s="622"/>
      <c r="C105" s="879"/>
      <c r="D105" s="395"/>
      <c r="E105" s="387"/>
      <c r="F105" s="387"/>
      <c r="G105" s="110"/>
      <c r="I105" s="382">
        <f t="shared" si="24"/>
        <v>0</v>
      </c>
      <c r="J105" s="85">
        <v>2018</v>
      </c>
      <c r="K105" s="199">
        <f t="shared" si="25"/>
        <v>43191</v>
      </c>
      <c r="L105" s="437">
        <f t="shared" si="26"/>
        <v>0</v>
      </c>
      <c r="M105" s="881"/>
      <c r="N105" s="881"/>
      <c r="O105" s="326">
        <f t="shared" si="27"/>
        <v>0</v>
      </c>
      <c r="P105" s="171">
        <f>(INDEX(Models!$BJ105:$BT105,,T105)*(1-R105)+INDEX(Models!$BJ105:$BT105,,T105+1)*R105-ERP_i)*Q105*Ramure*Pc/MaxiM</f>
        <v>6.841937446592063E-5</v>
      </c>
      <c r="Q105" s="307">
        <f t="shared" si="28"/>
        <v>1</v>
      </c>
      <c r="R105" s="179">
        <f t="shared" si="29"/>
        <v>0.23618742349674893</v>
      </c>
      <c r="S105" s="837">
        <f t="shared" si="46"/>
        <v>-3</v>
      </c>
      <c r="T105" s="178">
        <f t="shared" si="30"/>
        <v>3</v>
      </c>
      <c r="U105" s="253">
        <f t="shared" si="31"/>
        <v>-2.7638125765032511</v>
      </c>
      <c r="V105" s="385">
        <f t="shared" si="32"/>
        <v>52.00204457935542</v>
      </c>
      <c r="W105" s="58"/>
      <c r="X105" s="157">
        <f t="shared" si="33"/>
        <v>43191</v>
      </c>
      <c r="Y105" s="387">
        <f t="shared" si="34"/>
        <v>0</v>
      </c>
      <c r="Z105" s="387">
        <f t="shared" si="35"/>
        <v>0</v>
      </c>
      <c r="AA105" s="388">
        <f t="shared" si="36"/>
        <v>0</v>
      </c>
      <c r="AB105" s="199">
        <f t="shared" si="37"/>
        <v>43191</v>
      </c>
      <c r="AC105" s="426">
        <f t="shared" si="38"/>
        <v>0</v>
      </c>
      <c r="AD105" s="171">
        <f>(INDEX(Models!$BJ105:$BT105,,AH105)*(1-AF105)+INDEX(Models!$BJ105:$BT105,,AH105+1)*AF105-ERP_i)*AE105*Ramure*Pc/MaxiM</f>
        <v>6.841937446592063E-5</v>
      </c>
      <c r="AE105" s="307">
        <f t="shared" si="39"/>
        <v>1</v>
      </c>
      <c r="AF105" s="179">
        <f t="shared" si="40"/>
        <v>0.23618742349674893</v>
      </c>
      <c r="AG105" s="837">
        <f t="shared" si="41"/>
        <v>-3</v>
      </c>
      <c r="AH105" s="178">
        <f t="shared" si="42"/>
        <v>3</v>
      </c>
      <c r="AI105" s="227">
        <f t="shared" si="43"/>
        <v>-2.7638125765032511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customHeight="1" x14ac:dyDescent="0.2">
      <c r="A106" s="56">
        <f t="shared" si="47"/>
        <v>43192</v>
      </c>
      <c r="B106" s="622"/>
      <c r="C106" s="879"/>
      <c r="D106" s="395"/>
      <c r="E106" s="387"/>
      <c r="F106" s="387"/>
      <c r="G106" s="110"/>
      <c r="I106" s="382">
        <f t="shared" si="24"/>
        <v>0</v>
      </c>
      <c r="J106" s="85">
        <v>2018</v>
      </c>
      <c r="K106" s="199">
        <f t="shared" si="25"/>
        <v>43192</v>
      </c>
      <c r="L106" s="437">
        <f t="shared" si="26"/>
        <v>0</v>
      </c>
      <c r="M106" s="881"/>
      <c r="N106" s="881"/>
      <c r="O106" s="326">
        <f t="shared" si="27"/>
        <v>0</v>
      </c>
      <c r="P106" s="171">
        <f>(INDEX(Models!$BJ106:$BT106,,T106)*(1-R106)+INDEX(Models!$BJ106:$BT106,,T106+1)*R106-ERP_i)*Q106*Ramure*Pc/MaxiM</f>
        <v>6.9524701007163471E-5</v>
      </c>
      <c r="Q106" s="307">
        <f t="shared" si="28"/>
        <v>1</v>
      </c>
      <c r="R106" s="179">
        <f t="shared" si="29"/>
        <v>0.23766890916596406</v>
      </c>
      <c r="S106" s="837">
        <f t="shared" si="46"/>
        <v>-3</v>
      </c>
      <c r="T106" s="178">
        <f t="shared" si="30"/>
        <v>3</v>
      </c>
      <c r="U106" s="253">
        <f t="shared" si="31"/>
        <v>-2.7623310908340359</v>
      </c>
      <c r="V106" s="385">
        <f t="shared" si="32"/>
        <v>52.420155250782663</v>
      </c>
      <c r="W106" s="58"/>
      <c r="X106" s="157">
        <f t="shared" si="33"/>
        <v>43192</v>
      </c>
      <c r="Y106" s="387">
        <f t="shared" si="34"/>
        <v>0</v>
      </c>
      <c r="Z106" s="387">
        <f t="shared" si="35"/>
        <v>0</v>
      </c>
      <c r="AA106" s="388">
        <f t="shared" si="36"/>
        <v>0</v>
      </c>
      <c r="AB106" s="199">
        <f t="shared" si="37"/>
        <v>43192</v>
      </c>
      <c r="AC106" s="426">
        <f t="shared" si="38"/>
        <v>0</v>
      </c>
      <c r="AD106" s="171">
        <f>(INDEX(Models!$BJ106:$BT106,,AH106)*(1-AF106)+INDEX(Models!$BJ106:$BT106,,AH106+1)*AF106-ERP_i)*AE106*Ramure*Pc/MaxiM</f>
        <v>6.9524701007163471E-5</v>
      </c>
      <c r="AE106" s="307">
        <f t="shared" si="39"/>
        <v>1</v>
      </c>
      <c r="AF106" s="179">
        <f t="shared" si="40"/>
        <v>0.23766890916596406</v>
      </c>
      <c r="AG106" s="837">
        <f t="shared" si="41"/>
        <v>-3</v>
      </c>
      <c r="AH106" s="178">
        <f t="shared" si="42"/>
        <v>3</v>
      </c>
      <c r="AI106" s="227">
        <f t="shared" si="43"/>
        <v>-2.7623310908340359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7"/>
        <v>43193</v>
      </c>
      <c r="B107" s="622"/>
      <c r="C107" s="879"/>
      <c r="D107" s="395"/>
      <c r="E107" s="387"/>
      <c r="F107" s="387"/>
      <c r="G107" s="110"/>
      <c r="I107" s="382">
        <f t="shared" si="24"/>
        <v>0</v>
      </c>
      <c r="J107" s="85">
        <v>2018</v>
      </c>
      <c r="K107" s="199">
        <f t="shared" si="25"/>
        <v>43193</v>
      </c>
      <c r="L107" s="437">
        <f t="shared" si="26"/>
        <v>0</v>
      </c>
      <c r="M107" s="881"/>
      <c r="N107" s="881"/>
      <c r="O107" s="326">
        <f t="shared" si="27"/>
        <v>0</v>
      </c>
      <c r="P107" s="171">
        <f>(INDEX(Models!$BJ107:$BT107,,T107)*(1-R107)+INDEX(Models!$BJ107:$BT107,,T107+1)*R107-ERP_i)*Q107*Ramure*Pc/MaxiM</f>
        <v>7.0564079097625406E-5</v>
      </c>
      <c r="Q107" s="307">
        <f t="shared" si="28"/>
        <v>1</v>
      </c>
      <c r="R107" s="179">
        <f t="shared" si="29"/>
        <v>0.239205527892703</v>
      </c>
      <c r="S107" s="837">
        <f t="shared" si="46"/>
        <v>-3</v>
      </c>
      <c r="T107" s="178">
        <f t="shared" si="30"/>
        <v>3</v>
      </c>
      <c r="U107" s="253">
        <f t="shared" si="31"/>
        <v>-2.760794472107297</v>
      </c>
      <c r="V107" s="385">
        <f t="shared" si="32"/>
        <v>52.831768761155736</v>
      </c>
      <c r="W107" s="58"/>
      <c r="X107" s="157">
        <f t="shared" si="33"/>
        <v>43193</v>
      </c>
      <c r="Y107" s="387">
        <f t="shared" si="34"/>
        <v>0</v>
      </c>
      <c r="Z107" s="387">
        <f t="shared" si="35"/>
        <v>0</v>
      </c>
      <c r="AA107" s="388">
        <f t="shared" si="36"/>
        <v>0</v>
      </c>
      <c r="AB107" s="199">
        <f t="shared" si="37"/>
        <v>43193</v>
      </c>
      <c r="AC107" s="426">
        <f t="shared" si="38"/>
        <v>0</v>
      </c>
      <c r="AD107" s="171">
        <f>(INDEX(Models!$BJ107:$BT107,,AH107)*(1-AF107)+INDEX(Models!$BJ107:$BT107,,AH107+1)*AF107-ERP_i)*AE107*Ramure*Pc/MaxiM</f>
        <v>7.0564079097625406E-5</v>
      </c>
      <c r="AE107" s="307">
        <f t="shared" si="39"/>
        <v>1</v>
      </c>
      <c r="AF107" s="179">
        <f t="shared" si="40"/>
        <v>0.239205527892703</v>
      </c>
      <c r="AG107" s="837">
        <f t="shared" si="41"/>
        <v>-3</v>
      </c>
      <c r="AH107" s="178">
        <f t="shared" si="42"/>
        <v>3</v>
      </c>
      <c r="AI107" s="227">
        <f t="shared" si="43"/>
        <v>-2.760794472107297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7"/>
        <v>43194</v>
      </c>
      <c r="B108" s="622"/>
      <c r="C108" s="879"/>
      <c r="D108" s="395"/>
      <c r="E108" s="387"/>
      <c r="F108" s="387"/>
      <c r="G108" s="110"/>
      <c r="I108" s="382">
        <f t="shared" si="24"/>
        <v>0</v>
      </c>
      <c r="J108" s="85">
        <v>2018</v>
      </c>
      <c r="K108" s="199">
        <f t="shared" si="25"/>
        <v>43194</v>
      </c>
      <c r="L108" s="437">
        <f t="shared" si="26"/>
        <v>0</v>
      </c>
      <c r="M108" s="881"/>
      <c r="N108" s="881"/>
      <c r="O108" s="326">
        <f t="shared" si="27"/>
        <v>0</v>
      </c>
      <c r="P108" s="171">
        <f>(INDEX(Models!$BJ108:$BT108,,T108)*(1-R108)+INDEX(Models!$BJ108:$BT108,,T108+1)*R108-ERP_i)*Q108*Ramure*Pc/MaxiM</f>
        <v>7.1501373511160036E-5</v>
      </c>
      <c r="Q108" s="307">
        <f t="shared" si="28"/>
        <v>1</v>
      </c>
      <c r="R108" s="179">
        <f t="shared" si="29"/>
        <v>0.24079904434149668</v>
      </c>
      <c r="S108" s="837">
        <f t="shared" si="46"/>
        <v>-3</v>
      </c>
      <c r="T108" s="178">
        <f t="shared" si="30"/>
        <v>3</v>
      </c>
      <c r="U108" s="253">
        <f t="shared" si="31"/>
        <v>-2.7592009556585033</v>
      </c>
      <c r="V108" s="385">
        <f t="shared" si="32"/>
        <v>53.239355140371124</v>
      </c>
      <c r="W108" s="58"/>
      <c r="X108" s="157">
        <f t="shared" si="33"/>
        <v>43194</v>
      </c>
      <c r="Y108" s="387">
        <f t="shared" si="34"/>
        <v>0</v>
      </c>
      <c r="Z108" s="387">
        <f t="shared" si="35"/>
        <v>0</v>
      </c>
      <c r="AA108" s="388">
        <f t="shared" si="36"/>
        <v>0</v>
      </c>
      <c r="AB108" s="199">
        <f t="shared" si="37"/>
        <v>43194</v>
      </c>
      <c r="AC108" s="426">
        <f t="shared" si="38"/>
        <v>0</v>
      </c>
      <c r="AD108" s="171">
        <f>(INDEX(Models!$BJ108:$BT108,,AH108)*(1-AF108)+INDEX(Models!$BJ108:$BT108,,AH108+1)*AF108-ERP_i)*AE108*Ramure*Pc/MaxiM</f>
        <v>7.1501373511160036E-5</v>
      </c>
      <c r="AE108" s="307">
        <f t="shared" si="39"/>
        <v>1</v>
      </c>
      <c r="AF108" s="179">
        <f t="shared" si="40"/>
        <v>0.24079904434149668</v>
      </c>
      <c r="AG108" s="837">
        <f t="shared" si="41"/>
        <v>-3</v>
      </c>
      <c r="AH108" s="178">
        <f t="shared" si="42"/>
        <v>3</v>
      </c>
      <c r="AI108" s="227">
        <f t="shared" si="43"/>
        <v>-2.7592009556585033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7"/>
        <v>43195</v>
      </c>
      <c r="B109" s="622"/>
      <c r="C109" s="879"/>
      <c r="D109" s="395"/>
      <c r="E109" s="387"/>
      <c r="F109" s="387"/>
      <c r="G109" s="110"/>
      <c r="I109" s="382">
        <f t="shared" si="24"/>
        <v>0</v>
      </c>
      <c r="J109" s="85">
        <v>2018</v>
      </c>
      <c r="K109" s="199">
        <f t="shared" si="25"/>
        <v>43195</v>
      </c>
      <c r="L109" s="437">
        <f t="shared" si="26"/>
        <v>0</v>
      </c>
      <c r="M109" s="881"/>
      <c r="N109" s="881"/>
      <c r="O109" s="326">
        <f t="shared" si="27"/>
        <v>0</v>
      </c>
      <c r="P109" s="171">
        <f>(INDEX(Models!$BJ109:$BT109,,T109)*(1-R109)+INDEX(Models!$BJ109:$BT109,,T109+1)*R109-ERP_i)*Q109*Ramure*Pc/MaxiM</f>
        <v>7.236925108433648E-5</v>
      </c>
      <c r="Q109" s="307">
        <f t="shared" si="28"/>
        <v>1</v>
      </c>
      <c r="R109" s="179">
        <f t="shared" si="29"/>
        <v>0.24245125662072287</v>
      </c>
      <c r="S109" s="837">
        <f t="shared" si="46"/>
        <v>-3</v>
      </c>
      <c r="T109" s="178">
        <f t="shared" si="30"/>
        <v>3</v>
      </c>
      <c r="U109" s="253">
        <f t="shared" si="31"/>
        <v>-2.7575487433792771</v>
      </c>
      <c r="V109" s="385">
        <f t="shared" si="32"/>
        <v>53.642573658817</v>
      </c>
      <c r="W109" s="58"/>
      <c r="X109" s="157">
        <f t="shared" si="33"/>
        <v>43195</v>
      </c>
      <c r="Y109" s="387">
        <f t="shared" si="34"/>
        <v>0</v>
      </c>
      <c r="Z109" s="387">
        <f t="shared" si="35"/>
        <v>0</v>
      </c>
      <c r="AA109" s="388">
        <f t="shared" si="36"/>
        <v>0</v>
      </c>
      <c r="AB109" s="199">
        <f t="shared" si="37"/>
        <v>43195</v>
      </c>
      <c r="AC109" s="426">
        <f t="shared" si="38"/>
        <v>0</v>
      </c>
      <c r="AD109" s="171">
        <f>(INDEX(Models!$BJ109:$BT109,,AH109)*(1-AF109)+INDEX(Models!$BJ109:$BT109,,AH109+1)*AF109-ERP_i)*AE109*Ramure*Pc/MaxiM</f>
        <v>7.236925108433648E-5</v>
      </c>
      <c r="AE109" s="307">
        <f t="shared" si="39"/>
        <v>1</v>
      </c>
      <c r="AF109" s="179">
        <f t="shared" si="40"/>
        <v>0.24245125662072287</v>
      </c>
      <c r="AG109" s="837">
        <f t="shared" si="41"/>
        <v>-3</v>
      </c>
      <c r="AH109" s="178">
        <f t="shared" si="42"/>
        <v>3</v>
      </c>
      <c r="AI109" s="227">
        <f t="shared" si="43"/>
        <v>-2.7575487433792771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customHeight="1" x14ac:dyDescent="0.2">
      <c r="A110" s="56">
        <f t="shared" si="47"/>
        <v>43196</v>
      </c>
      <c r="B110" s="622"/>
      <c r="C110" s="879"/>
      <c r="D110" s="395"/>
      <c r="E110" s="387"/>
      <c r="F110" s="387"/>
      <c r="G110" s="110"/>
      <c r="I110" s="382">
        <f t="shared" si="24"/>
        <v>0</v>
      </c>
      <c r="J110" s="85">
        <v>2018</v>
      </c>
      <c r="K110" s="199">
        <f t="shared" si="25"/>
        <v>43196</v>
      </c>
      <c r="L110" s="437">
        <f t="shared" si="26"/>
        <v>0</v>
      </c>
      <c r="M110" s="881"/>
      <c r="N110" s="881"/>
      <c r="O110" s="326">
        <f t="shared" si="27"/>
        <v>0</v>
      </c>
      <c r="P110" s="171">
        <f>(INDEX(Models!$BJ110:$BT110,,T110)*(1-R110)+INDEX(Models!$BJ110:$BT110,,T110+1)*R110-ERP_i)*Q110*Ramure*Pc/MaxiM</f>
        <v>7.3160509332803904E-5</v>
      </c>
      <c r="Q110" s="307">
        <f t="shared" si="28"/>
        <v>1</v>
      </c>
      <c r="R110" s="179">
        <f t="shared" si="29"/>
        <v>0.24416399495297947</v>
      </c>
      <c r="S110" s="837">
        <f t="shared" si="46"/>
        <v>-3</v>
      </c>
      <c r="T110" s="178">
        <f t="shared" si="30"/>
        <v>3</v>
      </c>
      <c r="U110" s="253">
        <f t="shared" si="31"/>
        <v>-2.7558360050470205</v>
      </c>
      <c r="V110" s="385">
        <f t="shared" si="32"/>
        <v>54.041085687531499</v>
      </c>
      <c r="W110" s="58"/>
      <c r="X110" s="157">
        <f t="shared" si="33"/>
        <v>43196</v>
      </c>
      <c r="Y110" s="387">
        <f t="shared" si="34"/>
        <v>0</v>
      </c>
      <c r="Z110" s="387">
        <f t="shared" si="35"/>
        <v>0</v>
      </c>
      <c r="AA110" s="388">
        <f t="shared" si="36"/>
        <v>0</v>
      </c>
      <c r="AB110" s="199">
        <f t="shared" si="37"/>
        <v>43196</v>
      </c>
      <c r="AC110" s="426">
        <f t="shared" si="38"/>
        <v>0</v>
      </c>
      <c r="AD110" s="171">
        <f>(INDEX(Models!$BJ110:$BT110,,AH110)*(1-AF110)+INDEX(Models!$BJ110:$BT110,,AH110+1)*AF110-ERP_i)*AE110*Ramure*Pc/MaxiM</f>
        <v>7.3160509332803904E-5</v>
      </c>
      <c r="AE110" s="307">
        <f t="shared" si="39"/>
        <v>1</v>
      </c>
      <c r="AF110" s="179">
        <f t="shared" si="40"/>
        <v>0.24416399495297947</v>
      </c>
      <c r="AG110" s="837">
        <f t="shared" si="41"/>
        <v>-3</v>
      </c>
      <c r="AH110" s="178">
        <f t="shared" si="42"/>
        <v>3</v>
      </c>
      <c r="AI110" s="227">
        <f t="shared" si="43"/>
        <v>-2.7558360050470205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7"/>
        <v>43197</v>
      </c>
      <c r="B111" s="622"/>
      <c r="C111" s="879"/>
      <c r="D111" s="395"/>
      <c r="E111" s="387"/>
      <c r="F111" s="387"/>
      <c r="G111" s="110"/>
      <c r="I111" s="382">
        <f t="shared" si="24"/>
        <v>0</v>
      </c>
      <c r="J111" s="85">
        <v>2018</v>
      </c>
      <c r="K111" s="199">
        <f t="shared" si="25"/>
        <v>43197</v>
      </c>
      <c r="L111" s="437">
        <f t="shared" si="26"/>
        <v>0</v>
      </c>
      <c r="M111" s="881"/>
      <c r="N111" s="881"/>
      <c r="O111" s="326">
        <f t="shared" si="27"/>
        <v>0</v>
      </c>
      <c r="P111" s="171">
        <f>(INDEX(Models!$BJ111:$BT111,,T111)*(1-R111)+INDEX(Models!$BJ111:$BT111,,T111+1)*R111-ERP_i)*Q111*Ramure*Pc/MaxiM</f>
        <v>7.3867469795959665E-5</v>
      </c>
      <c r="Q111" s="307">
        <f t="shared" si="28"/>
        <v>1</v>
      </c>
      <c r="R111" s="179">
        <f t="shared" si="29"/>
        <v>0.2459391201383081</v>
      </c>
      <c r="S111" s="837">
        <f t="shared" si="46"/>
        <v>-3</v>
      </c>
      <c r="T111" s="178">
        <f t="shared" si="30"/>
        <v>3</v>
      </c>
      <c r="U111" s="253">
        <f t="shared" si="31"/>
        <v>-2.7540608798616919</v>
      </c>
      <c r="V111" s="385">
        <f t="shared" si="32"/>
        <v>54.434552630245321</v>
      </c>
      <c r="W111" s="58"/>
      <c r="X111" s="157">
        <f t="shared" si="33"/>
        <v>43197</v>
      </c>
      <c r="Y111" s="387">
        <f t="shared" si="34"/>
        <v>0</v>
      </c>
      <c r="Z111" s="387">
        <f t="shared" si="35"/>
        <v>0</v>
      </c>
      <c r="AA111" s="388">
        <f t="shared" si="36"/>
        <v>0</v>
      </c>
      <c r="AB111" s="199">
        <f t="shared" si="37"/>
        <v>43197</v>
      </c>
      <c r="AC111" s="426">
        <f t="shared" si="38"/>
        <v>0</v>
      </c>
      <c r="AD111" s="171">
        <f>(INDEX(Models!$BJ111:$BT111,,AH111)*(1-AF111)+INDEX(Models!$BJ111:$BT111,,AH111+1)*AF111-ERP_i)*AE111*Ramure*Pc/MaxiM</f>
        <v>7.3867469795959665E-5</v>
      </c>
      <c r="AE111" s="307">
        <f t="shared" si="39"/>
        <v>1</v>
      </c>
      <c r="AF111" s="179">
        <f t="shared" si="40"/>
        <v>0.2459391201383081</v>
      </c>
      <c r="AG111" s="837">
        <f t="shared" si="41"/>
        <v>-3</v>
      </c>
      <c r="AH111" s="178">
        <f t="shared" si="42"/>
        <v>3</v>
      </c>
      <c r="AI111" s="227">
        <f t="shared" si="43"/>
        <v>-2.7540608798616919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customHeight="1" x14ac:dyDescent="0.2">
      <c r="A112" s="56">
        <f t="shared" si="47"/>
        <v>43198</v>
      </c>
      <c r="B112" s="622"/>
      <c r="C112" s="879"/>
      <c r="D112" s="395"/>
      <c r="E112" s="387"/>
      <c r="F112" s="387"/>
      <c r="G112" s="110"/>
      <c r="I112" s="382">
        <f t="shared" si="24"/>
        <v>0</v>
      </c>
      <c r="J112" s="85">
        <v>2018</v>
      </c>
      <c r="K112" s="199">
        <f t="shared" si="25"/>
        <v>43198</v>
      </c>
      <c r="L112" s="437">
        <f t="shared" si="26"/>
        <v>0</v>
      </c>
      <c r="M112" s="881"/>
      <c r="N112" s="881"/>
      <c r="O112" s="326">
        <f t="shared" si="27"/>
        <v>0</v>
      </c>
      <c r="P112" s="171">
        <f>(INDEX(Models!$BJ112:$BT112,,T112)*(1-R112)+INDEX(Models!$BJ112:$BT112,,T112+1)*R112-ERP_i)*Q112*Ramure*Pc/MaxiM</f>
        <v>7.4481952519563055E-5</v>
      </c>
      <c r="Q112" s="307">
        <f t="shared" si="28"/>
        <v>1</v>
      </c>
      <c r="R112" s="179">
        <f t="shared" si="29"/>
        <v>0.24777852179714888</v>
      </c>
      <c r="S112" s="837">
        <f t="shared" si="46"/>
        <v>-3</v>
      </c>
      <c r="T112" s="178">
        <f t="shared" si="30"/>
        <v>3</v>
      </c>
      <c r="U112" s="253">
        <f t="shared" si="31"/>
        <v>-2.7522214782028511</v>
      </c>
      <c r="V112" s="385">
        <f t="shared" si="32"/>
        <v>54.822635933063104</v>
      </c>
      <c r="W112" s="58"/>
      <c r="X112" s="157">
        <f t="shared" si="33"/>
        <v>43198</v>
      </c>
      <c r="Y112" s="387">
        <f t="shared" si="34"/>
        <v>0</v>
      </c>
      <c r="Z112" s="387">
        <f t="shared" si="35"/>
        <v>0</v>
      </c>
      <c r="AA112" s="388">
        <f t="shared" si="36"/>
        <v>0</v>
      </c>
      <c r="AB112" s="199">
        <f t="shared" si="37"/>
        <v>43198</v>
      </c>
      <c r="AC112" s="426">
        <f t="shared" si="38"/>
        <v>0</v>
      </c>
      <c r="AD112" s="171">
        <f>(INDEX(Models!$BJ112:$BT112,,AH112)*(1-AF112)+INDEX(Models!$BJ112:$BT112,,AH112+1)*AF112-ERP_i)*AE112*Ramure*Pc/MaxiM</f>
        <v>7.4481952519563055E-5</v>
      </c>
      <c r="AE112" s="307">
        <f t="shared" si="39"/>
        <v>1</v>
      </c>
      <c r="AF112" s="179">
        <f t="shared" si="40"/>
        <v>0.24777852179714888</v>
      </c>
      <c r="AG112" s="837">
        <f t="shared" si="41"/>
        <v>-3</v>
      </c>
      <c r="AH112" s="178">
        <f t="shared" si="42"/>
        <v>3</v>
      </c>
      <c r="AI112" s="227">
        <f t="shared" si="43"/>
        <v>-2.7522214782028511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7"/>
        <v>43199</v>
      </c>
      <c r="B113" s="622"/>
      <c r="C113" s="879"/>
      <c r="D113" s="395"/>
      <c r="E113" s="387"/>
      <c r="F113" s="387"/>
      <c r="G113" s="110"/>
      <c r="I113" s="382">
        <f t="shared" si="24"/>
        <v>0</v>
      </c>
      <c r="J113" s="85">
        <v>2018</v>
      </c>
      <c r="K113" s="199">
        <f t="shared" si="25"/>
        <v>43199</v>
      </c>
      <c r="L113" s="437">
        <f t="shared" si="26"/>
        <v>0</v>
      </c>
      <c r="M113" s="881"/>
      <c r="N113" s="881"/>
      <c r="O113" s="326">
        <f t="shared" si="27"/>
        <v>0</v>
      </c>
      <c r="P113" s="171">
        <f>(INDEX(Models!$BJ113:$BT113,,T113)*(1-R113)+INDEX(Models!$BJ113:$BT113,,T113+1)*R113-ERP_i)*Q113*Ramure*Pc/MaxiM</f>
        <v>7.4995249594948343E-5</v>
      </c>
      <c r="Q113" s="307">
        <f t="shared" si="28"/>
        <v>1</v>
      </c>
      <c r="R113" s="179">
        <f t="shared" si="29"/>
        <v>0.24968411637974119</v>
      </c>
      <c r="S113" s="837">
        <f t="shared" si="46"/>
        <v>-3</v>
      </c>
      <c r="T113" s="178">
        <f t="shared" si="30"/>
        <v>3</v>
      </c>
      <c r="U113" s="253">
        <f t="shared" si="31"/>
        <v>-2.7503158836202588</v>
      </c>
      <c r="V113" s="385">
        <f t="shared" si="32"/>
        <v>55.204997076658245</v>
      </c>
      <c r="W113" s="58"/>
      <c r="X113" s="157">
        <f t="shared" si="33"/>
        <v>43199</v>
      </c>
      <c r="Y113" s="387">
        <f t="shared" si="34"/>
        <v>0</v>
      </c>
      <c r="Z113" s="387">
        <f t="shared" si="35"/>
        <v>0</v>
      </c>
      <c r="AA113" s="388">
        <f t="shared" si="36"/>
        <v>0</v>
      </c>
      <c r="AB113" s="199">
        <f t="shared" si="37"/>
        <v>43199</v>
      </c>
      <c r="AC113" s="426">
        <f t="shared" si="38"/>
        <v>0</v>
      </c>
      <c r="AD113" s="171">
        <f>(INDEX(Models!$BJ113:$BT113,,AH113)*(1-AF113)+INDEX(Models!$BJ113:$BT113,,AH113+1)*AF113-ERP_i)*AE113*Ramure*Pc/MaxiM</f>
        <v>7.4995249594948343E-5</v>
      </c>
      <c r="AE113" s="307">
        <f t="shared" si="39"/>
        <v>1</v>
      </c>
      <c r="AF113" s="179">
        <f t="shared" si="40"/>
        <v>0.24968411637974119</v>
      </c>
      <c r="AG113" s="837">
        <f t="shared" si="41"/>
        <v>-3</v>
      </c>
      <c r="AH113" s="178">
        <f t="shared" si="42"/>
        <v>3</v>
      </c>
      <c r="AI113" s="227">
        <f t="shared" si="43"/>
        <v>-2.7503158836202588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7"/>
        <v>43200</v>
      </c>
      <c r="B114" s="622"/>
      <c r="C114" s="879"/>
      <c r="D114" s="395"/>
      <c r="E114" s="387"/>
      <c r="F114" s="387"/>
      <c r="G114" s="110"/>
      <c r="I114" s="382">
        <f t="shared" si="24"/>
        <v>0</v>
      </c>
      <c r="J114" s="85">
        <v>2018</v>
      </c>
      <c r="K114" s="199">
        <f t="shared" si="25"/>
        <v>43200</v>
      </c>
      <c r="L114" s="437">
        <f t="shared" si="26"/>
        <v>0</v>
      </c>
      <c r="M114" s="881"/>
      <c r="N114" s="881"/>
      <c r="O114" s="326">
        <f t="shared" si="27"/>
        <v>0</v>
      </c>
      <c r="P114" s="171">
        <f>(INDEX(Models!$BJ114:$BT114,,T114)*(1-R114)+INDEX(Models!$BJ114:$BT114,,T114+1)*R114-ERP_i)*Q114*Ramure*Pc/MaxiM</f>
        <v>7.539958617979821E-5</v>
      </c>
      <c r="Q114" s="307">
        <f t="shared" si="28"/>
        <v>1</v>
      </c>
      <c r="R114" s="179">
        <f t="shared" si="29"/>
        <v>0.25165784492862109</v>
      </c>
      <c r="S114" s="837">
        <f t="shared" si="46"/>
        <v>-3</v>
      </c>
      <c r="T114" s="178">
        <f t="shared" si="30"/>
        <v>3</v>
      </c>
      <c r="U114" s="253">
        <f t="shared" si="31"/>
        <v>-2.7483421550713789</v>
      </c>
      <c r="V114" s="385">
        <f t="shared" si="32"/>
        <v>55.581297506500874</v>
      </c>
      <c r="W114" s="58"/>
      <c r="X114" s="157">
        <f t="shared" si="33"/>
        <v>43200</v>
      </c>
      <c r="Y114" s="387">
        <f t="shared" si="34"/>
        <v>0</v>
      </c>
      <c r="Z114" s="387">
        <f t="shared" si="35"/>
        <v>0</v>
      </c>
      <c r="AA114" s="388">
        <f t="shared" si="36"/>
        <v>0</v>
      </c>
      <c r="AB114" s="199">
        <f t="shared" si="37"/>
        <v>43200</v>
      </c>
      <c r="AC114" s="426">
        <f t="shared" si="38"/>
        <v>0</v>
      </c>
      <c r="AD114" s="171">
        <f>(INDEX(Models!$BJ114:$BT114,,AH114)*(1-AF114)+INDEX(Models!$BJ114:$BT114,,AH114+1)*AF114-ERP_i)*AE114*Ramure*Pc/MaxiM</f>
        <v>7.539958617979821E-5</v>
      </c>
      <c r="AE114" s="307">
        <f t="shared" si="39"/>
        <v>1</v>
      </c>
      <c r="AF114" s="179">
        <f t="shared" si="40"/>
        <v>0.25165784492862109</v>
      </c>
      <c r="AG114" s="837">
        <f t="shared" si="41"/>
        <v>-3</v>
      </c>
      <c r="AH114" s="178">
        <f t="shared" si="42"/>
        <v>3</v>
      </c>
      <c r="AI114" s="227">
        <f t="shared" si="43"/>
        <v>-2.7483421550713789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7"/>
        <v>43201</v>
      </c>
      <c r="B115" s="622"/>
      <c r="C115" s="879"/>
      <c r="D115" s="395"/>
      <c r="E115" s="387"/>
      <c r="F115" s="387"/>
      <c r="G115" s="110"/>
      <c r="I115" s="382">
        <f t="shared" si="24"/>
        <v>0</v>
      </c>
      <c r="J115" s="85">
        <v>2018</v>
      </c>
      <c r="K115" s="199">
        <f t="shared" si="25"/>
        <v>43201</v>
      </c>
      <c r="L115" s="437">
        <f t="shared" si="26"/>
        <v>0</v>
      </c>
      <c r="M115" s="881"/>
      <c r="N115" s="881"/>
      <c r="O115" s="326">
        <f t="shared" si="27"/>
        <v>0</v>
      </c>
      <c r="P115" s="171">
        <f>(INDEX(Models!$BJ115:$BT115,,T115)*(1-R115)+INDEX(Models!$BJ115:$BT115,,T115+1)*R115-ERP_i)*Q115*Ramure*Pc/MaxiM</f>
        <v>7.572260170277615E-5</v>
      </c>
      <c r="Q115" s="307">
        <f t="shared" si="28"/>
        <v>1</v>
      </c>
      <c r="R115" s="179">
        <f t="shared" si="29"/>
        <v>0.253701670580877</v>
      </c>
      <c r="S115" s="837">
        <f t="shared" si="46"/>
        <v>-3</v>
      </c>
      <c r="T115" s="178">
        <f t="shared" si="30"/>
        <v>3</v>
      </c>
      <c r="U115" s="253">
        <f t="shared" si="31"/>
        <v>-2.746298329419123</v>
      </c>
      <c r="V115" s="385">
        <f t="shared" si="32"/>
        <v>55.951196692282188</v>
      </c>
      <c r="W115" s="58"/>
      <c r="X115" s="157">
        <f t="shared" si="33"/>
        <v>43201</v>
      </c>
      <c r="Y115" s="387">
        <f t="shared" si="34"/>
        <v>0</v>
      </c>
      <c r="Z115" s="387">
        <f t="shared" si="35"/>
        <v>0</v>
      </c>
      <c r="AA115" s="388">
        <f t="shared" si="36"/>
        <v>0</v>
      </c>
      <c r="AB115" s="199">
        <f t="shared" si="37"/>
        <v>43201</v>
      </c>
      <c r="AC115" s="426">
        <f t="shared" si="38"/>
        <v>0</v>
      </c>
      <c r="AD115" s="171">
        <f>(INDEX(Models!$BJ115:$BT115,,AH115)*(1-AF115)+INDEX(Models!$BJ115:$BT115,,AH115+1)*AF115-ERP_i)*AE115*Ramure*Pc/MaxiM</f>
        <v>7.572260170277615E-5</v>
      </c>
      <c r="AE115" s="307">
        <f t="shared" si="39"/>
        <v>1</v>
      </c>
      <c r="AF115" s="179">
        <f t="shared" si="40"/>
        <v>0.253701670580877</v>
      </c>
      <c r="AG115" s="837">
        <f t="shared" si="41"/>
        <v>-3</v>
      </c>
      <c r="AH115" s="178">
        <f t="shared" si="42"/>
        <v>3</v>
      </c>
      <c r="AI115" s="227">
        <f t="shared" si="43"/>
        <v>-2.746298329419123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7"/>
        <v>43202</v>
      </c>
      <c r="B116" s="622"/>
      <c r="C116" s="879"/>
      <c r="D116" s="395"/>
      <c r="E116" s="387"/>
      <c r="F116" s="387"/>
      <c r="G116" s="110"/>
      <c r="I116" s="382">
        <f t="shared" si="24"/>
        <v>0</v>
      </c>
      <c r="J116" s="85">
        <v>2018</v>
      </c>
      <c r="K116" s="199">
        <f t="shared" si="25"/>
        <v>43202</v>
      </c>
      <c r="L116" s="437">
        <f t="shared" si="26"/>
        <v>0</v>
      </c>
      <c r="M116" s="881"/>
      <c r="N116" s="881"/>
      <c r="O116" s="326">
        <f t="shared" si="27"/>
        <v>0</v>
      </c>
      <c r="P116" s="171">
        <f>(INDEX(Models!$BJ116:$BT116,,T116)*(1-R116)+INDEX(Models!$BJ116:$BT116,,T116+1)*R116-ERP_i)*Q116*Ramure*Pc/MaxiM</f>
        <v>7.5957620490812693E-5</v>
      </c>
      <c r="Q116" s="307">
        <f t="shared" si="28"/>
        <v>1</v>
      </c>
      <c r="R116" s="179">
        <f t="shared" si="29"/>
        <v>0.25581757579695674</v>
      </c>
      <c r="S116" s="837">
        <f t="shared" si="46"/>
        <v>-3</v>
      </c>
      <c r="T116" s="178">
        <f t="shared" si="30"/>
        <v>3</v>
      </c>
      <c r="U116" s="253">
        <f t="shared" si="31"/>
        <v>-2.7441824242030433</v>
      </c>
      <c r="V116" s="385">
        <f t="shared" si="32"/>
        <v>56.31435598963796</v>
      </c>
      <c r="W116" s="58"/>
      <c r="X116" s="157">
        <f t="shared" si="33"/>
        <v>43202</v>
      </c>
      <c r="Y116" s="387">
        <f t="shared" si="34"/>
        <v>0</v>
      </c>
      <c r="Z116" s="387">
        <f t="shared" si="35"/>
        <v>0</v>
      </c>
      <c r="AA116" s="388">
        <f t="shared" si="36"/>
        <v>0</v>
      </c>
      <c r="AB116" s="199">
        <f t="shared" si="37"/>
        <v>43202</v>
      </c>
      <c r="AC116" s="426">
        <f t="shared" si="38"/>
        <v>0</v>
      </c>
      <c r="AD116" s="171">
        <f>(INDEX(Models!$BJ116:$BT116,,AH116)*(1-AF116)+INDEX(Models!$BJ116:$BT116,,AH116+1)*AF116-ERP_i)*AE116*Ramure*Pc/MaxiM</f>
        <v>7.5957620490812693E-5</v>
      </c>
      <c r="AE116" s="307">
        <f t="shared" si="39"/>
        <v>1</v>
      </c>
      <c r="AF116" s="179">
        <f t="shared" si="40"/>
        <v>0.25581757579695674</v>
      </c>
      <c r="AG116" s="837">
        <f t="shared" si="41"/>
        <v>-3</v>
      </c>
      <c r="AH116" s="178">
        <f t="shared" si="42"/>
        <v>3</v>
      </c>
      <c r="AI116" s="227">
        <f t="shared" si="43"/>
        <v>-2.7441824242030433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7"/>
        <v>43203</v>
      </c>
      <c r="B117" s="622"/>
      <c r="C117" s="879"/>
      <c r="D117" s="395"/>
      <c r="E117" s="387"/>
      <c r="F117" s="387"/>
      <c r="G117" s="110"/>
      <c r="I117" s="382">
        <f t="shared" si="24"/>
        <v>0</v>
      </c>
      <c r="J117" s="85">
        <v>2018</v>
      </c>
      <c r="K117" s="199">
        <f t="shared" si="25"/>
        <v>43203</v>
      </c>
      <c r="L117" s="437">
        <f t="shared" si="26"/>
        <v>0</v>
      </c>
      <c r="M117" s="881"/>
      <c r="N117" s="881"/>
      <c r="O117" s="326">
        <f t="shared" si="27"/>
        <v>0</v>
      </c>
      <c r="P117" s="171">
        <f>(INDEX(Models!$BJ117:$BT117,,T117)*(1-R117)+INDEX(Models!$BJ117:$BT117,,T117+1)*R117-ERP_i)*Q117*Ramure*Pc/MaxiM</f>
        <v>7.6097569831463089E-5</v>
      </c>
      <c r="Q117" s="307">
        <f t="shared" si="28"/>
        <v>1</v>
      </c>
      <c r="R117" s="179">
        <f t="shared" si="29"/>
        <v>0.25800755930304664</v>
      </c>
      <c r="S117" s="837">
        <f t="shared" si="46"/>
        <v>-3</v>
      </c>
      <c r="T117" s="178">
        <f t="shared" si="30"/>
        <v>3</v>
      </c>
      <c r="U117" s="253">
        <f t="shared" si="31"/>
        <v>-2.7419924406969534</v>
      </c>
      <c r="V117" s="385">
        <f t="shared" si="32"/>
        <v>56.670436789480071</v>
      </c>
      <c r="W117" s="58"/>
      <c r="X117" s="157">
        <f t="shared" si="33"/>
        <v>43203</v>
      </c>
      <c r="Y117" s="387">
        <f t="shared" si="34"/>
        <v>0</v>
      </c>
      <c r="Z117" s="387">
        <f t="shared" si="35"/>
        <v>0</v>
      </c>
      <c r="AA117" s="388">
        <f t="shared" si="36"/>
        <v>0</v>
      </c>
      <c r="AB117" s="199">
        <f t="shared" si="37"/>
        <v>43203</v>
      </c>
      <c r="AC117" s="426">
        <f t="shared" si="38"/>
        <v>0</v>
      </c>
      <c r="AD117" s="171">
        <f>(INDEX(Models!$BJ117:$BT117,,AH117)*(1-AF117)+INDEX(Models!$BJ117:$BT117,,AH117+1)*AF117-ERP_i)*AE117*Ramure*Pc/MaxiM</f>
        <v>7.6097569831463089E-5</v>
      </c>
      <c r="AE117" s="307">
        <f t="shared" si="39"/>
        <v>1</v>
      </c>
      <c r="AF117" s="179">
        <f t="shared" si="40"/>
        <v>0.25800755930304664</v>
      </c>
      <c r="AG117" s="837">
        <f t="shared" si="41"/>
        <v>-3</v>
      </c>
      <c r="AH117" s="178">
        <f t="shared" si="42"/>
        <v>3</v>
      </c>
      <c r="AI117" s="227">
        <f t="shared" si="43"/>
        <v>-2.7419924406969534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7"/>
        <v>43204</v>
      </c>
      <c r="B118" s="622"/>
      <c r="C118" s="879"/>
      <c r="D118" s="395"/>
      <c r="E118" s="387"/>
      <c r="F118" s="387"/>
      <c r="G118" s="110"/>
      <c r="I118" s="382">
        <f t="shared" si="24"/>
        <v>0</v>
      </c>
      <c r="J118" s="85">
        <v>2018</v>
      </c>
      <c r="K118" s="199">
        <f t="shared" si="25"/>
        <v>43204</v>
      </c>
      <c r="L118" s="437">
        <f t="shared" si="26"/>
        <v>0</v>
      </c>
      <c r="M118" s="881"/>
      <c r="N118" s="881"/>
      <c r="O118" s="326">
        <f t="shared" si="27"/>
        <v>0</v>
      </c>
      <c r="P118" s="171">
        <f>(INDEX(Models!$BJ118:$BT118,,T118)*(1-R118)+INDEX(Models!$BJ118:$BT118,,T118+1)*R118-ERP_i)*Q118*Ramure*Pc/MaxiM</f>
        <v>7.6134961818666324E-5</v>
      </c>
      <c r="Q118" s="307">
        <f t="shared" si="28"/>
        <v>1</v>
      </c>
      <c r="R118" s="179">
        <f t="shared" si="29"/>
        <v>0.26027363273443571</v>
      </c>
      <c r="S118" s="837">
        <f t="shared" si="46"/>
        <v>-3</v>
      </c>
      <c r="T118" s="178">
        <f t="shared" si="30"/>
        <v>3</v>
      </c>
      <c r="U118" s="253">
        <f t="shared" si="31"/>
        <v>-2.7397263672655643</v>
      </c>
      <c r="V118" s="385">
        <f t="shared" si="32"/>
        <v>57.01910050511691</v>
      </c>
      <c r="W118" s="58"/>
      <c r="X118" s="157">
        <f t="shared" si="33"/>
        <v>43204</v>
      </c>
      <c r="Y118" s="387">
        <f t="shared" si="34"/>
        <v>0</v>
      </c>
      <c r="Z118" s="387">
        <f t="shared" si="35"/>
        <v>0</v>
      </c>
      <c r="AA118" s="388">
        <f t="shared" si="36"/>
        <v>0</v>
      </c>
      <c r="AB118" s="199">
        <f t="shared" si="37"/>
        <v>43204</v>
      </c>
      <c r="AC118" s="426">
        <f t="shared" si="38"/>
        <v>0</v>
      </c>
      <c r="AD118" s="171">
        <f>(INDEX(Models!$BJ118:$BT118,,AH118)*(1-AF118)+INDEX(Models!$BJ118:$BT118,,AH118+1)*AF118-ERP_i)*AE118*Ramure*Pc/MaxiM</f>
        <v>7.6134961818666324E-5</v>
      </c>
      <c r="AE118" s="307">
        <f t="shared" si="39"/>
        <v>1</v>
      </c>
      <c r="AF118" s="179">
        <f t="shared" si="40"/>
        <v>0.26027363273443571</v>
      </c>
      <c r="AG118" s="837">
        <f t="shared" si="41"/>
        <v>-3</v>
      </c>
      <c r="AH118" s="178">
        <f t="shared" si="42"/>
        <v>3</v>
      </c>
      <c r="AI118" s="227">
        <f t="shared" si="43"/>
        <v>-2.7397263672655643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customHeight="1" x14ac:dyDescent="0.2">
      <c r="A119" s="56">
        <f t="shared" si="47"/>
        <v>43205</v>
      </c>
      <c r="B119" s="622"/>
      <c r="C119" s="879"/>
      <c r="D119" s="395"/>
      <c r="E119" s="387"/>
      <c r="F119" s="387"/>
      <c r="G119" s="110"/>
      <c r="I119" s="382">
        <f t="shared" si="24"/>
        <v>0</v>
      </c>
      <c r="J119" s="85">
        <v>2018</v>
      </c>
      <c r="K119" s="199">
        <f t="shared" si="25"/>
        <v>43205</v>
      </c>
      <c r="L119" s="437">
        <f t="shared" si="26"/>
        <v>0</v>
      </c>
      <c r="M119" s="881"/>
      <c r="N119" s="881"/>
      <c r="O119" s="326">
        <f t="shared" si="27"/>
        <v>0</v>
      </c>
      <c r="P119" s="171">
        <f>(INDEX(Models!$BJ119:$BT119,,T119)*(1-R119)+INDEX(Models!$BJ119:$BT119,,T119+1)*R119-ERP_i)*Q119*Ramure*Pc/MaxiM</f>
        <v>7.6061874654763563E-5</v>
      </c>
      <c r="Q119" s="307">
        <f t="shared" si="28"/>
        <v>1</v>
      </c>
      <c r="R119" s="179">
        <f t="shared" si="29"/>
        <v>0.26261781696777975</v>
      </c>
      <c r="S119" s="837">
        <f t="shared" si="46"/>
        <v>-3</v>
      </c>
      <c r="T119" s="178">
        <f t="shared" si="30"/>
        <v>3</v>
      </c>
      <c r="U119" s="253">
        <f t="shared" si="31"/>
        <v>-2.7373821830322203</v>
      </c>
      <c r="V119" s="385">
        <f t="shared" si="32"/>
        <v>57.360008587713757</v>
      </c>
      <c r="W119" s="58"/>
      <c r="X119" s="157">
        <f t="shared" si="33"/>
        <v>43205</v>
      </c>
      <c r="Y119" s="387">
        <f t="shared" si="34"/>
        <v>0</v>
      </c>
      <c r="Z119" s="387">
        <f t="shared" si="35"/>
        <v>0</v>
      </c>
      <c r="AA119" s="388">
        <f t="shared" si="36"/>
        <v>0</v>
      </c>
      <c r="AB119" s="199">
        <f t="shared" si="37"/>
        <v>43205</v>
      </c>
      <c r="AC119" s="426">
        <f t="shared" si="38"/>
        <v>0</v>
      </c>
      <c r="AD119" s="171">
        <f>(INDEX(Models!$BJ119:$BT119,,AH119)*(1-AF119)+INDEX(Models!$BJ119:$BT119,,AH119+1)*AF119-ERP_i)*AE119*Ramure*Pc/MaxiM</f>
        <v>7.6061874654763563E-5</v>
      </c>
      <c r="AE119" s="307">
        <f t="shared" si="39"/>
        <v>1</v>
      </c>
      <c r="AF119" s="179">
        <f t="shared" si="40"/>
        <v>0.26261781696777975</v>
      </c>
      <c r="AG119" s="837">
        <f t="shared" si="41"/>
        <v>-3</v>
      </c>
      <c r="AH119" s="178">
        <f t="shared" si="42"/>
        <v>3</v>
      </c>
      <c r="AI119" s="227">
        <f t="shared" si="43"/>
        <v>-2.7373821830322203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7"/>
        <v>43206</v>
      </c>
      <c r="B120" s="622"/>
      <c r="C120" s="879"/>
      <c r="D120" s="395"/>
      <c r="E120" s="387"/>
      <c r="F120" s="387"/>
      <c r="G120" s="110"/>
      <c r="I120" s="382">
        <f t="shared" si="24"/>
        <v>0</v>
      </c>
      <c r="J120" s="85">
        <v>2018</v>
      </c>
      <c r="K120" s="199">
        <f t="shared" si="25"/>
        <v>43206</v>
      </c>
      <c r="L120" s="437">
        <f t="shared" si="26"/>
        <v>0</v>
      </c>
      <c r="M120" s="881"/>
      <c r="N120" s="881"/>
      <c r="O120" s="326">
        <f t="shared" si="27"/>
        <v>0</v>
      </c>
      <c r="P120" s="171">
        <f>(INDEX(Models!$BJ120:$BT120,,T120)*(1-R120)+INDEX(Models!$BJ120:$BT120,,T120+1)*R120-ERP_i)*Q120*Ramure*Pc/MaxiM</f>
        <v>7.5869933483331542E-5</v>
      </c>
      <c r="Q120" s="307">
        <f t="shared" si="28"/>
        <v>1</v>
      </c>
      <c r="R120" s="179">
        <f t="shared" si="29"/>
        <v>0.26504213813087896</v>
      </c>
      <c r="S120" s="837">
        <f t="shared" si="46"/>
        <v>-3</v>
      </c>
      <c r="T120" s="178">
        <f t="shared" si="30"/>
        <v>3</v>
      </c>
      <c r="U120" s="253">
        <f t="shared" si="31"/>
        <v>-2.734957861869121</v>
      </c>
      <c r="V120" s="385">
        <f t="shared" si="32"/>
        <v>57.692822516814907</v>
      </c>
      <c r="W120" s="58"/>
      <c r="X120" s="157">
        <f t="shared" si="33"/>
        <v>43206</v>
      </c>
      <c r="Y120" s="387">
        <f t="shared" si="34"/>
        <v>0</v>
      </c>
      <c r="Z120" s="387">
        <f t="shared" si="35"/>
        <v>0</v>
      </c>
      <c r="AA120" s="388">
        <f t="shared" si="36"/>
        <v>0</v>
      </c>
      <c r="AB120" s="199">
        <f t="shared" si="37"/>
        <v>43206</v>
      </c>
      <c r="AC120" s="426">
        <f t="shared" si="38"/>
        <v>0</v>
      </c>
      <c r="AD120" s="171">
        <f>(INDEX(Models!$BJ120:$BT120,,AH120)*(1-AF120)+INDEX(Models!$BJ120:$BT120,,AH120+1)*AF120-ERP_i)*AE120*Ramure*Pc/MaxiM</f>
        <v>7.5869933483331542E-5</v>
      </c>
      <c r="AE120" s="307">
        <f t="shared" si="39"/>
        <v>1</v>
      </c>
      <c r="AF120" s="179">
        <f t="shared" si="40"/>
        <v>0.26504213813087896</v>
      </c>
      <c r="AG120" s="837">
        <f t="shared" si="41"/>
        <v>-3</v>
      </c>
      <c r="AH120" s="178">
        <f t="shared" si="42"/>
        <v>3</v>
      </c>
      <c r="AI120" s="227">
        <f t="shared" si="43"/>
        <v>-2.734957861869121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7"/>
        <v>43207</v>
      </c>
      <c r="B121" s="622"/>
      <c r="C121" s="879"/>
      <c r="D121" s="395"/>
      <c r="E121" s="387"/>
      <c r="F121" s="387"/>
      <c r="G121" s="110"/>
      <c r="I121" s="382">
        <f t="shared" si="24"/>
        <v>0</v>
      </c>
      <c r="J121" s="85">
        <v>2018</v>
      </c>
      <c r="K121" s="199">
        <f t="shared" si="25"/>
        <v>43207</v>
      </c>
      <c r="L121" s="437">
        <f t="shared" si="26"/>
        <v>0</v>
      </c>
      <c r="M121" s="881"/>
      <c r="N121" s="881"/>
      <c r="O121" s="326">
        <f t="shared" si="27"/>
        <v>0</v>
      </c>
      <c r="P121" s="171">
        <f>(INDEX(Models!$BJ121:$BT121,,T121)*(1-R121)+INDEX(Models!$BJ121:$BT121,,T121+1)*R121-ERP_i)*Q121*Ramure*Pc/MaxiM</f>
        <v>7.5548229980818842E-5</v>
      </c>
      <c r="Q121" s="307">
        <f t="shared" si="28"/>
        <v>1</v>
      </c>
      <c r="R121" s="179">
        <f t="shared" si="29"/>
        <v>0.26754862327942686</v>
      </c>
      <c r="S121" s="837">
        <f t="shared" si="46"/>
        <v>-3</v>
      </c>
      <c r="T121" s="178">
        <f t="shared" si="30"/>
        <v>3</v>
      </c>
      <c r="U121" s="253">
        <f t="shared" si="31"/>
        <v>-2.7324513767205731</v>
      </c>
      <c r="V121" s="385">
        <f t="shared" si="32"/>
        <v>58.018786459973335</v>
      </c>
      <c r="W121" s="58"/>
      <c r="X121" s="157">
        <f t="shared" si="33"/>
        <v>43207</v>
      </c>
      <c r="Y121" s="387">
        <f t="shared" si="34"/>
        <v>0</v>
      </c>
      <c r="Z121" s="387">
        <f t="shared" si="35"/>
        <v>0</v>
      </c>
      <c r="AA121" s="388">
        <f t="shared" si="36"/>
        <v>0</v>
      </c>
      <c r="AB121" s="199">
        <f t="shared" si="37"/>
        <v>43207</v>
      </c>
      <c r="AC121" s="426">
        <f t="shared" si="38"/>
        <v>0</v>
      </c>
      <c r="AD121" s="171">
        <f>(INDEX(Models!$BJ121:$BT121,,AH121)*(1-AF121)+INDEX(Models!$BJ121:$BT121,,AH121+1)*AF121-ERP_i)*AE121*Ramure*Pc/MaxiM</f>
        <v>7.5548229980818842E-5</v>
      </c>
      <c r="AE121" s="307">
        <f t="shared" si="39"/>
        <v>1</v>
      </c>
      <c r="AF121" s="179">
        <f t="shared" si="40"/>
        <v>0.26754862327942686</v>
      </c>
      <c r="AG121" s="837">
        <f t="shared" si="41"/>
        <v>-3</v>
      </c>
      <c r="AH121" s="178">
        <f t="shared" si="42"/>
        <v>3</v>
      </c>
      <c r="AI121" s="227">
        <f t="shared" si="43"/>
        <v>-2.7324513767205731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77">
        <f t="shared" si="47"/>
        <v>43208</v>
      </c>
      <c r="B122" s="623"/>
      <c r="C122" s="879"/>
      <c r="D122" s="395"/>
      <c r="E122" s="387"/>
      <c r="F122" s="387"/>
      <c r="G122" s="110"/>
      <c r="H122" s="17"/>
      <c r="I122" s="382">
        <f t="shared" si="24"/>
        <v>0</v>
      </c>
      <c r="J122" s="85">
        <v>2018</v>
      </c>
      <c r="K122" s="199">
        <f t="shared" si="25"/>
        <v>43208</v>
      </c>
      <c r="L122" s="453">
        <f t="shared" si="26"/>
        <v>0</v>
      </c>
      <c r="M122" s="881"/>
      <c r="N122" s="881"/>
      <c r="O122" s="326">
        <f t="shared" si="27"/>
        <v>0</v>
      </c>
      <c r="P122" s="171">
        <f>(INDEX(Models!$BJ122:$BT122,,T122)*(1-R122)+INDEX(Models!$BJ122:$BT122,,T122+1)*R122-ERP_i)*Q122*Ramure*Pc/MaxiM</f>
        <v>7.5068014279811905E-5</v>
      </c>
      <c r="Q122" s="307">
        <f t="shared" si="28"/>
        <v>1</v>
      </c>
      <c r="R122" s="179">
        <f t="shared" si="29"/>
        <v>0.27013929573123896</v>
      </c>
      <c r="S122" s="837">
        <f t="shared" si="46"/>
        <v>-3</v>
      </c>
      <c r="T122" s="178">
        <f t="shared" si="30"/>
        <v>3</v>
      </c>
      <c r="U122" s="253">
        <f t="shared" si="31"/>
        <v>-2.729860704268761</v>
      </c>
      <c r="V122" s="385">
        <f t="shared" si="32"/>
        <v>58.339145631974056</v>
      </c>
      <c r="W122" s="435"/>
      <c r="X122" s="157">
        <f t="shared" si="33"/>
        <v>43208</v>
      </c>
      <c r="Y122" s="387">
        <f t="shared" si="34"/>
        <v>0</v>
      </c>
      <c r="Z122" s="387">
        <f t="shared" si="35"/>
        <v>0</v>
      </c>
      <c r="AA122" s="388">
        <f t="shared" si="36"/>
        <v>0</v>
      </c>
      <c r="AB122" s="199">
        <f t="shared" si="37"/>
        <v>43208</v>
      </c>
      <c r="AC122" s="452">
        <f t="shared" si="38"/>
        <v>0</v>
      </c>
      <c r="AD122" s="171">
        <f>(INDEX(Models!$BJ122:$BT122,,AH122)*(1-AF122)+INDEX(Models!$BJ122:$BT122,,AH122+1)*AF122-ERP_i)*AE122*Ramure*Pc/MaxiM</f>
        <v>7.5068014279811905E-5</v>
      </c>
      <c r="AE122" s="307">
        <f t="shared" si="39"/>
        <v>1</v>
      </c>
      <c r="AF122" s="179">
        <f t="shared" si="40"/>
        <v>0.27013929573123896</v>
      </c>
      <c r="AG122" s="837">
        <f t="shared" si="41"/>
        <v>-3</v>
      </c>
      <c r="AH122" s="178">
        <f t="shared" si="42"/>
        <v>3</v>
      </c>
      <c r="AI122" s="227">
        <f t="shared" si="43"/>
        <v>-2.729860704268761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7"/>
        <v>43209</v>
      </c>
      <c r="B123" s="622"/>
      <c r="C123" s="879"/>
      <c r="D123" s="395"/>
      <c r="E123" s="387"/>
      <c r="F123" s="387"/>
      <c r="G123" s="110"/>
      <c r="H123" s="436"/>
      <c r="I123" s="382">
        <f t="shared" si="24"/>
        <v>0</v>
      </c>
      <c r="J123" s="85">
        <v>2018</v>
      </c>
      <c r="K123" s="199">
        <f t="shared" si="25"/>
        <v>43209</v>
      </c>
      <c r="L123" s="437">
        <f t="shared" si="26"/>
        <v>0</v>
      </c>
      <c r="M123" s="881"/>
      <c r="N123" s="881"/>
      <c r="O123" s="326">
        <f t="shared" si="27"/>
        <v>0</v>
      </c>
      <c r="P123" s="171">
        <f>(INDEX(Models!$BJ123:$BT123,,T123)*(1-R123)+INDEX(Models!$BJ123:$BT123,,T123+1)*R123-ERP_i)*Q123*Ramure*Pc/MaxiM</f>
        <v>7.4457691950524462E-5</v>
      </c>
      <c r="Q123" s="307">
        <f t="shared" si="28"/>
        <v>1</v>
      </c>
      <c r="R123" s="179">
        <f t="shared" si="29"/>
        <v>0.27281617004973047</v>
      </c>
      <c r="S123" s="837">
        <f t="shared" si="46"/>
        <v>-3</v>
      </c>
      <c r="T123" s="178">
        <f t="shared" si="30"/>
        <v>3</v>
      </c>
      <c r="U123" s="253">
        <f t="shared" si="31"/>
        <v>-2.7271838299502695</v>
      </c>
      <c r="V123" s="385">
        <f t="shared" si="32"/>
        <v>58.653559397005814</v>
      </c>
      <c r="W123" s="435"/>
      <c r="X123" s="157">
        <f t="shared" si="33"/>
        <v>43209</v>
      </c>
      <c r="Y123" s="387">
        <f t="shared" si="34"/>
        <v>0</v>
      </c>
      <c r="Z123" s="387">
        <f t="shared" si="35"/>
        <v>0</v>
      </c>
      <c r="AA123" s="388">
        <f t="shared" si="36"/>
        <v>0</v>
      </c>
      <c r="AB123" s="199">
        <f t="shared" si="37"/>
        <v>43209</v>
      </c>
      <c r="AC123" s="438">
        <f t="shared" si="38"/>
        <v>0</v>
      </c>
      <c r="AD123" s="171">
        <f>(INDEX(Models!$BJ123:$BT123,,AH123)*(1-AF123)+INDEX(Models!$BJ123:$BT123,,AH123+1)*AF123-ERP_i)*AE123*Ramure*Pc/MaxiM</f>
        <v>7.4457691950524462E-5</v>
      </c>
      <c r="AE123" s="307">
        <f t="shared" si="39"/>
        <v>1</v>
      </c>
      <c r="AF123" s="179">
        <f t="shared" si="40"/>
        <v>0.27281617004973047</v>
      </c>
      <c r="AG123" s="837">
        <f t="shared" si="41"/>
        <v>-3</v>
      </c>
      <c r="AH123" s="178">
        <f t="shared" si="42"/>
        <v>3</v>
      </c>
      <c r="AI123" s="227">
        <f t="shared" si="43"/>
        <v>-2.7271838299502695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customHeight="1" x14ac:dyDescent="0.2">
      <c r="A124" s="56">
        <f t="shared" si="47"/>
        <v>43210</v>
      </c>
      <c r="B124" s="622"/>
      <c r="C124" s="879"/>
      <c r="D124" s="395"/>
      <c r="E124" s="387"/>
      <c r="F124" s="387"/>
      <c r="G124" s="110"/>
      <c r="I124" s="382">
        <f t="shared" si="24"/>
        <v>0</v>
      </c>
      <c r="J124" s="85">
        <v>2018</v>
      </c>
      <c r="K124" s="199">
        <f t="shared" si="25"/>
        <v>43210</v>
      </c>
      <c r="L124" s="437">
        <f t="shared" si="26"/>
        <v>0</v>
      </c>
      <c r="M124" s="881"/>
      <c r="N124" s="881"/>
      <c r="O124" s="326">
        <f t="shared" si="27"/>
        <v>0</v>
      </c>
      <c r="P124" s="171">
        <f>(INDEX(Models!$BJ124:$BT124,,T124)*(1-R124)+INDEX(Models!$BJ124:$BT124,,T124+1)*R124-ERP_i)*Q124*Ramure*Pc/MaxiM</f>
        <v>7.3709147451382927E-5</v>
      </c>
      <c r="Q124" s="307">
        <f t="shared" si="28"/>
        <v>1</v>
      </c>
      <c r="R124" s="179">
        <f t="shared" si="29"/>
        <v>0.27558124666986705</v>
      </c>
      <c r="S124" s="837">
        <f t="shared" si="46"/>
        <v>-3</v>
      </c>
      <c r="T124" s="178">
        <f t="shared" si="30"/>
        <v>3</v>
      </c>
      <c r="U124" s="253">
        <f t="shared" si="31"/>
        <v>-2.7244187533301329</v>
      </c>
      <c r="V124" s="385">
        <f t="shared" si="32"/>
        <v>58.961689232610205</v>
      </c>
      <c r="W124" s="58"/>
      <c r="X124" s="157">
        <f t="shared" si="33"/>
        <v>43210</v>
      </c>
      <c r="Y124" s="387">
        <f t="shared" si="34"/>
        <v>0</v>
      </c>
      <c r="Z124" s="387">
        <f t="shared" si="35"/>
        <v>0</v>
      </c>
      <c r="AA124" s="388">
        <f t="shared" si="36"/>
        <v>0</v>
      </c>
      <c r="AB124" s="199">
        <f t="shared" si="37"/>
        <v>43210</v>
      </c>
      <c r="AC124" s="426">
        <f t="shared" si="38"/>
        <v>0</v>
      </c>
      <c r="AD124" s="171">
        <f>(INDEX(Models!$BJ124:$BT124,,AH124)*(1-AF124)+INDEX(Models!$BJ124:$BT124,,AH124+1)*AF124-ERP_i)*AE124*Ramure*Pc/MaxiM</f>
        <v>7.3709147451382927E-5</v>
      </c>
      <c r="AE124" s="307">
        <f t="shared" si="39"/>
        <v>1</v>
      </c>
      <c r="AF124" s="179">
        <f t="shared" si="40"/>
        <v>0.27558124666986705</v>
      </c>
      <c r="AG124" s="837">
        <f t="shared" si="41"/>
        <v>-3</v>
      </c>
      <c r="AH124" s="178">
        <f t="shared" si="42"/>
        <v>3</v>
      </c>
      <c r="AI124" s="227">
        <f t="shared" si="43"/>
        <v>-2.7244187533301329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7"/>
        <v>43211</v>
      </c>
      <c r="B125" s="622"/>
      <c r="C125" s="879"/>
      <c r="D125" s="395"/>
      <c r="E125" s="387"/>
      <c r="F125" s="387"/>
      <c r="G125" s="110"/>
      <c r="I125" s="382">
        <f t="shared" si="24"/>
        <v>0</v>
      </c>
      <c r="J125" s="85">
        <v>2018</v>
      </c>
      <c r="K125" s="199">
        <f t="shared" si="25"/>
        <v>43211</v>
      </c>
      <c r="L125" s="437">
        <f t="shared" si="26"/>
        <v>0</v>
      </c>
      <c r="M125" s="881"/>
      <c r="N125" s="881"/>
      <c r="O125" s="326">
        <f t="shared" si="27"/>
        <v>0</v>
      </c>
      <c r="P125" s="171">
        <f>(INDEX(Models!$BJ125:$BT125,,T125)*(1-R125)+INDEX(Models!$BJ125:$BT125,,T125+1)*R125-ERP_i)*Q125*Ramure*Pc/MaxiM</f>
        <v>7.2814092908273236E-5</v>
      </c>
      <c r="Q125" s="307">
        <f t="shared" si="28"/>
        <v>1</v>
      </c>
      <c r="R125" s="179">
        <f t="shared" si="29"/>
        <v>0.27843650616152971</v>
      </c>
      <c r="S125" s="837">
        <f t="shared" si="46"/>
        <v>-3</v>
      </c>
      <c r="T125" s="178">
        <f t="shared" si="30"/>
        <v>3</v>
      </c>
      <c r="U125" s="253">
        <f t="shared" si="31"/>
        <v>-2.7215634938384703</v>
      </c>
      <c r="V125" s="385">
        <f t="shared" si="32"/>
        <v>59.263196625125801</v>
      </c>
      <c r="W125" s="58"/>
      <c r="X125" s="157">
        <f t="shared" si="33"/>
        <v>43211</v>
      </c>
      <c r="Y125" s="387">
        <f t="shared" si="34"/>
        <v>0</v>
      </c>
      <c r="Z125" s="387">
        <f t="shared" si="35"/>
        <v>0</v>
      </c>
      <c r="AA125" s="388">
        <f t="shared" si="36"/>
        <v>0</v>
      </c>
      <c r="AB125" s="199">
        <f t="shared" si="37"/>
        <v>43211</v>
      </c>
      <c r="AC125" s="426">
        <f t="shared" si="38"/>
        <v>0</v>
      </c>
      <c r="AD125" s="171">
        <f>(INDEX(Models!$BJ125:$BT125,,AH125)*(1-AF125)+INDEX(Models!$BJ125:$BT125,,AH125+1)*AF125-ERP_i)*AE125*Ramure*Pc/MaxiM</f>
        <v>7.2814092908273236E-5</v>
      </c>
      <c r="AE125" s="307">
        <f t="shared" si="39"/>
        <v>1</v>
      </c>
      <c r="AF125" s="179">
        <f t="shared" si="40"/>
        <v>0.27843650616152971</v>
      </c>
      <c r="AG125" s="837">
        <f t="shared" si="41"/>
        <v>-3</v>
      </c>
      <c r="AH125" s="178">
        <f t="shared" si="42"/>
        <v>3</v>
      </c>
      <c r="AI125" s="227">
        <f t="shared" si="43"/>
        <v>-2.7215634938384703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customHeight="1" x14ac:dyDescent="0.2">
      <c r="A126" s="56">
        <f t="shared" si="47"/>
        <v>43212</v>
      </c>
      <c r="B126" s="622"/>
      <c r="C126" s="879"/>
      <c r="D126" s="395"/>
      <c r="E126" s="387"/>
      <c r="F126" s="387"/>
      <c r="G126" s="110"/>
      <c r="I126" s="382">
        <f t="shared" si="24"/>
        <v>0</v>
      </c>
      <c r="J126" s="85">
        <v>2018</v>
      </c>
      <c r="K126" s="199">
        <f t="shared" si="25"/>
        <v>43212</v>
      </c>
      <c r="L126" s="437">
        <f t="shared" si="26"/>
        <v>0</v>
      </c>
      <c r="M126" s="881"/>
      <c r="N126" s="881"/>
      <c r="O126" s="326">
        <f t="shared" si="27"/>
        <v>0</v>
      </c>
      <c r="P126" s="171">
        <f>(INDEX(Models!$BJ126:$BT126,,T126)*(1-R126)+INDEX(Models!$BJ126:$BT126,,T126+1)*R126-ERP_i)*Q126*Ramure*Pc/MaxiM</f>
        <v>7.1763842733651902E-5</v>
      </c>
      <c r="Q126" s="307">
        <f t="shared" si="28"/>
        <v>1</v>
      </c>
      <c r="R126" s="179">
        <f t="shared" si="29"/>
        <v>0.28138390312716499</v>
      </c>
      <c r="S126" s="837">
        <f t="shared" si="46"/>
        <v>-3</v>
      </c>
      <c r="T126" s="178">
        <f t="shared" si="30"/>
        <v>3</v>
      </c>
      <c r="U126" s="253">
        <f t="shared" si="31"/>
        <v>-2.718616096872835</v>
      </c>
      <c r="V126" s="385">
        <f t="shared" si="32"/>
        <v>59.557743093055123</v>
      </c>
      <c r="W126" s="58"/>
      <c r="X126" s="157">
        <f t="shared" si="33"/>
        <v>43212</v>
      </c>
      <c r="Y126" s="387">
        <f t="shared" si="34"/>
        <v>0</v>
      </c>
      <c r="Z126" s="387">
        <f t="shared" si="35"/>
        <v>0</v>
      </c>
      <c r="AA126" s="388">
        <f t="shared" si="36"/>
        <v>0</v>
      </c>
      <c r="AB126" s="199">
        <f t="shared" si="37"/>
        <v>43212</v>
      </c>
      <c r="AC126" s="426">
        <f t="shared" si="38"/>
        <v>0</v>
      </c>
      <c r="AD126" s="171">
        <f>(INDEX(Models!$BJ126:$BT126,,AH126)*(1-AF126)+INDEX(Models!$BJ126:$BT126,,AH126+1)*AF126-ERP_i)*AE126*Ramure*Pc/MaxiM</f>
        <v>7.1763842733651902E-5</v>
      </c>
      <c r="AE126" s="307">
        <f t="shared" si="39"/>
        <v>1</v>
      </c>
      <c r="AF126" s="179">
        <f t="shared" si="40"/>
        <v>0.28138390312716499</v>
      </c>
      <c r="AG126" s="837">
        <f t="shared" si="41"/>
        <v>-3</v>
      </c>
      <c r="AH126" s="178">
        <f t="shared" si="42"/>
        <v>3</v>
      </c>
      <c r="AI126" s="227">
        <f t="shared" si="43"/>
        <v>-2.718616096872835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customHeight="1" x14ac:dyDescent="0.2">
      <c r="A127" s="56">
        <f t="shared" si="47"/>
        <v>43213</v>
      </c>
      <c r="B127" s="622"/>
      <c r="C127" s="879"/>
      <c r="D127" s="395"/>
      <c r="E127" s="387"/>
      <c r="F127" s="387"/>
      <c r="G127" s="110"/>
      <c r="I127" s="382">
        <f t="shared" si="24"/>
        <v>0</v>
      </c>
      <c r="J127" s="85">
        <v>2018</v>
      </c>
      <c r="K127" s="199">
        <f t="shared" si="25"/>
        <v>43213</v>
      </c>
      <c r="L127" s="437">
        <f t="shared" si="26"/>
        <v>0</v>
      </c>
      <c r="M127" s="881"/>
      <c r="N127" s="881"/>
      <c r="O127" s="326">
        <f t="shared" si="27"/>
        <v>0</v>
      </c>
      <c r="P127" s="171">
        <f>(INDEX(Models!$BJ127:$BT127,,T127)*(1-R127)+INDEX(Models!$BJ127:$BT127,,T127+1)*R127-ERP_i)*Q127*Ramure*Pc/MaxiM</f>
        <v>7.0549094127540714E-5</v>
      </c>
      <c r="Q127" s="307">
        <f t="shared" si="28"/>
        <v>1</v>
      </c>
      <c r="R127" s="179">
        <f t="shared" si="29"/>
        <v>0.28442535973281169</v>
      </c>
      <c r="S127" s="837">
        <f t="shared" si="46"/>
        <v>-3</v>
      </c>
      <c r="T127" s="178">
        <f t="shared" si="30"/>
        <v>3</v>
      </c>
      <c r="U127" s="253">
        <f t="shared" si="31"/>
        <v>-2.7155746402671883</v>
      </c>
      <c r="V127" s="385">
        <f t="shared" si="32"/>
        <v>59.84499019272684</v>
      </c>
      <c r="W127" s="58"/>
      <c r="X127" s="157">
        <f t="shared" si="33"/>
        <v>43213</v>
      </c>
      <c r="Y127" s="387">
        <f t="shared" si="34"/>
        <v>0</v>
      </c>
      <c r="Z127" s="387">
        <f t="shared" si="35"/>
        <v>0</v>
      </c>
      <c r="AA127" s="388">
        <f t="shared" si="36"/>
        <v>0</v>
      </c>
      <c r="AB127" s="199">
        <f t="shared" si="37"/>
        <v>43213</v>
      </c>
      <c r="AC127" s="426">
        <f t="shared" si="38"/>
        <v>0</v>
      </c>
      <c r="AD127" s="171">
        <f>(INDEX(Models!$BJ127:$BT127,,AH127)*(1-AF127)+INDEX(Models!$BJ127:$BT127,,AH127+1)*AF127-ERP_i)*AE127*Ramure*Pc/MaxiM</f>
        <v>7.0549094127540714E-5</v>
      </c>
      <c r="AE127" s="307">
        <f t="shared" si="39"/>
        <v>1</v>
      </c>
      <c r="AF127" s="179">
        <f t="shared" si="40"/>
        <v>0.28442535973281169</v>
      </c>
      <c r="AG127" s="837">
        <f t="shared" si="41"/>
        <v>-3</v>
      </c>
      <c r="AH127" s="178">
        <f t="shared" si="42"/>
        <v>3</v>
      </c>
      <c r="AI127" s="227">
        <f t="shared" si="43"/>
        <v>-2.7155746402671883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customHeight="1" x14ac:dyDescent="0.2">
      <c r="A128" s="56">
        <f t="shared" si="47"/>
        <v>43214</v>
      </c>
      <c r="B128" s="622"/>
      <c r="C128" s="879"/>
      <c r="D128" s="395"/>
      <c r="E128" s="387"/>
      <c r="F128" s="387"/>
      <c r="G128" s="110"/>
      <c r="I128" s="382">
        <f t="shared" si="24"/>
        <v>0</v>
      </c>
      <c r="J128" s="85">
        <v>2018</v>
      </c>
      <c r="K128" s="199">
        <f t="shared" si="25"/>
        <v>43214</v>
      </c>
      <c r="L128" s="437">
        <f t="shared" si="26"/>
        <v>0</v>
      </c>
      <c r="M128" s="881"/>
      <c r="N128" s="881"/>
      <c r="O128" s="326">
        <f t="shared" si="27"/>
        <v>0</v>
      </c>
      <c r="P128" s="171">
        <f>(INDEX(Models!$BJ128:$BT128,,T128)*(1-R128)+INDEX(Models!$BJ128:$BT128,,T128+1)*R128-ERP_i)*Q128*Ramure*Pc/MaxiM</f>
        <v>6.920857501296875E-5</v>
      </c>
      <c r="Q128" s="307">
        <f t="shared" si="28"/>
        <v>1</v>
      </c>
      <c r="R128" s="179">
        <f t="shared" si="29"/>
        <v>0.28756275887402571</v>
      </c>
      <c r="S128" s="837">
        <f t="shared" si="46"/>
        <v>-3</v>
      </c>
      <c r="T128" s="178">
        <f t="shared" si="30"/>
        <v>3</v>
      </c>
      <c r="U128" s="253">
        <f t="shared" si="31"/>
        <v>-2.7124372411259743</v>
      </c>
      <c r="V128" s="385">
        <f t="shared" si="32"/>
        <v>60.124596591101231</v>
      </c>
      <c r="W128" s="58"/>
      <c r="X128" s="157">
        <f t="shared" si="33"/>
        <v>43214</v>
      </c>
      <c r="Y128" s="387">
        <f t="shared" si="34"/>
        <v>0</v>
      </c>
      <c r="Z128" s="387">
        <f t="shared" si="35"/>
        <v>0</v>
      </c>
      <c r="AA128" s="388">
        <f t="shared" si="36"/>
        <v>0</v>
      </c>
      <c r="AB128" s="199">
        <f t="shared" si="37"/>
        <v>43214</v>
      </c>
      <c r="AC128" s="426">
        <f t="shared" si="38"/>
        <v>0</v>
      </c>
      <c r="AD128" s="171">
        <f>(INDEX(Models!$BJ128:$BT128,,AH128)*(1-AF128)+INDEX(Models!$BJ128:$BT128,,AH128+1)*AF128-ERP_i)*AE128*Ramure*Pc/MaxiM</f>
        <v>6.920857501296875E-5</v>
      </c>
      <c r="AE128" s="307">
        <f t="shared" si="39"/>
        <v>1</v>
      </c>
      <c r="AF128" s="179">
        <f t="shared" si="40"/>
        <v>0.28756275887402571</v>
      </c>
      <c r="AG128" s="837">
        <f t="shared" si="41"/>
        <v>-3</v>
      </c>
      <c r="AH128" s="178">
        <f t="shared" si="42"/>
        <v>3</v>
      </c>
      <c r="AI128" s="227">
        <f t="shared" si="43"/>
        <v>-2.7124372411259743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customHeight="1" x14ac:dyDescent="0.2">
      <c r="A129" s="56">
        <f t="shared" si="47"/>
        <v>43215</v>
      </c>
      <c r="B129" s="622"/>
      <c r="C129" s="879"/>
      <c r="D129" s="395"/>
      <c r="E129" s="387"/>
      <c r="F129" s="387"/>
      <c r="G129" s="110"/>
      <c r="I129" s="382">
        <f t="shared" si="24"/>
        <v>0</v>
      </c>
      <c r="J129" s="85">
        <v>2018</v>
      </c>
      <c r="K129" s="199">
        <f t="shared" si="25"/>
        <v>43215</v>
      </c>
      <c r="L129" s="437">
        <f t="shared" si="26"/>
        <v>0</v>
      </c>
      <c r="M129" s="881"/>
      <c r="N129" s="881"/>
      <c r="O129" s="326">
        <f t="shared" si="27"/>
        <v>0</v>
      </c>
      <c r="P129" s="171">
        <f>(INDEX(Models!$BJ129:$BT129,,T129)*(1-R129)+INDEX(Models!$BJ129:$BT129,,T129+1)*R129-ERP_i)*Q129*Ramure*Pc/MaxiM</f>
        <v>6.7734382198501877E-5</v>
      </c>
      <c r="Q129" s="307">
        <f t="shared" si="28"/>
        <v>1</v>
      </c>
      <c r="R129" s="179">
        <f t="shared" si="29"/>
        <v>0.29079793698097811</v>
      </c>
      <c r="S129" s="837">
        <f t="shared" si="46"/>
        <v>-3</v>
      </c>
      <c r="T129" s="178">
        <f t="shared" si="30"/>
        <v>3</v>
      </c>
      <c r="U129" s="253">
        <f t="shared" si="31"/>
        <v>-2.7092020630190219</v>
      </c>
      <c r="V129" s="385">
        <f t="shared" si="32"/>
        <v>60.396223727586161</v>
      </c>
      <c r="W129" s="58"/>
      <c r="X129" s="157">
        <f t="shared" si="33"/>
        <v>43215</v>
      </c>
      <c r="Y129" s="387">
        <f t="shared" si="34"/>
        <v>0</v>
      </c>
      <c r="Z129" s="387">
        <f t="shared" si="35"/>
        <v>0</v>
      </c>
      <c r="AA129" s="388">
        <f t="shared" si="36"/>
        <v>0</v>
      </c>
      <c r="AB129" s="199">
        <f t="shared" si="37"/>
        <v>43215</v>
      </c>
      <c r="AC129" s="426">
        <f t="shared" si="38"/>
        <v>0</v>
      </c>
      <c r="AD129" s="171">
        <f>(INDEX(Models!$BJ129:$BT129,,AH129)*(1-AF129)+INDEX(Models!$BJ129:$BT129,,AH129+1)*AF129-ERP_i)*AE129*Ramure*Pc/MaxiM</f>
        <v>6.7734382198501877E-5</v>
      </c>
      <c r="AE129" s="307">
        <f t="shared" si="39"/>
        <v>1</v>
      </c>
      <c r="AF129" s="179">
        <f t="shared" si="40"/>
        <v>0.29079793698097811</v>
      </c>
      <c r="AG129" s="837">
        <f t="shared" si="41"/>
        <v>-3</v>
      </c>
      <c r="AH129" s="178">
        <f t="shared" si="42"/>
        <v>3</v>
      </c>
      <c r="AI129" s="227">
        <f t="shared" si="43"/>
        <v>-2.7092020630190219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customHeight="1" x14ac:dyDescent="0.2">
      <c r="A130" s="56">
        <f t="shared" si="47"/>
        <v>43216</v>
      </c>
      <c r="B130" s="622"/>
      <c r="C130" s="879"/>
      <c r="D130" s="395"/>
      <c r="E130" s="387"/>
      <c r="F130" s="387"/>
      <c r="G130" s="110"/>
      <c r="I130" s="382">
        <f t="shared" si="24"/>
        <v>0</v>
      </c>
      <c r="J130" s="85">
        <v>2018</v>
      </c>
      <c r="K130" s="199">
        <f t="shared" si="25"/>
        <v>43216</v>
      </c>
      <c r="L130" s="437">
        <f t="shared" si="26"/>
        <v>0</v>
      </c>
      <c r="M130" s="881"/>
      <c r="N130" s="881"/>
      <c r="O130" s="326">
        <f t="shared" si="27"/>
        <v>0</v>
      </c>
      <c r="P130" s="171">
        <f>(INDEX(Models!$BJ130:$BT130,,T130)*(1-R130)+INDEX(Models!$BJ130:$BT130,,T130+1)*R130-ERP_i)*Q130*Ramure*Pc/MaxiM</f>
        <v>6.6120617939825771E-5</v>
      </c>
      <c r="Q130" s="307">
        <f t="shared" si="28"/>
        <v>1</v>
      </c>
      <c r="R130" s="179">
        <f t="shared" si="29"/>
        <v>0.29413267646998076</v>
      </c>
      <c r="S130" s="837">
        <f t="shared" si="46"/>
        <v>-3</v>
      </c>
      <c r="T130" s="178">
        <f t="shared" si="30"/>
        <v>3</v>
      </c>
      <c r="U130" s="253">
        <f t="shared" si="31"/>
        <v>-2.7058673235300192</v>
      </c>
      <c r="V130" s="385">
        <f t="shared" si="32"/>
        <v>60.659532911806878</v>
      </c>
      <c r="W130" s="58"/>
      <c r="X130" s="157">
        <f t="shared" si="33"/>
        <v>43216</v>
      </c>
      <c r="Y130" s="387">
        <f t="shared" si="34"/>
        <v>0</v>
      </c>
      <c r="Z130" s="387">
        <f t="shared" si="35"/>
        <v>0</v>
      </c>
      <c r="AA130" s="388">
        <f t="shared" si="36"/>
        <v>0</v>
      </c>
      <c r="AB130" s="199">
        <f t="shared" si="37"/>
        <v>43216</v>
      </c>
      <c r="AC130" s="426">
        <f t="shared" si="38"/>
        <v>0</v>
      </c>
      <c r="AD130" s="171">
        <f>(INDEX(Models!$BJ130:$BT130,,AH130)*(1-AF130)+INDEX(Models!$BJ130:$BT130,,AH130+1)*AF130-ERP_i)*AE130*Ramure*Pc/MaxiM</f>
        <v>6.6120617939825771E-5</v>
      </c>
      <c r="AE130" s="307">
        <f t="shared" si="39"/>
        <v>1</v>
      </c>
      <c r="AF130" s="179">
        <f t="shared" si="40"/>
        <v>0.29413267646998076</v>
      </c>
      <c r="AG130" s="837">
        <f t="shared" si="41"/>
        <v>-3</v>
      </c>
      <c r="AH130" s="178">
        <f t="shared" si="42"/>
        <v>3</v>
      </c>
      <c r="AI130" s="227">
        <f t="shared" si="43"/>
        <v>-2.7058673235300192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customHeight="1" x14ac:dyDescent="0.2">
      <c r="A131" s="56">
        <f t="shared" si="47"/>
        <v>43217</v>
      </c>
      <c r="B131" s="622"/>
      <c r="C131" s="879"/>
      <c r="D131" s="395"/>
      <c r="E131" s="387"/>
      <c r="F131" s="387"/>
      <c r="G131" s="110"/>
      <c r="I131" s="382">
        <f t="shared" si="24"/>
        <v>0</v>
      </c>
      <c r="J131" s="85">
        <v>2018</v>
      </c>
      <c r="K131" s="199">
        <f t="shared" si="25"/>
        <v>43217</v>
      </c>
      <c r="L131" s="437">
        <f t="shared" si="26"/>
        <v>0</v>
      </c>
      <c r="M131" s="881"/>
      <c r="N131" s="881"/>
      <c r="O131" s="326">
        <f t="shared" si="27"/>
        <v>0</v>
      </c>
      <c r="P131" s="171">
        <f>(INDEX(Models!$BJ131:$BT131,,T131)*(1-R131)+INDEX(Models!$BJ131:$BT131,,T131+1)*R131-ERP_i)*Q131*Ramure*Pc/MaxiM</f>
        <v>6.4361209461478682E-5</v>
      </c>
      <c r="Q131" s="307">
        <f t="shared" si="28"/>
        <v>1</v>
      </c>
      <c r="R131" s="179">
        <f t="shared" si="29"/>
        <v>0.2975686978519696</v>
      </c>
      <c r="S131" s="837">
        <f t="shared" si="46"/>
        <v>-3</v>
      </c>
      <c r="T131" s="178">
        <f t="shared" si="30"/>
        <v>3</v>
      </c>
      <c r="U131" s="253">
        <f t="shared" si="31"/>
        <v>-2.7024313021480304</v>
      </c>
      <c r="V131" s="385">
        <f t="shared" si="32"/>
        <v>60.91418546847077</v>
      </c>
      <c r="W131" s="58"/>
      <c r="X131" s="157">
        <f t="shared" si="33"/>
        <v>43217</v>
      </c>
      <c r="Y131" s="387">
        <f t="shared" si="34"/>
        <v>0</v>
      </c>
      <c r="Z131" s="387">
        <f t="shared" si="35"/>
        <v>0</v>
      </c>
      <c r="AA131" s="388">
        <f t="shared" si="36"/>
        <v>0</v>
      </c>
      <c r="AB131" s="199">
        <f t="shared" si="37"/>
        <v>43217</v>
      </c>
      <c r="AC131" s="426">
        <f t="shared" si="38"/>
        <v>0</v>
      </c>
      <c r="AD131" s="171">
        <f>(INDEX(Models!$BJ131:$BT131,,AH131)*(1-AF131)+INDEX(Models!$BJ131:$BT131,,AH131+1)*AF131-ERP_i)*AE131*Ramure*Pc/MaxiM</f>
        <v>6.4361209461478682E-5</v>
      </c>
      <c r="AE131" s="307">
        <f t="shared" si="39"/>
        <v>1</v>
      </c>
      <c r="AF131" s="179">
        <f t="shared" si="40"/>
        <v>0.2975686978519696</v>
      </c>
      <c r="AG131" s="837">
        <f t="shared" si="41"/>
        <v>-3</v>
      </c>
      <c r="AH131" s="178">
        <f t="shared" si="42"/>
        <v>3</v>
      </c>
      <c r="AI131" s="227">
        <f t="shared" si="43"/>
        <v>-2.7024313021480304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customHeight="1" x14ac:dyDescent="0.2">
      <c r="A132" s="56">
        <f t="shared" si="47"/>
        <v>43218</v>
      </c>
      <c r="B132" s="622"/>
      <c r="C132" s="879"/>
      <c r="D132" s="395"/>
      <c r="E132" s="387"/>
      <c r="F132" s="387"/>
      <c r="G132" s="110"/>
      <c r="I132" s="382">
        <f t="shared" si="24"/>
        <v>0</v>
      </c>
      <c r="J132" s="85">
        <v>2018</v>
      </c>
      <c r="K132" s="199">
        <f t="shared" si="25"/>
        <v>43218</v>
      </c>
      <c r="L132" s="437">
        <f t="shared" si="26"/>
        <v>0</v>
      </c>
      <c r="M132" s="881"/>
      <c r="N132" s="881"/>
      <c r="O132" s="326">
        <f t="shared" si="27"/>
        <v>0</v>
      </c>
      <c r="P132" s="171">
        <f>(INDEX(Models!$BJ132:$BT132,,T132)*(1-R132)+INDEX(Models!$BJ132:$BT132,,T132+1)*R132-ERP_i)*Q132*Ramure*Pc/MaxiM</f>
        <v>6.2449909782817412E-5</v>
      </c>
      <c r="Q132" s="307">
        <f t="shared" si="28"/>
        <v>1</v>
      </c>
      <c r="R132" s="179">
        <f t="shared" si="29"/>
        <v>0.3011076515119977</v>
      </c>
      <c r="S132" s="837">
        <f t="shared" si="46"/>
        <v>-3</v>
      </c>
      <c r="T132" s="178">
        <f t="shared" si="30"/>
        <v>3</v>
      </c>
      <c r="U132" s="253">
        <f t="shared" si="31"/>
        <v>-2.6988923484880023</v>
      </c>
      <c r="V132" s="385">
        <f t="shared" si="32"/>
        <v>61.159842724361191</v>
      </c>
      <c r="W132" s="58"/>
      <c r="X132" s="157">
        <f t="shared" si="33"/>
        <v>43218</v>
      </c>
      <c r="Y132" s="387">
        <f t="shared" si="34"/>
        <v>0</v>
      </c>
      <c r="Z132" s="387">
        <f t="shared" si="35"/>
        <v>0</v>
      </c>
      <c r="AA132" s="388">
        <f t="shared" si="36"/>
        <v>0</v>
      </c>
      <c r="AB132" s="199">
        <f t="shared" si="37"/>
        <v>43218</v>
      </c>
      <c r="AC132" s="426">
        <f t="shared" si="38"/>
        <v>0</v>
      </c>
      <c r="AD132" s="171">
        <f>(INDEX(Models!$BJ132:$BT132,,AH132)*(1-AF132)+INDEX(Models!$BJ132:$BT132,,AH132+1)*AF132-ERP_i)*AE132*Ramure*Pc/MaxiM</f>
        <v>6.2449909782817412E-5</v>
      </c>
      <c r="AE132" s="307">
        <f t="shared" si="39"/>
        <v>1</v>
      </c>
      <c r="AF132" s="179">
        <f t="shared" si="40"/>
        <v>0.3011076515119977</v>
      </c>
      <c r="AG132" s="837">
        <f t="shared" si="41"/>
        <v>-3</v>
      </c>
      <c r="AH132" s="178">
        <f t="shared" si="42"/>
        <v>3</v>
      </c>
      <c r="AI132" s="227">
        <f t="shared" si="43"/>
        <v>-2.6988923484880023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customHeight="1" x14ac:dyDescent="0.2">
      <c r="A133" s="56">
        <f t="shared" si="47"/>
        <v>43219</v>
      </c>
      <c r="B133" s="622"/>
      <c r="C133" s="879"/>
      <c r="D133" s="395"/>
      <c r="E133" s="387"/>
      <c r="F133" s="387"/>
      <c r="G133" s="110"/>
      <c r="I133" s="382">
        <f t="shared" si="24"/>
        <v>0</v>
      </c>
      <c r="J133" s="85">
        <v>2018</v>
      </c>
      <c r="K133" s="199">
        <f t="shared" si="25"/>
        <v>43219</v>
      </c>
      <c r="L133" s="437">
        <f t="shared" si="26"/>
        <v>0</v>
      </c>
      <c r="M133" s="881"/>
      <c r="N133" s="881"/>
      <c r="O133" s="326">
        <f t="shared" si="27"/>
        <v>0</v>
      </c>
      <c r="P133" s="171">
        <f>(INDEX(Models!$BJ133:$BT133,,T133)*(1-R133)+INDEX(Models!$BJ133:$BT133,,T133+1)*R133-ERP_i)*Q133*Ramure*Pc/MaxiM</f>
        <v>6.038029891858427E-5</v>
      </c>
      <c r="Q133" s="307">
        <f t="shared" si="28"/>
        <v>1</v>
      </c>
      <c r="R133" s="179">
        <f t="shared" si="29"/>
        <v>0.30475110917758252</v>
      </c>
      <c r="S133" s="837">
        <f t="shared" si="46"/>
        <v>-3</v>
      </c>
      <c r="T133" s="178">
        <f t="shared" si="30"/>
        <v>3</v>
      </c>
      <c r="U133" s="253">
        <f t="shared" si="31"/>
        <v>-2.6952488908224175</v>
      </c>
      <c r="V133" s="385">
        <f t="shared" si="32"/>
        <v>61.396166016687921</v>
      </c>
      <c r="W133" s="58"/>
      <c r="X133" s="157">
        <f t="shared" si="33"/>
        <v>43219</v>
      </c>
      <c r="Y133" s="387">
        <f t="shared" si="34"/>
        <v>0</v>
      </c>
      <c r="Z133" s="387">
        <f t="shared" si="35"/>
        <v>0</v>
      </c>
      <c r="AA133" s="388">
        <f t="shared" si="36"/>
        <v>0</v>
      </c>
      <c r="AB133" s="199">
        <f t="shared" si="37"/>
        <v>43219</v>
      </c>
      <c r="AC133" s="426">
        <f t="shared" si="38"/>
        <v>0</v>
      </c>
      <c r="AD133" s="171">
        <f>(INDEX(Models!$BJ133:$BT133,,AH133)*(1-AF133)+INDEX(Models!$BJ133:$BT133,,AH133+1)*AF133-ERP_i)*AE133*Ramure*Pc/MaxiM</f>
        <v>6.038029891858427E-5</v>
      </c>
      <c r="AE133" s="307">
        <f t="shared" si="39"/>
        <v>1</v>
      </c>
      <c r="AF133" s="179">
        <f t="shared" si="40"/>
        <v>0.30475110917758252</v>
      </c>
      <c r="AG133" s="837">
        <f t="shared" si="41"/>
        <v>-3</v>
      </c>
      <c r="AH133" s="178">
        <f t="shared" si="42"/>
        <v>3</v>
      </c>
      <c r="AI133" s="227">
        <f t="shared" si="43"/>
        <v>-2.6952488908224175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customHeight="1" x14ac:dyDescent="0.2">
      <c r="A134" s="56">
        <f t="shared" si="47"/>
        <v>43220</v>
      </c>
      <c r="B134" s="622"/>
      <c r="C134" s="879"/>
      <c r="D134" s="395"/>
      <c r="E134" s="387"/>
      <c r="F134" s="387"/>
      <c r="G134" s="110"/>
      <c r="I134" s="382">
        <f t="shared" si="24"/>
        <v>0</v>
      </c>
      <c r="J134" s="85">
        <v>2018</v>
      </c>
      <c r="K134" s="199">
        <f t="shared" si="25"/>
        <v>43220</v>
      </c>
      <c r="L134" s="437">
        <f t="shared" si="26"/>
        <v>0</v>
      </c>
      <c r="M134" s="881"/>
      <c r="N134" s="881"/>
      <c r="O134" s="326">
        <f t="shared" si="27"/>
        <v>0</v>
      </c>
      <c r="P134" s="171">
        <f>(INDEX(Models!$BJ134:$BT134,,T134)*(1-R134)+INDEX(Models!$BJ134:$BT134,,T134+1)*R134-ERP_i)*Q134*Ramure*Pc/MaxiM</f>
        <v>5.8145785496123969E-5</v>
      </c>
      <c r="Q134" s="307">
        <f t="shared" si="28"/>
        <v>1</v>
      </c>
      <c r="R134" s="179">
        <f t="shared" si="29"/>
        <v>0.30850055509777352</v>
      </c>
      <c r="S134" s="837">
        <f t="shared" si="46"/>
        <v>-3</v>
      </c>
      <c r="T134" s="178">
        <f t="shared" si="30"/>
        <v>3</v>
      </c>
      <c r="U134" s="253">
        <f t="shared" si="31"/>
        <v>-2.6914994449022265</v>
      </c>
      <c r="V134" s="385">
        <f t="shared" si="32"/>
        <v>61.622816682931635</v>
      </c>
      <c r="W134" s="58"/>
      <c r="X134" s="157">
        <f t="shared" si="33"/>
        <v>43220</v>
      </c>
      <c r="Y134" s="387">
        <f t="shared" si="34"/>
        <v>0</v>
      </c>
      <c r="Z134" s="387">
        <f t="shared" si="35"/>
        <v>0</v>
      </c>
      <c r="AA134" s="388">
        <f t="shared" si="36"/>
        <v>0</v>
      </c>
      <c r="AB134" s="199">
        <f t="shared" si="37"/>
        <v>43220</v>
      </c>
      <c r="AC134" s="426">
        <f t="shared" si="38"/>
        <v>0</v>
      </c>
      <c r="AD134" s="171">
        <f>(INDEX(Models!$BJ134:$BT134,,AH134)*(1-AF134)+INDEX(Models!$BJ134:$BT134,,AH134+1)*AF134-ERP_i)*AE134*Ramure*Pc/MaxiM</f>
        <v>5.8145785496123969E-5</v>
      </c>
      <c r="AE134" s="307">
        <f t="shared" si="39"/>
        <v>1</v>
      </c>
      <c r="AF134" s="179">
        <f t="shared" si="40"/>
        <v>0.30850055509777352</v>
      </c>
      <c r="AG134" s="837">
        <f t="shared" si="41"/>
        <v>-3</v>
      </c>
      <c r="AH134" s="178">
        <f t="shared" si="42"/>
        <v>3</v>
      </c>
      <c r="AI134" s="227">
        <f t="shared" si="43"/>
        <v>-2.6914994449022265</v>
      </c>
      <c r="AJ134" s="267" t="b">
        <f t="shared" si="44"/>
        <v>1</v>
      </c>
      <c r="AK134" s="267" t="b">
        <f t="shared" si="45"/>
        <v>0</v>
      </c>
      <c r="AL134" s="267"/>
      <c r="AM134" s="267"/>
      <c r="AN134" s="75"/>
    </row>
    <row r="135" spans="1:40" s="6" customFormat="1" ht="11.25" customHeight="1" x14ac:dyDescent="0.2">
      <c r="A135" s="56">
        <f t="shared" si="47"/>
        <v>43221</v>
      </c>
      <c r="B135" s="622"/>
      <c r="C135" s="879"/>
      <c r="D135" s="395"/>
      <c r="E135" s="387"/>
      <c r="F135" s="387"/>
      <c r="G135" s="110"/>
      <c r="I135" s="382">
        <f t="shared" si="24"/>
        <v>0</v>
      </c>
      <c r="J135" s="85">
        <v>2018</v>
      </c>
      <c r="K135" s="199">
        <f t="shared" si="25"/>
        <v>43221</v>
      </c>
      <c r="L135" s="437">
        <f t="shared" si="26"/>
        <v>0</v>
      </c>
      <c r="M135" s="881"/>
      <c r="N135" s="881"/>
      <c r="O135" s="326">
        <f t="shared" si="27"/>
        <v>0</v>
      </c>
      <c r="P135" s="171">
        <f>(INDEX(Models!$BJ135:$BT135,,T135)*(1-R135)+INDEX(Models!$BJ135:$BT135,,T135+1)*R135-ERP_i)*Q135*Ramure*Pc/MaxiM</f>
        <v>5.5739727614235156E-5</v>
      </c>
      <c r="Q135" s="307">
        <f t="shared" si="28"/>
        <v>1</v>
      </c>
      <c r="R135" s="179">
        <f t="shared" si="29"/>
        <v>0.3123573769590573</v>
      </c>
      <c r="S135" s="837">
        <f t="shared" si="46"/>
        <v>-3</v>
      </c>
      <c r="T135" s="178">
        <f t="shared" si="30"/>
        <v>3</v>
      </c>
      <c r="U135" s="253">
        <f t="shared" si="31"/>
        <v>-2.6876426230409427</v>
      </c>
      <c r="V135" s="385">
        <f t="shared" si="32"/>
        <v>61.839324182501571</v>
      </c>
      <c r="W135" s="58"/>
      <c r="X135" s="157">
        <f t="shared" si="33"/>
        <v>43221</v>
      </c>
      <c r="Y135" s="387">
        <f t="shared" si="34"/>
        <v>0</v>
      </c>
      <c r="Z135" s="387">
        <f t="shared" si="35"/>
        <v>0</v>
      </c>
      <c r="AA135" s="388">
        <f t="shared" si="36"/>
        <v>0</v>
      </c>
      <c r="AB135" s="199">
        <f t="shared" si="37"/>
        <v>43221</v>
      </c>
      <c r="AC135" s="426">
        <f t="shared" si="38"/>
        <v>0</v>
      </c>
      <c r="AD135" s="171">
        <f>(INDEX(Models!$BJ135:$BT135,,AH135)*(1-AF135)+INDEX(Models!$BJ135:$BT135,,AH135+1)*AF135-ERP_i)*AE135*Ramure*Pc/MaxiM</f>
        <v>5.5739727614235156E-5</v>
      </c>
      <c r="AE135" s="307">
        <f t="shared" si="39"/>
        <v>1</v>
      </c>
      <c r="AF135" s="179">
        <f t="shared" si="40"/>
        <v>0.3123573769590573</v>
      </c>
      <c r="AG135" s="837">
        <f t="shared" si="41"/>
        <v>-3</v>
      </c>
      <c r="AH135" s="178">
        <f t="shared" si="42"/>
        <v>3</v>
      </c>
      <c r="AI135" s="227">
        <f t="shared" si="43"/>
        <v>-2.6876426230409427</v>
      </c>
      <c r="AJ135" s="267" t="b">
        <f t="shared" si="44"/>
        <v>1</v>
      </c>
      <c r="AK135" s="267" t="b">
        <f t="shared" si="45"/>
        <v>0</v>
      </c>
      <c r="AL135" s="267"/>
      <c r="AM135" s="267"/>
      <c r="AN135" s="75"/>
    </row>
    <row r="136" spans="1:40" s="6" customFormat="1" ht="11.25" customHeight="1" x14ac:dyDescent="0.2">
      <c r="A136" s="56">
        <f t="shared" si="47"/>
        <v>43222</v>
      </c>
      <c r="B136" s="622"/>
      <c r="C136" s="879"/>
      <c r="D136" s="395"/>
      <c r="E136" s="387"/>
      <c r="F136" s="387"/>
      <c r="G136" s="110"/>
      <c r="I136" s="382">
        <f t="shared" si="24"/>
        <v>0</v>
      </c>
      <c r="J136" s="85">
        <v>2018</v>
      </c>
      <c r="K136" s="199">
        <f t="shared" si="25"/>
        <v>43222</v>
      </c>
      <c r="L136" s="437">
        <f t="shared" si="26"/>
        <v>0</v>
      </c>
      <c r="M136" s="881"/>
      <c r="N136" s="881"/>
      <c r="O136" s="326">
        <f t="shared" si="27"/>
        <v>0</v>
      </c>
      <c r="P136" s="171">
        <f>(INDEX(Models!$BJ136:$BT136,,T136)*(1-R136)+INDEX(Models!$BJ136:$BT136,,T136+1)*R136-ERP_i)*Q136*Ramure*Pc/MaxiM</f>
        <v>5.3303248246936646E-5</v>
      </c>
      <c r="Q136" s="307">
        <f t="shared" si="28"/>
        <v>1</v>
      </c>
      <c r="R136" s="179">
        <f t="shared" si="29"/>
        <v>0.31632285656866665</v>
      </c>
      <c r="S136" s="837">
        <f t="shared" si="46"/>
        <v>-3</v>
      </c>
      <c r="T136" s="178">
        <f t="shared" si="30"/>
        <v>3</v>
      </c>
      <c r="U136" s="253">
        <f t="shared" si="31"/>
        <v>-2.6836771434313333</v>
      </c>
      <c r="V136" s="385">
        <f t="shared" si="32"/>
        <v>62.045736316767815</v>
      </c>
      <c r="W136" s="58"/>
      <c r="X136" s="157">
        <f t="shared" si="33"/>
        <v>43222</v>
      </c>
      <c r="Y136" s="387">
        <f t="shared" si="34"/>
        <v>0</v>
      </c>
      <c r="Z136" s="387">
        <f t="shared" si="35"/>
        <v>0</v>
      </c>
      <c r="AA136" s="388">
        <f t="shared" si="36"/>
        <v>0</v>
      </c>
      <c r="AB136" s="199">
        <f t="shared" si="37"/>
        <v>43222</v>
      </c>
      <c r="AC136" s="426">
        <f t="shared" si="38"/>
        <v>0</v>
      </c>
      <c r="AD136" s="171">
        <f>(INDEX(Models!$BJ136:$BT136,,AH136)*(1-AF136)+INDEX(Models!$BJ136:$BT136,,AH136+1)*AF136-ERP_i)*AE136*Ramure*Pc/MaxiM</f>
        <v>5.3303248246936646E-5</v>
      </c>
      <c r="AE136" s="307">
        <f t="shared" si="39"/>
        <v>1</v>
      </c>
      <c r="AF136" s="179">
        <f t="shared" si="40"/>
        <v>0.31632285656866665</v>
      </c>
      <c r="AG136" s="837">
        <f t="shared" si="41"/>
        <v>-3</v>
      </c>
      <c r="AH136" s="178">
        <f t="shared" si="42"/>
        <v>3</v>
      </c>
      <c r="AI136" s="227">
        <f t="shared" si="43"/>
        <v>-2.6836771434313333</v>
      </c>
      <c r="AJ136" s="267" t="b">
        <f t="shared" si="44"/>
        <v>1</v>
      </c>
      <c r="AK136" s="267" t="b">
        <f t="shared" si="45"/>
        <v>0</v>
      </c>
      <c r="AL136" s="267"/>
      <c r="AM136" s="267"/>
      <c r="AN136" s="75"/>
    </row>
    <row r="137" spans="1:40" s="6" customFormat="1" ht="11.25" customHeight="1" x14ac:dyDescent="0.2">
      <c r="A137" s="56">
        <f t="shared" si="47"/>
        <v>43223</v>
      </c>
      <c r="B137" s="622"/>
      <c r="C137" s="879"/>
      <c r="D137" s="395"/>
      <c r="E137" s="387"/>
      <c r="F137" s="387"/>
      <c r="G137" s="110"/>
      <c r="I137" s="382">
        <f t="shared" si="24"/>
        <v>0</v>
      </c>
      <c r="J137" s="85">
        <v>2018</v>
      </c>
      <c r="K137" s="199">
        <f t="shared" si="25"/>
        <v>43223</v>
      </c>
      <c r="L137" s="437">
        <f t="shared" si="26"/>
        <v>0</v>
      </c>
      <c r="M137" s="881"/>
      <c r="N137" s="881"/>
      <c r="O137" s="326">
        <f t="shared" si="27"/>
        <v>0</v>
      </c>
      <c r="P137" s="171">
        <f>(INDEX(Models!$BJ137:$BT137,,T137)*(1-R137)+INDEX(Models!$BJ137:$BT137,,T137+1)*R137-ERP_i)*Q137*Ramure*Pc/MaxiM</f>
        <v>5.087057945174904E-5</v>
      </c>
      <c r="Q137" s="307">
        <f t="shared" si="28"/>
        <v>1</v>
      </c>
      <c r="R137" s="179">
        <f t="shared" si="29"/>
        <v>0.32039816034045598</v>
      </c>
      <c r="S137" s="837">
        <f t="shared" si="46"/>
        <v>-3</v>
      </c>
      <c r="T137" s="178">
        <f t="shared" si="30"/>
        <v>3</v>
      </c>
      <c r="U137" s="253">
        <f t="shared" si="31"/>
        <v>-2.679601839659544</v>
      </c>
      <c r="V137" s="385">
        <f t="shared" si="32"/>
        <v>62.242503059875162</v>
      </c>
      <c r="W137" s="58"/>
      <c r="X137" s="157">
        <f t="shared" si="33"/>
        <v>43223</v>
      </c>
      <c r="Y137" s="387">
        <f t="shared" si="34"/>
        <v>0</v>
      </c>
      <c r="Z137" s="387">
        <f t="shared" si="35"/>
        <v>0</v>
      </c>
      <c r="AA137" s="388">
        <f t="shared" si="36"/>
        <v>0</v>
      </c>
      <c r="AB137" s="199">
        <f t="shared" si="37"/>
        <v>43223</v>
      </c>
      <c r="AC137" s="426">
        <f t="shared" si="38"/>
        <v>0</v>
      </c>
      <c r="AD137" s="171">
        <f>(INDEX(Models!$BJ137:$BT137,,AH137)*(1-AF137)+INDEX(Models!$BJ137:$BT137,,AH137+1)*AF137-ERP_i)*AE137*Ramure*Pc/MaxiM</f>
        <v>5.087057945174904E-5</v>
      </c>
      <c r="AE137" s="307">
        <f t="shared" si="39"/>
        <v>1</v>
      </c>
      <c r="AF137" s="179">
        <f t="shared" si="40"/>
        <v>0.32039816034045598</v>
      </c>
      <c r="AG137" s="837">
        <f t="shared" si="41"/>
        <v>-3</v>
      </c>
      <c r="AH137" s="178">
        <f t="shared" si="42"/>
        <v>3</v>
      </c>
      <c r="AI137" s="227">
        <f t="shared" si="43"/>
        <v>-2.679601839659544</v>
      </c>
      <c r="AJ137" s="267" t="b">
        <f t="shared" si="44"/>
        <v>1</v>
      </c>
      <c r="AK137" s="267" t="b">
        <f t="shared" si="45"/>
        <v>0</v>
      </c>
      <c r="AL137" s="267"/>
      <c r="AM137" s="267"/>
      <c r="AN137" s="75"/>
    </row>
    <row r="138" spans="1:40" s="6" customFormat="1" ht="11.25" customHeight="1" x14ac:dyDescent="0.2">
      <c r="A138" s="56">
        <f t="shared" si="47"/>
        <v>43224</v>
      </c>
      <c r="B138" s="622"/>
      <c r="C138" s="879"/>
      <c r="D138" s="395"/>
      <c r="E138" s="387"/>
      <c r="F138" s="387"/>
      <c r="G138" s="110"/>
      <c r="I138" s="382">
        <f t="shared" si="24"/>
        <v>0</v>
      </c>
      <c r="J138" s="85">
        <v>2018</v>
      </c>
      <c r="K138" s="199">
        <f t="shared" si="25"/>
        <v>43224</v>
      </c>
      <c r="L138" s="437">
        <f t="shared" si="26"/>
        <v>0</v>
      </c>
      <c r="M138" s="881"/>
      <c r="N138" s="881"/>
      <c r="O138" s="326">
        <f t="shared" si="27"/>
        <v>0</v>
      </c>
      <c r="P138" s="171">
        <f>(INDEX(Models!$BJ138:$BT138,,T138)*(1-R138)+INDEX(Models!$BJ138:$BT138,,T138+1)*R138-ERP_i)*Q138*Ramure*Pc/MaxiM</f>
        <v>4.8451425074151931E-5</v>
      </c>
      <c r="Q138" s="307">
        <f t="shared" si="28"/>
        <v>1</v>
      </c>
      <c r="R138" s="179">
        <f t="shared" si="29"/>
        <v>0.32458432962326222</v>
      </c>
      <c r="S138" s="837">
        <f t="shared" si="46"/>
        <v>-3</v>
      </c>
      <c r="T138" s="178">
        <f t="shared" si="30"/>
        <v>3</v>
      </c>
      <c r="U138" s="253">
        <f t="shared" si="31"/>
        <v>-2.6754156703767378</v>
      </c>
      <c r="V138" s="385">
        <f t="shared" si="32"/>
        <v>62.430075901587102</v>
      </c>
      <c r="W138" s="58"/>
      <c r="X138" s="157">
        <f t="shared" si="33"/>
        <v>43224</v>
      </c>
      <c r="Y138" s="387">
        <f t="shared" si="34"/>
        <v>0</v>
      </c>
      <c r="Z138" s="387">
        <f t="shared" si="35"/>
        <v>0</v>
      </c>
      <c r="AA138" s="388">
        <f t="shared" si="36"/>
        <v>0</v>
      </c>
      <c r="AB138" s="199">
        <f t="shared" si="37"/>
        <v>43224</v>
      </c>
      <c r="AC138" s="426">
        <f t="shared" si="38"/>
        <v>0</v>
      </c>
      <c r="AD138" s="171">
        <f>(INDEX(Models!$BJ138:$BT138,,AH138)*(1-AF138)+INDEX(Models!$BJ138:$BT138,,AH138+1)*AF138-ERP_i)*AE138*Ramure*Pc/MaxiM</f>
        <v>4.8451425074151931E-5</v>
      </c>
      <c r="AE138" s="307">
        <f t="shared" si="39"/>
        <v>1</v>
      </c>
      <c r="AF138" s="179">
        <f t="shared" si="40"/>
        <v>0.32458432962326222</v>
      </c>
      <c r="AG138" s="837">
        <f t="shared" si="41"/>
        <v>-3</v>
      </c>
      <c r="AH138" s="178">
        <f t="shared" si="42"/>
        <v>3</v>
      </c>
      <c r="AI138" s="227">
        <f t="shared" si="43"/>
        <v>-2.6754156703767378</v>
      </c>
      <c r="AJ138" s="267" t="b">
        <f t="shared" si="44"/>
        <v>1</v>
      </c>
      <c r="AK138" s="267" t="b">
        <f t="shared" si="45"/>
        <v>0</v>
      </c>
      <c r="AL138" s="267"/>
      <c r="AM138" s="267"/>
      <c r="AN138" s="75"/>
    </row>
    <row r="139" spans="1:40" s="6" customFormat="1" ht="11.25" customHeight="1" x14ac:dyDescent="0.2">
      <c r="A139" s="56">
        <f t="shared" si="47"/>
        <v>43225</v>
      </c>
      <c r="B139" s="622"/>
      <c r="C139" s="879"/>
      <c r="D139" s="395"/>
      <c r="E139" s="387"/>
      <c r="F139" s="387"/>
      <c r="G139" s="110"/>
      <c r="I139" s="382">
        <f t="shared" si="24"/>
        <v>0</v>
      </c>
      <c r="J139" s="85">
        <v>2018</v>
      </c>
      <c r="K139" s="199">
        <f t="shared" si="25"/>
        <v>43225</v>
      </c>
      <c r="L139" s="437">
        <f t="shared" si="26"/>
        <v>0</v>
      </c>
      <c r="M139" s="881"/>
      <c r="N139" s="881"/>
      <c r="O139" s="326">
        <f t="shared" si="27"/>
        <v>0</v>
      </c>
      <c r="P139" s="171">
        <f>(INDEX(Models!$BJ139:$BT139,,T139)*(1-R139)+INDEX(Models!$BJ139:$BT139,,T139+1)*R139-ERP_i)*Q139*Ramure*Pc/MaxiM</f>
        <v>4.6056447369986672E-5</v>
      </c>
      <c r="Q139" s="307">
        <f t="shared" si="28"/>
        <v>1</v>
      </c>
      <c r="R139" s="179">
        <f t="shared" si="29"/>
        <v>0.32888227091646938</v>
      </c>
      <c r="S139" s="837">
        <f t="shared" si="46"/>
        <v>-3</v>
      </c>
      <c r="T139" s="178">
        <f t="shared" si="30"/>
        <v>3</v>
      </c>
      <c r="U139" s="253">
        <f t="shared" si="31"/>
        <v>-2.6711177290835306</v>
      </c>
      <c r="V139" s="385">
        <f t="shared" si="32"/>
        <v>62.608906263902348</v>
      </c>
      <c r="W139" s="58"/>
      <c r="X139" s="157">
        <f t="shared" si="33"/>
        <v>43225</v>
      </c>
      <c r="Y139" s="387">
        <f t="shared" si="34"/>
        <v>0</v>
      </c>
      <c r="Z139" s="387">
        <f t="shared" si="35"/>
        <v>0</v>
      </c>
      <c r="AA139" s="388">
        <f t="shared" si="36"/>
        <v>0</v>
      </c>
      <c r="AB139" s="199">
        <f t="shared" si="37"/>
        <v>43225</v>
      </c>
      <c r="AC139" s="426">
        <f t="shared" si="38"/>
        <v>0</v>
      </c>
      <c r="AD139" s="171">
        <f>(INDEX(Models!$BJ139:$BT139,,AH139)*(1-AF139)+INDEX(Models!$BJ139:$BT139,,AH139+1)*AF139-ERP_i)*AE139*Ramure*Pc/MaxiM</f>
        <v>4.6056447369986672E-5</v>
      </c>
      <c r="AE139" s="307">
        <f t="shared" si="39"/>
        <v>1</v>
      </c>
      <c r="AF139" s="179">
        <f t="shared" si="40"/>
        <v>0.32888227091646938</v>
      </c>
      <c r="AG139" s="837">
        <f t="shared" si="41"/>
        <v>-3</v>
      </c>
      <c r="AH139" s="178">
        <f t="shared" si="42"/>
        <v>3</v>
      </c>
      <c r="AI139" s="227">
        <f t="shared" si="43"/>
        <v>-2.6711177290835306</v>
      </c>
      <c r="AJ139" s="267" t="b">
        <f t="shared" si="44"/>
        <v>1</v>
      </c>
      <c r="AK139" s="267" t="b">
        <f t="shared" si="45"/>
        <v>0</v>
      </c>
      <c r="AL139" s="267"/>
      <c r="AM139" s="267"/>
      <c r="AN139" s="75"/>
    </row>
    <row r="140" spans="1:40" s="6" customFormat="1" ht="11.25" customHeight="1" x14ac:dyDescent="0.2">
      <c r="A140" s="56">
        <f t="shared" si="47"/>
        <v>43226</v>
      </c>
      <c r="B140" s="622"/>
      <c r="C140" s="879"/>
      <c r="D140" s="395"/>
      <c r="E140" s="387"/>
      <c r="F140" s="387"/>
      <c r="G140" s="110"/>
      <c r="I140" s="382">
        <f t="shared" si="24"/>
        <v>0</v>
      </c>
      <c r="J140" s="85">
        <v>2018</v>
      </c>
      <c r="K140" s="199">
        <f t="shared" si="25"/>
        <v>43226</v>
      </c>
      <c r="L140" s="437">
        <f t="shared" si="26"/>
        <v>0</v>
      </c>
      <c r="M140" s="881"/>
      <c r="N140" s="881"/>
      <c r="O140" s="326">
        <f t="shared" si="27"/>
        <v>0</v>
      </c>
      <c r="P140" s="171">
        <f>(INDEX(Models!$BJ140:$BT140,,T140)*(1-R140)+INDEX(Models!$BJ140:$BT140,,T140+1)*R140-ERP_i)*Q140*Ramure*Pc/MaxiM</f>
        <v>4.3697298838099372E-5</v>
      </c>
      <c r="Q140" s="307">
        <f t="shared" si="28"/>
        <v>1</v>
      </c>
      <c r="R140" s="179">
        <f t="shared" si="29"/>
        <v>0.33329274602234715</v>
      </c>
      <c r="S140" s="837">
        <f t="shared" si="46"/>
        <v>-3</v>
      </c>
      <c r="T140" s="178">
        <f t="shared" si="30"/>
        <v>3</v>
      </c>
      <c r="U140" s="253">
        <f t="shared" si="31"/>
        <v>-2.6667072539776528</v>
      </c>
      <c r="V140" s="385">
        <f t="shared" si="32"/>
        <v>62.779445509350751</v>
      </c>
      <c r="W140" s="58"/>
      <c r="X140" s="157">
        <f t="shared" si="33"/>
        <v>43226</v>
      </c>
      <c r="Y140" s="387">
        <f t="shared" si="34"/>
        <v>0</v>
      </c>
      <c r="Z140" s="387">
        <f t="shared" si="35"/>
        <v>0</v>
      </c>
      <c r="AA140" s="388">
        <f t="shared" si="36"/>
        <v>0</v>
      </c>
      <c r="AB140" s="199">
        <f t="shared" si="37"/>
        <v>43226</v>
      </c>
      <c r="AC140" s="426">
        <f t="shared" si="38"/>
        <v>0</v>
      </c>
      <c r="AD140" s="171">
        <f>(INDEX(Models!$BJ140:$BT140,,AH140)*(1-AF140)+INDEX(Models!$BJ140:$BT140,,AH140+1)*AF140-ERP_i)*AE140*Ramure*Pc/MaxiM</f>
        <v>4.3697298838099372E-5</v>
      </c>
      <c r="AE140" s="307">
        <f t="shared" si="39"/>
        <v>1</v>
      </c>
      <c r="AF140" s="179">
        <f t="shared" si="40"/>
        <v>0.33329274602234715</v>
      </c>
      <c r="AG140" s="837">
        <f t="shared" si="41"/>
        <v>-3</v>
      </c>
      <c r="AH140" s="178">
        <f t="shared" si="42"/>
        <v>3</v>
      </c>
      <c r="AI140" s="227">
        <f t="shared" si="43"/>
        <v>-2.6667072539776528</v>
      </c>
      <c r="AJ140" s="267" t="b">
        <f t="shared" si="44"/>
        <v>1</v>
      </c>
      <c r="AK140" s="267" t="b">
        <f t="shared" si="45"/>
        <v>0</v>
      </c>
      <c r="AL140" s="267"/>
      <c r="AM140" s="267"/>
      <c r="AN140" s="75"/>
    </row>
    <row r="141" spans="1:40" s="6" customFormat="1" ht="11.25" customHeight="1" x14ac:dyDescent="0.2">
      <c r="A141" s="56">
        <f t="shared" si="47"/>
        <v>43227</v>
      </c>
      <c r="B141" s="622"/>
      <c r="C141" s="879"/>
      <c r="D141" s="395"/>
      <c r="E141" s="387"/>
      <c r="F141" s="387"/>
      <c r="G141" s="110"/>
      <c r="I141" s="382">
        <f t="shared" si="24"/>
        <v>0</v>
      </c>
      <c r="J141" s="85">
        <v>2018</v>
      </c>
      <c r="K141" s="199">
        <f t="shared" si="25"/>
        <v>43227</v>
      </c>
      <c r="L141" s="437">
        <f t="shared" si="26"/>
        <v>0</v>
      </c>
      <c r="M141" s="881"/>
      <c r="N141" s="881"/>
      <c r="O141" s="326">
        <f t="shared" si="27"/>
        <v>0</v>
      </c>
      <c r="P141" s="171">
        <f>(INDEX(Models!$BJ141:$BT141,,T141)*(1-R141)+INDEX(Models!$BJ141:$BT141,,T141+1)*R141-ERP_i)*Q141*Ramure*Pc/MaxiM</f>
        <v>4.1386651716478798E-5</v>
      </c>
      <c r="Q141" s="307">
        <f t="shared" si="28"/>
        <v>1</v>
      </c>
      <c r="R141" s="179">
        <f t="shared" si="29"/>
        <v>0.33781636218956068</v>
      </c>
      <c r="S141" s="837">
        <f t="shared" si="46"/>
        <v>-3</v>
      </c>
      <c r="T141" s="178">
        <f t="shared" si="30"/>
        <v>3</v>
      </c>
      <c r="U141" s="253">
        <f t="shared" si="31"/>
        <v>-2.6621836378104393</v>
      </c>
      <c r="V141" s="385">
        <f t="shared" si="32"/>
        <v>62.942144926600733</v>
      </c>
      <c r="W141" s="58"/>
      <c r="X141" s="157">
        <f t="shared" si="33"/>
        <v>43227</v>
      </c>
      <c r="Y141" s="387">
        <f t="shared" si="34"/>
        <v>0</v>
      </c>
      <c r="Z141" s="387">
        <f t="shared" si="35"/>
        <v>0</v>
      </c>
      <c r="AA141" s="388">
        <f t="shared" si="36"/>
        <v>0</v>
      </c>
      <c r="AB141" s="199">
        <f t="shared" si="37"/>
        <v>43227</v>
      </c>
      <c r="AC141" s="426">
        <f t="shared" si="38"/>
        <v>0</v>
      </c>
      <c r="AD141" s="171">
        <f>(INDEX(Models!$BJ141:$BT141,,AH141)*(1-AF141)+INDEX(Models!$BJ141:$BT141,,AH141+1)*AF141-ERP_i)*AE141*Ramure*Pc/MaxiM</f>
        <v>4.1386651716478798E-5</v>
      </c>
      <c r="AE141" s="307">
        <f t="shared" si="39"/>
        <v>1</v>
      </c>
      <c r="AF141" s="179">
        <f t="shared" si="40"/>
        <v>0.33781636218956068</v>
      </c>
      <c r="AG141" s="837">
        <f t="shared" si="41"/>
        <v>-3</v>
      </c>
      <c r="AH141" s="178">
        <f t="shared" si="42"/>
        <v>3</v>
      </c>
      <c r="AI141" s="227">
        <f t="shared" si="43"/>
        <v>-2.6621836378104393</v>
      </c>
      <c r="AJ141" s="267" t="b">
        <f t="shared" si="44"/>
        <v>1</v>
      </c>
      <c r="AK141" s="267" t="b">
        <f t="shared" si="45"/>
        <v>0</v>
      </c>
      <c r="AL141" s="267"/>
      <c r="AM141" s="267"/>
      <c r="AN141" s="75"/>
    </row>
    <row r="142" spans="1:40" s="6" customFormat="1" ht="11.25" customHeight="1" x14ac:dyDescent="0.2">
      <c r="A142" s="56">
        <f t="shared" si="47"/>
        <v>43228</v>
      </c>
      <c r="B142" s="622"/>
      <c r="C142" s="879"/>
      <c r="D142" s="395"/>
      <c r="E142" s="387"/>
      <c r="F142" s="387"/>
      <c r="G142" s="110"/>
      <c r="I142" s="382">
        <f t="shared" si="24"/>
        <v>0</v>
      </c>
      <c r="J142" s="85">
        <v>2018</v>
      </c>
      <c r="K142" s="199">
        <f t="shared" si="25"/>
        <v>43228</v>
      </c>
      <c r="L142" s="437">
        <f t="shared" si="26"/>
        <v>0</v>
      </c>
      <c r="M142" s="881"/>
      <c r="N142" s="881"/>
      <c r="O142" s="326">
        <f t="shared" si="27"/>
        <v>0</v>
      </c>
      <c r="P142" s="171">
        <f>(INDEX(Models!$BJ142:$BT142,,T142)*(1-R142)+INDEX(Models!$BJ142:$BT142,,T142+1)*R142-ERP_i)*Q142*Ramure*Pc/MaxiM</f>
        <v>3.9201911542853277E-5</v>
      </c>
      <c r="Q142" s="307">
        <f t="shared" si="28"/>
        <v>1</v>
      </c>
      <c r="R142" s="179">
        <f t="shared" si="29"/>
        <v>0.34245356230694668</v>
      </c>
      <c r="S142" s="837">
        <f t="shared" si="46"/>
        <v>-3</v>
      </c>
      <c r="T142" s="178">
        <f t="shared" si="30"/>
        <v>3</v>
      </c>
      <c r="U142" s="253">
        <f t="shared" si="31"/>
        <v>-2.6575464376930533</v>
      </c>
      <c r="V142" s="385">
        <f t="shared" si="32"/>
        <v>63.097451726222829</v>
      </c>
      <c r="W142" s="58"/>
      <c r="X142" s="157">
        <f t="shared" si="33"/>
        <v>43228</v>
      </c>
      <c r="Y142" s="387">
        <f t="shared" si="34"/>
        <v>0</v>
      </c>
      <c r="Z142" s="387">
        <f t="shared" si="35"/>
        <v>0</v>
      </c>
      <c r="AA142" s="388">
        <f t="shared" si="36"/>
        <v>0</v>
      </c>
      <c r="AB142" s="199">
        <f t="shared" si="37"/>
        <v>43228</v>
      </c>
      <c r="AC142" s="426">
        <f t="shared" si="38"/>
        <v>0</v>
      </c>
      <c r="AD142" s="171">
        <f>(INDEX(Models!$BJ142:$BT142,,AH142)*(1-AF142)+INDEX(Models!$BJ142:$BT142,,AH142+1)*AF142-ERP_i)*AE142*Ramure*Pc/MaxiM</f>
        <v>3.9201911542853277E-5</v>
      </c>
      <c r="AE142" s="307">
        <f t="shared" si="39"/>
        <v>1</v>
      </c>
      <c r="AF142" s="179">
        <f t="shared" si="40"/>
        <v>0.34245356230694668</v>
      </c>
      <c r="AG142" s="837">
        <f t="shared" si="41"/>
        <v>-3</v>
      </c>
      <c r="AH142" s="178">
        <f t="shared" si="42"/>
        <v>3</v>
      </c>
      <c r="AI142" s="227">
        <f t="shared" si="43"/>
        <v>-2.6575464376930533</v>
      </c>
      <c r="AJ142" s="267" t="b">
        <f t="shared" si="44"/>
        <v>1</v>
      </c>
      <c r="AK142" s="267" t="b">
        <f t="shared" si="45"/>
        <v>0</v>
      </c>
      <c r="AL142" s="267"/>
      <c r="AM142" s="267"/>
      <c r="AN142" s="75"/>
    </row>
    <row r="143" spans="1:40" s="6" customFormat="1" ht="11.25" customHeight="1" x14ac:dyDescent="0.2">
      <c r="A143" s="56">
        <f t="shared" si="47"/>
        <v>43229</v>
      </c>
      <c r="B143" s="622"/>
      <c r="C143" s="879"/>
      <c r="D143" s="395"/>
      <c r="E143" s="387"/>
      <c r="F143" s="387"/>
      <c r="G143" s="110"/>
      <c r="I143" s="382">
        <f t="shared" ref="I143:I206" si="48">Wh_hp</f>
        <v>0</v>
      </c>
      <c r="J143" s="85">
        <v>2018</v>
      </c>
      <c r="K143" s="199">
        <f t="shared" ref="K143:K206" si="49">t</f>
        <v>43229</v>
      </c>
      <c r="L143" s="437">
        <f t="shared" ref="L143:L206" si="50">IF(t&lt;T0,0,IF(t&lt;Tvie,1-EXP((T0-t)*PertePVj),1-EXP((T0-t)*PertePVj)+Pspv))</f>
        <v>0</v>
      </c>
      <c r="M143" s="881"/>
      <c r="N143" s="881"/>
      <c r="O143" s="326">
        <f t="shared" ref="O143:O206" si="51">IF(t&lt;T0,0,IF(t&lt;Tnet,Salim_i*(1-EXP((T0-t)/Tau_ij)),Resal+(Salim-Resal)*(1-EXP((Tnet-t)/(Tau_j)))))*Salcycl</f>
        <v>0</v>
      </c>
      <c r="P143" s="171">
        <f>(INDEX(Models!$BJ143:$BT143,,T143)*(1-R143)+INDEX(Models!$BJ143:$BT143,,T143+1)*R143-ERP_i)*Q143*Ramure*Pc/MaxiM</f>
        <v>3.7086649377844436E-5</v>
      </c>
      <c r="Q143" s="307">
        <f t="shared" ref="Q143:Q206" si="52">IF(OR(t&lt;Ttai,Notai),Dd+PousD*Croivg,Dens+PousD*(Croivg-Croi_tai))</f>
        <v>1</v>
      </c>
      <c r="R143" s="179">
        <f t="shared" ref="R143:R206" si="53">(Hp_vg-S143)/(INDEX(Echel_vg,T143+1)-S143)</f>
        <v>0.34720461521123003</v>
      </c>
      <c r="S143" s="837">
        <f t="shared" si="46"/>
        <v>-3</v>
      </c>
      <c r="T143" s="178">
        <f t="shared" ref="T143:T206" si="54">MIN(MATCH(Hp_vg,Echel_vg),10)</f>
        <v>3</v>
      </c>
      <c r="U143" s="253">
        <f t="shared" ref="U143:U206" si="55">IF(OR(t&lt;Ttai,Notai),Hdd+PousH*Croivg,Hdtf+PousH*(Croivg-Croi_tai))</f>
        <v>-2.65279538478877</v>
      </c>
      <c r="V143" s="385">
        <f t="shared" ref="V143:V206" si="56">MaxiM*(1-Ppv)*(1-Pvg)*(1-Psa)</f>
        <v>63.245821538105069</v>
      </c>
      <c r="W143" s="58"/>
      <c r="X143" s="157">
        <f t="shared" ref="X143:X206" si="57">t</f>
        <v>43229</v>
      </c>
      <c r="Y143" s="387">
        <f t="shared" ref="Y143:Y206" si="58">Wh_pvt_s*(1-Ppv)</f>
        <v>0</v>
      </c>
      <c r="Z143" s="387">
        <f t="shared" ref="Z143:Z206" si="59">Wh_sa_s*(1-Psa_s)</f>
        <v>0</v>
      </c>
      <c r="AA143" s="388">
        <f t="shared" ref="AA143:AA206" si="60">Wh_hp*(1-Pvg_s*MEDIAN((-Sdif+Wh/Env_an)/Csdif,0,1))</f>
        <v>0</v>
      </c>
      <c r="AB143" s="199">
        <f t="shared" ref="AB143:AB206" si="61">t</f>
        <v>43229</v>
      </c>
      <c r="AC143" s="426">
        <f t="shared" ref="AC143:AC206" si="62">IF(t&lt;T0,0,IF(OR(t&lt;Tnet,NoTnet),Salim_i*(1-EXP((T0-t)/Tau_ij)),Resal_s+(Salim-Resal_s)*(1-EXP((Tnet_s-t)/Tau_j))))*Salcycl</f>
        <v>0</v>
      </c>
      <c r="AD143" s="171">
        <f>(INDEX(Models!$BJ143:$BT143,,AH143)*(1-AF143)+INDEX(Models!$BJ143:$BT143,,AH143+1)*AF143-ERP_i)*AE143*Ramure*Pc/MaxiM</f>
        <v>3.7086649377844436E-5</v>
      </c>
      <c r="AE143" s="307">
        <f t="shared" ref="AE143:AE206" si="63">Dd+PousD*Croivg</f>
        <v>1</v>
      </c>
      <c r="AF143" s="179">
        <f t="shared" ref="AF143:AF206" si="64">(Hp_vg_s-AG143)/(INDEX(Echel_vg,AH143+1)-AG143)</f>
        <v>0.34720461521123003</v>
      </c>
      <c r="AG143" s="837">
        <f t="shared" ref="AG143:AG206" si="65">INDEX(Echel_vg,AH143)</f>
        <v>-3</v>
      </c>
      <c r="AH143" s="178">
        <f t="shared" ref="AH143:AH206" si="66">MIN(MATCH(Hp_vg_s,Echel_vg),10)</f>
        <v>3</v>
      </c>
      <c r="AI143" s="227">
        <f t="shared" ref="AI143:AI206" si="67">Hdd+PousH*Croivg</f>
        <v>-2.65279538478877</v>
      </c>
      <c r="AJ143" s="267" t="b">
        <f t="shared" ref="AJ143:AJ206" si="68">t&lt;Tnet</f>
        <v>1</v>
      </c>
      <c r="AK143" s="267" t="b">
        <f t="shared" ref="AK143:AK206" si="69">t&lt;Ttai</f>
        <v>0</v>
      </c>
      <c r="AL143" s="267"/>
      <c r="AM143" s="267"/>
      <c r="AN143" s="75"/>
    </row>
    <row r="144" spans="1:40" s="6" customFormat="1" ht="11.25" x14ac:dyDescent="0.2">
      <c r="A144" s="56">
        <f t="shared" si="47"/>
        <v>43230</v>
      </c>
      <c r="B144" s="622"/>
      <c r="C144" s="879"/>
      <c r="D144" s="395"/>
      <c r="E144" s="387"/>
      <c r="F144" s="387"/>
      <c r="G144" s="110"/>
      <c r="I144" s="382">
        <f t="shared" si="48"/>
        <v>0</v>
      </c>
      <c r="J144" s="85">
        <v>2018</v>
      </c>
      <c r="K144" s="199">
        <f t="shared" si="49"/>
        <v>43230</v>
      </c>
      <c r="L144" s="437">
        <f t="shared" si="50"/>
        <v>0</v>
      </c>
      <c r="M144" s="881"/>
      <c r="N144" s="881"/>
      <c r="O144" s="326">
        <f t="shared" si="51"/>
        <v>0</v>
      </c>
      <c r="P144" s="171">
        <f>(INDEX(Models!$BJ144:$BT144,,T144)*(1-R144)+INDEX(Models!$BJ144:$BT144,,T144+1)*R144-ERP_i)*Q144*Ramure*Pc/MaxiM</f>
        <v>3.5055841824081366E-5</v>
      </c>
      <c r="Q144" s="307">
        <f t="shared" si="52"/>
        <v>1</v>
      </c>
      <c r="R144" s="179">
        <f t="shared" si="53"/>
        <v>0.35206960617663574</v>
      </c>
      <c r="S144" s="837">
        <f t="shared" ref="S144:S207" si="70">INDEX(Echel_vg,T144)</f>
        <v>-3</v>
      </c>
      <c r="T144" s="178">
        <f t="shared" si="54"/>
        <v>3</v>
      </c>
      <c r="U144" s="253">
        <f t="shared" si="55"/>
        <v>-2.6479303938233643</v>
      </c>
      <c r="V144" s="385">
        <f t="shared" si="56"/>
        <v>63.387705509370953</v>
      </c>
      <c r="W144" s="58"/>
      <c r="X144" s="157">
        <f t="shared" si="57"/>
        <v>43230</v>
      </c>
      <c r="Y144" s="387">
        <f t="shared" si="58"/>
        <v>0</v>
      </c>
      <c r="Z144" s="387">
        <f t="shared" si="59"/>
        <v>0</v>
      </c>
      <c r="AA144" s="388">
        <f t="shared" si="60"/>
        <v>0</v>
      </c>
      <c r="AB144" s="199">
        <f t="shared" si="61"/>
        <v>43230</v>
      </c>
      <c r="AC144" s="426">
        <f t="shared" si="62"/>
        <v>0</v>
      </c>
      <c r="AD144" s="171">
        <f>(INDEX(Models!$BJ144:$BT144,,AH144)*(1-AF144)+INDEX(Models!$BJ144:$BT144,,AH144+1)*AF144-ERP_i)*AE144*Ramure*Pc/MaxiM</f>
        <v>3.5055841824081366E-5</v>
      </c>
      <c r="AE144" s="307">
        <f t="shared" si="63"/>
        <v>1</v>
      </c>
      <c r="AF144" s="179">
        <f t="shared" si="64"/>
        <v>0.35206960617663574</v>
      </c>
      <c r="AG144" s="837">
        <f t="shared" si="65"/>
        <v>-3</v>
      </c>
      <c r="AH144" s="178">
        <f t="shared" si="66"/>
        <v>3</v>
      </c>
      <c r="AI144" s="227">
        <f t="shared" si="67"/>
        <v>-2.6479303938233643</v>
      </c>
      <c r="AJ144" s="267" t="b">
        <f t="shared" si="68"/>
        <v>1</v>
      </c>
      <c r="AK144" s="267" t="b">
        <f t="shared" si="69"/>
        <v>0</v>
      </c>
      <c r="AL144" s="267"/>
      <c r="AM144" s="267"/>
      <c r="AN144" s="75"/>
    </row>
    <row r="145" spans="1:40" s="6" customFormat="1" ht="11.25" customHeight="1" x14ac:dyDescent="0.2">
      <c r="A145" s="56">
        <f t="shared" ref="A145:A208" si="71">A144+1</f>
        <v>43231</v>
      </c>
      <c r="B145" s="622"/>
      <c r="C145" s="879"/>
      <c r="D145" s="395"/>
      <c r="E145" s="387"/>
      <c r="F145" s="387"/>
      <c r="G145" s="110"/>
      <c r="I145" s="382">
        <f t="shared" si="48"/>
        <v>0</v>
      </c>
      <c r="J145" s="85">
        <v>2018</v>
      </c>
      <c r="K145" s="199">
        <f t="shared" si="49"/>
        <v>43231</v>
      </c>
      <c r="L145" s="437">
        <f t="shared" si="50"/>
        <v>0</v>
      </c>
      <c r="M145" s="881"/>
      <c r="N145" s="881"/>
      <c r="O145" s="326">
        <f t="shared" si="51"/>
        <v>0</v>
      </c>
      <c r="P145" s="171">
        <f>(INDEX(Models!$BJ145:$BT145,,T145)*(1-R145)+INDEX(Models!$BJ145:$BT145,,T145+1)*R145-ERP_i)*Q145*Ramure*Pc/MaxiM</f>
        <v>3.312552007646239E-5</v>
      </c>
      <c r="Q145" s="307">
        <f t="shared" si="52"/>
        <v>1</v>
      </c>
      <c r="R145" s="179">
        <f t="shared" si="53"/>
        <v>0.35704842765834588</v>
      </c>
      <c r="S145" s="837">
        <f t="shared" si="70"/>
        <v>-3</v>
      </c>
      <c r="T145" s="178">
        <f t="shared" si="54"/>
        <v>3</v>
      </c>
      <c r="U145" s="253">
        <f t="shared" si="55"/>
        <v>-2.6429515723416541</v>
      </c>
      <c r="V145" s="385">
        <f t="shared" si="56"/>
        <v>63.523554717366537</v>
      </c>
      <c r="W145" s="58"/>
      <c r="X145" s="157">
        <f t="shared" si="57"/>
        <v>43231</v>
      </c>
      <c r="Y145" s="387">
        <f t="shared" si="58"/>
        <v>0</v>
      </c>
      <c r="Z145" s="387">
        <f t="shared" si="59"/>
        <v>0</v>
      </c>
      <c r="AA145" s="388">
        <f t="shared" si="60"/>
        <v>0</v>
      </c>
      <c r="AB145" s="199">
        <f t="shared" si="61"/>
        <v>43231</v>
      </c>
      <c r="AC145" s="426">
        <f t="shared" si="62"/>
        <v>0</v>
      </c>
      <c r="AD145" s="171">
        <f>(INDEX(Models!$BJ145:$BT145,,AH145)*(1-AF145)+INDEX(Models!$BJ145:$BT145,,AH145+1)*AF145-ERP_i)*AE145*Ramure*Pc/MaxiM</f>
        <v>3.312552007646239E-5</v>
      </c>
      <c r="AE145" s="307">
        <f t="shared" si="63"/>
        <v>1</v>
      </c>
      <c r="AF145" s="179">
        <f t="shared" si="64"/>
        <v>0.35704842765834588</v>
      </c>
      <c r="AG145" s="837">
        <f t="shared" si="65"/>
        <v>-3</v>
      </c>
      <c r="AH145" s="178">
        <f t="shared" si="66"/>
        <v>3</v>
      </c>
      <c r="AI145" s="227">
        <f t="shared" si="67"/>
        <v>-2.6429515723416541</v>
      </c>
      <c r="AJ145" s="267" t="b">
        <f t="shared" si="68"/>
        <v>1</v>
      </c>
      <c r="AK145" s="267" t="b">
        <f t="shared" si="69"/>
        <v>0</v>
      </c>
      <c r="AL145" s="267"/>
      <c r="AM145" s="267"/>
      <c r="AN145" s="75"/>
    </row>
    <row r="146" spans="1:40" s="6" customFormat="1" ht="11.25" customHeight="1" x14ac:dyDescent="0.2">
      <c r="A146" s="56">
        <f t="shared" si="71"/>
        <v>43232</v>
      </c>
      <c r="B146" s="622"/>
      <c r="C146" s="879"/>
      <c r="D146" s="395"/>
      <c r="E146" s="387"/>
      <c r="F146" s="387"/>
      <c r="G146" s="110"/>
      <c r="I146" s="382">
        <f t="shared" si="48"/>
        <v>0</v>
      </c>
      <c r="J146" s="85">
        <v>2018</v>
      </c>
      <c r="K146" s="199">
        <f t="shared" si="49"/>
        <v>43232</v>
      </c>
      <c r="L146" s="437">
        <f t="shared" si="50"/>
        <v>0</v>
      </c>
      <c r="M146" s="881"/>
      <c r="N146" s="881"/>
      <c r="O146" s="326">
        <f t="shared" si="51"/>
        <v>0</v>
      </c>
      <c r="P146" s="171">
        <f>(INDEX(Models!$BJ146:$BT146,,T146)*(1-R146)+INDEX(Models!$BJ146:$BT146,,T146+1)*R146-ERP_i)*Q146*Ramure*Pc/MaxiM</f>
        <v>3.1312780324078717E-5</v>
      </c>
      <c r="Q146" s="307">
        <f t="shared" si="52"/>
        <v>1</v>
      </c>
      <c r="R146" s="179">
        <f t="shared" si="53"/>
        <v>0.3621407703653059</v>
      </c>
      <c r="S146" s="837">
        <f t="shared" si="70"/>
        <v>-3</v>
      </c>
      <c r="T146" s="178">
        <f t="shared" si="54"/>
        <v>3</v>
      </c>
      <c r="U146" s="253">
        <f t="shared" si="55"/>
        <v>-2.6378592296346941</v>
      </c>
      <c r="V146" s="385">
        <f t="shared" si="56"/>
        <v>63.653820170589356</v>
      </c>
      <c r="W146" s="58"/>
      <c r="X146" s="157">
        <f t="shared" si="57"/>
        <v>43232</v>
      </c>
      <c r="Y146" s="387">
        <f t="shared" si="58"/>
        <v>0</v>
      </c>
      <c r="Z146" s="387">
        <f t="shared" si="59"/>
        <v>0</v>
      </c>
      <c r="AA146" s="388">
        <f t="shared" si="60"/>
        <v>0</v>
      </c>
      <c r="AB146" s="199">
        <f t="shared" si="61"/>
        <v>43232</v>
      </c>
      <c r="AC146" s="426">
        <f t="shared" si="62"/>
        <v>0</v>
      </c>
      <c r="AD146" s="171">
        <f>(INDEX(Models!$BJ146:$BT146,,AH146)*(1-AF146)+INDEX(Models!$BJ146:$BT146,,AH146+1)*AF146-ERP_i)*AE146*Ramure*Pc/MaxiM</f>
        <v>3.1312780324078717E-5</v>
      </c>
      <c r="AE146" s="307">
        <f t="shared" si="63"/>
        <v>1</v>
      </c>
      <c r="AF146" s="179">
        <f t="shared" si="64"/>
        <v>0.3621407703653059</v>
      </c>
      <c r="AG146" s="837">
        <f t="shared" si="65"/>
        <v>-3</v>
      </c>
      <c r="AH146" s="178">
        <f t="shared" si="66"/>
        <v>3</v>
      </c>
      <c r="AI146" s="227">
        <f t="shared" si="67"/>
        <v>-2.6378592296346941</v>
      </c>
      <c r="AJ146" s="267" t="b">
        <f t="shared" si="68"/>
        <v>1</v>
      </c>
      <c r="AK146" s="267" t="b">
        <f t="shared" si="69"/>
        <v>0</v>
      </c>
      <c r="AL146" s="267"/>
      <c r="AM146" s="267"/>
      <c r="AN146" s="75"/>
    </row>
    <row r="147" spans="1:40" s="6" customFormat="1" ht="11.25" customHeight="1" x14ac:dyDescent="0.2">
      <c r="A147" s="56">
        <f t="shared" si="71"/>
        <v>43233</v>
      </c>
      <c r="B147" s="622"/>
      <c r="C147" s="879"/>
      <c r="D147" s="395"/>
      <c r="E147" s="387"/>
      <c r="F147" s="387"/>
      <c r="G147" s="110"/>
      <c r="I147" s="382">
        <f t="shared" si="48"/>
        <v>0</v>
      </c>
      <c r="J147" s="85">
        <v>2018</v>
      </c>
      <c r="K147" s="199">
        <f t="shared" si="49"/>
        <v>43233</v>
      </c>
      <c r="L147" s="437">
        <f t="shared" si="50"/>
        <v>0</v>
      </c>
      <c r="M147" s="881"/>
      <c r="N147" s="881"/>
      <c r="O147" s="326">
        <f t="shared" si="51"/>
        <v>0</v>
      </c>
      <c r="P147" s="171">
        <f>(INDEX(Models!$BJ147:$BT147,,T147)*(1-R147)+INDEX(Models!$BJ147:$BT147,,T147+1)*R147-ERP_i)*Q147*Ramure*Pc/MaxiM</f>
        <v>2.9635788986708496E-5</v>
      </c>
      <c r="Q147" s="307">
        <f t="shared" si="52"/>
        <v>1</v>
      </c>
      <c r="R147" s="179">
        <f t="shared" si="53"/>
        <v>0.36734611474093892</v>
      </c>
      <c r="S147" s="837">
        <f t="shared" si="70"/>
        <v>-3</v>
      </c>
      <c r="T147" s="178">
        <f t="shared" si="54"/>
        <v>3</v>
      </c>
      <c r="U147" s="253">
        <f t="shared" si="55"/>
        <v>-2.6326538852590611</v>
      </c>
      <c r="V147" s="385">
        <f t="shared" si="56"/>
        <v>63.77895280717027</v>
      </c>
      <c r="W147" s="58"/>
      <c r="X147" s="157">
        <f t="shared" si="57"/>
        <v>43233</v>
      </c>
      <c r="Y147" s="387">
        <f t="shared" si="58"/>
        <v>0</v>
      </c>
      <c r="Z147" s="387">
        <f t="shared" si="59"/>
        <v>0</v>
      </c>
      <c r="AA147" s="388">
        <f t="shared" si="60"/>
        <v>0</v>
      </c>
      <c r="AB147" s="199">
        <f t="shared" si="61"/>
        <v>43233</v>
      </c>
      <c r="AC147" s="426">
        <f t="shared" si="62"/>
        <v>0</v>
      </c>
      <c r="AD147" s="171">
        <f>(INDEX(Models!$BJ147:$BT147,,AH147)*(1-AF147)+INDEX(Models!$BJ147:$BT147,,AH147+1)*AF147-ERP_i)*AE147*Ramure*Pc/MaxiM</f>
        <v>2.9635788986708496E-5</v>
      </c>
      <c r="AE147" s="307">
        <f t="shared" si="63"/>
        <v>1</v>
      </c>
      <c r="AF147" s="179">
        <f t="shared" si="64"/>
        <v>0.36734611474093892</v>
      </c>
      <c r="AG147" s="837">
        <f t="shared" si="65"/>
        <v>-3</v>
      </c>
      <c r="AH147" s="178">
        <f t="shared" si="66"/>
        <v>3</v>
      </c>
      <c r="AI147" s="227">
        <f t="shared" si="67"/>
        <v>-2.6326538852590611</v>
      </c>
      <c r="AJ147" s="267" t="b">
        <f t="shared" si="68"/>
        <v>1</v>
      </c>
      <c r="AK147" s="267" t="b">
        <f t="shared" si="69"/>
        <v>0</v>
      </c>
      <c r="AL147" s="267"/>
      <c r="AM147" s="267"/>
      <c r="AN147" s="75"/>
    </row>
    <row r="148" spans="1:40" s="6" customFormat="1" ht="11.25" customHeight="1" x14ac:dyDescent="0.2">
      <c r="A148" s="56">
        <f t="shared" si="71"/>
        <v>43234</v>
      </c>
      <c r="B148" s="622"/>
      <c r="C148" s="879"/>
      <c r="D148" s="395"/>
      <c r="E148" s="387"/>
      <c r="F148" s="387"/>
      <c r="G148" s="110"/>
      <c r="I148" s="382">
        <f t="shared" si="48"/>
        <v>0</v>
      </c>
      <c r="J148" s="85">
        <v>2018</v>
      </c>
      <c r="K148" s="199">
        <f t="shared" si="49"/>
        <v>43234</v>
      </c>
      <c r="L148" s="437">
        <f t="shared" si="50"/>
        <v>0</v>
      </c>
      <c r="M148" s="881"/>
      <c r="N148" s="881"/>
      <c r="O148" s="326">
        <f t="shared" si="51"/>
        <v>0</v>
      </c>
      <c r="P148" s="171">
        <f>(INDEX(Models!$BJ148:$BT148,,T148)*(1-R148)+INDEX(Models!$BJ148:$BT148,,T148+1)*R148-ERP_i)*Q148*Ramure*Pc/MaxiM</f>
        <v>2.8113782264518265E-5</v>
      </c>
      <c r="Q148" s="307">
        <f t="shared" si="52"/>
        <v>1</v>
      </c>
      <c r="R148" s="179">
        <f t="shared" si="53"/>
        <v>0.37266372293278227</v>
      </c>
      <c r="S148" s="837">
        <f t="shared" si="70"/>
        <v>-3</v>
      </c>
      <c r="T148" s="178">
        <f t="shared" si="54"/>
        <v>3</v>
      </c>
      <c r="U148" s="253">
        <f t="shared" si="55"/>
        <v>-2.6273362770672177</v>
      </c>
      <c r="V148" s="385">
        <f t="shared" si="56"/>
        <v>63.899403495028409</v>
      </c>
      <c r="W148" s="58"/>
      <c r="X148" s="157">
        <f t="shared" si="57"/>
        <v>43234</v>
      </c>
      <c r="Y148" s="387">
        <f t="shared" si="58"/>
        <v>0</v>
      </c>
      <c r="Z148" s="387">
        <f t="shared" si="59"/>
        <v>0</v>
      </c>
      <c r="AA148" s="388">
        <f t="shared" si="60"/>
        <v>0</v>
      </c>
      <c r="AB148" s="199">
        <f t="shared" si="61"/>
        <v>43234</v>
      </c>
      <c r="AC148" s="426">
        <f t="shared" si="62"/>
        <v>0</v>
      </c>
      <c r="AD148" s="171">
        <f>(INDEX(Models!$BJ148:$BT148,,AH148)*(1-AF148)+INDEX(Models!$BJ148:$BT148,,AH148+1)*AF148-ERP_i)*AE148*Ramure*Pc/MaxiM</f>
        <v>2.8113782264518265E-5</v>
      </c>
      <c r="AE148" s="307">
        <f t="shared" si="63"/>
        <v>1</v>
      </c>
      <c r="AF148" s="179">
        <f t="shared" si="64"/>
        <v>0.37266372293278227</v>
      </c>
      <c r="AG148" s="837">
        <f t="shared" si="65"/>
        <v>-3</v>
      </c>
      <c r="AH148" s="178">
        <f t="shared" si="66"/>
        <v>3</v>
      </c>
      <c r="AI148" s="227">
        <f t="shared" si="67"/>
        <v>-2.6273362770672177</v>
      </c>
      <c r="AJ148" s="267" t="b">
        <f t="shared" si="68"/>
        <v>1</v>
      </c>
      <c r="AK148" s="267" t="b">
        <f t="shared" si="69"/>
        <v>0</v>
      </c>
      <c r="AL148" s="267"/>
      <c r="AM148" s="267"/>
      <c r="AN148" s="75"/>
    </row>
    <row r="149" spans="1:40" s="6" customFormat="1" ht="11.25" customHeight="1" x14ac:dyDescent="0.2">
      <c r="A149" s="56">
        <f t="shared" si="71"/>
        <v>43235</v>
      </c>
      <c r="B149" s="622"/>
      <c r="C149" s="879"/>
      <c r="D149" s="395"/>
      <c r="E149" s="387"/>
      <c r="F149" s="387"/>
      <c r="G149" s="110"/>
      <c r="I149" s="382">
        <f t="shared" si="48"/>
        <v>0</v>
      </c>
      <c r="J149" s="85">
        <v>2018</v>
      </c>
      <c r="K149" s="199">
        <f t="shared" si="49"/>
        <v>43235</v>
      </c>
      <c r="L149" s="437">
        <f t="shared" si="50"/>
        <v>0</v>
      </c>
      <c r="M149" s="881"/>
      <c r="N149" s="881"/>
      <c r="O149" s="326">
        <f t="shared" si="51"/>
        <v>0</v>
      </c>
      <c r="P149" s="171">
        <f>(INDEX(Models!$BJ149:$BT149,,T149)*(1-R149)+INDEX(Models!$BJ149:$BT149,,T149+1)*R149-ERP_i)*Q149*Ramure*Pc/MaxiM</f>
        <v>2.6767839422341237E-5</v>
      </c>
      <c r="Q149" s="307">
        <f t="shared" si="52"/>
        <v>1</v>
      </c>
      <c r="R149" s="179">
        <f t="shared" si="53"/>
        <v>0.37809263133383775</v>
      </c>
      <c r="S149" s="837">
        <f t="shared" si="70"/>
        <v>-3</v>
      </c>
      <c r="T149" s="178">
        <f t="shared" si="54"/>
        <v>3</v>
      </c>
      <c r="U149" s="253">
        <f t="shared" si="55"/>
        <v>-2.6219073686661623</v>
      </c>
      <c r="V149" s="385">
        <f t="shared" si="56"/>
        <v>64.013757763944199</v>
      </c>
      <c r="W149" s="58"/>
      <c r="X149" s="157">
        <f t="shared" si="57"/>
        <v>43235</v>
      </c>
      <c r="Y149" s="387">
        <f t="shared" si="58"/>
        <v>0</v>
      </c>
      <c r="Z149" s="387">
        <f t="shared" si="59"/>
        <v>0</v>
      </c>
      <c r="AA149" s="388">
        <f t="shared" si="60"/>
        <v>0</v>
      </c>
      <c r="AB149" s="199">
        <f t="shared" si="61"/>
        <v>43235</v>
      </c>
      <c r="AC149" s="426">
        <f t="shared" si="62"/>
        <v>0</v>
      </c>
      <c r="AD149" s="171">
        <f>(INDEX(Models!$BJ149:$BT149,,AH149)*(1-AF149)+INDEX(Models!$BJ149:$BT149,,AH149+1)*AF149-ERP_i)*AE149*Ramure*Pc/MaxiM</f>
        <v>2.6767839422341237E-5</v>
      </c>
      <c r="AE149" s="307">
        <f t="shared" si="63"/>
        <v>1</v>
      </c>
      <c r="AF149" s="179">
        <f t="shared" si="64"/>
        <v>0.37809263133383775</v>
      </c>
      <c r="AG149" s="837">
        <f t="shared" si="65"/>
        <v>-3</v>
      </c>
      <c r="AH149" s="178">
        <f t="shared" si="66"/>
        <v>3</v>
      </c>
      <c r="AI149" s="227">
        <f t="shared" si="67"/>
        <v>-2.6219073686661623</v>
      </c>
      <c r="AJ149" s="267" t="b">
        <f t="shared" si="68"/>
        <v>1</v>
      </c>
      <c r="AK149" s="267" t="b">
        <f t="shared" si="69"/>
        <v>0</v>
      </c>
      <c r="AL149" s="267"/>
      <c r="AM149" s="267"/>
      <c r="AN149" s="75"/>
    </row>
    <row r="150" spans="1:40" s="6" customFormat="1" ht="11.25" customHeight="1" x14ac:dyDescent="0.2">
      <c r="A150" s="56">
        <f t="shared" si="71"/>
        <v>43236</v>
      </c>
      <c r="B150" s="622"/>
      <c r="C150" s="879"/>
      <c r="D150" s="395"/>
      <c r="E150" s="387"/>
      <c r="F150" s="387"/>
      <c r="G150" s="110"/>
      <c r="I150" s="382">
        <f t="shared" si="48"/>
        <v>0</v>
      </c>
      <c r="J150" s="85">
        <v>2018</v>
      </c>
      <c r="K150" s="199">
        <f t="shared" si="49"/>
        <v>43236</v>
      </c>
      <c r="L150" s="437">
        <f t="shared" si="50"/>
        <v>0</v>
      </c>
      <c r="M150" s="881"/>
      <c r="N150" s="881"/>
      <c r="O150" s="326">
        <f t="shared" si="51"/>
        <v>0</v>
      </c>
      <c r="P150" s="171">
        <f>(INDEX(Models!$BJ150:$BT150,,T150)*(1-R150)+INDEX(Models!$BJ150:$BT150,,T150+1)*R150-ERP_i)*Q150*Ramure*Pc/MaxiM</f>
        <v>2.5649519381972277E-5</v>
      </c>
      <c r="Q150" s="307">
        <f t="shared" si="52"/>
        <v>1</v>
      </c>
      <c r="R150" s="179">
        <f t="shared" si="53"/>
        <v>0.38363164377941406</v>
      </c>
      <c r="S150" s="837">
        <f t="shared" si="70"/>
        <v>-3</v>
      </c>
      <c r="T150" s="178">
        <f t="shared" si="54"/>
        <v>3</v>
      </c>
      <c r="U150" s="253">
        <f t="shared" si="55"/>
        <v>-2.6163683562205859</v>
      </c>
      <c r="V150" s="385">
        <f t="shared" si="56"/>
        <v>64.120523809838303</v>
      </c>
      <c r="W150" s="58"/>
      <c r="X150" s="157">
        <f t="shared" si="57"/>
        <v>43236</v>
      </c>
      <c r="Y150" s="387">
        <f t="shared" si="58"/>
        <v>0</v>
      </c>
      <c r="Z150" s="387">
        <f t="shared" si="59"/>
        <v>0</v>
      </c>
      <c r="AA150" s="388">
        <f t="shared" si="60"/>
        <v>0</v>
      </c>
      <c r="AB150" s="199">
        <f t="shared" si="61"/>
        <v>43236</v>
      </c>
      <c r="AC150" s="426">
        <f t="shared" si="62"/>
        <v>0</v>
      </c>
      <c r="AD150" s="171">
        <f>(INDEX(Models!$BJ150:$BT150,,AH150)*(1-AF150)+INDEX(Models!$BJ150:$BT150,,AH150+1)*AF150-ERP_i)*AE150*Ramure*Pc/MaxiM</f>
        <v>2.5649519381972277E-5</v>
      </c>
      <c r="AE150" s="307">
        <f t="shared" si="63"/>
        <v>1</v>
      </c>
      <c r="AF150" s="179">
        <f t="shared" si="64"/>
        <v>0.38363164377941406</v>
      </c>
      <c r="AG150" s="837">
        <f t="shared" si="65"/>
        <v>-3</v>
      </c>
      <c r="AH150" s="178">
        <f t="shared" si="66"/>
        <v>3</v>
      </c>
      <c r="AI150" s="227">
        <f t="shared" si="67"/>
        <v>-2.6163683562205859</v>
      </c>
      <c r="AJ150" s="267" t="b">
        <f t="shared" si="68"/>
        <v>1</v>
      </c>
      <c r="AK150" s="267" t="b">
        <f t="shared" si="69"/>
        <v>0</v>
      </c>
      <c r="AL150" s="267"/>
      <c r="AM150" s="267"/>
      <c r="AN150" s="75"/>
    </row>
    <row r="151" spans="1:40" s="6" customFormat="1" ht="11.25" customHeight="1" x14ac:dyDescent="0.2">
      <c r="A151" s="56">
        <f t="shared" si="71"/>
        <v>43237</v>
      </c>
      <c r="B151" s="622"/>
      <c r="C151" s="879"/>
      <c r="D151" s="395"/>
      <c r="E151" s="387"/>
      <c r="F151" s="387"/>
      <c r="G151" s="110"/>
      <c r="I151" s="382">
        <f t="shared" si="48"/>
        <v>0</v>
      </c>
      <c r="J151" s="85">
        <v>2018</v>
      </c>
      <c r="K151" s="199">
        <f t="shared" si="49"/>
        <v>43237</v>
      </c>
      <c r="L151" s="437">
        <f t="shared" si="50"/>
        <v>0</v>
      </c>
      <c r="M151" s="881"/>
      <c r="N151" s="881"/>
      <c r="O151" s="326">
        <f t="shared" si="51"/>
        <v>0</v>
      </c>
      <c r="P151" s="171">
        <f>(INDEX(Models!$BJ151:$BT151,,T151)*(1-R151)+INDEX(Models!$BJ151:$BT151,,T151+1)*R151-ERP_i)*Q151*Ramure*Pc/MaxiM</f>
        <v>2.4551598542348683E-5</v>
      </c>
      <c r="Q151" s="307">
        <f t="shared" si="52"/>
        <v>1</v>
      </c>
      <c r="R151" s="179">
        <f t="shared" si="53"/>
        <v>0.38927932548337774</v>
      </c>
      <c r="S151" s="837">
        <f t="shared" si="70"/>
        <v>-3</v>
      </c>
      <c r="T151" s="178">
        <f t="shared" si="54"/>
        <v>3</v>
      </c>
      <c r="U151" s="253">
        <f t="shared" si="55"/>
        <v>-2.6107206745166223</v>
      </c>
      <c r="V151" s="385">
        <f t="shared" si="56"/>
        <v>64.220053978216583</v>
      </c>
      <c r="W151" s="58"/>
      <c r="X151" s="157">
        <f t="shared" si="57"/>
        <v>43237</v>
      </c>
      <c r="Y151" s="387">
        <f t="shared" si="58"/>
        <v>0</v>
      </c>
      <c r="Z151" s="387">
        <f t="shared" si="59"/>
        <v>0</v>
      </c>
      <c r="AA151" s="388">
        <f t="shared" si="60"/>
        <v>0</v>
      </c>
      <c r="AB151" s="199">
        <f t="shared" si="61"/>
        <v>43237</v>
      </c>
      <c r="AC151" s="426">
        <f t="shared" si="62"/>
        <v>0</v>
      </c>
      <c r="AD151" s="171">
        <f>(INDEX(Models!$BJ151:$BT151,,AH151)*(1-AF151)+INDEX(Models!$BJ151:$BT151,,AH151+1)*AF151-ERP_i)*AE151*Ramure*Pc/MaxiM</f>
        <v>2.4551598542348683E-5</v>
      </c>
      <c r="AE151" s="307">
        <f t="shared" si="63"/>
        <v>1</v>
      </c>
      <c r="AF151" s="179">
        <f t="shared" si="64"/>
        <v>0.38927932548337774</v>
      </c>
      <c r="AG151" s="837">
        <f t="shared" si="65"/>
        <v>-3</v>
      </c>
      <c r="AH151" s="178">
        <f t="shared" si="66"/>
        <v>3</v>
      </c>
      <c r="AI151" s="227">
        <f t="shared" si="67"/>
        <v>-2.6107206745166223</v>
      </c>
      <c r="AJ151" s="267" t="b">
        <f t="shared" si="68"/>
        <v>1</v>
      </c>
      <c r="AK151" s="267" t="b">
        <f t="shared" si="69"/>
        <v>0</v>
      </c>
      <c r="AL151" s="267"/>
      <c r="AM151" s="267"/>
      <c r="AN151" s="75"/>
    </row>
    <row r="152" spans="1:40" s="6" customFormat="1" ht="11.25" customHeight="1" x14ac:dyDescent="0.2">
      <c r="A152" s="56">
        <f t="shared" si="71"/>
        <v>43238</v>
      </c>
      <c r="B152" s="622"/>
      <c r="C152" s="879"/>
      <c r="D152" s="395"/>
      <c r="E152" s="387"/>
      <c r="F152" s="387"/>
      <c r="G152" s="110"/>
      <c r="I152" s="382">
        <f t="shared" si="48"/>
        <v>0</v>
      </c>
      <c r="J152" s="85">
        <v>2018</v>
      </c>
      <c r="K152" s="199">
        <f t="shared" si="49"/>
        <v>43238</v>
      </c>
      <c r="L152" s="437">
        <f t="shared" si="50"/>
        <v>0</v>
      </c>
      <c r="M152" s="881"/>
      <c r="N152" s="881"/>
      <c r="O152" s="326">
        <f t="shared" si="51"/>
        <v>0</v>
      </c>
      <c r="P152" s="171">
        <f>(INDEX(Models!$BJ152:$BT152,,T152)*(1-R152)+INDEX(Models!$BJ152:$BT152,,T152+1)*R152-ERP_i)*Q152*Ramure*Pc/MaxiM</f>
        <v>2.3480251935937477E-5</v>
      </c>
      <c r="Q152" s="307">
        <f t="shared" si="52"/>
        <v>1</v>
      </c>
      <c r="R152" s="179">
        <f t="shared" si="53"/>
        <v>0.39503399779691772</v>
      </c>
      <c r="S152" s="837">
        <f t="shared" si="70"/>
        <v>-3</v>
      </c>
      <c r="T152" s="178">
        <f t="shared" si="54"/>
        <v>3</v>
      </c>
      <c r="U152" s="253">
        <f t="shared" si="55"/>
        <v>-2.6049660022030823</v>
      </c>
      <c r="V152" s="385">
        <f t="shared" si="56"/>
        <v>64.312686971076374</v>
      </c>
      <c r="W152" s="58"/>
      <c r="X152" s="157">
        <f t="shared" si="57"/>
        <v>43238</v>
      </c>
      <c r="Y152" s="387">
        <f t="shared" si="58"/>
        <v>0</v>
      </c>
      <c r="Z152" s="387">
        <f t="shared" si="59"/>
        <v>0</v>
      </c>
      <c r="AA152" s="388">
        <f t="shared" si="60"/>
        <v>0</v>
      </c>
      <c r="AB152" s="199">
        <f t="shared" si="61"/>
        <v>43238</v>
      </c>
      <c r="AC152" s="426">
        <f t="shared" si="62"/>
        <v>0</v>
      </c>
      <c r="AD152" s="171">
        <f>(INDEX(Models!$BJ152:$BT152,,AH152)*(1-AF152)+INDEX(Models!$BJ152:$BT152,,AH152+1)*AF152-ERP_i)*AE152*Ramure*Pc/MaxiM</f>
        <v>2.3480251935937477E-5</v>
      </c>
      <c r="AE152" s="307">
        <f t="shared" si="63"/>
        <v>1</v>
      </c>
      <c r="AF152" s="179">
        <f t="shared" si="64"/>
        <v>0.39503399779691772</v>
      </c>
      <c r="AG152" s="837">
        <f t="shared" si="65"/>
        <v>-3</v>
      </c>
      <c r="AH152" s="178">
        <f t="shared" si="66"/>
        <v>3</v>
      </c>
      <c r="AI152" s="227">
        <f t="shared" si="67"/>
        <v>-2.6049660022030823</v>
      </c>
      <c r="AJ152" s="267" t="b">
        <f t="shared" si="68"/>
        <v>1</v>
      </c>
      <c r="AK152" s="267" t="b">
        <f t="shared" si="69"/>
        <v>0</v>
      </c>
      <c r="AL152" s="267"/>
      <c r="AM152" s="267"/>
      <c r="AN152" s="75"/>
    </row>
    <row r="153" spans="1:40" s="6" customFormat="1" ht="11.25" customHeight="1" x14ac:dyDescent="0.2">
      <c r="A153" s="56">
        <f t="shared" si="71"/>
        <v>43239</v>
      </c>
      <c r="B153" s="622"/>
      <c r="C153" s="879"/>
      <c r="D153" s="395"/>
      <c r="E153" s="387"/>
      <c r="F153" s="387"/>
      <c r="G153" s="110"/>
      <c r="I153" s="382">
        <f t="shared" si="48"/>
        <v>0</v>
      </c>
      <c r="J153" s="85">
        <v>2018</v>
      </c>
      <c r="K153" s="199">
        <f t="shared" si="49"/>
        <v>43239</v>
      </c>
      <c r="L153" s="437">
        <f t="shared" si="50"/>
        <v>0</v>
      </c>
      <c r="M153" s="881"/>
      <c r="N153" s="881"/>
      <c r="O153" s="326">
        <f t="shared" si="51"/>
        <v>0</v>
      </c>
      <c r="P153" s="171">
        <f>(INDEX(Models!$BJ153:$BT153,,T153)*(1-R153)+INDEX(Models!$BJ153:$BT153,,T153+1)*R153-ERP_i)*Q153*Ramure*Pc/MaxiM</f>
        <v>2.2442064279420694E-5</v>
      </c>
      <c r="Q153" s="307">
        <f t="shared" si="52"/>
        <v>1</v>
      </c>
      <c r="R153" s="179">
        <f t="shared" si="53"/>
        <v>0.4008937338711327</v>
      </c>
      <c r="S153" s="837">
        <f t="shared" si="70"/>
        <v>-3</v>
      </c>
      <c r="T153" s="178">
        <f t="shared" si="54"/>
        <v>3</v>
      </c>
      <c r="U153" s="253">
        <f t="shared" si="55"/>
        <v>-2.5991062661288673</v>
      </c>
      <c r="V153" s="385">
        <f t="shared" si="56"/>
        <v>64.398761469016023</v>
      </c>
      <c r="W153" s="58"/>
      <c r="X153" s="157">
        <f t="shared" si="57"/>
        <v>43239</v>
      </c>
      <c r="Y153" s="387">
        <f t="shared" si="58"/>
        <v>0</v>
      </c>
      <c r="Z153" s="387">
        <f t="shared" si="59"/>
        <v>0</v>
      </c>
      <c r="AA153" s="388">
        <f t="shared" si="60"/>
        <v>0</v>
      </c>
      <c r="AB153" s="199">
        <f t="shared" si="61"/>
        <v>43239</v>
      </c>
      <c r="AC153" s="426">
        <f t="shared" si="62"/>
        <v>0</v>
      </c>
      <c r="AD153" s="171">
        <f>(INDEX(Models!$BJ153:$BT153,,AH153)*(1-AF153)+INDEX(Models!$BJ153:$BT153,,AH153+1)*AF153-ERP_i)*AE153*Ramure*Pc/MaxiM</f>
        <v>2.2442064279420694E-5</v>
      </c>
      <c r="AE153" s="307">
        <f t="shared" si="63"/>
        <v>1</v>
      </c>
      <c r="AF153" s="179">
        <f t="shared" si="64"/>
        <v>0.4008937338711327</v>
      </c>
      <c r="AG153" s="837">
        <f t="shared" si="65"/>
        <v>-3</v>
      </c>
      <c r="AH153" s="178">
        <f t="shared" si="66"/>
        <v>3</v>
      </c>
      <c r="AI153" s="227">
        <f t="shared" si="67"/>
        <v>-2.5991062661288673</v>
      </c>
      <c r="AJ153" s="267" t="b">
        <f t="shared" si="68"/>
        <v>1</v>
      </c>
      <c r="AK153" s="267" t="b">
        <f t="shared" si="69"/>
        <v>0</v>
      </c>
      <c r="AL153" s="267"/>
      <c r="AM153" s="267"/>
      <c r="AN153" s="75"/>
    </row>
    <row r="154" spans="1:40" s="6" customFormat="1" ht="11.25" customHeight="1" x14ac:dyDescent="0.2">
      <c r="A154" s="56">
        <f t="shared" si="71"/>
        <v>43240</v>
      </c>
      <c r="B154" s="622"/>
      <c r="C154" s="879"/>
      <c r="D154" s="395"/>
      <c r="E154" s="387"/>
      <c r="F154" s="387"/>
      <c r="G154" s="110"/>
      <c r="I154" s="382">
        <f t="shared" si="48"/>
        <v>0</v>
      </c>
      <c r="J154" s="85">
        <v>2018</v>
      </c>
      <c r="K154" s="199">
        <f t="shared" si="49"/>
        <v>43240</v>
      </c>
      <c r="L154" s="437">
        <f t="shared" si="50"/>
        <v>0</v>
      </c>
      <c r="M154" s="881"/>
      <c r="N154" s="881"/>
      <c r="O154" s="326">
        <f t="shared" si="51"/>
        <v>0</v>
      </c>
      <c r="P154" s="171">
        <f>(INDEX(Models!$BJ154:$BT154,,T154)*(1-R154)+INDEX(Models!$BJ154:$BT154,,T154+1)*R154-ERP_i)*Q154*Ramure*Pc/MaxiM</f>
        <v>2.1444030148504776E-5</v>
      </c>
      <c r="Q154" s="307">
        <f t="shared" si="52"/>
        <v>1</v>
      </c>
      <c r="R154" s="179">
        <f t="shared" si="53"/>
        <v>0.4068563553018576</v>
      </c>
      <c r="S154" s="837">
        <f t="shared" si="70"/>
        <v>-3</v>
      </c>
      <c r="T154" s="178">
        <f t="shared" si="54"/>
        <v>3</v>
      </c>
      <c r="U154" s="253">
        <f t="shared" si="55"/>
        <v>-2.5931436446981424</v>
      </c>
      <c r="V154" s="385">
        <f t="shared" si="56"/>
        <v>64.478616124030779</v>
      </c>
      <c r="W154" s="58"/>
      <c r="X154" s="157">
        <f t="shared" si="57"/>
        <v>43240</v>
      </c>
      <c r="Y154" s="387">
        <f t="shared" si="58"/>
        <v>0</v>
      </c>
      <c r="Z154" s="387">
        <f t="shared" si="59"/>
        <v>0</v>
      </c>
      <c r="AA154" s="388">
        <f t="shared" si="60"/>
        <v>0</v>
      </c>
      <c r="AB154" s="199">
        <f t="shared" si="61"/>
        <v>43240</v>
      </c>
      <c r="AC154" s="426">
        <f t="shared" si="62"/>
        <v>0</v>
      </c>
      <c r="AD154" s="171">
        <f>(INDEX(Models!$BJ154:$BT154,,AH154)*(1-AF154)+INDEX(Models!$BJ154:$BT154,,AH154+1)*AF154-ERP_i)*AE154*Ramure*Pc/MaxiM</f>
        <v>2.1444030148504776E-5</v>
      </c>
      <c r="AE154" s="307">
        <f t="shared" si="63"/>
        <v>1</v>
      </c>
      <c r="AF154" s="179">
        <f t="shared" si="64"/>
        <v>0.4068563553018576</v>
      </c>
      <c r="AG154" s="837">
        <f t="shared" si="65"/>
        <v>-3</v>
      </c>
      <c r="AH154" s="178">
        <f t="shared" si="66"/>
        <v>3</v>
      </c>
      <c r="AI154" s="227">
        <f t="shared" si="67"/>
        <v>-2.5931436446981424</v>
      </c>
      <c r="AJ154" s="267" t="b">
        <f t="shared" si="68"/>
        <v>1</v>
      </c>
      <c r="AK154" s="267" t="b">
        <f t="shared" si="69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43241</v>
      </c>
      <c r="B155" s="622"/>
      <c r="C155" s="879"/>
      <c r="D155" s="395"/>
      <c r="E155" s="387"/>
      <c r="F155" s="387"/>
      <c r="G155" s="110"/>
      <c r="I155" s="382">
        <f t="shared" si="48"/>
        <v>0</v>
      </c>
      <c r="J155" s="85">
        <v>2018</v>
      </c>
      <c r="K155" s="199">
        <f t="shared" si="49"/>
        <v>43241</v>
      </c>
      <c r="L155" s="437">
        <f t="shared" si="50"/>
        <v>0</v>
      </c>
      <c r="M155" s="881"/>
      <c r="N155" s="881"/>
      <c r="O155" s="326">
        <f t="shared" si="51"/>
        <v>0</v>
      </c>
      <c r="P155" s="171">
        <f>(INDEX(Models!$BJ155:$BT155,,T155)*(1-R155)+INDEX(Models!$BJ155:$BT155,,T155+1)*R155-ERP_i)*Q155*Ramure*Pc/MaxiM</f>
        <v>2.0493552000354156E-5</v>
      </c>
      <c r="Q155" s="307">
        <f t="shared" si="52"/>
        <v>1</v>
      </c>
      <c r="R155" s="179">
        <f t="shared" si="53"/>
        <v>0.41291942983117735</v>
      </c>
      <c r="S155" s="837">
        <f t="shared" si="70"/>
        <v>-3</v>
      </c>
      <c r="T155" s="178">
        <f t="shared" si="54"/>
        <v>3</v>
      </c>
      <c r="U155" s="253">
        <f t="shared" si="55"/>
        <v>-2.5870805701688226</v>
      </c>
      <c r="V155" s="385">
        <f t="shared" si="56"/>
        <v>64.552589561329398</v>
      </c>
      <c r="W155" s="58"/>
      <c r="X155" s="157">
        <f t="shared" si="57"/>
        <v>43241</v>
      </c>
      <c r="Y155" s="387">
        <f t="shared" si="58"/>
        <v>0</v>
      </c>
      <c r="Z155" s="387">
        <f t="shared" si="59"/>
        <v>0</v>
      </c>
      <c r="AA155" s="388">
        <f t="shared" si="60"/>
        <v>0</v>
      </c>
      <c r="AB155" s="199">
        <f t="shared" si="61"/>
        <v>43241</v>
      </c>
      <c r="AC155" s="426">
        <f t="shared" si="62"/>
        <v>0</v>
      </c>
      <c r="AD155" s="171">
        <f>(INDEX(Models!$BJ155:$BT155,,AH155)*(1-AF155)+INDEX(Models!$BJ155:$BT155,,AH155+1)*AF155-ERP_i)*AE155*Ramure*Pc/MaxiM</f>
        <v>2.0493552000354156E-5</v>
      </c>
      <c r="AE155" s="307">
        <f t="shared" si="63"/>
        <v>1</v>
      </c>
      <c r="AF155" s="179">
        <f t="shared" si="64"/>
        <v>0.41291942983117735</v>
      </c>
      <c r="AG155" s="837">
        <f t="shared" si="65"/>
        <v>-3</v>
      </c>
      <c r="AH155" s="178">
        <f t="shared" si="66"/>
        <v>3</v>
      </c>
      <c r="AI155" s="227">
        <f t="shared" si="67"/>
        <v>-2.5870805701688226</v>
      </c>
      <c r="AJ155" s="267" t="b">
        <f t="shared" si="68"/>
        <v>1</v>
      </c>
      <c r="AK155" s="267" t="b">
        <f t="shared" si="69"/>
        <v>0</v>
      </c>
      <c r="AL155" s="267"/>
      <c r="AM155" s="267"/>
      <c r="AN155" s="75"/>
    </row>
    <row r="156" spans="1:40" s="18" customFormat="1" ht="11.25" customHeight="1" x14ac:dyDescent="0.2">
      <c r="A156" s="56">
        <f t="shared" si="71"/>
        <v>43242</v>
      </c>
      <c r="B156" s="622"/>
      <c r="C156" s="879"/>
      <c r="D156" s="395"/>
      <c r="E156" s="387"/>
      <c r="F156" s="387"/>
      <c r="G156" s="110"/>
      <c r="I156" s="382">
        <f t="shared" si="48"/>
        <v>0</v>
      </c>
      <c r="J156" s="85">
        <v>2018</v>
      </c>
      <c r="K156" s="199">
        <f t="shared" si="49"/>
        <v>43242</v>
      </c>
      <c r="L156" s="437">
        <f t="shared" si="50"/>
        <v>0</v>
      </c>
      <c r="M156" s="881"/>
      <c r="N156" s="881"/>
      <c r="O156" s="326">
        <f t="shared" si="51"/>
        <v>0</v>
      </c>
      <c r="P156" s="171">
        <f>(INDEX(Models!$BJ156:$BT156,,T156)*(1-R156)+INDEX(Models!$BJ156:$BT156,,T156+1)*R156-ERP_i)*Q156*Ramure*Pc/MaxiM</f>
        <v>1.9651427329136915E-5</v>
      </c>
      <c r="Q156" s="307">
        <f t="shared" si="52"/>
        <v>1</v>
      </c>
      <c r="R156" s="179">
        <f t="shared" si="53"/>
        <v>0.41908027017495542</v>
      </c>
      <c r="S156" s="837">
        <f t="shared" si="70"/>
        <v>-3</v>
      </c>
      <c r="T156" s="178">
        <f t="shared" si="54"/>
        <v>3</v>
      </c>
      <c r="U156" s="253">
        <f t="shared" si="55"/>
        <v>-2.5809197298250446</v>
      </c>
      <c r="V156" s="385">
        <f t="shared" si="56"/>
        <v>64.621016961119068</v>
      </c>
      <c r="W156" s="58"/>
      <c r="X156" s="157">
        <f t="shared" si="57"/>
        <v>43242</v>
      </c>
      <c r="Y156" s="387">
        <f t="shared" si="58"/>
        <v>0</v>
      </c>
      <c r="Z156" s="387">
        <f t="shared" si="59"/>
        <v>0</v>
      </c>
      <c r="AA156" s="388">
        <f t="shared" si="60"/>
        <v>0</v>
      </c>
      <c r="AB156" s="199">
        <f t="shared" si="61"/>
        <v>43242</v>
      </c>
      <c r="AC156" s="426">
        <f t="shared" si="62"/>
        <v>0</v>
      </c>
      <c r="AD156" s="171">
        <f>(INDEX(Models!$BJ156:$BT156,,AH156)*(1-AF156)+INDEX(Models!$BJ156:$BT156,,AH156+1)*AF156-ERP_i)*AE156*Ramure*Pc/MaxiM</f>
        <v>1.9651427329136915E-5</v>
      </c>
      <c r="AE156" s="307">
        <f t="shared" si="63"/>
        <v>1</v>
      </c>
      <c r="AF156" s="179">
        <f t="shared" si="64"/>
        <v>0.41908027017495542</v>
      </c>
      <c r="AG156" s="837">
        <f t="shared" si="65"/>
        <v>-3</v>
      </c>
      <c r="AH156" s="178">
        <f t="shared" si="66"/>
        <v>3</v>
      </c>
      <c r="AI156" s="227">
        <f t="shared" si="67"/>
        <v>-2.5809197298250446</v>
      </c>
      <c r="AJ156" s="267" t="b">
        <f t="shared" si="68"/>
        <v>1</v>
      </c>
      <c r="AK156" s="267" t="b">
        <f t="shared" si="69"/>
        <v>0</v>
      </c>
      <c r="AL156" s="267"/>
      <c r="AM156" s="267"/>
      <c r="AN156" s="267"/>
    </row>
    <row r="157" spans="1:40" s="18" customFormat="1" ht="11.25" customHeight="1" x14ac:dyDescent="0.2">
      <c r="A157" s="56">
        <f t="shared" si="71"/>
        <v>43243</v>
      </c>
      <c r="B157" s="622"/>
      <c r="C157" s="879"/>
      <c r="D157" s="395"/>
      <c r="E157" s="387"/>
      <c r="F157" s="387"/>
      <c r="G157" s="110"/>
      <c r="I157" s="382">
        <f t="shared" si="48"/>
        <v>0</v>
      </c>
      <c r="J157" s="85">
        <v>2018</v>
      </c>
      <c r="K157" s="199">
        <f t="shared" si="49"/>
        <v>43243</v>
      </c>
      <c r="L157" s="437">
        <f t="shared" si="50"/>
        <v>0</v>
      </c>
      <c r="M157" s="881"/>
      <c r="N157" s="881"/>
      <c r="O157" s="326">
        <f t="shared" si="51"/>
        <v>0</v>
      </c>
      <c r="P157" s="171">
        <f>(INDEX(Models!$BJ157:$BT157,,T157)*(1-R157)+INDEX(Models!$BJ157:$BT157,,T157+1)*R157-ERP_i)*Q157*Ramure*Pc/MaxiM</f>
        <v>1.8832389014560912E-5</v>
      </c>
      <c r="Q157" s="307">
        <f t="shared" si="52"/>
        <v>1</v>
      </c>
      <c r="R157" s="179">
        <f t="shared" si="53"/>
        <v>0.42533593403943648</v>
      </c>
      <c r="S157" s="837">
        <f t="shared" si="70"/>
        <v>-3</v>
      </c>
      <c r="T157" s="178">
        <f t="shared" si="54"/>
        <v>3</v>
      </c>
      <c r="U157" s="253">
        <f t="shared" si="55"/>
        <v>-2.5746640659605635</v>
      </c>
      <c r="V157" s="385">
        <f t="shared" si="56"/>
        <v>64.684242934122992</v>
      </c>
      <c r="W157" s="58"/>
      <c r="X157" s="157">
        <f t="shared" si="57"/>
        <v>43243</v>
      </c>
      <c r="Y157" s="387">
        <f t="shared" si="58"/>
        <v>0</v>
      </c>
      <c r="Z157" s="387">
        <f t="shared" si="59"/>
        <v>0</v>
      </c>
      <c r="AA157" s="388">
        <f t="shared" si="60"/>
        <v>0</v>
      </c>
      <c r="AB157" s="199">
        <f t="shared" si="61"/>
        <v>43243</v>
      </c>
      <c r="AC157" s="426">
        <f t="shared" si="62"/>
        <v>0</v>
      </c>
      <c r="AD157" s="171">
        <f>(INDEX(Models!$BJ157:$BT157,,AH157)*(1-AF157)+INDEX(Models!$BJ157:$BT157,,AH157+1)*AF157-ERP_i)*AE157*Ramure*Pc/MaxiM</f>
        <v>1.8832389014560912E-5</v>
      </c>
      <c r="AE157" s="307">
        <f t="shared" si="63"/>
        <v>1</v>
      </c>
      <c r="AF157" s="179">
        <f t="shared" si="64"/>
        <v>0.42533593403943648</v>
      </c>
      <c r="AG157" s="837">
        <f t="shared" si="65"/>
        <v>-3</v>
      </c>
      <c r="AH157" s="178">
        <f t="shared" si="66"/>
        <v>3</v>
      </c>
      <c r="AI157" s="227">
        <f t="shared" si="67"/>
        <v>-2.5746640659605635</v>
      </c>
      <c r="AJ157" s="267" t="b">
        <f t="shared" si="68"/>
        <v>1</v>
      </c>
      <c r="AK157" s="267" t="b">
        <f t="shared" si="69"/>
        <v>0</v>
      </c>
      <c r="AL157" s="267"/>
      <c r="AM157" s="267"/>
      <c r="AN157" s="267"/>
    </row>
    <row r="158" spans="1:40" s="6" customFormat="1" ht="11.25" customHeight="1" x14ac:dyDescent="0.2">
      <c r="A158" s="56">
        <f t="shared" si="71"/>
        <v>43244</v>
      </c>
      <c r="B158" s="622"/>
      <c r="C158" s="879"/>
      <c r="D158" s="395"/>
      <c r="E158" s="387"/>
      <c r="F158" s="387"/>
      <c r="G158" s="110"/>
      <c r="I158" s="382">
        <f t="shared" si="48"/>
        <v>0</v>
      </c>
      <c r="J158" s="85">
        <v>2018</v>
      </c>
      <c r="K158" s="199">
        <f t="shared" si="49"/>
        <v>43244</v>
      </c>
      <c r="L158" s="437">
        <f t="shared" si="50"/>
        <v>0</v>
      </c>
      <c r="M158" s="881"/>
      <c r="N158" s="881"/>
      <c r="O158" s="326">
        <f t="shared" si="51"/>
        <v>0</v>
      </c>
      <c r="P158" s="171">
        <f>(INDEX(Models!$BJ158:$BT158,,T158)*(1-R158)+INDEX(Models!$BJ158:$BT158,,T158+1)*R158-ERP_i)*Q158*Ramure*Pc/MaxiM</f>
        <v>1.8041554850444841E-5</v>
      </c>
      <c r="Q158" s="307">
        <f t="shared" si="52"/>
        <v>1</v>
      </c>
      <c r="R158" s="179">
        <f t="shared" si="53"/>
        <v>0.43168322538259796</v>
      </c>
      <c r="S158" s="837">
        <f t="shared" si="70"/>
        <v>-3</v>
      </c>
      <c r="T158" s="178">
        <f t="shared" si="54"/>
        <v>3</v>
      </c>
      <c r="U158" s="253">
        <f t="shared" si="55"/>
        <v>-2.568316774617402</v>
      </c>
      <c r="V158" s="385">
        <f t="shared" si="56"/>
        <v>64.742606265777411</v>
      </c>
      <c r="W158" s="58"/>
      <c r="X158" s="157">
        <f t="shared" si="57"/>
        <v>43244</v>
      </c>
      <c r="Y158" s="387">
        <f t="shared" si="58"/>
        <v>0</v>
      </c>
      <c r="Z158" s="387">
        <f t="shared" si="59"/>
        <v>0</v>
      </c>
      <c r="AA158" s="388">
        <f t="shared" si="60"/>
        <v>0</v>
      </c>
      <c r="AB158" s="199">
        <f t="shared" si="61"/>
        <v>43244</v>
      </c>
      <c r="AC158" s="426">
        <f t="shared" si="62"/>
        <v>0</v>
      </c>
      <c r="AD158" s="171">
        <f>(INDEX(Models!$BJ158:$BT158,,AH158)*(1-AF158)+INDEX(Models!$BJ158:$BT158,,AH158+1)*AF158-ERP_i)*AE158*Ramure*Pc/MaxiM</f>
        <v>1.8041554850444841E-5</v>
      </c>
      <c r="AE158" s="307">
        <f t="shared" si="63"/>
        <v>1</v>
      </c>
      <c r="AF158" s="179">
        <f t="shared" si="64"/>
        <v>0.43168322538259796</v>
      </c>
      <c r="AG158" s="837">
        <f t="shared" si="65"/>
        <v>-3</v>
      </c>
      <c r="AH158" s="178">
        <f t="shared" si="66"/>
        <v>3</v>
      </c>
      <c r="AI158" s="227">
        <f t="shared" si="67"/>
        <v>-2.568316774617402</v>
      </c>
      <c r="AJ158" s="267" t="b">
        <f t="shared" si="68"/>
        <v>1</v>
      </c>
      <c r="AK158" s="267" t="b">
        <f t="shared" si="69"/>
        <v>0</v>
      </c>
      <c r="AL158" s="267"/>
      <c r="AM158" s="267"/>
      <c r="AN158" s="75"/>
    </row>
    <row r="159" spans="1:40" s="6" customFormat="1" ht="11.25" customHeight="1" x14ac:dyDescent="0.2">
      <c r="A159" s="56">
        <f t="shared" si="71"/>
        <v>43245</v>
      </c>
      <c r="B159" s="622"/>
      <c r="C159" s="879"/>
      <c r="D159" s="395"/>
      <c r="E159" s="387"/>
      <c r="F159" s="387"/>
      <c r="G159" s="110"/>
      <c r="I159" s="382">
        <f t="shared" si="48"/>
        <v>0</v>
      </c>
      <c r="J159" s="85">
        <v>2018</v>
      </c>
      <c r="K159" s="199">
        <f t="shared" si="49"/>
        <v>43245</v>
      </c>
      <c r="L159" s="437">
        <f t="shared" si="50"/>
        <v>0</v>
      </c>
      <c r="M159" s="881"/>
      <c r="N159" s="881"/>
      <c r="O159" s="326">
        <f t="shared" si="51"/>
        <v>0</v>
      </c>
      <c r="P159" s="171">
        <f>(INDEX(Models!$BJ159:$BT159,,T159)*(1-R159)+INDEX(Models!$BJ159:$BT159,,T159+1)*R159-ERP_i)*Q159*Ramure*Pc/MaxiM</f>
        <v>1.7284433257439788E-5</v>
      </c>
      <c r="Q159" s="307">
        <f t="shared" si="52"/>
        <v>1</v>
      </c>
      <c r="R159" s="179">
        <f t="shared" si="53"/>
        <v>0.4381186969674018</v>
      </c>
      <c r="S159" s="837">
        <f t="shared" si="70"/>
        <v>-3</v>
      </c>
      <c r="T159" s="178">
        <f t="shared" si="54"/>
        <v>3</v>
      </c>
      <c r="U159" s="253">
        <f t="shared" si="55"/>
        <v>-2.5618813030325982</v>
      </c>
      <c r="V159" s="385">
        <f t="shared" si="56"/>
        <v>64.796445717992114</v>
      </c>
      <c r="W159" s="58"/>
      <c r="X159" s="157">
        <f t="shared" si="57"/>
        <v>43245</v>
      </c>
      <c r="Y159" s="387">
        <f t="shared" si="58"/>
        <v>0</v>
      </c>
      <c r="Z159" s="387">
        <f t="shared" si="59"/>
        <v>0</v>
      </c>
      <c r="AA159" s="388">
        <f t="shared" si="60"/>
        <v>0</v>
      </c>
      <c r="AB159" s="199">
        <f t="shared" si="61"/>
        <v>43245</v>
      </c>
      <c r="AC159" s="426">
        <f t="shared" si="62"/>
        <v>0</v>
      </c>
      <c r="AD159" s="171">
        <f>(INDEX(Models!$BJ159:$BT159,,AH159)*(1-AF159)+INDEX(Models!$BJ159:$BT159,,AH159+1)*AF159-ERP_i)*AE159*Ramure*Pc/MaxiM</f>
        <v>1.7284433257439788E-5</v>
      </c>
      <c r="AE159" s="307">
        <f t="shared" si="63"/>
        <v>1</v>
      </c>
      <c r="AF159" s="179">
        <f t="shared" si="64"/>
        <v>0.4381186969674018</v>
      </c>
      <c r="AG159" s="837">
        <f t="shared" si="65"/>
        <v>-3</v>
      </c>
      <c r="AH159" s="178">
        <f t="shared" si="66"/>
        <v>3</v>
      </c>
      <c r="AI159" s="227">
        <f t="shared" si="67"/>
        <v>-2.5618813030325982</v>
      </c>
      <c r="AJ159" s="267" t="b">
        <f t="shared" si="68"/>
        <v>1</v>
      </c>
      <c r="AK159" s="267" t="b">
        <f t="shared" si="69"/>
        <v>0</v>
      </c>
      <c r="AL159" s="267"/>
      <c r="AM159" s="267"/>
      <c r="AN159" s="75"/>
    </row>
    <row r="160" spans="1:40" s="6" customFormat="1" ht="11.25" customHeight="1" x14ac:dyDescent="0.2">
      <c r="A160" s="56">
        <f t="shared" si="71"/>
        <v>43246</v>
      </c>
      <c r="B160" s="622"/>
      <c r="C160" s="879"/>
      <c r="D160" s="395"/>
      <c r="E160" s="387"/>
      <c r="F160" s="387"/>
      <c r="G160" s="110"/>
      <c r="I160" s="382">
        <f t="shared" si="48"/>
        <v>0</v>
      </c>
      <c r="J160" s="85">
        <v>2018</v>
      </c>
      <c r="K160" s="199">
        <f t="shared" si="49"/>
        <v>43246</v>
      </c>
      <c r="L160" s="437">
        <f t="shared" si="50"/>
        <v>0</v>
      </c>
      <c r="M160" s="881"/>
      <c r="N160" s="881"/>
      <c r="O160" s="326">
        <f t="shared" si="51"/>
        <v>0</v>
      </c>
      <c r="P160" s="171">
        <f>(INDEX(Models!$BJ160:$BT160,,T160)*(1-R160)+INDEX(Models!$BJ160:$BT160,,T160+1)*R160-ERP_i)*Q160*Ramure*Pc/MaxiM</f>
        <v>1.6566793088352587E-5</v>
      </c>
      <c r="Q160" s="307">
        <f t="shared" si="52"/>
        <v>1</v>
      </c>
      <c r="R160" s="179">
        <f t="shared" si="53"/>
        <v>0.44463865424456728</v>
      </c>
      <c r="S160" s="837">
        <f t="shared" si="70"/>
        <v>-3</v>
      </c>
      <c r="T160" s="178">
        <f t="shared" si="54"/>
        <v>3</v>
      </c>
      <c r="U160" s="253">
        <f t="shared" si="55"/>
        <v>-2.5553613457554327</v>
      </c>
      <c r="V160" s="385">
        <f t="shared" si="56"/>
        <v>64.846100034704975</v>
      </c>
      <c r="W160" s="58"/>
      <c r="X160" s="157">
        <f t="shared" si="57"/>
        <v>43246</v>
      </c>
      <c r="Y160" s="387">
        <f t="shared" si="58"/>
        <v>0</v>
      </c>
      <c r="Z160" s="387">
        <f t="shared" si="59"/>
        <v>0</v>
      </c>
      <c r="AA160" s="388">
        <f t="shared" si="60"/>
        <v>0</v>
      </c>
      <c r="AB160" s="199">
        <f t="shared" si="61"/>
        <v>43246</v>
      </c>
      <c r="AC160" s="426">
        <f t="shared" si="62"/>
        <v>0</v>
      </c>
      <c r="AD160" s="171">
        <f>(INDEX(Models!$BJ160:$BT160,,AH160)*(1-AF160)+INDEX(Models!$BJ160:$BT160,,AH160+1)*AF160-ERP_i)*AE160*Ramure*Pc/MaxiM</f>
        <v>1.6566793088352587E-5</v>
      </c>
      <c r="AE160" s="307">
        <f t="shared" si="63"/>
        <v>1</v>
      </c>
      <c r="AF160" s="179">
        <f t="shared" si="64"/>
        <v>0.44463865424456728</v>
      </c>
      <c r="AG160" s="837">
        <f t="shared" si="65"/>
        <v>-3</v>
      </c>
      <c r="AH160" s="178">
        <f t="shared" si="66"/>
        <v>3</v>
      </c>
      <c r="AI160" s="227">
        <f t="shared" si="67"/>
        <v>-2.5553613457554327</v>
      </c>
      <c r="AJ160" s="267" t="b">
        <f t="shared" si="68"/>
        <v>1</v>
      </c>
      <c r="AK160" s="267" t="b">
        <f t="shared" si="69"/>
        <v>0</v>
      </c>
      <c r="AL160" s="267"/>
      <c r="AM160" s="267"/>
      <c r="AN160" s="75"/>
    </row>
    <row r="161" spans="1:40" s="6" customFormat="1" ht="11.25" customHeight="1" x14ac:dyDescent="0.2">
      <c r="A161" s="56">
        <f t="shared" si="71"/>
        <v>43247</v>
      </c>
      <c r="B161" s="622"/>
      <c r="C161" s="879"/>
      <c r="D161" s="395"/>
      <c r="E161" s="387"/>
      <c r="F161" s="387"/>
      <c r="G161" s="110"/>
      <c r="I161" s="382">
        <f t="shared" si="48"/>
        <v>0</v>
      </c>
      <c r="J161" s="85">
        <v>2018</v>
      </c>
      <c r="K161" s="199">
        <f t="shared" si="49"/>
        <v>43247</v>
      </c>
      <c r="L161" s="437">
        <f t="shared" si="50"/>
        <v>0</v>
      </c>
      <c r="M161" s="881"/>
      <c r="N161" s="881"/>
      <c r="O161" s="326">
        <f t="shared" si="51"/>
        <v>0</v>
      </c>
      <c r="P161" s="171">
        <f>(INDEX(Models!$BJ161:$BT161,,T161)*(1-R161)+INDEX(Models!$BJ161:$BT161,,T161+1)*R161-ERP_i)*Q161*Ramure*Pc/MaxiM</f>
        <v>1.5894655128708261E-5</v>
      </c>
      <c r="Q161" s="307">
        <f t="shared" si="52"/>
        <v>1</v>
      </c>
      <c r="R161" s="179">
        <f t="shared" si="53"/>
        <v>0.45123916059193325</v>
      </c>
      <c r="S161" s="837">
        <f t="shared" si="70"/>
        <v>-3</v>
      </c>
      <c r="T161" s="178">
        <f t="shared" si="54"/>
        <v>3</v>
      </c>
      <c r="U161" s="253">
        <f t="shared" si="55"/>
        <v>-2.5487608394080667</v>
      </c>
      <c r="V161" s="385">
        <f t="shared" si="56"/>
        <v>64.891907944725176</v>
      </c>
      <c r="W161" s="58"/>
      <c r="X161" s="157">
        <f t="shared" si="57"/>
        <v>43247</v>
      </c>
      <c r="Y161" s="387">
        <f t="shared" si="58"/>
        <v>0</v>
      </c>
      <c r="Z161" s="387">
        <f t="shared" si="59"/>
        <v>0</v>
      </c>
      <c r="AA161" s="388">
        <f t="shared" si="60"/>
        <v>0</v>
      </c>
      <c r="AB161" s="199">
        <f t="shared" si="61"/>
        <v>43247</v>
      </c>
      <c r="AC161" s="426">
        <f t="shared" si="62"/>
        <v>0</v>
      </c>
      <c r="AD161" s="171">
        <f>(INDEX(Models!$BJ161:$BT161,,AH161)*(1-AF161)+INDEX(Models!$BJ161:$BT161,,AH161+1)*AF161-ERP_i)*AE161*Ramure*Pc/MaxiM</f>
        <v>1.5894655128708261E-5</v>
      </c>
      <c r="AE161" s="307">
        <f t="shared" si="63"/>
        <v>1</v>
      </c>
      <c r="AF161" s="179">
        <f t="shared" si="64"/>
        <v>0.45123916059193325</v>
      </c>
      <c r="AG161" s="837">
        <f t="shared" si="65"/>
        <v>-3</v>
      </c>
      <c r="AH161" s="178">
        <f t="shared" si="66"/>
        <v>3</v>
      </c>
      <c r="AI161" s="227">
        <f t="shared" si="67"/>
        <v>-2.5487608394080667</v>
      </c>
      <c r="AJ161" s="267" t="b">
        <f t="shared" si="68"/>
        <v>1</v>
      </c>
      <c r="AK161" s="267" t="b">
        <f t="shared" si="69"/>
        <v>0</v>
      </c>
      <c r="AL161" s="267"/>
      <c r="AM161" s="267"/>
      <c r="AN161" s="75"/>
    </row>
    <row r="162" spans="1:40" s="6" customFormat="1" ht="11.25" customHeight="1" x14ac:dyDescent="0.2">
      <c r="A162" s="56">
        <f t="shared" si="71"/>
        <v>43248</v>
      </c>
      <c r="B162" s="622"/>
      <c r="C162" s="879"/>
      <c r="D162" s="395"/>
      <c r="E162" s="387"/>
      <c r="F162" s="387"/>
      <c r="G162" s="110"/>
      <c r="I162" s="382">
        <f t="shared" si="48"/>
        <v>0</v>
      </c>
      <c r="J162" s="85">
        <v>2018</v>
      </c>
      <c r="K162" s="199">
        <f t="shared" si="49"/>
        <v>43248</v>
      </c>
      <c r="L162" s="437">
        <f t="shared" si="50"/>
        <v>0</v>
      </c>
      <c r="M162" s="881"/>
      <c r="N162" s="881"/>
      <c r="O162" s="326">
        <f t="shared" si="51"/>
        <v>0</v>
      </c>
      <c r="P162" s="171">
        <f>(INDEX(Models!$BJ162:$BT162,,T162)*(1-R162)+INDEX(Models!$BJ162:$BT162,,T162+1)*R162-ERP_i)*Q162*Ramure*Pc/MaxiM</f>
        <v>1.5274281867211446E-5</v>
      </c>
      <c r="Q162" s="307">
        <f t="shared" si="52"/>
        <v>1</v>
      </c>
      <c r="R162" s="179">
        <f t="shared" si="53"/>
        <v>0.45791604392609253</v>
      </c>
      <c r="S162" s="837">
        <f t="shared" si="70"/>
        <v>-3</v>
      </c>
      <c r="T162" s="178">
        <f t="shared" si="54"/>
        <v>3</v>
      </c>
      <c r="U162" s="253">
        <f t="shared" si="55"/>
        <v>-2.5420839560739075</v>
      </c>
      <c r="V162" s="385">
        <f t="shared" si="56"/>
        <v>64.934208162006399</v>
      </c>
      <c r="W162" s="58"/>
      <c r="X162" s="157">
        <f t="shared" si="57"/>
        <v>43248</v>
      </c>
      <c r="Y162" s="387">
        <f t="shared" si="58"/>
        <v>0</v>
      </c>
      <c r="Z162" s="387">
        <f t="shared" si="59"/>
        <v>0</v>
      </c>
      <c r="AA162" s="388">
        <f t="shared" si="60"/>
        <v>0</v>
      </c>
      <c r="AB162" s="199">
        <f t="shared" si="61"/>
        <v>43248</v>
      </c>
      <c r="AC162" s="426">
        <f t="shared" si="62"/>
        <v>0</v>
      </c>
      <c r="AD162" s="171">
        <f>(INDEX(Models!$BJ162:$BT162,,AH162)*(1-AF162)+INDEX(Models!$BJ162:$BT162,,AH162+1)*AF162-ERP_i)*AE162*Ramure*Pc/MaxiM</f>
        <v>1.5274281867211446E-5</v>
      </c>
      <c r="AE162" s="307">
        <f t="shared" si="63"/>
        <v>1</v>
      </c>
      <c r="AF162" s="179">
        <f t="shared" si="64"/>
        <v>0.45791604392609253</v>
      </c>
      <c r="AG162" s="837">
        <f t="shared" si="65"/>
        <v>-3</v>
      </c>
      <c r="AH162" s="178">
        <f t="shared" si="66"/>
        <v>3</v>
      </c>
      <c r="AI162" s="227">
        <f t="shared" si="67"/>
        <v>-2.5420839560739075</v>
      </c>
      <c r="AJ162" s="267" t="b">
        <f t="shared" si="68"/>
        <v>1</v>
      </c>
      <c r="AK162" s="267" t="b">
        <f t="shared" si="69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43249</v>
      </c>
      <c r="B163" s="622"/>
      <c r="C163" s="879"/>
      <c r="D163" s="395"/>
      <c r="E163" s="387"/>
      <c r="F163" s="387"/>
      <c r="G163" s="110"/>
      <c r="I163" s="382">
        <f t="shared" si="48"/>
        <v>0</v>
      </c>
      <c r="J163" s="85">
        <v>2018</v>
      </c>
      <c r="K163" s="199">
        <f t="shared" si="49"/>
        <v>43249</v>
      </c>
      <c r="L163" s="437">
        <f t="shared" si="50"/>
        <v>0</v>
      </c>
      <c r="M163" s="881"/>
      <c r="N163" s="881"/>
      <c r="O163" s="326">
        <f t="shared" si="51"/>
        <v>0</v>
      </c>
      <c r="P163" s="171">
        <f>(INDEX(Models!$BJ163:$BT163,,T163)*(1-R163)+INDEX(Models!$BJ163:$BT163,,T163+1)*R163-ERP_i)*Q163*Ramure*Pc/MaxiM</f>
        <v>1.4712468422439791E-5</v>
      </c>
      <c r="Q163" s="307">
        <f t="shared" si="52"/>
        <v>1</v>
      </c>
      <c r="R163" s="179">
        <f t="shared" si="53"/>
        <v>0.46466490468980348</v>
      </c>
      <c r="S163" s="837">
        <f t="shared" si="70"/>
        <v>-3</v>
      </c>
      <c r="T163" s="178">
        <f t="shared" si="54"/>
        <v>3</v>
      </c>
      <c r="U163" s="253">
        <f t="shared" si="55"/>
        <v>-2.5353350953101965</v>
      </c>
      <c r="V163" s="385">
        <f t="shared" si="56"/>
        <v>64.972001668056322</v>
      </c>
      <c r="W163" s="58"/>
      <c r="X163" s="157">
        <f t="shared" si="57"/>
        <v>43249</v>
      </c>
      <c r="Y163" s="387">
        <f t="shared" si="58"/>
        <v>0</v>
      </c>
      <c r="Z163" s="387">
        <f t="shared" si="59"/>
        <v>0</v>
      </c>
      <c r="AA163" s="388">
        <f t="shared" si="60"/>
        <v>0</v>
      </c>
      <c r="AB163" s="199">
        <f t="shared" si="61"/>
        <v>43249</v>
      </c>
      <c r="AC163" s="426">
        <f t="shared" si="62"/>
        <v>0</v>
      </c>
      <c r="AD163" s="171">
        <f>(INDEX(Models!$BJ163:$BT163,,AH163)*(1-AF163)+INDEX(Models!$BJ163:$BT163,,AH163+1)*AF163-ERP_i)*AE163*Ramure*Pc/MaxiM</f>
        <v>1.4712468422439791E-5</v>
      </c>
      <c r="AE163" s="307">
        <f t="shared" si="63"/>
        <v>1</v>
      </c>
      <c r="AF163" s="179">
        <f t="shared" si="64"/>
        <v>0.46466490468980348</v>
      </c>
      <c r="AG163" s="837">
        <f t="shared" si="65"/>
        <v>-3</v>
      </c>
      <c r="AH163" s="178">
        <f t="shared" si="66"/>
        <v>3</v>
      </c>
      <c r="AI163" s="227">
        <f t="shared" si="67"/>
        <v>-2.5353350953101965</v>
      </c>
      <c r="AJ163" s="267" t="b">
        <f t="shared" si="68"/>
        <v>1</v>
      </c>
      <c r="AK163" s="267" t="b">
        <f t="shared" si="69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43250</v>
      </c>
      <c r="B164" s="622"/>
      <c r="C164" s="879"/>
      <c r="D164" s="395"/>
      <c r="E164" s="387"/>
      <c r="F164" s="387"/>
      <c r="G164" s="110"/>
      <c r="I164" s="382">
        <f t="shared" si="48"/>
        <v>0</v>
      </c>
      <c r="J164" s="85">
        <v>2018</v>
      </c>
      <c r="K164" s="199">
        <f t="shared" si="49"/>
        <v>43250</v>
      </c>
      <c r="L164" s="437">
        <f t="shared" si="50"/>
        <v>0</v>
      </c>
      <c r="M164" s="881"/>
      <c r="N164" s="881"/>
      <c r="O164" s="326">
        <f t="shared" si="51"/>
        <v>0</v>
      </c>
      <c r="P164" s="171">
        <f>(INDEX(Models!$BJ164:$BT164,,T164)*(1-R164)+INDEX(Models!$BJ164:$BT164,,T164+1)*R164-ERP_i)*Q164*Ramure*Pc/MaxiM</f>
        <v>1.4246919874959635E-5</v>
      </c>
      <c r="Q164" s="307">
        <f t="shared" si="52"/>
        <v>1</v>
      </c>
      <c r="R164" s="179">
        <f t="shared" si="53"/>
        <v>0.47148112520592589</v>
      </c>
      <c r="S164" s="837">
        <f t="shared" si="70"/>
        <v>-3</v>
      </c>
      <c r="T164" s="178">
        <f t="shared" si="54"/>
        <v>3</v>
      </c>
      <c r="U164" s="253">
        <f t="shared" si="55"/>
        <v>-2.5285188747940741</v>
      </c>
      <c r="V164" s="385">
        <f t="shared" si="56"/>
        <v>65.004212069862717</v>
      </c>
      <c r="W164" s="58"/>
      <c r="X164" s="157">
        <f t="shared" si="57"/>
        <v>43250</v>
      </c>
      <c r="Y164" s="387">
        <f t="shared" si="58"/>
        <v>0</v>
      </c>
      <c r="Z164" s="387">
        <f t="shared" si="59"/>
        <v>0</v>
      </c>
      <c r="AA164" s="388">
        <f t="shared" si="60"/>
        <v>0</v>
      </c>
      <c r="AB164" s="199">
        <f t="shared" si="61"/>
        <v>43250</v>
      </c>
      <c r="AC164" s="426">
        <f t="shared" si="62"/>
        <v>0</v>
      </c>
      <c r="AD164" s="171">
        <f>(INDEX(Models!$BJ164:$BT164,,AH164)*(1-AF164)+INDEX(Models!$BJ164:$BT164,,AH164+1)*AF164-ERP_i)*AE164*Ramure*Pc/MaxiM</f>
        <v>1.4246919874959635E-5</v>
      </c>
      <c r="AE164" s="307">
        <f t="shared" si="63"/>
        <v>1</v>
      </c>
      <c r="AF164" s="179">
        <f t="shared" si="64"/>
        <v>0.47148112520592589</v>
      </c>
      <c r="AG164" s="837">
        <f t="shared" si="65"/>
        <v>-3</v>
      </c>
      <c r="AH164" s="178">
        <f t="shared" si="66"/>
        <v>3</v>
      </c>
      <c r="AI164" s="227">
        <f t="shared" si="67"/>
        <v>-2.5285188747940741</v>
      </c>
      <c r="AJ164" s="267" t="b">
        <f t="shared" si="68"/>
        <v>1</v>
      </c>
      <c r="AK164" s="267" t="b">
        <f t="shared" si="69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43251</v>
      </c>
      <c r="B165" s="622"/>
      <c r="C165" s="879"/>
      <c r="D165" s="395"/>
      <c r="E165" s="387"/>
      <c r="F165" s="387"/>
      <c r="G165" s="110"/>
      <c r="I165" s="382">
        <f t="shared" si="48"/>
        <v>0</v>
      </c>
      <c r="J165" s="85">
        <v>2018</v>
      </c>
      <c r="K165" s="199">
        <f t="shared" si="49"/>
        <v>43251</v>
      </c>
      <c r="L165" s="437">
        <f t="shared" si="50"/>
        <v>0</v>
      </c>
      <c r="M165" s="881"/>
      <c r="N165" s="881"/>
      <c r="O165" s="326">
        <f t="shared" si="51"/>
        <v>0</v>
      </c>
      <c r="P165" s="171">
        <f>(INDEX(Models!$BJ165:$BT165,,T165)*(1-R165)+INDEX(Models!$BJ165:$BT165,,T165+1)*R165-ERP_i)*Q165*Ramure*Pc/MaxiM</f>
        <v>1.3842939908617727E-5</v>
      </c>
      <c r="Q165" s="307">
        <f t="shared" si="52"/>
        <v>1</v>
      </c>
      <c r="R165" s="179">
        <f t="shared" si="53"/>
        <v>0.47835988037540345</v>
      </c>
      <c r="S165" s="837">
        <f t="shared" si="70"/>
        <v>-3</v>
      </c>
      <c r="T165" s="178">
        <f t="shared" si="54"/>
        <v>3</v>
      </c>
      <c r="U165" s="253">
        <f t="shared" si="55"/>
        <v>-2.5216401196245966</v>
      </c>
      <c r="V165" s="385">
        <f t="shared" si="56"/>
        <v>65.031067696711887</v>
      </c>
      <c r="W165" s="58"/>
      <c r="X165" s="157">
        <f t="shared" si="57"/>
        <v>43251</v>
      </c>
      <c r="Y165" s="387">
        <f t="shared" si="58"/>
        <v>0</v>
      </c>
      <c r="Z165" s="387">
        <f t="shared" si="59"/>
        <v>0</v>
      </c>
      <c r="AA165" s="388">
        <f t="shared" si="60"/>
        <v>0</v>
      </c>
      <c r="AB165" s="199">
        <f t="shared" si="61"/>
        <v>43251</v>
      </c>
      <c r="AC165" s="426">
        <f t="shared" si="62"/>
        <v>0</v>
      </c>
      <c r="AD165" s="171">
        <f>(INDEX(Models!$BJ165:$BT165,,AH165)*(1-AF165)+INDEX(Models!$BJ165:$BT165,,AH165+1)*AF165-ERP_i)*AE165*Ramure*Pc/MaxiM</f>
        <v>1.3842939908617727E-5</v>
      </c>
      <c r="AE165" s="307">
        <f t="shared" si="63"/>
        <v>1</v>
      </c>
      <c r="AF165" s="179">
        <f t="shared" si="64"/>
        <v>0.47835988037540345</v>
      </c>
      <c r="AG165" s="837">
        <f t="shared" si="65"/>
        <v>-3</v>
      </c>
      <c r="AH165" s="178">
        <f t="shared" si="66"/>
        <v>3</v>
      </c>
      <c r="AI165" s="227">
        <f t="shared" si="67"/>
        <v>-2.5216401196245966</v>
      </c>
      <c r="AJ165" s="267" t="b">
        <f t="shared" si="68"/>
        <v>1</v>
      </c>
      <c r="AK165" s="267" t="b">
        <f t="shared" si="69"/>
        <v>0</v>
      </c>
      <c r="AL165" s="267"/>
      <c r="AM165" s="267"/>
      <c r="AN165" s="75"/>
    </row>
    <row r="166" spans="1:40" s="6" customFormat="1" ht="11.25" customHeight="1" x14ac:dyDescent="0.2">
      <c r="A166" s="56">
        <f t="shared" si="71"/>
        <v>43252</v>
      </c>
      <c r="B166" s="622"/>
      <c r="C166" s="879"/>
      <c r="D166" s="395"/>
      <c r="E166" s="387"/>
      <c r="F166" s="387"/>
      <c r="G166" s="110"/>
      <c r="I166" s="382">
        <f t="shared" si="48"/>
        <v>0</v>
      </c>
      <c r="J166" s="85">
        <v>2018</v>
      </c>
      <c r="K166" s="199">
        <f t="shared" si="49"/>
        <v>43252</v>
      </c>
      <c r="L166" s="437">
        <f t="shared" si="50"/>
        <v>0</v>
      </c>
      <c r="M166" s="881"/>
      <c r="N166" s="881"/>
      <c r="O166" s="326">
        <f t="shared" si="51"/>
        <v>0</v>
      </c>
      <c r="P166" s="171">
        <f>(INDEX(Models!$BJ166:$BT166,,T166)*(1-R166)+INDEX(Models!$BJ166:$BT166,,T166+1)*R166-ERP_i)*Q166*Ramure*Pc/MaxiM</f>
        <v>1.3506746986973407E-5</v>
      </c>
      <c r="Q166" s="307">
        <f t="shared" si="52"/>
        <v>1</v>
      </c>
      <c r="R166" s="179">
        <f t="shared" si="53"/>
        <v>0.48529614968331858</v>
      </c>
      <c r="S166" s="837">
        <f t="shared" si="70"/>
        <v>-3</v>
      </c>
      <c r="T166" s="178">
        <f t="shared" si="54"/>
        <v>3</v>
      </c>
      <c r="U166" s="253">
        <f t="shared" si="55"/>
        <v>-2.5147038503166814</v>
      </c>
      <c r="V166" s="385">
        <f t="shared" si="56"/>
        <v>65.052794222926707</v>
      </c>
      <c r="W166" s="58"/>
      <c r="X166" s="157">
        <f t="shared" si="57"/>
        <v>43252</v>
      </c>
      <c r="Y166" s="387">
        <f t="shared" si="58"/>
        <v>0</v>
      </c>
      <c r="Z166" s="387">
        <f t="shared" si="59"/>
        <v>0</v>
      </c>
      <c r="AA166" s="388">
        <f t="shared" si="60"/>
        <v>0</v>
      </c>
      <c r="AB166" s="199">
        <f t="shared" si="61"/>
        <v>43252</v>
      </c>
      <c r="AC166" s="426">
        <f t="shared" si="62"/>
        <v>0</v>
      </c>
      <c r="AD166" s="171">
        <f>(INDEX(Models!$BJ166:$BT166,,AH166)*(1-AF166)+INDEX(Models!$BJ166:$BT166,,AH166+1)*AF166-ERP_i)*AE166*Ramure*Pc/MaxiM</f>
        <v>1.3506746986973407E-5</v>
      </c>
      <c r="AE166" s="307">
        <f t="shared" si="63"/>
        <v>1</v>
      </c>
      <c r="AF166" s="179">
        <f t="shared" si="64"/>
        <v>0.48529614968331858</v>
      </c>
      <c r="AG166" s="837">
        <f t="shared" si="65"/>
        <v>-3</v>
      </c>
      <c r="AH166" s="178">
        <f t="shared" si="66"/>
        <v>3</v>
      </c>
      <c r="AI166" s="227">
        <f t="shared" si="67"/>
        <v>-2.5147038503166814</v>
      </c>
      <c r="AJ166" s="267" t="b">
        <f t="shared" si="68"/>
        <v>1</v>
      </c>
      <c r="AK166" s="267" t="b">
        <f t="shared" si="69"/>
        <v>0</v>
      </c>
      <c r="AL166" s="267"/>
      <c r="AM166" s="267"/>
      <c r="AN166" s="75"/>
    </row>
    <row r="167" spans="1:40" s="6" customFormat="1" ht="11.25" customHeight="1" x14ac:dyDescent="0.2">
      <c r="A167" s="56">
        <f t="shared" si="71"/>
        <v>43253</v>
      </c>
      <c r="B167" s="622"/>
      <c r="C167" s="879"/>
      <c r="D167" s="395"/>
      <c r="E167" s="387"/>
      <c r="F167" s="387"/>
      <c r="G167" s="110"/>
      <c r="I167" s="382">
        <f t="shared" si="48"/>
        <v>0</v>
      </c>
      <c r="J167" s="85">
        <v>2018</v>
      </c>
      <c r="K167" s="199">
        <f t="shared" si="49"/>
        <v>43253</v>
      </c>
      <c r="L167" s="437">
        <f t="shared" si="50"/>
        <v>0</v>
      </c>
      <c r="M167" s="881"/>
      <c r="N167" s="881"/>
      <c r="O167" s="326">
        <f t="shared" si="51"/>
        <v>0</v>
      </c>
      <c r="P167" s="171">
        <f>(INDEX(Models!$BJ167:$BT167,,T167)*(1-R167)+INDEX(Models!$BJ167:$BT167,,T167+1)*R167-ERP_i)*Q167*Ramure*Pc/MaxiM</f>
        <v>1.3244729356607191E-5</v>
      </c>
      <c r="Q167" s="307">
        <f t="shared" si="52"/>
        <v>1</v>
      </c>
      <c r="R167" s="179">
        <f t="shared" si="53"/>
        <v>0.49228473046349608</v>
      </c>
      <c r="S167" s="837">
        <f t="shared" si="70"/>
        <v>-3</v>
      </c>
      <c r="T167" s="178">
        <f t="shared" si="54"/>
        <v>3</v>
      </c>
      <c r="U167" s="253">
        <f t="shared" si="55"/>
        <v>-2.5077152695365039</v>
      </c>
      <c r="V167" s="385">
        <f t="shared" si="56"/>
        <v>65.069617314020604</v>
      </c>
      <c r="W167" s="58"/>
      <c r="X167" s="157">
        <f t="shared" si="57"/>
        <v>43253</v>
      </c>
      <c r="Y167" s="387">
        <f t="shared" si="58"/>
        <v>0</v>
      </c>
      <c r="Z167" s="387">
        <f t="shared" si="59"/>
        <v>0</v>
      </c>
      <c r="AA167" s="388">
        <f t="shared" si="60"/>
        <v>0</v>
      </c>
      <c r="AB167" s="199">
        <f t="shared" si="61"/>
        <v>43253</v>
      </c>
      <c r="AC167" s="426">
        <f t="shared" si="62"/>
        <v>0</v>
      </c>
      <c r="AD167" s="171">
        <f>(INDEX(Models!$BJ167:$BT167,,AH167)*(1-AF167)+INDEX(Models!$BJ167:$BT167,,AH167+1)*AF167-ERP_i)*AE167*Ramure*Pc/MaxiM</f>
        <v>1.3244729356607191E-5</v>
      </c>
      <c r="AE167" s="307">
        <f t="shared" si="63"/>
        <v>1</v>
      </c>
      <c r="AF167" s="179">
        <f t="shared" si="64"/>
        <v>0.49228473046349608</v>
      </c>
      <c r="AG167" s="837">
        <f t="shared" si="65"/>
        <v>-3</v>
      </c>
      <c r="AH167" s="178">
        <f t="shared" si="66"/>
        <v>3</v>
      </c>
      <c r="AI167" s="227">
        <f t="shared" si="67"/>
        <v>-2.5077152695365039</v>
      </c>
      <c r="AJ167" s="267" t="b">
        <f t="shared" si="68"/>
        <v>1</v>
      </c>
      <c r="AK167" s="267" t="b">
        <f t="shared" si="69"/>
        <v>0</v>
      </c>
      <c r="AL167" s="267"/>
      <c r="AM167" s="267"/>
      <c r="AN167" s="75"/>
    </row>
    <row r="168" spans="1:40" s="6" customFormat="1" ht="11.25" customHeight="1" x14ac:dyDescent="0.2">
      <c r="A168" s="56">
        <f t="shared" si="71"/>
        <v>43254</v>
      </c>
      <c r="B168" s="622"/>
      <c r="C168" s="879"/>
      <c r="D168" s="395"/>
      <c r="E168" s="387"/>
      <c r="F168" s="387"/>
      <c r="G168" s="110"/>
      <c r="I168" s="382">
        <f t="shared" si="48"/>
        <v>0</v>
      </c>
      <c r="J168" s="85">
        <v>2018</v>
      </c>
      <c r="K168" s="199">
        <f t="shared" si="49"/>
        <v>43254</v>
      </c>
      <c r="L168" s="437">
        <f t="shared" si="50"/>
        <v>0</v>
      </c>
      <c r="M168" s="881"/>
      <c r="N168" s="881"/>
      <c r="O168" s="326">
        <f t="shared" si="51"/>
        <v>0</v>
      </c>
      <c r="P168" s="171">
        <f>(INDEX(Models!$BJ168:$BT168,,T168)*(1-R168)+INDEX(Models!$BJ168:$BT168,,T168+1)*R168-ERP_i)*Q168*Ramure*Pc/MaxiM</f>
        <v>1.3063431496254214E-5</v>
      </c>
      <c r="Q168" s="307">
        <f t="shared" si="52"/>
        <v>1</v>
      </c>
      <c r="R168" s="179">
        <f t="shared" si="53"/>
        <v>0.49932025235867705</v>
      </c>
      <c r="S168" s="837">
        <f t="shared" si="70"/>
        <v>-3</v>
      </c>
      <c r="T168" s="178">
        <f t="shared" si="54"/>
        <v>3</v>
      </c>
      <c r="U168" s="253">
        <f t="shared" si="55"/>
        <v>-2.5006797476413229</v>
      </c>
      <c r="V168" s="385">
        <f t="shared" si="56"/>
        <v>65.081762626123876</v>
      </c>
      <c r="W168" s="58"/>
      <c r="X168" s="157">
        <f t="shared" si="57"/>
        <v>43254</v>
      </c>
      <c r="Y168" s="387">
        <f t="shared" si="58"/>
        <v>0</v>
      </c>
      <c r="Z168" s="387">
        <f t="shared" si="59"/>
        <v>0</v>
      </c>
      <c r="AA168" s="388">
        <f t="shared" si="60"/>
        <v>0</v>
      </c>
      <c r="AB168" s="199">
        <f t="shared" si="61"/>
        <v>43254</v>
      </c>
      <c r="AC168" s="426">
        <f t="shared" si="62"/>
        <v>0</v>
      </c>
      <c r="AD168" s="171">
        <f>(INDEX(Models!$BJ168:$BT168,,AH168)*(1-AF168)+INDEX(Models!$BJ168:$BT168,,AH168+1)*AF168-ERP_i)*AE168*Ramure*Pc/MaxiM</f>
        <v>1.3063431496254214E-5</v>
      </c>
      <c r="AE168" s="307">
        <f t="shared" si="63"/>
        <v>1</v>
      </c>
      <c r="AF168" s="179">
        <f t="shared" si="64"/>
        <v>0.49932025235867705</v>
      </c>
      <c r="AG168" s="837">
        <f t="shared" si="65"/>
        <v>-3</v>
      </c>
      <c r="AH168" s="178">
        <f t="shared" si="66"/>
        <v>3</v>
      </c>
      <c r="AI168" s="227">
        <f t="shared" si="67"/>
        <v>-2.5006797476413229</v>
      </c>
      <c r="AJ168" s="267" t="b">
        <f t="shared" si="68"/>
        <v>1</v>
      </c>
      <c r="AK168" s="267" t="b">
        <f t="shared" si="69"/>
        <v>0</v>
      </c>
      <c r="AL168" s="267"/>
      <c r="AM168" s="267"/>
      <c r="AN168" s="75"/>
    </row>
    <row r="169" spans="1:40" s="18" customFormat="1" ht="11.25" customHeight="1" x14ac:dyDescent="0.2">
      <c r="A169" s="56">
        <f t="shared" si="71"/>
        <v>43255</v>
      </c>
      <c r="B169" s="618"/>
      <c r="C169" s="392"/>
      <c r="D169" s="395"/>
      <c r="E169" s="387"/>
      <c r="F169" s="387"/>
      <c r="G169" s="110"/>
      <c r="I169" s="382">
        <f t="shared" si="48"/>
        <v>0</v>
      </c>
      <c r="J169" s="85">
        <v>2018</v>
      </c>
      <c r="K169" s="199">
        <f t="shared" si="49"/>
        <v>43255</v>
      </c>
      <c r="L169" s="437">
        <f t="shared" si="50"/>
        <v>0</v>
      </c>
      <c r="M169" s="881"/>
      <c r="N169" s="881"/>
      <c r="O169" s="326">
        <f t="shared" si="51"/>
        <v>0</v>
      </c>
      <c r="P169" s="171">
        <f>(INDEX(Models!$BJ169:$BT169,,T169)*(1-R169)+INDEX(Models!$BJ169:$BT169,,T169+1)*R169-ERP_i)*Q169*Ramure*Pc/MaxiM</f>
        <v>1.2969539512175074E-5</v>
      </c>
      <c r="Q169" s="307">
        <f t="shared" si="52"/>
        <v>1</v>
      </c>
      <c r="R169" s="179">
        <f t="shared" si="53"/>
        <v>0.50639719290020047</v>
      </c>
      <c r="S169" s="837">
        <f t="shared" si="70"/>
        <v>-3</v>
      </c>
      <c r="T169" s="178">
        <f t="shared" si="54"/>
        <v>3</v>
      </c>
      <c r="U169" s="253">
        <f t="shared" si="55"/>
        <v>-2.4936028070997995</v>
      </c>
      <c r="V169" s="385">
        <f t="shared" si="56"/>
        <v>65.089455808868721</v>
      </c>
      <c r="W169" s="58"/>
      <c r="X169" s="157">
        <f t="shared" si="57"/>
        <v>43255</v>
      </c>
      <c r="Y169" s="387">
        <f t="shared" si="58"/>
        <v>0</v>
      </c>
      <c r="Z169" s="387">
        <f t="shared" si="59"/>
        <v>0</v>
      </c>
      <c r="AA169" s="388">
        <f t="shared" si="60"/>
        <v>0</v>
      </c>
      <c r="AB169" s="199">
        <f t="shared" si="61"/>
        <v>43255</v>
      </c>
      <c r="AC169" s="426">
        <f t="shared" si="62"/>
        <v>0</v>
      </c>
      <c r="AD169" s="171">
        <f>(INDEX(Models!$BJ169:$BT169,,AH169)*(1-AF169)+INDEX(Models!$BJ169:$BT169,,AH169+1)*AF169-ERP_i)*AE169*Ramure*Pc/MaxiM</f>
        <v>1.2969539512175074E-5</v>
      </c>
      <c r="AE169" s="307">
        <f t="shared" si="63"/>
        <v>1</v>
      </c>
      <c r="AF169" s="179">
        <f t="shared" si="64"/>
        <v>0.50639719290020047</v>
      </c>
      <c r="AG169" s="837">
        <f t="shared" si="65"/>
        <v>-3</v>
      </c>
      <c r="AH169" s="178">
        <f t="shared" si="66"/>
        <v>3</v>
      </c>
      <c r="AI169" s="227">
        <f t="shared" si="67"/>
        <v>-2.4936028070997995</v>
      </c>
      <c r="AJ169" s="267" t="b">
        <f t="shared" si="68"/>
        <v>1</v>
      </c>
      <c r="AK169" s="267" t="b">
        <f t="shared" si="69"/>
        <v>0</v>
      </c>
      <c r="AL169" s="267"/>
      <c r="AM169" s="267"/>
      <c r="AN169" s="267"/>
    </row>
    <row r="170" spans="1:40" s="18" customFormat="1" ht="11.25" customHeight="1" x14ac:dyDescent="0.2">
      <c r="A170" s="56">
        <f t="shared" si="71"/>
        <v>43256</v>
      </c>
      <c r="B170" s="618"/>
      <c r="C170" s="392"/>
      <c r="D170" s="395"/>
      <c r="E170" s="387"/>
      <c r="F170" s="387"/>
      <c r="G170" s="110"/>
      <c r="I170" s="382">
        <f t="shared" si="48"/>
        <v>0</v>
      </c>
      <c r="J170" s="85">
        <v>2018</v>
      </c>
      <c r="K170" s="199">
        <f t="shared" si="49"/>
        <v>43256</v>
      </c>
      <c r="L170" s="437">
        <f t="shared" si="50"/>
        <v>0</v>
      </c>
      <c r="M170" s="881"/>
      <c r="N170" s="881"/>
      <c r="O170" s="326">
        <f t="shared" si="51"/>
        <v>0</v>
      </c>
      <c r="P170" s="171">
        <f>(INDEX(Models!$BJ170:$BT170,,T170)*(1-R170)+INDEX(Models!$BJ170:$BT170,,T170+1)*R170-ERP_i)*Q170*Ramure*Pc/MaxiM</f>
        <v>1.2982406769185504E-5</v>
      </c>
      <c r="Q170" s="307">
        <f t="shared" si="52"/>
        <v>1</v>
      </c>
      <c r="R170" s="179">
        <f t="shared" si="53"/>
        <v>0.51350989411858139</v>
      </c>
      <c r="S170" s="837">
        <f t="shared" si="70"/>
        <v>-3</v>
      </c>
      <c r="T170" s="178">
        <f t="shared" si="54"/>
        <v>3</v>
      </c>
      <c r="U170" s="253">
        <f t="shared" si="55"/>
        <v>-2.4864901058814186</v>
      </c>
      <c r="V170" s="385">
        <f t="shared" si="56"/>
        <v>65.092921690580255</v>
      </c>
      <c r="W170" s="58"/>
      <c r="X170" s="157">
        <f t="shared" si="57"/>
        <v>43256</v>
      </c>
      <c r="Y170" s="387">
        <f t="shared" si="58"/>
        <v>0</v>
      </c>
      <c r="Z170" s="387">
        <f t="shared" si="59"/>
        <v>0</v>
      </c>
      <c r="AA170" s="388">
        <f t="shared" si="60"/>
        <v>0</v>
      </c>
      <c r="AB170" s="199">
        <f t="shared" si="61"/>
        <v>43256</v>
      </c>
      <c r="AC170" s="426">
        <f t="shared" si="62"/>
        <v>0</v>
      </c>
      <c r="AD170" s="171">
        <f>(INDEX(Models!$BJ170:$BT170,,AH170)*(1-AF170)+INDEX(Models!$BJ170:$BT170,,AH170+1)*AF170-ERP_i)*AE170*Ramure*Pc/MaxiM</f>
        <v>1.2982406769185504E-5</v>
      </c>
      <c r="AE170" s="307">
        <f t="shared" si="63"/>
        <v>1</v>
      </c>
      <c r="AF170" s="179">
        <f t="shared" si="64"/>
        <v>0.51350989411858139</v>
      </c>
      <c r="AG170" s="837">
        <f t="shared" si="65"/>
        <v>-3</v>
      </c>
      <c r="AH170" s="178">
        <f t="shared" si="66"/>
        <v>3</v>
      </c>
      <c r="AI170" s="227">
        <f t="shared" si="67"/>
        <v>-2.4864901058814186</v>
      </c>
      <c r="AJ170" s="267" t="b">
        <f t="shared" si="68"/>
        <v>1</v>
      </c>
      <c r="AK170" s="267" t="b">
        <f t="shared" si="69"/>
        <v>0</v>
      </c>
      <c r="AL170" s="267"/>
      <c r="AM170" s="267"/>
      <c r="AN170" s="267"/>
    </row>
    <row r="171" spans="1:40" s="6" customFormat="1" ht="11.25" customHeight="1" x14ac:dyDescent="0.2">
      <c r="A171" s="56">
        <f t="shared" si="71"/>
        <v>43257</v>
      </c>
      <c r="B171" s="618"/>
      <c r="C171" s="392"/>
      <c r="D171" s="395"/>
      <c r="E171" s="387"/>
      <c r="F171" s="387"/>
      <c r="G171" s="110"/>
      <c r="I171" s="382">
        <f t="shared" si="48"/>
        <v>0</v>
      </c>
      <c r="J171" s="85">
        <v>2018</v>
      </c>
      <c r="K171" s="199">
        <f t="shared" si="49"/>
        <v>43257</v>
      </c>
      <c r="L171" s="437">
        <f t="shared" si="50"/>
        <v>0</v>
      </c>
      <c r="M171" s="881"/>
      <c r="N171" s="881"/>
      <c r="O171" s="326">
        <f t="shared" si="51"/>
        <v>0</v>
      </c>
      <c r="P171" s="171">
        <f>(INDEX(Models!$BJ171:$BT171,,T171)*(1-R171)+INDEX(Models!$BJ171:$BT171,,T171+1)*R171-ERP_i)*Q171*Ramure*Pc/MaxiM</f>
        <v>1.3033457810476849E-5</v>
      </c>
      <c r="Q171" s="307">
        <f t="shared" si="52"/>
        <v>1</v>
      </c>
      <c r="R171" s="179">
        <f t="shared" si="53"/>
        <v>0.52065258008457738</v>
      </c>
      <c r="S171" s="837">
        <f t="shared" si="70"/>
        <v>-3</v>
      </c>
      <c r="T171" s="178">
        <f t="shared" si="54"/>
        <v>3</v>
      </c>
      <c r="U171" s="253">
        <f t="shared" si="55"/>
        <v>-2.4793474199154226</v>
      </c>
      <c r="V171" s="385">
        <f t="shared" si="56"/>
        <v>65.092390822953817</v>
      </c>
      <c r="W171" s="58"/>
      <c r="X171" s="157">
        <f t="shared" si="57"/>
        <v>43257</v>
      </c>
      <c r="Y171" s="387">
        <f t="shared" si="58"/>
        <v>0</v>
      </c>
      <c r="Z171" s="387">
        <f t="shared" si="59"/>
        <v>0</v>
      </c>
      <c r="AA171" s="388">
        <f t="shared" si="60"/>
        <v>0</v>
      </c>
      <c r="AB171" s="199">
        <f t="shared" si="61"/>
        <v>43257</v>
      </c>
      <c r="AC171" s="426">
        <f t="shared" si="62"/>
        <v>0</v>
      </c>
      <c r="AD171" s="171">
        <f>(INDEX(Models!$BJ171:$BT171,,AH171)*(1-AF171)+INDEX(Models!$BJ171:$BT171,,AH171+1)*AF171-ERP_i)*AE171*Ramure*Pc/MaxiM</f>
        <v>1.3033457810476849E-5</v>
      </c>
      <c r="AE171" s="307">
        <f t="shared" si="63"/>
        <v>1</v>
      </c>
      <c r="AF171" s="179">
        <f t="shared" si="64"/>
        <v>0.52065258008457738</v>
      </c>
      <c r="AG171" s="837">
        <f t="shared" si="65"/>
        <v>-3</v>
      </c>
      <c r="AH171" s="178">
        <f t="shared" si="66"/>
        <v>3</v>
      </c>
      <c r="AI171" s="227">
        <f t="shared" si="67"/>
        <v>-2.4793474199154226</v>
      </c>
      <c r="AJ171" s="267" t="b">
        <f t="shared" si="68"/>
        <v>1</v>
      </c>
      <c r="AK171" s="267" t="b">
        <f t="shared" si="69"/>
        <v>0</v>
      </c>
      <c r="AL171" s="267"/>
      <c r="AM171" s="267"/>
      <c r="AN171" s="75"/>
    </row>
    <row r="172" spans="1:40" s="6" customFormat="1" ht="11.25" customHeight="1" x14ac:dyDescent="0.2">
      <c r="A172" s="56">
        <f t="shared" si="71"/>
        <v>43258</v>
      </c>
      <c r="B172" s="618"/>
      <c r="C172" s="392"/>
      <c r="D172" s="395"/>
      <c r="E172" s="387"/>
      <c r="F172" s="387"/>
      <c r="G172" s="110"/>
      <c r="I172" s="382">
        <f t="shared" si="48"/>
        <v>0</v>
      </c>
      <c r="J172" s="85">
        <v>2018</v>
      </c>
      <c r="K172" s="199">
        <f t="shared" si="49"/>
        <v>43258</v>
      </c>
      <c r="L172" s="437">
        <f t="shared" si="50"/>
        <v>0</v>
      </c>
      <c r="M172" s="881"/>
      <c r="N172" s="881"/>
      <c r="O172" s="326">
        <f t="shared" si="51"/>
        <v>0</v>
      </c>
      <c r="P172" s="171">
        <f>(INDEX(Models!$BJ172:$BT172,,T172)*(1-R172)+INDEX(Models!$BJ172:$BT172,,T172+1)*R172-ERP_i)*Q172*Ramure*Pc/MaxiM</f>
        <v>1.3125565528657004E-5</v>
      </c>
      <c r="Q172" s="307">
        <f t="shared" si="52"/>
        <v>1</v>
      </c>
      <c r="R172" s="179">
        <f t="shared" si="53"/>
        <v>0.52781937526953371</v>
      </c>
      <c r="S172" s="837">
        <f t="shared" si="70"/>
        <v>-3</v>
      </c>
      <c r="T172" s="178">
        <f t="shared" si="54"/>
        <v>3</v>
      </c>
      <c r="U172" s="253">
        <f t="shared" si="55"/>
        <v>-2.4721806247304663</v>
      </c>
      <c r="V172" s="385">
        <f t="shared" si="56"/>
        <v>65.088089111274797</v>
      </c>
      <c r="W172" s="58"/>
      <c r="X172" s="157">
        <f t="shared" si="57"/>
        <v>43258</v>
      </c>
      <c r="Y172" s="387">
        <f t="shared" si="58"/>
        <v>0</v>
      </c>
      <c r="Z172" s="387">
        <f t="shared" si="59"/>
        <v>0</v>
      </c>
      <c r="AA172" s="388">
        <f t="shared" si="60"/>
        <v>0</v>
      </c>
      <c r="AB172" s="199">
        <f t="shared" si="61"/>
        <v>43258</v>
      </c>
      <c r="AC172" s="426">
        <f t="shared" si="62"/>
        <v>0</v>
      </c>
      <c r="AD172" s="171">
        <f>(INDEX(Models!$BJ172:$BT172,,AH172)*(1-AF172)+INDEX(Models!$BJ172:$BT172,,AH172+1)*AF172-ERP_i)*AE172*Ramure*Pc/MaxiM</f>
        <v>1.3125565528657004E-5</v>
      </c>
      <c r="AE172" s="307">
        <f t="shared" si="63"/>
        <v>1</v>
      </c>
      <c r="AF172" s="179">
        <f t="shared" si="64"/>
        <v>0.52781937526953371</v>
      </c>
      <c r="AG172" s="837">
        <f t="shared" si="65"/>
        <v>-3</v>
      </c>
      <c r="AH172" s="178">
        <f t="shared" si="66"/>
        <v>3</v>
      </c>
      <c r="AI172" s="227">
        <f t="shared" si="67"/>
        <v>-2.4721806247304663</v>
      </c>
      <c r="AJ172" s="267" t="b">
        <f t="shared" si="68"/>
        <v>1</v>
      </c>
      <c r="AK172" s="267" t="b">
        <f t="shared" si="69"/>
        <v>0</v>
      </c>
      <c r="AL172" s="267"/>
      <c r="AM172" s="267"/>
      <c r="AN172" s="75"/>
    </row>
    <row r="173" spans="1:40" s="6" customFormat="1" ht="11.25" customHeight="1" x14ac:dyDescent="0.2">
      <c r="A173" s="56">
        <f t="shared" si="71"/>
        <v>43259</v>
      </c>
      <c r="B173" s="618"/>
      <c r="C173" s="392"/>
      <c r="D173" s="395"/>
      <c r="E173" s="387"/>
      <c r="F173" s="387"/>
      <c r="G173" s="110"/>
      <c r="I173" s="382">
        <f t="shared" si="48"/>
        <v>0</v>
      </c>
      <c r="J173" s="85">
        <v>2018</v>
      </c>
      <c r="K173" s="199">
        <f t="shared" si="49"/>
        <v>43259</v>
      </c>
      <c r="L173" s="437">
        <f t="shared" si="50"/>
        <v>0</v>
      </c>
      <c r="M173" s="881"/>
      <c r="N173" s="881"/>
      <c r="O173" s="326">
        <f t="shared" si="51"/>
        <v>0</v>
      </c>
      <c r="P173" s="171">
        <f>(INDEX(Models!$BJ173:$BT173,,T173)*(1-R173)+INDEX(Models!$BJ173:$BT173,,T173+1)*R173-ERP_i)*Q173*Ramure*Pc/MaxiM</f>
        <v>1.3261643150471366E-5</v>
      </c>
      <c r="Q173" s="307">
        <f t="shared" si="52"/>
        <v>1</v>
      </c>
      <c r="R173" s="179">
        <f t="shared" si="53"/>
        <v>0.53500432360410688</v>
      </c>
      <c r="S173" s="837">
        <f t="shared" si="70"/>
        <v>-3</v>
      </c>
      <c r="T173" s="178">
        <f t="shared" si="54"/>
        <v>3</v>
      </c>
      <c r="U173" s="253">
        <f t="shared" si="55"/>
        <v>-2.4649956763958931</v>
      </c>
      <c r="V173" s="385">
        <f t="shared" si="56"/>
        <v>65.080242456805195</v>
      </c>
      <c r="W173" s="58"/>
      <c r="X173" s="157">
        <f t="shared" si="57"/>
        <v>43259</v>
      </c>
      <c r="Y173" s="387">
        <f t="shared" si="58"/>
        <v>0</v>
      </c>
      <c r="Z173" s="387">
        <f t="shared" si="59"/>
        <v>0</v>
      </c>
      <c r="AA173" s="388">
        <f t="shared" si="60"/>
        <v>0</v>
      </c>
      <c r="AB173" s="199">
        <f t="shared" si="61"/>
        <v>43259</v>
      </c>
      <c r="AC173" s="426">
        <f t="shared" si="62"/>
        <v>0</v>
      </c>
      <c r="AD173" s="171">
        <f>(INDEX(Models!$BJ173:$BT173,,AH173)*(1-AF173)+INDEX(Models!$BJ173:$BT173,,AH173+1)*AF173-ERP_i)*AE173*Ramure*Pc/MaxiM</f>
        <v>1.3261643150471366E-5</v>
      </c>
      <c r="AE173" s="307">
        <f t="shared" si="63"/>
        <v>1</v>
      </c>
      <c r="AF173" s="179">
        <f t="shared" si="64"/>
        <v>0.53500432360410688</v>
      </c>
      <c r="AG173" s="837">
        <f t="shared" si="65"/>
        <v>-3</v>
      </c>
      <c r="AH173" s="178">
        <f t="shared" si="66"/>
        <v>3</v>
      </c>
      <c r="AI173" s="227">
        <f t="shared" si="67"/>
        <v>-2.4649956763958931</v>
      </c>
      <c r="AJ173" s="267" t="b">
        <f t="shared" si="68"/>
        <v>1</v>
      </c>
      <c r="AK173" s="267" t="b">
        <f t="shared" si="69"/>
        <v>0</v>
      </c>
      <c r="AL173" s="267"/>
      <c r="AM173" s="267"/>
      <c r="AN173" s="75"/>
    </row>
    <row r="174" spans="1:40" s="6" customFormat="1" ht="11.25" customHeight="1" x14ac:dyDescent="0.2">
      <c r="A174" s="56">
        <f t="shared" si="71"/>
        <v>43260</v>
      </c>
      <c r="B174" s="618"/>
      <c r="C174" s="392"/>
      <c r="D174" s="395"/>
      <c r="E174" s="387"/>
      <c r="F174" s="387"/>
      <c r="G174" s="110"/>
      <c r="I174" s="382">
        <f t="shared" si="48"/>
        <v>0</v>
      </c>
      <c r="J174" s="85">
        <v>2018</v>
      </c>
      <c r="K174" s="199">
        <f t="shared" si="49"/>
        <v>43260</v>
      </c>
      <c r="L174" s="437">
        <f t="shared" si="50"/>
        <v>0</v>
      </c>
      <c r="M174" s="881"/>
      <c r="N174" s="881"/>
      <c r="O174" s="326">
        <f t="shared" si="51"/>
        <v>0</v>
      </c>
      <c r="P174" s="171">
        <f>(INDEX(Models!$BJ174:$BT174,,T174)*(1-R174)+INDEX(Models!$BJ174:$BT174,,T174+1)*R174-ERP_i)*Q174*Ramure*Pc/MaxiM</f>
        <v>1.3444636755587326E-5</v>
      </c>
      <c r="Q174" s="307">
        <f t="shared" si="52"/>
        <v>1</v>
      </c>
      <c r="R174" s="179">
        <f t="shared" si="53"/>
        <v>0.54220140810613504</v>
      </c>
      <c r="S174" s="837">
        <f t="shared" si="70"/>
        <v>-3</v>
      </c>
      <c r="T174" s="178">
        <f t="shared" si="54"/>
        <v>3</v>
      </c>
      <c r="U174" s="253">
        <f t="shared" si="55"/>
        <v>-2.457798591893865</v>
      </c>
      <c r="V174" s="385">
        <f t="shared" si="56"/>
        <v>65.069076761805078</v>
      </c>
      <c r="W174" s="58"/>
      <c r="X174" s="157">
        <f t="shared" si="57"/>
        <v>43260</v>
      </c>
      <c r="Y174" s="387">
        <f t="shared" si="58"/>
        <v>0</v>
      </c>
      <c r="Z174" s="387">
        <f t="shared" si="59"/>
        <v>0</v>
      </c>
      <c r="AA174" s="388">
        <f t="shared" si="60"/>
        <v>0</v>
      </c>
      <c r="AB174" s="199">
        <f t="shared" si="61"/>
        <v>43260</v>
      </c>
      <c r="AC174" s="426">
        <f t="shared" si="62"/>
        <v>0</v>
      </c>
      <c r="AD174" s="171">
        <f>(INDEX(Models!$BJ174:$BT174,,AH174)*(1-AF174)+INDEX(Models!$BJ174:$BT174,,AH174+1)*AF174-ERP_i)*AE174*Ramure*Pc/MaxiM</f>
        <v>1.3444636755587326E-5</v>
      </c>
      <c r="AE174" s="307">
        <f t="shared" si="63"/>
        <v>1</v>
      </c>
      <c r="AF174" s="179">
        <f t="shared" si="64"/>
        <v>0.54220140810613504</v>
      </c>
      <c r="AG174" s="837">
        <f t="shared" si="65"/>
        <v>-3</v>
      </c>
      <c r="AH174" s="178">
        <f t="shared" si="66"/>
        <v>3</v>
      </c>
      <c r="AI174" s="227">
        <f t="shared" si="67"/>
        <v>-2.457798591893865</v>
      </c>
      <c r="AJ174" s="267" t="b">
        <f t="shared" si="68"/>
        <v>1</v>
      </c>
      <c r="AK174" s="267" t="b">
        <f t="shared" si="69"/>
        <v>0</v>
      </c>
      <c r="AL174" s="267"/>
      <c r="AM174" s="267"/>
      <c r="AN174" s="75"/>
    </row>
    <row r="175" spans="1:40" s="6" customFormat="1" ht="11.25" customHeight="1" x14ac:dyDescent="0.2">
      <c r="A175" s="56">
        <f t="shared" si="71"/>
        <v>43261</v>
      </c>
      <c r="B175" s="618"/>
      <c r="C175" s="392"/>
      <c r="D175" s="395"/>
      <c r="E175" s="387"/>
      <c r="F175" s="387"/>
      <c r="G175" s="110"/>
      <c r="I175" s="382">
        <f t="shared" si="48"/>
        <v>0</v>
      </c>
      <c r="J175" s="85">
        <v>2018</v>
      </c>
      <c r="K175" s="199">
        <f t="shared" si="49"/>
        <v>43261</v>
      </c>
      <c r="L175" s="437">
        <f t="shared" si="50"/>
        <v>0</v>
      </c>
      <c r="M175" s="881"/>
      <c r="N175" s="881"/>
      <c r="O175" s="326">
        <f t="shared" si="51"/>
        <v>0</v>
      </c>
      <c r="P175" s="171">
        <f>(INDEX(Models!$BJ175:$BT175,,T175)*(1-R175)+INDEX(Models!$BJ175:$BT175,,T175+1)*R175-ERP_i)*Q175*Ramure*Pc/MaxiM</f>
        <v>1.3677517546754272E-5</v>
      </c>
      <c r="Q175" s="307">
        <f t="shared" si="52"/>
        <v>1</v>
      </c>
      <c r="R175" s="179">
        <f t="shared" si="53"/>
        <v>0.54940457094155093</v>
      </c>
      <c r="S175" s="837">
        <f t="shared" si="70"/>
        <v>-3</v>
      </c>
      <c r="T175" s="178">
        <f t="shared" si="54"/>
        <v>3</v>
      </c>
      <c r="U175" s="253">
        <f t="shared" si="55"/>
        <v>-2.4505954290584491</v>
      </c>
      <c r="V175" s="385">
        <f t="shared" si="56"/>
        <v>65.054817925138948</v>
      </c>
      <c r="W175" s="58"/>
      <c r="X175" s="157">
        <f t="shared" si="57"/>
        <v>43261</v>
      </c>
      <c r="Y175" s="387">
        <f t="shared" si="58"/>
        <v>0</v>
      </c>
      <c r="Z175" s="387">
        <f t="shared" si="59"/>
        <v>0</v>
      </c>
      <c r="AA175" s="388">
        <f t="shared" si="60"/>
        <v>0</v>
      </c>
      <c r="AB175" s="199">
        <f t="shared" si="61"/>
        <v>43261</v>
      </c>
      <c r="AC175" s="426">
        <f t="shared" si="62"/>
        <v>0</v>
      </c>
      <c r="AD175" s="171">
        <f>(INDEX(Models!$BJ175:$BT175,,AH175)*(1-AF175)+INDEX(Models!$BJ175:$BT175,,AH175+1)*AF175-ERP_i)*AE175*Ramure*Pc/MaxiM</f>
        <v>1.3677517546754272E-5</v>
      </c>
      <c r="AE175" s="307">
        <f t="shared" si="63"/>
        <v>1</v>
      </c>
      <c r="AF175" s="179">
        <f t="shared" si="64"/>
        <v>0.54940457094155093</v>
      </c>
      <c r="AG175" s="837">
        <f t="shared" si="65"/>
        <v>-3</v>
      </c>
      <c r="AH175" s="178">
        <f t="shared" si="66"/>
        <v>3</v>
      </c>
      <c r="AI175" s="227">
        <f t="shared" si="67"/>
        <v>-2.4505954290584491</v>
      </c>
      <c r="AJ175" s="267" t="b">
        <f t="shared" si="68"/>
        <v>1</v>
      </c>
      <c r="AK175" s="267" t="b">
        <f t="shared" si="69"/>
        <v>0</v>
      </c>
      <c r="AL175" s="267"/>
      <c r="AM175" s="267"/>
      <c r="AN175" s="75"/>
    </row>
    <row r="176" spans="1:40" s="6" customFormat="1" ht="11.25" customHeight="1" x14ac:dyDescent="0.2">
      <c r="A176" s="56">
        <f t="shared" si="71"/>
        <v>43262</v>
      </c>
      <c r="B176" s="618"/>
      <c r="C176" s="392"/>
      <c r="D176" s="395"/>
      <c r="E176" s="387"/>
      <c r="F176" s="387"/>
      <c r="G176" s="110"/>
      <c r="I176" s="382">
        <f t="shared" si="48"/>
        <v>0</v>
      </c>
      <c r="J176" s="85">
        <v>2018</v>
      </c>
      <c r="K176" s="199">
        <f t="shared" si="49"/>
        <v>43262</v>
      </c>
      <c r="L176" s="437">
        <f t="shared" si="50"/>
        <v>0</v>
      </c>
      <c r="M176" s="881"/>
      <c r="N176" s="881"/>
      <c r="O176" s="326">
        <f t="shared" si="51"/>
        <v>0</v>
      </c>
      <c r="P176" s="171">
        <f>(INDEX(Models!$BJ176:$BT176,,T176)*(1-R176)+INDEX(Models!$BJ176:$BT176,,T176+1)*R176-ERP_i)*Q176*Ramure*Pc/MaxiM</f>
        <v>1.3963273913872754E-5</v>
      </c>
      <c r="Q176" s="307">
        <f t="shared" si="52"/>
        <v>1</v>
      </c>
      <c r="R176" s="179">
        <f t="shared" si="53"/>
        <v>0.55660773377696726</v>
      </c>
      <c r="S176" s="837">
        <f t="shared" si="70"/>
        <v>-3</v>
      </c>
      <c r="T176" s="178">
        <f t="shared" si="54"/>
        <v>3</v>
      </c>
      <c r="U176" s="253">
        <f t="shared" si="55"/>
        <v>-2.4433922662230327</v>
      </c>
      <c r="V176" s="385">
        <f t="shared" si="56"/>
        <v>65.03769184820726</v>
      </c>
      <c r="W176" s="58"/>
      <c r="X176" s="157">
        <f t="shared" si="57"/>
        <v>43262</v>
      </c>
      <c r="Y176" s="387">
        <f t="shared" si="58"/>
        <v>0</v>
      </c>
      <c r="Z176" s="387">
        <f t="shared" si="59"/>
        <v>0</v>
      </c>
      <c r="AA176" s="388">
        <f t="shared" si="60"/>
        <v>0</v>
      </c>
      <c r="AB176" s="199">
        <f t="shared" si="61"/>
        <v>43262</v>
      </c>
      <c r="AC176" s="426">
        <f t="shared" si="62"/>
        <v>0</v>
      </c>
      <c r="AD176" s="171">
        <f>(INDEX(Models!$BJ176:$BT176,,AH176)*(1-AF176)+INDEX(Models!$BJ176:$BT176,,AH176+1)*AF176-ERP_i)*AE176*Ramure*Pc/MaxiM</f>
        <v>1.3963273913872754E-5</v>
      </c>
      <c r="AE176" s="307">
        <f t="shared" si="63"/>
        <v>1</v>
      </c>
      <c r="AF176" s="179">
        <f t="shared" si="64"/>
        <v>0.55660773377696726</v>
      </c>
      <c r="AG176" s="837">
        <f t="shared" si="65"/>
        <v>-3</v>
      </c>
      <c r="AH176" s="178">
        <f t="shared" si="66"/>
        <v>3</v>
      </c>
      <c r="AI176" s="227">
        <f t="shared" si="67"/>
        <v>-2.4433922662230327</v>
      </c>
      <c r="AJ176" s="267" t="b">
        <f t="shared" si="68"/>
        <v>1</v>
      </c>
      <c r="AK176" s="267" t="b">
        <f t="shared" si="69"/>
        <v>0</v>
      </c>
      <c r="AL176" s="267"/>
      <c r="AM176" s="267"/>
      <c r="AN176" s="75"/>
    </row>
    <row r="177" spans="1:40" s="6" customFormat="1" ht="11.25" customHeight="1" x14ac:dyDescent="0.2">
      <c r="A177" s="56">
        <f t="shared" si="71"/>
        <v>43263</v>
      </c>
      <c r="B177" s="618"/>
      <c r="C177" s="392"/>
      <c r="D177" s="395"/>
      <c r="E177" s="387"/>
      <c r="F177" s="387"/>
      <c r="G177" s="110"/>
      <c r="I177" s="382">
        <f t="shared" si="48"/>
        <v>0</v>
      </c>
      <c r="J177" s="85">
        <v>2018</v>
      </c>
      <c r="K177" s="199">
        <f t="shared" si="49"/>
        <v>43263</v>
      </c>
      <c r="L177" s="437">
        <f t="shared" si="50"/>
        <v>0</v>
      </c>
      <c r="M177" s="881"/>
      <c r="N177" s="881"/>
      <c r="O177" s="326">
        <f t="shared" si="51"/>
        <v>0</v>
      </c>
      <c r="P177" s="171">
        <f>(INDEX(Models!$BJ177:$BT177,,T177)*(1-R177)+INDEX(Models!$BJ177:$BT177,,T177+1)*R177-ERP_i)*Q177*Ramure*Pc/MaxiM</f>
        <v>1.4305135483752351E-5</v>
      </c>
      <c r="Q177" s="307">
        <f t="shared" si="52"/>
        <v>1</v>
      </c>
      <c r="R177" s="179">
        <f t="shared" si="53"/>
        <v>0.56380481827899542</v>
      </c>
      <c r="S177" s="837">
        <f t="shared" si="70"/>
        <v>-3</v>
      </c>
      <c r="T177" s="178">
        <f t="shared" si="54"/>
        <v>3</v>
      </c>
      <c r="U177" s="253">
        <f t="shared" si="55"/>
        <v>-2.4361951817210046</v>
      </c>
      <c r="V177" s="385">
        <f t="shared" si="56"/>
        <v>65.016869327994414</v>
      </c>
      <c r="W177" s="58"/>
      <c r="X177" s="157">
        <f t="shared" si="57"/>
        <v>43263</v>
      </c>
      <c r="Y177" s="387">
        <f t="shared" si="58"/>
        <v>0</v>
      </c>
      <c r="Z177" s="387">
        <f t="shared" si="59"/>
        <v>0</v>
      </c>
      <c r="AA177" s="388">
        <f t="shared" si="60"/>
        <v>0</v>
      </c>
      <c r="AB177" s="199">
        <f t="shared" si="61"/>
        <v>43263</v>
      </c>
      <c r="AC177" s="426">
        <f t="shared" si="62"/>
        <v>0</v>
      </c>
      <c r="AD177" s="171">
        <f>(INDEX(Models!$BJ177:$BT177,,AH177)*(1-AF177)+INDEX(Models!$BJ177:$BT177,,AH177+1)*AF177-ERP_i)*AE177*Ramure*Pc/MaxiM</f>
        <v>1.4305135483752351E-5</v>
      </c>
      <c r="AE177" s="307">
        <f t="shared" si="63"/>
        <v>1</v>
      </c>
      <c r="AF177" s="179">
        <f t="shared" si="64"/>
        <v>0.56380481827899542</v>
      </c>
      <c r="AG177" s="837">
        <f t="shared" si="65"/>
        <v>-3</v>
      </c>
      <c r="AH177" s="178">
        <f t="shared" si="66"/>
        <v>3</v>
      </c>
      <c r="AI177" s="227">
        <f t="shared" si="67"/>
        <v>-2.4361951817210046</v>
      </c>
      <c r="AJ177" s="267" t="b">
        <f t="shared" si="68"/>
        <v>1</v>
      </c>
      <c r="AK177" s="267" t="b">
        <f t="shared" si="69"/>
        <v>0</v>
      </c>
      <c r="AL177" s="267"/>
      <c r="AM177" s="267"/>
      <c r="AN177" s="75"/>
    </row>
    <row r="178" spans="1:40" s="6" customFormat="1" ht="11.25" customHeight="1" x14ac:dyDescent="0.2">
      <c r="A178" s="56">
        <f t="shared" si="71"/>
        <v>43264</v>
      </c>
      <c r="B178" s="618"/>
      <c r="C178" s="392"/>
      <c r="D178" s="395"/>
      <c r="E178" s="387"/>
      <c r="F178" s="387"/>
      <c r="G178" s="110"/>
      <c r="I178" s="382">
        <f t="shared" si="48"/>
        <v>0</v>
      </c>
      <c r="J178" s="85">
        <v>2018</v>
      </c>
      <c r="K178" s="199">
        <f t="shared" si="49"/>
        <v>43264</v>
      </c>
      <c r="L178" s="437">
        <f t="shared" si="50"/>
        <v>0</v>
      </c>
      <c r="M178" s="881"/>
      <c r="N178" s="881"/>
      <c r="O178" s="326">
        <f t="shared" si="51"/>
        <v>0</v>
      </c>
      <c r="P178" s="171">
        <f>(INDEX(Models!$BJ178:$BT178,,T178)*(1-R178)+INDEX(Models!$BJ178:$BT178,,T178+1)*R178-ERP_i)*Q178*Ramure*Pc/MaxiM</f>
        <v>1.4692292445512501E-5</v>
      </c>
      <c r="Q178" s="307">
        <f t="shared" si="52"/>
        <v>1</v>
      </c>
      <c r="R178" s="179">
        <f t="shared" si="53"/>
        <v>0.57098976661356859</v>
      </c>
      <c r="S178" s="837">
        <f t="shared" si="70"/>
        <v>-3</v>
      </c>
      <c r="T178" s="178">
        <f t="shared" si="54"/>
        <v>3</v>
      </c>
      <c r="U178" s="253">
        <f t="shared" si="55"/>
        <v>-2.4290102333864314</v>
      </c>
      <c r="V178" s="385">
        <f t="shared" si="56"/>
        <v>64.991522079829195</v>
      </c>
      <c r="W178" s="58"/>
      <c r="X178" s="157">
        <f t="shared" si="57"/>
        <v>43264</v>
      </c>
      <c r="Y178" s="387">
        <f t="shared" si="58"/>
        <v>0</v>
      </c>
      <c r="Z178" s="387">
        <f t="shared" si="59"/>
        <v>0</v>
      </c>
      <c r="AA178" s="388">
        <f t="shared" si="60"/>
        <v>0</v>
      </c>
      <c r="AB178" s="199">
        <f t="shared" si="61"/>
        <v>43264</v>
      </c>
      <c r="AC178" s="426">
        <f t="shared" si="62"/>
        <v>0</v>
      </c>
      <c r="AD178" s="171">
        <f>(INDEX(Models!$BJ178:$BT178,,AH178)*(1-AF178)+INDEX(Models!$BJ178:$BT178,,AH178+1)*AF178-ERP_i)*AE178*Ramure*Pc/MaxiM</f>
        <v>1.4692292445512501E-5</v>
      </c>
      <c r="AE178" s="307">
        <f t="shared" si="63"/>
        <v>1</v>
      </c>
      <c r="AF178" s="179">
        <f t="shared" si="64"/>
        <v>0.57098976661356859</v>
      </c>
      <c r="AG178" s="837">
        <f t="shared" si="65"/>
        <v>-3</v>
      </c>
      <c r="AH178" s="178">
        <f t="shared" si="66"/>
        <v>3</v>
      </c>
      <c r="AI178" s="227">
        <f t="shared" si="67"/>
        <v>-2.4290102333864314</v>
      </c>
      <c r="AJ178" s="267" t="b">
        <f t="shared" si="68"/>
        <v>1</v>
      </c>
      <c r="AK178" s="267" t="b">
        <f t="shared" si="69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43265</v>
      </c>
      <c r="B179" s="618"/>
      <c r="C179" s="392"/>
      <c r="D179" s="395"/>
      <c r="E179" s="387"/>
      <c r="F179" s="387"/>
      <c r="G179" s="110"/>
      <c r="I179" s="382">
        <f t="shared" si="48"/>
        <v>0</v>
      </c>
      <c r="J179" s="85">
        <v>2018</v>
      </c>
      <c r="K179" s="199">
        <f t="shared" si="49"/>
        <v>43265</v>
      </c>
      <c r="L179" s="437">
        <f t="shared" si="50"/>
        <v>0</v>
      </c>
      <c r="M179" s="881"/>
      <c r="N179" s="881"/>
      <c r="O179" s="326">
        <f t="shared" si="51"/>
        <v>0</v>
      </c>
      <c r="P179" s="171">
        <f>(INDEX(Models!$BJ179:$BT179,,T179)*(1-R179)+INDEX(Models!$BJ179:$BT179,,T179+1)*R179-ERP_i)*Q179*Ramure*Pc/MaxiM</f>
        <v>1.5084566017954534E-5</v>
      </c>
      <c r="Q179" s="307">
        <f t="shared" si="52"/>
        <v>1</v>
      </c>
      <c r="R179" s="179">
        <f t="shared" si="53"/>
        <v>0.57815656179852493</v>
      </c>
      <c r="S179" s="837">
        <f t="shared" si="70"/>
        <v>-3</v>
      </c>
      <c r="T179" s="178">
        <f t="shared" si="54"/>
        <v>3</v>
      </c>
      <c r="U179" s="253">
        <f t="shared" si="55"/>
        <v>-2.4218434382014751</v>
      </c>
      <c r="V179" s="385">
        <f t="shared" si="56"/>
        <v>64.961878809669315</v>
      </c>
      <c r="W179" s="58"/>
      <c r="X179" s="157">
        <f t="shared" si="57"/>
        <v>43265</v>
      </c>
      <c r="Y179" s="387">
        <f t="shared" si="58"/>
        <v>0</v>
      </c>
      <c r="Z179" s="387">
        <f t="shared" si="59"/>
        <v>0</v>
      </c>
      <c r="AA179" s="388">
        <f t="shared" si="60"/>
        <v>0</v>
      </c>
      <c r="AB179" s="199">
        <f t="shared" si="61"/>
        <v>43265</v>
      </c>
      <c r="AC179" s="426">
        <f t="shared" si="62"/>
        <v>0</v>
      </c>
      <c r="AD179" s="171">
        <f>(INDEX(Models!$BJ179:$BT179,,AH179)*(1-AF179)+INDEX(Models!$BJ179:$BT179,,AH179+1)*AF179-ERP_i)*AE179*Ramure*Pc/MaxiM</f>
        <v>1.5084566017954534E-5</v>
      </c>
      <c r="AE179" s="307">
        <f t="shared" si="63"/>
        <v>1</v>
      </c>
      <c r="AF179" s="179">
        <f t="shared" si="64"/>
        <v>0.57815656179852493</v>
      </c>
      <c r="AG179" s="837">
        <f t="shared" si="65"/>
        <v>-3</v>
      </c>
      <c r="AH179" s="178">
        <f t="shared" si="66"/>
        <v>3</v>
      </c>
      <c r="AI179" s="227">
        <f t="shared" si="67"/>
        <v>-2.4218434382014751</v>
      </c>
      <c r="AJ179" s="267" t="b">
        <f t="shared" si="68"/>
        <v>1</v>
      </c>
      <c r="AK179" s="267" t="b">
        <f t="shared" si="69"/>
        <v>0</v>
      </c>
      <c r="AL179" s="267"/>
      <c r="AM179" s="267"/>
      <c r="AN179" s="75"/>
    </row>
    <row r="180" spans="1:40" s="6" customFormat="1" ht="11.25" customHeight="1" x14ac:dyDescent="0.2">
      <c r="A180" s="56">
        <f t="shared" si="71"/>
        <v>43266</v>
      </c>
      <c r="B180" s="618"/>
      <c r="C180" s="392"/>
      <c r="D180" s="395"/>
      <c r="E180" s="387"/>
      <c r="F180" s="387"/>
      <c r="G180" s="110"/>
      <c r="I180" s="382">
        <f t="shared" si="48"/>
        <v>0</v>
      </c>
      <c r="J180" s="85">
        <v>2018</v>
      </c>
      <c r="K180" s="199">
        <f t="shared" si="49"/>
        <v>43266</v>
      </c>
      <c r="L180" s="437">
        <f t="shared" si="50"/>
        <v>0</v>
      </c>
      <c r="M180" s="881"/>
      <c r="N180" s="881"/>
      <c r="O180" s="326">
        <f t="shared" si="51"/>
        <v>0</v>
      </c>
      <c r="P180" s="171">
        <f>(INDEX(Models!$BJ180:$BT180,,T180)*(1-R180)+INDEX(Models!$BJ180:$BT180,,T180+1)*R180-ERP_i)*Q180*Ramure*Pc/MaxiM</f>
        <v>1.5481795310019816E-5</v>
      </c>
      <c r="Q180" s="307">
        <f t="shared" si="52"/>
        <v>1</v>
      </c>
      <c r="R180" s="179">
        <f t="shared" si="53"/>
        <v>0.58529924776452091</v>
      </c>
      <c r="S180" s="837">
        <f t="shared" si="70"/>
        <v>-3</v>
      </c>
      <c r="T180" s="178">
        <f t="shared" si="54"/>
        <v>3</v>
      </c>
      <c r="U180" s="253">
        <f t="shared" si="55"/>
        <v>-2.4147007522354791</v>
      </c>
      <c r="V180" s="385">
        <f t="shared" si="56"/>
        <v>64.928165625954918</v>
      </c>
      <c r="W180" s="58"/>
      <c r="X180" s="157">
        <f t="shared" si="57"/>
        <v>43266</v>
      </c>
      <c r="Y180" s="387">
        <f t="shared" si="58"/>
        <v>0</v>
      </c>
      <c r="Z180" s="387">
        <f t="shared" si="59"/>
        <v>0</v>
      </c>
      <c r="AA180" s="388">
        <f t="shared" si="60"/>
        <v>0</v>
      </c>
      <c r="AB180" s="199">
        <f t="shared" si="61"/>
        <v>43266</v>
      </c>
      <c r="AC180" s="426">
        <f t="shared" si="62"/>
        <v>0</v>
      </c>
      <c r="AD180" s="171">
        <f>(INDEX(Models!$BJ180:$BT180,,AH180)*(1-AF180)+INDEX(Models!$BJ180:$BT180,,AH180+1)*AF180-ERP_i)*AE180*Ramure*Pc/MaxiM</f>
        <v>1.5481795310019816E-5</v>
      </c>
      <c r="AE180" s="307">
        <f t="shared" si="63"/>
        <v>1</v>
      </c>
      <c r="AF180" s="179">
        <f t="shared" si="64"/>
        <v>0.58529924776452091</v>
      </c>
      <c r="AG180" s="837">
        <f t="shared" si="65"/>
        <v>-3</v>
      </c>
      <c r="AH180" s="178">
        <f t="shared" si="66"/>
        <v>3</v>
      </c>
      <c r="AI180" s="227">
        <f t="shared" si="67"/>
        <v>-2.4147007522354791</v>
      </c>
      <c r="AJ180" s="267" t="b">
        <f t="shared" si="68"/>
        <v>1</v>
      </c>
      <c r="AK180" s="267" t="b">
        <f t="shared" si="69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43267</v>
      </c>
      <c r="B181" s="618"/>
      <c r="C181" s="392"/>
      <c r="D181" s="395"/>
      <c r="E181" s="387"/>
      <c r="F181" s="387"/>
      <c r="G181" s="110"/>
      <c r="I181" s="382">
        <f t="shared" si="48"/>
        <v>0</v>
      </c>
      <c r="J181" s="85">
        <v>2018</v>
      </c>
      <c r="K181" s="199">
        <f t="shared" si="49"/>
        <v>43267</v>
      </c>
      <c r="L181" s="437">
        <f t="shared" si="50"/>
        <v>0</v>
      </c>
      <c r="M181" s="881"/>
      <c r="N181" s="881"/>
      <c r="O181" s="326">
        <f t="shared" si="51"/>
        <v>0</v>
      </c>
      <c r="P181" s="171">
        <f>(INDEX(Models!$BJ181:$BT181,,T181)*(1-R181)+INDEX(Models!$BJ181:$BT181,,T181+1)*R181-ERP_i)*Q181*Ramure*Pc/MaxiM</f>
        <v>1.5883814332008062E-5</v>
      </c>
      <c r="Q181" s="307">
        <f t="shared" si="52"/>
        <v>1</v>
      </c>
      <c r="R181" s="179">
        <f t="shared" si="53"/>
        <v>0.59241194898290184</v>
      </c>
      <c r="S181" s="837">
        <f t="shared" si="70"/>
        <v>-3</v>
      </c>
      <c r="T181" s="178">
        <f t="shared" si="54"/>
        <v>3</v>
      </c>
      <c r="U181" s="253">
        <f t="shared" si="55"/>
        <v>-2.4075880510170982</v>
      </c>
      <c r="V181" s="385">
        <f t="shared" si="56"/>
        <v>64.890608632038507</v>
      </c>
      <c r="W181" s="58"/>
      <c r="X181" s="157">
        <f t="shared" si="57"/>
        <v>43267</v>
      </c>
      <c r="Y181" s="387">
        <f t="shared" si="58"/>
        <v>0</v>
      </c>
      <c r="Z181" s="387">
        <f t="shared" si="59"/>
        <v>0</v>
      </c>
      <c r="AA181" s="388">
        <f t="shared" si="60"/>
        <v>0</v>
      </c>
      <c r="AB181" s="199">
        <f t="shared" si="61"/>
        <v>43267</v>
      </c>
      <c r="AC181" s="426">
        <f t="shared" si="62"/>
        <v>0</v>
      </c>
      <c r="AD181" s="171">
        <f>(INDEX(Models!$BJ181:$BT181,,AH181)*(1-AF181)+INDEX(Models!$BJ181:$BT181,,AH181+1)*AF181-ERP_i)*AE181*Ramure*Pc/MaxiM</f>
        <v>1.5883814332008062E-5</v>
      </c>
      <c r="AE181" s="307">
        <f t="shared" si="63"/>
        <v>1</v>
      </c>
      <c r="AF181" s="179">
        <f t="shared" si="64"/>
        <v>0.59241194898290184</v>
      </c>
      <c r="AG181" s="837">
        <f t="shared" si="65"/>
        <v>-3</v>
      </c>
      <c r="AH181" s="178">
        <f t="shared" si="66"/>
        <v>3</v>
      </c>
      <c r="AI181" s="227">
        <f t="shared" si="67"/>
        <v>-2.4075880510170982</v>
      </c>
      <c r="AJ181" s="267" t="b">
        <f t="shared" si="68"/>
        <v>1</v>
      </c>
      <c r="AK181" s="267" t="b">
        <f t="shared" si="69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43268</v>
      </c>
      <c r="B182" s="618"/>
      <c r="C182" s="392"/>
      <c r="D182" s="395"/>
      <c r="E182" s="387"/>
      <c r="F182" s="387"/>
      <c r="G182" s="110"/>
      <c r="I182" s="382">
        <f t="shared" si="48"/>
        <v>0</v>
      </c>
      <c r="J182" s="85">
        <v>2018</v>
      </c>
      <c r="K182" s="199">
        <f t="shared" si="49"/>
        <v>43268</v>
      </c>
      <c r="L182" s="437">
        <f t="shared" si="50"/>
        <v>0</v>
      </c>
      <c r="M182" s="881"/>
      <c r="N182" s="881"/>
      <c r="O182" s="326">
        <f t="shared" si="51"/>
        <v>0</v>
      </c>
      <c r="P182" s="171">
        <f>(INDEX(Models!$BJ182:$BT182,,T182)*(1-R182)+INDEX(Models!$BJ182:$BT182,,T182+1)*R182-ERP_i)*Q182*Ramure*Pc/MaxiM</f>
        <v>1.6290452535886529E-5</v>
      </c>
      <c r="Q182" s="307">
        <f t="shared" si="52"/>
        <v>1</v>
      </c>
      <c r="R182" s="179">
        <f t="shared" si="53"/>
        <v>0.59948888952442525</v>
      </c>
      <c r="S182" s="837">
        <f t="shared" si="70"/>
        <v>-3</v>
      </c>
      <c r="T182" s="178">
        <f t="shared" si="54"/>
        <v>3</v>
      </c>
      <c r="U182" s="253">
        <f t="shared" si="55"/>
        <v>-2.4005111104755747</v>
      </c>
      <c r="V182" s="385">
        <f t="shared" si="56"/>
        <v>64.849433935710891</v>
      </c>
      <c r="W182" s="58"/>
      <c r="X182" s="157">
        <f t="shared" si="57"/>
        <v>43268</v>
      </c>
      <c r="Y182" s="387">
        <f t="shared" si="58"/>
        <v>0</v>
      </c>
      <c r="Z182" s="387">
        <f t="shared" si="59"/>
        <v>0</v>
      </c>
      <c r="AA182" s="388">
        <f t="shared" si="60"/>
        <v>0</v>
      </c>
      <c r="AB182" s="199">
        <f t="shared" si="61"/>
        <v>43268</v>
      </c>
      <c r="AC182" s="426">
        <f t="shared" si="62"/>
        <v>0</v>
      </c>
      <c r="AD182" s="171">
        <f>(INDEX(Models!$BJ182:$BT182,,AH182)*(1-AF182)+INDEX(Models!$BJ182:$BT182,,AH182+1)*AF182-ERP_i)*AE182*Ramure*Pc/MaxiM</f>
        <v>1.6290452535886529E-5</v>
      </c>
      <c r="AE182" s="307">
        <f t="shared" si="63"/>
        <v>1</v>
      </c>
      <c r="AF182" s="179">
        <f t="shared" si="64"/>
        <v>0.59948888952442525</v>
      </c>
      <c r="AG182" s="837">
        <f t="shared" si="65"/>
        <v>-3</v>
      </c>
      <c r="AH182" s="178">
        <f t="shared" si="66"/>
        <v>3</v>
      </c>
      <c r="AI182" s="227">
        <f t="shared" si="67"/>
        <v>-2.4005111104755747</v>
      </c>
      <c r="AJ182" s="267" t="b">
        <f t="shared" si="68"/>
        <v>1</v>
      </c>
      <c r="AK182" s="267" t="b">
        <f t="shared" si="69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43269</v>
      </c>
      <c r="B183" s="618"/>
      <c r="C183" s="392"/>
      <c r="D183" s="395"/>
      <c r="E183" s="387"/>
      <c r="F183" s="387"/>
      <c r="G183" s="110"/>
      <c r="I183" s="382">
        <f t="shared" si="48"/>
        <v>0</v>
      </c>
      <c r="J183" s="85">
        <v>2018</v>
      </c>
      <c r="K183" s="199">
        <f t="shared" si="49"/>
        <v>43269</v>
      </c>
      <c r="L183" s="437">
        <f t="shared" si="50"/>
        <v>0</v>
      </c>
      <c r="M183" s="881"/>
      <c r="N183" s="881"/>
      <c r="O183" s="326">
        <f t="shared" si="51"/>
        <v>0</v>
      </c>
      <c r="P183" s="171">
        <f>(INDEX(Models!$BJ183:$BT183,,T183)*(1-R183)+INDEX(Models!$BJ183:$BT183,,T183+1)*R183-ERP_i)*Q183*Ramure*Pc/MaxiM</f>
        <v>1.6701535368609475E-5</v>
      </c>
      <c r="Q183" s="307">
        <f t="shared" si="52"/>
        <v>1</v>
      </c>
      <c r="R183" s="179">
        <f t="shared" si="53"/>
        <v>0.60652441141960622</v>
      </c>
      <c r="S183" s="837">
        <f t="shared" si="70"/>
        <v>-3</v>
      </c>
      <c r="T183" s="178">
        <f t="shared" si="54"/>
        <v>3</v>
      </c>
      <c r="U183" s="253">
        <f t="shared" si="55"/>
        <v>-2.3934755885803938</v>
      </c>
      <c r="V183" s="385">
        <f t="shared" si="56"/>
        <v>64.80486764089855</v>
      </c>
      <c r="W183" s="58"/>
      <c r="X183" s="157">
        <f t="shared" si="57"/>
        <v>43269</v>
      </c>
      <c r="Y183" s="387">
        <f t="shared" si="58"/>
        <v>0</v>
      </c>
      <c r="Z183" s="387">
        <f t="shared" si="59"/>
        <v>0</v>
      </c>
      <c r="AA183" s="388">
        <f t="shared" si="60"/>
        <v>0</v>
      </c>
      <c r="AB183" s="199">
        <f t="shared" si="61"/>
        <v>43269</v>
      </c>
      <c r="AC183" s="426">
        <f t="shared" si="62"/>
        <v>0</v>
      </c>
      <c r="AD183" s="171">
        <f>(INDEX(Models!$BJ183:$BT183,,AH183)*(1-AF183)+INDEX(Models!$BJ183:$BT183,,AH183+1)*AF183-ERP_i)*AE183*Ramure*Pc/MaxiM</f>
        <v>1.6701535368609475E-5</v>
      </c>
      <c r="AE183" s="307">
        <f t="shared" si="63"/>
        <v>1</v>
      </c>
      <c r="AF183" s="179">
        <f t="shared" si="64"/>
        <v>0.60652441141960622</v>
      </c>
      <c r="AG183" s="837">
        <f t="shared" si="65"/>
        <v>-3</v>
      </c>
      <c r="AH183" s="178">
        <f t="shared" si="66"/>
        <v>3</v>
      </c>
      <c r="AI183" s="227">
        <f t="shared" si="67"/>
        <v>-2.3934755885803938</v>
      </c>
      <c r="AJ183" s="267" t="b">
        <f t="shared" si="68"/>
        <v>1</v>
      </c>
      <c r="AK183" s="267" t="b">
        <f t="shared" si="69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43270</v>
      </c>
      <c r="B184" s="618"/>
      <c r="C184" s="392"/>
      <c r="D184" s="395"/>
      <c r="E184" s="387"/>
      <c r="F184" s="387"/>
      <c r="G184" s="110"/>
      <c r="I184" s="382">
        <f t="shared" si="48"/>
        <v>0</v>
      </c>
      <c r="J184" s="85">
        <v>2018</v>
      </c>
      <c r="K184" s="199">
        <f t="shared" si="49"/>
        <v>43270</v>
      </c>
      <c r="L184" s="437">
        <f t="shared" si="50"/>
        <v>0</v>
      </c>
      <c r="M184" s="881"/>
      <c r="N184" s="881"/>
      <c r="O184" s="326">
        <f t="shared" si="51"/>
        <v>0</v>
      </c>
      <c r="P184" s="171">
        <f>(INDEX(Models!$BJ184:$BT184,,T184)*(1-R184)+INDEX(Models!$BJ184:$BT184,,T184+1)*R184-ERP_i)*Q184*Ramure*Pc/MaxiM</f>
        <v>1.7101205776948491E-5</v>
      </c>
      <c r="Q184" s="307">
        <f t="shared" si="52"/>
        <v>1</v>
      </c>
      <c r="R184" s="179">
        <f t="shared" si="53"/>
        <v>0.61351299219978372</v>
      </c>
      <c r="S184" s="837">
        <f t="shared" si="70"/>
        <v>-3</v>
      </c>
      <c r="T184" s="178">
        <f t="shared" si="54"/>
        <v>3</v>
      </c>
      <c r="U184" s="253">
        <f t="shared" si="55"/>
        <v>-2.3864870078002163</v>
      </c>
      <c r="V184" s="385">
        <f t="shared" si="56"/>
        <v>64.757136871473037</v>
      </c>
      <c r="W184" s="58"/>
      <c r="X184" s="157">
        <f t="shared" si="57"/>
        <v>43270</v>
      </c>
      <c r="Y184" s="387">
        <f t="shared" si="58"/>
        <v>0</v>
      </c>
      <c r="Z184" s="387">
        <f t="shared" si="59"/>
        <v>0</v>
      </c>
      <c r="AA184" s="388">
        <f t="shared" si="60"/>
        <v>0</v>
      </c>
      <c r="AB184" s="199">
        <f t="shared" si="61"/>
        <v>43270</v>
      </c>
      <c r="AC184" s="426">
        <f t="shared" si="62"/>
        <v>0</v>
      </c>
      <c r="AD184" s="171">
        <f>(INDEX(Models!$BJ184:$BT184,,AH184)*(1-AF184)+INDEX(Models!$BJ184:$BT184,,AH184+1)*AF184-ERP_i)*AE184*Ramure*Pc/MaxiM</f>
        <v>1.7101205776948491E-5</v>
      </c>
      <c r="AE184" s="307">
        <f t="shared" si="63"/>
        <v>1</v>
      </c>
      <c r="AF184" s="179">
        <f t="shared" si="64"/>
        <v>0.61351299219978372</v>
      </c>
      <c r="AG184" s="837">
        <f t="shared" si="65"/>
        <v>-3</v>
      </c>
      <c r="AH184" s="178">
        <f t="shared" si="66"/>
        <v>3</v>
      </c>
      <c r="AI184" s="227">
        <f t="shared" si="67"/>
        <v>-2.3864870078002163</v>
      </c>
      <c r="AJ184" s="267" t="b">
        <f t="shared" si="68"/>
        <v>1</v>
      </c>
      <c r="AK184" s="267" t="b">
        <f t="shared" si="69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43271</v>
      </c>
      <c r="B185" s="618"/>
      <c r="C185" s="392"/>
      <c r="D185" s="395"/>
      <c r="E185" s="387"/>
      <c r="F185" s="387"/>
      <c r="G185" s="110"/>
      <c r="I185" s="382">
        <f t="shared" si="48"/>
        <v>0</v>
      </c>
      <c r="J185" s="85">
        <v>2018</v>
      </c>
      <c r="K185" s="199">
        <f t="shared" si="49"/>
        <v>43271</v>
      </c>
      <c r="L185" s="437">
        <f t="shared" si="50"/>
        <v>0</v>
      </c>
      <c r="M185" s="881"/>
      <c r="N185" s="881"/>
      <c r="O185" s="326">
        <f t="shared" si="51"/>
        <v>0</v>
      </c>
      <c r="P185" s="171">
        <f>(INDEX(Models!$BJ185:$BT185,,T185)*(1-R185)+INDEX(Models!$BJ185:$BT185,,T185+1)*R185-ERP_i)*Q185*Ramure*Pc/MaxiM</f>
        <v>1.7471720692326742E-5</v>
      </c>
      <c r="Q185" s="307">
        <f t="shared" si="52"/>
        <v>1</v>
      </c>
      <c r="R185" s="179">
        <f t="shared" si="53"/>
        <v>0.62044926150769886</v>
      </c>
      <c r="S185" s="837">
        <f t="shared" si="70"/>
        <v>-3</v>
      </c>
      <c r="T185" s="178">
        <f t="shared" si="54"/>
        <v>3</v>
      </c>
      <c r="U185" s="253">
        <f t="shared" si="55"/>
        <v>-2.3795507384923011</v>
      </c>
      <c r="V185" s="385">
        <f t="shared" si="56"/>
        <v>64.706468863883487</v>
      </c>
      <c r="W185" s="58"/>
      <c r="X185" s="157">
        <f t="shared" si="57"/>
        <v>43271</v>
      </c>
      <c r="Y185" s="387">
        <f t="shared" si="58"/>
        <v>0</v>
      </c>
      <c r="Z185" s="387">
        <f t="shared" si="59"/>
        <v>0</v>
      </c>
      <c r="AA185" s="388">
        <f t="shared" si="60"/>
        <v>0</v>
      </c>
      <c r="AB185" s="199">
        <f t="shared" si="61"/>
        <v>43271</v>
      </c>
      <c r="AC185" s="426">
        <f t="shared" si="62"/>
        <v>0</v>
      </c>
      <c r="AD185" s="171">
        <f>(INDEX(Models!$BJ185:$BT185,,AH185)*(1-AF185)+INDEX(Models!$BJ185:$BT185,,AH185+1)*AF185-ERP_i)*AE185*Ramure*Pc/MaxiM</f>
        <v>1.7471720692326742E-5</v>
      </c>
      <c r="AE185" s="307">
        <f t="shared" si="63"/>
        <v>1</v>
      </c>
      <c r="AF185" s="179">
        <f t="shared" si="64"/>
        <v>0.62044926150769886</v>
      </c>
      <c r="AG185" s="837">
        <f t="shared" si="65"/>
        <v>-3</v>
      </c>
      <c r="AH185" s="178">
        <f t="shared" si="66"/>
        <v>3</v>
      </c>
      <c r="AI185" s="227">
        <f t="shared" si="67"/>
        <v>-2.3795507384923011</v>
      </c>
      <c r="AJ185" s="267" t="b">
        <f t="shared" si="68"/>
        <v>1</v>
      </c>
      <c r="AK185" s="267" t="b">
        <f t="shared" si="69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43272</v>
      </c>
      <c r="B186" s="618"/>
      <c r="C186" s="392"/>
      <c r="D186" s="395"/>
      <c r="E186" s="387"/>
      <c r="F186" s="387"/>
      <c r="G186" s="110"/>
      <c r="I186" s="382">
        <f t="shared" si="48"/>
        <v>0</v>
      </c>
      <c r="J186" s="85">
        <v>2018</v>
      </c>
      <c r="K186" s="199">
        <f t="shared" si="49"/>
        <v>43272</v>
      </c>
      <c r="L186" s="437">
        <f t="shared" si="50"/>
        <v>0</v>
      </c>
      <c r="M186" s="881"/>
      <c r="N186" s="881"/>
      <c r="O186" s="326">
        <f t="shared" si="51"/>
        <v>0</v>
      </c>
      <c r="P186" s="171">
        <f>(INDEX(Models!$BJ186:$BT186,,T186)*(1-R186)+INDEX(Models!$BJ186:$BT186,,T186+1)*R186-ERP_i)*Q186*Ramure*Pc/MaxiM</f>
        <v>1.7811266360630407E-5</v>
      </c>
      <c r="Q186" s="307">
        <f t="shared" si="52"/>
        <v>1</v>
      </c>
      <c r="R186" s="179">
        <f t="shared" si="53"/>
        <v>0.62732801667717641</v>
      </c>
      <c r="S186" s="837">
        <f t="shared" si="70"/>
        <v>-3</v>
      </c>
      <c r="T186" s="178">
        <f t="shared" si="54"/>
        <v>3</v>
      </c>
      <c r="U186" s="253">
        <f t="shared" si="55"/>
        <v>-2.3726719833228236</v>
      </c>
      <c r="V186" s="385">
        <f t="shared" si="56"/>
        <v>64.653089826031049</v>
      </c>
      <c r="W186" s="58"/>
      <c r="X186" s="157">
        <f t="shared" si="57"/>
        <v>43272</v>
      </c>
      <c r="Y186" s="387">
        <f t="shared" si="58"/>
        <v>0</v>
      </c>
      <c r="Z186" s="387">
        <f t="shared" si="59"/>
        <v>0</v>
      </c>
      <c r="AA186" s="388">
        <f t="shared" si="60"/>
        <v>0</v>
      </c>
      <c r="AB186" s="199">
        <f t="shared" si="61"/>
        <v>43272</v>
      </c>
      <c r="AC186" s="426">
        <f t="shared" si="62"/>
        <v>0</v>
      </c>
      <c r="AD186" s="171">
        <f>(INDEX(Models!$BJ186:$BT186,,AH186)*(1-AF186)+INDEX(Models!$BJ186:$BT186,,AH186+1)*AF186-ERP_i)*AE186*Ramure*Pc/MaxiM</f>
        <v>1.7811266360630407E-5</v>
      </c>
      <c r="AE186" s="307">
        <f t="shared" si="63"/>
        <v>1</v>
      </c>
      <c r="AF186" s="179">
        <f t="shared" si="64"/>
        <v>0.62732801667717641</v>
      </c>
      <c r="AG186" s="837">
        <f t="shared" si="65"/>
        <v>-3</v>
      </c>
      <c r="AH186" s="178">
        <f t="shared" si="66"/>
        <v>3</v>
      </c>
      <c r="AI186" s="227">
        <f t="shared" si="67"/>
        <v>-2.3726719833228236</v>
      </c>
      <c r="AJ186" s="267" t="b">
        <f t="shared" si="68"/>
        <v>1</v>
      </c>
      <c r="AK186" s="267" t="b">
        <f t="shared" si="69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43273</v>
      </c>
      <c r="B187" s="618"/>
      <c r="C187" s="392"/>
      <c r="D187" s="395"/>
      <c r="E187" s="387"/>
      <c r="F187" s="387"/>
      <c r="G187" s="110"/>
      <c r="I187" s="382">
        <f t="shared" si="48"/>
        <v>0</v>
      </c>
      <c r="J187" s="85">
        <v>2018</v>
      </c>
      <c r="K187" s="199">
        <f t="shared" si="49"/>
        <v>43273</v>
      </c>
      <c r="L187" s="437">
        <f t="shared" si="50"/>
        <v>0</v>
      </c>
      <c r="M187" s="881"/>
      <c r="N187" s="881"/>
      <c r="O187" s="326">
        <f t="shared" si="51"/>
        <v>0</v>
      </c>
      <c r="P187" s="171">
        <f>(INDEX(Models!$BJ187:$BT187,,T187)*(1-R187)+INDEX(Models!$BJ187:$BT187,,T187+1)*R187-ERP_i)*Q187*Ramure*Pc/MaxiM</f>
        <v>1.8118043692810446E-5</v>
      </c>
      <c r="Q187" s="307">
        <f t="shared" si="52"/>
        <v>1</v>
      </c>
      <c r="R187" s="179">
        <f t="shared" si="53"/>
        <v>0.63414423719329882</v>
      </c>
      <c r="S187" s="837">
        <f t="shared" si="70"/>
        <v>-3</v>
      </c>
      <c r="T187" s="178">
        <f t="shared" si="54"/>
        <v>3</v>
      </c>
      <c r="U187" s="253">
        <f t="shared" si="55"/>
        <v>-2.3658557628067012</v>
      </c>
      <c r="V187" s="385">
        <f t="shared" si="56"/>
        <v>64.597225959383806</v>
      </c>
      <c r="W187" s="58"/>
      <c r="X187" s="157">
        <f t="shared" si="57"/>
        <v>43273</v>
      </c>
      <c r="Y187" s="387">
        <f t="shared" si="58"/>
        <v>0</v>
      </c>
      <c r="Z187" s="387">
        <f t="shared" si="59"/>
        <v>0</v>
      </c>
      <c r="AA187" s="388">
        <f t="shared" si="60"/>
        <v>0</v>
      </c>
      <c r="AB187" s="199">
        <f t="shared" si="61"/>
        <v>43273</v>
      </c>
      <c r="AC187" s="426">
        <f t="shared" si="62"/>
        <v>0</v>
      </c>
      <c r="AD187" s="171">
        <f>(INDEX(Models!$BJ187:$BT187,,AH187)*(1-AF187)+INDEX(Models!$BJ187:$BT187,,AH187+1)*AF187-ERP_i)*AE187*Ramure*Pc/MaxiM</f>
        <v>1.8118043692810446E-5</v>
      </c>
      <c r="AE187" s="307">
        <f t="shared" si="63"/>
        <v>1</v>
      </c>
      <c r="AF187" s="179">
        <f t="shared" si="64"/>
        <v>0.63414423719329882</v>
      </c>
      <c r="AG187" s="837">
        <f t="shared" si="65"/>
        <v>-3</v>
      </c>
      <c r="AH187" s="178">
        <f t="shared" si="66"/>
        <v>3</v>
      </c>
      <c r="AI187" s="227">
        <f t="shared" si="67"/>
        <v>-2.3658557628067012</v>
      </c>
      <c r="AJ187" s="267" t="b">
        <f t="shared" si="68"/>
        <v>1</v>
      </c>
      <c r="AK187" s="267" t="b">
        <f t="shared" si="69"/>
        <v>0</v>
      </c>
      <c r="AL187" s="267"/>
      <c r="AM187" s="267"/>
      <c r="AN187" s="75"/>
    </row>
    <row r="188" spans="1:40" s="6" customFormat="1" ht="11.25" customHeight="1" x14ac:dyDescent="0.2">
      <c r="A188" s="56">
        <f t="shared" si="71"/>
        <v>43274</v>
      </c>
      <c r="B188" s="618"/>
      <c r="C188" s="392"/>
      <c r="D188" s="395"/>
      <c r="E188" s="387"/>
      <c r="F188" s="387"/>
      <c r="G188" s="110"/>
      <c r="I188" s="382">
        <f t="shared" si="48"/>
        <v>0</v>
      </c>
      <c r="J188" s="85">
        <v>2018</v>
      </c>
      <c r="K188" s="199">
        <f t="shared" si="49"/>
        <v>43274</v>
      </c>
      <c r="L188" s="437">
        <f t="shared" si="50"/>
        <v>0</v>
      </c>
      <c r="M188" s="881"/>
      <c r="N188" s="881"/>
      <c r="O188" s="326">
        <f t="shared" si="51"/>
        <v>0</v>
      </c>
      <c r="P188" s="171">
        <f>(INDEX(Models!$BJ188:$BT188,,T188)*(1-R188)+INDEX(Models!$BJ188:$BT188,,T188+1)*R188-ERP_i)*Q188*Ramure*Pc/MaxiM</f>
        <v>1.8390084277821225E-5</v>
      </c>
      <c r="Q188" s="307">
        <f t="shared" si="52"/>
        <v>1</v>
      </c>
      <c r="R188" s="179">
        <f t="shared" si="53"/>
        <v>0.64089309795700977</v>
      </c>
      <c r="S188" s="837">
        <f t="shared" si="70"/>
        <v>-3</v>
      </c>
      <c r="T188" s="178">
        <f t="shared" si="54"/>
        <v>3</v>
      </c>
      <c r="U188" s="253">
        <f t="shared" si="55"/>
        <v>-2.3591069020429902</v>
      </c>
      <c r="V188" s="385">
        <f t="shared" si="56"/>
        <v>64.53910347793196</v>
      </c>
      <c r="W188" s="58"/>
      <c r="X188" s="157">
        <f t="shared" si="57"/>
        <v>43274</v>
      </c>
      <c r="Y188" s="387">
        <f t="shared" si="58"/>
        <v>0</v>
      </c>
      <c r="Z188" s="387">
        <f t="shared" si="59"/>
        <v>0</v>
      </c>
      <c r="AA188" s="388">
        <f t="shared" si="60"/>
        <v>0</v>
      </c>
      <c r="AB188" s="199">
        <f t="shared" si="61"/>
        <v>43274</v>
      </c>
      <c r="AC188" s="426">
        <f t="shared" si="62"/>
        <v>0</v>
      </c>
      <c r="AD188" s="171">
        <f>(INDEX(Models!$BJ188:$BT188,,AH188)*(1-AF188)+INDEX(Models!$BJ188:$BT188,,AH188+1)*AF188-ERP_i)*AE188*Ramure*Pc/MaxiM</f>
        <v>1.8390084277821225E-5</v>
      </c>
      <c r="AE188" s="307">
        <f t="shared" si="63"/>
        <v>1</v>
      </c>
      <c r="AF188" s="179">
        <f t="shared" si="64"/>
        <v>0.64089309795700977</v>
      </c>
      <c r="AG188" s="837">
        <f t="shared" si="65"/>
        <v>-3</v>
      </c>
      <c r="AH188" s="178">
        <f t="shared" si="66"/>
        <v>3</v>
      </c>
      <c r="AI188" s="227">
        <f t="shared" si="67"/>
        <v>-2.3591069020429902</v>
      </c>
      <c r="AJ188" s="267" t="b">
        <f t="shared" si="68"/>
        <v>1</v>
      </c>
      <c r="AK188" s="267" t="b">
        <f t="shared" si="69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43275</v>
      </c>
      <c r="B189" s="618"/>
      <c r="C189" s="392"/>
      <c r="D189" s="395"/>
      <c r="E189" s="387"/>
      <c r="F189" s="387"/>
      <c r="G189" s="110"/>
      <c r="I189" s="382">
        <f t="shared" si="48"/>
        <v>0</v>
      </c>
      <c r="J189" s="85">
        <v>2018</v>
      </c>
      <c r="K189" s="199">
        <f t="shared" si="49"/>
        <v>43275</v>
      </c>
      <c r="L189" s="437">
        <f t="shared" si="50"/>
        <v>0</v>
      </c>
      <c r="M189" s="881"/>
      <c r="N189" s="881"/>
      <c r="O189" s="326">
        <f t="shared" si="51"/>
        <v>0</v>
      </c>
      <c r="P189" s="171">
        <f>(INDEX(Models!$BJ189:$BT189,,T189)*(1-R189)+INDEX(Models!$BJ189:$BT189,,T189+1)*R189-ERP_i)*Q189*Ramure*Pc/MaxiM</f>
        <v>1.8625422622047268E-5</v>
      </c>
      <c r="Q189" s="307">
        <f t="shared" si="52"/>
        <v>1</v>
      </c>
      <c r="R189" s="179">
        <f t="shared" si="53"/>
        <v>0.64756998129116905</v>
      </c>
      <c r="S189" s="837">
        <f t="shared" si="70"/>
        <v>-3</v>
      </c>
      <c r="T189" s="178">
        <f t="shared" si="54"/>
        <v>3</v>
      </c>
      <c r="U189" s="253">
        <f t="shared" si="55"/>
        <v>-2.3524300187088309</v>
      </c>
      <c r="V189" s="385">
        <f t="shared" si="56"/>
        <v>64.478948593099489</v>
      </c>
      <c r="W189" s="58"/>
      <c r="X189" s="157">
        <f t="shared" si="57"/>
        <v>43275</v>
      </c>
      <c r="Y189" s="387">
        <f t="shared" si="58"/>
        <v>0</v>
      </c>
      <c r="Z189" s="387">
        <f t="shared" si="59"/>
        <v>0</v>
      </c>
      <c r="AA189" s="388">
        <f t="shared" si="60"/>
        <v>0</v>
      </c>
      <c r="AB189" s="199">
        <f t="shared" si="61"/>
        <v>43275</v>
      </c>
      <c r="AC189" s="426">
        <f t="shared" si="62"/>
        <v>0</v>
      </c>
      <c r="AD189" s="171">
        <f>(INDEX(Models!$BJ189:$BT189,,AH189)*(1-AF189)+INDEX(Models!$BJ189:$BT189,,AH189+1)*AF189-ERP_i)*AE189*Ramure*Pc/MaxiM</f>
        <v>1.8625422622047268E-5</v>
      </c>
      <c r="AE189" s="307">
        <f t="shared" si="63"/>
        <v>1</v>
      </c>
      <c r="AF189" s="179">
        <f t="shared" si="64"/>
        <v>0.64756998129116905</v>
      </c>
      <c r="AG189" s="837">
        <f t="shared" si="65"/>
        <v>-3</v>
      </c>
      <c r="AH189" s="178">
        <f t="shared" si="66"/>
        <v>3</v>
      </c>
      <c r="AI189" s="227">
        <f t="shared" si="67"/>
        <v>-2.3524300187088309</v>
      </c>
      <c r="AJ189" s="267" t="b">
        <f t="shared" si="68"/>
        <v>1</v>
      </c>
      <c r="AK189" s="267" t="b">
        <f t="shared" si="69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43276</v>
      </c>
      <c r="B190" s="618"/>
      <c r="C190" s="392"/>
      <c r="D190" s="395"/>
      <c r="E190" s="387"/>
      <c r="F190" s="387"/>
      <c r="G190" s="110"/>
      <c r="I190" s="382">
        <f t="shared" si="48"/>
        <v>0</v>
      </c>
      <c r="J190" s="85">
        <v>2018</v>
      </c>
      <c r="K190" s="199">
        <f t="shared" si="49"/>
        <v>43276</v>
      </c>
      <c r="L190" s="437">
        <f t="shared" si="50"/>
        <v>0</v>
      </c>
      <c r="M190" s="881"/>
      <c r="N190" s="881"/>
      <c r="O190" s="326">
        <f t="shared" si="51"/>
        <v>0</v>
      </c>
      <c r="P190" s="171">
        <f>(INDEX(Models!$BJ190:$BT190,,T190)*(1-R190)+INDEX(Models!$BJ190:$BT190,,T190+1)*R190-ERP_i)*Q190*Ramure*Pc/MaxiM</f>
        <v>1.8822300835555733E-5</v>
      </c>
      <c r="Q190" s="307">
        <f t="shared" si="52"/>
        <v>1</v>
      </c>
      <c r="R190" s="179">
        <f t="shared" si="53"/>
        <v>0.65417048763853503</v>
      </c>
      <c r="S190" s="837">
        <f t="shared" si="70"/>
        <v>-3</v>
      </c>
      <c r="T190" s="178">
        <f t="shared" si="54"/>
        <v>3</v>
      </c>
      <c r="U190" s="253">
        <f t="shared" si="55"/>
        <v>-2.345829512361465</v>
      </c>
      <c r="V190" s="385">
        <f t="shared" si="56"/>
        <v>64.41698750200834</v>
      </c>
      <c r="W190" s="58"/>
      <c r="X190" s="157">
        <f t="shared" si="57"/>
        <v>43276</v>
      </c>
      <c r="Y190" s="387">
        <f t="shared" si="58"/>
        <v>0</v>
      </c>
      <c r="Z190" s="387">
        <f t="shared" si="59"/>
        <v>0</v>
      </c>
      <c r="AA190" s="388">
        <f t="shared" si="60"/>
        <v>0</v>
      </c>
      <c r="AB190" s="199">
        <f t="shared" si="61"/>
        <v>43276</v>
      </c>
      <c r="AC190" s="426">
        <f t="shared" si="62"/>
        <v>0</v>
      </c>
      <c r="AD190" s="171">
        <f>(INDEX(Models!$BJ190:$BT190,,AH190)*(1-AF190)+INDEX(Models!$BJ190:$BT190,,AH190+1)*AF190-ERP_i)*AE190*Ramure*Pc/MaxiM</f>
        <v>1.8822300835555733E-5</v>
      </c>
      <c r="AE190" s="307">
        <f t="shared" si="63"/>
        <v>1</v>
      </c>
      <c r="AF190" s="179">
        <f t="shared" si="64"/>
        <v>0.65417048763853503</v>
      </c>
      <c r="AG190" s="837">
        <f t="shared" si="65"/>
        <v>-3</v>
      </c>
      <c r="AH190" s="178">
        <f t="shared" si="66"/>
        <v>3</v>
      </c>
      <c r="AI190" s="227">
        <f t="shared" si="67"/>
        <v>-2.345829512361465</v>
      </c>
      <c r="AJ190" s="267" t="b">
        <f t="shared" si="68"/>
        <v>1</v>
      </c>
      <c r="AK190" s="267" t="b">
        <f t="shared" si="69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43277</v>
      </c>
      <c r="B191" s="618"/>
      <c r="C191" s="392"/>
      <c r="D191" s="395"/>
      <c r="E191" s="387"/>
      <c r="F191" s="387"/>
      <c r="G191" s="110"/>
      <c r="I191" s="382">
        <f t="shared" si="48"/>
        <v>0</v>
      </c>
      <c r="J191" s="85">
        <v>2018</v>
      </c>
      <c r="K191" s="199">
        <f t="shared" si="49"/>
        <v>43277</v>
      </c>
      <c r="L191" s="437">
        <f t="shared" si="50"/>
        <v>0</v>
      </c>
      <c r="M191" s="881"/>
      <c r="N191" s="881"/>
      <c r="O191" s="326">
        <f t="shared" si="51"/>
        <v>0</v>
      </c>
      <c r="P191" s="171">
        <f>(INDEX(Models!$BJ191:$BT191,,T191)*(1-R191)+INDEX(Models!$BJ191:$BT191,,T191+1)*R191-ERP_i)*Q191*Ramure*Pc/MaxiM</f>
        <v>1.8979017749338348E-5</v>
      </c>
      <c r="Q191" s="307">
        <f t="shared" si="52"/>
        <v>1</v>
      </c>
      <c r="R191" s="179">
        <f t="shared" si="53"/>
        <v>0.6606904449157005</v>
      </c>
      <c r="S191" s="837">
        <f t="shared" si="70"/>
        <v>-3</v>
      </c>
      <c r="T191" s="178">
        <f t="shared" si="54"/>
        <v>3</v>
      </c>
      <c r="U191" s="253">
        <f t="shared" si="55"/>
        <v>-2.3393095550842995</v>
      </c>
      <c r="V191" s="385">
        <f t="shared" si="56"/>
        <v>64.353371033448468</v>
      </c>
      <c r="W191" s="58"/>
      <c r="X191" s="157">
        <f t="shared" si="57"/>
        <v>43277</v>
      </c>
      <c r="Y191" s="387">
        <f t="shared" si="58"/>
        <v>0</v>
      </c>
      <c r="Z191" s="387">
        <f t="shared" si="59"/>
        <v>0</v>
      </c>
      <c r="AA191" s="388">
        <f t="shared" si="60"/>
        <v>0</v>
      </c>
      <c r="AB191" s="199">
        <f t="shared" si="61"/>
        <v>43277</v>
      </c>
      <c r="AC191" s="426">
        <f t="shared" si="62"/>
        <v>0</v>
      </c>
      <c r="AD191" s="171">
        <f>(INDEX(Models!$BJ191:$BT191,,AH191)*(1-AF191)+INDEX(Models!$BJ191:$BT191,,AH191+1)*AF191-ERP_i)*AE191*Ramure*Pc/MaxiM</f>
        <v>1.8979017749338348E-5</v>
      </c>
      <c r="AE191" s="307">
        <f t="shared" si="63"/>
        <v>1</v>
      </c>
      <c r="AF191" s="179">
        <f t="shared" si="64"/>
        <v>0.6606904449157005</v>
      </c>
      <c r="AG191" s="837">
        <f t="shared" si="65"/>
        <v>-3</v>
      </c>
      <c r="AH191" s="178">
        <f t="shared" si="66"/>
        <v>3</v>
      </c>
      <c r="AI191" s="227">
        <f t="shared" si="67"/>
        <v>-2.3393095550842995</v>
      </c>
      <c r="AJ191" s="267" t="b">
        <f t="shared" si="68"/>
        <v>1</v>
      </c>
      <c r="AK191" s="267" t="b">
        <f t="shared" si="69"/>
        <v>0</v>
      </c>
      <c r="AL191" s="267"/>
      <c r="AM191" s="267"/>
      <c r="AN191" s="75"/>
    </row>
    <row r="192" spans="1:40" s="6" customFormat="1" ht="11.25" customHeight="1" x14ac:dyDescent="0.2">
      <c r="A192" s="56">
        <f t="shared" si="71"/>
        <v>43278</v>
      </c>
      <c r="B192" s="618"/>
      <c r="C192" s="392"/>
      <c r="D192" s="395"/>
      <c r="E192" s="387"/>
      <c r="F192" s="387"/>
      <c r="G192" s="110"/>
      <c r="I192" s="382">
        <f t="shared" si="48"/>
        <v>0</v>
      </c>
      <c r="J192" s="85">
        <v>2018</v>
      </c>
      <c r="K192" s="199">
        <f t="shared" si="49"/>
        <v>43278</v>
      </c>
      <c r="L192" s="437">
        <f t="shared" si="50"/>
        <v>0</v>
      </c>
      <c r="M192" s="881"/>
      <c r="N192" s="881"/>
      <c r="O192" s="326">
        <f t="shared" si="51"/>
        <v>0</v>
      </c>
      <c r="P192" s="171">
        <f>(INDEX(Models!$BJ192:$BT192,,T192)*(1-R192)+INDEX(Models!$BJ192:$BT192,,T192+1)*R192-ERP_i)*Q192*Ramure*Pc/MaxiM</f>
        <v>1.9112677584789288E-5</v>
      </c>
      <c r="Q192" s="307">
        <f t="shared" si="52"/>
        <v>1</v>
      </c>
      <c r="R192" s="179">
        <f t="shared" si="53"/>
        <v>0.66712591650050435</v>
      </c>
      <c r="S192" s="837">
        <f t="shared" si="70"/>
        <v>-3</v>
      </c>
      <c r="T192" s="178">
        <f t="shared" si="54"/>
        <v>3</v>
      </c>
      <c r="U192" s="253">
        <f t="shared" si="55"/>
        <v>-2.3328740834994957</v>
      </c>
      <c r="V192" s="385">
        <f t="shared" si="56"/>
        <v>64.287947355385654</v>
      </c>
      <c r="W192" s="58"/>
      <c r="X192" s="157">
        <f t="shared" si="57"/>
        <v>43278</v>
      </c>
      <c r="Y192" s="387">
        <f t="shared" si="58"/>
        <v>0</v>
      </c>
      <c r="Z192" s="387">
        <f t="shared" si="59"/>
        <v>0</v>
      </c>
      <c r="AA192" s="388">
        <f t="shared" si="60"/>
        <v>0</v>
      </c>
      <c r="AB192" s="199">
        <f t="shared" si="61"/>
        <v>43278</v>
      </c>
      <c r="AC192" s="426">
        <f t="shared" si="62"/>
        <v>0</v>
      </c>
      <c r="AD192" s="171">
        <f>(INDEX(Models!$BJ192:$BT192,,AH192)*(1-AF192)+INDEX(Models!$BJ192:$BT192,,AH192+1)*AF192-ERP_i)*AE192*Ramure*Pc/MaxiM</f>
        <v>1.9112677584789288E-5</v>
      </c>
      <c r="AE192" s="307">
        <f t="shared" si="63"/>
        <v>1</v>
      </c>
      <c r="AF192" s="179">
        <f t="shared" si="64"/>
        <v>0.66712591650050435</v>
      </c>
      <c r="AG192" s="837">
        <f t="shared" si="65"/>
        <v>-3</v>
      </c>
      <c r="AH192" s="178">
        <f t="shared" si="66"/>
        <v>3</v>
      </c>
      <c r="AI192" s="227">
        <f t="shared" si="67"/>
        <v>-2.3328740834994957</v>
      </c>
      <c r="AJ192" s="267" t="b">
        <f t="shared" si="68"/>
        <v>1</v>
      </c>
      <c r="AK192" s="267" t="b">
        <f t="shared" si="69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43279</v>
      </c>
      <c r="B193" s="618"/>
      <c r="C193" s="392"/>
      <c r="D193" s="395"/>
      <c r="E193" s="387"/>
      <c r="F193" s="387"/>
      <c r="G193" s="110"/>
      <c r="I193" s="382">
        <f t="shared" si="48"/>
        <v>0</v>
      </c>
      <c r="J193" s="85">
        <v>2018</v>
      </c>
      <c r="K193" s="199">
        <f t="shared" si="49"/>
        <v>43279</v>
      </c>
      <c r="L193" s="437">
        <f t="shared" si="50"/>
        <v>0</v>
      </c>
      <c r="M193" s="881"/>
      <c r="N193" s="881"/>
      <c r="O193" s="326">
        <f t="shared" si="51"/>
        <v>0</v>
      </c>
      <c r="P193" s="171">
        <f>(INDEX(Models!$BJ193:$BT193,,T193)*(1-R193)+INDEX(Models!$BJ193:$BT193,,T193+1)*R193-ERP_i)*Q193*Ramure*Pc/MaxiM</f>
        <v>1.924058453734154E-5</v>
      </c>
      <c r="Q193" s="307">
        <f t="shared" si="52"/>
        <v>1</v>
      </c>
      <c r="R193" s="179">
        <f t="shared" si="53"/>
        <v>0.67347320784366582</v>
      </c>
      <c r="S193" s="837">
        <f t="shared" si="70"/>
        <v>-3</v>
      </c>
      <c r="T193" s="178">
        <f t="shared" si="54"/>
        <v>3</v>
      </c>
      <c r="U193" s="253">
        <f t="shared" si="55"/>
        <v>-2.3265267921563342</v>
      </c>
      <c r="V193" s="385">
        <f t="shared" si="56"/>
        <v>64.22048926450978</v>
      </c>
      <c r="W193" s="58"/>
      <c r="X193" s="157">
        <f t="shared" si="57"/>
        <v>43279</v>
      </c>
      <c r="Y193" s="387">
        <f t="shared" si="58"/>
        <v>0</v>
      </c>
      <c r="Z193" s="387">
        <f t="shared" si="59"/>
        <v>0</v>
      </c>
      <c r="AA193" s="388">
        <f t="shared" si="60"/>
        <v>0</v>
      </c>
      <c r="AB193" s="199">
        <f t="shared" si="61"/>
        <v>43279</v>
      </c>
      <c r="AC193" s="426">
        <f t="shared" si="62"/>
        <v>0</v>
      </c>
      <c r="AD193" s="171">
        <f>(INDEX(Models!$BJ193:$BT193,,AH193)*(1-AF193)+INDEX(Models!$BJ193:$BT193,,AH193+1)*AF193-ERP_i)*AE193*Ramure*Pc/MaxiM</f>
        <v>1.924058453734154E-5</v>
      </c>
      <c r="AE193" s="307">
        <f t="shared" si="63"/>
        <v>1</v>
      </c>
      <c r="AF193" s="179">
        <f t="shared" si="64"/>
        <v>0.67347320784366582</v>
      </c>
      <c r="AG193" s="837">
        <f t="shared" si="65"/>
        <v>-3</v>
      </c>
      <c r="AH193" s="178">
        <f t="shared" si="66"/>
        <v>3</v>
      </c>
      <c r="AI193" s="227">
        <f t="shared" si="67"/>
        <v>-2.3265267921563342</v>
      </c>
      <c r="AJ193" s="267" t="b">
        <f t="shared" si="68"/>
        <v>1</v>
      </c>
      <c r="AK193" s="267" t="b">
        <f t="shared" si="69"/>
        <v>0</v>
      </c>
      <c r="AL193" s="267"/>
      <c r="AM193" s="267"/>
      <c r="AN193" s="75"/>
    </row>
    <row r="194" spans="1:40" s="6" customFormat="1" ht="11.25" customHeight="1" x14ac:dyDescent="0.2">
      <c r="A194" s="56">
        <f t="shared" si="71"/>
        <v>43280</v>
      </c>
      <c r="B194" s="618"/>
      <c r="C194" s="392"/>
      <c r="D194" s="395"/>
      <c r="E194" s="387"/>
      <c r="F194" s="387"/>
      <c r="G194" s="110"/>
      <c r="I194" s="382">
        <f t="shared" si="48"/>
        <v>0</v>
      </c>
      <c r="J194" s="85">
        <v>2018</v>
      </c>
      <c r="K194" s="199">
        <f t="shared" si="49"/>
        <v>43280</v>
      </c>
      <c r="L194" s="437">
        <f t="shared" si="50"/>
        <v>0</v>
      </c>
      <c r="M194" s="881"/>
      <c r="N194" s="881"/>
      <c r="O194" s="326">
        <f t="shared" si="51"/>
        <v>0</v>
      </c>
      <c r="P194" s="171">
        <f>(INDEX(Models!$BJ194:$BT194,,T194)*(1-R194)+INDEX(Models!$BJ194:$BT194,,T194+1)*R194-ERP_i)*Q194*Ramure*Pc/MaxiM</f>
        <v>1.9362800409673706E-5</v>
      </c>
      <c r="Q194" s="307">
        <f t="shared" si="52"/>
        <v>1</v>
      </c>
      <c r="R194" s="179">
        <f t="shared" si="53"/>
        <v>0.67972887170814689</v>
      </c>
      <c r="S194" s="837">
        <f t="shared" si="70"/>
        <v>-3</v>
      </c>
      <c r="T194" s="178">
        <f t="shared" si="54"/>
        <v>3</v>
      </c>
      <c r="U194" s="253">
        <f t="shared" si="55"/>
        <v>-2.3202711282918531</v>
      </c>
      <c r="V194" s="385">
        <f t="shared" si="56"/>
        <v>64.150770666063991</v>
      </c>
      <c r="W194" s="58"/>
      <c r="X194" s="157">
        <f t="shared" si="57"/>
        <v>43280</v>
      </c>
      <c r="Y194" s="387">
        <f t="shared" si="58"/>
        <v>0</v>
      </c>
      <c r="Z194" s="387">
        <f t="shared" si="59"/>
        <v>0</v>
      </c>
      <c r="AA194" s="388">
        <f t="shared" si="60"/>
        <v>0</v>
      </c>
      <c r="AB194" s="199">
        <f t="shared" si="61"/>
        <v>43280</v>
      </c>
      <c r="AC194" s="426">
        <f t="shared" si="62"/>
        <v>0</v>
      </c>
      <c r="AD194" s="171">
        <f>(INDEX(Models!$BJ194:$BT194,,AH194)*(1-AF194)+INDEX(Models!$BJ194:$BT194,,AH194+1)*AF194-ERP_i)*AE194*Ramure*Pc/MaxiM</f>
        <v>1.9362800409673706E-5</v>
      </c>
      <c r="AE194" s="307">
        <f t="shared" si="63"/>
        <v>1</v>
      </c>
      <c r="AF194" s="179">
        <f t="shared" si="64"/>
        <v>0.67972887170814689</v>
      </c>
      <c r="AG194" s="837">
        <f t="shared" si="65"/>
        <v>-3</v>
      </c>
      <c r="AH194" s="178">
        <f t="shared" si="66"/>
        <v>3</v>
      </c>
      <c r="AI194" s="227">
        <f t="shared" si="67"/>
        <v>-2.3202711282918531</v>
      </c>
      <c r="AJ194" s="267" t="b">
        <f t="shared" si="68"/>
        <v>1</v>
      </c>
      <c r="AK194" s="267" t="b">
        <f t="shared" si="69"/>
        <v>0</v>
      </c>
      <c r="AL194" s="267"/>
      <c r="AM194" s="267"/>
      <c r="AN194" s="75"/>
    </row>
    <row r="195" spans="1:40" s="6" customFormat="1" ht="11.25" customHeight="1" x14ac:dyDescent="0.2">
      <c r="A195" s="56">
        <f t="shared" si="71"/>
        <v>43281</v>
      </c>
      <c r="B195" s="618"/>
      <c r="C195" s="392"/>
      <c r="D195" s="395"/>
      <c r="E195" s="387"/>
      <c r="F195" s="387"/>
      <c r="G195" s="110"/>
      <c r="I195" s="382">
        <f t="shared" si="48"/>
        <v>0</v>
      </c>
      <c r="J195" s="85">
        <v>2018</v>
      </c>
      <c r="K195" s="199">
        <f t="shared" si="49"/>
        <v>43281</v>
      </c>
      <c r="L195" s="437">
        <f t="shared" si="50"/>
        <v>0</v>
      </c>
      <c r="M195" s="881"/>
      <c r="N195" s="881"/>
      <c r="O195" s="326">
        <f t="shared" si="51"/>
        <v>0</v>
      </c>
      <c r="P195" s="171">
        <f>(INDEX(Models!$BJ195:$BT195,,T195)*(1-R195)+INDEX(Models!$BJ195:$BT195,,T195+1)*R195-ERP_i)*Q195*Ramure*Pc/MaxiM</f>
        <v>1.9479401164619391E-5</v>
      </c>
      <c r="Q195" s="307">
        <f t="shared" si="52"/>
        <v>1</v>
      </c>
      <c r="R195" s="179">
        <f t="shared" si="53"/>
        <v>0.6858897120519245</v>
      </c>
      <c r="S195" s="837">
        <f t="shared" si="70"/>
        <v>-3</v>
      </c>
      <c r="T195" s="178">
        <f t="shared" si="54"/>
        <v>3</v>
      </c>
      <c r="U195" s="253">
        <f t="shared" si="55"/>
        <v>-2.3141102879480755</v>
      </c>
      <c r="V195" s="385">
        <f t="shared" si="56"/>
        <v>64.078565466645458</v>
      </c>
      <c r="W195" s="58"/>
      <c r="X195" s="157">
        <f t="shared" si="57"/>
        <v>43281</v>
      </c>
      <c r="Y195" s="387">
        <f t="shared" si="58"/>
        <v>0</v>
      </c>
      <c r="Z195" s="387">
        <f t="shared" si="59"/>
        <v>0</v>
      </c>
      <c r="AA195" s="388">
        <f t="shared" si="60"/>
        <v>0</v>
      </c>
      <c r="AB195" s="199">
        <f t="shared" si="61"/>
        <v>43281</v>
      </c>
      <c r="AC195" s="426">
        <f t="shared" si="62"/>
        <v>0</v>
      </c>
      <c r="AD195" s="171">
        <f>(INDEX(Models!$BJ195:$BT195,,AH195)*(1-AF195)+INDEX(Models!$BJ195:$BT195,,AH195+1)*AF195-ERP_i)*AE195*Ramure*Pc/MaxiM</f>
        <v>1.9479401164619391E-5</v>
      </c>
      <c r="AE195" s="307">
        <f t="shared" si="63"/>
        <v>1</v>
      </c>
      <c r="AF195" s="179">
        <f t="shared" si="64"/>
        <v>0.6858897120519245</v>
      </c>
      <c r="AG195" s="837">
        <f t="shared" si="65"/>
        <v>-3</v>
      </c>
      <c r="AH195" s="178">
        <f t="shared" si="66"/>
        <v>3</v>
      </c>
      <c r="AI195" s="227">
        <f t="shared" si="67"/>
        <v>-2.3141102879480755</v>
      </c>
      <c r="AJ195" s="267" t="b">
        <f t="shared" si="68"/>
        <v>1</v>
      </c>
      <c r="AK195" s="267" t="b">
        <f t="shared" si="69"/>
        <v>0</v>
      </c>
      <c r="AL195" s="267"/>
      <c r="AM195" s="267"/>
      <c r="AN195" s="75"/>
    </row>
    <row r="196" spans="1:40" s="6" customFormat="1" ht="11.25" customHeight="1" x14ac:dyDescent="0.2">
      <c r="A196" s="56">
        <f t="shared" si="71"/>
        <v>43282</v>
      </c>
      <c r="B196" s="618"/>
      <c r="C196" s="392"/>
      <c r="D196" s="395"/>
      <c r="E196" s="387"/>
      <c r="F196" s="387"/>
      <c r="G196" s="110"/>
      <c r="I196" s="382">
        <f t="shared" si="48"/>
        <v>0</v>
      </c>
      <c r="J196" s="85">
        <v>2018</v>
      </c>
      <c r="K196" s="199">
        <f t="shared" si="49"/>
        <v>43282</v>
      </c>
      <c r="L196" s="437">
        <f t="shared" si="50"/>
        <v>0</v>
      </c>
      <c r="M196" s="881"/>
      <c r="N196" s="881"/>
      <c r="O196" s="326">
        <f t="shared" si="51"/>
        <v>0</v>
      </c>
      <c r="P196" s="171">
        <f>(INDEX(Models!$BJ196:$BT196,,T196)*(1-R196)+INDEX(Models!$BJ196:$BT196,,T196+1)*R196-ERP_i)*Q196*Ramure*Pc/MaxiM</f>
        <v>1.9590476423476391E-5</v>
      </c>
      <c r="Q196" s="307">
        <f t="shared" si="52"/>
        <v>1</v>
      </c>
      <c r="R196" s="179">
        <f t="shared" si="53"/>
        <v>0.69195278658124471</v>
      </c>
      <c r="S196" s="837">
        <f t="shared" si="70"/>
        <v>-3</v>
      </c>
      <c r="T196" s="178">
        <f t="shared" si="54"/>
        <v>3</v>
      </c>
      <c r="U196" s="253">
        <f t="shared" si="55"/>
        <v>-2.3080472134187553</v>
      </c>
      <c r="V196" s="385">
        <f t="shared" si="56"/>
        <v>64.003647571916417</v>
      </c>
      <c r="W196" s="58"/>
      <c r="X196" s="157">
        <f t="shared" si="57"/>
        <v>43282</v>
      </c>
      <c r="Y196" s="387">
        <f t="shared" si="58"/>
        <v>0</v>
      </c>
      <c r="Z196" s="387">
        <f t="shared" si="59"/>
        <v>0</v>
      </c>
      <c r="AA196" s="388">
        <f t="shared" si="60"/>
        <v>0</v>
      </c>
      <c r="AB196" s="199">
        <f t="shared" si="61"/>
        <v>43282</v>
      </c>
      <c r="AC196" s="426">
        <f t="shared" si="62"/>
        <v>0</v>
      </c>
      <c r="AD196" s="171">
        <f>(INDEX(Models!$BJ196:$BT196,,AH196)*(1-AF196)+INDEX(Models!$BJ196:$BT196,,AH196+1)*AF196-ERP_i)*AE196*Ramure*Pc/MaxiM</f>
        <v>1.9590476423476391E-5</v>
      </c>
      <c r="AE196" s="307">
        <f t="shared" si="63"/>
        <v>1</v>
      </c>
      <c r="AF196" s="179">
        <f t="shared" si="64"/>
        <v>0.69195278658124471</v>
      </c>
      <c r="AG196" s="837">
        <f t="shared" si="65"/>
        <v>-3</v>
      </c>
      <c r="AH196" s="178">
        <f t="shared" si="66"/>
        <v>3</v>
      </c>
      <c r="AI196" s="227">
        <f t="shared" si="67"/>
        <v>-2.3080472134187553</v>
      </c>
      <c r="AJ196" s="267" t="b">
        <f t="shared" si="68"/>
        <v>1</v>
      </c>
      <c r="AK196" s="267" t="b">
        <f t="shared" si="69"/>
        <v>0</v>
      </c>
      <c r="AL196" s="267"/>
      <c r="AM196" s="267"/>
      <c r="AN196" s="75"/>
    </row>
    <row r="197" spans="1:40" s="6" customFormat="1" ht="11.25" customHeight="1" x14ac:dyDescent="0.2">
      <c r="A197" s="56">
        <f t="shared" si="71"/>
        <v>43283</v>
      </c>
      <c r="B197" s="618"/>
      <c r="C197" s="392"/>
      <c r="D197" s="395"/>
      <c r="E197" s="387"/>
      <c r="F197" s="387"/>
      <c r="G197" s="110"/>
      <c r="I197" s="382">
        <f t="shared" si="48"/>
        <v>0</v>
      </c>
      <c r="J197" s="85">
        <v>2018</v>
      </c>
      <c r="K197" s="199">
        <f t="shared" si="49"/>
        <v>43283</v>
      </c>
      <c r="L197" s="437">
        <f t="shared" si="50"/>
        <v>0</v>
      </c>
      <c r="M197" s="881"/>
      <c r="N197" s="881"/>
      <c r="O197" s="326">
        <f t="shared" si="51"/>
        <v>0</v>
      </c>
      <c r="P197" s="171">
        <f>(INDEX(Models!$BJ197:$BT197,,T197)*(1-R197)+INDEX(Models!$BJ197:$BT197,,T197+1)*R197-ERP_i)*Q197*Ramure*Pc/MaxiM</f>
        <v>1.969612892809178E-5</v>
      </c>
      <c r="Q197" s="307">
        <f t="shared" si="52"/>
        <v>1</v>
      </c>
      <c r="R197" s="179">
        <f t="shared" si="53"/>
        <v>0.69791540801196961</v>
      </c>
      <c r="S197" s="837">
        <f t="shared" si="70"/>
        <v>-3</v>
      </c>
      <c r="T197" s="178">
        <f t="shared" si="54"/>
        <v>3</v>
      </c>
      <c r="U197" s="253">
        <f t="shared" si="55"/>
        <v>-2.3020845919880304</v>
      </c>
      <c r="V197" s="385">
        <f t="shared" si="56"/>
        <v>63.925790885196612</v>
      </c>
      <c r="W197" s="58"/>
      <c r="X197" s="157">
        <f t="shared" si="57"/>
        <v>43283</v>
      </c>
      <c r="Y197" s="387">
        <f t="shared" si="58"/>
        <v>0</v>
      </c>
      <c r="Z197" s="387">
        <f t="shared" si="59"/>
        <v>0</v>
      </c>
      <c r="AA197" s="388">
        <f t="shared" si="60"/>
        <v>0</v>
      </c>
      <c r="AB197" s="199">
        <f t="shared" si="61"/>
        <v>43283</v>
      </c>
      <c r="AC197" s="426">
        <f t="shared" si="62"/>
        <v>0</v>
      </c>
      <c r="AD197" s="171">
        <f>(INDEX(Models!$BJ197:$BT197,,AH197)*(1-AF197)+INDEX(Models!$BJ197:$BT197,,AH197+1)*AF197-ERP_i)*AE197*Ramure*Pc/MaxiM</f>
        <v>1.969612892809178E-5</v>
      </c>
      <c r="AE197" s="307">
        <f t="shared" si="63"/>
        <v>1</v>
      </c>
      <c r="AF197" s="179">
        <f t="shared" si="64"/>
        <v>0.69791540801196961</v>
      </c>
      <c r="AG197" s="837">
        <f t="shared" si="65"/>
        <v>-3</v>
      </c>
      <c r="AH197" s="178">
        <f t="shared" si="66"/>
        <v>3</v>
      </c>
      <c r="AI197" s="227">
        <f t="shared" si="67"/>
        <v>-2.3020845919880304</v>
      </c>
      <c r="AJ197" s="267" t="b">
        <f t="shared" si="68"/>
        <v>1</v>
      </c>
      <c r="AK197" s="267" t="b">
        <f t="shared" si="69"/>
        <v>0</v>
      </c>
      <c r="AL197" s="267"/>
      <c r="AM197" s="267"/>
      <c r="AN197" s="75"/>
    </row>
    <row r="198" spans="1:40" s="6" customFormat="1" ht="11.25" customHeight="1" x14ac:dyDescent="0.2">
      <c r="A198" s="56">
        <f t="shared" si="71"/>
        <v>43284</v>
      </c>
      <c r="B198" s="618"/>
      <c r="C198" s="392"/>
      <c r="D198" s="395"/>
      <c r="E198" s="387"/>
      <c r="F198" s="387"/>
      <c r="G198" s="110"/>
      <c r="I198" s="382">
        <f t="shared" si="48"/>
        <v>0</v>
      </c>
      <c r="J198" s="85">
        <v>2018</v>
      </c>
      <c r="K198" s="199">
        <f t="shared" si="49"/>
        <v>43284</v>
      </c>
      <c r="L198" s="437">
        <f t="shared" si="50"/>
        <v>0</v>
      </c>
      <c r="M198" s="881"/>
      <c r="N198" s="881"/>
      <c r="O198" s="326">
        <f t="shared" si="51"/>
        <v>0</v>
      </c>
      <c r="P198" s="171">
        <f>(INDEX(Models!$BJ198:$BT198,,T198)*(1-R198)+INDEX(Models!$BJ198:$BT198,,T198+1)*R198-ERP_i)*Q198*Ramure*Pc/MaxiM</f>
        <v>1.9853380553959572E-5</v>
      </c>
      <c r="Q198" s="307">
        <f t="shared" si="52"/>
        <v>1</v>
      </c>
      <c r="R198" s="179">
        <f t="shared" si="53"/>
        <v>0.70377514408618458</v>
      </c>
      <c r="S198" s="837">
        <f t="shared" si="70"/>
        <v>-3</v>
      </c>
      <c r="T198" s="178">
        <f t="shared" si="54"/>
        <v>3</v>
      </c>
      <c r="U198" s="253">
        <f t="shared" si="55"/>
        <v>-2.2962248559138154</v>
      </c>
      <c r="V198" s="385">
        <f t="shared" si="56"/>
        <v>63.844765677162215</v>
      </c>
      <c r="W198" s="58"/>
      <c r="X198" s="157">
        <f t="shared" si="57"/>
        <v>43284</v>
      </c>
      <c r="Y198" s="387">
        <f t="shared" si="58"/>
        <v>0</v>
      </c>
      <c r="Z198" s="387">
        <f t="shared" si="59"/>
        <v>0</v>
      </c>
      <c r="AA198" s="388">
        <f t="shared" si="60"/>
        <v>0</v>
      </c>
      <c r="AB198" s="199">
        <f t="shared" si="61"/>
        <v>43284</v>
      </c>
      <c r="AC198" s="426">
        <f t="shared" si="62"/>
        <v>0</v>
      </c>
      <c r="AD198" s="171">
        <f>(INDEX(Models!$BJ198:$BT198,,AH198)*(1-AF198)+INDEX(Models!$BJ198:$BT198,,AH198+1)*AF198-ERP_i)*AE198*Ramure*Pc/MaxiM</f>
        <v>1.9853380553959572E-5</v>
      </c>
      <c r="AE198" s="307">
        <f t="shared" si="63"/>
        <v>1</v>
      </c>
      <c r="AF198" s="179">
        <f t="shared" si="64"/>
        <v>0.70377514408618458</v>
      </c>
      <c r="AG198" s="837">
        <f t="shared" si="65"/>
        <v>-3</v>
      </c>
      <c r="AH198" s="178">
        <f t="shared" si="66"/>
        <v>3</v>
      </c>
      <c r="AI198" s="227">
        <f t="shared" si="67"/>
        <v>-2.2962248559138154</v>
      </c>
      <c r="AJ198" s="267" t="b">
        <f t="shared" si="68"/>
        <v>1</v>
      </c>
      <c r="AK198" s="267" t="b">
        <f t="shared" si="69"/>
        <v>0</v>
      </c>
      <c r="AL198" s="267"/>
      <c r="AM198" s="267"/>
      <c r="AN198" s="75"/>
    </row>
    <row r="199" spans="1:40" s="6" customFormat="1" ht="11.25" customHeight="1" x14ac:dyDescent="0.2">
      <c r="A199" s="56">
        <f t="shared" si="71"/>
        <v>43285</v>
      </c>
      <c r="B199" s="618"/>
      <c r="C199" s="392"/>
      <c r="D199" s="395"/>
      <c r="E199" s="387"/>
      <c r="F199" s="387"/>
      <c r="G199" s="110"/>
      <c r="I199" s="382">
        <f t="shared" si="48"/>
        <v>0</v>
      </c>
      <c r="J199" s="85">
        <v>2018</v>
      </c>
      <c r="K199" s="199">
        <f t="shared" si="49"/>
        <v>43285</v>
      </c>
      <c r="L199" s="437">
        <f t="shared" si="50"/>
        <v>0</v>
      </c>
      <c r="M199" s="881"/>
      <c r="N199" s="881"/>
      <c r="O199" s="326">
        <f t="shared" si="51"/>
        <v>0</v>
      </c>
      <c r="P199" s="171">
        <f>(INDEX(Models!$BJ199:$BT199,,T199)*(1-R199)+INDEX(Models!$BJ199:$BT199,,T199+1)*R199-ERP_i)*Q199*Ramure*Pc/MaxiM</f>
        <v>2.0083925851830946E-5</v>
      </c>
      <c r="Q199" s="307">
        <f t="shared" si="52"/>
        <v>1</v>
      </c>
      <c r="R199" s="179">
        <f t="shared" si="53"/>
        <v>0.70952981639972457</v>
      </c>
      <c r="S199" s="837">
        <f t="shared" si="70"/>
        <v>-3</v>
      </c>
      <c r="T199" s="178">
        <f t="shared" si="54"/>
        <v>3</v>
      </c>
      <c r="U199" s="253">
        <f t="shared" si="55"/>
        <v>-2.2904701836002754</v>
      </c>
      <c r="V199" s="385">
        <f t="shared" si="56"/>
        <v>63.760344490419286</v>
      </c>
      <c r="W199" s="58"/>
      <c r="X199" s="157">
        <f t="shared" si="57"/>
        <v>43285</v>
      </c>
      <c r="Y199" s="387">
        <f t="shared" si="58"/>
        <v>0</v>
      </c>
      <c r="Z199" s="387">
        <f t="shared" si="59"/>
        <v>0</v>
      </c>
      <c r="AA199" s="388">
        <f t="shared" si="60"/>
        <v>0</v>
      </c>
      <c r="AB199" s="199">
        <f t="shared" si="61"/>
        <v>43285</v>
      </c>
      <c r="AC199" s="426">
        <f t="shared" si="62"/>
        <v>0</v>
      </c>
      <c r="AD199" s="171">
        <f>(INDEX(Models!$BJ199:$BT199,,AH199)*(1-AF199)+INDEX(Models!$BJ199:$BT199,,AH199+1)*AF199-ERP_i)*AE199*Ramure*Pc/MaxiM</f>
        <v>2.0083925851830946E-5</v>
      </c>
      <c r="AE199" s="307">
        <f t="shared" si="63"/>
        <v>1</v>
      </c>
      <c r="AF199" s="179">
        <f t="shared" si="64"/>
        <v>0.70952981639972457</v>
      </c>
      <c r="AG199" s="837">
        <f t="shared" si="65"/>
        <v>-3</v>
      </c>
      <c r="AH199" s="178">
        <f t="shared" si="66"/>
        <v>3</v>
      </c>
      <c r="AI199" s="227">
        <f t="shared" si="67"/>
        <v>-2.2904701836002754</v>
      </c>
      <c r="AJ199" s="267" t="b">
        <f t="shared" si="68"/>
        <v>1</v>
      </c>
      <c r="AK199" s="267" t="b">
        <f t="shared" si="69"/>
        <v>0</v>
      </c>
      <c r="AL199" s="267"/>
      <c r="AM199" s="267"/>
      <c r="AN199" s="75"/>
    </row>
    <row r="200" spans="1:40" s="6" customFormat="1" ht="11.25" customHeight="1" x14ac:dyDescent="0.2">
      <c r="A200" s="56">
        <f t="shared" si="71"/>
        <v>43286</v>
      </c>
      <c r="B200" s="618"/>
      <c r="C200" s="392"/>
      <c r="D200" s="395"/>
      <c r="E200" s="387"/>
      <c r="F200" s="387"/>
      <c r="G200" s="110"/>
      <c r="I200" s="382">
        <f t="shared" si="48"/>
        <v>0</v>
      </c>
      <c r="J200" s="85">
        <v>2018</v>
      </c>
      <c r="K200" s="199">
        <f t="shared" si="49"/>
        <v>43286</v>
      </c>
      <c r="L200" s="437">
        <f t="shared" si="50"/>
        <v>0</v>
      </c>
      <c r="M200" s="881"/>
      <c r="N200" s="881"/>
      <c r="O200" s="326">
        <f t="shared" si="51"/>
        <v>0</v>
      </c>
      <c r="P200" s="171">
        <f>(INDEX(Models!$BJ200:$BT200,,T200)*(1-R200)+INDEX(Models!$BJ200:$BT200,,T200+1)*R200-ERP_i)*Q200*Ramure*Pc/MaxiM</f>
        <v>2.0390656433899787E-5</v>
      </c>
      <c r="Q200" s="307">
        <f t="shared" si="52"/>
        <v>1</v>
      </c>
      <c r="R200" s="179">
        <f t="shared" si="53"/>
        <v>0.7151774981036878</v>
      </c>
      <c r="S200" s="837">
        <f t="shared" si="70"/>
        <v>-3</v>
      </c>
      <c r="T200" s="178">
        <f t="shared" si="54"/>
        <v>3</v>
      </c>
      <c r="U200" s="253">
        <f t="shared" si="55"/>
        <v>-2.2848225018963122</v>
      </c>
      <c r="V200" s="385">
        <f t="shared" si="56"/>
        <v>63.672301070911587</v>
      </c>
      <c r="W200" s="58"/>
      <c r="X200" s="157">
        <f t="shared" si="57"/>
        <v>43286</v>
      </c>
      <c r="Y200" s="387">
        <f t="shared" si="58"/>
        <v>0</v>
      </c>
      <c r="Z200" s="387">
        <f t="shared" si="59"/>
        <v>0</v>
      </c>
      <c r="AA200" s="388">
        <f t="shared" si="60"/>
        <v>0</v>
      </c>
      <c r="AB200" s="199">
        <f t="shared" si="61"/>
        <v>43286</v>
      </c>
      <c r="AC200" s="426">
        <f t="shared" si="62"/>
        <v>0</v>
      </c>
      <c r="AD200" s="171">
        <f>(INDEX(Models!$BJ200:$BT200,,AH200)*(1-AF200)+INDEX(Models!$BJ200:$BT200,,AH200+1)*AF200-ERP_i)*AE200*Ramure*Pc/MaxiM</f>
        <v>2.0390656433899787E-5</v>
      </c>
      <c r="AE200" s="307">
        <f t="shared" si="63"/>
        <v>1</v>
      </c>
      <c r="AF200" s="179">
        <f t="shared" si="64"/>
        <v>0.7151774981036878</v>
      </c>
      <c r="AG200" s="837">
        <f t="shared" si="65"/>
        <v>-3</v>
      </c>
      <c r="AH200" s="178">
        <f t="shared" si="66"/>
        <v>3</v>
      </c>
      <c r="AI200" s="227">
        <f t="shared" si="67"/>
        <v>-2.2848225018963122</v>
      </c>
      <c r="AJ200" s="267" t="b">
        <f t="shared" si="68"/>
        <v>1</v>
      </c>
      <c r="AK200" s="267" t="b">
        <f t="shared" si="69"/>
        <v>0</v>
      </c>
      <c r="AL200" s="267"/>
      <c r="AM200" s="267"/>
      <c r="AN200" s="75"/>
    </row>
    <row r="201" spans="1:40" s="6" customFormat="1" ht="11.25" customHeight="1" x14ac:dyDescent="0.2">
      <c r="A201" s="56">
        <f t="shared" si="71"/>
        <v>43287</v>
      </c>
      <c r="B201" s="618"/>
      <c r="C201" s="392"/>
      <c r="D201" s="395"/>
      <c r="E201" s="387"/>
      <c r="F201" s="387"/>
      <c r="G201" s="110"/>
      <c r="I201" s="382">
        <f t="shared" si="48"/>
        <v>0</v>
      </c>
      <c r="J201" s="85">
        <v>2018</v>
      </c>
      <c r="K201" s="199">
        <f t="shared" si="49"/>
        <v>43287</v>
      </c>
      <c r="L201" s="437">
        <f t="shared" si="50"/>
        <v>0</v>
      </c>
      <c r="M201" s="881"/>
      <c r="N201" s="881"/>
      <c r="O201" s="326">
        <f t="shared" si="51"/>
        <v>0</v>
      </c>
      <c r="P201" s="171">
        <f>(INDEX(Models!$BJ201:$BT201,,T201)*(1-R201)+INDEX(Models!$BJ201:$BT201,,T201+1)*R201-ERP_i)*Q201*Ramure*Pc/MaxiM</f>
        <v>2.0776418912631755E-5</v>
      </c>
      <c r="Q201" s="307">
        <f t="shared" si="52"/>
        <v>1</v>
      </c>
      <c r="R201" s="179">
        <f t="shared" si="53"/>
        <v>0.72071651054926456</v>
      </c>
      <c r="S201" s="837">
        <f t="shared" si="70"/>
        <v>-3</v>
      </c>
      <c r="T201" s="178">
        <f t="shared" si="54"/>
        <v>3</v>
      </c>
      <c r="U201" s="253">
        <f t="shared" si="55"/>
        <v>-2.2792834894507354</v>
      </c>
      <c r="V201" s="385">
        <f t="shared" si="56"/>
        <v>63.580409174942389</v>
      </c>
      <c r="W201" s="58"/>
      <c r="X201" s="157">
        <f t="shared" si="57"/>
        <v>43287</v>
      </c>
      <c r="Y201" s="387">
        <f t="shared" si="58"/>
        <v>0</v>
      </c>
      <c r="Z201" s="387">
        <f t="shared" si="59"/>
        <v>0</v>
      </c>
      <c r="AA201" s="388">
        <f t="shared" si="60"/>
        <v>0</v>
      </c>
      <c r="AB201" s="199">
        <f t="shared" si="61"/>
        <v>43287</v>
      </c>
      <c r="AC201" s="426">
        <f t="shared" si="62"/>
        <v>0</v>
      </c>
      <c r="AD201" s="171">
        <f>(INDEX(Models!$BJ201:$BT201,,AH201)*(1-AF201)+INDEX(Models!$BJ201:$BT201,,AH201+1)*AF201-ERP_i)*AE201*Ramure*Pc/MaxiM</f>
        <v>2.0776418912631755E-5</v>
      </c>
      <c r="AE201" s="307">
        <f t="shared" si="63"/>
        <v>1</v>
      </c>
      <c r="AF201" s="179">
        <f t="shared" si="64"/>
        <v>0.72071651054926456</v>
      </c>
      <c r="AG201" s="837">
        <f t="shared" si="65"/>
        <v>-3</v>
      </c>
      <c r="AH201" s="178">
        <f t="shared" si="66"/>
        <v>3</v>
      </c>
      <c r="AI201" s="227">
        <f t="shared" si="67"/>
        <v>-2.2792834894507354</v>
      </c>
      <c r="AJ201" s="267" t="b">
        <f t="shared" si="68"/>
        <v>1</v>
      </c>
      <c r="AK201" s="267" t="b">
        <f t="shared" si="69"/>
        <v>0</v>
      </c>
      <c r="AL201" s="267"/>
      <c r="AM201" s="267"/>
      <c r="AN201" s="75"/>
    </row>
    <row r="202" spans="1:40" s="6" customFormat="1" ht="11.25" customHeight="1" x14ac:dyDescent="0.2">
      <c r="A202" s="56">
        <f t="shared" si="71"/>
        <v>43288</v>
      </c>
      <c r="B202" s="618"/>
      <c r="C202" s="392"/>
      <c r="D202" s="395"/>
      <c r="E202" s="387"/>
      <c r="F202" s="387"/>
      <c r="G202" s="110"/>
      <c r="I202" s="382">
        <f t="shared" si="48"/>
        <v>0</v>
      </c>
      <c r="J202" s="85">
        <v>2018</v>
      </c>
      <c r="K202" s="199">
        <f t="shared" si="49"/>
        <v>43288</v>
      </c>
      <c r="L202" s="437">
        <f t="shared" si="50"/>
        <v>0</v>
      </c>
      <c r="M202" s="881"/>
      <c r="N202" s="881"/>
      <c r="O202" s="326">
        <f t="shared" si="51"/>
        <v>0</v>
      </c>
      <c r="P202" s="171">
        <f>(INDEX(Models!$BJ202:$BT202,,T202)*(1-R202)+INDEX(Models!$BJ202:$BT202,,T202+1)*R202-ERP_i)*Q202*Ramure*Pc/MaxiM</f>
        <v>2.1244017252550641E-5</v>
      </c>
      <c r="Q202" s="307">
        <f t="shared" si="52"/>
        <v>1</v>
      </c>
      <c r="R202" s="179">
        <f t="shared" si="53"/>
        <v>0.72614541895032003</v>
      </c>
      <c r="S202" s="837">
        <f t="shared" si="70"/>
        <v>-3</v>
      </c>
      <c r="T202" s="178">
        <f t="shared" si="54"/>
        <v>3</v>
      </c>
      <c r="U202" s="253">
        <f t="shared" si="55"/>
        <v>-2.27385458104968</v>
      </c>
      <c r="V202" s="385">
        <f t="shared" si="56"/>
        <v>63.484442561331065</v>
      </c>
      <c r="W202" s="58"/>
      <c r="X202" s="157">
        <f t="shared" si="57"/>
        <v>43288</v>
      </c>
      <c r="Y202" s="387">
        <f t="shared" si="58"/>
        <v>0</v>
      </c>
      <c r="Z202" s="387">
        <f t="shared" si="59"/>
        <v>0</v>
      </c>
      <c r="AA202" s="388">
        <f t="shared" si="60"/>
        <v>0</v>
      </c>
      <c r="AB202" s="199">
        <f t="shared" si="61"/>
        <v>43288</v>
      </c>
      <c r="AC202" s="426">
        <f t="shared" si="62"/>
        <v>0</v>
      </c>
      <c r="AD202" s="171">
        <f>(INDEX(Models!$BJ202:$BT202,,AH202)*(1-AF202)+INDEX(Models!$BJ202:$BT202,,AH202+1)*AF202-ERP_i)*AE202*Ramure*Pc/MaxiM</f>
        <v>2.1244017252550641E-5</v>
      </c>
      <c r="AE202" s="307">
        <f t="shared" si="63"/>
        <v>1</v>
      </c>
      <c r="AF202" s="179">
        <f t="shared" si="64"/>
        <v>0.72614541895032003</v>
      </c>
      <c r="AG202" s="837">
        <f t="shared" si="65"/>
        <v>-3</v>
      </c>
      <c r="AH202" s="178">
        <f t="shared" si="66"/>
        <v>3</v>
      </c>
      <c r="AI202" s="227">
        <f t="shared" si="67"/>
        <v>-2.27385458104968</v>
      </c>
      <c r="AJ202" s="267" t="b">
        <f t="shared" si="68"/>
        <v>1</v>
      </c>
      <c r="AK202" s="267" t="b">
        <f t="shared" si="69"/>
        <v>0</v>
      </c>
      <c r="AL202" s="267"/>
      <c r="AM202" s="267"/>
      <c r="AN202" s="75"/>
    </row>
    <row r="203" spans="1:40" s="6" customFormat="1" ht="11.25" customHeight="1" x14ac:dyDescent="0.2">
      <c r="A203" s="56">
        <f t="shared" si="71"/>
        <v>43289</v>
      </c>
      <c r="B203" s="618"/>
      <c r="C203" s="392"/>
      <c r="D203" s="395"/>
      <c r="E203" s="387"/>
      <c r="F203" s="387"/>
      <c r="G203" s="110"/>
      <c r="I203" s="382">
        <f t="shared" si="48"/>
        <v>0</v>
      </c>
      <c r="J203" s="85">
        <v>2018</v>
      </c>
      <c r="K203" s="199">
        <f t="shared" si="49"/>
        <v>43289</v>
      </c>
      <c r="L203" s="437">
        <f t="shared" si="50"/>
        <v>0</v>
      </c>
      <c r="M203" s="881"/>
      <c r="N203" s="881"/>
      <c r="O203" s="326">
        <f t="shared" si="51"/>
        <v>0</v>
      </c>
      <c r="P203" s="171">
        <f>(INDEX(Models!$BJ203:$BT203,,T203)*(1-R203)+INDEX(Models!$BJ203:$BT203,,T203+1)*R203-ERP_i)*Q203*Ramure*Pc/MaxiM</f>
        <v>2.1796215848435896E-5</v>
      </c>
      <c r="Q203" s="307">
        <f t="shared" si="52"/>
        <v>1</v>
      </c>
      <c r="R203" s="179">
        <f t="shared" si="53"/>
        <v>0.73146302714216338</v>
      </c>
      <c r="S203" s="837">
        <f t="shared" si="70"/>
        <v>-3</v>
      </c>
      <c r="T203" s="178">
        <f t="shared" si="54"/>
        <v>3</v>
      </c>
      <c r="U203" s="253">
        <f t="shared" si="55"/>
        <v>-2.2685369728578366</v>
      </c>
      <c r="V203" s="385">
        <f t="shared" si="56"/>
        <v>63.384174994923519</v>
      </c>
      <c r="W203" s="58"/>
      <c r="X203" s="157">
        <f t="shared" si="57"/>
        <v>43289</v>
      </c>
      <c r="Y203" s="387">
        <f t="shared" si="58"/>
        <v>0</v>
      </c>
      <c r="Z203" s="387">
        <f t="shared" si="59"/>
        <v>0</v>
      </c>
      <c r="AA203" s="388">
        <f t="shared" si="60"/>
        <v>0</v>
      </c>
      <c r="AB203" s="199">
        <f t="shared" si="61"/>
        <v>43289</v>
      </c>
      <c r="AC203" s="426">
        <f t="shared" si="62"/>
        <v>0</v>
      </c>
      <c r="AD203" s="171">
        <f>(INDEX(Models!$BJ203:$BT203,,AH203)*(1-AF203)+INDEX(Models!$BJ203:$BT203,,AH203+1)*AF203-ERP_i)*AE203*Ramure*Pc/MaxiM</f>
        <v>2.1796215848435896E-5</v>
      </c>
      <c r="AE203" s="307">
        <f t="shared" si="63"/>
        <v>1</v>
      </c>
      <c r="AF203" s="179">
        <f t="shared" si="64"/>
        <v>0.73146302714216338</v>
      </c>
      <c r="AG203" s="837">
        <f t="shared" si="65"/>
        <v>-3</v>
      </c>
      <c r="AH203" s="178">
        <f t="shared" si="66"/>
        <v>3</v>
      </c>
      <c r="AI203" s="227">
        <f t="shared" si="67"/>
        <v>-2.2685369728578366</v>
      </c>
      <c r="AJ203" s="267" t="b">
        <f t="shared" si="68"/>
        <v>1</v>
      </c>
      <c r="AK203" s="267" t="b">
        <f t="shared" si="69"/>
        <v>0</v>
      </c>
      <c r="AL203" s="267"/>
      <c r="AM203" s="267"/>
      <c r="AN203" s="75"/>
    </row>
    <row r="204" spans="1:40" s="6" customFormat="1" ht="11.25" customHeight="1" x14ac:dyDescent="0.2">
      <c r="A204" s="56">
        <f t="shared" si="71"/>
        <v>43290</v>
      </c>
      <c r="B204" s="618"/>
      <c r="C204" s="392"/>
      <c r="D204" s="395"/>
      <c r="E204" s="387"/>
      <c r="F204" s="387"/>
      <c r="G204" s="110"/>
      <c r="I204" s="382">
        <f t="shared" si="48"/>
        <v>0</v>
      </c>
      <c r="J204" s="85">
        <v>2018</v>
      </c>
      <c r="K204" s="199">
        <f t="shared" si="49"/>
        <v>43290</v>
      </c>
      <c r="L204" s="437">
        <f t="shared" si="50"/>
        <v>0</v>
      </c>
      <c r="M204" s="881"/>
      <c r="N204" s="881"/>
      <c r="O204" s="326">
        <f t="shared" si="51"/>
        <v>0</v>
      </c>
      <c r="P204" s="171">
        <f>(INDEX(Models!$BJ204:$BT204,,T204)*(1-R204)+INDEX(Models!$BJ204:$BT204,,T204+1)*R204-ERP_i)*Q204*Ramure*Pc/MaxiM</f>
        <v>2.2435743319852489E-5</v>
      </c>
      <c r="Q204" s="307">
        <f t="shared" si="52"/>
        <v>1</v>
      </c>
      <c r="R204" s="179">
        <f t="shared" si="53"/>
        <v>0.73666837151779641</v>
      </c>
      <c r="S204" s="837">
        <f t="shared" si="70"/>
        <v>-3</v>
      </c>
      <c r="T204" s="178">
        <f t="shared" si="54"/>
        <v>3</v>
      </c>
      <c r="U204" s="253">
        <f t="shared" si="55"/>
        <v>-2.2633316284822036</v>
      </c>
      <c r="V204" s="385">
        <f t="shared" si="56"/>
        <v>63.279380249537319</v>
      </c>
      <c r="W204" s="58"/>
      <c r="X204" s="157">
        <f t="shared" si="57"/>
        <v>43290</v>
      </c>
      <c r="Y204" s="387">
        <f t="shared" si="58"/>
        <v>0</v>
      </c>
      <c r="Z204" s="387">
        <f t="shared" si="59"/>
        <v>0</v>
      </c>
      <c r="AA204" s="388">
        <f t="shared" si="60"/>
        <v>0</v>
      </c>
      <c r="AB204" s="199">
        <f t="shared" si="61"/>
        <v>43290</v>
      </c>
      <c r="AC204" s="426">
        <f t="shared" si="62"/>
        <v>0</v>
      </c>
      <c r="AD204" s="171">
        <f>(INDEX(Models!$BJ204:$BT204,,AH204)*(1-AF204)+INDEX(Models!$BJ204:$BT204,,AH204+1)*AF204-ERP_i)*AE204*Ramure*Pc/MaxiM</f>
        <v>2.2435743319852489E-5</v>
      </c>
      <c r="AE204" s="307">
        <f t="shared" si="63"/>
        <v>1</v>
      </c>
      <c r="AF204" s="179">
        <f t="shared" si="64"/>
        <v>0.73666837151779641</v>
      </c>
      <c r="AG204" s="837">
        <f t="shared" si="65"/>
        <v>-3</v>
      </c>
      <c r="AH204" s="178">
        <f t="shared" si="66"/>
        <v>3</v>
      </c>
      <c r="AI204" s="227">
        <f t="shared" si="67"/>
        <v>-2.2633316284822036</v>
      </c>
      <c r="AJ204" s="267" t="b">
        <f t="shared" si="68"/>
        <v>1</v>
      </c>
      <c r="AK204" s="267" t="b">
        <f t="shared" si="69"/>
        <v>0</v>
      </c>
      <c r="AL204" s="267"/>
      <c r="AM204" s="267"/>
      <c r="AN204" s="75"/>
    </row>
    <row r="205" spans="1:40" s="6" customFormat="1" ht="11.25" customHeight="1" x14ac:dyDescent="0.2">
      <c r="A205" s="56">
        <f t="shared" si="71"/>
        <v>43291</v>
      </c>
      <c r="B205" s="618"/>
      <c r="C205" s="392"/>
      <c r="D205" s="395"/>
      <c r="E205" s="387"/>
      <c r="F205" s="387"/>
      <c r="G205" s="110"/>
      <c r="I205" s="382">
        <f t="shared" si="48"/>
        <v>0</v>
      </c>
      <c r="J205" s="85">
        <v>2018</v>
      </c>
      <c r="K205" s="199">
        <f t="shared" si="49"/>
        <v>43291</v>
      </c>
      <c r="L205" s="437">
        <f t="shared" si="50"/>
        <v>0</v>
      </c>
      <c r="M205" s="881"/>
      <c r="N205" s="881"/>
      <c r="O205" s="326">
        <f t="shared" si="51"/>
        <v>0</v>
      </c>
      <c r="P205" s="171">
        <f>(INDEX(Models!$BJ205:$BT205,,T205)*(1-R205)+INDEX(Models!$BJ205:$BT205,,T205+1)*R205-ERP_i)*Q205*Ramure*Pc/MaxiM</f>
        <v>2.3165269376583552E-5</v>
      </c>
      <c r="Q205" s="307">
        <f t="shared" si="52"/>
        <v>1</v>
      </c>
      <c r="R205" s="179">
        <f t="shared" si="53"/>
        <v>0.74176071422475642</v>
      </c>
      <c r="S205" s="837">
        <f t="shared" si="70"/>
        <v>-3</v>
      </c>
      <c r="T205" s="178">
        <f t="shared" si="54"/>
        <v>3</v>
      </c>
      <c r="U205" s="253">
        <f t="shared" si="55"/>
        <v>-2.2582392857752436</v>
      </c>
      <c r="V205" s="385">
        <f t="shared" si="56"/>
        <v>63.169907464290375</v>
      </c>
      <c r="W205" s="58"/>
      <c r="X205" s="157">
        <f t="shared" si="57"/>
        <v>43291</v>
      </c>
      <c r="Y205" s="387">
        <f t="shared" si="58"/>
        <v>0</v>
      </c>
      <c r="Z205" s="387">
        <f t="shared" si="59"/>
        <v>0</v>
      </c>
      <c r="AA205" s="388">
        <f t="shared" si="60"/>
        <v>0</v>
      </c>
      <c r="AB205" s="199">
        <f t="shared" si="61"/>
        <v>43291</v>
      </c>
      <c r="AC205" s="426">
        <f t="shared" si="62"/>
        <v>0</v>
      </c>
      <c r="AD205" s="171">
        <f>(INDEX(Models!$BJ205:$BT205,,AH205)*(1-AF205)+INDEX(Models!$BJ205:$BT205,,AH205+1)*AF205-ERP_i)*AE205*Ramure*Pc/MaxiM</f>
        <v>2.3165269376583552E-5</v>
      </c>
      <c r="AE205" s="307">
        <f t="shared" si="63"/>
        <v>1</v>
      </c>
      <c r="AF205" s="179">
        <f t="shared" si="64"/>
        <v>0.74176071422475642</v>
      </c>
      <c r="AG205" s="837">
        <f t="shared" si="65"/>
        <v>-3</v>
      </c>
      <c r="AH205" s="178">
        <f t="shared" si="66"/>
        <v>3</v>
      </c>
      <c r="AI205" s="227">
        <f t="shared" si="67"/>
        <v>-2.2582392857752436</v>
      </c>
      <c r="AJ205" s="267" t="b">
        <f t="shared" si="68"/>
        <v>1</v>
      </c>
      <c r="AK205" s="267" t="b">
        <f t="shared" si="69"/>
        <v>0</v>
      </c>
      <c r="AL205" s="267"/>
      <c r="AM205" s="267"/>
      <c r="AN205" s="75"/>
    </row>
    <row r="206" spans="1:40" s="6" customFormat="1" ht="11.25" customHeight="1" x14ac:dyDescent="0.2">
      <c r="A206" s="56">
        <f t="shared" si="71"/>
        <v>43292</v>
      </c>
      <c r="B206" s="618"/>
      <c r="C206" s="392"/>
      <c r="D206" s="395"/>
      <c r="E206" s="387"/>
      <c r="F206" s="387"/>
      <c r="G206" s="110"/>
      <c r="I206" s="382">
        <f t="shared" si="48"/>
        <v>0</v>
      </c>
      <c r="J206" s="85">
        <v>2018</v>
      </c>
      <c r="K206" s="199">
        <f t="shared" si="49"/>
        <v>43292</v>
      </c>
      <c r="L206" s="437">
        <f t="shared" si="50"/>
        <v>0</v>
      </c>
      <c r="M206" s="881"/>
      <c r="N206" s="881"/>
      <c r="O206" s="326">
        <f t="shared" si="51"/>
        <v>0</v>
      </c>
      <c r="P206" s="171">
        <f>(INDEX(Models!$BJ206:$BT206,,T206)*(1-R206)+INDEX(Models!$BJ206:$BT206,,T206+1)*R206-ERP_i)*Q206*Ramure*Pc/MaxiM</f>
        <v>2.4119146913571668E-5</v>
      </c>
      <c r="Q206" s="307">
        <f t="shared" si="52"/>
        <v>1</v>
      </c>
      <c r="R206" s="179">
        <f t="shared" si="53"/>
        <v>0.74673953570646656</v>
      </c>
      <c r="S206" s="837">
        <f t="shared" si="70"/>
        <v>-3</v>
      </c>
      <c r="T206" s="178">
        <f t="shared" si="54"/>
        <v>3</v>
      </c>
      <c r="U206" s="253">
        <f t="shared" si="55"/>
        <v>-2.2532604642935334</v>
      </c>
      <c r="V206" s="385">
        <f t="shared" si="56"/>
        <v>63.055898934598254</v>
      </c>
      <c r="W206" s="58"/>
      <c r="X206" s="157">
        <f t="shared" si="57"/>
        <v>43292</v>
      </c>
      <c r="Y206" s="387">
        <f t="shared" si="58"/>
        <v>0</v>
      </c>
      <c r="Z206" s="387">
        <f t="shared" si="59"/>
        <v>0</v>
      </c>
      <c r="AA206" s="388">
        <f t="shared" si="60"/>
        <v>0</v>
      </c>
      <c r="AB206" s="199">
        <f t="shared" si="61"/>
        <v>43292</v>
      </c>
      <c r="AC206" s="426">
        <f t="shared" si="62"/>
        <v>0</v>
      </c>
      <c r="AD206" s="171">
        <f>(INDEX(Models!$BJ206:$BT206,,AH206)*(1-AF206)+INDEX(Models!$BJ206:$BT206,,AH206+1)*AF206-ERP_i)*AE206*Ramure*Pc/MaxiM</f>
        <v>2.4119146913571668E-5</v>
      </c>
      <c r="AE206" s="307">
        <f t="shared" si="63"/>
        <v>1</v>
      </c>
      <c r="AF206" s="179">
        <f t="shared" si="64"/>
        <v>0.74673953570646656</v>
      </c>
      <c r="AG206" s="837">
        <f t="shared" si="65"/>
        <v>-3</v>
      </c>
      <c r="AH206" s="178">
        <f t="shared" si="66"/>
        <v>3</v>
      </c>
      <c r="AI206" s="227">
        <f t="shared" si="67"/>
        <v>-2.2532604642935334</v>
      </c>
      <c r="AJ206" s="267" t="b">
        <f t="shared" si="68"/>
        <v>1</v>
      </c>
      <c r="AK206" s="267" t="b">
        <f t="shared" si="69"/>
        <v>0</v>
      </c>
      <c r="AL206" s="267"/>
      <c r="AM206" s="267"/>
      <c r="AN206" s="75"/>
    </row>
    <row r="207" spans="1:40" s="6" customFormat="1" ht="11.25" customHeight="1" x14ac:dyDescent="0.2">
      <c r="A207" s="56">
        <f t="shared" si="71"/>
        <v>43293</v>
      </c>
      <c r="B207" s="618"/>
      <c r="C207" s="392"/>
      <c r="D207" s="395"/>
      <c r="E207" s="387"/>
      <c r="F207" s="387"/>
      <c r="G207" s="110"/>
      <c r="I207" s="382">
        <f t="shared" ref="I207:I270" si="72">Wh_hp</f>
        <v>0</v>
      </c>
      <c r="J207" s="85">
        <v>2018</v>
      </c>
      <c r="K207" s="199">
        <f t="shared" ref="K207:K270" si="73">t</f>
        <v>43293</v>
      </c>
      <c r="L207" s="437">
        <f t="shared" ref="L207:L270" si="74">IF(t&lt;T0,0,IF(t&lt;Tvie,1-EXP((T0-t)*PertePVj),1-EXP((T0-t)*PertePVj)+Pspv))</f>
        <v>0</v>
      </c>
      <c r="M207" s="881"/>
      <c r="N207" s="881"/>
      <c r="O207" s="326">
        <f t="shared" ref="O207:O270" si="75">IF(t&lt;T0,0,IF(t&lt;Tnet,Salim_i*(1-EXP((T0-t)/Tau_ij)),Resal+(Salim-Resal)*(1-EXP((Tnet-t)/(Tau_j)))))*Salcycl</f>
        <v>0</v>
      </c>
      <c r="P207" s="171">
        <f>(INDEX(Models!$BJ207:$BT207,,T207)*(1-R207)+INDEX(Models!$BJ207:$BT207,,T207+1)*R207-ERP_i)*Q207*Ramure*Pc/MaxiM</f>
        <v>2.5281560296203196E-5</v>
      </c>
      <c r="Q207" s="307">
        <f t="shared" ref="Q207:Q270" si="76">IF(OR(t&lt;Ttai,Notai),Dd+PousD*Croivg,Dens+PousD*(Croivg-Croi_tai))</f>
        <v>1</v>
      </c>
      <c r="R207" s="179">
        <f t="shared" ref="R207:R270" si="77">(Hp_vg-S207)/(INDEX(Echel_vg,T207+1)-S207)</f>
        <v>0.75160452667187183</v>
      </c>
      <c r="S207" s="837">
        <f t="shared" si="70"/>
        <v>-3</v>
      </c>
      <c r="T207" s="178">
        <f t="shared" ref="T207:T270" si="78">MIN(MATCH(Hp_vg,Echel_vg),10)</f>
        <v>3</v>
      </c>
      <c r="U207" s="253">
        <f t="shared" ref="U207:U270" si="79">IF(OR(t&lt;Ttai,Notai),Hdd+PousH*Croivg,Hdtf+PousH*(Croivg-Croi_tai))</f>
        <v>-2.2483954733281282</v>
      </c>
      <c r="V207" s="385">
        <f t="shared" ref="V207:V270" si="80">MaxiM*(1-Ppv)*(1-Pvg)*(1-Psa)</f>
        <v>62.937581832776679</v>
      </c>
      <c r="W207" s="58"/>
      <c r="X207" s="157">
        <f t="shared" ref="X207:X270" si="81">t</f>
        <v>43293</v>
      </c>
      <c r="Y207" s="387">
        <f t="shared" ref="Y207:Y270" si="82">Wh_pvt_s*(1-Ppv)</f>
        <v>0</v>
      </c>
      <c r="Z207" s="387">
        <f t="shared" ref="Z207:Z270" si="83">Wh_sa_s*(1-Psa_s)</f>
        <v>0</v>
      </c>
      <c r="AA207" s="388">
        <f t="shared" ref="AA207:AA270" si="84">Wh_hp*(1-Pvg_s*MEDIAN((-Sdif+Wh/Env_an)/Csdif,0,1))</f>
        <v>0</v>
      </c>
      <c r="AB207" s="199">
        <f t="shared" ref="AB207:AB270" si="85">t</f>
        <v>43293</v>
      </c>
      <c r="AC207" s="426">
        <f t="shared" ref="AC207:AC270" si="86">IF(t&lt;T0,0,IF(OR(t&lt;Tnet,NoTnet),Salim_i*(1-EXP((T0-t)/Tau_ij)),Resal_s+(Salim-Resal_s)*(1-EXP((Tnet_s-t)/Tau_j))))*Salcycl</f>
        <v>0</v>
      </c>
      <c r="AD207" s="171">
        <f>(INDEX(Models!$BJ207:$BT207,,AH207)*(1-AF207)+INDEX(Models!$BJ207:$BT207,,AH207+1)*AF207-ERP_i)*AE207*Ramure*Pc/MaxiM</f>
        <v>2.5281560296203196E-5</v>
      </c>
      <c r="AE207" s="307">
        <f t="shared" ref="AE207:AE270" si="87">Dd+PousD*Croivg</f>
        <v>1</v>
      </c>
      <c r="AF207" s="179">
        <f t="shared" ref="AF207:AF270" si="88">(Hp_vg_s-AG207)/(INDEX(Echel_vg,AH207+1)-AG207)</f>
        <v>0.75160452667187183</v>
      </c>
      <c r="AG207" s="837">
        <f t="shared" ref="AG207:AG270" si="89">INDEX(Echel_vg,AH207)</f>
        <v>-3</v>
      </c>
      <c r="AH207" s="178">
        <f t="shared" ref="AH207:AH270" si="90">MIN(MATCH(Hp_vg_s,Echel_vg),10)</f>
        <v>3</v>
      </c>
      <c r="AI207" s="227">
        <f t="shared" ref="AI207:AI270" si="91">Hdd+PousH*Croivg</f>
        <v>-2.2483954733281282</v>
      </c>
      <c r="AJ207" s="267" t="b">
        <f t="shared" ref="AJ207:AJ270" si="92">t&lt;Tnet</f>
        <v>1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customHeight="1" x14ac:dyDescent="0.2">
      <c r="A208" s="56">
        <f t="shared" si="71"/>
        <v>43294</v>
      </c>
      <c r="B208" s="618"/>
      <c r="C208" s="392"/>
      <c r="D208" s="395"/>
      <c r="E208" s="387"/>
      <c r="F208" s="387"/>
      <c r="G208" s="110"/>
      <c r="I208" s="382">
        <f t="shared" si="72"/>
        <v>0</v>
      </c>
      <c r="J208" s="85">
        <v>2018</v>
      </c>
      <c r="K208" s="199">
        <f t="shared" si="73"/>
        <v>43294</v>
      </c>
      <c r="L208" s="437">
        <f t="shared" si="74"/>
        <v>0</v>
      </c>
      <c r="M208" s="881"/>
      <c r="N208" s="881"/>
      <c r="O208" s="326">
        <f t="shared" si="75"/>
        <v>0</v>
      </c>
      <c r="P208" s="171">
        <f>(INDEX(Models!$BJ208:$BT208,,T208)*(1-R208)+INDEX(Models!$BJ208:$BT208,,T208+1)*R208-ERP_i)*Q208*Ramure*Pc/MaxiM</f>
        <v>2.6658252480566166E-5</v>
      </c>
      <c r="Q208" s="307">
        <f t="shared" si="76"/>
        <v>1</v>
      </c>
      <c r="R208" s="179">
        <f t="shared" si="77"/>
        <v>0.75635557957615562</v>
      </c>
      <c r="S208" s="837">
        <f t="shared" ref="S208:S271" si="94">INDEX(Echel_vg,T208)</f>
        <v>-3</v>
      </c>
      <c r="T208" s="178">
        <f t="shared" si="78"/>
        <v>3</v>
      </c>
      <c r="U208" s="253">
        <f t="shared" si="79"/>
        <v>-2.2436444204238444</v>
      </c>
      <c r="V208" s="385">
        <f t="shared" si="80"/>
        <v>62.815181972595262</v>
      </c>
      <c r="W208" s="58"/>
      <c r="X208" s="157">
        <f t="shared" si="81"/>
        <v>43294</v>
      </c>
      <c r="Y208" s="387">
        <f t="shared" si="82"/>
        <v>0</v>
      </c>
      <c r="Z208" s="387">
        <f t="shared" si="83"/>
        <v>0</v>
      </c>
      <c r="AA208" s="388">
        <f t="shared" si="84"/>
        <v>0</v>
      </c>
      <c r="AB208" s="199">
        <f t="shared" si="85"/>
        <v>43294</v>
      </c>
      <c r="AC208" s="426">
        <f t="shared" si="86"/>
        <v>0</v>
      </c>
      <c r="AD208" s="171">
        <f>(INDEX(Models!$BJ208:$BT208,,AH208)*(1-AF208)+INDEX(Models!$BJ208:$BT208,,AH208+1)*AF208-ERP_i)*AE208*Ramure*Pc/MaxiM</f>
        <v>2.6658252480566166E-5</v>
      </c>
      <c r="AE208" s="307">
        <f t="shared" si="87"/>
        <v>1</v>
      </c>
      <c r="AF208" s="179">
        <f t="shared" si="88"/>
        <v>0.75635557957615562</v>
      </c>
      <c r="AG208" s="837">
        <f t="shared" si="89"/>
        <v>-3</v>
      </c>
      <c r="AH208" s="178">
        <f t="shared" si="90"/>
        <v>3</v>
      </c>
      <c r="AI208" s="227">
        <f t="shared" si="91"/>
        <v>-2.2436444204238444</v>
      </c>
      <c r="AJ208" s="267" t="b">
        <f t="shared" si="92"/>
        <v>1</v>
      </c>
      <c r="AK208" s="267" t="b">
        <f t="shared" si="93"/>
        <v>0</v>
      </c>
      <c r="AL208" s="267"/>
      <c r="AM208" s="267"/>
      <c r="AN208" s="75"/>
    </row>
    <row r="209" spans="1:40" s="6" customFormat="1" ht="11.25" customHeight="1" x14ac:dyDescent="0.2">
      <c r="A209" s="56">
        <f t="shared" ref="A209:A272" si="95">A208+1</f>
        <v>43295</v>
      </c>
      <c r="B209" s="618"/>
      <c r="C209" s="392"/>
      <c r="D209" s="395"/>
      <c r="E209" s="387"/>
      <c r="F209" s="387"/>
      <c r="G209" s="110"/>
      <c r="I209" s="382">
        <f t="shared" si="72"/>
        <v>0</v>
      </c>
      <c r="J209" s="85">
        <v>2018</v>
      </c>
      <c r="K209" s="199">
        <f t="shared" si="73"/>
        <v>43295</v>
      </c>
      <c r="L209" s="437">
        <f t="shared" si="74"/>
        <v>0</v>
      </c>
      <c r="M209" s="881"/>
      <c r="N209" s="881"/>
      <c r="O209" s="326">
        <f t="shared" si="75"/>
        <v>0</v>
      </c>
      <c r="P209" s="171">
        <f>(INDEX(Models!$BJ209:$BT209,,T209)*(1-R209)+INDEX(Models!$BJ209:$BT209,,T209+1)*R209-ERP_i)*Q209*Ramure*Pc/MaxiM</f>
        <v>2.8254849887832271E-5</v>
      </c>
      <c r="Q209" s="307">
        <f t="shared" si="76"/>
        <v>1</v>
      </c>
      <c r="R209" s="179">
        <f t="shared" si="77"/>
        <v>0.76099277969354162</v>
      </c>
      <c r="S209" s="837">
        <f t="shared" si="94"/>
        <v>-3</v>
      </c>
      <c r="T209" s="178">
        <f t="shared" si="78"/>
        <v>3</v>
      </c>
      <c r="U209" s="253">
        <f t="shared" si="79"/>
        <v>-2.2390072203064584</v>
      </c>
      <c r="V209" s="385">
        <f t="shared" si="80"/>
        <v>62.688925185087101</v>
      </c>
      <c r="W209" s="58"/>
      <c r="X209" s="157">
        <f t="shared" si="81"/>
        <v>43295</v>
      </c>
      <c r="Y209" s="387">
        <f t="shared" si="82"/>
        <v>0</v>
      </c>
      <c r="Z209" s="387">
        <f t="shared" si="83"/>
        <v>0</v>
      </c>
      <c r="AA209" s="388">
        <f t="shared" si="84"/>
        <v>0</v>
      </c>
      <c r="AB209" s="199">
        <f t="shared" si="85"/>
        <v>43295</v>
      </c>
      <c r="AC209" s="426">
        <f t="shared" si="86"/>
        <v>0</v>
      </c>
      <c r="AD209" s="171">
        <f>(INDEX(Models!$BJ209:$BT209,,AH209)*(1-AF209)+INDEX(Models!$BJ209:$BT209,,AH209+1)*AF209-ERP_i)*AE209*Ramure*Pc/MaxiM</f>
        <v>2.8254849887832271E-5</v>
      </c>
      <c r="AE209" s="307">
        <f t="shared" si="87"/>
        <v>1</v>
      </c>
      <c r="AF209" s="179">
        <f t="shared" si="88"/>
        <v>0.76099277969354162</v>
      </c>
      <c r="AG209" s="837">
        <f t="shared" si="89"/>
        <v>-3</v>
      </c>
      <c r="AH209" s="178">
        <f t="shared" si="90"/>
        <v>3</v>
      </c>
      <c r="AI209" s="227">
        <f t="shared" si="91"/>
        <v>-2.2390072203064584</v>
      </c>
      <c r="AJ209" s="267" t="b">
        <f t="shared" si="92"/>
        <v>1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5"/>
        <v>43296</v>
      </c>
      <c r="B210" s="618"/>
      <c r="C210" s="392"/>
      <c r="D210" s="395"/>
      <c r="E210" s="387"/>
      <c r="F210" s="387"/>
      <c r="G210" s="110"/>
      <c r="I210" s="382">
        <f t="shared" si="72"/>
        <v>0</v>
      </c>
      <c r="J210" s="85">
        <v>2018</v>
      </c>
      <c r="K210" s="199">
        <f t="shared" si="73"/>
        <v>43296</v>
      </c>
      <c r="L210" s="437">
        <f t="shared" si="74"/>
        <v>0</v>
      </c>
      <c r="M210" s="881"/>
      <c r="N210" s="881"/>
      <c r="O210" s="326">
        <f t="shared" si="75"/>
        <v>0</v>
      </c>
      <c r="P210" s="171">
        <f>(INDEX(Models!$BJ210:$BT210,,T210)*(1-R210)+INDEX(Models!$BJ210:$BT210,,T210+1)*R210-ERP_i)*Q210*Ramure*Pc/MaxiM</f>
        <v>3.0076860962611031E-5</v>
      </c>
      <c r="Q210" s="307">
        <f t="shared" si="76"/>
        <v>1</v>
      </c>
      <c r="R210" s="179">
        <f t="shared" si="77"/>
        <v>0.76551639586075515</v>
      </c>
      <c r="S210" s="837">
        <f t="shared" si="94"/>
        <v>-3</v>
      </c>
      <c r="T210" s="178">
        <f t="shared" si="78"/>
        <v>3</v>
      </c>
      <c r="U210" s="253">
        <f t="shared" si="79"/>
        <v>-2.2344836041392449</v>
      </c>
      <c r="V210" s="385">
        <f t="shared" si="80"/>
        <v>62.559037315292862</v>
      </c>
      <c r="W210" s="58"/>
      <c r="X210" s="157">
        <f t="shared" si="81"/>
        <v>43296</v>
      </c>
      <c r="Y210" s="387">
        <f t="shared" si="82"/>
        <v>0</v>
      </c>
      <c r="Z210" s="387">
        <f t="shared" si="83"/>
        <v>0</v>
      </c>
      <c r="AA210" s="388">
        <f t="shared" si="84"/>
        <v>0</v>
      </c>
      <c r="AB210" s="199">
        <f t="shared" si="85"/>
        <v>43296</v>
      </c>
      <c r="AC210" s="426">
        <f t="shared" si="86"/>
        <v>0</v>
      </c>
      <c r="AD210" s="171">
        <f>(INDEX(Models!$BJ210:$BT210,,AH210)*(1-AF210)+INDEX(Models!$BJ210:$BT210,,AH210+1)*AF210-ERP_i)*AE210*Ramure*Pc/MaxiM</f>
        <v>3.0076860962611031E-5</v>
      </c>
      <c r="AE210" s="307">
        <f t="shared" si="87"/>
        <v>1</v>
      </c>
      <c r="AF210" s="179">
        <f t="shared" si="88"/>
        <v>0.76551639586075515</v>
      </c>
      <c r="AG210" s="837">
        <f t="shared" si="89"/>
        <v>-3</v>
      </c>
      <c r="AH210" s="178">
        <f t="shared" si="90"/>
        <v>3</v>
      </c>
      <c r="AI210" s="227">
        <f t="shared" si="91"/>
        <v>-2.2344836041392449</v>
      </c>
      <c r="AJ210" s="267" t="b">
        <f t="shared" si="92"/>
        <v>1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5"/>
        <v>43297</v>
      </c>
      <c r="B211" s="618"/>
      <c r="C211" s="392"/>
      <c r="D211" s="395"/>
      <c r="E211" s="387"/>
      <c r="F211" s="387"/>
      <c r="G211" s="110"/>
      <c r="I211" s="382">
        <f t="shared" si="72"/>
        <v>0</v>
      </c>
      <c r="J211" s="85">
        <v>2018</v>
      </c>
      <c r="K211" s="199">
        <f t="shared" si="73"/>
        <v>43297</v>
      </c>
      <c r="L211" s="437">
        <f t="shared" si="74"/>
        <v>0</v>
      </c>
      <c r="M211" s="881"/>
      <c r="N211" s="881"/>
      <c r="O211" s="326">
        <f t="shared" si="75"/>
        <v>0</v>
      </c>
      <c r="P211" s="171">
        <f>(INDEX(Models!$BJ211:$BT211,,T211)*(1-R211)+INDEX(Models!$BJ211:$BT211,,T211+1)*R211-ERP_i)*Q211*Ramure*Pc/MaxiM</f>
        <v>3.212967505706275E-5</v>
      </c>
      <c r="Q211" s="307">
        <f t="shared" si="76"/>
        <v>1</v>
      </c>
      <c r="R211" s="179">
        <f t="shared" si="77"/>
        <v>0.76992687096663293</v>
      </c>
      <c r="S211" s="837">
        <f t="shared" si="94"/>
        <v>-3</v>
      </c>
      <c r="T211" s="178">
        <f t="shared" si="78"/>
        <v>3</v>
      </c>
      <c r="U211" s="253">
        <f t="shared" si="79"/>
        <v>-2.2300731290333671</v>
      </c>
      <c r="V211" s="385">
        <f t="shared" si="80"/>
        <v>62.425744217035572</v>
      </c>
      <c r="W211" s="58"/>
      <c r="X211" s="157">
        <f t="shared" si="81"/>
        <v>43297</v>
      </c>
      <c r="Y211" s="387">
        <f t="shared" si="82"/>
        <v>0</v>
      </c>
      <c r="Z211" s="387">
        <f t="shared" si="83"/>
        <v>0</v>
      </c>
      <c r="AA211" s="388">
        <f t="shared" si="84"/>
        <v>0</v>
      </c>
      <c r="AB211" s="199">
        <f t="shared" si="85"/>
        <v>43297</v>
      </c>
      <c r="AC211" s="426">
        <f t="shared" si="86"/>
        <v>0</v>
      </c>
      <c r="AD211" s="171">
        <f>(INDEX(Models!$BJ211:$BT211,,AH211)*(1-AF211)+INDEX(Models!$BJ211:$BT211,,AH211+1)*AF211-ERP_i)*AE211*Ramure*Pc/MaxiM</f>
        <v>3.212967505706275E-5</v>
      </c>
      <c r="AE211" s="307">
        <f t="shared" si="87"/>
        <v>1</v>
      </c>
      <c r="AF211" s="179">
        <f t="shared" si="88"/>
        <v>0.76992687096663293</v>
      </c>
      <c r="AG211" s="837">
        <f t="shared" si="89"/>
        <v>-3</v>
      </c>
      <c r="AH211" s="178">
        <f t="shared" si="90"/>
        <v>3</v>
      </c>
      <c r="AI211" s="227">
        <f t="shared" si="91"/>
        <v>-2.2300731290333671</v>
      </c>
      <c r="AJ211" s="267" t="b">
        <f t="shared" si="92"/>
        <v>1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5"/>
        <v>43298</v>
      </c>
      <c r="B212" s="618"/>
      <c r="C212" s="392"/>
      <c r="D212" s="395"/>
      <c r="E212" s="387"/>
      <c r="F212" s="387"/>
      <c r="G212" s="110"/>
      <c r="I212" s="382">
        <f t="shared" si="72"/>
        <v>0</v>
      </c>
      <c r="J212" s="85">
        <v>2018</v>
      </c>
      <c r="K212" s="199">
        <f t="shared" si="73"/>
        <v>43298</v>
      </c>
      <c r="L212" s="437">
        <f t="shared" si="74"/>
        <v>0</v>
      </c>
      <c r="M212" s="881"/>
      <c r="N212" s="881"/>
      <c r="O212" s="326">
        <f t="shared" si="75"/>
        <v>0</v>
      </c>
      <c r="P212" s="171">
        <f>(INDEX(Models!$BJ212:$BT212,,T212)*(1-R212)+INDEX(Models!$BJ212:$BT212,,T212+1)*R212-ERP_i)*Q212*Ramure*Pc/MaxiM</f>
        <v>3.4510592396384747E-5</v>
      </c>
      <c r="Q212" s="307">
        <f t="shared" si="76"/>
        <v>1</v>
      </c>
      <c r="R212" s="179">
        <f t="shared" si="77"/>
        <v>0.77422481225984008</v>
      </c>
      <c r="S212" s="837">
        <f t="shared" si="94"/>
        <v>-3</v>
      </c>
      <c r="T212" s="178">
        <f t="shared" si="78"/>
        <v>3</v>
      </c>
      <c r="U212" s="253">
        <f t="shared" si="79"/>
        <v>-2.2257751877401599</v>
      </c>
      <c r="V212" s="385">
        <f t="shared" si="80"/>
        <v>62.28926603008415</v>
      </c>
      <c r="W212" s="58"/>
      <c r="X212" s="157">
        <f t="shared" si="81"/>
        <v>43298</v>
      </c>
      <c r="Y212" s="387">
        <f t="shared" si="82"/>
        <v>0</v>
      </c>
      <c r="Z212" s="387">
        <f t="shared" si="83"/>
        <v>0</v>
      </c>
      <c r="AA212" s="388">
        <f t="shared" si="84"/>
        <v>0</v>
      </c>
      <c r="AB212" s="199">
        <f t="shared" si="85"/>
        <v>43298</v>
      </c>
      <c r="AC212" s="426">
        <f t="shared" si="86"/>
        <v>0</v>
      </c>
      <c r="AD212" s="171">
        <f>(INDEX(Models!$BJ212:$BT212,,AH212)*(1-AF212)+INDEX(Models!$BJ212:$BT212,,AH212+1)*AF212-ERP_i)*AE212*Ramure*Pc/MaxiM</f>
        <v>3.4510592396384747E-5</v>
      </c>
      <c r="AE212" s="307">
        <f t="shared" si="87"/>
        <v>1</v>
      </c>
      <c r="AF212" s="179">
        <f t="shared" si="88"/>
        <v>0.77422481225984008</v>
      </c>
      <c r="AG212" s="837">
        <f t="shared" si="89"/>
        <v>-3</v>
      </c>
      <c r="AH212" s="178">
        <f t="shared" si="90"/>
        <v>3</v>
      </c>
      <c r="AI212" s="227">
        <f t="shared" si="91"/>
        <v>-2.2257751877401599</v>
      </c>
      <c r="AJ212" s="267" t="b">
        <f t="shared" si="92"/>
        <v>1</v>
      </c>
      <c r="AK212" s="267" t="b">
        <f t="shared" si="93"/>
        <v>0</v>
      </c>
      <c r="AL212" s="267"/>
      <c r="AM212" s="267"/>
      <c r="AN212" s="75"/>
    </row>
    <row r="213" spans="1:40" s="6" customFormat="1" ht="11.25" customHeight="1" x14ac:dyDescent="0.2">
      <c r="A213" s="56">
        <f t="shared" si="95"/>
        <v>43299</v>
      </c>
      <c r="B213" s="618"/>
      <c r="C213" s="392"/>
      <c r="D213" s="395"/>
      <c r="E213" s="387"/>
      <c r="F213" s="387"/>
      <c r="G213" s="110"/>
      <c r="I213" s="382">
        <f t="shared" si="72"/>
        <v>0</v>
      </c>
      <c r="J213" s="85">
        <v>2018</v>
      </c>
      <c r="K213" s="199">
        <f t="shared" si="73"/>
        <v>43299</v>
      </c>
      <c r="L213" s="437">
        <f t="shared" si="74"/>
        <v>0</v>
      </c>
      <c r="M213" s="881"/>
      <c r="N213" s="881"/>
      <c r="O213" s="326">
        <f t="shared" si="75"/>
        <v>0</v>
      </c>
      <c r="P213" s="171">
        <f>(INDEX(Models!$BJ213:$BT213,,T213)*(1-R213)+INDEX(Models!$BJ213:$BT213,,T213+1)*R213-ERP_i)*Q213*Ramure*Pc/MaxiM</f>
        <v>3.7160607345009568E-5</v>
      </c>
      <c r="Q213" s="307">
        <f t="shared" si="76"/>
        <v>1</v>
      </c>
      <c r="R213" s="179">
        <f t="shared" si="77"/>
        <v>0.77841098154264632</v>
      </c>
      <c r="S213" s="837">
        <f t="shared" si="94"/>
        <v>-3</v>
      </c>
      <c r="T213" s="178">
        <f t="shared" si="78"/>
        <v>3</v>
      </c>
      <c r="U213" s="253">
        <f t="shared" si="79"/>
        <v>-2.2215890184573537</v>
      </c>
      <c r="V213" s="385">
        <f t="shared" si="80"/>
        <v>62.149832662466245</v>
      </c>
      <c r="W213" s="58"/>
      <c r="X213" s="157">
        <f t="shared" si="81"/>
        <v>43299</v>
      </c>
      <c r="Y213" s="387">
        <f t="shared" si="82"/>
        <v>0</v>
      </c>
      <c r="Z213" s="387">
        <f t="shared" si="83"/>
        <v>0</v>
      </c>
      <c r="AA213" s="388">
        <f t="shared" si="84"/>
        <v>0</v>
      </c>
      <c r="AB213" s="199">
        <f t="shared" si="85"/>
        <v>43299</v>
      </c>
      <c r="AC213" s="426">
        <f t="shared" si="86"/>
        <v>0</v>
      </c>
      <c r="AD213" s="171">
        <f>(INDEX(Models!$BJ213:$BT213,,AH213)*(1-AF213)+INDEX(Models!$BJ213:$BT213,,AH213+1)*AF213-ERP_i)*AE213*Ramure*Pc/MaxiM</f>
        <v>3.7160607345009568E-5</v>
      </c>
      <c r="AE213" s="307">
        <f t="shared" si="87"/>
        <v>1</v>
      </c>
      <c r="AF213" s="179">
        <f t="shared" si="88"/>
        <v>0.77841098154264632</v>
      </c>
      <c r="AG213" s="837">
        <f t="shared" si="89"/>
        <v>-3</v>
      </c>
      <c r="AH213" s="178">
        <f t="shared" si="90"/>
        <v>3</v>
      </c>
      <c r="AI213" s="227">
        <f t="shared" si="91"/>
        <v>-2.2215890184573537</v>
      </c>
      <c r="AJ213" s="267" t="b">
        <f t="shared" si="92"/>
        <v>1</v>
      </c>
      <c r="AK213" s="267" t="b">
        <f t="shared" si="93"/>
        <v>0</v>
      </c>
      <c r="AL213" s="267"/>
      <c r="AM213" s="267"/>
      <c r="AN213" s="75"/>
    </row>
    <row r="214" spans="1:40" s="6" customFormat="1" ht="11.25" customHeight="1" x14ac:dyDescent="0.2">
      <c r="A214" s="56">
        <f t="shared" si="95"/>
        <v>43300</v>
      </c>
      <c r="B214" s="618"/>
      <c r="C214" s="392"/>
      <c r="D214" s="395"/>
      <c r="E214" s="387"/>
      <c r="F214" s="387"/>
      <c r="G214" s="110"/>
      <c r="I214" s="382">
        <f t="shared" si="72"/>
        <v>0</v>
      </c>
      <c r="J214" s="85">
        <v>2018</v>
      </c>
      <c r="K214" s="199">
        <f t="shared" si="73"/>
        <v>43300</v>
      </c>
      <c r="L214" s="437">
        <f t="shared" si="74"/>
        <v>0</v>
      </c>
      <c r="M214" s="881"/>
      <c r="N214" s="881"/>
      <c r="O214" s="326">
        <f t="shared" si="75"/>
        <v>0</v>
      </c>
      <c r="P214" s="171">
        <f>(INDEX(Models!$BJ214:$BT214,,T214)*(1-R214)+INDEX(Models!$BJ214:$BT214,,T214+1)*R214-ERP_i)*Q214*Ramure*Pc/MaxiM</f>
        <v>4.0085429128439306E-5</v>
      </c>
      <c r="Q214" s="307">
        <f t="shared" si="76"/>
        <v>1</v>
      </c>
      <c r="R214" s="179">
        <f t="shared" si="77"/>
        <v>0.78248628531443565</v>
      </c>
      <c r="S214" s="837">
        <f t="shared" si="94"/>
        <v>-3</v>
      </c>
      <c r="T214" s="178">
        <f t="shared" si="78"/>
        <v>3</v>
      </c>
      <c r="U214" s="253">
        <f t="shared" si="79"/>
        <v>-2.2175137146855644</v>
      </c>
      <c r="V214" s="385">
        <f t="shared" si="80"/>
        <v>62.007669980959655</v>
      </c>
      <c r="W214" s="58"/>
      <c r="X214" s="157">
        <f t="shared" si="81"/>
        <v>43300</v>
      </c>
      <c r="Y214" s="387">
        <f t="shared" si="82"/>
        <v>0</v>
      </c>
      <c r="Z214" s="387">
        <f t="shared" si="83"/>
        <v>0</v>
      </c>
      <c r="AA214" s="388">
        <f t="shared" si="84"/>
        <v>0</v>
      </c>
      <c r="AB214" s="199">
        <f t="shared" si="85"/>
        <v>43300</v>
      </c>
      <c r="AC214" s="426">
        <f t="shared" si="86"/>
        <v>0</v>
      </c>
      <c r="AD214" s="171">
        <f>(INDEX(Models!$BJ214:$BT214,,AH214)*(1-AF214)+INDEX(Models!$BJ214:$BT214,,AH214+1)*AF214-ERP_i)*AE214*Ramure*Pc/MaxiM</f>
        <v>4.0085429128439306E-5</v>
      </c>
      <c r="AE214" s="307">
        <f t="shared" si="87"/>
        <v>1</v>
      </c>
      <c r="AF214" s="179">
        <f t="shared" si="88"/>
        <v>0.78248628531443565</v>
      </c>
      <c r="AG214" s="837">
        <f t="shared" si="89"/>
        <v>-3</v>
      </c>
      <c r="AH214" s="178">
        <f t="shared" si="90"/>
        <v>3</v>
      </c>
      <c r="AI214" s="227">
        <f t="shared" si="91"/>
        <v>-2.2175137146855644</v>
      </c>
      <c r="AJ214" s="267" t="b">
        <f t="shared" si="92"/>
        <v>1</v>
      </c>
      <c r="AK214" s="267" t="b">
        <f t="shared" si="93"/>
        <v>0</v>
      </c>
      <c r="AL214" s="267"/>
      <c r="AM214" s="267"/>
      <c r="AN214" s="75"/>
    </row>
    <row r="215" spans="1:40" s="6" customFormat="1" ht="11.25" customHeight="1" x14ac:dyDescent="0.2">
      <c r="A215" s="56">
        <f t="shared" si="95"/>
        <v>43301</v>
      </c>
      <c r="B215" s="618"/>
      <c r="C215" s="392"/>
      <c r="D215" s="395"/>
      <c r="E215" s="387"/>
      <c r="F215" s="387"/>
      <c r="G215" s="110"/>
      <c r="I215" s="382">
        <f t="shared" si="72"/>
        <v>0</v>
      </c>
      <c r="J215" s="85">
        <v>2018</v>
      </c>
      <c r="K215" s="199">
        <f t="shared" si="73"/>
        <v>43301</v>
      </c>
      <c r="L215" s="437">
        <f t="shared" si="74"/>
        <v>0</v>
      </c>
      <c r="M215" s="881"/>
      <c r="N215" s="881"/>
      <c r="O215" s="326">
        <f t="shared" si="75"/>
        <v>0</v>
      </c>
      <c r="P215" s="171">
        <f>(INDEX(Models!$BJ215:$BT215,,T215)*(1-R215)+INDEX(Models!$BJ215:$BT215,,T215+1)*R215-ERP_i)*Q215*Ramure*Pc/MaxiM</f>
        <v>4.3290630050460948E-5</v>
      </c>
      <c r="Q215" s="307">
        <f t="shared" si="76"/>
        <v>1</v>
      </c>
      <c r="R215" s="179">
        <f t="shared" si="77"/>
        <v>0.786451764924045</v>
      </c>
      <c r="S215" s="837">
        <f t="shared" si="94"/>
        <v>-3</v>
      </c>
      <c r="T215" s="178">
        <f t="shared" si="78"/>
        <v>3</v>
      </c>
      <c r="U215" s="253">
        <f t="shared" si="79"/>
        <v>-2.213548235075955</v>
      </c>
      <c r="V215" s="385">
        <f t="shared" si="80"/>
        <v>61.863003865495514</v>
      </c>
      <c r="W215" s="58"/>
      <c r="X215" s="157">
        <f t="shared" si="81"/>
        <v>43301</v>
      </c>
      <c r="Y215" s="387">
        <f t="shared" si="82"/>
        <v>0</v>
      </c>
      <c r="Z215" s="387">
        <f t="shared" si="83"/>
        <v>0</v>
      </c>
      <c r="AA215" s="388">
        <f t="shared" si="84"/>
        <v>0</v>
      </c>
      <c r="AB215" s="199">
        <f t="shared" si="85"/>
        <v>43301</v>
      </c>
      <c r="AC215" s="426">
        <f t="shared" si="86"/>
        <v>0</v>
      </c>
      <c r="AD215" s="171">
        <f>(INDEX(Models!$BJ215:$BT215,,AH215)*(1-AF215)+INDEX(Models!$BJ215:$BT215,,AH215+1)*AF215-ERP_i)*AE215*Ramure*Pc/MaxiM</f>
        <v>4.3290630050460948E-5</v>
      </c>
      <c r="AE215" s="307">
        <f t="shared" si="87"/>
        <v>1</v>
      </c>
      <c r="AF215" s="179">
        <f t="shared" si="88"/>
        <v>0.786451764924045</v>
      </c>
      <c r="AG215" s="837">
        <f t="shared" si="89"/>
        <v>-3</v>
      </c>
      <c r="AH215" s="178">
        <f t="shared" si="90"/>
        <v>3</v>
      </c>
      <c r="AI215" s="227">
        <f t="shared" si="91"/>
        <v>-2.213548235075955</v>
      </c>
      <c r="AJ215" s="267" t="b">
        <f t="shared" si="92"/>
        <v>1</v>
      </c>
      <c r="AK215" s="267" t="b">
        <f t="shared" si="93"/>
        <v>0</v>
      </c>
      <c r="AL215" s="267"/>
      <c r="AM215" s="267"/>
      <c r="AN215" s="75"/>
    </row>
    <row r="216" spans="1:40" s="6" customFormat="1" ht="11.25" customHeight="1" x14ac:dyDescent="0.2">
      <c r="A216" s="56">
        <f t="shared" si="95"/>
        <v>43302</v>
      </c>
      <c r="B216" s="618"/>
      <c r="C216" s="392"/>
      <c r="D216" s="395"/>
      <c r="E216" s="387"/>
      <c r="F216" s="387"/>
      <c r="G216" s="110"/>
      <c r="I216" s="382">
        <f t="shared" si="72"/>
        <v>0</v>
      </c>
      <c r="J216" s="85">
        <v>2018</v>
      </c>
      <c r="K216" s="199">
        <f t="shared" si="73"/>
        <v>43302</v>
      </c>
      <c r="L216" s="437">
        <f t="shared" si="74"/>
        <v>0</v>
      </c>
      <c r="M216" s="881"/>
      <c r="N216" s="881"/>
      <c r="O216" s="326">
        <f t="shared" si="75"/>
        <v>0</v>
      </c>
      <c r="P216" s="171">
        <f>(INDEX(Models!$BJ216:$BT216,,T216)*(1-R216)+INDEX(Models!$BJ216:$BT216,,T216+1)*R216-ERP_i)*Q216*Ramure*Pc/MaxiM</f>
        <v>4.6781645070253634E-5</v>
      </c>
      <c r="Q216" s="307">
        <f t="shared" si="76"/>
        <v>1</v>
      </c>
      <c r="R216" s="179">
        <f t="shared" si="77"/>
        <v>0.79030858678532878</v>
      </c>
      <c r="S216" s="837">
        <f t="shared" si="94"/>
        <v>-3</v>
      </c>
      <c r="T216" s="178">
        <f t="shared" si="78"/>
        <v>3</v>
      </c>
      <c r="U216" s="253">
        <f t="shared" si="79"/>
        <v>-2.2096914132146712</v>
      </c>
      <c r="V216" s="385">
        <f t="shared" si="80"/>
        <v>61.716060208019385</v>
      </c>
      <c r="W216" s="58"/>
      <c r="X216" s="157">
        <f t="shared" si="81"/>
        <v>43302</v>
      </c>
      <c r="Y216" s="387">
        <f t="shared" si="82"/>
        <v>0</v>
      </c>
      <c r="Z216" s="387">
        <f t="shared" si="83"/>
        <v>0</v>
      </c>
      <c r="AA216" s="388">
        <f t="shared" si="84"/>
        <v>0</v>
      </c>
      <c r="AB216" s="199">
        <f t="shared" si="85"/>
        <v>43302</v>
      </c>
      <c r="AC216" s="426">
        <f t="shared" si="86"/>
        <v>0</v>
      </c>
      <c r="AD216" s="171">
        <f>(INDEX(Models!$BJ216:$BT216,,AH216)*(1-AF216)+INDEX(Models!$BJ216:$BT216,,AH216+1)*AF216-ERP_i)*AE216*Ramure*Pc/MaxiM</f>
        <v>4.6781645070253634E-5</v>
      </c>
      <c r="AE216" s="307">
        <f t="shared" si="87"/>
        <v>1</v>
      </c>
      <c r="AF216" s="179">
        <f t="shared" si="88"/>
        <v>0.79030858678532878</v>
      </c>
      <c r="AG216" s="837">
        <f t="shared" si="89"/>
        <v>-3</v>
      </c>
      <c r="AH216" s="178">
        <f t="shared" si="90"/>
        <v>3</v>
      </c>
      <c r="AI216" s="227">
        <f t="shared" si="91"/>
        <v>-2.2096914132146712</v>
      </c>
      <c r="AJ216" s="267" t="b">
        <f t="shared" si="92"/>
        <v>1</v>
      </c>
      <c r="AK216" s="267" t="b">
        <f t="shared" si="93"/>
        <v>0</v>
      </c>
      <c r="AL216" s="267"/>
      <c r="AM216" s="267"/>
      <c r="AN216" s="75"/>
    </row>
    <row r="217" spans="1:40" s="6" customFormat="1" ht="11.25" customHeight="1" x14ac:dyDescent="0.2">
      <c r="A217" s="56">
        <f t="shared" si="95"/>
        <v>43303</v>
      </c>
      <c r="B217" s="618"/>
      <c r="C217" s="392"/>
      <c r="D217" s="395"/>
      <c r="E217" s="387"/>
      <c r="F217" s="387"/>
      <c r="G217" s="110"/>
      <c r="I217" s="382">
        <f t="shared" si="72"/>
        <v>0</v>
      </c>
      <c r="J217" s="85">
        <v>2018</v>
      </c>
      <c r="K217" s="199">
        <f t="shared" si="73"/>
        <v>43303</v>
      </c>
      <c r="L217" s="437">
        <f t="shared" si="74"/>
        <v>0</v>
      </c>
      <c r="M217" s="881"/>
      <c r="N217" s="881"/>
      <c r="O217" s="326">
        <f t="shared" si="75"/>
        <v>0</v>
      </c>
      <c r="P217" s="171">
        <f>(INDEX(Models!$BJ217:$BT217,,T217)*(1-R217)+INDEX(Models!$BJ217:$BT217,,T217+1)*R217-ERP_i)*Q217*Ramure*Pc/MaxiM</f>
        <v>5.0563771359043754E-5</v>
      </c>
      <c r="Q217" s="307">
        <f t="shared" si="76"/>
        <v>1</v>
      </c>
      <c r="R217" s="179">
        <f t="shared" si="77"/>
        <v>0.79405803270551978</v>
      </c>
      <c r="S217" s="837">
        <f t="shared" si="94"/>
        <v>-3</v>
      </c>
      <c r="T217" s="178">
        <f t="shared" si="78"/>
        <v>3</v>
      </c>
      <c r="U217" s="253">
        <f t="shared" si="79"/>
        <v>-2.2059419672944802</v>
      </c>
      <c r="V217" s="385">
        <f t="shared" si="80"/>
        <v>61.567064913478198</v>
      </c>
      <c r="W217" s="58"/>
      <c r="X217" s="157">
        <f t="shared" si="81"/>
        <v>43303</v>
      </c>
      <c r="Y217" s="387">
        <f t="shared" si="82"/>
        <v>0</v>
      </c>
      <c r="Z217" s="387">
        <f t="shared" si="83"/>
        <v>0</v>
      </c>
      <c r="AA217" s="388">
        <f t="shared" si="84"/>
        <v>0</v>
      </c>
      <c r="AB217" s="199">
        <f t="shared" si="85"/>
        <v>43303</v>
      </c>
      <c r="AC217" s="426">
        <f t="shared" si="86"/>
        <v>0</v>
      </c>
      <c r="AD217" s="171">
        <f>(INDEX(Models!$BJ217:$BT217,,AH217)*(1-AF217)+INDEX(Models!$BJ217:$BT217,,AH217+1)*AF217-ERP_i)*AE217*Ramure*Pc/MaxiM</f>
        <v>5.0563771359043754E-5</v>
      </c>
      <c r="AE217" s="307">
        <f t="shared" si="87"/>
        <v>1</v>
      </c>
      <c r="AF217" s="179">
        <f t="shared" si="88"/>
        <v>0.79405803270551978</v>
      </c>
      <c r="AG217" s="837">
        <f t="shared" si="89"/>
        <v>-3</v>
      </c>
      <c r="AH217" s="178">
        <f t="shared" si="90"/>
        <v>3</v>
      </c>
      <c r="AI217" s="227">
        <f t="shared" si="91"/>
        <v>-2.2059419672944802</v>
      </c>
      <c r="AJ217" s="267" t="b">
        <f t="shared" si="92"/>
        <v>1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5"/>
        <v>43304</v>
      </c>
      <c r="B218" s="618"/>
      <c r="C218" s="392"/>
      <c r="D218" s="395"/>
      <c r="E218" s="387"/>
      <c r="F218" s="387"/>
      <c r="G218" s="110"/>
      <c r="I218" s="382">
        <f t="shared" si="72"/>
        <v>0</v>
      </c>
      <c r="J218" s="85">
        <v>2018</v>
      </c>
      <c r="K218" s="199">
        <f t="shared" si="73"/>
        <v>43304</v>
      </c>
      <c r="L218" s="437">
        <f t="shared" si="74"/>
        <v>0</v>
      </c>
      <c r="M218" s="881"/>
      <c r="N218" s="881"/>
      <c r="O218" s="326">
        <f t="shared" si="75"/>
        <v>0</v>
      </c>
      <c r="P218" s="171">
        <f>(INDEX(Models!$BJ218:$BT218,,T218)*(1-R218)+INDEX(Models!$BJ218:$BT218,,T218+1)*R218-ERP_i)*Q218*Ramure*Pc/MaxiM</f>
        <v>5.4642167777787163E-5</v>
      </c>
      <c r="Q218" s="307">
        <f t="shared" si="76"/>
        <v>1</v>
      </c>
      <c r="R218" s="179">
        <f t="shared" si="77"/>
        <v>0.7977014903711046</v>
      </c>
      <c r="S218" s="837">
        <f t="shared" si="94"/>
        <v>-3</v>
      </c>
      <c r="T218" s="178">
        <f t="shared" si="78"/>
        <v>3</v>
      </c>
      <c r="U218" s="253">
        <f t="shared" si="79"/>
        <v>-2.2022985096288954</v>
      </c>
      <c r="V218" s="385">
        <f t="shared" si="80"/>
        <v>61.416243899399383</v>
      </c>
      <c r="W218" s="58"/>
      <c r="X218" s="157">
        <f t="shared" si="81"/>
        <v>43304</v>
      </c>
      <c r="Y218" s="387">
        <f t="shared" si="82"/>
        <v>0</v>
      </c>
      <c r="Z218" s="387">
        <f t="shared" si="83"/>
        <v>0</v>
      </c>
      <c r="AA218" s="388">
        <f t="shared" si="84"/>
        <v>0</v>
      </c>
      <c r="AB218" s="199">
        <f t="shared" si="85"/>
        <v>43304</v>
      </c>
      <c r="AC218" s="426">
        <f t="shared" si="86"/>
        <v>0</v>
      </c>
      <c r="AD218" s="171">
        <f>(INDEX(Models!$BJ218:$BT218,,AH218)*(1-AF218)+INDEX(Models!$BJ218:$BT218,,AH218+1)*AF218-ERP_i)*AE218*Ramure*Pc/MaxiM</f>
        <v>5.4642167777787163E-5</v>
      </c>
      <c r="AE218" s="307">
        <f t="shared" si="87"/>
        <v>1</v>
      </c>
      <c r="AF218" s="179">
        <f t="shared" si="88"/>
        <v>0.7977014903711046</v>
      </c>
      <c r="AG218" s="837">
        <f t="shared" si="89"/>
        <v>-3</v>
      </c>
      <c r="AH218" s="178">
        <f t="shared" si="90"/>
        <v>3</v>
      </c>
      <c r="AI218" s="227">
        <f t="shared" si="91"/>
        <v>-2.2022985096288954</v>
      </c>
      <c r="AJ218" s="267" t="b">
        <f t="shared" si="92"/>
        <v>1</v>
      </c>
      <c r="AK218" s="267" t="b">
        <f t="shared" si="93"/>
        <v>0</v>
      </c>
      <c r="AL218" s="267"/>
      <c r="AM218" s="267"/>
      <c r="AN218" s="75"/>
    </row>
    <row r="219" spans="1:40" s="6" customFormat="1" ht="11.25" customHeight="1" x14ac:dyDescent="0.2">
      <c r="A219" s="56">
        <f t="shared" si="95"/>
        <v>43305</v>
      </c>
      <c r="B219" s="618"/>
      <c r="C219" s="392"/>
      <c r="D219" s="395"/>
      <c r="E219" s="387"/>
      <c r="F219" s="387"/>
      <c r="G219" s="110"/>
      <c r="I219" s="382">
        <f t="shared" si="72"/>
        <v>0</v>
      </c>
      <c r="J219" s="85">
        <v>2018</v>
      </c>
      <c r="K219" s="199">
        <f t="shared" si="73"/>
        <v>43305</v>
      </c>
      <c r="L219" s="437">
        <f t="shared" si="74"/>
        <v>0</v>
      </c>
      <c r="M219" s="881"/>
      <c r="N219" s="881"/>
      <c r="O219" s="326">
        <f t="shared" si="75"/>
        <v>0</v>
      </c>
      <c r="P219" s="171">
        <f>(INDEX(Models!$BJ219:$BT219,,T219)*(1-R219)+INDEX(Models!$BJ219:$BT219,,T219+1)*R219-ERP_i)*Q219*Ramure*Pc/MaxiM</f>
        <v>5.9021831505936909E-5</v>
      </c>
      <c r="Q219" s="307">
        <f t="shared" si="76"/>
        <v>1</v>
      </c>
      <c r="R219" s="179">
        <f t="shared" si="77"/>
        <v>0.8012404440311327</v>
      </c>
      <c r="S219" s="837">
        <f t="shared" si="94"/>
        <v>-3</v>
      </c>
      <c r="T219" s="178">
        <f t="shared" si="78"/>
        <v>3</v>
      </c>
      <c r="U219" s="253">
        <f t="shared" si="79"/>
        <v>-2.1987595559688673</v>
      </c>
      <c r="V219" s="385">
        <f t="shared" si="80"/>
        <v>61.263747736005776</v>
      </c>
      <c r="W219" s="58"/>
      <c r="X219" s="157">
        <f t="shared" si="81"/>
        <v>43305</v>
      </c>
      <c r="Y219" s="387">
        <f t="shared" si="82"/>
        <v>0</v>
      </c>
      <c r="Z219" s="387">
        <f t="shared" si="83"/>
        <v>0</v>
      </c>
      <c r="AA219" s="388">
        <f t="shared" si="84"/>
        <v>0</v>
      </c>
      <c r="AB219" s="199">
        <f t="shared" si="85"/>
        <v>43305</v>
      </c>
      <c r="AC219" s="426">
        <f t="shared" si="86"/>
        <v>0</v>
      </c>
      <c r="AD219" s="171">
        <f>(INDEX(Models!$BJ219:$BT219,,AH219)*(1-AF219)+INDEX(Models!$BJ219:$BT219,,AH219+1)*AF219-ERP_i)*AE219*Ramure*Pc/MaxiM</f>
        <v>5.9021831505936909E-5</v>
      </c>
      <c r="AE219" s="307">
        <f t="shared" si="87"/>
        <v>1</v>
      </c>
      <c r="AF219" s="179">
        <f t="shared" si="88"/>
        <v>0.8012404440311327</v>
      </c>
      <c r="AG219" s="837">
        <f t="shared" si="89"/>
        <v>-3</v>
      </c>
      <c r="AH219" s="178">
        <f t="shared" si="90"/>
        <v>3</v>
      </c>
      <c r="AI219" s="227">
        <f t="shared" si="91"/>
        <v>-2.1987595559688673</v>
      </c>
      <c r="AJ219" s="267" t="b">
        <f t="shared" si="92"/>
        <v>1</v>
      </c>
      <c r="AK219" s="267" t="b">
        <f t="shared" si="93"/>
        <v>0</v>
      </c>
      <c r="AL219" s="267"/>
      <c r="AM219" s="267"/>
      <c r="AN219" s="75"/>
    </row>
    <row r="220" spans="1:40" s="6" customFormat="1" ht="11.25" customHeight="1" x14ac:dyDescent="0.2">
      <c r="A220" s="56">
        <f t="shared" si="95"/>
        <v>43306</v>
      </c>
      <c r="B220" s="618"/>
      <c r="C220" s="392"/>
      <c r="D220" s="395"/>
      <c r="E220" s="387"/>
      <c r="F220" s="387"/>
      <c r="G220" s="110"/>
      <c r="I220" s="382">
        <f t="shared" si="72"/>
        <v>0</v>
      </c>
      <c r="J220" s="85">
        <v>2018</v>
      </c>
      <c r="K220" s="199">
        <f t="shared" si="73"/>
        <v>43306</v>
      </c>
      <c r="L220" s="437">
        <f t="shared" si="74"/>
        <v>0</v>
      </c>
      <c r="M220" s="881"/>
      <c r="N220" s="881"/>
      <c r="O220" s="326">
        <f t="shared" si="75"/>
        <v>0</v>
      </c>
      <c r="P220" s="171">
        <f>(INDEX(Models!$BJ220:$BT220,,T220)*(1-R220)+INDEX(Models!$BJ220:$BT220,,T220+1)*R220-ERP_i)*Q220*Ramure*Pc/MaxiM</f>
        <v>6.3976605501296846E-5</v>
      </c>
      <c r="Q220" s="307">
        <f t="shared" si="76"/>
        <v>1</v>
      </c>
      <c r="R220" s="179">
        <f t="shared" si="77"/>
        <v>0.80467646541312199</v>
      </c>
      <c r="S220" s="837">
        <f t="shared" si="94"/>
        <v>-3</v>
      </c>
      <c r="T220" s="178">
        <f t="shared" si="78"/>
        <v>3</v>
      </c>
      <c r="U220" s="253">
        <f t="shared" si="79"/>
        <v>-2.195323534586878</v>
      </c>
      <c r="V220" s="385">
        <f t="shared" si="80"/>
        <v>61.109409127346915</v>
      </c>
      <c r="W220" s="58"/>
      <c r="X220" s="157">
        <f t="shared" si="81"/>
        <v>43306</v>
      </c>
      <c r="Y220" s="387">
        <f t="shared" si="82"/>
        <v>0</v>
      </c>
      <c r="Z220" s="387">
        <f t="shared" si="83"/>
        <v>0</v>
      </c>
      <c r="AA220" s="388">
        <f t="shared" si="84"/>
        <v>0</v>
      </c>
      <c r="AB220" s="199">
        <f t="shared" si="85"/>
        <v>43306</v>
      </c>
      <c r="AC220" s="426">
        <f t="shared" si="86"/>
        <v>0</v>
      </c>
      <c r="AD220" s="171">
        <f>(INDEX(Models!$BJ220:$BT220,,AH220)*(1-AF220)+INDEX(Models!$BJ220:$BT220,,AH220+1)*AF220-ERP_i)*AE220*Ramure*Pc/MaxiM</f>
        <v>6.3976605501296846E-5</v>
      </c>
      <c r="AE220" s="307">
        <f t="shared" si="87"/>
        <v>1</v>
      </c>
      <c r="AF220" s="179">
        <f t="shared" si="88"/>
        <v>0.80467646541312199</v>
      </c>
      <c r="AG220" s="837">
        <f t="shared" si="89"/>
        <v>-3</v>
      </c>
      <c r="AH220" s="178">
        <f t="shared" si="90"/>
        <v>3</v>
      </c>
      <c r="AI220" s="227">
        <f t="shared" si="91"/>
        <v>-2.195323534586878</v>
      </c>
      <c r="AJ220" s="267" t="b">
        <f t="shared" si="92"/>
        <v>1</v>
      </c>
      <c r="AK220" s="267" t="b">
        <f t="shared" si="93"/>
        <v>0</v>
      </c>
      <c r="AL220" s="267"/>
      <c r="AM220" s="267"/>
      <c r="AN220" s="75"/>
    </row>
    <row r="221" spans="1:40" s="6" customFormat="1" ht="11.25" customHeight="1" x14ac:dyDescent="0.2">
      <c r="A221" s="56">
        <f t="shared" si="95"/>
        <v>43307</v>
      </c>
      <c r="B221" s="618"/>
      <c r="C221" s="392"/>
      <c r="D221" s="395"/>
      <c r="E221" s="387"/>
      <c r="F221" s="387"/>
      <c r="G221" s="110"/>
      <c r="I221" s="382">
        <f t="shared" si="72"/>
        <v>0</v>
      </c>
      <c r="J221" s="85">
        <v>2018</v>
      </c>
      <c r="K221" s="199">
        <f t="shared" si="73"/>
        <v>43307</v>
      </c>
      <c r="L221" s="437">
        <f t="shared" si="74"/>
        <v>0</v>
      </c>
      <c r="M221" s="881"/>
      <c r="N221" s="881"/>
      <c r="O221" s="326">
        <f t="shared" si="75"/>
        <v>0</v>
      </c>
      <c r="P221" s="171">
        <f>(INDEX(Models!$BJ221:$BT221,,T221)*(1-R221)+INDEX(Models!$BJ221:$BT221,,T221+1)*R221-ERP_i)*Q221*Ramure*Pc/MaxiM</f>
        <v>6.9367157431588655E-5</v>
      </c>
      <c r="Q221" s="307">
        <f t="shared" si="76"/>
        <v>1</v>
      </c>
      <c r="R221" s="179">
        <f t="shared" si="77"/>
        <v>0.80801120490212419</v>
      </c>
      <c r="S221" s="837">
        <f t="shared" si="94"/>
        <v>-3</v>
      </c>
      <c r="T221" s="178">
        <f t="shared" si="78"/>
        <v>3</v>
      </c>
      <c r="U221" s="253">
        <f t="shared" si="79"/>
        <v>-2.1919887950978758</v>
      </c>
      <c r="V221" s="385">
        <f t="shared" si="80"/>
        <v>60.953010782298684</v>
      </c>
      <c r="W221" s="58"/>
      <c r="X221" s="157">
        <f t="shared" si="81"/>
        <v>43307</v>
      </c>
      <c r="Y221" s="387">
        <f t="shared" si="82"/>
        <v>0</v>
      </c>
      <c r="Z221" s="387">
        <f t="shared" si="83"/>
        <v>0</v>
      </c>
      <c r="AA221" s="388">
        <f t="shared" si="84"/>
        <v>0</v>
      </c>
      <c r="AB221" s="199">
        <f t="shared" si="85"/>
        <v>43307</v>
      </c>
      <c r="AC221" s="426">
        <f t="shared" si="86"/>
        <v>0</v>
      </c>
      <c r="AD221" s="171">
        <f>(INDEX(Models!$BJ221:$BT221,,AH221)*(1-AF221)+INDEX(Models!$BJ221:$BT221,,AH221+1)*AF221-ERP_i)*AE221*Ramure*Pc/MaxiM</f>
        <v>6.9367157431588655E-5</v>
      </c>
      <c r="AE221" s="307">
        <f t="shared" si="87"/>
        <v>1</v>
      </c>
      <c r="AF221" s="179">
        <f t="shared" si="88"/>
        <v>0.80801120490212419</v>
      </c>
      <c r="AG221" s="837">
        <f t="shared" si="89"/>
        <v>-3</v>
      </c>
      <c r="AH221" s="178">
        <f t="shared" si="90"/>
        <v>3</v>
      </c>
      <c r="AI221" s="227">
        <f t="shared" si="91"/>
        <v>-2.1919887950978758</v>
      </c>
      <c r="AJ221" s="267" t="b">
        <f t="shared" si="92"/>
        <v>1</v>
      </c>
      <c r="AK221" s="267" t="b">
        <f t="shared" si="93"/>
        <v>0</v>
      </c>
      <c r="AL221" s="267"/>
      <c r="AM221" s="267"/>
      <c r="AN221" s="75"/>
    </row>
    <row r="222" spans="1:40" s="6" customFormat="1" ht="11.25" customHeight="1" x14ac:dyDescent="0.2">
      <c r="A222" s="56">
        <f t="shared" si="95"/>
        <v>43308</v>
      </c>
      <c r="B222" s="618"/>
      <c r="C222" s="392"/>
      <c r="D222" s="395"/>
      <c r="E222" s="387"/>
      <c r="F222" s="387"/>
      <c r="G222" s="110"/>
      <c r="I222" s="382">
        <f t="shared" si="72"/>
        <v>0</v>
      </c>
      <c r="J222" s="85">
        <v>2018</v>
      </c>
      <c r="K222" s="199">
        <f t="shared" si="73"/>
        <v>43308</v>
      </c>
      <c r="L222" s="437">
        <f t="shared" si="74"/>
        <v>0</v>
      </c>
      <c r="M222" s="881"/>
      <c r="N222" s="881"/>
      <c r="O222" s="326">
        <f t="shared" si="75"/>
        <v>0</v>
      </c>
      <c r="P222" s="171">
        <f>(INDEX(Models!$BJ222:$BT222,,T222)*(1-R222)+INDEX(Models!$BJ222:$BT222,,T222+1)*R222-ERP_i)*Q222*Ramure*Pc/MaxiM</f>
        <v>7.5201461116048448E-5</v>
      </c>
      <c r="Q222" s="307">
        <f t="shared" si="76"/>
        <v>1</v>
      </c>
      <c r="R222" s="179">
        <f t="shared" si="77"/>
        <v>0.81124638300907659</v>
      </c>
      <c r="S222" s="837">
        <f t="shared" si="94"/>
        <v>-3</v>
      </c>
      <c r="T222" s="178">
        <f t="shared" si="78"/>
        <v>3</v>
      </c>
      <c r="U222" s="253">
        <f t="shared" si="79"/>
        <v>-2.1887536169909234</v>
      </c>
      <c r="V222" s="385">
        <f t="shared" si="80"/>
        <v>60.794326376135594</v>
      </c>
      <c r="W222" s="58"/>
      <c r="X222" s="157">
        <f t="shared" si="81"/>
        <v>43308</v>
      </c>
      <c r="Y222" s="387">
        <f t="shared" si="82"/>
        <v>0</v>
      </c>
      <c r="Z222" s="387">
        <f t="shared" si="83"/>
        <v>0</v>
      </c>
      <c r="AA222" s="388">
        <f t="shared" si="84"/>
        <v>0</v>
      </c>
      <c r="AB222" s="199">
        <f t="shared" si="85"/>
        <v>43308</v>
      </c>
      <c r="AC222" s="426">
        <f t="shared" si="86"/>
        <v>0</v>
      </c>
      <c r="AD222" s="171">
        <f>(INDEX(Models!$BJ222:$BT222,,AH222)*(1-AF222)+INDEX(Models!$BJ222:$BT222,,AH222+1)*AF222-ERP_i)*AE222*Ramure*Pc/MaxiM</f>
        <v>7.5201461116048448E-5</v>
      </c>
      <c r="AE222" s="307">
        <f t="shared" si="87"/>
        <v>1</v>
      </c>
      <c r="AF222" s="179">
        <f t="shared" si="88"/>
        <v>0.81124638300907659</v>
      </c>
      <c r="AG222" s="837">
        <f t="shared" si="89"/>
        <v>-3</v>
      </c>
      <c r="AH222" s="178">
        <f t="shared" si="90"/>
        <v>3</v>
      </c>
      <c r="AI222" s="227">
        <f t="shared" si="91"/>
        <v>-2.1887536169909234</v>
      </c>
      <c r="AJ222" s="267" t="b">
        <f t="shared" si="92"/>
        <v>1</v>
      </c>
      <c r="AK222" s="267" t="b">
        <f t="shared" si="93"/>
        <v>0</v>
      </c>
      <c r="AL222" s="267"/>
      <c r="AM222" s="267"/>
      <c r="AN222" s="75"/>
    </row>
    <row r="223" spans="1:40" s="6" customFormat="1" ht="11.25" customHeight="1" x14ac:dyDescent="0.2">
      <c r="A223" s="56">
        <f t="shared" si="95"/>
        <v>43309</v>
      </c>
      <c r="B223" s="618"/>
      <c r="C223" s="392"/>
      <c r="D223" s="395"/>
      <c r="E223" s="387"/>
      <c r="F223" s="387"/>
      <c r="G223" s="110"/>
      <c r="I223" s="382">
        <f t="shared" si="72"/>
        <v>0</v>
      </c>
      <c r="J223" s="85">
        <v>2018</v>
      </c>
      <c r="K223" s="199">
        <f t="shared" si="73"/>
        <v>43309</v>
      </c>
      <c r="L223" s="437">
        <f t="shared" si="74"/>
        <v>0</v>
      </c>
      <c r="M223" s="881"/>
      <c r="N223" s="881"/>
      <c r="O223" s="326">
        <f t="shared" si="75"/>
        <v>0</v>
      </c>
      <c r="P223" s="171">
        <f>(INDEX(Models!$BJ223:$BT223,,T223)*(1-R223)+INDEX(Models!$BJ223:$BT223,,T223+1)*R223-ERP_i)*Q223*Ramure*Pc/MaxiM</f>
        <v>8.1487480729283706E-5</v>
      </c>
      <c r="Q223" s="307">
        <f t="shared" si="76"/>
        <v>1</v>
      </c>
      <c r="R223" s="179">
        <f t="shared" si="77"/>
        <v>0.81438378215029061</v>
      </c>
      <c r="S223" s="837">
        <f t="shared" si="94"/>
        <v>-3</v>
      </c>
      <c r="T223" s="178">
        <f t="shared" si="78"/>
        <v>3</v>
      </c>
      <c r="U223" s="253">
        <f t="shared" si="79"/>
        <v>-2.1856162178497094</v>
      </c>
      <c r="V223" s="385">
        <f t="shared" si="80"/>
        <v>60.633129601389101</v>
      </c>
      <c r="W223" s="58"/>
      <c r="X223" s="157">
        <f t="shared" si="81"/>
        <v>43309</v>
      </c>
      <c r="Y223" s="387">
        <f t="shared" si="82"/>
        <v>0</v>
      </c>
      <c r="Z223" s="387">
        <f t="shared" si="83"/>
        <v>0</v>
      </c>
      <c r="AA223" s="388">
        <f t="shared" si="84"/>
        <v>0</v>
      </c>
      <c r="AB223" s="199">
        <f t="shared" si="85"/>
        <v>43309</v>
      </c>
      <c r="AC223" s="426">
        <f t="shared" si="86"/>
        <v>0</v>
      </c>
      <c r="AD223" s="171">
        <f>(INDEX(Models!$BJ223:$BT223,,AH223)*(1-AF223)+INDEX(Models!$BJ223:$BT223,,AH223+1)*AF223-ERP_i)*AE223*Ramure*Pc/MaxiM</f>
        <v>8.1487480729283706E-5</v>
      </c>
      <c r="AE223" s="307">
        <f t="shared" si="87"/>
        <v>1</v>
      </c>
      <c r="AF223" s="179">
        <f t="shared" si="88"/>
        <v>0.81438378215029061</v>
      </c>
      <c r="AG223" s="837">
        <f t="shared" si="89"/>
        <v>-3</v>
      </c>
      <c r="AH223" s="178">
        <f t="shared" si="90"/>
        <v>3</v>
      </c>
      <c r="AI223" s="227">
        <f t="shared" si="91"/>
        <v>-2.1856162178497094</v>
      </c>
      <c r="AJ223" s="267" t="b">
        <f t="shared" si="92"/>
        <v>1</v>
      </c>
      <c r="AK223" s="267" t="b">
        <f t="shared" si="93"/>
        <v>0</v>
      </c>
      <c r="AL223" s="267"/>
      <c r="AM223" s="267"/>
      <c r="AN223" s="75"/>
    </row>
    <row r="224" spans="1:40" s="6" customFormat="1" ht="11.25" customHeight="1" x14ac:dyDescent="0.2">
      <c r="A224" s="56">
        <f t="shared" si="95"/>
        <v>43310</v>
      </c>
      <c r="B224" s="618"/>
      <c r="C224" s="392"/>
      <c r="D224" s="395"/>
      <c r="E224" s="387"/>
      <c r="F224" s="387"/>
      <c r="G224" s="110"/>
      <c r="I224" s="382">
        <f t="shared" si="72"/>
        <v>0</v>
      </c>
      <c r="J224" s="85">
        <v>2018</v>
      </c>
      <c r="K224" s="199">
        <f t="shared" si="73"/>
        <v>43310</v>
      </c>
      <c r="L224" s="437">
        <f t="shared" si="74"/>
        <v>0</v>
      </c>
      <c r="M224" s="881"/>
      <c r="N224" s="881"/>
      <c r="O224" s="326">
        <f t="shared" si="75"/>
        <v>0</v>
      </c>
      <c r="P224" s="171">
        <f>(INDEX(Models!$BJ224:$BT224,,T224)*(1-R224)+INDEX(Models!$BJ224:$BT224,,T224+1)*R224-ERP_i)*Q224*Ramure*Pc/MaxiM</f>
        <v>8.8233202526249698E-5</v>
      </c>
      <c r="Q224" s="307">
        <f t="shared" si="76"/>
        <v>1</v>
      </c>
      <c r="R224" s="179">
        <f t="shared" si="77"/>
        <v>0.81742523875593731</v>
      </c>
      <c r="S224" s="837">
        <f t="shared" si="94"/>
        <v>-3</v>
      </c>
      <c r="T224" s="178">
        <f t="shared" si="78"/>
        <v>3</v>
      </c>
      <c r="U224" s="253">
        <f t="shared" si="79"/>
        <v>-2.1825747612440627</v>
      </c>
      <c r="V224" s="385">
        <f t="shared" si="80"/>
        <v>60.469194167947549</v>
      </c>
      <c r="W224" s="58"/>
      <c r="X224" s="157">
        <f t="shared" si="81"/>
        <v>43310</v>
      </c>
      <c r="Y224" s="387">
        <f t="shared" si="82"/>
        <v>0</v>
      </c>
      <c r="Z224" s="387">
        <f t="shared" si="83"/>
        <v>0</v>
      </c>
      <c r="AA224" s="388">
        <f t="shared" si="84"/>
        <v>0</v>
      </c>
      <c r="AB224" s="199">
        <f t="shared" si="85"/>
        <v>43310</v>
      </c>
      <c r="AC224" s="426">
        <f t="shared" si="86"/>
        <v>0</v>
      </c>
      <c r="AD224" s="171">
        <f>(INDEX(Models!$BJ224:$BT224,,AH224)*(1-AF224)+INDEX(Models!$BJ224:$BT224,,AH224+1)*AF224-ERP_i)*AE224*Ramure*Pc/MaxiM</f>
        <v>8.8233202526249698E-5</v>
      </c>
      <c r="AE224" s="307">
        <f t="shared" si="87"/>
        <v>1</v>
      </c>
      <c r="AF224" s="179">
        <f t="shared" si="88"/>
        <v>0.81742523875593731</v>
      </c>
      <c r="AG224" s="837">
        <f t="shared" si="89"/>
        <v>-3</v>
      </c>
      <c r="AH224" s="178">
        <f t="shared" si="90"/>
        <v>3</v>
      </c>
      <c r="AI224" s="227">
        <f t="shared" si="91"/>
        <v>-2.1825747612440627</v>
      </c>
      <c r="AJ224" s="267" t="b">
        <f t="shared" si="92"/>
        <v>1</v>
      </c>
      <c r="AK224" s="267" t="b">
        <f t="shared" si="93"/>
        <v>0</v>
      </c>
      <c r="AL224" s="267"/>
      <c r="AM224" s="267"/>
      <c r="AN224" s="75"/>
    </row>
    <row r="225" spans="1:40" s="6" customFormat="1" ht="11.25" customHeight="1" x14ac:dyDescent="0.2">
      <c r="A225" s="56">
        <f t="shared" si="95"/>
        <v>43311</v>
      </c>
      <c r="B225" s="618"/>
      <c r="C225" s="392"/>
      <c r="D225" s="395"/>
      <c r="E225" s="387"/>
      <c r="F225" s="387"/>
      <c r="G225" s="110"/>
      <c r="I225" s="382">
        <f t="shared" si="72"/>
        <v>0</v>
      </c>
      <c r="J225" s="85">
        <v>2018</v>
      </c>
      <c r="K225" s="199">
        <f t="shared" si="73"/>
        <v>43311</v>
      </c>
      <c r="L225" s="437">
        <f t="shared" si="74"/>
        <v>0</v>
      </c>
      <c r="M225" s="881"/>
      <c r="N225" s="881"/>
      <c r="O225" s="326">
        <f t="shared" si="75"/>
        <v>0</v>
      </c>
      <c r="P225" s="171">
        <f>(INDEX(Models!$BJ225:$BT225,,T225)*(1-R225)+INDEX(Models!$BJ225:$BT225,,T225+1)*R225-ERP_i)*Q225*Ramure*Pc/MaxiM</f>
        <v>9.5446667723180059E-5</v>
      </c>
      <c r="Q225" s="307">
        <f t="shared" si="76"/>
        <v>1</v>
      </c>
      <c r="R225" s="179">
        <f t="shared" si="77"/>
        <v>0.8203726357215726</v>
      </c>
      <c r="S225" s="837">
        <f t="shared" si="94"/>
        <v>-3</v>
      </c>
      <c r="T225" s="178">
        <f t="shared" si="78"/>
        <v>3</v>
      </c>
      <c r="U225" s="253">
        <f t="shared" si="79"/>
        <v>-2.1796273642784274</v>
      </c>
      <c r="V225" s="385">
        <f t="shared" si="80"/>
        <v>60.302293797513137</v>
      </c>
      <c r="W225" s="58"/>
      <c r="X225" s="157">
        <f t="shared" si="81"/>
        <v>43311</v>
      </c>
      <c r="Y225" s="387">
        <f t="shared" si="82"/>
        <v>0</v>
      </c>
      <c r="Z225" s="387">
        <f t="shared" si="83"/>
        <v>0</v>
      </c>
      <c r="AA225" s="388">
        <f t="shared" si="84"/>
        <v>0</v>
      </c>
      <c r="AB225" s="199">
        <f t="shared" si="85"/>
        <v>43311</v>
      </c>
      <c r="AC225" s="426">
        <f t="shared" si="86"/>
        <v>0</v>
      </c>
      <c r="AD225" s="171">
        <f>(INDEX(Models!$BJ225:$BT225,,AH225)*(1-AF225)+INDEX(Models!$BJ225:$BT225,,AH225+1)*AF225-ERP_i)*AE225*Ramure*Pc/MaxiM</f>
        <v>9.5446667723180059E-5</v>
      </c>
      <c r="AE225" s="307">
        <f t="shared" si="87"/>
        <v>1</v>
      </c>
      <c r="AF225" s="179">
        <f t="shared" si="88"/>
        <v>0.8203726357215726</v>
      </c>
      <c r="AG225" s="837">
        <f t="shared" si="89"/>
        <v>-3</v>
      </c>
      <c r="AH225" s="178">
        <f t="shared" si="90"/>
        <v>3</v>
      </c>
      <c r="AI225" s="227">
        <f t="shared" si="91"/>
        <v>-2.1796273642784274</v>
      </c>
      <c r="AJ225" s="267" t="b">
        <f t="shared" si="92"/>
        <v>1</v>
      </c>
      <c r="AK225" s="267" t="b">
        <f t="shared" si="93"/>
        <v>0</v>
      </c>
      <c r="AL225" s="267"/>
      <c r="AM225" s="267"/>
      <c r="AN225" s="75"/>
    </row>
    <row r="226" spans="1:40" s="6" customFormat="1" ht="11.25" customHeight="1" x14ac:dyDescent="0.2">
      <c r="A226" s="56">
        <f t="shared" si="95"/>
        <v>43312</v>
      </c>
      <c r="B226" s="618"/>
      <c r="C226" s="392"/>
      <c r="D226" s="395"/>
      <c r="E226" s="387"/>
      <c r="F226" s="387"/>
      <c r="G226" s="110"/>
      <c r="I226" s="382">
        <f t="shared" si="72"/>
        <v>0</v>
      </c>
      <c r="J226" s="85">
        <v>2018</v>
      </c>
      <c r="K226" s="199">
        <f t="shared" si="73"/>
        <v>43312</v>
      </c>
      <c r="L226" s="437">
        <f t="shared" si="74"/>
        <v>0</v>
      </c>
      <c r="M226" s="881"/>
      <c r="N226" s="881"/>
      <c r="O226" s="326">
        <f t="shared" si="75"/>
        <v>0</v>
      </c>
      <c r="P226" s="171">
        <f>(INDEX(Models!$BJ226:$BT226,,T226)*(1-R226)+INDEX(Models!$BJ226:$BT226,,T226+1)*R226-ERP_i)*Q226*Ramure*Pc/MaxiM</f>
        <v>1.0392333373331853E-4</v>
      </c>
      <c r="Q226" s="307">
        <f t="shared" si="76"/>
        <v>1</v>
      </c>
      <c r="R226" s="179">
        <f t="shared" si="77"/>
        <v>0.82322789521323525</v>
      </c>
      <c r="S226" s="837">
        <f t="shared" si="94"/>
        <v>-3</v>
      </c>
      <c r="T226" s="178">
        <f t="shared" si="78"/>
        <v>3</v>
      </c>
      <c r="U226" s="253">
        <f t="shared" si="79"/>
        <v>-2.1767721047867647</v>
      </c>
      <c r="V226" s="385">
        <f t="shared" si="80"/>
        <v>60.132154880952314</v>
      </c>
      <c r="W226" s="58"/>
      <c r="X226" s="157">
        <f t="shared" si="81"/>
        <v>43312</v>
      </c>
      <c r="Y226" s="387">
        <f t="shared" si="82"/>
        <v>0</v>
      </c>
      <c r="Z226" s="387">
        <f t="shared" si="83"/>
        <v>0</v>
      </c>
      <c r="AA226" s="388">
        <f t="shared" si="84"/>
        <v>0</v>
      </c>
      <c r="AB226" s="199">
        <f t="shared" si="85"/>
        <v>43312</v>
      </c>
      <c r="AC226" s="426">
        <f t="shared" si="86"/>
        <v>0</v>
      </c>
      <c r="AD226" s="171">
        <f>(INDEX(Models!$BJ226:$BT226,,AH226)*(1-AF226)+INDEX(Models!$BJ226:$BT226,,AH226+1)*AF226-ERP_i)*AE226*Ramure*Pc/MaxiM</f>
        <v>1.0392333373331853E-4</v>
      </c>
      <c r="AE226" s="307">
        <f t="shared" si="87"/>
        <v>1</v>
      </c>
      <c r="AF226" s="179">
        <f t="shared" si="88"/>
        <v>0.82322789521323525</v>
      </c>
      <c r="AG226" s="837">
        <f t="shared" si="89"/>
        <v>-3</v>
      </c>
      <c r="AH226" s="178">
        <f t="shared" si="90"/>
        <v>3</v>
      </c>
      <c r="AI226" s="227">
        <f t="shared" si="91"/>
        <v>-2.1767721047867647</v>
      </c>
      <c r="AJ226" s="267" t="b">
        <f t="shared" si="92"/>
        <v>1</v>
      </c>
      <c r="AK226" s="267" t="b">
        <f t="shared" si="93"/>
        <v>0</v>
      </c>
      <c r="AL226" s="267"/>
      <c r="AM226" s="267"/>
      <c r="AN226" s="75"/>
    </row>
    <row r="227" spans="1:40" s="6" customFormat="1" ht="11.25" customHeight="1" x14ac:dyDescent="0.2">
      <c r="A227" s="56">
        <f t="shared" si="95"/>
        <v>43313</v>
      </c>
      <c r="B227" s="618"/>
      <c r="C227" s="392"/>
      <c r="D227" s="395"/>
      <c r="E227" s="387"/>
      <c r="F227" s="387"/>
      <c r="G227" s="110"/>
      <c r="I227" s="382">
        <f t="shared" si="72"/>
        <v>0</v>
      </c>
      <c r="J227" s="85">
        <v>2018</v>
      </c>
      <c r="K227" s="199">
        <f t="shared" si="73"/>
        <v>43313</v>
      </c>
      <c r="L227" s="437">
        <f t="shared" si="74"/>
        <v>0</v>
      </c>
      <c r="M227" s="881"/>
      <c r="N227" s="881"/>
      <c r="O227" s="326">
        <f t="shared" si="75"/>
        <v>0</v>
      </c>
      <c r="P227" s="171">
        <f>(INDEX(Models!$BJ227:$BT227,,T227)*(1-R227)+INDEX(Models!$BJ227:$BT227,,T227+1)*R227-ERP_i)*Q227*Ramure*Pc/MaxiM</f>
        <v>1.1358459470541134E-4</v>
      </c>
      <c r="Q227" s="307">
        <f t="shared" si="76"/>
        <v>1</v>
      </c>
      <c r="R227" s="179">
        <f t="shared" si="77"/>
        <v>0.82599297183337184</v>
      </c>
      <c r="S227" s="837">
        <f t="shared" si="94"/>
        <v>-3</v>
      </c>
      <c r="T227" s="178">
        <f t="shared" si="78"/>
        <v>3</v>
      </c>
      <c r="U227" s="253">
        <f t="shared" si="79"/>
        <v>-2.1740070281666282</v>
      </c>
      <c r="V227" s="385">
        <f t="shared" si="80"/>
        <v>59.95855678759817</v>
      </c>
      <c r="W227" s="58"/>
      <c r="X227" s="157">
        <f t="shared" si="81"/>
        <v>43313</v>
      </c>
      <c r="Y227" s="387">
        <f t="shared" si="82"/>
        <v>0</v>
      </c>
      <c r="Z227" s="387">
        <f t="shared" si="83"/>
        <v>0</v>
      </c>
      <c r="AA227" s="388">
        <f t="shared" si="84"/>
        <v>0</v>
      </c>
      <c r="AB227" s="199">
        <f t="shared" si="85"/>
        <v>43313</v>
      </c>
      <c r="AC227" s="426">
        <f t="shared" si="86"/>
        <v>0</v>
      </c>
      <c r="AD227" s="171">
        <f>(INDEX(Models!$BJ227:$BT227,,AH227)*(1-AF227)+INDEX(Models!$BJ227:$BT227,,AH227+1)*AF227-ERP_i)*AE227*Ramure*Pc/MaxiM</f>
        <v>1.1358459470541134E-4</v>
      </c>
      <c r="AE227" s="307">
        <f t="shared" si="87"/>
        <v>1</v>
      </c>
      <c r="AF227" s="179">
        <f t="shared" si="88"/>
        <v>0.82599297183337184</v>
      </c>
      <c r="AG227" s="837">
        <f t="shared" si="89"/>
        <v>-3</v>
      </c>
      <c r="AH227" s="178">
        <f t="shared" si="90"/>
        <v>3</v>
      </c>
      <c r="AI227" s="227">
        <f t="shared" si="91"/>
        <v>-2.1740070281666282</v>
      </c>
      <c r="AJ227" s="267" t="b">
        <f t="shared" si="92"/>
        <v>0</v>
      </c>
      <c r="AK227" s="267" t="b">
        <f t="shared" si="93"/>
        <v>0</v>
      </c>
      <c r="AL227" s="267"/>
      <c r="AM227" s="267"/>
      <c r="AN227" s="75"/>
    </row>
    <row r="228" spans="1:40" s="6" customFormat="1" ht="11.25" customHeight="1" x14ac:dyDescent="0.2">
      <c r="A228" s="56">
        <f t="shared" si="95"/>
        <v>43314</v>
      </c>
      <c r="B228" s="618"/>
      <c r="C228" s="392"/>
      <c r="D228" s="395"/>
      <c r="E228" s="387"/>
      <c r="F228" s="387"/>
      <c r="G228" s="110"/>
      <c r="I228" s="382">
        <f t="shared" si="72"/>
        <v>0</v>
      </c>
      <c r="J228" s="85">
        <v>2018</v>
      </c>
      <c r="K228" s="199">
        <f t="shared" si="73"/>
        <v>43314</v>
      </c>
      <c r="L228" s="437">
        <f t="shared" si="74"/>
        <v>2.3271460905971431E-5</v>
      </c>
      <c r="M228" s="881"/>
      <c r="N228" s="881"/>
      <c r="O228" s="326">
        <f t="shared" si="75"/>
        <v>2.5298445245050294E-4</v>
      </c>
      <c r="P228" s="171">
        <f>(INDEX(Models!$BJ228:$BT228,,T228)*(1-R228)+INDEX(Models!$BJ228:$BT228,,T228+1)*R228-ERP_i)*Q228*Ramure*Pc/MaxiM</f>
        <v>1.2445350346155674E-4</v>
      </c>
      <c r="Q228" s="307">
        <f t="shared" si="76"/>
        <v>1</v>
      </c>
      <c r="R228" s="179">
        <f t="shared" si="77"/>
        <v>0.82866984615186334</v>
      </c>
      <c r="S228" s="837">
        <f t="shared" si="94"/>
        <v>-3</v>
      </c>
      <c r="T228" s="178">
        <f t="shared" si="78"/>
        <v>3</v>
      </c>
      <c r="U228" s="253">
        <f t="shared" si="79"/>
        <v>-2.1713301538481367</v>
      </c>
      <c r="V228" s="385">
        <f t="shared" si="80"/>
        <v>59.764758209933085</v>
      </c>
      <c r="W228" s="58"/>
      <c r="X228" s="157">
        <f t="shared" si="81"/>
        <v>43314</v>
      </c>
      <c r="Y228" s="387">
        <f t="shared" si="82"/>
        <v>0</v>
      </c>
      <c r="Z228" s="387">
        <f t="shared" si="83"/>
        <v>0</v>
      </c>
      <c r="AA228" s="388">
        <f t="shared" si="84"/>
        <v>0</v>
      </c>
      <c r="AB228" s="199">
        <f t="shared" si="85"/>
        <v>43314</v>
      </c>
      <c r="AC228" s="426">
        <f t="shared" si="86"/>
        <v>2.5298445245050294E-4</v>
      </c>
      <c r="AD228" s="171">
        <f>(INDEX(Models!$BJ228:$BT228,,AH228)*(1-AF228)+INDEX(Models!$BJ228:$BT228,,AH228+1)*AF228-ERP_i)*AE228*Ramure*Pc/MaxiM</f>
        <v>1.2445350346155674E-4</v>
      </c>
      <c r="AE228" s="307">
        <f t="shared" si="87"/>
        <v>1</v>
      </c>
      <c r="AF228" s="179">
        <f t="shared" si="88"/>
        <v>0.82866984615186334</v>
      </c>
      <c r="AG228" s="837">
        <f t="shared" si="89"/>
        <v>-3</v>
      </c>
      <c r="AH228" s="178">
        <f t="shared" si="90"/>
        <v>3</v>
      </c>
      <c r="AI228" s="227">
        <f t="shared" si="91"/>
        <v>-2.1713301538481367</v>
      </c>
      <c r="AJ228" s="267" t="b">
        <f t="shared" si="92"/>
        <v>0</v>
      </c>
      <c r="AK228" s="267" t="b">
        <f t="shared" si="93"/>
        <v>0</v>
      </c>
      <c r="AL228" s="267"/>
      <c r="AM228" s="267"/>
      <c r="AN228" s="75"/>
    </row>
    <row r="229" spans="1:40" s="6" customFormat="1" ht="11.25" customHeight="1" x14ac:dyDescent="0.2">
      <c r="A229" s="56">
        <f t="shared" si="95"/>
        <v>43315</v>
      </c>
      <c r="B229" s="618"/>
      <c r="C229" s="392"/>
      <c r="D229" s="395"/>
      <c r="E229" s="387"/>
      <c r="F229" s="387"/>
      <c r="G229" s="110"/>
      <c r="I229" s="382">
        <f t="shared" si="72"/>
        <v>0</v>
      </c>
      <c r="J229" s="85">
        <v>2018</v>
      </c>
      <c r="K229" s="199">
        <f t="shared" si="73"/>
        <v>43315</v>
      </c>
      <c r="L229" s="437">
        <f t="shared" si="74"/>
        <v>4.6542380251035631E-5</v>
      </c>
      <c r="M229" s="881"/>
      <c r="N229" s="881"/>
      <c r="O229" s="326">
        <f t="shared" si="75"/>
        <v>5.0567576099179857E-4</v>
      </c>
      <c r="P229" s="171">
        <f>(INDEX(Models!$BJ229:$BT229,,T229)*(1-R229)+INDEX(Models!$BJ229:$BT229,,T229+1)*R229-ERP_i)*Q229*Ramure*Pc/MaxiM</f>
        <v>1.3655325215010348E-4</v>
      </c>
      <c r="Q229" s="307">
        <f t="shared" si="76"/>
        <v>1</v>
      </c>
      <c r="R229" s="179">
        <f t="shared" si="77"/>
        <v>0.83126051860367589</v>
      </c>
      <c r="S229" s="837">
        <f t="shared" si="94"/>
        <v>-3</v>
      </c>
      <c r="T229" s="178">
        <f t="shared" si="78"/>
        <v>3</v>
      </c>
      <c r="U229" s="253">
        <f t="shared" si="79"/>
        <v>-2.1687394813963241</v>
      </c>
      <c r="V229" s="385">
        <f t="shared" si="80"/>
        <v>59.567165352855888</v>
      </c>
      <c r="W229" s="58"/>
      <c r="X229" s="157">
        <f t="shared" si="81"/>
        <v>43315</v>
      </c>
      <c r="Y229" s="387">
        <f t="shared" si="82"/>
        <v>0</v>
      </c>
      <c r="Z229" s="387">
        <f t="shared" si="83"/>
        <v>0</v>
      </c>
      <c r="AA229" s="388">
        <f t="shared" si="84"/>
        <v>0</v>
      </c>
      <c r="AB229" s="199">
        <f t="shared" si="85"/>
        <v>43315</v>
      </c>
      <c r="AC229" s="426">
        <f t="shared" si="86"/>
        <v>5.0567576099179857E-4</v>
      </c>
      <c r="AD229" s="171">
        <f>(INDEX(Models!$BJ229:$BT229,,AH229)*(1-AF229)+INDEX(Models!$BJ229:$BT229,,AH229+1)*AF229-ERP_i)*AE229*Ramure*Pc/MaxiM</f>
        <v>1.3655325215010348E-4</v>
      </c>
      <c r="AE229" s="307">
        <f t="shared" si="87"/>
        <v>1</v>
      </c>
      <c r="AF229" s="179">
        <f t="shared" si="88"/>
        <v>0.83126051860367589</v>
      </c>
      <c r="AG229" s="837">
        <f t="shared" si="89"/>
        <v>-3</v>
      </c>
      <c r="AH229" s="178">
        <f t="shared" si="90"/>
        <v>3</v>
      </c>
      <c r="AI229" s="227">
        <f t="shared" si="91"/>
        <v>-2.1687394813963241</v>
      </c>
      <c r="AJ229" s="267" t="b">
        <f t="shared" si="92"/>
        <v>0</v>
      </c>
      <c r="AK229" s="267" t="b">
        <f t="shared" si="93"/>
        <v>0</v>
      </c>
      <c r="AL229" s="267"/>
      <c r="AM229" s="267"/>
      <c r="AN229" s="75"/>
    </row>
    <row r="230" spans="1:40" s="6" customFormat="1" ht="11.25" customHeight="1" x14ac:dyDescent="0.2">
      <c r="A230" s="56">
        <f t="shared" si="95"/>
        <v>43316</v>
      </c>
      <c r="B230" s="618"/>
      <c r="C230" s="392"/>
      <c r="D230" s="395"/>
      <c r="E230" s="387"/>
      <c r="F230" s="387"/>
      <c r="G230" s="110"/>
      <c r="I230" s="382">
        <f t="shared" si="72"/>
        <v>0</v>
      </c>
      <c r="J230" s="85">
        <v>2018</v>
      </c>
      <c r="K230" s="199">
        <f t="shared" si="73"/>
        <v>43316</v>
      </c>
      <c r="L230" s="437">
        <f t="shared" si="74"/>
        <v>6.9812758047849144E-5</v>
      </c>
      <c r="M230" s="881"/>
      <c r="N230" s="881"/>
      <c r="O230" s="326">
        <f t="shared" si="75"/>
        <v>7.5807057166713953E-4</v>
      </c>
      <c r="P230" s="171">
        <f>(INDEX(Models!$BJ230:$BT230,,T230)*(1-R230)+INDEX(Models!$BJ230:$BT230,,T230+1)*R230-ERP_i)*Q230*Ramure*Pc/MaxiM</f>
        <v>1.4990726826992972E-4</v>
      </c>
      <c r="Q230" s="307">
        <f t="shared" si="76"/>
        <v>1</v>
      </c>
      <c r="R230" s="179">
        <f t="shared" si="77"/>
        <v>0.83376700375222335</v>
      </c>
      <c r="S230" s="837">
        <f t="shared" si="94"/>
        <v>-3</v>
      </c>
      <c r="T230" s="178">
        <f t="shared" si="78"/>
        <v>3</v>
      </c>
      <c r="U230" s="253">
        <f t="shared" si="79"/>
        <v>-2.1662329962477767</v>
      </c>
      <c r="V230" s="385">
        <f t="shared" si="80"/>
        <v>59.365555030443332</v>
      </c>
      <c r="W230" s="58"/>
      <c r="X230" s="157">
        <f t="shared" si="81"/>
        <v>43316</v>
      </c>
      <c r="Y230" s="387">
        <f t="shared" si="82"/>
        <v>0</v>
      </c>
      <c r="Z230" s="387">
        <f t="shared" si="83"/>
        <v>0</v>
      </c>
      <c r="AA230" s="388">
        <f t="shared" si="84"/>
        <v>0</v>
      </c>
      <c r="AB230" s="199">
        <f t="shared" si="85"/>
        <v>43316</v>
      </c>
      <c r="AC230" s="426">
        <f t="shared" si="86"/>
        <v>7.5807057166713953E-4</v>
      </c>
      <c r="AD230" s="171">
        <f>(INDEX(Models!$BJ230:$BT230,,AH230)*(1-AF230)+INDEX(Models!$BJ230:$BT230,,AH230+1)*AF230-ERP_i)*AE230*Ramure*Pc/MaxiM</f>
        <v>1.4990726826992972E-4</v>
      </c>
      <c r="AE230" s="307">
        <f t="shared" si="87"/>
        <v>1</v>
      </c>
      <c r="AF230" s="179">
        <f t="shared" si="88"/>
        <v>0.83376700375222335</v>
      </c>
      <c r="AG230" s="837">
        <f t="shared" si="89"/>
        <v>-3</v>
      </c>
      <c r="AH230" s="178">
        <f t="shared" si="90"/>
        <v>3</v>
      </c>
      <c r="AI230" s="227">
        <f t="shared" si="91"/>
        <v>-2.1662329962477767</v>
      </c>
      <c r="AJ230" s="267" t="b">
        <f t="shared" si="92"/>
        <v>0</v>
      </c>
      <c r="AK230" s="267" t="b">
        <f t="shared" si="93"/>
        <v>0</v>
      </c>
      <c r="AL230" s="267"/>
      <c r="AM230" s="267"/>
      <c r="AN230" s="75"/>
    </row>
    <row r="231" spans="1:40" s="6" customFormat="1" ht="11.25" customHeight="1" x14ac:dyDescent="0.2">
      <c r="A231" s="56">
        <f t="shared" si="95"/>
        <v>43317</v>
      </c>
      <c r="B231" s="618"/>
      <c r="C231" s="392"/>
      <c r="D231" s="395"/>
      <c r="E231" s="387"/>
      <c r="F231" s="387"/>
      <c r="G231" s="110"/>
      <c r="I231" s="382">
        <f t="shared" si="72"/>
        <v>0</v>
      </c>
      <c r="J231" s="85">
        <v>2018</v>
      </c>
      <c r="K231" s="199">
        <f t="shared" si="73"/>
        <v>43317</v>
      </c>
      <c r="L231" s="437">
        <f t="shared" si="74"/>
        <v>9.3082594308957489E-5</v>
      </c>
      <c r="M231" s="881"/>
      <c r="N231" s="881"/>
      <c r="O231" s="326">
        <f t="shared" si="75"/>
        <v>1.0101657273739622E-3</v>
      </c>
      <c r="P231" s="171">
        <f>(INDEX(Models!$BJ231:$BT231,,T231)*(1-R231)+INDEX(Models!$BJ231:$BT231,,T231+1)*R231-ERP_i)*Q231*Ramure*Pc/MaxiM</f>
        <v>1.6453931411600583E-4</v>
      </c>
      <c r="Q231" s="307">
        <f t="shared" si="76"/>
        <v>1</v>
      </c>
      <c r="R231" s="179">
        <f t="shared" si="77"/>
        <v>0.83619132491532255</v>
      </c>
      <c r="S231" s="837">
        <f t="shared" si="94"/>
        <v>-3</v>
      </c>
      <c r="T231" s="178">
        <f t="shared" si="78"/>
        <v>3</v>
      </c>
      <c r="U231" s="253">
        <f t="shared" si="79"/>
        <v>-2.1638086750846774</v>
      </c>
      <c r="V231" s="385">
        <f t="shared" si="80"/>
        <v>59.159704325554699</v>
      </c>
      <c r="W231" s="58"/>
      <c r="X231" s="157">
        <f t="shared" si="81"/>
        <v>43317</v>
      </c>
      <c r="Y231" s="387">
        <f t="shared" si="82"/>
        <v>0</v>
      </c>
      <c r="Z231" s="387">
        <f t="shared" si="83"/>
        <v>0</v>
      </c>
      <c r="AA231" s="388">
        <f t="shared" si="84"/>
        <v>0</v>
      </c>
      <c r="AB231" s="199">
        <f t="shared" si="85"/>
        <v>43317</v>
      </c>
      <c r="AC231" s="426">
        <f t="shared" si="86"/>
        <v>1.0101657273739622E-3</v>
      </c>
      <c r="AD231" s="171">
        <f>(INDEX(Models!$BJ231:$BT231,,AH231)*(1-AF231)+INDEX(Models!$BJ231:$BT231,,AH231+1)*AF231-ERP_i)*AE231*Ramure*Pc/MaxiM</f>
        <v>1.6453931411600583E-4</v>
      </c>
      <c r="AE231" s="307">
        <f t="shared" si="87"/>
        <v>1</v>
      </c>
      <c r="AF231" s="179">
        <f t="shared" si="88"/>
        <v>0.83619132491532255</v>
      </c>
      <c r="AG231" s="837">
        <f t="shared" si="89"/>
        <v>-3</v>
      </c>
      <c r="AH231" s="178">
        <f t="shared" si="90"/>
        <v>3</v>
      </c>
      <c r="AI231" s="227">
        <f t="shared" si="91"/>
        <v>-2.1638086750846774</v>
      </c>
      <c r="AJ231" s="267" t="b">
        <f t="shared" si="92"/>
        <v>0</v>
      </c>
      <c r="AK231" s="267" t="b">
        <f t="shared" si="93"/>
        <v>0</v>
      </c>
      <c r="AL231" s="267"/>
      <c r="AM231" s="267"/>
      <c r="AN231" s="75"/>
    </row>
    <row r="232" spans="1:40" s="6" customFormat="1" ht="11.25" customHeight="1" x14ac:dyDescent="0.2">
      <c r="A232" s="56">
        <f t="shared" si="95"/>
        <v>43318</v>
      </c>
      <c r="B232" s="618"/>
      <c r="C232" s="392"/>
      <c r="D232" s="395"/>
      <c r="E232" s="387"/>
      <c r="F232" s="387"/>
      <c r="G232" s="110"/>
      <c r="I232" s="382">
        <f t="shared" si="72"/>
        <v>0</v>
      </c>
      <c r="J232" s="85">
        <v>2018</v>
      </c>
      <c r="K232" s="199">
        <f t="shared" si="73"/>
        <v>43318</v>
      </c>
      <c r="L232" s="437">
        <f t="shared" si="74"/>
        <v>1.1635188904701721E-4</v>
      </c>
      <c r="M232" s="881"/>
      <c r="N232" s="881"/>
      <c r="O232" s="326">
        <f t="shared" si="75"/>
        <v>1.2619582158083752E-3</v>
      </c>
      <c r="P232" s="171">
        <f>(INDEX(Models!$BJ232:$BT232,,T232)*(1-R232)+INDEX(Models!$BJ232:$BT232,,T232+1)*R232-ERP_i)*Q232*Ramure*Pc/MaxiM</f>
        <v>1.8047358976713959E-4</v>
      </c>
      <c r="Q232" s="307">
        <f t="shared" si="76"/>
        <v>1</v>
      </c>
      <c r="R232" s="179">
        <f t="shared" si="77"/>
        <v>0.83853550914866659</v>
      </c>
      <c r="S232" s="837">
        <f t="shared" si="94"/>
        <v>-3</v>
      </c>
      <c r="T232" s="178">
        <f t="shared" si="78"/>
        <v>3</v>
      </c>
      <c r="U232" s="253">
        <f t="shared" si="79"/>
        <v>-2.1614644908513334</v>
      </c>
      <c r="V232" s="385">
        <f t="shared" si="80"/>
        <v>58.949390582844948</v>
      </c>
      <c r="W232" s="58"/>
      <c r="X232" s="157">
        <f t="shared" si="81"/>
        <v>43318</v>
      </c>
      <c r="Y232" s="387">
        <f t="shared" si="82"/>
        <v>0</v>
      </c>
      <c r="Z232" s="387">
        <f t="shared" si="83"/>
        <v>0</v>
      </c>
      <c r="AA232" s="388">
        <f t="shared" si="84"/>
        <v>0</v>
      </c>
      <c r="AB232" s="199">
        <f t="shared" si="85"/>
        <v>43318</v>
      </c>
      <c r="AC232" s="426">
        <f t="shared" si="86"/>
        <v>1.2619582158083752E-3</v>
      </c>
      <c r="AD232" s="171">
        <f>(INDEX(Models!$BJ232:$BT232,,AH232)*(1-AF232)+INDEX(Models!$BJ232:$BT232,,AH232+1)*AF232-ERP_i)*AE232*Ramure*Pc/MaxiM</f>
        <v>1.8047358976713959E-4</v>
      </c>
      <c r="AE232" s="307">
        <f t="shared" si="87"/>
        <v>1</v>
      </c>
      <c r="AF232" s="179">
        <f t="shared" si="88"/>
        <v>0.83853550914866659</v>
      </c>
      <c r="AG232" s="837">
        <f t="shared" si="89"/>
        <v>-3</v>
      </c>
      <c r="AH232" s="178">
        <f t="shared" si="90"/>
        <v>3</v>
      </c>
      <c r="AI232" s="227">
        <f t="shared" si="91"/>
        <v>-2.1614644908513334</v>
      </c>
      <c r="AJ232" s="267" t="b">
        <f t="shared" si="92"/>
        <v>0</v>
      </c>
      <c r="AK232" s="267" t="b">
        <f t="shared" si="93"/>
        <v>0</v>
      </c>
      <c r="AL232" s="267"/>
      <c r="AM232" s="267"/>
      <c r="AN232" s="75"/>
    </row>
    <row r="233" spans="1:40" s="6" customFormat="1" ht="11.25" customHeight="1" x14ac:dyDescent="0.2">
      <c r="A233" s="56">
        <f t="shared" si="95"/>
        <v>43319</v>
      </c>
      <c r="B233" s="618"/>
      <c r="C233" s="392"/>
      <c r="D233" s="395"/>
      <c r="E233" s="387"/>
      <c r="F233" s="387"/>
      <c r="G233" s="110"/>
      <c r="I233" s="382">
        <f t="shared" si="72"/>
        <v>0</v>
      </c>
      <c r="J233" s="85">
        <v>2018</v>
      </c>
      <c r="K233" s="199">
        <f t="shared" si="73"/>
        <v>43319</v>
      </c>
      <c r="L233" s="437">
        <f t="shared" si="74"/>
        <v>1.396206422744628E-4</v>
      </c>
      <c r="M233" s="881"/>
      <c r="N233" s="881"/>
      <c r="O233" s="326">
        <f t="shared" si="75"/>
        <v>1.5134451204160497E-3</v>
      </c>
      <c r="P233" s="171">
        <f>(INDEX(Models!$BJ233:$BT233,,T233)*(1-R233)+INDEX(Models!$BJ233:$BT233,,T233+1)*R233-ERP_i)*Q233*Ramure*Pc/MaxiM</f>
        <v>1.9772964817537931E-4</v>
      </c>
      <c r="Q233" s="307">
        <f t="shared" si="76"/>
        <v>1</v>
      </c>
      <c r="R233" s="179">
        <f t="shared" si="77"/>
        <v>0.84080158258005566</v>
      </c>
      <c r="S233" s="837">
        <f t="shared" si="94"/>
        <v>-3</v>
      </c>
      <c r="T233" s="178">
        <f t="shared" si="78"/>
        <v>3</v>
      </c>
      <c r="U233" s="253">
        <f t="shared" si="79"/>
        <v>-2.1591984174199443</v>
      </c>
      <c r="V233" s="385">
        <f t="shared" si="80"/>
        <v>58.735933838494297</v>
      </c>
      <c r="W233" s="58"/>
      <c r="X233" s="157">
        <f t="shared" si="81"/>
        <v>43319</v>
      </c>
      <c r="Y233" s="387">
        <f t="shared" si="82"/>
        <v>0</v>
      </c>
      <c r="Z233" s="387">
        <f t="shared" si="83"/>
        <v>0</v>
      </c>
      <c r="AA233" s="388">
        <f t="shared" si="84"/>
        <v>0</v>
      </c>
      <c r="AB233" s="199">
        <f t="shared" si="85"/>
        <v>43319</v>
      </c>
      <c r="AC233" s="426">
        <f t="shared" si="86"/>
        <v>1.5134451204160497E-3</v>
      </c>
      <c r="AD233" s="171">
        <f>(INDEX(Models!$BJ233:$BT233,,AH233)*(1-AF233)+INDEX(Models!$BJ233:$BT233,,AH233+1)*AF233-ERP_i)*AE233*Ramure*Pc/MaxiM</f>
        <v>1.9772964817537931E-4</v>
      </c>
      <c r="AE233" s="307">
        <f t="shared" si="87"/>
        <v>1</v>
      </c>
      <c r="AF233" s="179">
        <f t="shared" si="88"/>
        <v>0.84080158258005566</v>
      </c>
      <c r="AG233" s="837">
        <f t="shared" si="89"/>
        <v>-3</v>
      </c>
      <c r="AH233" s="178">
        <f t="shared" si="90"/>
        <v>3</v>
      </c>
      <c r="AI233" s="227">
        <f t="shared" si="91"/>
        <v>-2.1591984174199443</v>
      </c>
      <c r="AJ233" s="267" t="b">
        <f t="shared" si="92"/>
        <v>0</v>
      </c>
      <c r="AK233" s="267" t="b">
        <f t="shared" si="93"/>
        <v>0</v>
      </c>
      <c r="AL233" s="267"/>
      <c r="AM233" s="267"/>
      <c r="AN233" s="75"/>
    </row>
    <row r="234" spans="1:40" s="6" customFormat="1" ht="11.25" customHeight="1" x14ac:dyDescent="0.2">
      <c r="A234" s="56">
        <f t="shared" si="95"/>
        <v>43320</v>
      </c>
      <c r="B234" s="618"/>
      <c r="C234" s="392"/>
      <c r="D234" s="395"/>
      <c r="E234" s="387"/>
      <c r="F234" s="387"/>
      <c r="G234" s="110"/>
      <c r="I234" s="382">
        <f t="shared" si="72"/>
        <v>0</v>
      </c>
      <c r="J234" s="85">
        <v>2018</v>
      </c>
      <c r="K234" s="199">
        <f t="shared" si="73"/>
        <v>43320</v>
      </c>
      <c r="L234" s="437">
        <f t="shared" si="74"/>
        <v>1.6288885400417286E-4</v>
      </c>
      <c r="M234" s="881"/>
      <c r="N234" s="881"/>
      <c r="O234" s="326">
        <f t="shared" si="75"/>
        <v>1.7646235745810413E-3</v>
      </c>
      <c r="P234" s="171">
        <f>(INDEX(Models!$BJ234:$BT234,,T234)*(1-R234)+INDEX(Models!$BJ234:$BT234,,T234+1)*R234-ERP_i)*Q234*Ramure*Pc/MaxiM</f>
        <v>2.166751347271834E-4</v>
      </c>
      <c r="Q234" s="307">
        <f t="shared" si="76"/>
        <v>1</v>
      </c>
      <c r="R234" s="179">
        <f t="shared" si="77"/>
        <v>0.84299156608614556</v>
      </c>
      <c r="S234" s="837">
        <f t="shared" si="94"/>
        <v>-3</v>
      </c>
      <c r="T234" s="178">
        <f t="shared" si="78"/>
        <v>3</v>
      </c>
      <c r="U234" s="253">
        <f t="shared" si="79"/>
        <v>-2.1570084339138544</v>
      </c>
      <c r="V234" s="385">
        <f t="shared" si="80"/>
        <v>58.520481838721132</v>
      </c>
      <c r="W234" s="58"/>
      <c r="X234" s="157">
        <f t="shared" si="81"/>
        <v>43320</v>
      </c>
      <c r="Y234" s="387">
        <f t="shared" si="82"/>
        <v>0</v>
      </c>
      <c r="Z234" s="387">
        <f t="shared" si="83"/>
        <v>0</v>
      </c>
      <c r="AA234" s="388">
        <f t="shared" si="84"/>
        <v>0</v>
      </c>
      <c r="AB234" s="199">
        <f t="shared" si="85"/>
        <v>43320</v>
      </c>
      <c r="AC234" s="426">
        <f t="shared" si="86"/>
        <v>1.7646235745810413E-3</v>
      </c>
      <c r="AD234" s="171">
        <f>(INDEX(Models!$BJ234:$BT234,,AH234)*(1-AF234)+INDEX(Models!$BJ234:$BT234,,AH234+1)*AF234-ERP_i)*AE234*Ramure*Pc/MaxiM</f>
        <v>2.166751347271834E-4</v>
      </c>
      <c r="AE234" s="307">
        <f t="shared" si="87"/>
        <v>1</v>
      </c>
      <c r="AF234" s="179">
        <f t="shared" si="88"/>
        <v>0.84299156608614556</v>
      </c>
      <c r="AG234" s="837">
        <f t="shared" si="89"/>
        <v>-3</v>
      </c>
      <c r="AH234" s="178">
        <f t="shared" si="90"/>
        <v>3</v>
      </c>
      <c r="AI234" s="227">
        <f t="shared" si="91"/>
        <v>-2.1570084339138544</v>
      </c>
      <c r="AJ234" s="267" t="b">
        <f t="shared" si="92"/>
        <v>0</v>
      </c>
      <c r="AK234" s="267" t="b">
        <f t="shared" si="93"/>
        <v>0</v>
      </c>
      <c r="AL234" s="267"/>
      <c r="AM234" s="267"/>
      <c r="AN234" s="75"/>
    </row>
    <row r="235" spans="1:40" s="6" customFormat="1" ht="11.25" customHeight="1" x14ac:dyDescent="0.2">
      <c r="A235" s="56">
        <f t="shared" si="95"/>
        <v>43321</v>
      </c>
      <c r="B235" s="618"/>
      <c r="C235" s="392"/>
      <c r="D235" s="395"/>
      <c r="E235" s="387"/>
      <c r="F235" s="387"/>
      <c r="G235" s="110"/>
      <c r="I235" s="382">
        <f t="shared" si="72"/>
        <v>0</v>
      </c>
      <c r="J235" s="85">
        <v>2018</v>
      </c>
      <c r="K235" s="199">
        <f t="shared" si="73"/>
        <v>43321</v>
      </c>
      <c r="L235" s="437">
        <f t="shared" si="74"/>
        <v>1.8615652424858187E-4</v>
      </c>
      <c r="M235" s="881"/>
      <c r="N235" s="881"/>
      <c r="O235" s="326">
        <f t="shared" si="75"/>
        <v>2.0154907192182245E-3</v>
      </c>
      <c r="P235" s="171">
        <f>(INDEX(Models!$BJ235:$BT235,,T235)*(1-R235)+INDEX(Models!$BJ235:$BT235,,T235+1)*R235-ERP_i)*Q235*Ramure*Pc/MaxiM</f>
        <v>2.3704170762083523E-4</v>
      </c>
      <c r="Q235" s="307">
        <f t="shared" si="76"/>
        <v>1</v>
      </c>
      <c r="R235" s="179">
        <f t="shared" si="77"/>
        <v>0.8451074713022253</v>
      </c>
      <c r="S235" s="837">
        <f t="shared" si="94"/>
        <v>-3</v>
      </c>
      <c r="T235" s="178">
        <f t="shared" si="78"/>
        <v>3</v>
      </c>
      <c r="U235" s="253">
        <f t="shared" si="79"/>
        <v>-2.1548925286977747</v>
      </c>
      <c r="V235" s="385">
        <f t="shared" si="80"/>
        <v>58.302601992784496</v>
      </c>
      <c r="W235" s="58"/>
      <c r="X235" s="157">
        <f t="shared" si="81"/>
        <v>43321</v>
      </c>
      <c r="Y235" s="387">
        <f t="shared" si="82"/>
        <v>0</v>
      </c>
      <c r="Z235" s="387">
        <f t="shared" si="83"/>
        <v>0</v>
      </c>
      <c r="AA235" s="388">
        <f t="shared" si="84"/>
        <v>0</v>
      </c>
      <c r="AB235" s="199">
        <f t="shared" si="85"/>
        <v>43321</v>
      </c>
      <c r="AC235" s="426">
        <f t="shared" si="86"/>
        <v>2.0154907192182245E-3</v>
      </c>
      <c r="AD235" s="171">
        <f>(INDEX(Models!$BJ235:$BT235,,AH235)*(1-AF235)+INDEX(Models!$BJ235:$BT235,,AH235+1)*AF235-ERP_i)*AE235*Ramure*Pc/MaxiM</f>
        <v>2.3704170762083523E-4</v>
      </c>
      <c r="AE235" s="307">
        <f t="shared" si="87"/>
        <v>1</v>
      </c>
      <c r="AF235" s="179">
        <f t="shared" si="88"/>
        <v>0.8451074713022253</v>
      </c>
      <c r="AG235" s="837">
        <f t="shared" si="89"/>
        <v>-3</v>
      </c>
      <c r="AH235" s="178">
        <f t="shared" si="90"/>
        <v>3</v>
      </c>
      <c r="AI235" s="227">
        <f t="shared" si="91"/>
        <v>-2.1548925286977747</v>
      </c>
      <c r="AJ235" s="267" t="b">
        <f t="shared" si="92"/>
        <v>0</v>
      </c>
      <c r="AK235" s="267" t="b">
        <f t="shared" si="93"/>
        <v>0</v>
      </c>
      <c r="AL235" s="267"/>
      <c r="AM235" s="267"/>
      <c r="AN235" s="75"/>
    </row>
    <row r="236" spans="1:40" s="6" customFormat="1" ht="11.25" customHeight="1" x14ac:dyDescent="0.2">
      <c r="A236" s="56">
        <f t="shared" si="95"/>
        <v>43322</v>
      </c>
      <c r="B236" s="618"/>
      <c r="C236" s="392"/>
      <c r="D236" s="395"/>
      <c r="E236" s="387"/>
      <c r="F236" s="387"/>
      <c r="G236" s="110"/>
      <c r="I236" s="382">
        <f t="shared" si="72"/>
        <v>0</v>
      </c>
      <c r="J236" s="85">
        <v>2018</v>
      </c>
      <c r="K236" s="199">
        <f t="shared" si="73"/>
        <v>43322</v>
      </c>
      <c r="L236" s="437">
        <f t="shared" si="74"/>
        <v>2.0942365302023536E-4</v>
      </c>
      <c r="M236" s="881"/>
      <c r="N236" s="881"/>
      <c r="O236" s="326">
        <f t="shared" si="75"/>
        <v>2.2660436638684786E-3</v>
      </c>
      <c r="P236" s="171">
        <f>(INDEX(Models!$BJ236:$BT236,,T236)*(1-R236)+INDEX(Models!$BJ236:$BT236,,T236+1)*R236-ERP_i)*Q236*Ramure*Pc/MaxiM</f>
        <v>2.5885498785270137E-4</v>
      </c>
      <c r="Q236" s="307">
        <f t="shared" si="76"/>
        <v>1</v>
      </c>
      <c r="R236" s="179">
        <f t="shared" si="77"/>
        <v>0.84715129695448121</v>
      </c>
      <c r="S236" s="837">
        <f t="shared" si="94"/>
        <v>-3</v>
      </c>
      <c r="T236" s="178">
        <f t="shared" si="78"/>
        <v>3</v>
      </c>
      <c r="U236" s="253">
        <f t="shared" si="79"/>
        <v>-2.1528487030455188</v>
      </c>
      <c r="V236" s="385">
        <f t="shared" si="80"/>
        <v>58.081844943428536</v>
      </c>
      <c r="W236" s="58"/>
      <c r="X236" s="157">
        <f t="shared" si="81"/>
        <v>43322</v>
      </c>
      <c r="Y236" s="387">
        <f t="shared" si="82"/>
        <v>0</v>
      </c>
      <c r="Z236" s="387">
        <f t="shared" si="83"/>
        <v>0</v>
      </c>
      <c r="AA236" s="388">
        <f t="shared" si="84"/>
        <v>0</v>
      </c>
      <c r="AB236" s="199">
        <f t="shared" si="85"/>
        <v>43322</v>
      </c>
      <c r="AC236" s="426">
        <f t="shared" si="86"/>
        <v>2.2660436638684786E-3</v>
      </c>
      <c r="AD236" s="171">
        <f>(INDEX(Models!$BJ236:$BT236,,AH236)*(1-AF236)+INDEX(Models!$BJ236:$BT236,,AH236+1)*AF236-ERP_i)*AE236*Ramure*Pc/MaxiM</f>
        <v>2.5885498785270137E-4</v>
      </c>
      <c r="AE236" s="307">
        <f t="shared" si="87"/>
        <v>1</v>
      </c>
      <c r="AF236" s="179">
        <f t="shared" si="88"/>
        <v>0.84715129695448121</v>
      </c>
      <c r="AG236" s="837">
        <f t="shared" si="89"/>
        <v>-3</v>
      </c>
      <c r="AH236" s="178">
        <f t="shared" si="90"/>
        <v>3</v>
      </c>
      <c r="AI236" s="227">
        <f t="shared" si="91"/>
        <v>-2.1528487030455188</v>
      </c>
      <c r="AJ236" s="267" t="b">
        <f t="shared" si="92"/>
        <v>0</v>
      </c>
      <c r="AK236" s="267" t="b">
        <f t="shared" si="93"/>
        <v>0</v>
      </c>
      <c r="AL236" s="267"/>
      <c r="AM236" s="267"/>
      <c r="AN236" s="75"/>
    </row>
    <row r="237" spans="1:40" s="6" customFormat="1" ht="11.25" customHeight="1" x14ac:dyDescent="0.2">
      <c r="A237" s="56">
        <f t="shared" si="95"/>
        <v>43323</v>
      </c>
      <c r="B237" s="618"/>
      <c r="C237" s="392"/>
      <c r="D237" s="395"/>
      <c r="E237" s="387"/>
      <c r="F237" s="387"/>
      <c r="G237" s="110"/>
      <c r="I237" s="382">
        <f t="shared" si="72"/>
        <v>0</v>
      </c>
      <c r="J237" s="85">
        <v>2018</v>
      </c>
      <c r="K237" s="199">
        <f t="shared" si="73"/>
        <v>43323</v>
      </c>
      <c r="L237" s="437">
        <f t="shared" si="74"/>
        <v>2.3269024033190089E-4</v>
      </c>
      <c r="M237" s="881"/>
      <c r="N237" s="881"/>
      <c r="O237" s="326">
        <f t="shared" si="75"/>
        <v>2.5162794513309368E-3</v>
      </c>
      <c r="P237" s="171">
        <f>(INDEX(Models!$BJ237:$BT237,,T237)*(1-R237)+INDEX(Models!$BJ237:$BT237,,T237+1)*R237-ERP_i)*Q237*Ramure*Pc/MaxiM</f>
        <v>2.8214153161100654E-4</v>
      </c>
      <c r="Q237" s="307">
        <f t="shared" si="76"/>
        <v>1</v>
      </c>
      <c r="R237" s="179">
        <f t="shared" si="77"/>
        <v>0.84912502550336111</v>
      </c>
      <c r="S237" s="837">
        <f t="shared" si="94"/>
        <v>-3</v>
      </c>
      <c r="T237" s="178">
        <f t="shared" si="78"/>
        <v>3</v>
      </c>
      <c r="U237" s="253">
        <f t="shared" si="79"/>
        <v>-2.1508749744966389</v>
      </c>
      <c r="V237" s="385">
        <f t="shared" si="80"/>
        <v>57.857761856904496</v>
      </c>
      <c r="W237" s="58"/>
      <c r="X237" s="157">
        <f t="shared" si="81"/>
        <v>43323</v>
      </c>
      <c r="Y237" s="387">
        <f t="shared" si="82"/>
        <v>0</v>
      </c>
      <c r="Z237" s="387">
        <f t="shared" si="83"/>
        <v>0</v>
      </c>
      <c r="AA237" s="388">
        <f t="shared" si="84"/>
        <v>0</v>
      </c>
      <c r="AB237" s="199">
        <f t="shared" si="85"/>
        <v>43323</v>
      </c>
      <c r="AC237" s="426">
        <f t="shared" si="86"/>
        <v>2.5162794513309368E-3</v>
      </c>
      <c r="AD237" s="171">
        <f>(INDEX(Models!$BJ237:$BT237,,AH237)*(1-AF237)+INDEX(Models!$BJ237:$BT237,,AH237+1)*AF237-ERP_i)*AE237*Ramure*Pc/MaxiM</f>
        <v>2.8214153161100654E-4</v>
      </c>
      <c r="AE237" s="307">
        <f t="shared" si="87"/>
        <v>1</v>
      </c>
      <c r="AF237" s="179">
        <f t="shared" si="88"/>
        <v>0.84912502550336111</v>
      </c>
      <c r="AG237" s="837">
        <f t="shared" si="89"/>
        <v>-3</v>
      </c>
      <c r="AH237" s="178">
        <f t="shared" si="90"/>
        <v>3</v>
      </c>
      <c r="AI237" s="227">
        <f t="shared" si="91"/>
        <v>-2.1508749744966389</v>
      </c>
      <c r="AJ237" s="267" t="b">
        <f t="shared" si="92"/>
        <v>0</v>
      </c>
      <c r="AK237" s="267" t="b">
        <f t="shared" si="93"/>
        <v>0</v>
      </c>
      <c r="AL237" s="267"/>
      <c r="AM237" s="267"/>
      <c r="AN237" s="75"/>
    </row>
    <row r="238" spans="1:40" s="6" customFormat="1" ht="11.25" customHeight="1" x14ac:dyDescent="0.2">
      <c r="A238" s="56">
        <f t="shared" si="95"/>
        <v>43324</v>
      </c>
      <c r="B238" s="618"/>
      <c r="C238" s="392"/>
      <c r="D238" s="395"/>
      <c r="E238" s="387"/>
      <c r="F238" s="387"/>
      <c r="G238" s="110"/>
      <c r="I238" s="382">
        <f t="shared" si="72"/>
        <v>0</v>
      </c>
      <c r="J238" s="85">
        <v>2018</v>
      </c>
      <c r="K238" s="199">
        <f t="shared" si="73"/>
        <v>43324</v>
      </c>
      <c r="L238" s="437">
        <f t="shared" si="74"/>
        <v>2.5595628619601296E-4</v>
      </c>
      <c r="M238" s="881"/>
      <c r="N238" s="881"/>
      <c r="O238" s="326">
        <f t="shared" si="75"/>
        <v>2.7661950258032969E-3</v>
      </c>
      <c r="P238" s="171">
        <f>(INDEX(Models!$BJ238:$BT238,,T238)*(1-R238)+INDEX(Models!$BJ238:$BT238,,T238+1)*R238-ERP_i)*Q238*Ramure*Pc/MaxiM</f>
        <v>3.069290050171951E-4</v>
      </c>
      <c r="Q238" s="307">
        <f t="shared" si="76"/>
        <v>1</v>
      </c>
      <c r="R238" s="179">
        <f t="shared" si="77"/>
        <v>0.85103062008595343</v>
      </c>
      <c r="S238" s="837">
        <f t="shared" si="94"/>
        <v>-3</v>
      </c>
      <c r="T238" s="178">
        <f t="shared" si="78"/>
        <v>3</v>
      </c>
      <c r="U238" s="253">
        <f t="shared" si="79"/>
        <v>-2.1489693799140466</v>
      </c>
      <c r="V238" s="385">
        <f t="shared" si="80"/>
        <v>57.62990442163219</v>
      </c>
      <c r="W238" s="58"/>
      <c r="X238" s="157">
        <f t="shared" si="81"/>
        <v>43324</v>
      </c>
      <c r="Y238" s="387">
        <f t="shared" si="82"/>
        <v>0</v>
      </c>
      <c r="Z238" s="387">
        <f t="shared" si="83"/>
        <v>0</v>
      </c>
      <c r="AA238" s="388">
        <f t="shared" si="84"/>
        <v>0</v>
      </c>
      <c r="AB238" s="199">
        <f t="shared" si="85"/>
        <v>43324</v>
      </c>
      <c r="AC238" s="426">
        <f t="shared" si="86"/>
        <v>2.7661950258032969E-3</v>
      </c>
      <c r="AD238" s="171">
        <f>(INDEX(Models!$BJ238:$BT238,,AH238)*(1-AF238)+INDEX(Models!$BJ238:$BT238,,AH238+1)*AF238-ERP_i)*AE238*Ramure*Pc/MaxiM</f>
        <v>3.069290050171951E-4</v>
      </c>
      <c r="AE238" s="307">
        <f t="shared" si="87"/>
        <v>1</v>
      </c>
      <c r="AF238" s="179">
        <f t="shared" si="88"/>
        <v>0.85103062008595343</v>
      </c>
      <c r="AG238" s="837">
        <f t="shared" si="89"/>
        <v>-3</v>
      </c>
      <c r="AH238" s="178">
        <f t="shared" si="90"/>
        <v>3</v>
      </c>
      <c r="AI238" s="227">
        <f t="shared" si="91"/>
        <v>-2.1489693799140466</v>
      </c>
      <c r="AJ238" s="267" t="b">
        <f t="shared" si="92"/>
        <v>0</v>
      </c>
      <c r="AK238" s="267" t="b">
        <f t="shared" si="93"/>
        <v>0</v>
      </c>
      <c r="AL238" s="267"/>
      <c r="AM238" s="267"/>
      <c r="AN238" s="75"/>
    </row>
    <row r="239" spans="1:40" s="6" customFormat="1" ht="11.25" customHeight="1" x14ac:dyDescent="0.2">
      <c r="A239" s="56">
        <f t="shared" si="95"/>
        <v>43325</v>
      </c>
      <c r="B239" s="618"/>
      <c r="C239" s="392"/>
      <c r="D239" s="395"/>
      <c r="E239" s="387"/>
      <c r="F239" s="387"/>
      <c r="G239" s="110"/>
      <c r="I239" s="382">
        <f t="shared" si="72"/>
        <v>0</v>
      </c>
      <c r="J239" s="85">
        <v>2018</v>
      </c>
      <c r="K239" s="199">
        <f t="shared" si="73"/>
        <v>43325</v>
      </c>
      <c r="L239" s="437">
        <f t="shared" si="74"/>
        <v>2.7922179062522812E-4</v>
      </c>
      <c r="M239" s="881"/>
      <c r="N239" s="881"/>
      <c r="O239" s="326">
        <f t="shared" si="75"/>
        <v>3.0157872044415451E-3</v>
      </c>
      <c r="P239" s="171">
        <f>(INDEX(Models!$BJ239:$BT239,,T239)*(1-R239)+INDEX(Models!$BJ239:$BT239,,T239+1)*R239-ERP_i)*Q239*Ramure*Pc/MaxiM</f>
        <v>3.3324636678646029E-4</v>
      </c>
      <c r="Q239" s="307">
        <f t="shared" si="76"/>
        <v>1</v>
      </c>
      <c r="R239" s="179">
        <f t="shared" si="77"/>
        <v>0.85287002174479465</v>
      </c>
      <c r="S239" s="837">
        <f t="shared" si="94"/>
        <v>-3</v>
      </c>
      <c r="T239" s="178">
        <f t="shared" si="78"/>
        <v>3</v>
      </c>
      <c r="U239" s="253">
        <f t="shared" si="79"/>
        <v>-2.1471299782552054</v>
      </c>
      <c r="V239" s="385">
        <f t="shared" si="80"/>
        <v>57.397824839710644</v>
      </c>
      <c r="W239" s="58"/>
      <c r="X239" s="157">
        <f t="shared" si="81"/>
        <v>43325</v>
      </c>
      <c r="Y239" s="387">
        <f t="shared" si="82"/>
        <v>0</v>
      </c>
      <c r="Z239" s="387">
        <f t="shared" si="83"/>
        <v>0</v>
      </c>
      <c r="AA239" s="388">
        <f t="shared" si="84"/>
        <v>0</v>
      </c>
      <c r="AB239" s="199">
        <f t="shared" si="85"/>
        <v>43325</v>
      </c>
      <c r="AC239" s="426">
        <f t="shared" si="86"/>
        <v>3.0157872044415451E-3</v>
      </c>
      <c r="AD239" s="171">
        <f>(INDEX(Models!$BJ239:$BT239,,AH239)*(1-AF239)+INDEX(Models!$BJ239:$BT239,,AH239+1)*AF239-ERP_i)*AE239*Ramure*Pc/MaxiM</f>
        <v>3.3324636678646029E-4</v>
      </c>
      <c r="AE239" s="307">
        <f t="shared" si="87"/>
        <v>1</v>
      </c>
      <c r="AF239" s="179">
        <f t="shared" si="88"/>
        <v>0.85287002174479465</v>
      </c>
      <c r="AG239" s="837">
        <f t="shared" si="89"/>
        <v>-3</v>
      </c>
      <c r="AH239" s="178">
        <f t="shared" si="90"/>
        <v>3</v>
      </c>
      <c r="AI239" s="227">
        <f t="shared" si="91"/>
        <v>-2.1471299782552054</v>
      </c>
      <c r="AJ239" s="267" t="b">
        <f t="shared" si="92"/>
        <v>0</v>
      </c>
      <c r="AK239" s="267" t="b">
        <f t="shared" si="93"/>
        <v>0</v>
      </c>
      <c r="AL239" s="267"/>
      <c r="AM239" s="267"/>
      <c r="AN239" s="75"/>
    </row>
    <row r="240" spans="1:40" s="6" customFormat="1" ht="11.25" customHeight="1" x14ac:dyDescent="0.2">
      <c r="A240" s="56">
        <f t="shared" si="95"/>
        <v>43326</v>
      </c>
      <c r="B240" s="618"/>
      <c r="C240" s="392"/>
      <c r="D240" s="395"/>
      <c r="E240" s="387"/>
      <c r="F240" s="387"/>
      <c r="G240" s="110"/>
      <c r="I240" s="382">
        <f t="shared" si="72"/>
        <v>0</v>
      </c>
      <c r="J240" s="85">
        <v>2018</v>
      </c>
      <c r="K240" s="199">
        <f t="shared" si="73"/>
        <v>43326</v>
      </c>
      <c r="L240" s="437">
        <f t="shared" si="74"/>
        <v>3.0248675363231392E-4</v>
      </c>
      <c r="M240" s="881"/>
      <c r="N240" s="881"/>
      <c r="O240" s="326">
        <f t="shared" si="75"/>
        <v>3.2650526521928514E-3</v>
      </c>
      <c r="P240" s="171">
        <f>(INDEX(Models!$BJ240:$BT240,,T240)*(1-R240)+INDEX(Models!$BJ240:$BT240,,T240+1)*R240-ERP_i)*Q240*Ramure*Pc/MaxiM</f>
        <v>3.6096604930705518E-4</v>
      </c>
      <c r="Q240" s="307">
        <f t="shared" si="76"/>
        <v>1</v>
      </c>
      <c r="R240" s="179">
        <f t="shared" si="77"/>
        <v>0.85464514693012283</v>
      </c>
      <c r="S240" s="837">
        <f t="shared" si="94"/>
        <v>-3</v>
      </c>
      <c r="T240" s="178">
        <f t="shared" si="78"/>
        <v>3</v>
      </c>
      <c r="U240" s="253">
        <f t="shared" si="79"/>
        <v>-2.1453548530698772</v>
      </c>
      <c r="V240" s="385">
        <f t="shared" si="80"/>
        <v>57.161084866479968</v>
      </c>
      <c r="W240" s="58"/>
      <c r="X240" s="157">
        <f t="shared" si="81"/>
        <v>43326</v>
      </c>
      <c r="Y240" s="387">
        <f t="shared" si="82"/>
        <v>0</v>
      </c>
      <c r="Z240" s="387">
        <f t="shared" si="83"/>
        <v>0</v>
      </c>
      <c r="AA240" s="388">
        <f t="shared" si="84"/>
        <v>0</v>
      </c>
      <c r="AB240" s="199">
        <f t="shared" si="85"/>
        <v>43326</v>
      </c>
      <c r="AC240" s="426">
        <f t="shared" si="86"/>
        <v>3.2650526521928514E-3</v>
      </c>
      <c r="AD240" s="171">
        <f>(INDEX(Models!$BJ240:$BT240,,AH240)*(1-AF240)+INDEX(Models!$BJ240:$BT240,,AH240+1)*AF240-ERP_i)*AE240*Ramure*Pc/MaxiM</f>
        <v>3.6096604930705518E-4</v>
      </c>
      <c r="AE240" s="307">
        <f t="shared" si="87"/>
        <v>1</v>
      </c>
      <c r="AF240" s="179">
        <f t="shared" si="88"/>
        <v>0.85464514693012283</v>
      </c>
      <c r="AG240" s="837">
        <f t="shared" si="89"/>
        <v>-3</v>
      </c>
      <c r="AH240" s="178">
        <f t="shared" si="90"/>
        <v>3</v>
      </c>
      <c r="AI240" s="227">
        <f t="shared" si="91"/>
        <v>-2.1453548530698772</v>
      </c>
      <c r="AJ240" s="267" t="b">
        <f t="shared" si="92"/>
        <v>0</v>
      </c>
      <c r="AK240" s="267" t="b">
        <f t="shared" si="93"/>
        <v>0</v>
      </c>
      <c r="AL240" s="267"/>
      <c r="AM240" s="267"/>
      <c r="AN240" s="75"/>
    </row>
    <row r="241" spans="1:40" s="6" customFormat="1" ht="11.25" customHeight="1" x14ac:dyDescent="0.2">
      <c r="A241" s="56">
        <f t="shared" si="95"/>
        <v>43327</v>
      </c>
      <c r="B241" s="618"/>
      <c r="C241" s="392"/>
      <c r="D241" s="395"/>
      <c r="E241" s="387"/>
      <c r="F241" s="387"/>
      <c r="G241" s="110"/>
      <c r="I241" s="382">
        <f t="shared" si="72"/>
        <v>0</v>
      </c>
      <c r="J241" s="85">
        <v>2018</v>
      </c>
      <c r="K241" s="199">
        <f t="shared" si="73"/>
        <v>43327</v>
      </c>
      <c r="L241" s="437">
        <f t="shared" si="74"/>
        <v>3.2575117522959385E-4</v>
      </c>
      <c r="M241" s="881"/>
      <c r="N241" s="881"/>
      <c r="O241" s="326">
        <f t="shared" si="75"/>
        <v>3.5139878597049592E-3</v>
      </c>
      <c r="P241" s="171">
        <f>(INDEX(Models!$BJ241:$BT241,,T241)*(1-R241)+INDEX(Models!$BJ241:$BT241,,T241+1)*R241-ERP_i)*Q241*Ramure*Pc/MaxiM</f>
        <v>3.8924557916050507E-4</v>
      </c>
      <c r="Q241" s="307">
        <f t="shared" si="76"/>
        <v>1</v>
      </c>
      <c r="R241" s="179">
        <f t="shared" si="77"/>
        <v>0.85635788526237899</v>
      </c>
      <c r="S241" s="837">
        <f t="shared" si="94"/>
        <v>-3</v>
      </c>
      <c r="T241" s="178">
        <f t="shared" si="78"/>
        <v>3</v>
      </c>
      <c r="U241" s="253">
        <f t="shared" si="79"/>
        <v>-2.143642114737621</v>
      </c>
      <c r="V241" s="385">
        <f t="shared" si="80"/>
        <v>56.919287426476906</v>
      </c>
      <c r="W241" s="58"/>
      <c r="X241" s="157">
        <f t="shared" si="81"/>
        <v>43327</v>
      </c>
      <c r="Y241" s="387">
        <f t="shared" si="82"/>
        <v>0</v>
      </c>
      <c r="Z241" s="387">
        <f t="shared" si="83"/>
        <v>0</v>
      </c>
      <c r="AA241" s="388">
        <f t="shared" si="84"/>
        <v>0</v>
      </c>
      <c r="AB241" s="199">
        <f t="shared" si="85"/>
        <v>43327</v>
      </c>
      <c r="AC241" s="426">
        <f t="shared" si="86"/>
        <v>3.5139878597049592E-3</v>
      </c>
      <c r="AD241" s="171">
        <f>(INDEX(Models!$BJ241:$BT241,,AH241)*(1-AF241)+INDEX(Models!$BJ241:$BT241,,AH241+1)*AF241-ERP_i)*AE241*Ramure*Pc/MaxiM</f>
        <v>3.8924557916050507E-4</v>
      </c>
      <c r="AE241" s="307">
        <f t="shared" si="87"/>
        <v>1</v>
      </c>
      <c r="AF241" s="179">
        <f t="shared" si="88"/>
        <v>0.85635788526237899</v>
      </c>
      <c r="AG241" s="837">
        <f t="shared" si="89"/>
        <v>-3</v>
      </c>
      <c r="AH241" s="178">
        <f t="shared" si="90"/>
        <v>3</v>
      </c>
      <c r="AI241" s="227">
        <f t="shared" si="91"/>
        <v>-2.143642114737621</v>
      </c>
      <c r="AJ241" s="267" t="b">
        <f t="shared" si="92"/>
        <v>0</v>
      </c>
      <c r="AK241" s="267" t="b">
        <f t="shared" si="93"/>
        <v>0</v>
      </c>
      <c r="AL241" s="267"/>
      <c r="AM241" s="267"/>
      <c r="AN241" s="75"/>
    </row>
    <row r="242" spans="1:40" s="6" customFormat="1" ht="11.25" customHeight="1" x14ac:dyDescent="0.2">
      <c r="A242" s="56">
        <f t="shared" si="95"/>
        <v>43328</v>
      </c>
      <c r="B242" s="618"/>
      <c r="C242" s="392"/>
      <c r="D242" s="395"/>
      <c r="E242" s="387"/>
      <c r="F242" s="387"/>
      <c r="G242" s="110"/>
      <c r="I242" s="382">
        <f t="shared" si="72"/>
        <v>0</v>
      </c>
      <c r="J242" s="85">
        <v>2018</v>
      </c>
      <c r="K242" s="199">
        <f t="shared" si="73"/>
        <v>43328</v>
      </c>
      <c r="L242" s="437">
        <f t="shared" si="74"/>
        <v>3.4901505542983546E-4</v>
      </c>
      <c r="M242" s="881"/>
      <c r="N242" s="881"/>
      <c r="O242" s="326">
        <f t="shared" si="75"/>
        <v>3.7625891240669232E-3</v>
      </c>
      <c r="P242" s="171">
        <f>(INDEX(Models!$BJ242:$BT242,,T242)*(1-R242)+INDEX(Models!$BJ242:$BT242,,T242+1)*R242-ERP_i)*Q242*Ramure*Pc/MaxiM</f>
        <v>4.1809856645365866E-4</v>
      </c>
      <c r="Q242" s="307">
        <f t="shared" si="76"/>
        <v>1</v>
      </c>
      <c r="R242" s="179">
        <f t="shared" si="77"/>
        <v>0.85801009754160562</v>
      </c>
      <c r="S242" s="837">
        <f t="shared" si="94"/>
        <v>-3</v>
      </c>
      <c r="T242" s="178">
        <f t="shared" si="78"/>
        <v>3</v>
      </c>
      <c r="U242" s="253">
        <f t="shared" si="79"/>
        <v>-2.1419899024583944</v>
      </c>
      <c r="V242" s="385">
        <f t="shared" si="80"/>
        <v>56.671986656203586</v>
      </c>
      <c r="W242" s="58"/>
      <c r="X242" s="157">
        <f t="shared" si="81"/>
        <v>43328</v>
      </c>
      <c r="Y242" s="387">
        <f t="shared" si="82"/>
        <v>0</v>
      </c>
      <c r="Z242" s="387">
        <f t="shared" si="83"/>
        <v>0</v>
      </c>
      <c r="AA242" s="388">
        <f t="shared" si="84"/>
        <v>0</v>
      </c>
      <c r="AB242" s="199">
        <f t="shared" si="85"/>
        <v>43328</v>
      </c>
      <c r="AC242" s="426">
        <f t="shared" si="86"/>
        <v>3.7625891240669232E-3</v>
      </c>
      <c r="AD242" s="171">
        <f>(INDEX(Models!$BJ242:$BT242,,AH242)*(1-AF242)+INDEX(Models!$BJ242:$BT242,,AH242+1)*AF242-ERP_i)*AE242*Ramure*Pc/MaxiM</f>
        <v>4.1809856645365866E-4</v>
      </c>
      <c r="AE242" s="307">
        <f t="shared" si="87"/>
        <v>1</v>
      </c>
      <c r="AF242" s="179">
        <f t="shared" si="88"/>
        <v>0.85801009754160562</v>
      </c>
      <c r="AG242" s="837">
        <f t="shared" si="89"/>
        <v>-3</v>
      </c>
      <c r="AH242" s="178">
        <f t="shared" si="90"/>
        <v>3</v>
      </c>
      <c r="AI242" s="227">
        <f t="shared" si="91"/>
        <v>-2.1419899024583944</v>
      </c>
      <c r="AJ242" s="267" t="b">
        <f t="shared" si="92"/>
        <v>0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5"/>
        <v>43329</v>
      </c>
      <c r="B243" s="618"/>
      <c r="C243" s="392"/>
      <c r="D243" s="395"/>
      <c r="E243" s="387"/>
      <c r="F243" s="387"/>
      <c r="G243" s="110"/>
      <c r="I243" s="382">
        <f t="shared" si="72"/>
        <v>0</v>
      </c>
      <c r="J243" s="85">
        <v>2018</v>
      </c>
      <c r="K243" s="199">
        <f t="shared" si="73"/>
        <v>43329</v>
      </c>
      <c r="L243" s="437">
        <f t="shared" si="74"/>
        <v>3.7227839424558429E-4</v>
      </c>
      <c r="M243" s="881"/>
      <c r="N243" s="881"/>
      <c r="O243" s="326">
        <f t="shared" si="75"/>
        <v>4.0108525320970596E-3</v>
      </c>
      <c r="P243" s="171">
        <f>(INDEX(Models!$BJ243:$BT243,,T243)*(1-R243)+INDEX(Models!$BJ243:$BT243,,T243+1)*R243-ERP_i)*Q243*Ramure*Pc/MaxiM</f>
        <v>4.4754023660247569E-4</v>
      </c>
      <c r="Q243" s="307">
        <f t="shared" si="76"/>
        <v>1</v>
      </c>
      <c r="R243" s="179">
        <f t="shared" si="77"/>
        <v>0.85960361399039931</v>
      </c>
      <c r="S243" s="837">
        <f t="shared" si="94"/>
        <v>-3</v>
      </c>
      <c r="T243" s="178">
        <f t="shared" si="78"/>
        <v>3</v>
      </c>
      <c r="U243" s="253">
        <f t="shared" si="79"/>
        <v>-2.1403963860096007</v>
      </c>
      <c r="V243" s="385">
        <f t="shared" si="80"/>
        <v>56.418737179350366</v>
      </c>
      <c r="W243" s="58"/>
      <c r="X243" s="157">
        <f t="shared" si="81"/>
        <v>43329</v>
      </c>
      <c r="Y243" s="387">
        <f t="shared" si="82"/>
        <v>0</v>
      </c>
      <c r="Z243" s="387">
        <f t="shared" si="83"/>
        <v>0</v>
      </c>
      <c r="AA243" s="388">
        <f t="shared" si="84"/>
        <v>0</v>
      </c>
      <c r="AB243" s="199">
        <f t="shared" si="85"/>
        <v>43329</v>
      </c>
      <c r="AC243" s="426">
        <f t="shared" si="86"/>
        <v>4.0108525320970596E-3</v>
      </c>
      <c r="AD243" s="171">
        <f>(INDEX(Models!$BJ243:$BT243,,AH243)*(1-AF243)+INDEX(Models!$BJ243:$BT243,,AH243+1)*AF243-ERP_i)*AE243*Ramure*Pc/MaxiM</f>
        <v>4.4754023660247569E-4</v>
      </c>
      <c r="AE243" s="307">
        <f t="shared" si="87"/>
        <v>1</v>
      </c>
      <c r="AF243" s="179">
        <f t="shared" si="88"/>
        <v>0.85960361399039931</v>
      </c>
      <c r="AG243" s="837">
        <f t="shared" si="89"/>
        <v>-3</v>
      </c>
      <c r="AH243" s="178">
        <f t="shared" si="90"/>
        <v>3</v>
      </c>
      <c r="AI243" s="227">
        <f t="shared" si="91"/>
        <v>-2.1403963860096007</v>
      </c>
      <c r="AJ243" s="267" t="b">
        <f t="shared" si="92"/>
        <v>0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5"/>
        <v>43330</v>
      </c>
      <c r="B244" s="618"/>
      <c r="C244" s="392"/>
      <c r="D244" s="395"/>
      <c r="E244" s="387"/>
      <c r="F244" s="387"/>
      <c r="G244" s="110"/>
      <c r="I244" s="382">
        <f t="shared" si="72"/>
        <v>0</v>
      </c>
      <c r="J244" s="85">
        <v>2018</v>
      </c>
      <c r="K244" s="199">
        <f t="shared" si="73"/>
        <v>43330</v>
      </c>
      <c r="L244" s="437">
        <f t="shared" si="74"/>
        <v>3.9554119168949686E-4</v>
      </c>
      <c r="M244" s="881"/>
      <c r="N244" s="881"/>
      <c r="O244" s="326">
        <f t="shared" si="75"/>
        <v>4.2587739458581284E-3</v>
      </c>
      <c r="P244" s="171">
        <f>(INDEX(Models!$BJ244:$BT244,,T244)*(1-R244)+INDEX(Models!$BJ244:$BT244,,T244+1)*R244-ERP_i)*Q244*Ramure*Pc/MaxiM</f>
        <v>4.7758752324310864E-4</v>
      </c>
      <c r="Q244" s="307">
        <f t="shared" si="76"/>
        <v>1</v>
      </c>
      <c r="R244" s="179">
        <f t="shared" si="77"/>
        <v>0.86114023271713824</v>
      </c>
      <c r="S244" s="837">
        <f t="shared" si="94"/>
        <v>-3</v>
      </c>
      <c r="T244" s="178">
        <f t="shared" si="78"/>
        <v>3</v>
      </c>
      <c r="U244" s="253">
        <f t="shared" si="79"/>
        <v>-2.1388597672828618</v>
      </c>
      <c r="V244" s="385">
        <f t="shared" si="80"/>
        <v>56.159094092953453</v>
      </c>
      <c r="W244" s="58"/>
      <c r="X244" s="157">
        <f t="shared" si="81"/>
        <v>43330</v>
      </c>
      <c r="Y244" s="387">
        <f t="shared" si="82"/>
        <v>0</v>
      </c>
      <c r="Z244" s="387">
        <f t="shared" si="83"/>
        <v>0</v>
      </c>
      <c r="AA244" s="388">
        <f t="shared" si="84"/>
        <v>0</v>
      </c>
      <c r="AB244" s="199">
        <f t="shared" si="85"/>
        <v>43330</v>
      </c>
      <c r="AC244" s="426">
        <f t="shared" si="86"/>
        <v>4.2587739458581284E-3</v>
      </c>
      <c r="AD244" s="171">
        <f>(INDEX(Models!$BJ244:$BT244,,AH244)*(1-AF244)+INDEX(Models!$BJ244:$BT244,,AH244+1)*AF244-ERP_i)*AE244*Ramure*Pc/MaxiM</f>
        <v>4.7758752324310864E-4</v>
      </c>
      <c r="AE244" s="307">
        <f t="shared" si="87"/>
        <v>1</v>
      </c>
      <c r="AF244" s="179">
        <f t="shared" si="88"/>
        <v>0.86114023271713824</v>
      </c>
      <c r="AG244" s="837">
        <f t="shared" si="89"/>
        <v>-3</v>
      </c>
      <c r="AH244" s="178">
        <f t="shared" si="90"/>
        <v>3</v>
      </c>
      <c r="AI244" s="227">
        <f t="shared" si="91"/>
        <v>-2.1388597672828618</v>
      </c>
      <c r="AJ244" s="267" t="b">
        <f t="shared" si="92"/>
        <v>0</v>
      </c>
      <c r="AK244" s="267" t="b">
        <f t="shared" si="93"/>
        <v>0</v>
      </c>
      <c r="AL244" s="267"/>
      <c r="AM244" s="267"/>
      <c r="AN244" s="75"/>
    </row>
    <row r="245" spans="1:40" s="6" customFormat="1" ht="11.25" customHeight="1" x14ac:dyDescent="0.2">
      <c r="A245" s="56">
        <f t="shared" si="95"/>
        <v>43331</v>
      </c>
      <c r="B245" s="618"/>
      <c r="C245" s="392"/>
      <c r="D245" s="395"/>
      <c r="E245" s="387"/>
      <c r="F245" s="387"/>
      <c r="G245" s="110"/>
      <c r="I245" s="382">
        <f t="shared" si="72"/>
        <v>0</v>
      </c>
      <c r="J245" s="85">
        <v>2018</v>
      </c>
      <c r="K245" s="199">
        <f t="shared" si="73"/>
        <v>43331</v>
      </c>
      <c r="L245" s="437">
        <f t="shared" si="74"/>
        <v>4.1880344777400769E-4</v>
      </c>
      <c r="M245" s="881"/>
      <c r="N245" s="881"/>
      <c r="O245" s="326">
        <f t="shared" si="75"/>
        <v>4.5063489900533885E-3</v>
      </c>
      <c r="P245" s="171">
        <f>(INDEX(Models!$BJ245:$BT245,,T245)*(1-R245)+INDEX(Models!$BJ245:$BT245,,T245+1)*R245-ERP_i)*Q245*Ramure*Pc/MaxiM</f>
        <v>5.0825916838278531E-4</v>
      </c>
      <c r="Q245" s="307">
        <f t="shared" si="76"/>
        <v>1</v>
      </c>
      <c r="R245" s="179">
        <f t="shared" si="77"/>
        <v>0.86262171838635338</v>
      </c>
      <c r="S245" s="837">
        <f t="shared" si="94"/>
        <v>-3</v>
      </c>
      <c r="T245" s="178">
        <f t="shared" si="78"/>
        <v>3</v>
      </c>
      <c r="U245" s="253">
        <f t="shared" si="79"/>
        <v>-2.1373782816136466</v>
      </c>
      <c r="V245" s="385">
        <f t="shared" si="80"/>
        <v>55.892612973531762</v>
      </c>
      <c r="W245" s="58"/>
      <c r="X245" s="157">
        <f t="shared" si="81"/>
        <v>43331</v>
      </c>
      <c r="Y245" s="387">
        <f t="shared" si="82"/>
        <v>0</v>
      </c>
      <c r="Z245" s="387">
        <f t="shared" si="83"/>
        <v>0</v>
      </c>
      <c r="AA245" s="388">
        <f t="shared" si="84"/>
        <v>0</v>
      </c>
      <c r="AB245" s="199">
        <f t="shared" si="85"/>
        <v>43331</v>
      </c>
      <c r="AC245" s="426">
        <f t="shared" si="86"/>
        <v>4.5063489900533885E-3</v>
      </c>
      <c r="AD245" s="171">
        <f>(INDEX(Models!$BJ245:$BT245,,AH245)*(1-AF245)+INDEX(Models!$BJ245:$BT245,,AH245+1)*AF245-ERP_i)*AE245*Ramure*Pc/MaxiM</f>
        <v>5.0825916838278531E-4</v>
      </c>
      <c r="AE245" s="307">
        <f t="shared" si="87"/>
        <v>1</v>
      </c>
      <c r="AF245" s="179">
        <f t="shared" si="88"/>
        <v>0.86262171838635338</v>
      </c>
      <c r="AG245" s="837">
        <f t="shared" si="89"/>
        <v>-3</v>
      </c>
      <c r="AH245" s="178">
        <f t="shared" si="90"/>
        <v>3</v>
      </c>
      <c r="AI245" s="227">
        <f t="shared" si="91"/>
        <v>-2.1373782816136466</v>
      </c>
      <c r="AJ245" s="267" t="b">
        <f t="shared" si="92"/>
        <v>0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5"/>
        <v>43332</v>
      </c>
      <c r="B246" s="618"/>
      <c r="C246" s="392"/>
      <c r="D246" s="395"/>
      <c r="E246" s="387"/>
      <c r="F246" s="387"/>
      <c r="G246" s="110"/>
      <c r="I246" s="382">
        <f t="shared" si="72"/>
        <v>0</v>
      </c>
      <c r="J246" s="85">
        <v>2018</v>
      </c>
      <c r="K246" s="199">
        <f t="shared" si="73"/>
        <v>43332</v>
      </c>
      <c r="L246" s="437">
        <f t="shared" si="74"/>
        <v>4.4206516251199535E-4</v>
      </c>
      <c r="M246" s="881"/>
      <c r="N246" s="881"/>
      <c r="O246" s="326">
        <f t="shared" si="75"/>
        <v>4.7535730409371075E-3</v>
      </c>
      <c r="P246" s="171">
        <f>(INDEX(Models!$BJ246:$BT246,,T246)*(1-R246)+INDEX(Models!$BJ246:$BT246,,T246+1)*R246-ERP_i)*Q246*Ramure*Pc/MaxiM</f>
        <v>5.3957583095136982E-4</v>
      </c>
      <c r="Q246" s="307">
        <f t="shared" si="76"/>
        <v>1</v>
      </c>
      <c r="R246" s="179">
        <f t="shared" si="77"/>
        <v>0.86404980108335261</v>
      </c>
      <c r="S246" s="837">
        <f t="shared" si="94"/>
        <v>-3</v>
      </c>
      <c r="T246" s="178">
        <f t="shared" si="78"/>
        <v>3</v>
      </c>
      <c r="U246" s="253">
        <f t="shared" si="79"/>
        <v>-2.1359501989166474</v>
      </c>
      <c r="V246" s="385">
        <f t="shared" si="80"/>
        <v>55.618849877238688</v>
      </c>
      <c r="W246" s="58"/>
      <c r="X246" s="157">
        <f t="shared" si="81"/>
        <v>43332</v>
      </c>
      <c r="Y246" s="387">
        <f t="shared" si="82"/>
        <v>0</v>
      </c>
      <c r="Z246" s="387">
        <f t="shared" si="83"/>
        <v>0</v>
      </c>
      <c r="AA246" s="388">
        <f t="shared" si="84"/>
        <v>0</v>
      </c>
      <c r="AB246" s="199">
        <f t="shared" si="85"/>
        <v>43332</v>
      </c>
      <c r="AC246" s="426">
        <f t="shared" si="86"/>
        <v>4.7535730409371075E-3</v>
      </c>
      <c r="AD246" s="171">
        <f>(INDEX(Models!$BJ246:$BT246,,AH246)*(1-AF246)+INDEX(Models!$BJ246:$BT246,,AH246+1)*AF246-ERP_i)*AE246*Ramure*Pc/MaxiM</f>
        <v>5.3957583095136982E-4</v>
      </c>
      <c r="AE246" s="307">
        <f t="shared" si="87"/>
        <v>1</v>
      </c>
      <c r="AF246" s="179">
        <f t="shared" si="88"/>
        <v>0.86404980108335261</v>
      </c>
      <c r="AG246" s="837">
        <f t="shared" si="89"/>
        <v>-3</v>
      </c>
      <c r="AH246" s="178">
        <f t="shared" si="90"/>
        <v>3</v>
      </c>
      <c r="AI246" s="227">
        <f t="shared" si="91"/>
        <v>-2.1359501989166474</v>
      </c>
      <c r="AJ246" s="267" t="b">
        <f t="shared" si="92"/>
        <v>0</v>
      </c>
      <c r="AK246" s="267" t="b">
        <f t="shared" si="93"/>
        <v>0</v>
      </c>
      <c r="AL246" s="267"/>
      <c r="AM246" s="267"/>
      <c r="AN246" s="75"/>
    </row>
    <row r="247" spans="1:40" s="6" customFormat="1" ht="11.25" customHeight="1" x14ac:dyDescent="0.2">
      <c r="A247" s="56">
        <f t="shared" si="95"/>
        <v>43333</v>
      </c>
      <c r="B247" s="618"/>
      <c r="C247" s="392"/>
      <c r="D247" s="395"/>
      <c r="E247" s="387"/>
      <c r="F247" s="387"/>
      <c r="G247" s="110"/>
      <c r="I247" s="382">
        <f t="shared" si="72"/>
        <v>0</v>
      </c>
      <c r="J247" s="85">
        <v>2018</v>
      </c>
      <c r="K247" s="199">
        <f t="shared" si="73"/>
        <v>43333</v>
      </c>
      <c r="L247" s="437">
        <f t="shared" si="74"/>
        <v>4.6532633591578332E-4</v>
      </c>
      <c r="M247" s="881"/>
      <c r="N247" s="881"/>
      <c r="O247" s="326">
        <f t="shared" si="75"/>
        <v>5.0004412163601004E-3</v>
      </c>
      <c r="P247" s="171">
        <f>(INDEX(Models!$BJ247:$BT247,,T247)*(1-R247)+INDEX(Models!$BJ247:$BT247,,T247+1)*R247-ERP_i)*Q247*Ramure*Pc/MaxiM</f>
        <v>5.7154357043537004E-4</v>
      </c>
      <c r="Q247" s="307">
        <f t="shared" si="76"/>
        <v>1</v>
      </c>
      <c r="R247" s="179">
        <f t="shared" si="77"/>
        <v>0.86542617536048283</v>
      </c>
      <c r="S247" s="837">
        <f t="shared" si="94"/>
        <v>-3</v>
      </c>
      <c r="T247" s="178">
        <f t="shared" si="78"/>
        <v>3</v>
      </c>
      <c r="U247" s="253">
        <f t="shared" si="79"/>
        <v>-2.1345738246395172</v>
      </c>
      <c r="V247" s="385">
        <f t="shared" si="80"/>
        <v>55.338972815367228</v>
      </c>
      <c r="W247" s="58"/>
      <c r="X247" s="157">
        <f t="shared" si="81"/>
        <v>43333</v>
      </c>
      <c r="Y247" s="387">
        <f t="shared" si="82"/>
        <v>0</v>
      </c>
      <c r="Z247" s="387">
        <f t="shared" si="83"/>
        <v>0</v>
      </c>
      <c r="AA247" s="388">
        <f t="shared" si="84"/>
        <v>0</v>
      </c>
      <c r="AB247" s="199">
        <f t="shared" si="85"/>
        <v>43333</v>
      </c>
      <c r="AC247" s="426">
        <f t="shared" si="86"/>
        <v>5.0004412163601004E-3</v>
      </c>
      <c r="AD247" s="171">
        <f>(INDEX(Models!$BJ247:$BT247,,AH247)*(1-AF247)+INDEX(Models!$BJ247:$BT247,,AH247+1)*AF247-ERP_i)*AE247*Ramure*Pc/MaxiM</f>
        <v>5.7154357043537004E-4</v>
      </c>
      <c r="AE247" s="307">
        <f t="shared" si="87"/>
        <v>1</v>
      </c>
      <c r="AF247" s="179">
        <f t="shared" si="88"/>
        <v>0.86542617536048283</v>
      </c>
      <c r="AG247" s="837">
        <f t="shared" si="89"/>
        <v>-3</v>
      </c>
      <c r="AH247" s="178">
        <f t="shared" si="90"/>
        <v>3</v>
      </c>
      <c r="AI247" s="227">
        <f t="shared" si="91"/>
        <v>-2.1345738246395172</v>
      </c>
      <c r="AJ247" s="267" t="b">
        <f t="shared" si="92"/>
        <v>0</v>
      </c>
      <c r="AK247" s="267" t="b">
        <f t="shared" si="93"/>
        <v>0</v>
      </c>
      <c r="AL247" s="267"/>
      <c r="AM247" s="267"/>
      <c r="AN247" s="75"/>
    </row>
    <row r="248" spans="1:40" s="6" customFormat="1" ht="11.25" customHeight="1" x14ac:dyDescent="0.2">
      <c r="A248" s="56">
        <f t="shared" si="95"/>
        <v>43334</v>
      </c>
      <c r="B248" s="618"/>
      <c r="C248" s="392"/>
      <c r="D248" s="395"/>
      <c r="E248" s="387"/>
      <c r="F248" s="387"/>
      <c r="G248" s="110"/>
      <c r="I248" s="382">
        <f t="shared" si="72"/>
        <v>0</v>
      </c>
      <c r="J248" s="85">
        <v>2018</v>
      </c>
      <c r="K248" s="199">
        <f t="shared" si="73"/>
        <v>43334</v>
      </c>
      <c r="L248" s="437">
        <f t="shared" si="74"/>
        <v>4.8858696799813917E-4</v>
      </c>
      <c r="M248" s="881"/>
      <c r="N248" s="881"/>
      <c r="O248" s="326">
        <f t="shared" si="75"/>
        <v>5.2469483665675398E-3</v>
      </c>
      <c r="P248" s="171">
        <f>(INDEX(Models!$BJ248:$BT248,,T248)*(1-R248)+INDEX(Models!$BJ248:$BT248,,T248+1)*R248-ERP_i)*Q248*Ramure*Pc/MaxiM</f>
        <v>6.0418318081461914E-4</v>
      </c>
      <c r="Q248" s="307">
        <f t="shared" si="76"/>
        <v>1</v>
      </c>
      <c r="R248" s="179">
        <f t="shared" si="77"/>
        <v>0.86675249945274846</v>
      </c>
      <c r="S248" s="837">
        <f t="shared" si="94"/>
        <v>-3</v>
      </c>
      <c r="T248" s="178">
        <f t="shared" si="78"/>
        <v>3</v>
      </c>
      <c r="U248" s="253">
        <f t="shared" si="79"/>
        <v>-2.1332475005472515</v>
      </c>
      <c r="V248" s="385">
        <f t="shared" si="80"/>
        <v>55.054297376979136</v>
      </c>
      <c r="W248" s="58"/>
      <c r="X248" s="157">
        <f t="shared" si="81"/>
        <v>43334</v>
      </c>
      <c r="Y248" s="387">
        <f t="shared" si="82"/>
        <v>0</v>
      </c>
      <c r="Z248" s="387">
        <f t="shared" si="83"/>
        <v>0</v>
      </c>
      <c r="AA248" s="388">
        <f t="shared" si="84"/>
        <v>0</v>
      </c>
      <c r="AB248" s="199">
        <f t="shared" si="85"/>
        <v>43334</v>
      </c>
      <c r="AC248" s="426">
        <f t="shared" si="86"/>
        <v>5.2469483665675398E-3</v>
      </c>
      <c r="AD248" s="171">
        <f>(INDEX(Models!$BJ248:$BT248,,AH248)*(1-AF248)+INDEX(Models!$BJ248:$BT248,,AH248+1)*AF248-ERP_i)*AE248*Ramure*Pc/MaxiM</f>
        <v>6.0418318081461914E-4</v>
      </c>
      <c r="AE248" s="307">
        <f t="shared" si="87"/>
        <v>1</v>
      </c>
      <c r="AF248" s="179">
        <f t="shared" si="88"/>
        <v>0.86675249945274846</v>
      </c>
      <c r="AG248" s="837">
        <f t="shared" si="89"/>
        <v>-3</v>
      </c>
      <c r="AH248" s="178">
        <f t="shared" si="90"/>
        <v>3</v>
      </c>
      <c r="AI248" s="227">
        <f t="shared" si="91"/>
        <v>-2.1332475005472515</v>
      </c>
      <c r="AJ248" s="267" t="b">
        <f t="shared" si="92"/>
        <v>0</v>
      </c>
      <c r="AK248" s="267" t="b">
        <f t="shared" si="93"/>
        <v>0</v>
      </c>
      <c r="AL248" s="267"/>
      <c r="AM248" s="267"/>
      <c r="AN248" s="75"/>
    </row>
    <row r="249" spans="1:40" s="6" customFormat="1" ht="11.25" customHeight="1" x14ac:dyDescent="0.2">
      <c r="A249" s="56">
        <f t="shared" si="95"/>
        <v>43335</v>
      </c>
      <c r="B249" s="618"/>
      <c r="C249" s="392"/>
      <c r="D249" s="395"/>
      <c r="E249" s="387"/>
      <c r="F249" s="387"/>
      <c r="G249" s="110"/>
      <c r="I249" s="382">
        <f t="shared" si="72"/>
        <v>0</v>
      </c>
      <c r="J249" s="85">
        <v>2018</v>
      </c>
      <c r="K249" s="199">
        <f t="shared" si="73"/>
        <v>43335</v>
      </c>
      <c r="L249" s="437">
        <f t="shared" si="74"/>
        <v>5.1184705877160841E-4</v>
      </c>
      <c r="M249" s="881"/>
      <c r="N249" s="881"/>
      <c r="O249" s="326">
        <f t="shared" si="75"/>
        <v>5.4930890653684438E-3</v>
      </c>
      <c r="P249" s="171">
        <f>(INDEX(Models!$BJ249:$BT249,,T249)*(1-R249)+INDEX(Models!$BJ249:$BT249,,T249+1)*R249-ERP_i)*Q249*Ramure*Pc/MaxiM</f>
        <v>6.3712715285143455E-4</v>
      </c>
      <c r="Q249" s="307">
        <f t="shared" si="76"/>
        <v>1</v>
      </c>
      <c r="R249" s="179">
        <f t="shared" si="77"/>
        <v>0.86803039465088894</v>
      </c>
      <c r="S249" s="837">
        <f t="shared" si="94"/>
        <v>-3</v>
      </c>
      <c r="T249" s="178">
        <f t="shared" si="78"/>
        <v>3</v>
      </c>
      <c r="U249" s="253">
        <f t="shared" si="79"/>
        <v>-2.1319696053491111</v>
      </c>
      <c r="V249" s="385">
        <f t="shared" si="80"/>
        <v>54.764624164528961</v>
      </c>
      <c r="W249" s="58"/>
      <c r="X249" s="157">
        <f t="shared" si="81"/>
        <v>43335</v>
      </c>
      <c r="Y249" s="387">
        <f t="shared" si="82"/>
        <v>0</v>
      </c>
      <c r="Z249" s="387">
        <f t="shared" si="83"/>
        <v>0</v>
      </c>
      <c r="AA249" s="388">
        <f t="shared" si="84"/>
        <v>0</v>
      </c>
      <c r="AB249" s="199">
        <f t="shared" si="85"/>
        <v>43335</v>
      </c>
      <c r="AC249" s="426">
        <f t="shared" si="86"/>
        <v>5.4930890653684438E-3</v>
      </c>
      <c r="AD249" s="171">
        <f>(INDEX(Models!$BJ249:$BT249,,AH249)*(1-AF249)+INDEX(Models!$BJ249:$BT249,,AH249+1)*AF249-ERP_i)*AE249*Ramure*Pc/MaxiM</f>
        <v>6.3712715285143455E-4</v>
      </c>
      <c r="AE249" s="307">
        <f t="shared" si="87"/>
        <v>1</v>
      </c>
      <c r="AF249" s="179">
        <f t="shared" si="88"/>
        <v>0.86803039465088894</v>
      </c>
      <c r="AG249" s="837">
        <f t="shared" si="89"/>
        <v>-3</v>
      </c>
      <c r="AH249" s="178">
        <f t="shared" si="90"/>
        <v>3</v>
      </c>
      <c r="AI249" s="227">
        <f t="shared" si="91"/>
        <v>-2.1319696053491111</v>
      </c>
      <c r="AJ249" s="267" t="b">
        <f t="shared" si="92"/>
        <v>0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5"/>
        <v>43336</v>
      </c>
      <c r="B250" s="618"/>
      <c r="C250" s="392"/>
      <c r="D250" s="395"/>
      <c r="E250" s="387"/>
      <c r="F250" s="387"/>
      <c r="G250" s="110"/>
      <c r="I250" s="382">
        <f t="shared" si="72"/>
        <v>0</v>
      </c>
      <c r="J250" s="85">
        <v>2018</v>
      </c>
      <c r="K250" s="199">
        <f t="shared" si="73"/>
        <v>43336</v>
      </c>
      <c r="L250" s="437">
        <f t="shared" si="74"/>
        <v>5.3510660824873657E-4</v>
      </c>
      <c r="M250" s="881"/>
      <c r="N250" s="881"/>
      <c r="O250" s="326">
        <f t="shared" si="75"/>
        <v>5.7388576013085975E-3</v>
      </c>
      <c r="P250" s="171">
        <f>(INDEX(Models!$BJ250:$BT250,,T250)*(1-R250)+INDEX(Models!$BJ250:$BT250,,T250+1)*R250-ERP_i)*Q250*Ramure*Pc/MaxiM</f>
        <v>6.7038743768949938E-4</v>
      </c>
      <c r="Q250" s="307">
        <f t="shared" si="76"/>
        <v>1</v>
      </c>
      <c r="R250" s="179">
        <f t="shared" si="77"/>
        <v>0.869261444820419</v>
      </c>
      <c r="S250" s="837">
        <f t="shared" si="94"/>
        <v>-3</v>
      </c>
      <c r="T250" s="178">
        <f t="shared" si="78"/>
        <v>3</v>
      </c>
      <c r="U250" s="253">
        <f t="shared" si="79"/>
        <v>-2.130738555179581</v>
      </c>
      <c r="V250" s="385">
        <f t="shared" si="80"/>
        <v>54.469732954694898</v>
      </c>
      <c r="W250" s="58"/>
      <c r="X250" s="157">
        <f t="shared" si="81"/>
        <v>43336</v>
      </c>
      <c r="Y250" s="387">
        <f t="shared" si="82"/>
        <v>0</v>
      </c>
      <c r="Z250" s="387">
        <f t="shared" si="83"/>
        <v>0</v>
      </c>
      <c r="AA250" s="388">
        <f t="shared" si="84"/>
        <v>0</v>
      </c>
      <c r="AB250" s="199">
        <f t="shared" si="85"/>
        <v>43336</v>
      </c>
      <c r="AC250" s="426">
        <f t="shared" si="86"/>
        <v>5.7388576013085975E-3</v>
      </c>
      <c r="AD250" s="171">
        <f>(INDEX(Models!$BJ250:$BT250,,AH250)*(1-AF250)+INDEX(Models!$BJ250:$BT250,,AH250+1)*AF250-ERP_i)*AE250*Ramure*Pc/MaxiM</f>
        <v>6.7038743768949938E-4</v>
      </c>
      <c r="AE250" s="307">
        <f t="shared" si="87"/>
        <v>1</v>
      </c>
      <c r="AF250" s="179">
        <f t="shared" si="88"/>
        <v>0.869261444820419</v>
      </c>
      <c r="AG250" s="837">
        <f t="shared" si="89"/>
        <v>-3</v>
      </c>
      <c r="AH250" s="178">
        <f t="shared" si="90"/>
        <v>3</v>
      </c>
      <c r="AI250" s="227">
        <f t="shared" si="91"/>
        <v>-2.130738555179581</v>
      </c>
      <c r="AJ250" s="267" t="b">
        <f t="shared" si="92"/>
        <v>0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5"/>
        <v>43337</v>
      </c>
      <c r="B251" s="618"/>
      <c r="C251" s="392"/>
      <c r="D251" s="395"/>
      <c r="E251" s="387"/>
      <c r="F251" s="387"/>
      <c r="G251" s="110"/>
      <c r="I251" s="382">
        <f t="shared" si="72"/>
        <v>0</v>
      </c>
      <c r="J251" s="85">
        <v>2018</v>
      </c>
      <c r="K251" s="199">
        <f t="shared" si="73"/>
        <v>43337</v>
      </c>
      <c r="L251" s="437">
        <f t="shared" si="74"/>
        <v>5.5836561644218019E-4</v>
      </c>
      <c r="M251" s="881"/>
      <c r="N251" s="881"/>
      <c r="O251" s="326">
        <f t="shared" si="75"/>
        <v>5.9842479684966126E-3</v>
      </c>
      <c r="P251" s="171">
        <f>(INDEX(Models!$BJ251:$BT251,,T251)*(1-R251)+INDEX(Models!$BJ251:$BT251,,T251+1)*R251-ERP_i)*Q251*Ramure*Pc/MaxiM</f>
        <v>7.0397754987825637E-4</v>
      </c>
      <c r="Q251" s="307">
        <f t="shared" si="76"/>
        <v>1</v>
      </c>
      <c r="R251" s="179">
        <f t="shared" si="77"/>
        <v>0.87044719605556953</v>
      </c>
      <c r="S251" s="837">
        <f t="shared" si="94"/>
        <v>-3</v>
      </c>
      <c r="T251" s="178">
        <f t="shared" si="78"/>
        <v>3</v>
      </c>
      <c r="U251" s="253">
        <f t="shared" si="79"/>
        <v>-2.1295528039444305</v>
      </c>
      <c r="V251" s="385">
        <f t="shared" si="80"/>
        <v>54.16940373301928</v>
      </c>
      <c r="W251" s="58"/>
      <c r="X251" s="157">
        <f t="shared" si="81"/>
        <v>43337</v>
      </c>
      <c r="Y251" s="387">
        <f t="shared" si="82"/>
        <v>0</v>
      </c>
      <c r="Z251" s="387">
        <f t="shared" si="83"/>
        <v>0</v>
      </c>
      <c r="AA251" s="388">
        <f t="shared" si="84"/>
        <v>0</v>
      </c>
      <c r="AB251" s="199">
        <f t="shared" si="85"/>
        <v>43337</v>
      </c>
      <c r="AC251" s="426">
        <f t="shared" si="86"/>
        <v>5.9842479684966126E-3</v>
      </c>
      <c r="AD251" s="171">
        <f>(INDEX(Models!$BJ251:$BT251,,AH251)*(1-AF251)+INDEX(Models!$BJ251:$BT251,,AH251+1)*AF251-ERP_i)*AE251*Ramure*Pc/MaxiM</f>
        <v>7.0397754987825637E-4</v>
      </c>
      <c r="AE251" s="307">
        <f t="shared" si="87"/>
        <v>1</v>
      </c>
      <c r="AF251" s="179">
        <f t="shared" si="88"/>
        <v>0.87044719605556953</v>
      </c>
      <c r="AG251" s="837">
        <f t="shared" si="89"/>
        <v>-3</v>
      </c>
      <c r="AH251" s="178">
        <f t="shared" si="90"/>
        <v>3</v>
      </c>
      <c r="AI251" s="227">
        <f t="shared" si="91"/>
        <v>-2.1295528039444305</v>
      </c>
      <c r="AJ251" s="267" t="b">
        <f t="shared" si="92"/>
        <v>0</v>
      </c>
      <c r="AK251" s="267" t="b">
        <f t="shared" si="93"/>
        <v>0</v>
      </c>
      <c r="AL251" s="267"/>
      <c r="AM251" s="267"/>
      <c r="AN251" s="75"/>
    </row>
    <row r="252" spans="1:40" s="6" customFormat="1" ht="11.25" customHeight="1" x14ac:dyDescent="0.2">
      <c r="A252" s="56">
        <f t="shared" si="95"/>
        <v>43338</v>
      </c>
      <c r="B252" s="618"/>
      <c r="C252" s="392"/>
      <c r="D252" s="395"/>
      <c r="E252" s="387"/>
      <c r="F252" s="387"/>
      <c r="G252" s="110"/>
      <c r="I252" s="382">
        <f t="shared" si="72"/>
        <v>0</v>
      </c>
      <c r="J252" s="85">
        <v>2018</v>
      </c>
      <c r="K252" s="199">
        <f t="shared" si="73"/>
        <v>43338</v>
      </c>
      <c r="L252" s="437">
        <f t="shared" si="74"/>
        <v>5.8162408336459581E-4</v>
      </c>
      <c r="M252" s="881"/>
      <c r="N252" s="881"/>
      <c r="O252" s="326">
        <f t="shared" si="75"/>
        <v>6.2292538567601729E-3</v>
      </c>
      <c r="P252" s="171">
        <f>(INDEX(Models!$BJ252:$BT252,,T252)*(1-R252)+INDEX(Models!$BJ252:$BT252,,T252+1)*R252-ERP_i)*Q252*Ramure*Pc/MaxiM</f>
        <v>7.3791195601512595E-4</v>
      </c>
      <c r="Q252" s="307">
        <f t="shared" si="76"/>
        <v>1</v>
      </c>
      <c r="R252" s="179">
        <f t="shared" si="77"/>
        <v>0.87158915645753465</v>
      </c>
      <c r="S252" s="837">
        <f t="shared" si="94"/>
        <v>-3</v>
      </c>
      <c r="T252" s="178">
        <f t="shared" si="78"/>
        <v>3</v>
      </c>
      <c r="U252" s="253">
        <f t="shared" si="79"/>
        <v>-2.1284108435424653</v>
      </c>
      <c r="V252" s="385">
        <f t="shared" si="80"/>
        <v>53.863416729675109</v>
      </c>
      <c r="W252" s="58"/>
      <c r="X252" s="157">
        <f t="shared" si="81"/>
        <v>43338</v>
      </c>
      <c r="Y252" s="387">
        <f t="shared" si="82"/>
        <v>0</v>
      </c>
      <c r="Z252" s="387">
        <f t="shared" si="83"/>
        <v>0</v>
      </c>
      <c r="AA252" s="388">
        <f t="shared" si="84"/>
        <v>0</v>
      </c>
      <c r="AB252" s="199">
        <f t="shared" si="85"/>
        <v>43338</v>
      </c>
      <c r="AC252" s="426">
        <f t="shared" si="86"/>
        <v>6.2292538567601729E-3</v>
      </c>
      <c r="AD252" s="171">
        <f>(INDEX(Models!$BJ252:$BT252,,AH252)*(1-AF252)+INDEX(Models!$BJ252:$BT252,,AH252+1)*AF252-ERP_i)*AE252*Ramure*Pc/MaxiM</f>
        <v>7.3791195601512595E-4</v>
      </c>
      <c r="AE252" s="307">
        <f t="shared" si="87"/>
        <v>1</v>
      </c>
      <c r="AF252" s="179">
        <f t="shared" si="88"/>
        <v>0.87158915645753465</v>
      </c>
      <c r="AG252" s="837">
        <f t="shared" si="89"/>
        <v>-3</v>
      </c>
      <c r="AH252" s="178">
        <f t="shared" si="90"/>
        <v>3</v>
      </c>
      <c r="AI252" s="227">
        <f t="shared" si="91"/>
        <v>-2.1284108435424653</v>
      </c>
      <c r="AJ252" s="267" t="b">
        <f t="shared" si="92"/>
        <v>0</v>
      </c>
      <c r="AK252" s="267" t="b">
        <f t="shared" si="93"/>
        <v>0</v>
      </c>
      <c r="AL252" s="267"/>
      <c r="AM252" s="267"/>
      <c r="AN252" s="75"/>
    </row>
    <row r="253" spans="1:40" s="6" customFormat="1" ht="11.25" customHeight="1" x14ac:dyDescent="0.2">
      <c r="A253" s="56">
        <f t="shared" si="95"/>
        <v>43339</v>
      </c>
      <c r="B253" s="618"/>
      <c r="C253" s="392"/>
      <c r="D253" s="395"/>
      <c r="E253" s="387"/>
      <c r="F253" s="387"/>
      <c r="G253" s="110"/>
      <c r="I253" s="382">
        <f t="shared" si="72"/>
        <v>0</v>
      </c>
      <c r="J253" s="85">
        <v>2018</v>
      </c>
      <c r="K253" s="199">
        <f t="shared" si="73"/>
        <v>43339</v>
      </c>
      <c r="L253" s="437">
        <f t="shared" si="74"/>
        <v>6.0488200902841793E-4</v>
      </c>
      <c r="M253" s="881"/>
      <c r="N253" s="881"/>
      <c r="O253" s="326">
        <f t="shared" si="75"/>
        <v>6.4738686408418273E-3</v>
      </c>
      <c r="P253" s="171">
        <f>(INDEX(Models!$BJ253:$BT253,,T253)*(1-R253)+INDEX(Models!$BJ253:$BT253,,T253+1)*R253-ERP_i)*Q253*Ramure*Pc/MaxiM</f>
        <v>7.7220651711034315E-4</v>
      </c>
      <c r="Q253" s="307">
        <f t="shared" si="76"/>
        <v>1</v>
      </c>
      <c r="R253" s="179">
        <f t="shared" si="77"/>
        <v>0.87268879602688099</v>
      </c>
      <c r="S253" s="837">
        <f t="shared" si="94"/>
        <v>-3</v>
      </c>
      <c r="T253" s="178">
        <f t="shared" si="78"/>
        <v>3</v>
      </c>
      <c r="U253" s="253">
        <f t="shared" si="79"/>
        <v>-2.127311203973119</v>
      </c>
      <c r="V253" s="385">
        <f t="shared" si="80"/>
        <v>53.551552395364418</v>
      </c>
      <c r="W253" s="58"/>
      <c r="X253" s="157">
        <f t="shared" si="81"/>
        <v>43339</v>
      </c>
      <c r="Y253" s="387">
        <f t="shared" si="82"/>
        <v>0</v>
      </c>
      <c r="Z253" s="387">
        <f t="shared" si="83"/>
        <v>0</v>
      </c>
      <c r="AA253" s="388">
        <f t="shared" si="84"/>
        <v>0</v>
      </c>
      <c r="AB253" s="199">
        <f t="shared" si="85"/>
        <v>43339</v>
      </c>
      <c r="AC253" s="426">
        <f t="shared" si="86"/>
        <v>6.4738686408418273E-3</v>
      </c>
      <c r="AD253" s="171">
        <f>(INDEX(Models!$BJ253:$BT253,,AH253)*(1-AF253)+INDEX(Models!$BJ253:$BT253,,AH253+1)*AF253-ERP_i)*AE253*Ramure*Pc/MaxiM</f>
        <v>7.7220651711034315E-4</v>
      </c>
      <c r="AE253" s="307">
        <f t="shared" si="87"/>
        <v>1</v>
      </c>
      <c r="AF253" s="179">
        <f t="shared" si="88"/>
        <v>0.87268879602688099</v>
      </c>
      <c r="AG253" s="837">
        <f t="shared" si="89"/>
        <v>-3</v>
      </c>
      <c r="AH253" s="178">
        <f t="shared" si="90"/>
        <v>3</v>
      </c>
      <c r="AI253" s="227">
        <f t="shared" si="91"/>
        <v>-2.127311203973119</v>
      </c>
      <c r="AJ253" s="267" t="b">
        <f t="shared" si="92"/>
        <v>0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5"/>
        <v>43340</v>
      </c>
      <c r="B254" s="618"/>
      <c r="C254" s="392"/>
      <c r="D254" s="395"/>
      <c r="E254" s="387"/>
      <c r="F254" s="387"/>
      <c r="G254" s="110"/>
      <c r="I254" s="382">
        <f t="shared" si="72"/>
        <v>0</v>
      </c>
      <c r="J254" s="85">
        <v>2018</v>
      </c>
      <c r="K254" s="199">
        <f t="shared" si="73"/>
        <v>43340</v>
      </c>
      <c r="L254" s="437">
        <f t="shared" si="74"/>
        <v>6.2813939344641412E-4</v>
      </c>
      <c r="M254" s="881"/>
      <c r="N254" s="881"/>
      <c r="O254" s="326">
        <f t="shared" si="75"/>
        <v>6.7180853683845975E-3</v>
      </c>
      <c r="P254" s="171">
        <f>(INDEX(Models!$BJ254:$BT254,,T254)*(1-R254)+INDEX(Models!$BJ254:$BT254,,T254+1)*R254-ERP_i)*Q254*Ramure*Pc/MaxiM</f>
        <v>8.0649424627941314E-4</v>
      </c>
      <c r="Q254" s="307">
        <f t="shared" si="76"/>
        <v>1</v>
      </c>
      <c r="R254" s="179">
        <f t="shared" si="77"/>
        <v>0.87374754666046428</v>
      </c>
      <c r="S254" s="837">
        <f t="shared" si="94"/>
        <v>-3</v>
      </c>
      <c r="T254" s="178">
        <f t="shared" si="78"/>
        <v>3</v>
      </c>
      <c r="U254" s="253">
        <f t="shared" si="79"/>
        <v>-2.1262524533395357</v>
      </c>
      <c r="V254" s="385">
        <f t="shared" si="80"/>
        <v>53.233611880057495</v>
      </c>
      <c r="W254" s="58"/>
      <c r="X254" s="157">
        <f t="shared" si="81"/>
        <v>43340</v>
      </c>
      <c r="Y254" s="387">
        <f t="shared" si="82"/>
        <v>0</v>
      </c>
      <c r="Z254" s="387">
        <f t="shared" si="83"/>
        <v>0</v>
      </c>
      <c r="AA254" s="388">
        <f t="shared" si="84"/>
        <v>0</v>
      </c>
      <c r="AB254" s="199">
        <f t="shared" si="85"/>
        <v>43340</v>
      </c>
      <c r="AC254" s="426">
        <f t="shared" si="86"/>
        <v>6.7180853683845975E-3</v>
      </c>
      <c r="AD254" s="171">
        <f>(INDEX(Models!$BJ254:$BT254,,AH254)*(1-AF254)+INDEX(Models!$BJ254:$BT254,,AH254+1)*AF254-ERP_i)*AE254*Ramure*Pc/MaxiM</f>
        <v>8.0649424627941314E-4</v>
      </c>
      <c r="AE254" s="307">
        <f t="shared" si="87"/>
        <v>1</v>
      </c>
      <c r="AF254" s="179">
        <f t="shared" si="88"/>
        <v>0.87374754666046428</v>
      </c>
      <c r="AG254" s="837">
        <f t="shared" si="89"/>
        <v>-3</v>
      </c>
      <c r="AH254" s="178">
        <f t="shared" si="90"/>
        <v>3</v>
      </c>
      <c r="AI254" s="227">
        <f t="shared" si="91"/>
        <v>-2.1262524533395357</v>
      </c>
      <c r="AJ254" s="267" t="b">
        <f t="shared" si="92"/>
        <v>0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5"/>
        <v>43341</v>
      </c>
      <c r="B255" s="618"/>
      <c r="C255" s="392"/>
      <c r="D255" s="395"/>
      <c r="E255" s="387"/>
      <c r="F255" s="387"/>
      <c r="G255" s="110"/>
      <c r="I255" s="382">
        <f t="shared" si="72"/>
        <v>0</v>
      </c>
      <c r="J255" s="85">
        <v>2018</v>
      </c>
      <c r="K255" s="199">
        <f t="shared" si="73"/>
        <v>43341</v>
      </c>
      <c r="L255" s="437">
        <f t="shared" si="74"/>
        <v>6.5139623663101887E-4</v>
      </c>
      <c r="M255" s="881"/>
      <c r="N255" s="881"/>
      <c r="O255" s="326">
        <f t="shared" si="75"/>
        <v>6.9618967465032364E-3</v>
      </c>
      <c r="P255" s="171">
        <f>(INDEX(Models!$BJ255:$BT255,,T255)*(1-R255)+INDEX(Models!$BJ255:$BT255,,T255+1)*R255-ERP_i)*Q255*Ramure*Pc/MaxiM</f>
        <v>8.409606723054616E-4</v>
      </c>
      <c r="Q255" s="307">
        <f t="shared" si="76"/>
        <v>1</v>
      </c>
      <c r="R255" s="179">
        <f t="shared" si="77"/>
        <v>0.87476680224367698</v>
      </c>
      <c r="S255" s="837">
        <f t="shared" si="94"/>
        <v>-3</v>
      </c>
      <c r="T255" s="178">
        <f t="shared" si="78"/>
        <v>3</v>
      </c>
      <c r="U255" s="253">
        <f t="shared" si="79"/>
        <v>-2.125233197756323</v>
      </c>
      <c r="V255" s="385">
        <f t="shared" si="80"/>
        <v>52.909366877099615</v>
      </c>
      <c r="W255" s="58"/>
      <c r="X255" s="157">
        <f t="shared" si="81"/>
        <v>43341</v>
      </c>
      <c r="Y255" s="387">
        <f t="shared" si="82"/>
        <v>0</v>
      </c>
      <c r="Z255" s="387">
        <f t="shared" si="83"/>
        <v>0</v>
      </c>
      <c r="AA255" s="388">
        <f t="shared" si="84"/>
        <v>0</v>
      </c>
      <c r="AB255" s="199">
        <f t="shared" si="85"/>
        <v>43341</v>
      </c>
      <c r="AC255" s="426">
        <f t="shared" si="86"/>
        <v>6.9618967465032364E-3</v>
      </c>
      <c r="AD255" s="171">
        <f>(INDEX(Models!$BJ255:$BT255,,AH255)*(1-AF255)+INDEX(Models!$BJ255:$BT255,,AH255+1)*AF255-ERP_i)*AE255*Ramure*Pc/MaxiM</f>
        <v>8.409606723054616E-4</v>
      </c>
      <c r="AE255" s="307">
        <f t="shared" si="87"/>
        <v>1</v>
      </c>
      <c r="AF255" s="179">
        <f t="shared" si="88"/>
        <v>0.87476680224367698</v>
      </c>
      <c r="AG255" s="837">
        <f t="shared" si="89"/>
        <v>-3</v>
      </c>
      <c r="AH255" s="178">
        <f t="shared" si="90"/>
        <v>3</v>
      </c>
      <c r="AI255" s="227">
        <f t="shared" si="91"/>
        <v>-2.125233197756323</v>
      </c>
      <c r="AJ255" s="267" t="b">
        <f t="shared" si="92"/>
        <v>0</v>
      </c>
      <c r="AK255" s="267" t="b">
        <f t="shared" si="93"/>
        <v>0</v>
      </c>
      <c r="AL255" s="267"/>
      <c r="AM255" s="267"/>
      <c r="AN255" s="75"/>
    </row>
    <row r="256" spans="1:40" s="6" customFormat="1" ht="11.25" customHeight="1" x14ac:dyDescent="0.2">
      <c r="A256" s="56">
        <f t="shared" si="95"/>
        <v>43342</v>
      </c>
      <c r="B256" s="618"/>
      <c r="C256" s="392"/>
      <c r="D256" s="395"/>
      <c r="E256" s="387"/>
      <c r="F256" s="387"/>
      <c r="G256" s="110"/>
      <c r="I256" s="382">
        <f t="shared" si="72"/>
        <v>0</v>
      </c>
      <c r="J256" s="85">
        <v>2018</v>
      </c>
      <c r="K256" s="199">
        <f t="shared" si="73"/>
        <v>43342</v>
      </c>
      <c r="L256" s="437">
        <f t="shared" si="74"/>
        <v>6.7465253859488872E-4</v>
      </c>
      <c r="M256" s="881"/>
      <c r="N256" s="881"/>
      <c r="O256" s="326">
        <f t="shared" si="75"/>
        <v>7.2052951267880362E-3</v>
      </c>
      <c r="P256" s="171">
        <f>(INDEX(Models!$BJ256:$BT256,,T256)*(1-R256)+INDEX(Models!$BJ256:$BT256,,T256+1)*R256-ERP_i)*Q256*Ramure*Pc/MaxiM</f>
        <v>8.7562122497594969E-4</v>
      </c>
      <c r="Q256" s="307">
        <f t="shared" si="76"/>
        <v>1</v>
      </c>
      <c r="R256" s="179">
        <f t="shared" si="77"/>
        <v>0.87574791882932157</v>
      </c>
      <c r="S256" s="837">
        <f t="shared" si="94"/>
        <v>-3</v>
      </c>
      <c r="T256" s="178">
        <f t="shared" si="78"/>
        <v>3</v>
      </c>
      <c r="U256" s="253">
        <f t="shared" si="79"/>
        <v>-2.1242520811706784</v>
      </c>
      <c r="V256" s="385">
        <f t="shared" si="80"/>
        <v>52.578598544614515</v>
      </c>
      <c r="W256" s="58"/>
      <c r="X256" s="157">
        <f t="shared" si="81"/>
        <v>43342</v>
      </c>
      <c r="Y256" s="387">
        <f t="shared" si="82"/>
        <v>0</v>
      </c>
      <c r="Z256" s="387">
        <f t="shared" si="83"/>
        <v>0</v>
      </c>
      <c r="AA256" s="388">
        <f t="shared" si="84"/>
        <v>0</v>
      </c>
      <c r="AB256" s="199">
        <f t="shared" si="85"/>
        <v>43342</v>
      </c>
      <c r="AC256" s="426">
        <f t="shared" si="86"/>
        <v>7.2052951267880362E-3</v>
      </c>
      <c r="AD256" s="171">
        <f>(INDEX(Models!$BJ256:$BT256,,AH256)*(1-AF256)+INDEX(Models!$BJ256:$BT256,,AH256+1)*AF256-ERP_i)*AE256*Ramure*Pc/MaxiM</f>
        <v>8.7562122497594969E-4</v>
      </c>
      <c r="AE256" s="307">
        <f t="shared" si="87"/>
        <v>1</v>
      </c>
      <c r="AF256" s="179">
        <f t="shared" si="88"/>
        <v>0.87574791882932157</v>
      </c>
      <c r="AG256" s="837">
        <f t="shared" si="89"/>
        <v>-3</v>
      </c>
      <c r="AH256" s="178">
        <f t="shared" si="90"/>
        <v>3</v>
      </c>
      <c r="AI256" s="227">
        <f t="shared" si="91"/>
        <v>-2.1242520811706784</v>
      </c>
      <c r="AJ256" s="267" t="b">
        <f t="shared" si="92"/>
        <v>0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5"/>
        <v>43343</v>
      </c>
      <c r="B257" s="618"/>
      <c r="C257" s="392"/>
      <c r="D257" s="395"/>
      <c r="E257" s="387"/>
      <c r="F257" s="387"/>
      <c r="G257" s="110"/>
      <c r="I257" s="382">
        <f t="shared" si="72"/>
        <v>0</v>
      </c>
      <c r="J257" s="85">
        <v>2018</v>
      </c>
      <c r="K257" s="199">
        <f t="shared" si="73"/>
        <v>43343</v>
      </c>
      <c r="L257" s="437">
        <f t="shared" si="74"/>
        <v>6.9790829935068022E-4</v>
      </c>
      <c r="M257" s="881"/>
      <c r="N257" s="881"/>
      <c r="O257" s="326">
        <f t="shared" si="75"/>
        <v>7.4482724886446071E-3</v>
      </c>
      <c r="P257" s="171">
        <f>(INDEX(Models!$BJ257:$BT257,,T257)*(1-R257)+INDEX(Models!$BJ257:$BT257,,T257+1)*R257-ERP_i)*Q257*Ramure*Pc/MaxiM</f>
        <v>9.1049275476335148E-4</v>
      </c>
      <c r="Q257" s="307">
        <f t="shared" si="76"/>
        <v>1</v>
      </c>
      <c r="R257" s="179">
        <f t="shared" si="77"/>
        <v>0.87669221489490212</v>
      </c>
      <c r="S257" s="837">
        <f t="shared" si="94"/>
        <v>-3</v>
      </c>
      <c r="T257" s="178">
        <f t="shared" si="78"/>
        <v>3</v>
      </c>
      <c r="U257" s="253">
        <f t="shared" si="79"/>
        <v>-2.1233077851050979</v>
      </c>
      <c r="V257" s="385">
        <f t="shared" si="80"/>
        <v>52.241088255017566</v>
      </c>
      <c r="W257" s="58"/>
      <c r="X257" s="157">
        <f t="shared" si="81"/>
        <v>43343</v>
      </c>
      <c r="Y257" s="387">
        <f t="shared" si="82"/>
        <v>0</v>
      </c>
      <c r="Z257" s="387">
        <f t="shared" si="83"/>
        <v>0</v>
      </c>
      <c r="AA257" s="388">
        <f t="shared" si="84"/>
        <v>0</v>
      </c>
      <c r="AB257" s="199">
        <f t="shared" si="85"/>
        <v>43343</v>
      </c>
      <c r="AC257" s="426">
        <f t="shared" si="86"/>
        <v>7.4482724886446071E-3</v>
      </c>
      <c r="AD257" s="171">
        <f>(INDEX(Models!$BJ257:$BT257,,AH257)*(1-AF257)+INDEX(Models!$BJ257:$BT257,,AH257+1)*AF257-ERP_i)*AE257*Ramure*Pc/MaxiM</f>
        <v>9.1049275476335148E-4</v>
      </c>
      <c r="AE257" s="307">
        <f t="shared" si="87"/>
        <v>1</v>
      </c>
      <c r="AF257" s="179">
        <f t="shared" si="88"/>
        <v>0.87669221489490212</v>
      </c>
      <c r="AG257" s="837">
        <f t="shared" si="89"/>
        <v>-3</v>
      </c>
      <c r="AH257" s="178">
        <f t="shared" si="90"/>
        <v>3</v>
      </c>
      <c r="AI257" s="227">
        <f t="shared" si="91"/>
        <v>-2.1233077851050979</v>
      </c>
      <c r="AJ257" s="267" t="b">
        <f t="shared" si="92"/>
        <v>0</v>
      </c>
      <c r="AK257" s="267" t="b">
        <f t="shared" si="93"/>
        <v>0</v>
      </c>
      <c r="AL257" s="267"/>
      <c r="AM257" s="267"/>
      <c r="AN257" s="75"/>
    </row>
    <row r="258" spans="1:40" s="6" customFormat="1" ht="11.25" customHeight="1" x14ac:dyDescent="0.2">
      <c r="A258" s="56">
        <f t="shared" si="95"/>
        <v>43344</v>
      </c>
      <c r="B258" s="618"/>
      <c r="C258" s="392"/>
      <c r="D258" s="395"/>
      <c r="E258" s="387"/>
      <c r="F258" s="387"/>
      <c r="G258" s="110"/>
      <c r="I258" s="382">
        <f t="shared" si="72"/>
        <v>0</v>
      </c>
      <c r="J258" s="85">
        <v>2018</v>
      </c>
      <c r="K258" s="199">
        <f t="shared" si="73"/>
        <v>43344</v>
      </c>
      <c r="L258" s="437">
        <f t="shared" si="74"/>
        <v>7.2116351891104991E-4</v>
      </c>
      <c r="M258" s="881"/>
      <c r="N258" s="881"/>
      <c r="O258" s="326">
        <f t="shared" si="75"/>
        <v>7.6908204209320073E-3</v>
      </c>
      <c r="P258" s="171">
        <f>(INDEX(Models!$BJ258:$BT258,,T258)*(1-R258)+INDEX(Models!$BJ258:$BT258,,T258+1)*R258-ERP_i)*Q258*Ramure*Pc/MaxiM</f>
        <v>9.455935911499866E-4</v>
      </c>
      <c r="Q258" s="307">
        <f t="shared" si="76"/>
        <v>1</v>
      </c>
      <c r="R258" s="179">
        <f t="shared" si="77"/>
        <v>0.87760097167057172</v>
      </c>
      <c r="S258" s="837">
        <f t="shared" si="94"/>
        <v>-3</v>
      </c>
      <c r="T258" s="178">
        <f t="shared" si="78"/>
        <v>3</v>
      </c>
      <c r="U258" s="253">
        <f t="shared" si="79"/>
        <v>-2.1223990283294283</v>
      </c>
      <c r="V258" s="385">
        <f t="shared" si="80"/>
        <v>51.896617597920738</v>
      </c>
      <c r="W258" s="58"/>
      <c r="X258" s="157">
        <f t="shared" si="81"/>
        <v>43344</v>
      </c>
      <c r="Y258" s="387">
        <f t="shared" si="82"/>
        <v>0</v>
      </c>
      <c r="Z258" s="387">
        <f t="shared" si="83"/>
        <v>0</v>
      </c>
      <c r="AA258" s="388">
        <f t="shared" si="84"/>
        <v>0</v>
      </c>
      <c r="AB258" s="199">
        <f t="shared" si="85"/>
        <v>43344</v>
      </c>
      <c r="AC258" s="426">
        <f t="shared" si="86"/>
        <v>7.6908204209320073E-3</v>
      </c>
      <c r="AD258" s="171">
        <f>(INDEX(Models!$BJ258:$BT258,,AH258)*(1-AF258)+INDEX(Models!$BJ258:$BT258,,AH258+1)*AF258-ERP_i)*AE258*Ramure*Pc/MaxiM</f>
        <v>9.455935911499866E-4</v>
      </c>
      <c r="AE258" s="307">
        <f t="shared" si="87"/>
        <v>1</v>
      </c>
      <c r="AF258" s="179">
        <f t="shared" si="88"/>
        <v>0.87760097167057172</v>
      </c>
      <c r="AG258" s="837">
        <f t="shared" si="89"/>
        <v>-3</v>
      </c>
      <c r="AH258" s="178">
        <f t="shared" si="90"/>
        <v>3</v>
      </c>
      <c r="AI258" s="227">
        <f t="shared" si="91"/>
        <v>-2.1223990283294283</v>
      </c>
      <c r="AJ258" s="267" t="b">
        <f t="shared" si="92"/>
        <v>0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5"/>
        <v>43345</v>
      </c>
      <c r="B259" s="618"/>
      <c r="C259" s="392"/>
      <c r="D259" s="395"/>
      <c r="E259" s="387"/>
      <c r="F259" s="387"/>
      <c r="G259" s="110"/>
      <c r="I259" s="382">
        <f t="shared" si="72"/>
        <v>0</v>
      </c>
      <c r="J259" s="85">
        <v>2018</v>
      </c>
      <c r="K259" s="199">
        <f t="shared" si="73"/>
        <v>43345</v>
      </c>
      <c r="L259" s="437">
        <f t="shared" si="74"/>
        <v>7.4441819728832126E-4</v>
      </c>
      <c r="M259" s="881"/>
      <c r="N259" s="881"/>
      <c r="O259" s="326">
        <f t="shared" si="75"/>
        <v>7.9329301019247043E-3</v>
      </c>
      <c r="P259" s="171">
        <f>(INDEX(Models!$BJ259:$BT259,,T259)*(1-R259)+INDEX(Models!$BJ259:$BT259,,T259+1)*R259-ERP_i)*Q259*Ramure*Pc/MaxiM</f>
        <v>9.8094360813719139E-4</v>
      </c>
      <c r="Q259" s="307">
        <f t="shared" si="76"/>
        <v>1</v>
      </c>
      <c r="R259" s="179">
        <f t="shared" si="77"/>
        <v>0.8784754335304612</v>
      </c>
      <c r="S259" s="837">
        <f t="shared" si="94"/>
        <v>-3</v>
      </c>
      <c r="T259" s="178">
        <f t="shared" si="78"/>
        <v>3</v>
      </c>
      <c r="U259" s="253">
        <f t="shared" si="79"/>
        <v>-2.1215245664695388</v>
      </c>
      <c r="V259" s="385">
        <f t="shared" si="80"/>
        <v>51.544968381449188</v>
      </c>
      <c r="W259" s="58"/>
      <c r="X259" s="157">
        <f t="shared" si="81"/>
        <v>43345</v>
      </c>
      <c r="Y259" s="387">
        <f t="shared" si="82"/>
        <v>0</v>
      </c>
      <c r="Z259" s="387">
        <f t="shared" si="83"/>
        <v>0</v>
      </c>
      <c r="AA259" s="388">
        <f t="shared" si="84"/>
        <v>0</v>
      </c>
      <c r="AB259" s="199">
        <f t="shared" si="85"/>
        <v>43345</v>
      </c>
      <c r="AC259" s="426">
        <f t="shared" si="86"/>
        <v>7.9329301019247043E-3</v>
      </c>
      <c r="AD259" s="171">
        <f>(INDEX(Models!$BJ259:$BT259,,AH259)*(1-AF259)+INDEX(Models!$BJ259:$BT259,,AH259+1)*AF259-ERP_i)*AE259*Ramure*Pc/MaxiM</f>
        <v>9.8094360813719139E-4</v>
      </c>
      <c r="AE259" s="307">
        <f t="shared" si="87"/>
        <v>1</v>
      </c>
      <c r="AF259" s="179">
        <f t="shared" si="88"/>
        <v>0.8784754335304612</v>
      </c>
      <c r="AG259" s="837">
        <f t="shared" si="89"/>
        <v>-3</v>
      </c>
      <c r="AH259" s="178">
        <f t="shared" si="90"/>
        <v>3</v>
      </c>
      <c r="AI259" s="227">
        <f t="shared" si="91"/>
        <v>-2.1215245664695388</v>
      </c>
      <c r="AJ259" s="267" t="b">
        <f t="shared" si="92"/>
        <v>0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5"/>
        <v>43346</v>
      </c>
      <c r="B260" s="618"/>
      <c r="C260" s="392"/>
      <c r="D260" s="395"/>
      <c r="E260" s="387"/>
      <c r="F260" s="387"/>
      <c r="G260" s="110"/>
      <c r="I260" s="382">
        <f t="shared" si="72"/>
        <v>0</v>
      </c>
      <c r="J260" s="85">
        <v>2018</v>
      </c>
      <c r="K260" s="199">
        <f t="shared" si="73"/>
        <v>43346</v>
      </c>
      <c r="L260" s="437">
        <f t="shared" si="74"/>
        <v>7.6767233449537287E-4</v>
      </c>
      <c r="M260" s="881"/>
      <c r="N260" s="881"/>
      <c r="O260" s="326">
        <f t="shared" si="75"/>
        <v>8.1745922776881169E-3</v>
      </c>
      <c r="P260" s="171">
        <f>(INDEX(Models!$BJ260:$BT260,,T260)*(1-R260)+INDEX(Models!$BJ260:$BT260,,T260+1)*R260-ERP_i)*Q260*Ramure*Pc/MaxiM</f>
        <v>1.0165642977612646E-3</v>
      </c>
      <c r="Q260" s="307">
        <f t="shared" si="76"/>
        <v>1</v>
      </c>
      <c r="R260" s="179">
        <f t="shared" si="77"/>
        <v>0.87931680844053695</v>
      </c>
      <c r="S260" s="837">
        <f t="shared" si="94"/>
        <v>-3</v>
      </c>
      <c r="T260" s="178">
        <f t="shared" si="78"/>
        <v>3</v>
      </c>
      <c r="U260" s="253">
        <f t="shared" si="79"/>
        <v>-2.1206831915594631</v>
      </c>
      <c r="V260" s="385">
        <f t="shared" si="80"/>
        <v>51.185922627896943</v>
      </c>
      <c r="W260" s="58"/>
      <c r="X260" s="157">
        <f t="shared" si="81"/>
        <v>43346</v>
      </c>
      <c r="Y260" s="387">
        <f t="shared" si="82"/>
        <v>0</v>
      </c>
      <c r="Z260" s="387">
        <f t="shared" si="83"/>
        <v>0</v>
      </c>
      <c r="AA260" s="388">
        <f t="shared" si="84"/>
        <v>0</v>
      </c>
      <c r="AB260" s="199">
        <f t="shared" si="85"/>
        <v>43346</v>
      </c>
      <c r="AC260" s="426">
        <f t="shared" si="86"/>
        <v>8.1745922776881169E-3</v>
      </c>
      <c r="AD260" s="171">
        <f>(INDEX(Models!$BJ260:$BT260,,AH260)*(1-AF260)+INDEX(Models!$BJ260:$BT260,,AH260+1)*AF260-ERP_i)*AE260*Ramure*Pc/MaxiM</f>
        <v>1.0165642977612646E-3</v>
      </c>
      <c r="AE260" s="307">
        <f t="shared" si="87"/>
        <v>1</v>
      </c>
      <c r="AF260" s="179">
        <f t="shared" si="88"/>
        <v>0.87931680844053695</v>
      </c>
      <c r="AG260" s="837">
        <f t="shared" si="89"/>
        <v>-3</v>
      </c>
      <c r="AH260" s="178">
        <f t="shared" si="90"/>
        <v>3</v>
      </c>
      <c r="AI260" s="227">
        <f t="shared" si="91"/>
        <v>-2.1206831915594631</v>
      </c>
      <c r="AJ260" s="267" t="b">
        <f t="shared" si="92"/>
        <v>0</v>
      </c>
      <c r="AK260" s="267" t="b">
        <f t="shared" si="93"/>
        <v>0</v>
      </c>
      <c r="AL260" s="267"/>
      <c r="AM260" s="267"/>
      <c r="AN260" s="75"/>
    </row>
    <row r="261" spans="1:40" s="6" customFormat="1" ht="11.25" customHeight="1" x14ac:dyDescent="0.2">
      <c r="A261" s="56">
        <f t="shared" si="95"/>
        <v>43347</v>
      </c>
      <c r="B261" s="618"/>
      <c r="C261" s="392"/>
      <c r="D261" s="395"/>
      <c r="E261" s="387"/>
      <c r="F261" s="387"/>
      <c r="G261" s="110"/>
      <c r="I261" s="382">
        <f t="shared" si="72"/>
        <v>0</v>
      </c>
      <c r="J261" s="85">
        <v>2018</v>
      </c>
      <c r="K261" s="199">
        <f t="shared" si="73"/>
        <v>43347</v>
      </c>
      <c r="L261" s="437">
        <f t="shared" si="74"/>
        <v>7.9092593054463922E-4</v>
      </c>
      <c r="M261" s="881"/>
      <c r="N261" s="881"/>
      <c r="O261" s="326">
        <f t="shared" si="75"/>
        <v>8.4157972390229395E-3</v>
      </c>
      <c r="P261" s="171">
        <f>(INDEX(Models!$BJ261:$BT261,,T261)*(1-R261)+INDEX(Models!$BJ261:$BT261,,T261+1)*R261-ERP_i)*Q261*Ramure*Pc/MaxiM</f>
        <v>1.0524923696737687E-3</v>
      </c>
      <c r="Q261" s="307">
        <f t="shared" si="76"/>
        <v>1</v>
      </c>
      <c r="R261" s="179">
        <f t="shared" si="77"/>
        <v>0.88012626845660691</v>
      </c>
      <c r="S261" s="837">
        <f t="shared" si="94"/>
        <v>-3</v>
      </c>
      <c r="T261" s="178">
        <f t="shared" si="78"/>
        <v>3</v>
      </c>
      <c r="U261" s="253">
        <f t="shared" si="79"/>
        <v>-2.1198737315433931</v>
      </c>
      <c r="V261" s="385">
        <f t="shared" si="80"/>
        <v>50.818609202595752</v>
      </c>
      <c r="W261" s="58"/>
      <c r="X261" s="157">
        <f t="shared" si="81"/>
        <v>43347</v>
      </c>
      <c r="Y261" s="387">
        <f t="shared" si="82"/>
        <v>0</v>
      </c>
      <c r="Z261" s="387">
        <f t="shared" si="83"/>
        <v>0</v>
      </c>
      <c r="AA261" s="388">
        <f t="shared" si="84"/>
        <v>0</v>
      </c>
      <c r="AB261" s="199">
        <f t="shared" si="85"/>
        <v>43347</v>
      </c>
      <c r="AC261" s="426">
        <f t="shared" si="86"/>
        <v>8.4157972390229395E-3</v>
      </c>
      <c r="AD261" s="171">
        <f>(INDEX(Models!$BJ261:$BT261,,AH261)*(1-AF261)+INDEX(Models!$BJ261:$BT261,,AH261+1)*AF261-ERP_i)*AE261*Ramure*Pc/MaxiM</f>
        <v>1.0524923696737687E-3</v>
      </c>
      <c r="AE261" s="307">
        <f t="shared" si="87"/>
        <v>1</v>
      </c>
      <c r="AF261" s="179">
        <f t="shared" si="88"/>
        <v>0.88012626845660691</v>
      </c>
      <c r="AG261" s="837">
        <f t="shared" si="89"/>
        <v>-3</v>
      </c>
      <c r="AH261" s="178">
        <f t="shared" si="90"/>
        <v>3</v>
      </c>
      <c r="AI261" s="227">
        <f t="shared" si="91"/>
        <v>-2.1198737315433931</v>
      </c>
      <c r="AJ261" s="267" t="b">
        <f t="shared" si="92"/>
        <v>0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5"/>
        <v>43348</v>
      </c>
      <c r="B262" s="618"/>
      <c r="C262" s="392"/>
      <c r="D262" s="395"/>
      <c r="E262" s="387"/>
      <c r="F262" s="387"/>
      <c r="G262" s="110"/>
      <c r="I262" s="382">
        <f t="shared" si="72"/>
        <v>0</v>
      </c>
      <c r="J262" s="85">
        <v>2018</v>
      </c>
      <c r="K262" s="199">
        <f t="shared" si="73"/>
        <v>43348</v>
      </c>
      <c r="L262" s="437">
        <f t="shared" si="74"/>
        <v>8.1417898544866585E-4</v>
      </c>
      <c r="M262" s="881"/>
      <c r="N262" s="881"/>
      <c r="O262" s="326">
        <f t="shared" si="75"/>
        <v>8.656534797198993E-3</v>
      </c>
      <c r="P262" s="171">
        <f>(INDEX(Models!$BJ262:$BT262,,T262)*(1-R262)+INDEX(Models!$BJ262:$BT262,,T262+1)*R262-ERP_i)*Q262*Ramure*Pc/MaxiM</f>
        <v>1.0882614829369206E-3</v>
      </c>
      <c r="Q262" s="307">
        <f t="shared" si="76"/>
        <v>1</v>
      </c>
      <c r="R262" s="179">
        <f t="shared" si="77"/>
        <v>0.88090495026648741</v>
      </c>
      <c r="S262" s="837">
        <f t="shared" si="94"/>
        <v>-3</v>
      </c>
      <c r="T262" s="178">
        <f t="shared" si="78"/>
        <v>3</v>
      </c>
      <c r="U262" s="253">
        <f t="shared" si="79"/>
        <v>-2.1190950497335126</v>
      </c>
      <c r="V262" s="385">
        <f t="shared" si="80"/>
        <v>50.44270548346568</v>
      </c>
      <c r="W262" s="58"/>
      <c r="X262" s="157">
        <f t="shared" si="81"/>
        <v>43348</v>
      </c>
      <c r="Y262" s="387">
        <f t="shared" si="82"/>
        <v>0</v>
      </c>
      <c r="Z262" s="387">
        <f t="shared" si="83"/>
        <v>0</v>
      </c>
      <c r="AA262" s="388">
        <f t="shared" si="84"/>
        <v>0</v>
      </c>
      <c r="AB262" s="199">
        <f t="shared" si="85"/>
        <v>43348</v>
      </c>
      <c r="AC262" s="426">
        <f t="shared" si="86"/>
        <v>8.656534797198993E-3</v>
      </c>
      <c r="AD262" s="171">
        <f>(INDEX(Models!$BJ262:$BT262,,AH262)*(1-AF262)+INDEX(Models!$BJ262:$BT262,,AH262+1)*AF262-ERP_i)*AE262*Ramure*Pc/MaxiM</f>
        <v>1.0882614829369206E-3</v>
      </c>
      <c r="AE262" s="307">
        <f t="shared" si="87"/>
        <v>1</v>
      </c>
      <c r="AF262" s="179">
        <f t="shared" si="88"/>
        <v>0.88090495026648741</v>
      </c>
      <c r="AG262" s="837">
        <f t="shared" si="89"/>
        <v>-3</v>
      </c>
      <c r="AH262" s="178">
        <f t="shared" si="90"/>
        <v>3</v>
      </c>
      <c r="AI262" s="227">
        <f t="shared" si="91"/>
        <v>-2.1190950497335126</v>
      </c>
      <c r="AJ262" s="267" t="b">
        <f t="shared" si="92"/>
        <v>0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5"/>
        <v>43349</v>
      </c>
      <c r="B263" s="618"/>
      <c r="C263" s="392"/>
      <c r="D263" s="395"/>
      <c r="E263" s="387"/>
      <c r="F263" s="387"/>
      <c r="G263" s="110"/>
      <c r="I263" s="382">
        <f t="shared" si="72"/>
        <v>0</v>
      </c>
      <c r="J263" s="85">
        <v>2018</v>
      </c>
      <c r="K263" s="199">
        <f t="shared" si="73"/>
        <v>43349</v>
      </c>
      <c r="L263" s="437">
        <f t="shared" si="74"/>
        <v>8.3743149922022031E-4</v>
      </c>
      <c r="M263" s="881"/>
      <c r="N263" s="881"/>
      <c r="O263" s="326">
        <f t="shared" si="75"/>
        <v>8.8967942587637166E-3</v>
      </c>
      <c r="P263" s="171">
        <f>(INDEX(Models!$BJ263:$BT263,,T263)*(1-R263)+INDEX(Models!$BJ263:$BT263,,T263+1)*R263-ERP_i)*Q263*Ramure*Pc/MaxiM</f>
        <v>1.1238496380902303E-3</v>
      </c>
      <c r="Q263" s="307">
        <f t="shared" si="76"/>
        <v>1</v>
      </c>
      <c r="R263" s="179">
        <f t="shared" si="77"/>
        <v>0.88165395577077188</v>
      </c>
      <c r="S263" s="837">
        <f t="shared" si="94"/>
        <v>-3</v>
      </c>
      <c r="T263" s="178">
        <f t="shared" si="78"/>
        <v>3</v>
      </c>
      <c r="U263" s="253">
        <f t="shared" si="79"/>
        <v>-2.1183460442292281</v>
      </c>
      <c r="V263" s="385">
        <f t="shared" si="80"/>
        <v>50.058779494116777</v>
      </c>
      <c r="W263" s="58"/>
      <c r="X263" s="157">
        <f t="shared" si="81"/>
        <v>43349</v>
      </c>
      <c r="Y263" s="387">
        <f t="shared" si="82"/>
        <v>0</v>
      </c>
      <c r="Z263" s="387">
        <f t="shared" si="83"/>
        <v>0</v>
      </c>
      <c r="AA263" s="388">
        <f t="shared" si="84"/>
        <v>0</v>
      </c>
      <c r="AB263" s="199">
        <f t="shared" si="85"/>
        <v>43349</v>
      </c>
      <c r="AC263" s="426">
        <f t="shared" si="86"/>
        <v>8.8967942587637166E-3</v>
      </c>
      <c r="AD263" s="171">
        <f>(INDEX(Models!$BJ263:$BT263,,AH263)*(1-AF263)+INDEX(Models!$BJ263:$BT263,,AH263+1)*AF263-ERP_i)*AE263*Ramure*Pc/MaxiM</f>
        <v>1.1238496380902303E-3</v>
      </c>
      <c r="AE263" s="307">
        <f t="shared" si="87"/>
        <v>1</v>
      </c>
      <c r="AF263" s="179">
        <f t="shared" si="88"/>
        <v>0.88165395577077188</v>
      </c>
      <c r="AG263" s="837">
        <f t="shared" si="89"/>
        <v>-3</v>
      </c>
      <c r="AH263" s="178">
        <f t="shared" si="90"/>
        <v>3</v>
      </c>
      <c r="AI263" s="227">
        <f t="shared" si="91"/>
        <v>-2.1183460442292281</v>
      </c>
      <c r="AJ263" s="267" t="b">
        <f t="shared" si="92"/>
        <v>0</v>
      </c>
      <c r="AK263" s="267" t="b">
        <f t="shared" si="93"/>
        <v>0</v>
      </c>
      <c r="AL263" s="267"/>
      <c r="AM263" s="267"/>
      <c r="AN263" s="75"/>
    </row>
    <row r="264" spans="1:40" s="6" customFormat="1" ht="11.25" customHeight="1" x14ac:dyDescent="0.2">
      <c r="A264" s="56">
        <f t="shared" si="95"/>
        <v>43350</v>
      </c>
      <c r="B264" s="618"/>
      <c r="C264" s="392"/>
      <c r="D264" s="395"/>
      <c r="E264" s="387"/>
      <c r="F264" s="387"/>
      <c r="G264" s="110"/>
      <c r="I264" s="382">
        <f t="shared" si="72"/>
        <v>0</v>
      </c>
      <c r="J264" s="85">
        <v>2018</v>
      </c>
      <c r="K264" s="199">
        <f t="shared" si="73"/>
        <v>43350</v>
      </c>
      <c r="L264" s="437">
        <f t="shared" si="74"/>
        <v>8.6068347187184813E-4</v>
      </c>
      <c r="M264" s="881"/>
      <c r="N264" s="881"/>
      <c r="O264" s="326">
        <f t="shared" si="75"/>
        <v>9.1365643997730322E-3</v>
      </c>
      <c r="P264" s="171">
        <f>(INDEX(Models!$BJ264:$BT264,,T264)*(1-R264)+INDEX(Models!$BJ264:$BT264,,T264+1)*R264-ERP_i)*Q264*Ramure*Pc/MaxiM</f>
        <v>1.1592533854655378E-3</v>
      </c>
      <c r="Q264" s="307">
        <f t="shared" si="76"/>
        <v>1</v>
      </c>
      <c r="R264" s="179">
        <f t="shared" si="77"/>
        <v>0.88237435269702447</v>
      </c>
      <c r="S264" s="837">
        <f t="shared" si="94"/>
        <v>-3</v>
      </c>
      <c r="T264" s="178">
        <f t="shared" si="78"/>
        <v>3</v>
      </c>
      <c r="U264" s="253">
        <f t="shared" si="79"/>
        <v>-2.1176256473029755</v>
      </c>
      <c r="V264" s="385">
        <f t="shared" si="80"/>
        <v>49.667397607800034</v>
      </c>
      <c r="W264" s="58"/>
      <c r="X264" s="157">
        <f t="shared" si="81"/>
        <v>43350</v>
      </c>
      <c r="Y264" s="387">
        <f t="shared" si="82"/>
        <v>0</v>
      </c>
      <c r="Z264" s="387">
        <f t="shared" si="83"/>
        <v>0</v>
      </c>
      <c r="AA264" s="388">
        <f t="shared" si="84"/>
        <v>0</v>
      </c>
      <c r="AB264" s="199">
        <f t="shared" si="85"/>
        <v>43350</v>
      </c>
      <c r="AC264" s="426">
        <f t="shared" si="86"/>
        <v>9.1365643997730322E-3</v>
      </c>
      <c r="AD264" s="171">
        <f>(INDEX(Models!$BJ264:$BT264,,AH264)*(1-AF264)+INDEX(Models!$BJ264:$BT264,,AH264+1)*AF264-ERP_i)*AE264*Ramure*Pc/MaxiM</f>
        <v>1.1592533854655378E-3</v>
      </c>
      <c r="AE264" s="307">
        <f t="shared" si="87"/>
        <v>1</v>
      </c>
      <c r="AF264" s="179">
        <f t="shared" si="88"/>
        <v>0.88237435269702447</v>
      </c>
      <c r="AG264" s="837">
        <f t="shared" si="89"/>
        <v>-3</v>
      </c>
      <c r="AH264" s="178">
        <f t="shared" si="90"/>
        <v>3</v>
      </c>
      <c r="AI264" s="227">
        <f t="shared" si="91"/>
        <v>-2.1176256473029755</v>
      </c>
      <c r="AJ264" s="267" t="b">
        <f t="shared" si="92"/>
        <v>0</v>
      </c>
      <c r="AK264" s="267" t="b">
        <f t="shared" si="93"/>
        <v>0</v>
      </c>
      <c r="AL264" s="267"/>
      <c r="AM264" s="267"/>
      <c r="AN264" s="75"/>
    </row>
    <row r="265" spans="1:40" s="6" customFormat="1" ht="11.25" x14ac:dyDescent="0.2">
      <c r="A265" s="56">
        <f t="shared" si="95"/>
        <v>43351</v>
      </c>
      <c r="B265" s="618"/>
      <c r="C265" s="392"/>
      <c r="D265" s="395"/>
      <c r="E265" s="387"/>
      <c r="F265" s="387"/>
      <c r="G265" s="110"/>
      <c r="I265" s="382">
        <f t="shared" si="72"/>
        <v>0</v>
      </c>
      <c r="J265" s="85">
        <v>2018</v>
      </c>
      <c r="K265" s="199">
        <f t="shared" si="73"/>
        <v>43351</v>
      </c>
      <c r="L265" s="437">
        <f t="shared" si="74"/>
        <v>8.839349034159838E-4</v>
      </c>
      <c r="M265" s="881"/>
      <c r="N265" s="881"/>
      <c r="O265" s="326">
        <f t="shared" si="75"/>
        <v>9.3758334398510619E-3</v>
      </c>
      <c r="P265" s="171">
        <f>(INDEX(Models!$BJ265:$BT265,,T265)*(1-R265)+INDEX(Models!$BJ265:$BT265,,T265+1)*R265-ERP_i)*Q265*Ramure*Pc/MaxiM</f>
        <v>1.1944676934854354E-3</v>
      </c>
      <c r="Q265" s="307">
        <f t="shared" si="76"/>
        <v>1</v>
      </c>
      <c r="R265" s="179">
        <f t="shared" si="77"/>
        <v>0.88306717524260847</v>
      </c>
      <c r="S265" s="837">
        <f t="shared" si="94"/>
        <v>-3</v>
      </c>
      <c r="T265" s="178">
        <f t="shared" si="78"/>
        <v>3</v>
      </c>
      <c r="U265" s="253">
        <f t="shared" si="79"/>
        <v>-2.1169328247573915</v>
      </c>
      <c r="V265" s="385">
        <f t="shared" si="80"/>
        <v>49.269125576907328</v>
      </c>
      <c r="W265" s="58"/>
      <c r="X265" s="157">
        <f t="shared" si="81"/>
        <v>43351</v>
      </c>
      <c r="Y265" s="387">
        <f t="shared" si="82"/>
        <v>0</v>
      </c>
      <c r="Z265" s="387">
        <f t="shared" si="83"/>
        <v>0</v>
      </c>
      <c r="AA265" s="388">
        <f t="shared" si="84"/>
        <v>0</v>
      </c>
      <c r="AB265" s="199">
        <f t="shared" si="85"/>
        <v>43351</v>
      </c>
      <c r="AC265" s="426">
        <f t="shared" si="86"/>
        <v>9.3758334398510619E-3</v>
      </c>
      <c r="AD265" s="171">
        <f>(INDEX(Models!$BJ265:$BT265,,AH265)*(1-AF265)+INDEX(Models!$BJ265:$BT265,,AH265+1)*AF265-ERP_i)*AE265*Ramure*Pc/MaxiM</f>
        <v>1.1944676934854354E-3</v>
      </c>
      <c r="AE265" s="307">
        <f t="shared" si="87"/>
        <v>1</v>
      </c>
      <c r="AF265" s="179">
        <f t="shared" si="88"/>
        <v>0.88306717524260847</v>
      </c>
      <c r="AG265" s="837">
        <f t="shared" si="89"/>
        <v>-3</v>
      </c>
      <c r="AH265" s="178">
        <f t="shared" si="90"/>
        <v>3</v>
      </c>
      <c r="AI265" s="227">
        <f t="shared" si="91"/>
        <v>-2.1169328247573915</v>
      </c>
      <c r="AJ265" s="267" t="b">
        <f t="shared" si="92"/>
        <v>0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5"/>
        <v>43352</v>
      </c>
      <c r="B266" s="618"/>
      <c r="C266" s="392"/>
      <c r="D266" s="395"/>
      <c r="E266" s="387"/>
      <c r="F266" s="387"/>
      <c r="G266" s="110"/>
      <c r="I266" s="382">
        <f t="shared" si="72"/>
        <v>0</v>
      </c>
      <c r="J266" s="85">
        <v>2018</v>
      </c>
      <c r="K266" s="199">
        <f t="shared" si="73"/>
        <v>43352</v>
      </c>
      <c r="L266" s="437">
        <f t="shared" si="74"/>
        <v>9.0718579386550591E-4</v>
      </c>
      <c r="M266" s="881"/>
      <c r="N266" s="881"/>
      <c r="O266" s="326">
        <f t="shared" si="75"/>
        <v>9.6145890165410947E-3</v>
      </c>
      <c r="P266" s="171">
        <f>(INDEX(Models!$BJ266:$BT266,,T266)*(1-R266)+INDEX(Models!$BJ266:$BT266,,T266+1)*R266-ERP_i)*Q266*Ramure*Pc/MaxiM</f>
        <v>1.2294858805979466E-3</v>
      </c>
      <c r="Q266" s="307">
        <f t="shared" si="76"/>
        <v>1</v>
      </c>
      <c r="R266" s="179">
        <f t="shared" si="77"/>
        <v>0.88373342474170569</v>
      </c>
      <c r="S266" s="837">
        <f t="shared" si="94"/>
        <v>-3</v>
      </c>
      <c r="T266" s="178">
        <f t="shared" si="78"/>
        <v>3</v>
      </c>
      <c r="U266" s="253">
        <f t="shared" si="79"/>
        <v>-2.1162665752582943</v>
      </c>
      <c r="V266" s="385">
        <f t="shared" si="80"/>
        <v>48.864528533104632</v>
      </c>
      <c r="W266" s="58"/>
      <c r="X266" s="157">
        <f t="shared" si="81"/>
        <v>43352</v>
      </c>
      <c r="Y266" s="387">
        <f t="shared" si="82"/>
        <v>0</v>
      </c>
      <c r="Z266" s="387">
        <f t="shared" si="83"/>
        <v>0</v>
      </c>
      <c r="AA266" s="388">
        <f t="shared" si="84"/>
        <v>0</v>
      </c>
      <c r="AB266" s="199">
        <f t="shared" si="85"/>
        <v>43352</v>
      </c>
      <c r="AC266" s="426">
        <f t="shared" si="86"/>
        <v>9.6145890165410947E-3</v>
      </c>
      <c r="AD266" s="171">
        <f>(INDEX(Models!$BJ266:$BT266,,AH266)*(1-AF266)+INDEX(Models!$BJ266:$BT266,,AH266+1)*AF266-ERP_i)*AE266*Ramure*Pc/MaxiM</f>
        <v>1.2294858805979466E-3</v>
      </c>
      <c r="AE266" s="307">
        <f t="shared" si="87"/>
        <v>1</v>
      </c>
      <c r="AF266" s="179">
        <f t="shared" si="88"/>
        <v>0.88373342474170569</v>
      </c>
      <c r="AG266" s="837">
        <f t="shared" si="89"/>
        <v>-3</v>
      </c>
      <c r="AH266" s="178">
        <f t="shared" si="90"/>
        <v>3</v>
      </c>
      <c r="AI266" s="227">
        <f t="shared" si="91"/>
        <v>-2.1162665752582943</v>
      </c>
      <c r="AJ266" s="267" t="b">
        <f t="shared" si="92"/>
        <v>0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5"/>
        <v>43353</v>
      </c>
      <c r="B267" s="618"/>
      <c r="C267" s="392"/>
      <c r="D267" s="395"/>
      <c r="E267" s="387"/>
      <c r="F267" s="387"/>
      <c r="G267" s="110"/>
      <c r="I267" s="382">
        <f t="shared" si="72"/>
        <v>0</v>
      </c>
      <c r="J267" s="85">
        <v>2018</v>
      </c>
      <c r="K267" s="199">
        <f t="shared" si="73"/>
        <v>43353</v>
      </c>
      <c r="L267" s="437">
        <f t="shared" si="74"/>
        <v>9.3043614323273793E-4</v>
      </c>
      <c r="M267" s="881"/>
      <c r="N267" s="881"/>
      <c r="O267" s="326">
        <f t="shared" si="75"/>
        <v>9.8528181604596917E-3</v>
      </c>
      <c r="P267" s="171">
        <f>(INDEX(Models!$BJ267:$BT267,,T267)*(1-R267)+INDEX(Models!$BJ267:$BT267,,T267+1)*R267-ERP_i)*Q267*Ramure*Pc/MaxiM</f>
        <v>1.2642995424907845E-3</v>
      </c>
      <c r="Q267" s="307">
        <f t="shared" si="76"/>
        <v>1</v>
      </c>
      <c r="R267" s="179">
        <f t="shared" si="77"/>
        <v>0.88437407035243654</v>
      </c>
      <c r="S267" s="837">
        <f t="shared" si="94"/>
        <v>-3</v>
      </c>
      <c r="T267" s="178">
        <f t="shared" si="78"/>
        <v>3</v>
      </c>
      <c r="U267" s="253">
        <f t="shared" si="79"/>
        <v>-2.1156259296475635</v>
      </c>
      <c r="V267" s="385">
        <f t="shared" si="80"/>
        <v>48.454170990035323</v>
      </c>
      <c r="W267" s="58"/>
      <c r="X267" s="157">
        <f t="shared" si="81"/>
        <v>43353</v>
      </c>
      <c r="Y267" s="387">
        <f t="shared" si="82"/>
        <v>0</v>
      </c>
      <c r="Z267" s="387">
        <f t="shared" si="83"/>
        <v>0</v>
      </c>
      <c r="AA267" s="388">
        <f t="shared" si="84"/>
        <v>0</v>
      </c>
      <c r="AB267" s="199">
        <f t="shared" si="85"/>
        <v>43353</v>
      </c>
      <c r="AC267" s="426">
        <f t="shared" si="86"/>
        <v>9.8528181604596917E-3</v>
      </c>
      <c r="AD267" s="171">
        <f>(INDEX(Models!$BJ267:$BT267,,AH267)*(1-AF267)+INDEX(Models!$BJ267:$BT267,,AH267+1)*AF267-ERP_i)*AE267*Ramure*Pc/MaxiM</f>
        <v>1.2642995424907845E-3</v>
      </c>
      <c r="AE267" s="307">
        <f t="shared" si="87"/>
        <v>1</v>
      </c>
      <c r="AF267" s="179">
        <f t="shared" si="88"/>
        <v>0.88437407035243654</v>
      </c>
      <c r="AG267" s="837">
        <f t="shared" si="89"/>
        <v>-3</v>
      </c>
      <c r="AH267" s="178">
        <f t="shared" si="90"/>
        <v>3</v>
      </c>
      <c r="AI267" s="227">
        <f t="shared" si="91"/>
        <v>-2.1156259296475635</v>
      </c>
      <c r="AJ267" s="267" t="b">
        <f t="shared" si="92"/>
        <v>0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5"/>
        <v>43354</v>
      </c>
      <c r="B268" s="618"/>
      <c r="C268" s="392"/>
      <c r="D268" s="395"/>
      <c r="E268" s="387"/>
      <c r="F268" s="387"/>
      <c r="G268" s="110"/>
      <c r="I268" s="382">
        <f t="shared" si="72"/>
        <v>0</v>
      </c>
      <c r="J268" s="85">
        <v>2018</v>
      </c>
      <c r="K268" s="199">
        <f t="shared" si="73"/>
        <v>43354</v>
      </c>
      <c r="L268" s="437">
        <f t="shared" si="74"/>
        <v>9.5368595153033642E-4</v>
      </c>
      <c r="M268" s="881"/>
      <c r="N268" s="881"/>
      <c r="O268" s="326">
        <f t="shared" si="75"/>
        <v>1.0090507271811261E-2</v>
      </c>
      <c r="P268" s="171">
        <f>(INDEX(Models!$BJ268:$BT268,,T268)*(1-R268)+INDEX(Models!$BJ268:$BT268,,T268+1)*R268-ERP_i)*Q268*Ramure*Pc/MaxiM</f>
        <v>1.2981624653269136E-3</v>
      </c>
      <c r="Q268" s="307">
        <f t="shared" si="76"/>
        <v>1</v>
      </c>
      <c r="R268" s="179">
        <f t="shared" si="77"/>
        <v>0.88499004976030804</v>
      </c>
      <c r="S268" s="837">
        <f t="shared" si="94"/>
        <v>-3</v>
      </c>
      <c r="T268" s="178">
        <f t="shared" si="78"/>
        <v>3</v>
      </c>
      <c r="U268" s="253">
        <f t="shared" si="79"/>
        <v>-2.115009950239692</v>
      </c>
      <c r="V268" s="385">
        <f t="shared" si="80"/>
        <v>48.038652256373702</v>
      </c>
      <c r="W268" s="58"/>
      <c r="X268" s="157">
        <f t="shared" si="81"/>
        <v>43354</v>
      </c>
      <c r="Y268" s="387">
        <f t="shared" si="82"/>
        <v>0</v>
      </c>
      <c r="Z268" s="387">
        <f t="shared" si="83"/>
        <v>0</v>
      </c>
      <c r="AA268" s="388">
        <f t="shared" si="84"/>
        <v>0</v>
      </c>
      <c r="AB268" s="199">
        <f t="shared" si="85"/>
        <v>43354</v>
      </c>
      <c r="AC268" s="426">
        <f t="shared" si="86"/>
        <v>1.0090507271811261E-2</v>
      </c>
      <c r="AD268" s="171">
        <f>(INDEX(Models!$BJ268:$BT268,,AH268)*(1-AF268)+INDEX(Models!$BJ268:$BT268,,AH268+1)*AF268-ERP_i)*AE268*Ramure*Pc/MaxiM</f>
        <v>1.2981624653269136E-3</v>
      </c>
      <c r="AE268" s="307">
        <f t="shared" si="87"/>
        <v>1</v>
      </c>
      <c r="AF268" s="179">
        <f t="shared" si="88"/>
        <v>0.88499004976030804</v>
      </c>
      <c r="AG268" s="837">
        <f t="shared" si="89"/>
        <v>-3</v>
      </c>
      <c r="AH268" s="178">
        <f t="shared" si="90"/>
        <v>3</v>
      </c>
      <c r="AI268" s="227">
        <f t="shared" si="91"/>
        <v>-2.115009950239692</v>
      </c>
      <c r="AJ268" s="267" t="b">
        <f t="shared" si="92"/>
        <v>0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5"/>
        <v>43355</v>
      </c>
      <c r="B269" s="618"/>
      <c r="C269" s="392"/>
      <c r="D269" s="395"/>
      <c r="E269" s="387"/>
      <c r="F269" s="387"/>
      <c r="G269" s="110"/>
      <c r="I269" s="382">
        <f t="shared" si="72"/>
        <v>0</v>
      </c>
      <c r="J269" s="85">
        <v>2018</v>
      </c>
      <c r="K269" s="199">
        <f t="shared" si="73"/>
        <v>43355</v>
      </c>
      <c r="L269" s="437">
        <f t="shared" si="74"/>
        <v>9.769352187709579E-4</v>
      </c>
      <c r="M269" s="881"/>
      <c r="N269" s="881"/>
      <c r="O269" s="326">
        <f t="shared" si="75"/>
        <v>1.0327642098856508E-2</v>
      </c>
      <c r="P269" s="171">
        <f>(INDEX(Models!$BJ269:$BT269,,T269)*(1-R269)+INDEX(Models!$BJ269:$BT269,,T269+1)*R269-ERP_i)*Q269*Ramure*Pc/MaxiM</f>
        <v>1.3314775011869578E-3</v>
      </c>
      <c r="Q269" s="307">
        <f t="shared" si="76"/>
        <v>1</v>
      </c>
      <c r="R269" s="179">
        <f t="shared" si="77"/>
        <v>0.88558226989452971</v>
      </c>
      <c r="S269" s="837">
        <f t="shared" si="94"/>
        <v>-3</v>
      </c>
      <c r="T269" s="178">
        <f t="shared" si="78"/>
        <v>3</v>
      </c>
      <c r="U269" s="253">
        <f t="shared" si="79"/>
        <v>-2.1144177301054703</v>
      </c>
      <c r="V269" s="385">
        <f t="shared" si="80"/>
        <v>47.618514914603907</v>
      </c>
      <c r="W269" s="58"/>
      <c r="X269" s="157">
        <f t="shared" si="81"/>
        <v>43355</v>
      </c>
      <c r="Y269" s="387">
        <f t="shared" si="82"/>
        <v>0</v>
      </c>
      <c r="Z269" s="387">
        <f t="shared" si="83"/>
        <v>0</v>
      </c>
      <c r="AA269" s="388">
        <f t="shared" si="84"/>
        <v>0</v>
      </c>
      <c r="AB269" s="199">
        <f t="shared" si="85"/>
        <v>43355</v>
      </c>
      <c r="AC269" s="426">
        <f t="shared" si="86"/>
        <v>1.0327642098856508E-2</v>
      </c>
      <c r="AD269" s="171">
        <f>(INDEX(Models!$BJ269:$BT269,,AH269)*(1-AF269)+INDEX(Models!$BJ269:$BT269,,AH269+1)*AF269-ERP_i)*AE269*Ramure*Pc/MaxiM</f>
        <v>1.3314775011869578E-3</v>
      </c>
      <c r="AE269" s="307">
        <f t="shared" si="87"/>
        <v>1</v>
      </c>
      <c r="AF269" s="179">
        <f t="shared" si="88"/>
        <v>0.88558226989452971</v>
      </c>
      <c r="AG269" s="837">
        <f t="shared" si="89"/>
        <v>-3</v>
      </c>
      <c r="AH269" s="178">
        <f t="shared" si="90"/>
        <v>3</v>
      </c>
      <c r="AI269" s="227">
        <f t="shared" si="91"/>
        <v>-2.1144177301054703</v>
      </c>
      <c r="AJ269" s="267" t="b">
        <f t="shared" si="92"/>
        <v>0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5"/>
        <v>43356</v>
      </c>
      <c r="B270" s="618"/>
      <c r="C270" s="392"/>
      <c r="D270" s="395"/>
      <c r="E270" s="387"/>
      <c r="F270" s="387"/>
      <c r="G270" s="110"/>
      <c r="I270" s="382">
        <f t="shared" si="72"/>
        <v>0</v>
      </c>
      <c r="J270" s="85">
        <v>2018</v>
      </c>
      <c r="K270" s="199">
        <f t="shared" si="73"/>
        <v>43356</v>
      </c>
      <c r="L270" s="437">
        <f t="shared" si="74"/>
        <v>1.0001839449671479E-3</v>
      </c>
      <c r="M270" s="881"/>
      <c r="N270" s="881"/>
      <c r="O270" s="326">
        <f t="shared" si="75"/>
        <v>1.0564207718959922E-2</v>
      </c>
      <c r="P270" s="171">
        <f>(INDEX(Models!$BJ270:$BT270,,T270)*(1-R270)+INDEX(Models!$BJ270:$BT270,,T270+1)*R270-ERP_i)*Q270*Ramure*Pc/MaxiM</f>
        <v>1.3642210991809383E-3</v>
      </c>
      <c r="Q270" s="307">
        <f t="shared" si="76"/>
        <v>1</v>
      </c>
      <c r="R270" s="179">
        <f t="shared" si="77"/>
        <v>0.8861516076540239</v>
      </c>
      <c r="S270" s="837">
        <f t="shared" si="94"/>
        <v>-3</v>
      </c>
      <c r="T270" s="178">
        <f t="shared" si="78"/>
        <v>3</v>
      </c>
      <c r="U270" s="253">
        <f t="shared" si="79"/>
        <v>-2.1138483923459761</v>
      </c>
      <c r="V270" s="385">
        <f t="shared" si="80"/>
        <v>47.19432168477811</v>
      </c>
      <c r="W270" s="58"/>
      <c r="X270" s="157">
        <f t="shared" si="81"/>
        <v>43356</v>
      </c>
      <c r="Y270" s="387">
        <f t="shared" si="82"/>
        <v>0</v>
      </c>
      <c r="Z270" s="387">
        <f t="shared" si="83"/>
        <v>0</v>
      </c>
      <c r="AA270" s="388">
        <f t="shared" si="84"/>
        <v>0</v>
      </c>
      <c r="AB270" s="199">
        <f t="shared" si="85"/>
        <v>43356</v>
      </c>
      <c r="AC270" s="426">
        <f t="shared" si="86"/>
        <v>1.0564207718959922E-2</v>
      </c>
      <c r="AD270" s="171">
        <f>(INDEX(Models!$BJ270:$BT270,,AH270)*(1-AF270)+INDEX(Models!$BJ270:$BT270,,AH270+1)*AF270-ERP_i)*AE270*Ramure*Pc/MaxiM</f>
        <v>1.3642210991809383E-3</v>
      </c>
      <c r="AE270" s="307">
        <f t="shared" si="87"/>
        <v>1</v>
      </c>
      <c r="AF270" s="179">
        <f t="shared" si="88"/>
        <v>0.8861516076540239</v>
      </c>
      <c r="AG270" s="837">
        <f t="shared" si="89"/>
        <v>-3</v>
      </c>
      <c r="AH270" s="178">
        <f t="shared" si="90"/>
        <v>3</v>
      </c>
      <c r="AI270" s="227">
        <f t="shared" si="91"/>
        <v>-2.1138483923459761</v>
      </c>
      <c r="AJ270" s="267" t="b">
        <f t="shared" si="92"/>
        <v>0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5"/>
        <v>43357</v>
      </c>
      <c r="B271" s="618"/>
      <c r="C271" s="392"/>
      <c r="D271" s="395"/>
      <c r="E271" s="387"/>
      <c r="F271" s="387"/>
      <c r="G271" s="110"/>
      <c r="I271" s="382">
        <f t="shared" ref="I271:I334" si="96">Wh_hp</f>
        <v>0</v>
      </c>
      <c r="J271" s="85">
        <v>2018</v>
      </c>
      <c r="K271" s="199">
        <f t="shared" ref="K271:K334" si="97">t</f>
        <v>43357</v>
      </c>
      <c r="L271" s="437">
        <f t="shared" ref="L271:L334" si="98">IF(t&lt;T0,0,IF(t&lt;Tvie,1-EXP((T0-t)*PertePVj),1-EXP((T0-t)*PertePVj)+Pspv))</f>
        <v>1.023432130131563E-3</v>
      </c>
      <c r="M271" s="881"/>
      <c r="N271" s="881"/>
      <c r="O271" s="326">
        <f t="shared" ref="O271:O334" si="99">IF(t&lt;T0,0,IF(t&lt;Tnet,Salim_i*(1-EXP((T0-t)/Tau_ij)),Resal+(Salim-Resal)*(1-EXP((Tnet-t)/(Tau_j)))))*Salcycl</f>
        <v>1.0800188522862252E-2</v>
      </c>
      <c r="P271" s="171">
        <f>(INDEX(Models!$BJ271:$BT271,,T271)*(1-R271)+INDEX(Models!$BJ271:$BT271,,T271+1)*R271-ERP_i)*Q271*Ramure*Pc/MaxiM</f>
        <v>1.3963672317118217E-3</v>
      </c>
      <c r="Q271" s="307">
        <f t="shared" ref="Q271:Q334" si="100">IF(OR(t&lt;Ttai,Notai),Dd+PousD*Croivg,Dens+PousD*(Croivg-Croi_tai))</f>
        <v>1</v>
      </c>
      <c r="R271" s="179">
        <f t="shared" ref="R271:R334" si="101">(Hp_vg-S271)/(INDEX(Echel_vg,T271+1)-S271)</f>
        <v>0.88669891064023387</v>
      </c>
      <c r="S271" s="837">
        <f t="shared" si="94"/>
        <v>-3</v>
      </c>
      <c r="T271" s="178">
        <f t="shared" ref="T271:T334" si="102">MIN(MATCH(Hp_vg,Echel_vg),10)</f>
        <v>3</v>
      </c>
      <c r="U271" s="253">
        <f t="shared" ref="U271:U334" si="103">IF(OR(t&lt;Ttai,Notai),Hdd+PousH*Croivg,Hdtf+PousH*(Croivg-Croi_tai))</f>
        <v>-2.1133010893597661</v>
      </c>
      <c r="V271" s="385">
        <f t="shared" ref="V271:V334" si="104">MaxiM*(1-Ppv)*(1-Pvg)*(1-Psa)</f>
        <v>46.76663467899985</v>
      </c>
      <c r="W271" s="58"/>
      <c r="X271" s="157">
        <f t="shared" ref="X271:X334" si="105">t</f>
        <v>43357</v>
      </c>
      <c r="Y271" s="387">
        <f t="shared" ref="Y271:Y334" si="106">Wh_pvt_s*(1-Ppv)</f>
        <v>0</v>
      </c>
      <c r="Z271" s="387">
        <f t="shared" ref="Z271:Z334" si="107">Wh_sa_s*(1-Psa_s)</f>
        <v>0</v>
      </c>
      <c r="AA271" s="388">
        <f t="shared" ref="AA271:AA334" si="108">Wh_hp*(1-Pvg_s*MEDIAN((-Sdif+Wh/Env_an)/Csdif,0,1))</f>
        <v>0</v>
      </c>
      <c r="AB271" s="199">
        <f t="shared" ref="AB271:AB334" si="109">t</f>
        <v>43357</v>
      </c>
      <c r="AC271" s="426">
        <f t="shared" ref="AC271:AC334" si="110">IF(t&lt;T0,0,IF(OR(t&lt;Tnet,NoTnet),Salim_i*(1-EXP((T0-t)/Tau_ij)),Resal_s+(Salim-Resal_s)*(1-EXP((Tnet_s-t)/Tau_j))))*Salcycl</f>
        <v>1.0800188522862252E-2</v>
      </c>
      <c r="AD271" s="171">
        <f>(INDEX(Models!$BJ271:$BT271,,AH271)*(1-AF271)+INDEX(Models!$BJ271:$BT271,,AH271+1)*AF271-ERP_i)*AE271*Ramure*Pc/MaxiM</f>
        <v>1.3963672317118217E-3</v>
      </c>
      <c r="AE271" s="307">
        <f t="shared" ref="AE271:AE334" si="111">Dd+PousD*Croivg</f>
        <v>1</v>
      </c>
      <c r="AF271" s="179">
        <f t="shared" ref="AF271:AF334" si="112">(Hp_vg_s-AG271)/(INDEX(Echel_vg,AH271+1)-AG271)</f>
        <v>0.88669891064023387</v>
      </c>
      <c r="AG271" s="837">
        <f t="shared" ref="AG271:AG334" si="113">INDEX(Echel_vg,AH271)</f>
        <v>-3</v>
      </c>
      <c r="AH271" s="178">
        <f t="shared" ref="AH271:AH334" si="114">MIN(MATCH(Hp_vg_s,Echel_vg),10)</f>
        <v>3</v>
      </c>
      <c r="AI271" s="227">
        <f t="shared" ref="AI271:AI334" si="115">Hdd+PousH*Croivg</f>
        <v>-2.1133010893597661</v>
      </c>
      <c r="AJ271" s="267" t="b">
        <f t="shared" ref="AJ271:AJ334" si="116">t&lt;Tnet</f>
        <v>0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si="95"/>
        <v>43358</v>
      </c>
      <c r="B272" s="618"/>
      <c r="C272" s="392"/>
      <c r="D272" s="395"/>
      <c r="E272" s="387"/>
      <c r="F272" s="387"/>
      <c r="G272" s="110"/>
      <c r="I272" s="382">
        <f t="shared" si="96"/>
        <v>0</v>
      </c>
      <c r="J272" s="85">
        <v>2018</v>
      </c>
      <c r="K272" s="199">
        <f t="shared" si="97"/>
        <v>43358</v>
      </c>
      <c r="L272" s="437">
        <f t="shared" si="98"/>
        <v>1.0466797742767486E-3</v>
      </c>
      <c r="M272" s="881"/>
      <c r="N272" s="881"/>
      <c r="O272" s="326">
        <f t="shared" si="99"/>
        <v>1.1035568202837779E-2</v>
      </c>
      <c r="P272" s="171">
        <f>(INDEX(Models!$BJ272:$BT272,,T272)*(1-R272)+INDEX(Models!$BJ272:$BT272,,T272+1)*R272-ERP_i)*Q272*Ramure*Pc/MaxiM</f>
        <v>1.4278873111706711E-3</v>
      </c>
      <c r="Q272" s="307">
        <f t="shared" si="100"/>
        <v>1</v>
      </c>
      <c r="R272" s="179">
        <f t="shared" si="101"/>
        <v>0.88722499789409115</v>
      </c>
      <c r="S272" s="837">
        <f t="shared" ref="S272:S335" si="118">INDEX(Echel_vg,T272)</f>
        <v>-3</v>
      </c>
      <c r="T272" s="178">
        <f t="shared" si="102"/>
        <v>3</v>
      </c>
      <c r="U272" s="253">
        <f t="shared" si="103"/>
        <v>-2.1127750021059089</v>
      </c>
      <c r="V272" s="385">
        <f t="shared" si="104"/>
        <v>46.336015408243505</v>
      </c>
      <c r="W272" s="58"/>
      <c r="X272" s="157">
        <f t="shared" si="105"/>
        <v>43358</v>
      </c>
      <c r="Y272" s="387">
        <f t="shared" si="106"/>
        <v>0</v>
      </c>
      <c r="Z272" s="387">
        <f t="shared" si="107"/>
        <v>0</v>
      </c>
      <c r="AA272" s="388">
        <f t="shared" si="108"/>
        <v>0</v>
      </c>
      <c r="AB272" s="199">
        <f t="shared" si="109"/>
        <v>43358</v>
      </c>
      <c r="AC272" s="426">
        <f t="shared" si="110"/>
        <v>1.1035568202837779E-2</v>
      </c>
      <c r="AD272" s="171">
        <f>(INDEX(Models!$BJ272:$BT272,,AH272)*(1-AF272)+INDEX(Models!$BJ272:$BT272,,AH272+1)*AF272-ERP_i)*AE272*Ramure*Pc/MaxiM</f>
        <v>1.4278873111706711E-3</v>
      </c>
      <c r="AE272" s="307">
        <f t="shared" si="111"/>
        <v>1</v>
      </c>
      <c r="AF272" s="179">
        <f t="shared" si="112"/>
        <v>0.88722499789409115</v>
      </c>
      <c r="AG272" s="837">
        <f t="shared" si="113"/>
        <v>-3</v>
      </c>
      <c r="AH272" s="178">
        <f t="shared" si="114"/>
        <v>3</v>
      </c>
      <c r="AI272" s="227">
        <f t="shared" si="115"/>
        <v>-2.1127750021059089</v>
      </c>
      <c r="AJ272" s="267" t="b">
        <f t="shared" si="116"/>
        <v>0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ref="A273:A336" si="119">A272+1</f>
        <v>43359</v>
      </c>
      <c r="B273" s="618"/>
      <c r="C273" s="392"/>
      <c r="D273" s="395"/>
      <c r="E273" s="387"/>
      <c r="F273" s="387"/>
      <c r="G273" s="110"/>
      <c r="I273" s="382">
        <f t="shared" si="96"/>
        <v>0</v>
      </c>
      <c r="J273" s="85">
        <v>2018</v>
      </c>
      <c r="K273" s="199">
        <f t="shared" si="97"/>
        <v>43359</v>
      </c>
      <c r="L273" s="437">
        <f t="shared" si="98"/>
        <v>1.0699268774152504E-3</v>
      </c>
      <c r="M273" s="881"/>
      <c r="N273" s="881"/>
      <c r="O273" s="326">
        <f t="shared" si="99"/>
        <v>1.1270329745399675E-2</v>
      </c>
      <c r="P273" s="171">
        <f>(INDEX(Models!$BJ273:$BT273,,T273)*(1-R273)+INDEX(Models!$BJ273:$BT273,,T273+1)*R273-ERP_i)*Q273*Ramure*Pc/MaxiM</f>
        <v>1.4587501067792733E-3</v>
      </c>
      <c r="Q273" s="307">
        <f t="shared" si="100"/>
        <v>1</v>
      </c>
      <c r="R273" s="179">
        <f t="shared" si="101"/>
        <v>0.88773066063474504</v>
      </c>
      <c r="S273" s="837">
        <f t="shared" si="118"/>
        <v>-3</v>
      </c>
      <c r="T273" s="178">
        <f t="shared" si="102"/>
        <v>3</v>
      </c>
      <c r="U273" s="253">
        <f t="shared" si="103"/>
        <v>-2.112269339365255</v>
      </c>
      <c r="V273" s="385">
        <f t="shared" si="104"/>
        <v>45.903024782608036</v>
      </c>
      <c r="W273" s="58"/>
      <c r="X273" s="157">
        <f t="shared" si="105"/>
        <v>43359</v>
      </c>
      <c r="Y273" s="387">
        <f t="shared" si="106"/>
        <v>0</v>
      </c>
      <c r="Z273" s="387">
        <f t="shared" si="107"/>
        <v>0</v>
      </c>
      <c r="AA273" s="388">
        <f t="shared" si="108"/>
        <v>0</v>
      </c>
      <c r="AB273" s="199">
        <f t="shared" si="109"/>
        <v>43359</v>
      </c>
      <c r="AC273" s="426">
        <f t="shared" si="110"/>
        <v>1.1270329745399675E-2</v>
      </c>
      <c r="AD273" s="171">
        <f>(INDEX(Models!$BJ273:$BT273,,AH273)*(1-AF273)+INDEX(Models!$BJ273:$BT273,,AH273+1)*AF273-ERP_i)*AE273*Ramure*Pc/MaxiM</f>
        <v>1.4587501067792733E-3</v>
      </c>
      <c r="AE273" s="307">
        <f t="shared" si="111"/>
        <v>1</v>
      </c>
      <c r="AF273" s="179">
        <f t="shared" si="112"/>
        <v>0.88773066063474504</v>
      </c>
      <c r="AG273" s="837">
        <f t="shared" si="113"/>
        <v>-3</v>
      </c>
      <c r="AH273" s="178">
        <f t="shared" si="114"/>
        <v>3</v>
      </c>
      <c r="AI273" s="227">
        <f t="shared" si="115"/>
        <v>-2.112269339365255</v>
      </c>
      <c r="AJ273" s="267" t="b">
        <f t="shared" si="116"/>
        <v>0</v>
      </c>
      <c r="AK273" s="267" t="b">
        <f t="shared" si="117"/>
        <v>0</v>
      </c>
      <c r="AL273" s="267"/>
      <c r="AM273" s="267"/>
      <c r="AN273" s="75"/>
    </row>
    <row r="274" spans="1:40" s="6" customFormat="1" ht="11.25" customHeight="1" x14ac:dyDescent="0.2">
      <c r="A274" s="56">
        <f t="shared" si="119"/>
        <v>43360</v>
      </c>
      <c r="B274" s="618"/>
      <c r="C274" s="392"/>
      <c r="D274" s="395"/>
      <c r="E274" s="387"/>
      <c r="F274" s="387"/>
      <c r="G274" s="110"/>
      <c r="I274" s="382">
        <f t="shared" si="96"/>
        <v>0</v>
      </c>
      <c r="J274" s="85">
        <v>2018</v>
      </c>
      <c r="K274" s="199">
        <f t="shared" si="97"/>
        <v>43360</v>
      </c>
      <c r="L274" s="437">
        <f t="shared" si="98"/>
        <v>1.0931734395597248E-3</v>
      </c>
      <c r="M274" s="881"/>
      <c r="N274" s="881"/>
      <c r="O274" s="326">
        <f t="shared" si="99"/>
        <v>1.1504455429211899E-2</v>
      </c>
      <c r="P274" s="171">
        <f>(INDEX(Models!$BJ274:$BT274,,T274)*(1-R274)+INDEX(Models!$BJ274:$BT274,,T274+1)*R274-ERP_i)*Q274*Ramure*Pc/MaxiM</f>
        <v>1.4889216622374158E-3</v>
      </c>
      <c r="Q274" s="307">
        <f t="shared" si="100"/>
        <v>1</v>
      </c>
      <c r="R274" s="179">
        <f t="shared" si="101"/>
        <v>0.88821666299788271</v>
      </c>
      <c r="S274" s="837">
        <f t="shared" si="118"/>
        <v>-3</v>
      </c>
      <c r="T274" s="178">
        <f t="shared" si="102"/>
        <v>3</v>
      </c>
      <c r="U274" s="253">
        <f t="shared" si="103"/>
        <v>-2.1117833370021173</v>
      </c>
      <c r="V274" s="385">
        <f t="shared" si="104"/>
        <v>45.468223115314018</v>
      </c>
      <c r="W274" s="58"/>
      <c r="X274" s="157">
        <f t="shared" si="105"/>
        <v>43360</v>
      </c>
      <c r="Y274" s="387">
        <f t="shared" si="106"/>
        <v>0</v>
      </c>
      <c r="Z274" s="387">
        <f t="shared" si="107"/>
        <v>0</v>
      </c>
      <c r="AA274" s="388">
        <f t="shared" si="108"/>
        <v>0</v>
      </c>
      <c r="AB274" s="199">
        <f t="shared" si="109"/>
        <v>43360</v>
      </c>
      <c r="AC274" s="426">
        <f t="shared" si="110"/>
        <v>1.1504455429211899E-2</v>
      </c>
      <c r="AD274" s="171">
        <f>(INDEX(Models!$BJ274:$BT274,,AH274)*(1-AF274)+INDEX(Models!$BJ274:$BT274,,AH274+1)*AF274-ERP_i)*AE274*Ramure*Pc/MaxiM</f>
        <v>1.4889216622374158E-3</v>
      </c>
      <c r="AE274" s="307">
        <f t="shared" si="111"/>
        <v>1</v>
      </c>
      <c r="AF274" s="179">
        <f t="shared" si="112"/>
        <v>0.88821666299788271</v>
      </c>
      <c r="AG274" s="837">
        <f t="shared" si="113"/>
        <v>-3</v>
      </c>
      <c r="AH274" s="178">
        <f t="shared" si="114"/>
        <v>3</v>
      </c>
      <c r="AI274" s="227">
        <f t="shared" si="115"/>
        <v>-2.1117833370021173</v>
      </c>
      <c r="AJ274" s="267" t="b">
        <f t="shared" si="116"/>
        <v>0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9"/>
        <v>43361</v>
      </c>
      <c r="B275" s="618"/>
      <c r="C275" s="392"/>
      <c r="D275" s="395"/>
      <c r="E275" s="387"/>
      <c r="F275" s="387"/>
      <c r="G275" s="110"/>
      <c r="I275" s="382">
        <f t="shared" si="96"/>
        <v>0</v>
      </c>
      <c r="J275" s="85">
        <v>2018</v>
      </c>
      <c r="K275" s="199">
        <f t="shared" si="97"/>
        <v>43361</v>
      </c>
      <c r="L275" s="437">
        <f t="shared" si="98"/>
        <v>1.1164194607228284E-3</v>
      </c>
      <c r="M275" s="881"/>
      <c r="N275" s="881"/>
      <c r="O275" s="326">
        <f t="shared" si="99"/>
        <v>1.1737926828849816E-2</v>
      </c>
      <c r="P275" s="171">
        <f>(INDEX(Models!$BJ275:$BT275,,T275)*(1-R275)+INDEX(Models!$BJ275:$BT275,,T275+1)*R275-ERP_i)*Q275*Ramure*Pc/MaxiM</f>
        <v>1.5184854481134211E-3</v>
      </c>
      <c r="Q275" s="307">
        <f t="shared" si="100"/>
        <v>1</v>
      </c>
      <c r="R275" s="179">
        <f t="shared" si="101"/>
        <v>0.8886837427716836</v>
      </c>
      <c r="S275" s="837">
        <f t="shared" si="118"/>
        <v>-3</v>
      </c>
      <c r="T275" s="178">
        <f t="shared" si="102"/>
        <v>3</v>
      </c>
      <c r="U275" s="253">
        <f t="shared" si="103"/>
        <v>-2.1113162572283164</v>
      </c>
      <c r="V275" s="385">
        <f t="shared" si="104"/>
        <v>45.028599082417635</v>
      </c>
      <c r="W275" s="58"/>
      <c r="X275" s="157">
        <f t="shared" si="105"/>
        <v>43361</v>
      </c>
      <c r="Y275" s="387">
        <f t="shared" si="106"/>
        <v>0</v>
      </c>
      <c r="Z275" s="387">
        <f t="shared" si="107"/>
        <v>0</v>
      </c>
      <c r="AA275" s="388">
        <f t="shared" si="108"/>
        <v>0</v>
      </c>
      <c r="AB275" s="199">
        <f t="shared" si="109"/>
        <v>43361</v>
      </c>
      <c r="AC275" s="426">
        <f t="shared" si="110"/>
        <v>1.1737926828849816E-2</v>
      </c>
      <c r="AD275" s="171">
        <f>(INDEX(Models!$BJ275:$BT275,,AH275)*(1-AF275)+INDEX(Models!$BJ275:$BT275,,AH275+1)*AF275-ERP_i)*AE275*Ramure*Pc/MaxiM</f>
        <v>1.5184854481134211E-3</v>
      </c>
      <c r="AE275" s="307">
        <f t="shared" si="111"/>
        <v>1</v>
      </c>
      <c r="AF275" s="179">
        <f t="shared" si="112"/>
        <v>0.8886837427716836</v>
      </c>
      <c r="AG275" s="837">
        <f t="shared" si="113"/>
        <v>-3</v>
      </c>
      <c r="AH275" s="178">
        <f t="shared" si="114"/>
        <v>3</v>
      </c>
      <c r="AI275" s="227">
        <f t="shared" si="115"/>
        <v>-2.1113162572283164</v>
      </c>
      <c r="AJ275" s="267" t="b">
        <f t="shared" si="116"/>
        <v>0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9"/>
        <v>43362</v>
      </c>
      <c r="B276" s="618"/>
      <c r="C276" s="392"/>
      <c r="D276" s="395"/>
      <c r="E276" s="387"/>
      <c r="F276" s="387"/>
      <c r="G276" s="110"/>
      <c r="I276" s="382">
        <f t="shared" si="96"/>
        <v>0</v>
      </c>
      <c r="J276" s="85">
        <v>2018</v>
      </c>
      <c r="K276" s="199">
        <f t="shared" si="97"/>
        <v>43362</v>
      </c>
      <c r="L276" s="437">
        <f t="shared" si="98"/>
        <v>1.1396649409168846E-3</v>
      </c>
      <c r="M276" s="881"/>
      <c r="N276" s="881"/>
      <c r="O276" s="326">
        <f t="shared" si="99"/>
        <v>1.1970724825026669E-2</v>
      </c>
      <c r="P276" s="171">
        <f>(INDEX(Models!$BJ276:$BT276,,T276)*(1-R276)+INDEX(Models!$BJ276:$BT276,,T276+1)*R276-ERP_i)*Q276*Ramure*Pc/MaxiM</f>
        <v>1.546335447031367E-3</v>
      </c>
      <c r="Q276" s="307">
        <f t="shared" si="100"/>
        <v>1</v>
      </c>
      <c r="R276" s="179">
        <f t="shared" si="101"/>
        <v>0.88913261212865002</v>
      </c>
      <c r="S276" s="837">
        <f t="shared" si="118"/>
        <v>-3</v>
      </c>
      <c r="T276" s="178">
        <f t="shared" si="102"/>
        <v>3</v>
      </c>
      <c r="U276" s="253">
        <f t="shared" si="103"/>
        <v>-2.11086738787135</v>
      </c>
      <c r="V276" s="385">
        <f t="shared" si="104"/>
        <v>44.581495116846739</v>
      </c>
      <c r="W276" s="58"/>
      <c r="X276" s="157">
        <f t="shared" si="105"/>
        <v>43362</v>
      </c>
      <c r="Y276" s="387">
        <f t="shared" si="106"/>
        <v>0</v>
      </c>
      <c r="Z276" s="387">
        <f t="shared" si="107"/>
        <v>0</v>
      </c>
      <c r="AA276" s="388">
        <f t="shared" si="108"/>
        <v>0</v>
      </c>
      <c r="AB276" s="199">
        <f t="shared" si="109"/>
        <v>43362</v>
      </c>
      <c r="AC276" s="426">
        <f t="shared" si="110"/>
        <v>1.1970724825026669E-2</v>
      </c>
      <c r="AD276" s="171">
        <f>(INDEX(Models!$BJ276:$BT276,,AH276)*(1-AF276)+INDEX(Models!$BJ276:$BT276,,AH276+1)*AF276-ERP_i)*AE276*Ramure*Pc/MaxiM</f>
        <v>1.546335447031367E-3</v>
      </c>
      <c r="AE276" s="307">
        <f t="shared" si="111"/>
        <v>1</v>
      </c>
      <c r="AF276" s="179">
        <f t="shared" si="112"/>
        <v>0.88913261212865002</v>
      </c>
      <c r="AG276" s="837">
        <f t="shared" si="113"/>
        <v>-3</v>
      </c>
      <c r="AH276" s="178">
        <f t="shared" si="114"/>
        <v>3</v>
      </c>
      <c r="AI276" s="227">
        <f t="shared" si="115"/>
        <v>-2.11086738787135</v>
      </c>
      <c r="AJ276" s="267" t="b">
        <f t="shared" si="116"/>
        <v>0</v>
      </c>
      <c r="AK276" s="267" t="b">
        <f t="shared" si="117"/>
        <v>0</v>
      </c>
      <c r="AL276" s="267"/>
      <c r="AM276" s="267"/>
      <c r="AN276" s="75"/>
    </row>
    <row r="277" spans="1:40" s="6" customFormat="1" ht="11.25" customHeight="1" x14ac:dyDescent="0.2">
      <c r="A277" s="56">
        <f t="shared" si="119"/>
        <v>43363</v>
      </c>
      <c r="B277" s="618"/>
      <c r="C277" s="392"/>
      <c r="D277" s="395"/>
      <c r="E277" s="387"/>
      <c r="F277" s="387"/>
      <c r="G277" s="110"/>
      <c r="I277" s="382">
        <f t="shared" si="96"/>
        <v>0</v>
      </c>
      <c r="J277" s="85">
        <v>2018</v>
      </c>
      <c r="K277" s="199">
        <f t="shared" si="97"/>
        <v>43363</v>
      </c>
      <c r="L277" s="437">
        <f t="shared" si="98"/>
        <v>1.1629098801547721E-3</v>
      </c>
      <c r="M277" s="881"/>
      <c r="N277" s="881"/>
      <c r="O277" s="326">
        <f t="shared" si="99"/>
        <v>1.220282962186818E-2</v>
      </c>
      <c r="P277" s="171">
        <f>(INDEX(Models!$BJ277:$BT277,,T277)*(1-R277)+INDEX(Models!$BJ277:$BT277,,T277+1)*R277-ERP_i)*Q277*Ramure*Pc/MaxiM</f>
        <v>1.5729676522958556E-3</v>
      </c>
      <c r="Q277" s="307">
        <f t="shared" si="100"/>
        <v>1</v>
      </c>
      <c r="R277" s="179">
        <f t="shared" si="101"/>
        <v>0.88956395835173208</v>
      </c>
      <c r="S277" s="837">
        <f t="shared" si="118"/>
        <v>-3</v>
      </c>
      <c r="T277" s="178">
        <f t="shared" si="102"/>
        <v>3</v>
      </c>
      <c r="U277" s="253">
        <f t="shared" si="103"/>
        <v>-2.1104360416482679</v>
      </c>
      <c r="V277" s="385">
        <f t="shared" si="104"/>
        <v>44.127895956590194</v>
      </c>
      <c r="W277" s="58"/>
      <c r="X277" s="157">
        <f t="shared" si="105"/>
        <v>43363</v>
      </c>
      <c r="Y277" s="387">
        <f t="shared" si="106"/>
        <v>0</v>
      </c>
      <c r="Z277" s="387">
        <f t="shared" si="107"/>
        <v>0</v>
      </c>
      <c r="AA277" s="388">
        <f t="shared" si="108"/>
        <v>0</v>
      </c>
      <c r="AB277" s="199">
        <f t="shared" si="109"/>
        <v>43363</v>
      </c>
      <c r="AC277" s="426">
        <f t="shared" si="110"/>
        <v>1.220282962186818E-2</v>
      </c>
      <c r="AD277" s="171">
        <f>(INDEX(Models!$BJ277:$BT277,,AH277)*(1-AF277)+INDEX(Models!$BJ277:$BT277,,AH277+1)*AF277-ERP_i)*AE277*Ramure*Pc/MaxiM</f>
        <v>1.5729676522958556E-3</v>
      </c>
      <c r="AE277" s="307">
        <f t="shared" si="111"/>
        <v>1</v>
      </c>
      <c r="AF277" s="179">
        <f t="shared" si="112"/>
        <v>0.88956395835173208</v>
      </c>
      <c r="AG277" s="837">
        <f t="shared" si="113"/>
        <v>-3</v>
      </c>
      <c r="AH277" s="178">
        <f t="shared" si="114"/>
        <v>3</v>
      </c>
      <c r="AI277" s="227">
        <f t="shared" si="115"/>
        <v>-2.1104360416482679</v>
      </c>
      <c r="AJ277" s="267" t="b">
        <f t="shared" si="116"/>
        <v>0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9"/>
        <v>43364</v>
      </c>
      <c r="B278" s="618"/>
      <c r="C278" s="392"/>
      <c r="D278" s="395"/>
      <c r="E278" s="387"/>
      <c r="F278" s="387"/>
      <c r="G278" s="110"/>
      <c r="I278" s="382">
        <f t="shared" si="96"/>
        <v>0</v>
      </c>
      <c r="J278" s="85">
        <v>2018</v>
      </c>
      <c r="K278" s="199">
        <f t="shared" si="97"/>
        <v>43364</v>
      </c>
      <c r="L278" s="437">
        <f t="shared" si="98"/>
        <v>1.1861542784489254E-3</v>
      </c>
      <c r="M278" s="881"/>
      <c r="N278" s="881"/>
      <c r="O278" s="326">
        <f t="shared" si="99"/>
        <v>1.2434220771771172E-2</v>
      </c>
      <c r="P278" s="171">
        <f>(INDEX(Models!$BJ278:$BT278,,T278)*(1-R278)+INDEX(Models!$BJ278:$BT278,,T278+1)*R278-ERP_i)*Q278*Ramure*Pc/MaxiM</f>
        <v>1.5983168129777617E-3</v>
      </c>
      <c r="Q278" s="307">
        <f t="shared" si="100"/>
        <v>1</v>
      </c>
      <c r="R278" s="179">
        <f t="shared" si="101"/>
        <v>0.88997844455335473</v>
      </c>
      <c r="S278" s="837">
        <f t="shared" si="118"/>
        <v>-3</v>
      </c>
      <c r="T278" s="178">
        <f t="shared" si="102"/>
        <v>3</v>
      </c>
      <c r="U278" s="253">
        <f t="shared" si="103"/>
        <v>-2.1100215554466453</v>
      </c>
      <c r="V278" s="385">
        <f t="shared" si="104"/>
        <v>43.668810551802778</v>
      </c>
      <c r="W278" s="58"/>
      <c r="X278" s="157">
        <f t="shared" si="105"/>
        <v>43364</v>
      </c>
      <c r="Y278" s="387">
        <f t="shared" si="106"/>
        <v>0</v>
      </c>
      <c r="Z278" s="387">
        <f t="shared" si="107"/>
        <v>0</v>
      </c>
      <c r="AA278" s="388">
        <f t="shared" si="108"/>
        <v>0</v>
      </c>
      <c r="AB278" s="199">
        <f t="shared" si="109"/>
        <v>43364</v>
      </c>
      <c r="AC278" s="426">
        <f t="shared" si="110"/>
        <v>1.2434220771771172E-2</v>
      </c>
      <c r="AD278" s="171">
        <f>(INDEX(Models!$BJ278:$BT278,,AH278)*(1-AF278)+INDEX(Models!$BJ278:$BT278,,AH278+1)*AF278-ERP_i)*AE278*Ramure*Pc/MaxiM</f>
        <v>1.5983168129777617E-3</v>
      </c>
      <c r="AE278" s="307">
        <f t="shared" si="111"/>
        <v>1</v>
      </c>
      <c r="AF278" s="179">
        <f t="shared" si="112"/>
        <v>0.88997844455335473</v>
      </c>
      <c r="AG278" s="837">
        <f t="shared" si="113"/>
        <v>-3</v>
      </c>
      <c r="AH278" s="178">
        <f t="shared" si="114"/>
        <v>3</v>
      </c>
      <c r="AI278" s="227">
        <f t="shared" si="115"/>
        <v>-2.1100215554466453</v>
      </c>
      <c r="AJ278" s="267" t="b">
        <f t="shared" si="116"/>
        <v>0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9"/>
        <v>43365</v>
      </c>
      <c r="B279" s="618"/>
      <c r="C279" s="392"/>
      <c r="D279" s="395"/>
      <c r="E279" s="387"/>
      <c r="F279" s="387"/>
      <c r="G279" s="110"/>
      <c r="I279" s="382">
        <f t="shared" si="96"/>
        <v>0</v>
      </c>
      <c r="J279" s="85">
        <v>2018</v>
      </c>
      <c r="K279" s="199">
        <f t="shared" si="97"/>
        <v>43365</v>
      </c>
      <c r="L279" s="437">
        <f t="shared" si="98"/>
        <v>1.209398135812001E-3</v>
      </c>
      <c r="M279" s="881"/>
      <c r="N279" s="881"/>
      <c r="O279" s="326">
        <f t="shared" si="99"/>
        <v>1.2664877208328649E-2</v>
      </c>
      <c r="P279" s="171">
        <f>(INDEX(Models!$BJ279:$BT279,,T279)*(1-R279)+INDEX(Models!$BJ279:$BT279,,T279+1)*R279-ERP_i)*Q279*Ramure*Pc/MaxiM</f>
        <v>1.6223117734866744E-3</v>
      </c>
      <c r="Q279" s="307">
        <f t="shared" si="100"/>
        <v>1</v>
      </c>
      <c r="R279" s="179">
        <f t="shared" si="101"/>
        <v>0.8903767103860889</v>
      </c>
      <c r="S279" s="837">
        <f t="shared" si="118"/>
        <v>-3</v>
      </c>
      <c r="T279" s="178">
        <f t="shared" si="102"/>
        <v>3</v>
      </c>
      <c r="U279" s="253">
        <f t="shared" si="103"/>
        <v>-2.1096232896139111</v>
      </c>
      <c r="V279" s="385">
        <f t="shared" si="104"/>
        <v>43.205246767705276</v>
      </c>
      <c r="W279" s="58"/>
      <c r="X279" s="157">
        <f t="shared" si="105"/>
        <v>43365</v>
      </c>
      <c r="Y279" s="387">
        <f t="shared" si="106"/>
        <v>0</v>
      </c>
      <c r="Z279" s="387">
        <f t="shared" si="107"/>
        <v>0</v>
      </c>
      <c r="AA279" s="388">
        <f t="shared" si="108"/>
        <v>0</v>
      </c>
      <c r="AB279" s="199">
        <f t="shared" si="109"/>
        <v>43365</v>
      </c>
      <c r="AC279" s="426">
        <f t="shared" si="110"/>
        <v>1.2664877208328649E-2</v>
      </c>
      <c r="AD279" s="171">
        <f>(INDEX(Models!$BJ279:$BT279,,AH279)*(1-AF279)+INDEX(Models!$BJ279:$BT279,,AH279+1)*AF279-ERP_i)*AE279*Ramure*Pc/MaxiM</f>
        <v>1.6223117734866744E-3</v>
      </c>
      <c r="AE279" s="307">
        <f t="shared" si="111"/>
        <v>1</v>
      </c>
      <c r="AF279" s="179">
        <f t="shared" si="112"/>
        <v>0.8903767103860889</v>
      </c>
      <c r="AG279" s="837">
        <f t="shared" si="113"/>
        <v>-3</v>
      </c>
      <c r="AH279" s="178">
        <f t="shared" si="114"/>
        <v>3</v>
      </c>
      <c r="AI279" s="227">
        <f t="shared" si="115"/>
        <v>-2.1096232896139111</v>
      </c>
      <c r="AJ279" s="267" t="b">
        <f t="shared" si="116"/>
        <v>0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9"/>
        <v>43366</v>
      </c>
      <c r="B280" s="618"/>
      <c r="C280" s="392"/>
      <c r="D280" s="395"/>
      <c r="E280" s="387"/>
      <c r="F280" s="387"/>
      <c r="G280" s="110"/>
      <c r="I280" s="382">
        <f t="shared" si="96"/>
        <v>0</v>
      </c>
      <c r="J280" s="85">
        <v>2018</v>
      </c>
      <c r="K280" s="199">
        <f t="shared" si="97"/>
        <v>43366</v>
      </c>
      <c r="L280" s="437">
        <f t="shared" si="98"/>
        <v>1.2326414522565443E-3</v>
      </c>
      <c r="M280" s="881"/>
      <c r="N280" s="881"/>
      <c r="O280" s="326">
        <f t="shared" si="99"/>
        <v>1.2894777287738791E-2</v>
      </c>
      <c r="P280" s="171">
        <f>(INDEX(Models!$BJ280:$BT280,,T280)*(1-R280)+INDEX(Models!$BJ280:$BT280,,T280+1)*R280-ERP_i)*Q280*Ramure*Pc/MaxiM</f>
        <v>1.6448840999285363E-3</v>
      </c>
      <c r="Q280" s="307">
        <f t="shared" si="100"/>
        <v>1</v>
      </c>
      <c r="R280" s="179">
        <f t="shared" si="101"/>
        <v>0.89075937274388028</v>
      </c>
      <c r="S280" s="837">
        <f t="shared" si="118"/>
        <v>-3</v>
      </c>
      <c r="T280" s="178">
        <f t="shared" si="102"/>
        <v>3</v>
      </c>
      <c r="U280" s="253">
        <f t="shared" si="103"/>
        <v>-2.1092406272561197</v>
      </c>
      <c r="V280" s="385">
        <f t="shared" si="104"/>
        <v>42.738211021496454</v>
      </c>
      <c r="W280" s="58"/>
      <c r="X280" s="157">
        <f t="shared" si="105"/>
        <v>43366</v>
      </c>
      <c r="Y280" s="387">
        <f t="shared" si="106"/>
        <v>0</v>
      </c>
      <c r="Z280" s="387">
        <f t="shared" si="107"/>
        <v>0</v>
      </c>
      <c r="AA280" s="388">
        <f t="shared" si="108"/>
        <v>0</v>
      </c>
      <c r="AB280" s="199">
        <f t="shared" si="109"/>
        <v>43366</v>
      </c>
      <c r="AC280" s="426">
        <f t="shared" si="110"/>
        <v>1.2894777287738791E-2</v>
      </c>
      <c r="AD280" s="171">
        <f>(INDEX(Models!$BJ280:$BT280,,AH280)*(1-AF280)+INDEX(Models!$BJ280:$BT280,,AH280+1)*AF280-ERP_i)*AE280*Ramure*Pc/MaxiM</f>
        <v>1.6448840999285363E-3</v>
      </c>
      <c r="AE280" s="307">
        <f t="shared" si="111"/>
        <v>1</v>
      </c>
      <c r="AF280" s="179">
        <f t="shared" si="112"/>
        <v>0.89075937274388028</v>
      </c>
      <c r="AG280" s="837">
        <f t="shared" si="113"/>
        <v>-3</v>
      </c>
      <c r="AH280" s="178">
        <f t="shared" si="114"/>
        <v>3</v>
      </c>
      <c r="AI280" s="227">
        <f t="shared" si="115"/>
        <v>-2.1092406272561197</v>
      </c>
      <c r="AJ280" s="267" t="b">
        <f t="shared" si="116"/>
        <v>0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9"/>
        <v>43367</v>
      </c>
      <c r="B281" s="618"/>
      <c r="C281" s="392"/>
      <c r="D281" s="395"/>
      <c r="E281" s="387"/>
      <c r="F281" s="387"/>
      <c r="G281" s="110"/>
      <c r="I281" s="382">
        <f t="shared" si="96"/>
        <v>0</v>
      </c>
      <c r="J281" s="85">
        <v>2018</v>
      </c>
      <c r="K281" s="199">
        <f t="shared" si="97"/>
        <v>43367</v>
      </c>
      <c r="L281" s="437">
        <f t="shared" si="98"/>
        <v>1.255884227795101E-3</v>
      </c>
      <c r="M281" s="881"/>
      <c r="N281" s="881"/>
      <c r="O281" s="326">
        <f t="shared" si="99"/>
        <v>1.3123898839042887E-2</v>
      </c>
      <c r="P281" s="171">
        <f>(INDEX(Models!$BJ281:$BT281,,T281)*(1-R281)+INDEX(Models!$BJ281:$BT281,,T281+1)*R281-ERP_i)*Q281*Ramure*Pc/MaxiM</f>
        <v>1.6659552390442614E-3</v>
      </c>
      <c r="Q281" s="307">
        <f t="shared" si="100"/>
        <v>1</v>
      </c>
      <c r="R281" s="179">
        <f t="shared" si="101"/>
        <v>0.89112702645287101</v>
      </c>
      <c r="S281" s="837">
        <f t="shared" si="118"/>
        <v>-3</v>
      </c>
      <c r="T281" s="178">
        <f t="shared" si="102"/>
        <v>3</v>
      </c>
      <c r="U281" s="253">
        <f t="shared" si="103"/>
        <v>-2.108872973547129</v>
      </c>
      <c r="V281" s="385">
        <f t="shared" si="104"/>
        <v>42.268708846767055</v>
      </c>
      <c r="W281" s="58"/>
      <c r="X281" s="157">
        <f t="shared" si="105"/>
        <v>43367</v>
      </c>
      <c r="Y281" s="387">
        <f t="shared" si="106"/>
        <v>0</v>
      </c>
      <c r="Z281" s="387">
        <f t="shared" si="107"/>
        <v>0</v>
      </c>
      <c r="AA281" s="388">
        <f t="shared" si="108"/>
        <v>0</v>
      </c>
      <c r="AB281" s="199">
        <f t="shared" si="109"/>
        <v>43367</v>
      </c>
      <c r="AC281" s="426">
        <f t="shared" si="110"/>
        <v>1.3123898839042887E-2</v>
      </c>
      <c r="AD281" s="171">
        <f>(INDEX(Models!$BJ281:$BT281,,AH281)*(1-AF281)+INDEX(Models!$BJ281:$BT281,,AH281+1)*AF281-ERP_i)*AE281*Ramure*Pc/MaxiM</f>
        <v>1.6659552390442614E-3</v>
      </c>
      <c r="AE281" s="307">
        <f t="shared" si="111"/>
        <v>1</v>
      </c>
      <c r="AF281" s="179">
        <f t="shared" si="112"/>
        <v>0.89112702645287101</v>
      </c>
      <c r="AG281" s="837">
        <f t="shared" si="113"/>
        <v>-3</v>
      </c>
      <c r="AH281" s="178">
        <f t="shared" si="114"/>
        <v>3</v>
      </c>
      <c r="AI281" s="227">
        <f t="shared" si="115"/>
        <v>-2.108872973547129</v>
      </c>
      <c r="AJ281" s="267" t="b">
        <f t="shared" si="116"/>
        <v>0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9"/>
        <v>43368</v>
      </c>
      <c r="B282" s="618"/>
      <c r="C282" s="392"/>
      <c r="D282" s="395"/>
      <c r="E282" s="387"/>
      <c r="F282" s="387"/>
      <c r="G282" s="110"/>
      <c r="I282" s="382">
        <f t="shared" si="96"/>
        <v>0</v>
      </c>
      <c r="J282" s="85">
        <v>2018</v>
      </c>
      <c r="K282" s="199">
        <f t="shared" si="97"/>
        <v>43368</v>
      </c>
      <c r="L282" s="437">
        <f t="shared" si="98"/>
        <v>1.2791264624404386E-3</v>
      </c>
      <c r="M282" s="881"/>
      <c r="N282" s="881"/>
      <c r="O282" s="326">
        <f t="shared" si="99"/>
        <v>1.3352219223457144E-2</v>
      </c>
      <c r="P282" s="171">
        <f>(INDEX(Models!$BJ282:$BT282,,T282)*(1-R282)+INDEX(Models!$BJ282:$BT282,,T282+1)*R282-ERP_i)*Q282*Ramure*Pc/MaxiM</f>
        <v>1.6846116078122213E-3</v>
      </c>
      <c r="Q282" s="307">
        <f t="shared" si="100"/>
        <v>1</v>
      </c>
      <c r="R282" s="179">
        <f t="shared" si="101"/>
        <v>0.89148024495097644</v>
      </c>
      <c r="S282" s="837">
        <f t="shared" si="118"/>
        <v>-3</v>
      </c>
      <c r="T282" s="178">
        <f t="shared" si="102"/>
        <v>3</v>
      </c>
      <c r="U282" s="253">
        <f t="shared" si="103"/>
        <v>-2.1085197550490236</v>
      </c>
      <c r="V282" s="385">
        <f t="shared" si="104"/>
        <v>41.797779420020788</v>
      </c>
      <c r="W282" s="58"/>
      <c r="X282" s="157">
        <f t="shared" si="105"/>
        <v>43368</v>
      </c>
      <c r="Y282" s="387">
        <f t="shared" si="106"/>
        <v>0</v>
      </c>
      <c r="Z282" s="387">
        <f t="shared" si="107"/>
        <v>0</v>
      </c>
      <c r="AA282" s="388">
        <f t="shared" si="108"/>
        <v>0</v>
      </c>
      <c r="AB282" s="199">
        <f t="shared" si="109"/>
        <v>43368</v>
      </c>
      <c r="AC282" s="426">
        <f t="shared" si="110"/>
        <v>1.3352219223457144E-2</v>
      </c>
      <c r="AD282" s="171">
        <f>(INDEX(Models!$BJ282:$BT282,,AH282)*(1-AF282)+INDEX(Models!$BJ282:$BT282,,AH282+1)*AF282-ERP_i)*AE282*Ramure*Pc/MaxiM</f>
        <v>1.6846116078122213E-3</v>
      </c>
      <c r="AE282" s="307">
        <f t="shared" si="111"/>
        <v>1</v>
      </c>
      <c r="AF282" s="179">
        <f t="shared" si="112"/>
        <v>0.89148024495097644</v>
      </c>
      <c r="AG282" s="837">
        <f t="shared" si="113"/>
        <v>-3</v>
      </c>
      <c r="AH282" s="178">
        <f t="shared" si="114"/>
        <v>3</v>
      </c>
      <c r="AI282" s="227">
        <f t="shared" si="115"/>
        <v>-2.1085197550490236</v>
      </c>
      <c r="AJ282" s="267" t="b">
        <f t="shared" si="116"/>
        <v>0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9"/>
        <v>43369</v>
      </c>
      <c r="B283" s="618"/>
      <c r="C283" s="392"/>
      <c r="D283" s="395"/>
      <c r="E283" s="387"/>
      <c r="F283" s="387"/>
      <c r="G283" s="110"/>
      <c r="I283" s="382">
        <f t="shared" si="96"/>
        <v>0</v>
      </c>
      <c r="J283" s="85">
        <v>2018</v>
      </c>
      <c r="K283" s="199">
        <f t="shared" si="97"/>
        <v>43369</v>
      </c>
      <c r="L283" s="437">
        <f t="shared" si="98"/>
        <v>1.3023681562048806E-3</v>
      </c>
      <c r="M283" s="881"/>
      <c r="N283" s="881"/>
      <c r="O283" s="326">
        <f t="shared" si="99"/>
        <v>1.3579715402973928E-2</v>
      </c>
      <c r="P283" s="171">
        <f>(INDEX(Models!$BJ283:$BT283,,T283)*(1-R283)+INDEX(Models!$BJ283:$BT283,,T283+1)*R283-ERP_i)*Q283*Ramure*Pc/MaxiM</f>
        <v>1.7015897014339624E-3</v>
      </c>
      <c r="Q283" s="307">
        <f t="shared" si="100"/>
        <v>1</v>
      </c>
      <c r="R283" s="179">
        <f t="shared" si="101"/>
        <v>0.8918195809555054</v>
      </c>
      <c r="S283" s="837">
        <f t="shared" si="118"/>
        <v>-3</v>
      </c>
      <c r="T283" s="178">
        <f t="shared" si="102"/>
        <v>3</v>
      </c>
      <c r="U283" s="253">
        <f t="shared" si="103"/>
        <v>-2.1081804190444946</v>
      </c>
      <c r="V283" s="385">
        <f t="shared" si="104"/>
        <v>41.326390734091824</v>
      </c>
      <c r="W283" s="58"/>
      <c r="X283" s="157">
        <f t="shared" si="105"/>
        <v>43369</v>
      </c>
      <c r="Y283" s="387">
        <f t="shared" si="106"/>
        <v>0</v>
      </c>
      <c r="Z283" s="387">
        <f t="shared" si="107"/>
        <v>0</v>
      </c>
      <c r="AA283" s="388">
        <f t="shared" si="108"/>
        <v>0</v>
      </c>
      <c r="AB283" s="199">
        <f t="shared" si="109"/>
        <v>43369</v>
      </c>
      <c r="AC283" s="426">
        <f t="shared" si="110"/>
        <v>1.3579715402973928E-2</v>
      </c>
      <c r="AD283" s="171">
        <f>(INDEX(Models!$BJ283:$BT283,,AH283)*(1-AF283)+INDEX(Models!$BJ283:$BT283,,AH283+1)*AF283-ERP_i)*AE283*Ramure*Pc/MaxiM</f>
        <v>1.7015897014339624E-3</v>
      </c>
      <c r="AE283" s="307">
        <f t="shared" si="111"/>
        <v>1</v>
      </c>
      <c r="AF283" s="179">
        <f t="shared" si="112"/>
        <v>0.8918195809555054</v>
      </c>
      <c r="AG283" s="837">
        <f t="shared" si="113"/>
        <v>-3</v>
      </c>
      <c r="AH283" s="178">
        <f t="shared" si="114"/>
        <v>3</v>
      </c>
      <c r="AI283" s="227">
        <f t="shared" si="115"/>
        <v>-2.1081804190444946</v>
      </c>
      <c r="AJ283" s="267" t="b">
        <f t="shared" si="116"/>
        <v>0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9"/>
        <v>43370</v>
      </c>
      <c r="B284" s="618"/>
      <c r="C284" s="392"/>
      <c r="D284" s="395"/>
      <c r="E284" s="387"/>
      <c r="F284" s="387"/>
      <c r="G284" s="110"/>
      <c r="I284" s="382">
        <f t="shared" si="96"/>
        <v>0</v>
      </c>
      <c r="J284" s="85">
        <v>2018</v>
      </c>
      <c r="K284" s="199">
        <f t="shared" si="97"/>
        <v>43370</v>
      </c>
      <c r="L284" s="437">
        <f t="shared" si="98"/>
        <v>1.3256093091013055E-3</v>
      </c>
      <c r="M284" s="881"/>
      <c r="N284" s="881"/>
      <c r="O284" s="326">
        <f t="shared" si="99"/>
        <v>1.3806364018314886E-2</v>
      </c>
      <c r="P284" s="171">
        <f>(INDEX(Models!$BJ284:$BT284,,T284)*(1-R284)+INDEX(Models!$BJ284:$BT284,,T284+1)*R284-ERP_i)*Q284*Ramure*Pc/MaxiM</f>
        <v>1.7167856046251607E-3</v>
      </c>
      <c r="Q284" s="307">
        <f t="shared" si="100"/>
        <v>1</v>
      </c>
      <c r="R284" s="179">
        <f t="shared" si="101"/>
        <v>0.89214556711820237</v>
      </c>
      <c r="S284" s="837">
        <f t="shared" si="118"/>
        <v>-3</v>
      </c>
      <c r="T284" s="178">
        <f t="shared" si="102"/>
        <v>3</v>
      </c>
      <c r="U284" s="253">
        <f t="shared" si="103"/>
        <v>-2.1078544328817976</v>
      </c>
      <c r="V284" s="385">
        <f t="shared" si="104"/>
        <v>40.855545436705853</v>
      </c>
      <c r="W284" s="58"/>
      <c r="X284" s="157">
        <f t="shared" si="105"/>
        <v>43370</v>
      </c>
      <c r="Y284" s="387">
        <f t="shared" si="106"/>
        <v>0</v>
      </c>
      <c r="Z284" s="387">
        <f t="shared" si="107"/>
        <v>0</v>
      </c>
      <c r="AA284" s="388">
        <f t="shared" si="108"/>
        <v>0</v>
      </c>
      <c r="AB284" s="199">
        <f t="shared" si="109"/>
        <v>43370</v>
      </c>
      <c r="AC284" s="426">
        <f t="shared" si="110"/>
        <v>1.3806364018314886E-2</v>
      </c>
      <c r="AD284" s="171">
        <f>(INDEX(Models!$BJ284:$BT284,,AH284)*(1-AF284)+INDEX(Models!$BJ284:$BT284,,AH284+1)*AF284-ERP_i)*AE284*Ramure*Pc/MaxiM</f>
        <v>1.7167856046251607E-3</v>
      </c>
      <c r="AE284" s="307">
        <f t="shared" si="111"/>
        <v>1</v>
      </c>
      <c r="AF284" s="179">
        <f t="shared" si="112"/>
        <v>0.89214556711820237</v>
      </c>
      <c r="AG284" s="837">
        <f t="shared" si="113"/>
        <v>-3</v>
      </c>
      <c r="AH284" s="178">
        <f t="shared" si="114"/>
        <v>3</v>
      </c>
      <c r="AI284" s="227">
        <f t="shared" si="115"/>
        <v>-2.1078544328817976</v>
      </c>
      <c r="AJ284" s="267" t="b">
        <f t="shared" si="116"/>
        <v>0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9"/>
        <v>43371</v>
      </c>
      <c r="B285" s="618"/>
      <c r="C285" s="392"/>
      <c r="D285" s="395"/>
      <c r="E285" s="387"/>
      <c r="F285" s="387"/>
      <c r="G285" s="110"/>
      <c r="I285" s="382">
        <f t="shared" si="96"/>
        <v>0</v>
      </c>
      <c r="J285" s="85">
        <v>2018</v>
      </c>
      <c r="K285" s="199">
        <f t="shared" si="97"/>
        <v>43371</v>
      </c>
      <c r="L285" s="437">
        <f t="shared" si="98"/>
        <v>1.3488499211420368E-3</v>
      </c>
      <c r="M285" s="881"/>
      <c r="N285" s="881"/>
      <c r="O285" s="326">
        <f t="shared" si="99"/>
        <v>1.4032141476217045E-2</v>
      </c>
      <c r="P285" s="171">
        <f>(INDEX(Models!$BJ285:$BT285,,T285)*(1-R285)+INDEX(Models!$BJ285:$BT285,,T285+1)*R285-ERP_i)*Q285*Ramure*Pc/MaxiM</f>
        <v>1.730089111580785E-3</v>
      </c>
      <c r="Q285" s="307">
        <f t="shared" si="100"/>
        <v>1</v>
      </c>
      <c r="R285" s="179">
        <f t="shared" si="101"/>
        <v>0.89245871666720378</v>
      </c>
      <c r="S285" s="837">
        <f t="shared" si="118"/>
        <v>-3</v>
      </c>
      <c r="T285" s="178">
        <f t="shared" si="102"/>
        <v>3</v>
      </c>
      <c r="U285" s="253">
        <f t="shared" si="103"/>
        <v>-2.1075412833327962</v>
      </c>
      <c r="V285" s="385">
        <f t="shared" si="104"/>
        <v>40.386245126496377</v>
      </c>
      <c r="W285" s="58"/>
      <c r="X285" s="157">
        <f t="shared" si="105"/>
        <v>43371</v>
      </c>
      <c r="Y285" s="387">
        <f t="shared" si="106"/>
        <v>0</v>
      </c>
      <c r="Z285" s="387">
        <f t="shared" si="107"/>
        <v>0</v>
      </c>
      <c r="AA285" s="388">
        <f t="shared" si="108"/>
        <v>0</v>
      </c>
      <c r="AB285" s="199">
        <f t="shared" si="109"/>
        <v>43371</v>
      </c>
      <c r="AC285" s="426">
        <f t="shared" si="110"/>
        <v>1.4032141476217045E-2</v>
      </c>
      <c r="AD285" s="171">
        <f>(INDEX(Models!$BJ285:$BT285,,AH285)*(1-AF285)+INDEX(Models!$BJ285:$BT285,,AH285+1)*AF285-ERP_i)*AE285*Ramure*Pc/MaxiM</f>
        <v>1.730089111580785E-3</v>
      </c>
      <c r="AE285" s="307">
        <f t="shared" si="111"/>
        <v>1</v>
      </c>
      <c r="AF285" s="179">
        <f t="shared" si="112"/>
        <v>0.89245871666720378</v>
      </c>
      <c r="AG285" s="837">
        <f t="shared" si="113"/>
        <v>-3</v>
      </c>
      <c r="AH285" s="178">
        <f t="shared" si="114"/>
        <v>3</v>
      </c>
      <c r="AI285" s="227">
        <f t="shared" si="115"/>
        <v>-2.1075412833327962</v>
      </c>
      <c r="AJ285" s="267" t="b">
        <f t="shared" si="116"/>
        <v>0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9"/>
        <v>43372</v>
      </c>
      <c r="B286" s="618"/>
      <c r="C286" s="392"/>
      <c r="D286" s="395"/>
      <c r="E286" s="387"/>
      <c r="F286" s="387"/>
      <c r="G286" s="110"/>
      <c r="I286" s="382">
        <f t="shared" si="96"/>
        <v>0</v>
      </c>
      <c r="J286" s="85">
        <v>2018</v>
      </c>
      <c r="K286" s="199">
        <f t="shared" si="97"/>
        <v>43372</v>
      </c>
      <c r="L286" s="437">
        <f t="shared" si="98"/>
        <v>1.3720899923398422E-3</v>
      </c>
      <c r="M286" s="881"/>
      <c r="N286" s="881"/>
      <c r="O286" s="326">
        <f t="shared" si="99"/>
        <v>1.4257024045929661E-2</v>
      </c>
      <c r="P286" s="171">
        <f>(INDEX(Models!$BJ286:$BT286,,T286)*(1-R286)+INDEX(Models!$BJ286:$BT286,,T286+1)*R286-ERP_i)*Q286*Ramure*Pc/MaxiM</f>
        <v>1.7413838545168527E-3</v>
      </c>
      <c r="Q286" s="307">
        <f t="shared" si="100"/>
        <v>1</v>
      </c>
      <c r="R286" s="179">
        <f t="shared" si="101"/>
        <v>0.89275952403547798</v>
      </c>
      <c r="S286" s="837">
        <f t="shared" si="118"/>
        <v>-3</v>
      </c>
      <c r="T286" s="178">
        <f t="shared" si="102"/>
        <v>3</v>
      </c>
      <c r="U286" s="253">
        <f t="shared" si="103"/>
        <v>-2.107240475964522</v>
      </c>
      <c r="V286" s="385">
        <f t="shared" si="104"/>
        <v>39.919490358027623</v>
      </c>
      <c r="W286" s="58"/>
      <c r="X286" s="157">
        <f t="shared" si="105"/>
        <v>43372</v>
      </c>
      <c r="Y286" s="387">
        <f t="shared" si="106"/>
        <v>0</v>
      </c>
      <c r="Z286" s="387">
        <f t="shared" si="107"/>
        <v>0</v>
      </c>
      <c r="AA286" s="388">
        <f t="shared" si="108"/>
        <v>0</v>
      </c>
      <c r="AB286" s="199">
        <f t="shared" si="109"/>
        <v>43372</v>
      </c>
      <c r="AC286" s="426">
        <f t="shared" si="110"/>
        <v>1.4257024045929661E-2</v>
      </c>
      <c r="AD286" s="171">
        <f>(INDEX(Models!$BJ286:$BT286,,AH286)*(1-AF286)+INDEX(Models!$BJ286:$BT286,,AH286+1)*AF286-ERP_i)*AE286*Ramure*Pc/MaxiM</f>
        <v>1.7413838545168527E-3</v>
      </c>
      <c r="AE286" s="307">
        <f t="shared" si="111"/>
        <v>1</v>
      </c>
      <c r="AF286" s="179">
        <f t="shared" si="112"/>
        <v>0.89275952403547798</v>
      </c>
      <c r="AG286" s="837">
        <f t="shared" si="113"/>
        <v>-3</v>
      </c>
      <c r="AH286" s="178">
        <f t="shared" si="114"/>
        <v>3</v>
      </c>
      <c r="AI286" s="227">
        <f t="shared" si="115"/>
        <v>-2.107240475964522</v>
      </c>
      <c r="AJ286" s="267" t="b">
        <f t="shared" si="116"/>
        <v>0</v>
      </c>
      <c r="AK286" s="267" t="b">
        <f t="shared" si="117"/>
        <v>0</v>
      </c>
      <c r="AL286" s="267"/>
      <c r="AM286" s="267"/>
      <c r="AN286" s="75"/>
    </row>
    <row r="287" spans="1:40" s="6" customFormat="1" ht="11.25" x14ac:dyDescent="0.2">
      <c r="A287" s="56">
        <f t="shared" si="119"/>
        <v>43373</v>
      </c>
      <c r="B287" s="618"/>
      <c r="C287" s="392"/>
      <c r="D287" s="395"/>
      <c r="E287" s="387"/>
      <c r="F287" s="387"/>
      <c r="G287" s="110"/>
      <c r="I287" s="382">
        <f t="shared" si="96"/>
        <v>0</v>
      </c>
      <c r="J287" s="85">
        <v>2018</v>
      </c>
      <c r="K287" s="199">
        <f t="shared" si="97"/>
        <v>43373</v>
      </c>
      <c r="L287" s="437">
        <f t="shared" si="98"/>
        <v>1.395329522707156E-3</v>
      </c>
      <c r="M287" s="881"/>
      <c r="N287" s="881"/>
      <c r="O287" s="326">
        <f t="shared" si="99"/>
        <v>1.4480987964690538E-2</v>
      </c>
      <c r="P287" s="171">
        <f>(INDEX(Models!$BJ287:$BT287,,T287)*(1-R287)+INDEX(Models!$BJ287:$BT287,,T287+1)*R287-ERP_i)*Q287*Ramure*Pc/MaxiM</f>
        <v>1.7505475022981797E-3</v>
      </c>
      <c r="Q287" s="307">
        <f t="shared" si="100"/>
        <v>1</v>
      </c>
      <c r="R287" s="179">
        <f t="shared" si="101"/>
        <v>0.8930484654754105</v>
      </c>
      <c r="S287" s="837">
        <f t="shared" si="118"/>
        <v>-3</v>
      </c>
      <c r="T287" s="178">
        <f t="shared" si="102"/>
        <v>3</v>
      </c>
      <c r="U287" s="253">
        <f t="shared" si="103"/>
        <v>-2.1069515345245895</v>
      </c>
      <c r="V287" s="385">
        <f t="shared" si="104"/>
        <v>39.45628064600109</v>
      </c>
      <c r="W287" s="58"/>
      <c r="X287" s="157">
        <f t="shared" si="105"/>
        <v>43373</v>
      </c>
      <c r="Y287" s="387">
        <f t="shared" si="106"/>
        <v>0</v>
      </c>
      <c r="Z287" s="387">
        <f t="shared" si="107"/>
        <v>0</v>
      </c>
      <c r="AA287" s="388">
        <f t="shared" si="108"/>
        <v>0</v>
      </c>
      <c r="AB287" s="199">
        <f t="shared" si="109"/>
        <v>43373</v>
      </c>
      <c r="AC287" s="426">
        <f t="shared" si="110"/>
        <v>1.4480987964690538E-2</v>
      </c>
      <c r="AD287" s="171">
        <f>(INDEX(Models!$BJ287:$BT287,,AH287)*(1-AF287)+INDEX(Models!$BJ287:$BT287,,AH287+1)*AF287-ERP_i)*AE287*Ramure*Pc/MaxiM</f>
        <v>1.7505475022981797E-3</v>
      </c>
      <c r="AE287" s="307">
        <f t="shared" si="111"/>
        <v>1</v>
      </c>
      <c r="AF287" s="179">
        <f t="shared" si="112"/>
        <v>0.8930484654754105</v>
      </c>
      <c r="AG287" s="837">
        <f t="shared" si="113"/>
        <v>-3</v>
      </c>
      <c r="AH287" s="178">
        <f t="shared" si="114"/>
        <v>3</v>
      </c>
      <c r="AI287" s="227">
        <f t="shared" si="115"/>
        <v>-2.1069515345245895</v>
      </c>
      <c r="AJ287" s="267" t="b">
        <f t="shared" si="116"/>
        <v>0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9"/>
        <v>43374</v>
      </c>
      <c r="B288" s="618">
        <v>2.129</v>
      </c>
      <c r="C288" s="392"/>
      <c r="D288" s="395">
        <f t="shared" ref="D288:D334" si="120">Wh/(1-Ppv)</f>
        <v>2.1320244227134237</v>
      </c>
      <c r="E288" s="387">
        <f t="shared" ref="E288:E296" si="121">Wh_pvt/(1-Psa)</f>
        <v>2.1638415698247986</v>
      </c>
      <c r="F288" s="387">
        <f>Wh_sa/(1-Pvg*MEDIAN((-Sdif+Wh/Env_an)/Csdif,0,1))</f>
        <v>2.1638415698247986</v>
      </c>
      <c r="G288" s="110">
        <f t="shared" ref="G288:G296" si="122">+Wh_hp/MaxiM</f>
        <v>5.4497138182534807E-2</v>
      </c>
      <c r="I288" s="382">
        <f t="shared" si="96"/>
        <v>2.1638415698247986</v>
      </c>
      <c r="J288" s="85">
        <v>2018</v>
      </c>
      <c r="K288" s="199">
        <f t="shared" si="97"/>
        <v>43374</v>
      </c>
      <c r="L288" s="437">
        <f t="shared" si="98"/>
        <v>1.418568512256746E-3</v>
      </c>
      <c r="M288" s="881"/>
      <c r="N288" s="881"/>
      <c r="O288" s="326">
        <f t="shared" si="99"/>
        <v>1.4704009551841302E-2</v>
      </c>
      <c r="P288" s="171">
        <f>(INDEX(Models!$BJ288:$BT288,,T288)*(1-R288)+INDEX(Models!$BJ288:$BT288,,T288+1)*R288-ERP_i)*Q288*Ramure*Pc/MaxiM</f>
        <v>1.7574520399302337E-3</v>
      </c>
      <c r="Q288" s="307">
        <f t="shared" si="100"/>
        <v>1</v>
      </c>
      <c r="R288" s="179">
        <f t="shared" si="101"/>
        <v>0.89332599965925841</v>
      </c>
      <c r="S288" s="837">
        <f t="shared" si="118"/>
        <v>-3</v>
      </c>
      <c r="T288" s="178">
        <f t="shared" si="102"/>
        <v>3</v>
      </c>
      <c r="U288" s="253">
        <f t="shared" si="103"/>
        <v>-2.1066740003407416</v>
      </c>
      <c r="V288" s="385">
        <f t="shared" si="104"/>
        <v>38.997614470847374</v>
      </c>
      <c r="W288" s="58"/>
      <c r="X288" s="157">
        <f t="shared" si="105"/>
        <v>43374</v>
      </c>
      <c r="Y288" s="387">
        <f t="shared" si="106"/>
        <v>2.129</v>
      </c>
      <c r="Z288" s="387">
        <f t="shared" si="107"/>
        <v>2.1320244227134237</v>
      </c>
      <c r="AA288" s="388">
        <f t="shared" si="108"/>
        <v>2.1638415698247986</v>
      </c>
      <c r="AB288" s="199">
        <f t="shared" si="109"/>
        <v>43374</v>
      </c>
      <c r="AC288" s="426">
        <f t="shared" si="110"/>
        <v>1.4704009551841302E-2</v>
      </c>
      <c r="AD288" s="171">
        <f>(INDEX(Models!$BJ288:$BT288,,AH288)*(1-AF288)+INDEX(Models!$BJ288:$BT288,,AH288+1)*AF288-ERP_i)*AE288*Ramure*Pc/MaxiM</f>
        <v>1.7574520399302337E-3</v>
      </c>
      <c r="AE288" s="307">
        <f t="shared" si="111"/>
        <v>1</v>
      </c>
      <c r="AF288" s="179">
        <f t="shared" si="112"/>
        <v>0.89332599965925841</v>
      </c>
      <c r="AG288" s="837">
        <f t="shared" si="113"/>
        <v>-3</v>
      </c>
      <c r="AH288" s="178">
        <f t="shared" si="114"/>
        <v>3</v>
      </c>
      <c r="AI288" s="227">
        <f t="shared" si="115"/>
        <v>-2.1066740003407416</v>
      </c>
      <c r="AJ288" s="267" t="b">
        <f t="shared" si="116"/>
        <v>0</v>
      </c>
      <c r="AK288" s="267" t="b">
        <f t="shared" si="117"/>
        <v>0</v>
      </c>
      <c r="AL288" s="267"/>
      <c r="AM288" s="267"/>
      <c r="AN288" s="75"/>
    </row>
    <row r="289" spans="1:40" s="6" customFormat="1" ht="11.25" customHeight="1" x14ac:dyDescent="0.2">
      <c r="A289" s="56">
        <f t="shared" si="119"/>
        <v>43375</v>
      </c>
      <c r="B289" s="618">
        <v>35.54</v>
      </c>
      <c r="C289" s="392"/>
      <c r="D289" s="395">
        <f t="shared" si="120"/>
        <v>35.591315806881546</v>
      </c>
      <c r="E289" s="387">
        <f t="shared" si="121"/>
        <v>36.130603556011714</v>
      </c>
      <c r="F289" s="387">
        <f>Wh_sa/(1-Pvg*MEDIAN((-Sdif+Wh/Env_an)/Csdif,0,1))</f>
        <v>36.187282079507987</v>
      </c>
      <c r="G289" s="110">
        <f t="shared" si="122"/>
        <v>0.92198792665382345</v>
      </c>
      <c r="I289" s="382">
        <f t="shared" si="96"/>
        <v>36.187282079507987</v>
      </c>
      <c r="J289" s="85">
        <v>2018</v>
      </c>
      <c r="K289" s="199">
        <f t="shared" si="97"/>
        <v>43375</v>
      </c>
      <c r="L289" s="437">
        <f t="shared" si="98"/>
        <v>1.4418069610010464E-3</v>
      </c>
      <c r="M289" s="881"/>
      <c r="N289" s="881"/>
      <c r="O289" s="326">
        <f t="shared" si="99"/>
        <v>1.4926065331129546E-2</v>
      </c>
      <c r="P289" s="171">
        <f>(INDEX(Models!$BJ289:$BT289,,T289)*(1-R289)+INDEX(Models!$BJ289:$BT289,,T289+1)*R289-ERP_i)*Q289*Ramure*Pc/MaxiM</f>
        <v>1.762188280182654E-3</v>
      </c>
      <c r="Q289" s="307">
        <f t="shared" si="100"/>
        <v>1</v>
      </c>
      <c r="R289" s="179">
        <f t="shared" si="101"/>
        <v>0.893592568265277</v>
      </c>
      <c r="S289" s="837">
        <f t="shared" si="118"/>
        <v>-3</v>
      </c>
      <c r="T289" s="178">
        <f t="shared" si="102"/>
        <v>3</v>
      </c>
      <c r="U289" s="253">
        <f t="shared" si="103"/>
        <v>-2.106407431734723</v>
      </c>
      <c r="V289" s="385">
        <f t="shared" si="104"/>
        <v>38.539578005440688</v>
      </c>
      <c r="W289" s="58"/>
      <c r="X289" s="157">
        <f t="shared" si="105"/>
        <v>43375</v>
      </c>
      <c r="Y289" s="387">
        <f t="shared" si="106"/>
        <v>35.54</v>
      </c>
      <c r="Z289" s="387">
        <f t="shared" si="107"/>
        <v>35.591315806881546</v>
      </c>
      <c r="AA289" s="388">
        <f t="shared" si="108"/>
        <v>36.130603556011714</v>
      </c>
      <c r="AB289" s="199">
        <f t="shared" si="109"/>
        <v>43375</v>
      </c>
      <c r="AC289" s="426">
        <f t="shared" si="110"/>
        <v>1.4926065331129546E-2</v>
      </c>
      <c r="AD289" s="171">
        <f>(INDEX(Models!$BJ289:$BT289,,AH289)*(1-AF289)+INDEX(Models!$BJ289:$BT289,,AH289+1)*AF289-ERP_i)*AE289*Ramure*Pc/MaxiM</f>
        <v>1.762188280182654E-3</v>
      </c>
      <c r="AE289" s="307">
        <f t="shared" si="111"/>
        <v>1</v>
      </c>
      <c r="AF289" s="179">
        <f t="shared" si="112"/>
        <v>0.893592568265277</v>
      </c>
      <c r="AG289" s="837">
        <f t="shared" si="113"/>
        <v>-3</v>
      </c>
      <c r="AH289" s="178">
        <f t="shared" si="114"/>
        <v>3</v>
      </c>
      <c r="AI289" s="227">
        <f t="shared" si="115"/>
        <v>-2.106407431734723</v>
      </c>
      <c r="AJ289" s="267" t="b">
        <f t="shared" si="116"/>
        <v>0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9"/>
        <v>43376</v>
      </c>
      <c r="B290" s="618">
        <v>35.398000000000003</v>
      </c>
      <c r="C290" s="392"/>
      <c r="D290" s="395">
        <f t="shared" si="120"/>
        <v>35.449935746470068</v>
      </c>
      <c r="E290" s="387">
        <f t="shared" si="121"/>
        <v>35.995159179708224</v>
      </c>
      <c r="F290" s="387">
        <f>Wh_sa/(1-Pvg*MEDIAN((-Sdif+Wh/Env_an)/Csdif,0,1))</f>
        <v>36.052378620144729</v>
      </c>
      <c r="G290" s="110">
        <f t="shared" si="122"/>
        <v>0.92944448159174031</v>
      </c>
      <c r="I290" s="382">
        <f t="shared" si="96"/>
        <v>36.052378620144729</v>
      </c>
      <c r="J290" s="85">
        <v>2018</v>
      </c>
      <c r="K290" s="199">
        <f t="shared" si="97"/>
        <v>43376</v>
      </c>
      <c r="L290" s="437">
        <f t="shared" si="98"/>
        <v>1.465044868952603E-3</v>
      </c>
      <c r="M290" s="881"/>
      <c r="N290" s="881"/>
      <c r="O290" s="326">
        <f t="shared" si="99"/>
        <v>1.51471321606357E-2</v>
      </c>
      <c r="P290" s="171">
        <f>(INDEX(Models!$BJ290:$BT290,,T290)*(1-R290)+INDEX(Models!$BJ290:$BT290,,T290+1)*R290-ERP_i)*Q290*Ramure*Pc/MaxiM</f>
        <v>1.764559540895144E-3</v>
      </c>
      <c r="Q290" s="307">
        <f t="shared" si="100"/>
        <v>1</v>
      </c>
      <c r="R290" s="179">
        <f t="shared" si="101"/>
        <v>0.89384859654938031</v>
      </c>
      <c r="S290" s="837">
        <f t="shared" si="118"/>
        <v>-3</v>
      </c>
      <c r="T290" s="178">
        <f t="shared" si="102"/>
        <v>3</v>
      </c>
      <c r="U290" s="253">
        <f t="shared" si="103"/>
        <v>-2.1061514034506197</v>
      </c>
      <c r="V290" s="385">
        <f t="shared" si="104"/>
        <v>38.078346475763695</v>
      </c>
      <c r="W290" s="58"/>
      <c r="X290" s="157">
        <f t="shared" si="105"/>
        <v>43376</v>
      </c>
      <c r="Y290" s="387">
        <f t="shared" si="106"/>
        <v>35.398000000000003</v>
      </c>
      <c r="Z290" s="387">
        <f t="shared" si="107"/>
        <v>35.449935746470068</v>
      </c>
      <c r="AA290" s="388">
        <f t="shared" si="108"/>
        <v>35.995159179708224</v>
      </c>
      <c r="AB290" s="199">
        <f t="shared" si="109"/>
        <v>43376</v>
      </c>
      <c r="AC290" s="426">
        <f t="shared" si="110"/>
        <v>1.51471321606357E-2</v>
      </c>
      <c r="AD290" s="171">
        <f>(INDEX(Models!$BJ290:$BT290,,AH290)*(1-AF290)+INDEX(Models!$BJ290:$BT290,,AH290+1)*AF290-ERP_i)*AE290*Ramure*Pc/MaxiM</f>
        <v>1.764559540895144E-3</v>
      </c>
      <c r="AE290" s="307">
        <f t="shared" si="111"/>
        <v>1</v>
      </c>
      <c r="AF290" s="179">
        <f t="shared" si="112"/>
        <v>0.89384859654938031</v>
      </c>
      <c r="AG290" s="837">
        <f t="shared" si="113"/>
        <v>-3</v>
      </c>
      <c r="AH290" s="178">
        <f t="shared" si="114"/>
        <v>3</v>
      </c>
      <c r="AI290" s="227">
        <f t="shared" si="115"/>
        <v>-2.1061514034506197</v>
      </c>
      <c r="AJ290" s="267" t="b">
        <f t="shared" si="116"/>
        <v>0</v>
      </c>
      <c r="AK290" s="267" t="b">
        <f t="shared" si="117"/>
        <v>0</v>
      </c>
      <c r="AL290" s="267"/>
      <c r="AM290" s="267"/>
      <c r="AN290" s="75"/>
    </row>
    <row r="291" spans="1:40" s="6" customFormat="1" ht="11.25" customHeight="1" x14ac:dyDescent="0.2">
      <c r="A291" s="56">
        <f t="shared" si="119"/>
        <v>43377</v>
      </c>
      <c r="B291" s="618">
        <v>35.271999999999998</v>
      </c>
      <c r="C291" s="392"/>
      <c r="D291" s="395">
        <f t="shared" si="120"/>
        <v>35.324572934396933</v>
      </c>
      <c r="E291" s="387">
        <f t="shared" si="121"/>
        <v>35.875884371587098</v>
      </c>
      <c r="F291" s="387">
        <f>Wh_sa/(1-Pvg*MEDIAN((-Sdif+Wh/Env_an)/Csdif,0,1))</f>
        <v>35.933691414169608</v>
      </c>
      <c r="G291" s="110">
        <f t="shared" si="122"/>
        <v>0.93756393668324955</v>
      </c>
      <c r="I291" s="382">
        <f t="shared" si="96"/>
        <v>35.933691414169608</v>
      </c>
      <c r="J291" s="85">
        <v>2018</v>
      </c>
      <c r="K291" s="199">
        <f t="shared" si="97"/>
        <v>43377</v>
      </c>
      <c r="L291" s="437">
        <f t="shared" si="98"/>
        <v>1.4882822361241832E-3</v>
      </c>
      <c r="M291" s="881"/>
      <c r="N291" s="881"/>
      <c r="O291" s="326">
        <f t="shared" si="99"/>
        <v>1.5367187369652412E-2</v>
      </c>
      <c r="P291" s="171">
        <f>(INDEX(Models!$BJ291:$BT291,,T291)*(1-R291)+INDEX(Models!$BJ291:$BT291,,T291+1)*R291-ERP_i)*Q291*Ramure*Pc/MaxiM</f>
        <v>1.7658454738711811E-3</v>
      </c>
      <c r="Q291" s="307">
        <f t="shared" si="100"/>
        <v>1</v>
      </c>
      <c r="R291" s="179">
        <f t="shared" si="101"/>
        <v>0.89409449390224305</v>
      </c>
      <c r="S291" s="837">
        <f t="shared" si="118"/>
        <v>-3</v>
      </c>
      <c r="T291" s="178">
        <f t="shared" si="102"/>
        <v>3</v>
      </c>
      <c r="U291" s="253">
        <f t="shared" si="103"/>
        <v>-2.105905506097757</v>
      </c>
      <c r="V291" s="385">
        <f t="shared" si="104"/>
        <v>37.614980011886175</v>
      </c>
      <c r="W291" s="58"/>
      <c r="X291" s="157">
        <f t="shared" si="105"/>
        <v>43377</v>
      </c>
      <c r="Y291" s="387">
        <f t="shared" si="106"/>
        <v>35.271999999999998</v>
      </c>
      <c r="Z291" s="387">
        <f t="shared" si="107"/>
        <v>35.324572934396933</v>
      </c>
      <c r="AA291" s="388">
        <f t="shared" si="108"/>
        <v>35.875884371587098</v>
      </c>
      <c r="AB291" s="199">
        <f t="shared" si="109"/>
        <v>43377</v>
      </c>
      <c r="AC291" s="426">
        <f t="shared" si="110"/>
        <v>1.5367187369652412E-2</v>
      </c>
      <c r="AD291" s="171">
        <f>(INDEX(Models!$BJ291:$BT291,,AH291)*(1-AF291)+INDEX(Models!$BJ291:$BT291,,AH291+1)*AF291-ERP_i)*AE291*Ramure*Pc/MaxiM</f>
        <v>1.7658454738711811E-3</v>
      </c>
      <c r="AE291" s="307">
        <f t="shared" si="111"/>
        <v>1</v>
      </c>
      <c r="AF291" s="179">
        <f t="shared" si="112"/>
        <v>0.89409449390224305</v>
      </c>
      <c r="AG291" s="837">
        <f t="shared" si="113"/>
        <v>-3</v>
      </c>
      <c r="AH291" s="178">
        <f t="shared" si="114"/>
        <v>3</v>
      </c>
      <c r="AI291" s="227">
        <f t="shared" si="115"/>
        <v>-2.105905506097757</v>
      </c>
      <c r="AJ291" s="267" t="b">
        <f t="shared" si="116"/>
        <v>0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9"/>
        <v>43378</v>
      </c>
      <c r="B292" s="618">
        <v>34.72</v>
      </c>
      <c r="C292" s="392"/>
      <c r="D292" s="395">
        <f t="shared" si="120"/>
        <v>34.772559386365387</v>
      </c>
      <c r="E292" s="387">
        <f t="shared" si="121"/>
        <v>35.32311280155006</v>
      </c>
      <c r="F292" s="387">
        <f>Wh_sa/(1-Pvg*MEDIAN((-Sdif+Wh/Env_an)/Csdif,0,1))</f>
        <v>35.379752101796598</v>
      </c>
      <c r="G292" s="110">
        <f t="shared" si="122"/>
        <v>0.93442012883436198</v>
      </c>
      <c r="I292" s="382">
        <f t="shared" si="96"/>
        <v>35.379752101796598</v>
      </c>
      <c r="J292" s="85">
        <v>2018</v>
      </c>
      <c r="K292" s="199">
        <f t="shared" si="97"/>
        <v>43378</v>
      </c>
      <c r="L292" s="437">
        <f t="shared" si="98"/>
        <v>1.5115190625283326E-3</v>
      </c>
      <c r="M292" s="881"/>
      <c r="N292" s="881"/>
      <c r="O292" s="326">
        <f t="shared" si="99"/>
        <v>1.5586208901739619E-2</v>
      </c>
      <c r="P292" s="171">
        <f>(INDEX(Models!$BJ292:$BT292,,T292)*(1-R292)+INDEX(Models!$BJ292:$BT292,,T292+1)*R292-ERP_i)*Q292*Ramure*Pc/MaxiM</f>
        <v>1.7659500984845869E-3</v>
      </c>
      <c r="Q292" s="307">
        <f t="shared" si="100"/>
        <v>1</v>
      </c>
      <c r="R292" s="179">
        <f t="shared" si="101"/>
        <v>0.89433065439181725</v>
      </c>
      <c r="S292" s="837">
        <f t="shared" si="118"/>
        <v>-3</v>
      </c>
      <c r="T292" s="178">
        <f t="shared" si="102"/>
        <v>3</v>
      </c>
      <c r="U292" s="253">
        <f t="shared" si="103"/>
        <v>-2.1056693456081828</v>
      </c>
      <c r="V292" s="385">
        <f t="shared" si="104"/>
        <v>37.150591108047088</v>
      </c>
      <c r="W292" s="58"/>
      <c r="X292" s="157">
        <f t="shared" si="105"/>
        <v>43378</v>
      </c>
      <c r="Y292" s="387">
        <f t="shared" si="106"/>
        <v>34.72</v>
      </c>
      <c r="Z292" s="387">
        <f t="shared" si="107"/>
        <v>34.772559386365387</v>
      </c>
      <c r="AA292" s="388">
        <f t="shared" si="108"/>
        <v>35.32311280155006</v>
      </c>
      <c r="AB292" s="199">
        <f t="shared" si="109"/>
        <v>43378</v>
      </c>
      <c r="AC292" s="426">
        <f t="shared" si="110"/>
        <v>1.5586208901739619E-2</v>
      </c>
      <c r="AD292" s="171">
        <f>(INDEX(Models!$BJ292:$BT292,,AH292)*(1-AF292)+INDEX(Models!$BJ292:$BT292,,AH292+1)*AF292-ERP_i)*AE292*Ramure*Pc/MaxiM</f>
        <v>1.7659500984845869E-3</v>
      </c>
      <c r="AE292" s="307">
        <f t="shared" si="111"/>
        <v>1</v>
      </c>
      <c r="AF292" s="179">
        <f t="shared" si="112"/>
        <v>0.89433065439181725</v>
      </c>
      <c r="AG292" s="837">
        <f t="shared" si="113"/>
        <v>-3</v>
      </c>
      <c r="AH292" s="178">
        <f t="shared" si="114"/>
        <v>3</v>
      </c>
      <c r="AI292" s="227">
        <f t="shared" si="115"/>
        <v>-2.1056693456081828</v>
      </c>
      <c r="AJ292" s="267" t="b">
        <f t="shared" si="116"/>
        <v>0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9"/>
        <v>43379</v>
      </c>
      <c r="B293" s="618">
        <v>33.353999999999999</v>
      </c>
      <c r="C293" s="392"/>
      <c r="D293" s="395">
        <f t="shared" si="120"/>
        <v>33.405268915124793</v>
      </c>
      <c r="E293" s="387">
        <f t="shared" si="121"/>
        <v>33.941689328790169</v>
      </c>
      <c r="F293" s="387">
        <f t="shared" ref="F293:F324" si="123">Wh_sa/(1-Pvg*MEDIAN((-Sdif+Wh/Env_an)/Csdif,0,1))</f>
        <v>33.993896318509428</v>
      </c>
      <c r="G293" s="110">
        <f t="shared" si="122"/>
        <v>0.90895943143248203</v>
      </c>
      <c r="I293" s="382">
        <f t="shared" si="96"/>
        <v>33.993896318509428</v>
      </c>
      <c r="J293" s="85">
        <v>2018</v>
      </c>
      <c r="K293" s="199">
        <f t="shared" si="97"/>
        <v>43379</v>
      </c>
      <c r="L293" s="437">
        <f t="shared" si="98"/>
        <v>1.5347553481774856E-3</v>
      </c>
      <c r="M293" s="881"/>
      <c r="N293" s="881"/>
      <c r="O293" s="326">
        <f t="shared" si="99"/>
        <v>1.5804175463074822E-2</v>
      </c>
      <c r="P293" s="171">
        <f>(INDEX(Models!$BJ293:$BT293,,T293)*(1-R293)+INDEX(Models!$BJ293:$BT293,,T293+1)*R293-ERP_i)*Q293*Ramure*Pc/MaxiM</f>
        <v>1.7647723963378544E-3</v>
      </c>
      <c r="Q293" s="307">
        <f t="shared" si="100"/>
        <v>1</v>
      </c>
      <c r="R293" s="179">
        <f t="shared" si="101"/>
        <v>0.89455745729127223</v>
      </c>
      <c r="S293" s="837">
        <f t="shared" si="118"/>
        <v>-3</v>
      </c>
      <c r="T293" s="178">
        <f t="shared" si="102"/>
        <v>3</v>
      </c>
      <c r="U293" s="253">
        <f t="shared" si="103"/>
        <v>-2.1054425427087278</v>
      </c>
      <c r="V293" s="385">
        <f t="shared" si="104"/>
        <v>36.686291084952074</v>
      </c>
      <c r="W293" s="58"/>
      <c r="X293" s="157">
        <f t="shared" si="105"/>
        <v>43379</v>
      </c>
      <c r="Y293" s="387">
        <f t="shared" si="106"/>
        <v>33.353999999999999</v>
      </c>
      <c r="Z293" s="387">
        <f t="shared" si="107"/>
        <v>33.405268915124793</v>
      </c>
      <c r="AA293" s="388">
        <f t="shared" si="108"/>
        <v>33.941689328790169</v>
      </c>
      <c r="AB293" s="199">
        <f t="shared" si="109"/>
        <v>43379</v>
      </c>
      <c r="AC293" s="426">
        <f t="shared" si="110"/>
        <v>1.5804175463074822E-2</v>
      </c>
      <c r="AD293" s="171">
        <f>(INDEX(Models!$BJ293:$BT293,,AH293)*(1-AF293)+INDEX(Models!$BJ293:$BT293,,AH293+1)*AF293-ERP_i)*AE293*Ramure*Pc/MaxiM</f>
        <v>1.7647723963378544E-3</v>
      </c>
      <c r="AE293" s="307">
        <f t="shared" si="111"/>
        <v>1</v>
      </c>
      <c r="AF293" s="179">
        <f t="shared" si="112"/>
        <v>0.89455745729127223</v>
      </c>
      <c r="AG293" s="837">
        <f t="shared" si="113"/>
        <v>-3</v>
      </c>
      <c r="AH293" s="178">
        <f t="shared" si="114"/>
        <v>3</v>
      </c>
      <c r="AI293" s="227">
        <f t="shared" si="115"/>
        <v>-2.1054425427087278</v>
      </c>
      <c r="AJ293" s="267" t="b">
        <f t="shared" si="116"/>
        <v>0</v>
      </c>
      <c r="AK293" s="267" t="b">
        <f t="shared" si="117"/>
        <v>0</v>
      </c>
      <c r="AL293" s="267"/>
      <c r="AM293" s="267"/>
      <c r="AN293" s="75"/>
    </row>
    <row r="294" spans="1:40" s="6" customFormat="1" ht="11.25" customHeight="1" x14ac:dyDescent="0.2">
      <c r="A294" s="56">
        <f t="shared" si="119"/>
        <v>43380</v>
      </c>
      <c r="B294" s="618">
        <v>15.315</v>
      </c>
      <c r="C294" s="392"/>
      <c r="D294" s="395">
        <f t="shared" si="120"/>
        <v>15.338897866253353</v>
      </c>
      <c r="E294" s="387">
        <f t="shared" si="121"/>
        <v>15.588644580451577</v>
      </c>
      <c r="F294" s="387">
        <f t="shared" si="123"/>
        <v>15.593464986620333</v>
      </c>
      <c r="G294" s="110">
        <f t="shared" si="122"/>
        <v>0.42218090709587958</v>
      </c>
      <c r="I294" s="382">
        <f t="shared" si="96"/>
        <v>15.593464986620333</v>
      </c>
      <c r="J294" s="85">
        <v>2018</v>
      </c>
      <c r="K294" s="199">
        <f t="shared" si="97"/>
        <v>43380</v>
      </c>
      <c r="L294" s="437">
        <f t="shared" si="98"/>
        <v>1.5579910930844099E-3</v>
      </c>
      <c r="M294" s="881"/>
      <c r="N294" s="881"/>
      <c r="O294" s="326">
        <f t="shared" si="99"/>
        <v>1.6021066675123923E-2</v>
      </c>
      <c r="P294" s="171">
        <f>(INDEX(Models!$BJ294:$BT294,,T294)*(1-R294)+INDEX(Models!$BJ294:$BT294,,T294+1)*R294-ERP_i)*Q294*Ramure*Pc/MaxiM</f>
        <v>1.7622063624321567E-3</v>
      </c>
      <c r="Q294" s="307">
        <f t="shared" si="100"/>
        <v>1</v>
      </c>
      <c r="R294" s="179">
        <f t="shared" si="101"/>
        <v>0.89477526759240433</v>
      </c>
      <c r="S294" s="837">
        <f t="shared" si="118"/>
        <v>-3</v>
      </c>
      <c r="T294" s="178">
        <f t="shared" si="102"/>
        <v>3</v>
      </c>
      <c r="U294" s="253">
        <f t="shared" si="103"/>
        <v>-2.1052247324075957</v>
      </c>
      <c r="V294" s="385">
        <f t="shared" si="104"/>
        <v>36.223190095474621</v>
      </c>
      <c r="W294" s="58"/>
      <c r="X294" s="157">
        <f t="shared" si="105"/>
        <v>43380</v>
      </c>
      <c r="Y294" s="387">
        <f t="shared" si="106"/>
        <v>15.315</v>
      </c>
      <c r="Z294" s="387">
        <f t="shared" si="107"/>
        <v>15.338897866253353</v>
      </c>
      <c r="AA294" s="388">
        <f t="shared" si="108"/>
        <v>15.588644580451577</v>
      </c>
      <c r="AB294" s="199">
        <f t="shared" si="109"/>
        <v>43380</v>
      </c>
      <c r="AC294" s="426">
        <f t="shared" si="110"/>
        <v>1.6021066675123923E-2</v>
      </c>
      <c r="AD294" s="171">
        <f>(INDEX(Models!$BJ294:$BT294,,AH294)*(1-AF294)+INDEX(Models!$BJ294:$BT294,,AH294+1)*AF294-ERP_i)*AE294*Ramure*Pc/MaxiM</f>
        <v>1.7622063624321567E-3</v>
      </c>
      <c r="AE294" s="307">
        <f t="shared" si="111"/>
        <v>1</v>
      </c>
      <c r="AF294" s="179">
        <f t="shared" si="112"/>
        <v>0.89477526759240433</v>
      </c>
      <c r="AG294" s="837">
        <f t="shared" si="113"/>
        <v>-3</v>
      </c>
      <c r="AH294" s="178">
        <f t="shared" si="114"/>
        <v>3</v>
      </c>
      <c r="AI294" s="227">
        <f t="shared" si="115"/>
        <v>-2.1052247324075957</v>
      </c>
      <c r="AJ294" s="267" t="b">
        <f t="shared" si="116"/>
        <v>0</v>
      </c>
      <c r="AK294" s="267" t="b">
        <f t="shared" si="117"/>
        <v>0</v>
      </c>
      <c r="AL294" s="267"/>
      <c r="AM294" s="267"/>
      <c r="AN294" s="75"/>
    </row>
    <row r="295" spans="1:40" s="6" customFormat="1" ht="11.25" customHeight="1" x14ac:dyDescent="0.2">
      <c r="A295" s="56">
        <f t="shared" si="119"/>
        <v>43381</v>
      </c>
      <c r="B295" s="618">
        <v>14.872</v>
      </c>
      <c r="C295" s="392"/>
      <c r="D295" s="395">
        <f t="shared" si="120"/>
        <v>14.895553240496131</v>
      </c>
      <c r="E295" s="387">
        <f t="shared" si="121"/>
        <v>15.14140211576888</v>
      </c>
      <c r="F295" s="387">
        <f t="shared" si="123"/>
        <v>15.145809347946548</v>
      </c>
      <c r="G295" s="110">
        <f t="shared" si="122"/>
        <v>0.41524549025992435</v>
      </c>
      <c r="I295" s="382">
        <f t="shared" si="96"/>
        <v>15.145809347946548</v>
      </c>
      <c r="J295" s="85">
        <v>2018</v>
      </c>
      <c r="K295" s="199">
        <f t="shared" si="97"/>
        <v>43381</v>
      </c>
      <c r="L295" s="437">
        <f t="shared" si="98"/>
        <v>1.5812262972615398E-3</v>
      </c>
      <c r="M295" s="881"/>
      <c r="N295" s="881"/>
      <c r="O295" s="326">
        <f t="shared" si="99"/>
        <v>1.6236863230566525E-2</v>
      </c>
      <c r="P295" s="171">
        <f>(INDEX(Models!$BJ295:$BT295,,T295)*(1-R295)+INDEX(Models!$BJ295:$BT295,,T295+1)*R295-ERP_i)*Q295*Ramure*Pc/MaxiM</f>
        <v>1.7581411239564607E-3</v>
      </c>
      <c r="Q295" s="307">
        <f t="shared" si="100"/>
        <v>1</v>
      </c>
      <c r="R295" s="179">
        <f t="shared" si="101"/>
        <v>0.89498443650460979</v>
      </c>
      <c r="S295" s="837">
        <f t="shared" si="118"/>
        <v>-3</v>
      </c>
      <c r="T295" s="178">
        <f t="shared" si="102"/>
        <v>3</v>
      </c>
      <c r="U295" s="253">
        <f t="shared" si="103"/>
        <v>-2.1050155634953902</v>
      </c>
      <c r="V295" s="385">
        <f t="shared" si="104"/>
        <v>35.762397135511712</v>
      </c>
      <c r="W295" s="58"/>
      <c r="X295" s="157">
        <f t="shared" si="105"/>
        <v>43381</v>
      </c>
      <c r="Y295" s="387">
        <f t="shared" si="106"/>
        <v>14.872</v>
      </c>
      <c r="Z295" s="387">
        <f t="shared" si="107"/>
        <v>14.895553240496131</v>
      </c>
      <c r="AA295" s="388">
        <f t="shared" si="108"/>
        <v>15.14140211576888</v>
      </c>
      <c r="AB295" s="199">
        <f t="shared" si="109"/>
        <v>43381</v>
      </c>
      <c r="AC295" s="426">
        <f t="shared" si="110"/>
        <v>1.6236863230566525E-2</v>
      </c>
      <c r="AD295" s="171">
        <f>(INDEX(Models!$BJ295:$BT295,,AH295)*(1-AF295)+INDEX(Models!$BJ295:$BT295,,AH295+1)*AF295-ERP_i)*AE295*Ramure*Pc/MaxiM</f>
        <v>1.7581411239564607E-3</v>
      </c>
      <c r="AE295" s="307">
        <f t="shared" si="111"/>
        <v>1</v>
      </c>
      <c r="AF295" s="179">
        <f t="shared" si="112"/>
        <v>0.89498443650460979</v>
      </c>
      <c r="AG295" s="837">
        <f t="shared" si="113"/>
        <v>-3</v>
      </c>
      <c r="AH295" s="178">
        <f t="shared" si="114"/>
        <v>3</v>
      </c>
      <c r="AI295" s="227">
        <f t="shared" si="115"/>
        <v>-2.1050155634953902</v>
      </c>
      <c r="AJ295" s="267" t="b">
        <f t="shared" si="116"/>
        <v>0</v>
      </c>
      <c r="AK295" s="267" t="b">
        <f t="shared" si="117"/>
        <v>0</v>
      </c>
      <c r="AL295" s="267"/>
      <c r="AM295" s="267"/>
      <c r="AN295" s="75"/>
    </row>
    <row r="296" spans="1:40" s="6" customFormat="1" ht="11.25" customHeight="1" x14ac:dyDescent="0.2">
      <c r="A296" s="56">
        <f t="shared" si="119"/>
        <v>43382</v>
      </c>
      <c r="B296" s="618">
        <v>31.266999999999999</v>
      </c>
      <c r="C296" s="392"/>
      <c r="D296" s="395">
        <f t="shared" si="120"/>
        <v>31.317247300691225</v>
      </c>
      <c r="E296" s="387">
        <f t="shared" si="121"/>
        <v>31.841082365390715</v>
      </c>
      <c r="F296" s="387">
        <f t="shared" si="123"/>
        <v>31.887839166826826</v>
      </c>
      <c r="G296" s="110">
        <f t="shared" si="122"/>
        <v>0.88537094966548446</v>
      </c>
      <c r="I296" s="382">
        <f t="shared" si="96"/>
        <v>31.887839166826826</v>
      </c>
      <c r="J296" s="85">
        <v>2018</v>
      </c>
      <c r="K296" s="199">
        <f t="shared" si="97"/>
        <v>43382</v>
      </c>
      <c r="L296" s="437">
        <f t="shared" si="98"/>
        <v>1.6044609607216431E-3</v>
      </c>
      <c r="M296" s="881"/>
      <c r="N296" s="881"/>
      <c r="O296" s="326">
        <f t="shared" si="99"/>
        <v>1.6451547051329691E-2</v>
      </c>
      <c r="P296" s="171">
        <f>(INDEX(Models!$BJ296:$BT296,,T296)*(1-R296)+INDEX(Models!$BJ296:$BT296,,T296+1)*R296-ERP_i)*Q296*Ramure*Pc/MaxiM</f>
        <v>1.7526620328478151E-3</v>
      </c>
      <c r="Q296" s="307">
        <f t="shared" si="100"/>
        <v>1</v>
      </c>
      <c r="R296" s="179">
        <f t="shared" si="101"/>
        <v>0.89518530193953749</v>
      </c>
      <c r="S296" s="837">
        <f t="shared" si="118"/>
        <v>-3</v>
      </c>
      <c r="T296" s="178">
        <f t="shared" si="102"/>
        <v>3</v>
      </c>
      <c r="U296" s="253">
        <f t="shared" si="103"/>
        <v>-2.1048146980604625</v>
      </c>
      <c r="V296" s="385">
        <f t="shared" si="104"/>
        <v>35.305012945258376</v>
      </c>
      <c r="W296" s="58"/>
      <c r="X296" s="157">
        <f t="shared" si="105"/>
        <v>43382</v>
      </c>
      <c r="Y296" s="387">
        <f t="shared" si="106"/>
        <v>31.266999999999999</v>
      </c>
      <c r="Z296" s="387">
        <f t="shared" si="107"/>
        <v>31.317247300691225</v>
      </c>
      <c r="AA296" s="388">
        <f t="shared" si="108"/>
        <v>31.841082365390715</v>
      </c>
      <c r="AB296" s="199">
        <f t="shared" si="109"/>
        <v>43382</v>
      </c>
      <c r="AC296" s="426">
        <f t="shared" si="110"/>
        <v>1.6451547051329691E-2</v>
      </c>
      <c r="AD296" s="171">
        <f>(INDEX(Models!$BJ296:$BT296,,AH296)*(1-AF296)+INDEX(Models!$BJ296:$BT296,,AH296+1)*AF296-ERP_i)*AE296*Ramure*Pc/MaxiM</f>
        <v>1.7526620328478151E-3</v>
      </c>
      <c r="AE296" s="307">
        <f t="shared" si="111"/>
        <v>1</v>
      </c>
      <c r="AF296" s="179">
        <f t="shared" si="112"/>
        <v>0.89518530193953749</v>
      </c>
      <c r="AG296" s="837">
        <f t="shared" si="113"/>
        <v>-3</v>
      </c>
      <c r="AH296" s="178">
        <f t="shared" si="114"/>
        <v>3</v>
      </c>
      <c r="AI296" s="227">
        <f t="shared" si="115"/>
        <v>-2.1048146980604625</v>
      </c>
      <c r="AJ296" s="267" t="b">
        <f t="shared" si="116"/>
        <v>0</v>
      </c>
      <c r="AK296" s="267" t="b">
        <f t="shared" si="117"/>
        <v>0</v>
      </c>
      <c r="AL296" s="267"/>
      <c r="AM296" s="267"/>
      <c r="AN296" s="75"/>
    </row>
    <row r="297" spans="1:40" s="6" customFormat="1" ht="11.25" customHeight="1" x14ac:dyDescent="0.2">
      <c r="A297" s="56">
        <f t="shared" si="119"/>
        <v>43383</v>
      </c>
      <c r="B297" s="618">
        <v>21.789000000000001</v>
      </c>
      <c r="C297" s="392"/>
      <c r="D297" s="395">
        <f t="shared" si="120"/>
        <v>21.824523669876687</v>
      </c>
      <c r="E297" s="387">
        <f t="shared" ref="E297:E360" si="124">Wh_pvt/(1-Psa)</f>
        <v>22.194395522830845</v>
      </c>
      <c r="F297" s="387">
        <f t="shared" si="123"/>
        <v>22.212418814685947</v>
      </c>
      <c r="G297" s="110">
        <f t="shared" ref="G297:G360" si="125">+Wh_hp/MaxiM</f>
        <v>0.62459936270292016</v>
      </c>
      <c r="I297" s="382">
        <f t="shared" si="96"/>
        <v>22.212418814685947</v>
      </c>
      <c r="J297" s="85">
        <v>2018</v>
      </c>
      <c r="K297" s="199">
        <f t="shared" si="97"/>
        <v>43383</v>
      </c>
      <c r="L297" s="437">
        <f t="shared" si="98"/>
        <v>1.6276950834770432E-3</v>
      </c>
      <c r="M297" s="881"/>
      <c r="N297" s="881"/>
      <c r="O297" s="326">
        <f t="shared" si="99"/>
        <v>1.6665101447510995E-2</v>
      </c>
      <c r="P297" s="171">
        <f>(INDEX(Models!$BJ297:$BT297,,T297)*(1-R297)+INDEX(Models!$BJ297:$BT297,,T297+1)*R297-ERP_i)*Q297*Ramure*Pc/MaxiM</f>
        <v>1.7466521119313431E-3</v>
      </c>
      <c r="Q297" s="307">
        <f t="shared" si="100"/>
        <v>1</v>
      </c>
      <c r="R297" s="179">
        <f t="shared" si="101"/>
        <v>0.89537818898156507</v>
      </c>
      <c r="S297" s="837">
        <f t="shared" si="118"/>
        <v>-3</v>
      </c>
      <c r="T297" s="178">
        <f t="shared" si="102"/>
        <v>3</v>
      </c>
      <c r="U297" s="253">
        <f t="shared" si="103"/>
        <v>-2.1046218110184349</v>
      </c>
      <c r="V297" s="385">
        <f t="shared" si="104"/>
        <v>34.852109489609028</v>
      </c>
      <c r="W297" s="58"/>
      <c r="X297" s="157">
        <f t="shared" si="105"/>
        <v>43383</v>
      </c>
      <c r="Y297" s="387">
        <f t="shared" si="106"/>
        <v>21.789000000000001</v>
      </c>
      <c r="Z297" s="387">
        <f t="shared" si="107"/>
        <v>21.824523669876687</v>
      </c>
      <c r="AA297" s="388">
        <f t="shared" si="108"/>
        <v>22.194395522830845</v>
      </c>
      <c r="AB297" s="199">
        <f t="shared" si="109"/>
        <v>43383</v>
      </c>
      <c r="AC297" s="426">
        <f t="shared" si="110"/>
        <v>1.6665101447510995E-2</v>
      </c>
      <c r="AD297" s="171">
        <f>(INDEX(Models!$BJ297:$BT297,,AH297)*(1-AF297)+INDEX(Models!$BJ297:$BT297,,AH297+1)*AF297-ERP_i)*AE297*Ramure*Pc/MaxiM</f>
        <v>1.7466521119313431E-3</v>
      </c>
      <c r="AE297" s="307">
        <f t="shared" si="111"/>
        <v>1</v>
      </c>
      <c r="AF297" s="179">
        <f t="shared" si="112"/>
        <v>0.89537818898156507</v>
      </c>
      <c r="AG297" s="837">
        <f t="shared" si="113"/>
        <v>-3</v>
      </c>
      <c r="AH297" s="178">
        <f t="shared" si="114"/>
        <v>3</v>
      </c>
      <c r="AI297" s="227">
        <f t="shared" si="115"/>
        <v>-2.1046218110184349</v>
      </c>
      <c r="AJ297" s="267" t="b">
        <f t="shared" si="116"/>
        <v>0</v>
      </c>
      <c r="AK297" s="267" t="b">
        <f t="shared" si="117"/>
        <v>0</v>
      </c>
      <c r="AL297" s="267"/>
      <c r="AM297" s="267"/>
      <c r="AN297" s="75"/>
    </row>
    <row r="298" spans="1:40" s="6" customFormat="1" ht="11.25" customHeight="1" x14ac:dyDescent="0.2">
      <c r="A298" s="56">
        <f t="shared" si="119"/>
        <v>43384</v>
      </c>
      <c r="B298" s="618">
        <v>25.135999999999999</v>
      </c>
      <c r="C298" s="392"/>
      <c r="D298" s="395">
        <f t="shared" si="120"/>
        <v>25.177566366042246</v>
      </c>
      <c r="E298" s="387">
        <f t="shared" si="124"/>
        <v>25.609795986579496</v>
      </c>
      <c r="F298" s="387">
        <f t="shared" si="123"/>
        <v>25.637237078025635</v>
      </c>
      <c r="G298" s="110">
        <f t="shared" si="125"/>
        <v>0.73010610828945632</v>
      </c>
      <c r="I298" s="382">
        <f t="shared" si="96"/>
        <v>25.637237078025635</v>
      </c>
      <c r="J298" s="85">
        <v>2018</v>
      </c>
      <c r="K298" s="199">
        <f t="shared" si="97"/>
        <v>43384</v>
      </c>
      <c r="L298" s="437">
        <f t="shared" si="98"/>
        <v>1.6509286655405075E-3</v>
      </c>
      <c r="M298" s="881"/>
      <c r="N298" s="881"/>
      <c r="O298" s="326">
        <f t="shared" si="99"/>
        <v>1.6877511275909952E-2</v>
      </c>
      <c r="P298" s="171">
        <f>(INDEX(Models!$BJ298:$BT298,,T298)*(1-R298)+INDEX(Models!$BJ298:$BT298,,T298+1)*R298-ERP_i)*Q298*Ramure*Pc/MaxiM</f>
        <v>1.7400363323501282E-3</v>
      </c>
      <c r="Q298" s="307">
        <f t="shared" si="100"/>
        <v>1</v>
      </c>
      <c r="R298" s="179">
        <f t="shared" si="101"/>
        <v>0.89556341034427778</v>
      </c>
      <c r="S298" s="837">
        <f t="shared" si="118"/>
        <v>-3</v>
      </c>
      <c r="T298" s="178">
        <f t="shared" si="102"/>
        <v>3</v>
      </c>
      <c r="U298" s="253">
        <f t="shared" si="103"/>
        <v>-2.1044365896557222</v>
      </c>
      <c r="V298" s="385">
        <f t="shared" si="104"/>
        <v>34.404792278642319</v>
      </c>
      <c r="W298" s="58"/>
      <c r="X298" s="157">
        <f t="shared" si="105"/>
        <v>43384</v>
      </c>
      <c r="Y298" s="387">
        <f t="shared" si="106"/>
        <v>25.135999999999999</v>
      </c>
      <c r="Z298" s="387">
        <f t="shared" si="107"/>
        <v>25.177566366042246</v>
      </c>
      <c r="AA298" s="388">
        <f t="shared" si="108"/>
        <v>25.609795986579496</v>
      </c>
      <c r="AB298" s="199">
        <f t="shared" si="109"/>
        <v>43384</v>
      </c>
      <c r="AC298" s="426">
        <f t="shared" si="110"/>
        <v>1.6877511275909952E-2</v>
      </c>
      <c r="AD298" s="171">
        <f>(INDEX(Models!$BJ298:$BT298,,AH298)*(1-AF298)+INDEX(Models!$BJ298:$BT298,,AH298+1)*AF298-ERP_i)*AE298*Ramure*Pc/MaxiM</f>
        <v>1.7400363323501282E-3</v>
      </c>
      <c r="AE298" s="307">
        <f t="shared" si="111"/>
        <v>1</v>
      </c>
      <c r="AF298" s="179">
        <f t="shared" si="112"/>
        <v>0.89556341034427778</v>
      </c>
      <c r="AG298" s="837">
        <f t="shared" si="113"/>
        <v>-3</v>
      </c>
      <c r="AH298" s="178">
        <f t="shared" si="114"/>
        <v>3</v>
      </c>
      <c r="AI298" s="227">
        <f t="shared" si="115"/>
        <v>-2.1044365896557222</v>
      </c>
      <c r="AJ298" s="267" t="b">
        <f t="shared" si="116"/>
        <v>0</v>
      </c>
      <c r="AK298" s="267" t="b">
        <f t="shared" si="117"/>
        <v>0</v>
      </c>
      <c r="AL298" s="267"/>
      <c r="AM298" s="267"/>
      <c r="AN298" s="75"/>
    </row>
    <row r="299" spans="1:40" s="6" customFormat="1" ht="11.25" customHeight="1" x14ac:dyDescent="0.2">
      <c r="A299" s="56">
        <f t="shared" si="119"/>
        <v>43385</v>
      </c>
      <c r="B299" s="618">
        <v>30.405999999999999</v>
      </c>
      <c r="C299" s="392"/>
      <c r="D299" s="395">
        <f t="shared" si="120"/>
        <v>30.456989926242702</v>
      </c>
      <c r="E299" s="387">
        <f t="shared" si="124"/>
        <v>30.986511073169584</v>
      </c>
      <c r="F299" s="387">
        <f t="shared" si="123"/>
        <v>31.032234429948332</v>
      </c>
      <c r="G299" s="110">
        <f t="shared" si="125"/>
        <v>0.895005155593246</v>
      </c>
      <c r="I299" s="382">
        <f t="shared" si="96"/>
        <v>31.032234429948332</v>
      </c>
      <c r="J299" s="85">
        <v>2018</v>
      </c>
      <c r="K299" s="199">
        <f t="shared" si="97"/>
        <v>43385</v>
      </c>
      <c r="L299" s="437">
        <f t="shared" si="98"/>
        <v>1.6741617069245818E-3</v>
      </c>
      <c r="M299" s="881"/>
      <c r="N299" s="881"/>
      <c r="O299" s="326">
        <f t="shared" si="99"/>
        <v>1.7088763096836049E-2</v>
      </c>
      <c r="P299" s="171">
        <f>(INDEX(Models!$BJ299:$BT299,,T299)*(1-R299)+INDEX(Models!$BJ299:$BT299,,T299+1)*R299-ERP_i)*Q299*Ramure*Pc/MaxiM</f>
        <v>1.732737216188177E-3</v>
      </c>
      <c r="Q299" s="307">
        <f t="shared" si="100"/>
        <v>1</v>
      </c>
      <c r="R299" s="179">
        <f t="shared" si="101"/>
        <v>0.8957412668131397</v>
      </c>
      <c r="S299" s="837">
        <f t="shared" si="118"/>
        <v>-3</v>
      </c>
      <c r="T299" s="178">
        <f t="shared" si="102"/>
        <v>3</v>
      </c>
      <c r="U299" s="253">
        <f t="shared" si="103"/>
        <v>-2.1042587331868603</v>
      </c>
      <c r="V299" s="385">
        <f t="shared" si="104"/>
        <v>33.964165704429178</v>
      </c>
      <c r="W299" s="58"/>
      <c r="X299" s="157">
        <f t="shared" si="105"/>
        <v>43385</v>
      </c>
      <c r="Y299" s="387">
        <f t="shared" si="106"/>
        <v>30.405999999999999</v>
      </c>
      <c r="Z299" s="387">
        <f t="shared" si="107"/>
        <v>30.456989926242702</v>
      </c>
      <c r="AA299" s="388">
        <f t="shared" si="108"/>
        <v>30.986511073169584</v>
      </c>
      <c r="AB299" s="199">
        <f t="shared" si="109"/>
        <v>43385</v>
      </c>
      <c r="AC299" s="426">
        <f t="shared" si="110"/>
        <v>1.7088763096836049E-2</v>
      </c>
      <c r="AD299" s="171">
        <f>(INDEX(Models!$BJ299:$BT299,,AH299)*(1-AF299)+INDEX(Models!$BJ299:$BT299,,AH299+1)*AF299-ERP_i)*AE299*Ramure*Pc/MaxiM</f>
        <v>1.732737216188177E-3</v>
      </c>
      <c r="AE299" s="307">
        <f t="shared" si="111"/>
        <v>1</v>
      </c>
      <c r="AF299" s="179">
        <f t="shared" si="112"/>
        <v>0.8957412668131397</v>
      </c>
      <c r="AG299" s="837">
        <f t="shared" si="113"/>
        <v>-3</v>
      </c>
      <c r="AH299" s="178">
        <f t="shared" si="114"/>
        <v>3</v>
      </c>
      <c r="AI299" s="227">
        <f t="shared" si="115"/>
        <v>-2.1042587331868603</v>
      </c>
      <c r="AJ299" s="267" t="b">
        <f t="shared" si="116"/>
        <v>0</v>
      </c>
      <c r="AK299" s="267" t="b">
        <f t="shared" si="117"/>
        <v>0</v>
      </c>
      <c r="AL299" s="267"/>
      <c r="AM299" s="267"/>
      <c r="AN299" s="75"/>
    </row>
    <row r="300" spans="1:40" s="6" customFormat="1" ht="11.25" customHeight="1" x14ac:dyDescent="0.2">
      <c r="A300" s="56">
        <f t="shared" si="119"/>
        <v>43386</v>
      </c>
      <c r="B300" s="618">
        <v>23.381</v>
      </c>
      <c r="C300" s="392"/>
      <c r="D300" s="395">
        <f t="shared" si="120"/>
        <v>23.420754252606979</v>
      </c>
      <c r="E300" s="387">
        <f t="shared" si="124"/>
        <v>23.833038295777715</v>
      </c>
      <c r="F300" s="387">
        <f t="shared" si="123"/>
        <v>23.856390051276495</v>
      </c>
      <c r="G300" s="110">
        <f t="shared" si="125"/>
        <v>0.69676754772954397</v>
      </c>
      <c r="I300" s="382">
        <f t="shared" si="96"/>
        <v>23.856390051276495</v>
      </c>
      <c r="J300" s="85">
        <v>2018</v>
      </c>
      <c r="K300" s="199">
        <f t="shared" si="97"/>
        <v>43386</v>
      </c>
      <c r="L300" s="437">
        <f t="shared" si="98"/>
        <v>1.6973942076418114E-3</v>
      </c>
      <c r="M300" s="881"/>
      <c r="N300" s="881"/>
      <c r="O300" s="326">
        <f t="shared" si="99"/>
        <v>1.7298845327822766E-2</v>
      </c>
      <c r="P300" s="171">
        <f>(INDEX(Models!$BJ300:$BT300,,T300)*(1-R300)+INDEX(Models!$BJ300:$BT300,,T300+1)*R300-ERP_i)*Q300*Ramure*Pc/MaxiM</f>
        <v>1.724675029328638E-3</v>
      </c>
      <c r="Q300" s="307">
        <f t="shared" si="100"/>
        <v>1</v>
      </c>
      <c r="R300" s="179">
        <f t="shared" si="101"/>
        <v>0.89591204767457189</v>
      </c>
      <c r="S300" s="837">
        <f t="shared" si="118"/>
        <v>-3</v>
      </c>
      <c r="T300" s="178">
        <f t="shared" si="102"/>
        <v>3</v>
      </c>
      <c r="U300" s="253">
        <f t="shared" si="103"/>
        <v>-2.1040879523254281</v>
      </c>
      <c r="V300" s="385">
        <f t="shared" si="104"/>
        <v>33.531333060202186</v>
      </c>
      <c r="W300" s="58"/>
      <c r="X300" s="157">
        <f t="shared" si="105"/>
        <v>43386</v>
      </c>
      <c r="Y300" s="387">
        <f t="shared" si="106"/>
        <v>23.381</v>
      </c>
      <c r="Z300" s="387">
        <f t="shared" si="107"/>
        <v>23.420754252606979</v>
      </c>
      <c r="AA300" s="388">
        <f t="shared" si="108"/>
        <v>23.833038295777715</v>
      </c>
      <c r="AB300" s="199">
        <f t="shared" si="109"/>
        <v>43386</v>
      </c>
      <c r="AC300" s="426">
        <f t="shared" si="110"/>
        <v>1.7298845327822766E-2</v>
      </c>
      <c r="AD300" s="171">
        <f>(INDEX(Models!$BJ300:$BT300,,AH300)*(1-AF300)+INDEX(Models!$BJ300:$BT300,,AH300+1)*AF300-ERP_i)*AE300*Ramure*Pc/MaxiM</f>
        <v>1.724675029328638E-3</v>
      </c>
      <c r="AE300" s="307">
        <f t="shared" si="111"/>
        <v>1</v>
      </c>
      <c r="AF300" s="179">
        <f t="shared" si="112"/>
        <v>0.89591204767457189</v>
      </c>
      <c r="AG300" s="837">
        <f t="shared" si="113"/>
        <v>-3</v>
      </c>
      <c r="AH300" s="178">
        <f t="shared" si="114"/>
        <v>3</v>
      </c>
      <c r="AI300" s="227">
        <f t="shared" si="115"/>
        <v>-2.1040879523254281</v>
      </c>
      <c r="AJ300" s="267" t="b">
        <f t="shared" si="116"/>
        <v>0</v>
      </c>
      <c r="AK300" s="267" t="b">
        <f t="shared" si="117"/>
        <v>0</v>
      </c>
      <c r="AL300" s="267"/>
      <c r="AM300" s="267"/>
      <c r="AN300" s="75"/>
    </row>
    <row r="301" spans="1:40" s="6" customFormat="1" ht="11.25" customHeight="1" x14ac:dyDescent="0.2">
      <c r="A301" s="56">
        <f t="shared" si="119"/>
        <v>43387</v>
      </c>
      <c r="B301" s="618">
        <v>30.224</v>
      </c>
      <c r="C301" s="392"/>
      <c r="D301" s="395">
        <f t="shared" si="120"/>
        <v>30.276093839315816</v>
      </c>
      <c r="E301" s="387">
        <f t="shared" si="124"/>
        <v>30.815605710671534</v>
      </c>
      <c r="F301" s="387">
        <f t="shared" si="123"/>
        <v>30.861969541361116</v>
      </c>
      <c r="G301" s="110">
        <f t="shared" si="125"/>
        <v>0.91271261061294118</v>
      </c>
      <c r="I301" s="382">
        <f t="shared" si="96"/>
        <v>30.861969541361116</v>
      </c>
      <c r="J301" s="85">
        <v>2018</v>
      </c>
      <c r="K301" s="199">
        <f t="shared" si="97"/>
        <v>43387</v>
      </c>
      <c r="L301" s="437">
        <f t="shared" si="98"/>
        <v>1.7206261677048529E-3</v>
      </c>
      <c r="M301" s="881"/>
      <c r="N301" s="881"/>
      <c r="O301" s="326">
        <f t="shared" si="99"/>
        <v>1.7507748392850336E-2</v>
      </c>
      <c r="P301" s="171">
        <f>(INDEX(Models!$BJ301:$BT301,,T301)*(1-R301)+INDEX(Models!$BJ301:$BT301,,T301+1)*R301-ERP_i)*Q301*Ramure*Pc/MaxiM</f>
        <v>1.7157680493226355E-3</v>
      </c>
      <c r="Q301" s="307">
        <f t="shared" si="100"/>
        <v>1</v>
      </c>
      <c r="R301" s="179">
        <f t="shared" si="101"/>
        <v>0.89607603113166467</v>
      </c>
      <c r="S301" s="837">
        <f t="shared" si="118"/>
        <v>-3</v>
      </c>
      <c r="T301" s="178">
        <f t="shared" si="102"/>
        <v>3</v>
      </c>
      <c r="U301" s="253">
        <f t="shared" si="103"/>
        <v>-2.1039239688683353</v>
      </c>
      <c r="V301" s="385">
        <f t="shared" si="104"/>
        <v>33.107396544112916</v>
      </c>
      <c r="W301" s="58"/>
      <c r="X301" s="157">
        <f t="shared" si="105"/>
        <v>43387</v>
      </c>
      <c r="Y301" s="387">
        <f t="shared" si="106"/>
        <v>30.224</v>
      </c>
      <c r="Z301" s="387">
        <f t="shared" si="107"/>
        <v>30.276093839315816</v>
      </c>
      <c r="AA301" s="388">
        <f t="shared" si="108"/>
        <v>30.815605710671534</v>
      </c>
      <c r="AB301" s="199">
        <f t="shared" si="109"/>
        <v>43387</v>
      </c>
      <c r="AC301" s="426">
        <f t="shared" si="110"/>
        <v>1.7507748392850336E-2</v>
      </c>
      <c r="AD301" s="171">
        <f>(INDEX(Models!$BJ301:$BT301,,AH301)*(1-AF301)+INDEX(Models!$BJ301:$BT301,,AH301+1)*AF301-ERP_i)*AE301*Ramure*Pc/MaxiM</f>
        <v>1.7157680493226355E-3</v>
      </c>
      <c r="AE301" s="307">
        <f t="shared" si="111"/>
        <v>1</v>
      </c>
      <c r="AF301" s="179">
        <f t="shared" si="112"/>
        <v>0.89607603113166467</v>
      </c>
      <c r="AG301" s="837">
        <f t="shared" si="113"/>
        <v>-3</v>
      </c>
      <c r="AH301" s="178">
        <f t="shared" si="114"/>
        <v>3</v>
      </c>
      <c r="AI301" s="227">
        <f t="shared" si="115"/>
        <v>-2.1039239688683353</v>
      </c>
      <c r="AJ301" s="267" t="b">
        <f t="shared" si="116"/>
        <v>0</v>
      </c>
      <c r="AK301" s="267" t="b">
        <f t="shared" si="117"/>
        <v>0</v>
      </c>
      <c r="AL301" s="267"/>
      <c r="AM301" s="267"/>
      <c r="AN301" s="75"/>
    </row>
    <row r="302" spans="1:40" s="6" customFormat="1" ht="11.25" customHeight="1" x14ac:dyDescent="0.2">
      <c r="A302" s="56">
        <f t="shared" si="119"/>
        <v>43388</v>
      </c>
      <c r="B302" s="618">
        <v>11.084</v>
      </c>
      <c r="C302" s="392"/>
      <c r="D302" s="395">
        <f t="shared" si="120"/>
        <v>11.103362683257814</v>
      </c>
      <c r="E302" s="387">
        <f t="shared" si="124"/>
        <v>11.303611414119823</v>
      </c>
      <c r="F302" s="387">
        <f t="shared" si="123"/>
        <v>11.3046866397447</v>
      </c>
      <c r="G302" s="110">
        <f t="shared" si="125"/>
        <v>0.33848191338055</v>
      </c>
      <c r="I302" s="382">
        <f t="shared" si="96"/>
        <v>11.3046866397447</v>
      </c>
      <c r="J302" s="85">
        <v>2018</v>
      </c>
      <c r="K302" s="199">
        <f t="shared" si="97"/>
        <v>43388</v>
      </c>
      <c r="L302" s="437">
        <f t="shared" si="98"/>
        <v>1.7438575871262518E-3</v>
      </c>
      <c r="M302" s="881"/>
      <c r="N302" s="881"/>
      <c r="O302" s="326">
        <f t="shared" si="99"/>
        <v>1.7715464865668596E-2</v>
      </c>
      <c r="P302" s="171">
        <f>(INDEX(Models!$BJ302:$BT302,,T302)*(1-R302)+INDEX(Models!$BJ302:$BT302,,T302+1)*R302-ERP_i)*Q302*Ramure*Pc/MaxiM</f>
        <v>1.7059329145157182E-3</v>
      </c>
      <c r="Q302" s="307">
        <f t="shared" si="100"/>
        <v>1</v>
      </c>
      <c r="R302" s="179">
        <f t="shared" si="101"/>
        <v>0.89623348470677744</v>
      </c>
      <c r="S302" s="837">
        <f t="shared" si="118"/>
        <v>-3</v>
      </c>
      <c r="T302" s="178">
        <f t="shared" si="102"/>
        <v>3</v>
      </c>
      <c r="U302" s="253">
        <f t="shared" si="103"/>
        <v>-2.1037665152932226</v>
      </c>
      <c r="V302" s="385">
        <f t="shared" si="104"/>
        <v>32.69345728434245</v>
      </c>
      <c r="W302" s="58"/>
      <c r="X302" s="157">
        <f t="shared" si="105"/>
        <v>43388</v>
      </c>
      <c r="Y302" s="387">
        <f t="shared" si="106"/>
        <v>11.084</v>
      </c>
      <c r="Z302" s="387">
        <f t="shared" si="107"/>
        <v>11.103362683257814</v>
      </c>
      <c r="AA302" s="388">
        <f t="shared" si="108"/>
        <v>11.303611414119823</v>
      </c>
      <c r="AB302" s="199">
        <f t="shared" si="109"/>
        <v>43388</v>
      </c>
      <c r="AC302" s="426">
        <f t="shared" si="110"/>
        <v>1.7715464865668596E-2</v>
      </c>
      <c r="AD302" s="171">
        <f>(INDEX(Models!$BJ302:$BT302,,AH302)*(1-AF302)+INDEX(Models!$BJ302:$BT302,,AH302+1)*AF302-ERP_i)*AE302*Ramure*Pc/MaxiM</f>
        <v>1.7059329145157182E-3</v>
      </c>
      <c r="AE302" s="307">
        <f t="shared" si="111"/>
        <v>1</v>
      </c>
      <c r="AF302" s="179">
        <f t="shared" si="112"/>
        <v>0.89623348470677744</v>
      </c>
      <c r="AG302" s="837">
        <f t="shared" si="113"/>
        <v>-3</v>
      </c>
      <c r="AH302" s="178">
        <f t="shared" si="114"/>
        <v>3</v>
      </c>
      <c r="AI302" s="227">
        <f t="shared" si="115"/>
        <v>-2.1037665152932226</v>
      </c>
      <c r="AJ302" s="267" t="b">
        <f t="shared" si="116"/>
        <v>0</v>
      </c>
      <c r="AK302" s="267" t="b">
        <f t="shared" si="117"/>
        <v>0</v>
      </c>
      <c r="AL302" s="267"/>
      <c r="AM302" s="267"/>
      <c r="AN302" s="75"/>
    </row>
    <row r="303" spans="1:40" s="6" customFormat="1" ht="11.25" customHeight="1" x14ac:dyDescent="0.2">
      <c r="A303" s="56">
        <f t="shared" si="119"/>
        <v>43389</v>
      </c>
      <c r="B303" s="618">
        <v>20.001000000000001</v>
      </c>
      <c r="C303" s="392"/>
      <c r="D303" s="395">
        <f t="shared" si="120"/>
        <v>20.036406102121521</v>
      </c>
      <c r="E303" s="387">
        <f t="shared" si="124"/>
        <v>20.402051456257791</v>
      </c>
      <c r="F303" s="387">
        <f t="shared" si="123"/>
        <v>20.41784674005735</v>
      </c>
      <c r="G303" s="110">
        <f t="shared" si="125"/>
        <v>0.61887398645714831</v>
      </c>
      <c r="I303" s="382">
        <f t="shared" si="96"/>
        <v>20.41784674005735</v>
      </c>
      <c r="J303" s="85">
        <v>2018</v>
      </c>
      <c r="K303" s="199">
        <f t="shared" si="97"/>
        <v>43389</v>
      </c>
      <c r="L303" s="437">
        <f t="shared" si="98"/>
        <v>1.7670884659185537E-3</v>
      </c>
      <c r="M303" s="881"/>
      <c r="N303" s="881"/>
      <c r="O303" s="326">
        <f t="shared" si="99"/>
        <v>1.7921989605810772E-2</v>
      </c>
      <c r="P303" s="171">
        <f>(INDEX(Models!$BJ303:$BT303,,T303)*(1-R303)+INDEX(Models!$BJ303:$BT303,,T303+1)*R303-ERP_i)*Q303*Ramure*Pc/MaxiM</f>
        <v>1.6951925162342295E-3</v>
      </c>
      <c r="Q303" s="307">
        <f t="shared" si="100"/>
        <v>1</v>
      </c>
      <c r="R303" s="179">
        <f t="shared" si="101"/>
        <v>0.89638466563126329</v>
      </c>
      <c r="S303" s="837">
        <f t="shared" si="118"/>
        <v>-3</v>
      </c>
      <c r="T303" s="178">
        <f t="shared" si="102"/>
        <v>3</v>
      </c>
      <c r="U303" s="253">
        <f t="shared" si="103"/>
        <v>-2.1036153343687367</v>
      </c>
      <c r="V303" s="385">
        <f t="shared" si="104"/>
        <v>32.288565090016803</v>
      </c>
      <c r="W303" s="58"/>
      <c r="X303" s="157">
        <f t="shared" si="105"/>
        <v>43389</v>
      </c>
      <c r="Y303" s="387">
        <f t="shared" si="106"/>
        <v>20.001000000000001</v>
      </c>
      <c r="Z303" s="387">
        <f t="shared" si="107"/>
        <v>20.036406102121521</v>
      </c>
      <c r="AA303" s="388">
        <f t="shared" si="108"/>
        <v>20.402051456257791</v>
      </c>
      <c r="AB303" s="199">
        <f t="shared" si="109"/>
        <v>43389</v>
      </c>
      <c r="AC303" s="426">
        <f t="shared" si="110"/>
        <v>1.7921989605810772E-2</v>
      </c>
      <c r="AD303" s="171">
        <f>(INDEX(Models!$BJ303:$BT303,,AH303)*(1-AF303)+INDEX(Models!$BJ303:$BT303,,AH303+1)*AF303-ERP_i)*AE303*Ramure*Pc/MaxiM</f>
        <v>1.6951925162342295E-3</v>
      </c>
      <c r="AE303" s="307">
        <f t="shared" si="111"/>
        <v>1</v>
      </c>
      <c r="AF303" s="179">
        <f t="shared" si="112"/>
        <v>0.89638466563126329</v>
      </c>
      <c r="AG303" s="837">
        <f t="shared" si="113"/>
        <v>-3</v>
      </c>
      <c r="AH303" s="178">
        <f t="shared" si="114"/>
        <v>3</v>
      </c>
      <c r="AI303" s="227">
        <f t="shared" si="115"/>
        <v>-2.1036153343687367</v>
      </c>
      <c r="AJ303" s="267" t="b">
        <f t="shared" si="116"/>
        <v>0</v>
      </c>
      <c r="AK303" s="267" t="b">
        <f t="shared" si="117"/>
        <v>0</v>
      </c>
      <c r="AL303" s="267"/>
      <c r="AM303" s="267"/>
      <c r="AN303" s="75"/>
    </row>
    <row r="304" spans="1:40" s="6" customFormat="1" ht="11.25" customHeight="1" x14ac:dyDescent="0.2">
      <c r="A304" s="56">
        <f t="shared" si="119"/>
        <v>43390</v>
      </c>
      <c r="B304" s="618">
        <v>21.099</v>
      </c>
      <c r="C304" s="392"/>
      <c r="D304" s="395">
        <f t="shared" si="120"/>
        <v>21.136841685128051</v>
      </c>
      <c r="E304" s="387">
        <f t="shared" si="124"/>
        <v>21.527069764963763</v>
      </c>
      <c r="F304" s="387">
        <f t="shared" si="123"/>
        <v>21.545858214581099</v>
      </c>
      <c r="G304" s="110">
        <f t="shared" si="125"/>
        <v>0.66106382527540497</v>
      </c>
      <c r="I304" s="382">
        <f t="shared" si="96"/>
        <v>21.545858214581099</v>
      </c>
      <c r="J304" s="85">
        <v>2018</v>
      </c>
      <c r="K304" s="199">
        <f t="shared" si="97"/>
        <v>43390</v>
      </c>
      <c r="L304" s="437">
        <f t="shared" si="98"/>
        <v>1.7903188040944151E-3</v>
      </c>
      <c r="M304" s="881"/>
      <c r="N304" s="881"/>
      <c r="O304" s="326">
        <f t="shared" si="99"/>
        <v>1.8127319885905973E-2</v>
      </c>
      <c r="P304" s="171">
        <f>(INDEX(Models!$BJ304:$BT304,,T304)*(1-R304)+INDEX(Models!$BJ304:$BT304,,T304+1)*R304-ERP_i)*Q304*Ramure*Pc/MaxiM</f>
        <v>1.6880749284517286E-3</v>
      </c>
      <c r="Q304" s="307">
        <f t="shared" si="100"/>
        <v>1</v>
      </c>
      <c r="R304" s="179">
        <f t="shared" si="101"/>
        <v>0.89652982122260605</v>
      </c>
      <c r="S304" s="837">
        <f t="shared" si="118"/>
        <v>-3</v>
      </c>
      <c r="T304" s="178">
        <f t="shared" si="102"/>
        <v>3</v>
      </c>
      <c r="U304" s="253">
        <f t="shared" si="103"/>
        <v>-2.103470178777394</v>
      </c>
      <c r="V304" s="385">
        <f t="shared" si="104"/>
        <v>31.890668121941754</v>
      </c>
      <c r="W304" s="58"/>
      <c r="X304" s="157">
        <f t="shared" si="105"/>
        <v>43390</v>
      </c>
      <c r="Y304" s="387">
        <f t="shared" si="106"/>
        <v>21.099</v>
      </c>
      <c r="Z304" s="387">
        <f t="shared" si="107"/>
        <v>21.136841685128051</v>
      </c>
      <c r="AA304" s="388">
        <f t="shared" si="108"/>
        <v>21.527069764963763</v>
      </c>
      <c r="AB304" s="199">
        <f t="shared" si="109"/>
        <v>43390</v>
      </c>
      <c r="AC304" s="426">
        <f t="shared" si="110"/>
        <v>1.8127319885905973E-2</v>
      </c>
      <c r="AD304" s="171">
        <f>(INDEX(Models!$BJ304:$BT304,,AH304)*(1-AF304)+INDEX(Models!$BJ304:$BT304,,AH304+1)*AF304-ERP_i)*AE304*Ramure*Pc/MaxiM</f>
        <v>1.6880749284517286E-3</v>
      </c>
      <c r="AE304" s="307">
        <f t="shared" si="111"/>
        <v>1</v>
      </c>
      <c r="AF304" s="179">
        <f t="shared" si="112"/>
        <v>0.89652982122260605</v>
      </c>
      <c r="AG304" s="837">
        <f t="shared" si="113"/>
        <v>-3</v>
      </c>
      <c r="AH304" s="178">
        <f t="shared" si="114"/>
        <v>3</v>
      </c>
      <c r="AI304" s="227">
        <f t="shared" si="115"/>
        <v>-2.103470178777394</v>
      </c>
      <c r="AJ304" s="267" t="b">
        <f t="shared" si="116"/>
        <v>0</v>
      </c>
      <c r="AK304" s="267" t="b">
        <f t="shared" si="117"/>
        <v>0</v>
      </c>
      <c r="AL304" s="267"/>
      <c r="AM304" s="267"/>
      <c r="AN304" s="75"/>
    </row>
    <row r="305" spans="1:40" s="6" customFormat="1" ht="11.25" customHeight="1" x14ac:dyDescent="0.2">
      <c r="A305" s="56">
        <f t="shared" si="119"/>
        <v>43391</v>
      </c>
      <c r="B305" s="618">
        <v>9.6959999999999997</v>
      </c>
      <c r="C305" s="392"/>
      <c r="D305" s="395">
        <f t="shared" si="120"/>
        <v>9.7136161149223401</v>
      </c>
      <c r="E305" s="387">
        <f t="shared" si="124"/>
        <v>9.8950059767456207</v>
      </c>
      <c r="F305" s="387">
        <f t="shared" si="123"/>
        <v>9.8951921399016864</v>
      </c>
      <c r="G305" s="110">
        <f t="shared" si="125"/>
        <v>0.3073023080362563</v>
      </c>
      <c r="I305" s="382">
        <f t="shared" si="96"/>
        <v>9.8951921399016864</v>
      </c>
      <c r="J305" s="85">
        <v>2018</v>
      </c>
      <c r="K305" s="199">
        <f t="shared" si="97"/>
        <v>43391</v>
      </c>
      <c r="L305" s="437">
        <f t="shared" si="98"/>
        <v>1.8135486016662705E-3</v>
      </c>
      <c r="M305" s="881"/>
      <c r="N305" s="881"/>
      <c r="O305" s="326">
        <f t="shared" si="99"/>
        <v>1.8331455508927178E-2</v>
      </c>
      <c r="P305" s="171">
        <f>(INDEX(Models!$BJ305:$BT305,,T305)*(1-R305)+INDEX(Models!$BJ305:$BT305,,T305+1)*R305-ERP_i)*Q305*Ramure*Pc/MaxiM</f>
        <v>1.6851011609622568E-3</v>
      </c>
      <c r="Q305" s="307">
        <f t="shared" si="100"/>
        <v>1</v>
      </c>
      <c r="R305" s="179">
        <f t="shared" si="101"/>
        <v>0.89666918924922268</v>
      </c>
      <c r="S305" s="837">
        <f t="shared" si="118"/>
        <v>-3</v>
      </c>
      <c r="T305" s="178">
        <f t="shared" si="102"/>
        <v>3</v>
      </c>
      <c r="U305" s="253">
        <f t="shared" si="103"/>
        <v>-2.1033308107507773</v>
      </c>
      <c r="V305" s="385">
        <f t="shared" si="104"/>
        <v>31.499416430332026</v>
      </c>
      <c r="W305" s="58"/>
      <c r="X305" s="157">
        <f t="shared" si="105"/>
        <v>43391</v>
      </c>
      <c r="Y305" s="387">
        <f t="shared" si="106"/>
        <v>9.6959999999999997</v>
      </c>
      <c r="Z305" s="387">
        <f t="shared" si="107"/>
        <v>9.7136161149223401</v>
      </c>
      <c r="AA305" s="388">
        <f t="shared" si="108"/>
        <v>9.8950059767456207</v>
      </c>
      <c r="AB305" s="199">
        <f t="shared" si="109"/>
        <v>43391</v>
      </c>
      <c r="AC305" s="426">
        <f t="shared" si="110"/>
        <v>1.8331455508927178E-2</v>
      </c>
      <c r="AD305" s="171">
        <f>(INDEX(Models!$BJ305:$BT305,,AH305)*(1-AF305)+INDEX(Models!$BJ305:$BT305,,AH305+1)*AF305-ERP_i)*AE305*Ramure*Pc/MaxiM</f>
        <v>1.6851011609622568E-3</v>
      </c>
      <c r="AE305" s="307">
        <f t="shared" si="111"/>
        <v>1</v>
      </c>
      <c r="AF305" s="179">
        <f t="shared" si="112"/>
        <v>0.89666918924922268</v>
      </c>
      <c r="AG305" s="837">
        <f t="shared" si="113"/>
        <v>-3</v>
      </c>
      <c r="AH305" s="178">
        <f t="shared" si="114"/>
        <v>3</v>
      </c>
      <c r="AI305" s="227">
        <f t="shared" si="115"/>
        <v>-2.1033308107507773</v>
      </c>
      <c r="AJ305" s="267" t="b">
        <f t="shared" si="116"/>
        <v>0</v>
      </c>
      <c r="AK305" s="267" t="b">
        <f t="shared" si="117"/>
        <v>0</v>
      </c>
      <c r="AL305" s="267"/>
      <c r="AM305" s="267"/>
      <c r="AN305" s="75"/>
    </row>
    <row r="306" spans="1:40" s="6" customFormat="1" ht="11.25" customHeight="1" x14ac:dyDescent="0.2">
      <c r="A306" s="56">
        <f t="shared" si="119"/>
        <v>43392</v>
      </c>
      <c r="B306" s="618">
        <v>20.974</v>
      </c>
      <c r="C306" s="392"/>
      <c r="D306" s="395">
        <f t="shared" si="120"/>
        <v>21.012595470112206</v>
      </c>
      <c r="E306" s="387">
        <f t="shared" si="124"/>
        <v>21.409405940323104</v>
      </c>
      <c r="F306" s="387">
        <f t="shared" si="123"/>
        <v>21.428718976411989</v>
      </c>
      <c r="G306" s="110">
        <f t="shared" si="125"/>
        <v>0.67356171087393912</v>
      </c>
      <c r="I306" s="382">
        <f t="shared" si="96"/>
        <v>21.428718976411989</v>
      </c>
      <c r="J306" s="85">
        <v>2018</v>
      </c>
      <c r="K306" s="199">
        <f t="shared" si="97"/>
        <v>43392</v>
      </c>
      <c r="L306" s="437">
        <f t="shared" si="98"/>
        <v>1.8367778586468875E-3</v>
      </c>
      <c r="M306" s="881"/>
      <c r="N306" s="881"/>
      <c r="O306" s="326">
        <f t="shared" si="99"/>
        <v>1.8534398914055478E-2</v>
      </c>
      <c r="P306" s="171">
        <f>(INDEX(Models!$BJ306:$BT306,,T306)*(1-R306)+INDEX(Models!$BJ306:$BT306,,T306+1)*R306-ERP_i)*Q306*Ramure*Pc/MaxiM</f>
        <v>1.6864542768343501E-3</v>
      </c>
      <c r="Q306" s="307">
        <f t="shared" si="100"/>
        <v>1</v>
      </c>
      <c r="R306" s="179">
        <f t="shared" si="101"/>
        <v>0.89680299828322507</v>
      </c>
      <c r="S306" s="837">
        <f t="shared" si="118"/>
        <v>-3</v>
      </c>
      <c r="T306" s="178">
        <f t="shared" si="102"/>
        <v>3</v>
      </c>
      <c r="U306" s="253">
        <f t="shared" si="103"/>
        <v>-2.1031970017167749</v>
      </c>
      <c r="V306" s="385">
        <f t="shared" si="104"/>
        <v>31.114471511372489</v>
      </c>
      <c r="W306" s="58"/>
      <c r="X306" s="157">
        <f t="shared" si="105"/>
        <v>43392</v>
      </c>
      <c r="Y306" s="387">
        <f t="shared" si="106"/>
        <v>20.974</v>
      </c>
      <c r="Z306" s="387">
        <f t="shared" si="107"/>
        <v>21.012595470112206</v>
      </c>
      <c r="AA306" s="388">
        <f t="shared" si="108"/>
        <v>21.409405940323104</v>
      </c>
      <c r="AB306" s="199">
        <f t="shared" si="109"/>
        <v>43392</v>
      </c>
      <c r="AC306" s="426">
        <f t="shared" si="110"/>
        <v>1.8534398914055478E-2</v>
      </c>
      <c r="AD306" s="171">
        <f>(INDEX(Models!$BJ306:$BT306,,AH306)*(1-AF306)+INDEX(Models!$BJ306:$BT306,,AH306+1)*AF306-ERP_i)*AE306*Ramure*Pc/MaxiM</f>
        <v>1.6864542768343501E-3</v>
      </c>
      <c r="AE306" s="307">
        <f t="shared" si="111"/>
        <v>1</v>
      </c>
      <c r="AF306" s="179">
        <f t="shared" si="112"/>
        <v>0.89680299828322507</v>
      </c>
      <c r="AG306" s="837">
        <f t="shared" si="113"/>
        <v>-3</v>
      </c>
      <c r="AH306" s="178">
        <f t="shared" si="114"/>
        <v>3</v>
      </c>
      <c r="AI306" s="227">
        <f t="shared" si="115"/>
        <v>-2.1031970017167749</v>
      </c>
      <c r="AJ306" s="267" t="b">
        <f t="shared" si="116"/>
        <v>0</v>
      </c>
      <c r="AK306" s="267" t="b">
        <f t="shared" si="117"/>
        <v>0</v>
      </c>
      <c r="AL306" s="267"/>
      <c r="AM306" s="267"/>
      <c r="AN306" s="75"/>
    </row>
    <row r="307" spans="1:40" s="6" customFormat="1" ht="11.25" customHeight="1" x14ac:dyDescent="0.2">
      <c r="A307" s="56">
        <f t="shared" si="119"/>
        <v>43393</v>
      </c>
      <c r="B307" s="618">
        <v>12.381</v>
      </c>
      <c r="C307" s="392"/>
      <c r="D307" s="395">
        <f t="shared" si="120"/>
        <v>12.40407165483537</v>
      </c>
      <c r="E307" s="387">
        <f t="shared" si="124"/>
        <v>12.640913778135957</v>
      </c>
      <c r="F307" s="387">
        <f t="shared" si="123"/>
        <v>12.644056936364512</v>
      </c>
      <c r="G307" s="110">
        <f t="shared" si="125"/>
        <v>0.40224244434819428</v>
      </c>
      <c r="I307" s="382">
        <f t="shared" si="96"/>
        <v>12.644056936364512</v>
      </c>
      <c r="J307" s="85">
        <v>2018</v>
      </c>
      <c r="K307" s="199">
        <f t="shared" si="97"/>
        <v>43393</v>
      </c>
      <c r="L307" s="437">
        <f t="shared" si="98"/>
        <v>1.8600065750488115E-3</v>
      </c>
      <c r="M307" s="881"/>
      <c r="N307" s="881"/>
      <c r="O307" s="326">
        <f t="shared" si="99"/>
        <v>1.8736155269901068E-2</v>
      </c>
      <c r="P307" s="171">
        <f>(INDEX(Models!$BJ307:$BT307,,T307)*(1-R307)+INDEX(Models!$BJ307:$BT307,,T307+1)*R307-ERP_i)*Q307*Ramure*Pc/MaxiM</f>
        <v>1.692320726283027E-3</v>
      </c>
      <c r="Q307" s="307">
        <f t="shared" si="100"/>
        <v>1</v>
      </c>
      <c r="R307" s="179">
        <f t="shared" si="101"/>
        <v>0.89693146804141577</v>
      </c>
      <c r="S307" s="837">
        <f t="shared" si="118"/>
        <v>-3</v>
      </c>
      <c r="T307" s="178">
        <f t="shared" si="102"/>
        <v>3</v>
      </c>
      <c r="U307" s="253">
        <f t="shared" si="103"/>
        <v>-2.1030685319585842</v>
      </c>
      <c r="V307" s="385">
        <f t="shared" si="104"/>
        <v>30.735495151512662</v>
      </c>
      <c r="W307" s="58"/>
      <c r="X307" s="157">
        <f t="shared" si="105"/>
        <v>43393</v>
      </c>
      <c r="Y307" s="387">
        <f t="shared" si="106"/>
        <v>12.381</v>
      </c>
      <c r="Z307" s="387">
        <f t="shared" si="107"/>
        <v>12.40407165483537</v>
      </c>
      <c r="AA307" s="388">
        <f t="shared" si="108"/>
        <v>12.640913778135957</v>
      </c>
      <c r="AB307" s="199">
        <f t="shared" si="109"/>
        <v>43393</v>
      </c>
      <c r="AC307" s="426">
        <f t="shared" si="110"/>
        <v>1.8736155269901068E-2</v>
      </c>
      <c r="AD307" s="171">
        <f>(INDEX(Models!$BJ307:$BT307,,AH307)*(1-AF307)+INDEX(Models!$BJ307:$BT307,,AH307+1)*AF307-ERP_i)*AE307*Ramure*Pc/MaxiM</f>
        <v>1.692320726283027E-3</v>
      </c>
      <c r="AE307" s="307">
        <f t="shared" si="111"/>
        <v>1</v>
      </c>
      <c r="AF307" s="179">
        <f t="shared" si="112"/>
        <v>0.89693146804141577</v>
      </c>
      <c r="AG307" s="837">
        <f t="shared" si="113"/>
        <v>-3</v>
      </c>
      <c r="AH307" s="178">
        <f t="shared" si="114"/>
        <v>3</v>
      </c>
      <c r="AI307" s="227">
        <f t="shared" si="115"/>
        <v>-2.1030685319585842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customHeight="1" x14ac:dyDescent="0.2">
      <c r="A308" s="56">
        <f t="shared" si="119"/>
        <v>43394</v>
      </c>
      <c r="B308" s="618">
        <v>16.425000000000001</v>
      </c>
      <c r="C308" s="392"/>
      <c r="D308" s="395">
        <f t="shared" si="120"/>
        <v>16.455990493156939</v>
      </c>
      <c r="E308" s="387">
        <f t="shared" si="124"/>
        <v>16.773628204422511</v>
      </c>
      <c r="F308" s="387">
        <f t="shared" si="123"/>
        <v>16.783466789763448</v>
      </c>
      <c r="G308" s="110">
        <f t="shared" si="125"/>
        <v>0.54036515956542597</v>
      </c>
      <c r="I308" s="382">
        <f t="shared" si="96"/>
        <v>16.783466789763448</v>
      </c>
      <c r="J308" s="85">
        <v>2018</v>
      </c>
      <c r="K308" s="199">
        <f t="shared" si="97"/>
        <v>43394</v>
      </c>
      <c r="L308" s="437">
        <f t="shared" si="98"/>
        <v>1.8832347508844771E-3</v>
      </c>
      <c r="M308" s="881"/>
      <c r="N308" s="881"/>
      <c r="O308" s="326">
        <f t="shared" si="99"/>
        <v>1.8936732553892298E-2</v>
      </c>
      <c r="P308" s="171">
        <f>(INDEX(Models!$BJ308:$BT308,,T308)*(1-R308)+INDEX(Models!$BJ308:$BT308,,T308+1)*R308-ERP_i)*Q308*Ramure*Pc/MaxiM</f>
        <v>1.7028906320187057E-3</v>
      </c>
      <c r="Q308" s="307">
        <f t="shared" si="100"/>
        <v>1</v>
      </c>
      <c r="R308" s="179">
        <f t="shared" si="101"/>
        <v>0.89705480971481499</v>
      </c>
      <c r="S308" s="837">
        <f t="shared" si="118"/>
        <v>-3</v>
      </c>
      <c r="T308" s="178">
        <f t="shared" si="102"/>
        <v>3</v>
      </c>
      <c r="U308" s="253">
        <f t="shared" si="103"/>
        <v>-2.102945190285185</v>
      </c>
      <c r="V308" s="385">
        <f t="shared" si="104"/>
        <v>30.362149413800804</v>
      </c>
      <c r="W308" s="58"/>
      <c r="X308" s="157">
        <f t="shared" si="105"/>
        <v>43394</v>
      </c>
      <c r="Y308" s="387">
        <f t="shared" si="106"/>
        <v>16.425000000000001</v>
      </c>
      <c r="Z308" s="387">
        <f t="shared" si="107"/>
        <v>16.455990493156939</v>
      </c>
      <c r="AA308" s="388">
        <f t="shared" si="108"/>
        <v>16.773628204422511</v>
      </c>
      <c r="AB308" s="199">
        <f t="shared" si="109"/>
        <v>43394</v>
      </c>
      <c r="AC308" s="426">
        <f t="shared" si="110"/>
        <v>1.8936732553892298E-2</v>
      </c>
      <c r="AD308" s="171">
        <f>(INDEX(Models!$BJ308:$BT308,,AH308)*(1-AF308)+INDEX(Models!$BJ308:$BT308,,AH308+1)*AF308-ERP_i)*AE308*Ramure*Pc/MaxiM</f>
        <v>1.7028906320187057E-3</v>
      </c>
      <c r="AE308" s="307">
        <f t="shared" si="111"/>
        <v>1</v>
      </c>
      <c r="AF308" s="179">
        <f t="shared" si="112"/>
        <v>0.89705480971481499</v>
      </c>
      <c r="AG308" s="837">
        <f t="shared" si="113"/>
        <v>-3</v>
      </c>
      <c r="AH308" s="178">
        <f t="shared" si="114"/>
        <v>3</v>
      </c>
      <c r="AI308" s="227">
        <f t="shared" si="115"/>
        <v>-2.102945190285185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customHeight="1" x14ac:dyDescent="0.2">
      <c r="A309" s="56">
        <f t="shared" si="119"/>
        <v>43395</v>
      </c>
      <c r="B309" s="618">
        <v>20.061</v>
      </c>
      <c r="C309" s="392"/>
      <c r="D309" s="395">
        <f t="shared" si="120"/>
        <v>20.099318594888732</v>
      </c>
      <c r="E309" s="387">
        <f t="shared" si="124"/>
        <v>20.491445803720314</v>
      </c>
      <c r="F309" s="387">
        <f t="shared" si="123"/>
        <v>20.510015712487224</v>
      </c>
      <c r="G309" s="110">
        <f t="shared" si="125"/>
        <v>0.66828739145010274</v>
      </c>
      <c r="I309" s="382">
        <f t="shared" si="96"/>
        <v>20.510015712487224</v>
      </c>
      <c r="J309" s="85">
        <v>2018</v>
      </c>
      <c r="K309" s="199">
        <f t="shared" si="97"/>
        <v>43395</v>
      </c>
      <c r="L309" s="437">
        <f t="shared" si="98"/>
        <v>1.9064623861665408E-3</v>
      </c>
      <c r="M309" s="881"/>
      <c r="N309" s="881"/>
      <c r="O309" s="326">
        <f t="shared" si="99"/>
        <v>1.9136141616732008E-2</v>
      </c>
      <c r="P309" s="171">
        <f>(INDEX(Models!$BJ309:$BT309,,T309)*(1-R309)+INDEX(Models!$BJ309:$BT309,,T309+1)*R309-ERP_i)*Q309*Ramure*Pc/MaxiM</f>
        <v>1.7183581246988642E-3</v>
      </c>
      <c r="Q309" s="307">
        <f t="shared" si="100"/>
        <v>1</v>
      </c>
      <c r="R309" s="179">
        <f t="shared" si="101"/>
        <v>0.89717322628699936</v>
      </c>
      <c r="S309" s="837">
        <f t="shared" si="118"/>
        <v>-3</v>
      </c>
      <c r="T309" s="178">
        <f t="shared" si="102"/>
        <v>3</v>
      </c>
      <c r="U309" s="253">
        <f t="shared" si="103"/>
        <v>-2.1028267737130006</v>
      </c>
      <c r="V309" s="385">
        <f t="shared" si="104"/>
        <v>29.994096644134537</v>
      </c>
      <c r="W309" s="58"/>
      <c r="X309" s="157">
        <f t="shared" si="105"/>
        <v>43395</v>
      </c>
      <c r="Y309" s="387">
        <f t="shared" si="106"/>
        <v>20.061</v>
      </c>
      <c r="Z309" s="387">
        <f t="shared" si="107"/>
        <v>20.099318594888732</v>
      </c>
      <c r="AA309" s="388">
        <f t="shared" si="108"/>
        <v>20.491445803720314</v>
      </c>
      <c r="AB309" s="199">
        <f t="shared" si="109"/>
        <v>43395</v>
      </c>
      <c r="AC309" s="426">
        <f t="shared" si="110"/>
        <v>1.9136141616732008E-2</v>
      </c>
      <c r="AD309" s="171">
        <f>(INDEX(Models!$BJ309:$BT309,,AH309)*(1-AF309)+INDEX(Models!$BJ309:$BT309,,AH309+1)*AF309-ERP_i)*AE309*Ramure*Pc/MaxiM</f>
        <v>1.7183581246988642E-3</v>
      </c>
      <c r="AE309" s="307">
        <f t="shared" si="111"/>
        <v>1</v>
      </c>
      <c r="AF309" s="179">
        <f t="shared" si="112"/>
        <v>0.89717322628699936</v>
      </c>
      <c r="AG309" s="837">
        <f t="shared" si="113"/>
        <v>-3</v>
      </c>
      <c r="AH309" s="178">
        <f t="shared" si="114"/>
        <v>3</v>
      </c>
      <c r="AI309" s="227">
        <f t="shared" si="115"/>
        <v>-2.1028267737130006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customHeight="1" x14ac:dyDescent="0.2">
      <c r="A310" s="56">
        <f t="shared" si="119"/>
        <v>43396</v>
      </c>
      <c r="B310" s="618">
        <v>28.835000000000001</v>
      </c>
      <c r="C310" s="392"/>
      <c r="D310" s="395">
        <f t="shared" si="120"/>
        <v>28.890750176711531</v>
      </c>
      <c r="E310" s="387">
        <f t="shared" si="124"/>
        <v>29.460348222343143</v>
      </c>
      <c r="F310" s="387">
        <f t="shared" si="123"/>
        <v>29.510079439366795</v>
      </c>
      <c r="G310" s="110">
        <f t="shared" si="125"/>
        <v>0.97308392052028181</v>
      </c>
      <c r="I310" s="382">
        <f t="shared" si="96"/>
        <v>29.510079439366795</v>
      </c>
      <c r="J310" s="85">
        <v>2018</v>
      </c>
      <c r="K310" s="199">
        <f t="shared" si="97"/>
        <v>43396</v>
      </c>
      <c r="L310" s="437">
        <f t="shared" si="98"/>
        <v>1.9296894809076592E-3</v>
      </c>
      <c r="M310" s="881"/>
      <c r="N310" s="881"/>
      <c r="O310" s="326">
        <f t="shared" si="99"/>
        <v>1.9334396230918226E-2</v>
      </c>
      <c r="P310" s="171">
        <f>(INDEX(Models!$BJ310:$BT310,,T310)*(1-R310)+INDEX(Models!$BJ310:$BT310,,T310+1)*R310-ERP_i)*Q310*Ramure*Pc/MaxiM</f>
        <v>1.752448467317098E-3</v>
      </c>
      <c r="Q310" s="307">
        <f t="shared" si="100"/>
        <v>1</v>
      </c>
      <c r="R310" s="179">
        <f t="shared" si="101"/>
        <v>0.89728691284155015</v>
      </c>
      <c r="S310" s="837">
        <f t="shared" si="118"/>
        <v>-3</v>
      </c>
      <c r="T310" s="178">
        <f t="shared" si="102"/>
        <v>3</v>
      </c>
      <c r="U310" s="253">
        <f t="shared" si="103"/>
        <v>-2.1027130871584498</v>
      </c>
      <c r="V310" s="385">
        <f t="shared" si="104"/>
        <v>29.630597960328029</v>
      </c>
      <c r="W310" s="58"/>
      <c r="X310" s="157">
        <f t="shared" si="105"/>
        <v>43396</v>
      </c>
      <c r="Y310" s="387">
        <f t="shared" si="106"/>
        <v>28.835000000000001</v>
      </c>
      <c r="Z310" s="387">
        <f t="shared" si="107"/>
        <v>28.890750176711531</v>
      </c>
      <c r="AA310" s="388">
        <f t="shared" si="108"/>
        <v>29.460348222343143</v>
      </c>
      <c r="AB310" s="199">
        <f t="shared" si="109"/>
        <v>43396</v>
      </c>
      <c r="AC310" s="426">
        <f t="shared" si="110"/>
        <v>1.9334396230918226E-2</v>
      </c>
      <c r="AD310" s="171">
        <f>(INDEX(Models!$BJ310:$BT310,,AH310)*(1-AF310)+INDEX(Models!$BJ310:$BT310,,AH310+1)*AF310-ERP_i)*AE310*Ramure*Pc/MaxiM</f>
        <v>1.752448467317098E-3</v>
      </c>
      <c r="AE310" s="307">
        <f t="shared" si="111"/>
        <v>1</v>
      </c>
      <c r="AF310" s="179">
        <f t="shared" si="112"/>
        <v>0.89728691284155015</v>
      </c>
      <c r="AG310" s="837">
        <f t="shared" si="113"/>
        <v>-3</v>
      </c>
      <c r="AH310" s="178">
        <f t="shared" si="114"/>
        <v>3</v>
      </c>
      <c r="AI310" s="227">
        <f t="shared" si="115"/>
        <v>-2.1027130871584498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customHeight="1" x14ac:dyDescent="0.2">
      <c r="A311" s="56">
        <f t="shared" si="119"/>
        <v>43397</v>
      </c>
      <c r="B311" s="618">
        <v>28.495000000000001</v>
      </c>
      <c r="C311" s="392"/>
      <c r="D311" s="395">
        <f t="shared" si="120"/>
        <v>28.550757231612444</v>
      </c>
      <c r="E311" s="387">
        <f t="shared" si="124"/>
        <v>29.119505230133701</v>
      </c>
      <c r="F311" s="387">
        <f t="shared" si="123"/>
        <v>29.170180874770704</v>
      </c>
      <c r="G311" s="110">
        <f t="shared" si="125"/>
        <v>0.97341168446579662</v>
      </c>
      <c r="I311" s="382">
        <f t="shared" si="96"/>
        <v>29.170180874770704</v>
      </c>
      <c r="J311" s="85">
        <v>2018</v>
      </c>
      <c r="K311" s="199">
        <f t="shared" si="97"/>
        <v>43397</v>
      </c>
      <c r="L311" s="437">
        <f t="shared" si="98"/>
        <v>1.9529160351202668E-3</v>
      </c>
      <c r="M311" s="881"/>
      <c r="N311" s="881"/>
      <c r="O311" s="326">
        <f t="shared" si="99"/>
        <v>1.9531513122437949E-2</v>
      </c>
      <c r="P311" s="171">
        <f>(INDEX(Models!$BJ311:$BT311,,T311)*(1-R311)+INDEX(Models!$BJ311:$BT311,,T311+1)*R311-ERP_i)*Q311*Ramure*Pc/MaxiM</f>
        <v>1.8056539796966352E-3</v>
      </c>
      <c r="Q311" s="307">
        <f t="shared" si="100"/>
        <v>1</v>
      </c>
      <c r="R311" s="179">
        <f t="shared" si="101"/>
        <v>0.89739605685889945</v>
      </c>
      <c r="S311" s="837">
        <f t="shared" si="118"/>
        <v>-3</v>
      </c>
      <c r="T311" s="178">
        <f t="shared" si="102"/>
        <v>3</v>
      </c>
      <c r="U311" s="253">
        <f t="shared" si="103"/>
        <v>-2.1026039431411006</v>
      </c>
      <c r="V311" s="385">
        <f t="shared" si="104"/>
        <v>29.271322344440538</v>
      </c>
      <c r="W311" s="58"/>
      <c r="X311" s="157">
        <f t="shared" si="105"/>
        <v>43397</v>
      </c>
      <c r="Y311" s="387">
        <f t="shared" si="106"/>
        <v>28.495000000000001</v>
      </c>
      <c r="Z311" s="387">
        <f t="shared" si="107"/>
        <v>28.550757231612444</v>
      </c>
      <c r="AA311" s="388">
        <f t="shared" si="108"/>
        <v>29.119505230133701</v>
      </c>
      <c r="AB311" s="199">
        <f t="shared" si="109"/>
        <v>43397</v>
      </c>
      <c r="AC311" s="426">
        <f t="shared" si="110"/>
        <v>1.9531513122437949E-2</v>
      </c>
      <c r="AD311" s="171">
        <f>(INDEX(Models!$BJ311:$BT311,,AH311)*(1-AF311)+INDEX(Models!$BJ311:$BT311,,AH311+1)*AF311-ERP_i)*AE311*Ramure*Pc/MaxiM</f>
        <v>1.8056539796966352E-3</v>
      </c>
      <c r="AE311" s="307">
        <f t="shared" si="111"/>
        <v>1</v>
      </c>
      <c r="AF311" s="179">
        <f t="shared" si="112"/>
        <v>0.89739605685889945</v>
      </c>
      <c r="AG311" s="837">
        <f t="shared" si="113"/>
        <v>-3</v>
      </c>
      <c r="AH311" s="178">
        <f t="shared" si="114"/>
        <v>3</v>
      </c>
      <c r="AI311" s="227">
        <f t="shared" si="115"/>
        <v>-2.1026039431411006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customHeight="1" x14ac:dyDescent="0.2">
      <c r="A312" s="56">
        <f t="shared" si="119"/>
        <v>43398</v>
      </c>
      <c r="B312" s="618">
        <v>27.832999999999998</v>
      </c>
      <c r="C312" s="392"/>
      <c r="D312" s="395">
        <f t="shared" si="120"/>
        <v>27.888110868549411</v>
      </c>
      <c r="E312" s="387">
        <f t="shared" si="124"/>
        <v>28.449345676341036</v>
      </c>
      <c r="F312" s="387">
        <f t="shared" si="123"/>
        <v>28.500024439336709</v>
      </c>
      <c r="G312" s="110">
        <f t="shared" si="125"/>
        <v>0.96245202564187882</v>
      </c>
      <c r="I312" s="382">
        <f t="shared" si="96"/>
        <v>28.500024439336709</v>
      </c>
      <c r="J312" s="85">
        <v>2018</v>
      </c>
      <c r="K312" s="199">
        <f t="shared" si="97"/>
        <v>43398</v>
      </c>
      <c r="L312" s="437">
        <f t="shared" si="98"/>
        <v>1.9761420488171311E-3</v>
      </c>
      <c r="M312" s="881"/>
      <c r="N312" s="881"/>
      <c r="O312" s="326">
        <f t="shared" si="99"/>
        <v>1.9727511984866403E-2</v>
      </c>
      <c r="P312" s="171">
        <f>(INDEX(Models!$BJ312:$BT312,,T312)*(1-R312)+INDEX(Models!$BJ312:$BT312,,T312+1)*R312-ERP_i)*Q312*Ramure*Pc/MaxiM</f>
        <v>1.8787147488540147E-3</v>
      </c>
      <c r="Q312" s="307">
        <f t="shared" si="100"/>
        <v>1</v>
      </c>
      <c r="R312" s="179">
        <f t="shared" si="101"/>
        <v>0.8975008385028711</v>
      </c>
      <c r="S312" s="837">
        <f t="shared" si="118"/>
        <v>-3</v>
      </c>
      <c r="T312" s="178">
        <f t="shared" si="102"/>
        <v>3</v>
      </c>
      <c r="U312" s="253">
        <f t="shared" si="103"/>
        <v>-2.1024991614971289</v>
      </c>
      <c r="V312" s="385">
        <f t="shared" si="104"/>
        <v>28.915932084973146</v>
      </c>
      <c r="W312" s="58"/>
      <c r="X312" s="157">
        <f t="shared" si="105"/>
        <v>43398</v>
      </c>
      <c r="Y312" s="387">
        <f t="shared" si="106"/>
        <v>27.832999999999998</v>
      </c>
      <c r="Z312" s="387">
        <f t="shared" si="107"/>
        <v>27.888110868549411</v>
      </c>
      <c r="AA312" s="388">
        <f t="shared" si="108"/>
        <v>28.449345676341036</v>
      </c>
      <c r="AB312" s="199">
        <f t="shared" si="109"/>
        <v>43398</v>
      </c>
      <c r="AC312" s="426">
        <f t="shared" si="110"/>
        <v>1.9727511984866403E-2</v>
      </c>
      <c r="AD312" s="171">
        <f>(INDEX(Models!$BJ312:$BT312,,AH312)*(1-AF312)+INDEX(Models!$BJ312:$BT312,,AH312+1)*AF312-ERP_i)*AE312*Ramure*Pc/MaxiM</f>
        <v>1.8787147488540147E-3</v>
      </c>
      <c r="AE312" s="307">
        <f t="shared" si="111"/>
        <v>1</v>
      </c>
      <c r="AF312" s="179">
        <f t="shared" si="112"/>
        <v>0.8975008385028711</v>
      </c>
      <c r="AG312" s="837">
        <f t="shared" si="113"/>
        <v>-3</v>
      </c>
      <c r="AH312" s="178">
        <f t="shared" si="114"/>
        <v>3</v>
      </c>
      <c r="AI312" s="227">
        <f t="shared" si="115"/>
        <v>-2.1024991614971289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customHeight="1" x14ac:dyDescent="0.2">
      <c r="A313" s="56">
        <f t="shared" si="119"/>
        <v>43399</v>
      </c>
      <c r="B313" s="618">
        <v>3.9929999999999999</v>
      </c>
      <c r="C313" s="392"/>
      <c r="D313" s="395">
        <f t="shared" si="120"/>
        <v>4.0009994683926866</v>
      </c>
      <c r="E313" s="387">
        <f t="shared" si="124"/>
        <v>4.0823293293997276</v>
      </c>
      <c r="F313" s="387">
        <f t="shared" si="123"/>
        <v>4.0823293293997276</v>
      </c>
      <c r="G313" s="110">
        <f t="shared" si="125"/>
        <v>0.1395151840481946</v>
      </c>
      <c r="I313" s="382">
        <f t="shared" si="96"/>
        <v>4.0823293293997276</v>
      </c>
      <c r="J313" s="85">
        <v>2018</v>
      </c>
      <c r="K313" s="199">
        <f t="shared" si="97"/>
        <v>43399</v>
      </c>
      <c r="L313" s="437">
        <f t="shared" si="98"/>
        <v>1.9993675220106866E-3</v>
      </c>
      <c r="M313" s="881"/>
      <c r="N313" s="881"/>
      <c r="O313" s="326">
        <f t="shared" si="99"/>
        <v>1.9922415475235586E-2</v>
      </c>
      <c r="P313" s="171">
        <f>(INDEX(Models!$BJ313:$BT313,,T313)*(1-R313)+INDEX(Models!$BJ313:$BT313,,T313+1)*R313-ERP_i)*Q313*Ramure*Pc/MaxiM</f>
        <v>1.9723773316429323E-3</v>
      </c>
      <c r="Q313" s="307">
        <f t="shared" si="100"/>
        <v>1</v>
      </c>
      <c r="R313" s="179">
        <f t="shared" si="101"/>
        <v>0.89760143089719246</v>
      </c>
      <c r="S313" s="837">
        <f t="shared" si="118"/>
        <v>-3</v>
      </c>
      <c r="T313" s="178">
        <f t="shared" si="102"/>
        <v>3</v>
      </c>
      <c r="U313" s="253">
        <f t="shared" si="103"/>
        <v>-2.1023985691028075</v>
      </c>
      <c r="V313" s="385">
        <f t="shared" si="104"/>
        <v>28.564090170558892</v>
      </c>
      <c r="W313" s="58"/>
      <c r="X313" s="157">
        <f t="shared" si="105"/>
        <v>43399</v>
      </c>
      <c r="Y313" s="387">
        <f t="shared" si="106"/>
        <v>3.9930000000000003</v>
      </c>
      <c r="Z313" s="387">
        <f t="shared" si="107"/>
        <v>4.0009994683926866</v>
      </c>
      <c r="AA313" s="388">
        <f t="shared" si="108"/>
        <v>4.0823293293997276</v>
      </c>
      <c r="AB313" s="199">
        <f t="shared" si="109"/>
        <v>43399</v>
      </c>
      <c r="AC313" s="426">
        <f t="shared" si="110"/>
        <v>1.9922415475235586E-2</v>
      </c>
      <c r="AD313" s="171">
        <f>(INDEX(Models!$BJ313:$BT313,,AH313)*(1-AF313)+INDEX(Models!$BJ313:$BT313,,AH313+1)*AF313-ERP_i)*AE313*Ramure*Pc/MaxiM</f>
        <v>1.9723773316429323E-3</v>
      </c>
      <c r="AE313" s="307">
        <f t="shared" si="111"/>
        <v>1</v>
      </c>
      <c r="AF313" s="179">
        <f t="shared" si="112"/>
        <v>0.89760143089719246</v>
      </c>
      <c r="AG313" s="837">
        <f t="shared" si="113"/>
        <v>-3</v>
      </c>
      <c r="AH313" s="178">
        <f t="shared" si="114"/>
        <v>3</v>
      </c>
      <c r="AI313" s="227">
        <f t="shared" si="115"/>
        <v>-2.1023985691028075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customHeight="1" x14ac:dyDescent="0.2">
      <c r="A314" s="56">
        <f t="shared" si="119"/>
        <v>43400</v>
      </c>
      <c r="B314" s="618">
        <v>7.7910000000000004</v>
      </c>
      <c r="C314" s="392"/>
      <c r="D314" s="395">
        <f t="shared" si="120"/>
        <v>7.8067899544574191</v>
      </c>
      <c r="E314" s="387">
        <f t="shared" si="124"/>
        <v>7.9670572636942909</v>
      </c>
      <c r="F314" s="387">
        <f t="shared" si="123"/>
        <v>7.9670572636942909</v>
      </c>
      <c r="G314" s="110">
        <f>+Wh_hp/MaxiM</f>
        <v>0.27554883093888927</v>
      </c>
      <c r="I314" s="382">
        <f t="shared" si="96"/>
        <v>7.9670572636942909</v>
      </c>
      <c r="J314" s="85">
        <v>2018</v>
      </c>
      <c r="K314" s="199">
        <f t="shared" si="97"/>
        <v>43400</v>
      </c>
      <c r="L314" s="437">
        <f t="shared" si="98"/>
        <v>2.0225924547134788E-3</v>
      </c>
      <c r="M314" s="881"/>
      <c r="N314" s="881"/>
      <c r="O314" s="326">
        <f t="shared" si="99"/>
        <v>2.0116249191179634E-2</v>
      </c>
      <c r="P314" s="171">
        <f>(INDEX(Models!$BJ314:$BT314,,T314)*(1-R314)+INDEX(Models!$BJ314:$BT314,,T314+1)*R314-ERP_i)*Q314*Ramure*Pc/MaxiM</f>
        <v>2.0874114118085781E-3</v>
      </c>
      <c r="Q314" s="307">
        <f t="shared" si="100"/>
        <v>1</v>
      </c>
      <c r="R314" s="179">
        <f t="shared" si="101"/>
        <v>0.89769800039228098</v>
      </c>
      <c r="S314" s="837">
        <f t="shared" si="118"/>
        <v>-3</v>
      </c>
      <c r="T314" s="178">
        <f t="shared" si="102"/>
        <v>3</v>
      </c>
      <c r="U314" s="253">
        <f t="shared" si="103"/>
        <v>-2.102301999607719</v>
      </c>
      <c r="V314" s="385">
        <f t="shared" si="104"/>
        <v>28.21545985587893</v>
      </c>
      <c r="W314" s="58"/>
      <c r="X314" s="157">
        <f t="shared" si="105"/>
        <v>43400</v>
      </c>
      <c r="Y314" s="387">
        <f t="shared" si="106"/>
        <v>7.7910000000000004</v>
      </c>
      <c r="Z314" s="387">
        <f t="shared" si="107"/>
        <v>7.8067899544574191</v>
      </c>
      <c r="AA314" s="388">
        <f t="shared" si="108"/>
        <v>7.9670572636942909</v>
      </c>
      <c r="AB314" s="199">
        <f t="shared" si="109"/>
        <v>43400</v>
      </c>
      <c r="AC314" s="426">
        <f t="shared" si="110"/>
        <v>2.0116249191179634E-2</v>
      </c>
      <c r="AD314" s="171">
        <f>(INDEX(Models!$BJ314:$BT314,,AH314)*(1-AF314)+INDEX(Models!$BJ314:$BT314,,AH314+1)*AF314-ERP_i)*AE314*Ramure*Pc/MaxiM</f>
        <v>2.0874114118085781E-3</v>
      </c>
      <c r="AE314" s="307">
        <f t="shared" si="111"/>
        <v>1</v>
      </c>
      <c r="AF314" s="179">
        <f t="shared" si="112"/>
        <v>0.89769800039228098</v>
      </c>
      <c r="AG314" s="837">
        <f t="shared" si="113"/>
        <v>-3</v>
      </c>
      <c r="AH314" s="178">
        <f t="shared" si="114"/>
        <v>3</v>
      </c>
      <c r="AI314" s="227">
        <f t="shared" si="115"/>
        <v>-2.102301999607719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customHeight="1" x14ac:dyDescent="0.2">
      <c r="A315" s="56">
        <f t="shared" si="119"/>
        <v>43401</v>
      </c>
      <c r="B315" s="618">
        <v>3.3420000000000001</v>
      </c>
      <c r="C315" s="392"/>
      <c r="D315" s="395">
        <f t="shared" si="120"/>
        <v>3.3488511360720645</v>
      </c>
      <c r="E315" s="387">
        <f t="shared" si="124"/>
        <v>3.4182729844118187</v>
      </c>
      <c r="F315" s="387">
        <f t="shared" si="123"/>
        <v>3.4182729844118187</v>
      </c>
      <c r="G315" s="110">
        <f t="shared" si="125"/>
        <v>0.1196483917977211</v>
      </c>
      <c r="I315" s="382">
        <f t="shared" si="96"/>
        <v>3.4182729844118187</v>
      </c>
      <c r="J315" s="85">
        <v>2018</v>
      </c>
      <c r="K315" s="199">
        <f t="shared" si="97"/>
        <v>43401</v>
      </c>
      <c r="L315" s="437">
        <f t="shared" si="98"/>
        <v>2.0458168469382754E-3</v>
      </c>
      <c r="M315" s="881"/>
      <c r="N315" s="881"/>
      <c r="O315" s="326">
        <f t="shared" si="99"/>
        <v>2.0309041629014091E-2</v>
      </c>
      <c r="P315" s="171">
        <f>(INDEX(Models!$BJ315:$BT315,,T315)*(1-R315)+INDEX(Models!$BJ315:$BT315,,T315+1)*R315-ERP_i)*Q315*Ramure*Pc/MaxiM</f>
        <v>2.2246125450213119E-3</v>
      </c>
      <c r="Q315" s="307">
        <f t="shared" si="100"/>
        <v>1</v>
      </c>
      <c r="R315" s="179">
        <f t="shared" si="101"/>
        <v>0.89779070682257567</v>
      </c>
      <c r="S315" s="837">
        <f t="shared" si="118"/>
        <v>-3</v>
      </c>
      <c r="T315" s="178">
        <f t="shared" si="102"/>
        <v>3</v>
      </c>
      <c r="U315" s="253">
        <f t="shared" si="103"/>
        <v>-2.1022092931774243</v>
      </c>
      <c r="V315" s="385">
        <f t="shared" si="104"/>
        <v>27.869704680293506</v>
      </c>
      <c r="W315" s="58"/>
      <c r="X315" s="157">
        <f t="shared" si="105"/>
        <v>43401</v>
      </c>
      <c r="Y315" s="387">
        <f t="shared" si="106"/>
        <v>3.3420000000000001</v>
      </c>
      <c r="Z315" s="387">
        <f t="shared" si="107"/>
        <v>3.3488511360720645</v>
      </c>
      <c r="AA315" s="388">
        <f t="shared" si="108"/>
        <v>3.4182729844118187</v>
      </c>
      <c r="AB315" s="199">
        <f t="shared" si="109"/>
        <v>43401</v>
      </c>
      <c r="AC315" s="426">
        <f t="shared" si="110"/>
        <v>2.0309041629014091E-2</v>
      </c>
      <c r="AD315" s="171">
        <f>(INDEX(Models!$BJ315:$BT315,,AH315)*(1-AF315)+INDEX(Models!$BJ315:$BT315,,AH315+1)*AF315-ERP_i)*AE315*Ramure*Pc/MaxiM</f>
        <v>2.2246125450213119E-3</v>
      </c>
      <c r="AE315" s="307">
        <f t="shared" si="111"/>
        <v>1</v>
      </c>
      <c r="AF315" s="179">
        <f t="shared" si="112"/>
        <v>0.89779070682257567</v>
      </c>
      <c r="AG315" s="837">
        <f t="shared" si="113"/>
        <v>-3</v>
      </c>
      <c r="AH315" s="178">
        <f t="shared" si="114"/>
        <v>3</v>
      </c>
      <c r="AI315" s="227">
        <f t="shared" si="115"/>
        <v>-2.1022092931774243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customHeight="1" x14ac:dyDescent="0.2">
      <c r="A316" s="56">
        <f t="shared" si="119"/>
        <v>43402</v>
      </c>
      <c r="B316" s="618">
        <v>5.0030000000000001</v>
      </c>
      <c r="C316" s="392"/>
      <c r="D316" s="395">
        <f t="shared" si="120"/>
        <v>5.0133728725109705</v>
      </c>
      <c r="E316" s="387">
        <f t="shared" si="124"/>
        <v>5.1183022875133926</v>
      </c>
      <c r="F316" s="387">
        <f t="shared" si="123"/>
        <v>5.1183022875133926</v>
      </c>
      <c r="G316" s="110">
        <f t="shared" si="125"/>
        <v>0.18131876235655764</v>
      </c>
      <c r="I316" s="382">
        <f t="shared" si="96"/>
        <v>5.1183022875133926</v>
      </c>
      <c r="J316" s="85">
        <v>2018</v>
      </c>
      <c r="K316" s="199">
        <f t="shared" si="97"/>
        <v>43402</v>
      </c>
      <c r="L316" s="437">
        <f t="shared" si="98"/>
        <v>2.0690406986973997E-3</v>
      </c>
      <c r="M316" s="881"/>
      <c r="N316" s="881"/>
      <c r="O316" s="326">
        <f t="shared" si="99"/>
        <v>2.0500824122562752E-2</v>
      </c>
      <c r="P316" s="171">
        <f>(INDEX(Models!$BJ316:$BT316,,T316)*(1-R316)+INDEX(Models!$BJ316:$BT316,,T316+1)*R316-ERP_i)*Q316*Ramure*Pc/MaxiM</f>
        <v>2.3848052451299127E-3</v>
      </c>
      <c r="Q316" s="307">
        <f t="shared" si="100"/>
        <v>1</v>
      </c>
      <c r="R316" s="179">
        <f t="shared" si="101"/>
        <v>0.89787970375470616</v>
      </c>
      <c r="S316" s="837">
        <f t="shared" si="118"/>
        <v>-3</v>
      </c>
      <c r="T316" s="178">
        <f t="shared" si="102"/>
        <v>3</v>
      </c>
      <c r="U316" s="253">
        <f t="shared" si="103"/>
        <v>-2.1021202962452938</v>
      </c>
      <c r="V316" s="385">
        <f t="shared" si="104"/>
        <v>27.526488458727922</v>
      </c>
      <c r="W316" s="58"/>
      <c r="X316" s="157">
        <f t="shared" si="105"/>
        <v>43402</v>
      </c>
      <c r="Y316" s="387">
        <f t="shared" si="106"/>
        <v>5.0030000000000001</v>
      </c>
      <c r="Z316" s="387">
        <f t="shared" si="107"/>
        <v>5.0133728725109705</v>
      </c>
      <c r="AA316" s="388">
        <f t="shared" si="108"/>
        <v>5.1183022875133926</v>
      </c>
      <c r="AB316" s="199">
        <f t="shared" si="109"/>
        <v>43402</v>
      </c>
      <c r="AC316" s="426">
        <f t="shared" si="110"/>
        <v>2.0500824122562752E-2</v>
      </c>
      <c r="AD316" s="171">
        <f>(INDEX(Models!$BJ316:$BT316,,AH316)*(1-AF316)+INDEX(Models!$BJ316:$BT316,,AH316+1)*AF316-ERP_i)*AE316*Ramure*Pc/MaxiM</f>
        <v>2.3848052451299127E-3</v>
      </c>
      <c r="AE316" s="307">
        <f t="shared" si="111"/>
        <v>1</v>
      </c>
      <c r="AF316" s="179">
        <f t="shared" si="112"/>
        <v>0.89787970375470616</v>
      </c>
      <c r="AG316" s="837">
        <f t="shared" si="113"/>
        <v>-3</v>
      </c>
      <c r="AH316" s="178">
        <f t="shared" si="114"/>
        <v>3</v>
      </c>
      <c r="AI316" s="227">
        <f t="shared" si="115"/>
        <v>-2.1021202962452938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customHeight="1" x14ac:dyDescent="0.2">
      <c r="A317" s="56">
        <f t="shared" si="119"/>
        <v>43403</v>
      </c>
      <c r="B317" s="618">
        <v>24.145</v>
      </c>
      <c r="C317" s="392"/>
      <c r="D317" s="395">
        <f t="shared" si="120"/>
        <v>24.195623632525926</v>
      </c>
      <c r="E317" s="387">
        <f t="shared" si="124"/>
        <v>24.706848621512385</v>
      </c>
      <c r="F317" s="387">
        <f t="shared" si="123"/>
        <v>24.760292148495747</v>
      </c>
      <c r="G317" s="110">
        <f t="shared" si="125"/>
        <v>0.88779699777681997</v>
      </c>
      <c r="I317" s="382">
        <f t="shared" si="96"/>
        <v>24.760292148495747</v>
      </c>
      <c r="J317" s="85">
        <v>2018</v>
      </c>
      <c r="K317" s="199">
        <f t="shared" si="97"/>
        <v>43403</v>
      </c>
      <c r="L317" s="437">
        <f t="shared" si="98"/>
        <v>2.0922640100036194E-3</v>
      </c>
      <c r="M317" s="881"/>
      <c r="N317" s="881"/>
      <c r="O317" s="326">
        <f t="shared" si="99"/>
        <v>2.0691630762708163E-2</v>
      </c>
      <c r="P317" s="171">
        <f>(INDEX(Models!$BJ317:$BT317,,T317)*(1-R317)+INDEX(Models!$BJ317:$BT317,,T317+1)*R317-ERP_i)*Q317*Ramure*Pc/MaxiM</f>
        <v>2.5688585885532376E-3</v>
      </c>
      <c r="Q317" s="307">
        <f t="shared" si="100"/>
        <v>1</v>
      </c>
      <c r="R317" s="179">
        <f t="shared" si="101"/>
        <v>0.8979651387267662</v>
      </c>
      <c r="S317" s="837">
        <f t="shared" si="118"/>
        <v>-3</v>
      </c>
      <c r="T317" s="178">
        <f t="shared" si="102"/>
        <v>3</v>
      </c>
      <c r="U317" s="253">
        <f t="shared" si="103"/>
        <v>-2.1020348612732338</v>
      </c>
      <c r="V317" s="385">
        <f t="shared" si="104"/>
        <v>27.185346415869684</v>
      </c>
      <c r="W317" s="58"/>
      <c r="X317" s="157">
        <f t="shared" si="105"/>
        <v>43403</v>
      </c>
      <c r="Y317" s="387">
        <f t="shared" si="106"/>
        <v>24.145</v>
      </c>
      <c r="Z317" s="387">
        <f t="shared" si="107"/>
        <v>24.195623632525926</v>
      </c>
      <c r="AA317" s="388">
        <f t="shared" si="108"/>
        <v>24.706848621512385</v>
      </c>
      <c r="AB317" s="199">
        <f t="shared" si="109"/>
        <v>43403</v>
      </c>
      <c r="AC317" s="426">
        <f t="shared" si="110"/>
        <v>2.0691630762708163E-2</v>
      </c>
      <c r="AD317" s="171">
        <f>(INDEX(Models!$BJ317:$BT317,,AH317)*(1-AF317)+INDEX(Models!$BJ317:$BT317,,AH317+1)*AF317-ERP_i)*AE317*Ramure*Pc/MaxiM</f>
        <v>2.5688585885532376E-3</v>
      </c>
      <c r="AE317" s="307">
        <f t="shared" si="111"/>
        <v>1</v>
      </c>
      <c r="AF317" s="179">
        <f t="shared" si="112"/>
        <v>0.8979651387267662</v>
      </c>
      <c r="AG317" s="837">
        <f t="shared" si="113"/>
        <v>-3</v>
      </c>
      <c r="AH317" s="178">
        <f t="shared" si="114"/>
        <v>3</v>
      </c>
      <c r="AI317" s="227">
        <f t="shared" si="115"/>
        <v>-2.1020348612732338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customHeight="1" x14ac:dyDescent="0.2">
      <c r="A318" s="56">
        <f t="shared" si="119"/>
        <v>43404</v>
      </c>
      <c r="B318" s="618">
        <v>11.532999999999999</v>
      </c>
      <c r="C318" s="392"/>
      <c r="D318" s="395">
        <f t="shared" si="120"/>
        <v>11.557449631916885</v>
      </c>
      <c r="E318" s="387">
        <f t="shared" si="124"/>
        <v>11.803933448121246</v>
      </c>
      <c r="F318" s="387">
        <f t="shared" si="123"/>
        <v>11.810027822225386</v>
      </c>
      <c r="G318" s="110">
        <f t="shared" si="125"/>
        <v>0.42862110810652343</v>
      </c>
      <c r="I318" s="382">
        <f t="shared" si="96"/>
        <v>11.810027822225386</v>
      </c>
      <c r="J318" s="85">
        <v>2018</v>
      </c>
      <c r="K318" s="199">
        <f t="shared" si="97"/>
        <v>43404</v>
      </c>
      <c r="L318" s="437">
        <f t="shared" si="98"/>
        <v>2.1154867808694799E-3</v>
      </c>
      <c r="M318" s="881"/>
      <c r="N318" s="881"/>
      <c r="O318" s="326">
        <f t="shared" si="99"/>
        <v>2.0881498297806209E-2</v>
      </c>
      <c r="P318" s="171">
        <f>(INDEX(Models!$BJ318:$BT318,,T318)*(1-R318)+INDEX(Models!$BJ318:$BT318,,T318+1)*R318-ERP_i)*Q318*Ramure*Pc/MaxiM</f>
        <v>2.787277239617243E-3</v>
      </c>
      <c r="Q318" s="307">
        <f t="shared" si="100"/>
        <v>1</v>
      </c>
      <c r="R318" s="179">
        <f t="shared" si="101"/>
        <v>0.89804715347897135</v>
      </c>
      <c r="S318" s="837">
        <f t="shared" si="118"/>
        <v>-3</v>
      </c>
      <c r="T318" s="178">
        <f t="shared" si="102"/>
        <v>3</v>
      </c>
      <c r="U318" s="253">
        <f t="shared" si="103"/>
        <v>-2.1019528465210287</v>
      </c>
      <c r="V318" s="385">
        <f t="shared" si="104"/>
        <v>26.846069893058576</v>
      </c>
      <c r="W318" s="58"/>
      <c r="X318" s="157">
        <f t="shared" si="105"/>
        <v>43404</v>
      </c>
      <c r="Y318" s="387">
        <f t="shared" si="106"/>
        <v>11.532999999999999</v>
      </c>
      <c r="Z318" s="387">
        <f t="shared" si="107"/>
        <v>11.557449631916885</v>
      </c>
      <c r="AA318" s="388">
        <f t="shared" si="108"/>
        <v>11.803933448121246</v>
      </c>
      <c r="AB318" s="199">
        <f t="shared" si="109"/>
        <v>43404</v>
      </c>
      <c r="AC318" s="426">
        <f t="shared" si="110"/>
        <v>2.0881498297806209E-2</v>
      </c>
      <c r="AD318" s="171">
        <f>(INDEX(Models!$BJ318:$BT318,,AH318)*(1-AF318)+INDEX(Models!$BJ318:$BT318,,AH318+1)*AF318-ERP_i)*AE318*Ramure*Pc/MaxiM</f>
        <v>2.787277239617243E-3</v>
      </c>
      <c r="AE318" s="307">
        <f t="shared" si="111"/>
        <v>1</v>
      </c>
      <c r="AF318" s="179">
        <f t="shared" si="112"/>
        <v>0.89804715347897135</v>
      </c>
      <c r="AG318" s="837">
        <f t="shared" si="113"/>
        <v>-3</v>
      </c>
      <c r="AH318" s="178">
        <f t="shared" si="114"/>
        <v>3</v>
      </c>
      <c r="AI318" s="227">
        <f t="shared" si="115"/>
        <v>-2.1019528465210287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customHeight="1" x14ac:dyDescent="0.2">
      <c r="A319" s="56">
        <f t="shared" si="119"/>
        <v>43405</v>
      </c>
      <c r="B319" s="618">
        <v>19.146999999999998</v>
      </c>
      <c r="C319" s="392"/>
      <c r="D319" s="395">
        <f t="shared" si="120"/>
        <v>19.188037628986422</v>
      </c>
      <c r="E319" s="387">
        <f t="shared" si="124"/>
        <v>19.601040690724336</v>
      </c>
      <c r="F319" s="387">
        <f t="shared" si="123"/>
        <v>19.637004032228749</v>
      </c>
      <c r="G319" s="110">
        <f t="shared" si="125"/>
        <v>0.72140491374227989</v>
      </c>
      <c r="I319" s="382">
        <f t="shared" si="96"/>
        <v>19.637004032228749</v>
      </c>
      <c r="J319" s="85">
        <v>2018</v>
      </c>
      <c r="K319" s="199">
        <f t="shared" si="97"/>
        <v>43405</v>
      </c>
      <c r="L319" s="437">
        <f t="shared" si="98"/>
        <v>2.1387090113076379E-3</v>
      </c>
      <c r="M319" s="881"/>
      <c r="N319" s="881"/>
      <c r="O319" s="326">
        <f t="shared" si="99"/>
        <v>2.1070466015274205E-2</v>
      </c>
      <c r="P319" s="171">
        <f>(INDEX(Models!$BJ319:$BT319,,T319)*(1-R319)+INDEX(Models!$BJ319:$BT319,,T319+1)*R319-ERP_i)*Q319*Ramure*Pc/MaxiM</f>
        <v>3.0358894683921614E-3</v>
      </c>
      <c r="Q319" s="307">
        <f t="shared" si="100"/>
        <v>1</v>
      </c>
      <c r="R319" s="179">
        <f t="shared" si="101"/>
        <v>0.89812588417596961</v>
      </c>
      <c r="S319" s="837">
        <f t="shared" si="118"/>
        <v>-3</v>
      </c>
      <c r="T319" s="178">
        <f t="shared" si="102"/>
        <v>3</v>
      </c>
      <c r="U319" s="253">
        <f t="shared" si="103"/>
        <v>-2.1018741158240304</v>
      </c>
      <c r="V319" s="385">
        <f t="shared" si="104"/>
        <v>26.50923925114807</v>
      </c>
      <c r="W319" s="58"/>
      <c r="X319" s="157">
        <f t="shared" si="105"/>
        <v>43405</v>
      </c>
      <c r="Y319" s="387">
        <f t="shared" si="106"/>
        <v>19.146999999999998</v>
      </c>
      <c r="Z319" s="387">
        <f t="shared" si="107"/>
        <v>19.188037628986422</v>
      </c>
      <c r="AA319" s="388">
        <f t="shared" si="108"/>
        <v>19.601040690724336</v>
      </c>
      <c r="AB319" s="199">
        <f t="shared" si="109"/>
        <v>43405</v>
      </c>
      <c r="AC319" s="426">
        <f t="shared" si="110"/>
        <v>2.1070466015274205E-2</v>
      </c>
      <c r="AD319" s="171">
        <f>(INDEX(Models!$BJ319:$BT319,,AH319)*(1-AF319)+INDEX(Models!$BJ319:$BT319,,AH319+1)*AF319-ERP_i)*AE319*Ramure*Pc/MaxiM</f>
        <v>3.0358894683921614E-3</v>
      </c>
      <c r="AE319" s="307">
        <f t="shared" si="111"/>
        <v>1</v>
      </c>
      <c r="AF319" s="179">
        <f t="shared" si="112"/>
        <v>0.89812588417596961</v>
      </c>
      <c r="AG319" s="837">
        <f t="shared" si="113"/>
        <v>-3</v>
      </c>
      <c r="AH319" s="178">
        <f t="shared" si="114"/>
        <v>3</v>
      </c>
      <c r="AI319" s="227">
        <f t="shared" si="115"/>
        <v>-2.1018741158240304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customHeight="1" x14ac:dyDescent="0.2">
      <c r="A320" s="56">
        <f t="shared" si="119"/>
        <v>43406</v>
      </c>
      <c r="B320" s="618">
        <v>8.1479999999999997</v>
      </c>
      <c r="C320" s="392"/>
      <c r="D320" s="395">
        <f t="shared" si="120"/>
        <v>8.1656535771649015</v>
      </c>
      <c r="E320" s="387">
        <f t="shared" si="124"/>
        <v>8.3430141747714295</v>
      </c>
      <c r="F320" s="387">
        <f t="shared" si="123"/>
        <v>8.3434602036899594</v>
      </c>
      <c r="G320" s="110">
        <f t="shared" si="125"/>
        <v>0.3102703814700698</v>
      </c>
      <c r="I320" s="382">
        <f t="shared" si="96"/>
        <v>8.3434602036899594</v>
      </c>
      <c r="J320" s="85">
        <v>2018</v>
      </c>
      <c r="K320" s="199">
        <f t="shared" si="97"/>
        <v>43406</v>
      </c>
      <c r="L320" s="437">
        <f t="shared" si="98"/>
        <v>2.1619307013304168E-3</v>
      </c>
      <c r="M320" s="881"/>
      <c r="N320" s="881"/>
      <c r="O320" s="326">
        <f t="shared" si="99"/>
        <v>2.1258575604827679E-2</v>
      </c>
      <c r="P320" s="171">
        <f>(INDEX(Models!$BJ320:$BT320,,T320)*(1-R320)+INDEX(Models!$BJ320:$BT320,,T320+1)*R320-ERP_i)*Q320*Ramure*Pc/MaxiM</f>
        <v>3.3157171011317932E-3</v>
      </c>
      <c r="Q320" s="307">
        <f t="shared" si="100"/>
        <v>1</v>
      </c>
      <c r="R320" s="179">
        <f t="shared" si="101"/>
        <v>0.89820146162106518</v>
      </c>
      <c r="S320" s="837">
        <f t="shared" si="118"/>
        <v>-3</v>
      </c>
      <c r="T320" s="178">
        <f t="shared" si="102"/>
        <v>3</v>
      </c>
      <c r="U320" s="253">
        <f t="shared" si="103"/>
        <v>-2.1017985383789348</v>
      </c>
      <c r="V320" s="385">
        <f t="shared" si="104"/>
        <v>26.175291555185638</v>
      </c>
      <c r="W320" s="58"/>
      <c r="X320" s="157">
        <f t="shared" si="105"/>
        <v>43406</v>
      </c>
      <c r="Y320" s="387">
        <f t="shared" si="106"/>
        <v>8.1479999999999997</v>
      </c>
      <c r="Z320" s="387">
        <f t="shared" si="107"/>
        <v>8.1656535771649015</v>
      </c>
      <c r="AA320" s="388">
        <f t="shared" si="108"/>
        <v>8.3430141747714295</v>
      </c>
      <c r="AB320" s="199">
        <f t="shared" si="109"/>
        <v>43406</v>
      </c>
      <c r="AC320" s="426">
        <f t="shared" si="110"/>
        <v>2.1258575604827679E-2</v>
      </c>
      <c r="AD320" s="171">
        <f>(INDEX(Models!$BJ320:$BT320,,AH320)*(1-AF320)+INDEX(Models!$BJ320:$BT320,,AH320+1)*AF320-ERP_i)*AE320*Ramure*Pc/MaxiM</f>
        <v>3.3157171011317932E-3</v>
      </c>
      <c r="AE320" s="307">
        <f t="shared" si="111"/>
        <v>1</v>
      </c>
      <c r="AF320" s="179">
        <f t="shared" si="112"/>
        <v>0.89820146162106518</v>
      </c>
      <c r="AG320" s="837">
        <f t="shared" si="113"/>
        <v>-3</v>
      </c>
      <c r="AH320" s="178">
        <f t="shared" si="114"/>
        <v>3</v>
      </c>
      <c r="AI320" s="227">
        <f t="shared" si="115"/>
        <v>-2.1017985383789348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customHeight="1" x14ac:dyDescent="0.2">
      <c r="A321" s="56">
        <f t="shared" si="119"/>
        <v>43407</v>
      </c>
      <c r="B321" s="618">
        <v>22.582999999999998</v>
      </c>
      <c r="C321" s="392"/>
      <c r="D321" s="395">
        <f t="shared" si="120"/>
        <v>22.632455351703328</v>
      </c>
      <c r="E321" s="387">
        <f t="shared" si="124"/>
        <v>23.12846543800751</v>
      </c>
      <c r="F321" s="387">
        <f t="shared" si="123"/>
        <v>23.197448549639653</v>
      </c>
      <c r="G321" s="110">
        <f t="shared" si="125"/>
        <v>0.87322419392551254</v>
      </c>
      <c r="I321" s="382">
        <f t="shared" si="96"/>
        <v>23.197448549639653</v>
      </c>
      <c r="J321" s="85">
        <v>2018</v>
      </c>
      <c r="K321" s="199">
        <f t="shared" si="97"/>
        <v>43407</v>
      </c>
      <c r="L321" s="437">
        <f t="shared" si="98"/>
        <v>2.1851518509505841E-3</v>
      </c>
      <c r="M321" s="881"/>
      <c r="N321" s="881"/>
      <c r="O321" s="326">
        <f t="shared" si="99"/>
        <v>2.1445871004008608E-2</v>
      </c>
      <c r="P321" s="171">
        <f>(INDEX(Models!$BJ321:$BT321,,T321)*(1-R321)+INDEX(Models!$BJ321:$BT321,,T321+1)*R321-ERP_i)*Q321*Ramure*Pc/MaxiM</f>
        <v>3.6277889903376368E-3</v>
      </c>
      <c r="Q321" s="307">
        <f t="shared" si="100"/>
        <v>1</v>
      </c>
      <c r="R321" s="179">
        <f t="shared" si="101"/>
        <v>0.89827401146261598</v>
      </c>
      <c r="S321" s="837">
        <f t="shared" si="118"/>
        <v>-3</v>
      </c>
      <c r="T321" s="178">
        <f t="shared" si="102"/>
        <v>3</v>
      </c>
      <c r="U321" s="253">
        <f t="shared" si="103"/>
        <v>-2.101725988537384</v>
      </c>
      <c r="V321" s="385">
        <f t="shared" si="104"/>
        <v>25.844663543449297</v>
      </c>
      <c r="W321" s="58"/>
      <c r="X321" s="157">
        <f t="shared" si="105"/>
        <v>43407</v>
      </c>
      <c r="Y321" s="387">
        <f t="shared" si="106"/>
        <v>22.582999999999998</v>
      </c>
      <c r="Z321" s="387">
        <f t="shared" si="107"/>
        <v>22.632455351703328</v>
      </c>
      <c r="AA321" s="388">
        <f t="shared" si="108"/>
        <v>23.12846543800751</v>
      </c>
      <c r="AB321" s="199">
        <f t="shared" si="109"/>
        <v>43407</v>
      </c>
      <c r="AC321" s="426">
        <f t="shared" si="110"/>
        <v>2.1445871004008608E-2</v>
      </c>
      <c r="AD321" s="171">
        <f>(INDEX(Models!$BJ321:$BT321,,AH321)*(1-AF321)+INDEX(Models!$BJ321:$BT321,,AH321+1)*AF321-ERP_i)*AE321*Ramure*Pc/MaxiM</f>
        <v>3.6277889903376368E-3</v>
      </c>
      <c r="AE321" s="307">
        <f t="shared" si="111"/>
        <v>1</v>
      </c>
      <c r="AF321" s="179">
        <f t="shared" si="112"/>
        <v>0.89827401146261598</v>
      </c>
      <c r="AG321" s="837">
        <f t="shared" si="113"/>
        <v>-3</v>
      </c>
      <c r="AH321" s="178">
        <f t="shared" si="114"/>
        <v>3</v>
      </c>
      <c r="AI321" s="227">
        <f t="shared" si="115"/>
        <v>-2.101725988537384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customHeight="1" x14ac:dyDescent="0.2">
      <c r="A322" s="56">
        <f t="shared" si="119"/>
        <v>43408</v>
      </c>
      <c r="B322" s="618">
        <v>18.388999999999999</v>
      </c>
      <c r="C322" s="392"/>
      <c r="D322" s="395">
        <f t="shared" si="120"/>
        <v>18.429699641136889</v>
      </c>
      <c r="E322" s="387">
        <f t="shared" si="124"/>
        <v>18.837193308256509</v>
      </c>
      <c r="F322" s="387">
        <f t="shared" si="123"/>
        <v>18.882274393596006</v>
      </c>
      <c r="G322" s="110">
        <f t="shared" si="125"/>
        <v>0.71948904963111016</v>
      </c>
      <c r="I322" s="382">
        <f t="shared" si="96"/>
        <v>18.882274393596006</v>
      </c>
      <c r="J322" s="85">
        <v>2018</v>
      </c>
      <c r="K322" s="199">
        <f t="shared" si="97"/>
        <v>43408</v>
      </c>
      <c r="L322" s="437">
        <f t="shared" si="98"/>
        <v>2.2083724601806853E-3</v>
      </c>
      <c r="M322" s="881"/>
      <c r="N322" s="881"/>
      <c r="O322" s="326">
        <f t="shared" si="99"/>
        <v>2.1632398226810894E-2</v>
      </c>
      <c r="P322" s="171">
        <f>(INDEX(Models!$BJ322:$BT322,,T322)*(1-R322)+INDEX(Models!$BJ322:$BT322,,T322+1)*R322-ERP_i)*Q322*Ramure*Pc/MaxiM</f>
        <v>3.9731343405218465E-3</v>
      </c>
      <c r="Q322" s="307">
        <f t="shared" si="100"/>
        <v>1</v>
      </c>
      <c r="R322" s="179">
        <f t="shared" si="101"/>
        <v>0.89834365439285735</v>
      </c>
      <c r="S322" s="837">
        <f t="shared" si="118"/>
        <v>-3</v>
      </c>
      <c r="T322" s="178">
        <f t="shared" si="102"/>
        <v>3</v>
      </c>
      <c r="U322" s="253">
        <f t="shared" si="103"/>
        <v>-2.1016563456071427</v>
      </c>
      <c r="V322" s="385">
        <f t="shared" si="104"/>
        <v>25.517791635064199</v>
      </c>
      <c r="W322" s="58"/>
      <c r="X322" s="157">
        <f t="shared" si="105"/>
        <v>43408</v>
      </c>
      <c r="Y322" s="387">
        <f t="shared" si="106"/>
        <v>18.388999999999999</v>
      </c>
      <c r="Z322" s="387">
        <f t="shared" si="107"/>
        <v>18.429699641136889</v>
      </c>
      <c r="AA322" s="388">
        <f t="shared" si="108"/>
        <v>18.837193308256509</v>
      </c>
      <c r="AB322" s="199">
        <f t="shared" si="109"/>
        <v>43408</v>
      </c>
      <c r="AC322" s="426">
        <f t="shared" si="110"/>
        <v>2.1632398226810894E-2</v>
      </c>
      <c r="AD322" s="171">
        <f>(INDEX(Models!$BJ322:$BT322,,AH322)*(1-AF322)+INDEX(Models!$BJ322:$BT322,,AH322+1)*AF322-ERP_i)*AE322*Ramure*Pc/MaxiM</f>
        <v>3.9731343405218465E-3</v>
      </c>
      <c r="AE322" s="307">
        <f t="shared" si="111"/>
        <v>1</v>
      </c>
      <c r="AF322" s="179">
        <f t="shared" si="112"/>
        <v>0.89834365439285735</v>
      </c>
      <c r="AG322" s="837">
        <f t="shared" si="113"/>
        <v>-3</v>
      </c>
      <c r="AH322" s="178">
        <f t="shared" si="114"/>
        <v>3</v>
      </c>
      <c r="AI322" s="227">
        <f t="shared" si="115"/>
        <v>-2.1016563456071427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customHeight="1" x14ac:dyDescent="0.2">
      <c r="A323" s="56">
        <f t="shared" si="119"/>
        <v>43409</v>
      </c>
      <c r="B323" s="618">
        <v>10.568</v>
      </c>
      <c r="C323" s="392"/>
      <c r="D323" s="395">
        <f t="shared" si="120"/>
        <v>10.591636216250421</v>
      </c>
      <c r="E323" s="387">
        <f t="shared" si="124"/>
        <v>10.82788114877982</v>
      </c>
      <c r="F323" s="387">
        <f t="shared" si="123"/>
        <v>10.835929512126114</v>
      </c>
      <c r="G323" s="110">
        <f t="shared" si="125"/>
        <v>0.41793110078453394</v>
      </c>
      <c r="I323" s="382">
        <f t="shared" si="96"/>
        <v>10.835929512126114</v>
      </c>
      <c r="J323" s="85">
        <v>2018</v>
      </c>
      <c r="K323" s="199">
        <f t="shared" si="97"/>
        <v>43409</v>
      </c>
      <c r="L323" s="437">
        <f t="shared" si="98"/>
        <v>2.2315925290332661E-3</v>
      </c>
      <c r="M323" s="881"/>
      <c r="N323" s="881"/>
      <c r="O323" s="326">
        <f t="shared" si="99"/>
        <v>2.1818205176367317E-2</v>
      </c>
      <c r="P323" s="171">
        <f>(INDEX(Models!$BJ323:$BT323,,T323)*(1-R323)+INDEX(Models!$BJ323:$BT323,,T323+1)*R323-ERP_i)*Q323*Ramure*Pc/MaxiM</f>
        <v>4.3527751643264324E-3</v>
      </c>
      <c r="Q323" s="307">
        <f t="shared" si="100"/>
        <v>1</v>
      </c>
      <c r="R323" s="179">
        <f t="shared" si="101"/>
        <v>0.89841050633940256</v>
      </c>
      <c r="S323" s="837">
        <f t="shared" si="118"/>
        <v>-3</v>
      </c>
      <c r="T323" s="178">
        <f t="shared" si="102"/>
        <v>3</v>
      </c>
      <c r="U323" s="253">
        <f t="shared" si="103"/>
        <v>-2.1015894936605974</v>
      </c>
      <c r="V323" s="385">
        <f t="shared" si="104"/>
        <v>25.195111955320844</v>
      </c>
      <c r="W323" s="58"/>
      <c r="X323" s="157">
        <f t="shared" si="105"/>
        <v>43409</v>
      </c>
      <c r="Y323" s="387">
        <f t="shared" si="106"/>
        <v>10.568</v>
      </c>
      <c r="Z323" s="387">
        <f t="shared" si="107"/>
        <v>10.591636216250421</v>
      </c>
      <c r="AA323" s="388">
        <f t="shared" si="108"/>
        <v>10.82788114877982</v>
      </c>
      <c r="AB323" s="199">
        <f t="shared" si="109"/>
        <v>43409</v>
      </c>
      <c r="AC323" s="426">
        <f t="shared" si="110"/>
        <v>2.1818205176367317E-2</v>
      </c>
      <c r="AD323" s="171">
        <f>(INDEX(Models!$BJ323:$BT323,,AH323)*(1-AF323)+INDEX(Models!$BJ323:$BT323,,AH323+1)*AF323-ERP_i)*AE323*Ramure*Pc/MaxiM</f>
        <v>4.3527751643264324E-3</v>
      </c>
      <c r="AE323" s="307">
        <f t="shared" si="111"/>
        <v>1</v>
      </c>
      <c r="AF323" s="179">
        <f t="shared" si="112"/>
        <v>0.89841050633940256</v>
      </c>
      <c r="AG323" s="837">
        <f t="shared" si="113"/>
        <v>-3</v>
      </c>
      <c r="AH323" s="178">
        <f t="shared" si="114"/>
        <v>3</v>
      </c>
      <c r="AI323" s="227">
        <f t="shared" si="115"/>
        <v>-2.1015894936605974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customHeight="1" x14ac:dyDescent="0.2">
      <c r="A324" s="56">
        <f t="shared" si="119"/>
        <v>43410</v>
      </c>
      <c r="B324" s="618">
        <v>18.738</v>
      </c>
      <c r="C324" s="392"/>
      <c r="D324" s="395">
        <f t="shared" si="120"/>
        <v>18.780346150945569</v>
      </c>
      <c r="E324" s="387">
        <f t="shared" si="124"/>
        <v>19.202873533997295</v>
      </c>
      <c r="F324" s="387">
        <f t="shared" si="123"/>
        <v>19.26217495295213</v>
      </c>
      <c r="G324" s="110">
        <f t="shared" si="125"/>
        <v>0.75194786599769303</v>
      </c>
      <c r="I324" s="382">
        <f t="shared" si="96"/>
        <v>19.26217495295213</v>
      </c>
      <c r="J324" s="85">
        <v>2018</v>
      </c>
      <c r="K324" s="199">
        <f t="shared" si="97"/>
        <v>43410</v>
      </c>
      <c r="L324" s="437">
        <f t="shared" si="98"/>
        <v>2.2548120575209829E-3</v>
      </c>
      <c r="M324" s="881"/>
      <c r="N324" s="881"/>
      <c r="O324" s="326">
        <f t="shared" si="99"/>
        <v>2.2003341442814368E-2</v>
      </c>
      <c r="P324" s="171">
        <f>(INDEX(Models!$BJ324:$BT324,,T324)*(1-R324)+INDEX(Models!$BJ324:$BT324,,T324+1)*R324-ERP_i)*Q324*Ramure*Pc/MaxiM</f>
        <v>4.7550386941241909E-3</v>
      </c>
      <c r="Q324" s="307">
        <f t="shared" si="100"/>
        <v>1</v>
      </c>
      <c r="R324" s="179">
        <f t="shared" si="101"/>
        <v>0.89847467864965935</v>
      </c>
      <c r="S324" s="837">
        <f t="shared" si="118"/>
        <v>-3</v>
      </c>
      <c r="T324" s="178">
        <f t="shared" si="102"/>
        <v>3</v>
      </c>
      <c r="U324" s="253">
        <f t="shared" si="103"/>
        <v>-2.1015253213503406</v>
      </c>
      <c r="V324" s="385">
        <f t="shared" si="104"/>
        <v>24.877377268836391</v>
      </c>
      <c r="W324" s="58"/>
      <c r="X324" s="157">
        <f t="shared" si="105"/>
        <v>43410</v>
      </c>
      <c r="Y324" s="387">
        <f t="shared" si="106"/>
        <v>18.738</v>
      </c>
      <c r="Z324" s="387">
        <f t="shared" si="107"/>
        <v>18.780346150945569</v>
      </c>
      <c r="AA324" s="388">
        <f t="shared" si="108"/>
        <v>19.202873533997295</v>
      </c>
      <c r="AB324" s="199">
        <f t="shared" si="109"/>
        <v>43410</v>
      </c>
      <c r="AC324" s="426">
        <f t="shared" si="110"/>
        <v>2.2003341442814368E-2</v>
      </c>
      <c r="AD324" s="171">
        <f>(INDEX(Models!$BJ324:$BT324,,AH324)*(1-AF324)+INDEX(Models!$BJ324:$BT324,,AH324+1)*AF324-ERP_i)*AE324*Ramure*Pc/MaxiM</f>
        <v>4.7550386941241909E-3</v>
      </c>
      <c r="AE324" s="307">
        <f t="shared" si="111"/>
        <v>1</v>
      </c>
      <c r="AF324" s="179">
        <f t="shared" si="112"/>
        <v>0.89847467864965935</v>
      </c>
      <c r="AG324" s="837">
        <f t="shared" si="113"/>
        <v>-3</v>
      </c>
      <c r="AH324" s="178">
        <f t="shared" si="114"/>
        <v>3</v>
      </c>
      <c r="AI324" s="227">
        <f t="shared" si="115"/>
        <v>-2.1015253213503406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customHeight="1" x14ac:dyDescent="0.2">
      <c r="A325" s="56">
        <f t="shared" si="119"/>
        <v>43411</v>
      </c>
      <c r="B325" s="618">
        <v>10.808999999999999</v>
      </c>
      <c r="C325" s="392"/>
      <c r="D325" s="395">
        <f t="shared" si="120"/>
        <v>10.83367945814434</v>
      </c>
      <c r="E325" s="387">
        <f t="shared" si="124"/>
        <v>11.07951005492307</v>
      </c>
      <c r="F325" s="387">
        <f t="shared" ref="F325:F356" si="126">Wh_sa/(1-Pvg*MEDIAN((-Sdif+Wh/Env_an)/Csdif,0,1))</f>
        <v>11.090965678906324</v>
      </c>
      <c r="G325" s="110">
        <f t="shared" si="125"/>
        <v>0.43818898950498969</v>
      </c>
      <c r="I325" s="382">
        <f t="shared" si="96"/>
        <v>11.090965678906324</v>
      </c>
      <c r="J325" s="85">
        <v>2018</v>
      </c>
      <c r="K325" s="199">
        <f t="shared" si="97"/>
        <v>43411</v>
      </c>
      <c r="L325" s="437">
        <f t="shared" si="98"/>
        <v>2.2780310456562702E-3</v>
      </c>
      <c r="M325" s="881"/>
      <c r="N325" s="881"/>
      <c r="O325" s="326">
        <f t="shared" si="99"/>
        <v>2.2187858087596296E-2</v>
      </c>
      <c r="P325" s="171">
        <f>(INDEX(Models!$BJ325:$BT325,,T325)*(1-R325)+INDEX(Models!$BJ325:$BT325,,T325+1)*R325-ERP_i)*Q325*Ramure*Pc/MaxiM</f>
        <v>5.1640759206435646E-3</v>
      </c>
      <c r="Q325" s="307">
        <f t="shared" si="100"/>
        <v>1</v>
      </c>
      <c r="R325" s="179">
        <f t="shared" si="101"/>
        <v>0.89853627826839855</v>
      </c>
      <c r="S325" s="837">
        <f t="shared" si="118"/>
        <v>-3</v>
      </c>
      <c r="T325" s="178">
        <f t="shared" si="102"/>
        <v>3</v>
      </c>
      <c r="U325" s="253">
        <f t="shared" si="103"/>
        <v>-2.1014637217316015</v>
      </c>
      <c r="V325" s="385">
        <f t="shared" si="104"/>
        <v>24.565427198787106</v>
      </c>
      <c r="W325" s="58"/>
      <c r="X325" s="157">
        <f t="shared" si="105"/>
        <v>43411</v>
      </c>
      <c r="Y325" s="387">
        <f t="shared" si="106"/>
        <v>10.808999999999999</v>
      </c>
      <c r="Z325" s="387">
        <f t="shared" si="107"/>
        <v>10.83367945814434</v>
      </c>
      <c r="AA325" s="388">
        <f t="shared" si="108"/>
        <v>11.07951005492307</v>
      </c>
      <c r="AB325" s="199">
        <f t="shared" si="109"/>
        <v>43411</v>
      </c>
      <c r="AC325" s="426">
        <f t="shared" si="110"/>
        <v>2.2187858087596296E-2</v>
      </c>
      <c r="AD325" s="171">
        <f>(INDEX(Models!$BJ325:$BT325,,AH325)*(1-AF325)+INDEX(Models!$BJ325:$BT325,,AH325+1)*AF325-ERP_i)*AE325*Ramure*Pc/MaxiM</f>
        <v>5.1640759206435646E-3</v>
      </c>
      <c r="AE325" s="307">
        <f t="shared" si="111"/>
        <v>1</v>
      </c>
      <c r="AF325" s="179">
        <f t="shared" si="112"/>
        <v>0.89853627826839855</v>
      </c>
      <c r="AG325" s="837">
        <f t="shared" si="113"/>
        <v>-3</v>
      </c>
      <c r="AH325" s="178">
        <f t="shared" si="114"/>
        <v>3</v>
      </c>
      <c r="AI325" s="227">
        <f t="shared" si="115"/>
        <v>-2.1014637217316015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customHeight="1" x14ac:dyDescent="0.2">
      <c r="A326" s="56">
        <f t="shared" si="119"/>
        <v>43412</v>
      </c>
      <c r="B326" s="618">
        <v>13.313000000000001</v>
      </c>
      <c r="C326" s="392"/>
      <c r="D326" s="395">
        <f t="shared" si="120"/>
        <v>13.343707199433467</v>
      </c>
      <c r="E326" s="387">
        <f t="shared" si="124"/>
        <v>13.649061371848212</v>
      </c>
      <c r="F326" s="387">
        <f t="shared" si="126"/>
        <v>13.676180693923207</v>
      </c>
      <c r="G326" s="110">
        <f t="shared" si="125"/>
        <v>0.54679250854547079</v>
      </c>
      <c r="I326" s="382">
        <f t="shared" si="96"/>
        <v>13.676180693923207</v>
      </c>
      <c r="J326" s="85">
        <v>2018</v>
      </c>
      <c r="K326" s="199">
        <f t="shared" si="97"/>
        <v>43412</v>
      </c>
      <c r="L326" s="437">
        <f t="shared" si="98"/>
        <v>2.3012494934518957E-3</v>
      </c>
      <c r="M326" s="881"/>
      <c r="N326" s="881"/>
      <c r="O326" s="326">
        <f t="shared" si="99"/>
        <v>2.2371807415603715E-2</v>
      </c>
      <c r="P326" s="171">
        <f>(INDEX(Models!$BJ326:$BT326,,T326)*(1-R326)+INDEX(Models!$BJ326:$BT326,,T326+1)*R326-ERP_i)*Q326*Ramure*Pc/MaxiM</f>
        <v>5.5797356602168236E-3</v>
      </c>
      <c r="Q326" s="307">
        <f t="shared" si="100"/>
        <v>1</v>
      </c>
      <c r="R326" s="179">
        <f t="shared" si="101"/>
        <v>0.89859540790871151</v>
      </c>
      <c r="S326" s="837">
        <f t="shared" si="118"/>
        <v>-3</v>
      </c>
      <c r="T326" s="178">
        <f t="shared" si="102"/>
        <v>3</v>
      </c>
      <c r="U326" s="253">
        <f t="shared" si="103"/>
        <v>-2.1014045920912885</v>
      </c>
      <c r="V326" s="385">
        <f t="shared" si="104"/>
        <v>24.259697747472689</v>
      </c>
      <c r="W326" s="58"/>
      <c r="X326" s="157">
        <f t="shared" si="105"/>
        <v>43412</v>
      </c>
      <c r="Y326" s="387">
        <f t="shared" si="106"/>
        <v>13.313000000000001</v>
      </c>
      <c r="Z326" s="387">
        <f t="shared" si="107"/>
        <v>13.343707199433467</v>
      </c>
      <c r="AA326" s="388">
        <f t="shared" si="108"/>
        <v>13.649061371848212</v>
      </c>
      <c r="AB326" s="199">
        <f t="shared" si="109"/>
        <v>43412</v>
      </c>
      <c r="AC326" s="426">
        <f t="shared" si="110"/>
        <v>2.2371807415603715E-2</v>
      </c>
      <c r="AD326" s="171">
        <f>(INDEX(Models!$BJ326:$BT326,,AH326)*(1-AF326)+INDEX(Models!$BJ326:$BT326,,AH326+1)*AF326-ERP_i)*AE326*Ramure*Pc/MaxiM</f>
        <v>5.5797356602168236E-3</v>
      </c>
      <c r="AE326" s="307">
        <f t="shared" si="111"/>
        <v>1</v>
      </c>
      <c r="AF326" s="179">
        <f t="shared" si="112"/>
        <v>0.89859540790871151</v>
      </c>
      <c r="AG326" s="837">
        <f t="shared" si="113"/>
        <v>-3</v>
      </c>
      <c r="AH326" s="178">
        <f t="shared" si="114"/>
        <v>3</v>
      </c>
      <c r="AI326" s="227">
        <f t="shared" si="115"/>
        <v>-2.1014045920912885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customHeight="1" x14ac:dyDescent="0.2">
      <c r="A327" s="56">
        <f t="shared" si="119"/>
        <v>43413</v>
      </c>
      <c r="B327" s="618">
        <v>3.798</v>
      </c>
      <c r="C327" s="392"/>
      <c r="D327" s="395">
        <f t="shared" si="120"/>
        <v>3.8068488961593516</v>
      </c>
      <c r="E327" s="387">
        <f t="shared" si="124"/>
        <v>3.8946946800531572</v>
      </c>
      <c r="F327" s="387">
        <f t="shared" si="126"/>
        <v>3.8946946800531572</v>
      </c>
      <c r="G327" s="110">
        <f t="shared" si="125"/>
        <v>0.15755870942735273</v>
      </c>
      <c r="I327" s="382">
        <f t="shared" si="96"/>
        <v>3.8946946800531572</v>
      </c>
      <c r="J327" s="85">
        <v>2018</v>
      </c>
      <c r="K327" s="199">
        <f t="shared" si="97"/>
        <v>43413</v>
      </c>
      <c r="L327" s="437">
        <f t="shared" si="98"/>
        <v>2.3244674009201827E-3</v>
      </c>
      <c r="M327" s="881"/>
      <c r="N327" s="881"/>
      <c r="O327" s="326">
        <f t="shared" si="99"/>
        <v>2.2555242736667269E-2</v>
      </c>
      <c r="P327" s="171">
        <f>(INDEX(Models!$BJ327:$BT327,,T327)*(1-R327)+INDEX(Models!$BJ327:$BT327,,T327+1)*R327-ERP_i)*Q327*Ramure*Pc/MaxiM</f>
        <v>6.0018182235317069E-3</v>
      </c>
      <c r="Q327" s="307">
        <f t="shared" si="100"/>
        <v>1</v>
      </c>
      <c r="R327" s="179">
        <f t="shared" si="101"/>
        <v>0.89865216621656874</v>
      </c>
      <c r="S327" s="837">
        <f t="shared" si="118"/>
        <v>-3</v>
      </c>
      <c r="T327" s="178">
        <f t="shared" si="102"/>
        <v>3</v>
      </c>
      <c r="U327" s="253">
        <f t="shared" si="103"/>
        <v>-2.1013478337834313</v>
      </c>
      <c r="V327" s="385">
        <f t="shared" si="104"/>
        <v>23.960624633877824</v>
      </c>
      <c r="W327" s="58"/>
      <c r="X327" s="157">
        <f t="shared" si="105"/>
        <v>43413</v>
      </c>
      <c r="Y327" s="387">
        <f t="shared" si="106"/>
        <v>3.798</v>
      </c>
      <c r="Z327" s="387">
        <f t="shared" si="107"/>
        <v>3.8068488961593516</v>
      </c>
      <c r="AA327" s="388">
        <f t="shared" si="108"/>
        <v>3.8946946800531572</v>
      </c>
      <c r="AB327" s="199">
        <f t="shared" si="109"/>
        <v>43413</v>
      </c>
      <c r="AC327" s="426">
        <f t="shared" si="110"/>
        <v>2.2555242736667269E-2</v>
      </c>
      <c r="AD327" s="171">
        <f>(INDEX(Models!$BJ327:$BT327,,AH327)*(1-AF327)+INDEX(Models!$BJ327:$BT327,,AH327+1)*AF327-ERP_i)*AE327*Ramure*Pc/MaxiM</f>
        <v>6.0018182235317069E-3</v>
      </c>
      <c r="AE327" s="307">
        <f t="shared" si="111"/>
        <v>1</v>
      </c>
      <c r="AF327" s="179">
        <f t="shared" si="112"/>
        <v>0.89865216621656874</v>
      </c>
      <c r="AG327" s="837">
        <f t="shared" si="113"/>
        <v>-3</v>
      </c>
      <c r="AH327" s="178">
        <f t="shared" si="114"/>
        <v>3</v>
      </c>
      <c r="AI327" s="227">
        <f t="shared" si="115"/>
        <v>-2.1013478337834313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customHeight="1" x14ac:dyDescent="0.2">
      <c r="A328" s="56">
        <f t="shared" si="119"/>
        <v>43414</v>
      </c>
      <c r="B328" s="618">
        <v>15.11</v>
      </c>
      <c r="C328" s="392"/>
      <c r="D328" s="395">
        <f t="shared" si="120"/>
        <v>15.145556993457534</v>
      </c>
      <c r="E328" s="387">
        <f t="shared" si="124"/>
        <v>15.497952825179521</v>
      </c>
      <c r="F328" s="387">
        <f t="shared" si="126"/>
        <v>15.546277751743151</v>
      </c>
      <c r="G328" s="110">
        <f t="shared" si="125"/>
        <v>0.63627026306584633</v>
      </c>
      <c r="I328" s="382">
        <f t="shared" si="96"/>
        <v>15.546277751743151</v>
      </c>
      <c r="J328" s="85">
        <v>2018</v>
      </c>
      <c r="K328" s="199">
        <f t="shared" si="97"/>
        <v>43414</v>
      </c>
      <c r="L328" s="437">
        <f t="shared" si="98"/>
        <v>2.3476847680738988E-3</v>
      </c>
      <c r="M328" s="881"/>
      <c r="N328" s="881"/>
      <c r="O328" s="326">
        <f t="shared" si="99"/>
        <v>2.2738218118037449E-2</v>
      </c>
      <c r="P328" s="171">
        <f>(INDEX(Models!$BJ328:$BT328,,T328)*(1-R328)+INDEX(Models!$BJ328:$BT328,,T328+1)*R328-ERP_i)*Q328*Ramure*Pc/MaxiM</f>
        <v>6.4300717778907456E-3</v>
      </c>
      <c r="Q328" s="307">
        <f t="shared" si="100"/>
        <v>1</v>
      </c>
      <c r="R328" s="179">
        <f t="shared" si="101"/>
        <v>0.89870664792921762</v>
      </c>
      <c r="S328" s="837">
        <f t="shared" si="118"/>
        <v>-3</v>
      </c>
      <c r="T328" s="178">
        <f t="shared" si="102"/>
        <v>3</v>
      </c>
      <c r="U328" s="253">
        <f t="shared" si="103"/>
        <v>-2.1012933520707824</v>
      </c>
      <c r="V328" s="385">
        <f t="shared" si="104"/>
        <v>23.668643290647175</v>
      </c>
      <c r="W328" s="58"/>
      <c r="X328" s="157">
        <f t="shared" si="105"/>
        <v>43414</v>
      </c>
      <c r="Y328" s="387">
        <f t="shared" si="106"/>
        <v>15.11</v>
      </c>
      <c r="Z328" s="387">
        <f t="shared" si="107"/>
        <v>15.145556993457534</v>
      </c>
      <c r="AA328" s="388">
        <f t="shared" si="108"/>
        <v>15.497952825179521</v>
      </c>
      <c r="AB328" s="199">
        <f t="shared" si="109"/>
        <v>43414</v>
      </c>
      <c r="AC328" s="426">
        <f t="shared" si="110"/>
        <v>2.2738218118037449E-2</v>
      </c>
      <c r="AD328" s="171">
        <f>(INDEX(Models!$BJ328:$BT328,,AH328)*(1-AF328)+INDEX(Models!$BJ328:$BT328,,AH328+1)*AF328-ERP_i)*AE328*Ramure*Pc/MaxiM</f>
        <v>6.4300717778907456E-3</v>
      </c>
      <c r="AE328" s="307">
        <f t="shared" si="111"/>
        <v>1</v>
      </c>
      <c r="AF328" s="179">
        <f t="shared" si="112"/>
        <v>0.89870664792921762</v>
      </c>
      <c r="AG328" s="837">
        <f t="shared" si="113"/>
        <v>-3</v>
      </c>
      <c r="AH328" s="178">
        <f t="shared" si="114"/>
        <v>3</v>
      </c>
      <c r="AI328" s="227">
        <f t="shared" si="115"/>
        <v>-2.1012933520707824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customHeight="1" x14ac:dyDescent="0.2">
      <c r="A329" s="56">
        <f t="shared" si="119"/>
        <v>43415</v>
      </c>
      <c r="B329" s="618">
        <v>19.414000000000001</v>
      </c>
      <c r="C329" s="392"/>
      <c r="D329" s="395">
        <f t="shared" si="120"/>
        <v>19.46013807239331</v>
      </c>
      <c r="E329" s="387">
        <f t="shared" si="124"/>
        <v>19.916643232170333</v>
      </c>
      <c r="F329" s="387">
        <f t="shared" si="126"/>
        <v>20.020737450041107</v>
      </c>
      <c r="G329" s="110">
        <f t="shared" si="125"/>
        <v>0.82882965952511178</v>
      </c>
      <c r="I329" s="382">
        <f t="shared" si="96"/>
        <v>20.020737450041107</v>
      </c>
      <c r="J329" s="85">
        <v>2018</v>
      </c>
      <c r="K329" s="199">
        <f t="shared" si="97"/>
        <v>43415</v>
      </c>
      <c r="L329" s="437">
        <f t="shared" si="98"/>
        <v>2.3709015949255896E-3</v>
      </c>
      <c r="M329" s="881"/>
      <c r="N329" s="881"/>
      <c r="O329" s="326">
        <f t="shared" si="99"/>
        <v>2.2920788129580729E-2</v>
      </c>
      <c r="P329" s="171">
        <f>(INDEX(Models!$BJ329:$BT329,,T329)*(1-R329)+INDEX(Models!$BJ329:$BT329,,T329+1)*R329-ERP_i)*Q329*Ramure*Pc/MaxiM</f>
        <v>6.8641887382542045E-3</v>
      </c>
      <c r="Q329" s="307">
        <f t="shared" si="100"/>
        <v>1</v>
      </c>
      <c r="R329" s="179">
        <f t="shared" si="101"/>
        <v>0.8987589440276138</v>
      </c>
      <c r="S329" s="837">
        <f t="shared" si="118"/>
        <v>-3</v>
      </c>
      <c r="T329" s="178">
        <f t="shared" si="102"/>
        <v>3</v>
      </c>
      <c r="U329" s="253">
        <f t="shared" si="103"/>
        <v>-2.1012410559723862</v>
      </c>
      <c r="V329" s="385">
        <f t="shared" si="104"/>
        <v>23.384188878117989</v>
      </c>
      <c r="W329" s="58"/>
      <c r="X329" s="157">
        <f t="shared" si="105"/>
        <v>43415</v>
      </c>
      <c r="Y329" s="387">
        <f t="shared" si="106"/>
        <v>19.414000000000001</v>
      </c>
      <c r="Z329" s="387">
        <f t="shared" si="107"/>
        <v>19.46013807239331</v>
      </c>
      <c r="AA329" s="388">
        <f t="shared" si="108"/>
        <v>19.916643232170333</v>
      </c>
      <c r="AB329" s="199">
        <f t="shared" si="109"/>
        <v>43415</v>
      </c>
      <c r="AC329" s="426">
        <f t="shared" si="110"/>
        <v>2.2920788129580729E-2</v>
      </c>
      <c r="AD329" s="171">
        <f>(INDEX(Models!$BJ329:$BT329,,AH329)*(1-AF329)+INDEX(Models!$BJ329:$BT329,,AH329+1)*AF329-ERP_i)*AE329*Ramure*Pc/MaxiM</f>
        <v>6.8641887382542045E-3</v>
      </c>
      <c r="AE329" s="307">
        <f t="shared" si="111"/>
        <v>1</v>
      </c>
      <c r="AF329" s="179">
        <f t="shared" si="112"/>
        <v>0.8987589440276138</v>
      </c>
      <c r="AG329" s="837">
        <f t="shared" si="113"/>
        <v>-3</v>
      </c>
      <c r="AH329" s="178">
        <f t="shared" si="114"/>
        <v>3</v>
      </c>
      <c r="AI329" s="227">
        <f t="shared" si="115"/>
        <v>-2.1012410559723862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customHeight="1" x14ac:dyDescent="0.2">
      <c r="A330" s="56">
        <f t="shared" si="119"/>
        <v>43416</v>
      </c>
      <c r="B330" s="618">
        <v>20.757000000000001</v>
      </c>
      <c r="C330" s="392"/>
      <c r="D330" s="395">
        <f t="shared" si="120"/>
        <v>20.806813965371287</v>
      </c>
      <c r="E330" s="387">
        <f t="shared" si="124"/>
        <v>21.298882202413839</v>
      </c>
      <c r="F330" s="387">
        <f t="shared" si="126"/>
        <v>21.432672952690233</v>
      </c>
      <c r="G330" s="110">
        <f t="shared" si="125"/>
        <v>0.89731270786747086</v>
      </c>
      <c r="I330" s="382">
        <f t="shared" si="96"/>
        <v>21.432672952690233</v>
      </c>
      <c r="J330" s="85">
        <v>2018</v>
      </c>
      <c r="K330" s="199">
        <f t="shared" si="97"/>
        <v>43416</v>
      </c>
      <c r="L330" s="437">
        <f t="shared" si="98"/>
        <v>2.3941178814878006E-3</v>
      </c>
      <c r="M330" s="881"/>
      <c r="N330" s="881"/>
      <c r="O330" s="326">
        <f t="shared" si="99"/>
        <v>2.3103007583505274E-2</v>
      </c>
      <c r="P330" s="171">
        <f>(INDEX(Models!$BJ330:$BT330,,T330)*(1-R330)+INDEX(Models!$BJ330:$BT330,,T330+1)*R330-ERP_i)*Q330*Ramure*Pc/MaxiM</f>
        <v>7.303802253818042E-3</v>
      </c>
      <c r="Q330" s="307">
        <f t="shared" si="100"/>
        <v>1</v>
      </c>
      <c r="R330" s="179">
        <f t="shared" si="101"/>
        <v>0.89880914188310213</v>
      </c>
      <c r="S330" s="837">
        <f t="shared" si="118"/>
        <v>-3</v>
      </c>
      <c r="T330" s="178">
        <f t="shared" si="102"/>
        <v>3</v>
      </c>
      <c r="U330" s="253">
        <f t="shared" si="103"/>
        <v>-2.1011908581168979</v>
      </c>
      <c r="V330" s="385">
        <f t="shared" si="104"/>
        <v>23.107696286669114</v>
      </c>
      <c r="W330" s="58"/>
      <c r="X330" s="157">
        <f t="shared" si="105"/>
        <v>43416</v>
      </c>
      <c r="Y330" s="387">
        <f t="shared" si="106"/>
        <v>20.757000000000001</v>
      </c>
      <c r="Z330" s="387">
        <f t="shared" si="107"/>
        <v>20.806813965371287</v>
      </c>
      <c r="AA330" s="388">
        <f t="shared" si="108"/>
        <v>21.298882202413839</v>
      </c>
      <c r="AB330" s="199">
        <f t="shared" si="109"/>
        <v>43416</v>
      </c>
      <c r="AC330" s="426">
        <f t="shared" si="110"/>
        <v>2.3103007583505274E-2</v>
      </c>
      <c r="AD330" s="171">
        <f>(INDEX(Models!$BJ330:$BT330,,AH330)*(1-AF330)+INDEX(Models!$BJ330:$BT330,,AH330+1)*AF330-ERP_i)*AE330*Ramure*Pc/MaxiM</f>
        <v>7.303802253818042E-3</v>
      </c>
      <c r="AE330" s="307">
        <f t="shared" si="111"/>
        <v>1</v>
      </c>
      <c r="AF330" s="179">
        <f t="shared" si="112"/>
        <v>0.89880914188310213</v>
      </c>
      <c r="AG330" s="837">
        <f t="shared" si="113"/>
        <v>-3</v>
      </c>
      <c r="AH330" s="178">
        <f t="shared" si="114"/>
        <v>3</v>
      </c>
      <c r="AI330" s="227">
        <f t="shared" si="115"/>
        <v>-2.1011908581168979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customHeight="1" x14ac:dyDescent="0.2">
      <c r="A331" s="56">
        <f t="shared" si="119"/>
        <v>43417</v>
      </c>
      <c r="B331" s="618">
        <v>7.5250000000000004</v>
      </c>
      <c r="C331" s="392"/>
      <c r="D331" s="395">
        <f t="shared" si="120"/>
        <v>7.5432345144539683</v>
      </c>
      <c r="E331" s="387">
        <f t="shared" si="124"/>
        <v>7.7230655653404705</v>
      </c>
      <c r="F331" s="387">
        <f t="shared" si="126"/>
        <v>7.7255863937291069</v>
      </c>
      <c r="G331" s="110">
        <f t="shared" si="125"/>
        <v>0.32703089675107383</v>
      </c>
      <c r="I331" s="382">
        <f t="shared" si="96"/>
        <v>7.7255863937291069</v>
      </c>
      <c r="J331" s="85">
        <v>2018</v>
      </c>
      <c r="K331" s="199">
        <f t="shared" si="97"/>
        <v>43417</v>
      </c>
      <c r="L331" s="437">
        <f t="shared" si="98"/>
        <v>2.4173336277730773E-3</v>
      </c>
      <c r="M331" s="881"/>
      <c r="N331" s="881"/>
      <c r="O331" s="326">
        <f t="shared" si="99"/>
        <v>2.3284931270497855E-2</v>
      </c>
      <c r="P331" s="171">
        <f>(INDEX(Models!$BJ331:$BT331,,T331)*(1-R331)+INDEX(Models!$BJ331:$BT331,,T331+1)*R331-ERP_i)*Q331*Ramure*Pc/MaxiM</f>
        <v>7.7486126365026763E-3</v>
      </c>
      <c r="Q331" s="307">
        <f t="shared" si="100"/>
        <v>1</v>
      </c>
      <c r="R331" s="179">
        <f t="shared" si="101"/>
        <v>0.89885732539855301</v>
      </c>
      <c r="S331" s="837">
        <f t="shared" si="118"/>
        <v>-3</v>
      </c>
      <c r="T331" s="178">
        <f t="shared" si="102"/>
        <v>3</v>
      </c>
      <c r="U331" s="253">
        <f t="shared" si="103"/>
        <v>-2.101142674601447</v>
      </c>
      <c r="V331" s="385">
        <f t="shared" si="104"/>
        <v>22.839214616759612</v>
      </c>
      <c r="W331" s="58"/>
      <c r="X331" s="157">
        <f t="shared" si="105"/>
        <v>43417</v>
      </c>
      <c r="Y331" s="387">
        <f t="shared" si="106"/>
        <v>7.5250000000000004</v>
      </c>
      <c r="Z331" s="387">
        <f t="shared" si="107"/>
        <v>7.5432345144539683</v>
      </c>
      <c r="AA331" s="388">
        <f t="shared" si="108"/>
        <v>7.7230655653404705</v>
      </c>
      <c r="AB331" s="199">
        <f t="shared" si="109"/>
        <v>43417</v>
      </c>
      <c r="AC331" s="426">
        <f t="shared" si="110"/>
        <v>2.3284931270497855E-2</v>
      </c>
      <c r="AD331" s="171">
        <f>(INDEX(Models!$BJ331:$BT331,,AH331)*(1-AF331)+INDEX(Models!$BJ331:$BT331,,AH331+1)*AF331-ERP_i)*AE331*Ramure*Pc/MaxiM</f>
        <v>7.7486126365026763E-3</v>
      </c>
      <c r="AE331" s="307">
        <f t="shared" si="111"/>
        <v>1</v>
      </c>
      <c r="AF331" s="179">
        <f t="shared" si="112"/>
        <v>0.89885732539855301</v>
      </c>
      <c r="AG331" s="837">
        <f t="shared" si="113"/>
        <v>-3</v>
      </c>
      <c r="AH331" s="178">
        <f t="shared" si="114"/>
        <v>3</v>
      </c>
      <c r="AI331" s="227">
        <f t="shared" si="115"/>
        <v>-2.101142674601447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customHeight="1" x14ac:dyDescent="0.2">
      <c r="A332" s="56">
        <f t="shared" si="119"/>
        <v>43418</v>
      </c>
      <c r="B332" s="618">
        <v>15.919</v>
      </c>
      <c r="C332" s="392"/>
      <c r="D332" s="395">
        <f t="shared" si="120"/>
        <v>15.957946146858465</v>
      </c>
      <c r="E332" s="387">
        <f t="shared" si="124"/>
        <v>16.341424031826531</v>
      </c>
      <c r="F332" s="387">
        <f t="shared" si="126"/>
        <v>16.419116292170823</v>
      </c>
      <c r="G332" s="110">
        <f t="shared" si="125"/>
        <v>0.7026023468809971</v>
      </c>
      <c r="I332" s="382">
        <f t="shared" si="96"/>
        <v>16.419116292170823</v>
      </c>
      <c r="J332" s="85">
        <v>2018</v>
      </c>
      <c r="K332" s="199">
        <f t="shared" si="97"/>
        <v>43418</v>
      </c>
      <c r="L332" s="437">
        <f t="shared" si="98"/>
        <v>2.4405488337940762E-3</v>
      </c>
      <c r="M332" s="881"/>
      <c r="N332" s="881"/>
      <c r="O332" s="326">
        <f t="shared" si="99"/>
        <v>2.3466613694204771E-2</v>
      </c>
      <c r="P332" s="171">
        <f>(INDEX(Models!$BJ332:$BT332,,T332)*(1-R332)+INDEX(Models!$BJ332:$BT332,,T332+1)*R332-ERP_i)*Q332*Ramure*Pc/MaxiM</f>
        <v>8.1775754375522699E-3</v>
      </c>
      <c r="Q332" s="307">
        <f t="shared" si="100"/>
        <v>1</v>
      </c>
      <c r="R332" s="179">
        <f t="shared" si="101"/>
        <v>0.89890357514413965</v>
      </c>
      <c r="S332" s="837">
        <f t="shared" si="118"/>
        <v>-3</v>
      </c>
      <c r="T332" s="178">
        <f t="shared" si="102"/>
        <v>3</v>
      </c>
      <c r="U332" s="253">
        <f t="shared" si="103"/>
        <v>-2.1010964248558603</v>
      </c>
      <c r="V332" s="385">
        <f t="shared" si="104"/>
        <v>22.57875491009974</v>
      </c>
      <c r="W332" s="58"/>
      <c r="X332" s="157">
        <f t="shared" si="105"/>
        <v>43418</v>
      </c>
      <c r="Y332" s="387">
        <f t="shared" si="106"/>
        <v>15.918999999999999</v>
      </c>
      <c r="Z332" s="387">
        <f t="shared" si="107"/>
        <v>15.957946146858463</v>
      </c>
      <c r="AA332" s="388">
        <f t="shared" si="108"/>
        <v>16.341424031826531</v>
      </c>
      <c r="AB332" s="199">
        <f t="shared" si="109"/>
        <v>43418</v>
      </c>
      <c r="AC332" s="426">
        <f t="shared" si="110"/>
        <v>2.3466613694204771E-2</v>
      </c>
      <c r="AD332" s="171">
        <f>(INDEX(Models!$BJ332:$BT332,,AH332)*(1-AF332)+INDEX(Models!$BJ332:$BT332,,AH332+1)*AF332-ERP_i)*AE332*Ramure*Pc/MaxiM</f>
        <v>8.1775754375522699E-3</v>
      </c>
      <c r="AE332" s="307">
        <f t="shared" si="111"/>
        <v>1</v>
      </c>
      <c r="AF332" s="179">
        <f t="shared" si="112"/>
        <v>0.89890357514413965</v>
      </c>
      <c r="AG332" s="837">
        <f t="shared" si="113"/>
        <v>-3</v>
      </c>
      <c r="AH332" s="178">
        <f t="shared" si="114"/>
        <v>3</v>
      </c>
      <c r="AI332" s="227">
        <f t="shared" si="115"/>
        <v>-2.1010964248558603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customHeight="1" x14ac:dyDescent="0.2">
      <c r="A333" s="56">
        <f t="shared" si="119"/>
        <v>43419</v>
      </c>
      <c r="B333" s="618">
        <v>14.42</v>
      </c>
      <c r="C333" s="392"/>
      <c r="D333" s="395">
        <f t="shared" si="120"/>
        <v>14.45561521713571</v>
      </c>
      <c r="E333" s="387">
        <f t="shared" si="124"/>
        <v>14.805743039487545</v>
      </c>
      <c r="F333" s="387">
        <f t="shared" si="126"/>
        <v>14.868765567065886</v>
      </c>
      <c r="G333" s="110">
        <f t="shared" si="125"/>
        <v>0.64306189729774299</v>
      </c>
      <c r="I333" s="382">
        <f t="shared" si="96"/>
        <v>14.868765567065886</v>
      </c>
      <c r="J333" s="85">
        <v>2018</v>
      </c>
      <c r="K333" s="199">
        <f t="shared" si="97"/>
        <v>43419</v>
      </c>
      <c r="L333" s="437">
        <f t="shared" si="98"/>
        <v>2.4637634995632318E-3</v>
      </c>
      <c r="M333" s="881"/>
      <c r="N333" s="881"/>
      <c r="O333" s="326">
        <f t="shared" si="99"/>
        <v>2.3648108806024123E-2</v>
      </c>
      <c r="P333" s="171">
        <f>(INDEX(Models!$BJ333:$BT333,,T333)*(1-R333)+INDEX(Models!$BJ333:$BT333,,T333+1)*R333-ERP_i)*Q333*Ramure*Pc/MaxiM</f>
        <v>8.5782289348378567E-3</v>
      </c>
      <c r="Q333" s="307">
        <f t="shared" si="100"/>
        <v>1</v>
      </c>
      <c r="R333" s="179">
        <f t="shared" si="101"/>
        <v>0.89894796848795266</v>
      </c>
      <c r="S333" s="837">
        <f t="shared" si="118"/>
        <v>-3</v>
      </c>
      <c r="T333" s="178">
        <f t="shared" si="102"/>
        <v>3</v>
      </c>
      <c r="U333" s="253">
        <f t="shared" si="103"/>
        <v>-2.1010520315120473</v>
      </c>
      <c r="V333" s="385">
        <f t="shared" si="104"/>
        <v>22.326242661641274</v>
      </c>
      <c r="W333" s="58"/>
      <c r="X333" s="157">
        <f t="shared" si="105"/>
        <v>43419</v>
      </c>
      <c r="Y333" s="387">
        <f t="shared" si="106"/>
        <v>14.42</v>
      </c>
      <c r="Z333" s="387">
        <f t="shared" si="107"/>
        <v>14.45561521713571</v>
      </c>
      <c r="AA333" s="388">
        <f t="shared" si="108"/>
        <v>14.805743039487545</v>
      </c>
      <c r="AB333" s="199">
        <f t="shared" si="109"/>
        <v>43419</v>
      </c>
      <c r="AC333" s="426">
        <f t="shared" si="110"/>
        <v>2.3648108806024123E-2</v>
      </c>
      <c r="AD333" s="171">
        <f>(INDEX(Models!$BJ333:$BT333,,AH333)*(1-AF333)+INDEX(Models!$BJ333:$BT333,,AH333+1)*AF333-ERP_i)*AE333*Ramure*Pc/MaxiM</f>
        <v>8.5782289348378567E-3</v>
      </c>
      <c r="AE333" s="307">
        <f t="shared" si="111"/>
        <v>1</v>
      </c>
      <c r="AF333" s="179">
        <f t="shared" si="112"/>
        <v>0.89894796848795266</v>
      </c>
      <c r="AG333" s="837">
        <f t="shared" si="113"/>
        <v>-3</v>
      </c>
      <c r="AH333" s="178">
        <f t="shared" si="114"/>
        <v>3</v>
      </c>
      <c r="AI333" s="227">
        <f t="shared" si="115"/>
        <v>-2.1010520315120473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customHeight="1" x14ac:dyDescent="0.2">
      <c r="A334" s="56">
        <f t="shared" si="119"/>
        <v>43420</v>
      </c>
      <c r="B334" s="618">
        <v>20.081</v>
      </c>
      <c r="C334" s="392"/>
      <c r="D334" s="395">
        <f t="shared" si="120"/>
        <v>20.131065509491393</v>
      </c>
      <c r="E334" s="387">
        <f t="shared" si="124"/>
        <v>20.622488474605742</v>
      </c>
      <c r="F334" s="387">
        <f t="shared" si="126"/>
        <v>20.784423459176622</v>
      </c>
      <c r="G334" s="110">
        <f t="shared" si="125"/>
        <v>0.90834874817171651</v>
      </c>
      <c r="I334" s="382">
        <f t="shared" si="96"/>
        <v>20.784423459176622</v>
      </c>
      <c r="J334" s="85">
        <v>2018</v>
      </c>
      <c r="K334" s="199">
        <f t="shared" si="97"/>
        <v>43420</v>
      </c>
      <c r="L334" s="437">
        <f t="shared" si="98"/>
        <v>2.4869776250933118E-3</v>
      </c>
      <c r="M334" s="881"/>
      <c r="N334" s="881"/>
      <c r="O334" s="326">
        <f t="shared" si="99"/>
        <v>2.3829469742193493E-2</v>
      </c>
      <c r="P334" s="171">
        <f>(INDEX(Models!$BJ334:$BT334,,T334)*(1-R334)+INDEX(Models!$BJ334:$BT334,,T334+1)*R334-ERP_i)*Q334*Ramure*Pc/MaxiM</f>
        <v>8.9493392961031305E-3</v>
      </c>
      <c r="Q334" s="307">
        <f t="shared" si="100"/>
        <v>1</v>
      </c>
      <c r="R334" s="179">
        <f t="shared" si="101"/>
        <v>0.89899057972163821</v>
      </c>
      <c r="S334" s="837">
        <f t="shared" si="118"/>
        <v>-3</v>
      </c>
      <c r="T334" s="178">
        <f t="shared" si="102"/>
        <v>3</v>
      </c>
      <c r="U334" s="253">
        <f t="shared" si="103"/>
        <v>-2.1010094202783618</v>
      </c>
      <c r="V334" s="385">
        <f t="shared" si="104"/>
        <v>22.081342905939611</v>
      </c>
      <c r="W334" s="58"/>
      <c r="X334" s="157">
        <f t="shared" si="105"/>
        <v>43420</v>
      </c>
      <c r="Y334" s="387">
        <f t="shared" si="106"/>
        <v>20.081</v>
      </c>
      <c r="Z334" s="387">
        <f t="shared" si="107"/>
        <v>20.131065509491393</v>
      </c>
      <c r="AA334" s="388">
        <f t="shared" si="108"/>
        <v>20.622488474605742</v>
      </c>
      <c r="AB334" s="199">
        <f t="shared" si="109"/>
        <v>43420</v>
      </c>
      <c r="AC334" s="426">
        <f t="shared" si="110"/>
        <v>2.3829469742193493E-2</v>
      </c>
      <c r="AD334" s="171">
        <f>(INDEX(Models!$BJ334:$BT334,,AH334)*(1-AF334)+INDEX(Models!$BJ334:$BT334,,AH334+1)*AF334-ERP_i)*AE334*Ramure*Pc/MaxiM</f>
        <v>8.9493392961031305E-3</v>
      </c>
      <c r="AE334" s="307">
        <f t="shared" si="111"/>
        <v>1</v>
      </c>
      <c r="AF334" s="179">
        <f t="shared" si="112"/>
        <v>0.89899057972163821</v>
      </c>
      <c r="AG334" s="837">
        <f t="shared" si="113"/>
        <v>-3</v>
      </c>
      <c r="AH334" s="178">
        <f t="shared" si="114"/>
        <v>3</v>
      </c>
      <c r="AI334" s="227">
        <f t="shared" si="115"/>
        <v>-2.1010094202783618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customHeight="1" x14ac:dyDescent="0.2">
      <c r="A335" s="56">
        <f t="shared" si="119"/>
        <v>43421</v>
      </c>
      <c r="B335" s="618">
        <v>21.167999999999999</v>
      </c>
      <c r="C335" s="392"/>
      <c r="D335" s="395">
        <f t="shared" ref="D335:D379" si="127">Wh/(1-Ppv)</f>
        <v>21.221269444031869</v>
      </c>
      <c r="E335" s="387">
        <f t="shared" si="124"/>
        <v>21.743343395261331</v>
      </c>
      <c r="F335" s="387">
        <f t="shared" si="126"/>
        <v>21.938135822618069</v>
      </c>
      <c r="G335" s="110">
        <f t="shared" si="125"/>
        <v>0.96866427102619257</v>
      </c>
      <c r="I335" s="382">
        <f t="shared" ref="I335:I380" si="128">Wh_hp</f>
        <v>21.938135822618069</v>
      </c>
      <c r="J335" s="85">
        <v>2018</v>
      </c>
      <c r="K335" s="199">
        <f t="shared" ref="K335:K379" si="129">t</f>
        <v>43421</v>
      </c>
      <c r="L335" s="437">
        <f t="shared" ref="L335:L378" si="130">IF(t&lt;T0,0,IF(t&lt;Tvie,1-EXP((T0-t)*PertePVj),1-EXP((T0-t)*PertePVj)+Pspv))</f>
        <v>2.5101912103966395E-3</v>
      </c>
      <c r="M335" s="881"/>
      <c r="N335" s="881"/>
      <c r="O335" s="326">
        <f t="shared" ref="O335:O379" si="131">IF(t&lt;T0,0,IF(t&lt;Tnet,Salim_i*(1-EXP((T0-t)/Tau_ij)),Resal+(Salim-Resal)*(1-EXP((Tnet-t)/(Tau_j)))))*Salcycl</f>
        <v>2.4010748565155882E-2</v>
      </c>
      <c r="P335" s="171">
        <f>(INDEX(Models!$BJ335:$BT335,,T335)*(1-R335)+INDEX(Models!$BJ335:$BT335,,T335+1)*R335-ERP_i)*Q335*Ramure*Pc/MaxiM</f>
        <v>9.2896990561574782E-3</v>
      </c>
      <c r="Q335" s="307">
        <f t="shared" ref="Q335:Q379" si="132">IF(OR(t&lt;Ttai,Notai),Dd+PousD*Croivg,Dens+PousD*(Croivg-Croi_tai))</f>
        <v>1</v>
      </c>
      <c r="R335" s="179">
        <f t="shared" ref="R335:R379" si="133">(Hp_vg-S335)/(INDEX(Echel_vg,T335+1)-S335)</f>
        <v>0.89903148018123025</v>
      </c>
      <c r="S335" s="837">
        <f t="shared" si="118"/>
        <v>-3</v>
      </c>
      <c r="T335" s="178">
        <f t="shared" ref="T335:T379" si="134">MIN(MATCH(Hp_vg,Echel_vg),10)</f>
        <v>3</v>
      </c>
      <c r="U335" s="253">
        <f t="shared" ref="U335:U379" si="135">IF(OR(t&lt;Ttai,Notai),Hdd+PousH*Croivg,Hdtf+PousH*(Croivg-Croi_tai))</f>
        <v>-2.1009685198187698</v>
      </c>
      <c r="V335" s="385">
        <f t="shared" ref="V335:V379" si="136">MaxiM*(1-Ppv)*(1-Pvg)*(1-Psa)</f>
        <v>21.843720979560057</v>
      </c>
      <c r="W335" s="58"/>
      <c r="X335" s="157">
        <f t="shared" ref="X335:X379" si="137">t</f>
        <v>43421</v>
      </c>
      <c r="Y335" s="387">
        <f t="shared" ref="Y335:Y379" si="138">Wh_pvt_s*(1-Ppv)</f>
        <v>21.167999999999999</v>
      </c>
      <c r="Z335" s="387">
        <f t="shared" ref="Z335:Z379" si="139">Wh_sa_s*(1-Psa_s)</f>
        <v>21.221269444031869</v>
      </c>
      <c r="AA335" s="388">
        <f t="shared" ref="AA335:AA379" si="140">Wh_hp*(1-Pvg_s*MEDIAN((-Sdif+Wh/Env_an)/Csdif,0,1))</f>
        <v>21.743343395261331</v>
      </c>
      <c r="AB335" s="199">
        <f t="shared" ref="AB335:AB379" si="141">t</f>
        <v>43421</v>
      </c>
      <c r="AC335" s="426">
        <f t="shared" ref="AC335:AC379" si="142">IF(t&lt;T0,0,IF(OR(t&lt;Tnet,NoTnet),Salim_i*(1-EXP((T0-t)/Tau_ij)),Resal_s+(Salim-Resal_s)*(1-EXP((Tnet_s-t)/Tau_j))))*Salcycl</f>
        <v>2.4010748565155882E-2</v>
      </c>
      <c r="AD335" s="171">
        <f>(INDEX(Models!$BJ335:$BT335,,AH335)*(1-AF335)+INDEX(Models!$BJ335:$BT335,,AH335+1)*AF335-ERP_i)*AE335*Ramure*Pc/MaxiM</f>
        <v>9.2896990561574782E-3</v>
      </c>
      <c r="AE335" s="307">
        <f t="shared" ref="AE335:AE379" si="143">Dd+PousD*Croivg</f>
        <v>1</v>
      </c>
      <c r="AF335" s="179">
        <f t="shared" ref="AF335:AF379" si="144">(Hp_vg_s-AG335)/(INDEX(Echel_vg,AH335+1)-AG335)</f>
        <v>0.89903148018123025</v>
      </c>
      <c r="AG335" s="837">
        <f t="shared" ref="AG335:AG379" si="145">INDEX(Echel_vg,AH335)</f>
        <v>-3</v>
      </c>
      <c r="AH335" s="178">
        <f t="shared" ref="AH335:AH379" si="146">MIN(MATCH(Hp_vg_s,Echel_vg),10)</f>
        <v>3</v>
      </c>
      <c r="AI335" s="227">
        <f t="shared" ref="AI335:AI379" si="147">Hdd+PousH*Croivg</f>
        <v>-2.1009685198187698</v>
      </c>
      <c r="AJ335" s="267" t="b">
        <f t="shared" ref="AJ335:AJ380" si="148">t&lt;Tnet</f>
        <v>0</v>
      </c>
      <c r="AK335" s="267" t="b">
        <f t="shared" ref="AK335:AK380" si="149">t&lt;Ttai</f>
        <v>0</v>
      </c>
      <c r="AL335" s="267"/>
      <c r="AM335" s="267"/>
      <c r="AN335" s="75"/>
    </row>
    <row r="336" spans="1:40" s="6" customFormat="1" ht="11.25" customHeight="1" x14ac:dyDescent="0.2">
      <c r="A336" s="56">
        <f t="shared" si="119"/>
        <v>43422</v>
      </c>
      <c r="B336" s="618">
        <v>18.733000000000001</v>
      </c>
      <c r="C336" s="392"/>
      <c r="D336" s="395">
        <f t="shared" si="127"/>
        <v>18.780578798247973</v>
      </c>
      <c r="E336" s="387">
        <f t="shared" si="124"/>
        <v>19.246182365258505</v>
      </c>
      <c r="F336" s="387">
        <f t="shared" si="126"/>
        <v>19.3969155891375</v>
      </c>
      <c r="G336" s="110">
        <f t="shared" si="125"/>
        <v>0.86514909352129066</v>
      </c>
      <c r="I336" s="382">
        <f t="shared" si="128"/>
        <v>19.3969155891375</v>
      </c>
      <c r="J336" s="85">
        <v>2018</v>
      </c>
      <c r="K336" s="199">
        <f t="shared" si="129"/>
        <v>43422</v>
      </c>
      <c r="L336" s="437">
        <f t="shared" si="130"/>
        <v>2.5334042554859826E-3</v>
      </c>
      <c r="M336" s="881"/>
      <c r="N336" s="881"/>
      <c r="O336" s="326">
        <f t="shared" si="131"/>
        <v>2.4191996011167345E-2</v>
      </c>
      <c r="P336" s="171">
        <f>(INDEX(Models!$BJ336:$BT336,,T336)*(1-R336)+INDEX(Models!$BJ336:$BT336,,T336+1)*R336-ERP_i)*Q336*Ramure*Pc/MaxiM</f>
        <v>9.5981278841209099E-3</v>
      </c>
      <c r="Q336" s="307">
        <f t="shared" si="132"/>
        <v>1</v>
      </c>
      <c r="R336" s="179">
        <f t="shared" si="133"/>
        <v>0.89907073836335893</v>
      </c>
      <c r="S336" s="837">
        <f t="shared" ref="S336:S379" si="150">INDEX(Echel_vg,T336)</f>
        <v>-3</v>
      </c>
      <c r="T336" s="178">
        <f t="shared" si="134"/>
        <v>3</v>
      </c>
      <c r="U336" s="253">
        <f t="shared" si="135"/>
        <v>-2.1009292616366411</v>
      </c>
      <c r="V336" s="385">
        <f t="shared" si="136"/>
        <v>21.613042522251707</v>
      </c>
      <c r="W336" s="58"/>
      <c r="X336" s="157">
        <f t="shared" si="137"/>
        <v>43422</v>
      </c>
      <c r="Y336" s="387">
        <f t="shared" si="138"/>
        <v>18.733000000000001</v>
      </c>
      <c r="Z336" s="387">
        <f t="shared" si="139"/>
        <v>18.780578798247973</v>
      </c>
      <c r="AA336" s="388">
        <f t="shared" si="140"/>
        <v>19.246182365258505</v>
      </c>
      <c r="AB336" s="199">
        <f t="shared" si="141"/>
        <v>43422</v>
      </c>
      <c r="AC336" s="426">
        <f t="shared" si="142"/>
        <v>2.4191996011167345E-2</v>
      </c>
      <c r="AD336" s="171">
        <f>(INDEX(Models!$BJ336:$BT336,,AH336)*(1-AF336)+INDEX(Models!$BJ336:$BT336,,AH336+1)*AF336-ERP_i)*AE336*Ramure*Pc/MaxiM</f>
        <v>9.5981278841209099E-3</v>
      </c>
      <c r="AE336" s="307">
        <f t="shared" si="143"/>
        <v>1</v>
      </c>
      <c r="AF336" s="179">
        <f t="shared" si="144"/>
        <v>0.89907073836335893</v>
      </c>
      <c r="AG336" s="837">
        <f t="shared" si="145"/>
        <v>-3</v>
      </c>
      <c r="AH336" s="178">
        <f t="shared" si="146"/>
        <v>3</v>
      </c>
      <c r="AI336" s="227">
        <f t="shared" si="147"/>
        <v>-2.1009292616366411</v>
      </c>
      <c r="AJ336" s="267" t="b">
        <f t="shared" si="148"/>
        <v>0</v>
      </c>
      <c r="AK336" s="267" t="b">
        <f t="shared" si="149"/>
        <v>0</v>
      </c>
      <c r="AL336" s="267"/>
      <c r="AM336" s="267"/>
      <c r="AN336" s="75"/>
    </row>
    <row r="337" spans="1:40" s="6" customFormat="1" ht="11.25" customHeight="1" x14ac:dyDescent="0.2">
      <c r="A337" s="56">
        <f t="shared" ref="A337:A379" si="151">A336+1</f>
        <v>43423</v>
      </c>
      <c r="B337" s="618">
        <v>14.209</v>
      </c>
      <c r="C337" s="392"/>
      <c r="D337" s="395">
        <f t="shared" si="127"/>
        <v>14.245420079734416</v>
      </c>
      <c r="E337" s="387">
        <f t="shared" si="124"/>
        <v>14.601301413621249</v>
      </c>
      <c r="F337" s="387">
        <f t="shared" si="126"/>
        <v>14.67671977078299</v>
      </c>
      <c r="G337" s="110">
        <f t="shared" si="125"/>
        <v>0.6611525916310691</v>
      </c>
      <c r="I337" s="382">
        <f t="shared" si="128"/>
        <v>14.67671977078299</v>
      </c>
      <c r="J337" s="85">
        <v>2018</v>
      </c>
      <c r="K337" s="199">
        <f t="shared" si="129"/>
        <v>43423</v>
      </c>
      <c r="L337" s="437">
        <f t="shared" si="130"/>
        <v>2.5566167603738865E-3</v>
      </c>
      <c r="M337" s="881"/>
      <c r="N337" s="881"/>
      <c r="O337" s="326">
        <f t="shared" si="131"/>
        <v>2.4373261246072121E-2</v>
      </c>
      <c r="P337" s="171">
        <f>(INDEX(Models!$BJ337:$BT337,,T337)*(1-R337)+INDEX(Models!$BJ337:$BT337,,T337+1)*R337-ERP_i)*Q337*Ramure*Pc/MaxiM</f>
        <v>9.8734729228307661E-3</v>
      </c>
      <c r="Q337" s="307">
        <f t="shared" si="132"/>
        <v>1</v>
      </c>
      <c r="R337" s="179">
        <f t="shared" si="133"/>
        <v>0.89910842003699765</v>
      </c>
      <c r="S337" s="837">
        <f t="shared" si="150"/>
        <v>-3</v>
      </c>
      <c r="T337" s="178">
        <f t="shared" si="134"/>
        <v>3</v>
      </c>
      <c r="U337" s="253">
        <f t="shared" si="135"/>
        <v>-2.1008915799630024</v>
      </c>
      <c r="V337" s="385">
        <f t="shared" si="136"/>
        <v>21.388973464496669</v>
      </c>
      <c r="W337" s="58"/>
      <c r="X337" s="157">
        <f t="shared" si="137"/>
        <v>43423</v>
      </c>
      <c r="Y337" s="387">
        <f t="shared" si="138"/>
        <v>14.209</v>
      </c>
      <c r="Z337" s="387">
        <f t="shared" si="139"/>
        <v>14.245420079734416</v>
      </c>
      <c r="AA337" s="388">
        <f t="shared" si="140"/>
        <v>14.601301413621249</v>
      </c>
      <c r="AB337" s="199">
        <f t="shared" si="141"/>
        <v>43423</v>
      </c>
      <c r="AC337" s="426">
        <f t="shared" si="142"/>
        <v>2.4373261246072121E-2</v>
      </c>
      <c r="AD337" s="171">
        <f>(INDEX(Models!$BJ337:$BT337,,AH337)*(1-AF337)+INDEX(Models!$BJ337:$BT337,,AH337+1)*AF337-ERP_i)*AE337*Ramure*Pc/MaxiM</f>
        <v>9.8734729228307661E-3</v>
      </c>
      <c r="AE337" s="307">
        <f t="shared" si="143"/>
        <v>1</v>
      </c>
      <c r="AF337" s="179">
        <f t="shared" si="144"/>
        <v>0.89910842003699765</v>
      </c>
      <c r="AG337" s="837">
        <f t="shared" si="145"/>
        <v>-3</v>
      </c>
      <c r="AH337" s="178">
        <f t="shared" si="146"/>
        <v>3</v>
      </c>
      <c r="AI337" s="227">
        <f t="shared" si="147"/>
        <v>-2.1008915799630024</v>
      </c>
      <c r="AJ337" s="267" t="b">
        <f t="shared" si="148"/>
        <v>0</v>
      </c>
      <c r="AK337" s="267" t="b">
        <f t="shared" si="149"/>
        <v>0</v>
      </c>
      <c r="AL337" s="267"/>
      <c r="AM337" s="267"/>
      <c r="AN337" s="75"/>
    </row>
    <row r="338" spans="1:40" s="6" customFormat="1" ht="11.25" customHeight="1" x14ac:dyDescent="0.2">
      <c r="A338" s="56">
        <f t="shared" si="151"/>
        <v>43424</v>
      </c>
      <c r="B338" s="618">
        <v>11.016999999999999</v>
      </c>
      <c r="C338" s="392"/>
      <c r="D338" s="395">
        <f t="shared" si="127"/>
        <v>11.045495486538835</v>
      </c>
      <c r="E338" s="387">
        <f t="shared" si="124"/>
        <v>11.323540396800723</v>
      </c>
      <c r="F338" s="387">
        <f t="shared" si="126"/>
        <v>11.359690691664905</v>
      </c>
      <c r="G338" s="110">
        <f t="shared" si="125"/>
        <v>0.51675831313832687</v>
      </c>
      <c r="I338" s="382">
        <f t="shared" si="128"/>
        <v>11.359690691664905</v>
      </c>
      <c r="J338" s="85">
        <v>2018</v>
      </c>
      <c r="K338" s="199">
        <f t="shared" si="129"/>
        <v>43424</v>
      </c>
      <c r="L338" s="437">
        <f t="shared" si="130"/>
        <v>2.5798287250728968E-3</v>
      </c>
      <c r="M338" s="881"/>
      <c r="N338" s="881"/>
      <c r="O338" s="326">
        <f t="shared" si="131"/>
        <v>2.455459163111607E-2</v>
      </c>
      <c r="P338" s="171">
        <f>(INDEX(Models!$BJ338:$BT338,,T338)*(1-R338)+INDEX(Models!$BJ338:$BT338,,T338+1)*R338-ERP_i)*Q338*Ramure*Pc/MaxiM</f>
        <v>1.0108415279362732E-2</v>
      </c>
      <c r="Q338" s="307">
        <f t="shared" si="132"/>
        <v>1</v>
      </c>
      <c r="R338" s="179">
        <f t="shared" si="133"/>
        <v>0.89914458835091216</v>
      </c>
      <c r="S338" s="837">
        <f t="shared" si="150"/>
        <v>-3</v>
      </c>
      <c r="T338" s="178">
        <f t="shared" si="134"/>
        <v>3</v>
      </c>
      <c r="U338" s="253">
        <f t="shared" si="135"/>
        <v>-2.1008554116490878</v>
      </c>
      <c r="V338" s="385">
        <f t="shared" si="136"/>
        <v>21.171312484882939</v>
      </c>
      <c r="W338" s="58"/>
      <c r="X338" s="157">
        <f t="shared" si="137"/>
        <v>43424</v>
      </c>
      <c r="Y338" s="387">
        <f t="shared" si="138"/>
        <v>11.016999999999999</v>
      </c>
      <c r="Z338" s="387">
        <f t="shared" si="139"/>
        <v>11.045495486538835</v>
      </c>
      <c r="AA338" s="388">
        <f t="shared" si="140"/>
        <v>11.323540396800723</v>
      </c>
      <c r="AB338" s="199">
        <f t="shared" si="141"/>
        <v>43424</v>
      </c>
      <c r="AC338" s="426">
        <f t="shared" si="142"/>
        <v>2.455459163111607E-2</v>
      </c>
      <c r="AD338" s="171">
        <f>(INDEX(Models!$BJ338:$BT338,,AH338)*(1-AF338)+INDEX(Models!$BJ338:$BT338,,AH338+1)*AF338-ERP_i)*AE338*Ramure*Pc/MaxiM</f>
        <v>1.0108415279362732E-2</v>
      </c>
      <c r="AE338" s="307">
        <f t="shared" si="143"/>
        <v>1</v>
      </c>
      <c r="AF338" s="179">
        <f t="shared" si="144"/>
        <v>0.89914458835091216</v>
      </c>
      <c r="AG338" s="837">
        <f t="shared" si="145"/>
        <v>-3</v>
      </c>
      <c r="AH338" s="178">
        <f t="shared" si="146"/>
        <v>3</v>
      </c>
      <c r="AI338" s="227">
        <f t="shared" si="147"/>
        <v>-2.1008554116490878</v>
      </c>
      <c r="AJ338" s="267" t="b">
        <f t="shared" si="148"/>
        <v>0</v>
      </c>
      <c r="AK338" s="267" t="b">
        <f t="shared" si="149"/>
        <v>0</v>
      </c>
      <c r="AL338" s="267"/>
      <c r="AM338" s="267"/>
      <c r="AN338" s="75"/>
    </row>
    <row r="339" spans="1:40" s="6" customFormat="1" ht="11.25" customHeight="1" x14ac:dyDescent="0.2">
      <c r="A339" s="56">
        <f t="shared" si="151"/>
        <v>43425</v>
      </c>
      <c r="B339" s="618">
        <v>20.134</v>
      </c>
      <c r="C339" s="392"/>
      <c r="D339" s="395">
        <f t="shared" si="127"/>
        <v>20.186546390736762</v>
      </c>
      <c r="E339" s="387">
        <f t="shared" si="124"/>
        <v>20.69854630484858</v>
      </c>
      <c r="F339" s="387">
        <f t="shared" si="126"/>
        <v>20.902054637854583</v>
      </c>
      <c r="G339" s="110">
        <f t="shared" si="125"/>
        <v>0.96005570243918581</v>
      </c>
      <c r="I339" s="382">
        <f t="shared" si="128"/>
        <v>20.902054637854583</v>
      </c>
      <c r="J339" s="85">
        <v>2018</v>
      </c>
      <c r="K339" s="199">
        <f t="shared" si="129"/>
        <v>43425</v>
      </c>
      <c r="L339" s="437">
        <f t="shared" si="130"/>
        <v>2.6030401495955591E-3</v>
      </c>
      <c r="M339" s="881"/>
      <c r="N339" s="881"/>
      <c r="O339" s="326">
        <f t="shared" si="131"/>
        <v>2.4736032500595632E-2</v>
      </c>
      <c r="P339" s="171">
        <f>(INDEX(Models!$BJ339:$BT339,,T339)*(1-R339)+INDEX(Models!$BJ339:$BT339,,T339+1)*R339-ERP_i)*Q339*Ramure*Pc/MaxiM</f>
        <v>1.0316689820655627E-2</v>
      </c>
      <c r="Q339" s="307">
        <f t="shared" si="132"/>
        <v>1</v>
      </c>
      <c r="R339" s="179">
        <f t="shared" si="133"/>
        <v>0.89917930393697132</v>
      </c>
      <c r="S339" s="837">
        <f t="shared" si="150"/>
        <v>-3</v>
      </c>
      <c r="T339" s="178">
        <f t="shared" si="134"/>
        <v>3</v>
      </c>
      <c r="U339" s="253">
        <f t="shared" si="135"/>
        <v>-2.1008206960630287</v>
      </c>
      <c r="V339" s="385">
        <f t="shared" si="136"/>
        <v>20.959408037825465</v>
      </c>
      <c r="W339" s="58"/>
      <c r="X339" s="157">
        <f t="shared" si="137"/>
        <v>43425</v>
      </c>
      <c r="Y339" s="387">
        <f t="shared" si="138"/>
        <v>20.134</v>
      </c>
      <c r="Z339" s="387">
        <f t="shared" si="139"/>
        <v>20.186546390736762</v>
      </c>
      <c r="AA339" s="388">
        <f t="shared" si="140"/>
        <v>20.69854630484858</v>
      </c>
      <c r="AB339" s="199">
        <f t="shared" si="141"/>
        <v>43425</v>
      </c>
      <c r="AC339" s="426">
        <f t="shared" si="142"/>
        <v>2.4736032500595632E-2</v>
      </c>
      <c r="AD339" s="171">
        <f>(INDEX(Models!$BJ339:$BT339,,AH339)*(1-AF339)+INDEX(Models!$BJ339:$BT339,,AH339+1)*AF339-ERP_i)*AE339*Ramure*Pc/MaxiM</f>
        <v>1.0316689820655627E-2</v>
      </c>
      <c r="AE339" s="307">
        <f t="shared" si="143"/>
        <v>1</v>
      </c>
      <c r="AF339" s="179">
        <f t="shared" si="144"/>
        <v>0.89917930393697132</v>
      </c>
      <c r="AG339" s="837">
        <f t="shared" si="145"/>
        <v>-3</v>
      </c>
      <c r="AH339" s="178">
        <f t="shared" si="146"/>
        <v>3</v>
      </c>
      <c r="AI339" s="227">
        <f t="shared" si="147"/>
        <v>-2.1008206960630287</v>
      </c>
      <c r="AJ339" s="267" t="b">
        <f t="shared" si="148"/>
        <v>0</v>
      </c>
      <c r="AK339" s="267" t="b">
        <f t="shared" si="149"/>
        <v>0</v>
      </c>
      <c r="AL339" s="267"/>
      <c r="AM339" s="267"/>
      <c r="AN339" s="75"/>
    </row>
    <row r="340" spans="1:40" s="6" customFormat="1" ht="11.25" customHeight="1" x14ac:dyDescent="0.2">
      <c r="A340" s="56">
        <f t="shared" si="151"/>
        <v>43426</v>
      </c>
      <c r="B340" s="618">
        <v>18.757999999999999</v>
      </c>
      <c r="C340" s="392"/>
      <c r="D340" s="395">
        <f t="shared" si="127"/>
        <v>18.807392935141902</v>
      </c>
      <c r="E340" s="387">
        <f t="shared" si="124"/>
        <v>19.288004229193817</v>
      </c>
      <c r="F340" s="387">
        <f t="shared" si="126"/>
        <v>19.464271045851394</v>
      </c>
      <c r="G340" s="110">
        <f t="shared" si="125"/>
        <v>0.90255760634619664</v>
      </c>
      <c r="I340" s="382">
        <f t="shared" si="128"/>
        <v>19.464271045851394</v>
      </c>
      <c r="J340" s="85">
        <v>2018</v>
      </c>
      <c r="K340" s="199">
        <f t="shared" si="129"/>
        <v>43426</v>
      </c>
      <c r="L340" s="437">
        <f t="shared" si="130"/>
        <v>2.6262510339544187E-3</v>
      </c>
      <c r="M340" s="881"/>
      <c r="N340" s="881"/>
      <c r="O340" s="326">
        <f t="shared" si="131"/>
        <v>2.4917626953050651E-2</v>
      </c>
      <c r="P340" s="171">
        <f>(INDEX(Models!$BJ340:$BT340,,T340)*(1-R340)+INDEX(Models!$BJ340:$BT340,,T340+1)*R340-ERP_i)*Q340*Ramure*Pc/MaxiM</f>
        <v>1.0497483493100665E-2</v>
      </c>
      <c r="Q340" s="307">
        <f t="shared" si="132"/>
        <v>1</v>
      </c>
      <c r="R340" s="179">
        <f t="shared" si="133"/>
        <v>0.89921262500946764</v>
      </c>
      <c r="S340" s="837">
        <f t="shared" si="150"/>
        <v>-3</v>
      </c>
      <c r="T340" s="178">
        <f t="shared" si="134"/>
        <v>3</v>
      </c>
      <c r="U340" s="253">
        <f t="shared" si="135"/>
        <v>-2.1007873749905324</v>
      </c>
      <c r="V340" s="385">
        <f t="shared" si="136"/>
        <v>20.752926837844548</v>
      </c>
      <c r="W340" s="58"/>
      <c r="X340" s="157">
        <f t="shared" si="137"/>
        <v>43426</v>
      </c>
      <c r="Y340" s="387">
        <f t="shared" si="138"/>
        <v>18.757999999999999</v>
      </c>
      <c r="Z340" s="387">
        <f t="shared" si="139"/>
        <v>18.807392935141902</v>
      </c>
      <c r="AA340" s="388">
        <f t="shared" si="140"/>
        <v>19.288004229193817</v>
      </c>
      <c r="AB340" s="199">
        <f t="shared" si="141"/>
        <v>43426</v>
      </c>
      <c r="AC340" s="426">
        <f t="shared" si="142"/>
        <v>2.4917626953050651E-2</v>
      </c>
      <c r="AD340" s="171">
        <f>(INDEX(Models!$BJ340:$BT340,,AH340)*(1-AF340)+INDEX(Models!$BJ340:$BT340,,AH340+1)*AF340-ERP_i)*AE340*Ramure*Pc/MaxiM</f>
        <v>1.0497483493100665E-2</v>
      </c>
      <c r="AE340" s="307">
        <f t="shared" si="143"/>
        <v>1</v>
      </c>
      <c r="AF340" s="179">
        <f t="shared" si="144"/>
        <v>0.89921262500946764</v>
      </c>
      <c r="AG340" s="837">
        <f t="shared" si="145"/>
        <v>-3</v>
      </c>
      <c r="AH340" s="178">
        <f t="shared" si="146"/>
        <v>3</v>
      </c>
      <c r="AI340" s="227">
        <f t="shared" si="147"/>
        <v>-2.1007873749905324</v>
      </c>
      <c r="AJ340" s="267" t="b">
        <f t="shared" si="148"/>
        <v>0</v>
      </c>
      <c r="AK340" s="267" t="b">
        <f t="shared" si="149"/>
        <v>0</v>
      </c>
      <c r="AL340" s="267"/>
      <c r="AM340" s="267"/>
      <c r="AN340" s="75"/>
    </row>
    <row r="341" spans="1:40" s="6" customFormat="1" ht="11.25" customHeight="1" x14ac:dyDescent="0.2">
      <c r="A341" s="56">
        <f t="shared" si="151"/>
        <v>43427</v>
      </c>
      <c r="B341" s="618">
        <v>13.324</v>
      </c>
      <c r="C341" s="392"/>
      <c r="D341" s="395">
        <f t="shared" si="127"/>
        <v>13.359395201622302</v>
      </c>
      <c r="E341" s="387">
        <f t="shared" si="124"/>
        <v>13.70334105465087</v>
      </c>
      <c r="F341" s="387">
        <f t="shared" si="126"/>
        <v>13.776347840346039</v>
      </c>
      <c r="G341" s="110">
        <f t="shared" si="125"/>
        <v>0.64483400151042425</v>
      </c>
      <c r="I341" s="382">
        <f t="shared" si="128"/>
        <v>13.776347840346039</v>
      </c>
      <c r="J341" s="85">
        <v>2018</v>
      </c>
      <c r="K341" s="199">
        <f t="shared" si="129"/>
        <v>43427</v>
      </c>
      <c r="L341" s="437">
        <f t="shared" si="130"/>
        <v>2.6494613781621323E-3</v>
      </c>
      <c r="M341" s="881"/>
      <c r="N341" s="881"/>
      <c r="O341" s="326">
        <f t="shared" si="131"/>
        <v>2.5099415657602354E-2</v>
      </c>
      <c r="P341" s="171">
        <f>(INDEX(Models!$BJ341:$BT341,,T341)*(1-R341)+INDEX(Models!$BJ341:$BT341,,T341+1)*R341-ERP_i)*Q341*Ramure*Pc/MaxiM</f>
        <v>1.0649938417903652E-2</v>
      </c>
      <c r="Q341" s="307">
        <f t="shared" si="132"/>
        <v>1</v>
      </c>
      <c r="R341" s="179">
        <f t="shared" si="133"/>
        <v>0.89924460746059687</v>
      </c>
      <c r="S341" s="837">
        <f t="shared" si="150"/>
        <v>-3</v>
      </c>
      <c r="T341" s="178">
        <f t="shared" si="134"/>
        <v>3</v>
      </c>
      <c r="U341" s="253">
        <f t="shared" si="135"/>
        <v>-2.1007553925394031</v>
      </c>
      <c r="V341" s="385">
        <f t="shared" si="136"/>
        <v>20.551537263185843</v>
      </c>
      <c r="W341" s="58"/>
      <c r="X341" s="157">
        <f t="shared" si="137"/>
        <v>43427</v>
      </c>
      <c r="Y341" s="387">
        <f t="shared" si="138"/>
        <v>13.324</v>
      </c>
      <c r="Z341" s="387">
        <f t="shared" si="139"/>
        <v>13.359395201622302</v>
      </c>
      <c r="AA341" s="388">
        <f t="shared" si="140"/>
        <v>13.70334105465087</v>
      </c>
      <c r="AB341" s="199">
        <f t="shared" si="141"/>
        <v>43427</v>
      </c>
      <c r="AC341" s="426">
        <f t="shared" si="142"/>
        <v>2.5099415657602354E-2</v>
      </c>
      <c r="AD341" s="171">
        <f>(INDEX(Models!$BJ341:$BT341,,AH341)*(1-AF341)+INDEX(Models!$BJ341:$BT341,,AH341+1)*AF341-ERP_i)*AE341*Ramure*Pc/MaxiM</f>
        <v>1.0649938417903652E-2</v>
      </c>
      <c r="AE341" s="307">
        <f t="shared" si="143"/>
        <v>1</v>
      </c>
      <c r="AF341" s="179">
        <f t="shared" si="144"/>
        <v>0.89924460746059687</v>
      </c>
      <c r="AG341" s="837">
        <f t="shared" si="145"/>
        <v>-3</v>
      </c>
      <c r="AH341" s="178">
        <f t="shared" si="146"/>
        <v>3</v>
      </c>
      <c r="AI341" s="227">
        <f t="shared" si="147"/>
        <v>-2.1007553925394031</v>
      </c>
      <c r="AJ341" s="267" t="b">
        <f t="shared" si="148"/>
        <v>0</v>
      </c>
      <c r="AK341" s="267" t="b">
        <f t="shared" si="149"/>
        <v>0</v>
      </c>
      <c r="AL341" s="267"/>
      <c r="AM341" s="267"/>
      <c r="AN341" s="75"/>
    </row>
    <row r="342" spans="1:40" s="6" customFormat="1" ht="11.25" x14ac:dyDescent="0.2">
      <c r="A342" s="56">
        <f t="shared" si="151"/>
        <v>43428</v>
      </c>
      <c r="B342" s="618">
        <v>16.37</v>
      </c>
      <c r="C342" s="392"/>
      <c r="D342" s="395">
        <f t="shared" si="127"/>
        <v>16.413868874329342</v>
      </c>
      <c r="E342" s="387">
        <f t="shared" si="124"/>
        <v>16.83959810755011</v>
      </c>
      <c r="F342" s="387">
        <f t="shared" si="126"/>
        <v>16.971299899750864</v>
      </c>
      <c r="G342" s="110">
        <f t="shared" si="125"/>
        <v>0.80178659129674834</v>
      </c>
      <c r="I342" s="382">
        <f t="shared" si="128"/>
        <v>16.971299899750864</v>
      </c>
      <c r="J342" s="85">
        <v>2018</v>
      </c>
      <c r="K342" s="199">
        <f t="shared" si="129"/>
        <v>43428</v>
      </c>
      <c r="L342" s="437">
        <f t="shared" si="130"/>
        <v>2.6726711822312454E-3</v>
      </c>
      <c r="M342" s="881"/>
      <c r="N342" s="881"/>
      <c r="O342" s="326">
        <f t="shared" si="131"/>
        <v>2.5281436676917426E-2</v>
      </c>
      <c r="P342" s="171">
        <f>(INDEX(Models!$BJ342:$BT342,,T342)*(1-R342)+INDEX(Models!$BJ342:$BT342,,T342+1)*R342-ERP_i)*Q342*Ramure*Pc/MaxiM</f>
        <v>1.0773258348090365E-2</v>
      </c>
      <c r="Q342" s="307">
        <f t="shared" si="132"/>
        <v>1</v>
      </c>
      <c r="R342" s="179">
        <f t="shared" si="133"/>
        <v>0.89927530495224417</v>
      </c>
      <c r="S342" s="837">
        <f t="shared" si="150"/>
        <v>-3</v>
      </c>
      <c r="T342" s="178">
        <f t="shared" si="134"/>
        <v>3</v>
      </c>
      <c r="U342" s="253">
        <f t="shared" si="135"/>
        <v>-2.1007246950477558</v>
      </c>
      <c r="V342" s="385">
        <f t="shared" si="136"/>
        <v>20.354907069582772</v>
      </c>
      <c r="W342" s="58"/>
      <c r="X342" s="157">
        <f t="shared" si="137"/>
        <v>43428</v>
      </c>
      <c r="Y342" s="387">
        <f t="shared" si="138"/>
        <v>16.37</v>
      </c>
      <c r="Z342" s="387">
        <f t="shared" si="139"/>
        <v>16.413868874329342</v>
      </c>
      <c r="AA342" s="388">
        <f t="shared" si="140"/>
        <v>16.83959810755011</v>
      </c>
      <c r="AB342" s="199">
        <f t="shared" si="141"/>
        <v>43428</v>
      </c>
      <c r="AC342" s="426">
        <f t="shared" si="142"/>
        <v>2.5281436676917426E-2</v>
      </c>
      <c r="AD342" s="171">
        <f>(INDEX(Models!$BJ342:$BT342,,AH342)*(1-AF342)+INDEX(Models!$BJ342:$BT342,,AH342+1)*AF342-ERP_i)*AE342*Ramure*Pc/MaxiM</f>
        <v>1.0773258348090365E-2</v>
      </c>
      <c r="AE342" s="307">
        <f t="shared" si="143"/>
        <v>1</v>
      </c>
      <c r="AF342" s="179">
        <f t="shared" si="144"/>
        <v>0.89927530495224417</v>
      </c>
      <c r="AG342" s="837">
        <f t="shared" si="145"/>
        <v>-3</v>
      </c>
      <c r="AH342" s="178">
        <f t="shared" si="146"/>
        <v>3</v>
      </c>
      <c r="AI342" s="227">
        <f t="shared" si="147"/>
        <v>-2.1007246950477558</v>
      </c>
      <c r="AJ342" s="267" t="b">
        <f t="shared" si="148"/>
        <v>0</v>
      </c>
      <c r="AK342" s="267" t="b">
        <f t="shared" si="149"/>
        <v>0</v>
      </c>
      <c r="AL342" s="267"/>
      <c r="AM342" s="267"/>
      <c r="AN342" s="75"/>
    </row>
    <row r="343" spans="1:40" s="6" customFormat="1" ht="11.25" customHeight="1" x14ac:dyDescent="0.2">
      <c r="A343" s="56">
        <f t="shared" si="151"/>
        <v>43429</v>
      </c>
      <c r="B343" s="618">
        <v>9.59</v>
      </c>
      <c r="C343" s="392"/>
      <c r="D343" s="395">
        <f t="shared" si="127"/>
        <v>9.6159233798115444</v>
      </c>
      <c r="E343" s="387">
        <f t="shared" si="124"/>
        <v>9.8671785027725569</v>
      </c>
      <c r="F343" s="387">
        <f t="shared" si="126"/>
        <v>9.8941546262167535</v>
      </c>
      <c r="G343" s="110">
        <f t="shared" si="125"/>
        <v>0.47174833223456009</v>
      </c>
      <c r="I343" s="382">
        <f t="shared" si="128"/>
        <v>9.8941546262167535</v>
      </c>
      <c r="J343" s="85">
        <v>2018</v>
      </c>
      <c r="K343" s="199">
        <f t="shared" si="129"/>
        <v>43429</v>
      </c>
      <c r="L343" s="437">
        <f t="shared" si="130"/>
        <v>2.6958804461743036E-3</v>
      </c>
      <c r="M343" s="881"/>
      <c r="N343" s="881"/>
      <c r="O343" s="326">
        <f t="shared" si="131"/>
        <v>2.5463725308142907E-2</v>
      </c>
      <c r="P343" s="171">
        <f>(INDEX(Models!$BJ343:$BT343,,T343)*(1-R343)+INDEX(Models!$BJ343:$BT343,,T343+1)*R343-ERP_i)*Q343*Ramure*Pc/MaxiM</f>
        <v>1.0866721296578993E-2</v>
      </c>
      <c r="Q343" s="307">
        <f t="shared" si="132"/>
        <v>1</v>
      </c>
      <c r="R343" s="179">
        <f t="shared" si="133"/>
        <v>0.89930476900420064</v>
      </c>
      <c r="S343" s="837">
        <f t="shared" si="150"/>
        <v>-3</v>
      </c>
      <c r="T343" s="178">
        <f t="shared" si="134"/>
        <v>3</v>
      </c>
      <c r="U343" s="253">
        <f t="shared" si="135"/>
        <v>-2.1006952309957994</v>
      </c>
      <c r="V343" s="385">
        <f t="shared" si="136"/>
        <v>20.162703127350937</v>
      </c>
      <c r="W343" s="58"/>
      <c r="X343" s="157">
        <f t="shared" si="137"/>
        <v>43429</v>
      </c>
      <c r="Y343" s="387">
        <f t="shared" si="138"/>
        <v>9.59</v>
      </c>
      <c r="Z343" s="387">
        <f t="shared" si="139"/>
        <v>9.6159233798115444</v>
      </c>
      <c r="AA343" s="388">
        <f t="shared" si="140"/>
        <v>9.8671785027725569</v>
      </c>
      <c r="AB343" s="199">
        <f t="shared" si="141"/>
        <v>43429</v>
      </c>
      <c r="AC343" s="426">
        <f t="shared" si="142"/>
        <v>2.5463725308142907E-2</v>
      </c>
      <c r="AD343" s="171">
        <f>(INDEX(Models!$BJ343:$BT343,,AH343)*(1-AF343)+INDEX(Models!$BJ343:$BT343,,AH343+1)*AF343-ERP_i)*AE343*Ramure*Pc/MaxiM</f>
        <v>1.0866721296578993E-2</v>
      </c>
      <c r="AE343" s="307">
        <f t="shared" si="143"/>
        <v>1</v>
      </c>
      <c r="AF343" s="179">
        <f t="shared" si="144"/>
        <v>0.89930476900420064</v>
      </c>
      <c r="AG343" s="837">
        <f t="shared" si="145"/>
        <v>-3</v>
      </c>
      <c r="AH343" s="178">
        <f t="shared" si="146"/>
        <v>3</v>
      </c>
      <c r="AI343" s="227">
        <f t="shared" si="147"/>
        <v>-2.1006952309957994</v>
      </c>
      <c r="AJ343" s="267" t="b">
        <f t="shared" si="148"/>
        <v>0</v>
      </c>
      <c r="AK343" s="267" t="b">
        <f t="shared" si="149"/>
        <v>0</v>
      </c>
      <c r="AL343" s="267"/>
      <c r="AM343" s="267"/>
      <c r="AN343" s="75"/>
    </row>
    <row r="344" spans="1:40" s="6" customFormat="1" ht="11.25" x14ac:dyDescent="0.2">
      <c r="A344" s="56">
        <f t="shared" si="151"/>
        <v>43430</v>
      </c>
      <c r="B344" s="618">
        <v>4.3220000000000001</v>
      </c>
      <c r="C344" s="392"/>
      <c r="D344" s="395">
        <f t="shared" si="127"/>
        <v>4.3337839449899587</v>
      </c>
      <c r="E344" s="387">
        <f t="shared" si="124"/>
        <v>4.4478550315008203</v>
      </c>
      <c r="F344" s="387">
        <f t="shared" si="126"/>
        <v>4.4478550315008203</v>
      </c>
      <c r="G344" s="110">
        <f t="shared" si="125"/>
        <v>0.21400998063478818</v>
      </c>
      <c r="I344" s="382">
        <f t="shared" si="128"/>
        <v>4.4478550315008203</v>
      </c>
      <c r="J344" s="85">
        <v>2018</v>
      </c>
      <c r="K344" s="199">
        <f t="shared" si="129"/>
        <v>43430</v>
      </c>
      <c r="L344" s="437">
        <f t="shared" si="130"/>
        <v>2.7190891700038522E-3</v>
      </c>
      <c r="M344" s="881"/>
      <c r="N344" s="881"/>
      <c r="O344" s="326">
        <f t="shared" si="131"/>
        <v>2.5646313943008897E-2</v>
      </c>
      <c r="P344" s="171">
        <f>(INDEX(Models!$BJ344:$BT344,,T344)*(1-R344)+INDEX(Models!$BJ344:$BT344,,T344+1)*R344-ERP_i)*Q344*Ramure*Pc/MaxiM</f>
        <v>1.0929623548329026E-2</v>
      </c>
      <c r="Q344" s="307">
        <f t="shared" si="132"/>
        <v>1</v>
      </c>
      <c r="R344" s="179">
        <f t="shared" si="133"/>
        <v>0.89933304907895817</v>
      </c>
      <c r="S344" s="837">
        <f t="shared" si="150"/>
        <v>-3</v>
      </c>
      <c r="T344" s="178">
        <f t="shared" si="134"/>
        <v>3</v>
      </c>
      <c r="U344" s="253">
        <f t="shared" si="135"/>
        <v>-2.1006669509210418</v>
      </c>
      <c r="V344" s="385">
        <f t="shared" si="136"/>
        <v>19.974592560330535</v>
      </c>
      <c r="W344" s="58"/>
      <c r="X344" s="157">
        <f t="shared" si="137"/>
        <v>43430</v>
      </c>
      <c r="Y344" s="387">
        <f t="shared" si="138"/>
        <v>4.3220000000000001</v>
      </c>
      <c r="Z344" s="387">
        <f t="shared" si="139"/>
        <v>4.3337839449899587</v>
      </c>
      <c r="AA344" s="388">
        <f t="shared" si="140"/>
        <v>4.4478550315008203</v>
      </c>
      <c r="AB344" s="199">
        <f t="shared" si="141"/>
        <v>43430</v>
      </c>
      <c r="AC344" s="426">
        <f t="shared" si="142"/>
        <v>2.5646313943008897E-2</v>
      </c>
      <c r="AD344" s="171">
        <f>(INDEX(Models!$BJ344:$BT344,,AH344)*(1-AF344)+INDEX(Models!$BJ344:$BT344,,AH344+1)*AF344-ERP_i)*AE344*Ramure*Pc/MaxiM</f>
        <v>1.0929623548329026E-2</v>
      </c>
      <c r="AE344" s="307">
        <f t="shared" si="143"/>
        <v>1</v>
      </c>
      <c r="AF344" s="179">
        <f t="shared" si="144"/>
        <v>0.89933304907895817</v>
      </c>
      <c r="AG344" s="837">
        <f t="shared" si="145"/>
        <v>-3</v>
      </c>
      <c r="AH344" s="178">
        <f t="shared" si="146"/>
        <v>3</v>
      </c>
      <c r="AI344" s="227">
        <f t="shared" si="147"/>
        <v>-2.1006669509210418</v>
      </c>
      <c r="AJ344" s="267" t="b">
        <f t="shared" si="148"/>
        <v>0</v>
      </c>
      <c r="AK344" s="267" t="b">
        <f t="shared" si="149"/>
        <v>0</v>
      </c>
      <c r="AL344" s="267"/>
      <c r="AM344" s="267"/>
      <c r="AN344" s="75"/>
    </row>
    <row r="345" spans="1:40" s="6" customFormat="1" ht="11.25" customHeight="1" x14ac:dyDescent="0.2">
      <c r="A345" s="56">
        <f t="shared" si="151"/>
        <v>43431</v>
      </c>
      <c r="B345" s="618">
        <v>18.015999999999998</v>
      </c>
      <c r="C345" s="392"/>
      <c r="D345" s="395">
        <f t="shared" si="127"/>
        <v>18.065541085512546</v>
      </c>
      <c r="E345" s="387">
        <f t="shared" si="124"/>
        <v>18.54453210666524</v>
      </c>
      <c r="F345" s="387">
        <f t="shared" si="126"/>
        <v>18.723509974078482</v>
      </c>
      <c r="G345" s="110">
        <f t="shared" si="125"/>
        <v>0.90911859051208999</v>
      </c>
      <c r="I345" s="382">
        <f t="shared" si="128"/>
        <v>18.723509974078482</v>
      </c>
      <c r="J345" s="85">
        <v>2018</v>
      </c>
      <c r="K345" s="199">
        <f t="shared" si="129"/>
        <v>43431</v>
      </c>
      <c r="L345" s="437">
        <f t="shared" si="130"/>
        <v>2.7422973537325479E-3</v>
      </c>
      <c r="M345" s="881"/>
      <c r="N345" s="881"/>
      <c r="O345" s="326">
        <f t="shared" si="131"/>
        <v>2.5829231948135075E-2</v>
      </c>
      <c r="P345" s="171">
        <f>(INDEX(Models!$BJ345:$BT345,,T345)*(1-R345)+INDEX(Models!$BJ345:$BT345,,T345+1)*R345-ERP_i)*Q345*Ramure*Pc/MaxiM</f>
        <v>1.0961998142612263E-2</v>
      </c>
      <c r="Q345" s="307">
        <f t="shared" si="132"/>
        <v>1</v>
      </c>
      <c r="R345" s="179">
        <f t="shared" si="133"/>
        <v>0.89936019266320288</v>
      </c>
      <c r="S345" s="837">
        <f t="shared" si="150"/>
        <v>-3</v>
      </c>
      <c r="T345" s="178">
        <f t="shared" si="134"/>
        <v>3</v>
      </c>
      <c r="U345" s="253">
        <f t="shared" si="135"/>
        <v>-2.1006398073367971</v>
      </c>
      <c r="V345" s="385">
        <f t="shared" si="136"/>
        <v>19.788924860348619</v>
      </c>
      <c r="W345" s="58"/>
      <c r="X345" s="157">
        <f t="shared" si="137"/>
        <v>43431</v>
      </c>
      <c r="Y345" s="387">
        <f t="shared" si="138"/>
        <v>18.015999999999998</v>
      </c>
      <c r="Z345" s="387">
        <f t="shared" si="139"/>
        <v>18.065541085512546</v>
      </c>
      <c r="AA345" s="388">
        <f t="shared" si="140"/>
        <v>18.54453210666524</v>
      </c>
      <c r="AB345" s="199">
        <f t="shared" si="141"/>
        <v>43431</v>
      </c>
      <c r="AC345" s="426">
        <f t="shared" si="142"/>
        <v>2.5829231948135075E-2</v>
      </c>
      <c r="AD345" s="171">
        <f>(INDEX(Models!$BJ345:$BT345,,AH345)*(1-AF345)+INDEX(Models!$BJ345:$BT345,,AH345+1)*AF345-ERP_i)*AE345*Ramure*Pc/MaxiM</f>
        <v>1.0961998142612263E-2</v>
      </c>
      <c r="AE345" s="307">
        <f t="shared" si="143"/>
        <v>1</v>
      </c>
      <c r="AF345" s="179">
        <f t="shared" si="144"/>
        <v>0.89936019266320288</v>
      </c>
      <c r="AG345" s="837">
        <f t="shared" si="145"/>
        <v>-3</v>
      </c>
      <c r="AH345" s="178">
        <f t="shared" si="146"/>
        <v>3</v>
      </c>
      <c r="AI345" s="227">
        <f t="shared" si="147"/>
        <v>-2.1006398073367971</v>
      </c>
      <c r="AJ345" s="267" t="b">
        <f t="shared" si="148"/>
        <v>0</v>
      </c>
      <c r="AK345" s="267" t="b">
        <f t="shared" si="149"/>
        <v>0</v>
      </c>
      <c r="AL345" s="267"/>
      <c r="AM345" s="267"/>
      <c r="AN345" s="75"/>
    </row>
    <row r="346" spans="1:40" s="6" customFormat="1" ht="11.25" customHeight="1" x14ac:dyDescent="0.2">
      <c r="A346" s="56">
        <f t="shared" si="151"/>
        <v>43432</v>
      </c>
      <c r="B346" s="618">
        <v>14.510999999999999</v>
      </c>
      <c r="C346" s="392"/>
      <c r="D346" s="395">
        <f t="shared" si="127"/>
        <v>14.551241531172435</v>
      </c>
      <c r="E346" s="387">
        <f t="shared" si="124"/>
        <v>14.939864848710917</v>
      </c>
      <c r="F346" s="387">
        <f t="shared" si="126"/>
        <v>15.043607934783193</v>
      </c>
      <c r="G346" s="110">
        <f t="shared" si="125"/>
        <v>0.73713961102591474</v>
      </c>
      <c r="I346" s="382">
        <f t="shared" si="128"/>
        <v>15.043607934783193</v>
      </c>
      <c r="J346" s="85">
        <v>2018</v>
      </c>
      <c r="K346" s="199">
        <f t="shared" si="129"/>
        <v>43432</v>
      </c>
      <c r="L346" s="437">
        <f t="shared" si="130"/>
        <v>2.7655049973728252E-3</v>
      </c>
      <c r="M346" s="881"/>
      <c r="N346" s="881"/>
      <c r="O346" s="326">
        <f t="shared" si="131"/>
        <v>2.6012505566408346E-2</v>
      </c>
      <c r="P346" s="171">
        <f>(INDEX(Models!$BJ346:$BT346,,T346)*(1-R346)+INDEX(Models!$BJ346:$BT346,,T346+1)*R346-ERP_i)*Q346*Ramure*Pc/MaxiM</f>
        <v>1.0966833843432703E-2</v>
      </c>
      <c r="Q346" s="307">
        <f t="shared" si="132"/>
        <v>1</v>
      </c>
      <c r="R346" s="179">
        <f t="shared" si="133"/>
        <v>0.89938624534613165</v>
      </c>
      <c r="S346" s="837">
        <f t="shared" si="150"/>
        <v>-3</v>
      </c>
      <c r="T346" s="178">
        <f t="shared" si="134"/>
        <v>3</v>
      </c>
      <c r="U346" s="253">
        <f t="shared" si="135"/>
        <v>-2.1006137546538683</v>
      </c>
      <c r="V346" s="385">
        <f t="shared" si="136"/>
        <v>19.604861839041956</v>
      </c>
      <c r="W346" s="58"/>
      <c r="X346" s="157">
        <f t="shared" si="137"/>
        <v>43432</v>
      </c>
      <c r="Y346" s="387">
        <f t="shared" si="138"/>
        <v>14.510999999999999</v>
      </c>
      <c r="Z346" s="387">
        <f t="shared" si="139"/>
        <v>14.551241531172435</v>
      </c>
      <c r="AA346" s="388">
        <f t="shared" si="140"/>
        <v>14.939864848710917</v>
      </c>
      <c r="AB346" s="199">
        <f t="shared" si="141"/>
        <v>43432</v>
      </c>
      <c r="AC346" s="426">
        <f t="shared" si="142"/>
        <v>2.6012505566408346E-2</v>
      </c>
      <c r="AD346" s="171">
        <f>(INDEX(Models!$BJ346:$BT346,,AH346)*(1-AF346)+INDEX(Models!$BJ346:$BT346,,AH346+1)*AF346-ERP_i)*AE346*Ramure*Pc/MaxiM</f>
        <v>1.0966833843432703E-2</v>
      </c>
      <c r="AE346" s="307">
        <f t="shared" si="143"/>
        <v>1</v>
      </c>
      <c r="AF346" s="179">
        <f t="shared" si="144"/>
        <v>0.89938624534613165</v>
      </c>
      <c r="AG346" s="837">
        <f t="shared" si="145"/>
        <v>-3</v>
      </c>
      <c r="AH346" s="178">
        <f t="shared" si="146"/>
        <v>3</v>
      </c>
      <c r="AI346" s="227">
        <f t="shared" si="147"/>
        <v>-2.1006137546538683</v>
      </c>
      <c r="AJ346" s="267" t="b">
        <f t="shared" si="148"/>
        <v>0</v>
      </c>
      <c r="AK346" s="267" t="b">
        <f t="shared" si="149"/>
        <v>0</v>
      </c>
      <c r="AL346" s="267"/>
      <c r="AM346" s="267"/>
      <c r="AN346" s="75"/>
    </row>
    <row r="347" spans="1:40" s="6" customFormat="1" ht="11.25" customHeight="1" x14ac:dyDescent="0.2">
      <c r="A347" s="56">
        <f t="shared" si="151"/>
        <v>43433</v>
      </c>
      <c r="B347" s="618">
        <v>19.163</v>
      </c>
      <c r="C347" s="392"/>
      <c r="D347" s="395">
        <f t="shared" si="127"/>
        <v>19.216589535777167</v>
      </c>
      <c r="E347" s="387">
        <f t="shared" si="124"/>
        <v>19.733532261646328</v>
      </c>
      <c r="F347" s="387">
        <f t="shared" si="126"/>
        <v>19.948122922418964</v>
      </c>
      <c r="G347" s="110">
        <f t="shared" si="125"/>
        <v>0.98640910278692839</v>
      </c>
      <c r="I347" s="382">
        <f t="shared" si="128"/>
        <v>19.948122922418964</v>
      </c>
      <c r="J347" s="85">
        <v>2018</v>
      </c>
      <c r="K347" s="199">
        <f t="shared" si="129"/>
        <v>43433</v>
      </c>
      <c r="L347" s="437">
        <f t="shared" si="130"/>
        <v>2.7887121009373406E-3</v>
      </c>
      <c r="M347" s="881"/>
      <c r="N347" s="881"/>
      <c r="O347" s="326">
        <f t="shared" si="131"/>
        <v>2.6196157840118639E-2</v>
      </c>
      <c r="P347" s="171">
        <f>(INDEX(Models!$BJ347:$BT347,,T347)*(1-R347)+INDEX(Models!$BJ347:$BT347,,T347+1)*R347-ERP_i)*Q347*Ramure*Pc/MaxiM</f>
        <v>1.0967092552777957E-2</v>
      </c>
      <c r="Q347" s="307">
        <f t="shared" si="132"/>
        <v>1</v>
      </c>
      <c r="R347" s="179">
        <f t="shared" si="133"/>
        <v>0.8994112508947123</v>
      </c>
      <c r="S347" s="837">
        <f t="shared" si="150"/>
        <v>-3</v>
      </c>
      <c r="T347" s="178">
        <f t="shared" si="134"/>
        <v>3</v>
      </c>
      <c r="U347" s="253">
        <f t="shared" si="135"/>
        <v>-2.1005887491052877</v>
      </c>
      <c r="V347" s="385">
        <f t="shared" si="136"/>
        <v>19.422913487649048</v>
      </c>
      <c r="W347" s="58"/>
      <c r="X347" s="157">
        <f t="shared" si="137"/>
        <v>43433</v>
      </c>
      <c r="Y347" s="387">
        <f t="shared" si="138"/>
        <v>19.163</v>
      </c>
      <c r="Z347" s="387">
        <f t="shared" si="139"/>
        <v>19.216589535777167</v>
      </c>
      <c r="AA347" s="388">
        <f t="shared" si="140"/>
        <v>19.733532261646328</v>
      </c>
      <c r="AB347" s="199">
        <f t="shared" si="141"/>
        <v>43433</v>
      </c>
      <c r="AC347" s="426">
        <f t="shared" si="142"/>
        <v>2.6196157840118639E-2</v>
      </c>
      <c r="AD347" s="171">
        <f>(INDEX(Models!$BJ347:$BT347,,AH347)*(1-AF347)+INDEX(Models!$BJ347:$BT347,,AH347+1)*AF347-ERP_i)*AE347*Ramure*Pc/MaxiM</f>
        <v>1.0967092552777957E-2</v>
      </c>
      <c r="AE347" s="307">
        <f t="shared" si="143"/>
        <v>1</v>
      </c>
      <c r="AF347" s="179">
        <f t="shared" si="144"/>
        <v>0.8994112508947123</v>
      </c>
      <c r="AG347" s="837">
        <f t="shared" si="145"/>
        <v>-3</v>
      </c>
      <c r="AH347" s="178">
        <f t="shared" si="146"/>
        <v>3</v>
      </c>
      <c r="AI347" s="227">
        <f t="shared" si="147"/>
        <v>-2.1005887491052877</v>
      </c>
      <c r="AJ347" s="267" t="b">
        <f t="shared" si="148"/>
        <v>0</v>
      </c>
      <c r="AK347" s="267" t="b">
        <f t="shared" si="149"/>
        <v>0</v>
      </c>
      <c r="AL347" s="267"/>
      <c r="AM347" s="267"/>
      <c r="AN347" s="75"/>
    </row>
    <row r="348" spans="1:40" s="6" customFormat="1" ht="11.25" customHeight="1" x14ac:dyDescent="0.2">
      <c r="A348" s="56">
        <f t="shared" si="151"/>
        <v>43434</v>
      </c>
      <c r="B348" s="618">
        <v>7.9089999999999998</v>
      </c>
      <c r="C348" s="392"/>
      <c r="D348" s="395">
        <f t="shared" si="127"/>
        <v>7.9313021766237517</v>
      </c>
      <c r="E348" s="387">
        <f t="shared" si="124"/>
        <v>8.1462006486777927</v>
      </c>
      <c r="F348" s="387">
        <f t="shared" si="126"/>
        <v>8.1603836063569943</v>
      </c>
      <c r="G348" s="110">
        <f t="shared" si="125"/>
        <v>0.40718628849365202</v>
      </c>
      <c r="I348" s="382">
        <f t="shared" si="128"/>
        <v>8.1603836063569943</v>
      </c>
      <c r="J348" s="85">
        <v>2018</v>
      </c>
      <c r="K348" s="199">
        <f t="shared" si="129"/>
        <v>43434</v>
      </c>
      <c r="L348" s="437">
        <f t="shared" si="130"/>
        <v>2.8119186644387506E-3</v>
      </c>
      <c r="M348" s="881"/>
      <c r="N348" s="881"/>
      <c r="O348" s="326">
        <f t="shared" si="131"/>
        <v>2.6380208556355731E-2</v>
      </c>
      <c r="P348" s="171">
        <f>(INDEX(Models!$BJ348:$BT348,,T348)*(1-R348)+INDEX(Models!$BJ348:$BT348,,T348+1)*R348-ERP_i)*Q348*Ramure*Pc/MaxiM</f>
        <v>1.0962119123934416E-2</v>
      </c>
      <c r="Q348" s="307">
        <f t="shared" si="132"/>
        <v>1</v>
      </c>
      <c r="R348" s="179">
        <f t="shared" si="133"/>
        <v>0.89943525132600488</v>
      </c>
      <c r="S348" s="837">
        <f t="shared" si="150"/>
        <v>-3</v>
      </c>
      <c r="T348" s="178">
        <f t="shared" si="134"/>
        <v>3</v>
      </c>
      <c r="U348" s="253">
        <f t="shared" si="135"/>
        <v>-2.1005647486739951</v>
      </c>
      <c r="V348" s="385">
        <f t="shared" si="136"/>
        <v>19.244065559619536</v>
      </c>
      <c r="W348" s="58"/>
      <c r="X348" s="157">
        <f t="shared" si="137"/>
        <v>43434</v>
      </c>
      <c r="Y348" s="387">
        <f t="shared" si="138"/>
        <v>7.9090000000000007</v>
      </c>
      <c r="Z348" s="387">
        <f t="shared" si="139"/>
        <v>7.9313021766237526</v>
      </c>
      <c r="AA348" s="388">
        <f t="shared" si="140"/>
        <v>8.1462006486777927</v>
      </c>
      <c r="AB348" s="199">
        <f t="shared" si="141"/>
        <v>43434</v>
      </c>
      <c r="AC348" s="426">
        <f t="shared" si="142"/>
        <v>2.6380208556355731E-2</v>
      </c>
      <c r="AD348" s="171">
        <f>(INDEX(Models!$BJ348:$BT348,,AH348)*(1-AF348)+INDEX(Models!$BJ348:$BT348,,AH348+1)*AF348-ERP_i)*AE348*Ramure*Pc/MaxiM</f>
        <v>1.0962119123934416E-2</v>
      </c>
      <c r="AE348" s="307">
        <f t="shared" si="143"/>
        <v>1</v>
      </c>
      <c r="AF348" s="179">
        <f t="shared" si="144"/>
        <v>0.89943525132600488</v>
      </c>
      <c r="AG348" s="837">
        <f t="shared" si="145"/>
        <v>-3</v>
      </c>
      <c r="AH348" s="178">
        <f t="shared" si="146"/>
        <v>3</v>
      </c>
      <c r="AI348" s="227">
        <f t="shared" si="147"/>
        <v>-2.1005647486739951</v>
      </c>
      <c r="AJ348" s="267" t="b">
        <f t="shared" si="148"/>
        <v>0</v>
      </c>
      <c r="AK348" s="267" t="b">
        <f t="shared" si="149"/>
        <v>0</v>
      </c>
      <c r="AL348" s="267"/>
      <c r="AM348" s="267"/>
      <c r="AN348" s="75"/>
    </row>
    <row r="349" spans="1:40" s="6" customFormat="1" ht="11.25" customHeight="1" x14ac:dyDescent="0.2">
      <c r="A349" s="56">
        <f t="shared" si="151"/>
        <v>43435</v>
      </c>
      <c r="B349" s="618">
        <v>15.340999999999999</v>
      </c>
      <c r="C349" s="392"/>
      <c r="D349" s="395">
        <f t="shared" si="127"/>
        <v>15.384617308344618</v>
      </c>
      <c r="E349" s="387">
        <f t="shared" si="124"/>
        <v>15.804457574968099</v>
      </c>
      <c r="F349" s="387">
        <f t="shared" si="126"/>
        <v>15.930186665016642</v>
      </c>
      <c r="G349" s="110">
        <f t="shared" si="125"/>
        <v>0.80200637825083232</v>
      </c>
      <c r="I349" s="382">
        <f t="shared" si="128"/>
        <v>15.930186665016642</v>
      </c>
      <c r="J349" s="85">
        <v>2018</v>
      </c>
      <c r="K349" s="199">
        <f t="shared" si="129"/>
        <v>43435</v>
      </c>
      <c r="L349" s="437">
        <f t="shared" si="130"/>
        <v>2.8351246878893788E-3</v>
      </c>
      <c r="M349" s="881"/>
      <c r="N349" s="881"/>
      <c r="O349" s="326">
        <f t="shared" si="131"/>
        <v>2.6564674214978733E-2</v>
      </c>
      <c r="P349" s="171">
        <f>(INDEX(Models!$BJ349:$BT349,,T349)*(1-R349)+INDEX(Models!$BJ349:$BT349,,T349+1)*R349-ERP_i)*Q349*Ramure*Pc/MaxiM</f>
        <v>1.0951239007093076E-2</v>
      </c>
      <c r="Q349" s="307">
        <f t="shared" si="132"/>
        <v>1</v>
      </c>
      <c r="R349" s="179">
        <f t="shared" si="133"/>
        <v>0.89945828697665098</v>
      </c>
      <c r="S349" s="837">
        <f t="shared" si="150"/>
        <v>-3</v>
      </c>
      <c r="T349" s="178">
        <f t="shared" si="134"/>
        <v>3</v>
      </c>
      <c r="U349" s="253">
        <f t="shared" si="135"/>
        <v>-2.100541713023349</v>
      </c>
      <c r="V349" s="385">
        <f t="shared" si="136"/>
        <v>19.069303055005854</v>
      </c>
      <c r="W349" s="58"/>
      <c r="X349" s="157">
        <f t="shared" si="137"/>
        <v>43435</v>
      </c>
      <c r="Y349" s="387">
        <f t="shared" si="138"/>
        <v>15.340999999999999</v>
      </c>
      <c r="Z349" s="387">
        <f t="shared" si="139"/>
        <v>15.384617308344618</v>
      </c>
      <c r="AA349" s="388">
        <f t="shared" si="140"/>
        <v>15.804457574968099</v>
      </c>
      <c r="AB349" s="199">
        <f t="shared" si="141"/>
        <v>43435</v>
      </c>
      <c r="AC349" s="426">
        <f t="shared" si="142"/>
        <v>2.6564674214978733E-2</v>
      </c>
      <c r="AD349" s="171">
        <f>(INDEX(Models!$BJ349:$BT349,,AH349)*(1-AF349)+INDEX(Models!$BJ349:$BT349,,AH349+1)*AF349-ERP_i)*AE349*Ramure*Pc/MaxiM</f>
        <v>1.0951239007093076E-2</v>
      </c>
      <c r="AE349" s="307">
        <f t="shared" si="143"/>
        <v>1</v>
      </c>
      <c r="AF349" s="179">
        <f t="shared" si="144"/>
        <v>0.89945828697665098</v>
      </c>
      <c r="AG349" s="837">
        <f t="shared" si="145"/>
        <v>-3</v>
      </c>
      <c r="AH349" s="178">
        <f t="shared" si="146"/>
        <v>3</v>
      </c>
      <c r="AI349" s="227">
        <f t="shared" si="147"/>
        <v>-2.100541713023349</v>
      </c>
      <c r="AJ349" s="267" t="b">
        <f t="shared" si="148"/>
        <v>0</v>
      </c>
      <c r="AK349" s="267" t="b">
        <f t="shared" si="149"/>
        <v>0</v>
      </c>
      <c r="AL349" s="267"/>
      <c r="AM349" s="267"/>
      <c r="AN349" s="75"/>
    </row>
    <row r="350" spans="1:40" s="6" customFormat="1" ht="11.25" customHeight="1" x14ac:dyDescent="0.2">
      <c r="A350" s="56">
        <f t="shared" si="151"/>
        <v>43436</v>
      </c>
      <c r="B350" s="618">
        <v>7.2949999999999999</v>
      </c>
      <c r="C350" s="392"/>
      <c r="D350" s="395">
        <f t="shared" si="127"/>
        <v>7.3159112899706926</v>
      </c>
      <c r="E350" s="387">
        <f t="shared" si="124"/>
        <v>7.5169874572586819</v>
      </c>
      <c r="F350" s="387">
        <f t="shared" si="126"/>
        <v>7.5270969841671391</v>
      </c>
      <c r="G350" s="110">
        <f t="shared" si="125"/>
        <v>0.38227994315849234</v>
      </c>
      <c r="I350" s="382">
        <f t="shared" si="128"/>
        <v>7.5270969841671391</v>
      </c>
      <c r="J350" s="85">
        <v>2018</v>
      </c>
      <c r="K350" s="199">
        <f t="shared" si="129"/>
        <v>43436</v>
      </c>
      <c r="L350" s="437">
        <f t="shared" si="130"/>
        <v>2.8583301713021037E-3</v>
      </c>
      <c r="M350" s="881"/>
      <c r="N350" s="881"/>
      <c r="O350" s="326">
        <f t="shared" si="131"/>
        <v>2.6749568019276557E-2</v>
      </c>
      <c r="P350" s="171">
        <f>(INDEX(Models!$BJ350:$BT350,,T350)*(1-R350)+INDEX(Models!$BJ350:$BT350,,T350+1)*R350-ERP_i)*Q350*Ramure*Pc/MaxiM</f>
        <v>1.0933761385195273E-2</v>
      </c>
      <c r="Q350" s="307">
        <f t="shared" si="132"/>
        <v>1</v>
      </c>
      <c r="R350" s="179">
        <f t="shared" si="133"/>
        <v>0.89948039656964163</v>
      </c>
      <c r="S350" s="837">
        <f t="shared" si="150"/>
        <v>-3</v>
      </c>
      <c r="T350" s="178">
        <f t="shared" si="134"/>
        <v>3</v>
      </c>
      <c r="U350" s="253">
        <f t="shared" si="135"/>
        <v>-2.1005196034303584</v>
      </c>
      <c r="V350" s="385">
        <f t="shared" si="136"/>
        <v>18.899610212710311</v>
      </c>
      <c r="W350" s="58"/>
      <c r="X350" s="157">
        <f t="shared" si="137"/>
        <v>43436</v>
      </c>
      <c r="Y350" s="387">
        <f t="shared" si="138"/>
        <v>7.2949999999999999</v>
      </c>
      <c r="Z350" s="387">
        <f t="shared" si="139"/>
        <v>7.3159112899706926</v>
      </c>
      <c r="AA350" s="388">
        <f t="shared" si="140"/>
        <v>7.5169874572586819</v>
      </c>
      <c r="AB350" s="199">
        <f t="shared" si="141"/>
        <v>43436</v>
      </c>
      <c r="AC350" s="426">
        <f t="shared" si="142"/>
        <v>2.6749568019276557E-2</v>
      </c>
      <c r="AD350" s="171">
        <f>(INDEX(Models!$BJ350:$BT350,,AH350)*(1-AF350)+INDEX(Models!$BJ350:$BT350,,AH350+1)*AF350-ERP_i)*AE350*Ramure*Pc/MaxiM</f>
        <v>1.0933761385195273E-2</v>
      </c>
      <c r="AE350" s="307">
        <f t="shared" si="143"/>
        <v>1</v>
      </c>
      <c r="AF350" s="179">
        <f t="shared" si="144"/>
        <v>0.89948039656964163</v>
      </c>
      <c r="AG350" s="837">
        <f t="shared" si="145"/>
        <v>-3</v>
      </c>
      <c r="AH350" s="178">
        <f t="shared" si="146"/>
        <v>3</v>
      </c>
      <c r="AI350" s="227">
        <f t="shared" si="147"/>
        <v>-2.1005196034303584</v>
      </c>
      <c r="AJ350" s="267" t="b">
        <f t="shared" si="148"/>
        <v>0</v>
      </c>
      <c r="AK350" s="267" t="b">
        <f t="shared" si="149"/>
        <v>0</v>
      </c>
      <c r="AL350" s="267"/>
      <c r="AM350" s="267"/>
      <c r="AN350" s="75"/>
    </row>
    <row r="351" spans="1:40" s="6" customFormat="1" ht="11.25" customHeight="1" x14ac:dyDescent="0.2">
      <c r="A351" s="56">
        <f t="shared" si="151"/>
        <v>43437</v>
      </c>
      <c r="B351" s="618">
        <v>8.6690000000000005</v>
      </c>
      <c r="C351" s="392"/>
      <c r="D351" s="395">
        <f t="shared" si="127"/>
        <v>8.694052216751512</v>
      </c>
      <c r="E351" s="387">
        <f t="shared" si="124"/>
        <v>8.9347076734762396</v>
      </c>
      <c r="F351" s="387">
        <f t="shared" si="126"/>
        <v>8.9574187456558683</v>
      </c>
      <c r="G351" s="110">
        <f t="shared" si="125"/>
        <v>0.45880864874967847</v>
      </c>
      <c r="I351" s="382">
        <f t="shared" si="128"/>
        <v>8.9574187456558683</v>
      </c>
      <c r="J351" s="85">
        <v>2018</v>
      </c>
      <c r="K351" s="199">
        <f t="shared" si="129"/>
        <v>43437</v>
      </c>
      <c r="L351" s="437">
        <f t="shared" si="130"/>
        <v>2.8815351146892487E-3</v>
      </c>
      <c r="M351" s="881"/>
      <c r="N351" s="881"/>
      <c r="O351" s="326">
        <f t="shared" si="131"/>
        <v>2.6934899889242234E-2</v>
      </c>
      <c r="P351" s="171">
        <f>(INDEX(Models!$BJ351:$BT351,,T351)*(1-R351)+INDEX(Models!$BJ351:$BT351,,T351+1)*R351-ERP_i)*Q351*Ramure*Pc/MaxiM</f>
        <v>1.0908983244240169E-2</v>
      </c>
      <c r="Q351" s="307">
        <f t="shared" si="132"/>
        <v>1</v>
      </c>
      <c r="R351" s="179">
        <f t="shared" si="133"/>
        <v>0.89950161727846911</v>
      </c>
      <c r="S351" s="837">
        <f t="shared" si="150"/>
        <v>-3</v>
      </c>
      <c r="T351" s="178">
        <f t="shared" si="134"/>
        <v>3</v>
      </c>
      <c r="U351" s="253">
        <f t="shared" si="135"/>
        <v>-2.1004983827215309</v>
      </c>
      <c r="V351" s="385">
        <f t="shared" si="136"/>
        <v>18.73597050224484</v>
      </c>
      <c r="W351" s="58"/>
      <c r="X351" s="157">
        <f t="shared" si="137"/>
        <v>43437</v>
      </c>
      <c r="Y351" s="387">
        <f t="shared" si="138"/>
        <v>8.6690000000000005</v>
      </c>
      <c r="Z351" s="387">
        <f t="shared" si="139"/>
        <v>8.694052216751512</v>
      </c>
      <c r="AA351" s="388">
        <f t="shared" si="140"/>
        <v>8.9347076734762396</v>
      </c>
      <c r="AB351" s="199">
        <f t="shared" si="141"/>
        <v>43437</v>
      </c>
      <c r="AC351" s="426">
        <f t="shared" si="142"/>
        <v>2.6934899889242234E-2</v>
      </c>
      <c r="AD351" s="171">
        <f>(INDEX(Models!$BJ351:$BT351,,AH351)*(1-AF351)+INDEX(Models!$BJ351:$BT351,,AH351+1)*AF351-ERP_i)*AE351*Ramure*Pc/MaxiM</f>
        <v>1.0908983244240169E-2</v>
      </c>
      <c r="AE351" s="307">
        <f t="shared" si="143"/>
        <v>1</v>
      </c>
      <c r="AF351" s="179">
        <f t="shared" si="144"/>
        <v>0.89950161727846911</v>
      </c>
      <c r="AG351" s="837">
        <f t="shared" si="145"/>
        <v>-3</v>
      </c>
      <c r="AH351" s="178">
        <f t="shared" si="146"/>
        <v>3</v>
      </c>
      <c r="AI351" s="227">
        <f t="shared" si="147"/>
        <v>-2.1004983827215309</v>
      </c>
      <c r="AJ351" s="267" t="b">
        <f t="shared" si="148"/>
        <v>0</v>
      </c>
      <c r="AK351" s="267" t="b">
        <f t="shared" si="149"/>
        <v>0</v>
      </c>
      <c r="AL351" s="267"/>
      <c r="AM351" s="267"/>
      <c r="AN351" s="75"/>
    </row>
    <row r="352" spans="1:40" s="6" customFormat="1" ht="11.25" customHeight="1" x14ac:dyDescent="0.2">
      <c r="A352" s="56">
        <f t="shared" si="151"/>
        <v>43438</v>
      </c>
      <c r="B352" s="618">
        <v>4.7720000000000002</v>
      </c>
      <c r="C352" s="392"/>
      <c r="D352" s="395">
        <f t="shared" si="127"/>
        <v>4.7859017980824605</v>
      </c>
      <c r="E352" s="387">
        <f t="shared" si="124"/>
        <v>4.919317003110959</v>
      </c>
      <c r="F352" s="387">
        <f t="shared" si="126"/>
        <v>4.919317003110959</v>
      </c>
      <c r="G352" s="110">
        <f t="shared" si="125"/>
        <v>0.25405057648742901</v>
      </c>
      <c r="I352" s="382">
        <f t="shared" si="128"/>
        <v>4.919317003110959</v>
      </c>
      <c r="J352" s="85">
        <v>2018</v>
      </c>
      <c r="K352" s="199">
        <f t="shared" si="129"/>
        <v>43438</v>
      </c>
      <c r="L352" s="437">
        <f t="shared" si="130"/>
        <v>2.9047395180633595E-3</v>
      </c>
      <c r="M352" s="881"/>
      <c r="N352" s="881"/>
      <c r="O352" s="326">
        <f t="shared" si="131"/>
        <v>2.7120676497189921E-2</v>
      </c>
      <c r="P352" s="171">
        <f>(INDEX(Models!$BJ352:$BT352,,T352)*(1-R352)+INDEX(Models!$BJ352:$BT352,,T352+1)*R352-ERP_i)*Q352*Ramure*Pc/MaxiM</f>
        <v>1.0879617414540816E-2</v>
      </c>
      <c r="Q352" s="307">
        <f t="shared" si="132"/>
        <v>1</v>
      </c>
      <c r="R352" s="179">
        <f t="shared" si="133"/>
        <v>0.89952198478875811</v>
      </c>
      <c r="S352" s="837">
        <f t="shared" si="150"/>
        <v>-3</v>
      </c>
      <c r="T352" s="178">
        <f t="shared" si="134"/>
        <v>3</v>
      </c>
      <c r="U352" s="253">
        <f t="shared" si="135"/>
        <v>-2.1004780152112419</v>
      </c>
      <c r="V352" s="385">
        <f t="shared" si="136"/>
        <v>18.579302322234138</v>
      </c>
      <c r="W352" s="58"/>
      <c r="X352" s="157">
        <f t="shared" si="137"/>
        <v>43438</v>
      </c>
      <c r="Y352" s="387">
        <f t="shared" si="138"/>
        <v>4.7720000000000002</v>
      </c>
      <c r="Z352" s="387">
        <f t="shared" si="139"/>
        <v>4.7859017980824605</v>
      </c>
      <c r="AA352" s="388">
        <f t="shared" si="140"/>
        <v>4.919317003110959</v>
      </c>
      <c r="AB352" s="199">
        <f t="shared" si="141"/>
        <v>43438</v>
      </c>
      <c r="AC352" s="426">
        <f t="shared" si="142"/>
        <v>2.7120676497189921E-2</v>
      </c>
      <c r="AD352" s="171">
        <f>(INDEX(Models!$BJ352:$BT352,,AH352)*(1-AF352)+INDEX(Models!$BJ352:$BT352,,AH352+1)*AF352-ERP_i)*AE352*Ramure*Pc/MaxiM</f>
        <v>1.0879617414540816E-2</v>
      </c>
      <c r="AE352" s="307">
        <f t="shared" si="143"/>
        <v>1</v>
      </c>
      <c r="AF352" s="179">
        <f t="shared" si="144"/>
        <v>0.89952198478875811</v>
      </c>
      <c r="AG352" s="837">
        <f t="shared" si="145"/>
        <v>-3</v>
      </c>
      <c r="AH352" s="178">
        <f t="shared" si="146"/>
        <v>3</v>
      </c>
      <c r="AI352" s="227">
        <f t="shared" si="147"/>
        <v>-2.1004780152112419</v>
      </c>
      <c r="AJ352" s="267" t="b">
        <f t="shared" si="148"/>
        <v>0</v>
      </c>
      <c r="AK352" s="267" t="b">
        <f t="shared" si="149"/>
        <v>0</v>
      </c>
      <c r="AL352" s="267"/>
      <c r="AM352" s="267"/>
      <c r="AN352" s="75"/>
    </row>
    <row r="353" spans="1:40" s="6" customFormat="1" ht="11.25" customHeight="1" x14ac:dyDescent="0.2">
      <c r="A353" s="56">
        <f t="shared" si="151"/>
        <v>43439</v>
      </c>
      <c r="B353" s="618">
        <v>15.334</v>
      </c>
      <c r="C353" s="392"/>
      <c r="D353" s="395">
        <f t="shared" si="127"/>
        <v>15.379028925956685</v>
      </c>
      <c r="E353" s="387">
        <f t="shared" si="124"/>
        <v>15.81077212011674</v>
      </c>
      <c r="F353" s="387">
        <f t="shared" si="126"/>
        <v>15.942256021610223</v>
      </c>
      <c r="G353" s="110">
        <f t="shared" si="125"/>
        <v>0.82980741753665654</v>
      </c>
      <c r="I353" s="382">
        <f t="shared" si="128"/>
        <v>15.942256021610223</v>
      </c>
      <c r="J353" s="85">
        <v>2018</v>
      </c>
      <c r="K353" s="199">
        <f t="shared" si="129"/>
        <v>43439</v>
      </c>
      <c r="L353" s="437">
        <f t="shared" si="130"/>
        <v>2.9279433814372036E-3</v>
      </c>
      <c r="M353" s="881"/>
      <c r="N353" s="881"/>
      <c r="O353" s="326">
        <f t="shared" si="131"/>
        <v>2.7306901325250786E-2</v>
      </c>
      <c r="P353" s="171">
        <f>(INDEX(Models!$BJ353:$BT353,,T353)*(1-R353)+INDEX(Models!$BJ353:$BT353,,T353+1)*R353-ERP_i)*Q353*Ramure*Pc/MaxiM</f>
        <v>1.0852139221188734E-2</v>
      </c>
      <c r="Q353" s="307">
        <f t="shared" si="132"/>
        <v>1</v>
      </c>
      <c r="R353" s="179">
        <f t="shared" si="133"/>
        <v>0.89954153335747478</v>
      </c>
      <c r="S353" s="837">
        <f t="shared" si="150"/>
        <v>-3</v>
      </c>
      <c r="T353" s="178">
        <f t="shared" si="134"/>
        <v>3</v>
      </c>
      <c r="U353" s="253">
        <f t="shared" si="135"/>
        <v>-2.1004584666425252</v>
      </c>
      <c r="V353" s="385">
        <f t="shared" si="136"/>
        <v>18.430455233973984</v>
      </c>
      <c r="W353" s="58"/>
      <c r="X353" s="157">
        <f t="shared" si="137"/>
        <v>43439</v>
      </c>
      <c r="Y353" s="387">
        <f t="shared" si="138"/>
        <v>15.334</v>
      </c>
      <c r="Z353" s="387">
        <f t="shared" si="139"/>
        <v>15.379028925956685</v>
      </c>
      <c r="AA353" s="388">
        <f t="shared" si="140"/>
        <v>15.81077212011674</v>
      </c>
      <c r="AB353" s="199">
        <f t="shared" si="141"/>
        <v>43439</v>
      </c>
      <c r="AC353" s="426">
        <f t="shared" si="142"/>
        <v>2.7306901325250786E-2</v>
      </c>
      <c r="AD353" s="171">
        <f>(INDEX(Models!$BJ353:$BT353,,AH353)*(1-AF353)+INDEX(Models!$BJ353:$BT353,,AH353+1)*AF353-ERP_i)*AE353*Ramure*Pc/MaxiM</f>
        <v>1.0852139221188734E-2</v>
      </c>
      <c r="AE353" s="307">
        <f t="shared" si="143"/>
        <v>1</v>
      </c>
      <c r="AF353" s="179">
        <f t="shared" si="144"/>
        <v>0.89954153335747478</v>
      </c>
      <c r="AG353" s="837">
        <f t="shared" si="145"/>
        <v>-3</v>
      </c>
      <c r="AH353" s="178">
        <f t="shared" si="146"/>
        <v>3</v>
      </c>
      <c r="AI353" s="227">
        <f t="shared" si="147"/>
        <v>-2.1004584666425252</v>
      </c>
      <c r="AJ353" s="267" t="b">
        <f t="shared" si="148"/>
        <v>0</v>
      </c>
      <c r="AK353" s="267" t="b">
        <f t="shared" si="149"/>
        <v>0</v>
      </c>
      <c r="AL353" s="267"/>
      <c r="AM353" s="267"/>
      <c r="AN353" s="75"/>
    </row>
    <row r="354" spans="1:40" s="6" customFormat="1" ht="11.25" x14ac:dyDescent="0.2">
      <c r="A354" s="56">
        <f t="shared" si="151"/>
        <v>43440</v>
      </c>
      <c r="B354" s="618">
        <v>12.791</v>
      </c>
      <c r="C354" s="392"/>
      <c r="D354" s="395">
        <f t="shared" si="127"/>
        <v>12.828859847465488</v>
      </c>
      <c r="E354" s="387">
        <f t="shared" si="124"/>
        <v>13.191542507382124</v>
      </c>
      <c r="F354" s="387">
        <f t="shared" si="126"/>
        <v>13.27351897074759</v>
      </c>
      <c r="G354" s="110">
        <f t="shared" si="125"/>
        <v>0.6960560285848435</v>
      </c>
      <c r="I354" s="382">
        <f t="shared" si="128"/>
        <v>13.27351897074759</v>
      </c>
      <c r="J354" s="85">
        <v>2018</v>
      </c>
      <c r="K354" s="199">
        <f t="shared" si="129"/>
        <v>43440</v>
      </c>
      <c r="L354" s="437">
        <f t="shared" si="130"/>
        <v>2.9511467048233264E-3</v>
      </c>
      <c r="M354" s="881"/>
      <c r="N354" s="881"/>
      <c r="O354" s="326">
        <f t="shared" si="131"/>
        <v>2.7493574744096503E-2</v>
      </c>
      <c r="P354" s="171">
        <f>(INDEX(Models!$BJ354:$BT354,,T354)*(1-R354)+INDEX(Models!$BJ354:$BT354,,T354+1)*R354-ERP_i)*Q354*Ramure*Pc/MaxiM</f>
        <v>1.0826078006850114E-2</v>
      </c>
      <c r="Q354" s="307">
        <f t="shared" si="132"/>
        <v>1</v>
      </c>
      <c r="R354" s="179">
        <f t="shared" si="133"/>
        <v>0.89956029586980701</v>
      </c>
      <c r="S354" s="837">
        <f t="shared" si="150"/>
        <v>-3</v>
      </c>
      <c r="T354" s="178">
        <f t="shared" si="134"/>
        <v>3</v>
      </c>
      <c r="U354" s="253">
        <f t="shared" si="135"/>
        <v>-2.100439704130193</v>
      </c>
      <c r="V354" s="385">
        <f t="shared" si="136"/>
        <v>18.290410457097206</v>
      </c>
      <c r="W354" s="58"/>
      <c r="X354" s="157">
        <f t="shared" si="137"/>
        <v>43440</v>
      </c>
      <c r="Y354" s="387">
        <f t="shared" si="138"/>
        <v>12.791</v>
      </c>
      <c r="Z354" s="387">
        <f t="shared" si="139"/>
        <v>12.828859847465488</v>
      </c>
      <c r="AA354" s="388">
        <f t="shared" si="140"/>
        <v>13.191542507382124</v>
      </c>
      <c r="AB354" s="199">
        <f t="shared" si="141"/>
        <v>43440</v>
      </c>
      <c r="AC354" s="426">
        <f t="shared" si="142"/>
        <v>2.7493574744096503E-2</v>
      </c>
      <c r="AD354" s="171">
        <f>(INDEX(Models!$BJ354:$BT354,,AH354)*(1-AF354)+INDEX(Models!$BJ354:$BT354,,AH354+1)*AF354-ERP_i)*AE354*Ramure*Pc/MaxiM</f>
        <v>1.0826078006850114E-2</v>
      </c>
      <c r="AE354" s="307">
        <f t="shared" si="143"/>
        <v>1</v>
      </c>
      <c r="AF354" s="179">
        <f t="shared" si="144"/>
        <v>0.89956029586980701</v>
      </c>
      <c r="AG354" s="837">
        <f t="shared" si="145"/>
        <v>-3</v>
      </c>
      <c r="AH354" s="178">
        <f t="shared" si="146"/>
        <v>3</v>
      </c>
      <c r="AI354" s="227">
        <f t="shared" si="147"/>
        <v>-2.100439704130193</v>
      </c>
      <c r="AJ354" s="267" t="b">
        <f t="shared" si="148"/>
        <v>0</v>
      </c>
      <c r="AK354" s="267" t="b">
        <f t="shared" si="149"/>
        <v>0</v>
      </c>
      <c r="AL354" s="267"/>
      <c r="AM354" s="267"/>
      <c r="AN354" s="75"/>
    </row>
    <row r="355" spans="1:40" s="6" customFormat="1" ht="11.25" x14ac:dyDescent="0.2">
      <c r="A355" s="56">
        <f t="shared" si="151"/>
        <v>43441</v>
      </c>
      <c r="B355" s="618">
        <v>15.94</v>
      </c>
      <c r="C355" s="392"/>
      <c r="D355" s="395">
        <f t="shared" si="127"/>
        <v>15.987552568801128</v>
      </c>
      <c r="E355" s="387">
        <f t="shared" si="124"/>
        <v>16.44269785860207</v>
      </c>
      <c r="F355" s="387">
        <f t="shared" si="126"/>
        <v>16.590596066014591</v>
      </c>
      <c r="G355" s="110">
        <f t="shared" si="125"/>
        <v>0.87607548465209795</v>
      </c>
      <c r="I355" s="382">
        <f t="shared" si="128"/>
        <v>16.590596066014591</v>
      </c>
      <c r="J355" s="85">
        <v>2018</v>
      </c>
      <c r="K355" s="199">
        <f t="shared" si="129"/>
        <v>43441</v>
      </c>
      <c r="L355" s="437">
        <f t="shared" si="130"/>
        <v>2.9743494882340515E-3</v>
      </c>
      <c r="M355" s="881"/>
      <c r="N355" s="881"/>
      <c r="O355" s="326">
        <f t="shared" si="131"/>
        <v>2.7680694112057331E-2</v>
      </c>
      <c r="P355" s="171">
        <f>(INDEX(Models!$BJ355:$BT355,,T355)*(1-R355)+INDEX(Models!$BJ355:$BT355,,T355+1)*R355-ERP_i)*Q355*Ramure*Pc/MaxiM</f>
        <v>1.0800948998348641E-2</v>
      </c>
      <c r="Q355" s="307">
        <f t="shared" si="132"/>
        <v>1</v>
      </c>
      <c r="R355" s="179">
        <f t="shared" si="133"/>
        <v>0.89957830389380611</v>
      </c>
      <c r="S355" s="837">
        <f t="shared" si="150"/>
        <v>-3</v>
      </c>
      <c r="T355" s="178">
        <f t="shared" si="134"/>
        <v>3</v>
      </c>
      <c r="U355" s="253">
        <f t="shared" si="135"/>
        <v>-2.1004216961061939</v>
      </c>
      <c r="V355" s="385">
        <f t="shared" si="136"/>
        <v>18.160148419826573</v>
      </c>
      <c r="W355" s="58"/>
      <c r="X355" s="157">
        <f t="shared" si="137"/>
        <v>43441</v>
      </c>
      <c r="Y355" s="387">
        <f t="shared" si="138"/>
        <v>15.939999999999998</v>
      </c>
      <c r="Z355" s="387">
        <f t="shared" si="139"/>
        <v>15.987552568801126</v>
      </c>
      <c r="AA355" s="388">
        <f t="shared" si="140"/>
        <v>16.44269785860207</v>
      </c>
      <c r="AB355" s="199">
        <f t="shared" si="141"/>
        <v>43441</v>
      </c>
      <c r="AC355" s="426">
        <f t="shared" si="142"/>
        <v>2.7680694112057331E-2</v>
      </c>
      <c r="AD355" s="171">
        <f>(INDEX(Models!$BJ355:$BT355,,AH355)*(1-AF355)+INDEX(Models!$BJ355:$BT355,,AH355+1)*AF355-ERP_i)*AE355*Ramure*Pc/MaxiM</f>
        <v>1.0800948998348641E-2</v>
      </c>
      <c r="AE355" s="307">
        <f t="shared" si="143"/>
        <v>1</v>
      </c>
      <c r="AF355" s="179">
        <f t="shared" si="144"/>
        <v>0.89957830389380611</v>
      </c>
      <c r="AG355" s="837">
        <f t="shared" si="145"/>
        <v>-3</v>
      </c>
      <c r="AH355" s="178">
        <f t="shared" si="146"/>
        <v>3</v>
      </c>
      <c r="AI355" s="227">
        <f t="shared" si="147"/>
        <v>-2.1004216961061939</v>
      </c>
      <c r="AJ355" s="267" t="b">
        <f t="shared" si="148"/>
        <v>0</v>
      </c>
      <c r="AK355" s="267" t="b">
        <f t="shared" si="149"/>
        <v>0</v>
      </c>
      <c r="AL355" s="267"/>
      <c r="AM355" s="267"/>
      <c r="AN355" s="75"/>
    </row>
    <row r="356" spans="1:40" s="6" customFormat="1" ht="11.25" customHeight="1" x14ac:dyDescent="0.2">
      <c r="A356" s="56">
        <f t="shared" si="151"/>
        <v>43442</v>
      </c>
      <c r="B356" s="618">
        <v>11.874000000000001</v>
      </c>
      <c r="C356" s="392"/>
      <c r="D356" s="395">
        <f t="shared" si="127"/>
        <v>11.909699941684012</v>
      </c>
      <c r="E356" s="387">
        <f t="shared" si="124"/>
        <v>12.251117185901299</v>
      </c>
      <c r="F356" s="387">
        <f t="shared" si="126"/>
        <v>12.31904514723783</v>
      </c>
      <c r="G356" s="110">
        <f t="shared" si="125"/>
        <v>0.6546976457699093</v>
      </c>
      <c r="I356" s="382">
        <f t="shared" si="128"/>
        <v>12.31904514723783</v>
      </c>
      <c r="J356" s="85">
        <v>2018</v>
      </c>
      <c r="K356" s="199">
        <f t="shared" si="129"/>
        <v>43442</v>
      </c>
      <c r="L356" s="437">
        <f t="shared" si="130"/>
        <v>2.9975517316822575E-3</v>
      </c>
      <c r="M356" s="881"/>
      <c r="N356" s="881"/>
      <c r="O356" s="326">
        <f t="shared" si="131"/>
        <v>2.7868253893628021E-2</v>
      </c>
      <c r="P356" s="171">
        <f>(INDEX(Models!$BJ356:$BT356,,T356)*(1-R356)+INDEX(Models!$BJ356:$BT356,,T356+1)*R356-ERP_i)*Q356*Ramure*Pc/MaxiM</f>
        <v>1.0776254790016279E-2</v>
      </c>
      <c r="Q356" s="307">
        <f t="shared" si="132"/>
        <v>1</v>
      </c>
      <c r="R356" s="179">
        <f t="shared" si="133"/>
        <v>0.89959558773287362</v>
      </c>
      <c r="S356" s="837">
        <f t="shared" si="150"/>
        <v>-3</v>
      </c>
      <c r="T356" s="178">
        <f t="shared" si="134"/>
        <v>3</v>
      </c>
      <c r="U356" s="253">
        <f t="shared" si="135"/>
        <v>-2.1004044122671264</v>
      </c>
      <c r="V356" s="385">
        <f t="shared" si="136"/>
        <v>18.040648741244986</v>
      </c>
      <c r="W356" s="58"/>
      <c r="X356" s="157">
        <f t="shared" si="137"/>
        <v>43442</v>
      </c>
      <c r="Y356" s="387">
        <f t="shared" si="138"/>
        <v>11.874000000000001</v>
      </c>
      <c r="Z356" s="387">
        <f t="shared" si="139"/>
        <v>11.909699941684012</v>
      </c>
      <c r="AA356" s="388">
        <f t="shared" si="140"/>
        <v>12.251117185901299</v>
      </c>
      <c r="AB356" s="199">
        <f t="shared" si="141"/>
        <v>43442</v>
      </c>
      <c r="AC356" s="426">
        <f t="shared" si="142"/>
        <v>2.7868253893628021E-2</v>
      </c>
      <c r="AD356" s="171">
        <f>(INDEX(Models!$BJ356:$BT356,,AH356)*(1-AF356)+INDEX(Models!$BJ356:$BT356,,AH356+1)*AF356-ERP_i)*AE356*Ramure*Pc/MaxiM</f>
        <v>1.0776254790016279E-2</v>
      </c>
      <c r="AE356" s="307">
        <f t="shared" si="143"/>
        <v>1</v>
      </c>
      <c r="AF356" s="179">
        <f t="shared" si="144"/>
        <v>0.89959558773287362</v>
      </c>
      <c r="AG356" s="837">
        <f t="shared" si="145"/>
        <v>-3</v>
      </c>
      <c r="AH356" s="178">
        <f t="shared" si="146"/>
        <v>3</v>
      </c>
      <c r="AI356" s="227">
        <f t="shared" si="147"/>
        <v>-2.1004044122671264</v>
      </c>
      <c r="AJ356" s="267" t="b">
        <f t="shared" si="148"/>
        <v>0</v>
      </c>
      <c r="AK356" s="267" t="b">
        <f t="shared" si="149"/>
        <v>0</v>
      </c>
      <c r="AL356" s="267"/>
      <c r="AM356" s="267"/>
      <c r="AN356" s="75"/>
    </row>
    <row r="357" spans="1:40" s="6" customFormat="1" ht="11.25" x14ac:dyDescent="0.2">
      <c r="A357" s="56">
        <f t="shared" si="151"/>
        <v>43443</v>
      </c>
      <c r="B357" s="618">
        <v>5.0990000000000002</v>
      </c>
      <c r="C357" s="392"/>
      <c r="D357" s="395">
        <f t="shared" si="127"/>
        <v>5.1144494908685978</v>
      </c>
      <c r="E357" s="387">
        <f t="shared" si="124"/>
        <v>5.262083807574049</v>
      </c>
      <c r="F357" s="387">
        <f t="shared" ref="F357:F379" si="152">Wh_sa/(1-Pvg*MEDIAN((-Sdif+Wh/Env_an)/Csdif,0,1))</f>
        <v>5.262083807574049</v>
      </c>
      <c r="G357" s="110">
        <f t="shared" si="125"/>
        <v>0.281280825383873</v>
      </c>
      <c r="I357" s="382">
        <f t="shared" si="128"/>
        <v>5.262083807574049</v>
      </c>
      <c r="J357" s="85">
        <v>2018</v>
      </c>
      <c r="K357" s="199">
        <f t="shared" si="129"/>
        <v>43443</v>
      </c>
      <c r="L357" s="437">
        <f t="shared" si="130"/>
        <v>3.0207534351802678E-3</v>
      </c>
      <c r="M357" s="881"/>
      <c r="N357" s="881"/>
      <c r="O357" s="326">
        <f t="shared" si="131"/>
        <v>2.8056245796190357E-2</v>
      </c>
      <c r="P357" s="171">
        <f>(INDEX(Models!$BJ357:$BT357,,T357)*(1-R357)+INDEX(Models!$BJ357:$BT357,,T357+1)*R357-ERP_i)*Q357*Ramure*Pc/MaxiM</f>
        <v>1.0751487519662144E-2</v>
      </c>
      <c r="Q357" s="307">
        <f t="shared" si="132"/>
        <v>1</v>
      </c>
      <c r="R357" s="179">
        <f t="shared" si="133"/>
        <v>0.89961217647617753</v>
      </c>
      <c r="S357" s="837">
        <f t="shared" si="150"/>
        <v>-3</v>
      </c>
      <c r="T357" s="178">
        <f t="shared" si="134"/>
        <v>3</v>
      </c>
      <c r="U357" s="253">
        <f t="shared" si="135"/>
        <v>-2.1003878235238225</v>
      </c>
      <c r="V357" s="385">
        <f t="shared" si="136"/>
        <v>17.93289022902038</v>
      </c>
      <c r="W357" s="58"/>
      <c r="X357" s="157">
        <f t="shared" si="137"/>
        <v>43443</v>
      </c>
      <c r="Y357" s="387">
        <f t="shared" si="138"/>
        <v>5.0990000000000002</v>
      </c>
      <c r="Z357" s="387">
        <f t="shared" si="139"/>
        <v>5.1144494908685978</v>
      </c>
      <c r="AA357" s="388">
        <f t="shared" si="140"/>
        <v>5.262083807574049</v>
      </c>
      <c r="AB357" s="199">
        <f t="shared" si="141"/>
        <v>43443</v>
      </c>
      <c r="AC357" s="426">
        <f t="shared" si="142"/>
        <v>2.8056245796190357E-2</v>
      </c>
      <c r="AD357" s="171">
        <f>(INDEX(Models!$BJ357:$BT357,,AH357)*(1-AF357)+INDEX(Models!$BJ357:$BT357,,AH357+1)*AF357-ERP_i)*AE357*Ramure*Pc/MaxiM</f>
        <v>1.0751487519662144E-2</v>
      </c>
      <c r="AE357" s="307">
        <f t="shared" si="143"/>
        <v>1</v>
      </c>
      <c r="AF357" s="179">
        <f t="shared" si="144"/>
        <v>0.89961217647617753</v>
      </c>
      <c r="AG357" s="837">
        <f t="shared" si="145"/>
        <v>-3</v>
      </c>
      <c r="AH357" s="178">
        <f t="shared" si="146"/>
        <v>3</v>
      </c>
      <c r="AI357" s="227">
        <f t="shared" si="147"/>
        <v>-2.1003878235238225</v>
      </c>
      <c r="AJ357" s="267" t="b">
        <f t="shared" si="148"/>
        <v>0</v>
      </c>
      <c r="AK357" s="267" t="b">
        <f t="shared" si="149"/>
        <v>0</v>
      </c>
      <c r="AL357" s="267"/>
      <c r="AM357" s="267"/>
      <c r="AN357" s="75"/>
    </row>
    <row r="358" spans="1:40" s="6" customFormat="1" ht="11.25" customHeight="1" x14ac:dyDescent="0.2">
      <c r="A358" s="56">
        <f t="shared" si="151"/>
        <v>43444</v>
      </c>
      <c r="B358" s="618">
        <v>11.51</v>
      </c>
      <c r="C358" s="392"/>
      <c r="D358" s="395">
        <f t="shared" si="127"/>
        <v>11.545142890795557</v>
      </c>
      <c r="E358" s="387">
        <f t="shared" si="124"/>
        <v>11.880709477765773</v>
      </c>
      <c r="F358" s="387">
        <f t="shared" si="152"/>
        <v>11.943897356341752</v>
      </c>
      <c r="G358" s="110">
        <f t="shared" si="125"/>
        <v>0.64173099919363874</v>
      </c>
      <c r="I358" s="382">
        <f t="shared" si="128"/>
        <v>11.943897356341752</v>
      </c>
      <c r="J358" s="85">
        <v>2018</v>
      </c>
      <c r="K358" s="199">
        <f t="shared" si="129"/>
        <v>43444</v>
      </c>
      <c r="L358" s="437">
        <f t="shared" si="130"/>
        <v>3.043954598740739E-3</v>
      </c>
      <c r="M358" s="881"/>
      <c r="N358" s="881"/>
      <c r="O358" s="326">
        <f t="shared" si="131"/>
        <v>2.824465892362861E-2</v>
      </c>
      <c r="P358" s="171">
        <f>(INDEX(Models!$BJ358:$BT358,,T358)*(1-R358)+INDEX(Models!$BJ358:$BT358,,T358+1)*R358-ERP_i)*Q358*Ramure*Pc/MaxiM</f>
        <v>1.0726131782850418E-2</v>
      </c>
      <c r="Q358" s="307">
        <f t="shared" si="132"/>
        <v>1</v>
      </c>
      <c r="R358" s="179">
        <f t="shared" si="133"/>
        <v>0.8996280980470801</v>
      </c>
      <c r="S358" s="837">
        <f t="shared" si="150"/>
        <v>-3</v>
      </c>
      <c r="T358" s="178">
        <f t="shared" si="134"/>
        <v>3</v>
      </c>
      <c r="U358" s="253">
        <f t="shared" si="135"/>
        <v>-2.1003719019529199</v>
      </c>
      <c r="V358" s="385">
        <f t="shared" si="136"/>
        <v>17.837850865967891</v>
      </c>
      <c r="W358" s="58"/>
      <c r="X358" s="157">
        <f t="shared" si="137"/>
        <v>43444</v>
      </c>
      <c r="Y358" s="387">
        <f t="shared" si="138"/>
        <v>11.51</v>
      </c>
      <c r="Z358" s="387">
        <f t="shared" si="139"/>
        <v>11.545142890795557</v>
      </c>
      <c r="AA358" s="388">
        <f t="shared" si="140"/>
        <v>11.880709477765773</v>
      </c>
      <c r="AB358" s="199">
        <f t="shared" si="141"/>
        <v>43444</v>
      </c>
      <c r="AC358" s="426">
        <f t="shared" si="142"/>
        <v>2.824465892362861E-2</v>
      </c>
      <c r="AD358" s="171">
        <f>(INDEX(Models!$BJ358:$BT358,,AH358)*(1-AF358)+INDEX(Models!$BJ358:$BT358,,AH358+1)*AF358-ERP_i)*AE358*Ramure*Pc/MaxiM</f>
        <v>1.0726131782850418E-2</v>
      </c>
      <c r="AE358" s="307">
        <f t="shared" si="143"/>
        <v>1</v>
      </c>
      <c r="AF358" s="179">
        <f t="shared" si="144"/>
        <v>0.8996280980470801</v>
      </c>
      <c r="AG358" s="837">
        <f t="shared" si="145"/>
        <v>-3</v>
      </c>
      <c r="AH358" s="178">
        <f t="shared" si="146"/>
        <v>3</v>
      </c>
      <c r="AI358" s="227">
        <f t="shared" si="147"/>
        <v>-2.1003719019529199</v>
      </c>
      <c r="AJ358" s="267" t="b">
        <f t="shared" si="148"/>
        <v>0</v>
      </c>
      <c r="AK358" s="267" t="b">
        <f t="shared" si="149"/>
        <v>0</v>
      </c>
      <c r="AL358" s="267"/>
      <c r="AM358" s="267"/>
      <c r="AN358" s="75"/>
    </row>
    <row r="359" spans="1:40" s="6" customFormat="1" ht="11.25" customHeight="1" x14ac:dyDescent="0.2">
      <c r="A359" s="56">
        <f t="shared" si="151"/>
        <v>43445</v>
      </c>
      <c r="B359" s="618">
        <v>14.571</v>
      </c>
      <c r="C359" s="392"/>
      <c r="D359" s="395">
        <f t="shared" si="127"/>
        <v>14.615829016296694</v>
      </c>
      <c r="E359" s="387">
        <f t="shared" si="124"/>
        <v>15.043570064018793</v>
      </c>
      <c r="F359" s="387">
        <f t="shared" si="152"/>
        <v>15.16428753732999</v>
      </c>
      <c r="G359" s="110">
        <f t="shared" si="125"/>
        <v>0.81845929383013349</v>
      </c>
      <c r="I359" s="382">
        <f t="shared" si="128"/>
        <v>15.16428753732999</v>
      </c>
      <c r="J359" s="85">
        <v>2018</v>
      </c>
      <c r="K359" s="199">
        <f t="shared" si="129"/>
        <v>43445</v>
      </c>
      <c r="L359" s="437">
        <f t="shared" si="130"/>
        <v>3.0671552223763277E-3</v>
      </c>
      <c r="M359" s="881"/>
      <c r="N359" s="881"/>
      <c r="O359" s="326">
        <f t="shared" si="131"/>
        <v>2.8433479945373454E-2</v>
      </c>
      <c r="P359" s="171">
        <f>(INDEX(Models!$BJ359:$BT359,,T359)*(1-R359)+INDEX(Models!$BJ359:$BT359,,T359+1)*R359-ERP_i)*Q359*Ramure*Pc/MaxiM</f>
        <v>1.0701295200151836E-2</v>
      </c>
      <c r="Q359" s="307">
        <f t="shared" si="132"/>
        <v>1</v>
      </c>
      <c r="R359" s="179">
        <f t="shared" si="133"/>
        <v>0.89964337924964788</v>
      </c>
      <c r="S359" s="837">
        <f t="shared" si="150"/>
        <v>-3</v>
      </c>
      <c r="T359" s="178">
        <f t="shared" si="134"/>
        <v>3</v>
      </c>
      <c r="U359" s="253">
        <f t="shared" si="135"/>
        <v>-2.1003566207503521</v>
      </c>
      <c r="V359" s="385">
        <f t="shared" si="136"/>
        <v>17.753779092928756</v>
      </c>
      <c r="W359" s="58"/>
      <c r="X359" s="157">
        <f t="shared" si="137"/>
        <v>43445</v>
      </c>
      <c r="Y359" s="387">
        <f t="shared" si="138"/>
        <v>14.571</v>
      </c>
      <c r="Z359" s="387">
        <f t="shared" si="139"/>
        <v>14.615829016296694</v>
      </c>
      <c r="AA359" s="388">
        <f t="shared" si="140"/>
        <v>15.043570064018793</v>
      </c>
      <c r="AB359" s="199">
        <f t="shared" si="141"/>
        <v>43445</v>
      </c>
      <c r="AC359" s="426">
        <f t="shared" si="142"/>
        <v>2.8433479945373454E-2</v>
      </c>
      <c r="AD359" s="171">
        <f>(INDEX(Models!$BJ359:$BT359,,AH359)*(1-AF359)+INDEX(Models!$BJ359:$BT359,,AH359+1)*AF359-ERP_i)*AE359*Ramure*Pc/MaxiM</f>
        <v>1.0701295200151836E-2</v>
      </c>
      <c r="AE359" s="307">
        <f t="shared" si="143"/>
        <v>1</v>
      </c>
      <c r="AF359" s="179">
        <f t="shared" si="144"/>
        <v>0.89964337924964788</v>
      </c>
      <c r="AG359" s="837">
        <f t="shared" si="145"/>
        <v>-3</v>
      </c>
      <c r="AH359" s="178">
        <f t="shared" si="146"/>
        <v>3</v>
      </c>
      <c r="AI359" s="227">
        <f t="shared" si="147"/>
        <v>-2.1003566207503521</v>
      </c>
      <c r="AJ359" s="267" t="b">
        <f t="shared" si="148"/>
        <v>0</v>
      </c>
      <c r="AK359" s="267" t="b">
        <f t="shared" si="149"/>
        <v>0</v>
      </c>
      <c r="AL359" s="267"/>
      <c r="AM359" s="267"/>
      <c r="AN359" s="75"/>
    </row>
    <row r="360" spans="1:40" s="6" customFormat="1" ht="11.25" customHeight="1" x14ac:dyDescent="0.2">
      <c r="A360" s="56">
        <f t="shared" si="151"/>
        <v>43446</v>
      </c>
      <c r="B360" s="618">
        <v>3.661</v>
      </c>
      <c r="C360" s="392"/>
      <c r="D360" s="395">
        <f t="shared" si="127"/>
        <v>3.6723488627939838</v>
      </c>
      <c r="E360" s="387">
        <f t="shared" si="124"/>
        <v>3.7805586329698295</v>
      </c>
      <c r="F360" s="387">
        <f t="shared" si="152"/>
        <v>3.7805586329698295</v>
      </c>
      <c r="G360" s="110">
        <f t="shared" si="125"/>
        <v>0.20487807511752462</v>
      </c>
      <c r="I360" s="382">
        <f t="shared" si="128"/>
        <v>3.7805586329698295</v>
      </c>
      <c r="J360" s="85">
        <v>2018</v>
      </c>
      <c r="K360" s="199">
        <f t="shared" si="129"/>
        <v>43446</v>
      </c>
      <c r="L360" s="437">
        <f t="shared" si="130"/>
        <v>3.0903553060994682E-3</v>
      </c>
      <c r="M360" s="881"/>
      <c r="N360" s="881"/>
      <c r="O360" s="326">
        <f t="shared" si="131"/>
        <v>2.8622693279284229E-2</v>
      </c>
      <c r="P360" s="171">
        <f>(INDEX(Models!$BJ360:$BT360,,T360)*(1-R360)+INDEX(Models!$BJ360:$BT360,,T360+1)*R360-ERP_i)*Q360*Ramure*Pc/MaxiM</f>
        <v>1.0678438801426729E-2</v>
      </c>
      <c r="Q360" s="307">
        <f t="shared" si="132"/>
        <v>1</v>
      </c>
      <c r="R360" s="179">
        <f t="shared" si="133"/>
        <v>0.89965804581332831</v>
      </c>
      <c r="S360" s="837">
        <f t="shared" si="150"/>
        <v>-3</v>
      </c>
      <c r="T360" s="178">
        <f t="shared" si="134"/>
        <v>3</v>
      </c>
      <c r="U360" s="253">
        <f t="shared" si="135"/>
        <v>-2.1003419541866717</v>
      </c>
      <c r="V360" s="385">
        <f t="shared" si="136"/>
        <v>17.67834959143547</v>
      </c>
      <c r="W360" s="58"/>
      <c r="X360" s="157">
        <f t="shared" si="137"/>
        <v>43446</v>
      </c>
      <c r="Y360" s="387">
        <f t="shared" si="138"/>
        <v>3.661</v>
      </c>
      <c r="Z360" s="387">
        <f t="shared" si="139"/>
        <v>3.6723488627939838</v>
      </c>
      <c r="AA360" s="388">
        <f t="shared" si="140"/>
        <v>3.7805586329698295</v>
      </c>
      <c r="AB360" s="199">
        <f t="shared" si="141"/>
        <v>43446</v>
      </c>
      <c r="AC360" s="426">
        <f t="shared" si="142"/>
        <v>2.8622693279284229E-2</v>
      </c>
      <c r="AD360" s="171">
        <f>(INDEX(Models!$BJ360:$BT360,,AH360)*(1-AF360)+INDEX(Models!$BJ360:$BT360,,AH360+1)*AF360-ERP_i)*AE360*Ramure*Pc/MaxiM</f>
        <v>1.0678438801426729E-2</v>
      </c>
      <c r="AE360" s="307">
        <f t="shared" si="143"/>
        <v>1</v>
      </c>
      <c r="AF360" s="179">
        <f t="shared" si="144"/>
        <v>0.89965804581332831</v>
      </c>
      <c r="AG360" s="837">
        <f t="shared" si="145"/>
        <v>-3</v>
      </c>
      <c r="AH360" s="178">
        <f t="shared" si="146"/>
        <v>3</v>
      </c>
      <c r="AI360" s="227">
        <f t="shared" si="147"/>
        <v>-2.1003419541866717</v>
      </c>
      <c r="AJ360" s="267" t="b">
        <f t="shared" si="148"/>
        <v>0</v>
      </c>
      <c r="AK360" s="267" t="b">
        <f t="shared" si="149"/>
        <v>0</v>
      </c>
      <c r="AL360" s="267"/>
      <c r="AM360" s="267"/>
      <c r="AN360" s="75"/>
    </row>
    <row r="361" spans="1:40" s="6" customFormat="1" ht="11.25" customHeight="1" x14ac:dyDescent="0.2">
      <c r="A361" s="56">
        <f t="shared" si="151"/>
        <v>43447</v>
      </c>
      <c r="B361" s="618">
        <v>1.7330000000000001</v>
      </c>
      <c r="C361" s="392"/>
      <c r="D361" s="395">
        <f t="shared" si="127"/>
        <v>1.7384126431161413</v>
      </c>
      <c r="E361" s="387">
        <f t="shared" ref="E361:E379" si="153">Wh_pvt/(1-Psa)</f>
        <v>1.7899862298704303</v>
      </c>
      <c r="F361" s="387">
        <f t="shared" si="152"/>
        <v>1.7899862298704303</v>
      </c>
      <c r="G361" s="110">
        <f t="shared" ref="G361:G379" si="154">+Wh_hp/MaxiM</f>
        <v>9.735190098701027E-2</v>
      </c>
      <c r="I361" s="382">
        <f t="shared" si="128"/>
        <v>1.7899862298704303</v>
      </c>
      <c r="J361" s="85">
        <v>2018</v>
      </c>
      <c r="K361" s="199">
        <f t="shared" si="129"/>
        <v>43447</v>
      </c>
      <c r="L361" s="437">
        <f t="shared" si="130"/>
        <v>3.1135548499227061E-3</v>
      </c>
      <c r="M361" s="881"/>
      <c r="N361" s="881"/>
      <c r="O361" s="326">
        <f t="shared" si="131"/>
        <v>2.8812281286667893E-2</v>
      </c>
      <c r="P361" s="171">
        <f>(INDEX(Models!$BJ361:$BT361,,T361)*(1-R361)+INDEX(Models!$BJ361:$BT361,,T361+1)*R361-ERP_i)*Q361*Ramure*Pc/MaxiM</f>
        <v>1.0656835306957414E-2</v>
      </c>
      <c r="Q361" s="307">
        <f t="shared" si="132"/>
        <v>1</v>
      </c>
      <c r="R361" s="179">
        <f t="shared" si="133"/>
        <v>0.89967212243585459</v>
      </c>
      <c r="S361" s="837">
        <f t="shared" si="150"/>
        <v>-3</v>
      </c>
      <c r="T361" s="178">
        <f t="shared" si="134"/>
        <v>3</v>
      </c>
      <c r="U361" s="253">
        <f t="shared" si="135"/>
        <v>-2.1003278775641454</v>
      </c>
      <c r="V361" s="385">
        <f t="shared" si="136"/>
        <v>17.611692088496699</v>
      </c>
      <c r="W361" s="58"/>
      <c r="X361" s="157">
        <f t="shared" si="137"/>
        <v>43447</v>
      </c>
      <c r="Y361" s="387">
        <f t="shared" si="138"/>
        <v>1.7330000000000001</v>
      </c>
      <c r="Z361" s="387">
        <f t="shared" si="139"/>
        <v>1.7384126431161413</v>
      </c>
      <c r="AA361" s="388">
        <f t="shared" si="140"/>
        <v>1.7899862298704303</v>
      </c>
      <c r="AB361" s="199">
        <f t="shared" si="141"/>
        <v>43447</v>
      </c>
      <c r="AC361" s="426">
        <f t="shared" si="142"/>
        <v>2.8812281286667893E-2</v>
      </c>
      <c r="AD361" s="171">
        <f>(INDEX(Models!$BJ361:$BT361,,AH361)*(1-AF361)+INDEX(Models!$BJ361:$BT361,,AH361+1)*AF361-ERP_i)*AE361*Ramure*Pc/MaxiM</f>
        <v>1.0656835306957414E-2</v>
      </c>
      <c r="AE361" s="307">
        <f t="shared" si="143"/>
        <v>1</v>
      </c>
      <c r="AF361" s="179">
        <f t="shared" si="144"/>
        <v>0.89967212243585459</v>
      </c>
      <c r="AG361" s="837">
        <f t="shared" si="145"/>
        <v>-3</v>
      </c>
      <c r="AH361" s="178">
        <f t="shared" si="146"/>
        <v>3</v>
      </c>
      <c r="AI361" s="227">
        <f t="shared" si="147"/>
        <v>-2.1003278775641454</v>
      </c>
      <c r="AJ361" s="267" t="b">
        <f t="shared" si="148"/>
        <v>0</v>
      </c>
      <c r="AK361" s="267" t="b">
        <f t="shared" si="149"/>
        <v>0</v>
      </c>
      <c r="AL361" s="267"/>
      <c r="AM361" s="267"/>
      <c r="AN361" s="75"/>
    </row>
    <row r="362" spans="1:40" s="6" customFormat="1" ht="11.25" customHeight="1" x14ac:dyDescent="0.2">
      <c r="A362" s="56">
        <f t="shared" si="151"/>
        <v>43448</v>
      </c>
      <c r="B362" s="618">
        <v>1.909</v>
      </c>
      <c r="C362" s="392"/>
      <c r="D362" s="395">
        <f t="shared" si="127"/>
        <v>1.9150069052903356</v>
      </c>
      <c r="E362" s="387">
        <f t="shared" si="153"/>
        <v>1.97220524450752</v>
      </c>
      <c r="F362" s="387">
        <f t="shared" si="152"/>
        <v>1.97220524450752</v>
      </c>
      <c r="G362" s="110">
        <f t="shared" si="154"/>
        <v>0.10759389490585675</v>
      </c>
      <c r="I362" s="382">
        <f t="shared" si="128"/>
        <v>1.97220524450752</v>
      </c>
      <c r="J362" s="85">
        <v>2018</v>
      </c>
      <c r="K362" s="199">
        <f t="shared" si="129"/>
        <v>43448</v>
      </c>
      <c r="L362" s="437">
        <f t="shared" si="130"/>
        <v>3.1367538538586981E-3</v>
      </c>
      <c r="M362" s="881"/>
      <c r="N362" s="881"/>
      <c r="O362" s="326">
        <f t="shared" si="131"/>
        <v>2.9002224477639227E-2</v>
      </c>
      <c r="P362" s="171">
        <f>(INDEX(Models!$BJ362:$BT362,,T362)*(1-R362)+INDEX(Models!$BJ362:$BT362,,T362+1)*R362-ERP_i)*Q362*Ramure*Pc/MaxiM</f>
        <v>1.0636479553710432E-2</v>
      </c>
      <c r="Q362" s="307">
        <f t="shared" si="132"/>
        <v>1</v>
      </c>
      <c r="R362" s="179">
        <f t="shared" si="133"/>
        <v>0.8996856328244518</v>
      </c>
      <c r="S362" s="837">
        <f t="shared" si="150"/>
        <v>-3</v>
      </c>
      <c r="T362" s="178">
        <f t="shared" si="134"/>
        <v>3</v>
      </c>
      <c r="U362" s="253">
        <f t="shared" si="135"/>
        <v>-2.1003143671755482</v>
      </c>
      <c r="V362" s="385">
        <f t="shared" si="136"/>
        <v>17.553923130903947</v>
      </c>
      <c r="W362" s="58"/>
      <c r="X362" s="157">
        <f t="shared" si="137"/>
        <v>43448</v>
      </c>
      <c r="Y362" s="387">
        <f t="shared" si="138"/>
        <v>1.909</v>
      </c>
      <c r="Z362" s="387">
        <f t="shared" si="139"/>
        <v>1.9150069052903356</v>
      </c>
      <c r="AA362" s="388">
        <f t="shared" si="140"/>
        <v>1.97220524450752</v>
      </c>
      <c r="AB362" s="199">
        <f t="shared" si="141"/>
        <v>43448</v>
      </c>
      <c r="AC362" s="426">
        <f t="shared" si="142"/>
        <v>2.9002224477639227E-2</v>
      </c>
      <c r="AD362" s="171">
        <f>(INDEX(Models!$BJ362:$BT362,,AH362)*(1-AF362)+INDEX(Models!$BJ362:$BT362,,AH362+1)*AF362-ERP_i)*AE362*Ramure*Pc/MaxiM</f>
        <v>1.0636479553710432E-2</v>
      </c>
      <c r="AE362" s="307">
        <f t="shared" si="143"/>
        <v>1</v>
      </c>
      <c r="AF362" s="179">
        <f t="shared" si="144"/>
        <v>0.8996856328244518</v>
      </c>
      <c r="AG362" s="837">
        <f t="shared" si="145"/>
        <v>-3</v>
      </c>
      <c r="AH362" s="178">
        <f t="shared" si="146"/>
        <v>3</v>
      </c>
      <c r="AI362" s="227">
        <f t="shared" si="147"/>
        <v>-2.1003143671755482</v>
      </c>
      <c r="AJ362" s="267" t="b">
        <f t="shared" si="148"/>
        <v>0</v>
      </c>
      <c r="AK362" s="267" t="b">
        <f t="shared" si="149"/>
        <v>0</v>
      </c>
      <c r="AL362" s="267"/>
      <c r="AM362" s="267"/>
      <c r="AN362" s="75"/>
    </row>
    <row r="363" spans="1:40" s="6" customFormat="1" ht="11.25" x14ac:dyDescent="0.2">
      <c r="A363" s="56">
        <f t="shared" si="151"/>
        <v>43449</v>
      </c>
      <c r="B363" s="618">
        <v>5.8079999999999998</v>
      </c>
      <c r="C363" s="392"/>
      <c r="D363" s="395">
        <f t="shared" si="127"/>
        <v>5.8264111815181936</v>
      </c>
      <c r="E363" s="387">
        <f t="shared" si="153"/>
        <v>6.0016132877740134</v>
      </c>
      <c r="F363" s="387">
        <f t="shared" si="152"/>
        <v>6.004508350114615</v>
      </c>
      <c r="G363" s="110">
        <f t="shared" si="154"/>
        <v>0.32842353625270937</v>
      </c>
      <c r="I363" s="382">
        <f t="shared" si="128"/>
        <v>6.004508350114615</v>
      </c>
      <c r="J363" s="85">
        <v>2018</v>
      </c>
      <c r="K363" s="199">
        <f t="shared" si="129"/>
        <v>43449</v>
      </c>
      <c r="L363" s="437">
        <f t="shared" si="130"/>
        <v>3.1599523179199895E-3</v>
      </c>
      <c r="M363" s="881"/>
      <c r="N363" s="881"/>
      <c r="O363" s="326">
        <f t="shared" si="131"/>
        <v>2.9192501724948978E-2</v>
      </c>
      <c r="P363" s="171">
        <f>(INDEX(Models!$BJ363:$BT363,,T363)*(1-R363)+INDEX(Models!$BJ363:$BT363,,T363+1)*R363-ERP_i)*Q363*Ramure*Pc/MaxiM</f>
        <v>1.0617363053300759E-2</v>
      </c>
      <c r="Q363" s="307">
        <f t="shared" si="132"/>
        <v>1</v>
      </c>
      <c r="R363" s="179">
        <f t="shared" si="133"/>
        <v>0.899698599735411</v>
      </c>
      <c r="S363" s="837">
        <f t="shared" si="150"/>
        <v>-3</v>
      </c>
      <c r="T363" s="178">
        <f t="shared" si="134"/>
        <v>3</v>
      </c>
      <c r="U363" s="253">
        <f t="shared" si="135"/>
        <v>-2.100301400264589</v>
      </c>
      <c r="V363" s="385">
        <f t="shared" si="136"/>
        <v>17.505159166414135</v>
      </c>
      <c r="W363" s="58"/>
      <c r="X363" s="157">
        <f t="shared" si="137"/>
        <v>43449</v>
      </c>
      <c r="Y363" s="387">
        <f t="shared" si="138"/>
        <v>5.8079999999999998</v>
      </c>
      <c r="Z363" s="387">
        <f t="shared" si="139"/>
        <v>5.8264111815181936</v>
      </c>
      <c r="AA363" s="388">
        <f t="shared" si="140"/>
        <v>6.0016132877740134</v>
      </c>
      <c r="AB363" s="199">
        <f t="shared" si="141"/>
        <v>43449</v>
      </c>
      <c r="AC363" s="426">
        <f t="shared" si="142"/>
        <v>2.9192501724948978E-2</v>
      </c>
      <c r="AD363" s="171">
        <f>(INDEX(Models!$BJ363:$BT363,,AH363)*(1-AF363)+INDEX(Models!$BJ363:$BT363,,AH363+1)*AF363-ERP_i)*AE363*Ramure*Pc/MaxiM</f>
        <v>1.0617363053300759E-2</v>
      </c>
      <c r="AE363" s="307">
        <f t="shared" si="143"/>
        <v>1</v>
      </c>
      <c r="AF363" s="179">
        <f t="shared" si="144"/>
        <v>0.899698599735411</v>
      </c>
      <c r="AG363" s="837">
        <f t="shared" si="145"/>
        <v>-3</v>
      </c>
      <c r="AH363" s="178">
        <f t="shared" si="146"/>
        <v>3</v>
      </c>
      <c r="AI363" s="227">
        <f t="shared" si="147"/>
        <v>-2.100301400264589</v>
      </c>
      <c r="AJ363" s="267" t="b">
        <f t="shared" si="148"/>
        <v>0</v>
      </c>
      <c r="AK363" s="267" t="b">
        <f t="shared" si="149"/>
        <v>0</v>
      </c>
      <c r="AL363" s="267"/>
      <c r="AM363" s="267"/>
      <c r="AN363" s="75"/>
    </row>
    <row r="364" spans="1:40" s="6" customFormat="1" ht="11.25" customHeight="1" x14ac:dyDescent="0.2">
      <c r="A364" s="56">
        <f t="shared" si="151"/>
        <v>43450</v>
      </c>
      <c r="B364" s="618">
        <v>2.903</v>
      </c>
      <c r="C364" s="392"/>
      <c r="D364" s="395">
        <f t="shared" si="127"/>
        <v>2.9122701935717843</v>
      </c>
      <c r="E364" s="387">
        <f t="shared" si="153"/>
        <v>3.0004321633187261</v>
      </c>
      <c r="F364" s="387">
        <f t="shared" si="152"/>
        <v>3.0004321633187261</v>
      </c>
      <c r="G364" s="110">
        <f t="shared" si="154"/>
        <v>0.16445146184896928</v>
      </c>
      <c r="I364" s="382">
        <f t="shared" si="128"/>
        <v>3.0004321633187261</v>
      </c>
      <c r="J364" s="85">
        <v>2018</v>
      </c>
      <c r="K364" s="199">
        <f t="shared" si="129"/>
        <v>43450</v>
      </c>
      <c r="L364" s="437">
        <f t="shared" si="130"/>
        <v>3.183150242119126E-3</v>
      </c>
      <c r="M364" s="881"/>
      <c r="N364" s="881"/>
      <c r="O364" s="326">
        <f t="shared" si="131"/>
        <v>2.9383090484347819E-2</v>
      </c>
      <c r="P364" s="171">
        <f>(INDEX(Models!$BJ364:$BT364,,T364)*(1-R364)+INDEX(Models!$BJ364:$BT364,,T364+1)*R364-ERP_i)*Q364*Ramure*Pc/MaxiM</f>
        <v>1.0599474039518506E-2</v>
      </c>
      <c r="Q364" s="307">
        <f t="shared" si="132"/>
        <v>1</v>
      </c>
      <c r="R364" s="179">
        <f t="shared" si="133"/>
        <v>0.89971104501209442</v>
      </c>
      <c r="S364" s="837">
        <f t="shared" si="150"/>
        <v>-3</v>
      </c>
      <c r="T364" s="178">
        <f t="shared" si="134"/>
        <v>3</v>
      </c>
      <c r="U364" s="253">
        <f t="shared" si="135"/>
        <v>-2.1002889549879056</v>
      </c>
      <c r="V364" s="385">
        <f t="shared" si="136"/>
        <v>17.465516539470517</v>
      </c>
      <c r="W364" s="58"/>
      <c r="X364" s="157">
        <f t="shared" si="137"/>
        <v>43450</v>
      </c>
      <c r="Y364" s="387">
        <f t="shared" si="138"/>
        <v>2.903</v>
      </c>
      <c r="Z364" s="387">
        <f t="shared" si="139"/>
        <v>2.9122701935717843</v>
      </c>
      <c r="AA364" s="388">
        <f t="shared" si="140"/>
        <v>3.0004321633187261</v>
      </c>
      <c r="AB364" s="199">
        <f t="shared" si="141"/>
        <v>43450</v>
      </c>
      <c r="AC364" s="426">
        <f t="shared" si="142"/>
        <v>2.9383090484347819E-2</v>
      </c>
      <c r="AD364" s="171">
        <f>(INDEX(Models!$BJ364:$BT364,,AH364)*(1-AF364)+INDEX(Models!$BJ364:$BT364,,AH364+1)*AF364-ERP_i)*AE364*Ramure*Pc/MaxiM</f>
        <v>1.0599474039518506E-2</v>
      </c>
      <c r="AE364" s="307">
        <f t="shared" si="143"/>
        <v>1</v>
      </c>
      <c r="AF364" s="179">
        <f t="shared" si="144"/>
        <v>0.89971104501209442</v>
      </c>
      <c r="AG364" s="837">
        <f t="shared" si="145"/>
        <v>-3</v>
      </c>
      <c r="AH364" s="178">
        <f t="shared" si="146"/>
        <v>3</v>
      </c>
      <c r="AI364" s="227">
        <f t="shared" si="147"/>
        <v>-2.1002889549879056</v>
      </c>
      <c r="AJ364" s="267" t="b">
        <f t="shared" si="148"/>
        <v>0</v>
      </c>
      <c r="AK364" s="267" t="b">
        <f t="shared" si="149"/>
        <v>0</v>
      </c>
      <c r="AL364" s="267"/>
      <c r="AM364" s="267"/>
      <c r="AN364" s="75"/>
    </row>
    <row r="365" spans="1:40" s="6" customFormat="1" ht="11.25" customHeight="1" x14ac:dyDescent="0.2">
      <c r="A365" s="56">
        <f t="shared" si="151"/>
        <v>43451</v>
      </c>
      <c r="B365" s="618">
        <v>14.638999999999999</v>
      </c>
      <c r="C365" s="392"/>
      <c r="D365" s="395">
        <f t="shared" si="127"/>
        <v>14.686088705663513</v>
      </c>
      <c r="E365" s="387">
        <f t="shared" si="153"/>
        <v>15.133650795164543</v>
      </c>
      <c r="F365" s="387">
        <f t="shared" si="152"/>
        <v>15.2581303092539</v>
      </c>
      <c r="G365" s="110">
        <f t="shared" si="154"/>
        <v>0.83757508511719536</v>
      </c>
      <c r="I365" s="382">
        <f t="shared" si="128"/>
        <v>15.2581303092539</v>
      </c>
      <c r="J365" s="85">
        <v>2018</v>
      </c>
      <c r="K365" s="199">
        <f t="shared" si="129"/>
        <v>43451</v>
      </c>
      <c r="L365" s="437">
        <f t="shared" si="130"/>
        <v>3.206347626468764E-3</v>
      </c>
      <c r="M365" s="881"/>
      <c r="N365" s="881"/>
      <c r="O365" s="326">
        <f t="shared" si="131"/>
        <v>2.9573967019513394E-2</v>
      </c>
      <c r="P365" s="171">
        <f>(INDEX(Models!$BJ365:$BT365,,T365)*(1-R365)+INDEX(Models!$BJ365:$BT365,,T365+1)*R365-ERP_i)*Q365*Ramure*Pc/MaxiM</f>
        <v>1.0582797546859085E-2</v>
      </c>
      <c r="Q365" s="307">
        <f t="shared" si="132"/>
        <v>1</v>
      </c>
      <c r="R365" s="179">
        <f t="shared" si="133"/>
        <v>0.8997229896214316</v>
      </c>
      <c r="S365" s="837">
        <f t="shared" si="150"/>
        <v>-3</v>
      </c>
      <c r="T365" s="178">
        <f t="shared" si="134"/>
        <v>3</v>
      </c>
      <c r="U365" s="253">
        <f t="shared" si="135"/>
        <v>-2.1002770103785684</v>
      </c>
      <c r="V365" s="385">
        <f t="shared" si="136"/>
        <v>17.435111481703885</v>
      </c>
      <c r="W365" s="58"/>
      <c r="X365" s="157">
        <f t="shared" si="137"/>
        <v>43451</v>
      </c>
      <c r="Y365" s="387">
        <f t="shared" si="138"/>
        <v>14.638999999999999</v>
      </c>
      <c r="Z365" s="387">
        <f t="shared" si="139"/>
        <v>14.686088705663513</v>
      </c>
      <c r="AA365" s="388">
        <f t="shared" si="140"/>
        <v>15.133650795164543</v>
      </c>
      <c r="AB365" s="199">
        <f t="shared" si="141"/>
        <v>43451</v>
      </c>
      <c r="AC365" s="426">
        <f t="shared" si="142"/>
        <v>2.9573967019513394E-2</v>
      </c>
      <c r="AD365" s="171">
        <f>(INDEX(Models!$BJ365:$BT365,,AH365)*(1-AF365)+INDEX(Models!$BJ365:$BT365,,AH365+1)*AF365-ERP_i)*AE365*Ramure*Pc/MaxiM</f>
        <v>1.0582797546859085E-2</v>
      </c>
      <c r="AE365" s="307">
        <f t="shared" si="143"/>
        <v>1</v>
      </c>
      <c r="AF365" s="179">
        <f t="shared" si="144"/>
        <v>0.8997229896214316</v>
      </c>
      <c r="AG365" s="837">
        <f t="shared" si="145"/>
        <v>-3</v>
      </c>
      <c r="AH365" s="178">
        <f t="shared" si="146"/>
        <v>3</v>
      </c>
      <c r="AI365" s="227">
        <f t="shared" si="147"/>
        <v>-2.1002770103785684</v>
      </c>
      <c r="AJ365" s="267" t="b">
        <f t="shared" si="148"/>
        <v>0</v>
      </c>
      <c r="AK365" s="267" t="b">
        <f t="shared" si="149"/>
        <v>0</v>
      </c>
      <c r="AL365" s="267"/>
      <c r="AM365" s="267"/>
      <c r="AN365" s="75"/>
    </row>
    <row r="366" spans="1:40" s="6" customFormat="1" ht="11.25" customHeight="1" x14ac:dyDescent="0.2">
      <c r="A366" s="56">
        <f t="shared" si="151"/>
        <v>43452</v>
      </c>
      <c r="B366" s="618">
        <v>10.794</v>
      </c>
      <c r="C366" s="392"/>
      <c r="D366" s="395">
        <f t="shared" si="127"/>
        <v>10.828972648744159</v>
      </c>
      <c r="E366" s="387">
        <f t="shared" si="153"/>
        <v>11.161186556717094</v>
      </c>
      <c r="F366" s="387">
        <f t="shared" si="152"/>
        <v>11.215355087817565</v>
      </c>
      <c r="G366" s="110">
        <f t="shared" si="154"/>
        <v>0.61627037071546709</v>
      </c>
      <c r="I366" s="382">
        <f t="shared" si="128"/>
        <v>11.215355087817565</v>
      </c>
      <c r="J366" s="85">
        <v>2018</v>
      </c>
      <c r="K366" s="199">
        <f t="shared" si="129"/>
        <v>43452</v>
      </c>
      <c r="L366" s="437">
        <f t="shared" si="130"/>
        <v>3.2295444709812271E-3</v>
      </c>
      <c r="M366" s="881"/>
      <c r="N366" s="881"/>
      <c r="O366" s="326">
        <f t="shared" si="131"/>
        <v>2.9765106629545561E-2</v>
      </c>
      <c r="P366" s="171">
        <f>(INDEX(Models!$BJ366:$BT366,,T366)*(1-R366)+INDEX(Models!$BJ366:$BT366,,T366+1)*R366-ERP_i)*Q366*Ramure*Pc/MaxiM</f>
        <v>1.057039688266005E-2</v>
      </c>
      <c r="Q366" s="307">
        <f t="shared" si="132"/>
        <v>1</v>
      </c>
      <c r="R366" s="179">
        <f t="shared" si="133"/>
        <v>0.89973445368896865</v>
      </c>
      <c r="S366" s="837">
        <f t="shared" si="150"/>
        <v>-3</v>
      </c>
      <c r="T366" s="178">
        <f t="shared" si="134"/>
        <v>3</v>
      </c>
      <c r="U366" s="253">
        <f t="shared" si="135"/>
        <v>-2.1002655463110314</v>
      </c>
      <c r="V366" s="385">
        <f t="shared" si="136"/>
        <v>17.414005875801813</v>
      </c>
      <c r="W366" s="58"/>
      <c r="X366" s="157">
        <f t="shared" si="137"/>
        <v>43452</v>
      </c>
      <c r="Y366" s="387">
        <f t="shared" si="138"/>
        <v>10.794</v>
      </c>
      <c r="Z366" s="387">
        <f t="shared" si="139"/>
        <v>10.828972648744159</v>
      </c>
      <c r="AA366" s="388">
        <f t="shared" si="140"/>
        <v>11.161186556717094</v>
      </c>
      <c r="AB366" s="199">
        <f t="shared" si="141"/>
        <v>43452</v>
      </c>
      <c r="AC366" s="426">
        <f t="shared" si="142"/>
        <v>2.9765106629545561E-2</v>
      </c>
      <c r="AD366" s="171">
        <f>(INDEX(Models!$BJ366:$BT366,,AH366)*(1-AF366)+INDEX(Models!$BJ366:$BT366,,AH366+1)*AF366-ERP_i)*AE366*Ramure*Pc/MaxiM</f>
        <v>1.057039688266005E-2</v>
      </c>
      <c r="AE366" s="307">
        <f t="shared" si="143"/>
        <v>1</v>
      </c>
      <c r="AF366" s="179">
        <f t="shared" si="144"/>
        <v>0.89973445368896865</v>
      </c>
      <c r="AG366" s="837">
        <f t="shared" si="145"/>
        <v>-3</v>
      </c>
      <c r="AH366" s="178">
        <f t="shared" si="146"/>
        <v>3</v>
      </c>
      <c r="AI366" s="227">
        <f t="shared" si="147"/>
        <v>-2.1002655463110314</v>
      </c>
      <c r="AJ366" s="267" t="b">
        <f t="shared" si="148"/>
        <v>0</v>
      </c>
      <c r="AK366" s="267" t="b">
        <f t="shared" si="149"/>
        <v>0</v>
      </c>
      <c r="AL366" s="267"/>
      <c r="AM366" s="267"/>
      <c r="AN366" s="75"/>
    </row>
    <row r="367" spans="1:40" s="6" customFormat="1" ht="11.25" customHeight="1" x14ac:dyDescent="0.2">
      <c r="A367" s="56">
        <f t="shared" si="151"/>
        <v>43453</v>
      </c>
      <c r="B367" s="618">
        <v>15.696</v>
      </c>
      <c r="C367" s="392"/>
      <c r="D367" s="395">
        <f t="shared" si="127"/>
        <v>15.747221629899073</v>
      </c>
      <c r="E367" s="387">
        <f t="shared" si="153"/>
        <v>16.233520835062091</v>
      </c>
      <c r="F367" s="387">
        <f t="shared" si="152"/>
        <v>16.382264966636473</v>
      </c>
      <c r="G367" s="110">
        <f t="shared" si="154"/>
        <v>0.90059937749729457</v>
      </c>
      <c r="I367" s="382">
        <f t="shared" si="128"/>
        <v>16.382264966636473</v>
      </c>
      <c r="J367" s="85">
        <v>2018</v>
      </c>
      <c r="K367" s="199">
        <f t="shared" si="129"/>
        <v>43453</v>
      </c>
      <c r="L367" s="437">
        <f t="shared" si="130"/>
        <v>3.2527407756692828E-3</v>
      </c>
      <c r="M367" s="881"/>
      <c r="N367" s="881"/>
      <c r="O367" s="326">
        <f t="shared" si="131"/>
        <v>2.9956483877033011E-2</v>
      </c>
      <c r="P367" s="171">
        <f>(INDEX(Models!$BJ367:$BT367,,T367)*(1-R367)+INDEX(Models!$BJ367:$BT367,,T367+1)*R367-ERP_i)*Q367*Ramure*Pc/MaxiM</f>
        <v>1.0558608552856405E-2</v>
      </c>
      <c r="Q367" s="307">
        <f t="shared" si="132"/>
        <v>1</v>
      </c>
      <c r="R367" s="179">
        <f t="shared" si="133"/>
        <v>0.89974545653252136</v>
      </c>
      <c r="S367" s="837">
        <f t="shared" si="150"/>
        <v>-3</v>
      </c>
      <c r="T367" s="178">
        <f t="shared" si="134"/>
        <v>3</v>
      </c>
      <c r="U367" s="253">
        <f t="shared" si="135"/>
        <v>-2.1002545434674786</v>
      </c>
      <c r="V367" s="385">
        <f t="shared" si="136"/>
        <v>17.402379894770444</v>
      </c>
      <c r="W367" s="58"/>
      <c r="X367" s="157">
        <f t="shared" si="137"/>
        <v>43453</v>
      </c>
      <c r="Y367" s="387">
        <f t="shared" si="138"/>
        <v>15.696000000000002</v>
      </c>
      <c r="Z367" s="387">
        <f t="shared" si="139"/>
        <v>15.747221629899075</v>
      </c>
      <c r="AA367" s="388">
        <f t="shared" si="140"/>
        <v>16.233520835062091</v>
      </c>
      <c r="AB367" s="199">
        <f t="shared" si="141"/>
        <v>43453</v>
      </c>
      <c r="AC367" s="426">
        <f t="shared" si="142"/>
        <v>2.9956483877033011E-2</v>
      </c>
      <c r="AD367" s="171">
        <f>(INDEX(Models!$BJ367:$BT367,,AH367)*(1-AF367)+INDEX(Models!$BJ367:$BT367,,AH367+1)*AF367-ERP_i)*AE367*Ramure*Pc/MaxiM</f>
        <v>1.0558608552856405E-2</v>
      </c>
      <c r="AE367" s="307">
        <f t="shared" si="143"/>
        <v>1</v>
      </c>
      <c r="AF367" s="179">
        <f t="shared" si="144"/>
        <v>0.89974545653252136</v>
      </c>
      <c r="AG367" s="837">
        <f t="shared" si="145"/>
        <v>-3</v>
      </c>
      <c r="AH367" s="178">
        <f t="shared" si="146"/>
        <v>3</v>
      </c>
      <c r="AI367" s="227">
        <f t="shared" si="147"/>
        <v>-2.1002545434674786</v>
      </c>
      <c r="AJ367" s="267" t="b">
        <f t="shared" si="148"/>
        <v>0</v>
      </c>
      <c r="AK367" s="267" t="b">
        <f t="shared" si="149"/>
        <v>0</v>
      </c>
      <c r="AL367" s="267"/>
      <c r="AM367" s="267"/>
      <c r="AN367" s="75"/>
    </row>
    <row r="368" spans="1:40" s="6" customFormat="1" ht="11.25" customHeight="1" x14ac:dyDescent="0.2">
      <c r="A368" s="56">
        <f t="shared" si="151"/>
        <v>43454</v>
      </c>
      <c r="B368" s="618">
        <v>10.593</v>
      </c>
      <c r="C368" s="392"/>
      <c r="D368" s="395">
        <f t="shared" si="127"/>
        <v>10.627816050947494</v>
      </c>
      <c r="E368" s="387">
        <f t="shared" si="153"/>
        <v>10.958184185694829</v>
      </c>
      <c r="F368" s="387">
        <f t="shared" si="152"/>
        <v>11.009406812456149</v>
      </c>
      <c r="G368" s="110">
        <f t="shared" si="154"/>
        <v>0.60517547477802125</v>
      </c>
      <c r="I368" s="382">
        <f t="shared" si="128"/>
        <v>11.009406812456149</v>
      </c>
      <c r="J368" s="85">
        <v>2018</v>
      </c>
      <c r="K368" s="199">
        <f t="shared" si="129"/>
        <v>43454</v>
      </c>
      <c r="L368" s="437">
        <f t="shared" si="130"/>
        <v>3.2759365405454766E-3</v>
      </c>
      <c r="M368" s="881"/>
      <c r="N368" s="881"/>
      <c r="O368" s="326">
        <f t="shared" si="131"/>
        <v>3.0148072814710304E-2</v>
      </c>
      <c r="P368" s="171">
        <f>(INDEX(Models!$BJ368:$BT368,,T368)*(1-R368)+INDEX(Models!$BJ368:$BT368,,T368+1)*R368-ERP_i)*Q368*Ramure*Pc/MaxiM</f>
        <v>1.0547403662850459E-2</v>
      </c>
      <c r="Q368" s="307">
        <f t="shared" si="132"/>
        <v>1</v>
      </c>
      <c r="R368" s="179">
        <f t="shared" si="133"/>
        <v>0.89975601669449512</v>
      </c>
      <c r="S368" s="837">
        <f t="shared" si="150"/>
        <v>-3</v>
      </c>
      <c r="T368" s="178">
        <f t="shared" si="134"/>
        <v>3</v>
      </c>
      <c r="U368" s="253">
        <f t="shared" si="135"/>
        <v>-2.1002439833055049</v>
      </c>
      <c r="V368" s="385">
        <f t="shared" si="136"/>
        <v>17.400349404019362</v>
      </c>
      <c r="W368" s="58"/>
      <c r="X368" s="157">
        <f t="shared" si="137"/>
        <v>43454</v>
      </c>
      <c r="Y368" s="387">
        <f t="shared" si="138"/>
        <v>10.593</v>
      </c>
      <c r="Z368" s="387">
        <f t="shared" si="139"/>
        <v>10.627816050947494</v>
      </c>
      <c r="AA368" s="388">
        <f t="shared" si="140"/>
        <v>10.958184185694829</v>
      </c>
      <c r="AB368" s="199">
        <f t="shared" si="141"/>
        <v>43454</v>
      </c>
      <c r="AC368" s="426">
        <f t="shared" si="142"/>
        <v>3.0148072814710304E-2</v>
      </c>
      <c r="AD368" s="171">
        <f>(INDEX(Models!$BJ368:$BT368,,AH368)*(1-AF368)+INDEX(Models!$BJ368:$BT368,,AH368+1)*AF368-ERP_i)*AE368*Ramure*Pc/MaxiM</f>
        <v>1.0547403662850459E-2</v>
      </c>
      <c r="AE368" s="307">
        <f t="shared" si="143"/>
        <v>1</v>
      </c>
      <c r="AF368" s="179">
        <f t="shared" si="144"/>
        <v>0.89975601669449512</v>
      </c>
      <c r="AG368" s="837">
        <f t="shared" si="145"/>
        <v>-3</v>
      </c>
      <c r="AH368" s="178">
        <f t="shared" si="146"/>
        <v>3</v>
      </c>
      <c r="AI368" s="227">
        <f t="shared" si="147"/>
        <v>-2.1002439833055049</v>
      </c>
      <c r="AJ368" s="267" t="b">
        <f t="shared" si="148"/>
        <v>0</v>
      </c>
      <c r="AK368" s="267" t="b">
        <f t="shared" si="149"/>
        <v>0</v>
      </c>
      <c r="AL368" s="267"/>
      <c r="AM368" s="267"/>
      <c r="AN368" s="75"/>
    </row>
    <row r="369" spans="1:40" s="18" customFormat="1" ht="11.25" customHeight="1" x14ac:dyDescent="0.2">
      <c r="A369" s="56">
        <f t="shared" si="151"/>
        <v>43455</v>
      </c>
      <c r="B369" s="618">
        <v>8.0779999999999994</v>
      </c>
      <c r="C369" s="392"/>
      <c r="D369" s="395">
        <f t="shared" si="127"/>
        <v>8.1047386005692026</v>
      </c>
      <c r="E369" s="387">
        <f t="shared" si="153"/>
        <v>8.3583290261429237</v>
      </c>
      <c r="F369" s="387">
        <f t="shared" si="152"/>
        <v>8.3790184430637726</v>
      </c>
      <c r="G369" s="110">
        <f t="shared" si="154"/>
        <v>0.46028579221928373</v>
      </c>
      <c r="I369" s="382">
        <f t="shared" si="128"/>
        <v>8.3790184430637726</v>
      </c>
      <c r="J369" s="85">
        <v>2018</v>
      </c>
      <c r="K369" s="199">
        <f t="shared" si="129"/>
        <v>43455</v>
      </c>
      <c r="L369" s="437">
        <f t="shared" si="130"/>
        <v>3.299131765622354E-3</v>
      </c>
      <c r="M369" s="881"/>
      <c r="N369" s="881"/>
      <c r="O369" s="326">
        <f t="shared" si="131"/>
        <v>3.033984720876012E-2</v>
      </c>
      <c r="P369" s="171">
        <f>(INDEX(Models!$BJ369:$BT369,,T369)*(1-R369)+INDEX(Models!$BJ369:$BT369,,T369+1)*R369-ERP_i)*Q369*Ramure*Pc/MaxiM</f>
        <v>1.053675244489612E-2</v>
      </c>
      <c r="Q369" s="307">
        <f t="shared" si="132"/>
        <v>1</v>
      </c>
      <c r="R369" s="179">
        <f t="shared" si="133"/>
        <v>0.89976615197291654</v>
      </c>
      <c r="S369" s="837">
        <f t="shared" si="150"/>
        <v>-3</v>
      </c>
      <c r="T369" s="178">
        <f t="shared" si="134"/>
        <v>3</v>
      </c>
      <c r="U369" s="253">
        <f t="shared" si="135"/>
        <v>-2.1002338480270835</v>
      </c>
      <c r="V369" s="385">
        <f t="shared" si="136"/>
        <v>17.408030137699598</v>
      </c>
      <c r="W369" s="58"/>
      <c r="X369" s="157">
        <f t="shared" si="137"/>
        <v>43455</v>
      </c>
      <c r="Y369" s="387">
        <f t="shared" si="138"/>
        <v>8.0779999999999994</v>
      </c>
      <c r="Z369" s="387">
        <f t="shared" si="139"/>
        <v>8.1047386005692026</v>
      </c>
      <c r="AA369" s="388">
        <f t="shared" si="140"/>
        <v>8.3583290261429237</v>
      </c>
      <c r="AB369" s="199">
        <f t="shared" si="141"/>
        <v>43455</v>
      </c>
      <c r="AC369" s="426">
        <f t="shared" si="142"/>
        <v>3.033984720876012E-2</v>
      </c>
      <c r="AD369" s="171">
        <f>(INDEX(Models!$BJ369:$BT369,,AH369)*(1-AF369)+INDEX(Models!$BJ369:$BT369,,AH369+1)*AF369-ERP_i)*AE369*Ramure*Pc/MaxiM</f>
        <v>1.053675244489612E-2</v>
      </c>
      <c r="AE369" s="307">
        <f t="shared" si="143"/>
        <v>1</v>
      </c>
      <c r="AF369" s="179">
        <f t="shared" si="144"/>
        <v>0.89976615197291654</v>
      </c>
      <c r="AG369" s="837">
        <f t="shared" si="145"/>
        <v>-3</v>
      </c>
      <c r="AH369" s="178">
        <f t="shared" si="146"/>
        <v>3</v>
      </c>
      <c r="AI369" s="227">
        <f t="shared" si="147"/>
        <v>-2.1002338480270835</v>
      </c>
      <c r="AJ369" s="267" t="b">
        <f t="shared" si="148"/>
        <v>0</v>
      </c>
      <c r="AK369" s="267" t="b">
        <f t="shared" si="149"/>
        <v>0</v>
      </c>
      <c r="AL369" s="267"/>
      <c r="AM369" s="267"/>
      <c r="AN369" s="267"/>
    </row>
    <row r="370" spans="1:40" s="18" customFormat="1" ht="11.25" customHeight="1" x14ac:dyDescent="0.2">
      <c r="A370" s="56">
        <f t="shared" si="151"/>
        <v>43456</v>
      </c>
      <c r="B370" s="618">
        <v>6.8490000000000002</v>
      </c>
      <c r="C370" s="392"/>
      <c r="D370" s="395">
        <f t="shared" si="127"/>
        <v>6.8718304641171226</v>
      </c>
      <c r="E370" s="387">
        <f t="shared" si="153"/>
        <v>7.088247275895232</v>
      </c>
      <c r="F370" s="387">
        <f>Wh_sa/(1-Pvg*MEDIAN((-Sdif+Wh/Env_an)/Csdif,0,1))</f>
        <v>7.0981790217302638</v>
      </c>
      <c r="G370" s="110">
        <f t="shared" si="154"/>
        <v>0.38945131936613964</v>
      </c>
      <c r="I370" s="382">
        <f t="shared" si="128"/>
        <v>7.0981790217302638</v>
      </c>
      <c r="J370" s="85">
        <v>2018</v>
      </c>
      <c r="K370" s="199">
        <f t="shared" si="129"/>
        <v>43456</v>
      </c>
      <c r="L370" s="437">
        <f t="shared" si="130"/>
        <v>3.3223264509124606E-3</v>
      </c>
      <c r="M370" s="881"/>
      <c r="N370" s="881"/>
      <c r="O370" s="326">
        <f t="shared" si="131"/>
        <v>3.0531780756869374E-2</v>
      </c>
      <c r="P370" s="171">
        <f>(INDEX(Models!$BJ370:$BT370,,T370)*(1-R370)+INDEX(Models!$BJ370:$BT370,,T370+1)*R370-ERP_i)*Q370*Ramure*Pc/MaxiM</f>
        <v>1.0526624503235075E-2</v>
      </c>
      <c r="Q370" s="307">
        <f t="shared" si="132"/>
        <v>1</v>
      </c>
      <c r="R370" s="179">
        <f t="shared" si="133"/>
        <v>0.89977587945123272</v>
      </c>
      <c r="S370" s="837">
        <f t="shared" si="150"/>
        <v>-3</v>
      </c>
      <c r="T370" s="178">
        <f t="shared" si="134"/>
        <v>3</v>
      </c>
      <c r="U370" s="253">
        <f t="shared" si="135"/>
        <v>-2.1002241205487673</v>
      </c>
      <c r="V370" s="385">
        <f t="shared" si="136"/>
        <v>17.425537712180429</v>
      </c>
      <c r="W370" s="58"/>
      <c r="X370" s="157">
        <f t="shared" si="137"/>
        <v>43456</v>
      </c>
      <c r="Y370" s="387">
        <f t="shared" si="138"/>
        <v>6.8490000000000002</v>
      </c>
      <c r="Z370" s="387">
        <f t="shared" si="139"/>
        <v>6.8718304641171226</v>
      </c>
      <c r="AA370" s="388">
        <f t="shared" si="140"/>
        <v>7.088247275895232</v>
      </c>
      <c r="AB370" s="199">
        <f t="shared" si="141"/>
        <v>43456</v>
      </c>
      <c r="AC370" s="426">
        <f t="shared" si="142"/>
        <v>3.0531780756869374E-2</v>
      </c>
      <c r="AD370" s="171">
        <f>(INDEX(Models!$BJ370:$BT370,,AH370)*(1-AF370)+INDEX(Models!$BJ370:$BT370,,AH370+1)*AF370-ERP_i)*AE370*Ramure*Pc/MaxiM</f>
        <v>1.0526624503235075E-2</v>
      </c>
      <c r="AE370" s="307">
        <f t="shared" si="143"/>
        <v>1</v>
      </c>
      <c r="AF370" s="179">
        <f t="shared" si="144"/>
        <v>0.89977587945123272</v>
      </c>
      <c r="AG370" s="837">
        <f t="shared" si="145"/>
        <v>-3</v>
      </c>
      <c r="AH370" s="178">
        <f t="shared" si="146"/>
        <v>3</v>
      </c>
      <c r="AI370" s="227">
        <f t="shared" si="147"/>
        <v>-2.1002241205487673</v>
      </c>
      <c r="AJ370" s="267" t="b">
        <f t="shared" si="148"/>
        <v>0</v>
      </c>
      <c r="AK370" s="267" t="b">
        <f t="shared" si="149"/>
        <v>0</v>
      </c>
      <c r="AL370" s="267"/>
      <c r="AM370" s="267"/>
      <c r="AN370" s="267"/>
    </row>
    <row r="371" spans="1:40" s="6" customFormat="1" ht="11.25" customHeight="1" x14ac:dyDescent="0.2">
      <c r="A371" s="56">
        <f t="shared" si="151"/>
        <v>43457</v>
      </c>
      <c r="B371" s="618">
        <v>4.476</v>
      </c>
      <c r="C371" s="392"/>
      <c r="D371" s="395">
        <f t="shared" si="127"/>
        <v>4.4910248160210688</v>
      </c>
      <c r="E371" s="387">
        <f t="shared" si="153"/>
        <v>4.6333800780173169</v>
      </c>
      <c r="F371" s="387">
        <f t="shared" si="152"/>
        <v>4.6333800780173169</v>
      </c>
      <c r="G371" s="110">
        <f t="shared" si="154"/>
        <v>0.25376319858362339</v>
      </c>
      <c r="I371" s="382">
        <f t="shared" si="128"/>
        <v>4.6333800780173169</v>
      </c>
      <c r="J371" s="85">
        <v>2018</v>
      </c>
      <c r="K371" s="199">
        <f t="shared" si="129"/>
        <v>43457</v>
      </c>
      <c r="L371" s="437">
        <f t="shared" si="130"/>
        <v>3.3455205964282309E-3</v>
      </c>
      <c r="M371" s="881"/>
      <c r="N371" s="881"/>
      <c r="O371" s="326">
        <f t="shared" si="131"/>
        <v>3.0723847299219034E-2</v>
      </c>
      <c r="P371" s="171">
        <f>(INDEX(Models!$BJ371:$BT371,,T371)*(1-R371)+INDEX(Models!$BJ371:$BT371,,T371+1)*R371-ERP_i)*Q371*Ramure*Pc/MaxiM</f>
        <v>1.0516856097421819E-2</v>
      </c>
      <c r="Q371" s="307">
        <f t="shared" si="132"/>
        <v>1</v>
      </c>
      <c r="R371" s="179">
        <f t="shared" si="133"/>
        <v>0.89977587945123272</v>
      </c>
      <c r="S371" s="837">
        <f t="shared" si="150"/>
        <v>-3</v>
      </c>
      <c r="T371" s="178">
        <f t="shared" si="134"/>
        <v>3</v>
      </c>
      <c r="U371" s="253">
        <f t="shared" si="135"/>
        <v>-2.1002241205487673</v>
      </c>
      <c r="V371" s="385">
        <f t="shared" si="136"/>
        <v>17.452989940337872</v>
      </c>
      <c r="W371" s="58"/>
      <c r="X371" s="157">
        <f t="shared" si="137"/>
        <v>43457</v>
      </c>
      <c r="Y371" s="387">
        <f t="shared" si="138"/>
        <v>4.476</v>
      </c>
      <c r="Z371" s="387">
        <f t="shared" si="139"/>
        <v>4.4910248160210688</v>
      </c>
      <c r="AA371" s="388">
        <f t="shared" si="140"/>
        <v>4.6333800780173169</v>
      </c>
      <c r="AB371" s="199">
        <f t="shared" si="141"/>
        <v>43457</v>
      </c>
      <c r="AC371" s="426">
        <f t="shared" si="142"/>
        <v>3.0723847299219034E-2</v>
      </c>
      <c r="AD371" s="171">
        <f>(INDEX(Models!$BJ371:$BT371,,AH371)*(1-AF371)+INDEX(Models!$BJ371:$BT371,,AH371+1)*AF371-ERP_i)*AE371*Ramure*Pc/MaxiM</f>
        <v>1.0516856097421819E-2</v>
      </c>
      <c r="AE371" s="307">
        <f t="shared" si="143"/>
        <v>1</v>
      </c>
      <c r="AF371" s="179">
        <f t="shared" si="144"/>
        <v>0.89977587945123272</v>
      </c>
      <c r="AG371" s="837">
        <f t="shared" si="145"/>
        <v>-3</v>
      </c>
      <c r="AH371" s="178">
        <f t="shared" si="146"/>
        <v>3</v>
      </c>
      <c r="AI371" s="227">
        <f t="shared" si="147"/>
        <v>-2.1002241205487673</v>
      </c>
      <c r="AJ371" s="267" t="b">
        <f t="shared" si="148"/>
        <v>0</v>
      </c>
      <c r="AK371" s="267" t="b">
        <f t="shared" si="149"/>
        <v>0</v>
      </c>
      <c r="AL371" s="267"/>
      <c r="AM371" s="267"/>
      <c r="AN371" s="75"/>
    </row>
    <row r="372" spans="1:40" s="6" customFormat="1" ht="11.25" customHeight="1" x14ac:dyDescent="0.2">
      <c r="A372" s="56">
        <f t="shared" si="151"/>
        <v>43458</v>
      </c>
      <c r="B372" s="618">
        <v>4.9989999999999997</v>
      </c>
      <c r="C372" s="392"/>
      <c r="D372" s="395">
        <f t="shared" si="127"/>
        <v>5.0158971238778935</v>
      </c>
      <c r="E372" s="387">
        <f t="shared" si="153"/>
        <v>5.1759158470051592</v>
      </c>
      <c r="F372" s="387">
        <f t="shared" si="152"/>
        <v>5.1759158470051592</v>
      </c>
      <c r="G372" s="110">
        <f t="shared" si="154"/>
        <v>0.28280911420706956</v>
      </c>
      <c r="I372" s="382">
        <f t="shared" si="128"/>
        <v>5.1759158470051592</v>
      </c>
      <c r="J372" s="85">
        <v>2018</v>
      </c>
      <c r="K372" s="199">
        <f t="shared" si="129"/>
        <v>43458</v>
      </c>
      <c r="L372" s="437">
        <f t="shared" si="130"/>
        <v>3.3687142021824323E-3</v>
      </c>
      <c r="M372" s="881"/>
      <c r="N372" s="881"/>
      <c r="O372" s="326">
        <f t="shared" si="131"/>
        <v>3.0916021020676764E-2</v>
      </c>
      <c r="P372" s="171">
        <f>(INDEX(Models!$BJ372:$BT372,,T372)*(1-R372)+INDEX(Models!$BJ372:$BT372,,T372+1)*R372-ERP_i)*Q372*Ramure*Pc/MaxiM</f>
        <v>1.0507539117637948E-2</v>
      </c>
      <c r="Q372" s="307">
        <f t="shared" si="132"/>
        <v>1</v>
      </c>
      <c r="R372" s="179">
        <f t="shared" si="133"/>
        <v>0.89977587945123272</v>
      </c>
      <c r="S372" s="837">
        <f t="shared" si="150"/>
        <v>-3</v>
      </c>
      <c r="T372" s="178">
        <f t="shared" si="134"/>
        <v>3</v>
      </c>
      <c r="U372" s="253">
        <f t="shared" si="135"/>
        <v>-2.1002241205487673</v>
      </c>
      <c r="V372" s="385">
        <f t="shared" si="136"/>
        <v>17.490499999689465</v>
      </c>
      <c r="W372" s="58"/>
      <c r="X372" s="157">
        <f t="shared" si="137"/>
        <v>43458</v>
      </c>
      <c r="Y372" s="387">
        <f t="shared" si="138"/>
        <v>4.9989999999999997</v>
      </c>
      <c r="Z372" s="387">
        <f t="shared" si="139"/>
        <v>5.0158971238778935</v>
      </c>
      <c r="AA372" s="388">
        <f t="shared" si="140"/>
        <v>5.1759158470051592</v>
      </c>
      <c r="AB372" s="199">
        <f t="shared" si="141"/>
        <v>43458</v>
      </c>
      <c r="AC372" s="426">
        <f t="shared" si="142"/>
        <v>3.0916021020676764E-2</v>
      </c>
      <c r="AD372" s="171">
        <f>(INDEX(Models!$BJ372:$BT372,,AH372)*(1-AF372)+INDEX(Models!$BJ372:$BT372,,AH372+1)*AF372-ERP_i)*AE372*Ramure*Pc/MaxiM</f>
        <v>1.0507539117637948E-2</v>
      </c>
      <c r="AE372" s="307">
        <f t="shared" si="143"/>
        <v>1</v>
      </c>
      <c r="AF372" s="179">
        <f t="shared" si="144"/>
        <v>0.89977587945123272</v>
      </c>
      <c r="AG372" s="837">
        <f t="shared" si="145"/>
        <v>-3</v>
      </c>
      <c r="AH372" s="178">
        <f t="shared" si="146"/>
        <v>3</v>
      </c>
      <c r="AI372" s="227">
        <f t="shared" si="147"/>
        <v>-2.1002241205487673</v>
      </c>
      <c r="AJ372" s="267" t="b">
        <f t="shared" si="148"/>
        <v>0</v>
      </c>
      <c r="AK372" s="267" t="b">
        <f t="shared" si="149"/>
        <v>0</v>
      </c>
      <c r="AL372" s="267"/>
      <c r="AM372" s="267"/>
      <c r="AN372" s="75"/>
    </row>
    <row r="373" spans="1:40" s="6" customFormat="1" ht="11.25" customHeight="1" x14ac:dyDescent="0.2">
      <c r="A373" s="56">
        <f t="shared" si="151"/>
        <v>43459</v>
      </c>
      <c r="B373" s="618">
        <v>13.336</v>
      </c>
      <c r="C373" s="392"/>
      <c r="D373" s="395">
        <f t="shared" si="127"/>
        <v>13.381388428669647</v>
      </c>
      <c r="E373" s="387">
        <f t="shared" si="153"/>
        <v>13.811025634835685</v>
      </c>
      <c r="F373" s="387">
        <f t="shared" si="152"/>
        <v>13.907050225818837</v>
      </c>
      <c r="G373" s="110">
        <f t="shared" si="154"/>
        <v>0.75763376526386894</v>
      </c>
      <c r="I373" s="382">
        <f t="shared" si="128"/>
        <v>13.907050225818837</v>
      </c>
      <c r="J373" s="85">
        <v>2018</v>
      </c>
      <c r="K373" s="199">
        <f t="shared" si="129"/>
        <v>43459</v>
      </c>
      <c r="L373" s="437">
        <f t="shared" si="130"/>
        <v>3.3919072681876106E-3</v>
      </c>
      <c r="M373" s="881"/>
      <c r="N373" s="881"/>
      <c r="O373" s="326">
        <f t="shared" si="131"/>
        <v>3.1108276642566043E-2</v>
      </c>
      <c r="P373" s="171">
        <f>(INDEX(Models!$BJ373:$BT373,,T373)*(1-R373)+INDEX(Models!$BJ373:$BT373,,T373+1)*R373-ERP_i)*Q373*Ramure*Pc/MaxiM</f>
        <v>1.0498421175945986E-2</v>
      </c>
      <c r="Q373" s="307">
        <f t="shared" si="132"/>
        <v>1</v>
      </c>
      <c r="R373" s="179">
        <f t="shared" si="133"/>
        <v>0.89977587945123272</v>
      </c>
      <c r="S373" s="837">
        <f t="shared" si="150"/>
        <v>-3</v>
      </c>
      <c r="T373" s="178">
        <f t="shared" si="134"/>
        <v>3</v>
      </c>
      <c r="U373" s="253">
        <f t="shared" si="135"/>
        <v>-2.1002241205487673</v>
      </c>
      <c r="V373" s="385">
        <f t="shared" si="136"/>
        <v>17.53847582883807</v>
      </c>
      <c r="W373" s="58"/>
      <c r="X373" s="157">
        <f t="shared" si="137"/>
        <v>43459</v>
      </c>
      <c r="Y373" s="387">
        <f t="shared" si="138"/>
        <v>13.336</v>
      </c>
      <c r="Z373" s="387">
        <f t="shared" si="139"/>
        <v>13.381388428669647</v>
      </c>
      <c r="AA373" s="388">
        <f t="shared" si="140"/>
        <v>13.811025634835685</v>
      </c>
      <c r="AB373" s="199">
        <f t="shared" si="141"/>
        <v>43459</v>
      </c>
      <c r="AC373" s="426">
        <f t="shared" si="142"/>
        <v>3.1108276642566043E-2</v>
      </c>
      <c r="AD373" s="171">
        <f>(INDEX(Models!$BJ373:$BT373,,AH373)*(1-AF373)+INDEX(Models!$BJ373:$BT373,,AH373+1)*AF373-ERP_i)*AE373*Ramure*Pc/MaxiM</f>
        <v>1.0498421175945986E-2</v>
      </c>
      <c r="AE373" s="307">
        <f t="shared" si="143"/>
        <v>1</v>
      </c>
      <c r="AF373" s="179">
        <f t="shared" si="144"/>
        <v>0.89977587945123272</v>
      </c>
      <c r="AG373" s="837">
        <f t="shared" si="145"/>
        <v>-3</v>
      </c>
      <c r="AH373" s="178">
        <f t="shared" si="146"/>
        <v>3</v>
      </c>
      <c r="AI373" s="227">
        <f t="shared" si="147"/>
        <v>-2.1002241205487673</v>
      </c>
      <c r="AJ373" s="267" t="b">
        <f t="shared" si="148"/>
        <v>0</v>
      </c>
      <c r="AK373" s="267" t="b">
        <f t="shared" si="149"/>
        <v>0</v>
      </c>
      <c r="AL373" s="267"/>
      <c r="AM373" s="267"/>
      <c r="AN373" s="75"/>
    </row>
    <row r="374" spans="1:40" s="6" customFormat="1" ht="11.25" customHeight="1" x14ac:dyDescent="0.2">
      <c r="A374" s="56">
        <f t="shared" si="151"/>
        <v>43460</v>
      </c>
      <c r="B374" s="618">
        <v>16.808</v>
      </c>
      <c r="C374" s="392"/>
      <c r="D374" s="395">
        <f t="shared" si="127"/>
        <v>16.865597699236041</v>
      </c>
      <c r="E374" s="387">
        <f t="shared" si="153"/>
        <v>17.410558443837022</v>
      </c>
      <c r="F374" s="387">
        <f t="shared" si="152"/>
        <v>17.58318067946076</v>
      </c>
      <c r="G374" s="110">
        <f t="shared" si="154"/>
        <v>0.95451066636512472</v>
      </c>
      <c r="I374" s="382">
        <f t="shared" si="128"/>
        <v>17.58318067946076</v>
      </c>
      <c r="J374" s="85">
        <v>2018</v>
      </c>
      <c r="K374" s="199">
        <f t="shared" si="129"/>
        <v>43460</v>
      </c>
      <c r="L374" s="437">
        <f t="shared" si="130"/>
        <v>3.4150997944562E-3</v>
      </c>
      <c r="M374" s="881"/>
      <c r="N374" s="881"/>
      <c r="O374" s="326">
        <f t="shared" si="131"/>
        <v>3.1300589602505688E-2</v>
      </c>
      <c r="P374" s="171">
        <f>(INDEX(Models!$BJ374:$BT374,,T374)*(1-R374)+INDEX(Models!$BJ374:$BT374,,T374+1)*R374-ERP_i)*Q374*Ramure*Pc/MaxiM</f>
        <v>1.048940210651601E-2</v>
      </c>
      <c r="Q374" s="307">
        <f t="shared" si="132"/>
        <v>1</v>
      </c>
      <c r="R374" s="179">
        <f t="shared" si="133"/>
        <v>0.89977587945123272</v>
      </c>
      <c r="S374" s="837">
        <f t="shared" si="150"/>
        <v>-3</v>
      </c>
      <c r="T374" s="178">
        <f t="shared" si="134"/>
        <v>3</v>
      </c>
      <c r="U374" s="253">
        <f t="shared" si="135"/>
        <v>-2.1002241205487673</v>
      </c>
      <c r="V374" s="385">
        <f t="shared" si="136"/>
        <v>17.59707321417315</v>
      </c>
      <c r="W374" s="58"/>
      <c r="X374" s="157">
        <f t="shared" si="137"/>
        <v>43460</v>
      </c>
      <c r="Y374" s="387">
        <f t="shared" si="138"/>
        <v>16.808</v>
      </c>
      <c r="Z374" s="387">
        <f t="shared" si="139"/>
        <v>16.865597699236041</v>
      </c>
      <c r="AA374" s="388">
        <f t="shared" si="140"/>
        <v>17.410558443837022</v>
      </c>
      <c r="AB374" s="199">
        <f t="shared" si="141"/>
        <v>43460</v>
      </c>
      <c r="AC374" s="426">
        <f t="shared" si="142"/>
        <v>3.1300589602505688E-2</v>
      </c>
      <c r="AD374" s="171">
        <f>(INDEX(Models!$BJ374:$BT374,,AH374)*(1-AF374)+INDEX(Models!$BJ374:$BT374,,AH374+1)*AF374-ERP_i)*AE374*Ramure*Pc/MaxiM</f>
        <v>1.048940210651601E-2</v>
      </c>
      <c r="AE374" s="307">
        <f t="shared" si="143"/>
        <v>1</v>
      </c>
      <c r="AF374" s="179">
        <f t="shared" si="144"/>
        <v>0.89977587945123272</v>
      </c>
      <c r="AG374" s="837">
        <f t="shared" si="145"/>
        <v>-3</v>
      </c>
      <c r="AH374" s="178">
        <f t="shared" si="146"/>
        <v>3</v>
      </c>
      <c r="AI374" s="227">
        <f t="shared" si="147"/>
        <v>-2.1002241205487673</v>
      </c>
      <c r="AJ374" s="267" t="b">
        <f t="shared" si="148"/>
        <v>0</v>
      </c>
      <c r="AK374" s="267" t="b">
        <f t="shared" si="149"/>
        <v>0</v>
      </c>
      <c r="AL374" s="267"/>
      <c r="AM374" s="267"/>
      <c r="AN374" s="75"/>
    </row>
    <row r="375" spans="1:40" s="6" customFormat="1" ht="11.25" customHeight="1" x14ac:dyDescent="0.2">
      <c r="A375" s="56">
        <f t="shared" si="151"/>
        <v>43461</v>
      </c>
      <c r="B375" s="618">
        <v>17.027999999999999</v>
      </c>
      <c r="C375" s="392"/>
      <c r="D375" s="395">
        <f t="shared" si="127"/>
        <v>17.086749229439601</v>
      </c>
      <c r="E375" s="387">
        <f t="shared" si="153"/>
        <v>17.642358913489165</v>
      </c>
      <c r="F375" s="387">
        <f t="shared" si="152"/>
        <v>17.819544852558497</v>
      </c>
      <c r="G375" s="110">
        <f t="shared" si="154"/>
        <v>0.96336070549002517</v>
      </c>
      <c r="I375" s="382">
        <f t="shared" si="128"/>
        <v>17.819544852558497</v>
      </c>
      <c r="J375" s="85">
        <v>2018</v>
      </c>
      <c r="K375" s="199">
        <f t="shared" si="129"/>
        <v>43461</v>
      </c>
      <c r="L375" s="437">
        <f t="shared" si="130"/>
        <v>3.4382917810007463E-3</v>
      </c>
      <c r="M375" s="881"/>
      <c r="N375" s="881"/>
      <c r="O375" s="326">
        <f t="shared" si="131"/>
        <v>3.1492936220946774E-2</v>
      </c>
      <c r="P375" s="171">
        <f>(INDEX(Models!$BJ375:$BT375,,T375)*(1-R375)+INDEX(Models!$BJ375:$BT375,,T375+1)*R375-ERP_i)*Q375*Ramure*Pc/MaxiM</f>
        <v>1.0484225081841967E-2</v>
      </c>
      <c r="Q375" s="307">
        <f t="shared" si="132"/>
        <v>1</v>
      </c>
      <c r="R375" s="179">
        <f t="shared" si="133"/>
        <v>0.89977587945123272</v>
      </c>
      <c r="S375" s="837">
        <f t="shared" si="150"/>
        <v>-3</v>
      </c>
      <c r="T375" s="178">
        <f t="shared" si="134"/>
        <v>3</v>
      </c>
      <c r="U375" s="253">
        <f t="shared" si="135"/>
        <v>-2.1002241205487673</v>
      </c>
      <c r="V375" s="385">
        <f t="shared" si="136"/>
        <v>17.665965980152482</v>
      </c>
      <c r="W375" s="58"/>
      <c r="X375" s="157">
        <f t="shared" si="137"/>
        <v>43461</v>
      </c>
      <c r="Y375" s="387">
        <f t="shared" si="138"/>
        <v>17.027999999999999</v>
      </c>
      <c r="Z375" s="387">
        <f t="shared" si="139"/>
        <v>17.086749229439601</v>
      </c>
      <c r="AA375" s="388">
        <f t="shared" si="140"/>
        <v>17.642358913489165</v>
      </c>
      <c r="AB375" s="199">
        <f t="shared" si="141"/>
        <v>43461</v>
      </c>
      <c r="AC375" s="426">
        <f t="shared" si="142"/>
        <v>3.1492936220946774E-2</v>
      </c>
      <c r="AD375" s="171">
        <f>(INDEX(Models!$BJ375:$BT375,,AH375)*(1-AF375)+INDEX(Models!$BJ375:$BT375,,AH375+1)*AF375-ERP_i)*AE375*Ramure*Pc/MaxiM</f>
        <v>1.0484225081841967E-2</v>
      </c>
      <c r="AE375" s="307">
        <f t="shared" si="143"/>
        <v>1</v>
      </c>
      <c r="AF375" s="179">
        <f t="shared" si="144"/>
        <v>0.89977587945123272</v>
      </c>
      <c r="AG375" s="837">
        <f t="shared" si="145"/>
        <v>-3</v>
      </c>
      <c r="AH375" s="178">
        <f t="shared" si="146"/>
        <v>3</v>
      </c>
      <c r="AI375" s="227">
        <f t="shared" si="147"/>
        <v>-2.1002241205487673</v>
      </c>
      <c r="AJ375" s="267" t="b">
        <f t="shared" si="148"/>
        <v>0</v>
      </c>
      <c r="AK375" s="267" t="b">
        <f t="shared" si="149"/>
        <v>0</v>
      </c>
      <c r="AL375" s="267"/>
      <c r="AM375" s="267"/>
      <c r="AN375" s="75"/>
    </row>
    <row r="376" spans="1:40" s="6" customFormat="1" ht="11.25" customHeight="1" x14ac:dyDescent="0.2">
      <c r="A376" s="56">
        <f t="shared" si="151"/>
        <v>43462</v>
      </c>
      <c r="B376" s="618">
        <v>2.9510000000000001</v>
      </c>
      <c r="C376" s="392"/>
      <c r="D376" s="395">
        <f t="shared" si="127"/>
        <v>2.961250318310249</v>
      </c>
      <c r="E376" s="387">
        <f t="shared" si="153"/>
        <v>3.0581486571590424</v>
      </c>
      <c r="F376" s="387">
        <f t="shared" si="152"/>
        <v>3.0581486571590424</v>
      </c>
      <c r="G376" s="110">
        <f t="shared" si="154"/>
        <v>0.16455804016374376</v>
      </c>
      <c r="I376" s="382">
        <f t="shared" si="128"/>
        <v>3.0581486571590424</v>
      </c>
      <c r="J376" s="85">
        <v>2018</v>
      </c>
      <c r="K376" s="199">
        <f t="shared" si="129"/>
        <v>43462</v>
      </c>
      <c r="L376" s="437">
        <f t="shared" si="130"/>
        <v>3.4614832278340169E-3</v>
      </c>
      <c r="M376" s="881"/>
      <c r="N376" s="881"/>
      <c r="O376" s="326">
        <f t="shared" si="131"/>
        <v>3.168529385318037E-2</v>
      </c>
      <c r="P376" s="171">
        <f>(INDEX(Models!$BJ376:$BT376,,T376)*(1-R376)+INDEX(Models!$BJ376:$BT376,,T376+1)*R376-ERP_i)*Q376*Ramure*Pc/MaxiM</f>
        <v>1.0479961776104147E-2</v>
      </c>
      <c r="Q376" s="307">
        <f t="shared" si="132"/>
        <v>1</v>
      </c>
      <c r="R376" s="179">
        <f t="shared" si="133"/>
        <v>0.89977587945123272</v>
      </c>
      <c r="S376" s="837">
        <f t="shared" si="150"/>
        <v>-3</v>
      </c>
      <c r="T376" s="178">
        <f t="shared" si="134"/>
        <v>3</v>
      </c>
      <c r="U376" s="253">
        <f t="shared" si="135"/>
        <v>-2.1002241205487673</v>
      </c>
      <c r="V376" s="385">
        <f t="shared" si="136"/>
        <v>17.744946584761781</v>
      </c>
      <c r="W376" s="58"/>
      <c r="X376" s="157">
        <f t="shared" si="137"/>
        <v>43462</v>
      </c>
      <c r="Y376" s="387">
        <f t="shared" si="138"/>
        <v>2.9510000000000001</v>
      </c>
      <c r="Z376" s="387">
        <f t="shared" si="139"/>
        <v>2.961250318310249</v>
      </c>
      <c r="AA376" s="388">
        <f t="shared" si="140"/>
        <v>3.0581486571590424</v>
      </c>
      <c r="AB376" s="199">
        <f t="shared" si="141"/>
        <v>43462</v>
      </c>
      <c r="AC376" s="426">
        <f t="shared" si="142"/>
        <v>3.168529385318037E-2</v>
      </c>
      <c r="AD376" s="171">
        <f>(INDEX(Models!$BJ376:$BT376,,AH376)*(1-AF376)+INDEX(Models!$BJ376:$BT376,,AH376+1)*AF376-ERP_i)*AE376*Ramure*Pc/MaxiM</f>
        <v>1.0479961776104147E-2</v>
      </c>
      <c r="AE376" s="307">
        <f t="shared" si="143"/>
        <v>1</v>
      </c>
      <c r="AF376" s="179">
        <f t="shared" si="144"/>
        <v>0.89977587945123272</v>
      </c>
      <c r="AG376" s="837">
        <f t="shared" si="145"/>
        <v>-3</v>
      </c>
      <c r="AH376" s="178">
        <f t="shared" si="146"/>
        <v>3</v>
      </c>
      <c r="AI376" s="227">
        <f t="shared" si="147"/>
        <v>-2.1002241205487673</v>
      </c>
      <c r="AJ376" s="267" t="b">
        <f t="shared" si="148"/>
        <v>0</v>
      </c>
      <c r="AK376" s="267" t="b">
        <f t="shared" si="149"/>
        <v>0</v>
      </c>
      <c r="AL376" s="267"/>
      <c r="AM376" s="267"/>
      <c r="AN376" s="75"/>
    </row>
    <row r="377" spans="1:40" s="6" customFormat="1" ht="11.25" customHeight="1" x14ac:dyDescent="0.2">
      <c r="A377" s="56">
        <f t="shared" si="151"/>
        <v>43463</v>
      </c>
      <c r="B377" s="618">
        <v>3.24</v>
      </c>
      <c r="C377" s="392"/>
      <c r="D377" s="395">
        <f t="shared" si="127"/>
        <v>3.251329824945238</v>
      </c>
      <c r="E377" s="387">
        <f t="shared" si="153"/>
        <v>3.3583872893815738</v>
      </c>
      <c r="F377" s="387">
        <f t="shared" si="152"/>
        <v>3.3583872893815738</v>
      </c>
      <c r="G377" s="110">
        <f t="shared" si="154"/>
        <v>0.17977457045744255</v>
      </c>
      <c r="I377" s="382">
        <f t="shared" si="128"/>
        <v>3.3583872893815738</v>
      </c>
      <c r="J377" s="85">
        <v>2018</v>
      </c>
      <c r="K377" s="199">
        <f t="shared" si="129"/>
        <v>43463</v>
      </c>
      <c r="L377" s="437">
        <f t="shared" si="130"/>
        <v>3.4846741349683352E-3</v>
      </c>
      <c r="M377" s="881"/>
      <c r="N377" s="881"/>
      <c r="O377" s="326">
        <f t="shared" si="131"/>
        <v>3.18776410257465E-2</v>
      </c>
      <c r="P377" s="171">
        <f>(INDEX(Models!$BJ377:$BT377,,T377)*(1-R377)+INDEX(Models!$BJ377:$BT377,,T377+1)*R377-ERP_i)*Q377*Ramure*Pc/MaxiM</f>
        <v>1.0476739033533446E-2</v>
      </c>
      <c r="Q377" s="307">
        <f t="shared" si="132"/>
        <v>1</v>
      </c>
      <c r="R377" s="179">
        <f t="shared" si="133"/>
        <v>0.89977587945123272</v>
      </c>
      <c r="S377" s="837">
        <f t="shared" si="150"/>
        <v>-3</v>
      </c>
      <c r="T377" s="178">
        <f t="shared" si="134"/>
        <v>3</v>
      </c>
      <c r="U377" s="253">
        <f t="shared" si="135"/>
        <v>-2.1002241205487673</v>
      </c>
      <c r="V377" s="385">
        <f t="shared" si="136"/>
        <v>17.833753446738516</v>
      </c>
      <c r="W377" s="58"/>
      <c r="X377" s="157">
        <f t="shared" si="137"/>
        <v>43463</v>
      </c>
      <c r="Y377" s="387">
        <f t="shared" si="138"/>
        <v>3.24</v>
      </c>
      <c r="Z377" s="387">
        <f t="shared" si="139"/>
        <v>3.251329824945238</v>
      </c>
      <c r="AA377" s="388">
        <f t="shared" si="140"/>
        <v>3.3583872893815738</v>
      </c>
      <c r="AB377" s="199">
        <f t="shared" si="141"/>
        <v>43463</v>
      </c>
      <c r="AC377" s="426">
        <f t="shared" si="142"/>
        <v>3.18776410257465E-2</v>
      </c>
      <c r="AD377" s="171">
        <f>(INDEX(Models!$BJ377:$BT377,,AH377)*(1-AF377)+INDEX(Models!$BJ377:$BT377,,AH377+1)*AF377-ERP_i)*AE377*Ramure*Pc/MaxiM</f>
        <v>1.0476739033533446E-2</v>
      </c>
      <c r="AE377" s="307">
        <f t="shared" si="143"/>
        <v>1</v>
      </c>
      <c r="AF377" s="179">
        <f t="shared" si="144"/>
        <v>0.89977587945123272</v>
      </c>
      <c r="AG377" s="837">
        <f t="shared" si="145"/>
        <v>-3</v>
      </c>
      <c r="AH377" s="178">
        <f t="shared" si="146"/>
        <v>3</v>
      </c>
      <c r="AI377" s="227">
        <f t="shared" si="147"/>
        <v>-2.1002241205487673</v>
      </c>
      <c r="AJ377" s="267" t="b">
        <f t="shared" si="148"/>
        <v>0</v>
      </c>
      <c r="AK377" s="267" t="b">
        <f t="shared" si="149"/>
        <v>0</v>
      </c>
      <c r="AL377" s="267"/>
      <c r="AM377" s="267"/>
      <c r="AN377" s="75"/>
    </row>
    <row r="378" spans="1:40" s="6" customFormat="1" ht="11.25" x14ac:dyDescent="0.2">
      <c r="A378" s="56">
        <f t="shared" si="151"/>
        <v>43464</v>
      </c>
      <c r="B378" s="618">
        <v>3.2</v>
      </c>
      <c r="C378" s="392"/>
      <c r="D378" s="395">
        <f t="shared" si="127"/>
        <v>3.2112646813836898</v>
      </c>
      <c r="E378" s="387">
        <f t="shared" si="153"/>
        <v>3.3176619596148211</v>
      </c>
      <c r="F378" s="387">
        <f t="shared" si="152"/>
        <v>3.3176619596148211</v>
      </c>
      <c r="G378" s="110">
        <f t="shared" si="154"/>
        <v>0.17658147022912019</v>
      </c>
      <c r="I378" s="382">
        <f t="shared" si="128"/>
        <v>3.3176619596148211</v>
      </c>
      <c r="J378" s="85">
        <v>2018</v>
      </c>
      <c r="K378" s="199">
        <f t="shared" si="129"/>
        <v>43464</v>
      </c>
      <c r="L378" s="437">
        <f t="shared" si="130"/>
        <v>3.507864502416469E-3</v>
      </c>
      <c r="M378" s="881"/>
      <c r="N378" s="881"/>
      <c r="O378" s="326">
        <f t="shared" si="131"/>
        <v>3.2069957556339977E-2</v>
      </c>
      <c r="P378" s="171">
        <f>(INDEX(Models!$BJ378:$BT378,,T378)*(1-R378)+INDEX(Models!$BJ378:$BT378,,T378+1)*R378-ERP_i)*Q378*Ramure*Pc/MaxiM</f>
        <v>1.04746778630767E-2</v>
      </c>
      <c r="Q378" s="307">
        <f t="shared" si="132"/>
        <v>1</v>
      </c>
      <c r="R378" s="179">
        <f t="shared" si="133"/>
        <v>0.89977587945123272</v>
      </c>
      <c r="S378" s="837">
        <f t="shared" si="150"/>
        <v>-3</v>
      </c>
      <c r="T378" s="178">
        <f t="shared" si="134"/>
        <v>3</v>
      </c>
      <c r="U378" s="253">
        <f t="shared" si="135"/>
        <v>-2.1002241205487673</v>
      </c>
      <c r="V378" s="385">
        <f t="shared" si="136"/>
        <v>17.932125192578493</v>
      </c>
      <c r="W378" s="58"/>
      <c r="X378" s="157">
        <f t="shared" si="137"/>
        <v>43464</v>
      </c>
      <c r="Y378" s="387">
        <f t="shared" si="138"/>
        <v>3.2</v>
      </c>
      <c r="Z378" s="387">
        <f t="shared" si="139"/>
        <v>3.2112646813836898</v>
      </c>
      <c r="AA378" s="388">
        <f t="shared" si="140"/>
        <v>3.3176619596148211</v>
      </c>
      <c r="AB378" s="199">
        <f t="shared" si="141"/>
        <v>43464</v>
      </c>
      <c r="AC378" s="426">
        <f t="shared" si="142"/>
        <v>3.2069957556339977E-2</v>
      </c>
      <c r="AD378" s="171">
        <f>(INDEX(Models!$BJ378:$BT378,,AH378)*(1-AF378)+INDEX(Models!$BJ378:$BT378,,AH378+1)*AF378-ERP_i)*AE378*Ramure*Pc/MaxiM</f>
        <v>1.04746778630767E-2</v>
      </c>
      <c r="AE378" s="307">
        <f t="shared" si="143"/>
        <v>1</v>
      </c>
      <c r="AF378" s="179">
        <f t="shared" si="144"/>
        <v>0.89977587945123272</v>
      </c>
      <c r="AG378" s="837">
        <f t="shared" si="145"/>
        <v>-3</v>
      </c>
      <c r="AH378" s="178">
        <f t="shared" si="146"/>
        <v>3</v>
      </c>
      <c r="AI378" s="227">
        <f t="shared" si="147"/>
        <v>-2.1002241205487673</v>
      </c>
      <c r="AJ378" s="267" t="b">
        <f t="shared" si="148"/>
        <v>0</v>
      </c>
      <c r="AK378" s="267" t="b">
        <f t="shared" si="149"/>
        <v>0</v>
      </c>
      <c r="AL378" s="267"/>
      <c r="AM378" s="267"/>
      <c r="AN378" s="75"/>
    </row>
    <row r="379" spans="1:40" s="18" customFormat="1" ht="12.75" x14ac:dyDescent="0.2">
      <c r="A379" s="56">
        <f t="shared" si="151"/>
        <v>43465</v>
      </c>
      <c r="B379" s="618">
        <v>5.282</v>
      </c>
      <c r="C379" s="392"/>
      <c r="D379" s="395">
        <f t="shared" si="127"/>
        <v>5.3007171201401873</v>
      </c>
      <c r="E379" s="387">
        <f t="shared" si="153"/>
        <v>5.4774312372570115</v>
      </c>
      <c r="F379" s="387">
        <f t="shared" si="152"/>
        <v>5.4774312372570115</v>
      </c>
      <c r="G379" s="110">
        <f t="shared" si="154"/>
        <v>0.28973030228750579</v>
      </c>
      <c r="I379" s="382">
        <f t="shared" si="128"/>
        <v>5.4774312372570115</v>
      </c>
      <c r="J379" s="85">
        <v>2018</v>
      </c>
      <c r="K379" s="199">
        <f t="shared" si="129"/>
        <v>43465</v>
      </c>
      <c r="L379" s="437">
        <f>IF(t&lt;T0,0,IF(t&lt;Tvie,1-EXP((T0-t)*PertePVj),1-EXP((T0-t)*PertePVj)+Pspv))</f>
        <v>3.5310543301907416E-3</v>
      </c>
      <c r="M379" s="881"/>
      <c r="N379" s="881"/>
      <c r="O379" s="326">
        <f t="shared" si="131"/>
        <v>3.2262224656483263E-2</v>
      </c>
      <c r="P379" s="171">
        <f>(INDEX(Models!$BJ379:$BT379,,T379)*(1-R379)+INDEX(Models!$BJ379:$BT379,,T379+1)*R379-ERP_i)*Q379*Ramure*Pc/MaxiM</f>
        <v>1.0473892923201137E-2</v>
      </c>
      <c r="Q379" s="308">
        <f t="shared" si="132"/>
        <v>1</v>
      </c>
      <c r="R379" s="179">
        <f t="shared" si="133"/>
        <v>0.89977587945123272</v>
      </c>
      <c r="S379" s="837">
        <f t="shared" si="150"/>
        <v>-3</v>
      </c>
      <c r="T379" s="178">
        <f t="shared" si="134"/>
        <v>3</v>
      </c>
      <c r="U379" s="309">
        <f t="shared" si="135"/>
        <v>-2.1002241205487673</v>
      </c>
      <c r="V379" s="385">
        <f t="shared" si="136"/>
        <v>18.039800657071432</v>
      </c>
      <c r="W379" s="394"/>
      <c r="X379" s="157">
        <f t="shared" si="137"/>
        <v>43465</v>
      </c>
      <c r="Y379" s="387">
        <f t="shared" si="138"/>
        <v>5.282</v>
      </c>
      <c r="Z379" s="387">
        <f t="shared" si="139"/>
        <v>5.3007171201401873</v>
      </c>
      <c r="AA379" s="388">
        <f t="shared" si="140"/>
        <v>5.4774312372570115</v>
      </c>
      <c r="AB379" s="199">
        <f t="shared" si="141"/>
        <v>43465</v>
      </c>
      <c r="AC379" s="426">
        <f t="shared" si="142"/>
        <v>3.2262224656483263E-2</v>
      </c>
      <c r="AD379" s="171">
        <f>(INDEX(Models!$BJ379:$BT379,,AH379)*(1-AF379)+INDEX(Models!$BJ379:$BT379,,AH379+1)*AF379-ERP_i)*AE379*Ramure*Pc/MaxiM</f>
        <v>1.0473892923201137E-2</v>
      </c>
      <c r="AE379" s="308">
        <f t="shared" si="143"/>
        <v>1</v>
      </c>
      <c r="AF379" s="179">
        <f t="shared" si="144"/>
        <v>0.89977587945123272</v>
      </c>
      <c r="AG379" s="837">
        <f t="shared" si="145"/>
        <v>-3</v>
      </c>
      <c r="AH379" s="178">
        <f t="shared" si="146"/>
        <v>3</v>
      </c>
      <c r="AI379" s="224">
        <f t="shared" si="147"/>
        <v>-2.1002241205487673</v>
      </c>
      <c r="AJ379" s="267" t="b">
        <f t="shared" si="148"/>
        <v>0</v>
      </c>
      <c r="AK379" s="267" t="b">
        <f t="shared" si="149"/>
        <v>0</v>
      </c>
      <c r="AL379" s="267"/>
      <c r="AM379" s="267"/>
      <c r="AN379" s="267"/>
    </row>
    <row r="380" spans="1:40" s="18" customFormat="1" ht="12" thickBot="1" x14ac:dyDescent="0.25">
      <c r="A380" s="103"/>
      <c r="B380" s="624"/>
      <c r="C380" s="880"/>
      <c r="D380" s="396"/>
      <c r="E380" s="397"/>
      <c r="F380" s="397"/>
      <c r="G380" s="97"/>
      <c r="I380" s="383">
        <f t="shared" si="128"/>
        <v>0</v>
      </c>
      <c r="J380" s="151">
        <v>2018</v>
      </c>
      <c r="K380" s="201"/>
      <c r="L380" s="470"/>
      <c r="M380" s="882"/>
      <c r="N380" s="882"/>
      <c r="O380" s="471"/>
      <c r="P380" s="230"/>
      <c r="Q380" s="231"/>
      <c r="R380" s="231"/>
      <c r="S380" s="231"/>
      <c r="T380" s="231"/>
      <c r="U380" s="310"/>
      <c r="V380" s="386"/>
      <c r="W380" s="58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8"/>
        <v>1</v>
      </c>
      <c r="AK380" s="267" t="b">
        <f t="shared" si="149"/>
        <v>1</v>
      </c>
      <c r="AL380" s="267"/>
      <c r="AM380" s="267"/>
      <c r="AN380" s="267"/>
    </row>
    <row r="381" spans="1:40" s="104" customFormat="1" ht="11.25" customHeight="1" x14ac:dyDescent="0.2">
      <c r="A381" s="111" t="s">
        <v>7</v>
      </c>
      <c r="B381" s="377">
        <f>MIN(B15:B380)</f>
        <v>1.7330000000000001</v>
      </c>
      <c r="C381" s="377"/>
      <c r="D381" s="375">
        <f>MIN(D15:D380)</f>
        <v>1.7384126431161413</v>
      </c>
      <c r="E381" s="375">
        <f>MIN(E15:E380)</f>
        <v>1.7899862298704303</v>
      </c>
      <c r="F381" s="376">
        <f>MIN(F15:F380)</f>
        <v>1.7899862298704303</v>
      </c>
      <c r="G381" s="125">
        <f>+MIN(G15:G380)</f>
        <v>5.4497138182534807E-2</v>
      </c>
      <c r="H381" s="93"/>
      <c r="I381" s="376">
        <f>MIN(I15:I380)</f>
        <v>0</v>
      </c>
      <c r="J381" s="167">
        <f>MIN(J15:J380)</f>
        <v>2018</v>
      </c>
      <c r="K381" s="202" t="s">
        <v>7</v>
      </c>
      <c r="L381" s="146">
        <f t="shared" ref="L381:T381" si="155">MIN(L15:L380)</f>
        <v>0</v>
      </c>
      <c r="M381" s="872"/>
      <c r="N381" s="872"/>
      <c r="O381" s="47">
        <f t="shared" si="155"/>
        <v>0</v>
      </c>
      <c r="P381" s="170">
        <f t="shared" si="155"/>
        <v>2.5044477411095502E-8</v>
      </c>
      <c r="Q381" s="312">
        <f t="shared" si="155"/>
        <v>1</v>
      </c>
      <c r="R381" s="313">
        <f t="shared" si="155"/>
        <v>0.19977766170187206</v>
      </c>
      <c r="S381" s="837">
        <f t="shared" si="155"/>
        <v>-3</v>
      </c>
      <c r="T381" s="178">
        <f t="shared" si="155"/>
        <v>3</v>
      </c>
      <c r="U381" s="254">
        <f>+MIN(U15:U380)</f>
        <v>-2.8002223382981279</v>
      </c>
      <c r="V381" s="375">
        <f>MIN(V15:V380)</f>
        <v>17.400349404019362</v>
      </c>
      <c r="W381" s="58"/>
      <c r="X381" s="112" t="s">
        <v>7</v>
      </c>
      <c r="Y381" s="375">
        <f>MIN(Y15:Y380)</f>
        <v>0</v>
      </c>
      <c r="Z381" s="375">
        <f>MIN(Z15:Z380)</f>
        <v>0</v>
      </c>
      <c r="AA381" s="375">
        <f>MIN(AA15:AA380)</f>
        <v>0</v>
      </c>
      <c r="AB381" s="202" t="s">
        <v>7</v>
      </c>
      <c r="AC381" s="47">
        <f t="shared" ref="AC381:AH381" si="156">MIN(AC15:AC380)</f>
        <v>0</v>
      </c>
      <c r="AD381" s="170">
        <f t="shared" si="156"/>
        <v>2.5044477411095502E-8</v>
      </c>
      <c r="AE381" s="312">
        <f t="shared" si="156"/>
        <v>1</v>
      </c>
      <c r="AF381" s="313">
        <f t="shared" si="156"/>
        <v>0.19977766170187206</v>
      </c>
      <c r="AG381" s="837">
        <f t="shared" si="156"/>
        <v>-3</v>
      </c>
      <c r="AH381" s="178">
        <f t="shared" si="156"/>
        <v>3</v>
      </c>
      <c r="AI381" s="228">
        <f>MIN(AI15:AI380)</f>
        <v>-2.8002223382981279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14.832782608695654</v>
      </c>
      <c r="C382" s="377"/>
      <c r="D382" s="377">
        <f>AVERAGE(D15:D380)</f>
        <v>14.866330187731297</v>
      </c>
      <c r="E382" s="377">
        <f>AVERAGE(E15:E380)</f>
        <v>15.199168927431574</v>
      </c>
      <c r="F382" s="378">
        <f>AVERAGE(F15:F380)</f>
        <v>15.251911376185694</v>
      </c>
      <c r="G382" s="126">
        <f>AVERAGE(G15:G380)</f>
        <v>0.59540546188048016</v>
      </c>
      <c r="H382" s="94"/>
      <c r="I382" s="378">
        <f>AVERAGE(I15:I380)</f>
        <v>3.8338137885494095</v>
      </c>
      <c r="J382" s="168">
        <f>AVERAGE(J15:J380)</f>
        <v>2018</v>
      </c>
      <c r="K382" s="202" t="s">
        <v>8</v>
      </c>
      <c r="L382" s="147">
        <f t="shared" ref="L382:V382" si="157">AVERAGE(L15:L380)</f>
        <v>7.4050372941583664E-4</v>
      </c>
      <c r="M382" s="870"/>
      <c r="N382" s="870"/>
      <c r="O382" s="48">
        <f t="shared" si="157"/>
        <v>7.1985742993550504E-3</v>
      </c>
      <c r="P382" s="171">
        <f t="shared" si="157"/>
        <v>1.8947368638264472E-3</v>
      </c>
      <c r="Q382" s="314">
        <f t="shared" si="157"/>
        <v>1</v>
      </c>
      <c r="R382" s="179">
        <f t="shared" si="157"/>
        <v>0.5916146975006733</v>
      </c>
      <c r="S382" s="837">
        <f t="shared" si="157"/>
        <v>-3</v>
      </c>
      <c r="T382" s="178">
        <f t="shared" si="157"/>
        <v>3</v>
      </c>
      <c r="U382" s="253">
        <f t="shared" si="157"/>
        <v>-2.4083853024993287</v>
      </c>
      <c r="V382" s="377">
        <f t="shared" si="157"/>
        <v>43.579337192190138</v>
      </c>
      <c r="X382" s="112" t="s">
        <v>8</v>
      </c>
      <c r="Y382" s="377">
        <f>AVERAGE(Y15:Y380)</f>
        <v>3.7386739726027405</v>
      </c>
      <c r="Z382" s="377">
        <f>AVERAGE(Z15:Z380)</f>
        <v>3.747129800743231</v>
      </c>
      <c r="AA382" s="377">
        <f>AVERAGE(AA15:AA380)</f>
        <v>3.8310234008868624</v>
      </c>
      <c r="AB382" s="202" t="s">
        <v>8</v>
      </c>
      <c r="AC382" s="48">
        <f t="shared" ref="AC382:AH382" si="158">AVERAGE(AC15:AC380)</f>
        <v>7.1985742993550504E-3</v>
      </c>
      <c r="AD382" s="171">
        <f t="shared" si="158"/>
        <v>1.8947368638264472E-3</v>
      </c>
      <c r="AE382" s="314">
        <f t="shared" si="158"/>
        <v>1</v>
      </c>
      <c r="AF382" s="179">
        <f t="shared" si="158"/>
        <v>0.5916146975006733</v>
      </c>
      <c r="AG382" s="837">
        <f t="shared" si="158"/>
        <v>-3</v>
      </c>
      <c r="AH382" s="178">
        <f t="shared" si="158"/>
        <v>3</v>
      </c>
      <c r="AI382" s="227">
        <f>AVERAGE(AI15:AI380)</f>
        <v>-2.4083853024993287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35.54</v>
      </c>
      <c r="C383" s="379"/>
      <c r="D383" s="379">
        <f>MAX(D15:D380)</f>
        <v>35.591315806881546</v>
      </c>
      <c r="E383" s="379">
        <f>MAX(E15:E380)</f>
        <v>36.130603556011714</v>
      </c>
      <c r="F383" s="380">
        <f>MAX(F15:F380)</f>
        <v>36.187282079507987</v>
      </c>
      <c r="G383" s="127">
        <f>+MAX(G15:G380)</f>
        <v>0.98640910278692839</v>
      </c>
      <c r="H383" s="94"/>
      <c r="I383" s="380">
        <f>MAX(I15:I380)</f>
        <v>36.187282079507987</v>
      </c>
      <c r="J383" s="169">
        <f>MAX(J15:J380)</f>
        <v>2018</v>
      </c>
      <c r="K383" s="202" t="s">
        <v>9</v>
      </c>
      <c r="L383" s="148">
        <f t="shared" ref="L383:T383" si="159">MAX(L15:L380)</f>
        <v>3.5310543301907416E-3</v>
      </c>
      <c r="M383" s="873"/>
      <c r="N383" s="873"/>
      <c r="O383" s="49">
        <f t="shared" si="159"/>
        <v>3.2262224656483263E-2</v>
      </c>
      <c r="P383" s="172">
        <f t="shared" si="159"/>
        <v>1.0967092552777957E-2</v>
      </c>
      <c r="Q383" s="315">
        <f t="shared" si="159"/>
        <v>1</v>
      </c>
      <c r="R383" s="316">
        <f t="shared" si="159"/>
        <v>0.89977587945123272</v>
      </c>
      <c r="S383" s="838">
        <f t="shared" si="159"/>
        <v>-3</v>
      </c>
      <c r="T383" s="235">
        <f t="shared" si="159"/>
        <v>3</v>
      </c>
      <c r="U383" s="255">
        <f>+MAX(U15:U380)</f>
        <v>-2.1002241205487673</v>
      </c>
      <c r="V383" s="379">
        <f>MAX(V15:V380)</f>
        <v>65.092921690580255</v>
      </c>
      <c r="X383" s="112" t="s">
        <v>9</v>
      </c>
      <c r="Y383" s="379">
        <f>MAX(Y15:Y380)</f>
        <v>35.54</v>
      </c>
      <c r="Z383" s="379">
        <f>MAX(Z15:Z380)</f>
        <v>35.591315806881546</v>
      </c>
      <c r="AA383" s="379">
        <f>MAX(AA15:AA380)</f>
        <v>36.130603556011714</v>
      </c>
      <c r="AB383" s="202" t="s">
        <v>9</v>
      </c>
      <c r="AC383" s="49">
        <f t="shared" ref="AC383:AH383" si="160">MAX(AC15:AC380)</f>
        <v>3.2262224656483263E-2</v>
      </c>
      <c r="AD383" s="172">
        <f t="shared" si="160"/>
        <v>1.0967092552777957E-2</v>
      </c>
      <c r="AE383" s="315">
        <f t="shared" si="160"/>
        <v>1</v>
      </c>
      <c r="AF383" s="316">
        <f t="shared" si="160"/>
        <v>0.89977587945123272</v>
      </c>
      <c r="AG383" s="838">
        <f t="shared" si="160"/>
        <v>-3</v>
      </c>
      <c r="AH383" s="235">
        <f t="shared" si="160"/>
        <v>3</v>
      </c>
      <c r="AI383" s="229">
        <f>MAX(AI15:AI380)</f>
        <v>-2.1002241205487673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  <row r="385" spans="6:6" x14ac:dyDescent="0.25">
      <c r="F385" s="405"/>
    </row>
  </sheetData>
  <sheetProtection sheet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26" priority="4" stopIfTrue="1" operator="lessThan">
      <formula>0.01</formula>
    </cfRule>
    <cfRule type="cellIs" dxfId="25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6"/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'2018'!An+1</f>
        <v>2019</v>
      </c>
      <c r="K1" s="1263"/>
      <c r="L1" s="113" t="str">
        <f>"Calcul pertes et enveloppes en "&amp;TEXT(An,0)</f>
        <v>Calcul pertes et enveloppes en 2019</v>
      </c>
      <c r="M1" s="245"/>
      <c r="N1" s="245"/>
      <c r="V1" s="458"/>
      <c r="W1" s="456"/>
      <c r="X1" s="487" t="str">
        <f>"Prévision sans nettoyage ni taille végétation en "&amp;TEXT(An,0)</f>
        <v>Prévision sans nettoyage ni taille végétation en 2019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54" t="s">
        <v>269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2">
        <f>Tmaj</f>
        <v>44947</v>
      </c>
      <c r="F3" s="1272"/>
      <c r="G3" s="472"/>
      <c r="H3" s="75"/>
      <c r="I3" s="6"/>
      <c r="J3" s="34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58">
        <f>AL11-AJ11</f>
        <v>0</v>
      </c>
      <c r="AK3" s="859">
        <f>AM11-AK11</f>
        <v>0</v>
      </c>
      <c r="AL3" s="858"/>
      <c r="AM3" s="859"/>
      <c r="AN3" s="857" t="s">
        <v>270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2" t="str">
        <f>Station</f>
        <v>Crèche Ayguesvives</v>
      </c>
      <c r="F4" s="1213"/>
      <c r="G4" s="1213"/>
      <c r="H4" s="1213"/>
      <c r="I4" s="1214"/>
      <c r="J4" s="158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58">
        <f>AL12-AJ12</f>
        <v>0</v>
      </c>
      <c r="AK4" s="859">
        <f>AM12-AK12</f>
        <v>0</v>
      </c>
      <c r="AL4" s="858"/>
      <c r="AM4" s="859"/>
      <c r="AN4" s="857" t="s">
        <v>271</v>
      </c>
    </row>
    <row r="5" spans="1:40" s="35" customFormat="1" ht="16.5" customHeight="1" x14ac:dyDescent="0.25">
      <c r="D5" s="161" t="s">
        <v>20</v>
      </c>
      <c r="E5" s="1273">
        <f>T0</f>
        <v>43313</v>
      </c>
      <c r="F5" s="1273"/>
      <c r="G5" s="34"/>
      <c r="H5" s="336"/>
      <c r="I5" s="158"/>
      <c r="K5" s="194"/>
      <c r="L5" s="506"/>
      <c r="M5" s="505"/>
      <c r="N5" s="505"/>
      <c r="O5" s="428"/>
      <c r="P5" s="508"/>
      <c r="Q5" s="508"/>
      <c r="R5" s="495"/>
      <c r="S5" s="499"/>
      <c r="T5" s="499"/>
      <c r="U5" s="513"/>
      <c r="V5" s="507"/>
      <c r="W5" s="508"/>
      <c r="X5" s="509"/>
      <c r="Y5" s="510"/>
      <c r="Z5" s="238">
        <f>Wh_Psa_s-Wh_Psa</f>
        <v>0</v>
      </c>
      <c r="AA5" s="239">
        <f>Wh_Pvg_s-Wh_Pvg</f>
        <v>0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57" t="s">
        <v>267</v>
      </c>
    </row>
    <row r="6" spans="1:40" s="6" customFormat="1" ht="16.5" customHeight="1" x14ac:dyDescent="0.2">
      <c r="B6" s="8"/>
      <c r="C6" s="8"/>
      <c r="D6" s="161" t="s">
        <v>11</v>
      </c>
      <c r="E6" s="1274">
        <f>Tservice</f>
        <v>43354</v>
      </c>
      <c r="F6" s="1274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0"/>
      <c r="W6" s="462"/>
      <c r="X6" s="497"/>
      <c r="Y6" s="498"/>
      <c r="Z6" s="462"/>
      <c r="AA6" s="462"/>
      <c r="AB6" s="516"/>
      <c r="AC6" s="531"/>
      <c r="AD6" s="462"/>
      <c r="AE6" s="462"/>
      <c r="AF6" s="462"/>
      <c r="AG6" s="462"/>
      <c r="AH6" s="462"/>
      <c r="AI6" s="462"/>
      <c r="AJ6" s="516">
        <f>SUMIF(AJ15:AJ380,"FAUX",Wh)</f>
        <v>10766.592999999999</v>
      </c>
      <c r="AK6" s="516">
        <f>SUMIF(AK15:AK380,"FAUX",Wh)</f>
        <v>10766.592999999999</v>
      </c>
      <c r="AL6" s="516">
        <f>SUMIF(AJ15:AJ380,"FAUX",Wh_s)</f>
        <v>10766.592999999999</v>
      </c>
      <c r="AM6" s="516">
        <f>SUMIF(AK15:AK380,"FAUX",Wh_s)</f>
        <v>10766.592999999999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AND(YEAR(Tnet)=An,Resal_2019="I")</f>
        <v>0</v>
      </c>
      <c r="F7" s="322" t="b">
        <f>YEAR(Tnet)=An</f>
        <v>0</v>
      </c>
      <c r="H7" s="337"/>
      <c r="J7" s="180"/>
      <c r="K7" s="193"/>
      <c r="L7" s="191" t="s">
        <v>81</v>
      </c>
      <c r="M7" s="868"/>
      <c r="N7" s="868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50"/>
      <c r="Z7" s="518"/>
      <c r="AA7" s="518"/>
      <c r="AB7" s="518"/>
      <c r="AC7" s="531"/>
      <c r="AD7" s="250"/>
      <c r="AE7" s="250"/>
      <c r="AF7" s="493"/>
      <c r="AG7" s="493"/>
      <c r="AH7" s="493"/>
      <c r="AI7" s="518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57" t="s">
        <v>259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AND(YEAR(Tnet)=An,Resal_2019&lt;&gt;"I")</f>
        <v>0</v>
      </c>
      <c r="F8" s="323" t="b">
        <f>YEAR(Ttai)=An</f>
        <v>0</v>
      </c>
      <c r="H8" s="338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6"/>
      <c r="X8" s="1260" t="s">
        <v>102</v>
      </c>
      <c r="Y8" s="1261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10848.531693449062</v>
      </c>
      <c r="AK8" s="516">
        <f>SUMIF(AK15:AK380,"FAUX",Wh_sa)</f>
        <v>11621.502176591968</v>
      </c>
      <c r="AL8" s="516">
        <f>SUMIF(AJ15:AJ380,"FAUX",Wh_pvt_s)</f>
        <v>10848.531693449062</v>
      </c>
      <c r="AM8" s="516">
        <f>SUMIF(AK15:AK380,"FAUX",Wh_sa_s)</f>
        <v>11621.502176591968</v>
      </c>
      <c r="AN8" s="857" t="s">
        <v>260</v>
      </c>
    </row>
    <row r="9" spans="1:40" s="19" customFormat="1" ht="15" customHeight="1" x14ac:dyDescent="0.25">
      <c r="A9" s="34"/>
      <c r="B9" s="212"/>
      <c r="C9" s="212"/>
      <c r="D9" s="186">
        <f>SUM(D$15:D$380)</f>
        <v>10848.531693449062</v>
      </c>
      <c r="E9" s="186">
        <f>SUM(E$15:E$380)</f>
        <v>11621.502176591968</v>
      </c>
      <c r="F9" s="186">
        <f>SUM(F$15:F$380)</f>
        <v>11644.129113364914</v>
      </c>
      <c r="H9" s="1264">
        <f>+SUM(Wh)</f>
        <v>10766.592999999999</v>
      </c>
      <c r="I9" s="1265"/>
      <c r="J9" s="1266"/>
      <c r="K9" s="193"/>
      <c r="L9" s="114"/>
      <c r="M9" s="114"/>
      <c r="N9" s="114"/>
      <c r="O9" s="225">
        <f>Tnet_2019</f>
        <v>43313</v>
      </c>
      <c r="P9" s="246" t="s">
        <v>91</v>
      </c>
      <c r="Q9" s="247"/>
      <c r="R9" s="247"/>
      <c r="S9" s="247"/>
      <c r="T9" s="247"/>
      <c r="U9" s="248"/>
      <c r="V9" s="462"/>
      <c r="W9" s="521"/>
      <c r="X9" s="1258">
        <f>+SUM(Wh_s)</f>
        <v>10766.592999999999</v>
      </c>
      <c r="Y9" s="1259"/>
      <c r="Z9" s="516">
        <f>SUM(Z$15:Z$380)</f>
        <v>10848.531693449062</v>
      </c>
      <c r="AA9" s="516">
        <f>SUM(AA$15:AA$380)</f>
        <v>11621.502176591968</v>
      </c>
      <c r="AB9" s="516">
        <f>F9</f>
        <v>11644.129113364914</v>
      </c>
      <c r="AC9" s="327">
        <f>IF(An_Tnet,Tnet,'2018'!Tnet_s)</f>
        <v>43313</v>
      </c>
      <c r="AD9" s="318" t="s">
        <v>91</v>
      </c>
      <c r="AE9" s="318"/>
      <c r="AF9" s="318"/>
      <c r="AG9" s="318"/>
      <c r="AH9" s="318"/>
      <c r="AI9" s="319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H10" s="28"/>
      <c r="K10" s="195"/>
      <c r="L10" s="114"/>
      <c r="M10" s="114"/>
      <c r="N10" s="114"/>
      <c r="O10" s="204">
        <f>IF(Inflex,'2018'!Resal+('2018'!Salim-'2018'!Resal)*(1-EXP(('2018'!Tnet-Tnet)/('2018'!Tau_j))),IF(An_Tnet,Resal_2019,'2018'!Resal))</f>
        <v>0</v>
      </c>
      <c r="P10" s="421" t="b">
        <f>NOT(Acti_tai)</f>
        <v>1</v>
      </c>
      <c r="Q10" s="259">
        <f>IF(Acti_tai,'2018'!PousD,Dens-Dd)</f>
        <v>0</v>
      </c>
      <c r="R10" s="276"/>
      <c r="S10" s="277"/>
      <c r="T10" s="278"/>
      <c r="U10" s="268">
        <f>IF(Acti_tai,'2018'!PousH,Hdtf-Hdd)</f>
        <v>0.70000000000000018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8"/>
      <c r="AE10" s="428"/>
      <c r="AF10" s="262"/>
      <c r="AG10" s="263"/>
      <c r="AH10" s="264"/>
      <c r="AI10" s="523"/>
      <c r="AJ10" s="516">
        <f>SUMIF(AJ15:AJ380,"FAUX",Wh_sa)</f>
        <v>11621.502176591968</v>
      </c>
      <c r="AK10" s="516">
        <f>SUMIF(AK15:AK380,"FAUX",Wh_hp)</f>
        <v>11644.129113364914</v>
      </c>
      <c r="AL10" s="516">
        <f>SUMIF(AJ15:AJ380,"FAUX",Wh_sa_s)</f>
        <v>11621.502176591968</v>
      </c>
      <c r="AM10" s="516">
        <f>SUMIF(AK15:AK380,"FAUX",Wh_hp)</f>
        <v>11644.129113364914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50">
        <f>D$9-Prod_an</f>
        <v>81.938693449063067</v>
      </c>
      <c r="E11" s="51">
        <f>(E$9-D$9)*Prod_an/D$9</f>
        <v>767.13225606728577</v>
      </c>
      <c r="F11" s="188">
        <f>(F$9-E$9)*Prod_an/E$9</f>
        <v>20.962438019564079</v>
      </c>
      <c r="G11" s="187" t="s">
        <v>6</v>
      </c>
      <c r="H11" s="337"/>
      <c r="K11" s="196"/>
      <c r="L11" s="184">
        <f>Tvie_2019</f>
        <v>43313</v>
      </c>
      <c r="M11" s="869"/>
      <c r="N11" s="869"/>
      <c r="O11" s="204">
        <f>IF(An_Tnet,Salim_2019,'2018'!Salim)</f>
        <v>0.21</v>
      </c>
      <c r="P11" s="258">
        <f>Ttai_2019</f>
        <v>43101</v>
      </c>
      <c r="Q11" s="274">
        <f>Dens_2019</f>
        <v>1</v>
      </c>
      <c r="R11" s="279"/>
      <c r="S11" s="232"/>
      <c r="T11" s="232"/>
      <c r="U11" s="268">
        <f>Htf_2019</f>
        <v>-1.4002241205487671</v>
      </c>
      <c r="V11" s="428"/>
      <c r="W11" s="519"/>
      <c r="X11" s="526" t="s">
        <v>43</v>
      </c>
      <c r="Y11" s="50">
        <f>Z$9-Prod_an_s</f>
        <v>81.938693449063067</v>
      </c>
      <c r="Z11" s="51">
        <f>(AA$9-Z$9)*Prod_an_s/Z$9</f>
        <v>767.13225606728577</v>
      </c>
      <c r="AA11" s="188">
        <f>(AB$9-AA$9)*Prod_an_s/AA$9</f>
        <v>20.962438019564079</v>
      </c>
      <c r="AB11" s="527" t="s">
        <v>6</v>
      </c>
      <c r="AC11" s="327"/>
      <c r="AD11" s="428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58">
        <f>IF($AJ7=0,0,($AJ9-$AJ7)*$AJ5/$AJ7)</f>
        <v>0</v>
      </c>
      <c r="AK11" s="859">
        <f>IF($AK7=0,0,($AK9-$AK7)*$AK5/$AK7)</f>
        <v>0</v>
      </c>
      <c r="AL11" s="858">
        <f>IF($AL7=0,0,($AL9-$AL7)*$AL5/$AL7)</f>
        <v>0</v>
      </c>
      <c r="AM11" s="859">
        <f>IF($AM7=0,0,($AM9-$AM7)*$AM5/$AM7)</f>
        <v>0</v>
      </c>
      <c r="AN11" s="857" t="s">
        <v>272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2.7108015165856481E-2</v>
      </c>
      <c r="H12" s="28"/>
      <c r="K12" s="193"/>
      <c r="L12" s="206">
        <f>Pspv_2019</f>
        <v>0</v>
      </c>
      <c r="M12" s="214"/>
      <c r="N12" s="214"/>
      <c r="O12" s="207">
        <f>IF(An_Tnet,Tau_2019*365,'2018'!Tau_j)</f>
        <v>912.5</v>
      </c>
      <c r="P12" s="283">
        <f>INDEX(Croivg,MIN(MAX(Ttai-$A$15,0)+1,366))</f>
        <v>2.3909964587625958E-6</v>
      </c>
      <c r="Q12" s="282">
        <f>'2018'!Df</f>
        <v>1</v>
      </c>
      <c r="R12" s="280"/>
      <c r="S12" s="281"/>
      <c r="T12" s="281"/>
      <c r="U12" s="269">
        <f>'2018'!Hdf</f>
        <v>-2.1002241205487673</v>
      </c>
      <c r="V12" s="518"/>
      <c r="W12" s="505"/>
      <c r="X12" s="506"/>
      <c r="Y12" s="505"/>
      <c r="Z12" s="428"/>
      <c r="AA12" s="428"/>
      <c r="AB12" s="532"/>
      <c r="AC12" s="320" t="b">
        <f>NOT(An_Tnet)</f>
        <v>1</v>
      </c>
      <c r="AD12" s="428"/>
      <c r="AE12" s="298">
        <f>'2018'!Df_s</f>
        <v>1</v>
      </c>
      <c r="AF12" s="205"/>
      <c r="AG12" s="205"/>
      <c r="AH12" s="205"/>
      <c r="AI12" s="299">
        <f>'2018'!Hdf_s</f>
        <v>-2.1002241205487673</v>
      </c>
      <c r="AJ12" s="858">
        <f>IF($AJ8=0,0,($AJ10-$AJ8)*$AJ6/$AJ8)</f>
        <v>767.13225606728577</v>
      </c>
      <c r="AK12" s="859">
        <f>IF($AK8=0,0,($AK10-$AK8)*$AK6/$AK8)</f>
        <v>20.962438019564079</v>
      </c>
      <c r="AL12" s="858">
        <f>IF($AL8=0,0,($AL10-$AL8)*$AL6/$AL8)</f>
        <v>767.13225606728577</v>
      </c>
      <c r="AM12" s="859">
        <f>IF($AM8=0,0,($AM10-$AM8)*$AM6/$AM8)</f>
        <v>20.962438019564079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749" t="s">
        <v>204</v>
      </c>
      <c r="V13" s="124" t="s">
        <v>41</v>
      </c>
      <c r="W13" s="862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767.13225606728577</v>
      </c>
      <c r="AK13" s="73">
        <f>+AK11+AK12</f>
        <v>20.962438019564079</v>
      </c>
      <c r="AL13" s="73">
        <f>+AL11+AL12</f>
        <v>767.13225606728577</v>
      </c>
      <c r="AM13" s="73">
        <f>+AM11+AM12</f>
        <v>20.962438019564079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391" t="s">
        <v>189</v>
      </c>
      <c r="C14" s="391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203</v>
      </c>
      <c r="V14" s="45" t="str">
        <f>"Enveloppe "&amp; TEXT(An,0)</f>
        <v>Enveloppe 2019</v>
      </c>
      <c r="W14" s="120"/>
      <c r="X14" s="260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3" t="s">
        <v>99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56">
        <f>DATE(An,1,1)</f>
        <v>43466</v>
      </c>
      <c r="B15" s="617">
        <v>2.0649999999999999</v>
      </c>
      <c r="C15" s="392"/>
      <c r="D15" s="395">
        <f t="shared" ref="D15:D78" si="0">Wh/(1-Ppv)</f>
        <v>2.0723656925374931</v>
      </c>
      <c r="E15" s="387">
        <f t="shared" ref="E15:E79" si="1">Wh_pvt/(1-Psa)</f>
        <v>2.141879148765319</v>
      </c>
      <c r="F15" s="387">
        <f t="shared" ref="F15:F78" si="2">Wh_sa/(1-Pvg*MEDIAN((-Sdif+Wh/Env_an)/Csdif,0,1))</f>
        <v>2.141879148765319</v>
      </c>
      <c r="G15" s="110">
        <f>+Wh_hp/MaxiM</f>
        <v>0.11254195733168026</v>
      </c>
      <c r="H15" s="414" t="b">
        <f>Wh_hp&gt;='2018'!Maxi_hp</f>
        <v>1</v>
      </c>
      <c r="I15" s="398">
        <f>IF(H15,Wh_hp,'2018'!Maxi_hp)</f>
        <v>2.141879148765319</v>
      </c>
      <c r="J15" s="84">
        <f>IF(H15,An,'2018'!An_max)</f>
        <v>2019</v>
      </c>
      <c r="K15" s="199">
        <f t="shared" ref="K15:K78" si="3">t</f>
        <v>43466</v>
      </c>
      <c r="L15" s="146">
        <f>IF(t&lt;Tvie,1-EXP((T0-t)*PertePVj)+'2018'!Pspv,1-EXP((T0-t)*PertePVj)+Pspv)</f>
        <v>3.5542436183039205E-3</v>
      </c>
      <c r="M15" s="872"/>
      <c r="N15" s="872"/>
      <c r="O15" s="422">
        <f>IF(t&lt;Tnet,'2018'!Resal+('2018'!Salim-'2018'!Resal)*(1-EXP(('2018'!Tnet-t)/('2018'!Tau_j))),Resal+(Salim-Resal)*(1-EXP((Tnet-t)/(Tau_j))))*Salcycl</f>
        <v>3.2454425016414525E-2</v>
      </c>
      <c r="P15" s="304">
        <f>(INDEX(Models!$BJ15:$BT15,,T15)*(1-R15)+INDEX(Models!$BJ15:$BT15,,T15+1)*R15-ERP_i)*Q15*Ramure*Pc/MaxiM</f>
        <v>1.0474517149383281E-2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0.89977755314875374</v>
      </c>
      <c r="S15" s="836">
        <f t="shared" ref="S15:S78" si="6">INDEX(Echel_vg,T15)</f>
        <v>-3</v>
      </c>
      <c r="T15" s="251">
        <f t="shared" ref="T15:T78" si="7">MIN(MATCH(Hp_vg,Echel_vg),10)</f>
        <v>3</v>
      </c>
      <c r="U15" s="252">
        <f>IF(OR(t&lt;Ttai,Notai),Hdd+PousH*Croivg,Hdtf+PousH*(Croivg-Croi_tai))</f>
        <v>-2.1002224468512463</v>
      </c>
      <c r="V15" s="384">
        <f t="shared" ref="V15:V78" si="8">MaxiM*(1-Ppv)*(1-Pvg)*(1-Psa)</f>
        <v>18.156518426850926</v>
      </c>
      <c r="W15" s="423"/>
      <c r="X15" s="424">
        <f t="shared" ref="X15:X78" si="9">t</f>
        <v>43466</v>
      </c>
      <c r="Y15" s="387">
        <f t="shared" ref="Y15:Y78" si="10">Wh_pvt_s*(1-Ppv)</f>
        <v>2.0649999999999999</v>
      </c>
      <c r="Z15" s="387">
        <f t="shared" ref="Z15:Z78" si="11">Wh_sa_s*(1-Psa_s)</f>
        <v>2.0723656925374931</v>
      </c>
      <c r="AA15" s="388">
        <f t="shared" ref="AA15:AA78" si="12">Wh_hp*(1-Pvg_s*MEDIAN((-Sdif+Wh/Env_an)/Csdif,0,1))</f>
        <v>2.141879148765319</v>
      </c>
      <c r="AB15" s="425">
        <f t="shared" ref="AB15:AB78" si="13">t</f>
        <v>43466</v>
      </c>
      <c r="AC15" s="426">
        <f>IF(OR(t&lt;Tnet,NoTnet),'2018'!Resal_s+('2018'!Salim-'2018'!Resal_s)*(1-EXP(('2018'!Tnet_s-t)/'2018'!Tau_j)),Resal_s+(Salim-Resal_s)*(1-EXP((Tnet_s-t)/Tau_j)))*Salcycl</f>
        <v>3.2454425016414525E-2</v>
      </c>
      <c r="AD15" s="233">
        <f>(INDEX(Models!$BJ15:$BT15,,AH15)*(1-AF15)+INDEX(Models!$BJ15:$BT15,,AH15+1)*AF15-ERP_i)*AE15*Ramure*Pc/MaxiM</f>
        <v>1.0474517149383281E-2</v>
      </c>
      <c r="AE15" s="305">
        <f t="shared" ref="AE15:AE78" si="14">IF(OR(t&lt;Ttai,Notai),Dd_s+PousD*Croivg,Dens_s+PousD*(Croivg-Croi_tai))</f>
        <v>1</v>
      </c>
      <c r="AF15" s="306">
        <f t="shared" ref="AF15:AF78" si="15">(Hp_vg_s-AG15)/(INDEX(Echel_vg,AH15+1)-AG15)</f>
        <v>0.89977755314875374</v>
      </c>
      <c r="AG15" s="251">
        <f t="shared" ref="AG15:AG78" si="16">INDEX(Echel_vg,AH15)</f>
        <v>-3</v>
      </c>
      <c r="AH15" s="251">
        <f t="shared" ref="AH15:AH78" si="17">MIN(MATCH(Hp_vg_s,Echel_vg),10)</f>
        <v>3</v>
      </c>
      <c r="AI15" s="226">
        <f>IF(OR(t&lt;Ttai,Notai),Hdd_s+PousH*Croivg,Hdtai_s+PousH*(Croivg-Croi_tai))</f>
        <v>-2.1002224468512463</v>
      </c>
      <c r="AJ15" s="267" t="b">
        <f t="shared" ref="AJ15:AJ78" si="18">t&lt;Tnet</f>
        <v>0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customHeight="1" x14ac:dyDescent="0.2">
      <c r="A16" s="56">
        <f t="shared" ref="A16:A79" si="20">A15+1</f>
        <v>43467</v>
      </c>
      <c r="B16" s="618">
        <v>6.8049999999999997</v>
      </c>
      <c r="C16" s="392"/>
      <c r="D16" s="395">
        <f t="shared" si="0"/>
        <v>6.8294318304769872</v>
      </c>
      <c r="E16" s="387">
        <f t="shared" si="1"/>
        <v>7.0599136025748139</v>
      </c>
      <c r="F16" s="387">
        <f t="shared" si="2"/>
        <v>7.0675542258185473</v>
      </c>
      <c r="G16" s="110">
        <f>+Wh_hp/MaxiM</f>
        <v>0.36872264662968213</v>
      </c>
      <c r="H16" s="414" t="b">
        <f>Wh_hp&gt;='2018'!Maxi_hp</f>
        <v>1</v>
      </c>
      <c r="I16" s="392">
        <f>IF(H16,Wh_hp,'2018'!Maxi_hp)</f>
        <v>7.0675542258185473</v>
      </c>
      <c r="J16" s="85">
        <f>IF(H16,An,'2018'!An_max)</f>
        <v>2019</v>
      </c>
      <c r="K16" s="199">
        <f t="shared" si="3"/>
        <v>43467</v>
      </c>
      <c r="L16" s="147">
        <f>IF(t&lt;Tvie,1-EXP((T0-t)*PertePVj)+'2018'!Pspv,1-EXP((T0-t)*PertePVj)+Pspv)</f>
        <v>3.5774323667685515E-3</v>
      </c>
      <c r="M16" s="870"/>
      <c r="N16" s="870"/>
      <c r="O16" s="48">
        <f>IF(t&lt;Tnet,'2018'!Resal+('2018'!Salim-'2018'!Resal)*(1-EXP(('2018'!Tnet-t)/('2018'!Tau_j))),Resal+(Salim-Resal)*(1-EXP((Tnet-t)/(Tau_j))))*Salcycl</f>
        <v>3.2646542871823267E-2</v>
      </c>
      <c r="P16" s="171">
        <f>(INDEX(Models!$BJ16:$BT16,,T16)*(1-R16)+INDEX(Models!$BJ16:$BT16,,T16+1)*R16-ERP_i)*Q16*Ramure*Pc/MaxiM</f>
        <v>1.0477922072465014E-2</v>
      </c>
      <c r="Q16" s="307">
        <f t="shared" si="4"/>
        <v>1</v>
      </c>
      <c r="R16" s="179">
        <f t="shared" si="5"/>
        <v>0.89981845360834578</v>
      </c>
      <c r="S16" s="837">
        <f t="shared" si="6"/>
        <v>-3</v>
      </c>
      <c r="T16" s="178">
        <f t="shared" si="7"/>
        <v>3</v>
      </c>
      <c r="U16" s="253">
        <f t="shared" ref="U16:U78" si="21">IF(OR(t&lt;Ttai,Notai),Hdd+PousH*Croivg,Hdtf+PousH*(Croivg-Croi_tai))</f>
        <v>-2.1001815463916542</v>
      </c>
      <c r="V16" s="385">
        <f t="shared" si="8"/>
        <v>18.281994275569584</v>
      </c>
      <c r="W16" s="58"/>
      <c r="X16" s="157">
        <f t="shared" si="9"/>
        <v>43467</v>
      </c>
      <c r="Y16" s="387">
        <f t="shared" si="10"/>
        <v>6.8049999999999997</v>
      </c>
      <c r="Z16" s="387">
        <f t="shared" si="11"/>
        <v>6.8294318304769872</v>
      </c>
      <c r="AA16" s="388">
        <f t="shared" si="12"/>
        <v>7.0599136025748139</v>
      </c>
      <c r="AB16" s="199">
        <f t="shared" si="13"/>
        <v>43467</v>
      </c>
      <c r="AC16" s="426">
        <f>IF(OR(t&lt;Tnet,NoTnet),'2018'!Resal_s+('2018'!Salim-'2018'!Resal_s)*(1-EXP(('2018'!Tnet_s-t)/'2018'!Tau_j)),Resal_s+(Salim-Resal_s)*(1-EXP((Tnet_s-t)/Tau_j)))*Salcycl</f>
        <v>3.2646542871823267E-2</v>
      </c>
      <c r="AD16" s="233">
        <f>(INDEX(Models!$BJ16:$BT16,,AH16)*(1-AF16)+INDEX(Models!$BJ16:$BT16,,AH16+1)*AF16-ERP_i)*AE16*Ramure*Pc/MaxiM</f>
        <v>1.0477922072465014E-2</v>
      </c>
      <c r="AE16" s="307">
        <f t="shared" si="14"/>
        <v>1</v>
      </c>
      <c r="AF16" s="179">
        <f t="shared" si="15"/>
        <v>0.89981845360834578</v>
      </c>
      <c r="AG16" s="178">
        <f t="shared" si="16"/>
        <v>-3</v>
      </c>
      <c r="AH16" s="178">
        <f t="shared" si="17"/>
        <v>3</v>
      </c>
      <c r="AI16" s="227">
        <f t="shared" ref="AI16:AI78" si="22">IF(OR(t&lt;Ttai,Notai),Hdd_s+PousH*Croivg,Hdtai_s+PousH*(Croivg-Croi_tai))</f>
        <v>-2.1001815463916542</v>
      </c>
      <c r="AJ16" s="267" t="b">
        <f t="shared" si="18"/>
        <v>0</v>
      </c>
      <c r="AK16" s="267" t="b">
        <f t="shared" si="19"/>
        <v>0</v>
      </c>
      <c r="AL16" s="267"/>
      <c r="AM16" s="267"/>
      <c r="AN16" s="75"/>
    </row>
    <row r="17" spans="1:40" s="6" customFormat="1" ht="11.25" customHeight="1" x14ac:dyDescent="0.2">
      <c r="A17" s="56">
        <f t="shared" si="20"/>
        <v>43468</v>
      </c>
      <c r="B17" s="618">
        <v>18.526</v>
      </c>
      <c r="C17" s="392"/>
      <c r="D17" s="395">
        <f t="shared" si="0"/>
        <v>18.592946144448671</v>
      </c>
      <c r="E17" s="387">
        <f>Wh_pvt/(1-Psa)</f>
        <v>19.224242668680116</v>
      </c>
      <c r="F17" s="387">
        <f t="shared" si="2"/>
        <v>19.427917678346777</v>
      </c>
      <c r="G17" s="110">
        <f t="shared" ref="G17:G79" si="23">+Wh_hp/MaxiM</f>
        <v>1.0059742758159222</v>
      </c>
      <c r="H17" s="414" t="b">
        <f>Wh_hp&gt;='2018'!Maxi_hp</f>
        <v>1</v>
      </c>
      <c r="I17" s="392">
        <f>IF(H17,Wh_hp,'2018'!Maxi_hp)</f>
        <v>19.427917678346777</v>
      </c>
      <c r="J17" s="85">
        <f>IF(H17,An,'2018'!An_max)</f>
        <v>2019</v>
      </c>
      <c r="K17" s="199">
        <f t="shared" si="3"/>
        <v>43468</v>
      </c>
      <c r="L17" s="147">
        <f>IF(t&lt;Tvie,1-EXP((T0-t)*PertePVj)+'2018'!Pspv,1-EXP((T0-t)*PertePVj)+Pspv)</f>
        <v>3.6006205755970688E-3</v>
      </c>
      <c r="M17" s="870"/>
      <c r="N17" s="870"/>
      <c r="O17" s="48">
        <f>IF(t&lt;Tnet,'2018'!Resal+('2018'!Salim-'2018'!Resal)*(1-EXP(('2018'!Tnet-t)/('2018'!Tau_j))),Resal+(Salim-Resal)*(1-EXP((Tnet-t)/(Tau_j))))*Salcycl</f>
        <v>3.2838564052249684E-2</v>
      </c>
      <c r="P17" s="171">
        <f>(INDEX(Models!$BJ17:$BT17,,T17)*(1-R17)+INDEX(Models!$BJ17:$BT17,,T17+1)*R17-ERP_i)*Q17*Ramure*Pc/MaxiM</f>
        <v>1.0483625318922557E-2</v>
      </c>
      <c r="Q17" s="307">
        <f t="shared" si="4"/>
        <v>1</v>
      </c>
      <c r="R17" s="179">
        <f t="shared" si="5"/>
        <v>0.89986106484203132</v>
      </c>
      <c r="S17" s="837">
        <f t="shared" si="6"/>
        <v>-3</v>
      </c>
      <c r="T17" s="178">
        <f t="shared" si="7"/>
        <v>3</v>
      </c>
      <c r="U17" s="253">
        <f t="shared" si="21"/>
        <v>-2.1001389351579687</v>
      </c>
      <c r="V17" s="385">
        <f t="shared" si="8"/>
        <v>18.415977868791924</v>
      </c>
      <c r="W17" s="58"/>
      <c r="X17" s="157">
        <f t="shared" si="9"/>
        <v>43468</v>
      </c>
      <c r="Y17" s="387">
        <f t="shared" si="10"/>
        <v>18.526</v>
      </c>
      <c r="Z17" s="387">
        <f t="shared" si="11"/>
        <v>18.592946144448671</v>
      </c>
      <c r="AA17" s="388">
        <f t="shared" si="12"/>
        <v>19.224242668680116</v>
      </c>
      <c r="AB17" s="199">
        <f t="shared" si="13"/>
        <v>43468</v>
      </c>
      <c r="AC17" s="426">
        <f>IF(OR(t&lt;Tnet,NoTnet),'2018'!Resal_s+('2018'!Salim-'2018'!Resal_s)*(1-EXP(('2018'!Tnet_s-t)/'2018'!Tau_j)),Resal_s+(Salim-Resal_s)*(1-EXP((Tnet_s-t)/Tau_j)))*Salcycl</f>
        <v>3.2838564052249684E-2</v>
      </c>
      <c r="AD17" s="233">
        <f>(INDEX(Models!$BJ17:$BT17,,AH17)*(1-AF17)+INDEX(Models!$BJ17:$BT17,,AH17+1)*AF17-ERP_i)*AE17*Ramure*Pc/MaxiM</f>
        <v>1.0483625318922557E-2</v>
      </c>
      <c r="AE17" s="307">
        <f t="shared" si="14"/>
        <v>1</v>
      </c>
      <c r="AF17" s="179">
        <f t="shared" si="15"/>
        <v>0.89986106484203132</v>
      </c>
      <c r="AG17" s="178">
        <f t="shared" si="16"/>
        <v>-3</v>
      </c>
      <c r="AH17" s="178">
        <f t="shared" si="17"/>
        <v>3</v>
      </c>
      <c r="AI17" s="227">
        <f t="shared" si="22"/>
        <v>-2.1001389351579687</v>
      </c>
      <c r="AJ17" s="267" t="b">
        <f t="shared" si="18"/>
        <v>0</v>
      </c>
      <c r="AK17" s="267" t="b">
        <f t="shared" si="19"/>
        <v>0</v>
      </c>
      <c r="AL17" s="267"/>
      <c r="AM17" s="267"/>
      <c r="AN17" s="75"/>
    </row>
    <row r="18" spans="1:40" s="6" customFormat="1" ht="11.25" customHeight="1" x14ac:dyDescent="0.2">
      <c r="A18" s="56">
        <f t="shared" si="20"/>
        <v>43469</v>
      </c>
      <c r="B18" s="618">
        <v>18.312000000000001</v>
      </c>
      <c r="C18" s="392"/>
      <c r="D18" s="395">
        <f t="shared" si="0"/>
        <v>18.378600524107185</v>
      </c>
      <c r="E18" s="387">
        <f>Wh_pvt/(1-Psa)</f>
        <v>19.006390654685312</v>
      </c>
      <c r="F18" s="387">
        <f t="shared" si="2"/>
        <v>19.204055167696065</v>
      </c>
      <c r="G18" s="110">
        <f>+Wh_hp/MaxiM</f>
        <v>0.98653490961880919</v>
      </c>
      <c r="H18" s="414" t="b">
        <f>Wh_hp&gt;='2018'!Maxi_hp</f>
        <v>1</v>
      </c>
      <c r="I18" s="392">
        <f>IF(H18,Wh_hp,'2018'!Maxi_hp)</f>
        <v>19.204055167696065</v>
      </c>
      <c r="J18" s="85">
        <f>IF(H18,An,'2018'!An_max)</f>
        <v>2019</v>
      </c>
      <c r="K18" s="199">
        <f>t</f>
        <v>43469</v>
      </c>
      <c r="L18" s="147">
        <f>IF(t&lt;Tvie,1-EXP((T0-t)*PertePVj)+'2018'!Pspv,1-EXP((T0-t)*PertePVj)+Pspv)</f>
        <v>3.6238082448020181E-3</v>
      </c>
      <c r="M18" s="870"/>
      <c r="N18" s="870"/>
      <c r="O18" s="48">
        <f>IF(t&lt;Tnet,'2018'!Resal+('2018'!Salim-'2018'!Resal)*(1-EXP(('2018'!Tnet-t)/('2018'!Tau_j))),Resal+(Salim-Resal)*(1-EXP((Tnet-t)/(Tau_j))))*Salcycl</f>
        <v>3.3030476011149827E-2</v>
      </c>
      <c r="P18" s="171">
        <f>(INDEX(Models!$BJ18:$BT18,,T18)*(1-R18)+INDEX(Models!$BJ18:$BT18,,T18+1)*R18-ERP_i)*Q18*Ramure*Pc/MaxiM</f>
        <v>1.0491698096403499E-2</v>
      </c>
      <c r="Q18" s="307">
        <f>IF(OR(t&lt;Ttai,Notai),Dd+PousD*Croivg,Dens+PousD*(Croivg-Croi_tai))</f>
        <v>1</v>
      </c>
      <c r="R18" s="179">
        <f t="shared" si="5"/>
        <v>0.89990545818584433</v>
      </c>
      <c r="S18" s="837">
        <f t="shared" si="6"/>
        <v>-3</v>
      </c>
      <c r="T18" s="178">
        <f t="shared" si="7"/>
        <v>3</v>
      </c>
      <c r="U18" s="253">
        <f t="shared" si="21"/>
        <v>-2.1000945418141557</v>
      </c>
      <c r="V18" s="385">
        <f t="shared" si="8"/>
        <v>18.558208835543038</v>
      </c>
      <c r="W18" s="58"/>
      <c r="X18" s="157">
        <f t="shared" si="9"/>
        <v>43469</v>
      </c>
      <c r="Y18" s="387">
        <f t="shared" si="10"/>
        <v>18.312000000000001</v>
      </c>
      <c r="Z18" s="387">
        <f>Wh_sa_s*(1-Psa_s)</f>
        <v>18.378600524107185</v>
      </c>
      <c r="AA18" s="388">
        <f t="shared" si="12"/>
        <v>19.006390654685312</v>
      </c>
      <c r="AB18" s="199">
        <f>t</f>
        <v>43469</v>
      </c>
      <c r="AC18" s="426">
        <f>IF(OR(t&lt;Tnet,NoTnet),'2018'!Resal_s+('2018'!Salim-'2018'!Resal_s)*(1-EXP(('2018'!Tnet_s-t)/'2018'!Tau_j)),Resal_s+(Salim-Resal_s)*(1-EXP((Tnet_s-t)/Tau_j)))*Salcycl</f>
        <v>3.3030476011149827E-2</v>
      </c>
      <c r="AD18" s="233">
        <f>(INDEX(Models!$BJ18:$BT18,,AH18)*(1-AF18)+INDEX(Models!$BJ18:$BT18,,AH18+1)*AF18-ERP_i)*AE18*Ramure*Pc/MaxiM</f>
        <v>1.0491698096403499E-2</v>
      </c>
      <c r="AE18" s="307">
        <f t="shared" si="14"/>
        <v>1</v>
      </c>
      <c r="AF18" s="179">
        <f t="shared" si="15"/>
        <v>0.89990545818584433</v>
      </c>
      <c r="AG18" s="178">
        <f t="shared" si="16"/>
        <v>-3</v>
      </c>
      <c r="AH18" s="178">
        <f t="shared" si="17"/>
        <v>3</v>
      </c>
      <c r="AI18" s="227">
        <f t="shared" si="22"/>
        <v>-2.1000945418141557</v>
      </c>
      <c r="AJ18" s="267" t="b">
        <f t="shared" si="18"/>
        <v>0</v>
      </c>
      <c r="AK18" s="267" t="b">
        <f t="shared" si="19"/>
        <v>0</v>
      </c>
      <c r="AL18" s="267"/>
      <c r="AM18" s="267"/>
      <c r="AN18" s="75"/>
    </row>
    <row r="19" spans="1:40" s="6" customFormat="1" ht="11.25" customHeight="1" x14ac:dyDescent="0.2">
      <c r="A19" s="56">
        <f t="shared" si="20"/>
        <v>43470</v>
      </c>
      <c r="B19" s="618">
        <v>18.521000000000001</v>
      </c>
      <c r="C19" s="392"/>
      <c r="D19" s="395">
        <f t="shared" si="0"/>
        <v>18.588793242972731</v>
      </c>
      <c r="E19" s="387">
        <f>Wh_pvt/(1-Psa)</f>
        <v>19.227576954424755</v>
      </c>
      <c r="F19" s="387">
        <f t="shared" si="2"/>
        <v>19.428700857508826</v>
      </c>
      <c r="G19" s="110">
        <f>+Wh_hp/MaxiM</f>
        <v>0.98983132229248649</v>
      </c>
      <c r="H19" s="414" t="b">
        <f>Wh_hp&gt;='2018'!Maxi_hp</f>
        <v>1</v>
      </c>
      <c r="I19" s="392">
        <f>IF(H19,Wh_hp,'2018'!Maxi_hp)</f>
        <v>19.428700857508826</v>
      </c>
      <c r="J19" s="85">
        <f>IF(H19,An,'2018'!An_max)</f>
        <v>2019</v>
      </c>
      <c r="K19" s="199">
        <f t="shared" si="3"/>
        <v>43470</v>
      </c>
      <c r="L19" s="147">
        <f>IF(t&lt;Tvie,1-EXP((T0-t)*PertePVj)+'2018'!Pspv,1-EXP((T0-t)*PertePVj)+Pspv)</f>
        <v>3.6469953743961669E-3</v>
      </c>
      <c r="M19" s="870"/>
      <c r="N19" s="870"/>
      <c r="O19" s="48">
        <f>IF(t&lt;Tnet,'2018'!Resal+('2018'!Salim-'2018'!Resal)*(1-EXP(('2018'!Tnet-t)/('2018'!Tau_j))),Resal+(Salim-Resal)*(1-EXP((Tnet-t)/(Tau_j))))*Salcycl</f>
        <v>3.3222267837811091E-2</v>
      </c>
      <c r="P19" s="171">
        <f>(INDEX(Models!$BJ19:$BT19,,T19)*(1-R19)+INDEX(Models!$BJ19:$BT19,,T19+1)*R19-ERP_i)*Q19*Ramure*Pc/MaxiM</f>
        <v>1.0502202977157465E-2</v>
      </c>
      <c r="Q19" s="307">
        <f t="shared" si="4"/>
        <v>1</v>
      </c>
      <c r="R19" s="179">
        <f t="shared" si="5"/>
        <v>0.89995170793143053</v>
      </c>
      <c r="S19" s="837">
        <f t="shared" si="6"/>
        <v>-3</v>
      </c>
      <c r="T19" s="178">
        <f t="shared" si="7"/>
        <v>3</v>
      </c>
      <c r="U19" s="253">
        <f t="shared" si="21"/>
        <v>-2.1000482920685695</v>
      </c>
      <c r="V19" s="385">
        <f t="shared" si="8"/>
        <v>18.70842702179305</v>
      </c>
      <c r="W19" s="58"/>
      <c r="X19" s="157">
        <f t="shared" si="9"/>
        <v>43470</v>
      </c>
      <c r="Y19" s="387">
        <f t="shared" si="10"/>
        <v>18.521000000000001</v>
      </c>
      <c r="Z19" s="387">
        <f t="shared" si="11"/>
        <v>18.588793242972731</v>
      </c>
      <c r="AA19" s="388">
        <f t="shared" si="12"/>
        <v>19.227576954424755</v>
      </c>
      <c r="AB19" s="199">
        <f t="shared" si="13"/>
        <v>43470</v>
      </c>
      <c r="AC19" s="426">
        <f>IF(OR(t&lt;Tnet,NoTnet),'2018'!Resal_s+('2018'!Salim-'2018'!Resal_s)*(1-EXP(('2018'!Tnet_s-t)/'2018'!Tau_j)),Resal_s+(Salim-Resal_s)*(1-EXP((Tnet_s-t)/Tau_j)))*Salcycl</f>
        <v>3.3222267837811091E-2</v>
      </c>
      <c r="AD19" s="233">
        <f>(INDEX(Models!$BJ19:$BT19,,AH19)*(1-AF19)+INDEX(Models!$BJ19:$BT19,,AH19+1)*AF19-ERP_i)*AE19*Ramure*Pc/MaxiM</f>
        <v>1.0502202977157465E-2</v>
      </c>
      <c r="AE19" s="307">
        <f t="shared" si="14"/>
        <v>1</v>
      </c>
      <c r="AF19" s="179">
        <f t="shared" si="15"/>
        <v>0.89995170793143053</v>
      </c>
      <c r="AG19" s="178">
        <f t="shared" si="16"/>
        <v>-3</v>
      </c>
      <c r="AH19" s="178">
        <f t="shared" si="17"/>
        <v>3</v>
      </c>
      <c r="AI19" s="227">
        <f t="shared" si="22"/>
        <v>-2.1000482920685695</v>
      </c>
      <c r="AJ19" s="267" t="b">
        <f t="shared" si="18"/>
        <v>0</v>
      </c>
      <c r="AK19" s="267" t="b">
        <f t="shared" si="19"/>
        <v>0</v>
      </c>
      <c r="AL19" s="267"/>
      <c r="AM19" s="267"/>
      <c r="AN19" s="75"/>
    </row>
    <row r="20" spans="1:40" s="6" customFormat="1" ht="11.25" customHeight="1" x14ac:dyDescent="0.2">
      <c r="A20" s="56">
        <f t="shared" si="20"/>
        <v>43471</v>
      </c>
      <c r="B20" s="618">
        <v>4.7510000000000003</v>
      </c>
      <c r="C20" s="392"/>
      <c r="D20" s="395">
        <f t="shared" si="0"/>
        <v>4.7685012673486025</v>
      </c>
      <c r="E20" s="387">
        <f t="shared" si="1"/>
        <v>4.933343668597721</v>
      </c>
      <c r="F20" s="387">
        <f t="shared" si="2"/>
        <v>4.933343668597721</v>
      </c>
      <c r="G20" s="110">
        <f t="shared" si="23"/>
        <v>0.24917573927466061</v>
      </c>
      <c r="H20" s="414" t="b">
        <f>Wh_hp&gt;='2018'!Maxi_hp</f>
        <v>1</v>
      </c>
      <c r="I20" s="392">
        <f>IF(H20,Wh_hp,'2018'!Maxi_hp)</f>
        <v>4.933343668597721</v>
      </c>
      <c r="J20" s="85">
        <f>IF(H20,An,'2018'!An_max)</f>
        <v>2019</v>
      </c>
      <c r="K20" s="199">
        <f t="shared" si="3"/>
        <v>43471</v>
      </c>
      <c r="L20" s="147">
        <f>IF(t&lt;Tvie,1-EXP((T0-t)*PertePVj)+'2018'!Pspv,1-EXP((T0-t)*PertePVj)+Pspv)</f>
        <v>3.6701819643918387E-3</v>
      </c>
      <c r="M20" s="870"/>
      <c r="N20" s="870"/>
      <c r="O20" s="48">
        <f>IF(t&lt;Tnet,'2018'!Resal+('2018'!Salim-'2018'!Resal)*(1-EXP(('2018'!Tnet-t)/('2018'!Tau_j))),Resal+(Salim-Resal)*(1-EXP((Tnet-t)/(Tau_j))))*Salcycl</f>
        <v>3.3413930251482753E-2</v>
      </c>
      <c r="P20" s="171">
        <f>(INDEX(Models!$BJ20:$BT20,,T20)*(1-R20)+INDEX(Models!$BJ20:$BT20,,T20+1)*R20-ERP_i)*Q20*Ramure*Pc/MaxiM</f>
        <v>1.0515194116666154E-2</v>
      </c>
      <c r="Q20" s="307">
        <f t="shared" si="4"/>
        <v>1</v>
      </c>
      <c r="R20" s="179">
        <f t="shared" si="5"/>
        <v>0.89999989144688186</v>
      </c>
      <c r="S20" s="837">
        <f t="shared" si="6"/>
        <v>-3</v>
      </c>
      <c r="T20" s="178">
        <f t="shared" si="7"/>
        <v>3</v>
      </c>
      <c r="U20" s="253">
        <f t="shared" si="21"/>
        <v>-2.1000001085531181</v>
      </c>
      <c r="V20" s="385">
        <f t="shared" si="8"/>
        <v>18.86637249050105</v>
      </c>
      <c r="W20" s="58"/>
      <c r="X20" s="157">
        <f t="shared" si="9"/>
        <v>43471</v>
      </c>
      <c r="Y20" s="387">
        <f t="shared" si="10"/>
        <v>4.7510000000000003</v>
      </c>
      <c r="Z20" s="387">
        <f t="shared" si="11"/>
        <v>4.7685012673486025</v>
      </c>
      <c r="AA20" s="388">
        <f t="shared" si="12"/>
        <v>4.933343668597721</v>
      </c>
      <c r="AB20" s="199">
        <f t="shared" si="13"/>
        <v>43471</v>
      </c>
      <c r="AC20" s="426">
        <f>IF(OR(t&lt;Tnet,NoTnet),'2018'!Resal_s+('2018'!Salim-'2018'!Resal_s)*(1-EXP(('2018'!Tnet_s-t)/'2018'!Tau_j)),Resal_s+(Salim-Resal_s)*(1-EXP((Tnet_s-t)/Tau_j)))*Salcycl</f>
        <v>3.3413930251482753E-2</v>
      </c>
      <c r="AD20" s="233">
        <f>(INDEX(Models!$BJ20:$BT20,,AH20)*(1-AF20)+INDEX(Models!$BJ20:$BT20,,AH20+1)*AF20-ERP_i)*AE20*Ramure*Pc/MaxiM</f>
        <v>1.0515194116666154E-2</v>
      </c>
      <c r="AE20" s="307">
        <f>IF(OR(t&lt;Ttai,Notai),Dd_s+PousD*Croivg,Dens_s+PousD*(Croivg-Croi_tai))</f>
        <v>1</v>
      </c>
      <c r="AF20" s="179">
        <f t="shared" si="15"/>
        <v>0.89999989144688186</v>
      </c>
      <c r="AG20" s="178">
        <f t="shared" si="16"/>
        <v>-3</v>
      </c>
      <c r="AH20" s="178">
        <f t="shared" si="17"/>
        <v>3</v>
      </c>
      <c r="AI20" s="227">
        <f>IF(OR(t&lt;Ttai,Notai),Hdd_s+PousH*Croivg,Hdtai_s+PousH*(Croivg-Croi_tai))</f>
        <v>-2.1000001085531181</v>
      </c>
      <c r="AJ20" s="267" t="b">
        <f t="shared" si="18"/>
        <v>0</v>
      </c>
      <c r="AK20" s="267" t="b">
        <f t="shared" si="19"/>
        <v>0</v>
      </c>
      <c r="AL20" s="267"/>
      <c r="AM20" s="267"/>
      <c r="AN20" s="75"/>
    </row>
    <row r="21" spans="1:40" s="6" customFormat="1" ht="11.25" customHeight="1" x14ac:dyDescent="0.2">
      <c r="A21" s="56">
        <f t="shared" si="20"/>
        <v>43472</v>
      </c>
      <c r="B21" s="618">
        <v>2.8580000000000001</v>
      </c>
      <c r="C21" s="392"/>
      <c r="D21" s="395">
        <f t="shared" si="0"/>
        <v>2.8685947761938215</v>
      </c>
      <c r="E21" s="387">
        <f t="shared" si="1"/>
        <v>2.9683474443766626</v>
      </c>
      <c r="F21" s="387">
        <f t="shared" si="2"/>
        <v>2.9683474443766626</v>
      </c>
      <c r="G21" s="110">
        <f t="shared" si="23"/>
        <v>0.14858843406899253</v>
      </c>
      <c r="H21" s="414" t="b">
        <f>Wh_hp&gt;='2018'!Maxi_hp</f>
        <v>1</v>
      </c>
      <c r="I21" s="392">
        <f>IF(H21,Wh_hp,'2018'!Maxi_hp)</f>
        <v>2.9683474443766626</v>
      </c>
      <c r="J21" s="85">
        <f>IF(H21,An,'2018'!An_max)</f>
        <v>2019</v>
      </c>
      <c r="K21" s="199">
        <f t="shared" si="3"/>
        <v>43472</v>
      </c>
      <c r="L21" s="147">
        <f>IF(t&lt;Tvie,1-EXP((T0-t)*PertePVj)+'2018'!Pspv,1-EXP((T0-t)*PertePVj)+Pspv)</f>
        <v>3.6933680148016901E-3</v>
      </c>
      <c r="M21" s="870"/>
      <c r="N21" s="870"/>
      <c r="O21" s="48">
        <f>IF(t&lt;Tnet,'2018'!Resal+('2018'!Salim-'2018'!Resal)*(1-EXP(('2018'!Tnet-t)/('2018'!Tau_j))),Resal+(Salim-Resal)*(1-EXP((Tnet-t)/(Tau_j))))*Salcycl</f>
        <v>3.3605455578259898E-2</v>
      </c>
      <c r="P21" s="171">
        <f>(INDEX(Models!$BJ21:$BT21,,T21)*(1-R21)+INDEX(Models!$BJ21:$BT21,,T21+1)*R21-ERP_i)*Q21*Ramure*Pc/MaxiM</f>
        <v>1.0530717527702486E-2</v>
      </c>
      <c r="Q21" s="307">
        <f t="shared" si="4"/>
        <v>1</v>
      </c>
      <c r="R21" s="179">
        <f t="shared" si="5"/>
        <v>0.90005008930237018</v>
      </c>
      <c r="S21" s="837">
        <f t="shared" si="6"/>
        <v>-3</v>
      </c>
      <c r="T21" s="178">
        <f t="shared" si="7"/>
        <v>3</v>
      </c>
      <c r="U21" s="253">
        <f t="shared" si="21"/>
        <v>-2.0999499106976298</v>
      </c>
      <c r="V21" s="385">
        <f t="shared" si="8"/>
        <v>19.031785529099629</v>
      </c>
      <c r="W21" s="58"/>
      <c r="X21" s="157">
        <f t="shared" si="9"/>
        <v>43472</v>
      </c>
      <c r="Y21" s="387">
        <f t="shared" si="10"/>
        <v>2.8580000000000001</v>
      </c>
      <c r="Z21" s="387">
        <f t="shared" si="11"/>
        <v>2.8685947761938215</v>
      </c>
      <c r="AA21" s="388">
        <f t="shared" si="12"/>
        <v>2.9683474443766626</v>
      </c>
      <c r="AB21" s="199">
        <f t="shared" si="13"/>
        <v>43472</v>
      </c>
      <c r="AC21" s="426">
        <f>IF(OR(t&lt;Tnet,NoTnet),'2018'!Resal_s+('2018'!Salim-'2018'!Resal_s)*(1-EXP(('2018'!Tnet_s-t)/'2018'!Tau_j)),Resal_s+(Salim-Resal_s)*(1-EXP((Tnet_s-t)/Tau_j)))*Salcycl</f>
        <v>3.3605455578259898E-2</v>
      </c>
      <c r="AD21" s="233">
        <f>(INDEX(Models!$BJ21:$BT21,,AH21)*(1-AF21)+INDEX(Models!$BJ21:$BT21,,AH21+1)*AF21-ERP_i)*AE21*Ramure*Pc/MaxiM</f>
        <v>1.0530717527702486E-2</v>
      </c>
      <c r="AE21" s="307">
        <f t="shared" si="14"/>
        <v>1</v>
      </c>
      <c r="AF21" s="179">
        <f t="shared" si="15"/>
        <v>0.90005008930237018</v>
      </c>
      <c r="AG21" s="178">
        <f t="shared" si="16"/>
        <v>-3</v>
      </c>
      <c r="AH21" s="178">
        <f t="shared" si="17"/>
        <v>3</v>
      </c>
      <c r="AI21" s="227">
        <f t="shared" si="22"/>
        <v>-2.0999499106976298</v>
      </c>
      <c r="AJ21" s="267" t="b">
        <f t="shared" si="18"/>
        <v>0</v>
      </c>
      <c r="AK21" s="267" t="b">
        <f t="shared" si="19"/>
        <v>0</v>
      </c>
      <c r="AL21" s="267"/>
      <c r="AM21" s="267"/>
      <c r="AN21" s="75"/>
    </row>
    <row r="22" spans="1:40" s="6" customFormat="1" ht="11.25" customHeight="1" x14ac:dyDescent="0.2">
      <c r="A22" s="56">
        <f t="shared" si="20"/>
        <v>43473</v>
      </c>
      <c r="B22" s="618">
        <v>6.2460000000000004</v>
      </c>
      <c r="C22" s="392"/>
      <c r="D22" s="395">
        <f t="shared" si="0"/>
        <v>6.2693001897234018</v>
      </c>
      <c r="E22" s="387">
        <f t="shared" si="1"/>
        <v>6.4885941532977096</v>
      </c>
      <c r="F22" s="387">
        <f t="shared" si="2"/>
        <v>6.4910628840103346</v>
      </c>
      <c r="G22" s="110">
        <f t="shared" si="23"/>
        <v>0.32192941941596637</v>
      </c>
      <c r="H22" s="414" t="b">
        <f>Wh_hp&gt;='2018'!Maxi_hp</f>
        <v>1</v>
      </c>
      <c r="I22" s="392">
        <f>IF(H22,Wh_hp,'2018'!Maxi_hp)</f>
        <v>6.4910628840103346</v>
      </c>
      <c r="J22" s="85">
        <f>IF(H22,An,'2018'!An_max)</f>
        <v>2019</v>
      </c>
      <c r="K22" s="199">
        <f t="shared" si="3"/>
        <v>43473</v>
      </c>
      <c r="L22" s="147">
        <f>IF(t&lt;Tvie,1-EXP((T0-t)*PertePVj)+'2018'!Pspv,1-EXP((T0-t)*PertePVj)+Pspv)</f>
        <v>3.7165535256382665E-3</v>
      </c>
      <c r="M22" s="870"/>
      <c r="N22" s="870"/>
      <c r="O22" s="48">
        <f>IF(t&lt;Tnet,'2018'!Resal+('2018'!Salim-'2018'!Resal)*(1-EXP(('2018'!Tnet-t)/('2018'!Tau_j))),Resal+(Salim-Resal)*(1-EXP((Tnet-t)/(Tau_j))))*Salcycl</f>
        <v>3.3796837711425595E-2</v>
      </c>
      <c r="P22" s="171">
        <f>(INDEX(Models!$BJ22:$BT22,,T22)*(1-R22)+INDEX(Models!$BJ22:$BT22,,T22+1)*R22-ERP_i)*Q22*Ramure*Pc/MaxiM</f>
        <v>1.0548811403351382E-2</v>
      </c>
      <c r="Q22" s="307">
        <f t="shared" si="4"/>
        <v>1</v>
      </c>
      <c r="R22" s="179">
        <f t="shared" si="5"/>
        <v>0.90010238540076637</v>
      </c>
      <c r="S22" s="837">
        <f t="shared" si="6"/>
        <v>-3</v>
      </c>
      <c r="T22" s="178">
        <f t="shared" si="7"/>
        <v>3</v>
      </c>
      <c r="U22" s="253">
        <f t="shared" si="21"/>
        <v>-2.0998976145992336</v>
      </c>
      <c r="V22" s="385">
        <f t="shared" si="8"/>
        <v>19.204406658510589</v>
      </c>
      <c r="W22" s="58"/>
      <c r="X22" s="157">
        <f t="shared" si="9"/>
        <v>43473</v>
      </c>
      <c r="Y22" s="387">
        <f t="shared" si="10"/>
        <v>6.2460000000000004</v>
      </c>
      <c r="Z22" s="387">
        <f t="shared" si="11"/>
        <v>6.2693001897234018</v>
      </c>
      <c r="AA22" s="388">
        <f t="shared" si="12"/>
        <v>6.4885941532977096</v>
      </c>
      <c r="AB22" s="199">
        <f t="shared" si="13"/>
        <v>43473</v>
      </c>
      <c r="AC22" s="426">
        <f>IF(OR(t&lt;Tnet,NoTnet),'2018'!Resal_s+('2018'!Salim-'2018'!Resal_s)*(1-EXP(('2018'!Tnet_s-t)/'2018'!Tau_j)),Resal_s+(Salim-Resal_s)*(1-EXP((Tnet_s-t)/Tau_j)))*Salcycl</f>
        <v>3.3796837711425595E-2</v>
      </c>
      <c r="AD22" s="233">
        <f>(INDEX(Models!$BJ22:$BT22,,AH22)*(1-AF22)+INDEX(Models!$BJ22:$BT22,,AH22+1)*AF22-ERP_i)*AE22*Ramure*Pc/MaxiM</f>
        <v>1.0548811403351382E-2</v>
      </c>
      <c r="AE22" s="307">
        <f t="shared" si="14"/>
        <v>1</v>
      </c>
      <c r="AF22" s="179">
        <f t="shared" si="15"/>
        <v>0.90010238540076637</v>
      </c>
      <c r="AG22" s="178">
        <f t="shared" si="16"/>
        <v>-3</v>
      </c>
      <c r="AH22" s="178">
        <f t="shared" si="17"/>
        <v>3</v>
      </c>
      <c r="AI22" s="227">
        <f t="shared" si="22"/>
        <v>-2.0998976145992336</v>
      </c>
      <c r="AJ22" s="267" t="b">
        <f t="shared" si="18"/>
        <v>0</v>
      </c>
      <c r="AK22" s="267" t="b">
        <f t="shared" si="19"/>
        <v>0</v>
      </c>
      <c r="AL22" s="267"/>
      <c r="AM22" s="267"/>
      <c r="AN22" s="75"/>
    </row>
    <row r="23" spans="1:40" s="6" customFormat="1" ht="11.25" customHeight="1" x14ac:dyDescent="0.2">
      <c r="A23" s="56">
        <f t="shared" si="20"/>
        <v>43474</v>
      </c>
      <c r="B23" s="618">
        <v>8.0649999999999995</v>
      </c>
      <c r="C23" s="392"/>
      <c r="D23" s="395">
        <f t="shared" si="0"/>
        <v>8.0952742086009817</v>
      </c>
      <c r="E23" s="387">
        <f t="shared" si="1"/>
        <v>8.3800975685998296</v>
      </c>
      <c r="F23" s="387">
        <f t="shared" si="2"/>
        <v>8.3948017284920695</v>
      </c>
      <c r="G23" s="110">
        <f t="shared" si="23"/>
        <v>0.41234293987725845</v>
      </c>
      <c r="H23" s="414" t="b">
        <f>Wh_hp&gt;='2018'!Maxi_hp</f>
        <v>1</v>
      </c>
      <c r="I23" s="392">
        <f>IF(H23,Wh_hp,'2018'!Maxi_hp)</f>
        <v>8.3948017284920695</v>
      </c>
      <c r="J23" s="85">
        <f>IF(H23,An,'2018'!An_max)</f>
        <v>2019</v>
      </c>
      <c r="K23" s="199">
        <f t="shared" si="3"/>
        <v>43474</v>
      </c>
      <c r="L23" s="147">
        <f>IF(t&lt;Tvie,1-EXP((T0-t)*PertePVj)+'2018'!Pspv,1-EXP((T0-t)*PertePVj)+Pspv)</f>
        <v>3.7397384969142244E-3</v>
      </c>
      <c r="M23" s="870"/>
      <c r="N23" s="870"/>
      <c r="O23" s="48">
        <f>IF(t&lt;Tnet,'2018'!Resal+('2018'!Salim-'2018'!Resal)*(1-EXP(('2018'!Tnet-t)/('2018'!Tau_j))),Resal+(Salim-Resal)*(1-EXP((Tnet-t)/(Tau_j))))*Salcycl</f>
        <v>3.398807205611537E-2</v>
      </c>
      <c r="P23" s="171">
        <f>(INDEX(Models!$BJ23:$BT23,,T23)*(1-R23)+INDEX(Models!$BJ23:$BT23,,T23+1)*R23-ERP_i)*Q23*Ramure*Pc/MaxiM</f>
        <v>1.0568299669441516E-2</v>
      </c>
      <c r="Q23" s="307">
        <f t="shared" si="4"/>
        <v>1</v>
      </c>
      <c r="R23" s="179">
        <f t="shared" si="5"/>
        <v>0.90015686711341525</v>
      </c>
      <c r="S23" s="837">
        <f t="shared" si="6"/>
        <v>-3</v>
      </c>
      <c r="T23" s="178">
        <f t="shared" si="7"/>
        <v>3</v>
      </c>
      <c r="U23" s="253">
        <f t="shared" si="21"/>
        <v>-2.0998431328865848</v>
      </c>
      <c r="V23" s="385">
        <f t="shared" si="8"/>
        <v>19.386213775790935</v>
      </c>
      <c r="W23" s="58"/>
      <c r="X23" s="157">
        <f t="shared" si="9"/>
        <v>43474</v>
      </c>
      <c r="Y23" s="387">
        <f t="shared" si="10"/>
        <v>8.0649999999999995</v>
      </c>
      <c r="Z23" s="387">
        <f t="shared" si="11"/>
        <v>8.0952742086009817</v>
      </c>
      <c r="AA23" s="388">
        <f t="shared" si="12"/>
        <v>8.3800975685998296</v>
      </c>
      <c r="AB23" s="199">
        <f t="shared" si="13"/>
        <v>43474</v>
      </c>
      <c r="AC23" s="426">
        <f>IF(OR(t&lt;Tnet,NoTnet),'2018'!Resal_s+('2018'!Salim-'2018'!Resal_s)*(1-EXP(('2018'!Tnet_s-t)/'2018'!Tau_j)),Resal_s+(Salim-Resal_s)*(1-EXP((Tnet_s-t)/Tau_j)))*Salcycl</f>
        <v>3.398807205611537E-2</v>
      </c>
      <c r="AD23" s="233">
        <f>(INDEX(Models!$BJ23:$BT23,,AH23)*(1-AF23)+INDEX(Models!$BJ23:$BT23,,AH23+1)*AF23-ERP_i)*AE23*Ramure*Pc/MaxiM</f>
        <v>1.0568299669441516E-2</v>
      </c>
      <c r="AE23" s="307">
        <f t="shared" si="14"/>
        <v>1</v>
      </c>
      <c r="AF23" s="179">
        <f t="shared" si="15"/>
        <v>0.90015686711341525</v>
      </c>
      <c r="AG23" s="178">
        <f t="shared" si="16"/>
        <v>-3</v>
      </c>
      <c r="AH23" s="178">
        <f t="shared" si="17"/>
        <v>3</v>
      </c>
      <c r="AI23" s="227">
        <f t="shared" si="22"/>
        <v>-2.0998431328865848</v>
      </c>
      <c r="AJ23" s="267" t="b">
        <f t="shared" si="18"/>
        <v>0</v>
      </c>
      <c r="AK23" s="267" t="b">
        <f t="shared" si="19"/>
        <v>0</v>
      </c>
      <c r="AL23" s="267"/>
      <c r="AM23" s="267"/>
      <c r="AN23" s="75"/>
    </row>
    <row r="24" spans="1:40" s="6" customFormat="1" ht="11.25" customHeight="1" x14ac:dyDescent="0.2">
      <c r="A24" s="56">
        <f t="shared" si="20"/>
        <v>43475</v>
      </c>
      <c r="B24" s="618">
        <v>10.295</v>
      </c>
      <c r="C24" s="392"/>
      <c r="D24" s="395">
        <f t="shared" si="0"/>
        <v>10.333885615123108</v>
      </c>
      <c r="E24" s="387">
        <f t="shared" si="1"/>
        <v>10.699588514304196</v>
      </c>
      <c r="F24" s="387">
        <f t="shared" si="2"/>
        <v>10.736237354588313</v>
      </c>
      <c r="G24" s="110">
        <f t="shared" si="23"/>
        <v>0.52203636327592018</v>
      </c>
      <c r="H24" s="414" t="b">
        <f>Wh_hp&gt;='2018'!Maxi_hp</f>
        <v>1</v>
      </c>
      <c r="I24" s="392">
        <f>IF(H24,Wh_hp,'2018'!Maxi_hp)</f>
        <v>10.736237354588313</v>
      </c>
      <c r="J24" s="85">
        <f>IF(H24,An,'2018'!An_max)</f>
        <v>2019</v>
      </c>
      <c r="K24" s="199">
        <f t="shared" si="3"/>
        <v>43475</v>
      </c>
      <c r="L24" s="147">
        <f>IF(t&lt;Tvie,1-EXP((T0-t)*PertePVj)+'2018'!Pspv,1-EXP((T0-t)*PertePVj)+Pspv)</f>
        <v>3.7629229286418875E-3</v>
      </c>
      <c r="M24" s="870"/>
      <c r="N24" s="870"/>
      <c r="O24" s="48">
        <f>IF(t&lt;Tnet,'2018'!Resal+('2018'!Salim-'2018'!Resal)*(1-EXP(('2018'!Tnet-t)/('2018'!Tau_j))),Resal+(Salim-Resal)*(1-EXP((Tnet-t)/(Tau_j))))*Salcycl</f>
        <v>3.4179155459313493E-2</v>
      </c>
      <c r="P24" s="171">
        <f>(INDEX(Models!$BJ24:$BT24,,T24)*(1-R24)+INDEX(Models!$BJ24:$BT24,,T24+1)*R24-ERP_i)*Q24*Ramure*Pc/MaxiM</f>
        <v>1.0581495079945666E-2</v>
      </c>
      <c r="Q24" s="307">
        <f t="shared" si="4"/>
        <v>1</v>
      </c>
      <c r="R24" s="179">
        <f t="shared" si="5"/>
        <v>0.90021362542127292</v>
      </c>
      <c r="S24" s="837">
        <f t="shared" si="6"/>
        <v>-3</v>
      </c>
      <c r="T24" s="178">
        <f t="shared" si="7"/>
        <v>3</v>
      </c>
      <c r="U24" s="253">
        <f t="shared" si="21"/>
        <v>-2.0997863745787271</v>
      </c>
      <c r="V24" s="385">
        <f t="shared" si="8"/>
        <v>19.579006583340387</v>
      </c>
      <c r="W24" s="58"/>
      <c r="X24" s="157">
        <f t="shared" si="9"/>
        <v>43475</v>
      </c>
      <c r="Y24" s="387">
        <f t="shared" si="10"/>
        <v>10.295</v>
      </c>
      <c r="Z24" s="387">
        <f t="shared" si="11"/>
        <v>10.333885615123108</v>
      </c>
      <c r="AA24" s="388">
        <f t="shared" si="12"/>
        <v>10.699588514304196</v>
      </c>
      <c r="AB24" s="199">
        <f t="shared" si="13"/>
        <v>43475</v>
      </c>
      <c r="AC24" s="426">
        <f>IF(OR(t&lt;Tnet,NoTnet),'2018'!Resal_s+('2018'!Salim-'2018'!Resal_s)*(1-EXP(('2018'!Tnet_s-t)/'2018'!Tau_j)),Resal_s+(Salim-Resal_s)*(1-EXP((Tnet_s-t)/Tau_j)))*Salcycl</f>
        <v>3.4179155459313493E-2</v>
      </c>
      <c r="AD24" s="233">
        <f>(INDEX(Models!$BJ24:$BT24,,AH24)*(1-AF24)+INDEX(Models!$BJ24:$BT24,,AH24+1)*AF24-ERP_i)*AE24*Ramure*Pc/MaxiM</f>
        <v>1.0581495079945666E-2</v>
      </c>
      <c r="AE24" s="307">
        <f t="shared" si="14"/>
        <v>1</v>
      </c>
      <c r="AF24" s="179">
        <f t="shared" si="15"/>
        <v>0.90021362542127292</v>
      </c>
      <c r="AG24" s="178">
        <f t="shared" si="16"/>
        <v>-3</v>
      </c>
      <c r="AH24" s="178">
        <f t="shared" si="17"/>
        <v>3</v>
      </c>
      <c r="AI24" s="227">
        <f t="shared" si="22"/>
        <v>-2.0997863745787271</v>
      </c>
      <c r="AJ24" s="267" t="b">
        <f t="shared" si="18"/>
        <v>0</v>
      </c>
      <c r="AK24" s="267" t="b">
        <f t="shared" si="19"/>
        <v>0</v>
      </c>
      <c r="AL24" s="267"/>
      <c r="AM24" s="267"/>
      <c r="AN24" s="75"/>
    </row>
    <row r="25" spans="1:40" s="6" customFormat="1" ht="11.25" customHeight="1" x14ac:dyDescent="0.2">
      <c r="A25" s="56">
        <f t="shared" si="20"/>
        <v>43476</v>
      </c>
      <c r="B25" s="618">
        <v>19.125</v>
      </c>
      <c r="C25" s="392"/>
      <c r="D25" s="395">
        <f t="shared" si="0"/>
        <v>19.197684484169738</v>
      </c>
      <c r="E25" s="387">
        <f t="shared" si="1"/>
        <v>19.880996029997963</v>
      </c>
      <c r="F25" s="387">
        <f t="shared" si="2"/>
        <v>20.083505111476757</v>
      </c>
      <c r="G25" s="110">
        <f t="shared" si="23"/>
        <v>0.96629130987479028</v>
      </c>
      <c r="H25" s="414" t="b">
        <f>Wh_hp&gt;='2018'!Maxi_hp</f>
        <v>1</v>
      </c>
      <c r="I25" s="392">
        <f>IF(H25,Wh_hp,'2018'!Maxi_hp)</f>
        <v>20.083505111476757</v>
      </c>
      <c r="J25" s="85">
        <f>IF(H25,An,'2018'!An_max)</f>
        <v>2019</v>
      </c>
      <c r="K25" s="199">
        <f t="shared" si="3"/>
        <v>43476</v>
      </c>
      <c r="L25" s="147">
        <f>IF(t&lt;Tvie,1-EXP((T0-t)*PertePVj)+'2018'!Pspv,1-EXP((T0-t)*PertePVj)+Pspv)</f>
        <v>3.7861068208341342E-3</v>
      </c>
      <c r="M25" s="870"/>
      <c r="N25" s="870"/>
      <c r="O25" s="48">
        <f>IF(t&lt;Tnet,'2018'!Resal+('2018'!Salim-'2018'!Resal)*(1-EXP(('2018'!Tnet-t)/('2018'!Tau_j))),Resal+(Salim-Resal)*(1-EXP((Tnet-t)/(Tau_j))))*Salcycl</f>
        <v>3.4370086126328539E-2</v>
      </c>
      <c r="P25" s="171">
        <f>(INDEX(Models!$BJ25:$BT25,,T25)*(1-R25)+INDEX(Models!$BJ25:$BT25,,T25+1)*R25-ERP_i)*Q25*Ramure*Pc/MaxiM</f>
        <v>1.0585691309351339E-2</v>
      </c>
      <c r="Q25" s="307">
        <f t="shared" si="4"/>
        <v>1</v>
      </c>
      <c r="R25" s="179">
        <f t="shared" si="5"/>
        <v>0.90027275506158499</v>
      </c>
      <c r="S25" s="837">
        <f t="shared" si="6"/>
        <v>-3</v>
      </c>
      <c r="T25" s="178">
        <f t="shared" si="7"/>
        <v>3</v>
      </c>
      <c r="U25" s="253">
        <f t="shared" si="21"/>
        <v>-2.099727244938415</v>
      </c>
      <c r="V25" s="385">
        <f t="shared" si="8"/>
        <v>19.782124432168068</v>
      </c>
      <c r="W25" s="58"/>
      <c r="X25" s="157">
        <f t="shared" si="9"/>
        <v>43476</v>
      </c>
      <c r="Y25" s="387">
        <f t="shared" si="10"/>
        <v>19.125</v>
      </c>
      <c r="Z25" s="387">
        <f t="shared" si="11"/>
        <v>19.197684484169738</v>
      </c>
      <c r="AA25" s="388">
        <f t="shared" si="12"/>
        <v>19.880996029997963</v>
      </c>
      <c r="AB25" s="199">
        <f t="shared" si="13"/>
        <v>43476</v>
      </c>
      <c r="AC25" s="426">
        <f>IF(OR(t&lt;Tnet,NoTnet),'2018'!Resal_s+('2018'!Salim-'2018'!Resal_s)*(1-EXP(('2018'!Tnet_s-t)/'2018'!Tau_j)),Resal_s+(Salim-Resal_s)*(1-EXP((Tnet_s-t)/Tau_j)))*Salcycl</f>
        <v>3.4370086126328539E-2</v>
      </c>
      <c r="AD25" s="233">
        <f>(INDEX(Models!$BJ25:$BT25,,AH25)*(1-AF25)+INDEX(Models!$BJ25:$BT25,,AH25+1)*AF25-ERP_i)*AE25*Ramure*Pc/MaxiM</f>
        <v>1.0585691309351339E-2</v>
      </c>
      <c r="AE25" s="307">
        <f t="shared" si="14"/>
        <v>1</v>
      </c>
      <c r="AF25" s="179">
        <f t="shared" si="15"/>
        <v>0.90027275506158499</v>
      </c>
      <c r="AG25" s="178">
        <f t="shared" si="16"/>
        <v>-3</v>
      </c>
      <c r="AH25" s="178">
        <f t="shared" si="17"/>
        <v>3</v>
      </c>
      <c r="AI25" s="227">
        <f t="shared" si="22"/>
        <v>-2.099727244938415</v>
      </c>
      <c r="AJ25" s="267" t="b">
        <f t="shared" si="18"/>
        <v>0</v>
      </c>
      <c r="AK25" s="267" t="b">
        <f t="shared" si="19"/>
        <v>0</v>
      </c>
      <c r="AL25" s="267"/>
      <c r="AM25" s="267"/>
      <c r="AN25" s="75"/>
    </row>
    <row r="26" spans="1:40" s="6" customFormat="1" ht="11.25" customHeight="1" x14ac:dyDescent="0.2">
      <c r="A26" s="56">
        <f t="shared" si="20"/>
        <v>43477</v>
      </c>
      <c r="B26" s="618">
        <v>8.0960000000000001</v>
      </c>
      <c r="C26" s="392"/>
      <c r="D26" s="395">
        <f t="shared" si="0"/>
        <v>8.1269579410252213</v>
      </c>
      <c r="E26" s="387">
        <f t="shared" si="1"/>
        <v>8.4178873985763705</v>
      </c>
      <c r="F26" s="387">
        <f t="shared" si="2"/>
        <v>8.4312575232337501</v>
      </c>
      <c r="G26" s="110">
        <f t="shared" si="23"/>
        <v>0.40125621330336497</v>
      </c>
      <c r="H26" s="414" t="b">
        <f>Wh_hp&gt;='2018'!Maxi_hp</f>
        <v>1</v>
      </c>
      <c r="I26" s="392">
        <f>IF(H26,Wh_hp,'2018'!Maxi_hp)</f>
        <v>8.4312575232337501</v>
      </c>
      <c r="J26" s="85">
        <f>IF(H26,An,'2018'!An_max)</f>
        <v>2019</v>
      </c>
      <c r="K26" s="199">
        <f t="shared" si="3"/>
        <v>43477</v>
      </c>
      <c r="L26" s="147">
        <f>IF(t&lt;Tvie,1-EXP((T0-t)*PertePVj)+'2018'!Pspv,1-EXP((T0-t)*PertePVj)+Pspv)</f>
        <v>3.809290173503177E-3</v>
      </c>
      <c r="M26" s="870"/>
      <c r="N26" s="870"/>
      <c r="O26" s="48">
        <f>IF(t&lt;Tnet,'2018'!Resal+('2018'!Salim-'2018'!Resal)*(1-EXP(('2018'!Tnet-t)/('2018'!Tau_j))),Resal+(Salim-Resal)*(1-EXP((Tnet-t)/(Tau_j))))*Salcycl</f>
        <v>3.4560863525016021E-2</v>
      </c>
      <c r="P26" s="171">
        <f>(INDEX(Models!$BJ26:$BT26,,T26)*(1-R26)+INDEX(Models!$BJ26:$BT26,,T26+1)*R26-ERP_i)*Q26*Ramure*Pc/MaxiM</f>
        <v>1.058150423579585E-2</v>
      </c>
      <c r="Q26" s="307">
        <f t="shared" si="4"/>
        <v>1</v>
      </c>
      <c r="R26" s="179">
        <f t="shared" si="5"/>
        <v>0.90033435468032463</v>
      </c>
      <c r="S26" s="837">
        <f t="shared" si="6"/>
        <v>-3</v>
      </c>
      <c r="T26" s="178">
        <f t="shared" si="7"/>
        <v>3</v>
      </c>
      <c r="U26" s="253">
        <f t="shared" si="21"/>
        <v>-2.0996656453196754</v>
      </c>
      <c r="V26" s="385">
        <f t="shared" si="8"/>
        <v>19.994842897472338</v>
      </c>
      <c r="W26" s="58"/>
      <c r="X26" s="157">
        <f t="shared" si="9"/>
        <v>43477</v>
      </c>
      <c r="Y26" s="387">
        <f t="shared" si="10"/>
        <v>8.0960000000000001</v>
      </c>
      <c r="Z26" s="387">
        <f t="shared" si="11"/>
        <v>8.1269579410252213</v>
      </c>
      <c r="AA26" s="388">
        <f t="shared" si="12"/>
        <v>8.4178873985763705</v>
      </c>
      <c r="AB26" s="199">
        <f t="shared" si="13"/>
        <v>43477</v>
      </c>
      <c r="AC26" s="426">
        <f>IF(OR(t&lt;Tnet,NoTnet),'2018'!Resal_s+('2018'!Salim-'2018'!Resal_s)*(1-EXP(('2018'!Tnet_s-t)/'2018'!Tau_j)),Resal_s+(Salim-Resal_s)*(1-EXP((Tnet_s-t)/Tau_j)))*Salcycl</f>
        <v>3.4560863525016021E-2</v>
      </c>
      <c r="AD26" s="233">
        <f>(INDEX(Models!$BJ26:$BT26,,AH26)*(1-AF26)+INDEX(Models!$BJ26:$BT26,,AH26+1)*AF26-ERP_i)*AE26*Ramure*Pc/MaxiM</f>
        <v>1.058150423579585E-2</v>
      </c>
      <c r="AE26" s="307">
        <f t="shared" si="14"/>
        <v>1</v>
      </c>
      <c r="AF26" s="179">
        <f t="shared" si="15"/>
        <v>0.90033435468032463</v>
      </c>
      <c r="AG26" s="178">
        <f t="shared" si="16"/>
        <v>-3</v>
      </c>
      <c r="AH26" s="178">
        <f t="shared" si="17"/>
        <v>3</v>
      </c>
      <c r="AI26" s="227">
        <f t="shared" si="22"/>
        <v>-2.0996656453196754</v>
      </c>
      <c r="AJ26" s="267" t="b">
        <f t="shared" si="18"/>
        <v>0</v>
      </c>
      <c r="AK26" s="267" t="b">
        <f t="shared" si="19"/>
        <v>0</v>
      </c>
      <c r="AL26" s="267"/>
      <c r="AM26" s="267"/>
      <c r="AN26" s="75"/>
    </row>
    <row r="27" spans="1:40" s="6" customFormat="1" ht="11.25" customHeight="1" x14ac:dyDescent="0.2">
      <c r="A27" s="56">
        <f t="shared" si="20"/>
        <v>43478</v>
      </c>
      <c r="B27" s="618">
        <v>6.2160000000000002</v>
      </c>
      <c r="C27" s="392"/>
      <c r="D27" s="395">
        <f t="shared" si="0"/>
        <v>6.239914303005353</v>
      </c>
      <c r="E27" s="387">
        <f t="shared" si="1"/>
        <v>6.4645676499212037</v>
      </c>
      <c r="F27" s="387">
        <f t="shared" si="2"/>
        <v>6.4652971346833725</v>
      </c>
      <c r="G27" s="110">
        <f t="shared" si="23"/>
        <v>0.30425704383113955</v>
      </c>
      <c r="H27" s="414" t="b">
        <f>Wh_hp&gt;='2018'!Maxi_hp</f>
        <v>1</v>
      </c>
      <c r="I27" s="392">
        <f>IF(H27,Wh_hp,'2018'!Maxi_hp)</f>
        <v>6.4652971346833725</v>
      </c>
      <c r="J27" s="85">
        <f>IF(H27,An,'2018'!An_max)</f>
        <v>2019</v>
      </c>
      <c r="K27" s="199">
        <f t="shared" si="3"/>
        <v>43478</v>
      </c>
      <c r="L27" s="147">
        <f>IF(t&lt;Tvie,1-EXP((T0-t)*PertePVj)+'2018'!Pspv,1-EXP((T0-t)*PertePVj)+Pspv)</f>
        <v>3.8324729866617835E-3</v>
      </c>
      <c r="M27" s="870"/>
      <c r="N27" s="870"/>
      <c r="O27" s="48">
        <f>IF(t&lt;Tnet,'2018'!Resal+('2018'!Salim-'2018'!Resal)*(1-EXP(('2018'!Tnet-t)/('2018'!Tau_j))),Resal+(Salim-Resal)*(1-EXP((Tnet-t)/(Tau_j))))*Salcycl</f>
        <v>3.4751488279125609E-2</v>
      </c>
      <c r="P27" s="171">
        <f>(INDEX(Models!$BJ27:$BT27,,T27)*(1-R27)+INDEX(Models!$BJ27:$BT27,,T27+1)*R27-ERP_i)*Q27*Ramure*Pc/MaxiM</f>
        <v>1.0569546901398427E-2</v>
      </c>
      <c r="Q27" s="307">
        <f t="shared" si="4"/>
        <v>1</v>
      </c>
      <c r="R27" s="179">
        <f t="shared" si="5"/>
        <v>0.90039852699058143</v>
      </c>
      <c r="S27" s="837">
        <f t="shared" si="6"/>
        <v>-3</v>
      </c>
      <c r="T27" s="178">
        <f t="shared" si="7"/>
        <v>3</v>
      </c>
      <c r="U27" s="253">
        <f t="shared" si="21"/>
        <v>-2.0996014730094186</v>
      </c>
      <c r="V27" s="385">
        <f t="shared" si="8"/>
        <v>20.216438182201447</v>
      </c>
      <c r="W27" s="58"/>
      <c r="X27" s="157">
        <f t="shared" si="9"/>
        <v>43478</v>
      </c>
      <c r="Y27" s="387">
        <f t="shared" si="10"/>
        <v>6.2160000000000002</v>
      </c>
      <c r="Z27" s="387">
        <f t="shared" si="11"/>
        <v>6.239914303005353</v>
      </c>
      <c r="AA27" s="388">
        <f t="shared" si="12"/>
        <v>6.4645676499212037</v>
      </c>
      <c r="AB27" s="199">
        <f t="shared" si="13"/>
        <v>43478</v>
      </c>
      <c r="AC27" s="426">
        <f>IF(OR(t&lt;Tnet,NoTnet),'2018'!Resal_s+('2018'!Salim-'2018'!Resal_s)*(1-EXP(('2018'!Tnet_s-t)/'2018'!Tau_j)),Resal_s+(Salim-Resal_s)*(1-EXP((Tnet_s-t)/Tau_j)))*Salcycl</f>
        <v>3.4751488279125609E-2</v>
      </c>
      <c r="AD27" s="233">
        <f>(INDEX(Models!$BJ27:$BT27,,AH27)*(1-AF27)+INDEX(Models!$BJ27:$BT27,,AH27+1)*AF27-ERP_i)*AE27*Ramure*Pc/MaxiM</f>
        <v>1.0569546901398427E-2</v>
      </c>
      <c r="AE27" s="307">
        <f t="shared" si="14"/>
        <v>1</v>
      </c>
      <c r="AF27" s="179">
        <f t="shared" si="15"/>
        <v>0.90039852699058143</v>
      </c>
      <c r="AG27" s="178">
        <f t="shared" si="16"/>
        <v>-3</v>
      </c>
      <c r="AH27" s="302">
        <f t="shared" si="17"/>
        <v>3</v>
      </c>
      <c r="AI27" s="227">
        <f t="shared" si="22"/>
        <v>-2.0996014730094186</v>
      </c>
      <c r="AJ27" s="267" t="b">
        <f t="shared" si="18"/>
        <v>0</v>
      </c>
      <c r="AK27" s="267" t="b">
        <f t="shared" si="19"/>
        <v>0</v>
      </c>
      <c r="AL27" s="267"/>
      <c r="AM27" s="267"/>
      <c r="AN27" s="75"/>
    </row>
    <row r="28" spans="1:40" s="6" customFormat="1" ht="11.25" customHeight="1" x14ac:dyDescent="0.2">
      <c r="A28" s="56">
        <f t="shared" si="20"/>
        <v>43479</v>
      </c>
      <c r="B28" s="618">
        <v>7.069</v>
      </c>
      <c r="C28" s="392"/>
      <c r="D28" s="395">
        <f t="shared" si="0"/>
        <v>7.0963611220895322</v>
      </c>
      <c r="E28" s="387">
        <f t="shared" si="1"/>
        <v>7.3532998462768973</v>
      </c>
      <c r="F28" s="387">
        <f t="shared" si="2"/>
        <v>7.358372319178712</v>
      </c>
      <c r="G28" s="110">
        <f t="shared" si="23"/>
        <v>0.34232514436861239</v>
      </c>
      <c r="H28" s="414" t="b">
        <f>Wh_hp&gt;='2018'!Maxi_hp</f>
        <v>1</v>
      </c>
      <c r="I28" s="392">
        <f>IF(H28,Wh_hp,'2018'!Maxi_hp)</f>
        <v>7.358372319178712</v>
      </c>
      <c r="J28" s="85">
        <f>IF(H28,An,'2018'!An_max)</f>
        <v>2019</v>
      </c>
      <c r="K28" s="199">
        <f t="shared" si="3"/>
        <v>43479</v>
      </c>
      <c r="L28" s="147">
        <f>IF(t&lt;Tvie,1-EXP((T0-t)*PertePVj)+'2018'!Pspv,1-EXP((T0-t)*PertePVj)+Pspv)</f>
        <v>3.8556552603224992E-3</v>
      </c>
      <c r="M28" s="870"/>
      <c r="N28" s="870"/>
      <c r="O28" s="48">
        <f>IF(t&lt;Tnet,'2018'!Resal+('2018'!Salim-'2018'!Resal)*(1-EXP(('2018'!Tnet-t)/('2018'!Tau_j))),Resal+(Salim-Resal)*(1-EXP((Tnet-t)/(Tau_j))))*Salcycl</f>
        <v>3.4941962052242093E-2</v>
      </c>
      <c r="P28" s="171">
        <f>(INDEX(Models!$BJ28:$BT28,,T28)*(1-R28)+INDEX(Models!$BJ28:$BT28,,T28+1)*R28-ERP_i)*Q28*Ramure*Pc/MaxiM</f>
        <v>1.0550424181681946E-2</v>
      </c>
      <c r="Q28" s="307">
        <f t="shared" si="4"/>
        <v>1</v>
      </c>
      <c r="R28" s="179">
        <f t="shared" si="5"/>
        <v>0.90046537893712664</v>
      </c>
      <c r="S28" s="837">
        <f t="shared" si="6"/>
        <v>-3</v>
      </c>
      <c r="T28" s="178">
        <f t="shared" si="7"/>
        <v>3</v>
      </c>
      <c r="U28" s="253">
        <f t="shared" si="21"/>
        <v>-2.0995346210628734</v>
      </c>
      <c r="V28" s="385">
        <f t="shared" si="8"/>
        <v>20.44618712763393</v>
      </c>
      <c r="W28" s="58"/>
      <c r="X28" s="157">
        <f t="shared" si="9"/>
        <v>43479</v>
      </c>
      <c r="Y28" s="387">
        <f t="shared" si="10"/>
        <v>7.069</v>
      </c>
      <c r="Z28" s="387">
        <f t="shared" si="11"/>
        <v>7.0963611220895322</v>
      </c>
      <c r="AA28" s="388">
        <f t="shared" si="12"/>
        <v>7.3532998462768973</v>
      </c>
      <c r="AB28" s="199">
        <f t="shared" si="13"/>
        <v>43479</v>
      </c>
      <c r="AC28" s="426">
        <f>IF(OR(t&lt;Tnet,NoTnet),'2018'!Resal_s+('2018'!Salim-'2018'!Resal_s)*(1-EXP(('2018'!Tnet_s-t)/'2018'!Tau_j)),Resal_s+(Salim-Resal_s)*(1-EXP((Tnet_s-t)/Tau_j)))*Salcycl</f>
        <v>3.4941962052242093E-2</v>
      </c>
      <c r="AD28" s="233">
        <f>(INDEX(Models!$BJ28:$BT28,,AH28)*(1-AF28)+INDEX(Models!$BJ28:$BT28,,AH28+1)*AF28-ERP_i)*AE28*Ramure*Pc/MaxiM</f>
        <v>1.0550424181681946E-2</v>
      </c>
      <c r="AE28" s="307">
        <f t="shared" si="14"/>
        <v>1</v>
      </c>
      <c r="AF28" s="179">
        <f t="shared" si="15"/>
        <v>0.90046537893712664</v>
      </c>
      <c r="AG28" s="178">
        <f t="shared" si="16"/>
        <v>-3</v>
      </c>
      <c r="AH28" s="178">
        <f t="shared" si="17"/>
        <v>3</v>
      </c>
      <c r="AI28" s="227">
        <f t="shared" si="22"/>
        <v>-2.0995346210628734</v>
      </c>
      <c r="AJ28" s="267" t="b">
        <f t="shared" si="18"/>
        <v>0</v>
      </c>
      <c r="AK28" s="267" t="b">
        <f t="shared" si="19"/>
        <v>0</v>
      </c>
      <c r="AL28" s="267"/>
      <c r="AM28" s="267"/>
      <c r="AN28" s="75"/>
    </row>
    <row r="29" spans="1:40" s="6" customFormat="1" ht="11.25" customHeight="1" x14ac:dyDescent="0.2">
      <c r="A29" s="56">
        <f t="shared" si="20"/>
        <v>43480</v>
      </c>
      <c r="B29" s="618">
        <v>20.338000000000001</v>
      </c>
      <c r="C29" s="392"/>
      <c r="D29" s="395">
        <f t="shared" si="0"/>
        <v>20.417194971178084</v>
      </c>
      <c r="E29" s="387">
        <f t="shared" si="1"/>
        <v>21.160615807803865</v>
      </c>
      <c r="F29" s="387">
        <f t="shared" si="2"/>
        <v>21.380269665454179</v>
      </c>
      <c r="G29" s="110">
        <f t="shared" si="23"/>
        <v>0.98305274917049357</v>
      </c>
      <c r="H29" s="414" t="b">
        <f>Wh_hp&gt;='2018'!Maxi_hp</f>
        <v>1</v>
      </c>
      <c r="I29" s="392">
        <f>IF(H29,Wh_hp,'2018'!Maxi_hp)</f>
        <v>21.380269665454179</v>
      </c>
      <c r="J29" s="85">
        <f>IF(H29,An,'2018'!An_max)</f>
        <v>2019</v>
      </c>
      <c r="K29" s="199">
        <f t="shared" si="3"/>
        <v>43480</v>
      </c>
      <c r="L29" s="147">
        <f>IF(t&lt;Tvie,1-EXP((T0-t)*PertePVj)+'2018'!Pspv,1-EXP((T0-t)*PertePVj)+Pspv)</f>
        <v>3.8788369944978696E-3</v>
      </c>
      <c r="M29" s="870"/>
      <c r="N29" s="870"/>
      <c r="O29" s="48">
        <f>IF(t&lt;Tnet,'2018'!Resal+('2018'!Salim-'2018'!Resal)*(1-EXP(('2018'!Tnet-t)/('2018'!Tau_j))),Resal+(Salim-Resal)*(1-EXP((Tnet-t)/(Tau_j))))*Salcycl</f>
        <v>3.5132287423866537E-2</v>
      </c>
      <c r="P29" s="171">
        <f>(INDEX(Models!$BJ29:$BT29,,T29)*(1-R29)+INDEX(Models!$BJ29:$BT29,,T29+1)*R29-ERP_i)*Q29*Ramure*Pc/MaxiM</f>
        <v>1.0524728273704041E-2</v>
      </c>
      <c r="Q29" s="307">
        <f t="shared" si="4"/>
        <v>1</v>
      </c>
      <c r="R29" s="179">
        <f t="shared" si="5"/>
        <v>0.900535021867368</v>
      </c>
      <c r="S29" s="837">
        <f t="shared" si="6"/>
        <v>-3</v>
      </c>
      <c r="T29" s="178">
        <f t="shared" si="7"/>
        <v>3</v>
      </c>
      <c r="U29" s="253">
        <f t="shared" si="21"/>
        <v>-2.099464978132632</v>
      </c>
      <c r="V29" s="385">
        <f t="shared" si="8"/>
        <v>20.683367208499739</v>
      </c>
      <c r="W29" s="58"/>
      <c r="X29" s="157">
        <f t="shared" si="9"/>
        <v>43480</v>
      </c>
      <c r="Y29" s="387">
        <f t="shared" si="10"/>
        <v>20.338000000000001</v>
      </c>
      <c r="Z29" s="387">
        <f t="shared" si="11"/>
        <v>20.417194971178084</v>
      </c>
      <c r="AA29" s="388">
        <f t="shared" si="12"/>
        <v>21.160615807803865</v>
      </c>
      <c r="AB29" s="199">
        <f t="shared" si="13"/>
        <v>43480</v>
      </c>
      <c r="AC29" s="426">
        <f>IF(OR(t&lt;Tnet,NoTnet),'2018'!Resal_s+('2018'!Salim-'2018'!Resal_s)*(1-EXP(('2018'!Tnet_s-t)/'2018'!Tau_j)),Resal_s+(Salim-Resal_s)*(1-EXP((Tnet_s-t)/Tau_j)))*Salcycl</f>
        <v>3.5132287423866537E-2</v>
      </c>
      <c r="AD29" s="233">
        <f>(INDEX(Models!$BJ29:$BT29,,AH29)*(1-AF29)+INDEX(Models!$BJ29:$BT29,,AH29+1)*AF29-ERP_i)*AE29*Ramure*Pc/MaxiM</f>
        <v>1.0524728273704041E-2</v>
      </c>
      <c r="AE29" s="307">
        <f t="shared" si="14"/>
        <v>1</v>
      </c>
      <c r="AF29" s="179">
        <f t="shared" si="15"/>
        <v>0.900535021867368</v>
      </c>
      <c r="AG29" s="178">
        <f t="shared" si="16"/>
        <v>-3</v>
      </c>
      <c r="AH29" s="178">
        <f t="shared" si="17"/>
        <v>3</v>
      </c>
      <c r="AI29" s="227">
        <f t="shared" si="22"/>
        <v>-2.099464978132632</v>
      </c>
      <c r="AJ29" s="267" t="b">
        <f t="shared" si="18"/>
        <v>0</v>
      </c>
      <c r="AK29" s="267" t="b">
        <f t="shared" si="19"/>
        <v>0</v>
      </c>
      <c r="AL29" s="267"/>
      <c r="AM29" s="267"/>
      <c r="AN29" s="75"/>
    </row>
    <row r="30" spans="1:40" s="6" customFormat="1" ht="11.25" customHeight="1" x14ac:dyDescent="0.2">
      <c r="A30" s="56">
        <f t="shared" si="20"/>
        <v>43481</v>
      </c>
      <c r="B30" s="618">
        <v>20.181000000000001</v>
      </c>
      <c r="C30" s="392"/>
      <c r="D30" s="395">
        <f t="shared" si="0"/>
        <v>20.26005510352817</v>
      </c>
      <c r="E30" s="387">
        <f t="shared" si="1"/>
        <v>21.001893820899962</v>
      </c>
      <c r="F30" s="387">
        <f t="shared" si="2"/>
        <v>21.212678147474715</v>
      </c>
      <c r="G30" s="110">
        <f t="shared" si="23"/>
        <v>0.96379858464462076</v>
      </c>
      <c r="H30" s="414" t="b">
        <f>Wh_hp&gt;='2018'!Maxi_hp</f>
        <v>1</v>
      </c>
      <c r="I30" s="392">
        <f>IF(H30,Wh_hp,'2018'!Maxi_hp)</f>
        <v>21.212678147474715</v>
      </c>
      <c r="J30" s="85">
        <f>IF(H30,An,'2018'!An_max)</f>
        <v>2019</v>
      </c>
      <c r="K30" s="199">
        <f t="shared" si="3"/>
        <v>43481</v>
      </c>
      <c r="L30" s="147">
        <f>IF(t&lt;Tvie,1-EXP((T0-t)*PertePVj)+'2018'!Pspv,1-EXP((T0-t)*PertePVj)+Pspv)</f>
        <v>3.9020181892003292E-3</v>
      </c>
      <c r="M30" s="870"/>
      <c r="N30" s="870"/>
      <c r="O30" s="48">
        <f>IF(t&lt;Tnet,'2018'!Resal+('2018'!Salim-'2018'!Resal)*(1-EXP(('2018'!Tnet-t)/('2018'!Tau_j))),Resal+(Salim-Resal)*(1-EXP((Tnet-t)/(Tau_j))))*Salcycl</f>
        <v>3.5322467759243373E-2</v>
      </c>
      <c r="P30" s="171">
        <f>(INDEX(Models!$BJ30:$BT30,,T30)*(1-R30)+INDEX(Models!$BJ30:$BT30,,T30+1)*R30-ERP_i)*Q30*Ramure*Pc/MaxiM</f>
        <v>1.047043091649867E-2</v>
      </c>
      <c r="Q30" s="307">
        <f t="shared" si="4"/>
        <v>1</v>
      </c>
      <c r="R30" s="179">
        <f t="shared" si="5"/>
        <v>0.90060757170891836</v>
      </c>
      <c r="S30" s="837">
        <f t="shared" si="6"/>
        <v>-3</v>
      </c>
      <c r="T30" s="178">
        <f t="shared" si="7"/>
        <v>3</v>
      </c>
      <c r="U30" s="253">
        <f t="shared" si="21"/>
        <v>-2.0993924282910816</v>
      </c>
      <c r="V30" s="385">
        <f t="shared" si="8"/>
        <v>20.927734579143127</v>
      </c>
      <c r="W30" s="58"/>
      <c r="X30" s="157">
        <f t="shared" si="9"/>
        <v>43481</v>
      </c>
      <c r="Y30" s="387">
        <f t="shared" si="10"/>
        <v>20.181000000000001</v>
      </c>
      <c r="Z30" s="387">
        <f t="shared" si="11"/>
        <v>20.26005510352817</v>
      </c>
      <c r="AA30" s="388">
        <f t="shared" si="12"/>
        <v>21.001893820899962</v>
      </c>
      <c r="AB30" s="199">
        <f t="shared" si="13"/>
        <v>43481</v>
      </c>
      <c r="AC30" s="426">
        <f>IF(OR(t&lt;Tnet,NoTnet),'2018'!Resal_s+('2018'!Salim-'2018'!Resal_s)*(1-EXP(('2018'!Tnet_s-t)/'2018'!Tau_j)),Resal_s+(Salim-Resal_s)*(1-EXP((Tnet_s-t)/Tau_j)))*Salcycl</f>
        <v>3.5322467759243373E-2</v>
      </c>
      <c r="AD30" s="233">
        <f>(INDEX(Models!$BJ30:$BT30,,AH30)*(1-AF30)+INDEX(Models!$BJ30:$BT30,,AH30+1)*AF30-ERP_i)*AE30*Ramure*Pc/MaxiM</f>
        <v>1.047043091649867E-2</v>
      </c>
      <c r="AE30" s="307">
        <f t="shared" si="14"/>
        <v>1</v>
      </c>
      <c r="AF30" s="179">
        <f t="shared" si="15"/>
        <v>0.90060757170891836</v>
      </c>
      <c r="AG30" s="178">
        <f t="shared" si="16"/>
        <v>-3</v>
      </c>
      <c r="AH30" s="178">
        <f t="shared" si="17"/>
        <v>3</v>
      </c>
      <c r="AI30" s="227">
        <f t="shared" si="22"/>
        <v>-2.0993924282910816</v>
      </c>
      <c r="AJ30" s="267" t="b">
        <f t="shared" si="18"/>
        <v>0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43482</v>
      </c>
      <c r="B31" s="618">
        <v>9.4239999999999995</v>
      </c>
      <c r="C31" s="392"/>
      <c r="D31" s="395">
        <f t="shared" si="0"/>
        <v>9.4611368434048444</v>
      </c>
      <c r="E31" s="387">
        <f t="shared" si="1"/>
        <v>9.8094966630494742</v>
      </c>
      <c r="F31" s="387">
        <f t="shared" si="2"/>
        <v>9.8306421801745199</v>
      </c>
      <c r="G31" s="110">
        <f t="shared" si="23"/>
        <v>0.44130456027528947</v>
      </c>
      <c r="H31" s="414" t="b">
        <f>Wh_hp&gt;='2018'!Maxi_hp</f>
        <v>1</v>
      </c>
      <c r="I31" s="392">
        <f>IF(H31,Wh_hp,'2018'!Maxi_hp)</f>
        <v>9.8306421801745199</v>
      </c>
      <c r="J31" s="85">
        <f>IF(H31,An,'2018'!An_max)</f>
        <v>2019</v>
      </c>
      <c r="K31" s="199">
        <f t="shared" si="3"/>
        <v>43482</v>
      </c>
      <c r="L31" s="147">
        <f>IF(t&lt;Tvie,1-EXP((T0-t)*PertePVj)+'2018'!Pspv,1-EXP((T0-t)*PertePVj)+Pspv)</f>
        <v>3.9251988444425345E-3</v>
      </c>
      <c r="M31" s="870"/>
      <c r="N31" s="870"/>
      <c r="O31" s="48">
        <f>IF(t&lt;Tnet,'2018'!Resal+('2018'!Salim-'2018'!Resal)*(1-EXP(('2018'!Tnet-t)/('2018'!Tau_j))),Resal+(Salim-Resal)*(1-EXP((Tnet-t)/(Tau_j))))*Salcycl</f>
        <v>3.5512507074581791E-2</v>
      </c>
      <c r="P31" s="171">
        <f>(INDEX(Models!$BJ31:$BT31,,T31)*(1-R31)+INDEX(Models!$BJ31:$BT31,,T31+1)*R31-ERP_i)*Q31*Ramure*Pc/MaxiM</f>
        <v>1.0385709861354014E-2</v>
      </c>
      <c r="Q31" s="307">
        <f t="shared" si="4"/>
        <v>1</v>
      </c>
      <c r="R31" s="179">
        <f t="shared" si="5"/>
        <v>0.90068314915401437</v>
      </c>
      <c r="S31" s="837">
        <f t="shared" si="6"/>
        <v>-3</v>
      </c>
      <c r="T31" s="178">
        <f t="shared" si="7"/>
        <v>3</v>
      </c>
      <c r="U31" s="253">
        <f t="shared" si="21"/>
        <v>-2.0993168508459856</v>
      </c>
      <c r="V31" s="385">
        <f t="shared" si="8"/>
        <v>21.178635946046796</v>
      </c>
      <c r="W31" s="58"/>
      <c r="X31" s="157">
        <f t="shared" si="9"/>
        <v>43482</v>
      </c>
      <c r="Y31" s="387">
        <f t="shared" si="10"/>
        <v>9.4239999999999995</v>
      </c>
      <c r="Z31" s="387">
        <f t="shared" si="11"/>
        <v>9.4611368434048444</v>
      </c>
      <c r="AA31" s="388">
        <f t="shared" si="12"/>
        <v>9.8094966630494742</v>
      </c>
      <c r="AB31" s="199">
        <f t="shared" si="13"/>
        <v>43482</v>
      </c>
      <c r="AC31" s="426">
        <f>IF(OR(t&lt;Tnet,NoTnet),'2018'!Resal_s+('2018'!Salim-'2018'!Resal_s)*(1-EXP(('2018'!Tnet_s-t)/'2018'!Tau_j)),Resal_s+(Salim-Resal_s)*(1-EXP((Tnet_s-t)/Tau_j)))*Salcycl</f>
        <v>3.5512507074581791E-2</v>
      </c>
      <c r="AD31" s="233">
        <f>(INDEX(Models!$BJ31:$BT31,,AH31)*(1-AF31)+INDEX(Models!$BJ31:$BT31,,AH31+1)*AF31-ERP_i)*AE31*Ramure*Pc/MaxiM</f>
        <v>1.0385709861354014E-2</v>
      </c>
      <c r="AE31" s="307">
        <f t="shared" si="14"/>
        <v>1</v>
      </c>
      <c r="AF31" s="179">
        <f t="shared" si="15"/>
        <v>0.90068314915401437</v>
      </c>
      <c r="AG31" s="178">
        <f t="shared" si="16"/>
        <v>-3</v>
      </c>
      <c r="AH31" s="178">
        <f t="shared" si="17"/>
        <v>3</v>
      </c>
      <c r="AI31" s="227">
        <f t="shared" si="22"/>
        <v>-2.0993168508459856</v>
      </c>
      <c r="AJ31" s="267" t="b">
        <f t="shared" si="18"/>
        <v>0</v>
      </c>
      <c r="AK31" s="267" t="b">
        <f t="shared" si="19"/>
        <v>0</v>
      </c>
      <c r="AL31" s="267"/>
      <c r="AM31" s="267"/>
      <c r="AN31" s="75"/>
    </row>
    <row r="32" spans="1:40" s="6" customFormat="1" ht="11.25" customHeight="1" x14ac:dyDescent="0.2">
      <c r="A32" s="56">
        <f t="shared" si="20"/>
        <v>43483</v>
      </c>
      <c r="B32" s="618">
        <v>12.182</v>
      </c>
      <c r="C32" s="392"/>
      <c r="D32" s="395">
        <f t="shared" si="0"/>
        <v>12.230289818998937</v>
      </c>
      <c r="E32" s="387">
        <f t="shared" si="1"/>
        <v>12.683107315162236</v>
      </c>
      <c r="F32" s="387">
        <f t="shared" si="2"/>
        <v>12.733242006750391</v>
      </c>
      <c r="G32" s="110">
        <f t="shared" si="23"/>
        <v>0.56469921405233092</v>
      </c>
      <c r="H32" s="414" t="b">
        <f>Wh_hp&gt;='2018'!Maxi_hp</f>
        <v>1</v>
      </c>
      <c r="I32" s="392">
        <f>IF(H32,Wh_hp,'2018'!Maxi_hp)</f>
        <v>12.733242006750391</v>
      </c>
      <c r="J32" s="85">
        <f>IF(H32,An,'2018'!An_max)</f>
        <v>2019</v>
      </c>
      <c r="K32" s="199">
        <f t="shared" si="3"/>
        <v>43483</v>
      </c>
      <c r="L32" s="147">
        <f>IF(t&lt;Tvie,1-EXP((T0-t)*PertePVj)+'2018'!Pspv,1-EXP((T0-t)*PertePVj)+Pspv)</f>
        <v>3.9483789602370312E-3</v>
      </c>
      <c r="M32" s="870"/>
      <c r="N32" s="870"/>
      <c r="O32" s="48">
        <f>IF(t&lt;Tnet,'2018'!Resal+('2018'!Salim-'2018'!Resal)*(1-EXP(('2018'!Tnet-t)/('2018'!Tau_j))),Resal+(Salim-Resal)*(1-EXP((Tnet-t)/(Tau_j))))*Salcycl</f>
        <v>3.5702409899344603E-2</v>
      </c>
      <c r="P32" s="171">
        <f>(INDEX(Models!$BJ32:$BT32,,T32)*(1-R32)+INDEX(Models!$BJ32:$BT32,,T32+1)*R32-ERP_i)*Q32*Ramure*Pc/MaxiM</f>
        <v>1.0271995387355249E-2</v>
      </c>
      <c r="Q32" s="307">
        <f t="shared" si="4"/>
        <v>1</v>
      </c>
      <c r="R32" s="179">
        <f t="shared" si="5"/>
        <v>0.90076187985101264</v>
      </c>
      <c r="S32" s="837">
        <f t="shared" si="6"/>
        <v>-3</v>
      </c>
      <c r="T32" s="178">
        <f t="shared" si="7"/>
        <v>3</v>
      </c>
      <c r="U32" s="253">
        <f t="shared" si="21"/>
        <v>-2.0992381201489874</v>
      </c>
      <c r="V32" s="385">
        <f t="shared" si="8"/>
        <v>21.435350879530162</v>
      </c>
      <c r="W32" s="58"/>
      <c r="X32" s="157">
        <f t="shared" si="9"/>
        <v>43483</v>
      </c>
      <c r="Y32" s="387">
        <f t="shared" si="10"/>
        <v>12.182</v>
      </c>
      <c r="Z32" s="387">
        <f t="shared" si="11"/>
        <v>12.230289818998937</v>
      </c>
      <c r="AA32" s="388">
        <f t="shared" si="12"/>
        <v>12.683107315162236</v>
      </c>
      <c r="AB32" s="199">
        <f t="shared" si="13"/>
        <v>43483</v>
      </c>
      <c r="AC32" s="426">
        <f>IF(OR(t&lt;Tnet,NoTnet),'2018'!Resal_s+('2018'!Salim-'2018'!Resal_s)*(1-EXP(('2018'!Tnet_s-t)/'2018'!Tau_j)),Resal_s+(Salim-Resal_s)*(1-EXP((Tnet_s-t)/Tau_j)))*Salcycl</f>
        <v>3.5702409899344603E-2</v>
      </c>
      <c r="AD32" s="233">
        <f>(INDEX(Models!$BJ32:$BT32,,AH32)*(1-AF32)+INDEX(Models!$BJ32:$BT32,,AH32+1)*AF32-ERP_i)*AE32*Ramure*Pc/MaxiM</f>
        <v>1.0271995387355249E-2</v>
      </c>
      <c r="AE32" s="307">
        <f t="shared" si="14"/>
        <v>1</v>
      </c>
      <c r="AF32" s="179">
        <f t="shared" si="15"/>
        <v>0.90076187985101264</v>
      </c>
      <c r="AG32" s="178">
        <f t="shared" si="16"/>
        <v>-3</v>
      </c>
      <c r="AH32" s="178">
        <f t="shared" si="17"/>
        <v>3</v>
      </c>
      <c r="AI32" s="227">
        <f t="shared" si="22"/>
        <v>-2.0992381201489874</v>
      </c>
      <c r="AJ32" s="267" t="b">
        <f t="shared" si="18"/>
        <v>0</v>
      </c>
      <c r="AK32" s="267" t="b">
        <f t="shared" si="19"/>
        <v>0</v>
      </c>
      <c r="AL32" s="267"/>
      <c r="AM32" s="267"/>
      <c r="AN32" s="75"/>
    </row>
    <row r="33" spans="1:40" s="6" customFormat="1" ht="11.25" customHeight="1" x14ac:dyDescent="0.2">
      <c r="A33" s="56">
        <f t="shared" si="20"/>
        <v>43484</v>
      </c>
      <c r="B33" s="618">
        <v>15.502000000000001</v>
      </c>
      <c r="C33" s="392"/>
      <c r="D33" s="395">
        <f t="shared" si="0"/>
        <v>15.563812592764783</v>
      </c>
      <c r="E33" s="387">
        <f t="shared" si="1"/>
        <v>16.143228265822213</v>
      </c>
      <c r="F33" s="387">
        <f t="shared" si="2"/>
        <v>16.240646128897321</v>
      </c>
      <c r="G33" s="110">
        <f t="shared" si="23"/>
        <v>0.71150118790752304</v>
      </c>
      <c r="H33" s="414" t="b">
        <f>Wh_hp&gt;='2018'!Maxi_hp</f>
        <v>1</v>
      </c>
      <c r="I33" s="392">
        <f>IF(H33,Wh_hp,'2018'!Maxi_hp)</f>
        <v>16.240646128897321</v>
      </c>
      <c r="J33" s="85">
        <f>IF(H33,An,'2018'!An_max)</f>
        <v>2019</v>
      </c>
      <c r="K33" s="199">
        <f t="shared" si="3"/>
        <v>43484</v>
      </c>
      <c r="L33" s="147">
        <f>IF(t&lt;Tvie,1-EXP((T0-t)*PertePVj)+'2018'!Pspv,1-EXP((T0-t)*PertePVj)+Pspv)</f>
        <v>3.9715585365964756E-3</v>
      </c>
      <c r="M33" s="870"/>
      <c r="N33" s="870"/>
      <c r="O33" s="48">
        <f>IF(t&lt;Tnet,'2018'!Resal+('2018'!Salim-'2018'!Resal)*(1-EXP(('2018'!Tnet-t)/('2018'!Tau_j))),Resal+(Salim-Resal)*(1-EXP((Tnet-t)/(Tau_j))))*Salcycl</f>
        <v>3.5892181137284825E-2</v>
      </c>
      <c r="P33" s="171">
        <f>(INDEX(Models!$BJ33:$BT33,,T33)*(1-R33)+INDEX(Models!$BJ33:$BT33,,T33+1)*R33-ERP_i)*Q33*Ramure*Pc/MaxiM</f>
        <v>1.0130683855036071E-2</v>
      </c>
      <c r="Q33" s="307">
        <f t="shared" si="4"/>
        <v>1</v>
      </c>
      <c r="R33" s="179">
        <f t="shared" si="5"/>
        <v>0.90084389460321779</v>
      </c>
      <c r="S33" s="837">
        <f t="shared" si="6"/>
        <v>-3</v>
      </c>
      <c r="T33" s="178">
        <f t="shared" si="7"/>
        <v>3</v>
      </c>
      <c r="U33" s="253">
        <f t="shared" si="21"/>
        <v>-2.0991561053967822</v>
      </c>
      <c r="V33" s="385">
        <f t="shared" si="8"/>
        <v>21.697159474020463</v>
      </c>
      <c r="W33" s="58"/>
      <c r="X33" s="157">
        <f t="shared" si="9"/>
        <v>43484</v>
      </c>
      <c r="Y33" s="387">
        <f t="shared" si="10"/>
        <v>15.502000000000002</v>
      </c>
      <c r="Z33" s="387">
        <f t="shared" si="11"/>
        <v>15.563812592764785</v>
      </c>
      <c r="AA33" s="388">
        <f t="shared" si="12"/>
        <v>16.143228265822213</v>
      </c>
      <c r="AB33" s="199">
        <f t="shared" si="13"/>
        <v>43484</v>
      </c>
      <c r="AC33" s="426">
        <f>IF(OR(t&lt;Tnet,NoTnet),'2018'!Resal_s+('2018'!Salim-'2018'!Resal_s)*(1-EXP(('2018'!Tnet_s-t)/'2018'!Tau_j)),Resal_s+(Salim-Resal_s)*(1-EXP((Tnet_s-t)/Tau_j)))*Salcycl</f>
        <v>3.5892181137284825E-2</v>
      </c>
      <c r="AD33" s="233">
        <f>(INDEX(Models!$BJ33:$BT33,,AH33)*(1-AF33)+INDEX(Models!$BJ33:$BT33,,AH33+1)*AF33-ERP_i)*AE33*Ramure*Pc/MaxiM</f>
        <v>1.0130683855036071E-2</v>
      </c>
      <c r="AE33" s="307">
        <f t="shared" si="14"/>
        <v>1</v>
      </c>
      <c r="AF33" s="179">
        <f t="shared" si="15"/>
        <v>0.90084389460321779</v>
      </c>
      <c r="AG33" s="178">
        <f t="shared" si="16"/>
        <v>-3</v>
      </c>
      <c r="AH33" s="178">
        <f t="shared" si="17"/>
        <v>3</v>
      </c>
      <c r="AI33" s="227">
        <f t="shared" si="22"/>
        <v>-2.0991561053967822</v>
      </c>
      <c r="AJ33" s="267" t="b">
        <f t="shared" si="18"/>
        <v>0</v>
      </c>
      <c r="AK33" s="267" t="b">
        <f t="shared" si="19"/>
        <v>0</v>
      </c>
      <c r="AL33" s="267"/>
      <c r="AM33" s="267"/>
      <c r="AN33" s="75"/>
    </row>
    <row r="34" spans="1:40" s="6" customFormat="1" ht="11.25" customHeight="1" x14ac:dyDescent="0.2">
      <c r="A34" s="56">
        <f t="shared" si="20"/>
        <v>43485</v>
      </c>
      <c r="B34" s="618">
        <v>7.343</v>
      </c>
      <c r="C34" s="392"/>
      <c r="D34" s="395">
        <f t="shared" si="0"/>
        <v>7.3724510070468829</v>
      </c>
      <c r="E34" s="387">
        <f t="shared" si="1"/>
        <v>7.648419964841775</v>
      </c>
      <c r="F34" s="387">
        <f t="shared" si="2"/>
        <v>7.652158966665227</v>
      </c>
      <c r="G34" s="110">
        <f t="shared" si="23"/>
        <v>0.33116064802184136</v>
      </c>
      <c r="H34" s="414" t="b">
        <f>Wh_hp&gt;='2018'!Maxi_hp</f>
        <v>1</v>
      </c>
      <c r="I34" s="392">
        <f>IF(H34,Wh_hp,'2018'!Maxi_hp)</f>
        <v>7.652158966665227</v>
      </c>
      <c r="J34" s="85">
        <f>IF(H34,An,'2018'!An_max)</f>
        <v>2019</v>
      </c>
      <c r="K34" s="199">
        <f t="shared" si="3"/>
        <v>43485</v>
      </c>
      <c r="L34" s="147">
        <f>IF(t&lt;Tvie,1-EXP((T0-t)*PertePVj)+'2018'!Pspv,1-EXP((T0-t)*PertePVj)+Pspv)</f>
        <v>3.9947375735331914E-3</v>
      </c>
      <c r="M34" s="870"/>
      <c r="N34" s="870"/>
      <c r="O34" s="48">
        <f>IF(t&lt;Tnet,'2018'!Resal+('2018'!Salim-'2018'!Resal)*(1-EXP(('2018'!Tnet-t)/('2018'!Tau_j))),Resal+(Salim-Resal)*(1-EXP((Tnet-t)/(Tau_j))))*Salcycl</f>
        <v>3.6081825927899477E-2</v>
      </c>
      <c r="P34" s="171">
        <f>(INDEX(Models!$BJ34:$BT34,,T34)*(1-R34)+INDEX(Models!$BJ34:$BT34,,T34+1)*R34-ERP_i)*Q34*Ramure*Pc/MaxiM</f>
        <v>9.9631836655433275E-3</v>
      </c>
      <c r="Q34" s="307">
        <f t="shared" si="4"/>
        <v>1</v>
      </c>
      <c r="R34" s="179">
        <f t="shared" si="5"/>
        <v>0.90092932957527783</v>
      </c>
      <c r="S34" s="837">
        <f t="shared" si="6"/>
        <v>-3</v>
      </c>
      <c r="T34" s="178">
        <f t="shared" si="7"/>
        <v>3</v>
      </c>
      <c r="U34" s="253">
        <f t="shared" si="21"/>
        <v>-2.0990706704247222</v>
      </c>
      <c r="V34" s="385">
        <f t="shared" si="8"/>
        <v>21.963341101715205</v>
      </c>
      <c r="W34" s="58"/>
      <c r="X34" s="157">
        <f t="shared" si="9"/>
        <v>43485</v>
      </c>
      <c r="Y34" s="387">
        <f t="shared" si="10"/>
        <v>7.343</v>
      </c>
      <c r="Z34" s="387">
        <f t="shared" si="11"/>
        <v>7.3724510070468829</v>
      </c>
      <c r="AA34" s="388">
        <f t="shared" si="12"/>
        <v>7.648419964841775</v>
      </c>
      <c r="AB34" s="199">
        <f t="shared" si="13"/>
        <v>43485</v>
      </c>
      <c r="AC34" s="426">
        <f>IF(OR(t&lt;Tnet,NoTnet),'2018'!Resal_s+('2018'!Salim-'2018'!Resal_s)*(1-EXP(('2018'!Tnet_s-t)/'2018'!Tau_j)),Resal_s+(Salim-Resal_s)*(1-EXP((Tnet_s-t)/Tau_j)))*Salcycl</f>
        <v>3.6081825927899477E-2</v>
      </c>
      <c r="AD34" s="233">
        <f>(INDEX(Models!$BJ34:$BT34,,AH34)*(1-AF34)+INDEX(Models!$BJ34:$BT34,,AH34+1)*AF34-ERP_i)*AE34*Ramure*Pc/MaxiM</f>
        <v>9.9631836655433275E-3</v>
      </c>
      <c r="AE34" s="307">
        <f t="shared" si="14"/>
        <v>1</v>
      </c>
      <c r="AF34" s="179">
        <f t="shared" si="15"/>
        <v>0.90092932957527783</v>
      </c>
      <c r="AG34" s="178">
        <f t="shared" si="16"/>
        <v>-3</v>
      </c>
      <c r="AH34" s="178">
        <f t="shared" si="17"/>
        <v>3</v>
      </c>
      <c r="AI34" s="227">
        <f t="shared" si="22"/>
        <v>-2.0990706704247222</v>
      </c>
      <c r="AJ34" s="267" t="b">
        <f t="shared" si="18"/>
        <v>0</v>
      </c>
      <c r="AK34" s="267" t="b">
        <f t="shared" si="19"/>
        <v>0</v>
      </c>
      <c r="AL34" s="267"/>
      <c r="AM34" s="267"/>
      <c r="AN34" s="75"/>
    </row>
    <row r="35" spans="1:40" s="6" customFormat="1" ht="11.25" customHeight="1" x14ac:dyDescent="0.2">
      <c r="A35" s="56">
        <f t="shared" si="20"/>
        <v>43486</v>
      </c>
      <c r="B35" s="618">
        <v>9.7739999999999991</v>
      </c>
      <c r="C35" s="392"/>
      <c r="D35" s="395">
        <f t="shared" si="0"/>
        <v>9.8134295362458968</v>
      </c>
      <c r="E35" s="387">
        <f t="shared" si="1"/>
        <v>10.182772434186484</v>
      </c>
      <c r="F35" s="387">
        <f t="shared" si="2"/>
        <v>10.202655134172327</v>
      </c>
      <c r="G35" s="110">
        <f t="shared" si="23"/>
        <v>0.43616791166895275</v>
      </c>
      <c r="H35" s="414" t="b">
        <f>Wh_hp&gt;='2018'!Maxi_hp</f>
        <v>1</v>
      </c>
      <c r="I35" s="392">
        <f>IF(H35,Wh_hp,'2018'!Maxi_hp)</f>
        <v>10.202655134172327</v>
      </c>
      <c r="J35" s="85">
        <f>IF(H35,An,'2018'!An_max)</f>
        <v>2019</v>
      </c>
      <c r="K35" s="199">
        <f t="shared" si="3"/>
        <v>43486</v>
      </c>
      <c r="L35" s="147">
        <f>IF(t&lt;Tvie,1-EXP((T0-t)*PertePVj)+'2018'!Pspv,1-EXP((T0-t)*PertePVj)+Pspv)</f>
        <v>4.017916071059946E-3</v>
      </c>
      <c r="M35" s="870"/>
      <c r="N35" s="870"/>
      <c r="O35" s="48">
        <f>IF(t&lt;Tnet,'2018'!Resal+('2018'!Salim-'2018'!Resal)*(1-EXP(('2018'!Tnet-t)/('2018'!Tau_j))),Resal+(Salim-Resal)*(1-EXP((Tnet-t)/(Tau_j))))*Salcycl</f>
        <v>3.6271349509942714E-2</v>
      </c>
      <c r="P35" s="171">
        <f>(INDEX(Models!$BJ35:$BT35,,T35)*(1-R35)+INDEX(Models!$BJ35:$BT35,,T35+1)*R35-ERP_i)*Q35*Ramure*Pc/MaxiM</f>
        <v>9.7708720823540037E-3</v>
      </c>
      <c r="Q35" s="307">
        <f t="shared" si="4"/>
        <v>1</v>
      </c>
      <c r="R35" s="179">
        <f t="shared" si="5"/>
        <v>0.90101832650740832</v>
      </c>
      <c r="S35" s="837">
        <f t="shared" si="6"/>
        <v>-3</v>
      </c>
      <c r="T35" s="178">
        <f t="shared" si="7"/>
        <v>3</v>
      </c>
      <c r="U35" s="253">
        <f t="shared" si="21"/>
        <v>-2.0989816734925917</v>
      </c>
      <c r="V35" s="385">
        <f t="shared" si="8"/>
        <v>22.233175120092991</v>
      </c>
      <c r="W35" s="58"/>
      <c r="X35" s="157">
        <f t="shared" si="9"/>
        <v>43486</v>
      </c>
      <c r="Y35" s="387">
        <f t="shared" si="10"/>
        <v>9.7739999999999991</v>
      </c>
      <c r="Z35" s="387">
        <f t="shared" si="11"/>
        <v>9.8134295362458968</v>
      </c>
      <c r="AA35" s="388">
        <f t="shared" si="12"/>
        <v>10.182772434186484</v>
      </c>
      <c r="AB35" s="199">
        <f t="shared" si="13"/>
        <v>43486</v>
      </c>
      <c r="AC35" s="426">
        <f>IF(OR(t&lt;Tnet,NoTnet),'2018'!Resal_s+('2018'!Salim-'2018'!Resal_s)*(1-EXP(('2018'!Tnet_s-t)/'2018'!Tau_j)),Resal_s+(Salim-Resal_s)*(1-EXP((Tnet_s-t)/Tau_j)))*Salcycl</f>
        <v>3.6271349509942714E-2</v>
      </c>
      <c r="AD35" s="233">
        <f>(INDEX(Models!$BJ35:$BT35,,AH35)*(1-AF35)+INDEX(Models!$BJ35:$BT35,,AH35+1)*AF35-ERP_i)*AE35*Ramure*Pc/MaxiM</f>
        <v>9.7708720823540037E-3</v>
      </c>
      <c r="AE35" s="307">
        <f t="shared" si="14"/>
        <v>1</v>
      </c>
      <c r="AF35" s="179">
        <f t="shared" si="15"/>
        <v>0.90101832650740832</v>
      </c>
      <c r="AG35" s="178">
        <f t="shared" si="16"/>
        <v>-3</v>
      </c>
      <c r="AH35" s="178">
        <f t="shared" si="17"/>
        <v>3</v>
      </c>
      <c r="AI35" s="227">
        <f t="shared" si="22"/>
        <v>-2.0989816734925917</v>
      </c>
      <c r="AJ35" s="267" t="b">
        <f t="shared" si="18"/>
        <v>0</v>
      </c>
      <c r="AK35" s="267" t="b">
        <f t="shared" si="19"/>
        <v>0</v>
      </c>
      <c r="AL35" s="267"/>
      <c r="AM35" s="267"/>
      <c r="AN35" s="75"/>
    </row>
    <row r="36" spans="1:40" s="6" customFormat="1" ht="11.25" customHeight="1" x14ac:dyDescent="0.2">
      <c r="A36" s="56">
        <f t="shared" si="20"/>
        <v>43487</v>
      </c>
      <c r="B36" s="618">
        <v>9.7240000000000002</v>
      </c>
      <c r="C36" s="392"/>
      <c r="D36" s="395">
        <f t="shared" si="0"/>
        <v>9.7634550398658586</v>
      </c>
      <c r="E36" s="387">
        <f t="shared" si="1"/>
        <v>10.132908557377341</v>
      </c>
      <c r="F36" s="387">
        <f t="shared" si="2"/>
        <v>10.151207862884149</v>
      </c>
      <c r="G36" s="110">
        <f t="shared" si="23"/>
        <v>0.42870811041488938</v>
      </c>
      <c r="H36" s="414" t="b">
        <f>Wh_hp&gt;='2018'!Maxi_hp</f>
        <v>1</v>
      </c>
      <c r="I36" s="392">
        <f>IF(H36,Wh_hp,'2018'!Maxi_hp)</f>
        <v>10.151207862884149</v>
      </c>
      <c r="J36" s="85">
        <f>IF(H36,An,'2018'!An_max)</f>
        <v>2019</v>
      </c>
      <c r="K36" s="199">
        <f t="shared" si="3"/>
        <v>43487</v>
      </c>
      <c r="L36" s="147">
        <f>IF(t&lt;Tvie,1-EXP((T0-t)*PertePVj)+'2018'!Pspv,1-EXP((T0-t)*PertePVj)+Pspv)</f>
        <v>4.0410940291890629E-3</v>
      </c>
      <c r="M36" s="870"/>
      <c r="N36" s="870"/>
      <c r="O36" s="48">
        <f>IF(t&lt;Tnet,'2018'!Resal+('2018'!Salim-'2018'!Resal)*(1-EXP(('2018'!Tnet-t)/('2018'!Tau_j))),Resal+(Salim-Resal)*(1-EXP((Tnet-t)/(Tau_j))))*Salcycl</f>
        <v>3.6460757088595232E-2</v>
      </c>
      <c r="P36" s="171">
        <f>(INDEX(Models!$BJ36:$BT36,,T36)*(1-R36)+INDEX(Models!$BJ36:$BT36,,T36+1)*R36-ERP_i)*Q36*Ramure*Pc/MaxiM</f>
        <v>9.5550194564285248E-3</v>
      </c>
      <c r="Q36" s="307">
        <f t="shared" si="4"/>
        <v>1</v>
      </c>
      <c r="R36" s="179">
        <f t="shared" si="5"/>
        <v>0.90111103293770345</v>
      </c>
      <c r="S36" s="837">
        <f t="shared" si="6"/>
        <v>-3</v>
      </c>
      <c r="T36" s="178">
        <f t="shared" si="7"/>
        <v>3</v>
      </c>
      <c r="U36" s="253">
        <f t="shared" si="21"/>
        <v>-2.0988889670622966</v>
      </c>
      <c r="V36" s="385">
        <f t="shared" si="8"/>
        <v>22.505942407403779</v>
      </c>
      <c r="W36" s="58"/>
      <c r="X36" s="157">
        <f t="shared" si="9"/>
        <v>43487</v>
      </c>
      <c r="Y36" s="387">
        <f t="shared" si="10"/>
        <v>9.7240000000000002</v>
      </c>
      <c r="Z36" s="387">
        <f t="shared" si="11"/>
        <v>9.7634550398658586</v>
      </c>
      <c r="AA36" s="388">
        <f t="shared" si="12"/>
        <v>10.132908557377341</v>
      </c>
      <c r="AB36" s="199">
        <f t="shared" si="13"/>
        <v>43487</v>
      </c>
      <c r="AC36" s="426">
        <f>IF(OR(t&lt;Tnet,NoTnet),'2018'!Resal_s+('2018'!Salim-'2018'!Resal_s)*(1-EXP(('2018'!Tnet_s-t)/'2018'!Tau_j)),Resal_s+(Salim-Resal_s)*(1-EXP((Tnet_s-t)/Tau_j)))*Salcycl</f>
        <v>3.6460757088595232E-2</v>
      </c>
      <c r="AD36" s="233">
        <f>(INDEX(Models!$BJ36:$BT36,,AH36)*(1-AF36)+INDEX(Models!$BJ36:$BT36,,AH36+1)*AF36-ERP_i)*AE36*Ramure*Pc/MaxiM</f>
        <v>9.5550194564285248E-3</v>
      </c>
      <c r="AE36" s="307">
        <f t="shared" si="14"/>
        <v>1</v>
      </c>
      <c r="AF36" s="179">
        <f t="shared" si="15"/>
        <v>0.90111103293770345</v>
      </c>
      <c r="AG36" s="178">
        <f t="shared" si="16"/>
        <v>-3</v>
      </c>
      <c r="AH36" s="178">
        <f t="shared" si="17"/>
        <v>3</v>
      </c>
      <c r="AI36" s="227">
        <f t="shared" si="22"/>
        <v>-2.0988889670622966</v>
      </c>
      <c r="AJ36" s="267" t="b">
        <f t="shared" si="18"/>
        <v>0</v>
      </c>
      <c r="AK36" s="267" t="b">
        <f t="shared" si="19"/>
        <v>0</v>
      </c>
      <c r="AL36" s="267"/>
      <c r="AM36" s="267"/>
      <c r="AN36" s="75"/>
    </row>
    <row r="37" spans="1:40" s="6" customFormat="1" ht="11.25" customHeight="1" x14ac:dyDescent="0.2">
      <c r="A37" s="56">
        <f t="shared" si="20"/>
        <v>43488</v>
      </c>
      <c r="B37" s="618">
        <v>8.8460000000000001</v>
      </c>
      <c r="C37" s="392"/>
      <c r="D37" s="395">
        <f t="shared" si="0"/>
        <v>8.8820992624300033</v>
      </c>
      <c r="E37" s="387">
        <f t="shared" si="1"/>
        <v>9.2200132429717847</v>
      </c>
      <c r="F37" s="387">
        <f t="shared" si="2"/>
        <v>9.230856314922212</v>
      </c>
      <c r="G37" s="110">
        <f t="shared" si="23"/>
        <v>0.38510014095277206</v>
      </c>
      <c r="H37" s="414" t="b">
        <f>Wh_hp&gt;='2018'!Maxi_hp</f>
        <v>1</v>
      </c>
      <c r="I37" s="392">
        <f>IF(H37,Wh_hp,'2018'!Maxi_hp)</f>
        <v>9.230856314922212</v>
      </c>
      <c r="J37" s="85">
        <f>IF(H37,An,'2018'!An_max)</f>
        <v>2019</v>
      </c>
      <c r="K37" s="199">
        <f t="shared" si="3"/>
        <v>43488</v>
      </c>
      <c r="L37" s="147">
        <f>IF(t&lt;Tvie,1-EXP((T0-t)*PertePVj)+'2018'!Pspv,1-EXP((T0-t)*PertePVj)+Pspv)</f>
        <v>4.0642714479333097E-3</v>
      </c>
      <c r="M37" s="870"/>
      <c r="N37" s="870"/>
      <c r="O37" s="48">
        <f>IF(t&lt;Tnet,'2018'!Resal+('2018'!Salim-'2018'!Resal)*(1-EXP(('2018'!Tnet-t)/('2018'!Tau_j))),Resal+(Salim-Resal)*(1-EXP((Tnet-t)/(Tau_j))))*Salcycl</f>
        <v>3.6650053707825925E-2</v>
      </c>
      <c r="P37" s="171">
        <f>(INDEX(Models!$BJ37:$BT37,,T37)*(1-R37)+INDEX(Models!$BJ37:$BT37,,T37+1)*R37-ERP_i)*Q37*Ramure*Pc/MaxiM</f>
        <v>9.3158164499340182E-3</v>
      </c>
      <c r="Q37" s="307">
        <f t="shared" si="4"/>
        <v>1</v>
      </c>
      <c r="R37" s="179">
        <f t="shared" si="5"/>
        <v>0.90120760243279152</v>
      </c>
      <c r="S37" s="837">
        <f t="shared" si="6"/>
        <v>-3</v>
      </c>
      <c r="T37" s="178">
        <f t="shared" si="7"/>
        <v>3</v>
      </c>
      <c r="U37" s="253">
        <f t="shared" si="21"/>
        <v>-2.0987923975672085</v>
      </c>
      <c r="V37" s="385">
        <f t="shared" si="8"/>
        <v>22.783420879129601</v>
      </c>
      <c r="W37" s="58"/>
      <c r="X37" s="157">
        <f t="shared" si="9"/>
        <v>43488</v>
      </c>
      <c r="Y37" s="387">
        <f t="shared" si="10"/>
        <v>8.8460000000000001</v>
      </c>
      <c r="Z37" s="387">
        <f t="shared" si="11"/>
        <v>8.8820992624300033</v>
      </c>
      <c r="AA37" s="388">
        <f t="shared" si="12"/>
        <v>9.2200132429717847</v>
      </c>
      <c r="AB37" s="199">
        <f t="shared" si="13"/>
        <v>43488</v>
      </c>
      <c r="AC37" s="426">
        <f>IF(OR(t&lt;Tnet,NoTnet),'2018'!Resal_s+('2018'!Salim-'2018'!Resal_s)*(1-EXP(('2018'!Tnet_s-t)/'2018'!Tau_j)),Resal_s+(Salim-Resal_s)*(1-EXP((Tnet_s-t)/Tau_j)))*Salcycl</f>
        <v>3.6650053707825925E-2</v>
      </c>
      <c r="AD37" s="233">
        <f>(INDEX(Models!$BJ37:$BT37,,AH37)*(1-AF37)+INDEX(Models!$BJ37:$BT37,,AH37+1)*AF37-ERP_i)*AE37*Ramure*Pc/MaxiM</f>
        <v>9.3158164499340182E-3</v>
      </c>
      <c r="AE37" s="307">
        <f t="shared" si="14"/>
        <v>1</v>
      </c>
      <c r="AF37" s="179">
        <f t="shared" si="15"/>
        <v>0.90120760243279152</v>
      </c>
      <c r="AG37" s="178">
        <f t="shared" si="16"/>
        <v>-3</v>
      </c>
      <c r="AH37" s="178">
        <f t="shared" si="17"/>
        <v>3</v>
      </c>
      <c r="AI37" s="227">
        <f t="shared" si="22"/>
        <v>-2.0987923975672085</v>
      </c>
      <c r="AJ37" s="267" t="b">
        <f t="shared" si="18"/>
        <v>0</v>
      </c>
      <c r="AK37" s="267" t="b">
        <f t="shared" si="19"/>
        <v>0</v>
      </c>
      <c r="AL37" s="267"/>
      <c r="AM37" s="267"/>
      <c r="AN37" s="75"/>
    </row>
    <row r="38" spans="1:40" s="6" customFormat="1" ht="11.25" customHeight="1" x14ac:dyDescent="0.2">
      <c r="A38" s="56">
        <f t="shared" si="20"/>
        <v>43489</v>
      </c>
      <c r="B38" s="618">
        <v>12.212</v>
      </c>
      <c r="C38" s="392"/>
      <c r="D38" s="395">
        <f t="shared" si="0"/>
        <v>12.26212078509224</v>
      </c>
      <c r="E38" s="387">
        <f t="shared" si="1"/>
        <v>12.731125837875931</v>
      </c>
      <c r="F38" s="387">
        <f t="shared" si="2"/>
        <v>12.768951853912398</v>
      </c>
      <c r="G38" s="110">
        <f t="shared" si="23"/>
        <v>0.52616524799078535</v>
      </c>
      <c r="H38" s="414" t="b">
        <f>Wh_hp&gt;='2018'!Maxi_hp</f>
        <v>1</v>
      </c>
      <c r="I38" s="392">
        <f>IF(H38,Wh_hp,'2018'!Maxi_hp)</f>
        <v>12.768951853912398</v>
      </c>
      <c r="J38" s="85">
        <f>IF(H38,An,'2018'!An_max)</f>
        <v>2019</v>
      </c>
      <c r="K38" s="199">
        <f t="shared" si="3"/>
        <v>43489</v>
      </c>
      <c r="L38" s="147">
        <f>IF(t&lt;Tvie,1-EXP((T0-t)*PertePVj)+'2018'!Pspv,1-EXP((T0-t)*PertePVj)+Pspv)</f>
        <v>4.087448327305232E-3</v>
      </c>
      <c r="M38" s="870"/>
      <c r="N38" s="870"/>
      <c r="O38" s="48">
        <f>IF(t&lt;Tnet,'2018'!Resal+('2018'!Salim-'2018'!Resal)*(1-EXP(('2018'!Tnet-t)/('2018'!Tau_j))),Resal+(Salim-Resal)*(1-EXP((Tnet-t)/(Tau_j))))*Salcycl</f>
        <v>3.6839244129405313E-2</v>
      </c>
      <c r="P38" s="171">
        <f>(INDEX(Models!$BJ38:$BT38,,T38)*(1-R38)+INDEX(Models!$BJ38:$BT38,,T38+1)*R38-ERP_i)*Q38*Ramure*Pc/MaxiM</f>
        <v>9.0397182528588992E-3</v>
      </c>
      <c r="Q38" s="307">
        <f t="shared" si="4"/>
        <v>1</v>
      </c>
      <c r="R38" s="179">
        <f t="shared" si="5"/>
        <v>0.90130819482711289</v>
      </c>
      <c r="S38" s="837">
        <f t="shared" si="6"/>
        <v>-3</v>
      </c>
      <c r="T38" s="178">
        <f t="shared" si="7"/>
        <v>3</v>
      </c>
      <c r="U38" s="253">
        <f t="shared" si="21"/>
        <v>-2.0986918051728871</v>
      </c>
      <c r="V38" s="385">
        <f t="shared" si="8"/>
        <v>23.067967015032053</v>
      </c>
      <c r="W38" s="58"/>
      <c r="X38" s="157">
        <f t="shared" si="9"/>
        <v>43489</v>
      </c>
      <c r="Y38" s="387">
        <f t="shared" si="10"/>
        <v>12.212</v>
      </c>
      <c r="Z38" s="387">
        <f t="shared" si="11"/>
        <v>12.26212078509224</v>
      </c>
      <c r="AA38" s="388">
        <f t="shared" si="12"/>
        <v>12.731125837875931</v>
      </c>
      <c r="AB38" s="199">
        <f t="shared" si="13"/>
        <v>43489</v>
      </c>
      <c r="AC38" s="426">
        <f>IF(OR(t&lt;Tnet,NoTnet),'2018'!Resal_s+('2018'!Salim-'2018'!Resal_s)*(1-EXP(('2018'!Tnet_s-t)/'2018'!Tau_j)),Resal_s+(Salim-Resal_s)*(1-EXP((Tnet_s-t)/Tau_j)))*Salcycl</f>
        <v>3.6839244129405313E-2</v>
      </c>
      <c r="AD38" s="233">
        <f>(INDEX(Models!$BJ38:$BT38,,AH38)*(1-AF38)+INDEX(Models!$BJ38:$BT38,,AH38+1)*AF38-ERP_i)*AE38*Ramure*Pc/MaxiM</f>
        <v>9.0397182528588992E-3</v>
      </c>
      <c r="AE38" s="307">
        <f t="shared" si="14"/>
        <v>1</v>
      </c>
      <c r="AF38" s="179">
        <f t="shared" si="15"/>
        <v>0.90130819482711289</v>
      </c>
      <c r="AG38" s="178">
        <f t="shared" si="16"/>
        <v>-3</v>
      </c>
      <c r="AH38" s="178">
        <f t="shared" si="17"/>
        <v>3</v>
      </c>
      <c r="AI38" s="227">
        <f t="shared" si="22"/>
        <v>-2.0986918051728871</v>
      </c>
      <c r="AJ38" s="267" t="b">
        <f t="shared" si="18"/>
        <v>0</v>
      </c>
      <c r="AK38" s="267" t="b">
        <f t="shared" si="19"/>
        <v>0</v>
      </c>
      <c r="AL38" s="267"/>
      <c r="AM38" s="267"/>
      <c r="AN38" s="75"/>
    </row>
    <row r="39" spans="1:40" s="6" customFormat="1" ht="11.25" customHeight="1" x14ac:dyDescent="0.2">
      <c r="A39" s="56">
        <f t="shared" si="20"/>
        <v>43490</v>
      </c>
      <c r="B39" s="618">
        <v>4.51</v>
      </c>
      <c r="C39" s="392"/>
      <c r="D39" s="395">
        <f t="shared" si="0"/>
        <v>4.5286154383295916</v>
      </c>
      <c r="E39" s="387">
        <f t="shared" si="1"/>
        <v>4.702750446563801</v>
      </c>
      <c r="F39" s="387">
        <f t="shared" si="2"/>
        <v>4.702750446563801</v>
      </c>
      <c r="G39" s="110">
        <f t="shared" si="23"/>
        <v>0.19138605583264551</v>
      </c>
      <c r="H39" s="414" t="b">
        <f>Wh_hp&gt;='2018'!Maxi_hp</f>
        <v>1</v>
      </c>
      <c r="I39" s="392">
        <f>IF(H39,Wh_hp,'2018'!Maxi_hp)</f>
        <v>4.702750446563801</v>
      </c>
      <c r="J39" s="85">
        <f>IF(H39,An,'2018'!An_max)</f>
        <v>2019</v>
      </c>
      <c r="K39" s="199">
        <f t="shared" si="3"/>
        <v>43490</v>
      </c>
      <c r="L39" s="147">
        <f>IF(t&lt;Tvie,1-EXP((T0-t)*PertePVj)+'2018'!Pspv,1-EXP((T0-t)*PertePVj)+Pspv)</f>
        <v>4.1106246673172642E-3</v>
      </c>
      <c r="M39" s="870"/>
      <c r="N39" s="870"/>
      <c r="O39" s="48">
        <f>IF(t&lt;Tnet,'2018'!Resal+('2018'!Salim-'2018'!Resal)*(1-EXP(('2018'!Tnet-t)/('2018'!Tau_j))),Resal+(Salim-Resal)*(1-EXP((Tnet-t)/(Tau_j))))*Salcycl</f>
        <v>3.7028332719939702E-2</v>
      </c>
      <c r="P39" s="171">
        <f>(INDEX(Models!$BJ39:$BT39,,T39)*(1-R39)+INDEX(Models!$BJ39:$BT39,,T39+1)*R39-ERP_i)*Q39*Ramure*Pc/MaxiM</f>
        <v>8.7340450599202469E-3</v>
      </c>
      <c r="Q39" s="307">
        <f t="shared" si="4"/>
        <v>1</v>
      </c>
      <c r="R39" s="179">
        <f t="shared" si="5"/>
        <v>0.90141297647108409</v>
      </c>
      <c r="S39" s="837">
        <f t="shared" si="6"/>
        <v>-3</v>
      </c>
      <c r="T39" s="178">
        <f t="shared" si="7"/>
        <v>3</v>
      </c>
      <c r="U39" s="253">
        <f t="shared" si="21"/>
        <v>-2.0985870235289159</v>
      </c>
      <c r="V39" s="385">
        <f t="shared" si="8"/>
        <v>23.359117974033662</v>
      </c>
      <c r="W39" s="58"/>
      <c r="X39" s="157">
        <f t="shared" si="9"/>
        <v>43490</v>
      </c>
      <c r="Y39" s="387">
        <f t="shared" si="10"/>
        <v>4.51</v>
      </c>
      <c r="Z39" s="387">
        <f t="shared" si="11"/>
        <v>4.5286154383295916</v>
      </c>
      <c r="AA39" s="388">
        <f t="shared" si="12"/>
        <v>4.702750446563801</v>
      </c>
      <c r="AB39" s="199">
        <f t="shared" si="13"/>
        <v>43490</v>
      </c>
      <c r="AC39" s="426">
        <f>IF(OR(t&lt;Tnet,NoTnet),'2018'!Resal_s+('2018'!Salim-'2018'!Resal_s)*(1-EXP(('2018'!Tnet_s-t)/'2018'!Tau_j)),Resal_s+(Salim-Resal_s)*(1-EXP((Tnet_s-t)/Tau_j)))*Salcycl</f>
        <v>3.7028332719939702E-2</v>
      </c>
      <c r="AD39" s="233">
        <f>(INDEX(Models!$BJ39:$BT39,,AH39)*(1-AF39)+INDEX(Models!$BJ39:$BT39,,AH39+1)*AF39-ERP_i)*AE39*Ramure*Pc/MaxiM</f>
        <v>8.7340450599202469E-3</v>
      </c>
      <c r="AE39" s="307">
        <f t="shared" si="14"/>
        <v>1</v>
      </c>
      <c r="AF39" s="179">
        <f t="shared" si="15"/>
        <v>0.90141297647108409</v>
      </c>
      <c r="AG39" s="178">
        <f t="shared" si="16"/>
        <v>-3</v>
      </c>
      <c r="AH39" s="178">
        <f t="shared" si="17"/>
        <v>3</v>
      </c>
      <c r="AI39" s="227">
        <f t="shared" si="22"/>
        <v>-2.0985870235289159</v>
      </c>
      <c r="AJ39" s="267" t="b">
        <f t="shared" si="18"/>
        <v>0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43491</v>
      </c>
      <c r="B40" s="618">
        <v>13.116</v>
      </c>
      <c r="C40" s="392"/>
      <c r="D40" s="395">
        <f t="shared" si="0"/>
        <v>13.170443987519135</v>
      </c>
      <c r="E40" s="387">
        <f t="shared" si="1"/>
        <v>13.679560618297806</v>
      </c>
      <c r="F40" s="387">
        <f t="shared" si="2"/>
        <v>13.721456238644981</v>
      </c>
      <c r="G40" s="110">
        <f t="shared" si="23"/>
        <v>0.5514607196990623</v>
      </c>
      <c r="H40" s="414" t="b">
        <f>Wh_hp&gt;='2018'!Maxi_hp</f>
        <v>1</v>
      </c>
      <c r="I40" s="392">
        <f>IF(H40,Wh_hp,'2018'!Maxi_hp)</f>
        <v>13.721456238644981</v>
      </c>
      <c r="J40" s="85">
        <f>IF(H40,An,'2018'!An_max)</f>
        <v>2019</v>
      </c>
      <c r="K40" s="199">
        <f t="shared" si="3"/>
        <v>43491</v>
      </c>
      <c r="L40" s="147">
        <f>IF(t&lt;Tvie,1-EXP((T0-t)*PertePVj)+'2018'!Pspv,1-EXP((T0-t)*PertePVj)+Pspv)</f>
        <v>4.1338004679819518E-3</v>
      </c>
      <c r="M40" s="870"/>
      <c r="N40" s="870"/>
      <c r="O40" s="48">
        <f>IF(t&lt;Tnet,'2018'!Resal+('2018'!Salim-'2018'!Resal)*(1-EXP(('2018'!Tnet-t)/('2018'!Tau_j))),Resal+(Salim-Resal)*(1-EXP((Tnet-t)/(Tau_j))))*Salcycl</f>
        <v>3.7217323347189663E-2</v>
      </c>
      <c r="P40" s="171">
        <f>(INDEX(Models!$BJ40:$BT40,,T40)*(1-R40)+INDEX(Models!$BJ40:$BT40,,T40+1)*R40-ERP_i)*Q40*Ramure*Pc/MaxiM</f>
        <v>8.4002220904562577E-3</v>
      </c>
      <c r="Q40" s="307">
        <f t="shared" si="4"/>
        <v>1</v>
      </c>
      <c r="R40" s="179">
        <f t="shared" si="5"/>
        <v>0.90152212048843383</v>
      </c>
      <c r="S40" s="837">
        <f t="shared" si="6"/>
        <v>-3</v>
      </c>
      <c r="T40" s="178">
        <f t="shared" si="7"/>
        <v>3</v>
      </c>
      <c r="U40" s="253">
        <f t="shared" si="21"/>
        <v>-2.0984778795115662</v>
      </c>
      <c r="V40" s="385">
        <f t="shared" si="8"/>
        <v>23.656544196452387</v>
      </c>
      <c r="W40" s="58"/>
      <c r="X40" s="157">
        <f t="shared" si="9"/>
        <v>43491</v>
      </c>
      <c r="Y40" s="387">
        <f t="shared" si="10"/>
        <v>13.116</v>
      </c>
      <c r="Z40" s="387">
        <f t="shared" si="11"/>
        <v>13.170443987519135</v>
      </c>
      <c r="AA40" s="388">
        <f t="shared" si="12"/>
        <v>13.679560618297806</v>
      </c>
      <c r="AB40" s="199">
        <f t="shared" si="13"/>
        <v>43491</v>
      </c>
      <c r="AC40" s="426">
        <f>IF(OR(t&lt;Tnet,NoTnet),'2018'!Resal_s+('2018'!Salim-'2018'!Resal_s)*(1-EXP(('2018'!Tnet_s-t)/'2018'!Tau_j)),Resal_s+(Salim-Resal_s)*(1-EXP((Tnet_s-t)/Tau_j)))*Salcycl</f>
        <v>3.7217323347189663E-2</v>
      </c>
      <c r="AD40" s="233">
        <f>(INDEX(Models!$BJ40:$BT40,,AH40)*(1-AF40)+INDEX(Models!$BJ40:$BT40,,AH40+1)*AF40-ERP_i)*AE40*Ramure*Pc/MaxiM</f>
        <v>8.4002220904562577E-3</v>
      </c>
      <c r="AE40" s="307">
        <f t="shared" si="14"/>
        <v>1</v>
      </c>
      <c r="AF40" s="179">
        <f t="shared" si="15"/>
        <v>0.90152212048843383</v>
      </c>
      <c r="AG40" s="178">
        <f t="shared" si="16"/>
        <v>-3</v>
      </c>
      <c r="AH40" s="178">
        <f t="shared" si="17"/>
        <v>3</v>
      </c>
      <c r="AI40" s="227">
        <f t="shared" si="22"/>
        <v>-2.0984778795115662</v>
      </c>
      <c r="AJ40" s="267" t="b">
        <f t="shared" si="18"/>
        <v>0</v>
      </c>
      <c r="AK40" s="267" t="b">
        <f t="shared" si="19"/>
        <v>0</v>
      </c>
      <c r="AL40" s="267"/>
      <c r="AM40" s="267"/>
      <c r="AN40" s="75"/>
    </row>
    <row r="41" spans="1:40" s="6" customFormat="1" ht="11.25" customHeight="1" x14ac:dyDescent="0.2">
      <c r="A41" s="56">
        <f t="shared" si="20"/>
        <v>43492</v>
      </c>
      <c r="B41" s="618">
        <v>12.475</v>
      </c>
      <c r="C41" s="392"/>
      <c r="D41" s="395">
        <f t="shared" si="0"/>
        <v>12.527074745677055</v>
      </c>
      <c r="E41" s="387">
        <f t="shared" si="1"/>
        <v>13.013874592453563</v>
      </c>
      <c r="F41" s="387">
        <f t="shared" si="2"/>
        <v>13.046939908687106</v>
      </c>
      <c r="G41" s="110">
        <f t="shared" si="23"/>
        <v>0.51778757344141013</v>
      </c>
      <c r="H41" s="414" t="b">
        <f>Wh_hp&gt;='2018'!Maxi_hp</f>
        <v>1</v>
      </c>
      <c r="I41" s="392">
        <f>IF(H41,Wh_hp,'2018'!Maxi_hp)</f>
        <v>13.046939908687106</v>
      </c>
      <c r="J41" s="85">
        <f>IF(H41,An,'2018'!An_max)</f>
        <v>2019</v>
      </c>
      <c r="K41" s="199">
        <f t="shared" si="3"/>
        <v>43492</v>
      </c>
      <c r="L41" s="147">
        <f>IF(t&lt;Tvie,1-EXP((T0-t)*PertePVj)+'2018'!Pspv,1-EXP((T0-t)*PertePVj)+Pspv)</f>
        <v>4.1569757293119514E-3</v>
      </c>
      <c r="M41" s="870"/>
      <c r="N41" s="870"/>
      <c r="O41" s="48">
        <f>IF(t&lt;Tnet,'2018'!Resal+('2018'!Salim-'2018'!Resal)*(1-EXP(('2018'!Tnet-t)/('2018'!Tau_j))),Resal+(Salim-Resal)*(1-EXP((Tnet-t)/(Tau_j))))*Salcycl</f>
        <v>3.7406219286821182E-2</v>
      </c>
      <c r="P41" s="171">
        <f>(INDEX(Models!$BJ41:$BT41,,T41)*(1-R41)+INDEX(Models!$BJ41:$BT41,,T41+1)*R41-ERP_i)*Q41*Ramure*Pc/MaxiM</f>
        <v>8.0396285866708647E-3</v>
      </c>
      <c r="Q41" s="307">
        <f t="shared" si="4"/>
        <v>1</v>
      </c>
      <c r="R41" s="179">
        <f t="shared" si="5"/>
        <v>0.90163580704298463</v>
      </c>
      <c r="S41" s="837">
        <f t="shared" si="6"/>
        <v>-3</v>
      </c>
      <c r="T41" s="178">
        <f t="shared" si="7"/>
        <v>3</v>
      </c>
      <c r="U41" s="253">
        <f t="shared" si="21"/>
        <v>-2.0983641929570154</v>
      </c>
      <c r="V41" s="385">
        <f t="shared" si="8"/>
        <v>23.959916386533603</v>
      </c>
      <c r="W41" s="58"/>
      <c r="X41" s="157">
        <f t="shared" si="9"/>
        <v>43492</v>
      </c>
      <c r="Y41" s="387">
        <f t="shared" si="10"/>
        <v>12.475</v>
      </c>
      <c r="Z41" s="387">
        <f t="shared" si="11"/>
        <v>12.527074745677055</v>
      </c>
      <c r="AA41" s="388">
        <f t="shared" si="12"/>
        <v>13.013874592453563</v>
      </c>
      <c r="AB41" s="199">
        <f t="shared" si="13"/>
        <v>43492</v>
      </c>
      <c r="AC41" s="426">
        <f>IF(OR(t&lt;Tnet,NoTnet),'2018'!Resal_s+('2018'!Salim-'2018'!Resal_s)*(1-EXP(('2018'!Tnet_s-t)/'2018'!Tau_j)),Resal_s+(Salim-Resal_s)*(1-EXP((Tnet_s-t)/Tau_j)))*Salcycl</f>
        <v>3.7406219286821182E-2</v>
      </c>
      <c r="AD41" s="233">
        <f>(INDEX(Models!$BJ41:$BT41,,AH41)*(1-AF41)+INDEX(Models!$BJ41:$BT41,,AH41+1)*AF41-ERP_i)*AE41*Ramure*Pc/MaxiM</f>
        <v>8.0396285866708647E-3</v>
      </c>
      <c r="AE41" s="307">
        <f t="shared" si="14"/>
        <v>1</v>
      </c>
      <c r="AF41" s="179">
        <f t="shared" si="15"/>
        <v>0.90163580704298463</v>
      </c>
      <c r="AG41" s="178">
        <f t="shared" si="16"/>
        <v>-3</v>
      </c>
      <c r="AH41" s="178">
        <f t="shared" si="17"/>
        <v>3</v>
      </c>
      <c r="AI41" s="227">
        <f t="shared" si="22"/>
        <v>-2.0983641929570154</v>
      </c>
      <c r="AJ41" s="267" t="b">
        <f t="shared" si="18"/>
        <v>0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43493</v>
      </c>
      <c r="B42" s="618">
        <v>11.039</v>
      </c>
      <c r="C42" s="392"/>
      <c r="D42" s="395">
        <f t="shared" si="0"/>
        <v>11.085338382241559</v>
      </c>
      <c r="E42" s="387">
        <f t="shared" si="1"/>
        <v>11.518371838034616</v>
      </c>
      <c r="F42" s="387">
        <f t="shared" si="2"/>
        <v>11.537907986420647</v>
      </c>
      <c r="G42" s="110">
        <f t="shared" si="23"/>
        <v>0.45214613263478343</v>
      </c>
      <c r="H42" s="414" t="b">
        <f>Wh_hp&gt;='2018'!Maxi_hp</f>
        <v>1</v>
      </c>
      <c r="I42" s="392">
        <f>IF(H42,Wh_hp,'2018'!Maxi_hp)</f>
        <v>11.537907986420647</v>
      </c>
      <c r="J42" s="85">
        <f>IF(H42,An,'2018'!An_max)</f>
        <v>2019</v>
      </c>
      <c r="K42" s="199">
        <f t="shared" si="3"/>
        <v>43493</v>
      </c>
      <c r="L42" s="147">
        <f>IF(t&lt;Tvie,1-EXP((T0-t)*PertePVj)+'2018'!Pspv,1-EXP((T0-t)*PertePVj)+Pspv)</f>
        <v>4.1801504513198084E-3</v>
      </c>
      <c r="M42" s="870"/>
      <c r="N42" s="870"/>
      <c r="O42" s="48">
        <f>IF(t&lt;Tnet,'2018'!Resal+('2018'!Salim-'2018'!Resal)*(1-EXP(('2018'!Tnet-t)/('2018'!Tau_j))),Resal+(Salim-Resal)*(1-EXP((Tnet-t)/(Tau_j))))*Salcycl</f>
        <v>3.7595023140609446E-2</v>
      </c>
      <c r="P42" s="171">
        <f>(INDEX(Models!$BJ42:$BT42,,T42)*(1-R42)+INDEX(Models!$BJ42:$BT42,,T42+1)*R42-ERP_i)*Q42*Ramure*Pc/MaxiM</f>
        <v>7.6535933921909232E-3</v>
      </c>
      <c r="Q42" s="307">
        <f t="shared" si="4"/>
        <v>1</v>
      </c>
      <c r="R42" s="179">
        <f t="shared" si="5"/>
        <v>0.90175422361516855</v>
      </c>
      <c r="S42" s="837">
        <f t="shared" si="6"/>
        <v>-3</v>
      </c>
      <c r="T42" s="178">
        <f t="shared" si="7"/>
        <v>3</v>
      </c>
      <c r="U42" s="253">
        <f t="shared" si="21"/>
        <v>-2.0982457763848315</v>
      </c>
      <c r="V42" s="385">
        <f t="shared" si="8"/>
        <v>24.268905524459885</v>
      </c>
      <c r="W42" s="58"/>
      <c r="X42" s="157">
        <f t="shared" si="9"/>
        <v>43493</v>
      </c>
      <c r="Y42" s="387">
        <f t="shared" si="10"/>
        <v>11.039</v>
      </c>
      <c r="Z42" s="387">
        <f t="shared" si="11"/>
        <v>11.085338382241559</v>
      </c>
      <c r="AA42" s="388">
        <f t="shared" si="12"/>
        <v>11.518371838034616</v>
      </c>
      <c r="AB42" s="199">
        <f t="shared" si="13"/>
        <v>43493</v>
      </c>
      <c r="AC42" s="426">
        <f>IF(OR(t&lt;Tnet,NoTnet),'2018'!Resal_s+('2018'!Salim-'2018'!Resal_s)*(1-EXP(('2018'!Tnet_s-t)/'2018'!Tau_j)),Resal_s+(Salim-Resal_s)*(1-EXP((Tnet_s-t)/Tau_j)))*Salcycl</f>
        <v>3.7595023140609446E-2</v>
      </c>
      <c r="AD42" s="233">
        <f>(INDEX(Models!$BJ42:$BT42,,AH42)*(1-AF42)+INDEX(Models!$BJ42:$BT42,,AH42+1)*AF42-ERP_i)*AE42*Ramure*Pc/MaxiM</f>
        <v>7.6535933921909232E-3</v>
      </c>
      <c r="AE42" s="307">
        <f t="shared" si="14"/>
        <v>1</v>
      </c>
      <c r="AF42" s="179">
        <f t="shared" si="15"/>
        <v>0.90175422361516855</v>
      </c>
      <c r="AG42" s="178">
        <f t="shared" si="16"/>
        <v>-3</v>
      </c>
      <c r="AH42" s="178">
        <f t="shared" si="17"/>
        <v>3</v>
      </c>
      <c r="AI42" s="227">
        <f t="shared" si="22"/>
        <v>-2.0982457763848315</v>
      </c>
      <c r="AJ42" s="267" t="b">
        <f t="shared" si="18"/>
        <v>0</v>
      </c>
      <c r="AK42" s="267" t="b">
        <f t="shared" si="19"/>
        <v>0</v>
      </c>
      <c r="AL42" s="267"/>
      <c r="AM42" s="267"/>
      <c r="AN42" s="75"/>
    </row>
    <row r="43" spans="1:40" s="6" customFormat="1" ht="11.25" customHeight="1" x14ac:dyDescent="0.2">
      <c r="A43" s="56">
        <f t="shared" si="20"/>
        <v>43494</v>
      </c>
      <c r="B43" s="618">
        <v>5.3760000000000003</v>
      </c>
      <c r="C43" s="392"/>
      <c r="D43" s="395">
        <f t="shared" si="0"/>
        <v>5.3986924569959784</v>
      </c>
      <c r="E43" s="387">
        <f t="shared" si="1"/>
        <v>5.6106851061283436</v>
      </c>
      <c r="F43" s="387">
        <f t="shared" si="2"/>
        <v>5.6106851061283436</v>
      </c>
      <c r="G43" s="110">
        <f t="shared" si="23"/>
        <v>0.21710205524377788</v>
      </c>
      <c r="H43" s="414" t="b">
        <f>Wh_hp&gt;='2018'!Maxi_hp</f>
        <v>1</v>
      </c>
      <c r="I43" s="392">
        <f>IF(H43,Wh_hp,'2018'!Maxi_hp)</f>
        <v>5.6106851061283436</v>
      </c>
      <c r="J43" s="85">
        <f>IF(H43,An,'2018'!An_max)</f>
        <v>2019</v>
      </c>
      <c r="K43" s="199">
        <f t="shared" si="3"/>
        <v>43494</v>
      </c>
      <c r="L43" s="147">
        <f>IF(t&lt;Tvie,1-EXP((T0-t)*PertePVj)+'2018'!Pspv,1-EXP((T0-t)*PertePVj)+Pspv)</f>
        <v>4.2033246340179575E-3</v>
      </c>
      <c r="M43" s="870"/>
      <c r="N43" s="870"/>
      <c r="O43" s="48">
        <f>IF(t&lt;Tnet,'2018'!Resal+('2018'!Salim-'2018'!Resal)*(1-EXP(('2018'!Tnet-t)/('2018'!Tau_j))),Resal+(Salim-Resal)*(1-EXP((Tnet-t)/(Tau_j))))*Salcycl</f>
        <v>3.7783736766979485E-2</v>
      </c>
      <c r="P43" s="171">
        <f>(INDEX(Models!$BJ43:$BT43,,T43)*(1-R43)+INDEX(Models!$BJ43:$BT43,,T43+1)*R43-ERP_i)*Q43*Ramure*Pc/MaxiM</f>
        <v>7.2433913608669917E-3</v>
      </c>
      <c r="Q43" s="307">
        <f t="shared" si="4"/>
        <v>1</v>
      </c>
      <c r="R43" s="179">
        <f t="shared" si="5"/>
        <v>0.90187756528856822</v>
      </c>
      <c r="S43" s="837">
        <f t="shared" si="6"/>
        <v>-3</v>
      </c>
      <c r="T43" s="178">
        <f t="shared" si="7"/>
        <v>3</v>
      </c>
      <c r="U43" s="253">
        <f t="shared" si="21"/>
        <v>-2.0981224347114318</v>
      </c>
      <c r="V43" s="385">
        <f t="shared" si="8"/>
        <v>24.583182881668915</v>
      </c>
      <c r="W43" s="58"/>
      <c r="X43" s="157">
        <f t="shared" si="9"/>
        <v>43494</v>
      </c>
      <c r="Y43" s="387">
        <f t="shared" si="10"/>
        <v>5.3760000000000003</v>
      </c>
      <c r="Z43" s="387">
        <f t="shared" si="11"/>
        <v>5.3986924569959784</v>
      </c>
      <c r="AA43" s="388">
        <f t="shared" si="12"/>
        <v>5.6106851061283436</v>
      </c>
      <c r="AB43" s="199">
        <f t="shared" si="13"/>
        <v>43494</v>
      </c>
      <c r="AC43" s="426">
        <f>IF(OR(t&lt;Tnet,NoTnet),'2018'!Resal_s+('2018'!Salim-'2018'!Resal_s)*(1-EXP(('2018'!Tnet_s-t)/'2018'!Tau_j)),Resal_s+(Salim-Resal_s)*(1-EXP((Tnet_s-t)/Tau_j)))*Salcycl</f>
        <v>3.7783736766979485E-2</v>
      </c>
      <c r="AD43" s="233">
        <f>(INDEX(Models!$BJ43:$BT43,,AH43)*(1-AF43)+INDEX(Models!$BJ43:$BT43,,AH43+1)*AF43-ERP_i)*AE43*Ramure*Pc/MaxiM</f>
        <v>7.2433913608669917E-3</v>
      </c>
      <c r="AE43" s="307">
        <f t="shared" si="14"/>
        <v>1</v>
      </c>
      <c r="AF43" s="179">
        <f t="shared" si="15"/>
        <v>0.90187756528856822</v>
      </c>
      <c r="AG43" s="178">
        <f t="shared" si="16"/>
        <v>-3</v>
      </c>
      <c r="AH43" s="178">
        <f t="shared" si="17"/>
        <v>3</v>
      </c>
      <c r="AI43" s="227">
        <f t="shared" si="22"/>
        <v>-2.0981224347114318</v>
      </c>
      <c r="AJ43" s="267" t="b">
        <f t="shared" si="18"/>
        <v>0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43495</v>
      </c>
      <c r="B44" s="618">
        <v>8.1039999999999992</v>
      </c>
      <c r="C44" s="392"/>
      <c r="D44" s="395">
        <f t="shared" si="0"/>
        <v>8.1383969205657234</v>
      </c>
      <c r="E44" s="387">
        <f t="shared" si="1"/>
        <v>8.4596290091265764</v>
      </c>
      <c r="F44" s="387">
        <f t="shared" si="2"/>
        <v>8.4617260101528622</v>
      </c>
      <c r="G44" s="110">
        <f t="shared" si="23"/>
        <v>0.32329408002841636</v>
      </c>
      <c r="H44" s="414" t="b">
        <f>Wh_hp&gt;='2018'!Maxi_hp</f>
        <v>1</v>
      </c>
      <c r="I44" s="392">
        <f>IF(H44,Wh_hp,'2018'!Maxi_hp)</f>
        <v>8.4617260101528622</v>
      </c>
      <c r="J44" s="85">
        <f>IF(H44,An,'2018'!An_max)</f>
        <v>2019</v>
      </c>
      <c r="K44" s="199">
        <f t="shared" si="3"/>
        <v>43495</v>
      </c>
      <c r="L44" s="147">
        <f>IF(t&lt;Tvie,1-EXP((T0-t)*PertePVj)+'2018'!Pspv,1-EXP((T0-t)*PertePVj)+Pspv)</f>
        <v>4.2264982774190551E-3</v>
      </c>
      <c r="M44" s="870"/>
      <c r="N44" s="870"/>
      <c r="O44" s="48">
        <f>IF(t&lt;Tnet,'2018'!Resal+('2018'!Salim-'2018'!Resal)*(1-EXP(('2018'!Tnet-t)/('2018'!Tau_j))),Resal+(Salim-Resal)*(1-EXP((Tnet-t)/(Tau_j))))*Salcycl</f>
        <v>3.7972361224622983E-2</v>
      </c>
      <c r="P44" s="171">
        <f>(INDEX(Models!$BJ44:$BT44,,T44)*(1-R44)+INDEX(Models!$BJ44:$BT44,,T44+1)*R44-ERP_i)*Q44*Ramure*Pc/MaxiM</f>
        <v>6.8207022361035773E-3</v>
      </c>
      <c r="Q44" s="307">
        <f t="shared" si="4"/>
        <v>1</v>
      </c>
      <c r="R44" s="179">
        <f t="shared" si="5"/>
        <v>0.90200603504675891</v>
      </c>
      <c r="S44" s="837">
        <f t="shared" si="6"/>
        <v>-3</v>
      </c>
      <c r="T44" s="178">
        <f t="shared" si="7"/>
        <v>3</v>
      </c>
      <c r="U44" s="253">
        <f t="shared" si="21"/>
        <v>-2.0979939649532411</v>
      </c>
      <c r="V44" s="385">
        <f t="shared" si="8"/>
        <v>24.902157729425682</v>
      </c>
      <c r="W44" s="58"/>
      <c r="X44" s="157">
        <f t="shared" si="9"/>
        <v>43495</v>
      </c>
      <c r="Y44" s="387">
        <f t="shared" si="10"/>
        <v>8.1039999999999992</v>
      </c>
      <c r="Z44" s="387">
        <f t="shared" si="11"/>
        <v>8.1383969205657234</v>
      </c>
      <c r="AA44" s="388">
        <f t="shared" si="12"/>
        <v>8.4596290091265764</v>
      </c>
      <c r="AB44" s="199">
        <f t="shared" si="13"/>
        <v>43495</v>
      </c>
      <c r="AC44" s="426">
        <f>IF(OR(t&lt;Tnet,NoTnet),'2018'!Resal_s+('2018'!Salim-'2018'!Resal_s)*(1-EXP(('2018'!Tnet_s-t)/'2018'!Tau_j)),Resal_s+(Salim-Resal_s)*(1-EXP((Tnet_s-t)/Tau_j)))*Salcycl</f>
        <v>3.7972361224622983E-2</v>
      </c>
      <c r="AD44" s="233">
        <f>(INDEX(Models!$BJ44:$BT44,,AH44)*(1-AF44)+INDEX(Models!$BJ44:$BT44,,AH44+1)*AF44-ERP_i)*AE44*Ramure*Pc/MaxiM</f>
        <v>6.8207022361035773E-3</v>
      </c>
      <c r="AE44" s="307">
        <f t="shared" si="14"/>
        <v>1</v>
      </c>
      <c r="AF44" s="179">
        <f t="shared" si="15"/>
        <v>0.90200603504675891</v>
      </c>
      <c r="AG44" s="178">
        <f t="shared" si="16"/>
        <v>-3</v>
      </c>
      <c r="AH44" s="178">
        <f t="shared" si="17"/>
        <v>3</v>
      </c>
      <c r="AI44" s="227">
        <f t="shared" si="22"/>
        <v>-2.0979939649532411</v>
      </c>
      <c r="AJ44" s="267" t="b">
        <f t="shared" si="18"/>
        <v>0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43496</v>
      </c>
      <c r="B45" s="618">
        <v>7.9710000000000001</v>
      </c>
      <c r="C45" s="392"/>
      <c r="D45" s="395">
        <f t="shared" si="0"/>
        <v>8.0050186988732595</v>
      </c>
      <c r="E45" s="387">
        <f t="shared" si="1"/>
        <v>8.3226172357273445</v>
      </c>
      <c r="F45" s="387">
        <f t="shared" si="2"/>
        <v>8.3238355464519405</v>
      </c>
      <c r="G45" s="110">
        <f t="shared" si="23"/>
        <v>0.31401770432114207</v>
      </c>
      <c r="H45" s="414" t="b">
        <f>Wh_hp&gt;='2018'!Maxi_hp</f>
        <v>1</v>
      </c>
      <c r="I45" s="392">
        <f>IF(H45,Wh_hp,'2018'!Maxi_hp)</f>
        <v>8.3238355464519405</v>
      </c>
      <c r="J45" s="85">
        <f>IF(H45,An,'2018'!An_max)</f>
        <v>2019</v>
      </c>
      <c r="K45" s="199">
        <f t="shared" si="3"/>
        <v>43496</v>
      </c>
      <c r="L45" s="147">
        <f>IF(t&lt;Tvie,1-EXP((T0-t)*PertePVj)+'2018'!Pspv,1-EXP((T0-t)*PertePVj)+Pspv)</f>
        <v>4.2496713815355358E-3</v>
      </c>
      <c r="M45" s="870"/>
      <c r="N45" s="870"/>
      <c r="O45" s="48">
        <f>IF(t&lt;Tnet,'2018'!Resal+('2018'!Salim-'2018'!Resal)*(1-EXP(('2018'!Tnet-t)/('2018'!Tau_j))),Resal+(Salim-Resal)*(1-EXP((Tnet-t)/(Tau_j))))*Salcycl</f>
        <v>3.8160896729780749E-2</v>
      </c>
      <c r="P45" s="171">
        <f>(INDEX(Models!$BJ45:$BT45,,T45)*(1-R45)+INDEX(Models!$BJ45:$BT45,,T45+1)*R45-ERP_i)*Q45*Ramure*Pc/MaxiM</f>
        <v>6.4051353315708916E-3</v>
      </c>
      <c r="Q45" s="307">
        <f t="shared" si="4"/>
        <v>1</v>
      </c>
      <c r="R45" s="179">
        <f t="shared" si="5"/>
        <v>0.90213984408076087</v>
      </c>
      <c r="S45" s="837">
        <f t="shared" si="6"/>
        <v>-3</v>
      </c>
      <c r="T45" s="178">
        <f t="shared" si="7"/>
        <v>3</v>
      </c>
      <c r="U45" s="253">
        <f t="shared" si="21"/>
        <v>-2.0978601559192391</v>
      </c>
      <c r="V45" s="385">
        <f t="shared" si="8"/>
        <v>25.225023693119031</v>
      </c>
      <c r="W45" s="58"/>
      <c r="X45" s="157">
        <f t="shared" si="9"/>
        <v>43496</v>
      </c>
      <c r="Y45" s="387">
        <f t="shared" si="10"/>
        <v>7.971000000000001</v>
      </c>
      <c r="Z45" s="387">
        <f t="shared" si="11"/>
        <v>8.0050186988732595</v>
      </c>
      <c r="AA45" s="388">
        <f t="shared" si="12"/>
        <v>8.3226172357273445</v>
      </c>
      <c r="AB45" s="199">
        <f t="shared" si="13"/>
        <v>43496</v>
      </c>
      <c r="AC45" s="426">
        <f>IF(OR(t&lt;Tnet,NoTnet),'2018'!Resal_s+('2018'!Salim-'2018'!Resal_s)*(1-EXP(('2018'!Tnet_s-t)/'2018'!Tau_j)),Resal_s+(Salim-Resal_s)*(1-EXP((Tnet_s-t)/Tau_j)))*Salcycl</f>
        <v>3.8160896729780749E-2</v>
      </c>
      <c r="AD45" s="233">
        <f>(INDEX(Models!$BJ45:$BT45,,AH45)*(1-AF45)+INDEX(Models!$BJ45:$BT45,,AH45+1)*AF45-ERP_i)*AE45*Ramure*Pc/MaxiM</f>
        <v>6.4051353315708916E-3</v>
      </c>
      <c r="AE45" s="307">
        <f t="shared" si="14"/>
        <v>1</v>
      </c>
      <c r="AF45" s="179">
        <f t="shared" si="15"/>
        <v>0.90213984408076087</v>
      </c>
      <c r="AG45" s="178">
        <f t="shared" si="16"/>
        <v>-3</v>
      </c>
      <c r="AH45" s="178">
        <f t="shared" si="17"/>
        <v>3</v>
      </c>
      <c r="AI45" s="227">
        <f t="shared" si="22"/>
        <v>-2.0978601559192391</v>
      </c>
      <c r="AJ45" s="267" t="b">
        <f t="shared" si="18"/>
        <v>0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43497</v>
      </c>
      <c r="B46" s="618">
        <v>20.661999999999999</v>
      </c>
      <c r="C46" s="392"/>
      <c r="D46" s="395">
        <f t="shared" si="0"/>
        <v>20.750664350553627</v>
      </c>
      <c r="E46" s="387">
        <f t="shared" si="1"/>
        <v>21.578173104204978</v>
      </c>
      <c r="F46" s="387">
        <f t="shared" si="2"/>
        <v>21.672609398761253</v>
      </c>
      <c r="G46" s="110">
        <f t="shared" si="23"/>
        <v>0.807311441491121</v>
      </c>
      <c r="H46" s="414" t="b">
        <f>Wh_hp&gt;='2018'!Maxi_hp</f>
        <v>1</v>
      </c>
      <c r="I46" s="392">
        <f>IF(H46,Wh_hp,'2018'!Maxi_hp)</f>
        <v>21.672609398761253</v>
      </c>
      <c r="J46" s="85">
        <f>IF(H46,An,'2018'!An_max)</f>
        <v>2019</v>
      </c>
      <c r="K46" s="199">
        <f t="shared" si="3"/>
        <v>43497</v>
      </c>
      <c r="L46" s="147">
        <f>IF(t&lt;Tvie,1-EXP((T0-t)*PertePVj)+'2018'!Pspv,1-EXP((T0-t)*PertePVj)+Pspv)</f>
        <v>4.2728439463801671E-3</v>
      </c>
      <c r="M46" s="870"/>
      <c r="N46" s="870"/>
      <c r="O46" s="48">
        <f>IF(t&lt;Tnet,'2018'!Resal+('2018'!Salim-'2018'!Resal)*(1-EXP(('2018'!Tnet-t)/('2018'!Tau_j))),Resal+(Salim-Resal)*(1-EXP((Tnet-t)/(Tau_j))))*Salcycl</f>
        <v>3.8349342627624537E-2</v>
      </c>
      <c r="P46" s="171">
        <f>(INDEX(Models!$BJ46:$BT46,,T46)*(1-R46)+INDEX(Models!$BJ46:$BT46,,T46+1)*R46-ERP_i)*Q46*Ramure*Pc/MaxiM</f>
        <v>5.9967069569276743E-3</v>
      </c>
      <c r="Q46" s="307">
        <f t="shared" si="4"/>
        <v>1</v>
      </c>
      <c r="R46" s="179">
        <f t="shared" si="5"/>
        <v>0.90227921210737794</v>
      </c>
      <c r="S46" s="837">
        <f t="shared" si="6"/>
        <v>-3</v>
      </c>
      <c r="T46" s="178">
        <f t="shared" si="7"/>
        <v>3</v>
      </c>
      <c r="U46" s="253">
        <f t="shared" si="21"/>
        <v>-2.0977207878926221</v>
      </c>
      <c r="V46" s="385">
        <f t="shared" si="8"/>
        <v>25.551453139326352</v>
      </c>
      <c r="W46" s="58"/>
      <c r="X46" s="157">
        <f t="shared" si="9"/>
        <v>43497</v>
      </c>
      <c r="Y46" s="387">
        <f t="shared" si="10"/>
        <v>20.661999999999999</v>
      </c>
      <c r="Z46" s="387">
        <f t="shared" si="11"/>
        <v>20.750664350553627</v>
      </c>
      <c r="AA46" s="388">
        <f t="shared" si="12"/>
        <v>21.578173104204978</v>
      </c>
      <c r="AB46" s="199">
        <f t="shared" si="13"/>
        <v>43497</v>
      </c>
      <c r="AC46" s="426">
        <f>IF(OR(t&lt;Tnet,NoTnet),'2018'!Resal_s+('2018'!Salim-'2018'!Resal_s)*(1-EXP(('2018'!Tnet_s-t)/'2018'!Tau_j)),Resal_s+(Salim-Resal_s)*(1-EXP((Tnet_s-t)/Tau_j)))*Salcycl</f>
        <v>3.8349342627624537E-2</v>
      </c>
      <c r="AD46" s="233">
        <f>(INDEX(Models!$BJ46:$BT46,,AH46)*(1-AF46)+INDEX(Models!$BJ46:$BT46,,AH46+1)*AF46-ERP_i)*AE46*Ramure*Pc/MaxiM</f>
        <v>5.9967069569276743E-3</v>
      </c>
      <c r="AE46" s="307">
        <f t="shared" si="14"/>
        <v>1</v>
      </c>
      <c r="AF46" s="179">
        <f t="shared" si="15"/>
        <v>0.90227921210737794</v>
      </c>
      <c r="AG46" s="178">
        <f t="shared" si="16"/>
        <v>-3</v>
      </c>
      <c r="AH46" s="178">
        <f t="shared" si="17"/>
        <v>3</v>
      </c>
      <c r="AI46" s="227">
        <f t="shared" si="22"/>
        <v>-2.0977207878926221</v>
      </c>
      <c r="AJ46" s="267" t="b">
        <f t="shared" si="18"/>
        <v>0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43498</v>
      </c>
      <c r="B47" s="618">
        <v>3.4350000000000001</v>
      </c>
      <c r="C47" s="392"/>
      <c r="D47" s="395">
        <f t="shared" si="0"/>
        <v>3.4498204838992441</v>
      </c>
      <c r="E47" s="387">
        <f t="shared" si="1"/>
        <v>3.5880974994977008</v>
      </c>
      <c r="F47" s="387">
        <f t="shared" si="2"/>
        <v>3.5880974994977008</v>
      </c>
      <c r="G47" s="110">
        <f t="shared" si="23"/>
        <v>0.13197960311640142</v>
      </c>
      <c r="H47" s="414" t="b">
        <f>Wh_hp&gt;='2018'!Maxi_hp</f>
        <v>1</v>
      </c>
      <c r="I47" s="392">
        <f>IF(H47,Wh_hp,'2018'!Maxi_hp)</f>
        <v>3.5880974994977008</v>
      </c>
      <c r="J47" s="85">
        <f>IF(H47,An,'2018'!An_max)</f>
        <v>2019</v>
      </c>
      <c r="K47" s="199">
        <f t="shared" si="3"/>
        <v>43498</v>
      </c>
      <c r="L47" s="147">
        <f>IF(t&lt;Tvie,1-EXP((T0-t)*PertePVj)+'2018'!Pspv,1-EXP((T0-t)*PertePVj)+Pspv)</f>
        <v>4.2960159719652724E-3</v>
      </c>
      <c r="M47" s="870"/>
      <c r="N47" s="870"/>
      <c r="O47" s="48">
        <f>IF(t&lt;Tnet,'2018'!Resal+('2018'!Salim-'2018'!Resal)*(1-EXP(('2018'!Tnet-t)/('2018'!Tau_j))),Resal+(Salim-Resal)*(1-EXP((Tnet-t)/(Tau_j))))*Salcycl</f>
        <v>3.8537697378015622E-2</v>
      </c>
      <c r="P47" s="171">
        <f>(INDEX(Models!$BJ47:$BT47,,T47)*(1-R47)+INDEX(Models!$BJ47:$BT47,,T47+1)*R47-ERP_i)*Q47*Ramure*Pc/MaxiM</f>
        <v>5.5954041791633604E-3</v>
      </c>
      <c r="Q47" s="307">
        <f t="shared" si="4"/>
        <v>1</v>
      </c>
      <c r="R47" s="179">
        <f t="shared" si="5"/>
        <v>0.9024243676987207</v>
      </c>
      <c r="S47" s="837">
        <f t="shared" si="6"/>
        <v>-3</v>
      </c>
      <c r="T47" s="178">
        <f t="shared" si="7"/>
        <v>3</v>
      </c>
      <c r="U47" s="253">
        <f t="shared" si="21"/>
        <v>-2.0975756323012793</v>
      </c>
      <c r="V47" s="385">
        <f t="shared" si="8"/>
        <v>25.881118794030428</v>
      </c>
      <c r="W47" s="58"/>
      <c r="X47" s="157">
        <f t="shared" si="9"/>
        <v>43498</v>
      </c>
      <c r="Y47" s="387">
        <f t="shared" si="10"/>
        <v>3.4350000000000001</v>
      </c>
      <c r="Z47" s="387">
        <f t="shared" si="11"/>
        <v>3.4498204838992441</v>
      </c>
      <c r="AA47" s="388">
        <f t="shared" si="12"/>
        <v>3.5880974994977008</v>
      </c>
      <c r="AB47" s="199">
        <f t="shared" si="13"/>
        <v>43498</v>
      </c>
      <c r="AC47" s="426">
        <f>IF(OR(t&lt;Tnet,NoTnet),'2018'!Resal_s+('2018'!Salim-'2018'!Resal_s)*(1-EXP(('2018'!Tnet_s-t)/'2018'!Tau_j)),Resal_s+(Salim-Resal_s)*(1-EXP((Tnet_s-t)/Tau_j)))*Salcycl</f>
        <v>3.8537697378015622E-2</v>
      </c>
      <c r="AD47" s="233">
        <f>(INDEX(Models!$BJ47:$BT47,,AH47)*(1-AF47)+INDEX(Models!$BJ47:$BT47,,AH47+1)*AF47-ERP_i)*AE47*Ramure*Pc/MaxiM</f>
        <v>5.5954041791633604E-3</v>
      </c>
      <c r="AE47" s="307">
        <f t="shared" si="14"/>
        <v>1</v>
      </c>
      <c r="AF47" s="179">
        <f t="shared" si="15"/>
        <v>0.9024243676987207</v>
      </c>
      <c r="AG47" s="178">
        <f t="shared" si="16"/>
        <v>-3</v>
      </c>
      <c r="AH47" s="178">
        <f t="shared" si="17"/>
        <v>3</v>
      </c>
      <c r="AI47" s="227">
        <f t="shared" si="22"/>
        <v>-2.0975756323012793</v>
      </c>
      <c r="AJ47" s="267" t="b">
        <f t="shared" si="18"/>
        <v>0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43499</v>
      </c>
      <c r="B48" s="618">
        <v>13.613</v>
      </c>
      <c r="C48" s="392"/>
      <c r="D48" s="395">
        <f t="shared" si="0"/>
        <v>13.672052156202341</v>
      </c>
      <c r="E48" s="387">
        <f t="shared" si="1"/>
        <v>14.222845480838227</v>
      </c>
      <c r="F48" s="387">
        <f t="shared" si="2"/>
        <v>14.246059757045629</v>
      </c>
      <c r="G48" s="110">
        <f t="shared" si="23"/>
        <v>0.51745090548632711</v>
      </c>
      <c r="H48" s="414" t="b">
        <f>Wh_hp&gt;='2018'!Maxi_hp</f>
        <v>1</v>
      </c>
      <c r="I48" s="392">
        <f>IF(H48,Wh_hp,'2018'!Maxi_hp)</f>
        <v>14.246059757045629</v>
      </c>
      <c r="J48" s="85">
        <f>IF(H48,An,'2018'!An_max)</f>
        <v>2019</v>
      </c>
      <c r="K48" s="199">
        <f t="shared" si="3"/>
        <v>43499</v>
      </c>
      <c r="L48" s="147">
        <f>IF(t&lt;Tvie,1-EXP((T0-t)*PertePVj)+'2018'!Pspv,1-EXP((T0-t)*PertePVj)+Pspv)</f>
        <v>4.3191874583035084E-3</v>
      </c>
      <c r="M48" s="870"/>
      <c r="N48" s="870"/>
      <c r="O48" s="48">
        <f>IF(t&lt;Tnet,'2018'!Resal+('2018'!Salim-'2018'!Resal)*(1-EXP(('2018'!Tnet-t)/('2018'!Tau_j))),Resal+(Salim-Resal)*(1-EXP((Tnet-t)/(Tau_j))))*Salcycl</f>
        <v>3.8725958555757646E-2</v>
      </c>
      <c r="P48" s="171">
        <f>(INDEX(Models!$BJ48:$BT48,,T48)*(1-R48)+INDEX(Models!$BJ48:$BT48,,T48+1)*R48-ERP_i)*Q48*Ramure*Pc/MaxiM</f>
        <v>5.2011874576222174E-3</v>
      </c>
      <c r="Q48" s="307">
        <f t="shared" si="4"/>
        <v>1</v>
      </c>
      <c r="R48" s="179">
        <f t="shared" si="5"/>
        <v>0.90257554862320655</v>
      </c>
      <c r="S48" s="837">
        <f t="shared" si="6"/>
        <v>-3</v>
      </c>
      <c r="T48" s="178">
        <f t="shared" si="7"/>
        <v>3</v>
      </c>
      <c r="U48" s="253">
        <f t="shared" si="21"/>
        <v>-2.0974244513767935</v>
      </c>
      <c r="V48" s="385">
        <f t="shared" si="8"/>
        <v>26.213693751232643</v>
      </c>
      <c r="W48" s="58"/>
      <c r="X48" s="157">
        <f t="shared" si="9"/>
        <v>43499</v>
      </c>
      <c r="Y48" s="387">
        <f t="shared" si="10"/>
        <v>13.613</v>
      </c>
      <c r="Z48" s="387">
        <f t="shared" si="11"/>
        <v>13.672052156202341</v>
      </c>
      <c r="AA48" s="388">
        <f t="shared" si="12"/>
        <v>14.222845480838227</v>
      </c>
      <c r="AB48" s="199">
        <f t="shared" si="13"/>
        <v>43499</v>
      </c>
      <c r="AC48" s="426">
        <f>IF(OR(t&lt;Tnet,NoTnet),'2018'!Resal_s+('2018'!Salim-'2018'!Resal_s)*(1-EXP(('2018'!Tnet_s-t)/'2018'!Tau_j)),Resal_s+(Salim-Resal_s)*(1-EXP((Tnet_s-t)/Tau_j)))*Salcycl</f>
        <v>3.8725958555757646E-2</v>
      </c>
      <c r="AD48" s="233">
        <f>(INDEX(Models!$BJ48:$BT48,,AH48)*(1-AF48)+INDEX(Models!$BJ48:$BT48,,AH48+1)*AF48-ERP_i)*AE48*Ramure*Pc/MaxiM</f>
        <v>5.2011874576222174E-3</v>
      </c>
      <c r="AE48" s="307">
        <f t="shared" si="14"/>
        <v>1</v>
      </c>
      <c r="AF48" s="179">
        <f t="shared" si="15"/>
        <v>0.90257554862320655</v>
      </c>
      <c r="AG48" s="178">
        <f t="shared" si="16"/>
        <v>-3</v>
      </c>
      <c r="AH48" s="178">
        <f t="shared" si="17"/>
        <v>3</v>
      </c>
      <c r="AI48" s="227">
        <f t="shared" si="22"/>
        <v>-2.0974244513767935</v>
      </c>
      <c r="AJ48" s="267" t="b">
        <f t="shared" si="18"/>
        <v>0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43500</v>
      </c>
      <c r="B49" s="618">
        <v>22.289000000000001</v>
      </c>
      <c r="C49" s="392"/>
      <c r="D49" s="395">
        <f t="shared" si="0"/>
        <v>22.386208942566963</v>
      </c>
      <c r="E49" s="387">
        <f t="shared" si="1"/>
        <v>23.292620852267031</v>
      </c>
      <c r="F49" s="387">
        <f t="shared" si="2"/>
        <v>23.379370808970474</v>
      </c>
      <c r="G49" s="110">
        <f t="shared" si="23"/>
        <v>0.83861682047143116</v>
      </c>
      <c r="H49" s="414" t="b">
        <f>Wh_hp&gt;='2018'!Maxi_hp</f>
        <v>1</v>
      </c>
      <c r="I49" s="392">
        <f>IF(H49,Wh_hp,'2018'!Maxi_hp)</f>
        <v>23.379370808970474</v>
      </c>
      <c r="J49" s="85">
        <f>IF(H49,An,'2018'!An_max)</f>
        <v>2019</v>
      </c>
      <c r="K49" s="199">
        <f t="shared" si="3"/>
        <v>43500</v>
      </c>
      <c r="L49" s="147">
        <f>IF(t&lt;Tvie,1-EXP((T0-t)*PertePVj)+'2018'!Pspv,1-EXP((T0-t)*PertePVj)+Pspv)</f>
        <v>4.3423584054073094E-3</v>
      </c>
      <c r="M49" s="870"/>
      <c r="N49" s="870"/>
      <c r="O49" s="48">
        <f>IF(t&lt;Tnet,'2018'!Resal+('2018'!Salim-'2018'!Resal)*(1-EXP(('2018'!Tnet-t)/('2018'!Tau_j))),Resal+(Salim-Resal)*(1-EXP((Tnet-t)/(Tau_j))))*Salcycl</f>
        <v>3.8914122865304331E-2</v>
      </c>
      <c r="P49" s="171">
        <f>(INDEX(Models!$BJ49:$BT49,,T49)*(1-R49)+INDEX(Models!$BJ49:$BT49,,T49+1)*R49-ERP_i)*Q49*Ramure*Pc/MaxiM</f>
        <v>4.813993131556304E-3</v>
      </c>
      <c r="Q49" s="307">
        <f t="shared" si="4"/>
        <v>1</v>
      </c>
      <c r="R49" s="179">
        <f t="shared" si="5"/>
        <v>0.90273300219831931</v>
      </c>
      <c r="S49" s="837">
        <f t="shared" si="6"/>
        <v>-3</v>
      </c>
      <c r="T49" s="178">
        <f t="shared" si="7"/>
        <v>3</v>
      </c>
      <c r="U49" s="253">
        <f t="shared" si="21"/>
        <v>-2.0972669978016807</v>
      </c>
      <c r="V49" s="385">
        <f t="shared" si="8"/>
        <v>26.548851467781237</v>
      </c>
      <c r="W49" s="58"/>
      <c r="X49" s="157">
        <f t="shared" si="9"/>
        <v>43500</v>
      </c>
      <c r="Y49" s="387">
        <f t="shared" si="10"/>
        <v>22.289000000000001</v>
      </c>
      <c r="Z49" s="387">
        <f t="shared" si="11"/>
        <v>22.386208942566963</v>
      </c>
      <c r="AA49" s="388">
        <f t="shared" si="12"/>
        <v>23.292620852267031</v>
      </c>
      <c r="AB49" s="199">
        <f t="shared" si="13"/>
        <v>43500</v>
      </c>
      <c r="AC49" s="426">
        <f>IF(OR(t&lt;Tnet,NoTnet),'2018'!Resal_s+('2018'!Salim-'2018'!Resal_s)*(1-EXP(('2018'!Tnet_s-t)/'2018'!Tau_j)),Resal_s+(Salim-Resal_s)*(1-EXP((Tnet_s-t)/Tau_j)))*Salcycl</f>
        <v>3.8914122865304331E-2</v>
      </c>
      <c r="AD49" s="233">
        <f>(INDEX(Models!$BJ49:$BT49,,AH49)*(1-AF49)+INDEX(Models!$BJ49:$BT49,,AH49+1)*AF49-ERP_i)*AE49*Ramure*Pc/MaxiM</f>
        <v>4.813993131556304E-3</v>
      </c>
      <c r="AE49" s="307">
        <f t="shared" si="14"/>
        <v>1</v>
      </c>
      <c r="AF49" s="179">
        <f t="shared" si="15"/>
        <v>0.90273300219831931</v>
      </c>
      <c r="AG49" s="178">
        <f t="shared" si="16"/>
        <v>-3</v>
      </c>
      <c r="AH49" s="178">
        <f t="shared" si="17"/>
        <v>3</v>
      </c>
      <c r="AI49" s="227">
        <f t="shared" si="22"/>
        <v>-2.0972669978016807</v>
      </c>
      <c r="AJ49" s="267" t="b">
        <f t="shared" si="18"/>
        <v>0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43501</v>
      </c>
      <c r="B50" s="618">
        <v>4.3209999999999997</v>
      </c>
      <c r="C50" s="392"/>
      <c r="D50" s="395">
        <f t="shared" si="0"/>
        <v>4.3399461600096467</v>
      </c>
      <c r="E50" s="387">
        <f t="shared" si="1"/>
        <v>4.5165532666892174</v>
      </c>
      <c r="F50" s="387">
        <f t="shared" si="2"/>
        <v>4.5165532666892174</v>
      </c>
      <c r="G50" s="110">
        <f t="shared" si="23"/>
        <v>0.16000146189712783</v>
      </c>
      <c r="H50" s="414" t="b">
        <f>Wh_hp&gt;='2018'!Maxi_hp</f>
        <v>1</v>
      </c>
      <c r="I50" s="392">
        <f>IF(H50,Wh_hp,'2018'!Maxi_hp)</f>
        <v>4.5165532666892174</v>
      </c>
      <c r="J50" s="85">
        <f>IF(H50,An,'2018'!An_max)</f>
        <v>2019</v>
      </c>
      <c r="K50" s="199">
        <f t="shared" si="3"/>
        <v>43501</v>
      </c>
      <c r="L50" s="147">
        <f>IF(t&lt;Tvie,1-EXP((T0-t)*PertePVj)+'2018'!Pspv,1-EXP((T0-t)*PertePVj)+Pspv)</f>
        <v>4.3655288132894432E-3</v>
      </c>
      <c r="M50" s="870"/>
      <c r="N50" s="870"/>
      <c r="O50" s="48">
        <f>IF(t&lt;Tnet,'2018'!Resal+('2018'!Salim-'2018'!Resal)*(1-EXP(('2018'!Tnet-t)/('2018'!Tau_j))),Resal+(Salim-Resal)*(1-EXP((Tnet-t)/(Tau_j))))*Salcycl</f>
        <v>3.9102186169727063E-2</v>
      </c>
      <c r="P50" s="171">
        <f>(INDEX(Models!$BJ50:$BT50,,T50)*(1-R50)+INDEX(Models!$BJ50:$BT50,,T50+1)*R50-ERP_i)*Q50*Ramure*Pc/MaxiM</f>
        <v>4.4337357505731586E-3</v>
      </c>
      <c r="Q50" s="307">
        <f t="shared" si="4"/>
        <v>1</v>
      </c>
      <c r="R50" s="179">
        <f t="shared" si="5"/>
        <v>0.9028969856554121</v>
      </c>
      <c r="S50" s="837">
        <f t="shared" si="6"/>
        <v>-3</v>
      </c>
      <c r="T50" s="178">
        <f t="shared" si="7"/>
        <v>3</v>
      </c>
      <c r="U50" s="253">
        <f t="shared" si="21"/>
        <v>-2.0971030143445879</v>
      </c>
      <c r="V50" s="385">
        <f t="shared" si="8"/>
        <v>26.886265767919184</v>
      </c>
      <c r="W50" s="58"/>
      <c r="X50" s="157">
        <f t="shared" si="9"/>
        <v>43501</v>
      </c>
      <c r="Y50" s="387">
        <f t="shared" si="10"/>
        <v>4.3209999999999997</v>
      </c>
      <c r="Z50" s="387">
        <f t="shared" si="11"/>
        <v>4.3399461600096467</v>
      </c>
      <c r="AA50" s="388">
        <f t="shared" si="12"/>
        <v>4.5165532666892174</v>
      </c>
      <c r="AB50" s="199">
        <f t="shared" si="13"/>
        <v>43501</v>
      </c>
      <c r="AC50" s="426">
        <f>IF(OR(t&lt;Tnet,NoTnet),'2018'!Resal_s+('2018'!Salim-'2018'!Resal_s)*(1-EXP(('2018'!Tnet_s-t)/'2018'!Tau_j)),Resal_s+(Salim-Resal_s)*(1-EXP((Tnet_s-t)/Tau_j)))*Salcycl</f>
        <v>3.9102186169727063E-2</v>
      </c>
      <c r="AD50" s="233">
        <f>(INDEX(Models!$BJ50:$BT50,,AH50)*(1-AF50)+INDEX(Models!$BJ50:$BT50,,AH50+1)*AF50-ERP_i)*AE50*Ramure*Pc/MaxiM</f>
        <v>4.4337357505731586E-3</v>
      </c>
      <c r="AE50" s="307">
        <f t="shared" si="14"/>
        <v>1</v>
      </c>
      <c r="AF50" s="179">
        <f t="shared" si="15"/>
        <v>0.9028969856554121</v>
      </c>
      <c r="AG50" s="178">
        <f t="shared" si="16"/>
        <v>-3</v>
      </c>
      <c r="AH50" s="178">
        <f t="shared" si="17"/>
        <v>3</v>
      </c>
      <c r="AI50" s="227">
        <f t="shared" si="22"/>
        <v>-2.0971030143445879</v>
      </c>
      <c r="AJ50" s="267" t="b">
        <f t="shared" si="18"/>
        <v>0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43502</v>
      </c>
      <c r="B51" s="618">
        <v>11.99</v>
      </c>
      <c r="C51" s="392"/>
      <c r="D51" s="395">
        <f t="shared" si="0"/>
        <v>12.042852450677355</v>
      </c>
      <c r="E51" s="387">
        <f t="shared" si="1"/>
        <v>12.535368893759742</v>
      </c>
      <c r="F51" s="387">
        <f t="shared" si="2"/>
        <v>12.545584475444311</v>
      </c>
      <c r="G51" s="110">
        <f t="shared" si="23"/>
        <v>0.4389542001769306</v>
      </c>
      <c r="H51" s="414" t="b">
        <f>Wh_hp&gt;='2018'!Maxi_hp</f>
        <v>1</v>
      </c>
      <c r="I51" s="392">
        <f>IF(H51,Wh_hp,'2018'!Maxi_hp)</f>
        <v>12.545584475444311</v>
      </c>
      <c r="J51" s="85">
        <f>IF(H51,An,'2018'!An_max)</f>
        <v>2019</v>
      </c>
      <c r="K51" s="199">
        <f t="shared" si="3"/>
        <v>43502</v>
      </c>
      <c r="L51" s="147">
        <f>IF(t&lt;Tvie,1-EXP((T0-t)*PertePVj)+'2018'!Pspv,1-EXP((T0-t)*PertePVj)+Pspv)</f>
        <v>4.3886986819623441E-3</v>
      </c>
      <c r="M51" s="870"/>
      <c r="N51" s="870"/>
      <c r="O51" s="48">
        <f>IF(t&lt;Tnet,'2018'!Resal+('2018'!Salim-'2018'!Resal)*(1-EXP(('2018'!Tnet-t)/('2018'!Tau_j))),Resal+(Salim-Resal)*(1-EXP((Tnet-t)/(Tau_j))))*Salcycl</f>
        <v>3.9290143533595417E-2</v>
      </c>
      <c r="P51" s="171">
        <f>(INDEX(Models!$BJ51:$BT51,,T51)*(1-R51)+INDEX(Models!$BJ51:$BT51,,T51+1)*R51-ERP_i)*Q51*Ramure*Pc/MaxiM</f>
        <v>4.0602245956173882E-3</v>
      </c>
      <c r="Q51" s="307">
        <f t="shared" si="4"/>
        <v>1</v>
      </c>
      <c r="R51" s="179">
        <f t="shared" si="5"/>
        <v>0.90306776651684428</v>
      </c>
      <c r="S51" s="837">
        <f t="shared" si="6"/>
        <v>-3</v>
      </c>
      <c r="T51" s="178">
        <f t="shared" si="7"/>
        <v>3</v>
      </c>
      <c r="U51" s="253">
        <f t="shared" si="21"/>
        <v>-2.0969322334831557</v>
      </c>
      <c r="V51" s="385">
        <f t="shared" si="8"/>
        <v>27.226187533160136</v>
      </c>
      <c r="W51" s="58"/>
      <c r="X51" s="157">
        <f t="shared" si="9"/>
        <v>43502</v>
      </c>
      <c r="Y51" s="387">
        <f t="shared" si="10"/>
        <v>11.99</v>
      </c>
      <c r="Z51" s="387">
        <f t="shared" si="11"/>
        <v>12.042852450677355</v>
      </c>
      <c r="AA51" s="388">
        <f t="shared" si="12"/>
        <v>12.535368893759742</v>
      </c>
      <c r="AB51" s="199">
        <f t="shared" si="13"/>
        <v>43502</v>
      </c>
      <c r="AC51" s="426">
        <f>IF(OR(t&lt;Tnet,NoTnet),'2018'!Resal_s+('2018'!Salim-'2018'!Resal_s)*(1-EXP(('2018'!Tnet_s-t)/'2018'!Tau_j)),Resal_s+(Salim-Resal_s)*(1-EXP((Tnet_s-t)/Tau_j)))*Salcycl</f>
        <v>3.9290143533595417E-2</v>
      </c>
      <c r="AD51" s="233">
        <f>(INDEX(Models!$BJ51:$BT51,,AH51)*(1-AF51)+INDEX(Models!$BJ51:$BT51,,AH51+1)*AF51-ERP_i)*AE51*Ramure*Pc/MaxiM</f>
        <v>4.0602245956173882E-3</v>
      </c>
      <c r="AE51" s="307">
        <f t="shared" si="14"/>
        <v>1</v>
      </c>
      <c r="AF51" s="179">
        <f t="shared" si="15"/>
        <v>0.90306776651684428</v>
      </c>
      <c r="AG51" s="178">
        <f t="shared" si="16"/>
        <v>-3</v>
      </c>
      <c r="AH51" s="178">
        <f t="shared" si="17"/>
        <v>3</v>
      </c>
      <c r="AI51" s="227">
        <f t="shared" si="22"/>
        <v>-2.0969322334831557</v>
      </c>
      <c r="AJ51" s="267" t="b">
        <f t="shared" si="18"/>
        <v>0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43503</v>
      </c>
      <c r="B52" s="618">
        <v>6.101</v>
      </c>
      <c r="C52" s="392"/>
      <c r="D52" s="395">
        <f t="shared" si="0"/>
        <v>6.1280360863824512</v>
      </c>
      <c r="E52" s="387">
        <f t="shared" si="1"/>
        <v>6.3799017804748921</v>
      </c>
      <c r="F52" s="387">
        <f t="shared" si="2"/>
        <v>6.3799017804748921</v>
      </c>
      <c r="G52" s="110">
        <f t="shared" si="23"/>
        <v>0.2204807264650028</v>
      </c>
      <c r="H52" s="414" t="b">
        <f>Wh_hp&gt;='2018'!Maxi_hp</f>
        <v>1</v>
      </c>
      <c r="I52" s="392">
        <f>IF(H52,Wh_hp,'2018'!Maxi_hp)</f>
        <v>6.3799017804748921</v>
      </c>
      <c r="J52" s="85">
        <f>IF(H52,An,'2018'!An_max)</f>
        <v>2019</v>
      </c>
      <c r="K52" s="199">
        <f t="shared" si="3"/>
        <v>43503</v>
      </c>
      <c r="L52" s="147">
        <f>IF(t&lt;Tvie,1-EXP((T0-t)*PertePVj)+'2018'!Pspv,1-EXP((T0-t)*PertePVj)+Pspv)</f>
        <v>4.4118680114384468E-3</v>
      </c>
      <c r="M52" s="870"/>
      <c r="N52" s="870"/>
      <c r="O52" s="48">
        <f>IF(t&lt;Tnet,'2018'!Resal+('2018'!Salim-'2018'!Resal)*(1-EXP(('2018'!Tnet-t)/('2018'!Tau_j))),Resal+(Salim-Resal)*(1-EXP((Tnet-t)/(Tau_j))))*Salcycl</f>
        <v>3.9477989279279084E-2</v>
      </c>
      <c r="P52" s="171">
        <f>(INDEX(Models!$BJ52:$BT52,,T52)*(1-R52)+INDEX(Models!$BJ52:$BT52,,T52+1)*R52-ERP_i)*Q52*Ramure*Pc/MaxiM</f>
        <v>3.7079395773404957E-3</v>
      </c>
      <c r="Q52" s="307">
        <f t="shared" si="4"/>
        <v>1</v>
      </c>
      <c r="R52" s="179">
        <f t="shared" si="5"/>
        <v>0.90324562298570621</v>
      </c>
      <c r="S52" s="837">
        <f t="shared" si="6"/>
        <v>-3</v>
      </c>
      <c r="T52" s="178">
        <f t="shared" si="7"/>
        <v>3</v>
      </c>
      <c r="U52" s="253">
        <f t="shared" si="21"/>
        <v>-2.0967543770142938</v>
      </c>
      <c r="V52" s="385">
        <f t="shared" si="8"/>
        <v>27.568749242140559</v>
      </c>
      <c r="W52" s="58"/>
      <c r="X52" s="157">
        <f t="shared" si="9"/>
        <v>43503</v>
      </c>
      <c r="Y52" s="387">
        <f t="shared" si="10"/>
        <v>6.101</v>
      </c>
      <c r="Z52" s="387">
        <f t="shared" si="11"/>
        <v>6.1280360863824512</v>
      </c>
      <c r="AA52" s="388">
        <f t="shared" si="12"/>
        <v>6.3799017804748921</v>
      </c>
      <c r="AB52" s="199">
        <f t="shared" si="13"/>
        <v>43503</v>
      </c>
      <c r="AC52" s="426">
        <f>IF(OR(t&lt;Tnet,NoTnet),'2018'!Resal_s+('2018'!Salim-'2018'!Resal_s)*(1-EXP(('2018'!Tnet_s-t)/'2018'!Tau_j)),Resal_s+(Salim-Resal_s)*(1-EXP((Tnet_s-t)/Tau_j)))*Salcycl</f>
        <v>3.9477989279279084E-2</v>
      </c>
      <c r="AD52" s="233">
        <f>(INDEX(Models!$BJ52:$BT52,,AH52)*(1-AF52)+INDEX(Models!$BJ52:$BT52,,AH52+1)*AF52-ERP_i)*AE52*Ramure*Pc/MaxiM</f>
        <v>3.7079395773404957E-3</v>
      </c>
      <c r="AE52" s="307">
        <f t="shared" si="14"/>
        <v>1</v>
      </c>
      <c r="AF52" s="179">
        <f t="shared" si="15"/>
        <v>0.90324562298570621</v>
      </c>
      <c r="AG52" s="178">
        <f t="shared" si="16"/>
        <v>-3</v>
      </c>
      <c r="AH52" s="178">
        <f t="shared" si="17"/>
        <v>3</v>
      </c>
      <c r="AI52" s="227">
        <f t="shared" si="22"/>
        <v>-2.0967543770142938</v>
      </c>
      <c r="AJ52" s="267" t="b">
        <f t="shared" si="18"/>
        <v>0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43504</v>
      </c>
      <c r="B53" s="618">
        <v>23.785</v>
      </c>
      <c r="C53" s="392"/>
      <c r="D53" s="395">
        <f t="shared" si="0"/>
        <v>23.890957274742053</v>
      </c>
      <c r="E53" s="387">
        <f t="shared" si="1"/>
        <v>24.87775111131403</v>
      </c>
      <c r="F53" s="387">
        <f t="shared" si="2"/>
        <v>24.944397826981607</v>
      </c>
      <c r="G53" s="110">
        <f t="shared" si="23"/>
        <v>0.85147782451243059</v>
      </c>
      <c r="H53" s="414" t="b">
        <f>Wh_hp&gt;='2018'!Maxi_hp</f>
        <v>1</v>
      </c>
      <c r="I53" s="392">
        <f>IF(H53,Wh_hp,'2018'!Maxi_hp)</f>
        <v>24.944397826981607</v>
      </c>
      <c r="J53" s="85">
        <f>IF(H53,An,'2018'!An_max)</f>
        <v>2019</v>
      </c>
      <c r="K53" s="199">
        <f t="shared" si="3"/>
        <v>43504</v>
      </c>
      <c r="L53" s="147">
        <f>IF(t&lt;Tvie,1-EXP((T0-t)*PertePVj)+'2018'!Pspv,1-EXP((T0-t)*PertePVj)+Pspv)</f>
        <v>4.4350368017305186E-3</v>
      </c>
      <c r="M53" s="870"/>
      <c r="N53" s="870"/>
      <c r="O53" s="48">
        <f>IF(t&lt;Tnet,'2018'!Resal+('2018'!Salim-'2018'!Resal)*(1-EXP(('2018'!Tnet-t)/('2018'!Tau_j))),Resal+(Salim-Resal)*(1-EXP((Tnet-t)/(Tau_j))))*Salcycl</f>
        <v>3.9665717056040349E-2</v>
      </c>
      <c r="P53" s="171">
        <f>(INDEX(Models!$BJ53:$BT53,,T53)*(1-R53)+INDEX(Models!$BJ53:$BT53,,T53+1)*R53-ERP_i)*Q53*Ramure*Pc/MaxiM</f>
        <v>3.3876174975197631E-3</v>
      </c>
      <c r="Q53" s="307">
        <f t="shared" si="4"/>
        <v>1</v>
      </c>
      <c r="R53" s="179">
        <f t="shared" si="5"/>
        <v>0.90343084434841892</v>
      </c>
      <c r="S53" s="837">
        <f t="shared" si="6"/>
        <v>-3</v>
      </c>
      <c r="T53" s="178">
        <f t="shared" si="7"/>
        <v>3</v>
      </c>
      <c r="U53" s="253">
        <f t="shared" si="21"/>
        <v>-2.0965691556515811</v>
      </c>
      <c r="V53" s="385">
        <f t="shared" si="8"/>
        <v>27.91373802905656</v>
      </c>
      <c r="W53" s="58"/>
      <c r="X53" s="157">
        <f t="shared" si="9"/>
        <v>43504</v>
      </c>
      <c r="Y53" s="387">
        <f t="shared" si="10"/>
        <v>23.785</v>
      </c>
      <c r="Z53" s="387">
        <f t="shared" si="11"/>
        <v>23.890957274742053</v>
      </c>
      <c r="AA53" s="388">
        <f t="shared" si="12"/>
        <v>24.87775111131403</v>
      </c>
      <c r="AB53" s="199">
        <f t="shared" si="13"/>
        <v>43504</v>
      </c>
      <c r="AC53" s="426">
        <f>IF(OR(t&lt;Tnet,NoTnet),'2018'!Resal_s+('2018'!Salim-'2018'!Resal_s)*(1-EXP(('2018'!Tnet_s-t)/'2018'!Tau_j)),Resal_s+(Salim-Resal_s)*(1-EXP((Tnet_s-t)/Tau_j)))*Salcycl</f>
        <v>3.9665717056040349E-2</v>
      </c>
      <c r="AD53" s="233">
        <f>(INDEX(Models!$BJ53:$BT53,,AH53)*(1-AF53)+INDEX(Models!$BJ53:$BT53,,AH53+1)*AF53-ERP_i)*AE53*Ramure*Pc/MaxiM</f>
        <v>3.3876174975197631E-3</v>
      </c>
      <c r="AE53" s="307">
        <f t="shared" si="14"/>
        <v>1</v>
      </c>
      <c r="AF53" s="179">
        <f t="shared" si="15"/>
        <v>0.90343084434841892</v>
      </c>
      <c r="AG53" s="178">
        <f t="shared" si="16"/>
        <v>-3</v>
      </c>
      <c r="AH53" s="178">
        <f t="shared" si="17"/>
        <v>3</v>
      </c>
      <c r="AI53" s="227">
        <f t="shared" si="22"/>
        <v>-2.0965691556515811</v>
      </c>
      <c r="AJ53" s="267" t="b">
        <f t="shared" si="18"/>
        <v>0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43505</v>
      </c>
      <c r="B54" s="618">
        <v>24.696000000000002</v>
      </c>
      <c r="C54" s="392"/>
      <c r="D54" s="395">
        <f t="shared" si="0"/>
        <v>24.806592877711431</v>
      </c>
      <c r="E54" s="387">
        <f t="shared" si="1"/>
        <v>25.836253347951391</v>
      </c>
      <c r="F54" s="387">
        <f t="shared" si="2"/>
        <v>25.902040651021281</v>
      </c>
      <c r="G54" s="110">
        <f t="shared" si="23"/>
        <v>0.87335721995157267</v>
      </c>
      <c r="H54" s="414" t="b">
        <f>Wh_hp&gt;='2018'!Maxi_hp</f>
        <v>1</v>
      </c>
      <c r="I54" s="392">
        <f>IF(H54,Wh_hp,'2018'!Maxi_hp)</f>
        <v>25.902040651021281</v>
      </c>
      <c r="J54" s="85">
        <f>IF(H54,An,'2018'!An_max)</f>
        <v>2019</v>
      </c>
      <c r="K54" s="199">
        <f t="shared" si="3"/>
        <v>43505</v>
      </c>
      <c r="L54" s="147">
        <f>IF(t&lt;Tvie,1-EXP((T0-t)*PertePVj)+'2018'!Pspv,1-EXP((T0-t)*PertePVj)+Pspv)</f>
        <v>4.4582050528509942E-3</v>
      </c>
      <c r="M54" s="870"/>
      <c r="N54" s="870"/>
      <c r="O54" s="48">
        <f>IF(t&lt;Tnet,'2018'!Resal+('2018'!Salim-'2018'!Resal)*(1-EXP(('2018'!Tnet-t)/('2018'!Tau_j))),Resal+(Salim-Resal)*(1-EXP((Tnet-t)/(Tau_j))))*Salcycl</f>
        <v>3.9853319921156587E-2</v>
      </c>
      <c r="P54" s="171">
        <f>(INDEX(Models!$BJ54:$BT54,,T54)*(1-R54)+INDEX(Models!$BJ54:$BT54,,T54+1)*R54-ERP_i)*Q54*Ramure*Pc/MaxiM</f>
        <v>3.0982074608367611E-3</v>
      </c>
      <c r="Q54" s="307">
        <f t="shared" si="4"/>
        <v>1</v>
      </c>
      <c r="R54" s="179">
        <f t="shared" si="5"/>
        <v>0.90362373139044649</v>
      </c>
      <c r="S54" s="837">
        <f t="shared" si="6"/>
        <v>-3</v>
      </c>
      <c r="T54" s="178">
        <f t="shared" si="7"/>
        <v>3</v>
      </c>
      <c r="U54" s="253">
        <f t="shared" si="21"/>
        <v>-2.0963762686095535</v>
      </c>
      <c r="V54" s="385">
        <f t="shared" si="8"/>
        <v>28.261260265005788</v>
      </c>
      <c r="W54" s="58"/>
      <c r="X54" s="157">
        <f t="shared" si="9"/>
        <v>43505</v>
      </c>
      <c r="Y54" s="387">
        <f t="shared" si="10"/>
        <v>24.696000000000002</v>
      </c>
      <c r="Z54" s="387">
        <f t="shared" si="11"/>
        <v>24.806592877711431</v>
      </c>
      <c r="AA54" s="388">
        <f t="shared" si="12"/>
        <v>25.836253347951391</v>
      </c>
      <c r="AB54" s="199">
        <f t="shared" si="13"/>
        <v>43505</v>
      </c>
      <c r="AC54" s="426">
        <f>IF(OR(t&lt;Tnet,NoTnet),'2018'!Resal_s+('2018'!Salim-'2018'!Resal_s)*(1-EXP(('2018'!Tnet_s-t)/'2018'!Tau_j)),Resal_s+(Salim-Resal_s)*(1-EXP((Tnet_s-t)/Tau_j)))*Salcycl</f>
        <v>3.9853319921156587E-2</v>
      </c>
      <c r="AD54" s="233">
        <f>(INDEX(Models!$BJ54:$BT54,,AH54)*(1-AF54)+INDEX(Models!$BJ54:$BT54,,AH54+1)*AF54-ERP_i)*AE54*Ramure*Pc/MaxiM</f>
        <v>3.0982074608367611E-3</v>
      </c>
      <c r="AE54" s="307">
        <f t="shared" si="14"/>
        <v>1</v>
      </c>
      <c r="AF54" s="179">
        <f t="shared" si="15"/>
        <v>0.90362373139044649</v>
      </c>
      <c r="AG54" s="178">
        <f t="shared" si="16"/>
        <v>-3</v>
      </c>
      <c r="AH54" s="178">
        <f t="shared" si="17"/>
        <v>3</v>
      </c>
      <c r="AI54" s="227">
        <f t="shared" si="22"/>
        <v>-2.0963762686095535</v>
      </c>
      <c r="AJ54" s="267" t="b">
        <f t="shared" si="18"/>
        <v>0</v>
      </c>
      <c r="AK54" s="267" t="b">
        <f t="shared" si="19"/>
        <v>0</v>
      </c>
      <c r="AL54" s="267"/>
      <c r="AM54" s="267"/>
      <c r="AN54" s="75"/>
    </row>
    <row r="55" spans="1:40" s="6" customFormat="1" ht="11.25" customHeight="1" x14ac:dyDescent="0.2">
      <c r="A55" s="56">
        <f t="shared" si="20"/>
        <v>43506</v>
      </c>
      <c r="B55" s="618">
        <v>8.2569999999999997</v>
      </c>
      <c r="C55" s="392"/>
      <c r="D55" s="395">
        <f t="shared" si="0"/>
        <v>8.2941692642475413</v>
      </c>
      <c r="E55" s="387">
        <f t="shared" si="1"/>
        <v>8.6401267695340351</v>
      </c>
      <c r="F55" s="387">
        <f t="shared" si="2"/>
        <v>8.6401267695340351</v>
      </c>
      <c r="G55" s="110">
        <f t="shared" si="23"/>
        <v>0.28777181530427365</v>
      </c>
      <c r="H55" s="414" t="b">
        <f>Wh_hp&gt;='2018'!Maxi_hp</f>
        <v>1</v>
      </c>
      <c r="I55" s="392">
        <f>IF(H55,Wh_hp,'2018'!Maxi_hp)</f>
        <v>8.6401267695340351</v>
      </c>
      <c r="J55" s="85">
        <f>IF(H55,An,'2018'!An_max)</f>
        <v>2019</v>
      </c>
      <c r="K55" s="199">
        <f t="shared" si="3"/>
        <v>43506</v>
      </c>
      <c r="L55" s="147">
        <f>IF(t&lt;Tvie,1-EXP((T0-t)*PertePVj)+'2018'!Pspv,1-EXP((T0-t)*PertePVj)+Pspv)</f>
        <v>4.4813727648123081E-3</v>
      </c>
      <c r="M55" s="870"/>
      <c r="N55" s="870"/>
      <c r="O55" s="48">
        <f>IF(t&lt;Tnet,'2018'!Resal+('2018'!Salim-'2018'!Resal)*(1-EXP(('2018'!Tnet-t)/('2018'!Tau_j))),Resal+(Salim-Resal)*(1-EXP((Tnet-t)/(Tau_j))))*Salcycl</f>
        <v>4.0040790432193024E-2</v>
      </c>
      <c r="P55" s="171">
        <f>(INDEX(Models!$BJ55:$BT55,,T55)*(1-R55)+INDEX(Models!$BJ55:$BT55,,T55+1)*R55-ERP_i)*Q55*Ramure*Pc/MaxiM</f>
        <v>2.8386915813859428E-3</v>
      </c>
      <c r="Q55" s="307">
        <f t="shared" si="4"/>
        <v>1</v>
      </c>
      <c r="R55" s="179">
        <f t="shared" si="5"/>
        <v>0.90382459682537419</v>
      </c>
      <c r="S55" s="837">
        <f t="shared" si="6"/>
        <v>-3</v>
      </c>
      <c r="T55" s="178">
        <f t="shared" si="7"/>
        <v>3</v>
      </c>
      <c r="U55" s="253">
        <f t="shared" si="21"/>
        <v>-2.0961754031746258</v>
      </c>
      <c r="V55" s="385">
        <f t="shared" si="8"/>
        <v>28.611422264917756</v>
      </c>
      <c r="W55" s="58"/>
      <c r="X55" s="157">
        <f t="shared" si="9"/>
        <v>43506</v>
      </c>
      <c r="Y55" s="387">
        <f t="shared" si="10"/>
        <v>8.2569999999999997</v>
      </c>
      <c r="Z55" s="387">
        <f t="shared" si="11"/>
        <v>8.2941692642475413</v>
      </c>
      <c r="AA55" s="388">
        <f t="shared" si="12"/>
        <v>8.6401267695340351</v>
      </c>
      <c r="AB55" s="199">
        <f t="shared" si="13"/>
        <v>43506</v>
      </c>
      <c r="AC55" s="426">
        <f>IF(OR(t&lt;Tnet,NoTnet),'2018'!Resal_s+('2018'!Salim-'2018'!Resal_s)*(1-EXP(('2018'!Tnet_s-t)/'2018'!Tau_j)),Resal_s+(Salim-Resal_s)*(1-EXP((Tnet_s-t)/Tau_j)))*Salcycl</f>
        <v>4.0040790432193024E-2</v>
      </c>
      <c r="AD55" s="233">
        <f>(INDEX(Models!$BJ55:$BT55,,AH55)*(1-AF55)+INDEX(Models!$BJ55:$BT55,,AH55+1)*AF55-ERP_i)*AE55*Ramure*Pc/MaxiM</f>
        <v>2.8386915813859428E-3</v>
      </c>
      <c r="AE55" s="307">
        <f t="shared" si="14"/>
        <v>1</v>
      </c>
      <c r="AF55" s="179">
        <f t="shared" si="15"/>
        <v>0.90382459682537419</v>
      </c>
      <c r="AG55" s="178">
        <f t="shared" si="16"/>
        <v>-3</v>
      </c>
      <c r="AH55" s="178">
        <f t="shared" si="17"/>
        <v>3</v>
      </c>
      <c r="AI55" s="227">
        <f t="shared" si="22"/>
        <v>-2.0961754031746258</v>
      </c>
      <c r="AJ55" s="267" t="b">
        <f t="shared" si="18"/>
        <v>0</v>
      </c>
      <c r="AK55" s="267" t="b">
        <f t="shared" si="19"/>
        <v>0</v>
      </c>
      <c r="AL55" s="267"/>
      <c r="AM55" s="267"/>
      <c r="AN55" s="75"/>
    </row>
    <row r="56" spans="1:40" s="6" customFormat="1" ht="11.25" customHeight="1" x14ac:dyDescent="0.2">
      <c r="A56" s="56">
        <f t="shared" si="20"/>
        <v>43507</v>
      </c>
      <c r="B56" s="618">
        <v>19.808</v>
      </c>
      <c r="C56" s="392"/>
      <c r="D56" s="395">
        <f t="shared" si="0"/>
        <v>19.897629667501377</v>
      </c>
      <c r="E56" s="387">
        <f t="shared" si="1"/>
        <v>20.731623938636751</v>
      </c>
      <c r="F56" s="387">
        <f t="shared" si="2"/>
        <v>20.761317953322195</v>
      </c>
      <c r="G56" s="110">
        <f t="shared" si="23"/>
        <v>0.68306900254004388</v>
      </c>
      <c r="H56" s="414" t="b">
        <f>Wh_hp&gt;='2018'!Maxi_hp</f>
        <v>1</v>
      </c>
      <c r="I56" s="392">
        <f>IF(H56,Wh_hp,'2018'!Maxi_hp)</f>
        <v>20.761317953322195</v>
      </c>
      <c r="J56" s="85">
        <f>IF(H56,An,'2018'!An_max)</f>
        <v>2019</v>
      </c>
      <c r="K56" s="199">
        <f t="shared" si="3"/>
        <v>43507</v>
      </c>
      <c r="L56" s="147">
        <f>IF(t&lt;Tvie,1-EXP((T0-t)*PertePVj)+'2018'!Pspv,1-EXP((T0-t)*PertePVj)+Pspv)</f>
        <v>4.5045399376272277E-3</v>
      </c>
      <c r="M56" s="870"/>
      <c r="N56" s="870"/>
      <c r="O56" s="48">
        <f>IF(t&lt;Tnet,'2018'!Resal+('2018'!Salim-'2018'!Resal)*(1-EXP(('2018'!Tnet-t)/('2018'!Tau_j))),Resal+(Salim-Resal)*(1-EXP((Tnet-t)/(Tau_j))))*Salcycl</f>
        <v>4.0228120749435971E-2</v>
      </c>
      <c r="P56" s="171">
        <f>(INDEX(Models!$BJ56:$BT56,,T56)*(1-R56)+INDEX(Models!$BJ56:$BT56,,T56+1)*R56-ERP_i)*Q56*Ramure*Pc/MaxiM</f>
        <v>2.6080834437745594E-3</v>
      </c>
      <c r="Q56" s="307">
        <f t="shared" si="4"/>
        <v>1</v>
      </c>
      <c r="R56" s="179">
        <f t="shared" si="5"/>
        <v>0.90403376573757965</v>
      </c>
      <c r="S56" s="837">
        <f t="shared" si="6"/>
        <v>-3</v>
      </c>
      <c r="T56" s="178">
        <f t="shared" si="7"/>
        <v>3</v>
      </c>
      <c r="U56" s="253">
        <f t="shared" si="21"/>
        <v>-2.0959662342624203</v>
      </c>
      <c r="V56" s="385">
        <f t="shared" si="8"/>
        <v>28.964330277908171</v>
      </c>
      <c r="W56" s="58"/>
      <c r="X56" s="157">
        <f t="shared" si="9"/>
        <v>43507</v>
      </c>
      <c r="Y56" s="387">
        <f t="shared" si="10"/>
        <v>19.808</v>
      </c>
      <c r="Z56" s="387">
        <f t="shared" si="11"/>
        <v>19.897629667501377</v>
      </c>
      <c r="AA56" s="388">
        <f t="shared" si="12"/>
        <v>20.731623938636751</v>
      </c>
      <c r="AB56" s="199">
        <f t="shared" si="13"/>
        <v>43507</v>
      </c>
      <c r="AC56" s="426">
        <f>IF(OR(t&lt;Tnet,NoTnet),'2018'!Resal_s+('2018'!Salim-'2018'!Resal_s)*(1-EXP(('2018'!Tnet_s-t)/'2018'!Tau_j)),Resal_s+(Salim-Resal_s)*(1-EXP((Tnet_s-t)/Tau_j)))*Salcycl</f>
        <v>4.0228120749435971E-2</v>
      </c>
      <c r="AD56" s="233">
        <f>(INDEX(Models!$BJ56:$BT56,,AH56)*(1-AF56)+INDEX(Models!$BJ56:$BT56,,AH56+1)*AF56-ERP_i)*AE56*Ramure*Pc/MaxiM</f>
        <v>2.6080834437745594E-3</v>
      </c>
      <c r="AE56" s="307">
        <f t="shared" si="14"/>
        <v>1</v>
      </c>
      <c r="AF56" s="179">
        <f t="shared" si="15"/>
        <v>0.90403376573757965</v>
      </c>
      <c r="AG56" s="178">
        <f t="shared" si="16"/>
        <v>-3</v>
      </c>
      <c r="AH56" s="178">
        <f t="shared" si="17"/>
        <v>3</v>
      </c>
      <c r="AI56" s="227">
        <f t="shared" si="22"/>
        <v>-2.0959662342624203</v>
      </c>
      <c r="AJ56" s="267" t="b">
        <f t="shared" si="18"/>
        <v>0</v>
      </c>
      <c r="AK56" s="267" t="b">
        <f t="shared" si="19"/>
        <v>0</v>
      </c>
      <c r="AL56" s="267"/>
      <c r="AM56" s="267"/>
      <c r="AN56" s="75"/>
    </row>
    <row r="57" spans="1:40" s="6" customFormat="1" ht="11.25" customHeight="1" x14ac:dyDescent="0.2">
      <c r="A57" s="56">
        <f t="shared" si="20"/>
        <v>43508</v>
      </c>
      <c r="B57" s="618">
        <v>29.193000000000001</v>
      </c>
      <c r="C57" s="392"/>
      <c r="D57" s="395">
        <f t="shared" si="0"/>
        <v>29.325778520114248</v>
      </c>
      <c r="E57" s="387">
        <f t="shared" si="1"/>
        <v>30.560906821541984</v>
      </c>
      <c r="F57" s="387">
        <f t="shared" si="2"/>
        <v>30.634138699782948</v>
      </c>
      <c r="G57" s="110">
        <f t="shared" si="23"/>
        <v>0.99565054722338986</v>
      </c>
      <c r="H57" s="414" t="b">
        <f>Wh_hp&gt;='2018'!Maxi_hp</f>
        <v>1</v>
      </c>
      <c r="I57" s="392">
        <f>IF(H57,Wh_hp,'2018'!Maxi_hp)</f>
        <v>30.634138699782948</v>
      </c>
      <c r="J57" s="85">
        <f>IF(H57,An,'2018'!An_max)</f>
        <v>2019</v>
      </c>
      <c r="K57" s="199">
        <f t="shared" si="3"/>
        <v>43508</v>
      </c>
      <c r="L57" s="147">
        <f>IF(t&lt;Tvie,1-EXP((T0-t)*PertePVj)+'2018'!Pspv,1-EXP((T0-t)*PertePVj)+Pspv)</f>
        <v>4.5277065713080766E-3</v>
      </c>
      <c r="M57" s="870"/>
      <c r="N57" s="870"/>
      <c r="O57" s="48">
        <f>IF(t&lt;Tnet,'2018'!Resal+('2018'!Salim-'2018'!Resal)*(1-EXP(('2018'!Tnet-t)/('2018'!Tau_j))),Resal+(Salim-Resal)*(1-EXP((Tnet-t)/(Tau_j))))*Salcycl</f>
        <v>4.04153027474011E-2</v>
      </c>
      <c r="P57" s="171">
        <f>(INDEX(Models!$BJ57:$BT57,,T57)*(1-R57)+INDEX(Models!$BJ57:$BT57,,T57+1)*R57-ERP_i)*Q57*Ramure*Pc/MaxiM</f>
        <v>2.4054266974209977E-3</v>
      </c>
      <c r="Q57" s="307">
        <f t="shared" si="4"/>
        <v>1</v>
      </c>
      <c r="R57" s="179">
        <f t="shared" si="5"/>
        <v>0.90425157603871176</v>
      </c>
      <c r="S57" s="837">
        <f t="shared" si="6"/>
        <v>-3</v>
      </c>
      <c r="T57" s="178">
        <f t="shared" si="7"/>
        <v>3</v>
      </c>
      <c r="U57" s="253">
        <f t="shared" si="21"/>
        <v>-2.0957484239612882</v>
      </c>
      <c r="V57" s="385">
        <f t="shared" si="8"/>
        <v>29.320090475947076</v>
      </c>
      <c r="W57" s="58"/>
      <c r="X57" s="157">
        <f t="shared" si="9"/>
        <v>43508</v>
      </c>
      <c r="Y57" s="387">
        <f t="shared" si="10"/>
        <v>29.193000000000001</v>
      </c>
      <c r="Z57" s="387">
        <f t="shared" si="11"/>
        <v>29.325778520114248</v>
      </c>
      <c r="AA57" s="388">
        <f t="shared" si="12"/>
        <v>30.560906821541984</v>
      </c>
      <c r="AB57" s="199">
        <f t="shared" si="13"/>
        <v>43508</v>
      </c>
      <c r="AC57" s="426">
        <f>IF(OR(t&lt;Tnet,NoTnet),'2018'!Resal_s+('2018'!Salim-'2018'!Resal_s)*(1-EXP(('2018'!Tnet_s-t)/'2018'!Tau_j)),Resal_s+(Salim-Resal_s)*(1-EXP((Tnet_s-t)/Tau_j)))*Salcycl</f>
        <v>4.04153027474011E-2</v>
      </c>
      <c r="AD57" s="233">
        <f>(INDEX(Models!$BJ57:$BT57,,AH57)*(1-AF57)+INDEX(Models!$BJ57:$BT57,,AH57+1)*AF57-ERP_i)*AE57*Ramure*Pc/MaxiM</f>
        <v>2.4054266974209977E-3</v>
      </c>
      <c r="AE57" s="307">
        <f t="shared" si="14"/>
        <v>1</v>
      </c>
      <c r="AF57" s="179">
        <f t="shared" si="15"/>
        <v>0.90425157603871176</v>
      </c>
      <c r="AG57" s="178">
        <f t="shared" si="16"/>
        <v>-3</v>
      </c>
      <c r="AH57" s="178">
        <f t="shared" si="17"/>
        <v>3</v>
      </c>
      <c r="AI57" s="227">
        <f t="shared" si="22"/>
        <v>-2.0957484239612882</v>
      </c>
      <c r="AJ57" s="267" t="b">
        <f t="shared" si="18"/>
        <v>0</v>
      </c>
      <c r="AK57" s="267" t="b">
        <f t="shared" si="19"/>
        <v>0</v>
      </c>
      <c r="AL57" s="267"/>
      <c r="AM57" s="267"/>
      <c r="AN57" s="75"/>
    </row>
    <row r="58" spans="1:40" s="6" customFormat="1" ht="11.25" customHeight="1" x14ac:dyDescent="0.2">
      <c r="A58" s="56">
        <f t="shared" si="20"/>
        <v>43509</v>
      </c>
      <c r="B58" s="618">
        <v>30.091000000000001</v>
      </c>
      <c r="C58" s="392"/>
      <c r="D58" s="395">
        <f t="shared" si="0"/>
        <v>30.228566356359522</v>
      </c>
      <c r="E58" s="387">
        <f t="shared" si="1"/>
        <v>31.507858777240571</v>
      </c>
      <c r="F58" s="387">
        <f t="shared" si="2"/>
        <v>31.578425450237262</v>
      </c>
      <c r="G58" s="110">
        <f t="shared" si="23"/>
        <v>1.0138933293945289</v>
      </c>
      <c r="H58" s="414" t="b">
        <f>Wh_hp&gt;='2018'!Maxi_hp</f>
        <v>1</v>
      </c>
      <c r="I58" s="392">
        <f>IF(H58,Wh_hp,'2018'!Maxi_hp)</f>
        <v>31.578425450237262</v>
      </c>
      <c r="J58" s="85">
        <f>IF(H58,An,'2018'!An_max)</f>
        <v>2019</v>
      </c>
      <c r="K58" s="199">
        <f t="shared" si="3"/>
        <v>43509</v>
      </c>
      <c r="L58" s="147">
        <f>IF(t&lt;Tvie,1-EXP((T0-t)*PertePVj)+'2018'!Pspv,1-EXP((T0-t)*PertePVj)+Pspv)</f>
        <v>4.5508726658676224E-3</v>
      </c>
      <c r="M58" s="870"/>
      <c r="N58" s="870"/>
      <c r="O58" s="48">
        <f>IF(t&lt;Tnet,'2018'!Resal+('2018'!Salim-'2018'!Resal)*(1-EXP(('2018'!Tnet-t)/('2018'!Tau_j))),Resal+(Salim-Resal)*(1-EXP((Tnet-t)/(Tau_j))))*Salcycl</f>
        <v>4.060232813424737E-2</v>
      </c>
      <c r="P58" s="171">
        <f>(INDEX(Models!$BJ58:$BT58,,T58)*(1-R58)+INDEX(Models!$BJ58:$BT58,,T58+1)*R58-ERP_i)*Q58*Ramure*Pc/MaxiM</f>
        <v>2.2346482445076516E-3</v>
      </c>
      <c r="Q58" s="307">
        <f t="shared" si="4"/>
        <v>1</v>
      </c>
      <c r="R58" s="179">
        <f t="shared" si="5"/>
        <v>0.90447837893816674</v>
      </c>
      <c r="S58" s="837">
        <f t="shared" si="6"/>
        <v>-3</v>
      </c>
      <c r="T58" s="178">
        <f t="shared" si="7"/>
        <v>3</v>
      </c>
      <c r="U58" s="253">
        <f t="shared" si="21"/>
        <v>-2.0955216210618333</v>
      </c>
      <c r="V58" s="385">
        <f t="shared" si="8"/>
        <v>29.678664537589547</v>
      </c>
      <c r="W58" s="58"/>
      <c r="X58" s="157">
        <f t="shared" si="9"/>
        <v>43509</v>
      </c>
      <c r="Y58" s="387">
        <f t="shared" si="10"/>
        <v>30.091000000000001</v>
      </c>
      <c r="Z58" s="387">
        <f t="shared" si="11"/>
        <v>30.228566356359522</v>
      </c>
      <c r="AA58" s="388">
        <f t="shared" si="12"/>
        <v>31.507858777240571</v>
      </c>
      <c r="AB58" s="199">
        <f t="shared" si="13"/>
        <v>43509</v>
      </c>
      <c r="AC58" s="426">
        <f>IF(OR(t&lt;Tnet,NoTnet),'2018'!Resal_s+('2018'!Salim-'2018'!Resal_s)*(1-EXP(('2018'!Tnet_s-t)/'2018'!Tau_j)),Resal_s+(Salim-Resal_s)*(1-EXP((Tnet_s-t)/Tau_j)))*Salcycl</f>
        <v>4.060232813424737E-2</v>
      </c>
      <c r="AD58" s="233">
        <f>(INDEX(Models!$BJ58:$BT58,,AH58)*(1-AF58)+INDEX(Models!$BJ58:$BT58,,AH58+1)*AF58-ERP_i)*AE58*Ramure*Pc/MaxiM</f>
        <v>2.2346482445076516E-3</v>
      </c>
      <c r="AE58" s="307">
        <f t="shared" si="14"/>
        <v>1</v>
      </c>
      <c r="AF58" s="179">
        <f t="shared" si="15"/>
        <v>0.90447837893816674</v>
      </c>
      <c r="AG58" s="178">
        <f t="shared" si="16"/>
        <v>-3</v>
      </c>
      <c r="AH58" s="178">
        <f t="shared" si="17"/>
        <v>3</v>
      </c>
      <c r="AI58" s="227">
        <f t="shared" si="22"/>
        <v>-2.0955216210618333</v>
      </c>
      <c r="AJ58" s="267" t="b">
        <f t="shared" si="18"/>
        <v>0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43510</v>
      </c>
      <c r="B59" s="618">
        <v>30.271999999999998</v>
      </c>
      <c r="C59" s="392"/>
      <c r="D59" s="395">
        <f t="shared" si="0"/>
        <v>30.411101540800008</v>
      </c>
      <c r="E59" s="387">
        <f t="shared" si="1"/>
        <v>31.704293966111546</v>
      </c>
      <c r="F59" s="387">
        <f t="shared" si="2"/>
        <v>31.770566290205203</v>
      </c>
      <c r="G59" s="110">
        <f t="shared" si="23"/>
        <v>1.007708926849423</v>
      </c>
      <c r="H59" s="414" t="b">
        <f>Wh_hp&gt;='2018'!Maxi_hp</f>
        <v>1</v>
      </c>
      <c r="I59" s="392">
        <f>IF(H59,Wh_hp,'2018'!Maxi_hp)</f>
        <v>31.770566290205203</v>
      </c>
      <c r="J59" s="85">
        <f>IF(H59,An,'2018'!An_max)</f>
        <v>2019</v>
      </c>
      <c r="K59" s="199">
        <f t="shared" si="3"/>
        <v>43510</v>
      </c>
      <c r="L59" s="147">
        <f>IF(t&lt;Tvie,1-EXP((T0-t)*PertePVj)+'2018'!Pspv,1-EXP((T0-t)*PertePVj)+Pspv)</f>
        <v>4.5740382213182995E-3</v>
      </c>
      <c r="M59" s="870"/>
      <c r="N59" s="870"/>
      <c r="O59" s="48">
        <f>IF(t&lt;Tnet,'2018'!Resal+('2018'!Salim-'2018'!Resal)*(1-EXP(('2018'!Tnet-t)/('2018'!Tau_j))),Resal+(Salim-Resal)*(1-EXP((Tnet-t)/(Tau_j))))*Salcycl</f>
        <v>4.0789188577857058E-2</v>
      </c>
      <c r="P59" s="171">
        <f>(INDEX(Models!$BJ59:$BT59,,T59)*(1-R59)+INDEX(Models!$BJ59:$BT59,,T59+1)*R59-ERP_i)*Q59*Ramure*Pc/MaxiM</f>
        <v>2.08596609479032E-3</v>
      </c>
      <c r="Q59" s="307">
        <f t="shared" si="4"/>
        <v>1</v>
      </c>
      <c r="R59" s="179">
        <f t="shared" si="5"/>
        <v>0.90471453942774094</v>
      </c>
      <c r="S59" s="837">
        <f t="shared" si="6"/>
        <v>-3</v>
      </c>
      <c r="T59" s="178">
        <f t="shared" si="7"/>
        <v>3</v>
      </c>
      <c r="U59" s="253">
        <f t="shared" si="21"/>
        <v>-2.0952854605722591</v>
      </c>
      <c r="V59" s="385">
        <f t="shared" si="8"/>
        <v>30.040420595106418</v>
      </c>
      <c r="W59" s="58"/>
      <c r="X59" s="157">
        <f t="shared" si="9"/>
        <v>43510</v>
      </c>
      <c r="Y59" s="387">
        <f t="shared" si="10"/>
        <v>30.271999999999998</v>
      </c>
      <c r="Z59" s="387">
        <f t="shared" si="11"/>
        <v>30.411101540800008</v>
      </c>
      <c r="AA59" s="388">
        <f t="shared" si="12"/>
        <v>31.704293966111546</v>
      </c>
      <c r="AB59" s="199">
        <f t="shared" si="13"/>
        <v>43510</v>
      </c>
      <c r="AC59" s="426">
        <f>IF(OR(t&lt;Tnet,NoTnet),'2018'!Resal_s+('2018'!Salim-'2018'!Resal_s)*(1-EXP(('2018'!Tnet_s-t)/'2018'!Tau_j)),Resal_s+(Salim-Resal_s)*(1-EXP((Tnet_s-t)/Tau_j)))*Salcycl</f>
        <v>4.0789188577857058E-2</v>
      </c>
      <c r="AD59" s="233">
        <f>(INDEX(Models!$BJ59:$BT59,,AH59)*(1-AF59)+INDEX(Models!$BJ59:$BT59,,AH59+1)*AF59-ERP_i)*AE59*Ramure*Pc/MaxiM</f>
        <v>2.08596609479032E-3</v>
      </c>
      <c r="AE59" s="307">
        <f t="shared" si="14"/>
        <v>1</v>
      </c>
      <c r="AF59" s="179">
        <f t="shared" si="15"/>
        <v>0.90471453942774094</v>
      </c>
      <c r="AG59" s="178">
        <f t="shared" si="16"/>
        <v>-3</v>
      </c>
      <c r="AH59" s="178">
        <f t="shared" si="17"/>
        <v>3</v>
      </c>
      <c r="AI59" s="227">
        <f t="shared" si="22"/>
        <v>-2.0952854605722591</v>
      </c>
      <c r="AJ59" s="267" t="b">
        <f t="shared" si="18"/>
        <v>0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43511</v>
      </c>
      <c r="B60" s="618">
        <v>30.420999999999999</v>
      </c>
      <c r="C60" s="392"/>
      <c r="D60" s="395">
        <f t="shared" si="0"/>
        <v>30.561497414863734</v>
      </c>
      <c r="E60" s="387">
        <f t="shared" si="1"/>
        <v>31.867287427775416</v>
      </c>
      <c r="F60" s="387">
        <f t="shared" si="2"/>
        <v>31.929826724148288</v>
      </c>
      <c r="G60" s="110">
        <f t="shared" si="23"/>
        <v>1.0005109440579527</v>
      </c>
      <c r="H60" s="414" t="b">
        <f>Wh_hp&gt;='2018'!Maxi_hp</f>
        <v>1</v>
      </c>
      <c r="I60" s="392">
        <f>IF(H60,Wh_hp,'2018'!Maxi_hp)</f>
        <v>31.929826724148288</v>
      </c>
      <c r="J60" s="85">
        <f>IF(H60,An,'2018'!An_max)</f>
        <v>2019</v>
      </c>
      <c r="K60" s="199">
        <f t="shared" si="3"/>
        <v>43511</v>
      </c>
      <c r="L60" s="147">
        <f>IF(t&lt;Tvie,1-EXP((T0-t)*PertePVj)+'2018'!Pspv,1-EXP((T0-t)*PertePVj)+Pspv)</f>
        <v>4.5972032376726535E-3</v>
      </c>
      <c r="M60" s="870"/>
      <c r="N60" s="870"/>
      <c r="O60" s="48">
        <f>IF(t&lt;Tnet,'2018'!Resal+('2018'!Salim-'2018'!Resal)*(1-EXP(('2018'!Tnet-t)/('2018'!Tau_j))),Resal+(Salim-Resal)*(1-EXP((Tnet-t)/(Tau_j))))*Salcycl</f>
        <v>4.0975875837287637E-2</v>
      </c>
      <c r="P60" s="171">
        <f>(INDEX(Models!$BJ60:$BT60,,T60)*(1-R60)+INDEX(Models!$BJ60:$BT60,,T60+1)*R60-ERP_i)*Q60*Ramure*Pc/MaxiM</f>
        <v>1.9586481603288152E-3</v>
      </c>
      <c r="Q60" s="307">
        <f t="shared" si="4"/>
        <v>1</v>
      </c>
      <c r="R60" s="179">
        <f t="shared" si="5"/>
        <v>0.90496043678060367</v>
      </c>
      <c r="S60" s="837">
        <f t="shared" si="6"/>
        <v>-3</v>
      </c>
      <c r="T60" s="178">
        <f t="shared" si="7"/>
        <v>3</v>
      </c>
      <c r="U60" s="253">
        <f t="shared" si="21"/>
        <v>-2.0950395632193963</v>
      </c>
      <c r="V60" s="385">
        <f t="shared" si="8"/>
        <v>30.405464508580046</v>
      </c>
      <c r="W60" s="58"/>
      <c r="X60" s="157">
        <f t="shared" si="9"/>
        <v>43511</v>
      </c>
      <c r="Y60" s="387">
        <f t="shared" si="10"/>
        <v>30.420999999999999</v>
      </c>
      <c r="Z60" s="387">
        <f t="shared" si="11"/>
        <v>30.561497414863734</v>
      </c>
      <c r="AA60" s="388">
        <f t="shared" si="12"/>
        <v>31.867287427775416</v>
      </c>
      <c r="AB60" s="199">
        <f t="shared" si="13"/>
        <v>43511</v>
      </c>
      <c r="AC60" s="426">
        <f>IF(OR(t&lt;Tnet,NoTnet),'2018'!Resal_s+('2018'!Salim-'2018'!Resal_s)*(1-EXP(('2018'!Tnet_s-t)/'2018'!Tau_j)),Resal_s+(Salim-Resal_s)*(1-EXP((Tnet_s-t)/Tau_j)))*Salcycl</f>
        <v>4.0975875837287637E-2</v>
      </c>
      <c r="AD60" s="233">
        <f>(INDEX(Models!$BJ60:$BT60,,AH60)*(1-AF60)+INDEX(Models!$BJ60:$BT60,,AH60+1)*AF60-ERP_i)*AE60*Ramure*Pc/MaxiM</f>
        <v>1.9586481603288152E-3</v>
      </c>
      <c r="AE60" s="307">
        <f t="shared" si="14"/>
        <v>1</v>
      </c>
      <c r="AF60" s="179">
        <f t="shared" si="15"/>
        <v>0.90496043678060367</v>
      </c>
      <c r="AG60" s="178">
        <f t="shared" si="16"/>
        <v>-3</v>
      </c>
      <c r="AH60" s="178">
        <f t="shared" si="17"/>
        <v>3</v>
      </c>
      <c r="AI60" s="227">
        <f t="shared" si="22"/>
        <v>-2.0950395632193963</v>
      </c>
      <c r="AJ60" s="267" t="b">
        <f t="shared" si="18"/>
        <v>0</v>
      </c>
      <c r="AK60" s="267" t="b">
        <f t="shared" si="19"/>
        <v>0</v>
      </c>
      <c r="AL60" s="267"/>
      <c r="AM60" s="267"/>
      <c r="AN60" s="75"/>
    </row>
    <row r="61" spans="1:40" s="6" customFormat="1" ht="11.25" customHeight="1" x14ac:dyDescent="0.2">
      <c r="A61" s="56">
        <f t="shared" si="20"/>
        <v>43512</v>
      </c>
      <c r="B61" s="618">
        <v>31.047999999999998</v>
      </c>
      <c r="C61" s="392"/>
      <c r="D61" s="395">
        <f t="shared" si="0"/>
        <v>31.192119059864861</v>
      </c>
      <c r="E61" s="387">
        <f t="shared" si="1"/>
        <v>32.531179910960816</v>
      </c>
      <c r="F61" s="387">
        <f t="shared" si="2"/>
        <v>32.591538912686424</v>
      </c>
      <c r="G61" s="110">
        <f t="shared" si="23"/>
        <v>1.0089068325242752</v>
      </c>
      <c r="H61" s="414" t="b">
        <f>Wh_hp&gt;='2018'!Maxi_hp</f>
        <v>1</v>
      </c>
      <c r="I61" s="392">
        <f>IF(H61,Wh_hp,'2018'!Maxi_hp)</f>
        <v>32.591538912686424</v>
      </c>
      <c r="J61" s="85">
        <f>IF(H61,An,'2018'!An_max)</f>
        <v>2019</v>
      </c>
      <c r="K61" s="199">
        <f t="shared" si="3"/>
        <v>43512</v>
      </c>
      <c r="L61" s="147">
        <f>IF(t&lt;Tvie,1-EXP((T0-t)*PertePVj)+'2018'!Pspv,1-EXP((T0-t)*PertePVj)+Pspv)</f>
        <v>4.6203677149431188E-3</v>
      </c>
      <c r="M61" s="870"/>
      <c r="N61" s="870"/>
      <c r="O61" s="48">
        <f>IF(t&lt;Tnet,'2018'!Resal+('2018'!Salim-'2018'!Resal)*(1-EXP(('2018'!Tnet-t)/('2018'!Tau_j))),Resal+(Salim-Resal)*(1-EXP((Tnet-t)/(Tau_j))))*Salcycl</f>
        <v>4.1162381898259465E-2</v>
      </c>
      <c r="P61" s="171">
        <f>(INDEX(Models!$BJ61:$BT61,,T61)*(1-R61)+INDEX(Models!$BJ61:$BT61,,T61+1)*R61-ERP_i)*Q61*Ramure*Pc/MaxiM</f>
        <v>1.8519837890229049E-3</v>
      </c>
      <c r="Q61" s="307">
        <f t="shared" si="4"/>
        <v>1</v>
      </c>
      <c r="R61" s="179">
        <f t="shared" si="5"/>
        <v>0.90521646506470699</v>
      </c>
      <c r="S61" s="837">
        <f t="shared" si="6"/>
        <v>-3</v>
      </c>
      <c r="T61" s="178">
        <f t="shared" si="7"/>
        <v>3</v>
      </c>
      <c r="U61" s="253">
        <f t="shared" si="21"/>
        <v>-2.094783534935293</v>
      </c>
      <c r="V61" s="385">
        <f t="shared" si="8"/>
        <v>30.77390200869014</v>
      </c>
      <c r="W61" s="58"/>
      <c r="X61" s="157">
        <f t="shared" si="9"/>
        <v>43512</v>
      </c>
      <c r="Y61" s="387">
        <f t="shared" si="10"/>
        <v>31.047999999999995</v>
      </c>
      <c r="Z61" s="387">
        <f t="shared" si="11"/>
        <v>31.192119059864858</v>
      </c>
      <c r="AA61" s="388">
        <f t="shared" si="12"/>
        <v>32.531179910960816</v>
      </c>
      <c r="AB61" s="199">
        <f t="shared" si="13"/>
        <v>43512</v>
      </c>
      <c r="AC61" s="426">
        <f>IF(OR(t&lt;Tnet,NoTnet),'2018'!Resal_s+('2018'!Salim-'2018'!Resal_s)*(1-EXP(('2018'!Tnet_s-t)/'2018'!Tau_j)),Resal_s+(Salim-Resal_s)*(1-EXP((Tnet_s-t)/Tau_j)))*Salcycl</f>
        <v>4.1162381898259465E-2</v>
      </c>
      <c r="AD61" s="233">
        <f>(INDEX(Models!$BJ61:$BT61,,AH61)*(1-AF61)+INDEX(Models!$BJ61:$BT61,,AH61+1)*AF61-ERP_i)*AE61*Ramure*Pc/MaxiM</f>
        <v>1.8519837890229049E-3</v>
      </c>
      <c r="AE61" s="307">
        <f t="shared" si="14"/>
        <v>1</v>
      </c>
      <c r="AF61" s="179">
        <f t="shared" si="15"/>
        <v>0.90521646506470699</v>
      </c>
      <c r="AG61" s="178">
        <f t="shared" si="16"/>
        <v>-3</v>
      </c>
      <c r="AH61" s="178">
        <f t="shared" si="17"/>
        <v>3</v>
      </c>
      <c r="AI61" s="227">
        <f t="shared" si="22"/>
        <v>-2.094783534935293</v>
      </c>
      <c r="AJ61" s="267" t="b">
        <f t="shared" si="18"/>
        <v>0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43513</v>
      </c>
      <c r="B62" s="618">
        <v>31.634</v>
      </c>
      <c r="C62" s="392"/>
      <c r="D62" s="395">
        <f t="shared" si="0"/>
        <v>31.781578766991366</v>
      </c>
      <c r="E62" s="387">
        <f t="shared" si="1"/>
        <v>33.152386835056163</v>
      </c>
      <c r="F62" s="387">
        <f t="shared" si="2"/>
        <v>33.211013673025583</v>
      </c>
      <c r="G62" s="110">
        <f t="shared" si="23"/>
        <v>1.0156734038214004</v>
      </c>
      <c r="H62" s="414" t="b">
        <f>Wh_hp&gt;='2018'!Maxi_hp</f>
        <v>1</v>
      </c>
      <c r="I62" s="392">
        <f>IF(H62,Wh_hp,'2018'!Maxi_hp)</f>
        <v>33.211013673025583</v>
      </c>
      <c r="J62" s="85">
        <f>IF(H62,An,'2018'!An_max)</f>
        <v>2019</v>
      </c>
      <c r="K62" s="199">
        <f t="shared" si="3"/>
        <v>43513</v>
      </c>
      <c r="L62" s="147">
        <f>IF(t&lt;Tvie,1-EXP((T0-t)*PertePVj)+'2018'!Pspv,1-EXP((T0-t)*PertePVj)+Pspv)</f>
        <v>4.6435316531424631E-3</v>
      </c>
      <c r="M62" s="870"/>
      <c r="N62" s="870"/>
      <c r="O62" s="48">
        <f>IF(t&lt;Tnet,'2018'!Resal+('2018'!Salim-'2018'!Resal)*(1-EXP(('2018'!Tnet-t)/('2018'!Tau_j))),Resal+(Salim-Resal)*(1-EXP((Tnet-t)/(Tau_j))))*Salcycl</f>
        <v>4.1348699111319061E-2</v>
      </c>
      <c r="P62" s="171">
        <f>(INDEX(Models!$BJ62:$BT62,,T62)*(1-R62)+INDEX(Models!$BJ62:$BT62,,T62+1)*R62-ERP_i)*Q62*Ramure*Pc/MaxiM</f>
        <v>1.7652830036030992E-3</v>
      </c>
      <c r="Q62" s="307">
        <f t="shared" si="4"/>
        <v>1</v>
      </c>
      <c r="R62" s="179">
        <f t="shared" si="5"/>
        <v>0.90548303367072558</v>
      </c>
      <c r="S62" s="837">
        <f t="shared" si="6"/>
        <v>-3</v>
      </c>
      <c r="T62" s="178">
        <f t="shared" si="7"/>
        <v>3</v>
      </c>
      <c r="U62" s="253">
        <f t="shared" si="21"/>
        <v>-2.0945169663292744</v>
      </c>
      <c r="V62" s="385">
        <f t="shared" si="8"/>
        <v>31.145838692811378</v>
      </c>
      <c r="W62" s="58"/>
      <c r="X62" s="157">
        <f t="shared" si="9"/>
        <v>43513</v>
      </c>
      <c r="Y62" s="387">
        <f t="shared" si="10"/>
        <v>31.634000000000004</v>
      </c>
      <c r="Z62" s="387">
        <f t="shared" si="11"/>
        <v>31.78157876699137</v>
      </c>
      <c r="AA62" s="388">
        <f t="shared" si="12"/>
        <v>33.152386835056163</v>
      </c>
      <c r="AB62" s="199">
        <f t="shared" si="13"/>
        <v>43513</v>
      </c>
      <c r="AC62" s="426">
        <f>IF(OR(t&lt;Tnet,NoTnet),'2018'!Resal_s+('2018'!Salim-'2018'!Resal_s)*(1-EXP(('2018'!Tnet_s-t)/'2018'!Tau_j)),Resal_s+(Salim-Resal_s)*(1-EXP((Tnet_s-t)/Tau_j)))*Salcycl</f>
        <v>4.1348699111319061E-2</v>
      </c>
      <c r="AD62" s="233">
        <f>(INDEX(Models!$BJ62:$BT62,,AH62)*(1-AF62)+INDEX(Models!$BJ62:$BT62,,AH62+1)*AF62-ERP_i)*AE62*Ramure*Pc/MaxiM</f>
        <v>1.7652830036030992E-3</v>
      </c>
      <c r="AE62" s="307">
        <f t="shared" si="14"/>
        <v>1</v>
      </c>
      <c r="AF62" s="179">
        <f t="shared" si="15"/>
        <v>0.90548303367072558</v>
      </c>
      <c r="AG62" s="178">
        <f t="shared" si="16"/>
        <v>-3</v>
      </c>
      <c r="AH62" s="178">
        <f t="shared" si="17"/>
        <v>3</v>
      </c>
      <c r="AI62" s="227">
        <f t="shared" si="22"/>
        <v>-2.0945169663292744</v>
      </c>
      <c r="AJ62" s="267" t="b">
        <f t="shared" si="18"/>
        <v>0</v>
      </c>
      <c r="AK62" s="267" t="b">
        <f t="shared" si="19"/>
        <v>0</v>
      </c>
      <c r="AL62" s="267"/>
      <c r="AM62" s="267"/>
      <c r="AN62" s="75"/>
    </row>
    <row r="63" spans="1:40" s="6" customFormat="1" ht="11.25" customHeight="1" x14ac:dyDescent="0.2">
      <c r="A63" s="56">
        <f t="shared" si="20"/>
        <v>43514</v>
      </c>
      <c r="B63" s="618">
        <v>31.548999999999999</v>
      </c>
      <c r="C63" s="392"/>
      <c r="D63" s="395">
        <f t="shared" si="0"/>
        <v>31.696919859078978</v>
      </c>
      <c r="E63" s="387">
        <f t="shared" si="1"/>
        <v>33.070497010684747</v>
      </c>
      <c r="F63" s="387">
        <f t="shared" si="2"/>
        <v>33.126742104724151</v>
      </c>
      <c r="G63" s="110">
        <f t="shared" si="23"/>
        <v>1.0008762305695251</v>
      </c>
      <c r="H63" s="414" t="b">
        <f>Wh_hp&gt;='2018'!Maxi_hp</f>
        <v>1</v>
      </c>
      <c r="I63" s="392">
        <f>IF(H63,Wh_hp,'2018'!Maxi_hp)</f>
        <v>33.126742104724151</v>
      </c>
      <c r="J63" s="85">
        <f>IF(H63,An,'2018'!An_max)</f>
        <v>2019</v>
      </c>
      <c r="K63" s="199">
        <f t="shared" si="3"/>
        <v>43514</v>
      </c>
      <c r="L63" s="147">
        <f>IF(t&lt;Tvie,1-EXP((T0-t)*PertePVj)+'2018'!Pspv,1-EXP((T0-t)*PertePVj)+Pspv)</f>
        <v>4.6666950522831208E-3</v>
      </c>
      <c r="M63" s="870"/>
      <c r="N63" s="870"/>
      <c r="O63" s="48">
        <f>IF(t&lt;Tnet,'2018'!Resal+('2018'!Salim-'2018'!Resal)*(1-EXP(('2018'!Tnet-t)/('2018'!Tau_j))),Resal+(Salim-Resal)*(1-EXP((Tnet-t)/(Tau_j))))*Salcycl</f>
        <v>4.1534820331305608E-2</v>
      </c>
      <c r="P63" s="171">
        <f>(INDEX(Models!$BJ63:$BT63,,T63)*(1-R63)+INDEX(Models!$BJ63:$BT63,,T63+1)*R63-ERP_i)*Q63*Ramure*Pc/MaxiM</f>
        <v>1.6978758086623692E-3</v>
      </c>
      <c r="Q63" s="307">
        <f t="shared" si="4"/>
        <v>1</v>
      </c>
      <c r="R63" s="179">
        <f t="shared" si="5"/>
        <v>0.90576056785457348</v>
      </c>
      <c r="S63" s="837">
        <f t="shared" si="6"/>
        <v>-3</v>
      </c>
      <c r="T63" s="178">
        <f t="shared" si="7"/>
        <v>3</v>
      </c>
      <c r="U63" s="253">
        <f t="shared" si="21"/>
        <v>-2.0942394321454265</v>
      </c>
      <c r="V63" s="385">
        <f t="shared" si="8"/>
        <v>31.521380003247529</v>
      </c>
      <c r="W63" s="58"/>
      <c r="X63" s="157">
        <f t="shared" si="9"/>
        <v>43514</v>
      </c>
      <c r="Y63" s="387">
        <f t="shared" si="10"/>
        <v>31.548999999999999</v>
      </c>
      <c r="Z63" s="387">
        <f t="shared" si="11"/>
        <v>31.696919859078978</v>
      </c>
      <c r="AA63" s="388">
        <f t="shared" si="12"/>
        <v>33.070497010684747</v>
      </c>
      <c r="AB63" s="199">
        <f t="shared" si="13"/>
        <v>43514</v>
      </c>
      <c r="AC63" s="426">
        <f>IF(OR(t&lt;Tnet,NoTnet),'2018'!Resal_s+('2018'!Salim-'2018'!Resal_s)*(1-EXP(('2018'!Tnet_s-t)/'2018'!Tau_j)),Resal_s+(Salim-Resal_s)*(1-EXP((Tnet_s-t)/Tau_j)))*Salcycl</f>
        <v>4.1534820331305608E-2</v>
      </c>
      <c r="AD63" s="233">
        <f>(INDEX(Models!$BJ63:$BT63,,AH63)*(1-AF63)+INDEX(Models!$BJ63:$BT63,,AH63+1)*AF63-ERP_i)*AE63*Ramure*Pc/MaxiM</f>
        <v>1.6978758086623692E-3</v>
      </c>
      <c r="AE63" s="307">
        <f t="shared" si="14"/>
        <v>1</v>
      </c>
      <c r="AF63" s="179">
        <f t="shared" si="15"/>
        <v>0.90576056785457348</v>
      </c>
      <c r="AG63" s="178">
        <f t="shared" si="16"/>
        <v>-3</v>
      </c>
      <c r="AH63" s="178">
        <f t="shared" si="17"/>
        <v>3</v>
      </c>
      <c r="AI63" s="227">
        <f t="shared" si="22"/>
        <v>-2.0942394321454265</v>
      </c>
      <c r="AJ63" s="267" t="b">
        <f t="shared" si="18"/>
        <v>0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43515</v>
      </c>
      <c r="B64" s="618">
        <v>25.263000000000002</v>
      </c>
      <c r="C64" s="392"/>
      <c r="D64" s="395">
        <f t="shared" si="0"/>
        <v>25.382038152461593</v>
      </c>
      <c r="E64" s="387">
        <f t="shared" si="1"/>
        <v>26.48709951990168</v>
      </c>
      <c r="F64" s="387">
        <f t="shared" si="2"/>
        <v>26.51783156494265</v>
      </c>
      <c r="G64" s="110">
        <f t="shared" si="23"/>
        <v>0.7915392567738575</v>
      </c>
      <c r="H64" s="414" t="b">
        <f>Wh_hp&gt;='2018'!Maxi_hp</f>
        <v>1</v>
      </c>
      <c r="I64" s="392">
        <f>IF(H64,Wh_hp,'2018'!Maxi_hp)</f>
        <v>26.51783156494265</v>
      </c>
      <c r="J64" s="85">
        <f>IF(H64,An,'2018'!An_max)</f>
        <v>2019</v>
      </c>
      <c r="K64" s="199">
        <f t="shared" si="3"/>
        <v>43515</v>
      </c>
      <c r="L64" s="147">
        <f>IF(t&lt;Tvie,1-EXP((T0-t)*PertePVj)+'2018'!Pspv,1-EXP((T0-t)*PertePVj)+Pspv)</f>
        <v>4.6898579123776374E-3</v>
      </c>
      <c r="M64" s="870"/>
      <c r="N64" s="870"/>
      <c r="O64" s="48">
        <f>IF(t&lt;Tnet,'2018'!Resal+('2018'!Salim-'2018'!Resal)*(1-EXP(('2018'!Tnet-t)/('2018'!Tau_j))),Resal+(Salim-Resal)*(1-EXP((Tnet-t)/(Tau_j))))*Salcycl</f>
        <v>4.1720739056753817E-2</v>
      </c>
      <c r="P64" s="171">
        <f>(INDEX(Models!$BJ64:$BT64,,T64)*(1-R64)+INDEX(Models!$BJ64:$BT64,,T64+1)*R64-ERP_i)*Q64*Ramure*Pc/MaxiM</f>
        <v>1.6491115583581958E-3</v>
      </c>
      <c r="Q64" s="307">
        <f t="shared" si="4"/>
        <v>1</v>
      </c>
      <c r="R64" s="179">
        <f t="shared" si="5"/>
        <v>0.90604950929450601</v>
      </c>
      <c r="S64" s="837">
        <f t="shared" si="6"/>
        <v>-3</v>
      </c>
      <c r="T64" s="178">
        <f t="shared" si="7"/>
        <v>3</v>
      </c>
      <c r="U64" s="253">
        <f t="shared" si="21"/>
        <v>-2.093950490705494</v>
      </c>
      <c r="V64" s="385">
        <f t="shared" si="8"/>
        <v>31.900631214294339</v>
      </c>
      <c r="W64" s="58"/>
      <c r="X64" s="157">
        <f t="shared" si="9"/>
        <v>43515</v>
      </c>
      <c r="Y64" s="387">
        <f t="shared" si="10"/>
        <v>25.263000000000002</v>
      </c>
      <c r="Z64" s="387">
        <f t="shared" si="11"/>
        <v>25.382038152461593</v>
      </c>
      <c r="AA64" s="388">
        <f t="shared" si="12"/>
        <v>26.48709951990168</v>
      </c>
      <c r="AB64" s="199">
        <f t="shared" si="13"/>
        <v>43515</v>
      </c>
      <c r="AC64" s="426">
        <f>IF(OR(t&lt;Tnet,NoTnet),'2018'!Resal_s+('2018'!Salim-'2018'!Resal_s)*(1-EXP(('2018'!Tnet_s-t)/'2018'!Tau_j)),Resal_s+(Salim-Resal_s)*(1-EXP((Tnet_s-t)/Tau_j)))*Salcycl</f>
        <v>4.1720739056753817E-2</v>
      </c>
      <c r="AD64" s="233">
        <f>(INDEX(Models!$BJ64:$BT64,,AH64)*(1-AF64)+INDEX(Models!$BJ64:$BT64,,AH64+1)*AF64-ERP_i)*AE64*Ramure*Pc/MaxiM</f>
        <v>1.6491115583581958E-3</v>
      </c>
      <c r="AE64" s="307">
        <f t="shared" si="14"/>
        <v>1</v>
      </c>
      <c r="AF64" s="179">
        <f t="shared" si="15"/>
        <v>0.90604950929450601</v>
      </c>
      <c r="AG64" s="178">
        <f t="shared" si="16"/>
        <v>-3</v>
      </c>
      <c r="AH64" s="178">
        <f t="shared" si="17"/>
        <v>3</v>
      </c>
      <c r="AI64" s="227">
        <f t="shared" si="22"/>
        <v>-2.093950490705494</v>
      </c>
      <c r="AJ64" s="267" t="b">
        <f t="shared" si="18"/>
        <v>0</v>
      </c>
      <c r="AK64" s="267" t="b">
        <f t="shared" si="19"/>
        <v>0</v>
      </c>
      <c r="AL64" s="267"/>
      <c r="AM64" s="267"/>
      <c r="AN64" s="75"/>
    </row>
    <row r="65" spans="1:40" s="6" customFormat="1" ht="11.25" customHeight="1" x14ac:dyDescent="0.2">
      <c r="A65" s="56">
        <f t="shared" si="20"/>
        <v>43516</v>
      </c>
      <c r="B65" s="618">
        <v>31.667999999999999</v>
      </c>
      <c r="C65" s="392"/>
      <c r="D65" s="395">
        <f t="shared" si="0"/>
        <v>31.817958683059974</v>
      </c>
      <c r="E65" s="387">
        <f t="shared" si="1"/>
        <v>33.209657521136201</v>
      </c>
      <c r="F65" s="387">
        <f t="shared" si="2"/>
        <v>33.262018165311261</v>
      </c>
      <c r="G65" s="110">
        <f t="shared" si="23"/>
        <v>0.98086497318745947</v>
      </c>
      <c r="H65" s="414" t="b">
        <f>Wh_hp&gt;='2018'!Maxi_hp</f>
        <v>1</v>
      </c>
      <c r="I65" s="392">
        <f>IF(H65,Wh_hp,'2018'!Maxi_hp)</f>
        <v>33.262018165311261</v>
      </c>
      <c r="J65" s="85">
        <f>IF(H65,An,'2018'!An_max)</f>
        <v>2019</v>
      </c>
      <c r="K65" s="199">
        <f t="shared" si="3"/>
        <v>43516</v>
      </c>
      <c r="L65" s="147">
        <f>IF(t&lt;Tvie,1-EXP((T0-t)*PertePVj)+'2018'!Pspv,1-EXP((T0-t)*PertePVj)+Pspv)</f>
        <v>4.7130202334385585E-3</v>
      </c>
      <c r="M65" s="870"/>
      <c r="N65" s="870"/>
      <c r="O65" s="48">
        <f>IF(t&lt;Tnet,'2018'!Resal+('2018'!Salim-'2018'!Resal)*(1-EXP(('2018'!Tnet-t)/('2018'!Tau_j))),Resal+(Salim-Resal)*(1-EXP((Tnet-t)/(Tau_j))))*Salcycl</f>
        <v>4.1906449567885008E-2</v>
      </c>
      <c r="P65" s="171">
        <f>(INDEX(Models!$BJ65:$BT65,,T65)*(1-R65)+INDEX(Models!$BJ65:$BT65,,T65+1)*R65-ERP_i)*Q65*Ramure*Pc/MaxiM</f>
        <v>1.6183251111739996E-3</v>
      </c>
      <c r="Q65" s="307">
        <f t="shared" si="4"/>
        <v>1</v>
      </c>
      <c r="R65" s="179">
        <f t="shared" si="5"/>
        <v>0.90635031666278021</v>
      </c>
      <c r="S65" s="837">
        <f t="shared" si="6"/>
        <v>-3</v>
      </c>
      <c r="T65" s="178">
        <f t="shared" si="7"/>
        <v>3</v>
      </c>
      <c r="U65" s="253">
        <f t="shared" si="21"/>
        <v>-2.0936496833372198</v>
      </c>
      <c r="V65" s="385">
        <f t="shared" si="8"/>
        <v>32.284362173530823</v>
      </c>
      <c r="W65" s="58"/>
      <c r="X65" s="157">
        <f t="shared" si="9"/>
        <v>43516</v>
      </c>
      <c r="Y65" s="387">
        <f t="shared" si="10"/>
        <v>31.667999999999999</v>
      </c>
      <c r="Z65" s="387">
        <f t="shared" si="11"/>
        <v>31.817958683059974</v>
      </c>
      <c r="AA65" s="388">
        <f t="shared" si="12"/>
        <v>33.209657521136201</v>
      </c>
      <c r="AB65" s="199">
        <f t="shared" si="13"/>
        <v>43516</v>
      </c>
      <c r="AC65" s="426">
        <f>IF(OR(t&lt;Tnet,NoTnet),'2018'!Resal_s+('2018'!Salim-'2018'!Resal_s)*(1-EXP(('2018'!Tnet_s-t)/'2018'!Tau_j)),Resal_s+(Salim-Resal_s)*(1-EXP((Tnet_s-t)/Tau_j)))*Salcycl</f>
        <v>4.1906449567885008E-2</v>
      </c>
      <c r="AD65" s="233">
        <f>(INDEX(Models!$BJ65:$BT65,,AH65)*(1-AF65)+INDEX(Models!$BJ65:$BT65,,AH65+1)*AF65-ERP_i)*AE65*Ramure*Pc/MaxiM</f>
        <v>1.6183251111739996E-3</v>
      </c>
      <c r="AE65" s="307">
        <f t="shared" si="14"/>
        <v>1</v>
      </c>
      <c r="AF65" s="179">
        <f t="shared" si="15"/>
        <v>0.90635031666278021</v>
      </c>
      <c r="AG65" s="178">
        <f t="shared" si="16"/>
        <v>-3</v>
      </c>
      <c r="AH65" s="178">
        <f t="shared" si="17"/>
        <v>3</v>
      </c>
      <c r="AI65" s="227">
        <f t="shared" si="22"/>
        <v>-2.0936496833372198</v>
      </c>
      <c r="AJ65" s="267" t="b">
        <f t="shared" si="18"/>
        <v>0</v>
      </c>
      <c r="AK65" s="267" t="b">
        <f t="shared" si="19"/>
        <v>0</v>
      </c>
      <c r="AL65" s="267"/>
      <c r="AM65" s="267"/>
      <c r="AN65" s="75"/>
    </row>
    <row r="66" spans="1:40" s="6" customFormat="1" ht="11.25" customHeight="1" x14ac:dyDescent="0.2">
      <c r="A66" s="56">
        <f t="shared" si="20"/>
        <v>43517</v>
      </c>
      <c r="B66" s="618">
        <v>31.75</v>
      </c>
      <c r="C66" s="392"/>
      <c r="D66" s="395">
        <f t="shared" si="0"/>
        <v>31.901089365728133</v>
      </c>
      <c r="E66" s="387">
        <f t="shared" si="1"/>
        <v>33.302872094957351</v>
      </c>
      <c r="F66" s="387">
        <f t="shared" si="2"/>
        <v>33.354248852750764</v>
      </c>
      <c r="G66" s="110">
        <f t="shared" si="23"/>
        <v>0.97168806245467243</v>
      </c>
      <c r="H66" s="414" t="b">
        <f>Wh_hp&gt;='2018'!Maxi_hp</f>
        <v>1</v>
      </c>
      <c r="I66" s="392">
        <f>IF(H66,Wh_hp,'2018'!Maxi_hp)</f>
        <v>33.354248852750764</v>
      </c>
      <c r="J66" s="85">
        <f>IF(H66,An,'2018'!An_max)</f>
        <v>2019</v>
      </c>
      <c r="K66" s="199">
        <f t="shared" si="3"/>
        <v>43517</v>
      </c>
      <c r="L66" s="147">
        <f>IF(t&lt;Tvie,1-EXP((T0-t)*PertePVj)+'2018'!Pspv,1-EXP((T0-t)*PertePVj)+Pspv)</f>
        <v>4.7361820154784295E-3</v>
      </c>
      <c r="M66" s="870"/>
      <c r="N66" s="870"/>
      <c r="O66" s="48">
        <f>IF(t&lt;Tnet,'2018'!Resal+('2018'!Salim-'2018'!Resal)*(1-EXP(('2018'!Tnet-t)/('2018'!Tau_j))),Resal+(Salim-Resal)*(1-EXP((Tnet-t)/(Tau_j))))*Salcycl</f>
        <v>4.2091947061871374E-2</v>
      </c>
      <c r="P66" s="171">
        <f>(INDEX(Models!$BJ66:$BT66,,T66)*(1-R66)+INDEX(Models!$BJ66:$BT66,,T66+1)*R66-ERP_i)*Q66*Ramure*Pc/MaxiM</f>
        <v>1.6051114024263568E-3</v>
      </c>
      <c r="Q66" s="307">
        <f t="shared" si="4"/>
        <v>1</v>
      </c>
      <c r="R66" s="179">
        <f t="shared" si="5"/>
        <v>0.90666346621178162</v>
      </c>
      <c r="S66" s="837">
        <f t="shared" si="6"/>
        <v>-3</v>
      </c>
      <c r="T66" s="178">
        <f t="shared" si="7"/>
        <v>3</v>
      </c>
      <c r="U66" s="253">
        <f t="shared" si="21"/>
        <v>-2.0933365337882184</v>
      </c>
      <c r="V66" s="385">
        <f t="shared" si="8"/>
        <v>32.672975455910112</v>
      </c>
      <c r="W66" s="58"/>
      <c r="X66" s="157">
        <f t="shared" si="9"/>
        <v>43517</v>
      </c>
      <c r="Y66" s="387">
        <f t="shared" si="10"/>
        <v>31.75</v>
      </c>
      <c r="Z66" s="387">
        <f t="shared" si="11"/>
        <v>31.901089365728133</v>
      </c>
      <c r="AA66" s="388">
        <f t="shared" si="12"/>
        <v>33.302872094957351</v>
      </c>
      <c r="AB66" s="199">
        <f t="shared" si="13"/>
        <v>43517</v>
      </c>
      <c r="AC66" s="426">
        <f>IF(OR(t&lt;Tnet,NoTnet),'2018'!Resal_s+('2018'!Salim-'2018'!Resal_s)*(1-EXP(('2018'!Tnet_s-t)/'2018'!Tau_j)),Resal_s+(Salim-Resal_s)*(1-EXP((Tnet_s-t)/Tau_j)))*Salcycl</f>
        <v>4.2091947061871374E-2</v>
      </c>
      <c r="AD66" s="233">
        <f>(INDEX(Models!$BJ66:$BT66,,AH66)*(1-AF66)+INDEX(Models!$BJ66:$BT66,,AH66+1)*AF66-ERP_i)*AE66*Ramure*Pc/MaxiM</f>
        <v>1.6051114024263568E-3</v>
      </c>
      <c r="AE66" s="307">
        <f t="shared" si="14"/>
        <v>1</v>
      </c>
      <c r="AF66" s="179">
        <f t="shared" si="15"/>
        <v>0.90666346621178162</v>
      </c>
      <c r="AG66" s="178">
        <f t="shared" si="16"/>
        <v>-3</v>
      </c>
      <c r="AH66" s="178">
        <f t="shared" si="17"/>
        <v>3</v>
      </c>
      <c r="AI66" s="227">
        <f t="shared" si="22"/>
        <v>-2.0933365337882184</v>
      </c>
      <c r="AJ66" s="267" t="b">
        <f t="shared" si="18"/>
        <v>0</v>
      </c>
      <c r="AK66" s="267" t="b">
        <f t="shared" si="19"/>
        <v>0</v>
      </c>
      <c r="AL66" s="267"/>
      <c r="AM66" s="267"/>
      <c r="AN66" s="75"/>
    </row>
    <row r="67" spans="1:40" s="6" customFormat="1" ht="11.25" customHeight="1" x14ac:dyDescent="0.2">
      <c r="A67" s="56">
        <f t="shared" si="20"/>
        <v>43518</v>
      </c>
      <c r="B67" s="618">
        <v>31.79</v>
      </c>
      <c r="C67" s="392"/>
      <c r="D67" s="395">
        <f t="shared" si="0"/>
        <v>31.942023052076063</v>
      </c>
      <c r="E67" s="387">
        <f t="shared" si="1"/>
        <v>33.352055499496402</v>
      </c>
      <c r="F67" s="387">
        <f t="shared" si="2"/>
        <v>33.402444749772847</v>
      </c>
      <c r="G67" s="110">
        <f t="shared" si="23"/>
        <v>0.96131283874437623</v>
      </c>
      <c r="H67" s="414" t="b">
        <f>Wh_hp&gt;='2018'!Maxi_hp</f>
        <v>1</v>
      </c>
      <c r="I67" s="392">
        <f>IF(H67,Wh_hp,'2018'!Maxi_hp)</f>
        <v>33.402444749772847</v>
      </c>
      <c r="J67" s="85">
        <f>IF(H67,An,'2018'!An_max)</f>
        <v>2019</v>
      </c>
      <c r="K67" s="199">
        <f t="shared" si="3"/>
        <v>43518</v>
      </c>
      <c r="L67" s="147">
        <f>IF(t&lt;Tvie,1-EXP((T0-t)*PertePVj)+'2018'!Pspv,1-EXP((T0-t)*PertePVj)+Pspv)</f>
        <v>4.7593432585097961E-3</v>
      </c>
      <c r="M67" s="870"/>
      <c r="N67" s="870"/>
      <c r="O67" s="48">
        <f>IF(t&lt;Tnet,'2018'!Resal+('2018'!Salim-'2018'!Resal)*(1-EXP(('2018'!Tnet-t)/('2018'!Tau_j))),Resal+(Salim-Resal)*(1-EXP((Tnet-t)/(Tau_j))))*Salcycl</f>
        <v>4.2277227784105462E-2</v>
      </c>
      <c r="P67" s="171">
        <f>(INDEX(Models!$BJ67:$BT67,,T67)*(1-R67)+INDEX(Models!$BJ67:$BT67,,T67+1)*R67-ERP_i)*Q67*Ramure*Pc/MaxiM</f>
        <v>1.5965960792482003E-3</v>
      </c>
      <c r="Q67" s="307">
        <f t="shared" si="4"/>
        <v>1</v>
      </c>
      <c r="R67" s="179">
        <f t="shared" si="5"/>
        <v>0.90698945237447859</v>
      </c>
      <c r="S67" s="837">
        <f t="shared" si="6"/>
        <v>-3</v>
      </c>
      <c r="T67" s="178">
        <f t="shared" si="7"/>
        <v>3</v>
      </c>
      <c r="U67" s="253">
        <f t="shared" si="21"/>
        <v>-2.0930105476255214</v>
      </c>
      <c r="V67" s="385">
        <f t="shared" si="8"/>
        <v>33.066443615259118</v>
      </c>
      <c r="W67" s="58"/>
      <c r="X67" s="157">
        <f t="shared" si="9"/>
        <v>43518</v>
      </c>
      <c r="Y67" s="387">
        <f t="shared" si="10"/>
        <v>31.79</v>
      </c>
      <c r="Z67" s="387">
        <f t="shared" si="11"/>
        <v>31.942023052076063</v>
      </c>
      <c r="AA67" s="388">
        <f t="shared" si="12"/>
        <v>33.352055499496402</v>
      </c>
      <c r="AB67" s="199">
        <f t="shared" si="13"/>
        <v>43518</v>
      </c>
      <c r="AC67" s="426">
        <f>IF(OR(t&lt;Tnet,NoTnet),'2018'!Resal_s+('2018'!Salim-'2018'!Resal_s)*(1-EXP(('2018'!Tnet_s-t)/'2018'!Tau_j)),Resal_s+(Salim-Resal_s)*(1-EXP((Tnet_s-t)/Tau_j)))*Salcycl</f>
        <v>4.2277227784105462E-2</v>
      </c>
      <c r="AD67" s="233">
        <f>(INDEX(Models!$BJ67:$BT67,,AH67)*(1-AF67)+INDEX(Models!$BJ67:$BT67,,AH67+1)*AF67-ERP_i)*AE67*Ramure*Pc/MaxiM</f>
        <v>1.5965960792482003E-3</v>
      </c>
      <c r="AE67" s="307">
        <f t="shared" si="14"/>
        <v>1</v>
      </c>
      <c r="AF67" s="179">
        <f t="shared" si="15"/>
        <v>0.90698945237447859</v>
      </c>
      <c r="AG67" s="178">
        <f t="shared" si="16"/>
        <v>-3</v>
      </c>
      <c r="AH67" s="178">
        <f t="shared" si="17"/>
        <v>3</v>
      </c>
      <c r="AI67" s="227">
        <f t="shared" si="22"/>
        <v>-2.0930105476255214</v>
      </c>
      <c r="AJ67" s="267" t="b">
        <f t="shared" si="18"/>
        <v>0</v>
      </c>
      <c r="AK67" s="267" t="b">
        <f t="shared" si="19"/>
        <v>0</v>
      </c>
      <c r="AL67" s="267"/>
      <c r="AM67" s="267"/>
      <c r="AN67" s="75"/>
    </row>
    <row r="68" spans="1:40" s="6" customFormat="1" ht="11.25" customHeight="1" x14ac:dyDescent="0.2">
      <c r="A68" s="56">
        <f t="shared" si="20"/>
        <v>43519</v>
      </c>
      <c r="B68" s="618">
        <v>32.247999999999998</v>
      </c>
      <c r="C68" s="392"/>
      <c r="D68" s="395">
        <f t="shared" si="0"/>
        <v>32.40296731960423</v>
      </c>
      <c r="E68" s="387">
        <f t="shared" si="1"/>
        <v>33.839886359133288</v>
      </c>
      <c r="F68" s="387">
        <f t="shared" si="2"/>
        <v>33.891059754913606</v>
      </c>
      <c r="G68" s="110">
        <f t="shared" si="23"/>
        <v>0.96357304646487962</v>
      </c>
      <c r="H68" s="414" t="b">
        <f>Wh_hp&gt;='2018'!Maxi_hp</f>
        <v>1</v>
      </c>
      <c r="I68" s="392">
        <f>IF(H68,Wh_hp,'2018'!Maxi_hp)</f>
        <v>33.891059754913606</v>
      </c>
      <c r="J68" s="85">
        <f>IF(H68,An,'2018'!An_max)</f>
        <v>2019</v>
      </c>
      <c r="K68" s="199">
        <f t="shared" si="3"/>
        <v>43519</v>
      </c>
      <c r="L68" s="147">
        <f>IF(t&lt;Tvie,1-EXP((T0-t)*PertePVj)+'2018'!Pspv,1-EXP((T0-t)*PertePVj)+Pspv)</f>
        <v>4.7825039625452037E-3</v>
      </c>
      <c r="M68" s="870"/>
      <c r="N68" s="870"/>
      <c r="O68" s="48">
        <f>IF(t&lt;Tnet,'2018'!Resal+('2018'!Salim-'2018'!Resal)*(1-EXP(('2018'!Tnet-t)/('2018'!Tau_j))),Resal+(Salim-Resal)*(1-EXP((Tnet-t)/(Tau_j))))*Salcycl</f>
        <v>4.2462289154267231E-2</v>
      </c>
      <c r="P68" s="171">
        <f>(INDEX(Models!$BJ68:$BT68,,T68)*(1-R68)+INDEX(Models!$BJ68:$BT68,,T68+1)*R68-ERP_i)*Q68*Ramure*Pc/MaxiM</f>
        <v>1.5926346450621861E-3</v>
      </c>
      <c r="Q68" s="307">
        <f t="shared" si="4"/>
        <v>1</v>
      </c>
      <c r="R68" s="179">
        <f t="shared" si="5"/>
        <v>0.90732878837900754</v>
      </c>
      <c r="S68" s="837">
        <f t="shared" si="6"/>
        <v>-3</v>
      </c>
      <c r="T68" s="178">
        <f t="shared" si="7"/>
        <v>3</v>
      </c>
      <c r="U68" s="253">
        <f t="shared" si="21"/>
        <v>-2.0926712116209925</v>
      </c>
      <c r="V68" s="385">
        <f t="shared" si="8"/>
        <v>33.464332860952773</v>
      </c>
      <c r="W68" s="58"/>
      <c r="X68" s="157">
        <f t="shared" si="9"/>
        <v>43519</v>
      </c>
      <c r="Y68" s="387">
        <f t="shared" si="10"/>
        <v>32.247999999999998</v>
      </c>
      <c r="Z68" s="387">
        <f t="shared" si="11"/>
        <v>32.40296731960423</v>
      </c>
      <c r="AA68" s="388">
        <f t="shared" si="12"/>
        <v>33.839886359133288</v>
      </c>
      <c r="AB68" s="199">
        <f t="shared" si="13"/>
        <v>43519</v>
      </c>
      <c r="AC68" s="426">
        <f>IF(OR(t&lt;Tnet,NoTnet),'2018'!Resal_s+('2018'!Salim-'2018'!Resal_s)*(1-EXP(('2018'!Tnet_s-t)/'2018'!Tau_j)),Resal_s+(Salim-Resal_s)*(1-EXP((Tnet_s-t)/Tau_j)))*Salcycl</f>
        <v>4.2462289154267231E-2</v>
      </c>
      <c r="AD68" s="233">
        <f>(INDEX(Models!$BJ68:$BT68,,AH68)*(1-AF68)+INDEX(Models!$BJ68:$BT68,,AH68+1)*AF68-ERP_i)*AE68*Ramure*Pc/MaxiM</f>
        <v>1.5926346450621861E-3</v>
      </c>
      <c r="AE68" s="307">
        <f t="shared" si="14"/>
        <v>1</v>
      </c>
      <c r="AF68" s="179">
        <f t="shared" si="15"/>
        <v>0.90732878837900754</v>
      </c>
      <c r="AG68" s="178">
        <f t="shared" si="16"/>
        <v>-3</v>
      </c>
      <c r="AH68" s="178">
        <f t="shared" si="17"/>
        <v>3</v>
      </c>
      <c r="AI68" s="227">
        <f t="shared" si="22"/>
        <v>-2.0926712116209925</v>
      </c>
      <c r="AJ68" s="267" t="b">
        <f t="shared" si="18"/>
        <v>0</v>
      </c>
      <c r="AK68" s="267" t="b">
        <f t="shared" si="19"/>
        <v>0</v>
      </c>
      <c r="AL68" s="267"/>
      <c r="AM68" s="267"/>
      <c r="AN68" s="75"/>
    </row>
    <row r="69" spans="1:40" s="6" customFormat="1" ht="11.25" customHeight="1" x14ac:dyDescent="0.2">
      <c r="A69" s="56">
        <f t="shared" si="20"/>
        <v>43520</v>
      </c>
      <c r="B69" s="618">
        <v>32.74</v>
      </c>
      <c r="C69" s="392"/>
      <c r="D69" s="395">
        <f t="shared" si="0"/>
        <v>32.898097205607193</v>
      </c>
      <c r="E69" s="387">
        <f t="shared" si="1"/>
        <v>34.363606390704732</v>
      </c>
      <c r="F69" s="387">
        <f t="shared" si="2"/>
        <v>34.415829350938182</v>
      </c>
      <c r="G69" s="110">
        <f t="shared" si="23"/>
        <v>0.96667205791739741</v>
      </c>
      <c r="H69" s="414" t="b">
        <f>Wh_hp&gt;='2018'!Maxi_hp</f>
        <v>1</v>
      </c>
      <c r="I69" s="392">
        <f>IF(H69,Wh_hp,'2018'!Maxi_hp)</f>
        <v>34.415829350938182</v>
      </c>
      <c r="J69" s="85">
        <f>IF(H69,An,'2018'!An_max)</f>
        <v>2019</v>
      </c>
      <c r="K69" s="199">
        <f t="shared" si="3"/>
        <v>43520</v>
      </c>
      <c r="L69" s="147">
        <f>IF(t&lt;Tvie,1-EXP((T0-t)*PertePVj)+'2018'!Pspv,1-EXP((T0-t)*PertePVj)+Pspv)</f>
        <v>4.8056641275970868E-3</v>
      </c>
      <c r="M69" s="870"/>
      <c r="N69" s="870"/>
      <c r="O69" s="48">
        <f>IF(t&lt;Tnet,'2018'!Resal+('2018'!Salim-'2018'!Resal)*(1-EXP(('2018'!Tnet-t)/('2018'!Tau_j))),Resal+(Salim-Resal)*(1-EXP((Tnet-t)/(Tau_j))))*Salcycl</f>
        <v>4.2647129886051578E-2</v>
      </c>
      <c r="P69" s="171">
        <f>(INDEX(Models!$BJ69:$BT69,,T69)*(1-R69)+INDEX(Models!$BJ69:$BT69,,T69+1)*R69-ERP_i)*Q69*Ramure*Pc/MaxiM</f>
        <v>1.5930936284562569E-3</v>
      </c>
      <c r="Q69" s="307">
        <f t="shared" si="4"/>
        <v>1</v>
      </c>
      <c r="R69" s="179">
        <f t="shared" si="5"/>
        <v>0.90768200687711298</v>
      </c>
      <c r="S69" s="837">
        <f t="shared" si="6"/>
        <v>-3</v>
      </c>
      <c r="T69" s="178">
        <f t="shared" si="7"/>
        <v>3</v>
      </c>
      <c r="U69" s="253">
        <f t="shared" si="21"/>
        <v>-2.092317993122887</v>
      </c>
      <c r="V69" s="385">
        <f t="shared" si="8"/>
        <v>33.866209454468439</v>
      </c>
      <c r="W69" s="58"/>
      <c r="X69" s="157">
        <f t="shared" si="9"/>
        <v>43520</v>
      </c>
      <c r="Y69" s="387">
        <f t="shared" si="10"/>
        <v>32.74</v>
      </c>
      <c r="Z69" s="387">
        <f t="shared" si="11"/>
        <v>32.898097205607193</v>
      </c>
      <c r="AA69" s="388">
        <f t="shared" si="12"/>
        <v>34.363606390704732</v>
      </c>
      <c r="AB69" s="199">
        <f t="shared" si="13"/>
        <v>43520</v>
      </c>
      <c r="AC69" s="426">
        <f>IF(OR(t&lt;Tnet,NoTnet),'2018'!Resal_s+('2018'!Salim-'2018'!Resal_s)*(1-EXP(('2018'!Tnet_s-t)/'2018'!Tau_j)),Resal_s+(Salim-Resal_s)*(1-EXP((Tnet_s-t)/Tau_j)))*Salcycl</f>
        <v>4.2647129886051578E-2</v>
      </c>
      <c r="AD69" s="233">
        <f>(INDEX(Models!$BJ69:$BT69,,AH69)*(1-AF69)+INDEX(Models!$BJ69:$BT69,,AH69+1)*AF69-ERP_i)*AE69*Ramure*Pc/MaxiM</f>
        <v>1.5930936284562569E-3</v>
      </c>
      <c r="AE69" s="307">
        <f t="shared" si="14"/>
        <v>1</v>
      </c>
      <c r="AF69" s="179">
        <f t="shared" si="15"/>
        <v>0.90768200687711298</v>
      </c>
      <c r="AG69" s="178">
        <f t="shared" si="16"/>
        <v>-3</v>
      </c>
      <c r="AH69" s="178">
        <f t="shared" si="17"/>
        <v>3</v>
      </c>
      <c r="AI69" s="227">
        <f t="shared" si="22"/>
        <v>-2.092317993122887</v>
      </c>
      <c r="AJ69" s="267" t="b">
        <f t="shared" si="18"/>
        <v>0</v>
      </c>
      <c r="AK69" s="267" t="b">
        <f t="shared" si="19"/>
        <v>0</v>
      </c>
      <c r="AL69" s="267"/>
      <c r="AM69" s="267"/>
      <c r="AN69" s="75"/>
    </row>
    <row r="70" spans="1:40" s="6" customFormat="1" ht="11.25" customHeight="1" x14ac:dyDescent="0.2">
      <c r="A70" s="56">
        <f t="shared" si="20"/>
        <v>43521</v>
      </c>
      <c r="B70" s="618">
        <v>33.427999999999997</v>
      </c>
      <c r="C70" s="392"/>
      <c r="D70" s="395">
        <f t="shared" si="0"/>
        <v>33.590201161258314</v>
      </c>
      <c r="E70" s="387">
        <f t="shared" si="1"/>
        <v>35.093309002623336</v>
      </c>
      <c r="F70" s="387">
        <f t="shared" si="2"/>
        <v>35.147494250668068</v>
      </c>
      <c r="G70" s="110">
        <f t="shared" si="23"/>
        <v>0.97532883783308888</v>
      </c>
      <c r="H70" s="414" t="b">
        <f>Wh_hp&gt;='2018'!Maxi_hp</f>
        <v>1</v>
      </c>
      <c r="I70" s="392">
        <f>IF(H70,Wh_hp,'2018'!Maxi_hp)</f>
        <v>35.147494250668068</v>
      </c>
      <c r="J70" s="85">
        <f>IF(H70,An,'2018'!An_max)</f>
        <v>2019</v>
      </c>
      <c r="K70" s="199">
        <f t="shared" si="3"/>
        <v>43521</v>
      </c>
      <c r="L70" s="147">
        <f>IF(t&lt;Tvie,1-EXP((T0-t)*PertePVj)+'2018'!Pspv,1-EXP((T0-t)*PertePVj)+Pspv)</f>
        <v>4.828823753678213E-3</v>
      </c>
      <c r="M70" s="870"/>
      <c r="N70" s="870"/>
      <c r="O70" s="48">
        <f>IF(t&lt;Tnet,'2018'!Resal+('2018'!Salim-'2018'!Resal)*(1-EXP(('2018'!Tnet-t)/('2018'!Tau_j))),Resal+(Salim-Resal)*(1-EXP((Tnet-t)/(Tau_j))))*Salcycl</f>
        <v>4.2831750099503567E-2</v>
      </c>
      <c r="P70" s="171">
        <f>(INDEX(Models!$BJ70:$BT70,,T70)*(1-R70)+INDEX(Models!$BJ70:$BT70,,T70+1)*R70-ERP_i)*Q70*Ramure*Pc/MaxiM</f>
        <v>1.5978431438360067E-3</v>
      </c>
      <c r="Q70" s="307">
        <f t="shared" si="4"/>
        <v>1</v>
      </c>
      <c r="R70" s="179">
        <f t="shared" si="5"/>
        <v>0.9080496605861037</v>
      </c>
      <c r="S70" s="837">
        <f t="shared" si="6"/>
        <v>-3</v>
      </c>
      <c r="T70" s="178">
        <f t="shared" si="7"/>
        <v>3</v>
      </c>
      <c r="U70" s="253">
        <f t="shared" si="21"/>
        <v>-2.0919503394138963</v>
      </c>
      <c r="V70" s="385">
        <f t="shared" si="8"/>
        <v>34.271639970829398</v>
      </c>
      <c r="W70" s="58"/>
      <c r="X70" s="157">
        <f t="shared" si="9"/>
        <v>43521</v>
      </c>
      <c r="Y70" s="387">
        <f t="shared" si="10"/>
        <v>33.427999999999997</v>
      </c>
      <c r="Z70" s="387">
        <f t="shared" si="11"/>
        <v>33.590201161258314</v>
      </c>
      <c r="AA70" s="388">
        <f t="shared" si="12"/>
        <v>35.093309002623336</v>
      </c>
      <c r="AB70" s="199">
        <f t="shared" si="13"/>
        <v>43521</v>
      </c>
      <c r="AC70" s="426">
        <f>IF(OR(t&lt;Tnet,NoTnet),'2018'!Resal_s+('2018'!Salim-'2018'!Resal_s)*(1-EXP(('2018'!Tnet_s-t)/'2018'!Tau_j)),Resal_s+(Salim-Resal_s)*(1-EXP((Tnet_s-t)/Tau_j)))*Salcycl</f>
        <v>4.2831750099503567E-2</v>
      </c>
      <c r="AD70" s="233">
        <f>(INDEX(Models!$BJ70:$BT70,,AH70)*(1-AF70)+INDEX(Models!$BJ70:$BT70,,AH70+1)*AF70-ERP_i)*AE70*Ramure*Pc/MaxiM</f>
        <v>1.5978431438360067E-3</v>
      </c>
      <c r="AE70" s="307">
        <f t="shared" si="14"/>
        <v>1</v>
      </c>
      <c r="AF70" s="179">
        <f t="shared" si="15"/>
        <v>0.9080496605861037</v>
      </c>
      <c r="AG70" s="178">
        <f t="shared" si="16"/>
        <v>-3</v>
      </c>
      <c r="AH70" s="178">
        <f t="shared" si="17"/>
        <v>3</v>
      </c>
      <c r="AI70" s="227">
        <f t="shared" si="22"/>
        <v>-2.0919503394138963</v>
      </c>
      <c r="AJ70" s="267" t="b">
        <f t="shared" si="18"/>
        <v>0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43522</v>
      </c>
      <c r="B71" s="618">
        <v>31.885999999999999</v>
      </c>
      <c r="C71" s="392"/>
      <c r="D71" s="395">
        <f t="shared" si="0"/>
        <v>32.041464636610968</v>
      </c>
      <c r="E71" s="387">
        <f t="shared" si="1"/>
        <v>33.481719345966397</v>
      </c>
      <c r="F71" s="387">
        <f t="shared" si="2"/>
        <v>33.529392075098649</v>
      </c>
      <c r="G71" s="110">
        <f t="shared" si="23"/>
        <v>0.91925948167087834</v>
      </c>
      <c r="H71" s="414" t="b">
        <f>Wh_hp&gt;='2018'!Maxi_hp</f>
        <v>1</v>
      </c>
      <c r="I71" s="392">
        <f>IF(H71,Wh_hp,'2018'!Maxi_hp)</f>
        <v>33.529392075098649</v>
      </c>
      <c r="J71" s="85">
        <f>IF(H71,An,'2018'!An_max)</f>
        <v>2019</v>
      </c>
      <c r="K71" s="199">
        <f t="shared" si="3"/>
        <v>43522</v>
      </c>
      <c r="L71" s="147">
        <f>IF(t&lt;Tvie,1-EXP((T0-t)*PertePVj)+'2018'!Pspv,1-EXP((T0-t)*PertePVj)+Pspv)</f>
        <v>4.8519828408010168E-3</v>
      </c>
      <c r="M71" s="870"/>
      <c r="N71" s="870"/>
      <c r="O71" s="48">
        <f>IF(t&lt;Tnet,'2018'!Resal+('2018'!Salim-'2018'!Resal)*(1-EXP(('2018'!Tnet-t)/('2018'!Tau_j))),Resal+(Salim-Resal)*(1-EXP((Tnet-t)/(Tau_j))))*Salcycl</f>
        <v>4.3016151424999607E-2</v>
      </c>
      <c r="P71" s="171">
        <f>(INDEX(Models!$BJ71:$BT71,,T71)*(1-R71)+INDEX(Models!$BJ71:$BT71,,T71+1)*R71-ERP_i)*Q71*Ramure*Pc/MaxiM</f>
        <v>1.6067573957362757E-3</v>
      </c>
      <c r="Q71" s="307">
        <f t="shared" si="4"/>
        <v>1</v>
      </c>
      <c r="R71" s="179">
        <f t="shared" si="5"/>
        <v>0.90843232294389509</v>
      </c>
      <c r="S71" s="837">
        <f t="shared" si="6"/>
        <v>-3</v>
      </c>
      <c r="T71" s="178">
        <f t="shared" si="7"/>
        <v>3</v>
      </c>
      <c r="U71" s="253">
        <f t="shared" si="21"/>
        <v>-2.0915676770561049</v>
      </c>
      <c r="V71" s="385">
        <f t="shared" si="8"/>
        <v>34.680191279991249</v>
      </c>
      <c r="W71" s="58"/>
      <c r="X71" s="157">
        <f t="shared" si="9"/>
        <v>43522</v>
      </c>
      <c r="Y71" s="387">
        <f t="shared" si="10"/>
        <v>31.885999999999999</v>
      </c>
      <c r="Z71" s="387">
        <f t="shared" si="11"/>
        <v>32.041464636610968</v>
      </c>
      <c r="AA71" s="388">
        <f t="shared" si="12"/>
        <v>33.481719345966397</v>
      </c>
      <c r="AB71" s="199">
        <f t="shared" si="13"/>
        <v>43522</v>
      </c>
      <c r="AC71" s="426">
        <f>IF(OR(t&lt;Tnet,NoTnet),'2018'!Resal_s+('2018'!Salim-'2018'!Resal_s)*(1-EXP(('2018'!Tnet_s-t)/'2018'!Tau_j)),Resal_s+(Salim-Resal_s)*(1-EXP((Tnet_s-t)/Tau_j)))*Salcycl</f>
        <v>4.3016151424999607E-2</v>
      </c>
      <c r="AD71" s="233">
        <f>(INDEX(Models!$BJ71:$BT71,,AH71)*(1-AF71)+INDEX(Models!$BJ71:$BT71,,AH71+1)*AF71-ERP_i)*AE71*Ramure*Pc/MaxiM</f>
        <v>1.6067573957362757E-3</v>
      </c>
      <c r="AE71" s="307">
        <f t="shared" si="14"/>
        <v>1</v>
      </c>
      <c r="AF71" s="179">
        <f t="shared" si="15"/>
        <v>0.90843232294389509</v>
      </c>
      <c r="AG71" s="178">
        <f t="shared" si="16"/>
        <v>-3</v>
      </c>
      <c r="AH71" s="178">
        <f t="shared" si="17"/>
        <v>3</v>
      </c>
      <c r="AI71" s="227">
        <f t="shared" si="22"/>
        <v>-2.0915676770561049</v>
      </c>
      <c r="AJ71" s="267" t="b">
        <f t="shared" si="18"/>
        <v>0</v>
      </c>
      <c r="AK71" s="267" t="b">
        <f t="shared" si="19"/>
        <v>0</v>
      </c>
      <c r="AL71" s="267"/>
      <c r="AM71" s="267"/>
      <c r="AN71" s="75"/>
    </row>
    <row r="72" spans="1:40" s="6" customFormat="1" ht="11.25" customHeight="1" x14ac:dyDescent="0.2">
      <c r="A72" s="56">
        <f t="shared" si="20"/>
        <v>43523</v>
      </c>
      <c r="B72" s="618">
        <v>33.981000000000002</v>
      </c>
      <c r="C72" s="392"/>
      <c r="D72" s="395">
        <f t="shared" si="0"/>
        <v>34.147473762669435</v>
      </c>
      <c r="E72" s="387">
        <f t="shared" si="1"/>
        <v>35.689261907868705</v>
      </c>
      <c r="F72" s="387">
        <f t="shared" si="2"/>
        <v>35.744529564271296</v>
      </c>
      <c r="G72" s="110">
        <f t="shared" si="23"/>
        <v>0.9682847628682838</v>
      </c>
      <c r="H72" s="414" t="b">
        <f>Wh_hp&gt;='2018'!Maxi_hp</f>
        <v>1</v>
      </c>
      <c r="I72" s="392">
        <f>IF(H72,Wh_hp,'2018'!Maxi_hp)</f>
        <v>35.744529564271296</v>
      </c>
      <c r="J72" s="85">
        <f>IF(H72,An,'2018'!An_max)</f>
        <v>2019</v>
      </c>
      <c r="K72" s="199">
        <f t="shared" si="3"/>
        <v>43523</v>
      </c>
      <c r="L72" s="147">
        <f>IF(t&lt;Tvie,1-EXP((T0-t)*PertePVj)+'2018'!Pspv,1-EXP((T0-t)*PertePVj)+Pspv)</f>
        <v>4.8751413889780437E-3</v>
      </c>
      <c r="M72" s="870"/>
      <c r="N72" s="870"/>
      <c r="O72" s="48">
        <f>IF(t&lt;Tnet,'2018'!Resal+('2018'!Salim-'2018'!Resal)*(1-EXP(('2018'!Tnet-t)/('2018'!Tau_j))),Resal+(Salim-Resal)*(1-EXP((Tnet-t)/(Tau_j))))*Salcycl</f>
        <v>4.3200337098014852E-2</v>
      </c>
      <c r="P72" s="171">
        <f>(INDEX(Models!$BJ72:$BT72,,T72)*(1-R72)+INDEX(Models!$BJ72:$BT72,,T72+1)*R72-ERP_i)*Q72*Ramure*Pc/MaxiM</f>
        <v>1.6193913177486715E-3</v>
      </c>
      <c r="Q72" s="307">
        <f t="shared" si="4"/>
        <v>1</v>
      </c>
      <c r="R72" s="179">
        <f t="shared" si="5"/>
        <v>0.90883058877662926</v>
      </c>
      <c r="S72" s="837">
        <f t="shared" si="6"/>
        <v>-3</v>
      </c>
      <c r="T72" s="178">
        <f t="shared" si="7"/>
        <v>3</v>
      </c>
      <c r="U72" s="253">
        <f t="shared" si="21"/>
        <v>-2.0911694112233707</v>
      </c>
      <c r="V72" s="385">
        <f t="shared" si="8"/>
        <v>35.091441926746441</v>
      </c>
      <c r="W72" s="58"/>
      <c r="X72" s="157">
        <f t="shared" si="9"/>
        <v>43523</v>
      </c>
      <c r="Y72" s="387">
        <f t="shared" si="10"/>
        <v>33.981000000000002</v>
      </c>
      <c r="Z72" s="387">
        <f t="shared" si="11"/>
        <v>34.147473762669435</v>
      </c>
      <c r="AA72" s="388">
        <f t="shared" si="12"/>
        <v>35.689261907868705</v>
      </c>
      <c r="AB72" s="199">
        <f t="shared" si="13"/>
        <v>43523</v>
      </c>
      <c r="AC72" s="426">
        <f>IF(OR(t&lt;Tnet,NoTnet),'2018'!Resal_s+('2018'!Salim-'2018'!Resal_s)*(1-EXP(('2018'!Tnet_s-t)/'2018'!Tau_j)),Resal_s+(Salim-Resal_s)*(1-EXP((Tnet_s-t)/Tau_j)))*Salcycl</f>
        <v>4.3200337098014852E-2</v>
      </c>
      <c r="AD72" s="233">
        <f>(INDEX(Models!$BJ72:$BT72,,AH72)*(1-AF72)+INDEX(Models!$BJ72:$BT72,,AH72+1)*AF72-ERP_i)*AE72*Ramure*Pc/MaxiM</f>
        <v>1.6193913177486715E-3</v>
      </c>
      <c r="AE72" s="307">
        <f t="shared" si="14"/>
        <v>1</v>
      </c>
      <c r="AF72" s="179">
        <f t="shared" si="15"/>
        <v>0.90883058877662926</v>
      </c>
      <c r="AG72" s="178">
        <f t="shared" si="16"/>
        <v>-3</v>
      </c>
      <c r="AH72" s="178">
        <f t="shared" si="17"/>
        <v>3</v>
      </c>
      <c r="AI72" s="227">
        <f t="shared" si="22"/>
        <v>-2.0911694112233707</v>
      </c>
      <c r="AJ72" s="267" t="b">
        <f t="shared" si="18"/>
        <v>0</v>
      </c>
      <c r="AK72" s="267" t="b">
        <f t="shared" si="19"/>
        <v>0</v>
      </c>
      <c r="AL72" s="267"/>
      <c r="AM72" s="267"/>
      <c r="AN72" s="75"/>
    </row>
    <row r="73" spans="1:40" s="6" customFormat="1" ht="11.25" customHeight="1" x14ac:dyDescent="0.2">
      <c r="A73" s="56">
        <f t="shared" si="20"/>
        <v>43524</v>
      </c>
      <c r="B73" s="618">
        <v>29.608000000000001</v>
      </c>
      <c r="C73" s="392"/>
      <c r="D73" s="395">
        <f t="shared" si="0"/>
        <v>29.753742740158966</v>
      </c>
      <c r="E73" s="387">
        <f t="shared" si="1"/>
        <v>31.103130666539073</v>
      </c>
      <c r="F73" s="387">
        <f t="shared" si="2"/>
        <v>31.141884828687509</v>
      </c>
      <c r="G73" s="110">
        <f t="shared" si="23"/>
        <v>0.83358503761839908</v>
      </c>
      <c r="H73" s="414" t="b">
        <f>Wh_hp&gt;='2018'!Maxi_hp</f>
        <v>1</v>
      </c>
      <c r="I73" s="392">
        <f>IF(H73,Wh_hp,'2018'!Maxi_hp)</f>
        <v>31.141884828687509</v>
      </c>
      <c r="J73" s="85">
        <f>IF(H73,An,'2018'!An_max)</f>
        <v>2019</v>
      </c>
      <c r="K73" s="199">
        <f t="shared" si="3"/>
        <v>43524</v>
      </c>
      <c r="L73" s="147">
        <f>IF(t&lt;Tvie,1-EXP((T0-t)*PertePVj)+'2018'!Pspv,1-EXP((T0-t)*PertePVj)+Pspv)</f>
        <v>4.8982993982217282E-3</v>
      </c>
      <c r="M73" s="870"/>
      <c r="N73" s="870"/>
      <c r="O73" s="48">
        <f>IF(t&lt;Tnet,'2018'!Resal+('2018'!Salim-'2018'!Resal)*(1-EXP(('2018'!Tnet-t)/('2018'!Tau_j))),Resal+(Salim-Resal)*(1-EXP((Tnet-t)/(Tau_j))))*Salcycl</f>
        <v>4.3384312043925129E-2</v>
      </c>
      <c r="P73" s="171">
        <f>(INDEX(Models!$BJ73:$BT73,,T73)*(1-R73)+INDEX(Models!$BJ73:$BT73,,T73+1)*R73-ERP_i)*Q73*Ramure*Pc/MaxiM</f>
        <v>1.6315667661511743E-3</v>
      </c>
      <c r="Q73" s="307">
        <f t="shared" si="4"/>
        <v>1</v>
      </c>
      <c r="R73" s="179">
        <f t="shared" si="5"/>
        <v>0.90924507497825191</v>
      </c>
      <c r="S73" s="837">
        <f t="shared" si="6"/>
        <v>-3</v>
      </c>
      <c r="T73" s="178">
        <f t="shared" si="7"/>
        <v>3</v>
      </c>
      <c r="U73" s="253">
        <f t="shared" si="21"/>
        <v>-2.0907549250217481</v>
      </c>
      <c r="V73" s="385">
        <f t="shared" si="8"/>
        <v>35.505104207285108</v>
      </c>
      <c r="W73" s="58"/>
      <c r="X73" s="157">
        <f t="shared" si="9"/>
        <v>43524</v>
      </c>
      <c r="Y73" s="387">
        <f t="shared" si="10"/>
        <v>29.608000000000001</v>
      </c>
      <c r="Z73" s="387">
        <f t="shared" si="11"/>
        <v>29.753742740158966</v>
      </c>
      <c r="AA73" s="388">
        <f t="shared" si="12"/>
        <v>31.103130666539073</v>
      </c>
      <c r="AB73" s="199">
        <f t="shared" si="13"/>
        <v>43524</v>
      </c>
      <c r="AC73" s="426">
        <f>IF(OR(t&lt;Tnet,NoTnet),'2018'!Resal_s+('2018'!Salim-'2018'!Resal_s)*(1-EXP(('2018'!Tnet_s-t)/'2018'!Tau_j)),Resal_s+(Salim-Resal_s)*(1-EXP((Tnet_s-t)/Tau_j)))*Salcycl</f>
        <v>4.3384312043925129E-2</v>
      </c>
      <c r="AD73" s="233">
        <f>(INDEX(Models!$BJ73:$BT73,,AH73)*(1-AF73)+INDEX(Models!$BJ73:$BT73,,AH73+1)*AF73-ERP_i)*AE73*Ramure*Pc/MaxiM</f>
        <v>1.6315667661511743E-3</v>
      </c>
      <c r="AE73" s="307">
        <f t="shared" si="14"/>
        <v>1</v>
      </c>
      <c r="AF73" s="179">
        <f t="shared" si="15"/>
        <v>0.90924507497825191</v>
      </c>
      <c r="AG73" s="178">
        <f t="shared" si="16"/>
        <v>-3</v>
      </c>
      <c r="AH73" s="178">
        <f t="shared" si="17"/>
        <v>3</v>
      </c>
      <c r="AI73" s="227">
        <f t="shared" si="22"/>
        <v>-2.0907549250217481</v>
      </c>
      <c r="AJ73" s="267" t="b">
        <f t="shared" si="18"/>
        <v>0</v>
      </c>
      <c r="AK73" s="267" t="b">
        <f t="shared" si="19"/>
        <v>0</v>
      </c>
      <c r="AL73" s="267"/>
      <c r="AM73" s="267"/>
      <c r="AN73" s="75"/>
    </row>
    <row r="74" spans="1:40" s="6" customFormat="1" ht="11.25" customHeight="1" x14ac:dyDescent="0.2">
      <c r="A74" s="56">
        <f t="shared" si="20"/>
        <v>43525</v>
      </c>
      <c r="B74" s="618">
        <v>14.99</v>
      </c>
      <c r="C74" s="392"/>
      <c r="D74" s="395">
        <f t="shared" si="0"/>
        <v>15.064137502982756</v>
      </c>
      <c r="E74" s="387">
        <f t="shared" si="1"/>
        <v>15.750350060965165</v>
      </c>
      <c r="F74" s="387">
        <f t="shared" si="2"/>
        <v>15.754688764628643</v>
      </c>
      <c r="G74" s="110">
        <f t="shared" si="23"/>
        <v>0.4167365870121596</v>
      </c>
      <c r="H74" s="414" t="b">
        <f>Wh_hp&gt;='2018'!Maxi_hp</f>
        <v>1</v>
      </c>
      <c r="I74" s="392">
        <f>IF(H74,Wh_hp,'2018'!Maxi_hp)</f>
        <v>15.754688764628643</v>
      </c>
      <c r="J74" s="85">
        <f>IF(H74,An,'2018'!An_max)</f>
        <v>2019</v>
      </c>
      <c r="K74" s="199">
        <f t="shared" si="3"/>
        <v>43525</v>
      </c>
      <c r="L74" s="147">
        <f>IF(t&lt;Tvie,1-EXP((T0-t)*PertePVj)+'2018'!Pspv,1-EXP((T0-t)*PertePVj)+Pspv)</f>
        <v>4.9214568685447269E-3</v>
      </c>
      <c r="M74" s="870"/>
      <c r="N74" s="870"/>
      <c r="O74" s="48">
        <f>IF(t&lt;Tnet,'2018'!Resal+('2018'!Salim-'2018'!Resal)*(1-EXP(('2018'!Tnet-t)/('2018'!Tau_j))),Resal+(Salim-Resal)*(1-EXP((Tnet-t)/(Tau_j))))*Salcycl</f>
        <v>4.3568082952205732E-2</v>
      </c>
      <c r="P74" s="171">
        <f>(INDEX(Models!$BJ74:$BT74,,T74)*(1-R74)+INDEX(Models!$BJ74:$BT74,,T74+1)*R74-ERP_i)*Q74*Ramure*Pc/MaxiM</f>
        <v>1.6433197824176748E-3</v>
      </c>
      <c r="Q74" s="307">
        <f t="shared" si="4"/>
        <v>1</v>
      </c>
      <c r="R74" s="179">
        <f t="shared" si="5"/>
        <v>0.90967642120133441</v>
      </c>
      <c r="S74" s="837">
        <f t="shared" si="6"/>
        <v>-3</v>
      </c>
      <c r="T74" s="178">
        <f t="shared" si="7"/>
        <v>3</v>
      </c>
      <c r="U74" s="253">
        <f t="shared" si="21"/>
        <v>-2.0903235787986656</v>
      </c>
      <c r="V74" s="385">
        <f t="shared" si="8"/>
        <v>35.920746028858787</v>
      </c>
      <c r="W74" s="58"/>
      <c r="X74" s="157">
        <f t="shared" si="9"/>
        <v>43525</v>
      </c>
      <c r="Y74" s="387">
        <f t="shared" si="10"/>
        <v>14.99</v>
      </c>
      <c r="Z74" s="387">
        <f t="shared" si="11"/>
        <v>15.064137502982756</v>
      </c>
      <c r="AA74" s="388">
        <f t="shared" si="12"/>
        <v>15.750350060965165</v>
      </c>
      <c r="AB74" s="199">
        <f t="shared" si="13"/>
        <v>43525</v>
      </c>
      <c r="AC74" s="426">
        <f>IF(OR(t&lt;Tnet,NoTnet),'2018'!Resal_s+('2018'!Salim-'2018'!Resal_s)*(1-EXP(('2018'!Tnet_s-t)/'2018'!Tau_j)),Resal_s+(Salim-Resal_s)*(1-EXP((Tnet_s-t)/Tau_j)))*Salcycl</f>
        <v>4.3568082952205732E-2</v>
      </c>
      <c r="AD74" s="233">
        <f>(INDEX(Models!$BJ74:$BT74,,AH74)*(1-AF74)+INDEX(Models!$BJ74:$BT74,,AH74+1)*AF74-ERP_i)*AE74*Ramure*Pc/MaxiM</f>
        <v>1.6433197824176748E-3</v>
      </c>
      <c r="AE74" s="307">
        <f t="shared" si="14"/>
        <v>1</v>
      </c>
      <c r="AF74" s="179">
        <f t="shared" si="15"/>
        <v>0.90967642120133441</v>
      </c>
      <c r="AG74" s="178">
        <f t="shared" si="16"/>
        <v>-3</v>
      </c>
      <c r="AH74" s="178">
        <f t="shared" si="17"/>
        <v>3</v>
      </c>
      <c r="AI74" s="227">
        <f t="shared" si="22"/>
        <v>-2.0903235787986656</v>
      </c>
      <c r="AJ74" s="267" t="b">
        <f t="shared" si="18"/>
        <v>0</v>
      </c>
      <c r="AK74" s="267" t="b">
        <f t="shared" si="19"/>
        <v>0</v>
      </c>
      <c r="AL74" s="267"/>
      <c r="AM74" s="267"/>
      <c r="AN74" s="75"/>
    </row>
    <row r="75" spans="1:40" s="6" customFormat="1" ht="11.25" customHeight="1" x14ac:dyDescent="0.2">
      <c r="A75" s="56">
        <f t="shared" si="20"/>
        <v>43526</v>
      </c>
      <c r="B75" s="618">
        <v>19.584</v>
      </c>
      <c r="C75" s="392"/>
      <c r="D75" s="395">
        <f t="shared" si="0"/>
        <v>19.681316509212827</v>
      </c>
      <c r="E75" s="387">
        <f t="shared" si="1"/>
        <v>20.581804591720282</v>
      </c>
      <c r="F75" s="387">
        <f t="shared" si="2"/>
        <v>20.593436119450722</v>
      </c>
      <c r="G75" s="110">
        <f t="shared" si="23"/>
        <v>0.53835320142133414</v>
      </c>
      <c r="H75" s="414" t="b">
        <f>Wh_hp&gt;='2018'!Maxi_hp</f>
        <v>1</v>
      </c>
      <c r="I75" s="392">
        <f>IF(H75,Wh_hp,'2018'!Maxi_hp)</f>
        <v>20.593436119450722</v>
      </c>
      <c r="J75" s="85">
        <f>IF(H75,An,'2018'!An_max)</f>
        <v>2019</v>
      </c>
      <c r="K75" s="199">
        <f t="shared" si="3"/>
        <v>43526</v>
      </c>
      <c r="L75" s="147">
        <f>IF(t&lt;Tvie,1-EXP((T0-t)*PertePVj)+'2018'!Pspv,1-EXP((T0-t)*PertePVj)+Pspv)</f>
        <v>4.9446137999595852E-3</v>
      </c>
      <c r="M75" s="870"/>
      <c r="N75" s="870"/>
      <c r="O75" s="48">
        <f>IF(t&lt;Tnet,'2018'!Resal+('2018'!Salim-'2018'!Resal)*(1-EXP(('2018'!Tnet-t)/('2018'!Tau_j))),Resal+(Salim-Resal)*(1-EXP((Tnet-t)/(Tau_j))))*Salcycl</f>
        <v>4.3751658339507574E-2</v>
      </c>
      <c r="P75" s="171">
        <f>(INDEX(Models!$BJ75:$BT75,,T75)*(1-R75)+INDEX(Models!$BJ75:$BT75,,T75+1)*R75-ERP_i)*Q75*Ramure*Pc/MaxiM</f>
        <v>1.6546855481258521E-3</v>
      </c>
      <c r="Q75" s="307">
        <f t="shared" si="4"/>
        <v>1</v>
      </c>
      <c r="R75" s="179">
        <f t="shared" si="5"/>
        <v>0.91012529055830038</v>
      </c>
      <c r="S75" s="837">
        <f t="shared" si="6"/>
        <v>-3</v>
      </c>
      <c r="T75" s="178">
        <f t="shared" si="7"/>
        <v>3</v>
      </c>
      <c r="U75" s="253">
        <f t="shared" si="21"/>
        <v>-2.0898747094416996</v>
      </c>
      <c r="V75" s="385">
        <f t="shared" si="8"/>
        <v>36.337935587871115</v>
      </c>
      <c r="W75" s="58"/>
      <c r="X75" s="157">
        <f t="shared" si="9"/>
        <v>43526</v>
      </c>
      <c r="Y75" s="387">
        <f t="shared" si="10"/>
        <v>19.584</v>
      </c>
      <c r="Z75" s="387">
        <f t="shared" si="11"/>
        <v>19.681316509212827</v>
      </c>
      <c r="AA75" s="388">
        <f t="shared" si="12"/>
        <v>20.581804591720282</v>
      </c>
      <c r="AB75" s="199">
        <f t="shared" si="13"/>
        <v>43526</v>
      </c>
      <c r="AC75" s="426">
        <f>IF(OR(t&lt;Tnet,NoTnet),'2018'!Resal_s+('2018'!Salim-'2018'!Resal_s)*(1-EXP(('2018'!Tnet_s-t)/'2018'!Tau_j)),Resal_s+(Salim-Resal_s)*(1-EXP((Tnet_s-t)/Tau_j)))*Salcycl</f>
        <v>4.3751658339507574E-2</v>
      </c>
      <c r="AD75" s="233">
        <f>(INDEX(Models!$BJ75:$BT75,,AH75)*(1-AF75)+INDEX(Models!$BJ75:$BT75,,AH75+1)*AF75-ERP_i)*AE75*Ramure*Pc/MaxiM</f>
        <v>1.6546855481258521E-3</v>
      </c>
      <c r="AE75" s="307">
        <f t="shared" si="14"/>
        <v>1</v>
      </c>
      <c r="AF75" s="179">
        <f t="shared" si="15"/>
        <v>0.91012529055830038</v>
      </c>
      <c r="AG75" s="178">
        <f t="shared" si="16"/>
        <v>-3</v>
      </c>
      <c r="AH75" s="178">
        <f t="shared" si="17"/>
        <v>3</v>
      </c>
      <c r="AI75" s="227">
        <f t="shared" si="22"/>
        <v>-2.0898747094416996</v>
      </c>
      <c r="AJ75" s="267" t="b">
        <f t="shared" si="18"/>
        <v>0</v>
      </c>
      <c r="AK75" s="267" t="b">
        <f t="shared" si="19"/>
        <v>0</v>
      </c>
      <c r="AL75" s="267"/>
      <c r="AM75" s="267"/>
      <c r="AN75" s="75"/>
    </row>
    <row r="76" spans="1:40" s="6" customFormat="1" ht="11.25" customHeight="1" x14ac:dyDescent="0.2">
      <c r="A76" s="56">
        <f t="shared" si="20"/>
        <v>43527</v>
      </c>
      <c r="B76" s="618">
        <v>31.643000000000001</v>
      </c>
      <c r="C76" s="392"/>
      <c r="D76" s="395">
        <f t="shared" si="0"/>
        <v>31.800979960338587</v>
      </c>
      <c r="E76" s="387">
        <f t="shared" si="1"/>
        <v>33.262363518097423</v>
      </c>
      <c r="F76" s="387">
        <f t="shared" si="2"/>
        <v>33.306817170948804</v>
      </c>
      <c r="G76" s="110">
        <f t="shared" si="23"/>
        <v>0.86060244845145839</v>
      </c>
      <c r="H76" s="414" t="b">
        <f>Wh_hp&gt;='2018'!Maxi_hp</f>
        <v>1</v>
      </c>
      <c r="I76" s="392">
        <f>IF(H76,Wh_hp,'2018'!Maxi_hp)</f>
        <v>33.306817170948804</v>
      </c>
      <c r="J76" s="85">
        <f>IF(H76,An,'2018'!An_max)</f>
        <v>2019</v>
      </c>
      <c r="K76" s="199">
        <f t="shared" si="3"/>
        <v>43527</v>
      </c>
      <c r="L76" s="147">
        <f>IF(t&lt;Tvie,1-EXP((T0-t)*PertePVj)+'2018'!Pspv,1-EXP((T0-t)*PertePVj)+Pspv)</f>
        <v>4.9677701924788487E-3</v>
      </c>
      <c r="M76" s="870"/>
      <c r="N76" s="870"/>
      <c r="O76" s="48">
        <f>IF(t&lt;Tnet,'2018'!Resal+('2018'!Salim-'2018'!Resal)*(1-EXP(('2018'!Tnet-t)/('2018'!Tau_j))),Resal+(Salim-Resal)*(1-EXP((Tnet-t)/(Tau_j))))*Salcycl</f>
        <v>4.3935048601213285E-2</v>
      </c>
      <c r="P76" s="171">
        <f>(INDEX(Models!$BJ76:$BT76,,T76)*(1-R76)+INDEX(Models!$BJ76:$BT76,,T76+1)*R76-ERP_i)*Q76*Ramure*Pc/MaxiM</f>
        <v>1.6656983743507162E-3</v>
      </c>
      <c r="Q76" s="307">
        <f t="shared" si="4"/>
        <v>1</v>
      </c>
      <c r="R76" s="179">
        <f t="shared" si="5"/>
        <v>0.91059237033210128</v>
      </c>
      <c r="S76" s="837">
        <f t="shared" si="6"/>
        <v>-3</v>
      </c>
      <c r="T76" s="178">
        <f t="shared" si="7"/>
        <v>3</v>
      </c>
      <c r="U76" s="253">
        <f t="shared" si="21"/>
        <v>-2.0894076296678987</v>
      </c>
      <c r="V76" s="385">
        <f t="shared" si="8"/>
        <v>36.756241361081472</v>
      </c>
      <c r="W76" s="58"/>
      <c r="X76" s="157">
        <f t="shared" si="9"/>
        <v>43527</v>
      </c>
      <c r="Y76" s="387">
        <f t="shared" si="10"/>
        <v>31.643000000000001</v>
      </c>
      <c r="Z76" s="387">
        <f t="shared" si="11"/>
        <v>31.800979960338587</v>
      </c>
      <c r="AA76" s="388">
        <f t="shared" si="12"/>
        <v>33.262363518097423</v>
      </c>
      <c r="AB76" s="199">
        <f t="shared" si="13"/>
        <v>43527</v>
      </c>
      <c r="AC76" s="426">
        <f>IF(OR(t&lt;Tnet,NoTnet),'2018'!Resal_s+('2018'!Salim-'2018'!Resal_s)*(1-EXP(('2018'!Tnet_s-t)/'2018'!Tau_j)),Resal_s+(Salim-Resal_s)*(1-EXP((Tnet_s-t)/Tau_j)))*Salcycl</f>
        <v>4.3935048601213285E-2</v>
      </c>
      <c r="AD76" s="233">
        <f>(INDEX(Models!$BJ76:$BT76,,AH76)*(1-AF76)+INDEX(Models!$BJ76:$BT76,,AH76+1)*AF76-ERP_i)*AE76*Ramure*Pc/MaxiM</f>
        <v>1.6656983743507162E-3</v>
      </c>
      <c r="AE76" s="307">
        <f t="shared" si="14"/>
        <v>1</v>
      </c>
      <c r="AF76" s="179">
        <f t="shared" si="15"/>
        <v>0.91059237033210128</v>
      </c>
      <c r="AG76" s="178">
        <f t="shared" si="16"/>
        <v>-3</v>
      </c>
      <c r="AH76" s="178">
        <f t="shared" si="17"/>
        <v>3</v>
      </c>
      <c r="AI76" s="227">
        <f t="shared" si="22"/>
        <v>-2.0894076296678987</v>
      </c>
      <c r="AJ76" s="267" t="b">
        <f t="shared" si="18"/>
        <v>0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43528</v>
      </c>
      <c r="B77" s="618">
        <v>9.4640000000000004</v>
      </c>
      <c r="C77" s="392"/>
      <c r="D77" s="395">
        <f t="shared" si="0"/>
        <v>9.5114710485932932</v>
      </c>
      <c r="E77" s="387">
        <f t="shared" si="1"/>
        <v>9.9504684636046576</v>
      </c>
      <c r="F77" s="387">
        <f t="shared" si="2"/>
        <v>9.9504684636046576</v>
      </c>
      <c r="G77" s="110">
        <f t="shared" si="23"/>
        <v>0.2541513285779442</v>
      </c>
      <c r="H77" s="414" t="b">
        <f>Wh_hp&gt;='2018'!Maxi_hp</f>
        <v>1</v>
      </c>
      <c r="I77" s="392">
        <f>IF(H77,Wh_hp,'2018'!Maxi_hp)</f>
        <v>9.9504684636046576</v>
      </c>
      <c r="J77" s="85">
        <f>IF(H77,An,'2018'!An_max)</f>
        <v>2019</v>
      </c>
      <c r="K77" s="199">
        <f t="shared" si="3"/>
        <v>43528</v>
      </c>
      <c r="L77" s="147">
        <f>IF(t&lt;Tvie,1-EXP((T0-t)*PertePVj)+'2018'!Pspv,1-EXP((T0-t)*PertePVj)+Pspv)</f>
        <v>4.9909260461149518E-3</v>
      </c>
      <c r="M77" s="870"/>
      <c r="N77" s="870"/>
      <c r="O77" s="48">
        <f>IF(t&lt;Tnet,'2018'!Resal+('2018'!Salim-'2018'!Resal)*(1-EXP(('2018'!Tnet-t)/('2018'!Tau_j))),Resal+(Salim-Resal)*(1-EXP((Tnet-t)/(Tau_j))))*Salcycl</f>
        <v>4.4118266051197799E-2</v>
      </c>
      <c r="P77" s="171">
        <f>(INDEX(Models!$BJ77:$BT77,,T77)*(1-R77)+INDEX(Models!$BJ77:$BT77,,T77+1)*R77-ERP_i)*Q77*Ramure*Pc/MaxiM</f>
        <v>1.6763917003026466E-3</v>
      </c>
      <c r="Q77" s="307">
        <f t="shared" si="4"/>
        <v>1</v>
      </c>
      <c r="R77" s="179">
        <f t="shared" si="5"/>
        <v>0.91107837269523895</v>
      </c>
      <c r="S77" s="837">
        <f t="shared" si="6"/>
        <v>-3</v>
      </c>
      <c r="T77" s="178">
        <f t="shared" si="7"/>
        <v>3</v>
      </c>
      <c r="U77" s="253">
        <f t="shared" si="21"/>
        <v>-2.0889216273047611</v>
      </c>
      <c r="V77" s="385">
        <f t="shared" si="8"/>
        <v>37.175232102124319</v>
      </c>
      <c r="W77" s="58"/>
      <c r="X77" s="157">
        <f t="shared" si="9"/>
        <v>43528</v>
      </c>
      <c r="Y77" s="387">
        <f t="shared" si="10"/>
        <v>9.4640000000000004</v>
      </c>
      <c r="Z77" s="387">
        <f t="shared" si="11"/>
        <v>9.5114710485932932</v>
      </c>
      <c r="AA77" s="388">
        <f t="shared" si="12"/>
        <v>9.9504684636046576</v>
      </c>
      <c r="AB77" s="199">
        <f t="shared" si="13"/>
        <v>43528</v>
      </c>
      <c r="AC77" s="426">
        <f>IF(OR(t&lt;Tnet,NoTnet),'2018'!Resal_s+('2018'!Salim-'2018'!Resal_s)*(1-EXP(('2018'!Tnet_s-t)/'2018'!Tau_j)),Resal_s+(Salim-Resal_s)*(1-EXP((Tnet_s-t)/Tau_j)))*Salcycl</f>
        <v>4.4118266051197799E-2</v>
      </c>
      <c r="AD77" s="233">
        <f>(INDEX(Models!$BJ77:$BT77,,AH77)*(1-AF77)+INDEX(Models!$BJ77:$BT77,,AH77+1)*AF77-ERP_i)*AE77*Ramure*Pc/MaxiM</f>
        <v>1.6763917003026466E-3</v>
      </c>
      <c r="AE77" s="307">
        <f t="shared" si="14"/>
        <v>1</v>
      </c>
      <c r="AF77" s="179">
        <f t="shared" si="15"/>
        <v>0.91107837269523895</v>
      </c>
      <c r="AG77" s="178">
        <f t="shared" si="16"/>
        <v>-3</v>
      </c>
      <c r="AH77" s="178">
        <f t="shared" si="17"/>
        <v>3</v>
      </c>
      <c r="AI77" s="227">
        <f t="shared" si="22"/>
        <v>-2.0889216273047611</v>
      </c>
      <c r="AJ77" s="267" t="b">
        <f t="shared" si="18"/>
        <v>0</v>
      </c>
      <c r="AK77" s="267" t="b">
        <f t="shared" si="19"/>
        <v>0</v>
      </c>
      <c r="AL77" s="267"/>
      <c r="AM77" s="267"/>
      <c r="AN77" s="75"/>
    </row>
    <row r="78" spans="1:40" s="6" customFormat="1" ht="11.25" customHeight="1" x14ac:dyDescent="0.2">
      <c r="A78" s="56">
        <f t="shared" si="20"/>
        <v>43529</v>
      </c>
      <c r="B78" s="618">
        <v>36.642000000000003</v>
      </c>
      <c r="C78" s="392"/>
      <c r="D78" s="395">
        <f t="shared" si="0"/>
        <v>36.826651828517008</v>
      </c>
      <c r="E78" s="387">
        <f t="shared" si="1"/>
        <v>38.533747916493105</v>
      </c>
      <c r="F78" s="387">
        <f t="shared" si="2"/>
        <v>38.596496043622651</v>
      </c>
      <c r="G78" s="110">
        <f t="shared" si="23"/>
        <v>0.97460484628718269</v>
      </c>
      <c r="H78" s="414" t="b">
        <f>Wh_hp&gt;='2018'!Maxi_hp</f>
        <v>1</v>
      </c>
      <c r="I78" s="392">
        <f>IF(H78,Wh_hp,'2018'!Maxi_hp)</f>
        <v>38.596496043622651</v>
      </c>
      <c r="J78" s="85">
        <f>IF(H78,An,'2018'!An_max)</f>
        <v>2019</v>
      </c>
      <c r="K78" s="199">
        <f t="shared" si="3"/>
        <v>43529</v>
      </c>
      <c r="L78" s="147">
        <f>IF(t&lt;Tvie,1-EXP((T0-t)*PertePVj)+'2018'!Pspv,1-EXP((T0-t)*PertePVj)+Pspv)</f>
        <v>5.0140813608805512E-3</v>
      </c>
      <c r="M78" s="870"/>
      <c r="N78" s="870"/>
      <c r="O78" s="48">
        <f>IF(t&lt;Tnet,'2018'!Resal+('2018'!Salim-'2018'!Resal)*(1-EXP(('2018'!Tnet-t)/('2018'!Tau_j))),Resal+(Salim-Resal)*(1-EXP((Tnet-t)/(Tau_j))))*Salcycl</f>
        <v>4.4301324949640605E-2</v>
      </c>
      <c r="P78" s="171">
        <f>(INDEX(Models!$BJ78:$BT78,,T78)*(1-R78)+INDEX(Models!$BJ78:$BT78,,T78+1)*R78-ERP_i)*Q78*Ramure*Pc/MaxiM</f>
        <v>1.6867981006966203E-3</v>
      </c>
      <c r="Q78" s="307">
        <f t="shared" si="4"/>
        <v>1</v>
      </c>
      <c r="R78" s="179">
        <f t="shared" si="5"/>
        <v>0.91158403543589284</v>
      </c>
      <c r="S78" s="837">
        <f t="shared" si="6"/>
        <v>-3</v>
      </c>
      <c r="T78" s="178">
        <f t="shared" si="7"/>
        <v>3</v>
      </c>
      <c r="U78" s="253">
        <f t="shared" si="21"/>
        <v>-2.0884159645641072</v>
      </c>
      <c r="V78" s="385">
        <f t="shared" si="8"/>
        <v>37.594476830654841</v>
      </c>
      <c r="W78" s="58"/>
      <c r="X78" s="157">
        <f t="shared" si="9"/>
        <v>43529</v>
      </c>
      <c r="Y78" s="387">
        <f t="shared" si="10"/>
        <v>36.642000000000003</v>
      </c>
      <c r="Z78" s="387">
        <f t="shared" si="11"/>
        <v>36.826651828517008</v>
      </c>
      <c r="AA78" s="388">
        <f t="shared" si="12"/>
        <v>38.533747916493105</v>
      </c>
      <c r="AB78" s="199">
        <f t="shared" si="13"/>
        <v>43529</v>
      </c>
      <c r="AC78" s="426">
        <f>IF(OR(t&lt;Tnet,NoTnet),'2018'!Resal_s+('2018'!Salim-'2018'!Resal_s)*(1-EXP(('2018'!Tnet_s-t)/'2018'!Tau_j)),Resal_s+(Salim-Resal_s)*(1-EXP((Tnet_s-t)/Tau_j)))*Salcycl</f>
        <v>4.4301324949640605E-2</v>
      </c>
      <c r="AD78" s="233">
        <f>(INDEX(Models!$BJ78:$BT78,,AH78)*(1-AF78)+INDEX(Models!$BJ78:$BT78,,AH78+1)*AF78-ERP_i)*AE78*Ramure*Pc/MaxiM</f>
        <v>1.6867981006966203E-3</v>
      </c>
      <c r="AE78" s="307">
        <f t="shared" si="14"/>
        <v>1</v>
      </c>
      <c r="AF78" s="179">
        <f t="shared" si="15"/>
        <v>0.91158403543589284</v>
      </c>
      <c r="AG78" s="178">
        <f t="shared" si="16"/>
        <v>-3</v>
      </c>
      <c r="AH78" s="178">
        <f t="shared" si="17"/>
        <v>3</v>
      </c>
      <c r="AI78" s="227">
        <f t="shared" si="22"/>
        <v>-2.0884159645641072</v>
      </c>
      <c r="AJ78" s="267" t="b">
        <f t="shared" si="18"/>
        <v>0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43530</v>
      </c>
      <c r="B79" s="618">
        <v>22.960999999999999</v>
      </c>
      <c r="C79" s="392"/>
      <c r="D79" s="395">
        <f t="shared" ref="D79:D142" si="24">Wh/(1-Ppv)</f>
        <v>23.077245535147174</v>
      </c>
      <c r="E79" s="387">
        <f t="shared" si="1"/>
        <v>24.151611661360825</v>
      </c>
      <c r="F79" s="387">
        <f t="shared" ref="F79:F142" si="25">Wh_sa/(1-Pvg*MEDIAN((-Sdif+Wh/Env_an)/Csdif,0,1))</f>
        <v>24.169421383322462</v>
      </c>
      <c r="G79" s="110">
        <f t="shared" si="23"/>
        <v>0.60340203604430565</v>
      </c>
      <c r="H79" s="414" t="b">
        <f>Wh_hp&gt;='2018'!Maxi_hp</f>
        <v>1</v>
      </c>
      <c r="I79" s="392">
        <f>IF(H79,Wh_hp,'2018'!Maxi_hp)</f>
        <v>24.169421383322462</v>
      </c>
      <c r="J79" s="85">
        <f>IF(H79,An,'2018'!An_max)</f>
        <v>2019</v>
      </c>
      <c r="K79" s="199">
        <f t="shared" ref="K79:K142" si="26">t</f>
        <v>43530</v>
      </c>
      <c r="L79" s="147">
        <f>IF(t&lt;Tvie,1-EXP((T0-t)*PertePVj)+'2018'!Pspv,1-EXP((T0-t)*PertePVj)+Pspv)</f>
        <v>5.0372361367881924E-3</v>
      </c>
      <c r="M79" s="870"/>
      <c r="N79" s="870"/>
      <c r="O79" s="48">
        <f>IF(t&lt;Tnet,'2018'!Resal+('2018'!Salim-'2018'!Resal)*(1-EXP(('2018'!Tnet-t)/('2018'!Tau_j))),Resal+(Salim-Resal)*(1-EXP((Tnet-t)/(Tau_j))))*Salcycl</f>
        <v>4.4484241518858346E-2</v>
      </c>
      <c r="P79" s="171">
        <f>(INDEX(Models!$BJ79:$BT79,,T79)*(1-R79)+INDEX(Models!$BJ79:$BT79,,T79+1)*R79-ERP_i)*Q79*Ramure*Pc/MaxiM</f>
        <v>1.69683914747182E-3</v>
      </c>
      <c r="Q79" s="307">
        <f t="shared" ref="Q79:Q142" si="27">IF(OR(t&lt;Ttai,Notai),Dd+PousD*Croivg,Dens+PousD*(Croivg-Croi_tai))</f>
        <v>1</v>
      </c>
      <c r="R79" s="179">
        <f t="shared" ref="R79:R142" si="28">(Hp_vg-S79)/(INDEX(Echel_vg,T79+1)-S79)</f>
        <v>0.91211012268975011</v>
      </c>
      <c r="S79" s="837">
        <f t="shared" ref="S79:S142" si="29">INDEX(Echel_vg,T79)</f>
        <v>-3</v>
      </c>
      <c r="T79" s="178">
        <f t="shared" ref="T79:T142" si="30">MIN(MATCH(Hp_vg,Echel_vg),10)</f>
        <v>3</v>
      </c>
      <c r="U79" s="253">
        <f t="shared" ref="U79:U142" si="31">IF(OR(t&lt;Ttai,Notai),Hdd+PousH*Croivg,Hdtf+PousH*(Croivg-Croi_tai))</f>
        <v>-2.0878898773102499</v>
      </c>
      <c r="V79" s="385">
        <f t="shared" ref="V79:V142" si="32">MaxiM*(1-Ppv)*(1-Pvg)*(1-Psa)</f>
        <v>38.016016726151399</v>
      </c>
      <c r="W79" s="58"/>
      <c r="X79" s="157">
        <f t="shared" ref="X79:X142" si="33">t</f>
        <v>43530</v>
      </c>
      <c r="Y79" s="387">
        <f t="shared" ref="Y79:Y142" si="34">Wh_pvt_s*(1-Ppv)</f>
        <v>22.960999999999999</v>
      </c>
      <c r="Z79" s="387">
        <f t="shared" ref="Z79:Z142" si="35">Wh_sa_s*(1-Psa_s)</f>
        <v>23.077245535147174</v>
      </c>
      <c r="AA79" s="388">
        <f t="shared" ref="AA79:AA142" si="36">Wh_hp*(1-Pvg_s*MEDIAN((-Sdif+Wh/Env_an)/Csdif,0,1))</f>
        <v>24.151611661360825</v>
      </c>
      <c r="AB79" s="199">
        <f t="shared" ref="AB79:AB142" si="37">t</f>
        <v>43530</v>
      </c>
      <c r="AC79" s="426">
        <f>IF(OR(t&lt;Tnet,NoTnet),'2018'!Resal_s+('2018'!Salim-'2018'!Resal_s)*(1-EXP(('2018'!Tnet_s-t)/'2018'!Tau_j)),Resal_s+(Salim-Resal_s)*(1-EXP((Tnet_s-t)/Tau_j)))*Salcycl</f>
        <v>4.4484241518858346E-2</v>
      </c>
      <c r="AD79" s="233">
        <f>(INDEX(Models!$BJ79:$BT79,,AH79)*(1-AF79)+INDEX(Models!$BJ79:$BT79,,AH79+1)*AF79-ERP_i)*AE79*Ramure*Pc/MaxiM</f>
        <v>1.69683914747182E-3</v>
      </c>
      <c r="AE79" s="307">
        <f t="shared" ref="AE79:AE142" si="38">IF(OR(t&lt;Ttai,Notai),Dd_s+PousD*Croivg,Dens_s+PousD*(Croivg-Croi_tai))</f>
        <v>1</v>
      </c>
      <c r="AF79" s="179">
        <f t="shared" ref="AF79:AF142" si="39">(Hp_vg_s-AG79)/(INDEX(Echel_vg,AH79+1)-AG79)</f>
        <v>0.91211012268975011</v>
      </c>
      <c r="AG79" s="178">
        <f t="shared" ref="AG79:AG142" si="40">INDEX(Echel_vg,AH79)</f>
        <v>-3</v>
      </c>
      <c r="AH79" s="178">
        <f t="shared" ref="AH79:AH142" si="41">MIN(MATCH(Hp_vg_s,Echel_vg),10)</f>
        <v>3</v>
      </c>
      <c r="AI79" s="227">
        <f t="shared" ref="AI79:AI142" si="42">IF(OR(t&lt;Ttai,Notai),Hdd_s+PousH*Croivg,Hdtai_s+PousH*(Croivg-Croi_tai))</f>
        <v>-2.0878898773102499</v>
      </c>
      <c r="AJ79" s="267" t="b">
        <f t="shared" ref="AJ79:AJ142" si="43">t&lt;Tnet</f>
        <v>0</v>
      </c>
      <c r="AK79" s="267" t="b">
        <f t="shared" ref="AK79:AK142" si="44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5">A79+1</f>
        <v>43531</v>
      </c>
      <c r="B80" s="618">
        <v>34.555999999999997</v>
      </c>
      <c r="C80" s="392"/>
      <c r="D80" s="395">
        <f t="shared" si="24"/>
        <v>34.731756244968956</v>
      </c>
      <c r="E80" s="387">
        <f t="shared" ref="E80:E143" si="46">Wh_pvt/(1-Psa)</f>
        <v>36.355655545389133</v>
      </c>
      <c r="F80" s="387">
        <f t="shared" si="25"/>
        <v>36.408784591497884</v>
      </c>
      <c r="G80" s="110">
        <f t="shared" ref="G80:G143" si="47">+Wh_hp/MaxiM</f>
        <v>0.89869600017341222</v>
      </c>
      <c r="H80" s="414" t="b">
        <f>Wh_hp&gt;='2018'!Maxi_hp</f>
        <v>1</v>
      </c>
      <c r="I80" s="392">
        <f>IF(H80,Wh_hp,'2018'!Maxi_hp)</f>
        <v>36.408784591497884</v>
      </c>
      <c r="J80" s="85">
        <f>IF(H80,An,'2018'!An_max)</f>
        <v>2019</v>
      </c>
      <c r="K80" s="199">
        <f t="shared" si="26"/>
        <v>43531</v>
      </c>
      <c r="L80" s="147">
        <f>IF(t&lt;Tvie,1-EXP((T0-t)*PertePVj)+'2018'!Pspv,1-EXP((T0-t)*PertePVj)+Pspv)</f>
        <v>5.0603903738503098E-3</v>
      </c>
      <c r="M80" s="870"/>
      <c r="N80" s="870"/>
      <c r="O80" s="48">
        <f>IF(t&lt;Tnet,'2018'!Resal+('2018'!Salim-'2018'!Resal)*(1-EXP(('2018'!Tnet-t)/('2018'!Tau_j))),Resal+(Salim-Resal)*(1-EXP((Tnet-t)/(Tau_j))))*Salcycl</f>
        <v>4.4667033947243168E-2</v>
      </c>
      <c r="P80" s="171">
        <f>(INDEX(Models!$BJ80:$BT80,,T80)*(1-R80)+INDEX(Models!$BJ80:$BT80,,T80+1)*R80-ERP_i)*Q80*Ramure*Pc/MaxiM</f>
        <v>1.705519623389903E-3</v>
      </c>
      <c r="Q80" s="307">
        <f t="shared" si="27"/>
        <v>1</v>
      </c>
      <c r="R80" s="179">
        <f t="shared" si="28"/>
        <v>0.91265742567596009</v>
      </c>
      <c r="S80" s="837">
        <f t="shared" si="29"/>
        <v>-3</v>
      </c>
      <c r="T80" s="178">
        <f t="shared" si="30"/>
        <v>3</v>
      </c>
      <c r="U80" s="253">
        <f t="shared" si="31"/>
        <v>-2.0873425743240399</v>
      </c>
      <c r="V80" s="385">
        <f t="shared" si="32"/>
        <v>38.44178344449687</v>
      </c>
      <c r="W80" s="58"/>
      <c r="X80" s="157">
        <f t="shared" si="33"/>
        <v>43531</v>
      </c>
      <c r="Y80" s="387">
        <f t="shared" si="34"/>
        <v>34.555999999999997</v>
      </c>
      <c r="Z80" s="387">
        <f t="shared" si="35"/>
        <v>34.731756244968956</v>
      </c>
      <c r="AA80" s="388">
        <f t="shared" si="36"/>
        <v>36.355655545389133</v>
      </c>
      <c r="AB80" s="199">
        <f t="shared" si="37"/>
        <v>43531</v>
      </c>
      <c r="AC80" s="426">
        <f>IF(OR(t&lt;Tnet,NoTnet),'2018'!Resal_s+('2018'!Salim-'2018'!Resal_s)*(1-EXP(('2018'!Tnet_s-t)/'2018'!Tau_j)),Resal_s+(Salim-Resal_s)*(1-EXP((Tnet_s-t)/Tau_j)))*Salcycl</f>
        <v>4.4667033947243168E-2</v>
      </c>
      <c r="AD80" s="233">
        <f>(INDEX(Models!$BJ80:$BT80,,AH80)*(1-AF80)+INDEX(Models!$BJ80:$BT80,,AH80+1)*AF80-ERP_i)*AE80*Ramure*Pc/MaxiM</f>
        <v>1.705519623389903E-3</v>
      </c>
      <c r="AE80" s="307">
        <f t="shared" si="38"/>
        <v>1</v>
      </c>
      <c r="AF80" s="179">
        <f t="shared" si="39"/>
        <v>0.91265742567596009</v>
      </c>
      <c r="AG80" s="178">
        <f t="shared" si="40"/>
        <v>-3</v>
      </c>
      <c r="AH80" s="178">
        <f t="shared" si="41"/>
        <v>3</v>
      </c>
      <c r="AI80" s="227">
        <f t="shared" si="42"/>
        <v>-2.0873425743240399</v>
      </c>
      <c r="AJ80" s="267" t="b">
        <f t="shared" si="43"/>
        <v>0</v>
      </c>
      <c r="AK80" s="267" t="b">
        <f t="shared" si="44"/>
        <v>0</v>
      </c>
      <c r="AL80" s="267"/>
      <c r="AM80" s="267"/>
      <c r="AN80" s="75"/>
    </row>
    <row r="81" spans="1:40" s="6" customFormat="1" ht="11.25" x14ac:dyDescent="0.2">
      <c r="A81" s="56">
        <f t="shared" si="45"/>
        <v>43532</v>
      </c>
      <c r="B81" s="618">
        <v>25.382000000000001</v>
      </c>
      <c r="C81" s="392"/>
      <c r="D81" s="395">
        <f t="shared" si="24"/>
        <v>25.511689799448721</v>
      </c>
      <c r="E81" s="387">
        <f t="shared" si="46"/>
        <v>26.709608317403035</v>
      </c>
      <c r="F81" s="387">
        <f t="shared" si="25"/>
        <v>26.732695979626147</v>
      </c>
      <c r="G81" s="110">
        <f t="shared" si="47"/>
        <v>0.65242317615431478</v>
      </c>
      <c r="H81" s="414" t="b">
        <f>Wh_hp&gt;='2018'!Maxi_hp</f>
        <v>1</v>
      </c>
      <c r="I81" s="392">
        <f>IF(H81,Wh_hp,'2018'!Maxi_hp)</f>
        <v>26.732695979626147</v>
      </c>
      <c r="J81" s="85">
        <f>IF(H81,An,'2018'!An_max)</f>
        <v>2019</v>
      </c>
      <c r="K81" s="199">
        <f t="shared" si="26"/>
        <v>43532</v>
      </c>
      <c r="L81" s="147">
        <f>IF(t&lt;Tvie,1-EXP((T0-t)*PertePVj)+'2018'!Pspv,1-EXP((T0-t)*PertePVj)+Pspv)</f>
        <v>5.0835440720795599E-3</v>
      </c>
      <c r="M81" s="870"/>
      <c r="N81" s="870"/>
      <c r="O81" s="48">
        <f>IF(t&lt;Tnet,'2018'!Resal+('2018'!Salim-'2018'!Resal)*(1-EXP(('2018'!Tnet-t)/('2018'!Tau_j))),Resal+(Salim-Resal)*(1-EXP((Tnet-t)/(Tau_j))))*Salcycl</f>
        <v>4.4849722381506849E-2</v>
      </c>
      <c r="P81" s="171">
        <f>(INDEX(Models!$BJ81:$BT81,,T81)*(1-R81)+INDEX(Models!$BJ81:$BT81,,T81+1)*R81-ERP_i)*Q81*Ramure*Pc/MaxiM</f>
        <v>1.7127244608376693E-3</v>
      </c>
      <c r="Q81" s="307">
        <f t="shared" si="27"/>
        <v>1</v>
      </c>
      <c r="R81" s="179">
        <f t="shared" si="28"/>
        <v>0.91322676343545428</v>
      </c>
      <c r="S81" s="837">
        <f t="shared" si="29"/>
        <v>-3</v>
      </c>
      <c r="T81" s="178">
        <f t="shared" si="30"/>
        <v>3</v>
      </c>
      <c r="U81" s="253">
        <f t="shared" si="31"/>
        <v>-2.0867732365645457</v>
      </c>
      <c r="V81" s="385">
        <f t="shared" si="32"/>
        <v>38.871136190502419</v>
      </c>
      <c r="W81" s="58"/>
      <c r="X81" s="157">
        <f t="shared" si="33"/>
        <v>43532</v>
      </c>
      <c r="Y81" s="387">
        <f t="shared" si="34"/>
        <v>25.382000000000001</v>
      </c>
      <c r="Z81" s="387">
        <f t="shared" si="35"/>
        <v>25.511689799448721</v>
      </c>
      <c r="AA81" s="388">
        <f t="shared" si="36"/>
        <v>26.709608317403035</v>
      </c>
      <c r="AB81" s="199">
        <f t="shared" si="37"/>
        <v>43532</v>
      </c>
      <c r="AC81" s="426">
        <f>IF(OR(t&lt;Tnet,NoTnet),'2018'!Resal_s+('2018'!Salim-'2018'!Resal_s)*(1-EXP(('2018'!Tnet_s-t)/'2018'!Tau_j)),Resal_s+(Salim-Resal_s)*(1-EXP((Tnet_s-t)/Tau_j)))*Salcycl</f>
        <v>4.4849722381506849E-2</v>
      </c>
      <c r="AD81" s="233">
        <f>(INDEX(Models!$BJ81:$BT81,,AH81)*(1-AF81)+INDEX(Models!$BJ81:$BT81,,AH81+1)*AF81-ERP_i)*AE81*Ramure*Pc/MaxiM</f>
        <v>1.7127244608376693E-3</v>
      </c>
      <c r="AE81" s="307">
        <f t="shared" si="38"/>
        <v>1</v>
      </c>
      <c r="AF81" s="179">
        <f t="shared" si="39"/>
        <v>0.91322676343545428</v>
      </c>
      <c r="AG81" s="178">
        <f t="shared" si="40"/>
        <v>-3</v>
      </c>
      <c r="AH81" s="178">
        <f t="shared" si="41"/>
        <v>3</v>
      </c>
      <c r="AI81" s="227">
        <f t="shared" si="42"/>
        <v>-2.0867732365645457</v>
      </c>
      <c r="AJ81" s="267" t="b">
        <f t="shared" si="43"/>
        <v>0</v>
      </c>
      <c r="AK81" s="267" t="b">
        <f t="shared" si="44"/>
        <v>0</v>
      </c>
      <c r="AL81" s="267"/>
      <c r="AM81" s="267"/>
      <c r="AN81" s="75"/>
    </row>
    <row r="82" spans="1:40" s="6" customFormat="1" ht="11.25" x14ac:dyDescent="0.2">
      <c r="A82" s="56">
        <f t="shared" si="45"/>
        <v>43533</v>
      </c>
      <c r="B82" s="618">
        <v>21.2</v>
      </c>
      <c r="C82" s="392"/>
      <c r="D82" s="395">
        <f t="shared" si="24"/>
        <v>21.308817680254045</v>
      </c>
      <c r="E82" s="387">
        <f t="shared" si="46"/>
        <v>22.313653462087579</v>
      </c>
      <c r="F82" s="387">
        <f t="shared" si="25"/>
        <v>22.326775363288505</v>
      </c>
      <c r="G82" s="110">
        <f t="shared" si="47"/>
        <v>0.53878285387859226</v>
      </c>
      <c r="H82" s="414" t="b">
        <f>Wh_hp&gt;='2018'!Maxi_hp</f>
        <v>1</v>
      </c>
      <c r="I82" s="392">
        <f>IF(H82,Wh_hp,'2018'!Maxi_hp)</f>
        <v>22.326775363288505</v>
      </c>
      <c r="J82" s="85">
        <f>IF(H82,An,'2018'!An_max)</f>
        <v>2019</v>
      </c>
      <c r="K82" s="199">
        <f t="shared" si="26"/>
        <v>43533</v>
      </c>
      <c r="L82" s="147">
        <f>IF(t&lt;Tvie,1-EXP((T0-t)*PertePVj)+'2018'!Pspv,1-EXP((T0-t)*PertePVj)+Pspv)</f>
        <v>5.1066972314883774E-3</v>
      </c>
      <c r="M82" s="870"/>
      <c r="N82" s="870"/>
      <c r="O82" s="48">
        <f>IF(t&lt;Tnet,'2018'!Resal+('2018'!Salim-'2018'!Resal)*(1-EXP(('2018'!Tnet-t)/('2018'!Tau_j))),Resal+(Salim-Resal)*(1-EXP((Tnet-t)/(Tau_j))))*Salcycl</f>
        <v>4.5032328907537292E-2</v>
      </c>
      <c r="P82" s="171">
        <f>(INDEX(Models!$BJ82:$BT82,,T82)*(1-R82)+INDEX(Models!$BJ82:$BT82,,T82+1)*R82-ERP_i)*Q82*Ramure*Pc/MaxiM</f>
        <v>1.7185297589606785E-3</v>
      </c>
      <c r="Q82" s="307">
        <f t="shared" si="27"/>
        <v>1</v>
      </c>
      <c r="R82" s="179">
        <f t="shared" si="28"/>
        <v>0.91381898356967595</v>
      </c>
      <c r="S82" s="837">
        <f t="shared" si="29"/>
        <v>-3</v>
      </c>
      <c r="T82" s="178">
        <f t="shared" si="30"/>
        <v>3</v>
      </c>
      <c r="U82" s="253">
        <f t="shared" si="31"/>
        <v>-2.0861810164303241</v>
      </c>
      <c r="V82" s="385">
        <f t="shared" si="32"/>
        <v>39.303427329228121</v>
      </c>
      <c r="W82" s="58"/>
      <c r="X82" s="157">
        <f t="shared" si="33"/>
        <v>43533</v>
      </c>
      <c r="Y82" s="387">
        <f t="shared" si="34"/>
        <v>21.2</v>
      </c>
      <c r="Z82" s="387">
        <f t="shared" si="35"/>
        <v>21.308817680254045</v>
      </c>
      <c r="AA82" s="388">
        <f t="shared" si="36"/>
        <v>22.313653462087579</v>
      </c>
      <c r="AB82" s="199">
        <f t="shared" si="37"/>
        <v>43533</v>
      </c>
      <c r="AC82" s="426">
        <f>IF(OR(t&lt;Tnet,NoTnet),'2018'!Resal_s+('2018'!Salim-'2018'!Resal_s)*(1-EXP(('2018'!Tnet_s-t)/'2018'!Tau_j)),Resal_s+(Salim-Resal_s)*(1-EXP((Tnet_s-t)/Tau_j)))*Salcycl</f>
        <v>4.5032328907537292E-2</v>
      </c>
      <c r="AD82" s="233">
        <f>(INDEX(Models!$BJ82:$BT82,,AH82)*(1-AF82)+INDEX(Models!$BJ82:$BT82,,AH82+1)*AF82-ERP_i)*AE82*Ramure*Pc/MaxiM</f>
        <v>1.7185297589606785E-3</v>
      </c>
      <c r="AE82" s="307">
        <f t="shared" si="38"/>
        <v>1</v>
      </c>
      <c r="AF82" s="179">
        <f t="shared" si="39"/>
        <v>0.91381898356967595</v>
      </c>
      <c r="AG82" s="178">
        <f t="shared" si="40"/>
        <v>-3</v>
      </c>
      <c r="AH82" s="178">
        <f t="shared" si="41"/>
        <v>3</v>
      </c>
      <c r="AI82" s="227">
        <f t="shared" si="42"/>
        <v>-2.0861810164303241</v>
      </c>
      <c r="AJ82" s="267" t="b">
        <f t="shared" si="43"/>
        <v>0</v>
      </c>
      <c r="AK82" s="267" t="b">
        <f t="shared" si="44"/>
        <v>0</v>
      </c>
      <c r="AL82" s="267"/>
      <c r="AM82" s="267"/>
      <c r="AN82" s="75"/>
    </row>
    <row r="83" spans="1:40" s="6" customFormat="1" ht="11.25" customHeight="1" x14ac:dyDescent="0.2">
      <c r="A83" s="56">
        <f t="shared" si="45"/>
        <v>43534</v>
      </c>
      <c r="B83" s="618">
        <v>16.622</v>
      </c>
      <c r="C83" s="392"/>
      <c r="D83" s="395">
        <f t="shared" si="24"/>
        <v>16.70770803358484</v>
      </c>
      <c r="E83" s="387">
        <f t="shared" si="46"/>
        <v>17.498919537196318</v>
      </c>
      <c r="F83" s="387">
        <f t="shared" si="25"/>
        <v>17.504016062577278</v>
      </c>
      <c r="G83" s="110">
        <f t="shared" si="47"/>
        <v>0.4176905955620478</v>
      </c>
      <c r="H83" s="414" t="b">
        <f>Wh_hp&gt;='2018'!Maxi_hp</f>
        <v>1</v>
      </c>
      <c r="I83" s="392">
        <f>IF(H83,Wh_hp,'2018'!Maxi_hp)</f>
        <v>17.504016062577278</v>
      </c>
      <c r="J83" s="85">
        <f>IF(H83,An,'2018'!An_max)</f>
        <v>2019</v>
      </c>
      <c r="K83" s="199">
        <f t="shared" si="26"/>
        <v>43534</v>
      </c>
      <c r="L83" s="147">
        <f>IF(t&lt;Tvie,1-EXP((T0-t)*PertePVj)+'2018'!Pspv,1-EXP((T0-t)*PertePVj)+Pspv)</f>
        <v>5.1298498520894187E-3</v>
      </c>
      <c r="M83" s="870"/>
      <c r="N83" s="870"/>
      <c r="O83" s="48">
        <f>IF(t&lt;Tnet,'2018'!Resal+('2018'!Salim-'2018'!Resal)*(1-EXP(('2018'!Tnet-t)/('2018'!Tau_j))),Resal+(Salim-Resal)*(1-EXP((Tnet-t)/(Tau_j))))*Salcycl</f>
        <v>4.5214877520274983E-2</v>
      </c>
      <c r="P83" s="171">
        <f>(INDEX(Models!$BJ83:$BT83,,T83)*(1-R83)+INDEX(Models!$BJ83:$BT83,,T83+1)*R83-ERP_i)*Q83*Ramure*Pc/MaxiM</f>
        <v>1.723009257524552E-3</v>
      </c>
      <c r="Q83" s="307">
        <f t="shared" si="27"/>
        <v>1</v>
      </c>
      <c r="R83" s="179">
        <f t="shared" si="28"/>
        <v>0.91443496297754745</v>
      </c>
      <c r="S83" s="837">
        <f t="shared" si="29"/>
        <v>-3</v>
      </c>
      <c r="T83" s="178">
        <f t="shared" si="30"/>
        <v>3</v>
      </c>
      <c r="U83" s="253">
        <f t="shared" si="31"/>
        <v>-2.0855650370224526</v>
      </c>
      <c r="V83" s="385">
        <f t="shared" si="32"/>
        <v>39.738009664309438</v>
      </c>
      <c r="W83" s="58"/>
      <c r="X83" s="157">
        <f t="shared" si="33"/>
        <v>43534</v>
      </c>
      <c r="Y83" s="387">
        <f t="shared" si="34"/>
        <v>16.622</v>
      </c>
      <c r="Z83" s="387">
        <f t="shared" si="35"/>
        <v>16.70770803358484</v>
      </c>
      <c r="AA83" s="388">
        <f t="shared" si="36"/>
        <v>17.498919537196318</v>
      </c>
      <c r="AB83" s="199">
        <f t="shared" si="37"/>
        <v>43534</v>
      </c>
      <c r="AC83" s="426">
        <f>IF(OR(t&lt;Tnet,NoTnet),'2018'!Resal_s+('2018'!Salim-'2018'!Resal_s)*(1-EXP(('2018'!Tnet_s-t)/'2018'!Tau_j)),Resal_s+(Salim-Resal_s)*(1-EXP((Tnet_s-t)/Tau_j)))*Salcycl</f>
        <v>4.5214877520274983E-2</v>
      </c>
      <c r="AD83" s="233">
        <f>(INDEX(Models!$BJ83:$BT83,,AH83)*(1-AF83)+INDEX(Models!$BJ83:$BT83,,AH83+1)*AF83-ERP_i)*AE83*Ramure*Pc/MaxiM</f>
        <v>1.723009257524552E-3</v>
      </c>
      <c r="AE83" s="307">
        <f t="shared" si="38"/>
        <v>1</v>
      </c>
      <c r="AF83" s="179">
        <f t="shared" si="39"/>
        <v>0.91443496297754745</v>
      </c>
      <c r="AG83" s="178">
        <f t="shared" si="40"/>
        <v>-3</v>
      </c>
      <c r="AH83" s="178">
        <f t="shared" si="41"/>
        <v>3</v>
      </c>
      <c r="AI83" s="227">
        <f t="shared" si="42"/>
        <v>-2.0855650370224526</v>
      </c>
      <c r="AJ83" s="267" t="b">
        <f t="shared" si="43"/>
        <v>0</v>
      </c>
      <c r="AK83" s="267" t="b">
        <f t="shared" si="44"/>
        <v>0</v>
      </c>
      <c r="AL83" s="267"/>
      <c r="AM83" s="267"/>
      <c r="AN83" s="75"/>
    </row>
    <row r="84" spans="1:40" s="6" customFormat="1" ht="11.25" customHeight="1" x14ac:dyDescent="0.2">
      <c r="A84" s="56">
        <f t="shared" si="45"/>
        <v>43535</v>
      </c>
      <c r="B84" s="618">
        <v>31.381</v>
      </c>
      <c r="C84" s="392"/>
      <c r="D84" s="395">
        <f t="shared" si="24"/>
        <v>31.543543942939873</v>
      </c>
      <c r="E84" s="387">
        <f t="shared" si="46"/>
        <v>33.043639046682124</v>
      </c>
      <c r="F84" s="387">
        <f t="shared" si="25"/>
        <v>33.082890956820819</v>
      </c>
      <c r="G84" s="110">
        <f t="shared" si="47"/>
        <v>0.7807003785074923</v>
      </c>
      <c r="H84" s="414" t="b">
        <f>Wh_hp&gt;='2018'!Maxi_hp</f>
        <v>1</v>
      </c>
      <c r="I84" s="392">
        <f>IF(H84,Wh_hp,'2018'!Maxi_hp)</f>
        <v>33.082890956820819</v>
      </c>
      <c r="J84" s="85">
        <f>IF(H84,An,'2018'!An_max)</f>
        <v>2019</v>
      </c>
      <c r="K84" s="199">
        <f t="shared" si="26"/>
        <v>43535</v>
      </c>
      <c r="L84" s="147">
        <f>IF(t&lt;Tvie,1-EXP((T0-t)*PertePVj)+'2018'!Pspv,1-EXP((T0-t)*PertePVj)+Pspv)</f>
        <v>5.1530019338951183E-3</v>
      </c>
      <c r="M84" s="870"/>
      <c r="N84" s="870"/>
      <c r="O84" s="48">
        <f>IF(t&lt;Tnet,'2018'!Resal+('2018'!Salim-'2018'!Resal)*(1-EXP(('2018'!Tnet-t)/('2018'!Tau_j))),Resal+(Salim-Resal)*(1-EXP((Tnet-t)/(Tau_j))))*Salcycl</f>
        <v>4.539739408310952E-2</v>
      </c>
      <c r="P84" s="171">
        <f>(INDEX(Models!$BJ84:$BT84,,T84)*(1-R84)+INDEX(Models!$BJ84:$BT84,,T84+1)*R84-ERP_i)*Q84*Ramure*Pc/MaxiM</f>
        <v>1.7262341936877714E-3</v>
      </c>
      <c r="Q84" s="307">
        <f t="shared" si="27"/>
        <v>1</v>
      </c>
      <c r="R84" s="179">
        <f t="shared" si="28"/>
        <v>0.9150756085882783</v>
      </c>
      <c r="S84" s="837">
        <f t="shared" si="29"/>
        <v>-3</v>
      </c>
      <c r="T84" s="178">
        <f t="shared" si="30"/>
        <v>3</v>
      </c>
      <c r="U84" s="253">
        <f t="shared" si="31"/>
        <v>-2.0849243914117217</v>
      </c>
      <c r="V84" s="385">
        <f t="shared" si="32"/>
        <v>40.174236432329522</v>
      </c>
      <c r="W84" s="58"/>
      <c r="X84" s="157">
        <f t="shared" si="33"/>
        <v>43535</v>
      </c>
      <c r="Y84" s="387">
        <f t="shared" si="34"/>
        <v>31.380999999999997</v>
      </c>
      <c r="Z84" s="387">
        <f t="shared" si="35"/>
        <v>31.54354394293987</v>
      </c>
      <c r="AA84" s="388">
        <f t="shared" si="36"/>
        <v>33.043639046682124</v>
      </c>
      <c r="AB84" s="199">
        <f t="shared" si="37"/>
        <v>43535</v>
      </c>
      <c r="AC84" s="426">
        <f>IF(OR(t&lt;Tnet,NoTnet),'2018'!Resal_s+('2018'!Salim-'2018'!Resal_s)*(1-EXP(('2018'!Tnet_s-t)/'2018'!Tau_j)),Resal_s+(Salim-Resal_s)*(1-EXP((Tnet_s-t)/Tau_j)))*Salcycl</f>
        <v>4.539739408310952E-2</v>
      </c>
      <c r="AD84" s="233">
        <f>(INDEX(Models!$BJ84:$BT84,,AH84)*(1-AF84)+INDEX(Models!$BJ84:$BT84,,AH84+1)*AF84-ERP_i)*AE84*Ramure*Pc/MaxiM</f>
        <v>1.7262341936877714E-3</v>
      </c>
      <c r="AE84" s="307">
        <f t="shared" si="38"/>
        <v>1</v>
      </c>
      <c r="AF84" s="179">
        <f t="shared" si="39"/>
        <v>0.9150756085882783</v>
      </c>
      <c r="AG84" s="178">
        <f t="shared" si="40"/>
        <v>-3</v>
      </c>
      <c r="AH84" s="178">
        <f t="shared" si="41"/>
        <v>3</v>
      </c>
      <c r="AI84" s="227">
        <f t="shared" si="42"/>
        <v>-2.0849243914117217</v>
      </c>
      <c r="AJ84" s="267" t="b">
        <f t="shared" si="43"/>
        <v>0</v>
      </c>
      <c r="AK84" s="267" t="b">
        <f t="shared" si="44"/>
        <v>0</v>
      </c>
      <c r="AL84" s="267"/>
      <c r="AM84" s="267"/>
      <c r="AN84" s="75"/>
    </row>
    <row r="85" spans="1:40" s="6" customFormat="1" ht="11.25" customHeight="1" x14ac:dyDescent="0.2">
      <c r="A85" s="56">
        <f t="shared" si="45"/>
        <v>43536</v>
      </c>
      <c r="B85" s="618">
        <v>34.841999999999999</v>
      </c>
      <c r="C85" s="392"/>
      <c r="D85" s="395">
        <f t="shared" si="24"/>
        <v>35.023285903100422</v>
      </c>
      <c r="E85" s="387">
        <f t="shared" si="46"/>
        <v>36.695880706467086</v>
      </c>
      <c r="F85" s="387">
        <f t="shared" si="25"/>
        <v>36.746499763551952</v>
      </c>
      <c r="G85" s="110">
        <f t="shared" si="47"/>
        <v>0.85763380831032654</v>
      </c>
      <c r="H85" s="414" t="b">
        <f>Wh_hp&gt;='2018'!Maxi_hp</f>
        <v>1</v>
      </c>
      <c r="I85" s="392">
        <f>IF(H85,Wh_hp,'2018'!Maxi_hp)</f>
        <v>36.746499763551952</v>
      </c>
      <c r="J85" s="85">
        <f>IF(H85,An,'2018'!An_max)</f>
        <v>2019</v>
      </c>
      <c r="K85" s="199">
        <f t="shared" si="26"/>
        <v>43536</v>
      </c>
      <c r="L85" s="147">
        <f>IF(t&lt;Tvie,1-EXP((T0-t)*PertePVj)+'2018'!Pspv,1-EXP((T0-t)*PertePVj)+Pspv)</f>
        <v>5.1761534769180217E-3</v>
      </c>
      <c r="M85" s="870"/>
      <c r="N85" s="870"/>
      <c r="O85" s="48">
        <f>IF(t&lt;Tnet,'2018'!Resal+('2018'!Salim-'2018'!Resal)*(1-EXP(('2018'!Tnet-t)/('2018'!Tau_j))),Resal+(Salim-Resal)*(1-EXP((Tnet-t)/(Tau_j))))*Salcycl</f>
        <v>4.5579906277379408E-2</v>
      </c>
      <c r="P85" s="171">
        <f>(INDEX(Models!$BJ85:$BT85,,T85)*(1-R85)+INDEX(Models!$BJ85:$BT85,,T85+1)*R85-ERP_i)*Q85*Ramure*Pc/MaxiM</f>
        <v>1.7282731925347865E-3</v>
      </c>
      <c r="Q85" s="307">
        <f t="shared" si="27"/>
        <v>1</v>
      </c>
      <c r="R85" s="179">
        <f t="shared" si="28"/>
        <v>0.91574185808737552</v>
      </c>
      <c r="S85" s="837">
        <f t="shared" si="29"/>
        <v>-3</v>
      </c>
      <c r="T85" s="178">
        <f t="shared" si="30"/>
        <v>3</v>
      </c>
      <c r="U85" s="253">
        <f t="shared" si="31"/>
        <v>-2.0842581419126245</v>
      </c>
      <c r="V85" s="385">
        <f t="shared" si="32"/>
        <v>40.611461301705042</v>
      </c>
      <c r="W85" s="58"/>
      <c r="X85" s="157">
        <f t="shared" si="33"/>
        <v>43536</v>
      </c>
      <c r="Y85" s="387">
        <f t="shared" si="34"/>
        <v>34.841999999999999</v>
      </c>
      <c r="Z85" s="387">
        <f t="shared" si="35"/>
        <v>35.023285903100422</v>
      </c>
      <c r="AA85" s="388">
        <f t="shared" si="36"/>
        <v>36.695880706467086</v>
      </c>
      <c r="AB85" s="199">
        <f t="shared" si="37"/>
        <v>43536</v>
      </c>
      <c r="AC85" s="426">
        <f>IF(OR(t&lt;Tnet,NoTnet),'2018'!Resal_s+('2018'!Salim-'2018'!Resal_s)*(1-EXP(('2018'!Tnet_s-t)/'2018'!Tau_j)),Resal_s+(Salim-Resal_s)*(1-EXP((Tnet_s-t)/Tau_j)))*Salcycl</f>
        <v>4.5579906277379408E-2</v>
      </c>
      <c r="AD85" s="233">
        <f>(INDEX(Models!$BJ85:$BT85,,AH85)*(1-AF85)+INDEX(Models!$BJ85:$BT85,,AH85+1)*AF85-ERP_i)*AE85*Ramure*Pc/MaxiM</f>
        <v>1.7282731925347865E-3</v>
      </c>
      <c r="AE85" s="307">
        <f t="shared" si="38"/>
        <v>1</v>
      </c>
      <c r="AF85" s="179">
        <f t="shared" si="39"/>
        <v>0.91574185808737552</v>
      </c>
      <c r="AG85" s="178">
        <f t="shared" si="40"/>
        <v>-3</v>
      </c>
      <c r="AH85" s="178">
        <f t="shared" si="41"/>
        <v>3</v>
      </c>
      <c r="AI85" s="227">
        <f t="shared" si="42"/>
        <v>-2.0842581419126245</v>
      </c>
      <c r="AJ85" s="267" t="b">
        <f t="shared" si="43"/>
        <v>0</v>
      </c>
      <c r="AK85" s="267" t="b">
        <f t="shared" si="44"/>
        <v>0</v>
      </c>
      <c r="AL85" s="267"/>
      <c r="AM85" s="267"/>
      <c r="AN85" s="75"/>
    </row>
    <row r="86" spans="1:40" s="6" customFormat="1" ht="11.25" customHeight="1" x14ac:dyDescent="0.2">
      <c r="A86" s="56">
        <f t="shared" si="45"/>
        <v>43537</v>
      </c>
      <c r="B86" s="618">
        <v>20.381</v>
      </c>
      <c r="C86" s="392"/>
      <c r="D86" s="395">
        <f t="shared" si="24"/>
        <v>20.487520859010331</v>
      </c>
      <c r="E86" s="387">
        <f t="shared" si="46"/>
        <v>21.470042465181077</v>
      </c>
      <c r="F86" s="387">
        <f t="shared" si="25"/>
        <v>21.480461309408415</v>
      </c>
      <c r="G86" s="110">
        <f t="shared" si="47"/>
        <v>0.49588568700316277</v>
      </c>
      <c r="H86" s="414" t="b">
        <f>Wh_hp&gt;='2018'!Maxi_hp</f>
        <v>1</v>
      </c>
      <c r="I86" s="392">
        <f>IF(H86,Wh_hp,'2018'!Maxi_hp)</f>
        <v>21.480461309408415</v>
      </c>
      <c r="J86" s="85">
        <f>IF(H86,An,'2018'!An_max)</f>
        <v>2019</v>
      </c>
      <c r="K86" s="199">
        <f t="shared" si="26"/>
        <v>43537</v>
      </c>
      <c r="L86" s="147">
        <f>IF(t&lt;Tvie,1-EXP((T0-t)*PertePVj)+'2018'!Pspv,1-EXP((T0-t)*PertePVj)+Pspv)</f>
        <v>5.1993044811706746E-3</v>
      </c>
      <c r="M86" s="870"/>
      <c r="N86" s="870"/>
      <c r="O86" s="48">
        <f>IF(t&lt;Tnet,'2018'!Resal+('2018'!Salim-'2018'!Resal)*(1-EXP(('2018'!Tnet-t)/('2018'!Tau_j))),Resal+(Salim-Resal)*(1-EXP((Tnet-t)/(Tau_j))))*Salcycl</f>
        <v>4.5762443542631329E-2</v>
      </c>
      <c r="P86" s="171">
        <f>(INDEX(Models!$BJ86:$BT86,,T86)*(1-R86)+INDEX(Models!$BJ86:$BT86,,T86+1)*R86-ERP_i)*Q86*Ramure*Pc/MaxiM</f>
        <v>1.7278446771275531E-3</v>
      </c>
      <c r="Q86" s="307">
        <f t="shared" si="27"/>
        <v>1</v>
      </c>
      <c r="R86" s="179">
        <f t="shared" si="28"/>
        <v>0.91643468063295952</v>
      </c>
      <c r="S86" s="837">
        <f t="shared" si="29"/>
        <v>-3</v>
      </c>
      <c r="T86" s="178">
        <f t="shared" si="30"/>
        <v>3</v>
      </c>
      <c r="U86" s="253">
        <f t="shared" si="31"/>
        <v>-2.0835653193670405</v>
      </c>
      <c r="V86" s="385">
        <f t="shared" si="32"/>
        <v>41.049093778738694</v>
      </c>
      <c r="W86" s="58"/>
      <c r="X86" s="157">
        <f t="shared" si="33"/>
        <v>43537</v>
      </c>
      <c r="Y86" s="387">
        <f t="shared" si="34"/>
        <v>20.381</v>
      </c>
      <c r="Z86" s="387">
        <f t="shared" si="35"/>
        <v>20.487520859010331</v>
      </c>
      <c r="AA86" s="388">
        <f t="shared" si="36"/>
        <v>21.470042465181077</v>
      </c>
      <c r="AB86" s="199">
        <f t="shared" si="37"/>
        <v>43537</v>
      </c>
      <c r="AC86" s="426">
        <f>IF(OR(t&lt;Tnet,NoTnet),'2018'!Resal_s+('2018'!Salim-'2018'!Resal_s)*(1-EXP(('2018'!Tnet_s-t)/'2018'!Tau_j)),Resal_s+(Salim-Resal_s)*(1-EXP((Tnet_s-t)/Tau_j)))*Salcycl</f>
        <v>4.5762443542631329E-2</v>
      </c>
      <c r="AD86" s="233">
        <f>(INDEX(Models!$BJ86:$BT86,,AH86)*(1-AF86)+INDEX(Models!$BJ86:$BT86,,AH86+1)*AF86-ERP_i)*AE86*Ramure*Pc/MaxiM</f>
        <v>1.7278446771275531E-3</v>
      </c>
      <c r="AE86" s="307">
        <f t="shared" si="38"/>
        <v>1</v>
      </c>
      <c r="AF86" s="179">
        <f t="shared" si="39"/>
        <v>0.91643468063295952</v>
      </c>
      <c r="AG86" s="178">
        <f t="shared" si="40"/>
        <v>-3</v>
      </c>
      <c r="AH86" s="178">
        <f t="shared" si="41"/>
        <v>3</v>
      </c>
      <c r="AI86" s="227">
        <f t="shared" si="42"/>
        <v>-2.0835653193670405</v>
      </c>
      <c r="AJ86" s="267" t="b">
        <f t="shared" si="43"/>
        <v>0</v>
      </c>
      <c r="AK86" s="267" t="b">
        <f t="shared" si="44"/>
        <v>0</v>
      </c>
      <c r="AL86" s="267"/>
      <c r="AM86" s="267"/>
      <c r="AN86" s="75"/>
    </row>
    <row r="87" spans="1:40" s="6" customFormat="1" ht="11.25" customHeight="1" x14ac:dyDescent="0.2">
      <c r="A87" s="56">
        <f t="shared" si="45"/>
        <v>43538</v>
      </c>
      <c r="B87" s="618">
        <v>22.768000000000001</v>
      </c>
      <c r="C87" s="392"/>
      <c r="D87" s="395">
        <f t="shared" si="24"/>
        <v>22.887529089510469</v>
      </c>
      <c r="E87" s="387">
        <f t="shared" si="46"/>
        <v>23.989738513326078</v>
      </c>
      <c r="F87" s="387">
        <f t="shared" si="25"/>
        <v>24.004459100244731</v>
      </c>
      <c r="G87" s="110">
        <f t="shared" si="47"/>
        <v>0.54819464473760027</v>
      </c>
      <c r="H87" s="414" t="b">
        <f>Wh_hp&gt;='2018'!Maxi_hp</f>
        <v>1</v>
      </c>
      <c r="I87" s="392">
        <f>IF(H87,Wh_hp,'2018'!Maxi_hp)</f>
        <v>24.004459100244731</v>
      </c>
      <c r="J87" s="85">
        <f>IF(H87,An,'2018'!An_max)</f>
        <v>2019</v>
      </c>
      <c r="K87" s="199">
        <f t="shared" si="26"/>
        <v>43538</v>
      </c>
      <c r="L87" s="147">
        <f>IF(t&lt;Tvie,1-EXP((T0-t)*PertePVj)+'2018'!Pspv,1-EXP((T0-t)*PertePVj)+Pspv)</f>
        <v>5.2224549466657333E-3</v>
      </c>
      <c r="M87" s="870"/>
      <c r="N87" s="870"/>
      <c r="O87" s="48">
        <f>IF(t&lt;Tnet,'2018'!Resal+('2018'!Salim-'2018'!Resal)*(1-EXP(('2018'!Tnet-t)/('2018'!Tau_j))),Resal+(Salim-Resal)*(1-EXP((Tnet-t)/(Tau_j))))*Salcycl</f>
        <v>4.5945037008358385E-2</v>
      </c>
      <c r="P87" s="171">
        <f>(INDEX(Models!$BJ87:$BT87,,T87)*(1-R87)+INDEX(Models!$BJ87:$BT87,,T87+1)*R87-ERP_i)*Q87*Ramure*Pc/MaxiM</f>
        <v>1.7253275222539606E-3</v>
      </c>
      <c r="Q87" s="307">
        <f t="shared" si="27"/>
        <v>1</v>
      </c>
      <c r="R87" s="179">
        <f t="shared" si="28"/>
        <v>0.91715507755921211</v>
      </c>
      <c r="S87" s="837">
        <f t="shared" si="29"/>
        <v>-3</v>
      </c>
      <c r="T87" s="178">
        <f t="shared" si="30"/>
        <v>3</v>
      </c>
      <c r="U87" s="253">
        <f t="shared" si="31"/>
        <v>-2.0828449224407879</v>
      </c>
      <c r="V87" s="385">
        <f t="shared" si="32"/>
        <v>41.486477039601773</v>
      </c>
      <c r="W87" s="58"/>
      <c r="X87" s="157">
        <f t="shared" si="33"/>
        <v>43538</v>
      </c>
      <c r="Y87" s="387">
        <f t="shared" si="34"/>
        <v>22.768000000000001</v>
      </c>
      <c r="Z87" s="387">
        <f t="shared" si="35"/>
        <v>22.887529089510469</v>
      </c>
      <c r="AA87" s="388">
        <f t="shared" si="36"/>
        <v>23.989738513326078</v>
      </c>
      <c r="AB87" s="199">
        <f t="shared" si="37"/>
        <v>43538</v>
      </c>
      <c r="AC87" s="426">
        <f>IF(OR(t&lt;Tnet,NoTnet),'2018'!Resal_s+('2018'!Salim-'2018'!Resal_s)*(1-EXP(('2018'!Tnet_s-t)/'2018'!Tau_j)),Resal_s+(Salim-Resal_s)*(1-EXP((Tnet_s-t)/Tau_j)))*Salcycl</f>
        <v>4.5945037008358385E-2</v>
      </c>
      <c r="AD87" s="233">
        <f>(INDEX(Models!$BJ87:$BT87,,AH87)*(1-AF87)+INDEX(Models!$BJ87:$BT87,,AH87+1)*AF87-ERP_i)*AE87*Ramure*Pc/MaxiM</f>
        <v>1.7253275222539606E-3</v>
      </c>
      <c r="AE87" s="307">
        <f t="shared" si="38"/>
        <v>1</v>
      </c>
      <c r="AF87" s="179">
        <f t="shared" si="39"/>
        <v>0.91715507755921211</v>
      </c>
      <c r="AG87" s="178">
        <f t="shared" si="40"/>
        <v>-3</v>
      </c>
      <c r="AH87" s="178">
        <f t="shared" si="41"/>
        <v>3</v>
      </c>
      <c r="AI87" s="227">
        <f t="shared" si="42"/>
        <v>-2.0828449224407879</v>
      </c>
      <c r="AJ87" s="267" t="b">
        <f t="shared" si="43"/>
        <v>0</v>
      </c>
      <c r="AK87" s="267" t="b">
        <f t="shared" si="44"/>
        <v>0</v>
      </c>
      <c r="AL87" s="267"/>
      <c r="AM87" s="267"/>
      <c r="AN87" s="75"/>
    </row>
    <row r="88" spans="1:40" s="6" customFormat="1" ht="11.25" x14ac:dyDescent="0.2">
      <c r="A88" s="56">
        <f t="shared" si="45"/>
        <v>43539</v>
      </c>
      <c r="B88" s="618">
        <v>13.43</v>
      </c>
      <c r="C88" s="392"/>
      <c r="D88" s="395">
        <f t="shared" si="24"/>
        <v>13.500819967014074</v>
      </c>
      <c r="E88" s="387">
        <f t="shared" si="46"/>
        <v>14.153697766305184</v>
      </c>
      <c r="F88" s="387">
        <f t="shared" si="25"/>
        <v>14.154405842562802</v>
      </c>
      <c r="G88" s="110">
        <f t="shared" si="47"/>
        <v>0.31981420799941246</v>
      </c>
      <c r="H88" s="414" t="b">
        <f>Wh_hp&gt;='2018'!Maxi_hp</f>
        <v>1</v>
      </c>
      <c r="I88" s="392">
        <f>IF(H88,Wh_hp,'2018'!Maxi_hp)</f>
        <v>14.154405842562802</v>
      </c>
      <c r="J88" s="85">
        <f>IF(H88,An,'2018'!An_max)</f>
        <v>2019</v>
      </c>
      <c r="K88" s="199">
        <f t="shared" si="26"/>
        <v>43539</v>
      </c>
      <c r="L88" s="147">
        <f>IF(t&lt;Tvie,1-EXP((T0-t)*PertePVj)+'2018'!Pspv,1-EXP((T0-t)*PertePVj)+Pspv)</f>
        <v>5.2456048734155214E-3</v>
      </c>
      <c r="M88" s="870"/>
      <c r="N88" s="870"/>
      <c r="O88" s="48">
        <f>IF(t&lt;Tnet,'2018'!Resal+('2018'!Salim-'2018'!Resal)*(1-EXP(('2018'!Tnet-t)/('2018'!Tau_j))),Resal+(Salim-Resal)*(1-EXP((Tnet-t)/(Tau_j))))*Salcycl</f>
        <v>4.6127719417986615E-2</v>
      </c>
      <c r="P88" s="171">
        <f>(INDEX(Models!$BJ88:$BT88,,T88)*(1-R88)+INDEX(Models!$BJ88:$BT88,,T88+1)*R88-ERP_i)*Q88*Ramure*Pc/MaxiM</f>
        <v>1.7208115770345788E-3</v>
      </c>
      <c r="Q88" s="307">
        <f t="shared" si="27"/>
        <v>1</v>
      </c>
      <c r="R88" s="179">
        <f t="shared" si="28"/>
        <v>0.91790408306349658</v>
      </c>
      <c r="S88" s="837">
        <f t="shared" si="29"/>
        <v>-3</v>
      </c>
      <c r="T88" s="178">
        <f t="shared" si="30"/>
        <v>3</v>
      </c>
      <c r="U88" s="253">
        <f t="shared" si="31"/>
        <v>-2.0820959169365034</v>
      </c>
      <c r="V88" s="385">
        <f t="shared" si="32"/>
        <v>41.922966148330424</v>
      </c>
      <c r="W88" s="58"/>
      <c r="X88" s="157">
        <f t="shared" si="33"/>
        <v>43539</v>
      </c>
      <c r="Y88" s="387">
        <f t="shared" si="34"/>
        <v>13.43</v>
      </c>
      <c r="Z88" s="387">
        <f t="shared" si="35"/>
        <v>13.500819967014074</v>
      </c>
      <c r="AA88" s="388">
        <f t="shared" si="36"/>
        <v>14.153697766305184</v>
      </c>
      <c r="AB88" s="199">
        <f t="shared" si="37"/>
        <v>43539</v>
      </c>
      <c r="AC88" s="426">
        <f>IF(OR(t&lt;Tnet,NoTnet),'2018'!Resal_s+('2018'!Salim-'2018'!Resal_s)*(1-EXP(('2018'!Tnet_s-t)/'2018'!Tau_j)),Resal_s+(Salim-Resal_s)*(1-EXP((Tnet_s-t)/Tau_j)))*Salcycl</f>
        <v>4.6127719417986615E-2</v>
      </c>
      <c r="AD88" s="233">
        <f>(INDEX(Models!$BJ88:$BT88,,AH88)*(1-AF88)+INDEX(Models!$BJ88:$BT88,,AH88+1)*AF88-ERP_i)*AE88*Ramure*Pc/MaxiM</f>
        <v>1.7208115770345788E-3</v>
      </c>
      <c r="AE88" s="307">
        <f t="shared" si="38"/>
        <v>1</v>
      </c>
      <c r="AF88" s="179">
        <f t="shared" si="39"/>
        <v>0.91790408306349658</v>
      </c>
      <c r="AG88" s="178">
        <f t="shared" si="40"/>
        <v>-3</v>
      </c>
      <c r="AH88" s="178">
        <f t="shared" si="41"/>
        <v>3</v>
      </c>
      <c r="AI88" s="227">
        <f t="shared" si="42"/>
        <v>-2.0820959169365034</v>
      </c>
      <c r="AJ88" s="267" t="b">
        <f t="shared" si="43"/>
        <v>0</v>
      </c>
      <c r="AK88" s="267" t="b">
        <f t="shared" si="44"/>
        <v>0</v>
      </c>
      <c r="AL88" s="267"/>
      <c r="AM88" s="267"/>
      <c r="AN88" s="75"/>
    </row>
    <row r="89" spans="1:40" s="6" customFormat="1" ht="11.25" customHeight="1" x14ac:dyDescent="0.2">
      <c r="A89" s="56">
        <f t="shared" si="45"/>
        <v>43540</v>
      </c>
      <c r="B89" s="618">
        <v>41.112000000000002</v>
      </c>
      <c r="C89" s="392"/>
      <c r="D89" s="395">
        <f t="shared" si="24"/>
        <v>41.329756329786541</v>
      </c>
      <c r="E89" s="387">
        <f t="shared" si="46"/>
        <v>43.336701741178963</v>
      </c>
      <c r="F89" s="387">
        <f t="shared" si="25"/>
        <v>43.407992586980498</v>
      </c>
      <c r="G89" s="110">
        <f t="shared" si="47"/>
        <v>0.9705159454923391</v>
      </c>
      <c r="H89" s="414" t="b">
        <f>Wh_hp&gt;='2018'!Maxi_hp</f>
        <v>1</v>
      </c>
      <c r="I89" s="392">
        <f>IF(H89,Wh_hp,'2018'!Maxi_hp)</f>
        <v>43.407992586980498</v>
      </c>
      <c r="J89" s="85">
        <f>IF(H89,An,'2018'!An_max)</f>
        <v>2019</v>
      </c>
      <c r="K89" s="199">
        <f t="shared" si="26"/>
        <v>43540</v>
      </c>
      <c r="L89" s="147">
        <f>IF(t&lt;Tvie,1-EXP((T0-t)*PertePVj)+'2018'!Pspv,1-EXP((T0-t)*PertePVj)+Pspv)</f>
        <v>5.2687542614328065E-3</v>
      </c>
      <c r="M89" s="870"/>
      <c r="N89" s="870"/>
      <c r="O89" s="48">
        <f>IF(t&lt;Tnet,'2018'!Resal+('2018'!Salim-'2018'!Resal)*(1-EXP(('2018'!Tnet-t)/('2018'!Tau_j))),Resal+(Salim-Resal)*(1-EXP((Tnet-t)/(Tau_j))))*Salcycl</f>
        <v>4.631052504591969E-2</v>
      </c>
      <c r="P89" s="171">
        <f>(INDEX(Models!$BJ89:$BT89,,T89)*(1-R89)+INDEX(Models!$BJ89:$BT89,,T89+1)*R89-ERP_i)*Q89*Ramure*Pc/MaxiM</f>
        <v>1.714382147903511E-3</v>
      </c>
      <c r="Q89" s="307">
        <f t="shared" si="27"/>
        <v>1</v>
      </c>
      <c r="R89" s="179">
        <f t="shared" si="28"/>
        <v>0.91868276487337708</v>
      </c>
      <c r="S89" s="837">
        <f t="shared" si="29"/>
        <v>-3</v>
      </c>
      <c r="T89" s="178">
        <f t="shared" si="30"/>
        <v>3</v>
      </c>
      <c r="U89" s="253">
        <f t="shared" si="31"/>
        <v>-2.0813172351266229</v>
      </c>
      <c r="V89" s="385">
        <f t="shared" si="32"/>
        <v>42.357916607898609</v>
      </c>
      <c r="W89" s="58"/>
      <c r="X89" s="157">
        <f t="shared" si="33"/>
        <v>43540</v>
      </c>
      <c r="Y89" s="387">
        <f t="shared" si="34"/>
        <v>41.112000000000002</v>
      </c>
      <c r="Z89" s="387">
        <f t="shared" si="35"/>
        <v>41.329756329786541</v>
      </c>
      <c r="AA89" s="388">
        <f t="shared" si="36"/>
        <v>43.336701741178963</v>
      </c>
      <c r="AB89" s="199">
        <f t="shared" si="37"/>
        <v>43540</v>
      </c>
      <c r="AC89" s="426">
        <f>IF(OR(t&lt;Tnet,NoTnet),'2018'!Resal_s+('2018'!Salim-'2018'!Resal_s)*(1-EXP(('2018'!Tnet_s-t)/'2018'!Tau_j)),Resal_s+(Salim-Resal_s)*(1-EXP((Tnet_s-t)/Tau_j)))*Salcycl</f>
        <v>4.631052504591969E-2</v>
      </c>
      <c r="AD89" s="233">
        <f>(INDEX(Models!$BJ89:$BT89,,AH89)*(1-AF89)+INDEX(Models!$BJ89:$BT89,,AH89+1)*AF89-ERP_i)*AE89*Ramure*Pc/MaxiM</f>
        <v>1.714382147903511E-3</v>
      </c>
      <c r="AE89" s="307">
        <f t="shared" si="38"/>
        <v>1</v>
      </c>
      <c r="AF89" s="179">
        <f t="shared" si="39"/>
        <v>0.91868276487337708</v>
      </c>
      <c r="AG89" s="178">
        <f t="shared" si="40"/>
        <v>-3</v>
      </c>
      <c r="AH89" s="178">
        <f t="shared" si="41"/>
        <v>3</v>
      </c>
      <c r="AI89" s="227">
        <f t="shared" si="42"/>
        <v>-2.0813172351266229</v>
      </c>
      <c r="AJ89" s="267" t="b">
        <f t="shared" si="43"/>
        <v>0</v>
      </c>
      <c r="AK89" s="267" t="b">
        <f t="shared" si="44"/>
        <v>0</v>
      </c>
      <c r="AL89" s="267"/>
      <c r="AM89" s="267"/>
      <c r="AN89" s="75"/>
    </row>
    <row r="90" spans="1:40" s="6" customFormat="1" ht="11.25" customHeight="1" x14ac:dyDescent="0.2">
      <c r="A90" s="56">
        <f t="shared" si="45"/>
        <v>43541</v>
      </c>
      <c r="B90" s="618">
        <v>15.612</v>
      </c>
      <c r="C90" s="392"/>
      <c r="D90" s="395">
        <f t="shared" si="24"/>
        <v>15.695056719476883</v>
      </c>
      <c r="E90" s="387">
        <f t="shared" si="46"/>
        <v>16.460356115483979</v>
      </c>
      <c r="F90" s="387">
        <f t="shared" si="25"/>
        <v>16.462958077872468</v>
      </c>
      <c r="G90" s="110">
        <f t="shared" si="47"/>
        <v>0.36428086945811</v>
      </c>
      <c r="H90" s="414" t="b">
        <f>Wh_hp&gt;='2018'!Maxi_hp</f>
        <v>1</v>
      </c>
      <c r="I90" s="392">
        <f>IF(H90,Wh_hp,'2018'!Maxi_hp)</f>
        <v>16.462958077872468</v>
      </c>
      <c r="J90" s="85">
        <f>IF(H90,An,'2018'!An_max)</f>
        <v>2019</v>
      </c>
      <c r="K90" s="199">
        <f t="shared" si="26"/>
        <v>43541</v>
      </c>
      <c r="L90" s="147">
        <f>IF(t&lt;Tvie,1-EXP((T0-t)*PertePVj)+'2018'!Pspv,1-EXP((T0-t)*PertePVj)+Pspv)</f>
        <v>5.2919031107299119E-3</v>
      </c>
      <c r="M90" s="870"/>
      <c r="N90" s="870"/>
      <c r="O90" s="48">
        <f>IF(t&lt;Tnet,'2018'!Resal+('2018'!Salim-'2018'!Resal)*(1-EXP(('2018'!Tnet-t)/('2018'!Tau_j))),Resal+(Salim-Resal)*(1-EXP((Tnet-t)/(Tau_j))))*Salcycl</f>
        <v>4.649348960847776E-2</v>
      </c>
      <c r="P90" s="171">
        <f>(INDEX(Models!$BJ90:$BT90,,T90)*(1-R90)+INDEX(Models!$BJ90:$BT90,,T90+1)*R90-ERP_i)*Q90*Ramure*Pc/MaxiM</f>
        <v>1.7061199433009923E-3</v>
      </c>
      <c r="Q90" s="307">
        <f t="shared" si="27"/>
        <v>1</v>
      </c>
      <c r="R90" s="179">
        <f t="shared" si="28"/>
        <v>0.91949222488944704</v>
      </c>
      <c r="S90" s="837">
        <f t="shared" si="29"/>
        <v>-3</v>
      </c>
      <c r="T90" s="178">
        <f t="shared" si="30"/>
        <v>3</v>
      </c>
      <c r="U90" s="253">
        <f t="shared" si="31"/>
        <v>-2.080507775110553</v>
      </c>
      <c r="V90" s="385">
        <f t="shared" si="32"/>
        <v>42.790684361488388</v>
      </c>
      <c r="W90" s="58"/>
      <c r="X90" s="157">
        <f t="shared" si="33"/>
        <v>43541</v>
      </c>
      <c r="Y90" s="387">
        <f t="shared" si="34"/>
        <v>15.611999999999998</v>
      </c>
      <c r="Z90" s="387">
        <f t="shared" si="35"/>
        <v>15.695056719476881</v>
      </c>
      <c r="AA90" s="388">
        <f t="shared" si="36"/>
        <v>16.460356115483979</v>
      </c>
      <c r="AB90" s="199">
        <f t="shared" si="37"/>
        <v>43541</v>
      </c>
      <c r="AC90" s="426">
        <f>IF(OR(t&lt;Tnet,NoTnet),'2018'!Resal_s+('2018'!Salim-'2018'!Resal_s)*(1-EXP(('2018'!Tnet_s-t)/'2018'!Tau_j)),Resal_s+(Salim-Resal_s)*(1-EXP((Tnet_s-t)/Tau_j)))*Salcycl</f>
        <v>4.649348960847776E-2</v>
      </c>
      <c r="AD90" s="233">
        <f>(INDEX(Models!$BJ90:$BT90,,AH90)*(1-AF90)+INDEX(Models!$BJ90:$BT90,,AH90+1)*AF90-ERP_i)*AE90*Ramure*Pc/MaxiM</f>
        <v>1.7061199433009923E-3</v>
      </c>
      <c r="AE90" s="307">
        <f t="shared" si="38"/>
        <v>1</v>
      </c>
      <c r="AF90" s="179">
        <f t="shared" si="39"/>
        <v>0.91949222488944704</v>
      </c>
      <c r="AG90" s="178">
        <f t="shared" si="40"/>
        <v>-3</v>
      </c>
      <c r="AH90" s="178">
        <f t="shared" si="41"/>
        <v>3</v>
      </c>
      <c r="AI90" s="227">
        <f t="shared" si="42"/>
        <v>-2.080507775110553</v>
      </c>
      <c r="AJ90" s="267" t="b">
        <f t="shared" si="43"/>
        <v>0</v>
      </c>
      <c r="AK90" s="267" t="b">
        <f t="shared" si="44"/>
        <v>0</v>
      </c>
      <c r="AL90" s="267"/>
      <c r="AM90" s="267"/>
      <c r="AN90" s="75"/>
    </row>
    <row r="91" spans="1:40" s="6" customFormat="1" ht="11.25" customHeight="1" x14ac:dyDescent="0.2">
      <c r="A91" s="56">
        <f t="shared" si="45"/>
        <v>43542</v>
      </c>
      <c r="B91" s="618">
        <v>28.573</v>
      </c>
      <c r="C91" s="392"/>
      <c r="D91" s="395">
        <f t="shared" si="24"/>
        <v>28.725678458117187</v>
      </c>
      <c r="E91" s="387">
        <f t="shared" si="46"/>
        <v>30.132146100509402</v>
      </c>
      <c r="F91" s="387">
        <f t="shared" si="25"/>
        <v>30.158532920094469</v>
      </c>
      <c r="G91" s="110">
        <f t="shared" si="47"/>
        <v>0.66055305332431746</v>
      </c>
      <c r="H91" s="414" t="b">
        <f>Wh_hp&gt;='2018'!Maxi_hp</f>
        <v>1</v>
      </c>
      <c r="I91" s="392">
        <f>IF(H91,Wh_hp,'2018'!Maxi_hp)</f>
        <v>30.158532920094469</v>
      </c>
      <c r="J91" s="85">
        <f>IF(H91,An,'2018'!An_max)</f>
        <v>2019</v>
      </c>
      <c r="K91" s="199">
        <f t="shared" si="26"/>
        <v>43542</v>
      </c>
      <c r="L91" s="147">
        <f>IF(t&lt;Tvie,1-EXP((T0-t)*PertePVj)+'2018'!Pspv,1-EXP((T0-t)*PertePVj)+Pspv)</f>
        <v>5.3150514213196054E-3</v>
      </c>
      <c r="M91" s="870"/>
      <c r="N91" s="870"/>
      <c r="O91" s="48">
        <f>IF(t&lt;Tnet,'2018'!Resal+('2018'!Salim-'2018'!Resal)*(1-EXP(('2018'!Tnet-t)/('2018'!Tau_j))),Resal+(Salim-Resal)*(1-EXP((Tnet-t)/(Tau_j))))*Salcycl</f>
        <v>4.6676650169582112E-2</v>
      </c>
      <c r="P91" s="171">
        <f>(INDEX(Models!$BJ91:$BT91,,T91)*(1-R91)+INDEX(Models!$BJ91:$BT91,,T91+1)*R91-ERP_i)*Q91*Ramure*Pc/MaxiM</f>
        <v>1.6961010426375621E-3</v>
      </c>
      <c r="Q91" s="307">
        <f t="shared" si="27"/>
        <v>1</v>
      </c>
      <c r="R91" s="179">
        <f t="shared" si="28"/>
        <v>0.92033359979952278</v>
      </c>
      <c r="S91" s="837">
        <f t="shared" si="29"/>
        <v>-3</v>
      </c>
      <c r="T91" s="178">
        <f t="shared" si="30"/>
        <v>3</v>
      </c>
      <c r="U91" s="253">
        <f t="shared" si="31"/>
        <v>-2.0796664002004772</v>
      </c>
      <c r="V91" s="385">
        <f t="shared" si="32"/>
        <v>43.220625796062087</v>
      </c>
      <c r="W91" s="58"/>
      <c r="X91" s="157">
        <f t="shared" si="33"/>
        <v>43542</v>
      </c>
      <c r="Y91" s="387">
        <f t="shared" si="34"/>
        <v>28.573</v>
      </c>
      <c r="Z91" s="387">
        <f t="shared" si="35"/>
        <v>28.725678458117187</v>
      </c>
      <c r="AA91" s="388">
        <f t="shared" si="36"/>
        <v>30.132146100509402</v>
      </c>
      <c r="AB91" s="199">
        <f t="shared" si="37"/>
        <v>43542</v>
      </c>
      <c r="AC91" s="426">
        <f>IF(OR(t&lt;Tnet,NoTnet),'2018'!Resal_s+('2018'!Salim-'2018'!Resal_s)*(1-EXP(('2018'!Tnet_s-t)/'2018'!Tau_j)),Resal_s+(Salim-Resal_s)*(1-EXP((Tnet_s-t)/Tau_j)))*Salcycl</f>
        <v>4.6676650169582112E-2</v>
      </c>
      <c r="AD91" s="233">
        <f>(INDEX(Models!$BJ91:$BT91,,AH91)*(1-AF91)+INDEX(Models!$BJ91:$BT91,,AH91+1)*AF91-ERP_i)*AE91*Ramure*Pc/MaxiM</f>
        <v>1.6961010426375621E-3</v>
      </c>
      <c r="AE91" s="307">
        <f t="shared" si="38"/>
        <v>1</v>
      </c>
      <c r="AF91" s="179">
        <f t="shared" si="39"/>
        <v>0.92033359979952278</v>
      </c>
      <c r="AG91" s="178">
        <f t="shared" si="40"/>
        <v>-3</v>
      </c>
      <c r="AH91" s="178">
        <f t="shared" si="41"/>
        <v>3</v>
      </c>
      <c r="AI91" s="227">
        <f t="shared" si="42"/>
        <v>-2.0796664002004772</v>
      </c>
      <c r="AJ91" s="267" t="b">
        <f t="shared" si="43"/>
        <v>0</v>
      </c>
      <c r="AK91" s="267" t="b">
        <f t="shared" si="44"/>
        <v>0</v>
      </c>
      <c r="AL91" s="267"/>
      <c r="AM91" s="267"/>
      <c r="AN91" s="75"/>
    </row>
    <row r="92" spans="1:40" s="6" customFormat="1" ht="11.25" customHeight="1" x14ac:dyDescent="0.2">
      <c r="A92" s="56">
        <f t="shared" si="45"/>
        <v>43543</v>
      </c>
      <c r="B92" s="618">
        <v>15.613</v>
      </c>
      <c r="C92" s="392"/>
      <c r="D92" s="395">
        <f t="shared" si="24"/>
        <v>15.69679260562339</v>
      </c>
      <c r="E92" s="387">
        <f t="shared" si="46"/>
        <v>16.468507614199972</v>
      </c>
      <c r="F92" s="387">
        <f t="shared" si="25"/>
        <v>16.470794852669911</v>
      </c>
      <c r="G92" s="110">
        <f t="shared" si="47"/>
        <v>0.35715699518265026</v>
      </c>
      <c r="H92" s="414" t="b">
        <f>Wh_hp&gt;='2018'!Maxi_hp</f>
        <v>1</v>
      </c>
      <c r="I92" s="392">
        <f>IF(H92,Wh_hp,'2018'!Maxi_hp)</f>
        <v>16.470794852669911</v>
      </c>
      <c r="J92" s="85">
        <f>IF(H92,An,'2018'!An_max)</f>
        <v>2019</v>
      </c>
      <c r="K92" s="199">
        <f t="shared" si="26"/>
        <v>43543</v>
      </c>
      <c r="L92" s="147">
        <f>IF(t&lt;Tvie,1-EXP((T0-t)*PertePVj)+'2018'!Pspv,1-EXP((T0-t)*PertePVj)+Pspv)</f>
        <v>5.3381991932142103E-3</v>
      </c>
      <c r="M92" s="870"/>
      <c r="N92" s="870"/>
      <c r="O92" s="48">
        <f>IF(t&lt;Tnet,'2018'!Resal+('2018'!Salim-'2018'!Resal)*(1-EXP(('2018'!Tnet-t)/('2018'!Tau_j))),Resal+(Salim-Resal)*(1-EXP((Tnet-t)/(Tau_j))))*Salcycl</f>
        <v>4.6860045042039458E-2</v>
      </c>
      <c r="P92" s="171">
        <f>(INDEX(Models!$BJ92:$BT92,,T92)*(1-R92)+INDEX(Models!$BJ92:$BT92,,T92+1)*R92-ERP_i)*Q92*Ramure*Pc/MaxiM</f>
        <v>1.6843968854275827E-3</v>
      </c>
      <c r="Q92" s="307">
        <f t="shared" si="27"/>
        <v>1</v>
      </c>
      <c r="R92" s="179">
        <f t="shared" si="28"/>
        <v>0.92120806165941183</v>
      </c>
      <c r="S92" s="837">
        <f t="shared" si="29"/>
        <v>-3</v>
      </c>
      <c r="T92" s="178">
        <f t="shared" si="30"/>
        <v>3</v>
      </c>
      <c r="U92" s="253">
        <f t="shared" si="31"/>
        <v>-2.0787919383405882</v>
      </c>
      <c r="V92" s="385">
        <f t="shared" si="32"/>
        <v>43.647097746918895</v>
      </c>
      <c r="W92" s="58"/>
      <c r="X92" s="157">
        <f t="shared" si="33"/>
        <v>43543</v>
      </c>
      <c r="Y92" s="387">
        <f t="shared" si="34"/>
        <v>15.613000000000001</v>
      </c>
      <c r="Z92" s="387">
        <f t="shared" si="35"/>
        <v>15.696792605623392</v>
      </c>
      <c r="AA92" s="388">
        <f t="shared" si="36"/>
        <v>16.468507614199972</v>
      </c>
      <c r="AB92" s="199">
        <f t="shared" si="37"/>
        <v>43543</v>
      </c>
      <c r="AC92" s="426">
        <f>IF(OR(t&lt;Tnet,NoTnet),'2018'!Resal_s+('2018'!Salim-'2018'!Resal_s)*(1-EXP(('2018'!Tnet_s-t)/'2018'!Tau_j)),Resal_s+(Salim-Resal_s)*(1-EXP((Tnet_s-t)/Tau_j)))*Salcycl</f>
        <v>4.6860045042039458E-2</v>
      </c>
      <c r="AD92" s="233">
        <f>(INDEX(Models!$BJ92:$BT92,,AH92)*(1-AF92)+INDEX(Models!$BJ92:$BT92,,AH92+1)*AF92-ERP_i)*AE92*Ramure*Pc/MaxiM</f>
        <v>1.6843968854275827E-3</v>
      </c>
      <c r="AE92" s="307">
        <f t="shared" si="38"/>
        <v>1</v>
      </c>
      <c r="AF92" s="179">
        <f t="shared" si="39"/>
        <v>0.92120806165941183</v>
      </c>
      <c r="AG92" s="178">
        <f t="shared" si="40"/>
        <v>-3</v>
      </c>
      <c r="AH92" s="178">
        <f t="shared" si="41"/>
        <v>3</v>
      </c>
      <c r="AI92" s="227">
        <f t="shared" si="42"/>
        <v>-2.0787919383405882</v>
      </c>
      <c r="AJ92" s="267" t="b">
        <f t="shared" si="43"/>
        <v>0</v>
      </c>
      <c r="AK92" s="267" t="b">
        <f t="shared" si="44"/>
        <v>0</v>
      </c>
      <c r="AL92" s="267"/>
      <c r="AM92" s="267"/>
      <c r="AN92" s="75"/>
    </row>
    <row r="93" spans="1:40" s="6" customFormat="1" ht="11.25" x14ac:dyDescent="0.2">
      <c r="A93" s="56">
        <f t="shared" si="45"/>
        <v>43544</v>
      </c>
      <c r="B93" s="618">
        <v>44.210999999999999</v>
      </c>
      <c r="C93" s="392"/>
      <c r="D93" s="395">
        <f t="shared" si="24"/>
        <v>44.449308139350023</v>
      </c>
      <c r="E93" s="387">
        <f t="shared" si="46"/>
        <v>46.643596120493946</v>
      </c>
      <c r="F93" s="387">
        <f t="shared" si="25"/>
        <v>46.721665369048949</v>
      </c>
      <c r="G93" s="110">
        <f t="shared" si="47"/>
        <v>1.0031329430207099</v>
      </c>
      <c r="H93" s="414" t="b">
        <f>Wh_hp&gt;='2018'!Maxi_hp</f>
        <v>1</v>
      </c>
      <c r="I93" s="392">
        <f>IF(H93,Wh_hp,'2018'!Maxi_hp)</f>
        <v>46.721665369048949</v>
      </c>
      <c r="J93" s="85">
        <f>IF(H93,An,'2018'!An_max)</f>
        <v>2019</v>
      </c>
      <c r="K93" s="199">
        <f t="shared" si="26"/>
        <v>43544</v>
      </c>
      <c r="L93" s="147">
        <f>IF(t&lt;Tvie,1-EXP((T0-t)*PertePVj)+'2018'!Pspv,1-EXP((T0-t)*PertePVj)+Pspv)</f>
        <v>5.3613464264262722E-3</v>
      </c>
      <c r="M93" s="870"/>
      <c r="N93" s="870"/>
      <c r="O93" s="48">
        <f>IF(t&lt;Tnet,'2018'!Resal+('2018'!Salim-'2018'!Resal)*(1-EXP(('2018'!Tnet-t)/('2018'!Tau_j))),Resal+(Salim-Resal)*(1-EXP((Tnet-t)/(Tau_j))))*Salcycl</f>
        <v>4.7043713685270695E-2</v>
      </c>
      <c r="P93" s="171">
        <f>(INDEX(Models!$BJ93:$BT93,,T93)*(1-R93)+INDEX(Models!$BJ93:$BT93,,T93+1)*R93-ERP_i)*Q93*Ramure*Pc/MaxiM</f>
        <v>1.6709431895961734E-3</v>
      </c>
      <c r="Q93" s="307">
        <f t="shared" si="27"/>
        <v>1</v>
      </c>
      <c r="R93" s="179">
        <f t="shared" si="28"/>
        <v>0.92211681843508186</v>
      </c>
      <c r="S93" s="837">
        <f t="shared" si="29"/>
        <v>-3</v>
      </c>
      <c r="T93" s="178">
        <f t="shared" si="30"/>
        <v>3</v>
      </c>
      <c r="U93" s="253">
        <f t="shared" si="31"/>
        <v>-2.0778831815649181</v>
      </c>
      <c r="V93" s="385">
        <f t="shared" si="32"/>
        <v>44.072922046472215</v>
      </c>
      <c r="W93" s="58"/>
      <c r="X93" s="157">
        <f t="shared" si="33"/>
        <v>43544</v>
      </c>
      <c r="Y93" s="387">
        <f t="shared" si="34"/>
        <v>44.210999999999999</v>
      </c>
      <c r="Z93" s="387">
        <f t="shared" si="35"/>
        <v>44.449308139350023</v>
      </c>
      <c r="AA93" s="388">
        <f t="shared" si="36"/>
        <v>46.643596120493946</v>
      </c>
      <c r="AB93" s="199">
        <f t="shared" si="37"/>
        <v>43544</v>
      </c>
      <c r="AC93" s="426">
        <f>IF(OR(t&lt;Tnet,NoTnet),'2018'!Resal_s+('2018'!Salim-'2018'!Resal_s)*(1-EXP(('2018'!Tnet_s-t)/'2018'!Tau_j)),Resal_s+(Salim-Resal_s)*(1-EXP((Tnet_s-t)/Tau_j)))*Salcycl</f>
        <v>4.7043713685270695E-2</v>
      </c>
      <c r="AD93" s="233">
        <f>(INDEX(Models!$BJ93:$BT93,,AH93)*(1-AF93)+INDEX(Models!$BJ93:$BT93,,AH93+1)*AF93-ERP_i)*AE93*Ramure*Pc/MaxiM</f>
        <v>1.6709431895961734E-3</v>
      </c>
      <c r="AE93" s="307">
        <f t="shared" si="38"/>
        <v>1</v>
      </c>
      <c r="AF93" s="179">
        <f t="shared" si="39"/>
        <v>0.92211681843508186</v>
      </c>
      <c r="AG93" s="178">
        <f t="shared" si="40"/>
        <v>-3</v>
      </c>
      <c r="AH93" s="178">
        <f t="shared" si="41"/>
        <v>3</v>
      </c>
      <c r="AI93" s="227">
        <f t="shared" si="42"/>
        <v>-2.0778831815649181</v>
      </c>
      <c r="AJ93" s="267" t="b">
        <f t="shared" si="43"/>
        <v>0</v>
      </c>
      <c r="AK93" s="267" t="b">
        <f t="shared" si="44"/>
        <v>0</v>
      </c>
      <c r="AL93" s="267"/>
      <c r="AM93" s="267"/>
      <c r="AN93" s="75"/>
    </row>
    <row r="94" spans="1:40" s="6" customFormat="1" ht="11.25" customHeight="1" x14ac:dyDescent="0.2">
      <c r="A94" s="56">
        <f t="shared" si="45"/>
        <v>43545</v>
      </c>
      <c r="B94" s="618">
        <v>43.777000000000001</v>
      </c>
      <c r="C94" s="392"/>
      <c r="D94" s="395">
        <f t="shared" si="24"/>
        <v>44.013993042765129</v>
      </c>
      <c r="E94" s="387">
        <f t="shared" si="46"/>
        <v>46.195710019816858</v>
      </c>
      <c r="F94" s="387">
        <f t="shared" si="25"/>
        <v>46.270501724808639</v>
      </c>
      <c r="G94" s="110">
        <f t="shared" si="47"/>
        <v>0.98369696478957314</v>
      </c>
      <c r="H94" s="414" t="b">
        <f>Wh_hp&gt;='2018'!Maxi_hp</f>
        <v>1</v>
      </c>
      <c r="I94" s="392">
        <f>IF(H94,Wh_hp,'2018'!Maxi_hp)</f>
        <v>46.270501724808639</v>
      </c>
      <c r="J94" s="85">
        <f>IF(H94,An,'2018'!An_max)</f>
        <v>2019</v>
      </c>
      <c r="K94" s="199">
        <f t="shared" si="26"/>
        <v>43545</v>
      </c>
      <c r="L94" s="147">
        <f>IF(t&lt;Tvie,1-EXP((T0-t)*PertePVj)+'2018'!Pspv,1-EXP((T0-t)*PertePVj)+Pspv)</f>
        <v>5.3844931209685587E-3</v>
      </c>
      <c r="M94" s="870"/>
      <c r="N94" s="870"/>
      <c r="O94" s="48">
        <f>IF(t&lt;Tnet,'2018'!Resal+('2018'!Salim-'2018'!Resal)*(1-EXP(('2018'!Tnet-t)/('2018'!Tau_j))),Resal+(Salim-Resal)*(1-EXP((Tnet-t)/(Tau_j))))*Salcycl</f>
        <v>4.7227696600308289E-2</v>
      </c>
      <c r="P94" s="171">
        <f>(INDEX(Models!$BJ94:$BT94,,T94)*(1-R94)+INDEX(Models!$BJ94:$BT94,,T94+1)*R94-ERP_i)*Q94*Ramure*Pc/MaxiM</f>
        <v>1.6548534773991516E-3</v>
      </c>
      <c r="Q94" s="307">
        <f t="shared" si="27"/>
        <v>1</v>
      </c>
      <c r="R94" s="179">
        <f t="shared" si="28"/>
        <v>0.92306111450066242</v>
      </c>
      <c r="S94" s="837">
        <f t="shared" si="29"/>
        <v>-3</v>
      </c>
      <c r="T94" s="178">
        <f t="shared" si="30"/>
        <v>3</v>
      </c>
      <c r="U94" s="253">
        <f t="shared" si="31"/>
        <v>-2.0769388854993376</v>
      </c>
      <c r="V94" s="385">
        <f t="shared" si="32"/>
        <v>44.500812268554945</v>
      </c>
      <c r="W94" s="58"/>
      <c r="X94" s="157">
        <f t="shared" si="33"/>
        <v>43545</v>
      </c>
      <c r="Y94" s="387">
        <f t="shared" si="34"/>
        <v>43.777000000000001</v>
      </c>
      <c r="Z94" s="387">
        <f t="shared" si="35"/>
        <v>44.013993042765129</v>
      </c>
      <c r="AA94" s="388">
        <f t="shared" si="36"/>
        <v>46.195710019816858</v>
      </c>
      <c r="AB94" s="199">
        <f t="shared" si="37"/>
        <v>43545</v>
      </c>
      <c r="AC94" s="426">
        <f>IF(OR(t&lt;Tnet,NoTnet),'2018'!Resal_s+('2018'!Salim-'2018'!Resal_s)*(1-EXP(('2018'!Tnet_s-t)/'2018'!Tau_j)),Resal_s+(Salim-Resal_s)*(1-EXP((Tnet_s-t)/Tau_j)))*Salcycl</f>
        <v>4.7227696600308289E-2</v>
      </c>
      <c r="AD94" s="233">
        <f>(INDEX(Models!$BJ94:$BT94,,AH94)*(1-AF94)+INDEX(Models!$BJ94:$BT94,,AH94+1)*AF94-ERP_i)*AE94*Ramure*Pc/MaxiM</f>
        <v>1.6548534773991516E-3</v>
      </c>
      <c r="AE94" s="307">
        <f t="shared" si="38"/>
        <v>1</v>
      </c>
      <c r="AF94" s="179">
        <f t="shared" si="39"/>
        <v>0.92306111450066242</v>
      </c>
      <c r="AG94" s="178">
        <f t="shared" si="40"/>
        <v>-3</v>
      </c>
      <c r="AH94" s="178">
        <f t="shared" si="41"/>
        <v>3</v>
      </c>
      <c r="AI94" s="227">
        <f t="shared" si="42"/>
        <v>-2.0769388854993376</v>
      </c>
      <c r="AJ94" s="267" t="b">
        <f t="shared" si="43"/>
        <v>0</v>
      </c>
      <c r="AK94" s="267" t="b">
        <f t="shared" si="44"/>
        <v>0</v>
      </c>
      <c r="AL94" s="267"/>
      <c r="AM94" s="267"/>
      <c r="AN94" s="75"/>
    </row>
    <row r="95" spans="1:40" s="6" customFormat="1" ht="11.25" customHeight="1" x14ac:dyDescent="0.2">
      <c r="A95" s="56">
        <f t="shared" si="45"/>
        <v>43546</v>
      </c>
      <c r="B95" s="618">
        <v>43.002000000000002</v>
      </c>
      <c r="C95" s="392"/>
      <c r="D95" s="395">
        <f t="shared" si="24"/>
        <v>43.235803629875235</v>
      </c>
      <c r="E95" s="387">
        <f t="shared" si="46"/>
        <v>45.387728197878353</v>
      </c>
      <c r="F95" s="387">
        <f t="shared" si="25"/>
        <v>45.457582324001258</v>
      </c>
      <c r="G95" s="110">
        <f t="shared" si="47"/>
        <v>0.95699534533438801</v>
      </c>
      <c r="H95" s="414" t="b">
        <f>Wh_hp&gt;='2018'!Maxi_hp</f>
        <v>1</v>
      </c>
      <c r="I95" s="392">
        <f>IF(H95,Wh_hp,'2018'!Maxi_hp)</f>
        <v>45.457582324001258</v>
      </c>
      <c r="J95" s="85">
        <f>IF(H95,An,'2018'!An_max)</f>
        <v>2019</v>
      </c>
      <c r="K95" s="199">
        <f t="shared" si="26"/>
        <v>43546</v>
      </c>
      <c r="L95" s="147">
        <f>IF(t&lt;Tvie,1-EXP((T0-t)*PertePVj)+'2018'!Pspv,1-EXP((T0-t)*PertePVj)+Pspv)</f>
        <v>5.4076392768533932E-3</v>
      </c>
      <c r="M95" s="870"/>
      <c r="N95" s="870"/>
      <c r="O95" s="48">
        <f>IF(t&lt;Tnet,'2018'!Resal+('2018'!Salim-'2018'!Resal)*(1-EXP(('2018'!Tnet-t)/('2018'!Tau_j))),Resal+(Salim-Resal)*(1-EXP((Tnet-t)/(Tau_j))))*Salcycl</f>
        <v>4.7412035222853678E-2</v>
      </c>
      <c r="P95" s="171">
        <f>(INDEX(Models!$BJ95:$BT95,,T95)*(1-R95)+INDEX(Models!$BJ95:$BT95,,T95+1)*R95-ERP_i)*Q95*Ramure*Pc/MaxiM</f>
        <v>1.6370347493694089E-3</v>
      </c>
      <c r="Q95" s="307">
        <f t="shared" si="27"/>
        <v>1</v>
      </c>
      <c r="R95" s="179">
        <f t="shared" si="28"/>
        <v>0.92404223108630701</v>
      </c>
      <c r="S95" s="837">
        <f t="shared" si="29"/>
        <v>-3</v>
      </c>
      <c r="T95" s="178">
        <f t="shared" si="30"/>
        <v>3</v>
      </c>
      <c r="U95" s="253">
        <f t="shared" si="31"/>
        <v>-2.075957768913693</v>
      </c>
      <c r="V95" s="385">
        <f t="shared" si="32"/>
        <v>44.929871876728804</v>
      </c>
      <c r="W95" s="58"/>
      <c r="X95" s="157">
        <f t="shared" si="33"/>
        <v>43546</v>
      </c>
      <c r="Y95" s="387">
        <f t="shared" si="34"/>
        <v>43.002000000000002</v>
      </c>
      <c r="Z95" s="387">
        <f t="shared" si="35"/>
        <v>43.235803629875235</v>
      </c>
      <c r="AA95" s="388">
        <f t="shared" si="36"/>
        <v>45.387728197878353</v>
      </c>
      <c r="AB95" s="199">
        <f t="shared" si="37"/>
        <v>43546</v>
      </c>
      <c r="AC95" s="426">
        <f>IF(OR(t&lt;Tnet,NoTnet),'2018'!Resal_s+('2018'!Salim-'2018'!Resal_s)*(1-EXP(('2018'!Tnet_s-t)/'2018'!Tau_j)),Resal_s+(Salim-Resal_s)*(1-EXP((Tnet_s-t)/Tau_j)))*Salcycl</f>
        <v>4.7412035222853678E-2</v>
      </c>
      <c r="AD95" s="233">
        <f>(INDEX(Models!$BJ95:$BT95,,AH95)*(1-AF95)+INDEX(Models!$BJ95:$BT95,,AH95+1)*AF95-ERP_i)*AE95*Ramure*Pc/MaxiM</f>
        <v>1.6370347493694089E-3</v>
      </c>
      <c r="AE95" s="307">
        <f t="shared" si="38"/>
        <v>1</v>
      </c>
      <c r="AF95" s="179">
        <f t="shared" si="39"/>
        <v>0.92404223108630701</v>
      </c>
      <c r="AG95" s="178">
        <f t="shared" si="40"/>
        <v>-3</v>
      </c>
      <c r="AH95" s="178">
        <f t="shared" si="41"/>
        <v>3</v>
      </c>
      <c r="AI95" s="227">
        <f t="shared" si="42"/>
        <v>-2.075957768913693</v>
      </c>
      <c r="AJ95" s="267" t="b">
        <f t="shared" si="43"/>
        <v>0</v>
      </c>
      <c r="AK95" s="267" t="b">
        <f t="shared" si="44"/>
        <v>0</v>
      </c>
      <c r="AL95" s="267"/>
      <c r="AM95" s="267"/>
      <c r="AN95" s="75"/>
    </row>
    <row r="96" spans="1:40" s="6" customFormat="1" ht="11.25" x14ac:dyDescent="0.2">
      <c r="A96" s="56">
        <f t="shared" si="45"/>
        <v>43547</v>
      </c>
      <c r="B96" s="618">
        <v>40.734999999999999</v>
      </c>
      <c r="C96" s="392"/>
      <c r="D96" s="395">
        <f t="shared" si="24"/>
        <v>40.957430997562433</v>
      </c>
      <c r="E96" s="387">
        <f t="shared" si="46"/>
        <v>43.004296694396395</v>
      </c>
      <c r="F96" s="387">
        <f t="shared" si="25"/>
        <v>43.063810155922624</v>
      </c>
      <c r="G96" s="110">
        <f t="shared" si="47"/>
        <v>0.89784108767998072</v>
      </c>
      <c r="H96" s="414" t="b">
        <f>Wh_hp&gt;='2018'!Maxi_hp</f>
        <v>1</v>
      </c>
      <c r="I96" s="392">
        <f>IF(H96,Wh_hp,'2018'!Maxi_hp)</f>
        <v>43.063810155922624</v>
      </c>
      <c r="J96" s="85">
        <f>IF(H96,An,'2018'!An_max)</f>
        <v>2019</v>
      </c>
      <c r="K96" s="199">
        <f t="shared" si="26"/>
        <v>43547</v>
      </c>
      <c r="L96" s="147">
        <f>IF(t&lt;Tvie,1-EXP((T0-t)*PertePVj)+'2018'!Pspv,1-EXP((T0-t)*PertePVj)+Pspv)</f>
        <v>5.4307848940933212E-3</v>
      </c>
      <c r="M96" s="870"/>
      <c r="N96" s="870"/>
      <c r="O96" s="48">
        <f>IF(t&lt;Tnet,'2018'!Resal+('2018'!Salim-'2018'!Resal)*(1-EXP(('2018'!Tnet-t)/('2018'!Tau_j))),Resal+(Salim-Resal)*(1-EXP((Tnet-t)/(Tau_j))))*Salcycl</f>
        <v>4.7596771815144642E-2</v>
      </c>
      <c r="P96" s="171">
        <f>(INDEX(Models!$BJ96:$BT96,,T96)*(1-R96)+INDEX(Models!$BJ96:$BT96,,T96+1)*R96-ERP_i)*Q96*Ramure*Pc/MaxiM</f>
        <v>1.6175628599203033E-3</v>
      </c>
      <c r="Q96" s="307">
        <f t="shared" si="27"/>
        <v>1</v>
      </c>
      <c r="R96" s="179">
        <f t="shared" si="28"/>
        <v>0.92506148666951926</v>
      </c>
      <c r="S96" s="837">
        <f t="shared" si="29"/>
        <v>-3</v>
      </c>
      <c r="T96" s="178">
        <f t="shared" si="30"/>
        <v>3</v>
      </c>
      <c r="U96" s="253">
        <f t="shared" si="31"/>
        <v>-2.0749385133304807</v>
      </c>
      <c r="V96" s="385">
        <f t="shared" si="32"/>
        <v>45.359241117883855</v>
      </c>
      <c r="W96" s="58"/>
      <c r="X96" s="157">
        <f t="shared" si="33"/>
        <v>43547</v>
      </c>
      <c r="Y96" s="387">
        <f t="shared" si="34"/>
        <v>40.734999999999999</v>
      </c>
      <c r="Z96" s="387">
        <f t="shared" si="35"/>
        <v>40.957430997562433</v>
      </c>
      <c r="AA96" s="388">
        <f t="shared" si="36"/>
        <v>43.004296694396395</v>
      </c>
      <c r="AB96" s="199">
        <f t="shared" si="37"/>
        <v>43547</v>
      </c>
      <c r="AC96" s="426">
        <f>IF(OR(t&lt;Tnet,NoTnet),'2018'!Resal_s+('2018'!Salim-'2018'!Resal_s)*(1-EXP(('2018'!Tnet_s-t)/'2018'!Tau_j)),Resal_s+(Salim-Resal_s)*(1-EXP((Tnet_s-t)/Tau_j)))*Salcycl</f>
        <v>4.7596771815144642E-2</v>
      </c>
      <c r="AD96" s="233">
        <f>(INDEX(Models!$BJ96:$BT96,,AH96)*(1-AF96)+INDEX(Models!$BJ96:$BT96,,AH96+1)*AF96-ERP_i)*AE96*Ramure*Pc/MaxiM</f>
        <v>1.6175628599203033E-3</v>
      </c>
      <c r="AE96" s="307">
        <f t="shared" si="38"/>
        <v>1</v>
      </c>
      <c r="AF96" s="179">
        <f t="shared" si="39"/>
        <v>0.92506148666951926</v>
      </c>
      <c r="AG96" s="178">
        <f t="shared" si="40"/>
        <v>-3</v>
      </c>
      <c r="AH96" s="178">
        <f t="shared" si="41"/>
        <v>3</v>
      </c>
      <c r="AI96" s="227">
        <f t="shared" si="42"/>
        <v>-2.0749385133304807</v>
      </c>
      <c r="AJ96" s="267" t="b">
        <f t="shared" si="43"/>
        <v>0</v>
      </c>
      <c r="AK96" s="267" t="b">
        <f t="shared" si="44"/>
        <v>0</v>
      </c>
      <c r="AL96" s="267"/>
      <c r="AM96" s="267"/>
      <c r="AN96" s="75"/>
    </row>
    <row r="97" spans="1:40" s="6" customFormat="1" ht="11.25" customHeight="1" x14ac:dyDescent="0.2">
      <c r="A97" s="56">
        <f t="shared" si="45"/>
        <v>43548</v>
      </c>
      <c r="B97" s="618">
        <v>43.941000000000003</v>
      </c>
      <c r="C97" s="392"/>
      <c r="D97" s="395">
        <f t="shared" si="24"/>
        <v>44.181965345048191</v>
      </c>
      <c r="E97" s="387">
        <f t="shared" si="46"/>
        <v>46.399000013945248</v>
      </c>
      <c r="F97" s="387">
        <f t="shared" si="25"/>
        <v>46.468912763668122</v>
      </c>
      <c r="G97" s="110">
        <f t="shared" si="47"/>
        <v>0.95957221906616352</v>
      </c>
      <c r="H97" s="414" t="b">
        <f>Wh_hp&gt;='2018'!Maxi_hp</f>
        <v>1</v>
      </c>
      <c r="I97" s="392">
        <f>IF(H97,Wh_hp,'2018'!Maxi_hp)</f>
        <v>46.468912763668122</v>
      </c>
      <c r="J97" s="85">
        <f>IF(H97,An,'2018'!An_max)</f>
        <v>2019</v>
      </c>
      <c r="K97" s="199">
        <f t="shared" si="26"/>
        <v>43548</v>
      </c>
      <c r="L97" s="147">
        <f>IF(t&lt;Tvie,1-EXP((T0-t)*PertePVj)+'2018'!Pspv,1-EXP((T0-t)*PertePVj)+Pspv)</f>
        <v>5.4539299727008883E-3</v>
      </c>
      <c r="M97" s="870"/>
      <c r="N97" s="870"/>
      <c r="O97" s="48">
        <f>IF(t&lt;Tnet,'2018'!Resal+('2018'!Salim-'2018'!Resal)*(1-EXP(('2018'!Tnet-t)/('2018'!Tau_j))),Resal+(Salim-Resal)*(1-EXP((Tnet-t)/(Tau_j))))*Salcycl</f>
        <v>4.7781949357329379E-2</v>
      </c>
      <c r="P97" s="171">
        <f>(INDEX(Models!$BJ97:$BT97,,T97)*(1-R97)+INDEX(Models!$BJ97:$BT97,,T97+1)*R97-ERP_i)*Q97*Ramure*Pc/MaxiM</f>
        <v>1.5965088779941702E-3</v>
      </c>
      <c r="Q97" s="307">
        <f t="shared" si="27"/>
        <v>1</v>
      </c>
      <c r="R97" s="179">
        <f t="shared" si="28"/>
        <v>0.926120237303103</v>
      </c>
      <c r="S97" s="837">
        <f t="shared" si="29"/>
        <v>-3</v>
      </c>
      <c r="T97" s="178">
        <f t="shared" si="30"/>
        <v>3</v>
      </c>
      <c r="U97" s="253">
        <f t="shared" si="31"/>
        <v>-2.073879762696897</v>
      </c>
      <c r="V97" s="385">
        <f t="shared" si="32"/>
        <v>45.7880608975603</v>
      </c>
      <c r="W97" s="58"/>
      <c r="X97" s="157">
        <f t="shared" si="33"/>
        <v>43548</v>
      </c>
      <c r="Y97" s="387">
        <f t="shared" si="34"/>
        <v>43.941000000000003</v>
      </c>
      <c r="Z97" s="387">
        <f t="shared" si="35"/>
        <v>44.181965345048191</v>
      </c>
      <c r="AA97" s="388">
        <f t="shared" si="36"/>
        <v>46.399000013945248</v>
      </c>
      <c r="AB97" s="199">
        <f t="shared" si="37"/>
        <v>43548</v>
      </c>
      <c r="AC97" s="426">
        <f>IF(OR(t&lt;Tnet,NoTnet),'2018'!Resal_s+('2018'!Salim-'2018'!Resal_s)*(1-EXP(('2018'!Tnet_s-t)/'2018'!Tau_j)),Resal_s+(Salim-Resal_s)*(1-EXP((Tnet_s-t)/Tau_j)))*Salcycl</f>
        <v>4.7781949357329379E-2</v>
      </c>
      <c r="AD97" s="233">
        <f>(INDEX(Models!$BJ97:$BT97,,AH97)*(1-AF97)+INDEX(Models!$BJ97:$BT97,,AH97+1)*AF97-ERP_i)*AE97*Ramure*Pc/MaxiM</f>
        <v>1.5965088779941702E-3</v>
      </c>
      <c r="AE97" s="307">
        <f t="shared" si="38"/>
        <v>1</v>
      </c>
      <c r="AF97" s="179">
        <f t="shared" si="39"/>
        <v>0.926120237303103</v>
      </c>
      <c r="AG97" s="178">
        <f t="shared" si="40"/>
        <v>-3</v>
      </c>
      <c r="AH97" s="178">
        <f t="shared" si="41"/>
        <v>3</v>
      </c>
      <c r="AI97" s="227">
        <f t="shared" si="42"/>
        <v>-2.073879762696897</v>
      </c>
      <c r="AJ97" s="267" t="b">
        <f t="shared" si="43"/>
        <v>0</v>
      </c>
      <c r="AK97" s="267" t="b">
        <f t="shared" si="44"/>
        <v>0</v>
      </c>
      <c r="AL97" s="267"/>
      <c r="AM97" s="267"/>
      <c r="AN97" s="75"/>
    </row>
    <row r="98" spans="1:40" s="6" customFormat="1" ht="11.25" x14ac:dyDescent="0.2">
      <c r="A98" s="56">
        <f t="shared" si="45"/>
        <v>43549</v>
      </c>
      <c r="B98" s="618">
        <v>37.497</v>
      </c>
      <c r="C98" s="392"/>
      <c r="D98" s="395">
        <f t="shared" si="24"/>
        <v>37.703504905758365</v>
      </c>
      <c r="E98" s="387">
        <f t="shared" si="46"/>
        <v>39.603174596556215</v>
      </c>
      <c r="F98" s="387">
        <f t="shared" si="25"/>
        <v>39.648761399569537</v>
      </c>
      <c r="G98" s="110">
        <f t="shared" si="47"/>
        <v>0.81100709833580786</v>
      </c>
      <c r="H98" s="414" t="b">
        <f>Wh_hp&gt;='2018'!Maxi_hp</f>
        <v>1</v>
      </c>
      <c r="I98" s="392">
        <f>IF(H98,Wh_hp,'2018'!Maxi_hp)</f>
        <v>39.648761399569537</v>
      </c>
      <c r="J98" s="85">
        <f>IF(H98,An,'2018'!An_max)</f>
        <v>2019</v>
      </c>
      <c r="K98" s="199">
        <f t="shared" si="26"/>
        <v>43549</v>
      </c>
      <c r="L98" s="147">
        <f>IF(t&lt;Tvie,1-EXP((T0-t)*PertePVj)+'2018'!Pspv,1-EXP((T0-t)*PertePVj)+Pspv)</f>
        <v>5.477074512688751E-3</v>
      </c>
      <c r="M98" s="870"/>
      <c r="N98" s="870"/>
      <c r="O98" s="48">
        <f>IF(t&lt;Tnet,'2018'!Resal+('2018'!Salim-'2018'!Resal)*(1-EXP(('2018'!Tnet-t)/('2018'!Tau_j))),Resal+(Salim-Resal)*(1-EXP((Tnet-t)/(Tau_j))))*Salcycl</f>
        <v>4.7967611438983988E-2</v>
      </c>
      <c r="P98" s="171">
        <f>(INDEX(Models!$BJ98:$BT98,,T98)*(1-R98)+INDEX(Models!$BJ98:$BT98,,T98+1)*R98-ERP_i)*Q98*Ramure*Pc/MaxiM</f>
        <v>1.573938982050743E-3</v>
      </c>
      <c r="Q98" s="307">
        <f t="shared" si="27"/>
        <v>1</v>
      </c>
      <c r="R98" s="179">
        <f t="shared" si="28"/>
        <v>0.92721987687244933</v>
      </c>
      <c r="S98" s="837">
        <f t="shared" si="29"/>
        <v>-3</v>
      </c>
      <c r="T98" s="178">
        <f t="shared" si="30"/>
        <v>3</v>
      </c>
      <c r="U98" s="253">
        <f t="shared" si="31"/>
        <v>-2.0727801231275507</v>
      </c>
      <c r="V98" s="385">
        <f t="shared" si="32"/>
        <v>46.215472785889482</v>
      </c>
      <c r="W98" s="58"/>
      <c r="X98" s="157">
        <f t="shared" si="33"/>
        <v>43549</v>
      </c>
      <c r="Y98" s="387">
        <f t="shared" si="34"/>
        <v>37.497</v>
      </c>
      <c r="Z98" s="387">
        <f t="shared" si="35"/>
        <v>37.703504905758365</v>
      </c>
      <c r="AA98" s="388">
        <f t="shared" si="36"/>
        <v>39.603174596556215</v>
      </c>
      <c r="AB98" s="199">
        <f t="shared" si="37"/>
        <v>43549</v>
      </c>
      <c r="AC98" s="426">
        <f>IF(OR(t&lt;Tnet,NoTnet),'2018'!Resal_s+('2018'!Salim-'2018'!Resal_s)*(1-EXP(('2018'!Tnet_s-t)/'2018'!Tau_j)),Resal_s+(Salim-Resal_s)*(1-EXP((Tnet_s-t)/Tau_j)))*Salcycl</f>
        <v>4.7967611438983988E-2</v>
      </c>
      <c r="AD98" s="233">
        <f>(INDEX(Models!$BJ98:$BT98,,AH98)*(1-AF98)+INDEX(Models!$BJ98:$BT98,,AH98+1)*AF98-ERP_i)*AE98*Ramure*Pc/MaxiM</f>
        <v>1.573938982050743E-3</v>
      </c>
      <c r="AE98" s="307">
        <f t="shared" si="38"/>
        <v>1</v>
      </c>
      <c r="AF98" s="179">
        <f t="shared" si="39"/>
        <v>0.92721987687244933</v>
      </c>
      <c r="AG98" s="178">
        <f t="shared" si="40"/>
        <v>-3</v>
      </c>
      <c r="AH98" s="178">
        <f t="shared" si="41"/>
        <v>3</v>
      </c>
      <c r="AI98" s="227">
        <f t="shared" si="42"/>
        <v>-2.0727801231275507</v>
      </c>
      <c r="AJ98" s="267" t="b">
        <f t="shared" si="43"/>
        <v>0</v>
      </c>
      <c r="AK98" s="267" t="b">
        <f t="shared" si="44"/>
        <v>0</v>
      </c>
      <c r="AL98" s="267"/>
      <c r="AM98" s="267"/>
      <c r="AN98" s="75"/>
    </row>
    <row r="99" spans="1:40" s="6" customFormat="1" ht="11.25" x14ac:dyDescent="0.2">
      <c r="A99" s="56">
        <f t="shared" si="45"/>
        <v>43550</v>
      </c>
      <c r="B99" s="618">
        <v>47.16</v>
      </c>
      <c r="C99" s="392"/>
      <c r="D99" s="395">
        <f t="shared" si="24"/>
        <v>47.420824899062261</v>
      </c>
      <c r="E99" s="387">
        <f t="shared" si="46"/>
        <v>49.819839598289853</v>
      </c>
      <c r="F99" s="387">
        <f t="shared" si="25"/>
        <v>49.897175948996292</v>
      </c>
      <c r="G99" s="110">
        <f t="shared" si="47"/>
        <v>1.0111358078634936</v>
      </c>
      <c r="H99" s="414" t="b">
        <f>Wh_hp&gt;='2018'!Maxi_hp</f>
        <v>1</v>
      </c>
      <c r="I99" s="392">
        <f>IF(H99,Wh_hp,'2018'!Maxi_hp)</f>
        <v>49.897175948996292</v>
      </c>
      <c r="J99" s="85">
        <f>IF(H99,An,'2018'!An_max)</f>
        <v>2019</v>
      </c>
      <c r="K99" s="199">
        <f t="shared" si="26"/>
        <v>43550</v>
      </c>
      <c r="L99" s="147">
        <f>IF(t&lt;Tvie,1-EXP((T0-t)*PertePVj)+'2018'!Pspv,1-EXP((T0-t)*PertePVj)+Pspv)</f>
        <v>5.5002185140693438E-3</v>
      </c>
      <c r="M99" s="870"/>
      <c r="N99" s="870"/>
      <c r="O99" s="48">
        <f>IF(t&lt;Tnet,'2018'!Resal+('2018'!Salim-'2018'!Resal)*(1-EXP(('2018'!Tnet-t)/('2018'!Tau_j))),Resal+(Salim-Resal)*(1-EXP((Tnet-t)/(Tau_j))))*Salcycl</f>
        <v>4.8153802151340977E-2</v>
      </c>
      <c r="P99" s="171">
        <f>(INDEX(Models!$BJ99:$BT99,,T99)*(1-R99)+INDEX(Models!$BJ99:$BT99,,T99+1)*R99-ERP_i)*Q99*Ramure*Pc/MaxiM</f>
        <v>1.5499143836414952E-3</v>
      </c>
      <c r="Q99" s="307">
        <f t="shared" si="27"/>
        <v>1</v>
      </c>
      <c r="R99" s="179">
        <f t="shared" si="28"/>
        <v>0.92836183727441446</v>
      </c>
      <c r="S99" s="837">
        <f t="shared" si="29"/>
        <v>-3</v>
      </c>
      <c r="T99" s="178">
        <f t="shared" si="30"/>
        <v>3</v>
      </c>
      <c r="U99" s="253">
        <f t="shared" si="31"/>
        <v>-2.0716381627255855</v>
      </c>
      <c r="V99" s="385">
        <f t="shared" si="32"/>
        <v>46.640619027871217</v>
      </c>
      <c r="W99" s="58"/>
      <c r="X99" s="157">
        <f t="shared" si="33"/>
        <v>43550</v>
      </c>
      <c r="Y99" s="387">
        <f t="shared" si="34"/>
        <v>47.16</v>
      </c>
      <c r="Z99" s="387">
        <f t="shared" si="35"/>
        <v>47.420824899062261</v>
      </c>
      <c r="AA99" s="388">
        <f t="shared" si="36"/>
        <v>49.819839598289853</v>
      </c>
      <c r="AB99" s="199">
        <f t="shared" si="37"/>
        <v>43550</v>
      </c>
      <c r="AC99" s="426">
        <f>IF(OR(t&lt;Tnet,NoTnet),'2018'!Resal_s+('2018'!Salim-'2018'!Resal_s)*(1-EXP(('2018'!Tnet_s-t)/'2018'!Tau_j)),Resal_s+(Salim-Resal_s)*(1-EXP((Tnet_s-t)/Tau_j)))*Salcycl</f>
        <v>4.8153802151340977E-2</v>
      </c>
      <c r="AD99" s="233">
        <f>(INDEX(Models!$BJ99:$BT99,,AH99)*(1-AF99)+INDEX(Models!$BJ99:$BT99,,AH99+1)*AF99-ERP_i)*AE99*Ramure*Pc/MaxiM</f>
        <v>1.5499143836414952E-3</v>
      </c>
      <c r="AE99" s="307">
        <f t="shared" si="38"/>
        <v>1</v>
      </c>
      <c r="AF99" s="179">
        <f t="shared" si="39"/>
        <v>0.92836183727441446</v>
      </c>
      <c r="AG99" s="178">
        <f t="shared" si="40"/>
        <v>-3</v>
      </c>
      <c r="AH99" s="178">
        <f t="shared" si="41"/>
        <v>3</v>
      </c>
      <c r="AI99" s="227">
        <f t="shared" si="42"/>
        <v>-2.0716381627255855</v>
      </c>
      <c r="AJ99" s="267" t="b">
        <f t="shared" si="43"/>
        <v>0</v>
      </c>
      <c r="AK99" s="267" t="b">
        <f t="shared" si="44"/>
        <v>0</v>
      </c>
      <c r="AL99" s="267"/>
      <c r="AM99" s="267"/>
      <c r="AN99" s="75"/>
    </row>
    <row r="100" spans="1:40" s="6" customFormat="1" ht="11.25" x14ac:dyDescent="0.2">
      <c r="A100" s="56">
        <f t="shared" si="45"/>
        <v>43551</v>
      </c>
      <c r="B100" s="618">
        <v>46.514000000000003</v>
      </c>
      <c r="C100" s="392"/>
      <c r="D100" s="395">
        <f t="shared" si="24"/>
        <v>46.772340567458826</v>
      </c>
      <c r="E100" s="387">
        <f t="shared" si="46"/>
        <v>49.148191984939992</v>
      </c>
      <c r="F100" s="387">
        <f t="shared" si="25"/>
        <v>49.221953168491268</v>
      </c>
      <c r="G100" s="110">
        <f t="shared" si="47"/>
        <v>0.98831660687737721</v>
      </c>
      <c r="H100" s="414" t="b">
        <f>Wh_hp&gt;='2018'!Maxi_hp</f>
        <v>1</v>
      </c>
      <c r="I100" s="392">
        <f>IF(H100,Wh_hp,'2018'!Maxi_hp)</f>
        <v>49.221953168491268</v>
      </c>
      <c r="J100" s="85">
        <f>IF(H100,An,'2018'!An_max)</f>
        <v>2019</v>
      </c>
      <c r="K100" s="199">
        <f t="shared" si="26"/>
        <v>43551</v>
      </c>
      <c r="L100" s="147">
        <f>IF(t&lt;Tvie,1-EXP((T0-t)*PertePVj)+'2018'!Pspv,1-EXP((T0-t)*PertePVj)+Pspv)</f>
        <v>5.5233619768552122E-3</v>
      </c>
      <c r="M100" s="870"/>
      <c r="N100" s="870"/>
      <c r="O100" s="48">
        <f>IF(t&lt;Tnet,'2018'!Resal+('2018'!Salim-'2018'!Resal)*(1-EXP(('2018'!Tnet-t)/('2018'!Tau_j))),Resal+(Salim-Resal)*(1-EXP((Tnet-t)/(Tau_j))))*Salcycl</f>
        <v>4.8340565980721603E-2</v>
      </c>
      <c r="P100" s="171">
        <f>(INDEX(Models!$BJ100:$BT100,,T100)*(1-R100)+INDEX(Models!$BJ100:$BT100,,T100+1)*R100-ERP_i)*Q100*Ramure*Pc/MaxiM</f>
        <v>1.5239228303103914E-3</v>
      </c>
      <c r="Q100" s="307">
        <f t="shared" si="27"/>
        <v>1</v>
      </c>
      <c r="R100" s="179">
        <f t="shared" si="28"/>
        <v>0.92954758850956498</v>
      </c>
      <c r="S100" s="837">
        <f t="shared" si="29"/>
        <v>-3</v>
      </c>
      <c r="T100" s="178">
        <f t="shared" si="30"/>
        <v>3</v>
      </c>
      <c r="U100" s="253">
        <f t="shared" si="31"/>
        <v>-2.070452411490435</v>
      </c>
      <c r="V100" s="385">
        <f t="shared" si="32"/>
        <v>47.062669350061668</v>
      </c>
      <c r="W100" s="58"/>
      <c r="X100" s="157">
        <f t="shared" si="33"/>
        <v>43551</v>
      </c>
      <c r="Y100" s="387">
        <f t="shared" si="34"/>
        <v>46.514000000000003</v>
      </c>
      <c r="Z100" s="387">
        <f t="shared" si="35"/>
        <v>46.772340567458826</v>
      </c>
      <c r="AA100" s="388">
        <f t="shared" si="36"/>
        <v>49.148191984939992</v>
      </c>
      <c r="AB100" s="199">
        <f t="shared" si="37"/>
        <v>43551</v>
      </c>
      <c r="AC100" s="426">
        <f>IF(OR(t&lt;Tnet,NoTnet),'2018'!Resal_s+('2018'!Salim-'2018'!Resal_s)*(1-EXP(('2018'!Tnet_s-t)/'2018'!Tau_j)),Resal_s+(Salim-Resal_s)*(1-EXP((Tnet_s-t)/Tau_j)))*Salcycl</f>
        <v>4.8340565980721603E-2</v>
      </c>
      <c r="AD100" s="233">
        <f>(INDEX(Models!$BJ100:$BT100,,AH100)*(1-AF100)+INDEX(Models!$BJ100:$BT100,,AH100+1)*AF100-ERP_i)*AE100*Ramure*Pc/MaxiM</f>
        <v>1.5239228303103914E-3</v>
      </c>
      <c r="AE100" s="307">
        <f t="shared" si="38"/>
        <v>1</v>
      </c>
      <c r="AF100" s="179">
        <f t="shared" si="39"/>
        <v>0.92954758850956498</v>
      </c>
      <c r="AG100" s="178">
        <f t="shared" si="40"/>
        <v>-3</v>
      </c>
      <c r="AH100" s="178">
        <f t="shared" si="41"/>
        <v>3</v>
      </c>
      <c r="AI100" s="227">
        <f t="shared" si="42"/>
        <v>-2.070452411490435</v>
      </c>
      <c r="AJ100" s="267" t="b">
        <f t="shared" si="43"/>
        <v>0</v>
      </c>
      <c r="AK100" s="267" t="b">
        <f t="shared" si="44"/>
        <v>0</v>
      </c>
      <c r="AL100" s="267"/>
      <c r="AM100" s="267"/>
      <c r="AN100" s="75"/>
    </row>
    <row r="101" spans="1:40" s="6" customFormat="1" ht="11.25" x14ac:dyDescent="0.2">
      <c r="A101" s="56">
        <f t="shared" si="45"/>
        <v>43552</v>
      </c>
      <c r="B101" s="618">
        <v>45.658000000000001</v>
      </c>
      <c r="C101" s="392"/>
      <c r="D101" s="395">
        <f t="shared" si="24"/>
        <v>45.91265476467288</v>
      </c>
      <c r="E101" s="387">
        <f t="shared" si="46"/>
        <v>48.254338794146214</v>
      </c>
      <c r="F101" s="387">
        <f t="shared" si="25"/>
        <v>48.322720467668368</v>
      </c>
      <c r="G101" s="110">
        <f t="shared" si="47"/>
        <v>0.96153247598938074</v>
      </c>
      <c r="H101" s="414" t="b">
        <f>Wh_hp&gt;='2018'!Maxi_hp</f>
        <v>1</v>
      </c>
      <c r="I101" s="392">
        <f>IF(H101,Wh_hp,'2018'!Maxi_hp)</f>
        <v>48.322720467668368</v>
      </c>
      <c r="J101" s="85">
        <f>IF(H101,An,'2018'!An_max)</f>
        <v>2019</v>
      </c>
      <c r="K101" s="199">
        <f t="shared" si="26"/>
        <v>43552</v>
      </c>
      <c r="L101" s="147">
        <f>IF(t&lt;Tvie,1-EXP((T0-t)*PertePVj)+'2018'!Pspv,1-EXP((T0-t)*PertePVj)+Pspv)</f>
        <v>5.5465049010587908E-3</v>
      </c>
      <c r="M101" s="870"/>
      <c r="N101" s="870"/>
      <c r="O101" s="48">
        <f>IF(t&lt;Tnet,'2018'!Resal+('2018'!Salim-'2018'!Resal)*(1-EXP(('2018'!Tnet-t)/('2018'!Tau_j))),Resal+(Salim-Resal)*(1-EXP((Tnet-t)/(Tau_j))))*Salcycl</f>
        <v>4.8527947703583665E-2</v>
      </c>
      <c r="P101" s="171">
        <f>(INDEX(Models!$BJ101:$BT101,,T101)*(1-R101)+INDEX(Models!$BJ101:$BT101,,T101+1)*R101-ERP_i)*Q101*Ramure*Pc/MaxiM</f>
        <v>1.4972120533215745E-3</v>
      </c>
      <c r="Q101" s="307">
        <f t="shared" si="27"/>
        <v>1</v>
      </c>
      <c r="R101" s="179">
        <f t="shared" si="28"/>
        <v>0.93077863867909461</v>
      </c>
      <c r="S101" s="837">
        <f t="shared" si="29"/>
        <v>-3</v>
      </c>
      <c r="T101" s="178">
        <f t="shared" si="30"/>
        <v>3</v>
      </c>
      <c r="U101" s="253">
        <f t="shared" si="31"/>
        <v>-2.0692213613209054</v>
      </c>
      <c r="V101" s="385">
        <f t="shared" si="32"/>
        <v>47.480711194405565</v>
      </c>
      <c r="W101" s="58"/>
      <c r="X101" s="157">
        <f t="shared" si="33"/>
        <v>43552</v>
      </c>
      <c r="Y101" s="387">
        <f t="shared" si="34"/>
        <v>45.658000000000001</v>
      </c>
      <c r="Z101" s="387">
        <f t="shared" si="35"/>
        <v>45.91265476467288</v>
      </c>
      <c r="AA101" s="388">
        <f t="shared" si="36"/>
        <v>48.254338794146214</v>
      </c>
      <c r="AB101" s="199">
        <f t="shared" si="37"/>
        <v>43552</v>
      </c>
      <c r="AC101" s="426">
        <f>IF(OR(t&lt;Tnet,NoTnet),'2018'!Resal_s+('2018'!Salim-'2018'!Resal_s)*(1-EXP(('2018'!Tnet_s-t)/'2018'!Tau_j)),Resal_s+(Salim-Resal_s)*(1-EXP((Tnet_s-t)/Tau_j)))*Salcycl</f>
        <v>4.8527947703583665E-2</v>
      </c>
      <c r="AD101" s="233">
        <f>(INDEX(Models!$BJ101:$BT101,,AH101)*(1-AF101)+INDEX(Models!$BJ101:$BT101,,AH101+1)*AF101-ERP_i)*AE101*Ramure*Pc/MaxiM</f>
        <v>1.4972120533215745E-3</v>
      </c>
      <c r="AE101" s="307">
        <f t="shared" si="38"/>
        <v>1</v>
      </c>
      <c r="AF101" s="179">
        <f t="shared" si="39"/>
        <v>0.93077863867909461</v>
      </c>
      <c r="AG101" s="178">
        <f t="shared" si="40"/>
        <v>-3</v>
      </c>
      <c r="AH101" s="178">
        <f t="shared" si="41"/>
        <v>3</v>
      </c>
      <c r="AI101" s="227">
        <f t="shared" si="42"/>
        <v>-2.0692213613209054</v>
      </c>
      <c r="AJ101" s="267" t="b">
        <f t="shared" si="43"/>
        <v>0</v>
      </c>
      <c r="AK101" s="267" t="b">
        <f t="shared" si="44"/>
        <v>0</v>
      </c>
      <c r="AL101" s="267"/>
      <c r="AM101" s="267"/>
      <c r="AN101" s="75"/>
    </row>
    <row r="102" spans="1:40" s="6" customFormat="1" ht="11.25" x14ac:dyDescent="0.2">
      <c r="A102" s="56">
        <f t="shared" si="45"/>
        <v>43553</v>
      </c>
      <c r="B102" s="618">
        <v>46.591999999999999</v>
      </c>
      <c r="C102" s="392"/>
      <c r="D102" s="395">
        <f t="shared" si="24"/>
        <v>46.852954430517471</v>
      </c>
      <c r="E102" s="387">
        <f t="shared" si="46"/>
        <v>49.252330587356163</v>
      </c>
      <c r="F102" s="387">
        <f t="shared" si="25"/>
        <v>49.322009651301471</v>
      </c>
      <c r="G102" s="110">
        <f t="shared" si="47"/>
        <v>0.97276162183446924</v>
      </c>
      <c r="H102" s="414" t="b">
        <f>Wh_hp&gt;='2018'!Maxi_hp</f>
        <v>1</v>
      </c>
      <c r="I102" s="392">
        <f>IF(H102,Wh_hp,'2018'!Maxi_hp)</f>
        <v>49.322009651301471</v>
      </c>
      <c r="J102" s="85">
        <f>IF(H102,An,'2018'!An_max)</f>
        <v>2019</v>
      </c>
      <c r="K102" s="199">
        <f t="shared" si="26"/>
        <v>43553</v>
      </c>
      <c r="L102" s="147">
        <f>IF(t&lt;Tvie,1-EXP((T0-t)*PertePVj)+'2018'!Pspv,1-EXP((T0-t)*PertePVj)+Pspv)</f>
        <v>5.569647286692847E-3</v>
      </c>
      <c r="M102" s="870"/>
      <c r="N102" s="870"/>
      <c r="O102" s="48">
        <f>IF(t&lt;Tnet,'2018'!Resal+('2018'!Salim-'2018'!Resal)*(1-EXP(('2018'!Tnet-t)/('2018'!Tau_j))),Resal+(Salim-Resal)*(1-EXP((Tnet-t)/(Tau_j))))*Salcycl</f>
        <v>4.8715992283513289E-2</v>
      </c>
      <c r="P102" s="171">
        <f>(INDEX(Models!$BJ102:$BT102,,T102)*(1-R102)+INDEX(Models!$BJ102:$BT102,,T102+1)*R102-ERP_i)*Q102*Ramure*Pc/MaxiM</f>
        <v>1.4698143468878113E-3</v>
      </c>
      <c r="Q102" s="307">
        <f t="shared" si="27"/>
        <v>1</v>
      </c>
      <c r="R102" s="179">
        <f t="shared" si="28"/>
        <v>0.93205653387723553</v>
      </c>
      <c r="S102" s="837">
        <f t="shared" si="29"/>
        <v>-3</v>
      </c>
      <c r="T102" s="178">
        <f t="shared" si="30"/>
        <v>3</v>
      </c>
      <c r="U102" s="253">
        <f t="shared" si="31"/>
        <v>-2.0679434661227645</v>
      </c>
      <c r="V102" s="385">
        <f t="shared" si="32"/>
        <v>47.89388877839378</v>
      </c>
      <c r="W102" s="58"/>
      <c r="X102" s="157">
        <f t="shared" si="33"/>
        <v>43553</v>
      </c>
      <c r="Y102" s="387">
        <f t="shared" si="34"/>
        <v>46.591999999999999</v>
      </c>
      <c r="Z102" s="387">
        <f t="shared" si="35"/>
        <v>46.852954430517471</v>
      </c>
      <c r="AA102" s="388">
        <f t="shared" si="36"/>
        <v>49.252330587356163</v>
      </c>
      <c r="AB102" s="199">
        <f t="shared" si="37"/>
        <v>43553</v>
      </c>
      <c r="AC102" s="426">
        <f>IF(OR(t&lt;Tnet,NoTnet),'2018'!Resal_s+('2018'!Salim-'2018'!Resal_s)*(1-EXP(('2018'!Tnet_s-t)/'2018'!Tau_j)),Resal_s+(Salim-Resal_s)*(1-EXP((Tnet_s-t)/Tau_j)))*Salcycl</f>
        <v>4.8715992283513289E-2</v>
      </c>
      <c r="AD102" s="233">
        <f>(INDEX(Models!$BJ102:$BT102,,AH102)*(1-AF102)+INDEX(Models!$BJ102:$BT102,,AH102+1)*AF102-ERP_i)*AE102*Ramure*Pc/MaxiM</f>
        <v>1.4698143468878113E-3</v>
      </c>
      <c r="AE102" s="307">
        <f t="shared" si="38"/>
        <v>1</v>
      </c>
      <c r="AF102" s="179">
        <f t="shared" si="39"/>
        <v>0.93205653387723553</v>
      </c>
      <c r="AG102" s="178">
        <f t="shared" si="40"/>
        <v>-3</v>
      </c>
      <c r="AH102" s="178">
        <f t="shared" si="41"/>
        <v>3</v>
      </c>
      <c r="AI102" s="227">
        <f t="shared" si="42"/>
        <v>-2.0679434661227645</v>
      </c>
      <c r="AJ102" s="267" t="b">
        <f t="shared" si="43"/>
        <v>0</v>
      </c>
      <c r="AK102" s="267" t="b">
        <f t="shared" si="44"/>
        <v>0</v>
      </c>
      <c r="AL102" s="267"/>
      <c r="AM102" s="267"/>
      <c r="AN102" s="75"/>
    </row>
    <row r="103" spans="1:40" s="6" customFormat="1" ht="11.25" x14ac:dyDescent="0.2">
      <c r="A103" s="56">
        <f t="shared" si="45"/>
        <v>43554</v>
      </c>
      <c r="B103" s="618">
        <v>47.651000000000003</v>
      </c>
      <c r="C103" s="392"/>
      <c r="D103" s="395">
        <f t="shared" si="24"/>
        <v>47.919000867352032</v>
      </c>
      <c r="E103" s="387">
        <f t="shared" si="46"/>
        <v>50.38296700973882</v>
      </c>
      <c r="F103" s="387">
        <f t="shared" si="25"/>
        <v>50.454310720909646</v>
      </c>
      <c r="G103" s="110">
        <f t="shared" si="47"/>
        <v>0.98650823625085127</v>
      </c>
      <c r="H103" s="414" t="b">
        <f>Wh_hp&gt;='2018'!Maxi_hp</f>
        <v>1</v>
      </c>
      <c r="I103" s="392">
        <f>IF(H103,Wh_hp,'2018'!Maxi_hp)</f>
        <v>50.454310720909646</v>
      </c>
      <c r="J103" s="85">
        <f>IF(H103,An,'2018'!An_max)</f>
        <v>2019</v>
      </c>
      <c r="K103" s="199">
        <f t="shared" si="26"/>
        <v>43554</v>
      </c>
      <c r="L103" s="147">
        <f>IF(t&lt;Tvie,1-EXP((T0-t)*PertePVj)+'2018'!Pspv,1-EXP((T0-t)*PertePVj)+Pspv)</f>
        <v>5.5927891337697044E-3</v>
      </c>
      <c r="M103" s="870"/>
      <c r="N103" s="870"/>
      <c r="O103" s="48">
        <f>IF(t&lt;Tnet,'2018'!Resal+('2018'!Salim-'2018'!Resal)*(1-EXP(('2018'!Tnet-t)/('2018'!Tau_j))),Resal+(Salim-Resal)*(1-EXP((Tnet-t)/(Tau_j))))*Salcycl</f>
        <v>4.890474477040048E-2</v>
      </c>
      <c r="P103" s="171">
        <f>(INDEX(Models!$BJ103:$BT103,,T103)*(1-R103)+INDEX(Models!$BJ103:$BT103,,T103+1)*R103-ERP_i)*Q103*Ramure*Pc/MaxiM</f>
        <v>1.4417580197331286E-3</v>
      </c>
      <c r="Q103" s="307">
        <f t="shared" si="27"/>
        <v>1</v>
      </c>
      <c r="R103" s="179">
        <f t="shared" si="28"/>
        <v>0.93338285796950116</v>
      </c>
      <c r="S103" s="837">
        <f t="shared" si="29"/>
        <v>-3</v>
      </c>
      <c r="T103" s="178">
        <f t="shared" si="30"/>
        <v>3</v>
      </c>
      <c r="U103" s="253">
        <f t="shared" si="31"/>
        <v>-2.0666171420304988</v>
      </c>
      <c r="V103" s="385">
        <f t="shared" si="32"/>
        <v>48.30134703707742</v>
      </c>
      <c r="W103" s="58"/>
      <c r="X103" s="157">
        <f t="shared" si="33"/>
        <v>43554</v>
      </c>
      <c r="Y103" s="387">
        <f t="shared" si="34"/>
        <v>47.651000000000003</v>
      </c>
      <c r="Z103" s="387">
        <f t="shared" si="35"/>
        <v>47.919000867352032</v>
      </c>
      <c r="AA103" s="388">
        <f t="shared" si="36"/>
        <v>50.38296700973882</v>
      </c>
      <c r="AB103" s="199">
        <f t="shared" si="37"/>
        <v>43554</v>
      </c>
      <c r="AC103" s="426">
        <f>IF(OR(t&lt;Tnet,NoTnet),'2018'!Resal_s+('2018'!Salim-'2018'!Resal_s)*(1-EXP(('2018'!Tnet_s-t)/'2018'!Tau_j)),Resal_s+(Salim-Resal_s)*(1-EXP((Tnet_s-t)/Tau_j)))*Salcycl</f>
        <v>4.890474477040048E-2</v>
      </c>
      <c r="AD103" s="233">
        <f>(INDEX(Models!$BJ103:$BT103,,AH103)*(1-AF103)+INDEX(Models!$BJ103:$BT103,,AH103+1)*AF103-ERP_i)*AE103*Ramure*Pc/MaxiM</f>
        <v>1.4417580197331286E-3</v>
      </c>
      <c r="AE103" s="307">
        <f t="shared" si="38"/>
        <v>1</v>
      </c>
      <c r="AF103" s="179">
        <f t="shared" si="39"/>
        <v>0.93338285796950116</v>
      </c>
      <c r="AG103" s="178">
        <f t="shared" si="40"/>
        <v>-3</v>
      </c>
      <c r="AH103" s="178">
        <f t="shared" si="41"/>
        <v>3</v>
      </c>
      <c r="AI103" s="227">
        <f t="shared" si="42"/>
        <v>-2.0666171420304988</v>
      </c>
      <c r="AJ103" s="267" t="b">
        <f t="shared" si="43"/>
        <v>0</v>
      </c>
      <c r="AK103" s="267" t="b">
        <f t="shared" si="44"/>
        <v>0</v>
      </c>
      <c r="AL103" s="267"/>
      <c r="AM103" s="267"/>
      <c r="AN103" s="75"/>
    </row>
    <row r="104" spans="1:40" s="6" customFormat="1" ht="11.25" x14ac:dyDescent="0.2">
      <c r="A104" s="56">
        <f t="shared" si="45"/>
        <v>43555</v>
      </c>
      <c r="B104" s="618">
        <v>40.491999999999997</v>
      </c>
      <c r="C104" s="392"/>
      <c r="D104" s="395">
        <f t="shared" si="24"/>
        <v>40.720684531894037</v>
      </c>
      <c r="E104" s="387">
        <f t="shared" si="46"/>
        <v>42.823050066257544</v>
      </c>
      <c r="F104" s="387">
        <f t="shared" si="25"/>
        <v>42.869038257647006</v>
      </c>
      <c r="G104" s="110">
        <f t="shared" si="47"/>
        <v>0.8311365643787646</v>
      </c>
      <c r="H104" s="414" t="b">
        <f>Wh_hp&gt;='2018'!Maxi_hp</f>
        <v>1</v>
      </c>
      <c r="I104" s="392">
        <f>IF(H104,Wh_hp,'2018'!Maxi_hp)</f>
        <v>42.869038257647006</v>
      </c>
      <c r="J104" s="85">
        <f>IF(H104,An,'2018'!An_max)</f>
        <v>2019</v>
      </c>
      <c r="K104" s="199">
        <f t="shared" si="26"/>
        <v>43555</v>
      </c>
      <c r="L104" s="147">
        <f>IF(t&lt;Tvie,1-EXP((T0-t)*PertePVj)+'2018'!Pspv,1-EXP((T0-t)*PertePVj)+Pspv)</f>
        <v>5.6159304423020195E-3</v>
      </c>
      <c r="M104" s="870"/>
      <c r="N104" s="870"/>
      <c r="O104" s="48">
        <f>IF(t&lt;Tnet,'2018'!Resal+('2018'!Salim-'2018'!Resal)*(1-EXP(('2018'!Tnet-t)/('2018'!Tau_j))),Resal+(Salim-Resal)*(1-EXP((Tnet-t)/(Tau_j))))*Salcycl</f>
        <v>4.9094250201950587E-2</v>
      </c>
      <c r="P104" s="171">
        <f>(INDEX(Models!$BJ104:$BT104,,T104)*(1-R104)+INDEX(Models!$BJ104:$BT104,,T104+1)*R104-ERP_i)*Q104*Ramure*Pc/MaxiM</f>
        <v>1.4130674504538386E-3</v>
      </c>
      <c r="Q104" s="307">
        <f t="shared" si="27"/>
        <v>1</v>
      </c>
      <c r="R104" s="179">
        <f t="shared" si="28"/>
        <v>0.93475923224663138</v>
      </c>
      <c r="S104" s="837">
        <f t="shared" si="29"/>
        <v>-3</v>
      </c>
      <c r="T104" s="178">
        <f t="shared" si="30"/>
        <v>3</v>
      </c>
      <c r="U104" s="253">
        <f t="shared" si="31"/>
        <v>-2.0652407677533686</v>
      </c>
      <c r="V104" s="385">
        <f t="shared" si="32"/>
        <v>48.702231629717971</v>
      </c>
      <c r="W104" s="58"/>
      <c r="X104" s="157">
        <f t="shared" si="33"/>
        <v>43555</v>
      </c>
      <c r="Y104" s="387">
        <f t="shared" si="34"/>
        <v>40.491999999999997</v>
      </c>
      <c r="Z104" s="387">
        <f t="shared" si="35"/>
        <v>40.720684531894037</v>
      </c>
      <c r="AA104" s="388">
        <f t="shared" si="36"/>
        <v>42.823050066257544</v>
      </c>
      <c r="AB104" s="199">
        <f t="shared" si="37"/>
        <v>43555</v>
      </c>
      <c r="AC104" s="426">
        <f>IF(OR(t&lt;Tnet,NoTnet),'2018'!Resal_s+('2018'!Salim-'2018'!Resal_s)*(1-EXP(('2018'!Tnet_s-t)/'2018'!Tau_j)),Resal_s+(Salim-Resal_s)*(1-EXP((Tnet_s-t)/Tau_j)))*Salcycl</f>
        <v>4.9094250201950587E-2</v>
      </c>
      <c r="AD104" s="233">
        <f>(INDEX(Models!$BJ104:$BT104,,AH104)*(1-AF104)+INDEX(Models!$BJ104:$BT104,,AH104+1)*AF104-ERP_i)*AE104*Ramure*Pc/MaxiM</f>
        <v>1.4130674504538386E-3</v>
      </c>
      <c r="AE104" s="307">
        <f t="shared" si="38"/>
        <v>1</v>
      </c>
      <c r="AF104" s="179">
        <f t="shared" si="39"/>
        <v>0.93475923224663138</v>
      </c>
      <c r="AG104" s="178">
        <f t="shared" si="40"/>
        <v>-3</v>
      </c>
      <c r="AH104" s="178">
        <f t="shared" si="41"/>
        <v>3</v>
      </c>
      <c r="AI104" s="227">
        <f t="shared" si="42"/>
        <v>-2.0652407677533686</v>
      </c>
      <c r="AJ104" s="267" t="b">
        <f t="shared" si="43"/>
        <v>0</v>
      </c>
      <c r="AK104" s="267" t="b">
        <f t="shared" si="44"/>
        <v>0</v>
      </c>
      <c r="AL104" s="267"/>
      <c r="AM104" s="267"/>
      <c r="AN104" s="75"/>
    </row>
    <row r="105" spans="1:40" s="6" customFormat="1" ht="11.25" customHeight="1" x14ac:dyDescent="0.2">
      <c r="A105" s="56">
        <f t="shared" si="45"/>
        <v>43556</v>
      </c>
      <c r="B105" s="618">
        <v>43.51</v>
      </c>
      <c r="C105" s="392"/>
      <c r="D105" s="395">
        <f t="shared" si="24"/>
        <v>43.75674741469016</v>
      </c>
      <c r="E105" s="387">
        <f t="shared" si="46"/>
        <v>46.025072566273664</v>
      </c>
      <c r="F105" s="387">
        <f t="shared" si="25"/>
        <v>46.078471025322983</v>
      </c>
      <c r="G105" s="110">
        <f t="shared" si="47"/>
        <v>0.88602897708854289</v>
      </c>
      <c r="H105" s="414" t="b">
        <f>Wh_hp&gt;='2018'!Maxi_hp</f>
        <v>1</v>
      </c>
      <c r="I105" s="392">
        <f>IF(H105,Wh_hp,'2018'!Maxi_hp)</f>
        <v>46.078471025322983</v>
      </c>
      <c r="J105" s="85">
        <f>IF(H105,An,'2018'!An_max)</f>
        <v>2019</v>
      </c>
      <c r="K105" s="199">
        <f t="shared" si="26"/>
        <v>43556</v>
      </c>
      <c r="L105" s="147">
        <f>IF(t&lt;Tvie,1-EXP((T0-t)*PertePVj)+'2018'!Pspv,1-EXP((T0-t)*PertePVj)+Pspv)</f>
        <v>5.6390712123022269E-3</v>
      </c>
      <c r="M105" s="870"/>
      <c r="N105" s="870"/>
      <c r="O105" s="48">
        <f>IF(t&lt;Tnet,'2018'!Resal+('2018'!Salim-'2018'!Resal)*(1-EXP(('2018'!Tnet-t)/('2018'!Tau_j))),Resal+(Salim-Resal)*(1-EXP((Tnet-t)/(Tau_j))))*Salcycl</f>
        <v>4.9284553507595925E-2</v>
      </c>
      <c r="P105" s="171">
        <f>(INDEX(Models!$BJ105:$BT105,,T105)*(1-R105)+INDEX(Models!$BJ105:$BT105,,T105+1)*R105-ERP_i)*Q105*Ramure*Pc/MaxiM</f>
        <v>1.3837631408221539E-3</v>
      </c>
      <c r="Q105" s="307">
        <f t="shared" si="27"/>
        <v>1</v>
      </c>
      <c r="R105" s="179">
        <f t="shared" si="28"/>
        <v>0.93618731494363061</v>
      </c>
      <c r="S105" s="837">
        <f t="shared" si="29"/>
        <v>-3</v>
      </c>
      <c r="T105" s="178">
        <f t="shared" si="30"/>
        <v>3</v>
      </c>
      <c r="U105" s="253">
        <f t="shared" si="31"/>
        <v>-2.0638126850563694</v>
      </c>
      <c r="V105" s="385">
        <f t="shared" si="32"/>
        <v>49.095688967481969</v>
      </c>
      <c r="W105" s="58"/>
      <c r="X105" s="157">
        <f t="shared" si="33"/>
        <v>43556</v>
      </c>
      <c r="Y105" s="387">
        <f t="shared" si="34"/>
        <v>43.51</v>
      </c>
      <c r="Z105" s="387">
        <f t="shared" si="35"/>
        <v>43.75674741469016</v>
      </c>
      <c r="AA105" s="388">
        <f t="shared" si="36"/>
        <v>46.025072566273664</v>
      </c>
      <c r="AB105" s="199">
        <f t="shared" si="37"/>
        <v>43556</v>
      </c>
      <c r="AC105" s="426">
        <f>IF(OR(t&lt;Tnet,NoTnet),'2018'!Resal_s+('2018'!Salim-'2018'!Resal_s)*(1-EXP(('2018'!Tnet_s-t)/'2018'!Tau_j)),Resal_s+(Salim-Resal_s)*(1-EXP((Tnet_s-t)/Tau_j)))*Salcycl</f>
        <v>4.9284553507595925E-2</v>
      </c>
      <c r="AD105" s="233">
        <f>(INDEX(Models!$BJ105:$BT105,,AH105)*(1-AF105)+INDEX(Models!$BJ105:$BT105,,AH105+1)*AF105-ERP_i)*AE105*Ramure*Pc/MaxiM</f>
        <v>1.3837631408221539E-3</v>
      </c>
      <c r="AE105" s="307">
        <f t="shared" si="38"/>
        <v>1</v>
      </c>
      <c r="AF105" s="179">
        <f t="shared" si="39"/>
        <v>0.93618731494363061</v>
      </c>
      <c r="AG105" s="178">
        <f t="shared" si="40"/>
        <v>-3</v>
      </c>
      <c r="AH105" s="178">
        <f t="shared" si="41"/>
        <v>3</v>
      </c>
      <c r="AI105" s="227">
        <f t="shared" si="42"/>
        <v>-2.0638126850563694</v>
      </c>
      <c r="AJ105" s="267" t="b">
        <f t="shared" si="43"/>
        <v>0</v>
      </c>
      <c r="AK105" s="267" t="b">
        <f t="shared" si="44"/>
        <v>0</v>
      </c>
      <c r="AL105" s="267"/>
      <c r="AM105" s="267"/>
      <c r="AN105" s="75"/>
    </row>
    <row r="106" spans="1:40" s="6" customFormat="1" ht="11.25" customHeight="1" x14ac:dyDescent="0.2">
      <c r="A106" s="56">
        <f t="shared" si="45"/>
        <v>43557</v>
      </c>
      <c r="B106" s="618">
        <v>16.925999999999998</v>
      </c>
      <c r="C106" s="392"/>
      <c r="D106" s="395">
        <f t="shared" si="24"/>
        <v>17.022384339407061</v>
      </c>
      <c r="E106" s="387">
        <f t="shared" si="46"/>
        <v>17.908415733218781</v>
      </c>
      <c r="F106" s="387">
        <f t="shared" si="25"/>
        <v>17.909873063579916</v>
      </c>
      <c r="G106" s="110">
        <f t="shared" si="47"/>
        <v>0.34163629999441308</v>
      </c>
      <c r="H106" s="414" t="b">
        <f>Wh_hp&gt;='2018'!Maxi_hp</f>
        <v>1</v>
      </c>
      <c r="I106" s="392">
        <f>IF(H106,Wh_hp,'2018'!Maxi_hp)</f>
        <v>17.909873063579916</v>
      </c>
      <c r="J106" s="85">
        <f>IF(H106,An,'2018'!An_max)</f>
        <v>2019</v>
      </c>
      <c r="K106" s="199">
        <f t="shared" si="26"/>
        <v>43557</v>
      </c>
      <c r="L106" s="147">
        <f>IF(t&lt;Tvie,1-EXP((T0-t)*PertePVj)+'2018'!Pspv,1-EXP((T0-t)*PertePVj)+Pspv)</f>
        <v>5.6622114437829829E-3</v>
      </c>
      <c r="M106" s="870"/>
      <c r="N106" s="870"/>
      <c r="O106" s="48">
        <f>IF(t&lt;Tnet,'2018'!Resal+('2018'!Salim-'2018'!Resal)*(1-EXP(('2018'!Tnet-t)/('2018'!Tau_j))),Resal+(Salim-Resal)*(1-EXP((Tnet-t)/(Tau_j))))*Salcycl</f>
        <v>4.9475699414783893E-2</v>
      </c>
      <c r="P106" s="171">
        <f>(INDEX(Models!$BJ106:$BT106,,T106)*(1-R106)+INDEX(Models!$BJ106:$BT106,,T106+1)*R106-ERP_i)*Q106*Ramure*Pc/MaxiM</f>
        <v>1.3538617662422747E-3</v>
      </c>
      <c r="Q106" s="307">
        <f t="shared" si="27"/>
        <v>1</v>
      </c>
      <c r="R106" s="179">
        <f t="shared" si="28"/>
        <v>0.93766880061284574</v>
      </c>
      <c r="S106" s="837">
        <f t="shared" si="29"/>
        <v>-3</v>
      </c>
      <c r="T106" s="178">
        <f t="shared" si="30"/>
        <v>3</v>
      </c>
      <c r="U106" s="253">
        <f t="shared" si="31"/>
        <v>-2.0623311993871543</v>
      </c>
      <c r="V106" s="385">
        <f t="shared" si="32"/>
        <v>49.480866218553771</v>
      </c>
      <c r="W106" s="58"/>
      <c r="X106" s="157">
        <f t="shared" si="33"/>
        <v>43557</v>
      </c>
      <c r="Y106" s="387">
        <f t="shared" si="34"/>
        <v>16.925999999999998</v>
      </c>
      <c r="Z106" s="387">
        <f t="shared" si="35"/>
        <v>17.022384339407061</v>
      </c>
      <c r="AA106" s="388">
        <f t="shared" si="36"/>
        <v>17.908415733218781</v>
      </c>
      <c r="AB106" s="199">
        <f t="shared" si="37"/>
        <v>43557</v>
      </c>
      <c r="AC106" s="426">
        <f>IF(OR(t&lt;Tnet,NoTnet),'2018'!Resal_s+('2018'!Salim-'2018'!Resal_s)*(1-EXP(('2018'!Tnet_s-t)/'2018'!Tau_j)),Resal_s+(Salim-Resal_s)*(1-EXP((Tnet_s-t)/Tau_j)))*Salcycl</f>
        <v>4.9475699414783893E-2</v>
      </c>
      <c r="AD106" s="233">
        <f>(INDEX(Models!$BJ106:$BT106,,AH106)*(1-AF106)+INDEX(Models!$BJ106:$BT106,,AH106+1)*AF106-ERP_i)*AE106*Ramure*Pc/MaxiM</f>
        <v>1.3538617662422747E-3</v>
      </c>
      <c r="AE106" s="307">
        <f t="shared" si="38"/>
        <v>1</v>
      </c>
      <c r="AF106" s="179">
        <f t="shared" si="39"/>
        <v>0.93766880061284574</v>
      </c>
      <c r="AG106" s="178">
        <f t="shared" si="40"/>
        <v>-3</v>
      </c>
      <c r="AH106" s="178">
        <f t="shared" si="41"/>
        <v>3</v>
      </c>
      <c r="AI106" s="227">
        <f t="shared" si="42"/>
        <v>-2.0623311993871543</v>
      </c>
      <c r="AJ106" s="267" t="b">
        <f t="shared" si="43"/>
        <v>0</v>
      </c>
      <c r="AK106" s="267" t="b">
        <f t="shared" si="44"/>
        <v>0</v>
      </c>
      <c r="AL106" s="267"/>
      <c r="AM106" s="267"/>
      <c r="AN106" s="75"/>
    </row>
    <row r="107" spans="1:40" s="6" customFormat="1" ht="11.25" x14ac:dyDescent="0.2">
      <c r="A107" s="56">
        <f t="shared" si="45"/>
        <v>43558</v>
      </c>
      <c r="B107" s="618">
        <v>17.556000000000001</v>
      </c>
      <c r="C107" s="392"/>
      <c r="D107" s="395">
        <f t="shared" si="24"/>
        <v>17.656382735657182</v>
      </c>
      <c r="E107" s="387">
        <f t="shared" si="46"/>
        <v>18.579167872999012</v>
      </c>
      <c r="F107" s="387">
        <f t="shared" si="25"/>
        <v>18.580998212935199</v>
      </c>
      <c r="G107" s="110">
        <f t="shared" si="47"/>
        <v>0.35167641548976875</v>
      </c>
      <c r="H107" s="414" t="b">
        <f>Wh_hp&gt;='2018'!Maxi_hp</f>
        <v>1</v>
      </c>
      <c r="I107" s="392">
        <f>IF(H107,Wh_hp,'2018'!Maxi_hp)</f>
        <v>18.580998212935199</v>
      </c>
      <c r="J107" s="85">
        <f>IF(H107,An,'2018'!An_max)</f>
        <v>2019</v>
      </c>
      <c r="K107" s="199">
        <f t="shared" si="26"/>
        <v>43558</v>
      </c>
      <c r="L107" s="147">
        <f>IF(t&lt;Tvie,1-EXP((T0-t)*PertePVj)+'2018'!Pspv,1-EXP((T0-t)*PertePVj)+Pspv)</f>
        <v>5.6853511367567222E-3</v>
      </c>
      <c r="M107" s="870"/>
      <c r="N107" s="870"/>
      <c r="O107" s="48">
        <f>IF(t&lt;Tnet,'2018'!Resal+('2018'!Salim-'2018'!Resal)*(1-EXP(('2018'!Tnet-t)/('2018'!Tau_j))),Resal+(Salim-Resal)*(1-EXP((Tnet-t)/(Tau_j))))*Salcycl</f>
        <v>4.9667732357535244E-2</v>
      </c>
      <c r="P107" s="171">
        <f>(INDEX(Models!$BJ107:$BT107,,T107)*(1-R107)+INDEX(Models!$BJ107:$BT107,,T107+1)*R107-ERP_i)*Q107*Ramure*Pc/MaxiM</f>
        <v>1.3233011855475867E-3</v>
      </c>
      <c r="Q107" s="307">
        <f t="shared" si="27"/>
        <v>1</v>
      </c>
      <c r="R107" s="179">
        <f t="shared" si="28"/>
        <v>0.93920541933958468</v>
      </c>
      <c r="S107" s="837">
        <f t="shared" si="29"/>
        <v>-3</v>
      </c>
      <c r="T107" s="178">
        <f t="shared" si="30"/>
        <v>3</v>
      </c>
      <c r="U107" s="253">
        <f t="shared" si="31"/>
        <v>-2.0607945806604153</v>
      </c>
      <c r="V107" s="385">
        <f t="shared" si="32"/>
        <v>49.859742095834193</v>
      </c>
      <c r="W107" s="58"/>
      <c r="X107" s="157">
        <f t="shared" si="33"/>
        <v>43558</v>
      </c>
      <c r="Y107" s="387">
        <f t="shared" si="34"/>
        <v>17.556000000000001</v>
      </c>
      <c r="Z107" s="387">
        <f t="shared" si="35"/>
        <v>17.656382735657182</v>
      </c>
      <c r="AA107" s="388">
        <f t="shared" si="36"/>
        <v>18.579167872999012</v>
      </c>
      <c r="AB107" s="199">
        <f t="shared" si="37"/>
        <v>43558</v>
      </c>
      <c r="AC107" s="426">
        <f>IF(OR(t&lt;Tnet,NoTnet),'2018'!Resal_s+('2018'!Salim-'2018'!Resal_s)*(1-EXP(('2018'!Tnet_s-t)/'2018'!Tau_j)),Resal_s+(Salim-Resal_s)*(1-EXP((Tnet_s-t)/Tau_j)))*Salcycl</f>
        <v>4.9667732357535244E-2</v>
      </c>
      <c r="AD107" s="233">
        <f>(INDEX(Models!$BJ107:$BT107,,AH107)*(1-AF107)+INDEX(Models!$BJ107:$BT107,,AH107+1)*AF107-ERP_i)*AE107*Ramure*Pc/MaxiM</f>
        <v>1.3233011855475867E-3</v>
      </c>
      <c r="AE107" s="307">
        <f t="shared" si="38"/>
        <v>1</v>
      </c>
      <c r="AF107" s="179">
        <f t="shared" si="39"/>
        <v>0.93920541933958468</v>
      </c>
      <c r="AG107" s="178">
        <f t="shared" si="40"/>
        <v>-3</v>
      </c>
      <c r="AH107" s="178">
        <f t="shared" si="41"/>
        <v>3</v>
      </c>
      <c r="AI107" s="227">
        <f t="shared" si="42"/>
        <v>-2.0607945806604153</v>
      </c>
      <c r="AJ107" s="267" t="b">
        <f t="shared" si="43"/>
        <v>0</v>
      </c>
      <c r="AK107" s="267" t="b">
        <f t="shared" si="44"/>
        <v>0</v>
      </c>
      <c r="AL107" s="267"/>
      <c r="AM107" s="267"/>
      <c r="AN107" s="75"/>
    </row>
    <row r="108" spans="1:40" s="6" customFormat="1" ht="11.25" x14ac:dyDescent="0.2">
      <c r="A108" s="56">
        <f t="shared" si="45"/>
        <v>43559</v>
      </c>
      <c r="B108" s="618">
        <v>38.935000000000002</v>
      </c>
      <c r="C108" s="392"/>
      <c r="D108" s="395">
        <f t="shared" si="24"/>
        <v>39.158536123278751</v>
      </c>
      <c r="E108" s="387">
        <f t="shared" si="46"/>
        <v>41.213468356037929</v>
      </c>
      <c r="F108" s="387">
        <f t="shared" si="25"/>
        <v>41.24962520337295</v>
      </c>
      <c r="G108" s="110">
        <f t="shared" si="47"/>
        <v>0.77474033428396938</v>
      </c>
      <c r="H108" s="414" t="b">
        <f>Wh_hp&gt;='2018'!Maxi_hp</f>
        <v>1</v>
      </c>
      <c r="I108" s="392">
        <f>IF(H108,Wh_hp,'2018'!Maxi_hp)</f>
        <v>41.24962520337295</v>
      </c>
      <c r="J108" s="85">
        <f>IF(H108,An,'2018'!An_max)</f>
        <v>2019</v>
      </c>
      <c r="K108" s="199">
        <f t="shared" si="26"/>
        <v>43559</v>
      </c>
      <c r="L108" s="147">
        <f>IF(t&lt;Tvie,1-EXP((T0-t)*PertePVj)+'2018'!Pspv,1-EXP((T0-t)*PertePVj)+Pspv)</f>
        <v>5.7084902912359903E-3</v>
      </c>
      <c r="M108" s="870"/>
      <c r="N108" s="870"/>
      <c r="O108" s="48">
        <f>IF(t&lt;Tnet,'2018'!Resal+('2018'!Salim-'2018'!Resal)*(1-EXP(('2018'!Tnet-t)/('2018'!Tau_j))),Resal+(Salim-Resal)*(1-EXP((Tnet-t)/(Tau_j))))*Salcycl</f>
        <v>4.9860696387085873E-2</v>
      </c>
      <c r="P108" s="171">
        <f>(INDEX(Models!$BJ108:$BT108,,T108)*(1-R108)+INDEX(Models!$BJ108:$BT108,,T108+1)*R108-ERP_i)*Q108*Ramure*Pc/MaxiM</f>
        <v>1.2915702363665723E-3</v>
      </c>
      <c r="Q108" s="307">
        <f t="shared" si="27"/>
        <v>1</v>
      </c>
      <c r="R108" s="179">
        <f t="shared" si="28"/>
        <v>0.94079893578837837</v>
      </c>
      <c r="S108" s="837">
        <f t="shared" si="29"/>
        <v>-3</v>
      </c>
      <c r="T108" s="178">
        <f t="shared" si="30"/>
        <v>3</v>
      </c>
      <c r="U108" s="253">
        <f t="shared" si="31"/>
        <v>-2.0592010642116216</v>
      </c>
      <c r="V108" s="385">
        <f t="shared" si="32"/>
        <v>50.23467193492931</v>
      </c>
      <c r="W108" s="58"/>
      <c r="X108" s="157">
        <f t="shared" si="33"/>
        <v>43559</v>
      </c>
      <c r="Y108" s="387">
        <f t="shared" si="34"/>
        <v>38.935000000000002</v>
      </c>
      <c r="Z108" s="387">
        <f t="shared" si="35"/>
        <v>39.158536123278751</v>
      </c>
      <c r="AA108" s="388">
        <f t="shared" si="36"/>
        <v>41.213468356037929</v>
      </c>
      <c r="AB108" s="199">
        <f t="shared" si="37"/>
        <v>43559</v>
      </c>
      <c r="AC108" s="426">
        <f>IF(OR(t&lt;Tnet,NoTnet),'2018'!Resal_s+('2018'!Salim-'2018'!Resal_s)*(1-EXP(('2018'!Tnet_s-t)/'2018'!Tau_j)),Resal_s+(Salim-Resal_s)*(1-EXP((Tnet_s-t)/Tau_j)))*Salcycl</f>
        <v>4.9860696387085873E-2</v>
      </c>
      <c r="AD108" s="233">
        <f>(INDEX(Models!$BJ108:$BT108,,AH108)*(1-AF108)+INDEX(Models!$BJ108:$BT108,,AH108+1)*AF108-ERP_i)*AE108*Ramure*Pc/MaxiM</f>
        <v>1.2915702363665723E-3</v>
      </c>
      <c r="AE108" s="307">
        <f t="shared" si="38"/>
        <v>1</v>
      </c>
      <c r="AF108" s="179">
        <f t="shared" si="39"/>
        <v>0.94079893578837837</v>
      </c>
      <c r="AG108" s="178">
        <f t="shared" si="40"/>
        <v>-3</v>
      </c>
      <c r="AH108" s="178">
        <f t="shared" si="41"/>
        <v>3</v>
      </c>
      <c r="AI108" s="227">
        <f t="shared" si="42"/>
        <v>-2.0592010642116216</v>
      </c>
      <c r="AJ108" s="267" t="b">
        <f t="shared" si="43"/>
        <v>0</v>
      </c>
      <c r="AK108" s="267" t="b">
        <f t="shared" si="44"/>
        <v>0</v>
      </c>
      <c r="AL108" s="267"/>
      <c r="AM108" s="267"/>
      <c r="AN108" s="75"/>
    </row>
    <row r="109" spans="1:40" s="6" customFormat="1" ht="11.25" x14ac:dyDescent="0.2">
      <c r="A109" s="56">
        <f t="shared" si="45"/>
        <v>43560</v>
      </c>
      <c r="B109" s="618">
        <v>46.162999999999997</v>
      </c>
      <c r="C109" s="392"/>
      <c r="D109" s="395">
        <f t="shared" si="24"/>
        <v>46.429114454544909</v>
      </c>
      <c r="E109" s="387">
        <f t="shared" si="46"/>
        <v>48.875562921103011</v>
      </c>
      <c r="F109" s="387">
        <f t="shared" si="25"/>
        <v>48.929458643644573</v>
      </c>
      <c r="G109" s="110">
        <f t="shared" si="47"/>
        <v>0.91207252594832999</v>
      </c>
      <c r="H109" s="414" t="b">
        <f>Wh_hp&gt;='2018'!Maxi_hp</f>
        <v>1</v>
      </c>
      <c r="I109" s="392">
        <f>IF(H109,Wh_hp,'2018'!Maxi_hp)</f>
        <v>48.929458643644573</v>
      </c>
      <c r="J109" s="85">
        <f>IF(H109,An,'2018'!An_max)</f>
        <v>2019</v>
      </c>
      <c r="K109" s="199">
        <f t="shared" si="26"/>
        <v>43560</v>
      </c>
      <c r="L109" s="147">
        <f>IF(t&lt;Tvie,1-EXP((T0-t)*PertePVj)+'2018'!Pspv,1-EXP((T0-t)*PertePVj)+Pspv)</f>
        <v>5.7316289072333326E-3</v>
      </c>
      <c r="M109" s="870"/>
      <c r="N109" s="870"/>
      <c r="O109" s="48">
        <f>IF(t&lt;Tnet,'2018'!Resal+('2018'!Salim-'2018'!Resal)*(1-EXP(('2018'!Tnet-t)/('2018'!Tau_j))),Resal+(Salim-Resal)*(1-EXP((Tnet-t)/(Tau_j))))*Salcycl</f>
        <v>5.0054635084352143E-2</v>
      </c>
      <c r="P109" s="171">
        <f>(INDEX(Models!$BJ109:$BT109,,T109)*(1-R109)+INDEX(Models!$BJ109:$BT109,,T109+1)*R109-ERP_i)*Q109*Ramure*Pc/MaxiM</f>
        <v>1.2594377698210404E-3</v>
      </c>
      <c r="Q109" s="307">
        <f t="shared" si="27"/>
        <v>1</v>
      </c>
      <c r="R109" s="179">
        <f t="shared" si="28"/>
        <v>0.94245114806760455</v>
      </c>
      <c r="S109" s="837">
        <f t="shared" si="29"/>
        <v>-3</v>
      </c>
      <c r="T109" s="178">
        <f t="shared" si="30"/>
        <v>3</v>
      </c>
      <c r="U109" s="253">
        <f t="shared" si="31"/>
        <v>-2.0575488519323955</v>
      </c>
      <c r="V109" s="385">
        <f t="shared" si="32"/>
        <v>50.605296940682642</v>
      </c>
      <c r="W109" s="58"/>
      <c r="X109" s="157">
        <f t="shared" si="33"/>
        <v>43560</v>
      </c>
      <c r="Y109" s="387">
        <f t="shared" si="34"/>
        <v>46.162999999999997</v>
      </c>
      <c r="Z109" s="387">
        <f t="shared" si="35"/>
        <v>46.429114454544909</v>
      </c>
      <c r="AA109" s="388">
        <f t="shared" si="36"/>
        <v>48.875562921103011</v>
      </c>
      <c r="AB109" s="199">
        <f t="shared" si="37"/>
        <v>43560</v>
      </c>
      <c r="AC109" s="426">
        <f>IF(OR(t&lt;Tnet,NoTnet),'2018'!Resal_s+('2018'!Salim-'2018'!Resal_s)*(1-EXP(('2018'!Tnet_s-t)/'2018'!Tau_j)),Resal_s+(Salim-Resal_s)*(1-EXP((Tnet_s-t)/Tau_j)))*Salcycl</f>
        <v>5.0054635084352143E-2</v>
      </c>
      <c r="AD109" s="233">
        <f>(INDEX(Models!$BJ109:$BT109,,AH109)*(1-AF109)+INDEX(Models!$BJ109:$BT109,,AH109+1)*AF109-ERP_i)*AE109*Ramure*Pc/MaxiM</f>
        <v>1.2594377698210404E-3</v>
      </c>
      <c r="AE109" s="307">
        <f t="shared" si="38"/>
        <v>1</v>
      </c>
      <c r="AF109" s="179">
        <f t="shared" si="39"/>
        <v>0.94245114806760455</v>
      </c>
      <c r="AG109" s="178">
        <f t="shared" si="40"/>
        <v>-3</v>
      </c>
      <c r="AH109" s="178">
        <f t="shared" si="41"/>
        <v>3</v>
      </c>
      <c r="AI109" s="227">
        <f t="shared" si="42"/>
        <v>-2.0575488519323955</v>
      </c>
      <c r="AJ109" s="267" t="b">
        <f t="shared" si="43"/>
        <v>0</v>
      </c>
      <c r="AK109" s="267" t="b">
        <f t="shared" si="44"/>
        <v>0</v>
      </c>
      <c r="AL109" s="267"/>
      <c r="AM109" s="267"/>
      <c r="AN109" s="75"/>
    </row>
    <row r="110" spans="1:40" s="6" customFormat="1" ht="11.25" customHeight="1" x14ac:dyDescent="0.2">
      <c r="A110" s="56">
        <f t="shared" si="45"/>
        <v>43561</v>
      </c>
      <c r="B110" s="618">
        <v>22.652000000000001</v>
      </c>
      <c r="C110" s="392"/>
      <c r="D110" s="395">
        <f t="shared" si="24"/>
        <v>22.783111497858009</v>
      </c>
      <c r="E110" s="387">
        <f t="shared" si="46"/>
        <v>23.98852508335796</v>
      </c>
      <c r="F110" s="387">
        <f t="shared" si="25"/>
        <v>23.994598233338177</v>
      </c>
      <c r="G110" s="110">
        <f t="shared" si="47"/>
        <v>0.44397410731231629</v>
      </c>
      <c r="H110" s="414" t="b">
        <f>Wh_hp&gt;='2018'!Maxi_hp</f>
        <v>1</v>
      </c>
      <c r="I110" s="392">
        <f>IF(H110,Wh_hp,'2018'!Maxi_hp)</f>
        <v>23.994598233338177</v>
      </c>
      <c r="J110" s="85">
        <f>IF(H110,An,'2018'!An_max)</f>
        <v>2019</v>
      </c>
      <c r="K110" s="199">
        <f t="shared" si="26"/>
        <v>43561</v>
      </c>
      <c r="L110" s="147">
        <f>IF(t&lt;Tvie,1-EXP((T0-t)*PertePVj)+'2018'!Pspv,1-EXP((T0-t)*PertePVj)+Pspv)</f>
        <v>5.7547669847611838E-3</v>
      </c>
      <c r="M110" s="870"/>
      <c r="N110" s="870"/>
      <c r="O110" s="48">
        <f>IF(t&lt;Tnet,'2018'!Resal+('2018'!Salim-'2018'!Resal)*(1-EXP(('2018'!Tnet-t)/('2018'!Tau_j))),Resal+(Salim-Resal)*(1-EXP((Tnet-t)/(Tau_j))))*Salcycl</f>
        <v>5.0249591473892047E-2</v>
      </c>
      <c r="P110" s="171">
        <f>(INDEX(Models!$BJ110:$BT110,,T110)*(1-R110)+INDEX(Models!$BJ110:$BT110,,T110+1)*R110-ERP_i)*Q110*Ramure*Pc/MaxiM</f>
        <v>1.2269034257568505E-3</v>
      </c>
      <c r="Q110" s="307">
        <f t="shared" si="27"/>
        <v>1</v>
      </c>
      <c r="R110" s="179">
        <f t="shared" si="28"/>
        <v>0.94416388639986115</v>
      </c>
      <c r="S110" s="837">
        <f t="shared" si="29"/>
        <v>-3</v>
      </c>
      <c r="T110" s="178">
        <f t="shared" si="30"/>
        <v>3</v>
      </c>
      <c r="U110" s="253">
        <f t="shared" si="31"/>
        <v>-2.0558361136001388</v>
      </c>
      <c r="V110" s="385">
        <f t="shared" si="32"/>
        <v>50.971296654848203</v>
      </c>
      <c r="W110" s="58"/>
      <c r="X110" s="157">
        <f t="shared" si="33"/>
        <v>43561</v>
      </c>
      <c r="Y110" s="387">
        <f t="shared" si="34"/>
        <v>22.652000000000001</v>
      </c>
      <c r="Z110" s="387">
        <f t="shared" si="35"/>
        <v>22.783111497858009</v>
      </c>
      <c r="AA110" s="388">
        <f t="shared" si="36"/>
        <v>23.98852508335796</v>
      </c>
      <c r="AB110" s="199">
        <f t="shared" si="37"/>
        <v>43561</v>
      </c>
      <c r="AC110" s="426">
        <f>IF(OR(t&lt;Tnet,NoTnet),'2018'!Resal_s+('2018'!Salim-'2018'!Resal_s)*(1-EXP(('2018'!Tnet_s-t)/'2018'!Tau_j)),Resal_s+(Salim-Resal_s)*(1-EXP((Tnet_s-t)/Tau_j)))*Salcycl</f>
        <v>5.0249591473892047E-2</v>
      </c>
      <c r="AD110" s="233">
        <f>(INDEX(Models!$BJ110:$BT110,,AH110)*(1-AF110)+INDEX(Models!$BJ110:$BT110,,AH110+1)*AF110-ERP_i)*AE110*Ramure*Pc/MaxiM</f>
        <v>1.2269034257568505E-3</v>
      </c>
      <c r="AE110" s="307">
        <f t="shared" si="38"/>
        <v>1</v>
      </c>
      <c r="AF110" s="179">
        <f t="shared" si="39"/>
        <v>0.94416388639986115</v>
      </c>
      <c r="AG110" s="178">
        <f t="shared" si="40"/>
        <v>-3</v>
      </c>
      <c r="AH110" s="178">
        <f t="shared" si="41"/>
        <v>3</v>
      </c>
      <c r="AI110" s="227">
        <f t="shared" si="42"/>
        <v>-2.0558361136001388</v>
      </c>
      <c r="AJ110" s="267" t="b">
        <f t="shared" si="43"/>
        <v>0</v>
      </c>
      <c r="AK110" s="267" t="b">
        <f t="shared" si="44"/>
        <v>0</v>
      </c>
      <c r="AL110" s="267"/>
      <c r="AM110" s="267"/>
      <c r="AN110" s="75"/>
    </row>
    <row r="111" spans="1:40" s="6" customFormat="1" ht="11.25" x14ac:dyDescent="0.2">
      <c r="A111" s="56">
        <f t="shared" si="45"/>
        <v>43562</v>
      </c>
      <c r="B111" s="618">
        <v>33.957000000000001</v>
      </c>
      <c r="C111" s="392"/>
      <c r="D111" s="395">
        <f t="shared" si="24"/>
        <v>34.154340518590878</v>
      </c>
      <c r="E111" s="387">
        <f t="shared" si="46"/>
        <v>35.968808953069349</v>
      </c>
      <c r="F111" s="387">
        <f t="shared" si="25"/>
        <v>35.991001701168912</v>
      </c>
      <c r="G111" s="110">
        <f t="shared" si="47"/>
        <v>0.66113050255770311</v>
      </c>
      <c r="H111" s="414" t="b">
        <f>Wh_hp&gt;='2018'!Maxi_hp</f>
        <v>1</v>
      </c>
      <c r="I111" s="392">
        <f>IF(H111,Wh_hp,'2018'!Maxi_hp)</f>
        <v>35.991001701168912</v>
      </c>
      <c r="J111" s="85">
        <f>IF(H111,An,'2018'!An_max)</f>
        <v>2019</v>
      </c>
      <c r="K111" s="199">
        <f t="shared" si="26"/>
        <v>43562</v>
      </c>
      <c r="L111" s="147">
        <f>IF(t&lt;Tvie,1-EXP((T0-t)*PertePVj)+'2018'!Pspv,1-EXP((T0-t)*PertePVj)+Pspv)</f>
        <v>5.7779045238323112E-3</v>
      </c>
      <c r="M111" s="870"/>
      <c r="N111" s="870"/>
      <c r="O111" s="48">
        <f>IF(t&lt;Tnet,'2018'!Resal+('2018'!Salim-'2018'!Resal)*(1-EXP(('2018'!Tnet-t)/('2018'!Tau_j))),Resal+(Salim-Resal)*(1-EXP((Tnet-t)/(Tau_j))))*Salcycl</f>
        <v>5.0445607938976122E-2</v>
      </c>
      <c r="P111" s="171">
        <f>(INDEX(Models!$BJ111:$BT111,,T111)*(1-R111)+INDEX(Models!$BJ111:$BT111,,T111+1)*R111-ERP_i)*Q111*Ramure*Pc/MaxiM</f>
        <v>1.1939652285135102E-3</v>
      </c>
      <c r="Q111" s="307">
        <f t="shared" si="27"/>
        <v>1</v>
      </c>
      <c r="R111" s="179">
        <f t="shared" si="28"/>
        <v>0.94593901158518978</v>
      </c>
      <c r="S111" s="837">
        <f t="shared" si="29"/>
        <v>-3</v>
      </c>
      <c r="T111" s="178">
        <f t="shared" si="30"/>
        <v>3</v>
      </c>
      <c r="U111" s="253">
        <f t="shared" si="31"/>
        <v>-2.0540609884148102</v>
      </c>
      <c r="V111" s="385">
        <f t="shared" si="32"/>
        <v>51.332350932975132</v>
      </c>
      <c r="W111" s="58"/>
      <c r="X111" s="157">
        <f t="shared" si="33"/>
        <v>43562</v>
      </c>
      <c r="Y111" s="387">
        <f t="shared" si="34"/>
        <v>33.957000000000001</v>
      </c>
      <c r="Z111" s="387">
        <f t="shared" si="35"/>
        <v>34.154340518590878</v>
      </c>
      <c r="AA111" s="388">
        <f t="shared" si="36"/>
        <v>35.968808953069349</v>
      </c>
      <c r="AB111" s="199">
        <f t="shared" si="37"/>
        <v>43562</v>
      </c>
      <c r="AC111" s="426">
        <f>IF(OR(t&lt;Tnet,NoTnet),'2018'!Resal_s+('2018'!Salim-'2018'!Resal_s)*(1-EXP(('2018'!Tnet_s-t)/'2018'!Tau_j)),Resal_s+(Salim-Resal_s)*(1-EXP((Tnet_s-t)/Tau_j)))*Salcycl</f>
        <v>5.0445607938976122E-2</v>
      </c>
      <c r="AD111" s="233">
        <f>(INDEX(Models!$BJ111:$BT111,,AH111)*(1-AF111)+INDEX(Models!$BJ111:$BT111,,AH111+1)*AF111-ERP_i)*AE111*Ramure*Pc/MaxiM</f>
        <v>1.1939652285135102E-3</v>
      </c>
      <c r="AE111" s="307">
        <f t="shared" si="38"/>
        <v>1</v>
      </c>
      <c r="AF111" s="179">
        <f t="shared" si="39"/>
        <v>0.94593901158518978</v>
      </c>
      <c r="AG111" s="178">
        <f t="shared" si="40"/>
        <v>-3</v>
      </c>
      <c r="AH111" s="178">
        <f t="shared" si="41"/>
        <v>3</v>
      </c>
      <c r="AI111" s="227">
        <f t="shared" si="42"/>
        <v>-2.0540609884148102</v>
      </c>
      <c r="AJ111" s="267" t="b">
        <f t="shared" si="43"/>
        <v>0</v>
      </c>
      <c r="AK111" s="267" t="b">
        <f t="shared" si="44"/>
        <v>0</v>
      </c>
      <c r="AL111" s="267"/>
      <c r="AM111" s="267"/>
      <c r="AN111" s="75"/>
    </row>
    <row r="112" spans="1:40" s="6" customFormat="1" ht="11.25" customHeight="1" x14ac:dyDescent="0.2">
      <c r="A112" s="56">
        <f t="shared" si="45"/>
        <v>43563</v>
      </c>
      <c r="B112" s="618">
        <v>33.378</v>
      </c>
      <c r="C112" s="392"/>
      <c r="D112" s="395">
        <f t="shared" si="24"/>
        <v>33.572756957199282</v>
      </c>
      <c r="E112" s="387">
        <f t="shared" si="46"/>
        <v>35.363669591534439</v>
      </c>
      <c r="F112" s="387">
        <f t="shared" si="25"/>
        <v>35.383954345013038</v>
      </c>
      <c r="G112" s="110">
        <f t="shared" si="47"/>
        <v>0.64537792240061476</v>
      </c>
      <c r="H112" s="414" t="b">
        <f>Wh_hp&gt;='2018'!Maxi_hp</f>
        <v>1</v>
      </c>
      <c r="I112" s="392">
        <f>IF(H112,Wh_hp,'2018'!Maxi_hp)</f>
        <v>35.383954345013038</v>
      </c>
      <c r="J112" s="85">
        <f>IF(H112,An,'2018'!An_max)</f>
        <v>2019</v>
      </c>
      <c r="K112" s="199">
        <f t="shared" si="26"/>
        <v>43563</v>
      </c>
      <c r="L112" s="147">
        <f>IF(t&lt;Tvie,1-EXP((T0-t)*PertePVj)+'2018'!Pspv,1-EXP((T0-t)*PertePVj)+Pspv)</f>
        <v>5.8010415244590385E-3</v>
      </c>
      <c r="M112" s="870"/>
      <c r="N112" s="870"/>
      <c r="O112" s="48">
        <f>IF(t&lt;Tnet,'2018'!Resal+('2018'!Salim-'2018'!Resal)*(1-EXP(('2018'!Tnet-t)/('2018'!Tau_j))),Resal+(Salim-Resal)*(1-EXP((Tnet-t)/(Tau_j))))*Salcycl</f>
        <v>5.064272613733152E-2</v>
      </c>
      <c r="P112" s="171">
        <f>(INDEX(Models!$BJ112:$BT112,,T112)*(1-R112)+INDEX(Models!$BJ112:$BT112,,T112+1)*R112-ERP_i)*Q112*Ramure*Pc/MaxiM</f>
        <v>1.1606195906595786E-3</v>
      </c>
      <c r="Q112" s="307">
        <f t="shared" si="27"/>
        <v>1</v>
      </c>
      <c r="R112" s="179">
        <f t="shared" si="28"/>
        <v>0.94777841324403056</v>
      </c>
      <c r="S112" s="837">
        <f t="shared" si="29"/>
        <v>-3</v>
      </c>
      <c r="T112" s="178">
        <f t="shared" si="30"/>
        <v>3</v>
      </c>
      <c r="U112" s="253">
        <f t="shared" si="31"/>
        <v>-2.0522215867559694</v>
      </c>
      <c r="V112" s="385">
        <f t="shared" si="32"/>
        <v>51.68813996472371</v>
      </c>
      <c r="W112" s="58"/>
      <c r="X112" s="157">
        <f t="shared" si="33"/>
        <v>43563</v>
      </c>
      <c r="Y112" s="387">
        <f t="shared" si="34"/>
        <v>33.378</v>
      </c>
      <c r="Z112" s="387">
        <f t="shared" si="35"/>
        <v>33.572756957199282</v>
      </c>
      <c r="AA112" s="388">
        <f t="shared" si="36"/>
        <v>35.363669591534439</v>
      </c>
      <c r="AB112" s="199">
        <f t="shared" si="37"/>
        <v>43563</v>
      </c>
      <c r="AC112" s="426">
        <f>IF(OR(t&lt;Tnet,NoTnet),'2018'!Resal_s+('2018'!Salim-'2018'!Resal_s)*(1-EXP(('2018'!Tnet_s-t)/'2018'!Tau_j)),Resal_s+(Salim-Resal_s)*(1-EXP((Tnet_s-t)/Tau_j)))*Salcycl</f>
        <v>5.064272613733152E-2</v>
      </c>
      <c r="AD112" s="233">
        <f>(INDEX(Models!$BJ112:$BT112,,AH112)*(1-AF112)+INDEX(Models!$BJ112:$BT112,,AH112+1)*AF112-ERP_i)*AE112*Ramure*Pc/MaxiM</f>
        <v>1.1606195906595786E-3</v>
      </c>
      <c r="AE112" s="307">
        <f t="shared" si="38"/>
        <v>1</v>
      </c>
      <c r="AF112" s="179">
        <f t="shared" si="39"/>
        <v>0.94777841324403056</v>
      </c>
      <c r="AG112" s="178">
        <f t="shared" si="40"/>
        <v>-3</v>
      </c>
      <c r="AH112" s="178">
        <f t="shared" si="41"/>
        <v>3</v>
      </c>
      <c r="AI112" s="227">
        <f t="shared" si="42"/>
        <v>-2.0522215867559694</v>
      </c>
      <c r="AJ112" s="267" t="b">
        <f t="shared" si="43"/>
        <v>0</v>
      </c>
      <c r="AK112" s="267" t="b">
        <f t="shared" si="44"/>
        <v>0</v>
      </c>
      <c r="AL112" s="267"/>
      <c r="AM112" s="267"/>
      <c r="AN112" s="75"/>
    </row>
    <row r="113" spans="1:40" s="6" customFormat="1" ht="11.25" x14ac:dyDescent="0.2">
      <c r="A113" s="56">
        <f t="shared" si="45"/>
        <v>43564</v>
      </c>
      <c r="B113" s="618">
        <v>45.027999999999999</v>
      </c>
      <c r="C113" s="392"/>
      <c r="D113" s="395">
        <f t="shared" si="24"/>
        <v>45.29178743133378</v>
      </c>
      <c r="E113" s="387">
        <f t="shared" si="46"/>
        <v>47.717807877337336</v>
      </c>
      <c r="F113" s="387">
        <f t="shared" si="25"/>
        <v>47.761270485105562</v>
      </c>
      <c r="G113" s="110">
        <f t="shared" si="47"/>
        <v>0.86509720397933765</v>
      </c>
      <c r="H113" s="414" t="b">
        <f>Wh_hp&gt;='2018'!Maxi_hp</f>
        <v>1</v>
      </c>
      <c r="I113" s="392">
        <f>IF(H113,Wh_hp,'2018'!Maxi_hp)</f>
        <v>47.761270485105562</v>
      </c>
      <c r="J113" s="85">
        <f>IF(H113,An,'2018'!An_max)</f>
        <v>2019</v>
      </c>
      <c r="K113" s="199">
        <f t="shared" si="26"/>
        <v>43564</v>
      </c>
      <c r="L113" s="147">
        <f>IF(t&lt;Tvie,1-EXP((T0-t)*PertePVj)+'2018'!Pspv,1-EXP((T0-t)*PertePVj)+Pspv)</f>
        <v>5.8241779866539112E-3</v>
      </c>
      <c r="M113" s="870"/>
      <c r="N113" s="870"/>
      <c r="O113" s="48">
        <f>IF(t&lt;Tnet,'2018'!Resal+('2018'!Salim-'2018'!Resal)*(1-EXP(('2018'!Tnet-t)/('2018'!Tau_j))),Resal+(Salim-Resal)*(1-EXP((Tnet-t)/(Tau_j))))*Salcycl</f>
        <v>5.0840986917082401E-2</v>
      </c>
      <c r="P113" s="171">
        <f>(INDEX(Models!$BJ113:$BT113,,T113)*(1-R113)+INDEX(Models!$BJ113:$BT113,,T113+1)*R113-ERP_i)*Q113*Ramure*Pc/MaxiM</f>
        <v>1.1268613139890176E-3</v>
      </c>
      <c r="Q113" s="307">
        <f t="shared" si="27"/>
        <v>1</v>
      </c>
      <c r="R113" s="179">
        <f t="shared" si="28"/>
        <v>0.94968400782662288</v>
      </c>
      <c r="S113" s="837">
        <f t="shared" si="29"/>
        <v>-3</v>
      </c>
      <c r="T113" s="178">
        <f t="shared" si="30"/>
        <v>3</v>
      </c>
      <c r="U113" s="253">
        <f t="shared" si="31"/>
        <v>-2.0503159921733771</v>
      </c>
      <c r="V113" s="385">
        <f t="shared" si="32"/>
        <v>52.038344278083812</v>
      </c>
      <c r="W113" s="58"/>
      <c r="X113" s="157">
        <f t="shared" si="33"/>
        <v>43564</v>
      </c>
      <c r="Y113" s="387">
        <f t="shared" si="34"/>
        <v>45.027999999999999</v>
      </c>
      <c r="Z113" s="387">
        <f t="shared" si="35"/>
        <v>45.29178743133378</v>
      </c>
      <c r="AA113" s="388">
        <f t="shared" si="36"/>
        <v>47.717807877337336</v>
      </c>
      <c r="AB113" s="199">
        <f t="shared" si="37"/>
        <v>43564</v>
      </c>
      <c r="AC113" s="426">
        <f>IF(OR(t&lt;Tnet,NoTnet),'2018'!Resal_s+('2018'!Salim-'2018'!Resal_s)*(1-EXP(('2018'!Tnet_s-t)/'2018'!Tau_j)),Resal_s+(Salim-Resal_s)*(1-EXP((Tnet_s-t)/Tau_j)))*Salcycl</f>
        <v>5.0840986917082401E-2</v>
      </c>
      <c r="AD113" s="233">
        <f>(INDEX(Models!$BJ113:$BT113,,AH113)*(1-AF113)+INDEX(Models!$BJ113:$BT113,,AH113+1)*AF113-ERP_i)*AE113*Ramure*Pc/MaxiM</f>
        <v>1.1268613139890176E-3</v>
      </c>
      <c r="AE113" s="307">
        <f t="shared" si="38"/>
        <v>1</v>
      </c>
      <c r="AF113" s="179">
        <f t="shared" si="39"/>
        <v>0.94968400782662288</v>
      </c>
      <c r="AG113" s="178">
        <f t="shared" si="40"/>
        <v>-3</v>
      </c>
      <c r="AH113" s="178">
        <f t="shared" si="41"/>
        <v>3</v>
      </c>
      <c r="AI113" s="227">
        <f t="shared" si="42"/>
        <v>-2.0503159921733771</v>
      </c>
      <c r="AJ113" s="267" t="b">
        <f t="shared" si="43"/>
        <v>0</v>
      </c>
      <c r="AK113" s="267" t="b">
        <f t="shared" si="44"/>
        <v>0</v>
      </c>
      <c r="AL113" s="267"/>
      <c r="AM113" s="267"/>
      <c r="AN113" s="75"/>
    </row>
    <row r="114" spans="1:40" s="6" customFormat="1" ht="11.25" x14ac:dyDescent="0.2">
      <c r="A114" s="56">
        <f t="shared" si="45"/>
        <v>43565</v>
      </c>
      <c r="B114" s="618">
        <v>28.42</v>
      </c>
      <c r="C114" s="392"/>
      <c r="D114" s="395">
        <f t="shared" si="24"/>
        <v>28.587158087142601</v>
      </c>
      <c r="E114" s="387">
        <f t="shared" si="46"/>
        <v>30.124737657836164</v>
      </c>
      <c r="F114" s="387">
        <f t="shared" si="25"/>
        <v>30.136147693936742</v>
      </c>
      <c r="G114" s="110">
        <f t="shared" si="47"/>
        <v>0.54215854599916569</v>
      </c>
      <c r="H114" s="414" t="b">
        <f>Wh_hp&gt;='2018'!Maxi_hp</f>
        <v>1</v>
      </c>
      <c r="I114" s="392">
        <f>IF(H114,Wh_hp,'2018'!Maxi_hp)</f>
        <v>30.136147693936742</v>
      </c>
      <c r="J114" s="85">
        <f>IF(H114,An,'2018'!An_max)</f>
        <v>2019</v>
      </c>
      <c r="K114" s="199">
        <f t="shared" si="26"/>
        <v>43565</v>
      </c>
      <c r="L114" s="147">
        <f>IF(t&lt;Tvie,1-EXP((T0-t)*PertePVj)+'2018'!Pspv,1-EXP((T0-t)*PertePVj)+Pspv)</f>
        <v>5.8473139104295857E-3</v>
      </c>
      <c r="M114" s="870"/>
      <c r="N114" s="870"/>
      <c r="O114" s="48">
        <f>IF(t&lt;Tnet,'2018'!Resal+('2018'!Salim-'2018'!Resal)*(1-EXP(('2018'!Tnet-t)/('2018'!Tau_j))),Resal+(Salim-Resal)*(1-EXP((Tnet-t)/(Tau_j))))*Salcycl</f>
        <v>5.1040430232380828E-2</v>
      </c>
      <c r="P114" s="171">
        <f>(INDEX(Models!$BJ114:$BT114,,T114)*(1-R114)+INDEX(Models!$BJ114:$BT114,,T114+1)*R114-ERP_i)*Q114*Ramure*Pc/MaxiM</f>
        <v>1.0927051582999188E-3</v>
      </c>
      <c r="Q114" s="307">
        <f t="shared" si="27"/>
        <v>1</v>
      </c>
      <c r="R114" s="179">
        <f t="shared" si="28"/>
        <v>0.95165773637550277</v>
      </c>
      <c r="S114" s="837">
        <f t="shared" si="29"/>
        <v>-3</v>
      </c>
      <c r="T114" s="178">
        <f t="shared" si="30"/>
        <v>3</v>
      </c>
      <c r="U114" s="253">
        <f t="shared" si="31"/>
        <v>-2.0483422636244972</v>
      </c>
      <c r="V114" s="385">
        <f t="shared" si="32"/>
        <v>52.382643632419445</v>
      </c>
      <c r="W114" s="58"/>
      <c r="X114" s="157">
        <f t="shared" si="33"/>
        <v>43565</v>
      </c>
      <c r="Y114" s="387">
        <f t="shared" si="34"/>
        <v>28.42</v>
      </c>
      <c r="Z114" s="387">
        <f t="shared" si="35"/>
        <v>28.587158087142601</v>
      </c>
      <c r="AA114" s="388">
        <f t="shared" si="36"/>
        <v>30.124737657836164</v>
      </c>
      <c r="AB114" s="199">
        <f t="shared" si="37"/>
        <v>43565</v>
      </c>
      <c r="AC114" s="426">
        <f>IF(OR(t&lt;Tnet,NoTnet),'2018'!Resal_s+('2018'!Salim-'2018'!Resal_s)*(1-EXP(('2018'!Tnet_s-t)/'2018'!Tau_j)),Resal_s+(Salim-Resal_s)*(1-EXP((Tnet_s-t)/Tau_j)))*Salcycl</f>
        <v>5.1040430232380828E-2</v>
      </c>
      <c r="AD114" s="233">
        <f>(INDEX(Models!$BJ114:$BT114,,AH114)*(1-AF114)+INDEX(Models!$BJ114:$BT114,,AH114+1)*AF114-ERP_i)*AE114*Ramure*Pc/MaxiM</f>
        <v>1.0927051582999188E-3</v>
      </c>
      <c r="AE114" s="307">
        <f t="shared" si="38"/>
        <v>1</v>
      </c>
      <c r="AF114" s="179">
        <f t="shared" si="39"/>
        <v>0.95165773637550277</v>
      </c>
      <c r="AG114" s="178">
        <f t="shared" si="40"/>
        <v>-3</v>
      </c>
      <c r="AH114" s="178">
        <f t="shared" si="41"/>
        <v>3</v>
      </c>
      <c r="AI114" s="227">
        <f t="shared" si="42"/>
        <v>-2.0483422636244972</v>
      </c>
      <c r="AJ114" s="267" t="b">
        <f t="shared" si="43"/>
        <v>0</v>
      </c>
      <c r="AK114" s="267" t="b">
        <f t="shared" si="44"/>
        <v>0</v>
      </c>
      <c r="AL114" s="267"/>
      <c r="AM114" s="267"/>
      <c r="AN114" s="75"/>
    </row>
    <row r="115" spans="1:40" s="6" customFormat="1" ht="11.25" customHeight="1" x14ac:dyDescent="0.2">
      <c r="A115" s="56">
        <f t="shared" si="45"/>
        <v>43566</v>
      </c>
      <c r="B115" s="618">
        <v>9.3000000000000007</v>
      </c>
      <c r="C115" s="392"/>
      <c r="D115" s="395">
        <f t="shared" si="24"/>
        <v>9.3549175692566973</v>
      </c>
      <c r="E115" s="387">
        <f t="shared" si="46"/>
        <v>9.8601631252468707</v>
      </c>
      <c r="F115" s="387">
        <f t="shared" si="25"/>
        <v>9.8601631252468707</v>
      </c>
      <c r="G115" s="110">
        <f t="shared" si="47"/>
        <v>0.17621457754096265</v>
      </c>
      <c r="H115" s="414" t="b">
        <f>Wh_hp&gt;='2018'!Maxi_hp</f>
        <v>1</v>
      </c>
      <c r="I115" s="392">
        <f>IF(H115,Wh_hp,'2018'!Maxi_hp)</f>
        <v>9.8601631252468707</v>
      </c>
      <c r="J115" s="85">
        <f>IF(H115,An,'2018'!An_max)</f>
        <v>2019</v>
      </c>
      <c r="K115" s="199">
        <f t="shared" si="26"/>
        <v>43566</v>
      </c>
      <c r="L115" s="147">
        <f>IF(t&lt;Tvie,1-EXP((T0-t)*PertePVj)+'2018'!Pspv,1-EXP((T0-t)*PertePVj)+Pspv)</f>
        <v>5.8704492957984966E-3</v>
      </c>
      <c r="M115" s="870"/>
      <c r="N115" s="870"/>
      <c r="O115" s="48">
        <f>IF(t&lt;Tnet,'2018'!Resal+('2018'!Salim-'2018'!Resal)*(1-EXP(('2018'!Tnet-t)/('2018'!Tau_j))),Resal+(Salim-Resal)*(1-EXP((Tnet-t)/(Tau_j))))*Salcycl</f>
        <v>5.1241095058204046E-2</v>
      </c>
      <c r="P115" s="171">
        <f>(INDEX(Models!$BJ115:$BT115,,T115)*(1-R115)+INDEX(Models!$BJ115:$BT115,,T115+1)*R115-ERP_i)*Q115*Ramure*Pc/MaxiM</f>
        <v>1.0586645032132145E-3</v>
      </c>
      <c r="Q115" s="307">
        <f t="shared" si="27"/>
        <v>1</v>
      </c>
      <c r="R115" s="179">
        <f t="shared" si="28"/>
        <v>0.95370156202775869</v>
      </c>
      <c r="S115" s="837">
        <f t="shared" si="29"/>
        <v>-3</v>
      </c>
      <c r="T115" s="178">
        <f t="shared" si="30"/>
        <v>3</v>
      </c>
      <c r="U115" s="253">
        <f t="shared" si="31"/>
        <v>-2.0462984379722413</v>
      </c>
      <c r="V115" s="385">
        <f t="shared" si="32"/>
        <v>52.720691725748615</v>
      </c>
      <c r="W115" s="58"/>
      <c r="X115" s="157">
        <f t="shared" si="33"/>
        <v>43566</v>
      </c>
      <c r="Y115" s="387">
        <f t="shared" si="34"/>
        <v>9.3000000000000007</v>
      </c>
      <c r="Z115" s="387">
        <f t="shared" si="35"/>
        <v>9.3549175692566973</v>
      </c>
      <c r="AA115" s="388">
        <f t="shared" si="36"/>
        <v>9.8601631252468707</v>
      </c>
      <c r="AB115" s="199">
        <f t="shared" si="37"/>
        <v>43566</v>
      </c>
      <c r="AC115" s="426">
        <f>IF(OR(t&lt;Tnet,NoTnet),'2018'!Resal_s+('2018'!Salim-'2018'!Resal_s)*(1-EXP(('2018'!Tnet_s-t)/'2018'!Tau_j)),Resal_s+(Salim-Resal_s)*(1-EXP((Tnet_s-t)/Tau_j)))*Salcycl</f>
        <v>5.1241095058204046E-2</v>
      </c>
      <c r="AD115" s="233">
        <f>(INDEX(Models!$BJ115:$BT115,,AH115)*(1-AF115)+INDEX(Models!$BJ115:$BT115,,AH115+1)*AF115-ERP_i)*AE115*Ramure*Pc/MaxiM</f>
        <v>1.0586645032132145E-3</v>
      </c>
      <c r="AE115" s="307">
        <f t="shared" si="38"/>
        <v>1</v>
      </c>
      <c r="AF115" s="179">
        <f t="shared" si="39"/>
        <v>0.95370156202775869</v>
      </c>
      <c r="AG115" s="178">
        <f t="shared" si="40"/>
        <v>-3</v>
      </c>
      <c r="AH115" s="178">
        <f t="shared" si="41"/>
        <v>3</v>
      </c>
      <c r="AI115" s="227">
        <f t="shared" si="42"/>
        <v>-2.0462984379722413</v>
      </c>
      <c r="AJ115" s="267" t="b">
        <f t="shared" si="43"/>
        <v>0</v>
      </c>
      <c r="AK115" s="267" t="b">
        <f t="shared" si="44"/>
        <v>0</v>
      </c>
      <c r="AL115" s="267"/>
      <c r="AM115" s="267"/>
      <c r="AN115" s="75"/>
    </row>
    <row r="116" spans="1:40" s="6" customFormat="1" ht="11.25" x14ac:dyDescent="0.2">
      <c r="A116" s="56">
        <f t="shared" si="45"/>
        <v>43567</v>
      </c>
      <c r="B116" s="618">
        <v>52.219000000000001</v>
      </c>
      <c r="C116" s="392"/>
      <c r="D116" s="395">
        <f t="shared" si="24"/>
        <v>52.528581615652378</v>
      </c>
      <c r="E116" s="387">
        <f t="shared" si="46"/>
        <v>55.37736022679205</v>
      </c>
      <c r="F116" s="387">
        <f t="shared" si="25"/>
        <v>55.432889188888424</v>
      </c>
      <c r="G116" s="110">
        <f t="shared" si="47"/>
        <v>0.98427261866810256</v>
      </c>
      <c r="H116" s="414" t="b">
        <f>Wh_hp&gt;='2018'!Maxi_hp</f>
        <v>1</v>
      </c>
      <c r="I116" s="392">
        <f>IF(H116,Wh_hp,'2018'!Maxi_hp)</f>
        <v>55.432889188888424</v>
      </c>
      <c r="J116" s="85">
        <f>IF(H116,An,'2018'!An_max)</f>
        <v>2019</v>
      </c>
      <c r="K116" s="199">
        <f t="shared" si="26"/>
        <v>43567</v>
      </c>
      <c r="L116" s="147">
        <f>IF(t&lt;Tvie,1-EXP((T0-t)*PertePVj)+'2018'!Pspv,1-EXP((T0-t)*PertePVj)+Pspv)</f>
        <v>5.8935841427731894E-3</v>
      </c>
      <c r="M116" s="870"/>
      <c r="N116" s="870"/>
      <c r="O116" s="48">
        <f>IF(t&lt;Tnet,'2018'!Resal+('2018'!Salim-'2018'!Resal)*(1-EXP(('2018'!Tnet-t)/('2018'!Tau_j))),Resal+(Salim-Resal)*(1-EXP((Tnet-t)/(Tau_j))))*Salcycl</f>
        <v>5.1443019303787724E-2</v>
      </c>
      <c r="P116" s="171">
        <f>(INDEX(Models!$BJ116:$BT116,,T116)*(1-R116)+INDEX(Models!$BJ116:$BT116,,T116+1)*R116-ERP_i)*Q116*Ramure*Pc/MaxiM</f>
        <v>1.0247231389643591E-3</v>
      </c>
      <c r="Q116" s="307">
        <f t="shared" si="27"/>
        <v>1</v>
      </c>
      <c r="R116" s="179">
        <f t="shared" si="28"/>
        <v>0.95581746724383843</v>
      </c>
      <c r="S116" s="837">
        <f t="shared" si="29"/>
        <v>-3</v>
      </c>
      <c r="T116" s="178">
        <f t="shared" si="30"/>
        <v>3</v>
      </c>
      <c r="U116" s="253">
        <f t="shared" si="31"/>
        <v>-2.0441825327561616</v>
      </c>
      <c r="V116" s="385">
        <f t="shared" si="32"/>
        <v>53.052169989301944</v>
      </c>
      <c r="W116" s="58"/>
      <c r="X116" s="157">
        <f t="shared" si="33"/>
        <v>43567</v>
      </c>
      <c r="Y116" s="387">
        <f t="shared" si="34"/>
        <v>52.219000000000001</v>
      </c>
      <c r="Z116" s="387">
        <f t="shared" si="35"/>
        <v>52.528581615652378</v>
      </c>
      <c r="AA116" s="388">
        <f t="shared" si="36"/>
        <v>55.37736022679205</v>
      </c>
      <c r="AB116" s="199">
        <f t="shared" si="37"/>
        <v>43567</v>
      </c>
      <c r="AC116" s="426">
        <f>IF(OR(t&lt;Tnet,NoTnet),'2018'!Resal_s+('2018'!Salim-'2018'!Resal_s)*(1-EXP(('2018'!Tnet_s-t)/'2018'!Tau_j)),Resal_s+(Salim-Resal_s)*(1-EXP((Tnet_s-t)/Tau_j)))*Salcycl</f>
        <v>5.1443019303787724E-2</v>
      </c>
      <c r="AD116" s="233">
        <f>(INDEX(Models!$BJ116:$BT116,,AH116)*(1-AF116)+INDEX(Models!$BJ116:$BT116,,AH116+1)*AF116-ERP_i)*AE116*Ramure*Pc/MaxiM</f>
        <v>1.0247231389643591E-3</v>
      </c>
      <c r="AE116" s="307">
        <f t="shared" si="38"/>
        <v>1</v>
      </c>
      <c r="AF116" s="179">
        <f t="shared" si="39"/>
        <v>0.95581746724383843</v>
      </c>
      <c r="AG116" s="178">
        <f t="shared" si="40"/>
        <v>-3</v>
      </c>
      <c r="AH116" s="178">
        <f t="shared" si="41"/>
        <v>3</v>
      </c>
      <c r="AI116" s="227">
        <f t="shared" si="42"/>
        <v>-2.0441825327561616</v>
      </c>
      <c r="AJ116" s="267" t="b">
        <f t="shared" si="43"/>
        <v>0</v>
      </c>
      <c r="AK116" s="267" t="b">
        <f t="shared" si="44"/>
        <v>0</v>
      </c>
      <c r="AL116" s="267"/>
      <c r="AM116" s="267"/>
      <c r="AN116" s="75"/>
    </row>
    <row r="117" spans="1:40" s="6" customFormat="1" ht="11.25" x14ac:dyDescent="0.2">
      <c r="A117" s="56">
        <f t="shared" si="45"/>
        <v>43568</v>
      </c>
      <c r="B117" s="618">
        <v>53.136000000000003</v>
      </c>
      <c r="C117" s="392"/>
      <c r="D117" s="395">
        <f t="shared" si="24"/>
        <v>53.452261984752447</v>
      </c>
      <c r="E117" s="387">
        <f t="shared" si="46"/>
        <v>56.363209831324809</v>
      </c>
      <c r="F117" s="387">
        <f t="shared" si="25"/>
        <v>56.418752922877168</v>
      </c>
      <c r="G117" s="110">
        <f t="shared" si="47"/>
        <v>0.99548305587366193</v>
      </c>
      <c r="H117" s="414" t="b">
        <f>Wh_hp&gt;='2018'!Maxi_hp</f>
        <v>1</v>
      </c>
      <c r="I117" s="392">
        <f>IF(H117,Wh_hp,'2018'!Maxi_hp)</f>
        <v>56.418752922877168</v>
      </c>
      <c r="J117" s="85">
        <f>IF(H117,An,'2018'!An_max)</f>
        <v>2019</v>
      </c>
      <c r="K117" s="199">
        <f t="shared" si="26"/>
        <v>43568</v>
      </c>
      <c r="L117" s="147">
        <f>IF(t&lt;Tvie,1-EXP((T0-t)*PertePVj)+'2018'!Pspv,1-EXP((T0-t)*PertePVj)+Pspv)</f>
        <v>5.9167184513662097E-3</v>
      </c>
      <c r="M117" s="870"/>
      <c r="N117" s="870"/>
      <c r="O117" s="48">
        <f>IF(t&lt;Tnet,'2018'!Resal+('2018'!Salim-'2018'!Resal)*(1-EXP(('2018'!Tnet-t)/('2018'!Tau_j))),Resal+(Salim-Resal)*(1-EXP((Tnet-t)/(Tau_j))))*Salcycl</f>
        <v>5.1646239724171122E-2</v>
      </c>
      <c r="P117" s="171">
        <f>(INDEX(Models!$BJ117:$BT117,,T117)*(1-R117)+INDEX(Models!$BJ117:$BT117,,T117+1)*R117-ERP_i)*Q117*Ramure*Pc/MaxiM</f>
        <v>9.9086406905847329E-4</v>
      </c>
      <c r="Q117" s="307">
        <f t="shared" si="27"/>
        <v>1</v>
      </c>
      <c r="R117" s="179">
        <f t="shared" si="28"/>
        <v>0.95800745074992832</v>
      </c>
      <c r="S117" s="837">
        <f t="shared" si="29"/>
        <v>-3</v>
      </c>
      <c r="T117" s="178">
        <f t="shared" si="30"/>
        <v>3</v>
      </c>
      <c r="U117" s="253">
        <f t="shared" si="31"/>
        <v>-2.0419925492500717</v>
      </c>
      <c r="V117" s="385">
        <f t="shared" si="32"/>
        <v>53.376760245591086</v>
      </c>
      <c r="W117" s="58"/>
      <c r="X117" s="157">
        <f t="shared" si="33"/>
        <v>43568</v>
      </c>
      <c r="Y117" s="387">
        <f t="shared" si="34"/>
        <v>53.136000000000003</v>
      </c>
      <c r="Z117" s="387">
        <f t="shared" si="35"/>
        <v>53.452261984752447</v>
      </c>
      <c r="AA117" s="388">
        <f t="shared" si="36"/>
        <v>56.363209831324809</v>
      </c>
      <c r="AB117" s="199">
        <f t="shared" si="37"/>
        <v>43568</v>
      </c>
      <c r="AC117" s="426">
        <f>IF(OR(t&lt;Tnet,NoTnet),'2018'!Resal_s+('2018'!Salim-'2018'!Resal_s)*(1-EXP(('2018'!Tnet_s-t)/'2018'!Tau_j)),Resal_s+(Salim-Resal_s)*(1-EXP((Tnet_s-t)/Tau_j)))*Salcycl</f>
        <v>5.1646239724171122E-2</v>
      </c>
      <c r="AD117" s="233">
        <f>(INDEX(Models!$BJ117:$BT117,,AH117)*(1-AF117)+INDEX(Models!$BJ117:$BT117,,AH117+1)*AF117-ERP_i)*AE117*Ramure*Pc/MaxiM</f>
        <v>9.9086406905847329E-4</v>
      </c>
      <c r="AE117" s="307">
        <f t="shared" si="38"/>
        <v>1</v>
      </c>
      <c r="AF117" s="179">
        <f t="shared" si="39"/>
        <v>0.95800745074992832</v>
      </c>
      <c r="AG117" s="178">
        <f t="shared" si="40"/>
        <v>-3</v>
      </c>
      <c r="AH117" s="178">
        <f t="shared" si="41"/>
        <v>3</v>
      </c>
      <c r="AI117" s="227">
        <f t="shared" si="42"/>
        <v>-2.0419925492500717</v>
      </c>
      <c r="AJ117" s="267" t="b">
        <f t="shared" si="43"/>
        <v>0</v>
      </c>
      <c r="AK117" s="267" t="b">
        <f t="shared" si="44"/>
        <v>0</v>
      </c>
      <c r="AL117" s="267"/>
      <c r="AM117" s="267"/>
      <c r="AN117" s="75"/>
    </row>
    <row r="118" spans="1:40" s="6" customFormat="1" ht="11.25" x14ac:dyDescent="0.2">
      <c r="A118" s="56">
        <f t="shared" si="45"/>
        <v>43569</v>
      </c>
      <c r="B118" s="618">
        <v>26.486999999999998</v>
      </c>
      <c r="C118" s="392"/>
      <c r="D118" s="395">
        <f t="shared" si="24"/>
        <v>26.645268960027078</v>
      </c>
      <c r="E118" s="387">
        <f t="shared" si="46"/>
        <v>28.102400688005808</v>
      </c>
      <c r="F118" s="387">
        <f t="shared" si="25"/>
        <v>28.109829545854364</v>
      </c>
      <c r="G118" s="110">
        <f t="shared" si="47"/>
        <v>0.49295217139619324</v>
      </c>
      <c r="H118" s="414" t="b">
        <f>Wh_hp&gt;='2018'!Maxi_hp</f>
        <v>1</v>
      </c>
      <c r="I118" s="392">
        <f>IF(H118,Wh_hp,'2018'!Maxi_hp)</f>
        <v>28.109829545854364</v>
      </c>
      <c r="J118" s="85">
        <f>IF(H118,An,'2018'!An_max)</f>
        <v>2019</v>
      </c>
      <c r="K118" s="199">
        <f t="shared" si="26"/>
        <v>43569</v>
      </c>
      <c r="L118" s="147">
        <f>IF(t&lt;Tvie,1-EXP((T0-t)*PertePVj)+'2018'!Pspv,1-EXP((T0-t)*PertePVj)+Pspv)</f>
        <v>5.9398522215899918E-3</v>
      </c>
      <c r="M118" s="870"/>
      <c r="N118" s="870"/>
      <c r="O118" s="48">
        <f>IF(t&lt;Tnet,'2018'!Resal+('2018'!Salim-'2018'!Resal)*(1-EXP(('2018'!Tnet-t)/('2018'!Tau_j))),Resal+(Salim-Resal)*(1-EXP((Tnet-t)/(Tau_j))))*Salcycl</f>
        <v>5.1850791829348514E-2</v>
      </c>
      <c r="P118" s="171">
        <f>(INDEX(Models!$BJ118:$BT118,,T118)*(1-R118)+INDEX(Models!$BJ118:$BT118,,T118+1)*R118-ERP_i)*Q118*Ramure*Pc/MaxiM</f>
        <v>9.5706950474437179E-4</v>
      </c>
      <c r="Q118" s="307">
        <f t="shared" si="27"/>
        <v>1</v>
      </c>
      <c r="R118" s="179">
        <f t="shared" si="28"/>
        <v>0.96027352418131739</v>
      </c>
      <c r="S118" s="837">
        <f t="shared" si="29"/>
        <v>-3</v>
      </c>
      <c r="T118" s="178">
        <f t="shared" si="30"/>
        <v>3</v>
      </c>
      <c r="U118" s="253">
        <f t="shared" si="31"/>
        <v>-2.0397264758186826</v>
      </c>
      <c r="V118" s="385">
        <f t="shared" si="32"/>
        <v>53.694144710182407</v>
      </c>
      <c r="W118" s="58"/>
      <c r="X118" s="157">
        <f t="shared" si="33"/>
        <v>43569</v>
      </c>
      <c r="Y118" s="387">
        <f t="shared" si="34"/>
        <v>26.486999999999998</v>
      </c>
      <c r="Z118" s="387">
        <f t="shared" si="35"/>
        <v>26.645268960027078</v>
      </c>
      <c r="AA118" s="388">
        <f t="shared" si="36"/>
        <v>28.102400688005808</v>
      </c>
      <c r="AB118" s="199">
        <f t="shared" si="37"/>
        <v>43569</v>
      </c>
      <c r="AC118" s="426">
        <f>IF(OR(t&lt;Tnet,NoTnet),'2018'!Resal_s+('2018'!Salim-'2018'!Resal_s)*(1-EXP(('2018'!Tnet_s-t)/'2018'!Tau_j)),Resal_s+(Salim-Resal_s)*(1-EXP((Tnet_s-t)/Tau_j)))*Salcycl</f>
        <v>5.1850791829348514E-2</v>
      </c>
      <c r="AD118" s="233">
        <f>(INDEX(Models!$BJ118:$BT118,,AH118)*(1-AF118)+INDEX(Models!$BJ118:$BT118,,AH118+1)*AF118-ERP_i)*AE118*Ramure*Pc/MaxiM</f>
        <v>9.5706950474437179E-4</v>
      </c>
      <c r="AE118" s="307">
        <f t="shared" si="38"/>
        <v>1</v>
      </c>
      <c r="AF118" s="179">
        <f t="shared" si="39"/>
        <v>0.96027352418131739</v>
      </c>
      <c r="AG118" s="178">
        <f t="shared" si="40"/>
        <v>-3</v>
      </c>
      <c r="AH118" s="178">
        <f t="shared" si="41"/>
        <v>3</v>
      </c>
      <c r="AI118" s="227">
        <f t="shared" si="42"/>
        <v>-2.0397264758186826</v>
      </c>
      <c r="AJ118" s="267" t="b">
        <f t="shared" si="43"/>
        <v>0</v>
      </c>
      <c r="AK118" s="267" t="b">
        <f t="shared" si="44"/>
        <v>0</v>
      </c>
      <c r="AL118" s="267"/>
      <c r="AM118" s="267"/>
      <c r="AN118" s="75"/>
    </row>
    <row r="119" spans="1:40" s="6" customFormat="1" ht="11.25" x14ac:dyDescent="0.2">
      <c r="A119" s="56">
        <f t="shared" si="45"/>
        <v>43570</v>
      </c>
      <c r="B119" s="618">
        <v>36.061</v>
      </c>
      <c r="C119" s="392"/>
      <c r="D119" s="395">
        <f t="shared" si="24"/>
        <v>36.27732113823771</v>
      </c>
      <c r="E119" s="387">
        <f t="shared" si="46"/>
        <v>38.269505689757267</v>
      </c>
      <c r="F119" s="387">
        <f t="shared" si="25"/>
        <v>38.288078046887804</v>
      </c>
      <c r="G119" s="110">
        <f t="shared" si="47"/>
        <v>0.66745397580179455</v>
      </c>
      <c r="H119" s="414" t="b">
        <f>Wh_hp&gt;='2018'!Maxi_hp</f>
        <v>1</v>
      </c>
      <c r="I119" s="392">
        <f>IF(H119,Wh_hp,'2018'!Maxi_hp)</f>
        <v>38.288078046887804</v>
      </c>
      <c r="J119" s="85">
        <f>IF(H119,An,'2018'!An_max)</f>
        <v>2019</v>
      </c>
      <c r="K119" s="199">
        <f t="shared" si="26"/>
        <v>43570</v>
      </c>
      <c r="L119" s="147">
        <f>IF(t&lt;Tvie,1-EXP((T0-t)*PertePVj)+'2018'!Pspv,1-EXP((T0-t)*PertePVj)+Pspv)</f>
        <v>5.9629854534571924E-3</v>
      </c>
      <c r="M119" s="870"/>
      <c r="N119" s="870"/>
      <c r="O119" s="48">
        <f>IF(t&lt;Tnet,'2018'!Resal+('2018'!Salim-'2018'!Resal)*(1-EXP(('2018'!Tnet-t)/('2018'!Tau_j))),Resal+(Salim-Resal)*(1-EXP((Tnet-t)/(Tau_j))))*Salcycl</f>
        <v>5.2056709790551568E-2</v>
      </c>
      <c r="P119" s="171">
        <f>(INDEX(Models!$BJ119:$BT119,,T119)*(1-R119)+INDEX(Models!$BJ119:$BT119,,T119+1)*R119-ERP_i)*Q119*Ramure*Pc/MaxiM</f>
        <v>9.2332085612976359E-4</v>
      </c>
      <c r="Q119" s="307">
        <f t="shared" si="27"/>
        <v>1</v>
      </c>
      <c r="R119" s="179">
        <f t="shared" si="28"/>
        <v>0.96261770841466143</v>
      </c>
      <c r="S119" s="837">
        <f t="shared" si="29"/>
        <v>-3</v>
      </c>
      <c r="T119" s="178">
        <f t="shared" si="30"/>
        <v>3</v>
      </c>
      <c r="U119" s="253">
        <f t="shared" si="31"/>
        <v>-2.0373822915853386</v>
      </c>
      <c r="V119" s="385">
        <f t="shared" si="32"/>
        <v>54.00400602066027</v>
      </c>
      <c r="W119" s="58"/>
      <c r="X119" s="157">
        <f t="shared" si="33"/>
        <v>43570</v>
      </c>
      <c r="Y119" s="387">
        <f t="shared" si="34"/>
        <v>36.061</v>
      </c>
      <c r="Z119" s="387">
        <f t="shared" si="35"/>
        <v>36.27732113823771</v>
      </c>
      <c r="AA119" s="388">
        <f t="shared" si="36"/>
        <v>38.269505689757267</v>
      </c>
      <c r="AB119" s="199">
        <f t="shared" si="37"/>
        <v>43570</v>
      </c>
      <c r="AC119" s="426">
        <f>IF(OR(t&lt;Tnet,NoTnet),'2018'!Resal_s+('2018'!Salim-'2018'!Resal_s)*(1-EXP(('2018'!Tnet_s-t)/'2018'!Tau_j)),Resal_s+(Salim-Resal_s)*(1-EXP((Tnet_s-t)/Tau_j)))*Salcycl</f>
        <v>5.2056709790551568E-2</v>
      </c>
      <c r="AD119" s="233">
        <f>(INDEX(Models!$BJ119:$BT119,,AH119)*(1-AF119)+INDEX(Models!$BJ119:$BT119,,AH119+1)*AF119-ERP_i)*AE119*Ramure*Pc/MaxiM</f>
        <v>9.2332085612976359E-4</v>
      </c>
      <c r="AE119" s="307">
        <f t="shared" si="38"/>
        <v>1</v>
      </c>
      <c r="AF119" s="179">
        <f t="shared" si="39"/>
        <v>0.96261770841466143</v>
      </c>
      <c r="AG119" s="178">
        <f t="shared" si="40"/>
        <v>-3</v>
      </c>
      <c r="AH119" s="178">
        <f t="shared" si="41"/>
        <v>3</v>
      </c>
      <c r="AI119" s="227">
        <f t="shared" si="42"/>
        <v>-2.0373822915853386</v>
      </c>
      <c r="AJ119" s="267" t="b">
        <f t="shared" si="43"/>
        <v>0</v>
      </c>
      <c r="AK119" s="267" t="b">
        <f t="shared" si="44"/>
        <v>0</v>
      </c>
      <c r="AL119" s="267"/>
      <c r="AM119" s="267"/>
      <c r="AN119" s="75"/>
    </row>
    <row r="120" spans="1:40" s="6" customFormat="1" ht="11.25" x14ac:dyDescent="0.2">
      <c r="A120" s="56">
        <f t="shared" si="45"/>
        <v>43571</v>
      </c>
      <c r="B120" s="618">
        <v>33.991</v>
      </c>
      <c r="C120" s="392"/>
      <c r="D120" s="395">
        <f t="shared" si="24"/>
        <v>34.195699497309533</v>
      </c>
      <c r="E120" s="387">
        <f t="shared" si="46"/>
        <v>36.081461976554458</v>
      </c>
      <c r="F120" s="387">
        <f t="shared" si="25"/>
        <v>36.096412815310806</v>
      </c>
      <c r="G120" s="110">
        <f t="shared" si="47"/>
        <v>0.62561810305522525</v>
      </c>
      <c r="H120" s="414" t="b">
        <f>Wh_hp&gt;='2018'!Maxi_hp</f>
        <v>1</v>
      </c>
      <c r="I120" s="392">
        <f>IF(H120,Wh_hp,'2018'!Maxi_hp)</f>
        <v>36.096412815310806</v>
      </c>
      <c r="J120" s="85">
        <f>IF(H120,An,'2018'!An_max)</f>
        <v>2019</v>
      </c>
      <c r="K120" s="199">
        <f t="shared" si="26"/>
        <v>43571</v>
      </c>
      <c r="L120" s="147">
        <f>IF(t&lt;Tvie,1-EXP((T0-t)*PertePVj)+'2018'!Pspv,1-EXP((T0-t)*PertePVj)+Pspv)</f>
        <v>5.986118146980357E-3</v>
      </c>
      <c r="M120" s="870"/>
      <c r="N120" s="870"/>
      <c r="O120" s="48">
        <f>IF(t&lt;Tnet,'2018'!Resal+('2018'!Salim-'2018'!Resal)*(1-EXP(('2018'!Tnet-t)/('2018'!Tau_j))),Resal+(Salim-Resal)*(1-EXP((Tnet-t)/(Tau_j))))*Salcycl</f>
        <v>5.2264026343230886E-2</v>
      </c>
      <c r="P120" s="171">
        <f>(INDEX(Models!$BJ120:$BT120,,T120)*(1-R120)+INDEX(Models!$BJ120:$BT120,,T120+1)*R120-ERP_i)*Q120*Ramure*Pc/MaxiM</f>
        <v>8.8959872090919737E-4</v>
      </c>
      <c r="Q120" s="307">
        <f t="shared" si="27"/>
        <v>1</v>
      </c>
      <c r="R120" s="179">
        <f t="shared" si="28"/>
        <v>0.96504202957776064</v>
      </c>
      <c r="S120" s="837">
        <f t="shared" si="29"/>
        <v>-3</v>
      </c>
      <c r="T120" s="178">
        <f t="shared" si="30"/>
        <v>3</v>
      </c>
      <c r="U120" s="253">
        <f t="shared" si="31"/>
        <v>-2.0349579704222394</v>
      </c>
      <c r="V120" s="385">
        <f t="shared" si="32"/>
        <v>54.306027242548097</v>
      </c>
      <c r="W120" s="58"/>
      <c r="X120" s="157">
        <f t="shared" si="33"/>
        <v>43571</v>
      </c>
      <c r="Y120" s="387">
        <f t="shared" si="34"/>
        <v>33.991</v>
      </c>
      <c r="Z120" s="387">
        <f t="shared" si="35"/>
        <v>34.195699497309533</v>
      </c>
      <c r="AA120" s="388">
        <f t="shared" si="36"/>
        <v>36.081461976554458</v>
      </c>
      <c r="AB120" s="199">
        <f t="shared" si="37"/>
        <v>43571</v>
      </c>
      <c r="AC120" s="426">
        <f>IF(OR(t&lt;Tnet,NoTnet),'2018'!Resal_s+('2018'!Salim-'2018'!Resal_s)*(1-EXP(('2018'!Tnet_s-t)/'2018'!Tau_j)),Resal_s+(Salim-Resal_s)*(1-EXP((Tnet_s-t)/Tau_j)))*Salcycl</f>
        <v>5.2264026343230886E-2</v>
      </c>
      <c r="AD120" s="233">
        <f>(INDEX(Models!$BJ120:$BT120,,AH120)*(1-AF120)+INDEX(Models!$BJ120:$BT120,,AH120+1)*AF120-ERP_i)*AE120*Ramure*Pc/MaxiM</f>
        <v>8.8959872090919737E-4</v>
      </c>
      <c r="AE120" s="307">
        <f t="shared" si="38"/>
        <v>1</v>
      </c>
      <c r="AF120" s="179">
        <f t="shared" si="39"/>
        <v>0.96504202957776064</v>
      </c>
      <c r="AG120" s="178">
        <f t="shared" si="40"/>
        <v>-3</v>
      </c>
      <c r="AH120" s="178">
        <f t="shared" si="41"/>
        <v>3</v>
      </c>
      <c r="AI120" s="227">
        <f t="shared" si="42"/>
        <v>-2.0349579704222394</v>
      </c>
      <c r="AJ120" s="267" t="b">
        <f t="shared" si="43"/>
        <v>0</v>
      </c>
      <c r="AK120" s="267" t="b">
        <f t="shared" si="44"/>
        <v>0</v>
      </c>
      <c r="AL120" s="267"/>
      <c r="AM120" s="267"/>
      <c r="AN120" s="75"/>
    </row>
    <row r="121" spans="1:40" s="6" customFormat="1" ht="11.25" x14ac:dyDescent="0.2">
      <c r="A121" s="56">
        <f t="shared" si="45"/>
        <v>43572</v>
      </c>
      <c r="B121" s="618">
        <v>32.253</v>
      </c>
      <c r="C121" s="392"/>
      <c r="D121" s="395">
        <f t="shared" si="24"/>
        <v>32.447988082187756</v>
      </c>
      <c r="E121" s="387">
        <f t="shared" si="46"/>
        <v>34.244913651908355</v>
      </c>
      <c r="F121" s="387">
        <f t="shared" si="25"/>
        <v>34.257089492115064</v>
      </c>
      <c r="G121" s="110">
        <f t="shared" si="47"/>
        <v>0.59040361785697693</v>
      </c>
      <c r="H121" s="414" t="b">
        <f>Wh_hp&gt;='2018'!Maxi_hp</f>
        <v>1</v>
      </c>
      <c r="I121" s="392">
        <f>IF(H121,Wh_hp,'2018'!Maxi_hp)</f>
        <v>34.257089492115064</v>
      </c>
      <c r="J121" s="85">
        <f>IF(H121,An,'2018'!An_max)</f>
        <v>2019</v>
      </c>
      <c r="K121" s="199">
        <f t="shared" si="26"/>
        <v>43572</v>
      </c>
      <c r="L121" s="147">
        <f>IF(t&lt;Tvie,1-EXP((T0-t)*PertePVj)+'2018'!Pspv,1-EXP((T0-t)*PertePVj)+Pspv)</f>
        <v>6.0092503021719201E-3</v>
      </c>
      <c r="M121" s="870"/>
      <c r="N121" s="870"/>
      <c r="O121" s="48">
        <f>IF(t&lt;Tnet,'2018'!Resal+('2018'!Salim-'2018'!Resal)*(1-EXP(('2018'!Tnet-t)/('2018'!Tau_j))),Resal+(Salim-Resal)*(1-EXP((Tnet-t)/(Tau_j))))*Salcycl</f>
        <v>5.2472772686359477E-2</v>
      </c>
      <c r="P121" s="171">
        <f>(INDEX(Models!$BJ121:$BT121,,T121)*(1-R121)+INDEX(Models!$BJ121:$BT121,,T121+1)*R121-ERP_i)*Q121*Ramure*Pc/MaxiM</f>
        <v>8.5585952481143134E-4</v>
      </c>
      <c r="Q121" s="307">
        <f t="shared" si="27"/>
        <v>1</v>
      </c>
      <c r="R121" s="179">
        <f t="shared" si="28"/>
        <v>0.96754851472630854</v>
      </c>
      <c r="S121" s="837">
        <f t="shared" si="29"/>
        <v>-3</v>
      </c>
      <c r="T121" s="178">
        <f t="shared" si="30"/>
        <v>3</v>
      </c>
      <c r="U121" s="253">
        <f t="shared" si="31"/>
        <v>-2.0324514852736915</v>
      </c>
      <c r="V121" s="385">
        <f t="shared" si="32"/>
        <v>54.601382486177783</v>
      </c>
      <c r="W121" s="58"/>
      <c r="X121" s="157">
        <f t="shared" si="33"/>
        <v>43572</v>
      </c>
      <c r="Y121" s="387">
        <f t="shared" si="34"/>
        <v>32.253</v>
      </c>
      <c r="Z121" s="387">
        <f t="shared" si="35"/>
        <v>32.447988082187756</v>
      </c>
      <c r="AA121" s="388">
        <f t="shared" si="36"/>
        <v>34.244913651908355</v>
      </c>
      <c r="AB121" s="199">
        <f t="shared" si="37"/>
        <v>43572</v>
      </c>
      <c r="AC121" s="426">
        <f>IF(OR(t&lt;Tnet,NoTnet),'2018'!Resal_s+('2018'!Salim-'2018'!Resal_s)*(1-EXP(('2018'!Tnet_s-t)/'2018'!Tau_j)),Resal_s+(Salim-Resal_s)*(1-EXP((Tnet_s-t)/Tau_j)))*Salcycl</f>
        <v>5.2472772686359477E-2</v>
      </c>
      <c r="AD121" s="233">
        <f>(INDEX(Models!$BJ121:$BT121,,AH121)*(1-AF121)+INDEX(Models!$BJ121:$BT121,,AH121+1)*AF121-ERP_i)*AE121*Ramure*Pc/MaxiM</f>
        <v>8.5585952481143134E-4</v>
      </c>
      <c r="AE121" s="307">
        <f t="shared" si="38"/>
        <v>1</v>
      </c>
      <c r="AF121" s="179">
        <f t="shared" si="39"/>
        <v>0.96754851472630854</v>
      </c>
      <c r="AG121" s="178">
        <f t="shared" si="40"/>
        <v>-3</v>
      </c>
      <c r="AH121" s="178">
        <f t="shared" si="41"/>
        <v>3</v>
      </c>
      <c r="AI121" s="227">
        <f t="shared" si="42"/>
        <v>-2.0324514852736915</v>
      </c>
      <c r="AJ121" s="267" t="b">
        <f t="shared" si="43"/>
        <v>0</v>
      </c>
      <c r="AK121" s="267" t="b">
        <f t="shared" si="44"/>
        <v>0</v>
      </c>
      <c r="AL121" s="267"/>
      <c r="AM121" s="267"/>
      <c r="AN121" s="75"/>
    </row>
    <row r="122" spans="1:40" s="18" customFormat="1" ht="11.25" x14ac:dyDescent="0.2">
      <c r="A122" s="56">
        <f t="shared" si="45"/>
        <v>43573</v>
      </c>
      <c r="B122" s="618">
        <v>25.41</v>
      </c>
      <c r="C122" s="392"/>
      <c r="D122" s="395">
        <f t="shared" si="24"/>
        <v>25.564213096860097</v>
      </c>
      <c r="E122" s="387">
        <f t="shared" si="46"/>
        <v>26.98591127717955</v>
      </c>
      <c r="F122" s="387">
        <f t="shared" si="25"/>
        <v>26.991074110625309</v>
      </c>
      <c r="G122" s="110">
        <f t="shared" si="47"/>
        <v>0.46262329782040212</v>
      </c>
      <c r="H122" s="414" t="b">
        <f>Wh_hp&gt;='2018'!Maxi_hp</f>
        <v>1</v>
      </c>
      <c r="I122" s="392">
        <f>IF(H122,Wh_hp,'2018'!Maxi_hp)</f>
        <v>26.991074110625309</v>
      </c>
      <c r="J122" s="85">
        <f>IF(H122,An,'2018'!An_max)</f>
        <v>2019</v>
      </c>
      <c r="K122" s="199">
        <f t="shared" si="26"/>
        <v>43573</v>
      </c>
      <c r="L122" s="147">
        <f>IF(t&lt;Tvie,1-EXP((T0-t)*PertePVj)+'2018'!Pspv,1-EXP((T0-t)*PertePVj)+Pspv)</f>
        <v>6.0323819190444272E-3</v>
      </c>
      <c r="M122" s="870"/>
      <c r="N122" s="870"/>
      <c r="O122" s="48">
        <f>IF(t&lt;Tnet,'2018'!Resal+('2018'!Salim-'2018'!Resal)*(1-EXP(('2018'!Tnet-t)/('2018'!Tau_j))),Resal+(Salim-Resal)*(1-EXP((Tnet-t)/(Tau_j))))*Salcycl</f>
        <v>5.2682978377747165E-2</v>
      </c>
      <c r="P122" s="171">
        <f>(INDEX(Models!$BJ122:$BT122,,T122)*(1-R122)+INDEX(Models!$BJ122:$BT122,,T122+1)*R122-ERP_i)*Q122*Ramure*Pc/MaxiM</f>
        <v>8.2187204530920275E-4</v>
      </c>
      <c r="Q122" s="307">
        <f t="shared" si="27"/>
        <v>1</v>
      </c>
      <c r="R122" s="179">
        <f t="shared" si="28"/>
        <v>0.97013918717812064</v>
      </c>
      <c r="S122" s="837">
        <f t="shared" si="29"/>
        <v>-3</v>
      </c>
      <c r="T122" s="178">
        <f t="shared" si="30"/>
        <v>3</v>
      </c>
      <c r="U122" s="253">
        <f t="shared" si="31"/>
        <v>-2.0298608128218794</v>
      </c>
      <c r="V122" s="385">
        <f t="shared" si="32"/>
        <v>54.891255352164656</v>
      </c>
      <c r="W122" s="58"/>
      <c r="X122" s="157">
        <f t="shared" si="33"/>
        <v>43573</v>
      </c>
      <c r="Y122" s="387">
        <f t="shared" si="34"/>
        <v>25.41</v>
      </c>
      <c r="Z122" s="387">
        <f t="shared" si="35"/>
        <v>25.564213096860097</v>
      </c>
      <c r="AA122" s="388">
        <f t="shared" si="36"/>
        <v>26.98591127717955</v>
      </c>
      <c r="AB122" s="199">
        <f t="shared" si="37"/>
        <v>43573</v>
      </c>
      <c r="AC122" s="426">
        <f>IF(OR(t&lt;Tnet,NoTnet),'2018'!Resal_s+('2018'!Salim-'2018'!Resal_s)*(1-EXP(('2018'!Tnet_s-t)/'2018'!Tau_j)),Resal_s+(Salim-Resal_s)*(1-EXP((Tnet_s-t)/Tau_j)))*Salcycl</f>
        <v>5.2682978377747165E-2</v>
      </c>
      <c r="AD122" s="233">
        <f>(INDEX(Models!$BJ122:$BT122,,AH122)*(1-AF122)+INDEX(Models!$BJ122:$BT122,,AH122+1)*AF122-ERP_i)*AE122*Ramure*Pc/MaxiM</f>
        <v>8.2187204530920275E-4</v>
      </c>
      <c r="AE122" s="307">
        <f t="shared" si="38"/>
        <v>1</v>
      </c>
      <c r="AF122" s="179">
        <f t="shared" si="39"/>
        <v>0.97013918717812064</v>
      </c>
      <c r="AG122" s="178">
        <f t="shared" si="40"/>
        <v>-3</v>
      </c>
      <c r="AH122" s="178">
        <f t="shared" si="41"/>
        <v>3</v>
      </c>
      <c r="AI122" s="227">
        <f t="shared" si="42"/>
        <v>-2.0298608128218794</v>
      </c>
      <c r="AJ122" s="267" t="b">
        <f t="shared" si="43"/>
        <v>0</v>
      </c>
      <c r="AK122" s="267" t="b">
        <f t="shared" si="44"/>
        <v>0</v>
      </c>
      <c r="AL122" s="267"/>
      <c r="AM122" s="267"/>
      <c r="AN122" s="267"/>
    </row>
    <row r="123" spans="1:40" s="18" customFormat="1" ht="11.25" x14ac:dyDescent="0.2">
      <c r="A123" s="56">
        <f t="shared" si="45"/>
        <v>43574</v>
      </c>
      <c r="B123" s="618">
        <v>49.012999999999998</v>
      </c>
      <c r="C123" s="392"/>
      <c r="D123" s="395">
        <f t="shared" si="24"/>
        <v>49.311607077591404</v>
      </c>
      <c r="E123" s="387">
        <f t="shared" si="46"/>
        <v>52.065599864566927</v>
      </c>
      <c r="F123" s="387">
        <f t="shared" si="25"/>
        <v>52.100106255540659</v>
      </c>
      <c r="G123" s="110">
        <f t="shared" si="47"/>
        <v>0.88820231095025304</v>
      </c>
      <c r="H123" s="414" t="b">
        <f>Wh_hp&gt;='2018'!Maxi_hp</f>
        <v>1</v>
      </c>
      <c r="I123" s="392">
        <f>IF(H123,Wh_hp,'2018'!Maxi_hp)</f>
        <v>52.100106255540659</v>
      </c>
      <c r="J123" s="85">
        <f>IF(H123,An,'2018'!An_max)</f>
        <v>2019</v>
      </c>
      <c r="K123" s="199">
        <f t="shared" si="26"/>
        <v>43574</v>
      </c>
      <c r="L123" s="147">
        <f>IF(t&lt;Tvie,1-EXP((T0-t)*PertePVj)+'2018'!Pspv,1-EXP((T0-t)*PertePVj)+Pspv)</f>
        <v>6.0555129976103128E-3</v>
      </c>
      <c r="M123" s="870"/>
      <c r="N123" s="870"/>
      <c r="O123" s="48">
        <f>IF(t&lt;Tnet,'2018'!Resal+('2018'!Salim-'2018'!Resal)*(1-EXP(('2018'!Tnet-t)/('2018'!Tau_j))),Resal+(Salim-Resal)*(1-EXP((Tnet-t)/(Tau_j))))*Salcycl</f>
        <v>5.2894671225131584E-2</v>
      </c>
      <c r="P123" s="171">
        <f>(INDEX(Models!$BJ123:$BT123,,T123)*(1-R123)+INDEX(Models!$BJ123:$BT123,,T123+1)*R123-ERP_i)*Q123*Ramure*Pc/MaxiM</f>
        <v>7.8804266426576997E-4</v>
      </c>
      <c r="Q123" s="307">
        <f t="shared" si="27"/>
        <v>1</v>
      </c>
      <c r="R123" s="179">
        <f t="shared" si="28"/>
        <v>0.97281606149661215</v>
      </c>
      <c r="S123" s="837">
        <f t="shared" si="29"/>
        <v>-3</v>
      </c>
      <c r="T123" s="178">
        <f t="shared" si="30"/>
        <v>3</v>
      </c>
      <c r="U123" s="253">
        <f t="shared" si="31"/>
        <v>-2.0271839385033879</v>
      </c>
      <c r="V123" s="385">
        <f t="shared" si="32"/>
        <v>55.175304936628464</v>
      </c>
      <c r="W123" s="58"/>
      <c r="X123" s="157">
        <f t="shared" si="33"/>
        <v>43574</v>
      </c>
      <c r="Y123" s="387">
        <f t="shared" si="34"/>
        <v>49.012999999999998</v>
      </c>
      <c r="Z123" s="387">
        <f t="shared" si="35"/>
        <v>49.311607077591404</v>
      </c>
      <c r="AA123" s="388">
        <f t="shared" si="36"/>
        <v>52.065599864566927</v>
      </c>
      <c r="AB123" s="199">
        <f t="shared" si="37"/>
        <v>43574</v>
      </c>
      <c r="AC123" s="426">
        <f>IF(OR(t&lt;Tnet,NoTnet),'2018'!Resal_s+('2018'!Salim-'2018'!Resal_s)*(1-EXP(('2018'!Tnet_s-t)/'2018'!Tau_j)),Resal_s+(Salim-Resal_s)*(1-EXP((Tnet_s-t)/Tau_j)))*Salcycl</f>
        <v>5.2894671225131584E-2</v>
      </c>
      <c r="AD123" s="233">
        <f>(INDEX(Models!$BJ123:$BT123,,AH123)*(1-AF123)+INDEX(Models!$BJ123:$BT123,,AH123+1)*AF123-ERP_i)*AE123*Ramure*Pc/MaxiM</f>
        <v>7.8804266426576997E-4</v>
      </c>
      <c r="AE123" s="307">
        <f t="shared" si="38"/>
        <v>1</v>
      </c>
      <c r="AF123" s="179">
        <f t="shared" si="39"/>
        <v>0.97281606149661215</v>
      </c>
      <c r="AG123" s="178">
        <f t="shared" si="40"/>
        <v>-3</v>
      </c>
      <c r="AH123" s="178">
        <f t="shared" si="41"/>
        <v>3</v>
      </c>
      <c r="AI123" s="227">
        <f t="shared" si="42"/>
        <v>-2.0271839385033879</v>
      </c>
      <c r="AJ123" s="267" t="b">
        <f t="shared" si="43"/>
        <v>0</v>
      </c>
      <c r="AK123" s="267" t="b">
        <f t="shared" si="44"/>
        <v>0</v>
      </c>
      <c r="AL123" s="267"/>
      <c r="AM123" s="267"/>
      <c r="AN123" s="267"/>
    </row>
    <row r="124" spans="1:40" s="6" customFormat="1" ht="11.25" customHeight="1" x14ac:dyDescent="0.2">
      <c r="A124" s="56">
        <f t="shared" si="45"/>
        <v>43575</v>
      </c>
      <c r="B124" s="618">
        <v>45.716000000000001</v>
      </c>
      <c r="C124" s="392"/>
      <c r="D124" s="395">
        <f t="shared" si="24"/>
        <v>45.995590800792321</v>
      </c>
      <c r="E124" s="387">
        <f t="shared" si="46"/>
        <v>48.575323093263179</v>
      </c>
      <c r="F124" s="387">
        <f t="shared" si="25"/>
        <v>48.602789768147602</v>
      </c>
      <c r="G124" s="110">
        <f t="shared" si="47"/>
        <v>0.82425059272336876</v>
      </c>
      <c r="H124" s="414" t="b">
        <f>Wh_hp&gt;='2018'!Maxi_hp</f>
        <v>1</v>
      </c>
      <c r="I124" s="392">
        <f>IF(H124,Wh_hp,'2018'!Maxi_hp)</f>
        <v>48.602789768147602</v>
      </c>
      <c r="J124" s="85">
        <f>IF(H124,An,'2018'!An_max)</f>
        <v>2019</v>
      </c>
      <c r="K124" s="199">
        <f t="shared" si="26"/>
        <v>43575</v>
      </c>
      <c r="L124" s="147">
        <f>IF(t&lt;Tvie,1-EXP((T0-t)*PertePVj)+'2018'!Pspv,1-EXP((T0-t)*PertePVj)+Pspv)</f>
        <v>6.0786435378823445E-3</v>
      </c>
      <c r="M124" s="870"/>
      <c r="N124" s="870"/>
      <c r="O124" s="48">
        <f>IF(t&lt;Tnet,'2018'!Resal+('2018'!Salim-'2018'!Resal)*(1-EXP(('2018'!Tnet-t)/('2018'!Tau_j))),Resal+(Salim-Resal)*(1-EXP((Tnet-t)/(Tau_j))))*Salcycl</f>
        <v>5.310787717289802E-2</v>
      </c>
      <c r="P124" s="171">
        <f>(INDEX(Models!$BJ124:$BT124,,T124)*(1-R124)+INDEX(Models!$BJ124:$BT124,,T124+1)*R124-ERP_i)*Q124*Ramure*Pc/MaxiM</f>
        <v>7.543531571535954E-4</v>
      </c>
      <c r="Q124" s="307">
        <f t="shared" si="27"/>
        <v>1</v>
      </c>
      <c r="R124" s="179">
        <f t="shared" si="28"/>
        <v>0.97558113811674874</v>
      </c>
      <c r="S124" s="837">
        <f t="shared" si="29"/>
        <v>-3</v>
      </c>
      <c r="T124" s="178">
        <f t="shared" si="30"/>
        <v>3</v>
      </c>
      <c r="U124" s="253">
        <f t="shared" si="31"/>
        <v>-2.0244188618832513</v>
      </c>
      <c r="V124" s="385">
        <f t="shared" si="32"/>
        <v>55.453213839939309</v>
      </c>
      <c r="W124" s="58"/>
      <c r="X124" s="157">
        <f t="shared" si="33"/>
        <v>43575</v>
      </c>
      <c r="Y124" s="387">
        <f t="shared" si="34"/>
        <v>45.716000000000001</v>
      </c>
      <c r="Z124" s="387">
        <f t="shared" si="35"/>
        <v>45.995590800792321</v>
      </c>
      <c r="AA124" s="388">
        <f t="shared" si="36"/>
        <v>48.575323093263179</v>
      </c>
      <c r="AB124" s="199">
        <f t="shared" si="37"/>
        <v>43575</v>
      </c>
      <c r="AC124" s="426">
        <f>IF(OR(t&lt;Tnet,NoTnet),'2018'!Resal_s+('2018'!Salim-'2018'!Resal_s)*(1-EXP(('2018'!Tnet_s-t)/'2018'!Tau_j)),Resal_s+(Salim-Resal_s)*(1-EXP((Tnet_s-t)/Tau_j)))*Salcycl</f>
        <v>5.310787717289802E-2</v>
      </c>
      <c r="AD124" s="233">
        <f>(INDEX(Models!$BJ124:$BT124,,AH124)*(1-AF124)+INDEX(Models!$BJ124:$BT124,,AH124+1)*AF124-ERP_i)*AE124*Ramure*Pc/MaxiM</f>
        <v>7.543531571535954E-4</v>
      </c>
      <c r="AE124" s="307">
        <f t="shared" si="38"/>
        <v>1</v>
      </c>
      <c r="AF124" s="179">
        <f t="shared" si="39"/>
        <v>0.97558113811674874</v>
      </c>
      <c r="AG124" s="178">
        <f t="shared" si="40"/>
        <v>-3</v>
      </c>
      <c r="AH124" s="178">
        <f t="shared" si="41"/>
        <v>3</v>
      </c>
      <c r="AI124" s="227">
        <f t="shared" si="42"/>
        <v>-2.0244188618832513</v>
      </c>
      <c r="AJ124" s="267" t="b">
        <f t="shared" si="43"/>
        <v>0</v>
      </c>
      <c r="AK124" s="267" t="b">
        <f t="shared" si="44"/>
        <v>0</v>
      </c>
      <c r="AL124" s="267"/>
      <c r="AM124" s="267"/>
      <c r="AN124" s="75"/>
    </row>
    <row r="125" spans="1:40" s="6" customFormat="1" ht="11.25" x14ac:dyDescent="0.2">
      <c r="A125" s="56">
        <f t="shared" si="45"/>
        <v>43576</v>
      </c>
      <c r="B125" s="618">
        <v>19.373000000000001</v>
      </c>
      <c r="C125" s="392"/>
      <c r="D125" s="395">
        <f t="shared" si="24"/>
        <v>19.491935375515233</v>
      </c>
      <c r="E125" s="387">
        <f t="shared" si="46"/>
        <v>20.589839570595323</v>
      </c>
      <c r="F125" s="387">
        <f t="shared" si="25"/>
        <v>20.590849982008685</v>
      </c>
      <c r="G125" s="110">
        <f t="shared" si="47"/>
        <v>0.34742220889947362</v>
      </c>
      <c r="H125" s="414" t="b">
        <f>Wh_hp&gt;='2018'!Maxi_hp</f>
        <v>1</v>
      </c>
      <c r="I125" s="392">
        <f>IF(H125,Wh_hp,'2018'!Maxi_hp)</f>
        <v>20.590849982008685</v>
      </c>
      <c r="J125" s="85">
        <f>IF(H125,An,'2018'!An_max)</f>
        <v>2019</v>
      </c>
      <c r="K125" s="199">
        <f t="shared" si="26"/>
        <v>43576</v>
      </c>
      <c r="L125" s="147">
        <f>IF(t&lt;Tvie,1-EXP((T0-t)*PertePVj)+'2018'!Pspv,1-EXP((T0-t)*PertePVj)+Pspv)</f>
        <v>6.1017735398728457E-3</v>
      </c>
      <c r="M125" s="870"/>
      <c r="N125" s="870"/>
      <c r="O125" s="48">
        <f>IF(t&lt;Tnet,'2018'!Resal+('2018'!Salim-'2018'!Resal)*(1-EXP(('2018'!Tnet-t)/('2018'!Tau_j))),Resal+(Salim-Resal)*(1-EXP((Tnet-t)/(Tau_j))))*Salcycl</f>
        <v>5.3322620184376064E-2</v>
      </c>
      <c r="P125" s="171">
        <f>(INDEX(Models!$BJ125:$BT125,,T125)*(1-R125)+INDEX(Models!$BJ125:$BT125,,T125+1)*R125-ERP_i)*Q125*Ramure*Pc/MaxiM</f>
        <v>7.2078665049741739E-4</v>
      </c>
      <c r="Q125" s="307">
        <f t="shared" si="27"/>
        <v>1</v>
      </c>
      <c r="R125" s="179">
        <f t="shared" si="28"/>
        <v>0.97843639760841139</v>
      </c>
      <c r="S125" s="837">
        <f t="shared" si="29"/>
        <v>-3</v>
      </c>
      <c r="T125" s="178">
        <f t="shared" si="30"/>
        <v>3</v>
      </c>
      <c r="U125" s="253">
        <f t="shared" si="31"/>
        <v>-2.0215636023915886</v>
      </c>
      <c r="V125" s="385">
        <f t="shared" si="32"/>
        <v>55.724665021773838</v>
      </c>
      <c r="W125" s="58"/>
      <c r="X125" s="157">
        <f t="shared" si="33"/>
        <v>43576</v>
      </c>
      <c r="Y125" s="387">
        <f t="shared" si="34"/>
        <v>19.373000000000001</v>
      </c>
      <c r="Z125" s="387">
        <f t="shared" si="35"/>
        <v>19.491935375515233</v>
      </c>
      <c r="AA125" s="388">
        <f t="shared" si="36"/>
        <v>20.589839570595323</v>
      </c>
      <c r="AB125" s="199">
        <f t="shared" si="37"/>
        <v>43576</v>
      </c>
      <c r="AC125" s="426">
        <f>IF(OR(t&lt;Tnet,NoTnet),'2018'!Resal_s+('2018'!Salim-'2018'!Resal_s)*(1-EXP(('2018'!Tnet_s-t)/'2018'!Tau_j)),Resal_s+(Salim-Resal_s)*(1-EXP((Tnet_s-t)/Tau_j)))*Salcycl</f>
        <v>5.3322620184376064E-2</v>
      </c>
      <c r="AD125" s="233">
        <f>(INDEX(Models!$BJ125:$BT125,,AH125)*(1-AF125)+INDEX(Models!$BJ125:$BT125,,AH125+1)*AF125-ERP_i)*AE125*Ramure*Pc/MaxiM</f>
        <v>7.2078665049741739E-4</v>
      </c>
      <c r="AE125" s="307">
        <f t="shared" si="38"/>
        <v>1</v>
      </c>
      <c r="AF125" s="179">
        <f t="shared" si="39"/>
        <v>0.97843639760841139</v>
      </c>
      <c r="AG125" s="178">
        <f t="shared" si="40"/>
        <v>-3</v>
      </c>
      <c r="AH125" s="178">
        <f t="shared" si="41"/>
        <v>3</v>
      </c>
      <c r="AI125" s="227">
        <f t="shared" si="42"/>
        <v>-2.0215636023915886</v>
      </c>
      <c r="AJ125" s="267" t="b">
        <f t="shared" si="43"/>
        <v>0</v>
      </c>
      <c r="AK125" s="267" t="b">
        <f t="shared" si="44"/>
        <v>0</v>
      </c>
      <c r="AL125" s="267"/>
      <c r="AM125" s="267"/>
      <c r="AN125" s="75"/>
    </row>
    <row r="126" spans="1:40" s="6" customFormat="1" ht="11.25" customHeight="1" x14ac:dyDescent="0.2">
      <c r="A126" s="56">
        <f t="shared" si="45"/>
        <v>43577</v>
      </c>
      <c r="B126" s="618">
        <v>32.776000000000003</v>
      </c>
      <c r="C126" s="392"/>
      <c r="D126" s="395">
        <f t="shared" si="24"/>
        <v>32.977986971453959</v>
      </c>
      <c r="E126" s="387">
        <f t="shared" si="46"/>
        <v>34.84346873018157</v>
      </c>
      <c r="F126" s="387">
        <f t="shared" si="25"/>
        <v>34.853235634939274</v>
      </c>
      <c r="G126" s="110">
        <f t="shared" si="47"/>
        <v>0.58515874885262842</v>
      </c>
      <c r="H126" s="414" t="b">
        <f>Wh_hp&gt;='2018'!Maxi_hp</f>
        <v>1</v>
      </c>
      <c r="I126" s="392">
        <f>IF(H126,Wh_hp,'2018'!Maxi_hp)</f>
        <v>34.853235634939274</v>
      </c>
      <c r="J126" s="85">
        <f>IF(H126,An,'2018'!An_max)</f>
        <v>2019</v>
      </c>
      <c r="K126" s="199">
        <f t="shared" si="26"/>
        <v>43577</v>
      </c>
      <c r="L126" s="147">
        <f>IF(t&lt;Tvie,1-EXP((T0-t)*PertePVj)+'2018'!Pspv,1-EXP((T0-t)*PertePVj)+Pspv)</f>
        <v>6.1249030035944729E-3</v>
      </c>
      <c r="M126" s="870"/>
      <c r="N126" s="870"/>
      <c r="O126" s="48">
        <f>IF(t&lt;Tnet,'2018'!Resal+('2018'!Salim-'2018'!Resal)*(1-EXP(('2018'!Tnet-t)/('2018'!Tau_j))),Resal+(Salim-Resal)*(1-EXP((Tnet-t)/(Tau_j))))*Salcycl</f>
        <v>5.3538922119763625E-2</v>
      </c>
      <c r="P126" s="171">
        <f>(INDEX(Models!$BJ126:$BT126,,T126)*(1-R126)+INDEX(Models!$BJ126:$BT126,,T126+1)*R126-ERP_i)*Q126*Ramure*Pc/MaxiM</f>
        <v>6.8732523831357712E-4</v>
      </c>
      <c r="Q126" s="307">
        <f t="shared" si="27"/>
        <v>1</v>
      </c>
      <c r="R126" s="179">
        <f t="shared" si="28"/>
        <v>0.98138379457404668</v>
      </c>
      <c r="S126" s="837">
        <f t="shared" si="29"/>
        <v>-3</v>
      </c>
      <c r="T126" s="178">
        <f t="shared" si="30"/>
        <v>3</v>
      </c>
      <c r="U126" s="253">
        <f t="shared" si="31"/>
        <v>-2.0186162054259533</v>
      </c>
      <c r="V126" s="385">
        <f t="shared" si="32"/>
        <v>55.989341959159489</v>
      </c>
      <c r="W126" s="58"/>
      <c r="X126" s="157">
        <f t="shared" si="33"/>
        <v>43577</v>
      </c>
      <c r="Y126" s="387">
        <f t="shared" si="34"/>
        <v>32.776000000000003</v>
      </c>
      <c r="Z126" s="387">
        <f t="shared" si="35"/>
        <v>32.977986971453959</v>
      </c>
      <c r="AA126" s="388">
        <f t="shared" si="36"/>
        <v>34.84346873018157</v>
      </c>
      <c r="AB126" s="199">
        <f t="shared" si="37"/>
        <v>43577</v>
      </c>
      <c r="AC126" s="426">
        <f>IF(OR(t&lt;Tnet,NoTnet),'2018'!Resal_s+('2018'!Salim-'2018'!Resal_s)*(1-EXP(('2018'!Tnet_s-t)/'2018'!Tau_j)),Resal_s+(Salim-Resal_s)*(1-EXP((Tnet_s-t)/Tau_j)))*Salcycl</f>
        <v>5.3538922119763625E-2</v>
      </c>
      <c r="AD126" s="233">
        <f>(INDEX(Models!$BJ126:$BT126,,AH126)*(1-AF126)+INDEX(Models!$BJ126:$BT126,,AH126+1)*AF126-ERP_i)*AE126*Ramure*Pc/MaxiM</f>
        <v>6.8732523831357712E-4</v>
      </c>
      <c r="AE126" s="307">
        <f t="shared" si="38"/>
        <v>1</v>
      </c>
      <c r="AF126" s="179">
        <f t="shared" si="39"/>
        <v>0.98138379457404668</v>
      </c>
      <c r="AG126" s="178">
        <f t="shared" si="40"/>
        <v>-3</v>
      </c>
      <c r="AH126" s="178">
        <f t="shared" si="41"/>
        <v>3</v>
      </c>
      <c r="AI126" s="227">
        <f t="shared" si="42"/>
        <v>-2.0186162054259533</v>
      </c>
      <c r="AJ126" s="267" t="b">
        <f t="shared" si="43"/>
        <v>0</v>
      </c>
      <c r="AK126" s="267" t="b">
        <f t="shared" si="44"/>
        <v>0</v>
      </c>
      <c r="AL126" s="267"/>
      <c r="AM126" s="267"/>
      <c r="AN126" s="75"/>
    </row>
    <row r="127" spans="1:40" s="6" customFormat="1" ht="11.25" customHeight="1" x14ac:dyDescent="0.2">
      <c r="A127" s="56">
        <f t="shared" si="45"/>
        <v>43578</v>
      </c>
      <c r="B127" s="618">
        <v>36.167999999999999</v>
      </c>
      <c r="C127" s="392"/>
      <c r="D127" s="395">
        <f t="shared" si="24"/>
        <v>36.391737564500509</v>
      </c>
      <c r="E127" s="387">
        <f t="shared" si="46"/>
        <v>38.459180118676422</v>
      </c>
      <c r="F127" s="387">
        <f t="shared" si="25"/>
        <v>38.471508502303521</v>
      </c>
      <c r="G127" s="110">
        <f t="shared" si="47"/>
        <v>0.64280726337063054</v>
      </c>
      <c r="H127" s="414" t="b">
        <f>Wh_hp&gt;='2018'!Maxi_hp</f>
        <v>1</v>
      </c>
      <c r="I127" s="392">
        <f>IF(H127,Wh_hp,'2018'!Maxi_hp)</f>
        <v>38.471508502303521</v>
      </c>
      <c r="J127" s="85">
        <f>IF(H127,An,'2018'!An_max)</f>
        <v>2019</v>
      </c>
      <c r="K127" s="199">
        <f t="shared" si="26"/>
        <v>43578</v>
      </c>
      <c r="L127" s="147">
        <f>IF(t&lt;Tvie,1-EXP((T0-t)*PertePVj)+'2018'!Pspv,1-EXP((T0-t)*PertePVj)+Pspv)</f>
        <v>6.1480319290596608E-3</v>
      </c>
      <c r="M127" s="870"/>
      <c r="N127" s="870"/>
      <c r="O127" s="48">
        <f>IF(t&lt;Tnet,'2018'!Resal+('2018'!Salim-'2018'!Resal)*(1-EXP(('2018'!Tnet-t)/('2018'!Tau_j))),Resal+(Salim-Resal)*(1-EXP((Tnet-t)/(Tau_j))))*Salcycl</f>
        <v>5.3756802609838533E-2</v>
      </c>
      <c r="P127" s="171">
        <f>(INDEX(Models!$BJ127:$BT127,,T127)*(1-R127)+INDEX(Models!$BJ127:$BT127,,T127+1)*R127-ERP_i)*Q127*Ramure*Pc/MaxiM</f>
        <v>6.539480872041829E-4</v>
      </c>
      <c r="Q127" s="307">
        <f t="shared" si="27"/>
        <v>1</v>
      </c>
      <c r="R127" s="179">
        <f t="shared" si="28"/>
        <v>0.98442525117969337</v>
      </c>
      <c r="S127" s="837">
        <f t="shared" si="29"/>
        <v>-3</v>
      </c>
      <c r="T127" s="178">
        <f t="shared" si="30"/>
        <v>3</v>
      </c>
      <c r="U127" s="253">
        <f t="shared" si="31"/>
        <v>-2.0155747488203066</v>
      </c>
      <c r="V127" s="385">
        <f t="shared" si="32"/>
        <v>56.24692876450348</v>
      </c>
      <c r="W127" s="58"/>
      <c r="X127" s="157">
        <f t="shared" si="33"/>
        <v>43578</v>
      </c>
      <c r="Y127" s="387">
        <f t="shared" si="34"/>
        <v>36.167999999999999</v>
      </c>
      <c r="Z127" s="387">
        <f t="shared" si="35"/>
        <v>36.391737564500509</v>
      </c>
      <c r="AA127" s="388">
        <f t="shared" si="36"/>
        <v>38.459180118676422</v>
      </c>
      <c r="AB127" s="199">
        <f t="shared" si="37"/>
        <v>43578</v>
      </c>
      <c r="AC127" s="426">
        <f>IF(OR(t&lt;Tnet,NoTnet),'2018'!Resal_s+('2018'!Salim-'2018'!Resal_s)*(1-EXP(('2018'!Tnet_s-t)/'2018'!Tau_j)),Resal_s+(Salim-Resal_s)*(1-EXP((Tnet_s-t)/Tau_j)))*Salcycl</f>
        <v>5.3756802609838533E-2</v>
      </c>
      <c r="AD127" s="233">
        <f>(INDEX(Models!$BJ127:$BT127,,AH127)*(1-AF127)+INDEX(Models!$BJ127:$BT127,,AH127+1)*AF127-ERP_i)*AE127*Ramure*Pc/MaxiM</f>
        <v>6.539480872041829E-4</v>
      </c>
      <c r="AE127" s="307">
        <f t="shared" si="38"/>
        <v>1</v>
      </c>
      <c r="AF127" s="179">
        <f t="shared" si="39"/>
        <v>0.98442525117969337</v>
      </c>
      <c r="AG127" s="178">
        <f t="shared" si="40"/>
        <v>-3</v>
      </c>
      <c r="AH127" s="178">
        <f t="shared" si="41"/>
        <v>3</v>
      </c>
      <c r="AI127" s="227">
        <f t="shared" si="42"/>
        <v>-2.0155747488203066</v>
      </c>
      <c r="AJ127" s="267" t="b">
        <f t="shared" si="43"/>
        <v>0</v>
      </c>
      <c r="AK127" s="267" t="b">
        <f t="shared" si="44"/>
        <v>0</v>
      </c>
      <c r="AL127" s="267"/>
      <c r="AM127" s="267"/>
      <c r="AN127" s="75"/>
    </row>
    <row r="128" spans="1:40" s="6" customFormat="1" ht="11.25" customHeight="1" x14ac:dyDescent="0.2">
      <c r="A128" s="56">
        <f t="shared" si="45"/>
        <v>43579</v>
      </c>
      <c r="B128" s="618">
        <v>50.5</v>
      </c>
      <c r="C128" s="392"/>
      <c r="D128" s="395">
        <f t="shared" si="24"/>
        <v>50.813578740652531</v>
      </c>
      <c r="E128" s="387">
        <f t="shared" si="46"/>
        <v>53.712795576574564</v>
      </c>
      <c r="F128" s="387">
        <f t="shared" si="25"/>
        <v>53.741111182306867</v>
      </c>
      <c r="G128" s="110">
        <f t="shared" si="47"/>
        <v>0.8937671915213441</v>
      </c>
      <c r="H128" s="414" t="b">
        <f>Wh_hp&gt;='2018'!Maxi_hp</f>
        <v>1</v>
      </c>
      <c r="I128" s="392">
        <f>IF(H128,Wh_hp,'2018'!Maxi_hp)</f>
        <v>53.741111182306867</v>
      </c>
      <c r="J128" s="85">
        <f>IF(H128,An,'2018'!An_max)</f>
        <v>2019</v>
      </c>
      <c r="K128" s="199">
        <f t="shared" si="26"/>
        <v>43579</v>
      </c>
      <c r="L128" s="147">
        <f>IF(t&lt;Tvie,1-EXP((T0-t)*PertePVj)+'2018'!Pspv,1-EXP((T0-t)*PertePVj)+Pspv)</f>
        <v>6.1711603162809547E-3</v>
      </c>
      <c r="M128" s="870"/>
      <c r="N128" s="870"/>
      <c r="O128" s="48">
        <f>IF(t&lt;Tnet,'2018'!Resal+('2018'!Salim-'2018'!Resal)*(1-EXP(('2018'!Tnet-t)/('2018'!Tau_j))),Resal+(Salim-Resal)*(1-EXP((Tnet-t)/(Tau_j))))*Salcycl</f>
        <v>5.3976278925732465E-2</v>
      </c>
      <c r="P128" s="171">
        <f>(INDEX(Models!$BJ128:$BT128,,T128)*(1-R128)+INDEX(Models!$BJ128:$BT128,,T128+1)*R128-ERP_i)*Q128*Ramure*Pc/MaxiM</f>
        <v>6.2106843403652093E-4</v>
      </c>
      <c r="Q128" s="307">
        <f t="shared" si="27"/>
        <v>1</v>
      </c>
      <c r="R128" s="179">
        <f t="shared" si="28"/>
        <v>0.9875626503209074</v>
      </c>
      <c r="S128" s="837">
        <f t="shared" si="29"/>
        <v>-3</v>
      </c>
      <c r="T128" s="178">
        <f t="shared" si="30"/>
        <v>3</v>
      </c>
      <c r="U128" s="253">
        <f t="shared" si="31"/>
        <v>-2.0124373496790926</v>
      </c>
      <c r="V128" s="385">
        <f t="shared" si="32"/>
        <v>56.497085499939978</v>
      </c>
      <c r="W128" s="58"/>
      <c r="X128" s="157">
        <f t="shared" si="33"/>
        <v>43579</v>
      </c>
      <c r="Y128" s="387">
        <f t="shared" si="34"/>
        <v>50.5</v>
      </c>
      <c r="Z128" s="387">
        <f t="shared" si="35"/>
        <v>50.813578740652531</v>
      </c>
      <c r="AA128" s="388">
        <f t="shared" si="36"/>
        <v>53.712795576574564</v>
      </c>
      <c r="AB128" s="199">
        <f t="shared" si="37"/>
        <v>43579</v>
      </c>
      <c r="AC128" s="426">
        <f>IF(OR(t&lt;Tnet,NoTnet),'2018'!Resal_s+('2018'!Salim-'2018'!Resal_s)*(1-EXP(('2018'!Tnet_s-t)/'2018'!Tau_j)),Resal_s+(Salim-Resal_s)*(1-EXP((Tnet_s-t)/Tau_j)))*Salcycl</f>
        <v>5.3976278925732465E-2</v>
      </c>
      <c r="AD128" s="233">
        <f>(INDEX(Models!$BJ128:$BT128,,AH128)*(1-AF128)+INDEX(Models!$BJ128:$BT128,,AH128+1)*AF128-ERP_i)*AE128*Ramure*Pc/MaxiM</f>
        <v>6.2106843403652093E-4</v>
      </c>
      <c r="AE128" s="307">
        <f t="shared" si="38"/>
        <v>1</v>
      </c>
      <c r="AF128" s="179">
        <f t="shared" si="39"/>
        <v>0.9875626503209074</v>
      </c>
      <c r="AG128" s="178">
        <f t="shared" si="40"/>
        <v>-3</v>
      </c>
      <c r="AH128" s="178">
        <f t="shared" si="41"/>
        <v>3</v>
      </c>
      <c r="AI128" s="227">
        <f t="shared" si="42"/>
        <v>-2.0124373496790926</v>
      </c>
      <c r="AJ128" s="267" t="b">
        <f t="shared" si="43"/>
        <v>0</v>
      </c>
      <c r="AK128" s="267" t="b">
        <f t="shared" si="44"/>
        <v>0</v>
      </c>
      <c r="AL128" s="267"/>
      <c r="AM128" s="267"/>
      <c r="AN128" s="75"/>
    </row>
    <row r="129" spans="1:40" s="6" customFormat="1" ht="11.25" customHeight="1" x14ac:dyDescent="0.2">
      <c r="A129" s="56">
        <f t="shared" si="45"/>
        <v>43580</v>
      </c>
      <c r="B129" s="618">
        <v>34.786999999999999</v>
      </c>
      <c r="C129" s="392"/>
      <c r="D129" s="395">
        <f t="shared" si="24"/>
        <v>35.003823771325955</v>
      </c>
      <c r="E129" s="387">
        <f t="shared" si="46"/>
        <v>37.009649272762942</v>
      </c>
      <c r="F129" s="387">
        <f t="shared" si="25"/>
        <v>37.019396165999574</v>
      </c>
      <c r="G129" s="110">
        <f t="shared" si="47"/>
        <v>0.61290071457171802</v>
      </c>
      <c r="H129" s="414" t="b">
        <f>Wh_hp&gt;='2018'!Maxi_hp</f>
        <v>1</v>
      </c>
      <c r="I129" s="392">
        <f>IF(H129,Wh_hp,'2018'!Maxi_hp)</f>
        <v>37.019396165999574</v>
      </c>
      <c r="J129" s="85">
        <f>IF(H129,An,'2018'!An_max)</f>
        <v>2019</v>
      </c>
      <c r="K129" s="199">
        <f t="shared" si="26"/>
        <v>43580</v>
      </c>
      <c r="L129" s="147">
        <f>IF(t&lt;Tvie,1-EXP((T0-t)*PertePVj)+'2018'!Pspv,1-EXP((T0-t)*PertePVj)+Pspv)</f>
        <v>6.1942881652709003E-3</v>
      </c>
      <c r="M129" s="870"/>
      <c r="N129" s="870"/>
      <c r="O129" s="48">
        <f>IF(t&lt;Tnet,'2018'!Resal+('2018'!Salim-'2018'!Resal)*(1-EXP(('2018'!Tnet-t)/('2018'!Tau_j))),Resal+(Salim-Resal)*(1-EXP((Tnet-t)/(Tau_j))))*Salcycl</f>
        <v>5.4197365845159932E-2</v>
      </c>
      <c r="P129" s="171">
        <f>(INDEX(Models!$BJ129:$BT129,,T129)*(1-R129)+INDEX(Models!$BJ129:$BT129,,T129+1)*R129-ERP_i)*Q129*Ramure*Pc/MaxiM</f>
        <v>5.886423688902403E-4</v>
      </c>
      <c r="Q129" s="307">
        <f t="shared" si="27"/>
        <v>1</v>
      </c>
      <c r="R129" s="179">
        <f t="shared" si="28"/>
        <v>0.99079782842785979</v>
      </c>
      <c r="S129" s="837">
        <f t="shared" si="29"/>
        <v>-3</v>
      </c>
      <c r="T129" s="178">
        <f t="shared" si="30"/>
        <v>3</v>
      </c>
      <c r="U129" s="253">
        <f t="shared" si="31"/>
        <v>-2.0092021715721402</v>
      </c>
      <c r="V129" s="385">
        <f t="shared" si="32"/>
        <v>56.739498278687321</v>
      </c>
      <c r="W129" s="58"/>
      <c r="X129" s="157">
        <f t="shared" si="33"/>
        <v>43580</v>
      </c>
      <c r="Y129" s="387">
        <f t="shared" si="34"/>
        <v>34.786999999999999</v>
      </c>
      <c r="Z129" s="387">
        <f t="shared" si="35"/>
        <v>35.003823771325955</v>
      </c>
      <c r="AA129" s="388">
        <f t="shared" si="36"/>
        <v>37.009649272762942</v>
      </c>
      <c r="AB129" s="199">
        <f t="shared" si="37"/>
        <v>43580</v>
      </c>
      <c r="AC129" s="426">
        <f>IF(OR(t&lt;Tnet,NoTnet),'2018'!Resal_s+('2018'!Salim-'2018'!Resal_s)*(1-EXP(('2018'!Tnet_s-t)/'2018'!Tau_j)),Resal_s+(Salim-Resal_s)*(1-EXP((Tnet_s-t)/Tau_j)))*Salcycl</f>
        <v>5.4197365845159932E-2</v>
      </c>
      <c r="AD129" s="233">
        <f>(INDEX(Models!$BJ129:$BT129,,AH129)*(1-AF129)+INDEX(Models!$BJ129:$BT129,,AH129+1)*AF129-ERP_i)*AE129*Ramure*Pc/MaxiM</f>
        <v>5.886423688902403E-4</v>
      </c>
      <c r="AE129" s="307">
        <f t="shared" si="38"/>
        <v>1</v>
      </c>
      <c r="AF129" s="179">
        <f t="shared" si="39"/>
        <v>0.99079782842785979</v>
      </c>
      <c r="AG129" s="178">
        <f t="shared" si="40"/>
        <v>-3</v>
      </c>
      <c r="AH129" s="178">
        <f t="shared" si="41"/>
        <v>3</v>
      </c>
      <c r="AI129" s="227">
        <f t="shared" si="42"/>
        <v>-2.0092021715721402</v>
      </c>
      <c r="AJ129" s="267" t="b">
        <f t="shared" si="43"/>
        <v>0</v>
      </c>
      <c r="AK129" s="267" t="b">
        <f t="shared" si="44"/>
        <v>0</v>
      </c>
      <c r="AL129" s="267"/>
      <c r="AM129" s="267"/>
      <c r="AN129" s="75"/>
    </row>
    <row r="130" spans="1:40" s="6" customFormat="1" ht="11.25" customHeight="1" x14ac:dyDescent="0.2">
      <c r="A130" s="56">
        <f t="shared" si="45"/>
        <v>43581</v>
      </c>
      <c r="B130" s="618">
        <v>33.15</v>
      </c>
      <c r="C130" s="392"/>
      <c r="D130" s="395">
        <f t="shared" si="24"/>
        <v>33.357396795074166</v>
      </c>
      <c r="E130" s="387">
        <f t="shared" si="46"/>
        <v>35.277183801531756</v>
      </c>
      <c r="F130" s="387">
        <f t="shared" si="25"/>
        <v>35.28509212781303</v>
      </c>
      <c r="G130" s="110">
        <f t="shared" si="47"/>
        <v>0.58165233660824933</v>
      </c>
      <c r="H130" s="414" t="b">
        <f>Wh_hp&gt;='2018'!Maxi_hp</f>
        <v>1</v>
      </c>
      <c r="I130" s="392">
        <f>IF(H130,Wh_hp,'2018'!Maxi_hp)</f>
        <v>35.28509212781303</v>
      </c>
      <c r="J130" s="85">
        <f>IF(H130,An,'2018'!An_max)</f>
        <v>2019</v>
      </c>
      <c r="K130" s="199">
        <f t="shared" si="26"/>
        <v>43581</v>
      </c>
      <c r="L130" s="147">
        <f>IF(t&lt;Tvie,1-EXP((T0-t)*PertePVj)+'2018'!Pspv,1-EXP((T0-t)*PertePVj)+Pspv)</f>
        <v>6.217415476041932E-3</v>
      </c>
      <c r="M130" s="870"/>
      <c r="N130" s="870"/>
      <c r="O130" s="48">
        <f>IF(t&lt;Tnet,'2018'!Resal+('2018'!Salim-'2018'!Resal)*(1-EXP(('2018'!Tnet-t)/('2018'!Tau_j))),Resal+(Salim-Resal)*(1-EXP((Tnet-t)/(Tau_j))))*Salcycl</f>
        <v>5.4420075515615104E-2</v>
      </c>
      <c r="P130" s="171">
        <f>(INDEX(Models!$BJ130:$BT130,,T130)*(1-R130)+INDEX(Models!$BJ130:$BT130,,T130+1)*R130-ERP_i)*Q130*Ramure*Pc/MaxiM</f>
        <v>5.5664679189662298E-4</v>
      </c>
      <c r="Q130" s="307">
        <f t="shared" si="27"/>
        <v>1</v>
      </c>
      <c r="R130" s="179">
        <f t="shared" si="28"/>
        <v>0.99413256791686244</v>
      </c>
      <c r="S130" s="837">
        <f t="shared" si="29"/>
        <v>-3</v>
      </c>
      <c r="T130" s="178">
        <f t="shared" si="30"/>
        <v>3</v>
      </c>
      <c r="U130" s="253">
        <f t="shared" si="31"/>
        <v>-2.0058674320831376</v>
      </c>
      <c r="V130" s="385">
        <f t="shared" si="32"/>
        <v>56.973852587626794</v>
      </c>
      <c r="W130" s="58"/>
      <c r="X130" s="157">
        <f t="shared" si="33"/>
        <v>43581</v>
      </c>
      <c r="Y130" s="387">
        <f t="shared" si="34"/>
        <v>33.15</v>
      </c>
      <c r="Z130" s="387">
        <f t="shared" si="35"/>
        <v>33.357396795074166</v>
      </c>
      <c r="AA130" s="388">
        <f t="shared" si="36"/>
        <v>35.277183801531756</v>
      </c>
      <c r="AB130" s="199">
        <f t="shared" si="37"/>
        <v>43581</v>
      </c>
      <c r="AC130" s="426">
        <f>IF(OR(t&lt;Tnet,NoTnet),'2018'!Resal_s+('2018'!Salim-'2018'!Resal_s)*(1-EXP(('2018'!Tnet_s-t)/'2018'!Tau_j)),Resal_s+(Salim-Resal_s)*(1-EXP((Tnet_s-t)/Tau_j)))*Salcycl</f>
        <v>5.4420075515615104E-2</v>
      </c>
      <c r="AD130" s="233">
        <f>(INDEX(Models!$BJ130:$BT130,,AH130)*(1-AF130)+INDEX(Models!$BJ130:$BT130,,AH130+1)*AF130-ERP_i)*AE130*Ramure*Pc/MaxiM</f>
        <v>5.5664679189662298E-4</v>
      </c>
      <c r="AE130" s="307">
        <f t="shared" si="38"/>
        <v>1</v>
      </c>
      <c r="AF130" s="179">
        <f t="shared" si="39"/>
        <v>0.99413256791686244</v>
      </c>
      <c r="AG130" s="178">
        <f t="shared" si="40"/>
        <v>-3</v>
      </c>
      <c r="AH130" s="178">
        <f t="shared" si="41"/>
        <v>3</v>
      </c>
      <c r="AI130" s="227">
        <f t="shared" si="42"/>
        <v>-2.0058674320831376</v>
      </c>
      <c r="AJ130" s="267" t="b">
        <f t="shared" si="43"/>
        <v>0</v>
      </c>
      <c r="AK130" s="267" t="b">
        <f t="shared" si="44"/>
        <v>0</v>
      </c>
      <c r="AL130" s="267"/>
      <c r="AM130" s="267"/>
      <c r="AN130" s="75"/>
    </row>
    <row r="131" spans="1:40" s="6" customFormat="1" ht="11.25" customHeight="1" x14ac:dyDescent="0.2">
      <c r="A131" s="56">
        <f t="shared" si="45"/>
        <v>43582</v>
      </c>
      <c r="B131" s="618">
        <v>31.824999999999999</v>
      </c>
      <c r="C131" s="392"/>
      <c r="D131" s="395">
        <f t="shared" si="24"/>
        <v>32.024852444686459</v>
      </c>
      <c r="E131" s="387">
        <f t="shared" si="46"/>
        <v>33.875985958357781</v>
      </c>
      <c r="F131" s="387">
        <f t="shared" si="25"/>
        <v>33.882501850948501</v>
      </c>
      <c r="G131" s="110">
        <f t="shared" si="47"/>
        <v>0.5561975568020403</v>
      </c>
      <c r="H131" s="414" t="b">
        <f>Wh_hp&gt;='2018'!Maxi_hp</f>
        <v>1</v>
      </c>
      <c r="I131" s="392">
        <f>IF(H131,Wh_hp,'2018'!Maxi_hp)</f>
        <v>33.882501850948501</v>
      </c>
      <c r="J131" s="85">
        <f>IF(H131,An,'2018'!An_max)</f>
        <v>2019</v>
      </c>
      <c r="K131" s="199">
        <f t="shared" si="26"/>
        <v>43582</v>
      </c>
      <c r="L131" s="147">
        <f>IF(t&lt;Tvie,1-EXP((T0-t)*PertePVj)+'2018'!Pspv,1-EXP((T0-t)*PertePVj)+Pspv)</f>
        <v>6.2405422486067064E-3</v>
      </c>
      <c r="M131" s="870"/>
      <c r="N131" s="870"/>
      <c r="O131" s="48">
        <f>IF(t&lt;Tnet,'2018'!Resal+('2018'!Salim-'2018'!Resal)*(1-EXP(('2018'!Tnet-t)/('2018'!Tau_j))),Resal+(Salim-Resal)*(1-EXP((Tnet-t)/(Tau_j))))*Salcycl</f>
        <v>5.4644417315169377E-2</v>
      </c>
      <c r="P131" s="171">
        <f>(INDEX(Models!$BJ131:$BT131,,T131)*(1-R131)+INDEX(Models!$BJ131:$BT131,,T131+1)*R131-ERP_i)*Q131*Ramure*Pc/MaxiM</f>
        <v>5.2505853246875335E-4</v>
      </c>
      <c r="Q131" s="307">
        <f t="shared" si="27"/>
        <v>1</v>
      </c>
      <c r="R131" s="179">
        <f t="shared" si="28"/>
        <v>0.99756858929885128</v>
      </c>
      <c r="S131" s="837">
        <f t="shared" si="29"/>
        <v>-3</v>
      </c>
      <c r="T131" s="178">
        <f t="shared" si="30"/>
        <v>3</v>
      </c>
      <c r="U131" s="253">
        <f t="shared" si="31"/>
        <v>-2.0024314107011487</v>
      </c>
      <c r="V131" s="385">
        <f t="shared" si="32"/>
        <v>57.199834490032529</v>
      </c>
      <c r="W131" s="58"/>
      <c r="X131" s="157">
        <f t="shared" si="33"/>
        <v>43582</v>
      </c>
      <c r="Y131" s="387">
        <f t="shared" si="34"/>
        <v>31.824999999999999</v>
      </c>
      <c r="Z131" s="387">
        <f t="shared" si="35"/>
        <v>32.024852444686459</v>
      </c>
      <c r="AA131" s="388">
        <f t="shared" si="36"/>
        <v>33.875985958357781</v>
      </c>
      <c r="AB131" s="199">
        <f t="shared" si="37"/>
        <v>43582</v>
      </c>
      <c r="AC131" s="426">
        <f>IF(OR(t&lt;Tnet,NoTnet),'2018'!Resal_s+('2018'!Salim-'2018'!Resal_s)*(1-EXP(('2018'!Tnet_s-t)/'2018'!Tau_j)),Resal_s+(Salim-Resal_s)*(1-EXP((Tnet_s-t)/Tau_j)))*Salcycl</f>
        <v>5.4644417315169377E-2</v>
      </c>
      <c r="AD131" s="233">
        <f>(INDEX(Models!$BJ131:$BT131,,AH131)*(1-AF131)+INDEX(Models!$BJ131:$BT131,,AH131+1)*AF131-ERP_i)*AE131*Ramure*Pc/MaxiM</f>
        <v>5.2505853246875335E-4</v>
      </c>
      <c r="AE131" s="307">
        <f t="shared" si="38"/>
        <v>1</v>
      </c>
      <c r="AF131" s="179">
        <f t="shared" si="39"/>
        <v>0.99756858929885128</v>
      </c>
      <c r="AG131" s="178">
        <f t="shared" si="40"/>
        <v>-3</v>
      </c>
      <c r="AH131" s="178">
        <f t="shared" si="41"/>
        <v>3</v>
      </c>
      <c r="AI131" s="227">
        <f t="shared" si="42"/>
        <v>-2.0024314107011487</v>
      </c>
      <c r="AJ131" s="267" t="b">
        <f t="shared" si="43"/>
        <v>0</v>
      </c>
      <c r="AK131" s="267" t="b">
        <f t="shared" si="44"/>
        <v>0</v>
      </c>
      <c r="AL131" s="267"/>
      <c r="AM131" s="267"/>
      <c r="AN131" s="75"/>
    </row>
    <row r="132" spans="1:40" s="6" customFormat="1" ht="11.25" customHeight="1" x14ac:dyDescent="0.2">
      <c r="A132" s="56">
        <f t="shared" si="45"/>
        <v>43583</v>
      </c>
      <c r="B132" s="618">
        <v>45.134</v>
      </c>
      <c r="C132" s="392"/>
      <c r="D132" s="395">
        <f t="shared" si="24"/>
        <v>45.418486341441444</v>
      </c>
      <c r="E132" s="387">
        <f t="shared" si="46"/>
        <v>48.055299750925997</v>
      </c>
      <c r="F132" s="387">
        <f t="shared" si="25"/>
        <v>48.071799484183821</v>
      </c>
      <c r="G132" s="110">
        <f t="shared" si="47"/>
        <v>0.78595358103326463</v>
      </c>
      <c r="H132" s="414" t="b">
        <f>Wh_hp&gt;='2018'!Maxi_hp</f>
        <v>1</v>
      </c>
      <c r="I132" s="392">
        <f>IF(H132,Wh_hp,'2018'!Maxi_hp)</f>
        <v>48.071799484183821</v>
      </c>
      <c r="J132" s="85">
        <f>IF(H132,An,'2018'!An_max)</f>
        <v>2019</v>
      </c>
      <c r="K132" s="199">
        <f t="shared" si="26"/>
        <v>43583</v>
      </c>
      <c r="L132" s="147">
        <f>IF(t&lt;Tvie,1-EXP((T0-t)*PertePVj)+'2018'!Pspv,1-EXP((T0-t)*PertePVj)+Pspv)</f>
        <v>6.2636684829777689E-3</v>
      </c>
      <c r="M132" s="870"/>
      <c r="N132" s="870"/>
      <c r="O132" s="48">
        <f>IF(t&lt;Tnet,'2018'!Resal+('2018'!Salim-'2018'!Resal)*(1-EXP(('2018'!Tnet-t)/('2018'!Tau_j))),Resal+(Salim-Resal)*(1-EXP((Tnet-t)/(Tau_j))))*Salcycl</f>
        <v>5.4870397711622713E-2</v>
      </c>
      <c r="P132" s="171">
        <f>(INDEX(Models!$BJ132:$BT132,,T132)*(1-R132)+INDEX(Models!$BJ132:$BT132,,T132+1)*R132-ERP_i)*Q132*Ramure*Pc/MaxiM</f>
        <v>4.9429207984293556E-4</v>
      </c>
      <c r="Q132" s="307">
        <f t="shared" si="27"/>
        <v>1</v>
      </c>
      <c r="R132" s="179">
        <f t="shared" si="28"/>
        <v>1.1075429588793817E-3</v>
      </c>
      <c r="S132" s="837">
        <f t="shared" si="29"/>
        <v>-2</v>
      </c>
      <c r="T132" s="178">
        <f t="shared" si="30"/>
        <v>4</v>
      </c>
      <c r="U132" s="253">
        <f t="shared" si="31"/>
        <v>-1.9988924570411206</v>
      </c>
      <c r="V132" s="385">
        <f t="shared" si="32"/>
        <v>57.417105486442075</v>
      </c>
      <c r="W132" s="58"/>
      <c r="X132" s="157">
        <f t="shared" si="33"/>
        <v>43583</v>
      </c>
      <c r="Y132" s="387">
        <f t="shared" si="34"/>
        <v>45.134</v>
      </c>
      <c r="Z132" s="387">
        <f t="shared" si="35"/>
        <v>45.418486341441444</v>
      </c>
      <c r="AA132" s="388">
        <f t="shared" si="36"/>
        <v>48.055299750925997</v>
      </c>
      <c r="AB132" s="199">
        <f t="shared" si="37"/>
        <v>43583</v>
      </c>
      <c r="AC132" s="426">
        <f>IF(OR(t&lt;Tnet,NoTnet),'2018'!Resal_s+('2018'!Salim-'2018'!Resal_s)*(1-EXP(('2018'!Tnet_s-t)/'2018'!Tau_j)),Resal_s+(Salim-Resal_s)*(1-EXP((Tnet_s-t)/Tau_j)))*Salcycl</f>
        <v>5.4870397711622713E-2</v>
      </c>
      <c r="AD132" s="233">
        <f>(INDEX(Models!$BJ132:$BT132,,AH132)*(1-AF132)+INDEX(Models!$BJ132:$BT132,,AH132+1)*AF132-ERP_i)*AE132*Ramure*Pc/MaxiM</f>
        <v>4.9429207984293556E-4</v>
      </c>
      <c r="AE132" s="307">
        <f t="shared" si="38"/>
        <v>1</v>
      </c>
      <c r="AF132" s="179">
        <f t="shared" si="39"/>
        <v>1.1075429588793817E-3</v>
      </c>
      <c r="AG132" s="178">
        <f t="shared" si="40"/>
        <v>-2</v>
      </c>
      <c r="AH132" s="178">
        <f t="shared" si="41"/>
        <v>4</v>
      </c>
      <c r="AI132" s="227">
        <f t="shared" si="42"/>
        <v>-1.9988924570411206</v>
      </c>
      <c r="AJ132" s="267" t="b">
        <f t="shared" si="43"/>
        <v>0</v>
      </c>
      <c r="AK132" s="267" t="b">
        <f t="shared" si="44"/>
        <v>0</v>
      </c>
      <c r="AL132" s="267"/>
      <c r="AM132" s="267"/>
      <c r="AN132" s="75"/>
    </row>
    <row r="133" spans="1:40" s="6" customFormat="1" ht="11.25" customHeight="1" x14ac:dyDescent="0.2">
      <c r="A133" s="56">
        <f t="shared" si="45"/>
        <v>43584</v>
      </c>
      <c r="B133" s="618">
        <v>51.438000000000002</v>
      </c>
      <c r="C133" s="392"/>
      <c r="D133" s="395">
        <f t="shared" si="24"/>
        <v>51.763426005303913</v>
      </c>
      <c r="E133" s="387">
        <f t="shared" si="46"/>
        <v>54.781794416311548</v>
      </c>
      <c r="F133" s="387">
        <f t="shared" si="25"/>
        <v>54.803359565450826</v>
      </c>
      <c r="G133" s="110">
        <f t="shared" si="47"/>
        <v>0.89256470033199575</v>
      </c>
      <c r="H133" s="414" t="b">
        <f>Wh_hp&gt;='2018'!Maxi_hp</f>
        <v>1</v>
      </c>
      <c r="I133" s="392">
        <f>IF(H133,Wh_hp,'2018'!Maxi_hp)</f>
        <v>54.803359565450826</v>
      </c>
      <c r="J133" s="85">
        <f>IF(H133,An,'2018'!An_max)</f>
        <v>2019</v>
      </c>
      <c r="K133" s="199">
        <f t="shared" si="26"/>
        <v>43584</v>
      </c>
      <c r="L133" s="147">
        <f>IF(t&lt;Tvie,1-EXP((T0-t)*PertePVj)+'2018'!Pspv,1-EXP((T0-t)*PertePVj)+Pspv)</f>
        <v>6.2867941791674431E-3</v>
      </c>
      <c r="M133" s="870"/>
      <c r="N133" s="870"/>
      <c r="O133" s="48">
        <f>IF(t&lt;Tnet,'2018'!Resal+('2018'!Salim-'2018'!Resal)*(1-EXP(('2018'!Tnet-t)/('2018'!Tau_j))),Resal+(Salim-Resal)*(1-EXP((Tnet-t)/(Tau_j))))*Salcycl</f>
        <v>5.5098020120876202E-2</v>
      </c>
      <c r="P133" s="171">
        <f>(INDEX(Models!$BJ133:$BT133,,T133)*(1-R133)+INDEX(Models!$BJ133:$BT133,,T133+1)*R133-ERP_i)*Q133*Ramure*Pc/MaxiM</f>
        <v>4.6479440296764844E-4</v>
      </c>
      <c r="Q133" s="307">
        <f t="shared" si="27"/>
        <v>1</v>
      </c>
      <c r="R133" s="179">
        <f t="shared" si="28"/>
        <v>4.7510006244642078E-3</v>
      </c>
      <c r="S133" s="837">
        <f t="shared" si="29"/>
        <v>-2</v>
      </c>
      <c r="T133" s="178">
        <f t="shared" si="30"/>
        <v>4</v>
      </c>
      <c r="U133" s="253">
        <f t="shared" si="31"/>
        <v>-1.9952489993755358</v>
      </c>
      <c r="V133" s="385">
        <f t="shared" si="32"/>
        <v>57.625325448376387</v>
      </c>
      <c r="W133" s="58"/>
      <c r="X133" s="157">
        <f t="shared" si="33"/>
        <v>43584</v>
      </c>
      <c r="Y133" s="387">
        <f t="shared" si="34"/>
        <v>51.438000000000002</v>
      </c>
      <c r="Z133" s="387">
        <f t="shared" si="35"/>
        <v>51.763426005303913</v>
      </c>
      <c r="AA133" s="388">
        <f t="shared" si="36"/>
        <v>54.781794416311548</v>
      </c>
      <c r="AB133" s="199">
        <f t="shared" si="37"/>
        <v>43584</v>
      </c>
      <c r="AC133" s="426">
        <f>IF(OR(t&lt;Tnet,NoTnet),'2018'!Resal_s+('2018'!Salim-'2018'!Resal_s)*(1-EXP(('2018'!Tnet_s-t)/'2018'!Tau_j)),Resal_s+(Salim-Resal_s)*(1-EXP((Tnet_s-t)/Tau_j)))*Salcycl</f>
        <v>5.5098020120876202E-2</v>
      </c>
      <c r="AD133" s="233">
        <f>(INDEX(Models!$BJ133:$BT133,,AH133)*(1-AF133)+INDEX(Models!$BJ133:$BT133,,AH133+1)*AF133-ERP_i)*AE133*Ramure*Pc/MaxiM</f>
        <v>4.6479440296764844E-4</v>
      </c>
      <c r="AE133" s="307">
        <f t="shared" si="38"/>
        <v>1</v>
      </c>
      <c r="AF133" s="179">
        <f t="shared" si="39"/>
        <v>4.7510006244642078E-3</v>
      </c>
      <c r="AG133" s="178">
        <f t="shared" si="40"/>
        <v>-2</v>
      </c>
      <c r="AH133" s="178">
        <f t="shared" si="41"/>
        <v>4</v>
      </c>
      <c r="AI133" s="227">
        <f t="shared" si="42"/>
        <v>-1.9952489993755358</v>
      </c>
      <c r="AJ133" s="267" t="b">
        <f t="shared" si="43"/>
        <v>0</v>
      </c>
      <c r="AK133" s="267" t="b">
        <f t="shared" si="44"/>
        <v>0</v>
      </c>
      <c r="AL133" s="267"/>
      <c r="AM133" s="267"/>
      <c r="AN133" s="75"/>
    </row>
    <row r="134" spans="1:40" s="6" customFormat="1" ht="11.25" customHeight="1" x14ac:dyDescent="0.2">
      <c r="A134" s="56">
        <f t="shared" si="45"/>
        <v>43585</v>
      </c>
      <c r="B134" s="618">
        <v>57.116</v>
      </c>
      <c r="C134" s="392"/>
      <c r="D134" s="395">
        <f t="shared" si="24"/>
        <v>57.478685871456484</v>
      </c>
      <c r="E134" s="387">
        <f t="shared" si="46"/>
        <v>60.845078877067728</v>
      </c>
      <c r="F134" s="387">
        <f t="shared" si="25"/>
        <v>60.871126204254288</v>
      </c>
      <c r="G134" s="110">
        <f t="shared" si="47"/>
        <v>0.98774431422032505</v>
      </c>
      <c r="H134" s="414" t="b">
        <f>Wh_hp&gt;='2018'!Maxi_hp</f>
        <v>1</v>
      </c>
      <c r="I134" s="392">
        <f>IF(H134,Wh_hp,'2018'!Maxi_hp)</f>
        <v>60.871126204254288</v>
      </c>
      <c r="J134" s="85">
        <f>IF(H134,An,'2018'!An_max)</f>
        <v>2019</v>
      </c>
      <c r="K134" s="199">
        <f t="shared" si="26"/>
        <v>43585</v>
      </c>
      <c r="L134" s="147">
        <f>IF(t&lt;Tvie,1-EXP((T0-t)*PertePVj)+'2018'!Pspv,1-EXP((T0-t)*PertePVj)+Pspv)</f>
        <v>6.3099193371884965E-3</v>
      </c>
      <c r="M134" s="870"/>
      <c r="N134" s="870"/>
      <c r="O134" s="48">
        <f>IF(t&lt;Tnet,'2018'!Resal+('2018'!Salim-'2018'!Resal)*(1-EXP(('2018'!Tnet-t)/('2018'!Tau_j))),Resal+(Salim-Resal)*(1-EXP((Tnet-t)/(Tau_j))))*Salcycl</f>
        <v>5.5327284765506711E-2</v>
      </c>
      <c r="P134" s="171">
        <f>(INDEX(Models!$BJ134:$BT134,,T134)*(1-R134)+INDEX(Models!$BJ134:$BT134,,T134+1)*R134-ERP_i)*Q134*Ramure*Pc/MaxiM</f>
        <v>4.3553002931060353E-4</v>
      </c>
      <c r="Q134" s="307">
        <f t="shared" si="27"/>
        <v>1</v>
      </c>
      <c r="R134" s="179">
        <f t="shared" si="28"/>
        <v>8.5004465446552047E-3</v>
      </c>
      <c r="S134" s="837">
        <f t="shared" si="29"/>
        <v>-2</v>
      </c>
      <c r="T134" s="178">
        <f t="shared" si="30"/>
        <v>4</v>
      </c>
      <c r="U134" s="253">
        <f t="shared" si="31"/>
        <v>-1.9914995534553448</v>
      </c>
      <c r="V134" s="385">
        <f t="shared" si="32"/>
        <v>57.824240273130023</v>
      </c>
      <c r="W134" s="58"/>
      <c r="X134" s="157">
        <f t="shared" si="33"/>
        <v>43585</v>
      </c>
      <c r="Y134" s="387">
        <f t="shared" si="34"/>
        <v>57.116</v>
      </c>
      <c r="Z134" s="387">
        <f t="shared" si="35"/>
        <v>57.478685871456484</v>
      </c>
      <c r="AA134" s="388">
        <f t="shared" si="36"/>
        <v>60.845078877067728</v>
      </c>
      <c r="AB134" s="199">
        <f t="shared" si="37"/>
        <v>43585</v>
      </c>
      <c r="AC134" s="426">
        <f>IF(OR(t&lt;Tnet,NoTnet),'2018'!Resal_s+('2018'!Salim-'2018'!Resal_s)*(1-EXP(('2018'!Tnet_s-t)/'2018'!Tau_j)),Resal_s+(Salim-Resal_s)*(1-EXP((Tnet_s-t)/Tau_j)))*Salcycl</f>
        <v>5.5327284765506711E-2</v>
      </c>
      <c r="AD134" s="233">
        <f>(INDEX(Models!$BJ134:$BT134,,AH134)*(1-AF134)+INDEX(Models!$BJ134:$BT134,,AH134+1)*AF134-ERP_i)*AE134*Ramure*Pc/MaxiM</f>
        <v>4.3553002931060353E-4</v>
      </c>
      <c r="AE134" s="307">
        <f t="shared" si="38"/>
        <v>1</v>
      </c>
      <c r="AF134" s="179">
        <f t="shared" si="39"/>
        <v>8.5004465446552047E-3</v>
      </c>
      <c r="AG134" s="178">
        <f t="shared" si="40"/>
        <v>-2</v>
      </c>
      <c r="AH134" s="178">
        <f t="shared" si="41"/>
        <v>4</v>
      </c>
      <c r="AI134" s="227">
        <f t="shared" si="42"/>
        <v>-1.9914995534553448</v>
      </c>
      <c r="AJ134" s="267" t="b">
        <f t="shared" si="43"/>
        <v>0</v>
      </c>
      <c r="AK134" s="267" t="b">
        <f t="shared" si="44"/>
        <v>0</v>
      </c>
      <c r="AL134" s="267"/>
      <c r="AM134" s="267"/>
      <c r="AN134" s="75"/>
    </row>
    <row r="135" spans="1:40" s="6" customFormat="1" ht="11.25" customHeight="1" x14ac:dyDescent="0.2">
      <c r="A135" s="56">
        <f t="shared" si="45"/>
        <v>43586</v>
      </c>
      <c r="B135" s="618">
        <v>53.350999999999999</v>
      </c>
      <c r="C135" s="392"/>
      <c r="D135" s="395">
        <f t="shared" si="24"/>
        <v>53.691027638131651</v>
      </c>
      <c r="E135" s="387">
        <f t="shared" si="46"/>
        <v>56.849481869958765</v>
      </c>
      <c r="F135" s="387">
        <f t="shared" si="25"/>
        <v>56.86994403885685</v>
      </c>
      <c r="G135" s="110">
        <f t="shared" si="47"/>
        <v>0.91958919143165629</v>
      </c>
      <c r="H135" s="414" t="b">
        <f>Wh_hp&gt;='2018'!Maxi_hp</f>
        <v>1</v>
      </c>
      <c r="I135" s="392">
        <f>IF(H135,Wh_hp,'2018'!Maxi_hp)</f>
        <v>56.86994403885685</v>
      </c>
      <c r="J135" s="85">
        <f>IF(H135,An,'2018'!An_max)</f>
        <v>2019</v>
      </c>
      <c r="K135" s="199">
        <f t="shared" si="26"/>
        <v>43586</v>
      </c>
      <c r="L135" s="147">
        <f>IF(t&lt;Tvie,1-EXP((T0-t)*PertePVj)+'2018'!Pspv,1-EXP((T0-t)*PertePVj)+Pspv)</f>
        <v>6.3330439570532526E-3</v>
      </c>
      <c r="M135" s="870"/>
      <c r="N135" s="870"/>
      <c r="O135" s="48">
        <f>IF(t&lt;Tnet,'2018'!Resal+('2018'!Salim-'2018'!Resal)*(1-EXP(('2018'!Tnet-t)/('2018'!Tau_j))),Resal+(Salim-Resal)*(1-EXP((Tnet-t)/(Tau_j))))*Salcycl</f>
        <v>5.555818853462851E-2</v>
      </c>
      <c r="P135" s="171">
        <f>(INDEX(Models!$BJ135:$BT135,,T135)*(1-R135)+INDEX(Models!$BJ135:$BT135,,T135+1)*R135-ERP_i)*Q135*Ramure*Pc/MaxiM</f>
        <v>4.064741944448202E-4</v>
      </c>
      <c r="Q135" s="307">
        <f t="shared" si="27"/>
        <v>1</v>
      </c>
      <c r="R135" s="179">
        <f t="shared" si="28"/>
        <v>1.2357268405938981E-2</v>
      </c>
      <c r="S135" s="837">
        <f t="shared" si="29"/>
        <v>-2</v>
      </c>
      <c r="T135" s="178">
        <f t="shared" si="30"/>
        <v>4</v>
      </c>
      <c r="U135" s="253">
        <f t="shared" si="31"/>
        <v>-1.987642731594061</v>
      </c>
      <c r="V135" s="385">
        <f t="shared" si="32"/>
        <v>58.013414931951573</v>
      </c>
      <c r="W135" s="58"/>
      <c r="X135" s="157">
        <f t="shared" si="33"/>
        <v>43586</v>
      </c>
      <c r="Y135" s="387">
        <f t="shared" si="34"/>
        <v>53.350999999999999</v>
      </c>
      <c r="Z135" s="387">
        <f t="shared" si="35"/>
        <v>53.691027638131651</v>
      </c>
      <c r="AA135" s="388">
        <f t="shared" si="36"/>
        <v>56.849481869958765</v>
      </c>
      <c r="AB135" s="199">
        <f t="shared" si="37"/>
        <v>43586</v>
      </c>
      <c r="AC135" s="426">
        <f>IF(OR(t&lt;Tnet,NoTnet),'2018'!Resal_s+('2018'!Salim-'2018'!Resal_s)*(1-EXP(('2018'!Tnet_s-t)/'2018'!Tau_j)),Resal_s+(Salim-Resal_s)*(1-EXP((Tnet_s-t)/Tau_j)))*Salcycl</f>
        <v>5.555818853462851E-2</v>
      </c>
      <c r="AD135" s="233">
        <f>(INDEX(Models!$BJ135:$BT135,,AH135)*(1-AF135)+INDEX(Models!$BJ135:$BT135,,AH135+1)*AF135-ERP_i)*AE135*Ramure*Pc/MaxiM</f>
        <v>4.064741944448202E-4</v>
      </c>
      <c r="AE135" s="307">
        <f t="shared" si="38"/>
        <v>1</v>
      </c>
      <c r="AF135" s="179">
        <f t="shared" si="39"/>
        <v>1.2357268405938981E-2</v>
      </c>
      <c r="AG135" s="178">
        <f t="shared" si="40"/>
        <v>-2</v>
      </c>
      <c r="AH135" s="178">
        <f t="shared" si="41"/>
        <v>4</v>
      </c>
      <c r="AI135" s="227">
        <f t="shared" si="42"/>
        <v>-1.987642731594061</v>
      </c>
      <c r="AJ135" s="267" t="b">
        <f t="shared" si="43"/>
        <v>0</v>
      </c>
      <c r="AK135" s="267" t="b">
        <f t="shared" si="44"/>
        <v>0</v>
      </c>
      <c r="AL135" s="267"/>
      <c r="AM135" s="267"/>
      <c r="AN135" s="75"/>
    </row>
    <row r="136" spans="1:40" s="6" customFormat="1" ht="11.25" customHeight="1" x14ac:dyDescent="0.2">
      <c r="A136" s="56">
        <f t="shared" si="45"/>
        <v>43587</v>
      </c>
      <c r="B136" s="618">
        <v>34.759</v>
      </c>
      <c r="C136" s="392"/>
      <c r="D136" s="395">
        <f t="shared" si="24"/>
        <v>34.981347321800094</v>
      </c>
      <c r="E136" s="387">
        <f t="shared" si="46"/>
        <v>37.048298764172756</v>
      </c>
      <c r="F136" s="387">
        <f t="shared" si="25"/>
        <v>37.054257819282789</v>
      </c>
      <c r="G136" s="110">
        <f t="shared" si="47"/>
        <v>0.59717693602366495</v>
      </c>
      <c r="H136" s="414" t="b">
        <f>Wh_hp&gt;='2018'!Maxi_hp</f>
        <v>1</v>
      </c>
      <c r="I136" s="392">
        <f>IF(H136,Wh_hp,'2018'!Maxi_hp)</f>
        <v>37.054257819282789</v>
      </c>
      <c r="J136" s="85">
        <f>IF(H136,An,'2018'!An_max)</f>
        <v>2019</v>
      </c>
      <c r="K136" s="199">
        <f t="shared" si="26"/>
        <v>43587</v>
      </c>
      <c r="L136" s="147">
        <f>IF(t&lt;Tvie,1-EXP((T0-t)*PertePVj)+'2018'!Pspv,1-EXP((T0-t)*PertePVj)+Pspv)</f>
        <v>6.356168038774368E-3</v>
      </c>
      <c r="M136" s="870"/>
      <c r="N136" s="870"/>
      <c r="O136" s="48">
        <f>IF(t&lt;Tnet,'2018'!Resal+('2018'!Salim-'2018'!Resal)*(1-EXP(('2018'!Tnet-t)/('2018'!Tau_j))),Resal+(Salim-Resal)*(1-EXP((Tnet-t)/(Tau_j))))*Salcycl</f>
        <v>5.5790724846223973E-2</v>
      </c>
      <c r="P136" s="171">
        <f>(INDEX(Models!$BJ136:$BT136,,T136)*(1-R136)+INDEX(Models!$BJ136:$BT136,,T136+1)*R136-ERP_i)*Q136*Ramure*Pc/MaxiM</f>
        <v>3.7864488341055822E-4</v>
      </c>
      <c r="Q136" s="307">
        <f t="shared" si="27"/>
        <v>1</v>
      </c>
      <c r="R136" s="179">
        <f t="shared" si="28"/>
        <v>1.6322748015548116E-2</v>
      </c>
      <c r="S136" s="837">
        <f t="shared" si="29"/>
        <v>-2</v>
      </c>
      <c r="T136" s="178">
        <f t="shared" si="30"/>
        <v>4</v>
      </c>
      <c r="U136" s="253">
        <f t="shared" si="31"/>
        <v>-1.9836772519844519</v>
      </c>
      <c r="V136" s="385">
        <f t="shared" si="32"/>
        <v>58.19284922233286</v>
      </c>
      <c r="W136" s="58"/>
      <c r="X136" s="157">
        <f t="shared" si="33"/>
        <v>43587</v>
      </c>
      <c r="Y136" s="387">
        <f t="shared" si="34"/>
        <v>34.759</v>
      </c>
      <c r="Z136" s="387">
        <f t="shared" si="35"/>
        <v>34.981347321800094</v>
      </c>
      <c r="AA136" s="388">
        <f t="shared" si="36"/>
        <v>37.048298764172756</v>
      </c>
      <c r="AB136" s="199">
        <f t="shared" si="37"/>
        <v>43587</v>
      </c>
      <c r="AC136" s="426">
        <f>IF(OR(t&lt;Tnet,NoTnet),'2018'!Resal_s+('2018'!Salim-'2018'!Resal_s)*(1-EXP(('2018'!Tnet_s-t)/'2018'!Tau_j)),Resal_s+(Salim-Resal_s)*(1-EXP((Tnet_s-t)/Tau_j)))*Salcycl</f>
        <v>5.5790724846223973E-2</v>
      </c>
      <c r="AD136" s="233">
        <f>(INDEX(Models!$BJ136:$BT136,,AH136)*(1-AF136)+INDEX(Models!$BJ136:$BT136,,AH136+1)*AF136-ERP_i)*AE136*Ramure*Pc/MaxiM</f>
        <v>3.7864488341055822E-4</v>
      </c>
      <c r="AE136" s="307">
        <f t="shared" si="38"/>
        <v>1</v>
      </c>
      <c r="AF136" s="179">
        <f t="shared" si="39"/>
        <v>1.6322748015548116E-2</v>
      </c>
      <c r="AG136" s="178">
        <f t="shared" si="40"/>
        <v>-2</v>
      </c>
      <c r="AH136" s="178">
        <f t="shared" si="41"/>
        <v>4</v>
      </c>
      <c r="AI136" s="227">
        <f t="shared" si="42"/>
        <v>-1.9836772519844519</v>
      </c>
      <c r="AJ136" s="267" t="b">
        <f t="shared" si="43"/>
        <v>0</v>
      </c>
      <c r="AK136" s="267" t="b">
        <f t="shared" si="44"/>
        <v>0</v>
      </c>
      <c r="AL136" s="267"/>
      <c r="AM136" s="267"/>
      <c r="AN136" s="75"/>
    </row>
    <row r="137" spans="1:40" s="6" customFormat="1" ht="11.25" customHeight="1" x14ac:dyDescent="0.2">
      <c r="A137" s="56">
        <f t="shared" si="45"/>
        <v>43588</v>
      </c>
      <c r="B137" s="618">
        <v>21.260999999999999</v>
      </c>
      <c r="C137" s="392"/>
      <c r="D137" s="395">
        <f t="shared" si="24"/>
        <v>21.39750089735815</v>
      </c>
      <c r="E137" s="387">
        <f t="shared" si="46"/>
        <v>22.667441676846018</v>
      </c>
      <c r="F137" s="387">
        <f t="shared" si="25"/>
        <v>22.668174951733242</v>
      </c>
      <c r="G137" s="110">
        <f t="shared" si="47"/>
        <v>0.36417272272507156</v>
      </c>
      <c r="H137" s="414" t="b">
        <f>Wh_hp&gt;='2018'!Maxi_hp</f>
        <v>1</v>
      </c>
      <c r="I137" s="392">
        <f>IF(H137,Wh_hp,'2018'!Maxi_hp)</f>
        <v>22.668174951733242</v>
      </c>
      <c r="J137" s="85">
        <f>IF(H137,An,'2018'!An_max)</f>
        <v>2019</v>
      </c>
      <c r="K137" s="199">
        <f t="shared" si="26"/>
        <v>43588</v>
      </c>
      <c r="L137" s="147">
        <f>IF(t&lt;Tvie,1-EXP((T0-t)*PertePVj)+'2018'!Pspv,1-EXP((T0-t)*PertePVj)+Pspv)</f>
        <v>6.3792915823643881E-3</v>
      </c>
      <c r="M137" s="870"/>
      <c r="N137" s="870"/>
      <c r="O137" s="48">
        <f>IF(t&lt;Tnet,'2018'!Resal+('2018'!Salim-'2018'!Resal)*(1-EXP(('2018'!Tnet-t)/('2018'!Tau_j))),Resal+(Salim-Resal)*(1-EXP((Tnet-t)/(Tau_j))))*Salcycl</f>
        <v>5.6024883513213844E-2</v>
      </c>
      <c r="P137" s="171">
        <f>(INDEX(Models!$BJ137:$BT137,,T137)*(1-R137)+INDEX(Models!$BJ137:$BT137,,T137+1)*R137-ERP_i)*Q137*Ramure*Pc/MaxiM</f>
        <v>3.5221668798101344E-4</v>
      </c>
      <c r="Q137" s="307">
        <f t="shared" si="27"/>
        <v>1</v>
      </c>
      <c r="R137" s="179">
        <f t="shared" si="28"/>
        <v>2.0398051787337446E-2</v>
      </c>
      <c r="S137" s="837">
        <f t="shared" si="29"/>
        <v>-2</v>
      </c>
      <c r="T137" s="178">
        <f t="shared" si="30"/>
        <v>4</v>
      </c>
      <c r="U137" s="253">
        <f t="shared" si="31"/>
        <v>-1.9796019482126626</v>
      </c>
      <c r="V137" s="385">
        <f t="shared" si="32"/>
        <v>58.362962764622743</v>
      </c>
      <c r="W137" s="58"/>
      <c r="X137" s="157">
        <f t="shared" si="33"/>
        <v>43588</v>
      </c>
      <c r="Y137" s="387">
        <f t="shared" si="34"/>
        <v>21.260999999999999</v>
      </c>
      <c r="Z137" s="387">
        <f t="shared" si="35"/>
        <v>21.39750089735815</v>
      </c>
      <c r="AA137" s="388">
        <f t="shared" si="36"/>
        <v>22.667441676846018</v>
      </c>
      <c r="AB137" s="199">
        <f t="shared" si="37"/>
        <v>43588</v>
      </c>
      <c r="AC137" s="426">
        <f>IF(OR(t&lt;Tnet,NoTnet),'2018'!Resal_s+('2018'!Salim-'2018'!Resal_s)*(1-EXP(('2018'!Tnet_s-t)/'2018'!Tau_j)),Resal_s+(Salim-Resal_s)*(1-EXP((Tnet_s-t)/Tau_j)))*Salcycl</f>
        <v>5.6024883513213844E-2</v>
      </c>
      <c r="AD137" s="233">
        <f>(INDEX(Models!$BJ137:$BT137,,AH137)*(1-AF137)+INDEX(Models!$BJ137:$BT137,,AH137+1)*AF137-ERP_i)*AE137*Ramure*Pc/MaxiM</f>
        <v>3.5221668798101344E-4</v>
      </c>
      <c r="AE137" s="307">
        <f t="shared" si="38"/>
        <v>1</v>
      </c>
      <c r="AF137" s="179">
        <f t="shared" si="39"/>
        <v>2.0398051787337446E-2</v>
      </c>
      <c r="AG137" s="178">
        <f t="shared" si="40"/>
        <v>-2</v>
      </c>
      <c r="AH137" s="178">
        <f t="shared" si="41"/>
        <v>4</v>
      </c>
      <c r="AI137" s="227">
        <f t="shared" si="42"/>
        <v>-1.9796019482126626</v>
      </c>
      <c r="AJ137" s="267" t="b">
        <f t="shared" si="43"/>
        <v>0</v>
      </c>
      <c r="AK137" s="267" t="b">
        <f t="shared" si="44"/>
        <v>0</v>
      </c>
      <c r="AL137" s="267"/>
      <c r="AM137" s="267"/>
      <c r="AN137" s="75"/>
    </row>
    <row r="138" spans="1:40" s="6" customFormat="1" ht="11.25" customHeight="1" x14ac:dyDescent="0.2">
      <c r="A138" s="56">
        <f t="shared" si="45"/>
        <v>43589</v>
      </c>
      <c r="B138" s="618">
        <v>31.178000000000001</v>
      </c>
      <c r="C138" s="392"/>
      <c r="D138" s="395">
        <f t="shared" si="24"/>
        <v>31.378900731795493</v>
      </c>
      <c r="E138" s="387">
        <f t="shared" si="46"/>
        <v>33.249541573349802</v>
      </c>
      <c r="F138" s="387">
        <f t="shared" si="25"/>
        <v>33.25315885532887</v>
      </c>
      <c r="G138" s="110">
        <f t="shared" si="47"/>
        <v>0.53262065137980696</v>
      </c>
      <c r="H138" s="414" t="b">
        <f>Wh_hp&gt;='2018'!Maxi_hp</f>
        <v>1</v>
      </c>
      <c r="I138" s="392">
        <f>IF(H138,Wh_hp,'2018'!Maxi_hp)</f>
        <v>33.25315885532887</v>
      </c>
      <c r="J138" s="85">
        <f>IF(H138,An,'2018'!An_max)</f>
        <v>2019</v>
      </c>
      <c r="K138" s="199">
        <f t="shared" si="26"/>
        <v>43589</v>
      </c>
      <c r="L138" s="147">
        <f>IF(t&lt;Tvie,1-EXP((T0-t)*PertePVj)+'2018'!Pspv,1-EXP((T0-t)*PertePVj)+Pspv)</f>
        <v>6.4024145878356364E-3</v>
      </c>
      <c r="M138" s="870"/>
      <c r="N138" s="870"/>
      <c r="O138" s="48">
        <f>IF(t&lt;Tnet,'2018'!Resal+('2018'!Salim-'2018'!Resal)*(1-EXP(('2018'!Tnet-t)/('2018'!Tau_j))),Resal+(Salim-Resal)*(1-EXP((Tnet-t)/(Tau_j))))*Salcycl</f>
        <v>5.6260650614613834E-2</v>
      </c>
      <c r="P138" s="171">
        <f>(INDEX(Models!$BJ138:$BT138,,T138)*(1-R138)+INDEX(Models!$BJ138:$BT138,,T138+1)*R138-ERP_i)*Q138*Ramure*Pc/MaxiM</f>
        <v>3.2717645593334082E-4</v>
      </c>
      <c r="Q138" s="307">
        <f t="shared" si="27"/>
        <v>1</v>
      </c>
      <c r="R138" s="179">
        <f t="shared" si="28"/>
        <v>2.458422107014413E-2</v>
      </c>
      <c r="S138" s="837">
        <f t="shared" si="29"/>
        <v>-2</v>
      </c>
      <c r="T138" s="178">
        <f t="shared" si="30"/>
        <v>4</v>
      </c>
      <c r="U138" s="253">
        <f t="shared" si="31"/>
        <v>-1.9754157789298559</v>
      </c>
      <c r="V138" s="385">
        <f t="shared" si="32"/>
        <v>58.524186054206019</v>
      </c>
      <c r="W138" s="58"/>
      <c r="X138" s="157">
        <f t="shared" si="33"/>
        <v>43589</v>
      </c>
      <c r="Y138" s="387">
        <f t="shared" si="34"/>
        <v>31.177999999999997</v>
      </c>
      <c r="Z138" s="387">
        <f t="shared" si="35"/>
        <v>31.37890073179549</v>
      </c>
      <c r="AA138" s="388">
        <f t="shared" si="36"/>
        <v>33.249541573349802</v>
      </c>
      <c r="AB138" s="199">
        <f t="shared" si="37"/>
        <v>43589</v>
      </c>
      <c r="AC138" s="426">
        <f>IF(OR(t&lt;Tnet,NoTnet),'2018'!Resal_s+('2018'!Salim-'2018'!Resal_s)*(1-EXP(('2018'!Tnet_s-t)/'2018'!Tau_j)),Resal_s+(Salim-Resal_s)*(1-EXP((Tnet_s-t)/Tau_j)))*Salcycl</f>
        <v>5.6260650614613834E-2</v>
      </c>
      <c r="AD138" s="233">
        <f>(INDEX(Models!$BJ138:$BT138,,AH138)*(1-AF138)+INDEX(Models!$BJ138:$BT138,,AH138+1)*AF138-ERP_i)*AE138*Ramure*Pc/MaxiM</f>
        <v>3.2717645593334082E-4</v>
      </c>
      <c r="AE138" s="307">
        <f t="shared" si="38"/>
        <v>1</v>
      </c>
      <c r="AF138" s="179">
        <f t="shared" si="39"/>
        <v>2.458422107014413E-2</v>
      </c>
      <c r="AG138" s="178">
        <f t="shared" si="40"/>
        <v>-2</v>
      </c>
      <c r="AH138" s="178">
        <f t="shared" si="41"/>
        <v>4</v>
      </c>
      <c r="AI138" s="227">
        <f t="shared" si="42"/>
        <v>-1.9754157789298559</v>
      </c>
      <c r="AJ138" s="267" t="b">
        <f t="shared" si="43"/>
        <v>0</v>
      </c>
      <c r="AK138" s="267" t="b">
        <f t="shared" si="44"/>
        <v>0</v>
      </c>
      <c r="AL138" s="267"/>
      <c r="AM138" s="267"/>
      <c r="AN138" s="75"/>
    </row>
    <row r="139" spans="1:40" s="6" customFormat="1" ht="11.25" customHeight="1" x14ac:dyDescent="0.2">
      <c r="A139" s="56">
        <f t="shared" si="45"/>
        <v>43590</v>
      </c>
      <c r="B139" s="618">
        <v>43.878999999999998</v>
      </c>
      <c r="C139" s="392"/>
      <c r="D139" s="395">
        <f t="shared" si="24"/>
        <v>44.162769511959389</v>
      </c>
      <c r="E139" s="387">
        <f t="shared" si="46"/>
        <v>46.807288064980902</v>
      </c>
      <c r="F139" s="387">
        <f t="shared" si="25"/>
        <v>46.816378183927583</v>
      </c>
      <c r="G139" s="110">
        <f t="shared" si="47"/>
        <v>0.74772464145186335</v>
      </c>
      <c r="H139" s="414" t="b">
        <f>Wh_hp&gt;='2018'!Maxi_hp</f>
        <v>1</v>
      </c>
      <c r="I139" s="392">
        <f>IF(H139,Wh_hp,'2018'!Maxi_hp)</f>
        <v>46.816378183927583</v>
      </c>
      <c r="J139" s="85">
        <f>IF(H139,An,'2018'!An_max)</f>
        <v>2019</v>
      </c>
      <c r="K139" s="199">
        <f t="shared" si="26"/>
        <v>43590</v>
      </c>
      <c r="L139" s="147">
        <f>IF(t&lt;Tvie,1-EXP((T0-t)*PertePVj)+'2018'!Pspv,1-EXP((T0-t)*PertePVj)+Pspv)</f>
        <v>6.4255370552008806E-3</v>
      </c>
      <c r="M139" s="870"/>
      <c r="N139" s="870"/>
      <c r="O139" s="48">
        <f>IF(t&lt;Tnet,'2018'!Resal+('2018'!Salim-'2018'!Resal)*(1-EXP(('2018'!Tnet-t)/('2018'!Tau_j))),Resal+(Salim-Resal)*(1-EXP((Tnet-t)/(Tau_j))))*Salcycl</f>
        <v>5.649800837318792E-2</v>
      </c>
      <c r="P139" s="171">
        <f>(INDEX(Models!$BJ139:$BT139,,T139)*(1-R139)+INDEX(Models!$BJ139:$BT139,,T139+1)*R139-ERP_i)*Q139*Ramure*Pc/MaxiM</f>
        <v>3.0351451751439566E-4</v>
      </c>
      <c r="Q139" s="307">
        <f t="shared" si="27"/>
        <v>1</v>
      </c>
      <c r="R139" s="179">
        <f t="shared" si="28"/>
        <v>2.888216236335106E-2</v>
      </c>
      <c r="S139" s="837">
        <f t="shared" si="29"/>
        <v>-2</v>
      </c>
      <c r="T139" s="178">
        <f t="shared" si="30"/>
        <v>4</v>
      </c>
      <c r="U139" s="253">
        <f t="shared" si="31"/>
        <v>-1.9711178376366489</v>
      </c>
      <c r="V139" s="385">
        <f t="shared" si="32"/>
        <v>58.67694937983574</v>
      </c>
      <c r="W139" s="58"/>
      <c r="X139" s="157">
        <f t="shared" si="33"/>
        <v>43590</v>
      </c>
      <c r="Y139" s="387">
        <f t="shared" si="34"/>
        <v>43.878999999999998</v>
      </c>
      <c r="Z139" s="387">
        <f t="shared" si="35"/>
        <v>44.162769511959389</v>
      </c>
      <c r="AA139" s="388">
        <f t="shared" si="36"/>
        <v>46.807288064980902</v>
      </c>
      <c r="AB139" s="199">
        <f t="shared" si="37"/>
        <v>43590</v>
      </c>
      <c r="AC139" s="426">
        <f>IF(OR(t&lt;Tnet,NoTnet),'2018'!Resal_s+('2018'!Salim-'2018'!Resal_s)*(1-EXP(('2018'!Tnet_s-t)/'2018'!Tau_j)),Resal_s+(Salim-Resal_s)*(1-EXP((Tnet_s-t)/Tau_j)))*Salcycl</f>
        <v>5.649800837318792E-2</v>
      </c>
      <c r="AD139" s="233">
        <f>(INDEX(Models!$BJ139:$BT139,,AH139)*(1-AF139)+INDEX(Models!$BJ139:$BT139,,AH139+1)*AF139-ERP_i)*AE139*Ramure*Pc/MaxiM</f>
        <v>3.0351451751439566E-4</v>
      </c>
      <c r="AE139" s="307">
        <f t="shared" si="38"/>
        <v>1</v>
      </c>
      <c r="AF139" s="179">
        <f t="shared" si="39"/>
        <v>2.888216236335106E-2</v>
      </c>
      <c r="AG139" s="178">
        <f t="shared" si="40"/>
        <v>-2</v>
      </c>
      <c r="AH139" s="178">
        <f t="shared" si="41"/>
        <v>4</v>
      </c>
      <c r="AI139" s="227">
        <f t="shared" si="42"/>
        <v>-1.9711178376366489</v>
      </c>
      <c r="AJ139" s="267" t="b">
        <f t="shared" si="43"/>
        <v>0</v>
      </c>
      <c r="AK139" s="267" t="b">
        <f t="shared" si="44"/>
        <v>0</v>
      </c>
      <c r="AL139" s="267"/>
      <c r="AM139" s="267"/>
      <c r="AN139" s="75"/>
    </row>
    <row r="140" spans="1:40" s="6" customFormat="1" ht="11.25" customHeight="1" x14ac:dyDescent="0.2">
      <c r="A140" s="56">
        <f t="shared" si="45"/>
        <v>43591</v>
      </c>
      <c r="B140" s="618">
        <v>60.296999999999997</v>
      </c>
      <c r="C140" s="392"/>
      <c r="D140" s="395">
        <f t="shared" si="24"/>
        <v>60.688358528477551</v>
      </c>
      <c r="E140" s="387">
        <f t="shared" si="46"/>
        <v>64.338741527125663</v>
      </c>
      <c r="F140" s="387">
        <f t="shared" si="25"/>
        <v>64.356840251433624</v>
      </c>
      <c r="G140" s="110">
        <f t="shared" si="47"/>
        <v>1.0250811791857513</v>
      </c>
      <c r="H140" s="414" t="b">
        <f>Wh_hp&gt;='2018'!Maxi_hp</f>
        <v>1</v>
      </c>
      <c r="I140" s="392">
        <f>IF(H140,Wh_hp,'2018'!Maxi_hp)</f>
        <v>64.356840251433624</v>
      </c>
      <c r="J140" s="85">
        <f>IF(H140,An,'2018'!An_max)</f>
        <v>2019</v>
      </c>
      <c r="K140" s="199">
        <f t="shared" si="26"/>
        <v>43591</v>
      </c>
      <c r="L140" s="147">
        <f>IF(t&lt;Tvie,1-EXP((T0-t)*PertePVj)+'2018'!Pspv,1-EXP((T0-t)*PertePVj)+Pspv)</f>
        <v>6.448658984472444E-3</v>
      </c>
      <c r="M140" s="870"/>
      <c r="N140" s="870"/>
      <c r="O140" s="48">
        <f>IF(t&lt;Tnet,'2018'!Resal+('2018'!Salim-'2018'!Resal)*(1-EXP(('2018'!Tnet-t)/('2018'!Tau_j))),Resal+(Salim-Resal)*(1-EXP((Tnet-t)/(Tau_j))))*Salcycl</f>
        <v>5.6736935041060629E-2</v>
      </c>
      <c r="P140" s="171">
        <f>(INDEX(Models!$BJ140:$BT140,,T140)*(1-R140)+INDEX(Models!$BJ140:$BT140,,T140+1)*R140-ERP_i)*Q140*Ramure*Pc/MaxiM</f>
        <v>2.812245635002385E-4</v>
      </c>
      <c r="Q140" s="307">
        <f t="shared" si="27"/>
        <v>1</v>
      </c>
      <c r="R140" s="179">
        <f t="shared" si="28"/>
        <v>3.3292637469228836E-2</v>
      </c>
      <c r="S140" s="837">
        <f t="shared" si="29"/>
        <v>-2</v>
      </c>
      <c r="T140" s="178">
        <f t="shared" si="30"/>
        <v>4</v>
      </c>
      <c r="U140" s="253">
        <f t="shared" si="31"/>
        <v>-1.9667073625307712</v>
      </c>
      <c r="V140" s="385">
        <f t="shared" si="32"/>
        <v>58.821682832861569</v>
      </c>
      <c r="W140" s="58"/>
      <c r="X140" s="157">
        <f t="shared" si="33"/>
        <v>43591</v>
      </c>
      <c r="Y140" s="387">
        <f t="shared" si="34"/>
        <v>60.29699999999999</v>
      </c>
      <c r="Z140" s="387">
        <f t="shared" si="35"/>
        <v>60.688358528477544</v>
      </c>
      <c r="AA140" s="388">
        <f t="shared" si="36"/>
        <v>64.338741527125663</v>
      </c>
      <c r="AB140" s="199">
        <f t="shared" si="37"/>
        <v>43591</v>
      </c>
      <c r="AC140" s="426">
        <f>IF(OR(t&lt;Tnet,NoTnet),'2018'!Resal_s+('2018'!Salim-'2018'!Resal_s)*(1-EXP(('2018'!Tnet_s-t)/'2018'!Tau_j)),Resal_s+(Salim-Resal_s)*(1-EXP((Tnet_s-t)/Tau_j)))*Salcycl</f>
        <v>5.6736935041060629E-2</v>
      </c>
      <c r="AD140" s="233">
        <f>(INDEX(Models!$BJ140:$BT140,,AH140)*(1-AF140)+INDEX(Models!$BJ140:$BT140,,AH140+1)*AF140-ERP_i)*AE140*Ramure*Pc/MaxiM</f>
        <v>2.812245635002385E-4</v>
      </c>
      <c r="AE140" s="307">
        <f t="shared" si="38"/>
        <v>1</v>
      </c>
      <c r="AF140" s="179">
        <f t="shared" si="39"/>
        <v>3.3292637469228836E-2</v>
      </c>
      <c r="AG140" s="178">
        <f t="shared" si="40"/>
        <v>-2</v>
      </c>
      <c r="AH140" s="178">
        <f t="shared" si="41"/>
        <v>4</v>
      </c>
      <c r="AI140" s="227">
        <f t="shared" si="42"/>
        <v>-1.9667073625307712</v>
      </c>
      <c r="AJ140" s="267" t="b">
        <f t="shared" si="43"/>
        <v>0</v>
      </c>
      <c r="AK140" s="267" t="b">
        <f t="shared" si="44"/>
        <v>0</v>
      </c>
      <c r="AL140" s="267"/>
      <c r="AM140" s="267"/>
      <c r="AN140" s="75"/>
    </row>
    <row r="141" spans="1:40" s="6" customFormat="1" ht="11.25" customHeight="1" x14ac:dyDescent="0.2">
      <c r="A141" s="56">
        <f t="shared" si="45"/>
        <v>43592</v>
      </c>
      <c r="B141" s="618">
        <v>44.591000000000001</v>
      </c>
      <c r="C141" s="392"/>
      <c r="D141" s="395">
        <f t="shared" si="24"/>
        <v>44.881462971288634</v>
      </c>
      <c r="E141" s="387">
        <f t="shared" si="46"/>
        <v>47.59319999275499</v>
      </c>
      <c r="F141" s="387">
        <f t="shared" si="25"/>
        <v>47.60127714580392</v>
      </c>
      <c r="G141" s="110">
        <f t="shared" si="47"/>
        <v>0.75623903735458675</v>
      </c>
      <c r="H141" s="414" t="b">
        <f>Wh_hp&gt;='2018'!Maxi_hp</f>
        <v>1</v>
      </c>
      <c r="I141" s="392">
        <f>IF(H141,Wh_hp,'2018'!Maxi_hp)</f>
        <v>47.60127714580392</v>
      </c>
      <c r="J141" s="85">
        <f>IF(H141,An,'2018'!An_max)</f>
        <v>2019</v>
      </c>
      <c r="K141" s="199">
        <f t="shared" si="26"/>
        <v>43592</v>
      </c>
      <c r="L141" s="147">
        <f>IF(t&lt;Tvie,1-EXP((T0-t)*PertePVj)+'2018'!Pspv,1-EXP((T0-t)*PertePVj)+Pspv)</f>
        <v>6.4717803756629833E-3</v>
      </c>
      <c r="M141" s="870"/>
      <c r="N141" s="870"/>
      <c r="O141" s="48">
        <f>IF(t&lt;Tnet,'2018'!Resal+('2018'!Salim-'2018'!Resal)*(1-EXP(('2018'!Tnet-t)/('2018'!Tau_j))),Resal+(Salim-Resal)*(1-EXP((Tnet-t)/(Tau_j))))*Salcycl</f>
        <v>5.6977404794784935E-2</v>
      </c>
      <c r="P141" s="171">
        <f>(INDEX(Models!$BJ141:$BT141,,T141)*(1-R141)+INDEX(Models!$BJ141:$BT141,,T141+1)*R141-ERP_i)*Q141*Ramure*Pc/MaxiM</f>
        <v>2.6030353059719479E-4</v>
      </c>
      <c r="Q141" s="307">
        <f t="shared" si="27"/>
        <v>1</v>
      </c>
      <c r="R141" s="179">
        <f t="shared" si="28"/>
        <v>3.7816253636442143E-2</v>
      </c>
      <c r="S141" s="837">
        <f t="shared" si="29"/>
        <v>-2</v>
      </c>
      <c r="T141" s="178">
        <f t="shared" si="30"/>
        <v>4</v>
      </c>
      <c r="U141" s="253">
        <f t="shared" si="31"/>
        <v>-1.9621837463635579</v>
      </c>
      <c r="V141" s="385">
        <f t="shared" si="32"/>
        <v>58.958816294428232</v>
      </c>
      <c r="W141" s="58"/>
      <c r="X141" s="157">
        <f t="shared" si="33"/>
        <v>43592</v>
      </c>
      <c r="Y141" s="387">
        <f t="shared" si="34"/>
        <v>44.591000000000001</v>
      </c>
      <c r="Z141" s="387">
        <f t="shared" si="35"/>
        <v>44.881462971288634</v>
      </c>
      <c r="AA141" s="388">
        <f t="shared" si="36"/>
        <v>47.59319999275499</v>
      </c>
      <c r="AB141" s="199">
        <f t="shared" si="37"/>
        <v>43592</v>
      </c>
      <c r="AC141" s="426">
        <f>IF(OR(t&lt;Tnet,NoTnet),'2018'!Resal_s+('2018'!Salim-'2018'!Resal_s)*(1-EXP(('2018'!Tnet_s-t)/'2018'!Tau_j)),Resal_s+(Salim-Resal_s)*(1-EXP((Tnet_s-t)/Tau_j)))*Salcycl</f>
        <v>5.6977404794784935E-2</v>
      </c>
      <c r="AD141" s="233">
        <f>(INDEX(Models!$BJ141:$BT141,,AH141)*(1-AF141)+INDEX(Models!$BJ141:$BT141,,AH141+1)*AF141-ERP_i)*AE141*Ramure*Pc/MaxiM</f>
        <v>2.6030353059719479E-4</v>
      </c>
      <c r="AE141" s="307">
        <f t="shared" si="38"/>
        <v>1</v>
      </c>
      <c r="AF141" s="179">
        <f t="shared" si="39"/>
        <v>3.7816253636442143E-2</v>
      </c>
      <c r="AG141" s="178">
        <f t="shared" si="40"/>
        <v>-2</v>
      </c>
      <c r="AH141" s="178">
        <f t="shared" si="41"/>
        <v>4</v>
      </c>
      <c r="AI141" s="227">
        <f t="shared" si="42"/>
        <v>-1.9621837463635579</v>
      </c>
      <c r="AJ141" s="267" t="b">
        <f t="shared" si="43"/>
        <v>0</v>
      </c>
      <c r="AK141" s="267" t="b">
        <f t="shared" si="44"/>
        <v>0</v>
      </c>
      <c r="AL141" s="267"/>
      <c r="AM141" s="267"/>
      <c r="AN141" s="75"/>
    </row>
    <row r="142" spans="1:40" s="6" customFormat="1" ht="11.25" customHeight="1" x14ac:dyDescent="0.2">
      <c r="A142" s="56">
        <f t="shared" si="45"/>
        <v>43593</v>
      </c>
      <c r="B142" s="618">
        <v>30.876000000000001</v>
      </c>
      <c r="C142" s="392"/>
      <c r="D142" s="395">
        <f t="shared" si="24"/>
        <v>31.077847550242058</v>
      </c>
      <c r="E142" s="387">
        <f t="shared" si="46"/>
        <v>32.964029110115582</v>
      </c>
      <c r="F142" s="387">
        <f t="shared" si="25"/>
        <v>32.966556330269611</v>
      </c>
      <c r="G142" s="110">
        <f t="shared" si="47"/>
        <v>0.52245000513300233</v>
      </c>
      <c r="H142" s="414" t="b">
        <f>Wh_hp&gt;='2018'!Maxi_hp</f>
        <v>1</v>
      </c>
      <c r="I142" s="392">
        <f>IF(H142,Wh_hp,'2018'!Maxi_hp)</f>
        <v>32.966556330269611</v>
      </c>
      <c r="J142" s="85">
        <f>IF(H142,An,'2018'!An_max)</f>
        <v>2019</v>
      </c>
      <c r="K142" s="199">
        <f t="shared" si="26"/>
        <v>43593</v>
      </c>
      <c r="L142" s="147">
        <f>IF(t&lt;Tvie,1-EXP((T0-t)*PertePVj)+'2018'!Pspv,1-EXP((T0-t)*PertePVj)+Pspv)</f>
        <v>6.4949012287849328E-3</v>
      </c>
      <c r="M142" s="870"/>
      <c r="N142" s="870"/>
      <c r="O142" s="48">
        <f>IF(t&lt;Tnet,'2018'!Resal+('2018'!Salim-'2018'!Resal)*(1-EXP(('2018'!Tnet-t)/('2018'!Tau_j))),Resal+(Salim-Resal)*(1-EXP((Tnet-t)/(Tau_j))))*Salcycl</f>
        <v>5.7219387641382638E-2</v>
      </c>
      <c r="P142" s="171">
        <f>(INDEX(Models!$BJ142:$BT142,,T142)*(1-R142)+INDEX(Models!$BJ142:$BT142,,T142+1)*R142-ERP_i)*Q142*Ramure*Pc/MaxiM</f>
        <v>2.4113893461953767E-4</v>
      </c>
      <c r="Q142" s="307">
        <f t="shared" si="27"/>
        <v>1</v>
      </c>
      <c r="R142" s="179">
        <f t="shared" si="28"/>
        <v>4.2453453753828363E-2</v>
      </c>
      <c r="S142" s="837">
        <f t="shared" si="29"/>
        <v>-2</v>
      </c>
      <c r="T142" s="178">
        <f t="shared" si="30"/>
        <v>4</v>
      </c>
      <c r="U142" s="253">
        <f t="shared" si="31"/>
        <v>-1.9575465462461716</v>
      </c>
      <c r="V142" s="385">
        <f t="shared" si="32"/>
        <v>59.088756549838699</v>
      </c>
      <c r="W142" s="58"/>
      <c r="X142" s="157">
        <f t="shared" si="33"/>
        <v>43593</v>
      </c>
      <c r="Y142" s="387">
        <f t="shared" si="34"/>
        <v>30.875999999999998</v>
      </c>
      <c r="Z142" s="387">
        <f t="shared" si="35"/>
        <v>31.077847550242055</v>
      </c>
      <c r="AA142" s="388">
        <f t="shared" si="36"/>
        <v>32.964029110115582</v>
      </c>
      <c r="AB142" s="199">
        <f t="shared" si="37"/>
        <v>43593</v>
      </c>
      <c r="AC142" s="426">
        <f>IF(OR(t&lt;Tnet,NoTnet),'2018'!Resal_s+('2018'!Salim-'2018'!Resal_s)*(1-EXP(('2018'!Tnet_s-t)/'2018'!Tau_j)),Resal_s+(Salim-Resal_s)*(1-EXP((Tnet_s-t)/Tau_j)))*Salcycl</f>
        <v>5.7219387641382638E-2</v>
      </c>
      <c r="AD142" s="233">
        <f>(INDEX(Models!$BJ142:$BT142,,AH142)*(1-AF142)+INDEX(Models!$BJ142:$BT142,,AH142+1)*AF142-ERP_i)*AE142*Ramure*Pc/MaxiM</f>
        <v>2.4113893461953767E-4</v>
      </c>
      <c r="AE142" s="307">
        <f t="shared" si="38"/>
        <v>1</v>
      </c>
      <c r="AF142" s="179">
        <f t="shared" si="39"/>
        <v>4.2453453753828363E-2</v>
      </c>
      <c r="AG142" s="178">
        <f t="shared" si="40"/>
        <v>-2</v>
      </c>
      <c r="AH142" s="178">
        <f t="shared" si="41"/>
        <v>4</v>
      </c>
      <c r="AI142" s="227">
        <f t="shared" si="42"/>
        <v>-1.9575465462461716</v>
      </c>
      <c r="AJ142" s="267" t="b">
        <f t="shared" si="43"/>
        <v>0</v>
      </c>
      <c r="AK142" s="267" t="b">
        <f t="shared" si="44"/>
        <v>0</v>
      </c>
      <c r="AL142" s="267"/>
      <c r="AM142" s="267"/>
      <c r="AN142" s="75"/>
    </row>
    <row r="143" spans="1:40" s="6" customFormat="1" ht="11.25" x14ac:dyDescent="0.2">
      <c r="A143" s="56">
        <f t="shared" si="45"/>
        <v>43594</v>
      </c>
      <c r="B143" s="618">
        <v>47.829000000000001</v>
      </c>
      <c r="C143" s="392"/>
      <c r="D143" s="395">
        <f t="shared" ref="D143:D206" si="48">Wh/(1-Ppv)</f>
        <v>48.142795780075744</v>
      </c>
      <c r="E143" s="387">
        <f t="shared" si="46"/>
        <v>51.07787607756881</v>
      </c>
      <c r="F143" s="387">
        <f t="shared" ref="F143:F206" si="49">Wh_sa/(1-Pvg*MEDIAN((-Sdif+Wh/Env_an)/Csdif,0,1))</f>
        <v>51.086150097137605</v>
      </c>
      <c r="G143" s="110">
        <f t="shared" si="47"/>
        <v>0.80770957259560705</v>
      </c>
      <c r="H143" s="414" t="b">
        <f>Wh_hp&gt;='2018'!Maxi_hp</f>
        <v>1</v>
      </c>
      <c r="I143" s="392">
        <f>IF(H143,Wh_hp,'2018'!Maxi_hp)</f>
        <v>51.086150097137605</v>
      </c>
      <c r="J143" s="85">
        <f>IF(H143,An,'2018'!An_max)</f>
        <v>2019</v>
      </c>
      <c r="K143" s="199">
        <f t="shared" ref="K143:K206" si="50">t</f>
        <v>43594</v>
      </c>
      <c r="L143" s="147">
        <f>IF(t&lt;Tvie,1-EXP((T0-t)*PertePVj)+'2018'!Pspv,1-EXP((T0-t)*PertePVj)+Pspv)</f>
        <v>6.5180215438508382E-3</v>
      </c>
      <c r="M143" s="870"/>
      <c r="N143" s="870"/>
      <c r="O143" s="48">
        <f>IF(t&lt;Tnet,'2018'!Resal+('2018'!Salim-'2018'!Resal)*(1-EXP(('2018'!Tnet-t)/('2018'!Tau_j))),Resal+(Salim-Resal)*(1-EXP((Tnet-t)/(Tau_j))))*Salcycl</f>
        <v>5.7462849336878119E-2</v>
      </c>
      <c r="P143" s="171">
        <f>(INDEX(Models!$BJ143:$BT143,,T143)*(1-R143)+INDEX(Models!$BJ143:$BT143,,T143+1)*R143-ERP_i)*Q143*Ramure*Pc/MaxiM</f>
        <v>2.2328198406604841E-4</v>
      </c>
      <c r="Q143" s="307">
        <f t="shared" ref="Q143:Q206" si="51">IF(OR(t&lt;Ttai,Notai),Dd+PousD*Croivg,Dens+PousD*(Croivg-Croi_tai))</f>
        <v>1</v>
      </c>
      <c r="R143" s="179">
        <f t="shared" ref="R143:R206" si="52">(Hp_vg-S143)/(INDEX(Echel_vg,T143+1)-S143)</f>
        <v>4.7204506658111933E-2</v>
      </c>
      <c r="S143" s="837">
        <f t="shared" ref="S143:S206" si="53">INDEX(Echel_vg,T143)</f>
        <v>-2</v>
      </c>
      <c r="T143" s="178">
        <f t="shared" ref="T143:T206" si="54">MIN(MATCH(Hp_vg,Echel_vg),10)</f>
        <v>4</v>
      </c>
      <c r="U143" s="253">
        <f t="shared" ref="U143:U206" si="55">IF(OR(t&lt;Ttai,Notai),Hdd+PousH*Croivg,Hdtf+PousH*(Croivg-Croi_tai))</f>
        <v>-1.9527954933418881</v>
      </c>
      <c r="V143" s="385">
        <f t="shared" ref="V143:V206" si="56">MaxiM*(1-Ppv)*(1-Pvg)*(1-Psa)</f>
        <v>59.211959692316988</v>
      </c>
      <c r="W143" s="58"/>
      <c r="X143" s="157">
        <f t="shared" ref="X143:X206" si="57">t</f>
        <v>43594</v>
      </c>
      <c r="Y143" s="387">
        <f t="shared" ref="Y143:Y206" si="58">Wh_pvt_s*(1-Ppv)</f>
        <v>47.829000000000001</v>
      </c>
      <c r="Z143" s="387">
        <f t="shared" ref="Z143:Z206" si="59">Wh_sa_s*(1-Psa_s)</f>
        <v>48.142795780075744</v>
      </c>
      <c r="AA143" s="388">
        <f t="shared" ref="AA143:AA206" si="60">Wh_hp*(1-Pvg_s*MEDIAN((-Sdif+Wh/Env_an)/Csdif,0,1))</f>
        <v>51.07787607756881</v>
      </c>
      <c r="AB143" s="199">
        <f t="shared" ref="AB143:AB206" si="61">t</f>
        <v>43594</v>
      </c>
      <c r="AC143" s="426">
        <f>IF(OR(t&lt;Tnet,NoTnet),'2018'!Resal_s+('2018'!Salim-'2018'!Resal_s)*(1-EXP(('2018'!Tnet_s-t)/'2018'!Tau_j)),Resal_s+(Salim-Resal_s)*(1-EXP((Tnet_s-t)/Tau_j)))*Salcycl</f>
        <v>5.7462849336878119E-2</v>
      </c>
      <c r="AD143" s="233">
        <f>(INDEX(Models!$BJ143:$BT143,,AH143)*(1-AF143)+INDEX(Models!$BJ143:$BT143,,AH143+1)*AF143-ERP_i)*AE143*Ramure*Pc/MaxiM</f>
        <v>2.2328198406604841E-4</v>
      </c>
      <c r="AE143" s="307">
        <f t="shared" ref="AE143:AE206" si="62">IF(OR(t&lt;Ttai,Notai),Dd_s+PousD*Croivg,Dens_s+PousD*(Croivg-Croi_tai))</f>
        <v>1</v>
      </c>
      <c r="AF143" s="179">
        <f t="shared" ref="AF143:AF206" si="63">(Hp_vg_s-AG143)/(INDEX(Echel_vg,AH143+1)-AG143)</f>
        <v>4.7204506658111933E-2</v>
      </c>
      <c r="AG143" s="178">
        <f t="shared" ref="AG143:AG206" si="64">INDEX(Echel_vg,AH143)</f>
        <v>-2</v>
      </c>
      <c r="AH143" s="178">
        <f t="shared" ref="AH143:AH206" si="65">MIN(MATCH(Hp_vg_s,Echel_vg),10)</f>
        <v>4</v>
      </c>
      <c r="AI143" s="227">
        <f t="shared" ref="AI143:AI206" si="66">IF(OR(t&lt;Ttai,Notai),Hdd_s+PousH*Croivg,Hdtai_s+PousH*(Croivg-Croi_tai))</f>
        <v>-1.9527954933418881</v>
      </c>
      <c r="AJ143" s="267" t="b">
        <f t="shared" ref="AJ143:AJ206" si="67">t&lt;Tnet</f>
        <v>0</v>
      </c>
      <c r="AK143" s="267" t="b">
        <f t="shared" ref="AK143:AK206" si="68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169" si="69">A143+1</f>
        <v>43595</v>
      </c>
      <c r="B144" s="618">
        <v>39.668999999999997</v>
      </c>
      <c r="C144" s="392"/>
      <c r="D144" s="395">
        <f t="shared" si="48"/>
        <v>39.930189009278877</v>
      </c>
      <c r="E144" s="387">
        <f t="shared" ref="E144:E169" si="70">Wh_pvt/(1-Psa)</f>
        <v>42.37558895890853</v>
      </c>
      <c r="F144" s="387">
        <f t="shared" si="49"/>
        <v>42.380202916210443</v>
      </c>
      <c r="G144" s="110">
        <f t="shared" ref="G144:G169" si="71">+Wh_hp/MaxiM</f>
        <v>0.66856367338072309</v>
      </c>
      <c r="H144" s="414" t="b">
        <f>Wh_hp&gt;='2018'!Maxi_hp</f>
        <v>1</v>
      </c>
      <c r="I144" s="392">
        <f>IF(H144,Wh_hp,'2018'!Maxi_hp)</f>
        <v>42.380202916210443</v>
      </c>
      <c r="J144" s="85">
        <f>IF(H144,An,'2018'!An_max)</f>
        <v>2019</v>
      </c>
      <c r="K144" s="199">
        <f t="shared" si="50"/>
        <v>43595</v>
      </c>
      <c r="L144" s="147">
        <f>IF(t&lt;Tvie,1-EXP((T0-t)*PertePVj)+'2018'!Pspv,1-EXP((T0-t)*PertePVj)+Pspv)</f>
        <v>6.541141320873356E-3</v>
      </c>
      <c r="M144" s="870"/>
      <c r="N144" s="870"/>
      <c r="O144" s="48">
        <f>IF(t&lt;Tnet,'2018'!Resal+('2018'!Salim-'2018'!Resal)*(1-EXP(('2018'!Tnet-t)/('2018'!Tau_j))),Resal+(Salim-Resal)*(1-EXP((Tnet-t)/(Tau_j))))*Salcycl</f>
        <v>5.7707751318830151E-2</v>
      </c>
      <c r="P144" s="171">
        <f>(INDEX(Models!$BJ144:$BT144,,T144)*(1-R144)+INDEX(Models!$BJ144:$BT144,,T144+1)*R144-ERP_i)*Q144*Ramure*Pc/MaxiM</f>
        <v>2.0673734917732323E-4</v>
      </c>
      <c r="Q144" s="307">
        <f t="shared" si="51"/>
        <v>1</v>
      </c>
      <c r="R144" s="179">
        <f t="shared" si="52"/>
        <v>5.2069497623517425E-2</v>
      </c>
      <c r="S144" s="837">
        <f t="shared" si="53"/>
        <v>-2</v>
      </c>
      <c r="T144" s="178">
        <f t="shared" si="54"/>
        <v>4</v>
      </c>
      <c r="U144" s="253">
        <f t="shared" si="55"/>
        <v>-1.9479305023764826</v>
      </c>
      <c r="V144" s="385">
        <f t="shared" si="56"/>
        <v>59.328855095993042</v>
      </c>
      <c r="W144" s="58"/>
      <c r="X144" s="157">
        <f t="shared" si="57"/>
        <v>43595</v>
      </c>
      <c r="Y144" s="387">
        <f t="shared" si="58"/>
        <v>39.668999999999997</v>
      </c>
      <c r="Z144" s="387">
        <f t="shared" si="59"/>
        <v>39.930189009278877</v>
      </c>
      <c r="AA144" s="388">
        <f t="shared" si="60"/>
        <v>42.37558895890853</v>
      </c>
      <c r="AB144" s="199">
        <f t="shared" si="61"/>
        <v>43595</v>
      </c>
      <c r="AC144" s="426">
        <f>IF(OR(t&lt;Tnet,NoTnet),'2018'!Resal_s+('2018'!Salim-'2018'!Resal_s)*(1-EXP(('2018'!Tnet_s-t)/'2018'!Tau_j)),Resal_s+(Salim-Resal_s)*(1-EXP((Tnet_s-t)/Tau_j)))*Salcycl</f>
        <v>5.7707751318830151E-2</v>
      </c>
      <c r="AD144" s="233">
        <f>(INDEX(Models!$BJ144:$BT144,,AH144)*(1-AF144)+INDEX(Models!$BJ144:$BT144,,AH144+1)*AF144-ERP_i)*AE144*Ramure*Pc/MaxiM</f>
        <v>2.0673734917732323E-4</v>
      </c>
      <c r="AE144" s="307">
        <f t="shared" si="62"/>
        <v>1</v>
      </c>
      <c r="AF144" s="179">
        <f t="shared" si="63"/>
        <v>5.2069497623517425E-2</v>
      </c>
      <c r="AG144" s="178">
        <f t="shared" si="64"/>
        <v>-2</v>
      </c>
      <c r="AH144" s="178">
        <f t="shared" si="65"/>
        <v>4</v>
      </c>
      <c r="AI144" s="227">
        <f t="shared" si="66"/>
        <v>-1.9479305023764826</v>
      </c>
      <c r="AJ144" s="267" t="b">
        <f t="shared" si="67"/>
        <v>0</v>
      </c>
      <c r="AK144" s="267" t="b">
        <f t="shared" si="68"/>
        <v>0</v>
      </c>
      <c r="AL144" s="267"/>
      <c r="AM144" s="267"/>
      <c r="AN144" s="75"/>
    </row>
    <row r="145" spans="1:40" s="6" customFormat="1" ht="11.25" customHeight="1" x14ac:dyDescent="0.2">
      <c r="A145" s="56">
        <f t="shared" si="69"/>
        <v>43596</v>
      </c>
      <c r="B145" s="618">
        <v>37.786999999999999</v>
      </c>
      <c r="C145" s="392"/>
      <c r="D145" s="395">
        <f t="shared" si="48"/>
        <v>38.036682696049773</v>
      </c>
      <c r="E145" s="387">
        <f t="shared" si="70"/>
        <v>40.376674537446632</v>
      </c>
      <c r="F145" s="387">
        <f t="shared" si="49"/>
        <v>40.380383427680968</v>
      </c>
      <c r="G145" s="110">
        <f t="shared" si="71"/>
        <v>0.63565469511484873</v>
      </c>
      <c r="H145" s="414" t="b">
        <f>Wh_hp&gt;='2018'!Maxi_hp</f>
        <v>1</v>
      </c>
      <c r="I145" s="392">
        <f>IF(H145,Wh_hp,'2018'!Maxi_hp)</f>
        <v>40.380383427680968</v>
      </c>
      <c r="J145" s="85">
        <f>IF(H145,An,'2018'!An_max)</f>
        <v>2019</v>
      </c>
      <c r="K145" s="199">
        <f t="shared" si="50"/>
        <v>43596</v>
      </c>
      <c r="L145" s="147">
        <f>IF(t&lt;Tvie,1-EXP((T0-t)*PertePVj)+'2018'!Pspv,1-EXP((T0-t)*PertePVj)+Pspv)</f>
        <v>6.5642605598648096E-3</v>
      </c>
      <c r="M145" s="870"/>
      <c r="N145" s="870"/>
      <c r="O145" s="48">
        <f>IF(t&lt;Tnet,'2018'!Resal+('2018'!Salim-'2018'!Resal)*(1-EXP(('2018'!Tnet-t)/('2018'!Tau_j))),Resal+(Salim-Resal)*(1-EXP((Tnet-t)/(Tau_j))))*Salcycl</f>
        <v>5.7954050654336946E-2</v>
      </c>
      <c r="P145" s="171">
        <f>(INDEX(Models!$BJ145:$BT145,,T145)*(1-R145)+INDEX(Models!$BJ145:$BT145,,T145+1)*R145-ERP_i)*Q145*Ramure*Pc/MaxiM</f>
        <v>1.9151239112632907E-4</v>
      </c>
      <c r="Q145" s="307">
        <f t="shared" si="51"/>
        <v>1</v>
      </c>
      <c r="R145" s="179">
        <f t="shared" si="52"/>
        <v>5.7048319105227341E-2</v>
      </c>
      <c r="S145" s="837">
        <f t="shared" si="53"/>
        <v>-2</v>
      </c>
      <c r="T145" s="178">
        <f t="shared" si="54"/>
        <v>4</v>
      </c>
      <c r="U145" s="253">
        <f t="shared" si="55"/>
        <v>-1.9429516808947727</v>
      </c>
      <c r="V145" s="385">
        <f t="shared" si="56"/>
        <v>59.43987192537741</v>
      </c>
      <c r="W145" s="58"/>
      <c r="X145" s="157">
        <f t="shared" si="57"/>
        <v>43596</v>
      </c>
      <c r="Y145" s="387">
        <f t="shared" si="58"/>
        <v>37.786999999999999</v>
      </c>
      <c r="Z145" s="387">
        <f t="shared" si="59"/>
        <v>38.036682696049773</v>
      </c>
      <c r="AA145" s="388">
        <f t="shared" si="60"/>
        <v>40.376674537446632</v>
      </c>
      <c r="AB145" s="199">
        <f t="shared" si="61"/>
        <v>43596</v>
      </c>
      <c r="AC145" s="426">
        <f>IF(OR(t&lt;Tnet,NoTnet),'2018'!Resal_s+('2018'!Salim-'2018'!Resal_s)*(1-EXP(('2018'!Tnet_s-t)/'2018'!Tau_j)),Resal_s+(Salim-Resal_s)*(1-EXP((Tnet_s-t)/Tau_j)))*Salcycl</f>
        <v>5.7954050654336946E-2</v>
      </c>
      <c r="AD145" s="233">
        <f>(INDEX(Models!$BJ145:$BT145,,AH145)*(1-AF145)+INDEX(Models!$BJ145:$BT145,,AH145+1)*AF145-ERP_i)*AE145*Ramure*Pc/MaxiM</f>
        <v>1.9151239112632907E-4</v>
      </c>
      <c r="AE145" s="307">
        <f t="shared" si="62"/>
        <v>1</v>
      </c>
      <c r="AF145" s="179">
        <f t="shared" si="63"/>
        <v>5.7048319105227341E-2</v>
      </c>
      <c r="AG145" s="178">
        <f t="shared" si="64"/>
        <v>-2</v>
      </c>
      <c r="AH145" s="178">
        <f t="shared" si="65"/>
        <v>4</v>
      </c>
      <c r="AI145" s="227">
        <f t="shared" si="66"/>
        <v>-1.9429516808947727</v>
      </c>
      <c r="AJ145" s="267" t="b">
        <f t="shared" si="67"/>
        <v>0</v>
      </c>
      <c r="AK145" s="267" t="b">
        <f t="shared" si="68"/>
        <v>0</v>
      </c>
      <c r="AL145" s="267"/>
      <c r="AM145" s="267"/>
      <c r="AN145" s="75"/>
    </row>
    <row r="146" spans="1:40" s="6" customFormat="1" ht="11.25" customHeight="1" x14ac:dyDescent="0.2">
      <c r="A146" s="56">
        <f t="shared" si="69"/>
        <v>43597</v>
      </c>
      <c r="B146" s="618">
        <v>54.933</v>
      </c>
      <c r="C146" s="392"/>
      <c r="D146" s="395">
        <f t="shared" si="48"/>
        <v>55.297264050386588</v>
      </c>
      <c r="E146" s="387">
        <f t="shared" si="70"/>
        <v>58.7145507171509</v>
      </c>
      <c r="F146" s="387">
        <f t="shared" si="49"/>
        <v>58.723826865317584</v>
      </c>
      <c r="G146" s="110">
        <f t="shared" si="71"/>
        <v>0.92252103489868942</v>
      </c>
      <c r="H146" s="414" t="b">
        <f>Wh_hp&gt;='2018'!Maxi_hp</f>
        <v>1</v>
      </c>
      <c r="I146" s="392">
        <f>IF(H146,Wh_hp,'2018'!Maxi_hp)</f>
        <v>58.723826865317584</v>
      </c>
      <c r="J146" s="85">
        <f>IF(H146,An,'2018'!An_max)</f>
        <v>2019</v>
      </c>
      <c r="K146" s="199">
        <f t="shared" si="50"/>
        <v>43597</v>
      </c>
      <c r="L146" s="147">
        <f>IF(t&lt;Tvie,1-EXP((T0-t)*PertePVj)+'2018'!Pspv,1-EXP((T0-t)*PertePVj)+Pspv)</f>
        <v>6.5873792608377446E-3</v>
      </c>
      <c r="M146" s="870"/>
      <c r="N146" s="870"/>
      <c r="O146" s="48">
        <f>IF(t&lt;Tnet,'2018'!Resal+('2018'!Salim-'2018'!Resal)*(1-EXP(('2018'!Tnet-t)/('2018'!Tau_j))),Resal+(Salim-Resal)*(1-EXP((Tnet-t)/(Tau_j))))*Salcycl</f>
        <v>5.8201700004937656E-2</v>
      </c>
      <c r="P146" s="171">
        <f>(INDEX(Models!$BJ146:$BT146,,T146)*(1-R146)+INDEX(Models!$BJ146:$BT146,,T146+1)*R146-ERP_i)*Q146*Ramure*Pc/MaxiM</f>
        <v>1.7761706321701938E-4</v>
      </c>
      <c r="Q146" s="307">
        <f t="shared" si="51"/>
        <v>1</v>
      </c>
      <c r="R146" s="179">
        <f t="shared" si="52"/>
        <v>6.2140661812187581E-2</v>
      </c>
      <c r="S146" s="837">
        <f t="shared" si="53"/>
        <v>-2</v>
      </c>
      <c r="T146" s="178">
        <f t="shared" si="54"/>
        <v>4</v>
      </c>
      <c r="U146" s="253">
        <f t="shared" si="55"/>
        <v>-1.9378593381878124</v>
      </c>
      <c r="V146" s="385">
        <f t="shared" si="56"/>
        <v>59.545439132370355</v>
      </c>
      <c r="W146" s="58"/>
      <c r="X146" s="157">
        <f t="shared" si="57"/>
        <v>43597</v>
      </c>
      <c r="Y146" s="387">
        <f t="shared" si="58"/>
        <v>54.933</v>
      </c>
      <c r="Z146" s="387">
        <f t="shared" si="59"/>
        <v>55.297264050386588</v>
      </c>
      <c r="AA146" s="388">
        <f t="shared" si="60"/>
        <v>58.7145507171509</v>
      </c>
      <c r="AB146" s="199">
        <f t="shared" si="61"/>
        <v>43597</v>
      </c>
      <c r="AC146" s="426">
        <f>IF(OR(t&lt;Tnet,NoTnet),'2018'!Resal_s+('2018'!Salim-'2018'!Resal_s)*(1-EXP(('2018'!Tnet_s-t)/'2018'!Tau_j)),Resal_s+(Salim-Resal_s)*(1-EXP((Tnet_s-t)/Tau_j)))*Salcycl</f>
        <v>5.8201700004937656E-2</v>
      </c>
      <c r="AD146" s="233">
        <f>(INDEX(Models!$BJ146:$BT146,,AH146)*(1-AF146)+INDEX(Models!$BJ146:$BT146,,AH146+1)*AF146-ERP_i)*AE146*Ramure*Pc/MaxiM</f>
        <v>1.7761706321701938E-4</v>
      </c>
      <c r="AE146" s="307">
        <f t="shared" si="62"/>
        <v>1</v>
      </c>
      <c r="AF146" s="179">
        <f t="shared" si="63"/>
        <v>6.2140661812187581E-2</v>
      </c>
      <c r="AG146" s="178">
        <f t="shared" si="64"/>
        <v>-2</v>
      </c>
      <c r="AH146" s="178">
        <f t="shared" si="65"/>
        <v>4</v>
      </c>
      <c r="AI146" s="227">
        <f t="shared" si="66"/>
        <v>-1.9378593381878124</v>
      </c>
      <c r="AJ146" s="267" t="b">
        <f t="shared" si="67"/>
        <v>0</v>
      </c>
      <c r="AK146" s="267" t="b">
        <f t="shared" si="68"/>
        <v>0</v>
      </c>
      <c r="AL146" s="267"/>
      <c r="AM146" s="267"/>
      <c r="AN146" s="75"/>
    </row>
    <row r="147" spans="1:40" s="6" customFormat="1" ht="11.25" customHeight="1" x14ac:dyDescent="0.2">
      <c r="A147" s="56">
        <f t="shared" si="69"/>
        <v>43598</v>
      </c>
      <c r="B147" s="618">
        <v>61.014000000000003</v>
      </c>
      <c r="C147" s="392"/>
      <c r="D147" s="395">
        <f t="shared" si="48"/>
        <v>61.420016863244527</v>
      </c>
      <c r="E147" s="387">
        <f t="shared" si="70"/>
        <v>65.232923486509335</v>
      </c>
      <c r="F147" s="387">
        <f t="shared" si="49"/>
        <v>65.24369285904416</v>
      </c>
      <c r="G147" s="110">
        <f t="shared" si="71"/>
        <v>1.0229355679134817</v>
      </c>
      <c r="H147" s="414" t="b">
        <f>Wh_hp&gt;='2018'!Maxi_hp</f>
        <v>1</v>
      </c>
      <c r="I147" s="392">
        <f>IF(H147,Wh_hp,'2018'!Maxi_hp)</f>
        <v>65.24369285904416</v>
      </c>
      <c r="J147" s="85">
        <f>IF(H147,An,'2018'!An_max)</f>
        <v>2019</v>
      </c>
      <c r="K147" s="199">
        <f t="shared" si="50"/>
        <v>43598</v>
      </c>
      <c r="L147" s="147">
        <f>IF(t&lt;Tvie,1-EXP((T0-t)*PertePVj)+'2018'!Pspv,1-EXP((T0-t)*PertePVj)+Pspv)</f>
        <v>6.6104974238048175E-3</v>
      </c>
      <c r="M147" s="870"/>
      <c r="N147" s="870"/>
      <c r="O147" s="48">
        <f>IF(t&lt;Tnet,'2018'!Resal+('2018'!Salim-'2018'!Resal)*(1-EXP(('2018'!Tnet-t)/('2018'!Tau_j))),Resal+(Salim-Resal)*(1-EXP((Tnet-t)/(Tau_j))))*Salcycl</f>
        <v>5.8450647609766232E-2</v>
      </c>
      <c r="P147" s="171">
        <f>(INDEX(Models!$BJ147:$BT147,,T147)*(1-R147)+INDEX(Models!$BJ147:$BT147,,T147+1)*R147-ERP_i)*Q147*Ramure*Pc/MaxiM</f>
        <v>1.6506381019985357E-4</v>
      </c>
      <c r="Q147" s="307">
        <f t="shared" si="51"/>
        <v>1</v>
      </c>
      <c r="R147" s="179">
        <f t="shared" si="52"/>
        <v>6.7346006187820606E-2</v>
      </c>
      <c r="S147" s="837">
        <f t="shared" si="53"/>
        <v>-2</v>
      </c>
      <c r="T147" s="178">
        <f t="shared" si="54"/>
        <v>4</v>
      </c>
      <c r="U147" s="253">
        <f t="shared" si="55"/>
        <v>-1.9326539938121794</v>
      </c>
      <c r="V147" s="385">
        <f t="shared" si="56"/>
        <v>59.645985449946217</v>
      </c>
      <c r="W147" s="58"/>
      <c r="X147" s="157">
        <f t="shared" si="57"/>
        <v>43598</v>
      </c>
      <c r="Y147" s="387">
        <f t="shared" si="58"/>
        <v>61.01400000000001</v>
      </c>
      <c r="Z147" s="387">
        <f t="shared" si="59"/>
        <v>61.420016863244534</v>
      </c>
      <c r="AA147" s="388">
        <f t="shared" si="60"/>
        <v>65.232923486509335</v>
      </c>
      <c r="AB147" s="199">
        <f t="shared" si="61"/>
        <v>43598</v>
      </c>
      <c r="AC147" s="426">
        <f>IF(OR(t&lt;Tnet,NoTnet),'2018'!Resal_s+('2018'!Salim-'2018'!Resal_s)*(1-EXP(('2018'!Tnet_s-t)/'2018'!Tau_j)),Resal_s+(Salim-Resal_s)*(1-EXP((Tnet_s-t)/Tau_j)))*Salcycl</f>
        <v>5.8450647609766232E-2</v>
      </c>
      <c r="AD147" s="233">
        <f>(INDEX(Models!$BJ147:$BT147,,AH147)*(1-AF147)+INDEX(Models!$BJ147:$BT147,,AH147+1)*AF147-ERP_i)*AE147*Ramure*Pc/MaxiM</f>
        <v>1.6506381019985357E-4</v>
      </c>
      <c r="AE147" s="307">
        <f t="shared" si="62"/>
        <v>1</v>
      </c>
      <c r="AF147" s="179">
        <f t="shared" si="63"/>
        <v>6.7346006187820606E-2</v>
      </c>
      <c r="AG147" s="178">
        <f t="shared" si="64"/>
        <v>-2</v>
      </c>
      <c r="AH147" s="178">
        <f t="shared" si="65"/>
        <v>4</v>
      </c>
      <c r="AI147" s="227">
        <f t="shared" si="66"/>
        <v>-1.9326539938121794</v>
      </c>
      <c r="AJ147" s="267" t="b">
        <f t="shared" si="67"/>
        <v>0</v>
      </c>
      <c r="AK147" s="267" t="b">
        <f t="shared" si="68"/>
        <v>0</v>
      </c>
      <c r="AL147" s="267"/>
      <c r="AM147" s="267"/>
      <c r="AN147" s="75"/>
    </row>
    <row r="148" spans="1:40" s="6" customFormat="1" ht="11.25" customHeight="1" x14ac:dyDescent="0.2">
      <c r="A148" s="56">
        <f t="shared" si="69"/>
        <v>43599</v>
      </c>
      <c r="B148" s="618">
        <v>59.463000000000001</v>
      </c>
      <c r="C148" s="392"/>
      <c r="D148" s="395">
        <f t="shared" si="48"/>
        <v>59.86008878579063</v>
      </c>
      <c r="E148" s="387">
        <f t="shared" si="70"/>
        <v>63.593054320096016</v>
      </c>
      <c r="F148" s="387">
        <f t="shared" si="49"/>
        <v>63.602775441610461</v>
      </c>
      <c r="G148" s="110">
        <f t="shared" si="71"/>
        <v>0.99532990682735634</v>
      </c>
      <c r="H148" s="414" t="b">
        <f>Wh_hp&gt;='2018'!Maxi_hp</f>
        <v>1</v>
      </c>
      <c r="I148" s="392">
        <f>IF(H148,Wh_hp,'2018'!Maxi_hp)</f>
        <v>63.602775441610461</v>
      </c>
      <c r="J148" s="85">
        <f>IF(H148,An,'2018'!An_max)</f>
        <v>2019</v>
      </c>
      <c r="K148" s="199">
        <f t="shared" si="50"/>
        <v>43599</v>
      </c>
      <c r="L148" s="147">
        <f>IF(t&lt;Tvie,1-EXP((T0-t)*PertePVj)+'2018'!Pspv,1-EXP((T0-t)*PertePVj)+Pspv)</f>
        <v>6.6336150487783518E-3</v>
      </c>
      <c r="M148" s="870"/>
      <c r="N148" s="870"/>
      <c r="O148" s="48">
        <f>IF(t&lt;Tnet,'2018'!Resal+('2018'!Salim-'2018'!Resal)*(1-EXP(('2018'!Tnet-t)/('2018'!Tau_j))),Resal+(Salim-Resal)*(1-EXP((Tnet-t)/(Tau_j))))*Salcycl</f>
        <v>5.870083728822776E-2</v>
      </c>
      <c r="P148" s="171">
        <f>(INDEX(Models!$BJ148:$BT148,,T148)*(1-R148)+INDEX(Models!$BJ148:$BT148,,T148+1)*R148-ERP_i)*Q148*Ramure*Pc/MaxiM</f>
        <v>1.5386746441965006E-4</v>
      </c>
      <c r="Q148" s="307">
        <f t="shared" si="51"/>
        <v>1</v>
      </c>
      <c r="R148" s="179">
        <f t="shared" si="52"/>
        <v>7.2663614379663954E-2</v>
      </c>
      <c r="S148" s="837">
        <f t="shared" si="53"/>
        <v>-2</v>
      </c>
      <c r="T148" s="178">
        <f t="shared" si="54"/>
        <v>4</v>
      </c>
      <c r="U148" s="253">
        <f t="shared" si="55"/>
        <v>-1.927336385620336</v>
      </c>
      <c r="V148" s="385">
        <f t="shared" si="56"/>
        <v>59.741939386346893</v>
      </c>
      <c r="W148" s="58"/>
      <c r="X148" s="157">
        <f t="shared" si="57"/>
        <v>43599</v>
      </c>
      <c r="Y148" s="387">
        <f t="shared" si="58"/>
        <v>59.463000000000001</v>
      </c>
      <c r="Z148" s="387">
        <f t="shared" si="59"/>
        <v>59.86008878579063</v>
      </c>
      <c r="AA148" s="388">
        <f t="shared" si="60"/>
        <v>63.593054320096016</v>
      </c>
      <c r="AB148" s="199">
        <f t="shared" si="61"/>
        <v>43599</v>
      </c>
      <c r="AC148" s="426">
        <f>IF(OR(t&lt;Tnet,NoTnet),'2018'!Resal_s+('2018'!Salim-'2018'!Resal_s)*(1-EXP(('2018'!Tnet_s-t)/'2018'!Tau_j)),Resal_s+(Salim-Resal_s)*(1-EXP((Tnet_s-t)/Tau_j)))*Salcycl</f>
        <v>5.870083728822776E-2</v>
      </c>
      <c r="AD148" s="233">
        <f>(INDEX(Models!$BJ148:$BT148,,AH148)*(1-AF148)+INDEX(Models!$BJ148:$BT148,,AH148+1)*AF148-ERP_i)*AE148*Ramure*Pc/MaxiM</f>
        <v>1.5386746441965006E-4</v>
      </c>
      <c r="AE148" s="307">
        <f t="shared" si="62"/>
        <v>1</v>
      </c>
      <c r="AF148" s="179">
        <f t="shared" si="63"/>
        <v>7.2663614379663954E-2</v>
      </c>
      <c r="AG148" s="178">
        <f t="shared" si="64"/>
        <v>-2</v>
      </c>
      <c r="AH148" s="178">
        <f t="shared" si="65"/>
        <v>4</v>
      </c>
      <c r="AI148" s="227">
        <f t="shared" si="66"/>
        <v>-1.927336385620336</v>
      </c>
      <c r="AJ148" s="267" t="b">
        <f t="shared" si="67"/>
        <v>0</v>
      </c>
      <c r="AK148" s="267" t="b">
        <f t="shared" si="68"/>
        <v>0</v>
      </c>
      <c r="AL148" s="267"/>
      <c r="AM148" s="267"/>
      <c r="AN148" s="75"/>
    </row>
    <row r="149" spans="1:40" s="6" customFormat="1" ht="11.25" customHeight="1" x14ac:dyDescent="0.2">
      <c r="A149" s="56">
        <f t="shared" si="69"/>
        <v>43600</v>
      </c>
      <c r="B149" s="618">
        <v>60.335999999999999</v>
      </c>
      <c r="C149" s="392"/>
      <c r="D149" s="395">
        <f t="shared" si="48"/>
        <v>60.740332120765707</v>
      </c>
      <c r="E149" s="387">
        <f t="shared" si="70"/>
        <v>64.545427625501148</v>
      </c>
      <c r="F149" s="387">
        <f t="shared" si="49"/>
        <v>64.554726690936292</v>
      </c>
      <c r="G149" s="110">
        <f t="shared" si="71"/>
        <v>1.0084238288029046</v>
      </c>
      <c r="H149" s="414" t="b">
        <f>Wh_hp&gt;='2018'!Maxi_hp</f>
        <v>1</v>
      </c>
      <c r="I149" s="392">
        <f>IF(H149,Wh_hp,'2018'!Maxi_hp)</f>
        <v>64.554726690936292</v>
      </c>
      <c r="J149" s="85">
        <f>IF(H149,An,'2018'!An_max)</f>
        <v>2019</v>
      </c>
      <c r="K149" s="199">
        <f t="shared" si="50"/>
        <v>43600</v>
      </c>
      <c r="L149" s="147">
        <f>IF(t&lt;Tvie,1-EXP((T0-t)*PertePVj)+'2018'!Pspv,1-EXP((T0-t)*PertePVj)+Pspv)</f>
        <v>6.6567321357711151E-3</v>
      </c>
      <c r="M149" s="870"/>
      <c r="N149" s="870"/>
      <c r="O149" s="48">
        <f>IF(t&lt;Tnet,'2018'!Resal+('2018'!Salim-'2018'!Resal)*(1-EXP(('2018'!Tnet-t)/('2018'!Tau_j))),Resal+(Salim-Resal)*(1-EXP((Tnet-t)/(Tau_j))))*Salcycl</f>
        <v>5.8952208463362896E-2</v>
      </c>
      <c r="P149" s="171">
        <f>(INDEX(Models!$BJ149:$BT149,,T149)*(1-R149)+INDEX(Models!$BJ149:$BT149,,T149+1)*R149-ERP_i)*Q149*Ramure*Pc/MaxiM</f>
        <v>1.4404933475540421E-4</v>
      </c>
      <c r="Q149" s="307">
        <f t="shared" si="51"/>
        <v>1</v>
      </c>
      <c r="R149" s="179">
        <f t="shared" si="52"/>
        <v>7.8092522780719431E-2</v>
      </c>
      <c r="S149" s="837">
        <f t="shared" si="53"/>
        <v>-2</v>
      </c>
      <c r="T149" s="178">
        <f t="shared" si="54"/>
        <v>4</v>
      </c>
      <c r="U149" s="253">
        <f t="shared" si="55"/>
        <v>-1.9219074772192806</v>
      </c>
      <c r="V149" s="385">
        <f t="shared" si="56"/>
        <v>59.83198559639807</v>
      </c>
      <c r="W149" s="58"/>
      <c r="X149" s="157">
        <f t="shared" si="57"/>
        <v>43600</v>
      </c>
      <c r="Y149" s="387">
        <f t="shared" si="58"/>
        <v>60.335999999999991</v>
      </c>
      <c r="Z149" s="387">
        <f t="shared" si="59"/>
        <v>60.7403321207657</v>
      </c>
      <c r="AA149" s="388">
        <f t="shared" si="60"/>
        <v>64.545427625501148</v>
      </c>
      <c r="AB149" s="199">
        <f t="shared" si="61"/>
        <v>43600</v>
      </c>
      <c r="AC149" s="426">
        <f>IF(OR(t&lt;Tnet,NoTnet),'2018'!Resal_s+('2018'!Salim-'2018'!Resal_s)*(1-EXP(('2018'!Tnet_s-t)/'2018'!Tau_j)),Resal_s+(Salim-Resal_s)*(1-EXP((Tnet_s-t)/Tau_j)))*Salcycl</f>
        <v>5.8952208463362896E-2</v>
      </c>
      <c r="AD149" s="233">
        <f>(INDEX(Models!$BJ149:$BT149,,AH149)*(1-AF149)+INDEX(Models!$BJ149:$BT149,,AH149+1)*AF149-ERP_i)*AE149*Ramure*Pc/MaxiM</f>
        <v>1.4404933475540421E-4</v>
      </c>
      <c r="AE149" s="307">
        <f t="shared" si="62"/>
        <v>1</v>
      </c>
      <c r="AF149" s="179">
        <f t="shared" si="63"/>
        <v>7.8092522780719431E-2</v>
      </c>
      <c r="AG149" s="178">
        <f t="shared" si="64"/>
        <v>-2</v>
      </c>
      <c r="AH149" s="178">
        <f t="shared" si="65"/>
        <v>4</v>
      </c>
      <c r="AI149" s="227">
        <f t="shared" si="66"/>
        <v>-1.9219074772192806</v>
      </c>
      <c r="AJ149" s="267" t="b">
        <f t="shared" si="67"/>
        <v>0</v>
      </c>
      <c r="AK149" s="267" t="b">
        <f t="shared" si="68"/>
        <v>0</v>
      </c>
      <c r="AL149" s="267"/>
      <c r="AM149" s="267"/>
      <c r="AN149" s="75"/>
    </row>
    <row r="150" spans="1:40" s="6" customFormat="1" ht="11.25" customHeight="1" x14ac:dyDescent="0.2">
      <c r="A150" s="56">
        <f t="shared" si="69"/>
        <v>43601</v>
      </c>
      <c r="B150" s="618">
        <v>49.947000000000003</v>
      </c>
      <c r="C150" s="392"/>
      <c r="D150" s="395">
        <f t="shared" si="48"/>
        <v>50.282882043485905</v>
      </c>
      <c r="E150" s="387">
        <f t="shared" si="70"/>
        <v>53.447207740895159</v>
      </c>
      <c r="F150" s="387">
        <f t="shared" si="49"/>
        <v>53.452739777573882</v>
      </c>
      <c r="G150" s="110">
        <f t="shared" si="71"/>
        <v>0.83360779925955075</v>
      </c>
      <c r="H150" s="414" t="b">
        <f>Wh_hp&gt;='2018'!Maxi_hp</f>
        <v>1</v>
      </c>
      <c r="I150" s="392">
        <f>IF(H150,Wh_hp,'2018'!Maxi_hp)</f>
        <v>53.452739777573882</v>
      </c>
      <c r="J150" s="85">
        <f>IF(H150,An,'2018'!An_max)</f>
        <v>2019</v>
      </c>
      <c r="K150" s="199">
        <f t="shared" si="50"/>
        <v>43601</v>
      </c>
      <c r="L150" s="147">
        <f>IF(t&lt;Tvie,1-EXP((T0-t)*PertePVj)+'2018'!Pspv,1-EXP((T0-t)*PertePVj)+Pspv)</f>
        <v>6.6798486847954308E-3</v>
      </c>
      <c r="M150" s="870"/>
      <c r="N150" s="870"/>
      <c r="O150" s="48">
        <f>IF(t&lt;Tnet,'2018'!Resal+('2018'!Salim-'2018'!Resal)*(1-EXP(('2018'!Tnet-t)/('2018'!Tau_j))),Resal+(Salim-Resal)*(1-EXP((Tnet-t)/(Tau_j))))*Salcycl</f>
        <v>5.9204696206946433E-2</v>
      </c>
      <c r="P150" s="171">
        <f>(INDEX(Models!$BJ150:$BT150,,T150)*(1-R150)+INDEX(Models!$BJ150:$BT150,,T150+1)*R150-ERP_i)*Q150*Ramure*Pc/MaxiM</f>
        <v>1.3575913398457539E-4</v>
      </c>
      <c r="Q150" s="307">
        <f t="shared" si="51"/>
        <v>1</v>
      </c>
      <c r="R150" s="179">
        <f t="shared" si="52"/>
        <v>8.3631535226295961E-2</v>
      </c>
      <c r="S150" s="837">
        <f t="shared" si="53"/>
        <v>-2</v>
      </c>
      <c r="T150" s="178">
        <f t="shared" si="54"/>
        <v>4</v>
      </c>
      <c r="U150" s="253">
        <f t="shared" si="55"/>
        <v>-1.916368464773704</v>
      </c>
      <c r="V150" s="385">
        <f t="shared" si="56"/>
        <v>59.914732479493331</v>
      </c>
      <c r="W150" s="58"/>
      <c r="X150" s="157">
        <f t="shared" si="57"/>
        <v>43601</v>
      </c>
      <c r="Y150" s="387">
        <f t="shared" si="58"/>
        <v>49.947000000000003</v>
      </c>
      <c r="Z150" s="387">
        <f t="shared" si="59"/>
        <v>50.282882043485905</v>
      </c>
      <c r="AA150" s="388">
        <f t="shared" si="60"/>
        <v>53.447207740895159</v>
      </c>
      <c r="AB150" s="199">
        <f t="shared" si="61"/>
        <v>43601</v>
      </c>
      <c r="AC150" s="426">
        <f>IF(OR(t&lt;Tnet,NoTnet),'2018'!Resal_s+('2018'!Salim-'2018'!Resal_s)*(1-EXP(('2018'!Tnet_s-t)/'2018'!Tau_j)),Resal_s+(Salim-Resal_s)*(1-EXP((Tnet_s-t)/Tau_j)))*Salcycl</f>
        <v>5.9204696206946433E-2</v>
      </c>
      <c r="AD150" s="233">
        <f>(INDEX(Models!$BJ150:$BT150,,AH150)*(1-AF150)+INDEX(Models!$BJ150:$BT150,,AH150+1)*AF150-ERP_i)*AE150*Ramure*Pc/MaxiM</f>
        <v>1.3575913398457539E-4</v>
      </c>
      <c r="AE150" s="307">
        <f t="shared" si="62"/>
        <v>1</v>
      </c>
      <c r="AF150" s="179">
        <f t="shared" si="63"/>
        <v>8.3631535226295961E-2</v>
      </c>
      <c r="AG150" s="178">
        <f t="shared" si="64"/>
        <v>-2</v>
      </c>
      <c r="AH150" s="178">
        <f t="shared" si="65"/>
        <v>4</v>
      </c>
      <c r="AI150" s="227">
        <f t="shared" si="66"/>
        <v>-1.916368464773704</v>
      </c>
      <c r="AJ150" s="267" t="b">
        <f t="shared" si="67"/>
        <v>0</v>
      </c>
      <c r="AK150" s="267" t="b">
        <f t="shared" si="68"/>
        <v>0</v>
      </c>
      <c r="AL150" s="267"/>
      <c r="AM150" s="267"/>
      <c r="AN150" s="75"/>
    </row>
    <row r="151" spans="1:40" s="6" customFormat="1" ht="11.25" customHeight="1" x14ac:dyDescent="0.2">
      <c r="A151" s="56">
        <f t="shared" si="69"/>
        <v>43602</v>
      </c>
      <c r="B151" s="618">
        <v>6.9109999999999996</v>
      </c>
      <c r="C151" s="392"/>
      <c r="D151" s="395">
        <f t="shared" si="48"/>
        <v>6.9576367937954542</v>
      </c>
      <c r="E151" s="387">
        <f t="shared" si="70"/>
        <v>7.3974777361197281</v>
      </c>
      <c r="F151" s="387">
        <f t="shared" si="49"/>
        <v>7.3974777361197281</v>
      </c>
      <c r="G151" s="110">
        <f t="shared" si="71"/>
        <v>0.11518670038373506</v>
      </c>
      <c r="H151" s="414" t="b">
        <f>Wh_hp&gt;='2018'!Maxi_hp</f>
        <v>1</v>
      </c>
      <c r="I151" s="392">
        <f>IF(H151,Wh_hp,'2018'!Maxi_hp)</f>
        <v>7.3974777361197281</v>
      </c>
      <c r="J151" s="85">
        <f>IF(H151,An,'2018'!An_max)</f>
        <v>2019</v>
      </c>
      <c r="K151" s="199">
        <f t="shared" si="50"/>
        <v>43602</v>
      </c>
      <c r="L151" s="147">
        <f>IF(t&lt;Tvie,1-EXP((T0-t)*PertePVj)+'2018'!Pspv,1-EXP((T0-t)*PertePVj)+Pspv)</f>
        <v>6.7029646958638445E-3</v>
      </c>
      <c r="M151" s="870"/>
      <c r="N151" s="870"/>
      <c r="O151" s="48">
        <f>IF(t&lt;Tnet,'2018'!Resal+('2018'!Salim-'2018'!Resal)*(1-EXP(('2018'!Tnet-t)/('2018'!Tau_j))),Resal+(Salim-Resal)*(1-EXP((Tnet-t)/(Tau_j))))*Salcycl</f>
        <v>5.9458231307227702E-2</v>
      </c>
      <c r="P151" s="171">
        <f>(INDEX(Models!$BJ151:$BT151,,T151)*(1-R151)+INDEX(Models!$BJ151:$BT151,,T151+1)*R151-ERP_i)*Q151*Ramure*Pc/MaxiM</f>
        <v>1.2789230975110817E-4</v>
      </c>
      <c r="Q151" s="307">
        <f t="shared" si="51"/>
        <v>1</v>
      </c>
      <c r="R151" s="179">
        <f t="shared" si="52"/>
        <v>8.9279216930259198E-2</v>
      </c>
      <c r="S151" s="837">
        <f t="shared" si="53"/>
        <v>-2</v>
      </c>
      <c r="T151" s="178">
        <f t="shared" si="54"/>
        <v>4</v>
      </c>
      <c r="U151" s="253">
        <f t="shared" si="55"/>
        <v>-1.9107207830697408</v>
      </c>
      <c r="V151" s="385">
        <f t="shared" si="56"/>
        <v>59.990572811156362</v>
      </c>
      <c r="W151" s="58"/>
      <c r="X151" s="157">
        <f t="shared" si="57"/>
        <v>43602</v>
      </c>
      <c r="Y151" s="387">
        <f t="shared" si="58"/>
        <v>6.9109999999999996</v>
      </c>
      <c r="Z151" s="387">
        <f t="shared" si="59"/>
        <v>6.9576367937954542</v>
      </c>
      <c r="AA151" s="388">
        <f t="shared" si="60"/>
        <v>7.3974777361197281</v>
      </c>
      <c r="AB151" s="199">
        <f t="shared" si="61"/>
        <v>43602</v>
      </c>
      <c r="AC151" s="426">
        <f>IF(OR(t&lt;Tnet,NoTnet),'2018'!Resal_s+('2018'!Salim-'2018'!Resal_s)*(1-EXP(('2018'!Tnet_s-t)/'2018'!Tau_j)),Resal_s+(Salim-Resal_s)*(1-EXP((Tnet_s-t)/Tau_j)))*Salcycl</f>
        <v>5.9458231307227702E-2</v>
      </c>
      <c r="AD151" s="233">
        <f>(INDEX(Models!$BJ151:$BT151,,AH151)*(1-AF151)+INDEX(Models!$BJ151:$BT151,,AH151+1)*AF151-ERP_i)*AE151*Ramure*Pc/MaxiM</f>
        <v>1.2789230975110817E-4</v>
      </c>
      <c r="AE151" s="307">
        <f t="shared" si="62"/>
        <v>1</v>
      </c>
      <c r="AF151" s="179">
        <f t="shared" si="63"/>
        <v>8.9279216930259198E-2</v>
      </c>
      <c r="AG151" s="178">
        <f t="shared" si="64"/>
        <v>-2</v>
      </c>
      <c r="AH151" s="178">
        <f t="shared" si="65"/>
        <v>4</v>
      </c>
      <c r="AI151" s="227">
        <f t="shared" si="66"/>
        <v>-1.9107207830697408</v>
      </c>
      <c r="AJ151" s="267" t="b">
        <f t="shared" si="67"/>
        <v>0</v>
      </c>
      <c r="AK151" s="267" t="b">
        <f t="shared" si="68"/>
        <v>0</v>
      </c>
      <c r="AL151" s="267"/>
      <c r="AM151" s="267"/>
      <c r="AN151" s="75"/>
    </row>
    <row r="152" spans="1:40" s="6" customFormat="1" ht="11.25" customHeight="1" x14ac:dyDescent="0.2">
      <c r="A152" s="56">
        <f t="shared" si="69"/>
        <v>43603</v>
      </c>
      <c r="B152" s="618">
        <v>37.584000000000003</v>
      </c>
      <c r="C152" s="392"/>
      <c r="D152" s="395">
        <f t="shared" si="48"/>
        <v>37.83850481687297</v>
      </c>
      <c r="E152" s="387">
        <f t="shared" si="70"/>
        <v>40.241430933949594</v>
      </c>
      <c r="F152" s="387">
        <f t="shared" si="49"/>
        <v>40.243686845807559</v>
      </c>
      <c r="G152" s="110">
        <f t="shared" si="71"/>
        <v>0.62573566444207396</v>
      </c>
      <c r="H152" s="414" t="b">
        <f>Wh_hp&gt;='2018'!Maxi_hp</f>
        <v>1</v>
      </c>
      <c r="I152" s="392">
        <f>IF(H152,Wh_hp,'2018'!Maxi_hp)</f>
        <v>40.243686845807559</v>
      </c>
      <c r="J152" s="85">
        <f>IF(H152,An,'2018'!An_max)</f>
        <v>2019</v>
      </c>
      <c r="K152" s="199">
        <f t="shared" si="50"/>
        <v>43603</v>
      </c>
      <c r="L152" s="147">
        <f>IF(t&lt;Tvie,1-EXP((T0-t)*PertePVj)+'2018'!Pspv,1-EXP((T0-t)*PertePVj)+Pspv)</f>
        <v>6.7260801689890126E-3</v>
      </c>
      <c r="M152" s="870"/>
      <c r="N152" s="870"/>
      <c r="O152" s="48">
        <f>IF(t&lt;Tnet,'2018'!Resal+('2018'!Salim-'2018'!Resal)*(1-EXP(('2018'!Tnet-t)/('2018'!Tau_j))),Resal+(Salim-Resal)*(1-EXP((Tnet-t)/(Tau_j))))*Salcycl</f>
        <v>5.9712740360070148E-2</v>
      </c>
      <c r="P152" s="171">
        <f>(INDEX(Models!$BJ152:$BT152,,T152)*(1-R152)+INDEX(Models!$BJ152:$BT152,,T152+1)*R152-ERP_i)*Q152*Ramure*Pc/MaxiM</f>
        <v>1.2044904752870954E-4</v>
      </c>
      <c r="Q152" s="307">
        <f t="shared" si="51"/>
        <v>1</v>
      </c>
      <c r="R152" s="179">
        <f t="shared" si="52"/>
        <v>9.5033889243799186E-2</v>
      </c>
      <c r="S152" s="837">
        <f t="shared" si="53"/>
        <v>-2</v>
      </c>
      <c r="T152" s="178">
        <f t="shared" si="54"/>
        <v>4</v>
      </c>
      <c r="U152" s="253">
        <f t="shared" si="55"/>
        <v>-1.9049661107562008</v>
      </c>
      <c r="V152" s="385">
        <f t="shared" si="56"/>
        <v>60.059833349136028</v>
      </c>
      <c r="W152" s="58"/>
      <c r="X152" s="157">
        <f t="shared" si="57"/>
        <v>43603</v>
      </c>
      <c r="Y152" s="387">
        <f t="shared" si="58"/>
        <v>37.584000000000003</v>
      </c>
      <c r="Z152" s="387">
        <f t="shared" si="59"/>
        <v>37.83850481687297</v>
      </c>
      <c r="AA152" s="388">
        <f t="shared" si="60"/>
        <v>40.241430933949594</v>
      </c>
      <c r="AB152" s="199">
        <f t="shared" si="61"/>
        <v>43603</v>
      </c>
      <c r="AC152" s="426">
        <f>IF(OR(t&lt;Tnet,NoTnet),'2018'!Resal_s+('2018'!Salim-'2018'!Resal_s)*(1-EXP(('2018'!Tnet_s-t)/'2018'!Tau_j)),Resal_s+(Salim-Resal_s)*(1-EXP((Tnet_s-t)/Tau_j)))*Salcycl</f>
        <v>5.9712740360070148E-2</v>
      </c>
      <c r="AD152" s="233">
        <f>(INDEX(Models!$BJ152:$BT152,,AH152)*(1-AF152)+INDEX(Models!$BJ152:$BT152,,AH152+1)*AF152-ERP_i)*AE152*Ramure*Pc/MaxiM</f>
        <v>1.2044904752870954E-4</v>
      </c>
      <c r="AE152" s="307">
        <f t="shared" si="62"/>
        <v>1</v>
      </c>
      <c r="AF152" s="179">
        <f t="shared" si="63"/>
        <v>9.5033889243799186E-2</v>
      </c>
      <c r="AG152" s="178">
        <f t="shared" si="64"/>
        <v>-2</v>
      </c>
      <c r="AH152" s="178">
        <f t="shared" si="65"/>
        <v>4</v>
      </c>
      <c r="AI152" s="227">
        <f t="shared" si="66"/>
        <v>-1.9049661107562008</v>
      </c>
      <c r="AJ152" s="267" t="b">
        <f t="shared" si="67"/>
        <v>0</v>
      </c>
      <c r="AK152" s="267" t="b">
        <f t="shared" si="68"/>
        <v>0</v>
      </c>
      <c r="AL152" s="267"/>
      <c r="AM152" s="267"/>
      <c r="AN152" s="75"/>
    </row>
    <row r="153" spans="1:40" s="6" customFormat="1" ht="11.25" customHeight="1" x14ac:dyDescent="0.2">
      <c r="A153" s="56">
        <f t="shared" si="69"/>
        <v>43604</v>
      </c>
      <c r="B153" s="618">
        <v>27.007999999999999</v>
      </c>
      <c r="C153" s="392"/>
      <c r="D153" s="395">
        <f t="shared" si="48"/>
        <v>27.191520879595863</v>
      </c>
      <c r="E153" s="387">
        <f t="shared" si="70"/>
        <v>28.926169640462771</v>
      </c>
      <c r="F153" s="387">
        <f t="shared" si="49"/>
        <v>28.926869065967015</v>
      </c>
      <c r="G153" s="110">
        <f t="shared" si="71"/>
        <v>0.44917354351960975</v>
      </c>
      <c r="H153" s="414" t="b">
        <f>Wh_hp&gt;='2018'!Maxi_hp</f>
        <v>1</v>
      </c>
      <c r="I153" s="392">
        <f>IF(H153,Wh_hp,'2018'!Maxi_hp)</f>
        <v>28.926869065967015</v>
      </c>
      <c r="J153" s="85">
        <f>IF(H153,An,'2018'!An_max)</f>
        <v>2019</v>
      </c>
      <c r="K153" s="199">
        <f t="shared" si="50"/>
        <v>43604</v>
      </c>
      <c r="L153" s="147">
        <f>IF(t&lt;Tvie,1-EXP((T0-t)*PertePVj)+'2018'!Pspv,1-EXP((T0-t)*PertePVj)+Pspv)</f>
        <v>6.7491951041832587E-3</v>
      </c>
      <c r="M153" s="870"/>
      <c r="N153" s="870"/>
      <c r="O153" s="48">
        <f>IF(t&lt;Tnet,'2018'!Resal+('2018'!Salim-'2018'!Resal)*(1-EXP(('2018'!Tnet-t)/('2018'!Tau_j))),Resal+(Salim-Resal)*(1-EXP((Tnet-t)/(Tau_j))))*Salcycl</f>
        <v>5.9968145884079595E-2</v>
      </c>
      <c r="P153" s="171">
        <f>(INDEX(Models!$BJ153:$BT153,,T153)*(1-R153)+INDEX(Models!$BJ153:$BT153,,T153+1)*R153-ERP_i)*Q153*Ramure*Pc/MaxiM</f>
        <v>1.1343042452030383E-4</v>
      </c>
      <c r="Q153" s="307">
        <f t="shared" si="51"/>
        <v>1</v>
      </c>
      <c r="R153" s="179">
        <f t="shared" si="52"/>
        <v>0.10089362531801438</v>
      </c>
      <c r="S153" s="837">
        <f t="shared" si="53"/>
        <v>-2</v>
      </c>
      <c r="T153" s="178">
        <f t="shared" si="54"/>
        <v>4</v>
      </c>
      <c r="U153" s="253">
        <f t="shared" si="55"/>
        <v>-1.8991063746819856</v>
      </c>
      <c r="V153" s="385">
        <f t="shared" si="56"/>
        <v>60.122840784851299</v>
      </c>
      <c r="W153" s="58"/>
      <c r="X153" s="157">
        <f t="shared" si="57"/>
        <v>43604</v>
      </c>
      <c r="Y153" s="387">
        <f t="shared" si="58"/>
        <v>27.007999999999999</v>
      </c>
      <c r="Z153" s="387">
        <f t="shared" si="59"/>
        <v>27.191520879595863</v>
      </c>
      <c r="AA153" s="388">
        <f t="shared" si="60"/>
        <v>28.926169640462771</v>
      </c>
      <c r="AB153" s="199">
        <f t="shared" si="61"/>
        <v>43604</v>
      </c>
      <c r="AC153" s="426">
        <f>IF(OR(t&lt;Tnet,NoTnet),'2018'!Resal_s+('2018'!Salim-'2018'!Resal_s)*(1-EXP(('2018'!Tnet_s-t)/'2018'!Tau_j)),Resal_s+(Salim-Resal_s)*(1-EXP((Tnet_s-t)/Tau_j)))*Salcycl</f>
        <v>5.9968145884079595E-2</v>
      </c>
      <c r="AD153" s="233">
        <f>(INDEX(Models!$BJ153:$BT153,,AH153)*(1-AF153)+INDEX(Models!$BJ153:$BT153,,AH153+1)*AF153-ERP_i)*AE153*Ramure*Pc/MaxiM</f>
        <v>1.1343042452030383E-4</v>
      </c>
      <c r="AE153" s="307">
        <f t="shared" si="62"/>
        <v>1</v>
      </c>
      <c r="AF153" s="179">
        <f t="shared" si="63"/>
        <v>0.10089362531801438</v>
      </c>
      <c r="AG153" s="178">
        <f t="shared" si="64"/>
        <v>-2</v>
      </c>
      <c r="AH153" s="178">
        <f t="shared" si="65"/>
        <v>4</v>
      </c>
      <c r="AI153" s="227">
        <f t="shared" si="66"/>
        <v>-1.8991063746819856</v>
      </c>
      <c r="AJ153" s="267" t="b">
        <f t="shared" si="67"/>
        <v>0</v>
      </c>
      <c r="AK153" s="267" t="b">
        <f t="shared" si="68"/>
        <v>0</v>
      </c>
      <c r="AL153" s="267"/>
      <c r="AM153" s="267"/>
      <c r="AN153" s="75"/>
    </row>
    <row r="154" spans="1:40" s="6" customFormat="1" ht="11.25" customHeight="1" x14ac:dyDescent="0.2">
      <c r="A154" s="56">
        <f t="shared" si="69"/>
        <v>43605</v>
      </c>
      <c r="B154" s="618">
        <v>55.753999999999998</v>
      </c>
      <c r="C154" s="392"/>
      <c r="D154" s="395">
        <f t="shared" si="48"/>
        <v>56.134157890840548</v>
      </c>
      <c r="E154" s="387">
        <f t="shared" si="70"/>
        <v>59.731446408542396</v>
      </c>
      <c r="F154" s="387">
        <f t="shared" si="49"/>
        <v>59.73715808813202</v>
      </c>
      <c r="G154" s="110">
        <f t="shared" si="71"/>
        <v>0.92644477616897547</v>
      </c>
      <c r="H154" s="414" t="b">
        <f>Wh_hp&gt;='2018'!Maxi_hp</f>
        <v>1</v>
      </c>
      <c r="I154" s="392">
        <f>IF(H154,Wh_hp,'2018'!Maxi_hp)</f>
        <v>59.73715808813202</v>
      </c>
      <c r="J154" s="85">
        <f>IF(H154,An,'2018'!An_max)</f>
        <v>2019</v>
      </c>
      <c r="K154" s="199">
        <f t="shared" si="50"/>
        <v>43605</v>
      </c>
      <c r="L154" s="147">
        <f>IF(t&lt;Tvie,1-EXP((T0-t)*PertePVj)+'2018'!Pspv,1-EXP((T0-t)*PertePVj)+Pspv)</f>
        <v>6.7723095014592394E-3</v>
      </c>
      <c r="M154" s="870"/>
      <c r="N154" s="870"/>
      <c r="O154" s="48">
        <f>IF(t&lt;Tnet,'2018'!Resal+('2018'!Salim-'2018'!Resal)*(1-EXP(('2018'!Tnet-t)/('2018'!Tau_j))),Resal+(Salim-Resal)*(1-EXP((Tnet-t)/(Tau_j))))*Salcycl</f>
        <v>6.0224366460132961E-2</v>
      </c>
      <c r="P154" s="171">
        <f>(INDEX(Models!$BJ154:$BT154,,T154)*(1-R154)+INDEX(Models!$BJ154:$BT154,,T154+1)*R154-ERP_i)*Q154*Ramure*Pc/MaxiM</f>
        <v>1.0683838553008661E-4</v>
      </c>
      <c r="Q154" s="307">
        <f t="shared" si="51"/>
        <v>1</v>
      </c>
      <c r="R154" s="179">
        <f t="shared" si="52"/>
        <v>0.10685624674873928</v>
      </c>
      <c r="S154" s="837">
        <f t="shared" si="53"/>
        <v>-2</v>
      </c>
      <c r="T154" s="178">
        <f t="shared" si="54"/>
        <v>4</v>
      </c>
      <c r="U154" s="253">
        <f t="shared" si="55"/>
        <v>-1.8931437532512607</v>
      </c>
      <c r="V154" s="385">
        <f t="shared" si="56"/>
        <v>60.179921720978342</v>
      </c>
      <c r="W154" s="58"/>
      <c r="X154" s="157">
        <f t="shared" si="57"/>
        <v>43605</v>
      </c>
      <c r="Y154" s="387">
        <f t="shared" si="58"/>
        <v>55.753999999999998</v>
      </c>
      <c r="Z154" s="387">
        <f t="shared" si="59"/>
        <v>56.134157890840548</v>
      </c>
      <c r="AA154" s="388">
        <f t="shared" si="60"/>
        <v>59.731446408542396</v>
      </c>
      <c r="AB154" s="199">
        <f t="shared" si="61"/>
        <v>43605</v>
      </c>
      <c r="AC154" s="426">
        <f>IF(OR(t&lt;Tnet,NoTnet),'2018'!Resal_s+('2018'!Salim-'2018'!Resal_s)*(1-EXP(('2018'!Tnet_s-t)/'2018'!Tau_j)),Resal_s+(Salim-Resal_s)*(1-EXP((Tnet_s-t)/Tau_j)))*Salcycl</f>
        <v>6.0224366460132961E-2</v>
      </c>
      <c r="AD154" s="233">
        <f>(INDEX(Models!$BJ154:$BT154,,AH154)*(1-AF154)+INDEX(Models!$BJ154:$BT154,,AH154+1)*AF154-ERP_i)*AE154*Ramure*Pc/MaxiM</f>
        <v>1.0683838553008661E-4</v>
      </c>
      <c r="AE154" s="307">
        <f t="shared" si="62"/>
        <v>1</v>
      </c>
      <c r="AF154" s="179">
        <f t="shared" si="63"/>
        <v>0.10685624674873928</v>
      </c>
      <c r="AG154" s="178">
        <f t="shared" si="64"/>
        <v>-2</v>
      </c>
      <c r="AH154" s="178">
        <f t="shared" si="65"/>
        <v>4</v>
      </c>
      <c r="AI154" s="227">
        <f t="shared" si="66"/>
        <v>-1.8931437532512607</v>
      </c>
      <c r="AJ154" s="267" t="b">
        <f t="shared" si="67"/>
        <v>0</v>
      </c>
      <c r="AK154" s="267" t="b">
        <f t="shared" si="68"/>
        <v>0</v>
      </c>
      <c r="AL154" s="267"/>
      <c r="AM154" s="267"/>
      <c r="AN154" s="75"/>
    </row>
    <row r="155" spans="1:40" s="6" customFormat="1" ht="11.25" x14ac:dyDescent="0.2">
      <c r="A155" s="56">
        <f t="shared" si="69"/>
        <v>43606</v>
      </c>
      <c r="B155" s="618">
        <v>44.51</v>
      </c>
      <c r="C155" s="392"/>
      <c r="D155" s="395">
        <f t="shared" si="48"/>
        <v>44.814533729409504</v>
      </c>
      <c r="E155" s="387">
        <f t="shared" si="70"/>
        <v>47.699459878038695</v>
      </c>
      <c r="F155" s="387">
        <f t="shared" si="49"/>
        <v>47.702471604778751</v>
      </c>
      <c r="G155" s="110">
        <f t="shared" si="71"/>
        <v>0.73895554517416639</v>
      </c>
      <c r="H155" s="414" t="b">
        <f>Wh_hp&gt;='2018'!Maxi_hp</f>
        <v>1</v>
      </c>
      <c r="I155" s="392">
        <f>IF(H155,Wh_hp,'2018'!Maxi_hp)</f>
        <v>47.702471604778751</v>
      </c>
      <c r="J155" s="85">
        <f>IF(H155,An,'2018'!An_max)</f>
        <v>2019</v>
      </c>
      <c r="K155" s="199">
        <f t="shared" si="50"/>
        <v>43606</v>
      </c>
      <c r="L155" s="147">
        <f>IF(t&lt;Tvie,1-EXP((T0-t)*PertePVj)+'2018'!Pspv,1-EXP((T0-t)*PertePVj)+Pspv)</f>
        <v>6.795423360829389E-3</v>
      </c>
      <c r="M155" s="870"/>
      <c r="N155" s="870"/>
      <c r="O155" s="48">
        <f>IF(t&lt;Tnet,'2018'!Resal+('2018'!Salim-'2018'!Resal)*(1-EXP(('2018'!Tnet-t)/('2018'!Tau_j))),Resal+(Salim-Resal)*(1-EXP((Tnet-t)/(Tau_j))))*Salcycl</f>
        <v>6.0481316895528187E-2</v>
      </c>
      <c r="P155" s="171">
        <f>(INDEX(Models!$BJ155:$BT155,,T155)*(1-R155)+INDEX(Models!$BJ155:$BT155,,T155+1)*R155-ERP_i)*Q155*Ramure*Pc/MaxiM</f>
        <v>1.0067571804203651E-4</v>
      </c>
      <c r="Q155" s="307">
        <f t="shared" si="51"/>
        <v>1</v>
      </c>
      <c r="R155" s="179">
        <f t="shared" si="52"/>
        <v>0.11291932127805926</v>
      </c>
      <c r="S155" s="837">
        <f t="shared" si="53"/>
        <v>-2</v>
      </c>
      <c r="T155" s="178">
        <f t="shared" si="54"/>
        <v>4</v>
      </c>
      <c r="U155" s="253">
        <f t="shared" si="55"/>
        <v>-1.8870806787219407</v>
      </c>
      <c r="V155" s="385">
        <f t="shared" si="56"/>
        <v>60.231402655969887</v>
      </c>
      <c r="W155" s="58"/>
      <c r="X155" s="157">
        <f t="shared" si="57"/>
        <v>43606</v>
      </c>
      <c r="Y155" s="387">
        <f t="shared" si="58"/>
        <v>44.51</v>
      </c>
      <c r="Z155" s="387">
        <f t="shared" si="59"/>
        <v>44.814533729409504</v>
      </c>
      <c r="AA155" s="388">
        <f t="shared" si="60"/>
        <v>47.699459878038695</v>
      </c>
      <c r="AB155" s="199">
        <f t="shared" si="61"/>
        <v>43606</v>
      </c>
      <c r="AC155" s="426">
        <f>IF(OR(t&lt;Tnet,NoTnet),'2018'!Resal_s+('2018'!Salim-'2018'!Resal_s)*(1-EXP(('2018'!Tnet_s-t)/'2018'!Tau_j)),Resal_s+(Salim-Resal_s)*(1-EXP((Tnet_s-t)/Tau_j)))*Salcycl</f>
        <v>6.0481316895528187E-2</v>
      </c>
      <c r="AD155" s="233">
        <f>(INDEX(Models!$BJ155:$BT155,,AH155)*(1-AF155)+INDEX(Models!$BJ155:$BT155,,AH155+1)*AF155-ERP_i)*AE155*Ramure*Pc/MaxiM</f>
        <v>1.0067571804203651E-4</v>
      </c>
      <c r="AE155" s="307">
        <f t="shared" si="62"/>
        <v>1</v>
      </c>
      <c r="AF155" s="179">
        <f t="shared" si="63"/>
        <v>0.11291932127805926</v>
      </c>
      <c r="AG155" s="178">
        <f t="shared" si="64"/>
        <v>-2</v>
      </c>
      <c r="AH155" s="178">
        <f t="shared" si="65"/>
        <v>4</v>
      </c>
      <c r="AI155" s="227">
        <f t="shared" si="66"/>
        <v>-1.8870806787219407</v>
      </c>
      <c r="AJ155" s="267" t="b">
        <f t="shared" si="67"/>
        <v>0</v>
      </c>
      <c r="AK155" s="267" t="b">
        <f t="shared" si="68"/>
        <v>0</v>
      </c>
      <c r="AL155" s="267"/>
      <c r="AM155" s="267"/>
      <c r="AN155" s="75"/>
    </row>
    <row r="156" spans="1:40" s="18" customFormat="1" ht="11.25" customHeight="1" x14ac:dyDescent="0.2">
      <c r="A156" s="56">
        <f t="shared" si="69"/>
        <v>43607</v>
      </c>
      <c r="B156" s="618">
        <v>58.847000000000001</v>
      </c>
      <c r="C156" s="392"/>
      <c r="D156" s="395">
        <f t="shared" si="48"/>
        <v>59.251005152093065</v>
      </c>
      <c r="E156" s="387">
        <f t="shared" si="70"/>
        <v>63.08257169682927</v>
      </c>
      <c r="F156" s="387">
        <f t="shared" si="49"/>
        <v>63.08837322256813</v>
      </c>
      <c r="G156" s="110">
        <f t="shared" si="71"/>
        <v>0.97626339560617659</v>
      </c>
      <c r="H156" s="414" t="b">
        <f>Wh_hp&gt;='2018'!Maxi_hp</f>
        <v>1</v>
      </c>
      <c r="I156" s="392">
        <f>IF(H156,Wh_hp,'2018'!Maxi_hp)</f>
        <v>63.08837322256813</v>
      </c>
      <c r="J156" s="85">
        <f>IF(H156,An,'2018'!An_max)</f>
        <v>2019</v>
      </c>
      <c r="K156" s="199">
        <f t="shared" si="50"/>
        <v>43607</v>
      </c>
      <c r="L156" s="147">
        <f>IF(t&lt;Tvie,1-EXP((T0-t)*PertePVj)+'2018'!Pspv,1-EXP((T0-t)*PertePVj)+Pspv)</f>
        <v>6.8185366823062532E-3</v>
      </c>
      <c r="M156" s="870"/>
      <c r="N156" s="870"/>
      <c r="O156" s="48">
        <f>IF(t&lt;Tnet,'2018'!Resal+('2018'!Salim-'2018'!Resal)*(1-EXP(('2018'!Tnet-t)/('2018'!Tau_j))),Resal+(Salim-Resal)*(1-EXP((Tnet-t)/(Tau_j))))*Salcycl</f>
        <v>6.073890841277782E-2</v>
      </c>
      <c r="P156" s="171">
        <f>(INDEX(Models!$BJ156:$BT156,,T156)*(1-R156)+INDEX(Models!$BJ156:$BT156,,T156+1)*R156-ERP_i)*Q156*Ramure*Pc/MaxiM</f>
        <v>9.5185989741803005E-5</v>
      </c>
      <c r="Q156" s="307">
        <f t="shared" si="51"/>
        <v>1</v>
      </c>
      <c r="R156" s="179">
        <f t="shared" si="52"/>
        <v>0.1190801616218371</v>
      </c>
      <c r="S156" s="837">
        <f t="shared" si="53"/>
        <v>-2</v>
      </c>
      <c r="T156" s="178">
        <f t="shared" si="54"/>
        <v>4</v>
      </c>
      <c r="U156" s="253">
        <f t="shared" si="55"/>
        <v>-1.8809198383781629</v>
      </c>
      <c r="V156" s="385">
        <f t="shared" si="56"/>
        <v>60.277595505425971</v>
      </c>
      <c r="W156" s="58"/>
      <c r="X156" s="157">
        <f t="shared" si="57"/>
        <v>43607</v>
      </c>
      <c r="Y156" s="387">
        <f t="shared" si="58"/>
        <v>58.847000000000001</v>
      </c>
      <c r="Z156" s="387">
        <f t="shared" si="59"/>
        <v>59.251005152093065</v>
      </c>
      <c r="AA156" s="388">
        <f t="shared" si="60"/>
        <v>63.08257169682927</v>
      </c>
      <c r="AB156" s="199">
        <f t="shared" si="61"/>
        <v>43607</v>
      </c>
      <c r="AC156" s="426">
        <f>IF(OR(t&lt;Tnet,NoTnet),'2018'!Resal_s+('2018'!Salim-'2018'!Resal_s)*(1-EXP(('2018'!Tnet_s-t)/'2018'!Tau_j)),Resal_s+(Salim-Resal_s)*(1-EXP((Tnet_s-t)/Tau_j)))*Salcycl</f>
        <v>6.073890841277782E-2</v>
      </c>
      <c r="AD156" s="233">
        <f>(INDEX(Models!$BJ156:$BT156,,AH156)*(1-AF156)+INDEX(Models!$BJ156:$BT156,,AH156+1)*AF156-ERP_i)*AE156*Ramure*Pc/MaxiM</f>
        <v>9.5185989741803005E-5</v>
      </c>
      <c r="AE156" s="307">
        <f t="shared" si="62"/>
        <v>1</v>
      </c>
      <c r="AF156" s="179">
        <f t="shared" si="63"/>
        <v>0.1190801616218371</v>
      </c>
      <c r="AG156" s="178">
        <f t="shared" si="64"/>
        <v>-2</v>
      </c>
      <c r="AH156" s="178">
        <f t="shared" si="65"/>
        <v>4</v>
      </c>
      <c r="AI156" s="227">
        <f t="shared" si="66"/>
        <v>-1.8809198383781629</v>
      </c>
      <c r="AJ156" s="267" t="b">
        <f t="shared" si="67"/>
        <v>0</v>
      </c>
      <c r="AK156" s="267" t="b">
        <f t="shared" si="68"/>
        <v>0</v>
      </c>
      <c r="AL156" s="267"/>
      <c r="AM156" s="267"/>
      <c r="AN156" s="267"/>
    </row>
    <row r="157" spans="1:40" s="18" customFormat="1" ht="11.25" customHeight="1" x14ac:dyDescent="0.2">
      <c r="A157" s="56">
        <f t="shared" si="69"/>
        <v>43608</v>
      </c>
      <c r="B157" s="618">
        <v>49.948999999999998</v>
      </c>
      <c r="C157" s="392"/>
      <c r="D157" s="395">
        <f t="shared" si="48"/>
        <v>50.293087676440095</v>
      </c>
      <c r="E157" s="387">
        <f t="shared" si="70"/>
        <v>53.56009543477451</v>
      </c>
      <c r="F157" s="387">
        <f t="shared" si="49"/>
        <v>53.563730045979938</v>
      </c>
      <c r="G157" s="110">
        <f t="shared" si="71"/>
        <v>0.82806443862269585</v>
      </c>
      <c r="H157" s="414" t="b">
        <f>Wh_hp&gt;='2018'!Maxi_hp</f>
        <v>1</v>
      </c>
      <c r="I157" s="392">
        <f>IF(H157,Wh_hp,'2018'!Maxi_hp)</f>
        <v>53.563730045979938</v>
      </c>
      <c r="J157" s="85">
        <f>IF(H157,An,'2018'!An_max)</f>
        <v>2019</v>
      </c>
      <c r="K157" s="199">
        <f t="shared" si="50"/>
        <v>43608</v>
      </c>
      <c r="L157" s="147">
        <f>IF(t&lt;Tvie,1-EXP((T0-t)*PertePVj)+'2018'!Pspv,1-EXP((T0-t)*PertePVj)+Pspv)</f>
        <v>6.8416494659023774E-3</v>
      </c>
      <c r="M157" s="870"/>
      <c r="N157" s="870"/>
      <c r="O157" s="48">
        <f>IF(t&lt;Tnet,'2018'!Resal+('2018'!Salim-'2018'!Resal)*(1-EXP(('2018'!Tnet-t)/('2018'!Tau_j))),Resal+(Salim-Resal)*(1-EXP((Tnet-t)/(Tau_j))))*Salcycl</f>
        <v>6.0997048862860524E-2</v>
      </c>
      <c r="P157" s="171">
        <f>(INDEX(Models!$BJ157:$BT157,,T157)*(1-R157)+INDEX(Models!$BJ157:$BT157,,T157+1)*R157-ERP_i)*Q157*Ramure*Pc/MaxiM</f>
        <v>8.9946283122915556E-5</v>
      </c>
      <c r="Q157" s="307">
        <f t="shared" si="51"/>
        <v>1</v>
      </c>
      <c r="R157" s="179">
        <f t="shared" si="52"/>
        <v>0.12533582548631839</v>
      </c>
      <c r="S157" s="837">
        <f t="shared" si="53"/>
        <v>-2</v>
      </c>
      <c r="T157" s="178">
        <f t="shared" si="54"/>
        <v>4</v>
      </c>
      <c r="U157" s="253">
        <f t="shared" si="55"/>
        <v>-1.8746641745136816</v>
      </c>
      <c r="V157" s="385">
        <f t="shared" si="56"/>
        <v>60.318852252625582</v>
      </c>
      <c r="W157" s="58"/>
      <c r="X157" s="157">
        <f t="shared" si="57"/>
        <v>43608</v>
      </c>
      <c r="Y157" s="387">
        <f t="shared" si="58"/>
        <v>49.948999999999998</v>
      </c>
      <c r="Z157" s="387">
        <f t="shared" si="59"/>
        <v>50.293087676440095</v>
      </c>
      <c r="AA157" s="388">
        <f t="shared" si="60"/>
        <v>53.56009543477451</v>
      </c>
      <c r="AB157" s="199">
        <f t="shared" si="61"/>
        <v>43608</v>
      </c>
      <c r="AC157" s="426">
        <f>IF(OR(t&lt;Tnet,NoTnet),'2018'!Resal_s+('2018'!Salim-'2018'!Resal_s)*(1-EXP(('2018'!Tnet_s-t)/'2018'!Tau_j)),Resal_s+(Salim-Resal_s)*(1-EXP((Tnet_s-t)/Tau_j)))*Salcycl</f>
        <v>6.0997048862860524E-2</v>
      </c>
      <c r="AD157" s="233">
        <f>(INDEX(Models!$BJ157:$BT157,,AH157)*(1-AF157)+INDEX(Models!$BJ157:$BT157,,AH157+1)*AF157-ERP_i)*AE157*Ramure*Pc/MaxiM</f>
        <v>8.9946283122915556E-5</v>
      </c>
      <c r="AE157" s="307">
        <f t="shared" si="62"/>
        <v>1</v>
      </c>
      <c r="AF157" s="179">
        <f t="shared" si="63"/>
        <v>0.12533582548631839</v>
      </c>
      <c r="AG157" s="178">
        <f t="shared" si="64"/>
        <v>-2</v>
      </c>
      <c r="AH157" s="178">
        <f t="shared" si="65"/>
        <v>4</v>
      </c>
      <c r="AI157" s="227">
        <f t="shared" si="66"/>
        <v>-1.8746641745136816</v>
      </c>
      <c r="AJ157" s="267" t="b">
        <f t="shared" si="67"/>
        <v>0</v>
      </c>
      <c r="AK157" s="267" t="b">
        <f t="shared" si="68"/>
        <v>0</v>
      </c>
      <c r="AL157" s="267"/>
      <c r="AM157" s="267"/>
      <c r="AN157" s="267"/>
    </row>
    <row r="158" spans="1:40" s="6" customFormat="1" ht="11.25" customHeight="1" x14ac:dyDescent="0.2">
      <c r="A158" s="56">
        <f t="shared" si="69"/>
        <v>43609</v>
      </c>
      <c r="B158" s="618">
        <v>12.086</v>
      </c>
      <c r="C158" s="392"/>
      <c r="D158" s="395">
        <f t="shared" si="48"/>
        <v>12.169540999098729</v>
      </c>
      <c r="E158" s="387">
        <f t="shared" si="70"/>
        <v>12.963636913359377</v>
      </c>
      <c r="F158" s="387">
        <f t="shared" si="49"/>
        <v>12.963636913359377</v>
      </c>
      <c r="G158" s="110">
        <f t="shared" si="71"/>
        <v>0.20022986062649947</v>
      </c>
      <c r="H158" s="414" t="b">
        <f>Wh_hp&gt;='2018'!Maxi_hp</f>
        <v>1</v>
      </c>
      <c r="I158" s="392">
        <f>IF(H158,Wh_hp,'2018'!Maxi_hp)</f>
        <v>12.963636913359377</v>
      </c>
      <c r="J158" s="85">
        <f>IF(H158,An,'2018'!An_max)</f>
        <v>2019</v>
      </c>
      <c r="K158" s="199">
        <f t="shared" si="50"/>
        <v>43609</v>
      </c>
      <c r="L158" s="147">
        <f>IF(t&lt;Tvie,1-EXP((T0-t)*PertePVj)+'2018'!Pspv,1-EXP((T0-t)*PertePVj)+Pspv)</f>
        <v>6.8647617116303072E-3</v>
      </c>
      <c r="M158" s="870"/>
      <c r="N158" s="870"/>
      <c r="O158" s="48">
        <f>IF(t&lt;Tnet,'2018'!Resal+('2018'!Salim-'2018'!Resal)*(1-EXP(('2018'!Tnet-t)/('2018'!Tau_j))),Resal+(Salim-Resal)*(1-EXP((Tnet-t)/(Tau_j))))*Salcycl</f>
        <v>6.1255642962532532E-2</v>
      </c>
      <c r="P158" s="171">
        <f>(INDEX(Models!$BJ158:$BT158,,T158)*(1-R158)+INDEX(Models!$BJ158:$BT158,,T158+1)*R158-ERP_i)*Q158*Ramure*Pc/MaxiM</f>
        <v>8.4956654893532027E-5</v>
      </c>
      <c r="Q158" s="307">
        <f t="shared" si="51"/>
        <v>1</v>
      </c>
      <c r="R158" s="179">
        <f t="shared" si="52"/>
        <v>0.13168311682947964</v>
      </c>
      <c r="S158" s="837">
        <f t="shared" si="53"/>
        <v>-2</v>
      </c>
      <c r="T158" s="178">
        <f t="shared" si="54"/>
        <v>4</v>
      </c>
      <c r="U158" s="253">
        <f t="shared" si="55"/>
        <v>-1.8683168831705204</v>
      </c>
      <c r="V158" s="385">
        <f t="shared" si="56"/>
        <v>60.355499304930191</v>
      </c>
      <c r="W158" s="58"/>
      <c r="X158" s="157">
        <f t="shared" si="57"/>
        <v>43609</v>
      </c>
      <c r="Y158" s="387">
        <f t="shared" si="58"/>
        <v>12.086</v>
      </c>
      <c r="Z158" s="387">
        <f t="shared" si="59"/>
        <v>12.169540999098729</v>
      </c>
      <c r="AA158" s="388">
        <f t="shared" si="60"/>
        <v>12.963636913359377</v>
      </c>
      <c r="AB158" s="199">
        <f t="shared" si="61"/>
        <v>43609</v>
      </c>
      <c r="AC158" s="426">
        <f>IF(OR(t&lt;Tnet,NoTnet),'2018'!Resal_s+('2018'!Salim-'2018'!Resal_s)*(1-EXP(('2018'!Tnet_s-t)/'2018'!Tau_j)),Resal_s+(Salim-Resal_s)*(1-EXP((Tnet_s-t)/Tau_j)))*Salcycl</f>
        <v>6.1255642962532532E-2</v>
      </c>
      <c r="AD158" s="233">
        <f>(INDEX(Models!$BJ158:$BT158,,AH158)*(1-AF158)+INDEX(Models!$BJ158:$BT158,,AH158+1)*AF158-ERP_i)*AE158*Ramure*Pc/MaxiM</f>
        <v>8.4956654893532027E-5</v>
      </c>
      <c r="AE158" s="307">
        <f t="shared" si="62"/>
        <v>1</v>
      </c>
      <c r="AF158" s="179">
        <f t="shared" si="63"/>
        <v>0.13168311682947964</v>
      </c>
      <c r="AG158" s="178">
        <f t="shared" si="64"/>
        <v>-2</v>
      </c>
      <c r="AH158" s="178">
        <f t="shared" si="65"/>
        <v>4</v>
      </c>
      <c r="AI158" s="227">
        <f t="shared" si="66"/>
        <v>-1.8683168831705204</v>
      </c>
      <c r="AJ158" s="267" t="b">
        <f t="shared" si="67"/>
        <v>0</v>
      </c>
      <c r="AK158" s="267" t="b">
        <f t="shared" si="68"/>
        <v>0</v>
      </c>
      <c r="AL158" s="267"/>
      <c r="AM158" s="267"/>
      <c r="AN158" s="75"/>
    </row>
    <row r="159" spans="1:40" s="6" customFormat="1" ht="11.25" customHeight="1" x14ac:dyDescent="0.2">
      <c r="A159" s="56">
        <f t="shared" si="69"/>
        <v>43610</v>
      </c>
      <c r="B159" s="618">
        <v>32.164000000000001</v>
      </c>
      <c r="C159" s="392"/>
      <c r="D159" s="395">
        <f t="shared" si="48"/>
        <v>32.387078094341369</v>
      </c>
      <c r="E159" s="387">
        <f t="shared" si="70"/>
        <v>34.509943188692937</v>
      </c>
      <c r="F159" s="387">
        <f t="shared" si="49"/>
        <v>34.510863182000854</v>
      </c>
      <c r="G159" s="110">
        <f t="shared" si="71"/>
        <v>0.53259505670242369</v>
      </c>
      <c r="H159" s="414" t="b">
        <f>Wh_hp&gt;='2018'!Maxi_hp</f>
        <v>1</v>
      </c>
      <c r="I159" s="392">
        <f>IF(H159,Wh_hp,'2018'!Maxi_hp)</f>
        <v>34.510863182000854</v>
      </c>
      <c r="J159" s="85">
        <f>IF(H159,An,'2018'!An_max)</f>
        <v>2019</v>
      </c>
      <c r="K159" s="199">
        <f t="shared" si="50"/>
        <v>43610</v>
      </c>
      <c r="L159" s="147">
        <f>IF(t&lt;Tvie,1-EXP((T0-t)*PertePVj)+'2018'!Pspv,1-EXP((T0-t)*PertePVj)+Pspv)</f>
        <v>6.8878734195024771E-3</v>
      </c>
      <c r="M159" s="870"/>
      <c r="N159" s="870"/>
      <c r="O159" s="48">
        <f>IF(t&lt;Tnet,'2018'!Resal+('2018'!Salim-'2018'!Resal)*(1-EXP(('2018'!Tnet-t)/('2018'!Tau_j))),Resal+(Salim-Resal)*(1-EXP((Tnet-t)/(Tau_j))))*Salcycl</f>
        <v>6.1514592555084707E-2</v>
      </c>
      <c r="P159" s="171">
        <f>(INDEX(Models!$BJ159:$BT159,,T159)*(1-R159)+INDEX(Models!$BJ159:$BT159,,T159+1)*R159-ERP_i)*Q159*Ramure*Pc/MaxiM</f>
        <v>8.0218242380790172E-5</v>
      </c>
      <c r="Q159" s="307">
        <f t="shared" si="51"/>
        <v>1</v>
      </c>
      <c r="R159" s="179">
        <f t="shared" si="52"/>
        <v>0.13811858841428348</v>
      </c>
      <c r="S159" s="837">
        <f t="shared" si="53"/>
        <v>-2</v>
      </c>
      <c r="T159" s="178">
        <f t="shared" si="54"/>
        <v>4</v>
      </c>
      <c r="U159" s="253">
        <f t="shared" si="55"/>
        <v>-1.8618814115857165</v>
      </c>
      <c r="V159" s="385">
        <f t="shared" si="56"/>
        <v>60.387862861711</v>
      </c>
      <c r="W159" s="58"/>
      <c r="X159" s="157">
        <f t="shared" si="57"/>
        <v>43610</v>
      </c>
      <c r="Y159" s="387">
        <f t="shared" si="58"/>
        <v>32.164000000000001</v>
      </c>
      <c r="Z159" s="387">
        <f t="shared" si="59"/>
        <v>32.387078094341369</v>
      </c>
      <c r="AA159" s="388">
        <f t="shared" si="60"/>
        <v>34.509943188692937</v>
      </c>
      <c r="AB159" s="199">
        <f t="shared" si="61"/>
        <v>43610</v>
      </c>
      <c r="AC159" s="426">
        <f>IF(OR(t&lt;Tnet,NoTnet),'2018'!Resal_s+('2018'!Salim-'2018'!Resal_s)*(1-EXP(('2018'!Tnet_s-t)/'2018'!Tau_j)),Resal_s+(Salim-Resal_s)*(1-EXP((Tnet_s-t)/Tau_j)))*Salcycl</f>
        <v>6.1514592555084707E-2</v>
      </c>
      <c r="AD159" s="233">
        <f>(INDEX(Models!$BJ159:$BT159,,AH159)*(1-AF159)+INDEX(Models!$BJ159:$BT159,,AH159+1)*AF159-ERP_i)*AE159*Ramure*Pc/MaxiM</f>
        <v>8.0218242380790172E-5</v>
      </c>
      <c r="AE159" s="307">
        <f t="shared" si="62"/>
        <v>1</v>
      </c>
      <c r="AF159" s="179">
        <f t="shared" si="63"/>
        <v>0.13811858841428348</v>
      </c>
      <c r="AG159" s="178">
        <f t="shared" si="64"/>
        <v>-2</v>
      </c>
      <c r="AH159" s="178">
        <f t="shared" si="65"/>
        <v>4</v>
      </c>
      <c r="AI159" s="227">
        <f t="shared" si="66"/>
        <v>-1.8618814115857165</v>
      </c>
      <c r="AJ159" s="267" t="b">
        <f t="shared" si="67"/>
        <v>0</v>
      </c>
      <c r="AK159" s="267" t="b">
        <f t="shared" si="68"/>
        <v>0</v>
      </c>
      <c r="AL159" s="267"/>
      <c r="AM159" s="267"/>
      <c r="AN159" s="75"/>
    </row>
    <row r="160" spans="1:40" s="6" customFormat="1" ht="11.25" customHeight="1" x14ac:dyDescent="0.2">
      <c r="A160" s="56">
        <f t="shared" si="69"/>
        <v>43611</v>
      </c>
      <c r="B160" s="618">
        <v>26.34</v>
      </c>
      <c r="C160" s="392"/>
      <c r="D160" s="395">
        <f t="shared" si="48"/>
        <v>26.523302132299811</v>
      </c>
      <c r="E160" s="387">
        <f t="shared" si="70"/>
        <v>28.269624152988111</v>
      </c>
      <c r="F160" s="387">
        <f t="shared" si="49"/>
        <v>28.270040036302312</v>
      </c>
      <c r="G160" s="110">
        <f t="shared" si="71"/>
        <v>0.43594867967801987</v>
      </c>
      <c r="H160" s="414" t="b">
        <f>Wh_hp&gt;='2018'!Maxi_hp</f>
        <v>1</v>
      </c>
      <c r="I160" s="392">
        <f>IF(H160,Wh_hp,'2018'!Maxi_hp)</f>
        <v>28.270040036302312</v>
      </c>
      <c r="J160" s="85">
        <f>IF(H160,An,'2018'!An_max)</f>
        <v>2019</v>
      </c>
      <c r="K160" s="199">
        <f t="shared" si="50"/>
        <v>43611</v>
      </c>
      <c r="L160" s="147">
        <f>IF(t&lt;Tvie,1-EXP((T0-t)*PertePVj)+'2018'!Pspv,1-EXP((T0-t)*PertePVj)+Pspv)</f>
        <v>6.9109845895314326E-3</v>
      </c>
      <c r="M160" s="870"/>
      <c r="N160" s="870"/>
      <c r="O160" s="48">
        <f>IF(t&lt;Tnet,'2018'!Resal+('2018'!Salim-'2018'!Resal)*(1-EXP(('2018'!Tnet-t)/('2018'!Tau_j))),Resal+(Salim-Resal)*(1-EXP((Tnet-t)/(Tau_j))))*Salcycl</f>
        <v>6.1773796893713304E-2</v>
      </c>
      <c r="P160" s="171">
        <f>(INDEX(Models!$BJ160:$BT160,,T160)*(1-R160)+INDEX(Models!$BJ160:$BT160,,T160+1)*R160-ERP_i)*Q160*Ramure*Pc/MaxiM</f>
        <v>7.5732647309176623E-5</v>
      </c>
      <c r="Q160" s="307">
        <f t="shared" si="51"/>
        <v>1</v>
      </c>
      <c r="R160" s="179">
        <f t="shared" si="52"/>
        <v>0.14463854569144874</v>
      </c>
      <c r="S160" s="837">
        <f t="shared" si="53"/>
        <v>-2</v>
      </c>
      <c r="T160" s="178">
        <f t="shared" si="54"/>
        <v>4</v>
      </c>
      <c r="U160" s="253">
        <f t="shared" si="55"/>
        <v>-1.8553614543085513</v>
      </c>
      <c r="V160" s="385">
        <f t="shared" si="56"/>
        <v>60.416268924553769</v>
      </c>
      <c r="W160" s="58"/>
      <c r="X160" s="157">
        <f t="shared" si="57"/>
        <v>43611</v>
      </c>
      <c r="Y160" s="387">
        <f t="shared" si="58"/>
        <v>26.34</v>
      </c>
      <c r="Z160" s="387">
        <f t="shared" si="59"/>
        <v>26.523302132299811</v>
      </c>
      <c r="AA160" s="388">
        <f t="shared" si="60"/>
        <v>28.269624152988111</v>
      </c>
      <c r="AB160" s="199">
        <f t="shared" si="61"/>
        <v>43611</v>
      </c>
      <c r="AC160" s="426">
        <f>IF(OR(t&lt;Tnet,NoTnet),'2018'!Resal_s+('2018'!Salim-'2018'!Resal_s)*(1-EXP(('2018'!Tnet_s-t)/'2018'!Tau_j)),Resal_s+(Salim-Resal_s)*(1-EXP((Tnet_s-t)/Tau_j)))*Salcycl</f>
        <v>6.1773796893713304E-2</v>
      </c>
      <c r="AD160" s="233">
        <f>(INDEX(Models!$BJ160:$BT160,,AH160)*(1-AF160)+INDEX(Models!$BJ160:$BT160,,AH160+1)*AF160-ERP_i)*AE160*Ramure*Pc/MaxiM</f>
        <v>7.5732647309176623E-5</v>
      </c>
      <c r="AE160" s="307">
        <f t="shared" si="62"/>
        <v>1</v>
      </c>
      <c r="AF160" s="179">
        <f t="shared" si="63"/>
        <v>0.14463854569144874</v>
      </c>
      <c r="AG160" s="178">
        <f t="shared" si="64"/>
        <v>-2</v>
      </c>
      <c r="AH160" s="178">
        <f t="shared" si="65"/>
        <v>4</v>
      </c>
      <c r="AI160" s="227">
        <f t="shared" si="66"/>
        <v>-1.8553614543085513</v>
      </c>
      <c r="AJ160" s="267" t="b">
        <f t="shared" si="67"/>
        <v>0</v>
      </c>
      <c r="AK160" s="267" t="b">
        <f t="shared" si="68"/>
        <v>0</v>
      </c>
      <c r="AL160" s="267"/>
      <c r="AM160" s="267"/>
      <c r="AN160" s="75"/>
    </row>
    <row r="161" spans="1:40" s="6" customFormat="1" ht="11.25" customHeight="1" x14ac:dyDescent="0.2">
      <c r="A161" s="56">
        <f t="shared" si="69"/>
        <v>43612</v>
      </c>
      <c r="B161" s="618">
        <v>33.523000000000003</v>
      </c>
      <c r="C161" s="392"/>
      <c r="D161" s="395">
        <f t="shared" si="48"/>
        <v>33.75707477086825</v>
      </c>
      <c r="E161" s="387">
        <f t="shared" si="70"/>
        <v>35.989624662012382</v>
      </c>
      <c r="F161" s="387">
        <f t="shared" si="49"/>
        <v>35.990560788126238</v>
      </c>
      <c r="G161" s="110">
        <f t="shared" si="71"/>
        <v>0.55461443299264424</v>
      </c>
      <c r="H161" s="414" t="b">
        <f>Wh_hp&gt;='2018'!Maxi_hp</f>
        <v>1</v>
      </c>
      <c r="I161" s="392">
        <f>IF(H161,Wh_hp,'2018'!Maxi_hp)</f>
        <v>35.990560788126238</v>
      </c>
      <c r="J161" s="85">
        <f>IF(H161,An,'2018'!An_max)</f>
        <v>2019</v>
      </c>
      <c r="K161" s="199">
        <f t="shared" si="50"/>
        <v>43612</v>
      </c>
      <c r="L161" s="147">
        <f>IF(t&lt;Tvie,1-EXP((T0-t)*PertePVj)+'2018'!Pspv,1-EXP((T0-t)*PertePVj)+Pspv)</f>
        <v>6.9340952217297191E-3</v>
      </c>
      <c r="M161" s="870"/>
      <c r="N161" s="870"/>
      <c r="O161" s="48">
        <f>IF(t&lt;Tnet,'2018'!Resal+('2018'!Salim-'2018'!Resal)*(1-EXP(('2018'!Tnet-t)/('2018'!Tau_j))),Resal+(Salim-Resal)*(1-EXP((Tnet-t)/(Tau_j))))*Salcycl</f>
        <v>6.2033152946455179E-2</v>
      </c>
      <c r="P161" s="171">
        <f>(INDEX(Models!$BJ161:$BT161,,T161)*(1-R161)+INDEX(Models!$BJ161:$BT161,,T161+1)*R161-ERP_i)*Q161*Ramure*Pc/MaxiM</f>
        <v>7.1501924681458768E-5</v>
      </c>
      <c r="Q161" s="307">
        <f t="shared" si="51"/>
        <v>1</v>
      </c>
      <c r="R161" s="179">
        <f t="shared" si="52"/>
        <v>0.15123905203881494</v>
      </c>
      <c r="S161" s="837">
        <f t="shared" si="53"/>
        <v>-2</v>
      </c>
      <c r="T161" s="178">
        <f t="shared" si="54"/>
        <v>4</v>
      </c>
      <c r="U161" s="253">
        <f t="shared" si="55"/>
        <v>-1.8487609479611851</v>
      </c>
      <c r="V161" s="385">
        <f t="shared" si="56"/>
        <v>60.441043274863496</v>
      </c>
      <c r="W161" s="58"/>
      <c r="X161" s="157">
        <f t="shared" si="57"/>
        <v>43612</v>
      </c>
      <c r="Y161" s="387">
        <f t="shared" si="58"/>
        <v>33.523000000000003</v>
      </c>
      <c r="Z161" s="387">
        <f t="shared" si="59"/>
        <v>33.75707477086825</v>
      </c>
      <c r="AA161" s="388">
        <f t="shared" si="60"/>
        <v>35.989624662012382</v>
      </c>
      <c r="AB161" s="199">
        <f t="shared" si="61"/>
        <v>43612</v>
      </c>
      <c r="AC161" s="426">
        <f>IF(OR(t&lt;Tnet,NoTnet),'2018'!Resal_s+('2018'!Salim-'2018'!Resal_s)*(1-EXP(('2018'!Tnet_s-t)/'2018'!Tau_j)),Resal_s+(Salim-Resal_s)*(1-EXP((Tnet_s-t)/Tau_j)))*Salcycl</f>
        <v>6.2033152946455179E-2</v>
      </c>
      <c r="AD161" s="233">
        <f>(INDEX(Models!$BJ161:$BT161,,AH161)*(1-AF161)+INDEX(Models!$BJ161:$BT161,,AH161+1)*AF161-ERP_i)*AE161*Ramure*Pc/MaxiM</f>
        <v>7.1501924681458768E-5</v>
      </c>
      <c r="AE161" s="307">
        <f t="shared" si="62"/>
        <v>1</v>
      </c>
      <c r="AF161" s="179">
        <f t="shared" si="63"/>
        <v>0.15123905203881494</v>
      </c>
      <c r="AG161" s="178">
        <f t="shared" si="64"/>
        <v>-2</v>
      </c>
      <c r="AH161" s="178">
        <f t="shared" si="65"/>
        <v>4</v>
      </c>
      <c r="AI161" s="227">
        <f t="shared" si="66"/>
        <v>-1.8487609479611851</v>
      </c>
      <c r="AJ161" s="267" t="b">
        <f t="shared" si="67"/>
        <v>0</v>
      </c>
      <c r="AK161" s="267" t="b">
        <f t="shared" si="68"/>
        <v>0</v>
      </c>
      <c r="AL161" s="267"/>
      <c r="AM161" s="267"/>
      <c r="AN161" s="75"/>
    </row>
    <row r="162" spans="1:40" s="6" customFormat="1" ht="11.25" customHeight="1" x14ac:dyDescent="0.2">
      <c r="A162" s="56">
        <f t="shared" si="69"/>
        <v>43613</v>
      </c>
      <c r="B162" s="618">
        <v>27.216999999999999</v>
      </c>
      <c r="C162" s="392"/>
      <c r="D162" s="395">
        <f t="shared" si="48"/>
        <v>27.407680863002319</v>
      </c>
      <c r="E162" s="387">
        <f t="shared" si="70"/>
        <v>29.228392106973629</v>
      </c>
      <c r="F162" s="387">
        <f t="shared" si="49"/>
        <v>29.228815473505328</v>
      </c>
      <c r="G162" s="110">
        <f t="shared" si="71"/>
        <v>0.45012282203266973</v>
      </c>
      <c r="H162" s="414" t="b">
        <f>Wh_hp&gt;='2018'!Maxi_hp</f>
        <v>1</v>
      </c>
      <c r="I162" s="392">
        <f>IF(H162,Wh_hp,'2018'!Maxi_hp)</f>
        <v>29.228815473505328</v>
      </c>
      <c r="J162" s="85">
        <f>IF(H162,An,'2018'!An_max)</f>
        <v>2019</v>
      </c>
      <c r="K162" s="199">
        <f t="shared" si="50"/>
        <v>43613</v>
      </c>
      <c r="L162" s="147">
        <f>IF(t&lt;Tvie,1-EXP((T0-t)*PertePVj)+'2018'!Pspv,1-EXP((T0-t)*PertePVj)+Pspv)</f>
        <v>6.9572053161097713E-3</v>
      </c>
      <c r="M162" s="870"/>
      <c r="N162" s="870"/>
      <c r="O162" s="48">
        <f>IF(t&lt;Tnet,'2018'!Resal+('2018'!Salim-'2018'!Resal)*(1-EXP(('2018'!Tnet-t)/('2018'!Tau_j))),Resal+(Salim-Resal)*(1-EXP((Tnet-t)/(Tau_j))))*Salcycl</f>
        <v>6.2292555721424926E-2</v>
      </c>
      <c r="P162" s="171">
        <f>(INDEX(Models!$BJ162:$BT162,,T162)*(1-R162)+INDEX(Models!$BJ162:$BT162,,T162+1)*R162-ERP_i)*Q162*Ramure*Pc/MaxiM</f>
        <v>6.7528570446205634E-5</v>
      </c>
      <c r="Q162" s="307">
        <f t="shared" si="51"/>
        <v>1</v>
      </c>
      <c r="R162" s="179">
        <f t="shared" si="52"/>
        <v>0.15791593537297421</v>
      </c>
      <c r="S162" s="837">
        <f t="shared" si="53"/>
        <v>-2</v>
      </c>
      <c r="T162" s="178">
        <f t="shared" si="54"/>
        <v>4</v>
      </c>
      <c r="U162" s="253">
        <f t="shared" si="55"/>
        <v>-1.8420840646270258</v>
      </c>
      <c r="V162" s="385">
        <f t="shared" si="56"/>
        <v>60.462511448221953</v>
      </c>
      <c r="W162" s="58"/>
      <c r="X162" s="157">
        <f t="shared" si="57"/>
        <v>43613</v>
      </c>
      <c r="Y162" s="387">
        <f t="shared" si="58"/>
        <v>27.216999999999999</v>
      </c>
      <c r="Z162" s="387">
        <f t="shared" si="59"/>
        <v>27.407680863002319</v>
      </c>
      <c r="AA162" s="388">
        <f t="shared" si="60"/>
        <v>29.228392106973629</v>
      </c>
      <c r="AB162" s="199">
        <f t="shared" si="61"/>
        <v>43613</v>
      </c>
      <c r="AC162" s="426">
        <f>IF(OR(t&lt;Tnet,NoTnet),'2018'!Resal_s+('2018'!Salim-'2018'!Resal_s)*(1-EXP(('2018'!Tnet_s-t)/'2018'!Tau_j)),Resal_s+(Salim-Resal_s)*(1-EXP((Tnet_s-t)/Tau_j)))*Salcycl</f>
        <v>6.2292555721424926E-2</v>
      </c>
      <c r="AD162" s="233">
        <f>(INDEX(Models!$BJ162:$BT162,,AH162)*(1-AF162)+INDEX(Models!$BJ162:$BT162,,AH162+1)*AF162-ERP_i)*AE162*Ramure*Pc/MaxiM</f>
        <v>6.7528570446205634E-5</v>
      </c>
      <c r="AE162" s="307">
        <f t="shared" si="62"/>
        <v>1</v>
      </c>
      <c r="AF162" s="179">
        <f t="shared" si="63"/>
        <v>0.15791593537297421</v>
      </c>
      <c r="AG162" s="178">
        <f t="shared" si="64"/>
        <v>-2</v>
      </c>
      <c r="AH162" s="178">
        <f t="shared" si="65"/>
        <v>4</v>
      </c>
      <c r="AI162" s="227">
        <f t="shared" si="66"/>
        <v>-1.8420840646270258</v>
      </c>
      <c r="AJ162" s="267" t="b">
        <f t="shared" si="67"/>
        <v>0</v>
      </c>
      <c r="AK162" s="267" t="b">
        <f t="shared" si="68"/>
        <v>0</v>
      </c>
      <c r="AL162" s="267"/>
      <c r="AM162" s="267"/>
      <c r="AN162" s="75"/>
    </row>
    <row r="163" spans="1:40" s="6" customFormat="1" ht="11.25" x14ac:dyDescent="0.2">
      <c r="A163" s="56">
        <f t="shared" si="69"/>
        <v>43614</v>
      </c>
      <c r="B163" s="618">
        <v>38.695999999999998</v>
      </c>
      <c r="C163" s="392"/>
      <c r="D163" s="395">
        <f t="shared" si="48"/>
        <v>38.968008972590262</v>
      </c>
      <c r="E163" s="387">
        <f t="shared" si="70"/>
        <v>41.568177390137301</v>
      </c>
      <c r="F163" s="387">
        <f t="shared" si="49"/>
        <v>41.569465216203128</v>
      </c>
      <c r="G163" s="110">
        <f t="shared" si="71"/>
        <v>0.63979641321711422</v>
      </c>
      <c r="H163" s="414" t="b">
        <f>Wh_hp&gt;='2018'!Maxi_hp</f>
        <v>1</v>
      </c>
      <c r="I163" s="392">
        <f>IF(H163,Wh_hp,'2018'!Maxi_hp)</f>
        <v>41.569465216203128</v>
      </c>
      <c r="J163" s="85">
        <f>IF(H163,An,'2018'!An_max)</f>
        <v>2019</v>
      </c>
      <c r="K163" s="199">
        <f t="shared" si="50"/>
        <v>43614</v>
      </c>
      <c r="L163" s="147">
        <f>IF(t&lt;Tvie,1-EXP((T0-t)*PertePVj)+'2018'!Pspv,1-EXP((T0-t)*PertePVj)+Pspv)</f>
        <v>6.9803148726842457E-3</v>
      </c>
      <c r="M163" s="870"/>
      <c r="N163" s="870"/>
      <c r="O163" s="48">
        <f>IF(t&lt;Tnet,'2018'!Resal+('2018'!Salim-'2018'!Resal)*(1-EXP(('2018'!Tnet-t)/('2018'!Tau_j))),Resal+(Salim-Resal)*(1-EXP((Tnet-t)/(Tau_j))))*Salcycl</f>
        <v>6.2551898610882284E-2</v>
      </c>
      <c r="P163" s="171">
        <f>(INDEX(Models!$BJ163:$BT163,,T163)*(1-R163)+INDEX(Models!$BJ163:$BT163,,T163+1)*R163-ERP_i)*Q163*Ramure*Pc/MaxiM</f>
        <v>6.3816821705503892E-5</v>
      </c>
      <c r="Q163" s="307">
        <f t="shared" si="51"/>
        <v>1</v>
      </c>
      <c r="R163" s="179">
        <f t="shared" si="52"/>
        <v>0.16466479613668517</v>
      </c>
      <c r="S163" s="837">
        <f t="shared" si="53"/>
        <v>-2</v>
      </c>
      <c r="T163" s="178">
        <f t="shared" si="54"/>
        <v>4</v>
      </c>
      <c r="U163" s="253">
        <f t="shared" si="55"/>
        <v>-1.8353352038633148</v>
      </c>
      <c r="V163" s="385">
        <f t="shared" si="56"/>
        <v>60.479753420569438</v>
      </c>
      <c r="W163" s="58"/>
      <c r="X163" s="157">
        <f t="shared" si="57"/>
        <v>43614</v>
      </c>
      <c r="Y163" s="387">
        <f t="shared" si="58"/>
        <v>38.695999999999998</v>
      </c>
      <c r="Z163" s="387">
        <f t="shared" si="59"/>
        <v>38.968008972590262</v>
      </c>
      <c r="AA163" s="388">
        <f t="shared" si="60"/>
        <v>41.568177390137301</v>
      </c>
      <c r="AB163" s="199">
        <f t="shared" si="61"/>
        <v>43614</v>
      </c>
      <c r="AC163" s="426">
        <f>IF(OR(t&lt;Tnet,NoTnet),'2018'!Resal_s+('2018'!Salim-'2018'!Resal_s)*(1-EXP(('2018'!Tnet_s-t)/'2018'!Tau_j)),Resal_s+(Salim-Resal_s)*(1-EXP((Tnet_s-t)/Tau_j)))*Salcycl</f>
        <v>6.2551898610882284E-2</v>
      </c>
      <c r="AD163" s="233">
        <f>(INDEX(Models!$BJ163:$BT163,,AH163)*(1-AF163)+INDEX(Models!$BJ163:$BT163,,AH163+1)*AF163-ERP_i)*AE163*Ramure*Pc/MaxiM</f>
        <v>6.3816821705503892E-5</v>
      </c>
      <c r="AE163" s="307">
        <f t="shared" si="62"/>
        <v>1</v>
      </c>
      <c r="AF163" s="179">
        <f t="shared" si="63"/>
        <v>0.16466479613668517</v>
      </c>
      <c r="AG163" s="178">
        <f t="shared" si="64"/>
        <v>-2</v>
      </c>
      <c r="AH163" s="178">
        <f t="shared" si="65"/>
        <v>4</v>
      </c>
      <c r="AI163" s="227">
        <f t="shared" si="66"/>
        <v>-1.8353352038633148</v>
      </c>
      <c r="AJ163" s="267" t="b">
        <f t="shared" si="67"/>
        <v>0</v>
      </c>
      <c r="AK163" s="267" t="b">
        <f t="shared" si="68"/>
        <v>0</v>
      </c>
      <c r="AL163" s="267"/>
      <c r="AM163" s="267"/>
      <c r="AN163" s="75"/>
    </row>
    <row r="164" spans="1:40" s="6" customFormat="1" ht="11.25" x14ac:dyDescent="0.2">
      <c r="A164" s="56">
        <f t="shared" si="69"/>
        <v>43615</v>
      </c>
      <c r="B164" s="618">
        <v>59.265000000000001</v>
      </c>
      <c r="C164" s="392"/>
      <c r="D164" s="395">
        <f t="shared" si="48"/>
        <v>59.682985244777264</v>
      </c>
      <c r="E164" s="387">
        <f t="shared" si="70"/>
        <v>63.682981705454999</v>
      </c>
      <c r="F164" s="387">
        <f t="shared" si="49"/>
        <v>63.686724886206711</v>
      </c>
      <c r="G164" s="110">
        <f t="shared" si="71"/>
        <v>0.97971832160805783</v>
      </c>
      <c r="H164" s="414" t="b">
        <f>Wh_hp&gt;='2018'!Maxi_hp</f>
        <v>1</v>
      </c>
      <c r="I164" s="392">
        <f>IF(H164,Wh_hp,'2018'!Maxi_hp)</f>
        <v>63.686724886206711</v>
      </c>
      <c r="J164" s="85">
        <f>IF(H164,An,'2018'!An_max)</f>
        <v>2019</v>
      </c>
      <c r="K164" s="199">
        <f t="shared" si="50"/>
        <v>43615</v>
      </c>
      <c r="L164" s="147">
        <f>IF(t&lt;Tvie,1-EXP((T0-t)*PertePVj)+'2018'!Pspv,1-EXP((T0-t)*PertePVj)+Pspv)</f>
        <v>7.0034238914655766E-3</v>
      </c>
      <c r="M164" s="870"/>
      <c r="N164" s="870"/>
      <c r="O164" s="48">
        <f>IF(t&lt;Tnet,'2018'!Resal+('2018'!Salim-'2018'!Resal)*(1-EXP(('2018'!Tnet-t)/('2018'!Tau_j))),Resal+(Salim-Resal)*(1-EXP((Tnet-t)/(Tau_j))))*Salcycl</f>
        <v>6.2811073752457577E-2</v>
      </c>
      <c r="P164" s="171">
        <f>(INDEX(Models!$BJ164:$BT164,,T164)*(1-R164)+INDEX(Models!$BJ164:$BT164,,T164+1)*R164-ERP_i)*Q164*Ramure*Pc/MaxiM</f>
        <v>6.0528491309528137E-5</v>
      </c>
      <c r="Q164" s="307">
        <f t="shared" si="51"/>
        <v>1</v>
      </c>
      <c r="R164" s="179">
        <f t="shared" si="52"/>
        <v>0.17148101665280757</v>
      </c>
      <c r="S164" s="837">
        <f t="shared" si="53"/>
        <v>-2</v>
      </c>
      <c r="T164" s="178">
        <f t="shared" si="54"/>
        <v>4</v>
      </c>
      <c r="U164" s="253">
        <f t="shared" si="55"/>
        <v>-1.8285189833471924</v>
      </c>
      <c r="V164" s="385">
        <f t="shared" si="56"/>
        <v>60.491770705995052</v>
      </c>
      <c r="W164" s="58"/>
      <c r="X164" s="157">
        <f t="shared" si="57"/>
        <v>43615</v>
      </c>
      <c r="Y164" s="387">
        <f t="shared" si="58"/>
        <v>59.265000000000001</v>
      </c>
      <c r="Z164" s="387">
        <f t="shared" si="59"/>
        <v>59.682985244777264</v>
      </c>
      <c r="AA164" s="388">
        <f t="shared" si="60"/>
        <v>63.682981705454999</v>
      </c>
      <c r="AB164" s="199">
        <f t="shared" si="61"/>
        <v>43615</v>
      </c>
      <c r="AC164" s="426">
        <f>IF(OR(t&lt;Tnet,NoTnet),'2018'!Resal_s+('2018'!Salim-'2018'!Resal_s)*(1-EXP(('2018'!Tnet_s-t)/'2018'!Tau_j)),Resal_s+(Salim-Resal_s)*(1-EXP((Tnet_s-t)/Tau_j)))*Salcycl</f>
        <v>6.2811073752457577E-2</v>
      </c>
      <c r="AD164" s="233">
        <f>(INDEX(Models!$BJ164:$BT164,,AH164)*(1-AF164)+INDEX(Models!$BJ164:$BT164,,AH164+1)*AF164-ERP_i)*AE164*Ramure*Pc/MaxiM</f>
        <v>6.0528491309528137E-5</v>
      </c>
      <c r="AE164" s="307">
        <f t="shared" si="62"/>
        <v>1</v>
      </c>
      <c r="AF164" s="179">
        <f t="shared" si="63"/>
        <v>0.17148101665280757</v>
      </c>
      <c r="AG164" s="178">
        <f t="shared" si="64"/>
        <v>-2</v>
      </c>
      <c r="AH164" s="178">
        <f t="shared" si="65"/>
        <v>4</v>
      </c>
      <c r="AI164" s="227">
        <f t="shared" si="66"/>
        <v>-1.8285189833471924</v>
      </c>
      <c r="AJ164" s="267" t="b">
        <f t="shared" si="67"/>
        <v>0</v>
      </c>
      <c r="AK164" s="267" t="b">
        <f t="shared" si="68"/>
        <v>0</v>
      </c>
      <c r="AL164" s="267"/>
      <c r="AM164" s="267"/>
      <c r="AN164" s="75"/>
    </row>
    <row r="165" spans="1:40" s="6" customFormat="1" ht="11.25" x14ac:dyDescent="0.2">
      <c r="A165" s="56">
        <f t="shared" si="69"/>
        <v>43616</v>
      </c>
      <c r="B165" s="618">
        <v>60.198</v>
      </c>
      <c r="C165" s="392"/>
      <c r="D165" s="395">
        <f t="shared" si="48"/>
        <v>60.623976332246151</v>
      </c>
      <c r="E165" s="387">
        <f t="shared" si="70"/>
        <v>64.704913437244542</v>
      </c>
      <c r="F165" s="387">
        <f t="shared" si="49"/>
        <v>64.708611084195553</v>
      </c>
      <c r="G165" s="110">
        <f t="shared" si="71"/>
        <v>0.99502772472629286</v>
      </c>
      <c r="H165" s="414" t="b">
        <f>Wh_hp&gt;='2018'!Maxi_hp</f>
        <v>1</v>
      </c>
      <c r="I165" s="392">
        <f>IF(H165,Wh_hp,'2018'!Maxi_hp)</f>
        <v>64.708611084195553</v>
      </c>
      <c r="J165" s="85">
        <f>IF(H165,An,'2018'!An_max)</f>
        <v>2019</v>
      </c>
      <c r="K165" s="199">
        <f t="shared" si="50"/>
        <v>43616</v>
      </c>
      <c r="L165" s="147">
        <f>IF(t&lt;Tvie,1-EXP((T0-t)*PertePVj)+'2018'!Pspv,1-EXP((T0-t)*PertePVj)+Pspv)</f>
        <v>7.0265323724661988E-3</v>
      </c>
      <c r="M165" s="870"/>
      <c r="N165" s="870"/>
      <c r="O165" s="48">
        <f>IF(t&lt;Tnet,'2018'!Resal+('2018'!Salim-'2018'!Resal)*(1-EXP(('2018'!Tnet-t)/('2018'!Tau_j))),Resal+(Salim-Resal)*(1-EXP((Tnet-t)/(Tau_j))))*Salcycl</f>
        <v>6.3069972405671748E-2</v>
      </c>
      <c r="P165" s="171">
        <f>(INDEX(Models!$BJ165:$BT165,,T165)*(1-R165)+INDEX(Models!$BJ165:$BT165,,T165+1)*R165-ERP_i)*Q165*Ramure*Pc/MaxiM</f>
        <v>5.7551814589444988E-5</v>
      </c>
      <c r="Q165" s="307">
        <f t="shared" si="51"/>
        <v>1</v>
      </c>
      <c r="R165" s="179">
        <f t="shared" si="52"/>
        <v>0.17835977182228513</v>
      </c>
      <c r="S165" s="837">
        <f t="shared" si="53"/>
        <v>-2</v>
      </c>
      <c r="T165" s="178">
        <f t="shared" si="54"/>
        <v>4</v>
      </c>
      <c r="U165" s="253">
        <f t="shared" si="55"/>
        <v>-1.8216402281777149</v>
      </c>
      <c r="V165" s="385">
        <f t="shared" si="56"/>
        <v>60.498792039111862</v>
      </c>
      <c r="W165" s="58"/>
      <c r="X165" s="157">
        <f t="shared" si="57"/>
        <v>43616</v>
      </c>
      <c r="Y165" s="387">
        <f t="shared" si="58"/>
        <v>60.197999999999993</v>
      </c>
      <c r="Z165" s="387">
        <f t="shared" si="59"/>
        <v>60.623976332246144</v>
      </c>
      <c r="AA165" s="388">
        <f t="shared" si="60"/>
        <v>64.704913437244542</v>
      </c>
      <c r="AB165" s="199">
        <f t="shared" si="61"/>
        <v>43616</v>
      </c>
      <c r="AC165" s="426">
        <f>IF(OR(t&lt;Tnet,NoTnet),'2018'!Resal_s+('2018'!Salim-'2018'!Resal_s)*(1-EXP(('2018'!Tnet_s-t)/'2018'!Tau_j)),Resal_s+(Salim-Resal_s)*(1-EXP((Tnet_s-t)/Tau_j)))*Salcycl</f>
        <v>6.3069972405671748E-2</v>
      </c>
      <c r="AD165" s="233">
        <f>(INDEX(Models!$BJ165:$BT165,,AH165)*(1-AF165)+INDEX(Models!$BJ165:$BT165,,AH165+1)*AF165-ERP_i)*AE165*Ramure*Pc/MaxiM</f>
        <v>5.7551814589444988E-5</v>
      </c>
      <c r="AE165" s="307">
        <f t="shared" si="62"/>
        <v>1</v>
      </c>
      <c r="AF165" s="179">
        <f t="shared" si="63"/>
        <v>0.17835977182228513</v>
      </c>
      <c r="AG165" s="178">
        <f t="shared" si="64"/>
        <v>-2</v>
      </c>
      <c r="AH165" s="178">
        <f t="shared" si="65"/>
        <v>4</v>
      </c>
      <c r="AI165" s="227">
        <f t="shared" si="66"/>
        <v>-1.8216402281777149</v>
      </c>
      <c r="AJ165" s="267" t="b">
        <f t="shared" si="67"/>
        <v>0</v>
      </c>
      <c r="AK165" s="267" t="b">
        <f t="shared" si="68"/>
        <v>0</v>
      </c>
      <c r="AL165" s="267"/>
      <c r="AM165" s="267"/>
      <c r="AN165" s="75"/>
    </row>
    <row r="166" spans="1:40" s="6" customFormat="1" ht="11.25" customHeight="1" x14ac:dyDescent="0.2">
      <c r="A166" s="56">
        <f t="shared" si="69"/>
        <v>43617</v>
      </c>
      <c r="B166" s="618">
        <v>60.582000000000001</v>
      </c>
      <c r="C166" s="392"/>
      <c r="D166" s="395">
        <f t="shared" si="48"/>
        <v>61.012113454756637</v>
      </c>
      <c r="E166" s="387">
        <f t="shared" si="70"/>
        <v>65.13715053778968</v>
      </c>
      <c r="F166" s="387">
        <f t="shared" si="49"/>
        <v>65.140726705313512</v>
      </c>
      <c r="G166" s="110">
        <f t="shared" si="71"/>
        <v>1.0013381845332321</v>
      </c>
      <c r="H166" s="414" t="b">
        <f>Wh_hp&gt;='2018'!Maxi_hp</f>
        <v>1</v>
      </c>
      <c r="I166" s="392">
        <f>IF(H166,Wh_hp,'2018'!Maxi_hp)</f>
        <v>65.140726705313512</v>
      </c>
      <c r="J166" s="85">
        <f>IF(H166,An,'2018'!An_max)</f>
        <v>2019</v>
      </c>
      <c r="K166" s="199">
        <f t="shared" si="50"/>
        <v>43617</v>
      </c>
      <c r="L166" s="147">
        <f>IF(t&lt;Tvie,1-EXP((T0-t)*PertePVj)+'2018'!Pspv,1-EXP((T0-t)*PertePVj)+Pspv)</f>
        <v>7.0496403156987686E-3</v>
      </c>
      <c r="M166" s="870"/>
      <c r="N166" s="870"/>
      <c r="O166" s="48">
        <f>IF(t&lt;Tnet,'2018'!Resal+('2018'!Salim-'2018'!Resal)*(1-EXP(('2018'!Tnet-t)/('2018'!Tau_j))),Resal+(Salim-Resal)*(1-EXP((Tnet-t)/(Tau_j))))*Salcycl</f>
        <v>6.3328485341708124E-2</v>
      </c>
      <c r="P166" s="171">
        <f>(INDEX(Models!$BJ166:$BT166,,T166)*(1-R166)+INDEX(Models!$BJ166:$BT166,,T166+1)*R166-ERP_i)*Q166*Ramure*Pc/MaxiM</f>
        <v>5.4899103904916027E-5</v>
      </c>
      <c r="Q166" s="307">
        <f t="shared" si="51"/>
        <v>1</v>
      </c>
      <c r="R166" s="179">
        <f t="shared" si="52"/>
        <v>0.18529604113020026</v>
      </c>
      <c r="S166" s="837">
        <f t="shared" si="53"/>
        <v>-2</v>
      </c>
      <c r="T166" s="178">
        <f t="shared" si="54"/>
        <v>4</v>
      </c>
      <c r="U166" s="253">
        <f t="shared" si="55"/>
        <v>-1.8147039588697997</v>
      </c>
      <c r="V166" s="385">
        <f t="shared" si="56"/>
        <v>60.501038446106925</v>
      </c>
      <c r="W166" s="58"/>
      <c r="X166" s="157">
        <f t="shared" si="57"/>
        <v>43617</v>
      </c>
      <c r="Y166" s="387">
        <f t="shared" si="58"/>
        <v>60.581999999999994</v>
      </c>
      <c r="Z166" s="387">
        <f t="shared" si="59"/>
        <v>61.01211345475663</v>
      </c>
      <c r="AA166" s="388">
        <f t="shared" si="60"/>
        <v>65.13715053778968</v>
      </c>
      <c r="AB166" s="199">
        <f t="shared" si="61"/>
        <v>43617</v>
      </c>
      <c r="AC166" s="426">
        <f>IF(OR(t&lt;Tnet,NoTnet),'2018'!Resal_s+('2018'!Salim-'2018'!Resal_s)*(1-EXP(('2018'!Tnet_s-t)/'2018'!Tau_j)),Resal_s+(Salim-Resal_s)*(1-EXP((Tnet_s-t)/Tau_j)))*Salcycl</f>
        <v>6.3328485341708124E-2</v>
      </c>
      <c r="AD166" s="233">
        <f>(INDEX(Models!$BJ166:$BT166,,AH166)*(1-AF166)+INDEX(Models!$BJ166:$BT166,,AH166+1)*AF166-ERP_i)*AE166*Ramure*Pc/MaxiM</f>
        <v>5.4899103904916027E-5</v>
      </c>
      <c r="AE166" s="307">
        <f t="shared" si="62"/>
        <v>1</v>
      </c>
      <c r="AF166" s="179">
        <f t="shared" si="63"/>
        <v>0.18529604113020026</v>
      </c>
      <c r="AG166" s="178">
        <f t="shared" si="64"/>
        <v>-2</v>
      </c>
      <c r="AH166" s="178">
        <f t="shared" si="65"/>
        <v>4</v>
      </c>
      <c r="AI166" s="227">
        <f t="shared" si="66"/>
        <v>-1.8147039588697997</v>
      </c>
      <c r="AJ166" s="267" t="b">
        <f t="shared" si="67"/>
        <v>0</v>
      </c>
      <c r="AK166" s="267" t="b">
        <f t="shared" si="68"/>
        <v>0</v>
      </c>
      <c r="AL166" s="267"/>
      <c r="AM166" s="267"/>
      <c r="AN166" s="75"/>
    </row>
    <row r="167" spans="1:40" s="6" customFormat="1" ht="11.25" customHeight="1" x14ac:dyDescent="0.2">
      <c r="A167" s="56">
        <f t="shared" si="69"/>
        <v>43618</v>
      </c>
      <c r="B167" s="618">
        <v>59.411999999999999</v>
      </c>
      <c r="C167" s="392"/>
      <c r="D167" s="395">
        <f t="shared" si="48"/>
        <v>59.835199269277886</v>
      </c>
      <c r="E167" s="387">
        <f t="shared" si="70"/>
        <v>63.89826660612907</v>
      </c>
      <c r="F167" s="387">
        <f t="shared" si="49"/>
        <v>63.901540527508928</v>
      </c>
      <c r="G167" s="110">
        <f t="shared" si="71"/>
        <v>0.98203580728805728</v>
      </c>
      <c r="H167" s="414" t="b">
        <f>Wh_hp&gt;='2018'!Maxi_hp</f>
        <v>1</v>
      </c>
      <c r="I167" s="392">
        <f>IF(H167,Wh_hp,'2018'!Maxi_hp)</f>
        <v>63.901540527508928</v>
      </c>
      <c r="J167" s="85">
        <f>IF(H167,An,'2018'!An_max)</f>
        <v>2019</v>
      </c>
      <c r="K167" s="199">
        <f t="shared" si="50"/>
        <v>43618</v>
      </c>
      <c r="L167" s="147">
        <f>IF(t&lt;Tvie,1-EXP((T0-t)*PertePVj)+'2018'!Pspv,1-EXP((T0-t)*PertePVj)+Pspv)</f>
        <v>7.0727477211758316E-3</v>
      </c>
      <c r="M167" s="870"/>
      <c r="N167" s="870"/>
      <c r="O167" s="48">
        <f>IF(t&lt;Tnet,'2018'!Resal+('2018'!Salim-'2018'!Resal)*(1-EXP(('2018'!Tnet-t)/('2018'!Tau_j))),Resal+(Salim-Resal)*(1-EXP((Tnet-t)/(Tau_j))))*Salcycl</f>
        <v>6.3586503244228196E-2</v>
      </c>
      <c r="P167" s="171">
        <f>(INDEX(Models!$BJ167:$BT167,,T167)*(1-R167)+INDEX(Models!$BJ167:$BT167,,T167+1)*R167-ERP_i)*Q167*Ramure*Pc/MaxiM</f>
        <v>5.2583191050906379E-5</v>
      </c>
      <c r="Q167" s="307">
        <f t="shared" si="51"/>
        <v>1</v>
      </c>
      <c r="R167" s="179">
        <f t="shared" si="52"/>
        <v>0.19228462191037798</v>
      </c>
      <c r="S167" s="837">
        <f t="shared" si="53"/>
        <v>-2</v>
      </c>
      <c r="T167" s="178">
        <f t="shared" si="54"/>
        <v>4</v>
      </c>
      <c r="U167" s="253">
        <f t="shared" si="55"/>
        <v>-1.807715378089622</v>
      </c>
      <c r="V167" s="385">
        <f t="shared" si="56"/>
        <v>60.498730685175595</v>
      </c>
      <c r="W167" s="58"/>
      <c r="X167" s="157">
        <f t="shared" si="57"/>
        <v>43618</v>
      </c>
      <c r="Y167" s="387">
        <f t="shared" si="58"/>
        <v>59.411999999999999</v>
      </c>
      <c r="Z167" s="387">
        <f t="shared" si="59"/>
        <v>59.835199269277886</v>
      </c>
      <c r="AA167" s="388">
        <f t="shared" si="60"/>
        <v>63.89826660612907</v>
      </c>
      <c r="AB167" s="199">
        <f t="shared" si="61"/>
        <v>43618</v>
      </c>
      <c r="AC167" s="426">
        <f>IF(OR(t&lt;Tnet,NoTnet),'2018'!Resal_s+('2018'!Salim-'2018'!Resal_s)*(1-EXP(('2018'!Tnet_s-t)/'2018'!Tau_j)),Resal_s+(Salim-Resal_s)*(1-EXP((Tnet_s-t)/Tau_j)))*Salcycl</f>
        <v>6.3586503244228196E-2</v>
      </c>
      <c r="AD167" s="233">
        <f>(INDEX(Models!$BJ167:$BT167,,AH167)*(1-AF167)+INDEX(Models!$BJ167:$BT167,,AH167+1)*AF167-ERP_i)*AE167*Ramure*Pc/MaxiM</f>
        <v>5.2583191050906379E-5</v>
      </c>
      <c r="AE167" s="307">
        <f t="shared" si="62"/>
        <v>1</v>
      </c>
      <c r="AF167" s="179">
        <f t="shared" si="63"/>
        <v>0.19228462191037798</v>
      </c>
      <c r="AG167" s="178">
        <f t="shared" si="64"/>
        <v>-2</v>
      </c>
      <c r="AH167" s="178">
        <f t="shared" si="65"/>
        <v>4</v>
      </c>
      <c r="AI167" s="227">
        <f t="shared" si="66"/>
        <v>-1.807715378089622</v>
      </c>
      <c r="AJ167" s="267" t="b">
        <f t="shared" si="67"/>
        <v>0</v>
      </c>
      <c r="AK167" s="267" t="b">
        <f t="shared" si="68"/>
        <v>0</v>
      </c>
      <c r="AL167" s="267"/>
      <c r="AM167" s="267"/>
      <c r="AN167" s="75"/>
    </row>
    <row r="168" spans="1:40" s="6" customFormat="1" ht="11.25" customHeight="1" x14ac:dyDescent="0.2">
      <c r="A168" s="56">
        <f t="shared" si="69"/>
        <v>43619</v>
      </c>
      <c r="B168" s="618">
        <v>45.567</v>
      </c>
      <c r="C168" s="392"/>
      <c r="D168" s="395">
        <f t="shared" si="48"/>
        <v>45.892647553741433</v>
      </c>
      <c r="E168" s="387">
        <f t="shared" si="70"/>
        <v>49.022431614717092</v>
      </c>
      <c r="F168" s="387">
        <f t="shared" si="49"/>
        <v>49.024038444110964</v>
      </c>
      <c r="G168" s="110">
        <f t="shared" si="71"/>
        <v>0.75325860953656842</v>
      </c>
      <c r="H168" s="414" t="b">
        <f>Wh_hp&gt;='2018'!Maxi_hp</f>
        <v>1</v>
      </c>
      <c r="I168" s="392">
        <f>IF(H168,Wh_hp,'2018'!Maxi_hp)</f>
        <v>49.024038444110964</v>
      </c>
      <c r="J168" s="85">
        <f>IF(H168,An,'2018'!An_max)</f>
        <v>2019</v>
      </c>
      <c r="K168" s="199">
        <f t="shared" si="50"/>
        <v>43619</v>
      </c>
      <c r="L168" s="147">
        <f>IF(t&lt;Tvie,1-EXP((T0-t)*PertePVj)+'2018'!Pspv,1-EXP((T0-t)*PertePVj)+Pspv)</f>
        <v>7.0958545889097113E-3</v>
      </c>
      <c r="M168" s="870"/>
      <c r="N168" s="870"/>
      <c r="O168" s="48">
        <f>IF(t&lt;Tnet,'2018'!Resal+('2018'!Salim-'2018'!Resal)*(1-EXP(('2018'!Tnet-t)/('2018'!Tau_j))),Resal+(Salim-Resal)*(1-EXP((Tnet-t)/(Tau_j))))*Salcycl</f>
        <v>6.3843917118873855E-2</v>
      </c>
      <c r="P168" s="171">
        <f>(INDEX(Models!$BJ168:$BT168,,T168)*(1-R168)+INDEX(Models!$BJ168:$BT168,,T168+1)*R168-ERP_i)*Q168*Ramure*Pc/MaxiM</f>
        <v>5.0617394259465969E-5</v>
      </c>
      <c r="Q168" s="307">
        <f t="shared" si="51"/>
        <v>1</v>
      </c>
      <c r="R168" s="179">
        <f t="shared" si="52"/>
        <v>0.19932014380555851</v>
      </c>
      <c r="S168" s="837">
        <f t="shared" si="53"/>
        <v>-2</v>
      </c>
      <c r="T168" s="178">
        <f t="shared" si="54"/>
        <v>4</v>
      </c>
      <c r="U168" s="253">
        <f t="shared" si="55"/>
        <v>-1.8006798561944415</v>
      </c>
      <c r="V168" s="385">
        <f t="shared" si="56"/>
        <v>60.492089216013056</v>
      </c>
      <c r="W168" s="58"/>
      <c r="X168" s="157">
        <f t="shared" si="57"/>
        <v>43619</v>
      </c>
      <c r="Y168" s="387">
        <f t="shared" si="58"/>
        <v>45.567</v>
      </c>
      <c r="Z168" s="387">
        <f t="shared" si="59"/>
        <v>45.892647553741433</v>
      </c>
      <c r="AA168" s="388">
        <f t="shared" si="60"/>
        <v>49.022431614717092</v>
      </c>
      <c r="AB168" s="199">
        <f t="shared" si="61"/>
        <v>43619</v>
      </c>
      <c r="AC168" s="426">
        <f>IF(OR(t&lt;Tnet,NoTnet),'2018'!Resal_s+('2018'!Salim-'2018'!Resal_s)*(1-EXP(('2018'!Tnet_s-t)/'2018'!Tau_j)),Resal_s+(Salim-Resal_s)*(1-EXP((Tnet_s-t)/Tau_j)))*Salcycl</f>
        <v>6.3843917118873855E-2</v>
      </c>
      <c r="AD168" s="233">
        <f>(INDEX(Models!$BJ168:$BT168,,AH168)*(1-AF168)+INDEX(Models!$BJ168:$BT168,,AH168+1)*AF168-ERP_i)*AE168*Ramure*Pc/MaxiM</f>
        <v>5.0617394259465969E-5</v>
      </c>
      <c r="AE168" s="307">
        <f t="shared" si="62"/>
        <v>1</v>
      </c>
      <c r="AF168" s="179">
        <f t="shared" si="63"/>
        <v>0.19932014380555851</v>
      </c>
      <c r="AG168" s="178">
        <f t="shared" si="64"/>
        <v>-2</v>
      </c>
      <c r="AH168" s="178">
        <f t="shared" si="65"/>
        <v>4</v>
      </c>
      <c r="AI168" s="227">
        <f t="shared" si="66"/>
        <v>-1.8006798561944415</v>
      </c>
      <c r="AJ168" s="267" t="b">
        <f t="shared" si="67"/>
        <v>0</v>
      </c>
      <c r="AK168" s="267" t="b">
        <f t="shared" si="68"/>
        <v>0</v>
      </c>
      <c r="AL168" s="267"/>
      <c r="AM168" s="267"/>
      <c r="AN168" s="75"/>
    </row>
    <row r="169" spans="1:40" s="18" customFormat="1" ht="11.25" customHeight="1" x14ac:dyDescent="0.2">
      <c r="A169" s="56">
        <f t="shared" si="69"/>
        <v>43620</v>
      </c>
      <c r="B169" s="618">
        <v>53.857999999999997</v>
      </c>
      <c r="C169" s="392"/>
      <c r="D169" s="395">
        <f t="shared" si="48"/>
        <v>54.244162069854468</v>
      </c>
      <c r="E169" s="387">
        <f t="shared" si="70"/>
        <v>57.959395159581192</v>
      </c>
      <c r="F169" s="387">
        <f t="shared" si="49"/>
        <v>57.961791725127831</v>
      </c>
      <c r="G169" s="110">
        <f t="shared" si="71"/>
        <v>0.89048278660646618</v>
      </c>
      <c r="H169" s="414" t="b">
        <f>Wh_hp&gt;='2018'!Maxi_hp</f>
        <v>1</v>
      </c>
      <c r="I169" s="392">
        <f>IF(H169,Wh_hp,'2018'!Maxi_hp)</f>
        <v>57.961791725127831</v>
      </c>
      <c r="J169" s="85">
        <f>IF(H169,An,'2018'!An_max)</f>
        <v>2019</v>
      </c>
      <c r="K169" s="199">
        <f t="shared" si="50"/>
        <v>43620</v>
      </c>
      <c r="L169" s="147">
        <f>IF(t&lt;Tvie,1-EXP((T0-t)*PertePVj)+'2018'!Pspv,1-EXP((T0-t)*PertePVj)+Pspv)</f>
        <v>7.1189609189129532E-3</v>
      </c>
      <c r="M169" s="870"/>
      <c r="N169" s="870"/>
      <c r="O169" s="48">
        <f>IF(t&lt;Tnet,'2018'!Resal+('2018'!Salim-'2018'!Resal)*(1-EXP(('2018'!Tnet-t)/('2018'!Tau_j))),Resal+(Salim-Resal)*(1-EXP((Tnet-t)/(Tau_j))))*Salcycl</f>
        <v>6.4100618708968091E-2</v>
      </c>
      <c r="P169" s="171">
        <f>(INDEX(Models!$BJ169:$BT169,,T169)*(1-R169)+INDEX(Models!$BJ169:$BT169,,T169+1)*R169-ERP_i)*Q169*Ramure*Pc/MaxiM</f>
        <v>4.9015482860972219E-5</v>
      </c>
      <c r="Q169" s="307">
        <f t="shared" si="51"/>
        <v>1</v>
      </c>
      <c r="R169" s="179">
        <f t="shared" si="52"/>
        <v>0.20639708434708237</v>
      </c>
      <c r="S169" s="837">
        <f t="shared" si="53"/>
        <v>-2</v>
      </c>
      <c r="T169" s="178">
        <f t="shared" si="54"/>
        <v>4</v>
      </c>
      <c r="U169" s="253">
        <f t="shared" si="55"/>
        <v>-1.7936029156529176</v>
      </c>
      <c r="V169" s="385">
        <f t="shared" si="56"/>
        <v>60.481334172660773</v>
      </c>
      <c r="W169" s="58"/>
      <c r="X169" s="157">
        <f t="shared" si="57"/>
        <v>43620</v>
      </c>
      <c r="Y169" s="387">
        <f t="shared" si="58"/>
        <v>53.857999999999997</v>
      </c>
      <c r="Z169" s="387">
        <f t="shared" si="59"/>
        <v>54.244162069854468</v>
      </c>
      <c r="AA169" s="388">
        <f t="shared" si="60"/>
        <v>57.959395159581192</v>
      </c>
      <c r="AB169" s="199">
        <f t="shared" si="61"/>
        <v>43620</v>
      </c>
      <c r="AC169" s="426">
        <f>IF(OR(t&lt;Tnet,NoTnet),'2018'!Resal_s+('2018'!Salim-'2018'!Resal_s)*(1-EXP(('2018'!Tnet_s-t)/'2018'!Tau_j)),Resal_s+(Salim-Resal_s)*(1-EXP((Tnet_s-t)/Tau_j)))*Salcycl</f>
        <v>6.4100618708968091E-2</v>
      </c>
      <c r="AD169" s="233">
        <f>(INDEX(Models!$BJ169:$BT169,,AH169)*(1-AF169)+INDEX(Models!$BJ169:$BT169,,AH169+1)*AF169-ERP_i)*AE169*Ramure*Pc/MaxiM</f>
        <v>4.9015482860972219E-5</v>
      </c>
      <c r="AE169" s="307">
        <f t="shared" si="62"/>
        <v>1</v>
      </c>
      <c r="AF169" s="179">
        <f t="shared" si="63"/>
        <v>0.20639708434708237</v>
      </c>
      <c r="AG169" s="178">
        <f t="shared" si="64"/>
        <v>-2</v>
      </c>
      <c r="AH169" s="178">
        <f t="shared" si="65"/>
        <v>4</v>
      </c>
      <c r="AI169" s="227">
        <f t="shared" si="66"/>
        <v>-1.7936029156529176</v>
      </c>
      <c r="AJ169" s="267" t="b">
        <f t="shared" si="67"/>
        <v>0</v>
      </c>
      <c r="AK169" s="267" t="b">
        <f t="shared" si="68"/>
        <v>0</v>
      </c>
      <c r="AL169" s="267"/>
      <c r="AM169" s="267"/>
      <c r="AN169" s="267"/>
    </row>
    <row r="170" spans="1:40" s="18" customFormat="1" ht="11.25" customHeight="1" x14ac:dyDescent="0.2">
      <c r="A170" s="56">
        <f t="shared" ref="A170:A207" si="72">A169+1</f>
        <v>43621</v>
      </c>
      <c r="B170" s="618">
        <v>10.987</v>
      </c>
      <c r="C170" s="392"/>
      <c r="D170" s="395">
        <f t="shared" si="48"/>
        <v>11.066034355596079</v>
      </c>
      <c r="E170" s="387">
        <f t="shared" ref="E170:E232" si="73">Wh_pvt/(1-Psa)</f>
        <v>11.827190982907215</v>
      </c>
      <c r="F170" s="387">
        <f t="shared" si="49"/>
        <v>11.827190982907215</v>
      </c>
      <c r="G170" s="110">
        <f t="shared" ref="G170:G232" si="74">+Wh_hp/MaxiM</f>
        <v>0.18169467785948923</v>
      </c>
      <c r="H170" s="414" t="b">
        <f>Wh_hp&gt;='2018'!Maxi_hp</f>
        <v>1</v>
      </c>
      <c r="I170" s="392">
        <f>IF(H170,Wh_hp,'2018'!Maxi_hp)</f>
        <v>11.827190982907215</v>
      </c>
      <c r="J170" s="85">
        <f>IF(H170,An,'2018'!An_max)</f>
        <v>2019</v>
      </c>
      <c r="K170" s="199">
        <f t="shared" si="50"/>
        <v>43621</v>
      </c>
      <c r="L170" s="147">
        <f>IF(t&lt;Tvie,1-EXP((T0-t)*PertePVj)+'2018'!Pspv,1-EXP((T0-t)*PertePVj)+Pspv)</f>
        <v>7.1420667111982139E-3</v>
      </c>
      <c r="M170" s="870"/>
      <c r="N170" s="870"/>
      <c r="O170" s="48">
        <f>IF(t&lt;Tnet,'2018'!Resal+('2018'!Salim-'2018'!Resal)*(1-EXP(('2018'!Tnet-t)/('2018'!Tau_j))),Resal+(Salim-Resal)*(1-EXP((Tnet-t)/(Tau_j))))*Salcycl</f>
        <v>6.4356500914813028E-2</v>
      </c>
      <c r="P170" s="171">
        <f>(INDEX(Models!$BJ170:$BT170,,T170)*(1-R170)+INDEX(Models!$BJ170:$BT170,,T170+1)*R170-ERP_i)*Q170*Ramure*Pc/MaxiM</f>
        <v>4.783809107420046E-5</v>
      </c>
      <c r="Q170" s="307">
        <f t="shared" si="51"/>
        <v>1</v>
      </c>
      <c r="R170" s="179">
        <f t="shared" si="52"/>
        <v>0.21350978556546307</v>
      </c>
      <c r="S170" s="837">
        <f t="shared" si="53"/>
        <v>-2</v>
      </c>
      <c r="T170" s="178">
        <f t="shared" si="54"/>
        <v>4</v>
      </c>
      <c r="U170" s="253">
        <f t="shared" si="55"/>
        <v>-1.7864902144345369</v>
      </c>
      <c r="V170" s="385">
        <f t="shared" si="56"/>
        <v>60.466682526549214</v>
      </c>
      <c r="W170" s="58"/>
      <c r="X170" s="157">
        <f t="shared" si="57"/>
        <v>43621</v>
      </c>
      <c r="Y170" s="387">
        <f t="shared" si="58"/>
        <v>10.987</v>
      </c>
      <c r="Z170" s="387">
        <f t="shared" si="59"/>
        <v>11.066034355596079</v>
      </c>
      <c r="AA170" s="388">
        <f t="shared" si="60"/>
        <v>11.827190982907215</v>
      </c>
      <c r="AB170" s="199">
        <f t="shared" si="61"/>
        <v>43621</v>
      </c>
      <c r="AC170" s="426">
        <f>IF(OR(t&lt;Tnet,NoTnet),'2018'!Resal_s+('2018'!Salim-'2018'!Resal_s)*(1-EXP(('2018'!Tnet_s-t)/'2018'!Tau_j)),Resal_s+(Salim-Resal_s)*(1-EXP((Tnet_s-t)/Tau_j)))*Salcycl</f>
        <v>6.4356500914813028E-2</v>
      </c>
      <c r="AD170" s="233">
        <f>(INDEX(Models!$BJ170:$BT170,,AH170)*(1-AF170)+INDEX(Models!$BJ170:$BT170,,AH170+1)*AF170-ERP_i)*AE170*Ramure*Pc/MaxiM</f>
        <v>4.783809107420046E-5</v>
      </c>
      <c r="AE170" s="307">
        <f t="shared" si="62"/>
        <v>1</v>
      </c>
      <c r="AF170" s="179">
        <f t="shared" si="63"/>
        <v>0.21350978556546307</v>
      </c>
      <c r="AG170" s="178">
        <f t="shared" si="64"/>
        <v>-2</v>
      </c>
      <c r="AH170" s="178">
        <f t="shared" si="65"/>
        <v>4</v>
      </c>
      <c r="AI170" s="227">
        <f t="shared" si="66"/>
        <v>-1.7864902144345369</v>
      </c>
      <c r="AJ170" s="267" t="b">
        <f t="shared" si="67"/>
        <v>0</v>
      </c>
      <c r="AK170" s="267" t="b">
        <f t="shared" si="68"/>
        <v>0</v>
      </c>
      <c r="AL170" s="267"/>
      <c r="AM170" s="267"/>
      <c r="AN170" s="267"/>
    </row>
    <row r="171" spans="1:40" s="6" customFormat="1" ht="11.25" customHeight="1" x14ac:dyDescent="0.2">
      <c r="A171" s="56">
        <f t="shared" si="72"/>
        <v>43622</v>
      </c>
      <c r="B171" s="618">
        <v>59.167000000000002</v>
      </c>
      <c r="C171" s="392"/>
      <c r="D171" s="395">
        <f t="shared" si="48"/>
        <v>59.594001267208334</v>
      </c>
      <c r="E171" s="387">
        <f t="shared" si="73"/>
        <v>63.710424711227255</v>
      </c>
      <c r="F171" s="387">
        <f t="shared" si="49"/>
        <v>63.713317790939129</v>
      </c>
      <c r="G171" s="110">
        <f t="shared" si="74"/>
        <v>0.97880084877190476</v>
      </c>
      <c r="H171" s="414" t="b">
        <f>Wh_hp&gt;='2018'!Maxi_hp</f>
        <v>1</v>
      </c>
      <c r="I171" s="392">
        <f>IF(H171,Wh_hp,'2018'!Maxi_hp)</f>
        <v>63.713317790939129</v>
      </c>
      <c r="J171" s="85">
        <f>IF(H171,An,'2018'!An_max)</f>
        <v>2019</v>
      </c>
      <c r="K171" s="199">
        <f t="shared" si="50"/>
        <v>43622</v>
      </c>
      <c r="L171" s="147">
        <f>IF(t&lt;Tvie,1-EXP((T0-t)*PertePVj)+'2018'!Pspv,1-EXP((T0-t)*PertePVj)+Pspv)</f>
        <v>7.1651719657779278E-3</v>
      </c>
      <c r="M171" s="870"/>
      <c r="N171" s="870"/>
      <c r="O171" s="48">
        <f>IF(t&lt;Tnet,'2018'!Resal+('2018'!Salim-'2018'!Resal)*(1-EXP(('2018'!Tnet-t)/('2018'!Tau_j))),Resal+(Salim-Resal)*(1-EXP((Tnet-t)/(Tau_j))))*Salcycl</f>
        <v>6.4611458213894329E-2</v>
      </c>
      <c r="P171" s="171">
        <f>(INDEX(Models!$BJ171:$BT171,,T171)*(1-R171)+INDEX(Models!$BJ171:$BT171,,T171+1)*R171-ERP_i)*Q171*Ramure*Pc/MaxiM</f>
        <v>4.6825772848032892E-5</v>
      </c>
      <c r="Q171" s="307">
        <f t="shared" si="51"/>
        <v>1</v>
      </c>
      <c r="R171" s="179">
        <f t="shared" si="52"/>
        <v>0.22065247153145906</v>
      </c>
      <c r="S171" s="837">
        <f t="shared" si="53"/>
        <v>-2</v>
      </c>
      <c r="T171" s="178">
        <f t="shared" si="54"/>
        <v>4</v>
      </c>
      <c r="U171" s="253">
        <f t="shared" si="55"/>
        <v>-1.7793475284685409</v>
      </c>
      <c r="V171" s="385">
        <f t="shared" si="56"/>
        <v>60.448370239442923</v>
      </c>
      <c r="W171" s="58"/>
      <c r="X171" s="157">
        <f t="shared" si="57"/>
        <v>43622</v>
      </c>
      <c r="Y171" s="387">
        <f t="shared" si="58"/>
        <v>59.167000000000002</v>
      </c>
      <c r="Z171" s="387">
        <f t="shared" si="59"/>
        <v>59.594001267208334</v>
      </c>
      <c r="AA171" s="388">
        <f t="shared" si="60"/>
        <v>63.710424711227255</v>
      </c>
      <c r="AB171" s="199">
        <f t="shared" si="61"/>
        <v>43622</v>
      </c>
      <c r="AC171" s="426">
        <f>IF(OR(t&lt;Tnet,NoTnet),'2018'!Resal_s+('2018'!Salim-'2018'!Resal_s)*(1-EXP(('2018'!Tnet_s-t)/'2018'!Tau_j)),Resal_s+(Salim-Resal_s)*(1-EXP((Tnet_s-t)/Tau_j)))*Salcycl</f>
        <v>6.4611458213894329E-2</v>
      </c>
      <c r="AD171" s="233">
        <f>(INDEX(Models!$BJ171:$BT171,,AH171)*(1-AF171)+INDEX(Models!$BJ171:$BT171,,AH171+1)*AF171-ERP_i)*AE171*Ramure*Pc/MaxiM</f>
        <v>4.6825772848032892E-5</v>
      </c>
      <c r="AE171" s="307">
        <f t="shared" si="62"/>
        <v>1</v>
      </c>
      <c r="AF171" s="179">
        <f t="shared" si="63"/>
        <v>0.22065247153145906</v>
      </c>
      <c r="AG171" s="178">
        <f t="shared" si="64"/>
        <v>-2</v>
      </c>
      <c r="AH171" s="178">
        <f t="shared" si="65"/>
        <v>4</v>
      </c>
      <c r="AI171" s="227">
        <f t="shared" si="66"/>
        <v>-1.7793475284685409</v>
      </c>
      <c r="AJ171" s="267" t="b">
        <f t="shared" si="67"/>
        <v>0</v>
      </c>
      <c r="AK171" s="267" t="b">
        <f t="shared" si="68"/>
        <v>0</v>
      </c>
      <c r="AL171" s="267"/>
      <c r="AM171" s="267"/>
      <c r="AN171" s="75"/>
    </row>
    <row r="172" spans="1:40" s="6" customFormat="1" ht="11.25" customHeight="1" x14ac:dyDescent="0.2">
      <c r="A172" s="56">
        <f t="shared" si="72"/>
        <v>43623</v>
      </c>
      <c r="B172" s="618">
        <v>20.465</v>
      </c>
      <c r="C172" s="392"/>
      <c r="D172" s="395">
        <f t="shared" si="48"/>
        <v>20.613173192213313</v>
      </c>
      <c r="E172" s="387">
        <f t="shared" si="73"/>
        <v>22.043000983388708</v>
      </c>
      <c r="F172" s="387">
        <f t="shared" si="49"/>
        <v>22.043056990351076</v>
      </c>
      <c r="G172" s="110">
        <f t="shared" si="74"/>
        <v>0.33866054394495609</v>
      </c>
      <c r="H172" s="414" t="b">
        <f>Wh_hp&gt;='2018'!Maxi_hp</f>
        <v>1</v>
      </c>
      <c r="I172" s="392">
        <f>IF(H172,Wh_hp,'2018'!Maxi_hp)</f>
        <v>22.043056990351076</v>
      </c>
      <c r="J172" s="85">
        <f>IF(H172,An,'2018'!An_max)</f>
        <v>2019</v>
      </c>
      <c r="K172" s="199">
        <f t="shared" si="50"/>
        <v>43623</v>
      </c>
      <c r="L172" s="147">
        <f>IF(t&lt;Tvie,1-EXP((T0-t)*PertePVj)+'2018'!Pspv,1-EXP((T0-t)*PertePVj)+Pspv)</f>
        <v>7.1882766826646405E-3</v>
      </c>
      <c r="M172" s="870"/>
      <c r="N172" s="870"/>
      <c r="O172" s="48">
        <f>IF(t&lt;Tnet,'2018'!Resal+('2018'!Salim-'2018'!Resal)*(1-EXP(('2018'!Tnet-t)/('2018'!Tau_j))),Resal+(Salim-Resal)*(1-EXP((Tnet-t)/(Tau_j))))*Salcycl</f>
        <v>6.4865387079231743E-2</v>
      </c>
      <c r="P172" s="171">
        <f>(INDEX(Models!$BJ172:$BT172,,T172)*(1-R172)+INDEX(Models!$BJ172:$BT172,,T172+1)*R172-ERP_i)*Q172*Ramure*Pc/MaxiM</f>
        <v>4.5986993136804054E-5</v>
      </c>
      <c r="Q172" s="307">
        <f t="shared" si="51"/>
        <v>1</v>
      </c>
      <c r="R172" s="179">
        <f t="shared" si="52"/>
        <v>0.22781926671641539</v>
      </c>
      <c r="S172" s="837">
        <f t="shared" si="53"/>
        <v>-2</v>
      </c>
      <c r="T172" s="178">
        <f t="shared" si="54"/>
        <v>4</v>
      </c>
      <c r="U172" s="253">
        <f t="shared" si="55"/>
        <v>-1.7721807332835846</v>
      </c>
      <c r="V172" s="385">
        <f t="shared" si="56"/>
        <v>60.426616673391621</v>
      </c>
      <c r="W172" s="58"/>
      <c r="X172" s="157">
        <f t="shared" si="57"/>
        <v>43623</v>
      </c>
      <c r="Y172" s="387">
        <f t="shared" si="58"/>
        <v>20.465</v>
      </c>
      <c r="Z172" s="387">
        <f t="shared" si="59"/>
        <v>20.613173192213313</v>
      </c>
      <c r="AA172" s="388">
        <f t="shared" si="60"/>
        <v>22.043000983388708</v>
      </c>
      <c r="AB172" s="199">
        <f t="shared" si="61"/>
        <v>43623</v>
      </c>
      <c r="AC172" s="426">
        <f>IF(OR(t&lt;Tnet,NoTnet),'2018'!Resal_s+('2018'!Salim-'2018'!Resal_s)*(1-EXP(('2018'!Tnet_s-t)/'2018'!Tau_j)),Resal_s+(Salim-Resal_s)*(1-EXP((Tnet_s-t)/Tau_j)))*Salcycl</f>
        <v>6.4865387079231743E-2</v>
      </c>
      <c r="AD172" s="233">
        <f>(INDEX(Models!$BJ172:$BT172,,AH172)*(1-AF172)+INDEX(Models!$BJ172:$BT172,,AH172+1)*AF172-ERP_i)*AE172*Ramure*Pc/MaxiM</f>
        <v>4.5986993136804054E-5</v>
      </c>
      <c r="AE172" s="307">
        <f t="shared" si="62"/>
        <v>1</v>
      </c>
      <c r="AF172" s="179">
        <f t="shared" si="63"/>
        <v>0.22781926671641539</v>
      </c>
      <c r="AG172" s="178">
        <f t="shared" si="64"/>
        <v>-2</v>
      </c>
      <c r="AH172" s="178">
        <f t="shared" si="65"/>
        <v>4</v>
      </c>
      <c r="AI172" s="227">
        <f t="shared" si="66"/>
        <v>-1.7721807332835846</v>
      </c>
      <c r="AJ172" s="267" t="b">
        <f t="shared" si="67"/>
        <v>0</v>
      </c>
      <c r="AK172" s="267" t="b">
        <f t="shared" si="68"/>
        <v>0</v>
      </c>
      <c r="AL172" s="267"/>
      <c r="AM172" s="267"/>
      <c r="AN172" s="75"/>
    </row>
    <row r="173" spans="1:40" s="6" customFormat="1" ht="11.25" customHeight="1" x14ac:dyDescent="0.2">
      <c r="A173" s="56">
        <f t="shared" si="72"/>
        <v>43624</v>
      </c>
      <c r="B173" s="618">
        <v>61.329000000000001</v>
      </c>
      <c r="C173" s="392"/>
      <c r="D173" s="395">
        <f t="shared" si="48"/>
        <v>61.774479297759896</v>
      </c>
      <c r="E173" s="387">
        <f t="shared" si="73"/>
        <v>66.077314157415955</v>
      </c>
      <c r="F173" s="387">
        <f t="shared" si="49"/>
        <v>66.080309605009333</v>
      </c>
      <c r="G173" s="110">
        <f t="shared" si="74"/>
        <v>1.0153532128492309</v>
      </c>
      <c r="H173" s="414" t="b">
        <f>Wh_hp&gt;='2018'!Maxi_hp</f>
        <v>1</v>
      </c>
      <c r="I173" s="392">
        <f>IF(H173,Wh_hp,'2018'!Maxi_hp)</f>
        <v>66.080309605009333</v>
      </c>
      <c r="J173" s="85">
        <f>IF(H173,An,'2018'!An_max)</f>
        <v>2019</v>
      </c>
      <c r="K173" s="199">
        <f t="shared" si="50"/>
        <v>43624</v>
      </c>
      <c r="L173" s="147">
        <f>IF(t&lt;Tvie,1-EXP((T0-t)*PertePVj)+'2018'!Pspv,1-EXP((T0-t)*PertePVj)+Pspv)</f>
        <v>7.2113808618707864E-3</v>
      </c>
      <c r="M173" s="870"/>
      <c r="N173" s="870"/>
      <c r="O173" s="48">
        <f>IF(t&lt;Tnet,'2018'!Resal+('2018'!Salim-'2018'!Resal)*(1-EXP(('2018'!Tnet-t)/('2018'!Tau_j))),Resal+(Salim-Resal)*(1-EXP((Tnet-t)/(Tau_j))))*Salcycl</f>
        <v>6.5118186393069988E-2</v>
      </c>
      <c r="P173" s="171">
        <f>(INDEX(Models!$BJ173:$BT173,,T173)*(1-R173)+INDEX(Models!$BJ173:$BT173,,T173+1)*R173-ERP_i)*Q173*Ramure*Pc/MaxiM</f>
        <v>4.5330410999666221E-5</v>
      </c>
      <c r="Q173" s="307">
        <f t="shared" si="51"/>
        <v>1</v>
      </c>
      <c r="R173" s="179">
        <f t="shared" si="52"/>
        <v>0.23500421505098856</v>
      </c>
      <c r="S173" s="837">
        <f t="shared" si="53"/>
        <v>-2</v>
      </c>
      <c r="T173" s="178">
        <f t="shared" si="54"/>
        <v>4</v>
      </c>
      <c r="U173" s="253">
        <f t="shared" si="55"/>
        <v>-1.7649957849490114</v>
      </c>
      <c r="V173" s="385">
        <f t="shared" si="56"/>
        <v>60.401640753075249</v>
      </c>
      <c r="W173" s="58"/>
      <c r="X173" s="157">
        <f t="shared" si="57"/>
        <v>43624</v>
      </c>
      <c r="Y173" s="387">
        <f t="shared" si="58"/>
        <v>61.329000000000008</v>
      </c>
      <c r="Z173" s="387">
        <f t="shared" si="59"/>
        <v>61.774479297759903</v>
      </c>
      <c r="AA173" s="388">
        <f t="shared" si="60"/>
        <v>66.077314157415955</v>
      </c>
      <c r="AB173" s="199">
        <f t="shared" si="61"/>
        <v>43624</v>
      </c>
      <c r="AC173" s="426">
        <f>IF(OR(t&lt;Tnet,NoTnet),'2018'!Resal_s+('2018'!Salim-'2018'!Resal_s)*(1-EXP(('2018'!Tnet_s-t)/'2018'!Tau_j)),Resal_s+(Salim-Resal_s)*(1-EXP((Tnet_s-t)/Tau_j)))*Salcycl</f>
        <v>6.5118186393069988E-2</v>
      </c>
      <c r="AD173" s="233">
        <f>(INDEX(Models!$BJ173:$BT173,,AH173)*(1-AF173)+INDEX(Models!$BJ173:$BT173,,AH173+1)*AF173-ERP_i)*AE173*Ramure*Pc/MaxiM</f>
        <v>4.5330410999666221E-5</v>
      </c>
      <c r="AE173" s="307">
        <f t="shared" si="62"/>
        <v>1</v>
      </c>
      <c r="AF173" s="179">
        <f t="shared" si="63"/>
        <v>0.23500421505098856</v>
      </c>
      <c r="AG173" s="178">
        <f t="shared" si="64"/>
        <v>-2</v>
      </c>
      <c r="AH173" s="178">
        <f t="shared" si="65"/>
        <v>4</v>
      </c>
      <c r="AI173" s="227">
        <f t="shared" si="66"/>
        <v>-1.7649957849490114</v>
      </c>
      <c r="AJ173" s="267" t="b">
        <f t="shared" si="67"/>
        <v>0</v>
      </c>
      <c r="AK173" s="267" t="b">
        <f t="shared" si="68"/>
        <v>0</v>
      </c>
      <c r="AL173" s="267"/>
      <c r="AM173" s="267"/>
      <c r="AN173" s="75"/>
    </row>
    <row r="174" spans="1:40" s="6" customFormat="1" ht="11.25" customHeight="1" x14ac:dyDescent="0.2">
      <c r="A174" s="56">
        <f t="shared" si="72"/>
        <v>43625</v>
      </c>
      <c r="B174" s="618">
        <v>49.305</v>
      </c>
      <c r="C174" s="392"/>
      <c r="D174" s="395">
        <f t="shared" si="48"/>
        <v>49.664295576722523</v>
      </c>
      <c r="E174" s="387">
        <f t="shared" si="73"/>
        <v>53.137907738401339</v>
      </c>
      <c r="F174" s="387">
        <f t="shared" si="49"/>
        <v>53.139667425016256</v>
      </c>
      <c r="G174" s="110">
        <f t="shared" si="74"/>
        <v>0.81665447899335297</v>
      </c>
      <c r="H174" s="414" t="b">
        <f>Wh_hp&gt;='2018'!Maxi_hp</f>
        <v>1</v>
      </c>
      <c r="I174" s="392">
        <f>IF(H174,Wh_hp,'2018'!Maxi_hp)</f>
        <v>53.139667425016256</v>
      </c>
      <c r="J174" s="85">
        <f>IF(H174,An,'2018'!An_max)</f>
        <v>2019</v>
      </c>
      <c r="K174" s="199">
        <f t="shared" si="50"/>
        <v>43625</v>
      </c>
      <c r="L174" s="147">
        <f>IF(t&lt;Tvie,1-EXP((T0-t)*PertePVj)+'2018'!Pspv,1-EXP((T0-t)*PertePVj)+Pspv)</f>
        <v>7.2344845034090222E-3</v>
      </c>
      <c r="M174" s="870"/>
      <c r="N174" s="870"/>
      <c r="O174" s="48">
        <f>IF(t&lt;Tnet,'2018'!Resal+('2018'!Salim-'2018'!Resal)*(1-EXP(('2018'!Tnet-t)/('2018'!Tau_j))),Resal+(Salim-Resal)*(1-EXP((Tnet-t)/(Tau_j))))*Salcycl</f>
        <v>6.5369757853084118E-2</v>
      </c>
      <c r="P174" s="171">
        <f>(INDEX(Models!$BJ174:$BT174,,T174)*(1-R174)+INDEX(Models!$BJ174:$BT174,,T174+1)*R174-ERP_i)*Q174*Ramure*Pc/MaxiM</f>
        <v>4.4864855482405831E-5</v>
      </c>
      <c r="Q174" s="307">
        <f t="shared" si="51"/>
        <v>1</v>
      </c>
      <c r="R174" s="179">
        <f t="shared" si="52"/>
        <v>0.24220129955301672</v>
      </c>
      <c r="S174" s="837">
        <f t="shared" si="53"/>
        <v>-2</v>
      </c>
      <c r="T174" s="178">
        <f t="shared" si="54"/>
        <v>4</v>
      </c>
      <c r="U174" s="253">
        <f t="shared" si="55"/>
        <v>-1.7577987004469833</v>
      </c>
      <c r="V174" s="385">
        <f t="shared" si="56"/>
        <v>60.373660943987275</v>
      </c>
      <c r="W174" s="58"/>
      <c r="X174" s="157">
        <f t="shared" si="57"/>
        <v>43625</v>
      </c>
      <c r="Y174" s="387">
        <f t="shared" si="58"/>
        <v>49.305</v>
      </c>
      <c r="Z174" s="387">
        <f t="shared" si="59"/>
        <v>49.664295576722523</v>
      </c>
      <c r="AA174" s="388">
        <f t="shared" si="60"/>
        <v>53.137907738401339</v>
      </c>
      <c r="AB174" s="199">
        <f t="shared" si="61"/>
        <v>43625</v>
      </c>
      <c r="AC174" s="426">
        <f>IF(OR(t&lt;Tnet,NoTnet),'2018'!Resal_s+('2018'!Salim-'2018'!Resal_s)*(1-EXP(('2018'!Tnet_s-t)/'2018'!Tau_j)),Resal_s+(Salim-Resal_s)*(1-EXP((Tnet_s-t)/Tau_j)))*Salcycl</f>
        <v>6.5369757853084118E-2</v>
      </c>
      <c r="AD174" s="233">
        <f>(INDEX(Models!$BJ174:$BT174,,AH174)*(1-AF174)+INDEX(Models!$BJ174:$BT174,,AH174+1)*AF174-ERP_i)*AE174*Ramure*Pc/MaxiM</f>
        <v>4.4864855482405831E-5</v>
      </c>
      <c r="AE174" s="307">
        <f t="shared" si="62"/>
        <v>1</v>
      </c>
      <c r="AF174" s="179">
        <f t="shared" si="63"/>
        <v>0.24220129955301672</v>
      </c>
      <c r="AG174" s="178">
        <f t="shared" si="64"/>
        <v>-2</v>
      </c>
      <c r="AH174" s="178">
        <f t="shared" si="65"/>
        <v>4</v>
      </c>
      <c r="AI174" s="227">
        <f t="shared" si="66"/>
        <v>-1.7577987004469833</v>
      </c>
      <c r="AJ174" s="267" t="b">
        <f t="shared" si="67"/>
        <v>0</v>
      </c>
      <c r="AK174" s="267" t="b">
        <f t="shared" si="68"/>
        <v>0</v>
      </c>
      <c r="AL174" s="267"/>
      <c r="AM174" s="267"/>
      <c r="AN174" s="75"/>
    </row>
    <row r="175" spans="1:40" s="6" customFormat="1" ht="11.25" customHeight="1" x14ac:dyDescent="0.2">
      <c r="A175" s="56">
        <f t="shared" si="72"/>
        <v>43626</v>
      </c>
      <c r="B175" s="618">
        <v>24.428000000000001</v>
      </c>
      <c r="C175" s="392"/>
      <c r="D175" s="395">
        <f t="shared" si="48"/>
        <v>24.606584442306257</v>
      </c>
      <c r="E175" s="387">
        <f t="shared" si="73"/>
        <v>26.334665350299328</v>
      </c>
      <c r="F175" s="387">
        <f t="shared" si="49"/>
        <v>26.334841225304466</v>
      </c>
      <c r="G175" s="110">
        <f t="shared" si="74"/>
        <v>0.40480446906108636</v>
      </c>
      <c r="H175" s="414" t="b">
        <f>Wh_hp&gt;='2018'!Maxi_hp</f>
        <v>1</v>
      </c>
      <c r="I175" s="392">
        <f>IF(H175,Wh_hp,'2018'!Maxi_hp)</f>
        <v>26.334841225304466</v>
      </c>
      <c r="J175" s="85">
        <f>IF(H175,An,'2018'!An_max)</f>
        <v>2019</v>
      </c>
      <c r="K175" s="199">
        <f t="shared" si="50"/>
        <v>43626</v>
      </c>
      <c r="L175" s="147">
        <f>IF(t&lt;Tvie,1-EXP((T0-t)*PertePVj)+'2018'!Pspv,1-EXP((T0-t)*PertePVj)+Pspv)</f>
        <v>7.2575876072916712E-3</v>
      </c>
      <c r="M175" s="870"/>
      <c r="N175" s="870"/>
      <c r="O175" s="48">
        <f>IF(t&lt;Tnet,'2018'!Resal+('2018'!Salim-'2018'!Resal)*(1-EXP(('2018'!Tnet-t)/('2018'!Tau_j))),Resal+(Salim-Resal)*(1-EXP((Tnet-t)/(Tau_j))))*Salcycl</f>
        <v>6.5620006368276473E-2</v>
      </c>
      <c r="P175" s="171">
        <f>(INDEX(Models!$BJ175:$BT175,,T175)*(1-R175)+INDEX(Models!$BJ175:$BT175,,T175+1)*R175-ERP_i)*Q175*Ramure*Pc/MaxiM</f>
        <v>4.4599300582914771E-5</v>
      </c>
      <c r="Q175" s="307">
        <f t="shared" si="51"/>
        <v>1</v>
      </c>
      <c r="R175" s="179">
        <f t="shared" si="52"/>
        <v>0.24940446238843283</v>
      </c>
      <c r="S175" s="837">
        <f t="shared" si="53"/>
        <v>-2</v>
      </c>
      <c r="T175" s="178">
        <f t="shared" si="54"/>
        <v>4</v>
      </c>
      <c r="U175" s="253">
        <f t="shared" si="55"/>
        <v>-1.7505955376115672</v>
      </c>
      <c r="V175" s="385">
        <f t="shared" si="56"/>
        <v>60.342895223175987</v>
      </c>
      <c r="W175" s="58"/>
      <c r="X175" s="157">
        <f t="shared" si="57"/>
        <v>43626</v>
      </c>
      <c r="Y175" s="387">
        <f t="shared" si="58"/>
        <v>24.428000000000001</v>
      </c>
      <c r="Z175" s="387">
        <f t="shared" si="59"/>
        <v>24.606584442306257</v>
      </c>
      <c r="AA175" s="388">
        <f t="shared" si="60"/>
        <v>26.334665350299328</v>
      </c>
      <c r="AB175" s="199">
        <f t="shared" si="61"/>
        <v>43626</v>
      </c>
      <c r="AC175" s="426">
        <f>IF(OR(t&lt;Tnet,NoTnet),'2018'!Resal_s+('2018'!Salim-'2018'!Resal_s)*(1-EXP(('2018'!Tnet_s-t)/'2018'!Tau_j)),Resal_s+(Salim-Resal_s)*(1-EXP((Tnet_s-t)/Tau_j)))*Salcycl</f>
        <v>6.5620006368276473E-2</v>
      </c>
      <c r="AD175" s="233">
        <f>(INDEX(Models!$BJ175:$BT175,,AH175)*(1-AF175)+INDEX(Models!$BJ175:$BT175,,AH175+1)*AF175-ERP_i)*AE175*Ramure*Pc/MaxiM</f>
        <v>4.4599300582914771E-5</v>
      </c>
      <c r="AE175" s="307">
        <f t="shared" si="62"/>
        <v>1</v>
      </c>
      <c r="AF175" s="179">
        <f t="shared" si="63"/>
        <v>0.24940446238843283</v>
      </c>
      <c r="AG175" s="178">
        <f t="shared" si="64"/>
        <v>-2</v>
      </c>
      <c r="AH175" s="178">
        <f t="shared" si="65"/>
        <v>4</v>
      </c>
      <c r="AI175" s="227">
        <f t="shared" si="66"/>
        <v>-1.7505955376115672</v>
      </c>
      <c r="AJ175" s="267" t="b">
        <f t="shared" si="67"/>
        <v>0</v>
      </c>
      <c r="AK175" s="267" t="b">
        <f t="shared" si="68"/>
        <v>0</v>
      </c>
      <c r="AL175" s="267"/>
      <c r="AM175" s="267"/>
      <c r="AN175" s="75"/>
    </row>
    <row r="176" spans="1:40" s="6" customFormat="1" ht="11.25" customHeight="1" x14ac:dyDescent="0.2">
      <c r="A176" s="56">
        <f t="shared" si="72"/>
        <v>43627</v>
      </c>
      <c r="B176" s="618">
        <v>30.742000000000001</v>
      </c>
      <c r="C176" s="392"/>
      <c r="D176" s="395">
        <f t="shared" si="48"/>
        <v>30.967464514590564</v>
      </c>
      <c r="E176" s="387">
        <f t="shared" si="73"/>
        <v>33.151088257494557</v>
      </c>
      <c r="F176" s="387">
        <f t="shared" si="49"/>
        <v>33.151530701168532</v>
      </c>
      <c r="G176" s="110">
        <f t="shared" si="74"/>
        <v>0.50972085348041896</v>
      </c>
      <c r="H176" s="414" t="b">
        <f>Wh_hp&gt;='2018'!Maxi_hp</f>
        <v>1</v>
      </c>
      <c r="I176" s="392">
        <f>IF(H176,Wh_hp,'2018'!Maxi_hp)</f>
        <v>33.151530701168532</v>
      </c>
      <c r="J176" s="85">
        <f>IF(H176,An,'2018'!An_max)</f>
        <v>2019</v>
      </c>
      <c r="K176" s="199">
        <f t="shared" si="50"/>
        <v>43627</v>
      </c>
      <c r="L176" s="147">
        <f>IF(t&lt;Tvie,1-EXP((T0-t)*PertePVj)+'2018'!Pspv,1-EXP((T0-t)*PertePVj)+Pspv)</f>
        <v>7.28069017353139E-3</v>
      </c>
      <c r="M176" s="870"/>
      <c r="N176" s="870"/>
      <c r="O176" s="48">
        <f>IF(t&lt;Tnet,'2018'!Resal+('2018'!Salim-'2018'!Resal)*(1-EXP(('2018'!Tnet-t)/('2018'!Tau_j))),Resal+(Salim-Resal)*(1-EXP((Tnet-t)/(Tau_j))))*Salcycl</f>
        <v>6.5868840441771478E-2</v>
      </c>
      <c r="P176" s="171">
        <f>(INDEX(Models!$BJ176:$BT176,,T176)*(1-R176)+INDEX(Models!$BJ176:$BT176,,T176+1)*R176-ERP_i)*Q176*Ramure*Pc/MaxiM</f>
        <v>4.4542839421704321E-5</v>
      </c>
      <c r="Q176" s="307">
        <f t="shared" si="51"/>
        <v>1</v>
      </c>
      <c r="R176" s="179">
        <f t="shared" si="52"/>
        <v>0.25660762522384895</v>
      </c>
      <c r="S176" s="837">
        <f t="shared" si="53"/>
        <v>-2</v>
      </c>
      <c r="T176" s="178">
        <f t="shared" si="54"/>
        <v>4</v>
      </c>
      <c r="U176" s="253">
        <f t="shared" si="55"/>
        <v>-1.7433923747761511</v>
      </c>
      <c r="V176" s="385">
        <f t="shared" si="56"/>
        <v>60.309561061044128</v>
      </c>
      <c r="W176" s="58"/>
      <c r="X176" s="157">
        <f t="shared" si="57"/>
        <v>43627</v>
      </c>
      <c r="Y176" s="387">
        <f t="shared" si="58"/>
        <v>30.742000000000001</v>
      </c>
      <c r="Z176" s="387">
        <f t="shared" si="59"/>
        <v>30.967464514590564</v>
      </c>
      <c r="AA176" s="388">
        <f t="shared" si="60"/>
        <v>33.151088257494557</v>
      </c>
      <c r="AB176" s="199">
        <f t="shared" si="61"/>
        <v>43627</v>
      </c>
      <c r="AC176" s="426">
        <f>IF(OR(t&lt;Tnet,NoTnet),'2018'!Resal_s+('2018'!Salim-'2018'!Resal_s)*(1-EXP(('2018'!Tnet_s-t)/'2018'!Tau_j)),Resal_s+(Salim-Resal_s)*(1-EXP((Tnet_s-t)/Tau_j)))*Salcycl</f>
        <v>6.5868840441771478E-2</v>
      </c>
      <c r="AD176" s="233">
        <f>(INDEX(Models!$BJ176:$BT176,,AH176)*(1-AF176)+INDEX(Models!$BJ176:$BT176,,AH176+1)*AF176-ERP_i)*AE176*Ramure*Pc/MaxiM</f>
        <v>4.4542839421704321E-5</v>
      </c>
      <c r="AE176" s="307">
        <f t="shared" si="62"/>
        <v>1</v>
      </c>
      <c r="AF176" s="179">
        <f t="shared" si="63"/>
        <v>0.25660762522384895</v>
      </c>
      <c r="AG176" s="178">
        <f t="shared" si="64"/>
        <v>-2</v>
      </c>
      <c r="AH176" s="178">
        <f t="shared" si="65"/>
        <v>4</v>
      </c>
      <c r="AI176" s="227">
        <f t="shared" si="66"/>
        <v>-1.7433923747761511</v>
      </c>
      <c r="AJ176" s="267" t="b">
        <f t="shared" si="67"/>
        <v>0</v>
      </c>
      <c r="AK176" s="267" t="b">
        <f t="shared" si="68"/>
        <v>0</v>
      </c>
      <c r="AL176" s="267"/>
      <c r="AM176" s="267"/>
      <c r="AN176" s="75"/>
    </row>
    <row r="177" spans="1:40" s="6" customFormat="1" ht="11.25" customHeight="1" x14ac:dyDescent="0.2">
      <c r="A177" s="56">
        <f t="shared" si="72"/>
        <v>43628</v>
      </c>
      <c r="B177" s="618">
        <v>56.485999999999997</v>
      </c>
      <c r="C177" s="392"/>
      <c r="D177" s="395">
        <f t="shared" si="48"/>
        <v>56.901597443698627</v>
      </c>
      <c r="E177" s="387">
        <f t="shared" si="73"/>
        <v>60.930059789476267</v>
      </c>
      <c r="F177" s="387">
        <f t="shared" si="49"/>
        <v>60.932539305572888</v>
      </c>
      <c r="G177" s="110">
        <f t="shared" si="74"/>
        <v>0.93716705044589588</v>
      </c>
      <c r="H177" s="414" t="b">
        <f>Wh_hp&gt;='2018'!Maxi_hp</f>
        <v>1</v>
      </c>
      <c r="I177" s="392">
        <f>IF(H177,Wh_hp,'2018'!Maxi_hp)</f>
        <v>60.932539305572888</v>
      </c>
      <c r="J177" s="85">
        <f>IF(H177,An,'2018'!An_max)</f>
        <v>2019</v>
      </c>
      <c r="K177" s="199">
        <f t="shared" si="50"/>
        <v>43628</v>
      </c>
      <c r="L177" s="147">
        <f>IF(t&lt;Tvie,1-EXP((T0-t)*PertePVj)+'2018'!Pspv,1-EXP((T0-t)*PertePVj)+Pspv)</f>
        <v>7.3037922021406132E-3</v>
      </c>
      <c r="M177" s="870"/>
      <c r="N177" s="870"/>
      <c r="O177" s="48">
        <f>IF(t&lt;Tnet,'2018'!Resal+('2018'!Salim-'2018'!Resal)*(1-EXP(('2018'!Tnet-t)/('2018'!Tau_j))),Resal+(Salim-Resal)*(1-EXP((Tnet-t)/(Tau_j))))*Salcycl</f>
        <v>6.6116172537769802E-2</v>
      </c>
      <c r="P177" s="171">
        <f>(INDEX(Models!$BJ177:$BT177,,T177)*(1-R177)+INDEX(Models!$BJ177:$BT177,,T177+1)*R177-ERP_i)*Q177*Ramure*Pc/MaxiM</f>
        <v>4.4705383239666997E-5</v>
      </c>
      <c r="Q177" s="307">
        <f t="shared" si="51"/>
        <v>1</v>
      </c>
      <c r="R177" s="179">
        <f t="shared" si="52"/>
        <v>0.26380470972587711</v>
      </c>
      <c r="S177" s="837">
        <f t="shared" si="53"/>
        <v>-2</v>
      </c>
      <c r="T177" s="178">
        <f t="shared" si="54"/>
        <v>4</v>
      </c>
      <c r="U177" s="253">
        <f t="shared" si="55"/>
        <v>-1.7361952902741229</v>
      </c>
      <c r="V177" s="385">
        <f t="shared" si="56"/>
        <v>60.272897248736626</v>
      </c>
      <c r="W177" s="58"/>
      <c r="X177" s="157">
        <f t="shared" si="57"/>
        <v>43628</v>
      </c>
      <c r="Y177" s="387">
        <f t="shared" si="58"/>
        <v>56.485999999999997</v>
      </c>
      <c r="Z177" s="387">
        <f t="shared" si="59"/>
        <v>56.901597443698627</v>
      </c>
      <c r="AA177" s="388">
        <f t="shared" si="60"/>
        <v>60.930059789476267</v>
      </c>
      <c r="AB177" s="199">
        <f t="shared" si="61"/>
        <v>43628</v>
      </c>
      <c r="AC177" s="426">
        <f>IF(OR(t&lt;Tnet,NoTnet),'2018'!Resal_s+('2018'!Salim-'2018'!Resal_s)*(1-EXP(('2018'!Tnet_s-t)/'2018'!Tau_j)),Resal_s+(Salim-Resal_s)*(1-EXP((Tnet_s-t)/Tau_j)))*Salcycl</f>
        <v>6.6116172537769802E-2</v>
      </c>
      <c r="AD177" s="233">
        <f>(INDEX(Models!$BJ177:$BT177,,AH177)*(1-AF177)+INDEX(Models!$BJ177:$BT177,,AH177+1)*AF177-ERP_i)*AE177*Ramure*Pc/MaxiM</f>
        <v>4.4705383239666997E-5</v>
      </c>
      <c r="AE177" s="307">
        <f t="shared" si="62"/>
        <v>1</v>
      </c>
      <c r="AF177" s="179">
        <f t="shared" si="63"/>
        <v>0.26380470972587711</v>
      </c>
      <c r="AG177" s="178">
        <f t="shared" si="64"/>
        <v>-2</v>
      </c>
      <c r="AH177" s="178">
        <f t="shared" si="65"/>
        <v>4</v>
      </c>
      <c r="AI177" s="227">
        <f t="shared" si="66"/>
        <v>-1.7361952902741229</v>
      </c>
      <c r="AJ177" s="267" t="b">
        <f t="shared" si="67"/>
        <v>0</v>
      </c>
      <c r="AK177" s="267" t="b">
        <f t="shared" si="68"/>
        <v>0</v>
      </c>
      <c r="AL177" s="267"/>
      <c r="AM177" s="267"/>
      <c r="AN177" s="75"/>
    </row>
    <row r="178" spans="1:40" s="6" customFormat="1" ht="11.25" customHeight="1" x14ac:dyDescent="0.2">
      <c r="A178" s="56">
        <f t="shared" si="72"/>
        <v>43629</v>
      </c>
      <c r="B178" s="618">
        <v>58.921999999999997</v>
      </c>
      <c r="C178" s="392"/>
      <c r="D178" s="395">
        <f t="shared" si="48"/>
        <v>59.356901708773862</v>
      </c>
      <c r="E178" s="387">
        <f t="shared" si="73"/>
        <v>63.575921916697887</v>
      </c>
      <c r="F178" s="387">
        <f t="shared" si="49"/>
        <v>63.578698622220735</v>
      </c>
      <c r="G178" s="110">
        <f t="shared" si="74"/>
        <v>0.97824704624234837</v>
      </c>
      <c r="H178" s="414" t="b">
        <f>Wh_hp&gt;='2018'!Maxi_hp</f>
        <v>1</v>
      </c>
      <c r="I178" s="392">
        <f>IF(H178,Wh_hp,'2018'!Maxi_hp)</f>
        <v>63.578698622220735</v>
      </c>
      <c r="J178" s="85">
        <f>IF(H178,An,'2018'!An_max)</f>
        <v>2019</v>
      </c>
      <c r="K178" s="199">
        <f t="shared" si="50"/>
        <v>43629</v>
      </c>
      <c r="L178" s="147">
        <f>IF(t&lt;Tvie,1-EXP((T0-t)*PertePVj)+'2018'!Pspv,1-EXP((T0-t)*PertePVj)+Pspv)</f>
        <v>7.3268936931318862E-3</v>
      </c>
      <c r="M178" s="870"/>
      <c r="N178" s="870"/>
      <c r="O178" s="48">
        <f>IF(t&lt;Tnet,'2018'!Resal+('2018'!Salim-'2018'!Resal)*(1-EXP(('2018'!Tnet-t)/('2018'!Tau_j))),Resal+(Salim-Resal)*(1-EXP((Tnet-t)/(Tau_j))))*Salcycl</f>
        <v>6.6361919430002372E-2</v>
      </c>
      <c r="P178" s="171">
        <f>(INDEX(Models!$BJ178:$BT178,,T178)*(1-R178)+INDEX(Models!$BJ178:$BT178,,T178+1)*R178-ERP_i)*Q178*Ramure*Pc/MaxiM</f>
        <v>4.5074139186772136E-5</v>
      </c>
      <c r="Q178" s="307">
        <f t="shared" si="51"/>
        <v>1</v>
      </c>
      <c r="R178" s="179">
        <f t="shared" si="52"/>
        <v>0.27098965806045028</v>
      </c>
      <c r="S178" s="837">
        <f t="shared" si="53"/>
        <v>-2</v>
      </c>
      <c r="T178" s="178">
        <f t="shared" si="54"/>
        <v>4</v>
      </c>
      <c r="U178" s="253">
        <f t="shared" si="55"/>
        <v>-1.7290103419395497</v>
      </c>
      <c r="V178" s="385">
        <f t="shared" si="56"/>
        <v>60.23214452361848</v>
      </c>
      <c r="W178" s="58"/>
      <c r="X178" s="157">
        <f t="shared" si="57"/>
        <v>43629</v>
      </c>
      <c r="Y178" s="387">
        <f t="shared" si="58"/>
        <v>58.921999999999997</v>
      </c>
      <c r="Z178" s="387">
        <f t="shared" si="59"/>
        <v>59.356901708773862</v>
      </c>
      <c r="AA178" s="388">
        <f t="shared" si="60"/>
        <v>63.575921916697887</v>
      </c>
      <c r="AB178" s="199">
        <f t="shared" si="61"/>
        <v>43629</v>
      </c>
      <c r="AC178" s="426">
        <f>IF(OR(t&lt;Tnet,NoTnet),'2018'!Resal_s+('2018'!Salim-'2018'!Resal_s)*(1-EXP(('2018'!Tnet_s-t)/'2018'!Tau_j)),Resal_s+(Salim-Resal_s)*(1-EXP((Tnet_s-t)/Tau_j)))*Salcycl</f>
        <v>6.6361919430002372E-2</v>
      </c>
      <c r="AD178" s="233">
        <f>(INDEX(Models!$BJ178:$BT178,,AH178)*(1-AF178)+INDEX(Models!$BJ178:$BT178,,AH178+1)*AF178-ERP_i)*AE178*Ramure*Pc/MaxiM</f>
        <v>4.5074139186772136E-5</v>
      </c>
      <c r="AE178" s="307">
        <f t="shared" si="62"/>
        <v>1</v>
      </c>
      <c r="AF178" s="179">
        <f t="shared" si="63"/>
        <v>0.27098965806045028</v>
      </c>
      <c r="AG178" s="178">
        <f t="shared" si="64"/>
        <v>-2</v>
      </c>
      <c r="AH178" s="178">
        <f t="shared" si="65"/>
        <v>4</v>
      </c>
      <c r="AI178" s="227">
        <f t="shared" si="66"/>
        <v>-1.7290103419395497</v>
      </c>
      <c r="AJ178" s="267" t="b">
        <f t="shared" si="67"/>
        <v>0</v>
      </c>
      <c r="AK178" s="267" t="b">
        <f t="shared" si="68"/>
        <v>0</v>
      </c>
      <c r="AL178" s="267"/>
      <c r="AM178" s="267"/>
      <c r="AN178" s="75"/>
    </row>
    <row r="179" spans="1:40" s="6" customFormat="1" ht="11.25" x14ac:dyDescent="0.2">
      <c r="A179" s="56">
        <f t="shared" si="72"/>
        <v>43630</v>
      </c>
      <c r="B179" s="618">
        <v>27.216000000000001</v>
      </c>
      <c r="C179" s="392"/>
      <c r="D179" s="395">
        <f t="shared" si="48"/>
        <v>27.417518615041356</v>
      </c>
      <c r="E179" s="387">
        <f t="shared" si="73"/>
        <v>29.374003571195036</v>
      </c>
      <c r="F179" s="387">
        <f t="shared" si="49"/>
        <v>29.374293901651601</v>
      </c>
      <c r="G179" s="110">
        <f t="shared" si="74"/>
        <v>0.45217058590989873</v>
      </c>
      <c r="H179" s="414" t="b">
        <f>Wh_hp&gt;='2018'!Maxi_hp</f>
        <v>1</v>
      </c>
      <c r="I179" s="392">
        <f>IF(H179,Wh_hp,'2018'!Maxi_hp)</f>
        <v>29.374293901651601</v>
      </c>
      <c r="J179" s="85">
        <f>IF(H179,An,'2018'!An_max)</f>
        <v>2019</v>
      </c>
      <c r="K179" s="199">
        <f t="shared" si="50"/>
        <v>43630</v>
      </c>
      <c r="L179" s="147">
        <f>IF(t&lt;Tvie,1-EXP((T0-t)*PertePVj)+'2018'!Pspv,1-EXP((T0-t)*PertePVj)+Pspv)</f>
        <v>7.3499946465177546E-3</v>
      </c>
      <c r="M179" s="870"/>
      <c r="N179" s="870"/>
      <c r="O179" s="48">
        <f>IF(t&lt;Tnet,'2018'!Resal+('2018'!Salim-'2018'!Resal)*(1-EXP(('2018'!Tnet-t)/('2018'!Tau_j))),Resal+(Salim-Resal)*(1-EXP((Tnet-t)/(Tau_j))))*Salcycl</f>
        <v>6.660600252912964E-2</v>
      </c>
      <c r="P179" s="171">
        <f>(INDEX(Models!$BJ179:$BT179,,T179)*(1-R179)+INDEX(Models!$BJ179:$BT179,,T179+1)*R179-ERP_i)*Q179*Ramure*Pc/MaxiM</f>
        <v>4.54617946160653E-5</v>
      </c>
      <c r="Q179" s="307">
        <f t="shared" si="51"/>
        <v>1</v>
      </c>
      <c r="R179" s="179">
        <f t="shared" si="52"/>
        <v>0.27815645324540661</v>
      </c>
      <c r="S179" s="837">
        <f t="shared" si="53"/>
        <v>-2</v>
      </c>
      <c r="T179" s="178">
        <f t="shared" si="54"/>
        <v>4</v>
      </c>
      <c r="U179" s="253">
        <f t="shared" si="55"/>
        <v>-1.7218435467545934</v>
      </c>
      <c r="V179" s="385">
        <f t="shared" si="56"/>
        <v>60.187532202508073</v>
      </c>
      <c r="W179" s="58"/>
      <c r="X179" s="157">
        <f t="shared" si="57"/>
        <v>43630</v>
      </c>
      <c r="Y179" s="387">
        <f t="shared" si="58"/>
        <v>27.216000000000001</v>
      </c>
      <c r="Z179" s="387">
        <f t="shared" si="59"/>
        <v>27.417518615041356</v>
      </c>
      <c r="AA179" s="388">
        <f t="shared" si="60"/>
        <v>29.374003571195036</v>
      </c>
      <c r="AB179" s="199">
        <f t="shared" si="61"/>
        <v>43630</v>
      </c>
      <c r="AC179" s="426">
        <f>IF(OR(t&lt;Tnet,NoTnet),'2018'!Resal_s+('2018'!Salim-'2018'!Resal_s)*(1-EXP(('2018'!Tnet_s-t)/'2018'!Tau_j)),Resal_s+(Salim-Resal_s)*(1-EXP((Tnet_s-t)/Tau_j)))*Salcycl</f>
        <v>6.660600252912964E-2</v>
      </c>
      <c r="AD179" s="233">
        <f>(INDEX(Models!$BJ179:$BT179,,AH179)*(1-AF179)+INDEX(Models!$BJ179:$BT179,,AH179+1)*AF179-ERP_i)*AE179*Ramure*Pc/MaxiM</f>
        <v>4.54617946160653E-5</v>
      </c>
      <c r="AE179" s="307">
        <f t="shared" si="62"/>
        <v>1</v>
      </c>
      <c r="AF179" s="179">
        <f t="shared" si="63"/>
        <v>0.27815645324540661</v>
      </c>
      <c r="AG179" s="178">
        <f t="shared" si="64"/>
        <v>-2</v>
      </c>
      <c r="AH179" s="178">
        <f t="shared" si="65"/>
        <v>4</v>
      </c>
      <c r="AI179" s="227">
        <f t="shared" si="66"/>
        <v>-1.7218435467545934</v>
      </c>
      <c r="AJ179" s="267" t="b">
        <f t="shared" si="67"/>
        <v>0</v>
      </c>
      <c r="AK179" s="267" t="b">
        <f t="shared" si="68"/>
        <v>0</v>
      </c>
      <c r="AL179" s="267"/>
      <c r="AM179" s="267"/>
      <c r="AN179" s="75"/>
    </row>
    <row r="180" spans="1:40" s="6" customFormat="1" ht="11.25" customHeight="1" x14ac:dyDescent="0.2">
      <c r="A180" s="56">
        <f t="shared" si="72"/>
        <v>43631</v>
      </c>
      <c r="B180" s="618">
        <v>19.905999999999999</v>
      </c>
      <c r="C180" s="392"/>
      <c r="D180" s="395">
        <f t="shared" si="48"/>
        <v>20.053859008838337</v>
      </c>
      <c r="E180" s="387">
        <f t="shared" si="73"/>
        <v>21.490460816169421</v>
      </c>
      <c r="F180" s="387">
        <f t="shared" si="49"/>
        <v>21.490504469438008</v>
      </c>
      <c r="G180" s="110">
        <f t="shared" si="74"/>
        <v>0.33098381188912024</v>
      </c>
      <c r="H180" s="414" t="b">
        <f>Wh_hp&gt;='2018'!Maxi_hp</f>
        <v>1</v>
      </c>
      <c r="I180" s="392">
        <f>IF(H180,Wh_hp,'2018'!Maxi_hp)</f>
        <v>21.490504469438008</v>
      </c>
      <c r="J180" s="85">
        <f>IF(H180,An,'2018'!An_max)</f>
        <v>2019</v>
      </c>
      <c r="K180" s="199">
        <f t="shared" si="50"/>
        <v>43631</v>
      </c>
      <c r="L180" s="147">
        <f>IF(t&lt;Tvie,1-EXP((T0-t)*PertePVj)+'2018'!Pspv,1-EXP((T0-t)*PertePVj)+Pspv)</f>
        <v>7.3730950623106528E-3</v>
      </c>
      <c r="M180" s="870"/>
      <c r="N180" s="870"/>
      <c r="O180" s="48">
        <f>IF(t&lt;Tnet,'2018'!Resal+('2018'!Salim-'2018'!Resal)*(1-EXP(('2018'!Tnet-t)/('2018'!Tau_j))),Resal+(Salim-Resal)*(1-EXP((Tnet-t)/(Tau_j))))*Salcycl</f>
        <v>6.6848348186660717E-2</v>
      </c>
      <c r="P180" s="171">
        <f>(INDEX(Models!$BJ180:$BT180,,T180)*(1-R180)+INDEX(Models!$BJ180:$BT180,,T180+1)*R180-ERP_i)*Q180*Ramure*Pc/MaxiM</f>
        <v>4.5870133589782993E-5</v>
      </c>
      <c r="Q180" s="307">
        <f t="shared" si="51"/>
        <v>1</v>
      </c>
      <c r="R180" s="179">
        <f t="shared" si="52"/>
        <v>0.2852991392114026</v>
      </c>
      <c r="S180" s="837">
        <f t="shared" si="53"/>
        <v>-2</v>
      </c>
      <c r="T180" s="178">
        <f t="shared" si="54"/>
        <v>4</v>
      </c>
      <c r="U180" s="253">
        <f t="shared" si="55"/>
        <v>-1.7147008607885974</v>
      </c>
      <c r="V180" s="385">
        <f t="shared" si="56"/>
        <v>60.1392775931592</v>
      </c>
      <c r="W180" s="58"/>
      <c r="X180" s="157">
        <f t="shared" si="57"/>
        <v>43631</v>
      </c>
      <c r="Y180" s="387">
        <f t="shared" si="58"/>
        <v>19.905999999999999</v>
      </c>
      <c r="Z180" s="387">
        <f t="shared" si="59"/>
        <v>20.053859008838337</v>
      </c>
      <c r="AA180" s="388">
        <f t="shared" si="60"/>
        <v>21.490460816169421</v>
      </c>
      <c r="AB180" s="199">
        <f t="shared" si="61"/>
        <v>43631</v>
      </c>
      <c r="AC180" s="426">
        <f>IF(OR(t&lt;Tnet,NoTnet),'2018'!Resal_s+('2018'!Salim-'2018'!Resal_s)*(1-EXP(('2018'!Tnet_s-t)/'2018'!Tau_j)),Resal_s+(Salim-Resal_s)*(1-EXP((Tnet_s-t)/Tau_j)))*Salcycl</f>
        <v>6.6848348186660717E-2</v>
      </c>
      <c r="AD180" s="233">
        <f>(INDEX(Models!$BJ180:$BT180,,AH180)*(1-AF180)+INDEX(Models!$BJ180:$BT180,,AH180+1)*AF180-ERP_i)*AE180*Ramure*Pc/MaxiM</f>
        <v>4.5870133589782993E-5</v>
      </c>
      <c r="AE180" s="307">
        <f t="shared" si="62"/>
        <v>1</v>
      </c>
      <c r="AF180" s="179">
        <f t="shared" si="63"/>
        <v>0.2852991392114026</v>
      </c>
      <c r="AG180" s="178">
        <f t="shared" si="64"/>
        <v>-2</v>
      </c>
      <c r="AH180" s="178">
        <f t="shared" si="65"/>
        <v>4</v>
      </c>
      <c r="AI180" s="227">
        <f t="shared" si="66"/>
        <v>-1.7147008607885974</v>
      </c>
      <c r="AJ180" s="267" t="b">
        <f t="shared" si="67"/>
        <v>0</v>
      </c>
      <c r="AK180" s="267" t="b">
        <f t="shared" si="68"/>
        <v>0</v>
      </c>
      <c r="AL180" s="267"/>
      <c r="AM180" s="267"/>
      <c r="AN180" s="75"/>
    </row>
    <row r="181" spans="1:40" s="6" customFormat="1" ht="11.25" x14ac:dyDescent="0.2">
      <c r="A181" s="56">
        <f t="shared" si="72"/>
        <v>43632</v>
      </c>
      <c r="B181" s="618">
        <v>60.323999999999998</v>
      </c>
      <c r="C181" s="392"/>
      <c r="D181" s="395">
        <f t="shared" si="48"/>
        <v>60.773492598474753</v>
      </c>
      <c r="E181" s="387">
        <f t="shared" si="73"/>
        <v>65.143926162950038</v>
      </c>
      <c r="F181" s="387">
        <f t="shared" si="49"/>
        <v>65.146942528286331</v>
      </c>
      <c r="G181" s="110">
        <f t="shared" si="74"/>
        <v>1.0039342998885412</v>
      </c>
      <c r="H181" s="414" t="b">
        <f>Wh_hp&gt;='2018'!Maxi_hp</f>
        <v>1</v>
      </c>
      <c r="I181" s="392">
        <f>IF(H181,Wh_hp,'2018'!Maxi_hp)</f>
        <v>65.146942528286331</v>
      </c>
      <c r="J181" s="85">
        <f>IF(H181,An,'2018'!An_max)</f>
        <v>2019</v>
      </c>
      <c r="K181" s="199">
        <f t="shared" si="50"/>
        <v>43632</v>
      </c>
      <c r="L181" s="147">
        <f>IF(t&lt;Tvie,1-EXP((T0-t)*PertePVj)+'2018'!Pspv,1-EXP((T0-t)*PertePVj)+Pspv)</f>
        <v>7.3961949405231264E-3</v>
      </c>
      <c r="M181" s="870"/>
      <c r="N181" s="870"/>
      <c r="O181" s="48">
        <f>IF(t&lt;Tnet,'2018'!Resal+('2018'!Salim-'2018'!Resal)*(1-EXP(('2018'!Tnet-t)/('2018'!Tau_j))),Resal+(Salim-Resal)*(1-EXP((Tnet-t)/(Tau_j))))*Salcycl</f>
        <v>6.7088887973118946E-2</v>
      </c>
      <c r="P181" s="171">
        <f>(INDEX(Models!$BJ181:$BT181,,T181)*(1-R181)+INDEX(Models!$BJ181:$BT181,,T181+1)*R181-ERP_i)*Q181*Ramure*Pc/MaxiM</f>
        <v>4.6300950117138598E-5</v>
      </c>
      <c r="Q181" s="307">
        <f t="shared" si="51"/>
        <v>1</v>
      </c>
      <c r="R181" s="179">
        <f t="shared" si="52"/>
        <v>0.2924118404297833</v>
      </c>
      <c r="S181" s="837">
        <f t="shared" si="53"/>
        <v>-2</v>
      </c>
      <c r="T181" s="178">
        <f t="shared" si="54"/>
        <v>4</v>
      </c>
      <c r="U181" s="253">
        <f t="shared" si="55"/>
        <v>-1.7075881595702167</v>
      </c>
      <c r="V181" s="385">
        <f t="shared" si="56"/>
        <v>60.087597372355219</v>
      </c>
      <c r="W181" s="58"/>
      <c r="X181" s="157">
        <f t="shared" si="57"/>
        <v>43632</v>
      </c>
      <c r="Y181" s="387">
        <f t="shared" si="58"/>
        <v>60.323999999999991</v>
      </c>
      <c r="Z181" s="387">
        <f t="shared" si="59"/>
        <v>60.773492598474746</v>
      </c>
      <c r="AA181" s="388">
        <f t="shared" si="60"/>
        <v>65.143926162950038</v>
      </c>
      <c r="AB181" s="199">
        <f t="shared" si="61"/>
        <v>43632</v>
      </c>
      <c r="AC181" s="426">
        <f>IF(OR(t&lt;Tnet,NoTnet),'2018'!Resal_s+('2018'!Salim-'2018'!Resal_s)*(1-EXP(('2018'!Tnet_s-t)/'2018'!Tau_j)),Resal_s+(Salim-Resal_s)*(1-EXP((Tnet_s-t)/Tau_j)))*Salcycl</f>
        <v>6.7088887973118946E-2</v>
      </c>
      <c r="AD181" s="233">
        <f>(INDEX(Models!$BJ181:$BT181,,AH181)*(1-AF181)+INDEX(Models!$BJ181:$BT181,,AH181+1)*AF181-ERP_i)*AE181*Ramure*Pc/MaxiM</f>
        <v>4.6300950117138598E-5</v>
      </c>
      <c r="AE181" s="307">
        <f t="shared" si="62"/>
        <v>1</v>
      </c>
      <c r="AF181" s="179">
        <f t="shared" si="63"/>
        <v>0.2924118404297833</v>
      </c>
      <c r="AG181" s="178">
        <f t="shared" si="64"/>
        <v>-2</v>
      </c>
      <c r="AH181" s="178">
        <f t="shared" si="65"/>
        <v>4</v>
      </c>
      <c r="AI181" s="227">
        <f t="shared" si="66"/>
        <v>-1.7075881595702167</v>
      </c>
      <c r="AJ181" s="267" t="b">
        <f t="shared" si="67"/>
        <v>0</v>
      </c>
      <c r="AK181" s="267" t="b">
        <f t="shared" si="68"/>
        <v>0</v>
      </c>
      <c r="AL181" s="267"/>
      <c r="AM181" s="267"/>
      <c r="AN181" s="75"/>
    </row>
    <row r="182" spans="1:40" s="6" customFormat="1" ht="11.25" x14ac:dyDescent="0.2">
      <c r="A182" s="56">
        <f t="shared" si="72"/>
        <v>43633</v>
      </c>
      <c r="B182" s="618">
        <v>59.505000000000003</v>
      </c>
      <c r="C182" s="392"/>
      <c r="D182" s="395">
        <f t="shared" si="48"/>
        <v>59.949785097732835</v>
      </c>
      <c r="E182" s="387">
        <f t="shared" si="73"/>
        <v>64.277427377236791</v>
      </c>
      <c r="F182" s="387">
        <f t="shared" si="49"/>
        <v>64.280395132327001</v>
      </c>
      <c r="G182" s="110">
        <f t="shared" si="74"/>
        <v>0.99120908347981962</v>
      </c>
      <c r="H182" s="414" t="b">
        <f>Wh_hp&gt;='2018'!Maxi_hp</f>
        <v>1</v>
      </c>
      <c r="I182" s="392">
        <f>IF(H182,Wh_hp,'2018'!Maxi_hp)</f>
        <v>64.280395132327001</v>
      </c>
      <c r="J182" s="85">
        <f>IF(H182,An,'2018'!An_max)</f>
        <v>2019</v>
      </c>
      <c r="K182" s="199">
        <f t="shared" si="50"/>
        <v>43633</v>
      </c>
      <c r="L182" s="147">
        <f>IF(t&lt;Tvie,1-EXP((T0-t)*PertePVj)+'2018'!Pspv,1-EXP((T0-t)*PertePVj)+Pspv)</f>
        <v>7.4192942811676099E-3</v>
      </c>
      <c r="M182" s="870"/>
      <c r="N182" s="870"/>
      <c r="O182" s="48">
        <f>IF(t&lt;Tnet,'2018'!Resal+('2018'!Salim-'2018'!Resal)*(1-EXP(('2018'!Tnet-t)/('2018'!Tau_j))),Resal+(Salim-Resal)*(1-EXP((Tnet-t)/(Tau_j))))*Salcycl</f>
        <v>6.7327558928354819E-2</v>
      </c>
      <c r="P182" s="171">
        <f>(INDEX(Models!$BJ182:$BT182,,T182)*(1-R182)+INDEX(Models!$BJ182:$BT182,,T182+1)*R182-ERP_i)*Q182*Ramure*Pc/MaxiM</f>
        <v>4.6756043972939172E-5</v>
      </c>
      <c r="Q182" s="307">
        <f t="shared" si="51"/>
        <v>1</v>
      </c>
      <c r="R182" s="179">
        <f t="shared" si="52"/>
        <v>0.29948878097130693</v>
      </c>
      <c r="S182" s="837">
        <f t="shared" si="53"/>
        <v>-2</v>
      </c>
      <c r="T182" s="178">
        <f t="shared" si="54"/>
        <v>4</v>
      </c>
      <c r="U182" s="253">
        <f t="shared" si="55"/>
        <v>-1.7005112190286931</v>
      </c>
      <c r="V182" s="385">
        <f t="shared" si="56"/>
        <v>60.032707581169923</v>
      </c>
      <c r="W182" s="58"/>
      <c r="X182" s="157">
        <f t="shared" si="57"/>
        <v>43633</v>
      </c>
      <c r="Y182" s="387">
        <f t="shared" si="58"/>
        <v>59.504999999999995</v>
      </c>
      <c r="Z182" s="387">
        <f t="shared" si="59"/>
        <v>59.949785097732828</v>
      </c>
      <c r="AA182" s="388">
        <f t="shared" si="60"/>
        <v>64.277427377236791</v>
      </c>
      <c r="AB182" s="199">
        <f t="shared" si="61"/>
        <v>43633</v>
      </c>
      <c r="AC182" s="426">
        <f>IF(OR(t&lt;Tnet,NoTnet),'2018'!Resal_s+('2018'!Salim-'2018'!Resal_s)*(1-EXP(('2018'!Tnet_s-t)/'2018'!Tau_j)),Resal_s+(Salim-Resal_s)*(1-EXP((Tnet_s-t)/Tau_j)))*Salcycl</f>
        <v>6.7327558928354819E-2</v>
      </c>
      <c r="AD182" s="233">
        <f>(INDEX(Models!$BJ182:$BT182,,AH182)*(1-AF182)+INDEX(Models!$BJ182:$BT182,,AH182+1)*AF182-ERP_i)*AE182*Ramure*Pc/MaxiM</f>
        <v>4.6756043972939172E-5</v>
      </c>
      <c r="AE182" s="307">
        <f t="shared" si="62"/>
        <v>1</v>
      </c>
      <c r="AF182" s="179">
        <f t="shared" si="63"/>
        <v>0.29948878097130693</v>
      </c>
      <c r="AG182" s="178">
        <f t="shared" si="64"/>
        <v>-2</v>
      </c>
      <c r="AH182" s="178">
        <f t="shared" si="65"/>
        <v>4</v>
      </c>
      <c r="AI182" s="227">
        <f t="shared" si="66"/>
        <v>-1.7005112190286931</v>
      </c>
      <c r="AJ182" s="267" t="b">
        <f t="shared" si="67"/>
        <v>0</v>
      </c>
      <c r="AK182" s="267" t="b">
        <f t="shared" si="68"/>
        <v>0</v>
      </c>
      <c r="AL182" s="267"/>
      <c r="AM182" s="267"/>
      <c r="AN182" s="75"/>
    </row>
    <row r="183" spans="1:40" s="6" customFormat="1" ht="11.25" x14ac:dyDescent="0.2">
      <c r="A183" s="56">
        <f t="shared" si="72"/>
        <v>43634</v>
      </c>
      <c r="B183" s="618">
        <v>57.956000000000003</v>
      </c>
      <c r="C183" s="392"/>
      <c r="D183" s="395">
        <f t="shared" si="48"/>
        <v>58.390565541169451</v>
      </c>
      <c r="E183" s="387">
        <f t="shared" si="73"/>
        <v>62.621546749025754</v>
      </c>
      <c r="F183" s="387">
        <f t="shared" si="49"/>
        <v>62.624362697411456</v>
      </c>
      <c r="G183" s="110">
        <f t="shared" si="74"/>
        <v>0.96633662028932477</v>
      </c>
      <c r="H183" s="414" t="b">
        <f>Wh_hp&gt;='2018'!Maxi_hp</f>
        <v>1</v>
      </c>
      <c r="I183" s="392">
        <f>IF(H183,Wh_hp,'2018'!Maxi_hp)</f>
        <v>62.624362697411456</v>
      </c>
      <c r="J183" s="85">
        <f>IF(H183,An,'2018'!An_max)</f>
        <v>2019</v>
      </c>
      <c r="K183" s="199">
        <f t="shared" si="50"/>
        <v>43634</v>
      </c>
      <c r="L183" s="147">
        <f>IF(t&lt;Tvie,1-EXP((T0-t)*PertePVj)+'2018'!Pspv,1-EXP((T0-t)*PertePVj)+Pspv)</f>
        <v>7.4423930842568708E-3</v>
      </c>
      <c r="M183" s="870"/>
      <c r="N183" s="870"/>
      <c r="O183" s="48">
        <f>IF(t&lt;Tnet,'2018'!Resal+('2018'!Salim-'2018'!Resal)*(1-EXP(('2018'!Tnet-t)/('2018'!Tau_j))),Resal+(Salim-Resal)*(1-EXP((Tnet-t)/(Tau_j))))*Salcycl</f>
        <v>6.7564303782102417E-2</v>
      </c>
      <c r="P183" s="171">
        <f>(INDEX(Models!$BJ183:$BT183,,T183)*(1-R183)+INDEX(Models!$BJ183:$BT183,,T183+1)*R183-ERP_i)*Q183*Ramure*Pc/MaxiM</f>
        <v>4.7237216509608224E-5</v>
      </c>
      <c r="Q183" s="307">
        <f t="shared" si="51"/>
        <v>1</v>
      </c>
      <c r="R183" s="179">
        <f t="shared" si="52"/>
        <v>0.30652430286648791</v>
      </c>
      <c r="S183" s="837">
        <f t="shared" si="53"/>
        <v>-2</v>
      </c>
      <c r="T183" s="178">
        <f t="shared" si="54"/>
        <v>4</v>
      </c>
      <c r="U183" s="253">
        <f t="shared" si="55"/>
        <v>-1.6934756971335121</v>
      </c>
      <c r="V183" s="385">
        <f t="shared" si="56"/>
        <v>59.974823606282307</v>
      </c>
      <c r="W183" s="58"/>
      <c r="X183" s="157">
        <f t="shared" si="57"/>
        <v>43634</v>
      </c>
      <c r="Y183" s="387">
        <f t="shared" si="58"/>
        <v>57.956000000000003</v>
      </c>
      <c r="Z183" s="387">
        <f t="shared" si="59"/>
        <v>58.390565541169451</v>
      </c>
      <c r="AA183" s="388">
        <f t="shared" si="60"/>
        <v>62.621546749025754</v>
      </c>
      <c r="AB183" s="199">
        <f t="shared" si="61"/>
        <v>43634</v>
      </c>
      <c r="AC183" s="426">
        <f>IF(OR(t&lt;Tnet,NoTnet),'2018'!Resal_s+('2018'!Salim-'2018'!Resal_s)*(1-EXP(('2018'!Tnet_s-t)/'2018'!Tau_j)),Resal_s+(Salim-Resal_s)*(1-EXP((Tnet_s-t)/Tau_j)))*Salcycl</f>
        <v>6.7564303782102417E-2</v>
      </c>
      <c r="AD183" s="233">
        <f>(INDEX(Models!$BJ183:$BT183,,AH183)*(1-AF183)+INDEX(Models!$BJ183:$BT183,,AH183+1)*AF183-ERP_i)*AE183*Ramure*Pc/MaxiM</f>
        <v>4.7237216509608224E-5</v>
      </c>
      <c r="AE183" s="307">
        <f t="shared" si="62"/>
        <v>1</v>
      </c>
      <c r="AF183" s="179">
        <f t="shared" si="63"/>
        <v>0.30652430286648791</v>
      </c>
      <c r="AG183" s="178">
        <f t="shared" si="64"/>
        <v>-2</v>
      </c>
      <c r="AH183" s="178">
        <f t="shared" si="65"/>
        <v>4</v>
      </c>
      <c r="AI183" s="227">
        <f t="shared" si="66"/>
        <v>-1.6934756971335121</v>
      </c>
      <c r="AJ183" s="267" t="b">
        <f t="shared" si="67"/>
        <v>0</v>
      </c>
      <c r="AK183" s="267" t="b">
        <f t="shared" si="68"/>
        <v>0</v>
      </c>
      <c r="AL183" s="267"/>
      <c r="AM183" s="267"/>
      <c r="AN183" s="75"/>
    </row>
    <row r="184" spans="1:40" s="6" customFormat="1" ht="11.25" x14ac:dyDescent="0.2">
      <c r="A184" s="56">
        <f t="shared" si="72"/>
        <v>43635</v>
      </c>
      <c r="B184" s="618">
        <v>47.031999999999996</v>
      </c>
      <c r="C184" s="392"/>
      <c r="D184" s="395">
        <f t="shared" si="48"/>
        <v>47.385757966200529</v>
      </c>
      <c r="E184" s="387">
        <f t="shared" si="73"/>
        <v>50.832129103653905</v>
      </c>
      <c r="F184" s="387">
        <f t="shared" si="49"/>
        <v>50.833809957277296</v>
      </c>
      <c r="G184" s="110">
        <f t="shared" si="74"/>
        <v>0.78497819844511751</v>
      </c>
      <c r="H184" s="414" t="b">
        <f>Wh_hp&gt;='2018'!Maxi_hp</f>
        <v>1</v>
      </c>
      <c r="I184" s="392">
        <f>IF(H184,Wh_hp,'2018'!Maxi_hp)</f>
        <v>50.833809957277296</v>
      </c>
      <c r="J184" s="85">
        <f>IF(H184,An,'2018'!An_max)</f>
        <v>2019</v>
      </c>
      <c r="K184" s="199">
        <f t="shared" si="50"/>
        <v>43635</v>
      </c>
      <c r="L184" s="147">
        <f>IF(t&lt;Tvie,1-EXP((T0-t)*PertePVj)+'2018'!Pspv,1-EXP((T0-t)*PertePVj)+Pspv)</f>
        <v>7.4654913498031217E-3</v>
      </c>
      <c r="M184" s="870"/>
      <c r="N184" s="870"/>
      <c r="O184" s="48">
        <f>IF(t&lt;Tnet,'2018'!Resal+('2018'!Salim-'2018'!Resal)*(1-EXP(('2018'!Tnet-t)/('2018'!Tau_j))),Resal+(Salim-Resal)*(1-EXP((Tnet-t)/(Tau_j))))*Salcycl</f>
        <v>6.7799071143090167E-2</v>
      </c>
      <c r="P184" s="171">
        <f>(INDEX(Models!$BJ184:$BT184,,T184)*(1-R184)+INDEX(Models!$BJ184:$BT184,,T184+1)*R184-ERP_i)*Q184*Ramure*Pc/MaxiM</f>
        <v>4.7724650104258389E-5</v>
      </c>
      <c r="Q184" s="307">
        <f t="shared" si="51"/>
        <v>1</v>
      </c>
      <c r="R184" s="179">
        <f t="shared" si="52"/>
        <v>0.31351288364666541</v>
      </c>
      <c r="S184" s="837">
        <f t="shared" si="53"/>
        <v>-2</v>
      </c>
      <c r="T184" s="178">
        <f t="shared" si="54"/>
        <v>4</v>
      </c>
      <c r="U184" s="253">
        <f t="shared" si="55"/>
        <v>-1.6864871163533346</v>
      </c>
      <c r="V184" s="385">
        <f t="shared" si="56"/>
        <v>59.914161474643699</v>
      </c>
      <c r="W184" s="58"/>
      <c r="X184" s="157">
        <f t="shared" si="57"/>
        <v>43635</v>
      </c>
      <c r="Y184" s="387">
        <f t="shared" si="58"/>
        <v>47.031999999999996</v>
      </c>
      <c r="Z184" s="387">
        <f t="shared" si="59"/>
        <v>47.385757966200529</v>
      </c>
      <c r="AA184" s="388">
        <f t="shared" si="60"/>
        <v>50.832129103653905</v>
      </c>
      <c r="AB184" s="199">
        <f t="shared" si="61"/>
        <v>43635</v>
      </c>
      <c r="AC184" s="426">
        <f>IF(OR(t&lt;Tnet,NoTnet),'2018'!Resal_s+('2018'!Salim-'2018'!Resal_s)*(1-EXP(('2018'!Tnet_s-t)/'2018'!Tau_j)),Resal_s+(Salim-Resal_s)*(1-EXP((Tnet_s-t)/Tau_j)))*Salcycl</f>
        <v>6.7799071143090167E-2</v>
      </c>
      <c r="AD184" s="233">
        <f>(INDEX(Models!$BJ184:$BT184,,AH184)*(1-AF184)+INDEX(Models!$BJ184:$BT184,,AH184+1)*AF184-ERP_i)*AE184*Ramure*Pc/MaxiM</f>
        <v>4.7724650104258389E-5</v>
      </c>
      <c r="AE184" s="307">
        <f t="shared" si="62"/>
        <v>1</v>
      </c>
      <c r="AF184" s="179">
        <f t="shared" si="63"/>
        <v>0.31351288364666541</v>
      </c>
      <c r="AG184" s="178">
        <f t="shared" si="64"/>
        <v>-2</v>
      </c>
      <c r="AH184" s="178">
        <f t="shared" si="65"/>
        <v>4</v>
      </c>
      <c r="AI184" s="227">
        <f t="shared" si="66"/>
        <v>-1.6864871163533346</v>
      </c>
      <c r="AJ184" s="267" t="b">
        <f t="shared" si="67"/>
        <v>0</v>
      </c>
      <c r="AK184" s="267" t="b">
        <f t="shared" si="68"/>
        <v>0</v>
      </c>
      <c r="AL184" s="267"/>
      <c r="AM184" s="267"/>
      <c r="AN184" s="75"/>
    </row>
    <row r="185" spans="1:40" s="6" customFormat="1" ht="11.25" x14ac:dyDescent="0.2">
      <c r="A185" s="56">
        <f t="shared" si="72"/>
        <v>43636</v>
      </c>
      <c r="B185" s="618">
        <v>25.588999999999999</v>
      </c>
      <c r="C185" s="392"/>
      <c r="D185" s="395">
        <f t="shared" si="48"/>
        <v>25.782071337823979</v>
      </c>
      <c r="E185" s="387">
        <f t="shared" si="73"/>
        <v>27.664111040390104</v>
      </c>
      <c r="F185" s="387">
        <f t="shared" si="49"/>
        <v>27.664353834891688</v>
      </c>
      <c r="G185" s="110">
        <f t="shared" si="74"/>
        <v>0.42752866872123813</v>
      </c>
      <c r="H185" s="414" t="b">
        <f>Wh_hp&gt;='2018'!Maxi_hp</f>
        <v>1</v>
      </c>
      <c r="I185" s="392">
        <f>IF(H185,Wh_hp,'2018'!Maxi_hp)</f>
        <v>27.664353834891688</v>
      </c>
      <c r="J185" s="85">
        <f>IF(H185,An,'2018'!An_max)</f>
        <v>2019</v>
      </c>
      <c r="K185" s="199">
        <f t="shared" si="50"/>
        <v>43636</v>
      </c>
      <c r="L185" s="147">
        <f>IF(t&lt;Tvie,1-EXP((T0-t)*PertePVj)+'2018'!Pspv,1-EXP((T0-t)*PertePVj)+Pspv)</f>
        <v>7.4885890778190189E-3</v>
      </c>
      <c r="M185" s="870"/>
      <c r="N185" s="870"/>
      <c r="O185" s="48">
        <f>IF(t&lt;Tnet,'2018'!Resal+('2018'!Salim-'2018'!Resal)*(1-EXP(('2018'!Tnet-t)/('2018'!Tau_j))),Resal+(Salim-Resal)*(1-EXP((Tnet-t)/(Tau_j))))*Salcycl</f>
        <v>6.8031815655247851E-2</v>
      </c>
      <c r="P185" s="171">
        <f>(INDEX(Models!$BJ185:$BT185,,T185)*(1-R185)+INDEX(Models!$BJ185:$BT185,,T185+1)*R185-ERP_i)*Q185*Ramure*Pc/MaxiM</f>
        <v>4.8167175610575474E-5</v>
      </c>
      <c r="Q185" s="307">
        <f t="shared" si="51"/>
        <v>1</v>
      </c>
      <c r="R185" s="179">
        <f t="shared" si="52"/>
        <v>0.32044915295458054</v>
      </c>
      <c r="S185" s="837">
        <f t="shared" si="53"/>
        <v>-2</v>
      </c>
      <c r="T185" s="178">
        <f t="shared" si="54"/>
        <v>4</v>
      </c>
      <c r="U185" s="253">
        <f t="shared" si="55"/>
        <v>-1.6795508470454195</v>
      </c>
      <c r="V185" s="385">
        <f t="shared" si="56"/>
        <v>59.850938413365597</v>
      </c>
      <c r="W185" s="58"/>
      <c r="X185" s="157">
        <f t="shared" si="57"/>
        <v>43636</v>
      </c>
      <c r="Y185" s="387">
        <f t="shared" si="58"/>
        <v>25.588999999999999</v>
      </c>
      <c r="Z185" s="387">
        <f t="shared" si="59"/>
        <v>25.782071337823979</v>
      </c>
      <c r="AA185" s="388">
        <f t="shared" si="60"/>
        <v>27.664111040390104</v>
      </c>
      <c r="AB185" s="199">
        <f t="shared" si="61"/>
        <v>43636</v>
      </c>
      <c r="AC185" s="426">
        <f>IF(OR(t&lt;Tnet,NoTnet),'2018'!Resal_s+('2018'!Salim-'2018'!Resal_s)*(1-EXP(('2018'!Tnet_s-t)/'2018'!Tau_j)),Resal_s+(Salim-Resal_s)*(1-EXP((Tnet_s-t)/Tau_j)))*Salcycl</f>
        <v>6.8031815655247851E-2</v>
      </c>
      <c r="AD185" s="233">
        <f>(INDEX(Models!$BJ185:$BT185,,AH185)*(1-AF185)+INDEX(Models!$BJ185:$BT185,,AH185+1)*AF185-ERP_i)*AE185*Ramure*Pc/MaxiM</f>
        <v>4.8167175610575474E-5</v>
      </c>
      <c r="AE185" s="307">
        <f t="shared" si="62"/>
        <v>1</v>
      </c>
      <c r="AF185" s="179">
        <f t="shared" si="63"/>
        <v>0.32044915295458054</v>
      </c>
      <c r="AG185" s="178">
        <f t="shared" si="64"/>
        <v>-2</v>
      </c>
      <c r="AH185" s="178">
        <f t="shared" si="65"/>
        <v>4</v>
      </c>
      <c r="AI185" s="227">
        <f t="shared" si="66"/>
        <v>-1.6795508470454195</v>
      </c>
      <c r="AJ185" s="267" t="b">
        <f t="shared" si="67"/>
        <v>0</v>
      </c>
      <c r="AK185" s="267" t="b">
        <f t="shared" si="68"/>
        <v>0</v>
      </c>
      <c r="AL185" s="267"/>
      <c r="AM185" s="267"/>
      <c r="AN185" s="75"/>
    </row>
    <row r="186" spans="1:40" s="6" customFormat="1" ht="11.25" x14ac:dyDescent="0.2">
      <c r="A186" s="56">
        <f t="shared" si="72"/>
        <v>43637</v>
      </c>
      <c r="B186" s="618">
        <v>9.91</v>
      </c>
      <c r="C186" s="392"/>
      <c r="D186" s="395">
        <f t="shared" si="48"/>
        <v>9.9850042190815618</v>
      </c>
      <c r="E186" s="387">
        <f t="shared" si="73"/>
        <v>10.71654215799226</v>
      </c>
      <c r="F186" s="387">
        <f t="shared" si="49"/>
        <v>10.71654215799226</v>
      </c>
      <c r="G186" s="110">
        <f t="shared" si="74"/>
        <v>0.1657515721466839</v>
      </c>
      <c r="H186" s="414" t="b">
        <f>Wh_hp&gt;='2018'!Maxi_hp</f>
        <v>1</v>
      </c>
      <c r="I186" s="392">
        <f>IF(H186,Wh_hp,'2018'!Maxi_hp)</f>
        <v>10.71654215799226</v>
      </c>
      <c r="J186" s="85">
        <f>IF(H186,An,'2018'!An_max)</f>
        <v>2019</v>
      </c>
      <c r="K186" s="199">
        <f t="shared" si="50"/>
        <v>43637</v>
      </c>
      <c r="L186" s="147">
        <f>IF(t&lt;Tvie,1-EXP((T0-t)*PertePVj)+'2018'!Pspv,1-EXP((T0-t)*PertePVj)+Pspv)</f>
        <v>7.5116862683169972E-3</v>
      </c>
      <c r="M186" s="870"/>
      <c r="N186" s="870"/>
      <c r="O186" s="48">
        <f>IF(t&lt;Tnet,'2018'!Resal+('2018'!Salim-'2018'!Resal)*(1-EXP(('2018'!Tnet-t)/('2018'!Tau_j))),Resal+(Salim-Resal)*(1-EXP((Tnet-t)/(Tau_j))))*Salcycl</f>
        <v>6.8262498119799453E-2</v>
      </c>
      <c r="P186" s="171">
        <f>(INDEX(Models!$BJ186:$BT186,,T186)*(1-R186)+INDEX(Models!$BJ186:$BT186,,T186+1)*R186-ERP_i)*Q186*Ramure*Pc/MaxiM</f>
        <v>4.8565679471614898E-5</v>
      </c>
      <c r="Q186" s="307">
        <f t="shared" si="51"/>
        <v>1</v>
      </c>
      <c r="R186" s="179">
        <f t="shared" si="52"/>
        <v>0.32732790812405788</v>
      </c>
      <c r="S186" s="837">
        <f t="shared" si="53"/>
        <v>-2</v>
      </c>
      <c r="T186" s="178">
        <f t="shared" si="54"/>
        <v>4</v>
      </c>
      <c r="U186" s="253">
        <f t="shared" si="55"/>
        <v>-1.6726720918759421</v>
      </c>
      <c r="V186" s="385">
        <f t="shared" si="56"/>
        <v>59.785367859720111</v>
      </c>
      <c r="W186" s="58"/>
      <c r="X186" s="157">
        <f t="shared" si="57"/>
        <v>43637</v>
      </c>
      <c r="Y186" s="387">
        <f t="shared" si="58"/>
        <v>9.91</v>
      </c>
      <c r="Z186" s="387">
        <f t="shared" si="59"/>
        <v>9.9850042190815618</v>
      </c>
      <c r="AA186" s="388">
        <f t="shared" si="60"/>
        <v>10.71654215799226</v>
      </c>
      <c r="AB186" s="199">
        <f t="shared" si="61"/>
        <v>43637</v>
      </c>
      <c r="AC186" s="426">
        <f>IF(OR(t&lt;Tnet,NoTnet),'2018'!Resal_s+('2018'!Salim-'2018'!Resal_s)*(1-EXP(('2018'!Tnet_s-t)/'2018'!Tau_j)),Resal_s+(Salim-Resal_s)*(1-EXP((Tnet_s-t)/Tau_j)))*Salcycl</f>
        <v>6.8262498119799453E-2</v>
      </c>
      <c r="AD186" s="233">
        <f>(INDEX(Models!$BJ186:$BT186,,AH186)*(1-AF186)+INDEX(Models!$BJ186:$BT186,,AH186+1)*AF186-ERP_i)*AE186*Ramure*Pc/MaxiM</f>
        <v>4.8565679471614898E-5</v>
      </c>
      <c r="AE186" s="307">
        <f t="shared" si="62"/>
        <v>1</v>
      </c>
      <c r="AF186" s="179">
        <f t="shared" si="63"/>
        <v>0.32732790812405788</v>
      </c>
      <c r="AG186" s="178">
        <f t="shared" si="64"/>
        <v>-2</v>
      </c>
      <c r="AH186" s="178">
        <f t="shared" si="65"/>
        <v>4</v>
      </c>
      <c r="AI186" s="227">
        <f t="shared" si="66"/>
        <v>-1.6726720918759421</v>
      </c>
      <c r="AJ186" s="267" t="b">
        <f t="shared" si="67"/>
        <v>0</v>
      </c>
      <c r="AK186" s="267" t="b">
        <f t="shared" si="68"/>
        <v>0</v>
      </c>
      <c r="AL186" s="267"/>
      <c r="AM186" s="267"/>
      <c r="AN186" s="75"/>
    </row>
    <row r="187" spans="1:40" s="6" customFormat="1" ht="11.25" x14ac:dyDescent="0.2">
      <c r="A187" s="56">
        <f t="shared" si="72"/>
        <v>43638</v>
      </c>
      <c r="B187" s="618">
        <v>54.820999999999998</v>
      </c>
      <c r="C187" s="392"/>
      <c r="D187" s="395">
        <f t="shared" si="48"/>
        <v>55.23720031354344</v>
      </c>
      <c r="E187" s="387">
        <f t="shared" si="73"/>
        <v>59.298627698128314</v>
      </c>
      <c r="F187" s="387">
        <f t="shared" si="49"/>
        <v>59.30118894555536</v>
      </c>
      <c r="G187" s="110">
        <f t="shared" si="74"/>
        <v>0.91799784964928044</v>
      </c>
      <c r="H187" s="414" t="b">
        <f>Wh_hp&gt;='2018'!Maxi_hp</f>
        <v>1</v>
      </c>
      <c r="I187" s="392">
        <f>IF(H187,Wh_hp,'2018'!Maxi_hp)</f>
        <v>59.30118894555536</v>
      </c>
      <c r="J187" s="85">
        <f>IF(H187,An,'2018'!An_max)</f>
        <v>2019</v>
      </c>
      <c r="K187" s="199">
        <f t="shared" si="50"/>
        <v>43638</v>
      </c>
      <c r="L187" s="147">
        <f>IF(t&lt;Tvie,1-EXP((T0-t)*PertePVj)+'2018'!Pspv,1-EXP((T0-t)*PertePVj)+Pspv)</f>
        <v>7.5347829213096018E-3</v>
      </c>
      <c r="M187" s="870"/>
      <c r="N187" s="870"/>
      <c r="O187" s="48">
        <f>IF(t&lt;Tnet,'2018'!Resal+('2018'!Salim-'2018'!Resal)*(1-EXP(('2018'!Tnet-t)/('2018'!Tau_j))),Resal+(Salim-Resal)*(1-EXP((Tnet-t)/(Tau_j))))*Salcycl</f>
        <v>6.8491085582290223E-2</v>
      </c>
      <c r="P187" s="171">
        <f>(INDEX(Models!$BJ187:$BT187,,T187)*(1-R187)+INDEX(Models!$BJ187:$BT187,,T187+1)*R187-ERP_i)*Q187*Ramure*Pc/MaxiM</f>
        <v>4.8921021121725877E-5</v>
      </c>
      <c r="Q187" s="307">
        <f t="shared" si="51"/>
        <v>1</v>
      </c>
      <c r="R187" s="179">
        <f t="shared" si="52"/>
        <v>0.3341441286401805</v>
      </c>
      <c r="S187" s="837">
        <f t="shared" si="53"/>
        <v>-2</v>
      </c>
      <c r="T187" s="178">
        <f t="shared" si="54"/>
        <v>4</v>
      </c>
      <c r="U187" s="253">
        <f t="shared" si="55"/>
        <v>-1.6658558713598195</v>
      </c>
      <c r="V187" s="385">
        <f t="shared" si="56"/>
        <v>59.717662578344793</v>
      </c>
      <c r="W187" s="58"/>
      <c r="X187" s="157">
        <f t="shared" si="57"/>
        <v>43638</v>
      </c>
      <c r="Y187" s="387">
        <f t="shared" si="58"/>
        <v>54.820999999999998</v>
      </c>
      <c r="Z187" s="387">
        <f t="shared" si="59"/>
        <v>55.23720031354344</v>
      </c>
      <c r="AA187" s="388">
        <f t="shared" si="60"/>
        <v>59.298627698128314</v>
      </c>
      <c r="AB187" s="199">
        <f t="shared" si="61"/>
        <v>43638</v>
      </c>
      <c r="AC187" s="426">
        <f>IF(OR(t&lt;Tnet,NoTnet),'2018'!Resal_s+('2018'!Salim-'2018'!Resal_s)*(1-EXP(('2018'!Tnet_s-t)/'2018'!Tau_j)),Resal_s+(Salim-Resal_s)*(1-EXP((Tnet_s-t)/Tau_j)))*Salcycl</f>
        <v>6.8491085582290223E-2</v>
      </c>
      <c r="AD187" s="233">
        <f>(INDEX(Models!$BJ187:$BT187,,AH187)*(1-AF187)+INDEX(Models!$BJ187:$BT187,,AH187+1)*AF187-ERP_i)*AE187*Ramure*Pc/MaxiM</f>
        <v>4.8921021121725877E-5</v>
      </c>
      <c r="AE187" s="307">
        <f t="shared" si="62"/>
        <v>1</v>
      </c>
      <c r="AF187" s="179">
        <f t="shared" si="63"/>
        <v>0.3341441286401805</v>
      </c>
      <c r="AG187" s="178">
        <f t="shared" si="64"/>
        <v>-2</v>
      </c>
      <c r="AH187" s="178">
        <f t="shared" si="65"/>
        <v>4</v>
      </c>
      <c r="AI187" s="227">
        <f t="shared" si="66"/>
        <v>-1.6658558713598195</v>
      </c>
      <c r="AJ187" s="267" t="b">
        <f t="shared" si="67"/>
        <v>0</v>
      </c>
      <c r="AK187" s="267" t="b">
        <f t="shared" si="68"/>
        <v>0</v>
      </c>
      <c r="AL187" s="267"/>
      <c r="AM187" s="267"/>
      <c r="AN187" s="75"/>
    </row>
    <row r="188" spans="1:40" s="6" customFormat="1" ht="11.25" x14ac:dyDescent="0.2">
      <c r="A188" s="56">
        <f t="shared" si="72"/>
        <v>43639</v>
      </c>
      <c r="B188" s="618">
        <v>52.204999999999998</v>
      </c>
      <c r="C188" s="392"/>
      <c r="D188" s="395">
        <f t="shared" si="48"/>
        <v>52.602563814334786</v>
      </c>
      <c r="E188" s="387">
        <f t="shared" si="73"/>
        <v>56.484006428448467</v>
      </c>
      <c r="F188" s="387">
        <f t="shared" si="49"/>
        <v>56.486291701136167</v>
      </c>
      <c r="G188" s="110">
        <f t="shared" si="74"/>
        <v>0.87520975454493877</v>
      </c>
      <c r="H188" s="414" t="b">
        <f>Wh_hp&gt;='2018'!Maxi_hp</f>
        <v>1</v>
      </c>
      <c r="I188" s="392">
        <f>IF(H188,Wh_hp,'2018'!Maxi_hp)</f>
        <v>56.486291701136167</v>
      </c>
      <c r="J188" s="85">
        <f>IF(H188,An,'2018'!An_max)</f>
        <v>2019</v>
      </c>
      <c r="K188" s="199">
        <f t="shared" si="50"/>
        <v>43639</v>
      </c>
      <c r="L188" s="147">
        <f>IF(t&lt;Tvie,1-EXP((T0-t)*PertePVj)+'2018'!Pspv,1-EXP((T0-t)*PertePVj)+Pspv)</f>
        <v>7.5578790368093784E-3</v>
      </c>
      <c r="M188" s="870"/>
      <c r="N188" s="870"/>
      <c r="O188" s="48">
        <f>IF(t&lt;Tnet,'2018'!Resal+('2018'!Salim-'2018'!Resal)*(1-EXP(('2018'!Tnet-t)/('2018'!Tau_j))),Resal+(Salim-Resal)*(1-EXP((Tnet-t)/(Tau_j))))*Salcycl</f>
        <v>6.8717551383868813E-2</v>
      </c>
      <c r="P188" s="171">
        <f>(INDEX(Models!$BJ188:$BT188,,T188)*(1-R188)+INDEX(Models!$BJ188:$BT188,,T188+1)*R188-ERP_i)*Q188*Ramure*Pc/MaxiM</f>
        <v>4.923352856840015E-5</v>
      </c>
      <c r="Q188" s="307">
        <f t="shared" si="51"/>
        <v>1</v>
      </c>
      <c r="R188" s="179">
        <f t="shared" si="52"/>
        <v>0.34089298940389123</v>
      </c>
      <c r="S188" s="837">
        <f t="shared" si="53"/>
        <v>-2</v>
      </c>
      <c r="T188" s="178">
        <f t="shared" si="54"/>
        <v>4</v>
      </c>
      <c r="U188" s="253">
        <f t="shared" si="55"/>
        <v>-1.6591070105961088</v>
      </c>
      <c r="V188" s="385">
        <f t="shared" si="56"/>
        <v>59.648034700210388</v>
      </c>
      <c r="W188" s="58"/>
      <c r="X188" s="157">
        <f t="shared" si="57"/>
        <v>43639</v>
      </c>
      <c r="Y188" s="387">
        <f t="shared" si="58"/>
        <v>52.204999999999998</v>
      </c>
      <c r="Z188" s="387">
        <f t="shared" si="59"/>
        <v>52.602563814334786</v>
      </c>
      <c r="AA188" s="388">
        <f t="shared" si="60"/>
        <v>56.484006428448467</v>
      </c>
      <c r="AB188" s="199">
        <f t="shared" si="61"/>
        <v>43639</v>
      </c>
      <c r="AC188" s="426">
        <f>IF(OR(t&lt;Tnet,NoTnet),'2018'!Resal_s+('2018'!Salim-'2018'!Resal_s)*(1-EXP(('2018'!Tnet_s-t)/'2018'!Tau_j)),Resal_s+(Salim-Resal_s)*(1-EXP((Tnet_s-t)/Tau_j)))*Salcycl</f>
        <v>6.8717551383868813E-2</v>
      </c>
      <c r="AD188" s="233">
        <f>(INDEX(Models!$BJ188:$BT188,,AH188)*(1-AF188)+INDEX(Models!$BJ188:$BT188,,AH188+1)*AF188-ERP_i)*AE188*Ramure*Pc/MaxiM</f>
        <v>4.923352856840015E-5</v>
      </c>
      <c r="AE188" s="307">
        <f t="shared" si="62"/>
        <v>1</v>
      </c>
      <c r="AF188" s="179">
        <f t="shared" si="63"/>
        <v>0.34089298940389123</v>
      </c>
      <c r="AG188" s="178">
        <f t="shared" si="64"/>
        <v>-2</v>
      </c>
      <c r="AH188" s="178">
        <f t="shared" si="65"/>
        <v>4</v>
      </c>
      <c r="AI188" s="227">
        <f t="shared" si="66"/>
        <v>-1.6591070105961088</v>
      </c>
      <c r="AJ188" s="267" t="b">
        <f t="shared" si="67"/>
        <v>0</v>
      </c>
      <c r="AK188" s="267" t="b">
        <f t="shared" si="68"/>
        <v>0</v>
      </c>
      <c r="AL188" s="267"/>
      <c r="AM188" s="267"/>
      <c r="AN188" s="75"/>
    </row>
    <row r="189" spans="1:40" s="6" customFormat="1" ht="11.25" x14ac:dyDescent="0.2">
      <c r="A189" s="56">
        <f t="shared" si="72"/>
        <v>43640</v>
      </c>
      <c r="B189" s="618">
        <v>37.631</v>
      </c>
      <c r="C189" s="392"/>
      <c r="D189" s="395">
        <f t="shared" si="48"/>
        <v>37.918458874158425</v>
      </c>
      <c r="E189" s="387">
        <f t="shared" si="73"/>
        <v>40.726199431795351</v>
      </c>
      <c r="F189" s="387">
        <f t="shared" si="49"/>
        <v>40.727154617883109</v>
      </c>
      <c r="G189" s="110">
        <f t="shared" si="74"/>
        <v>0.63162314128947628</v>
      </c>
      <c r="H189" s="414" t="b">
        <f>Wh_hp&gt;='2018'!Maxi_hp</f>
        <v>1</v>
      </c>
      <c r="I189" s="392">
        <f>IF(H189,Wh_hp,'2018'!Maxi_hp)</f>
        <v>40.727154617883109</v>
      </c>
      <c r="J189" s="85">
        <f>IF(H189,An,'2018'!An_max)</f>
        <v>2019</v>
      </c>
      <c r="K189" s="199">
        <f t="shared" si="50"/>
        <v>43640</v>
      </c>
      <c r="L189" s="147">
        <f>IF(t&lt;Tvie,1-EXP((T0-t)*PertePVj)+'2018'!Pspv,1-EXP((T0-t)*PertePVj)+Pspv)</f>
        <v>7.5809746148288726E-3</v>
      </c>
      <c r="M189" s="870"/>
      <c r="N189" s="870"/>
      <c r="O189" s="48">
        <f>IF(t&lt;Tnet,'2018'!Resal+('2018'!Salim-'2018'!Resal)*(1-EXP(('2018'!Tnet-t)/('2018'!Tau_j))),Resal+(Salim-Resal)*(1-EXP((Tnet-t)/(Tau_j))))*Salcycl</f>
        <v>6.8941875176422557E-2</v>
      </c>
      <c r="P189" s="171">
        <f>(INDEX(Models!$BJ189:$BT189,,T189)*(1-R189)+INDEX(Models!$BJ189:$BT189,,T189+1)*R189-ERP_i)*Q189*Ramure*Pc/MaxiM</f>
        <v>4.9503463072694079E-5</v>
      </c>
      <c r="Q189" s="307">
        <f t="shared" si="51"/>
        <v>1</v>
      </c>
      <c r="R189" s="179">
        <f t="shared" si="52"/>
        <v>0.34756987273805073</v>
      </c>
      <c r="S189" s="837">
        <f t="shared" si="53"/>
        <v>-2</v>
      </c>
      <c r="T189" s="178">
        <f t="shared" si="54"/>
        <v>4</v>
      </c>
      <c r="U189" s="253">
        <f t="shared" si="55"/>
        <v>-1.6524301272619493</v>
      </c>
      <c r="V189" s="385">
        <f t="shared" si="56"/>
        <v>59.576695696136206</v>
      </c>
      <c r="W189" s="58"/>
      <c r="X189" s="157">
        <f t="shared" si="57"/>
        <v>43640</v>
      </c>
      <c r="Y189" s="387">
        <f t="shared" si="58"/>
        <v>37.631</v>
      </c>
      <c r="Z189" s="387">
        <f t="shared" si="59"/>
        <v>37.918458874158425</v>
      </c>
      <c r="AA189" s="388">
        <f t="shared" si="60"/>
        <v>40.726199431795351</v>
      </c>
      <c r="AB189" s="199">
        <f t="shared" si="61"/>
        <v>43640</v>
      </c>
      <c r="AC189" s="426">
        <f>IF(OR(t&lt;Tnet,NoTnet),'2018'!Resal_s+('2018'!Salim-'2018'!Resal_s)*(1-EXP(('2018'!Tnet_s-t)/'2018'!Tau_j)),Resal_s+(Salim-Resal_s)*(1-EXP((Tnet_s-t)/Tau_j)))*Salcycl</f>
        <v>6.8941875176422557E-2</v>
      </c>
      <c r="AD189" s="233">
        <f>(INDEX(Models!$BJ189:$BT189,,AH189)*(1-AF189)+INDEX(Models!$BJ189:$BT189,,AH189+1)*AF189-ERP_i)*AE189*Ramure*Pc/MaxiM</f>
        <v>4.9503463072694079E-5</v>
      </c>
      <c r="AE189" s="307">
        <f t="shared" si="62"/>
        <v>1</v>
      </c>
      <c r="AF189" s="179">
        <f t="shared" si="63"/>
        <v>0.34756987273805073</v>
      </c>
      <c r="AG189" s="178">
        <f t="shared" si="64"/>
        <v>-2</v>
      </c>
      <c r="AH189" s="178">
        <f t="shared" si="65"/>
        <v>4</v>
      </c>
      <c r="AI189" s="227">
        <f t="shared" si="66"/>
        <v>-1.6524301272619493</v>
      </c>
      <c r="AJ189" s="267" t="b">
        <f t="shared" si="67"/>
        <v>0</v>
      </c>
      <c r="AK189" s="267" t="b">
        <f t="shared" si="68"/>
        <v>0</v>
      </c>
      <c r="AL189" s="267"/>
      <c r="AM189" s="267"/>
      <c r="AN189" s="75"/>
    </row>
    <row r="190" spans="1:40" s="6" customFormat="1" ht="11.25" x14ac:dyDescent="0.2">
      <c r="A190" s="56">
        <f t="shared" si="72"/>
        <v>43641</v>
      </c>
      <c r="B190" s="618">
        <v>52.283999999999999</v>
      </c>
      <c r="C190" s="392"/>
      <c r="D190" s="395">
        <f t="shared" si="48"/>
        <v>52.684617501246549</v>
      </c>
      <c r="E190" s="387">
        <f t="shared" si="73"/>
        <v>56.599250490351061</v>
      </c>
      <c r="F190" s="387">
        <f t="shared" si="49"/>
        <v>56.601577457265549</v>
      </c>
      <c r="G190" s="110">
        <f t="shared" si="74"/>
        <v>0.87865816580730716</v>
      </c>
      <c r="H190" s="414" t="b">
        <f>Wh_hp&gt;='2018'!Maxi_hp</f>
        <v>1</v>
      </c>
      <c r="I190" s="392">
        <f>IF(H190,Wh_hp,'2018'!Maxi_hp)</f>
        <v>56.601577457265549</v>
      </c>
      <c r="J190" s="85">
        <f>IF(H190,An,'2018'!An_max)</f>
        <v>2019</v>
      </c>
      <c r="K190" s="199">
        <f t="shared" si="50"/>
        <v>43641</v>
      </c>
      <c r="L190" s="147">
        <f>IF(t&lt;Tvie,1-EXP((T0-t)*PertePVj)+'2018'!Pspv,1-EXP((T0-t)*PertePVj)+Pspv)</f>
        <v>7.6040696553804077E-3</v>
      </c>
      <c r="M190" s="870"/>
      <c r="N190" s="870"/>
      <c r="O190" s="48">
        <f>IF(t&lt;Tnet,'2018'!Resal+('2018'!Salim-'2018'!Resal)*(1-EXP(('2018'!Tnet-t)/('2018'!Tau_j))),Resal+(Salim-Resal)*(1-EXP((Tnet-t)/(Tau_j))))*Salcycl</f>
        <v>6.916404290144916E-2</v>
      </c>
      <c r="P190" s="171">
        <f>(INDEX(Models!$BJ190:$BT190,,T190)*(1-R190)+INDEX(Models!$BJ190:$BT190,,T190+1)*R190-ERP_i)*Q190*Ramure*Pc/MaxiM</f>
        <v>4.9731543965536984E-5</v>
      </c>
      <c r="Q190" s="307">
        <f t="shared" si="51"/>
        <v>1</v>
      </c>
      <c r="R190" s="179">
        <f t="shared" si="52"/>
        <v>0.35417037908541671</v>
      </c>
      <c r="S190" s="837">
        <f t="shared" si="53"/>
        <v>-2</v>
      </c>
      <c r="T190" s="178">
        <f t="shared" si="54"/>
        <v>4</v>
      </c>
      <c r="U190" s="253">
        <f t="shared" si="55"/>
        <v>-1.6458296209145833</v>
      </c>
      <c r="V190" s="385">
        <f t="shared" si="56"/>
        <v>59.50385635452529</v>
      </c>
      <c r="W190" s="58"/>
      <c r="X190" s="157">
        <f t="shared" si="57"/>
        <v>43641</v>
      </c>
      <c r="Y190" s="387">
        <f t="shared" si="58"/>
        <v>52.283999999999999</v>
      </c>
      <c r="Z190" s="387">
        <f t="shared" si="59"/>
        <v>52.684617501246549</v>
      </c>
      <c r="AA190" s="388">
        <f t="shared" si="60"/>
        <v>56.599250490351061</v>
      </c>
      <c r="AB190" s="199">
        <f t="shared" si="61"/>
        <v>43641</v>
      </c>
      <c r="AC190" s="426">
        <f>IF(OR(t&lt;Tnet,NoTnet),'2018'!Resal_s+('2018'!Salim-'2018'!Resal_s)*(1-EXP(('2018'!Tnet_s-t)/'2018'!Tau_j)),Resal_s+(Salim-Resal_s)*(1-EXP((Tnet_s-t)/Tau_j)))*Salcycl</f>
        <v>6.916404290144916E-2</v>
      </c>
      <c r="AD190" s="233">
        <f>(INDEX(Models!$BJ190:$BT190,,AH190)*(1-AF190)+INDEX(Models!$BJ190:$BT190,,AH190+1)*AF190-ERP_i)*AE190*Ramure*Pc/MaxiM</f>
        <v>4.9731543965536984E-5</v>
      </c>
      <c r="AE190" s="307">
        <f t="shared" si="62"/>
        <v>1</v>
      </c>
      <c r="AF190" s="179">
        <f t="shared" si="63"/>
        <v>0.35417037908541671</v>
      </c>
      <c r="AG190" s="178">
        <f t="shared" si="64"/>
        <v>-2</v>
      </c>
      <c r="AH190" s="178">
        <f t="shared" si="65"/>
        <v>4</v>
      </c>
      <c r="AI190" s="227">
        <f t="shared" si="66"/>
        <v>-1.6458296209145833</v>
      </c>
      <c r="AJ190" s="267" t="b">
        <f t="shared" si="67"/>
        <v>0</v>
      </c>
      <c r="AK190" s="267" t="b">
        <f t="shared" si="68"/>
        <v>0</v>
      </c>
      <c r="AL190" s="267"/>
      <c r="AM190" s="267"/>
      <c r="AN190" s="75"/>
    </row>
    <row r="191" spans="1:40" s="6" customFormat="1" ht="11.25" x14ac:dyDescent="0.2">
      <c r="A191" s="56">
        <f t="shared" si="72"/>
        <v>43642</v>
      </c>
      <c r="B191" s="618">
        <v>56.491999999999997</v>
      </c>
      <c r="C191" s="392"/>
      <c r="D191" s="395">
        <f t="shared" si="48"/>
        <v>56.926185360661641</v>
      </c>
      <c r="E191" s="387">
        <f t="shared" si="73"/>
        <v>61.170437881284755</v>
      </c>
      <c r="F191" s="387">
        <f t="shared" si="49"/>
        <v>61.173275923851143</v>
      </c>
      <c r="G191" s="110">
        <f t="shared" si="74"/>
        <v>0.95056582013965718</v>
      </c>
      <c r="H191" s="414" t="b">
        <f>Wh_hp&gt;='2018'!Maxi_hp</f>
        <v>1</v>
      </c>
      <c r="I191" s="392">
        <f>IF(H191,Wh_hp,'2018'!Maxi_hp)</f>
        <v>61.173275923851143</v>
      </c>
      <c r="J191" s="85">
        <f>IF(H191,An,'2018'!An_max)</f>
        <v>2019</v>
      </c>
      <c r="K191" s="199">
        <f t="shared" si="50"/>
        <v>43642</v>
      </c>
      <c r="L191" s="147">
        <f>IF(t&lt;Tvie,1-EXP((T0-t)*PertePVj)+'2018'!Pspv,1-EXP((T0-t)*PertePVj)+Pspv)</f>
        <v>7.6271641584767513E-3</v>
      </c>
      <c r="M191" s="870"/>
      <c r="N191" s="870"/>
      <c r="O191" s="48">
        <f>IF(t&lt;Tnet,'2018'!Resal+('2018'!Salim-'2018'!Resal)*(1-EXP(('2018'!Tnet-t)/('2018'!Tau_j))),Resal+(Salim-Resal)*(1-EXP((Tnet-t)/(Tau_j))))*Salcycl</f>
        <v>6.9384046732836213E-2</v>
      </c>
      <c r="P191" s="171">
        <f>(INDEX(Models!$BJ191:$BT191,,T191)*(1-R191)+INDEX(Models!$BJ191:$BT191,,T191+1)*R191-ERP_i)*Q191*Ramure*Pc/MaxiM</f>
        <v>4.9918523065811793E-5</v>
      </c>
      <c r="Q191" s="307">
        <f t="shared" si="51"/>
        <v>1</v>
      </c>
      <c r="R191" s="179">
        <f t="shared" si="52"/>
        <v>0.36069033636258196</v>
      </c>
      <c r="S191" s="837">
        <f t="shared" si="53"/>
        <v>-2</v>
      </c>
      <c r="T191" s="178">
        <f t="shared" si="54"/>
        <v>4</v>
      </c>
      <c r="U191" s="253">
        <f t="shared" si="55"/>
        <v>-1.639309663637418</v>
      </c>
      <c r="V191" s="385">
        <f t="shared" si="56"/>
        <v>59.429657219353267</v>
      </c>
      <c r="W191" s="58"/>
      <c r="X191" s="157">
        <f t="shared" si="57"/>
        <v>43642</v>
      </c>
      <c r="Y191" s="387">
        <f t="shared" si="58"/>
        <v>56.491999999999997</v>
      </c>
      <c r="Z191" s="387">
        <f t="shared" si="59"/>
        <v>56.926185360661641</v>
      </c>
      <c r="AA191" s="388">
        <f t="shared" si="60"/>
        <v>61.170437881284755</v>
      </c>
      <c r="AB191" s="199">
        <f t="shared" si="61"/>
        <v>43642</v>
      </c>
      <c r="AC191" s="426">
        <f>IF(OR(t&lt;Tnet,NoTnet),'2018'!Resal_s+('2018'!Salim-'2018'!Resal_s)*(1-EXP(('2018'!Tnet_s-t)/'2018'!Tau_j)),Resal_s+(Salim-Resal_s)*(1-EXP((Tnet_s-t)/Tau_j)))*Salcycl</f>
        <v>6.9384046732836213E-2</v>
      </c>
      <c r="AD191" s="233">
        <f>(INDEX(Models!$BJ191:$BT191,,AH191)*(1-AF191)+INDEX(Models!$BJ191:$BT191,,AH191+1)*AF191-ERP_i)*AE191*Ramure*Pc/MaxiM</f>
        <v>4.9918523065811793E-5</v>
      </c>
      <c r="AE191" s="307">
        <f t="shared" si="62"/>
        <v>1</v>
      </c>
      <c r="AF191" s="179">
        <f t="shared" si="63"/>
        <v>0.36069033636258196</v>
      </c>
      <c r="AG191" s="178">
        <f t="shared" si="64"/>
        <v>-2</v>
      </c>
      <c r="AH191" s="178">
        <f t="shared" si="65"/>
        <v>4</v>
      </c>
      <c r="AI191" s="227">
        <f t="shared" si="66"/>
        <v>-1.639309663637418</v>
      </c>
      <c r="AJ191" s="267" t="b">
        <f t="shared" si="67"/>
        <v>0</v>
      </c>
      <c r="AK191" s="267" t="b">
        <f t="shared" si="68"/>
        <v>0</v>
      </c>
      <c r="AL191" s="267"/>
      <c r="AM191" s="267"/>
      <c r="AN191" s="75"/>
    </row>
    <row r="192" spans="1:40" s="6" customFormat="1" ht="11.25" customHeight="1" x14ac:dyDescent="0.2">
      <c r="A192" s="56">
        <f t="shared" si="72"/>
        <v>43643</v>
      </c>
      <c r="B192" s="618">
        <v>56.304000000000002</v>
      </c>
      <c r="C192" s="392"/>
      <c r="D192" s="395">
        <f t="shared" si="48"/>
        <v>56.738060810664173</v>
      </c>
      <c r="E192" s="387">
        <f t="shared" si="73"/>
        <v>60.982562082779779</v>
      </c>
      <c r="F192" s="387">
        <f t="shared" si="49"/>
        <v>60.985394415911713</v>
      </c>
      <c r="G192" s="110">
        <f t="shared" si="74"/>
        <v>0.94861060790459306</v>
      </c>
      <c r="H192" s="414" t="b">
        <f>Wh_hp&gt;='2018'!Maxi_hp</f>
        <v>1</v>
      </c>
      <c r="I192" s="392">
        <f>IF(H192,Wh_hp,'2018'!Maxi_hp)</f>
        <v>60.985394415911713</v>
      </c>
      <c r="J192" s="85">
        <f>IF(H192,An,'2018'!An_max)</f>
        <v>2019</v>
      </c>
      <c r="K192" s="199">
        <f t="shared" si="50"/>
        <v>43643</v>
      </c>
      <c r="L192" s="147">
        <f>IF(t&lt;Tvie,1-EXP((T0-t)*PertePVj)+'2018'!Pspv,1-EXP((T0-t)*PertePVj)+Pspv)</f>
        <v>7.650258124130116E-3</v>
      </c>
      <c r="M192" s="870"/>
      <c r="N192" s="870"/>
      <c r="O192" s="48">
        <f>IF(t&lt;Tnet,'2018'!Resal+('2018'!Salim-'2018'!Resal)*(1-EXP(('2018'!Tnet-t)/('2018'!Tau_j))),Resal+(Salim-Resal)*(1-EXP((Tnet-t)/(Tau_j))))*Salcycl</f>
        <v>6.9601884984005449E-2</v>
      </c>
      <c r="P192" s="171">
        <f>(INDEX(Models!$BJ192:$BT192,,T192)*(1-R192)+INDEX(Models!$BJ192:$BT192,,T192+1)*R192-ERP_i)*Q192*Ramure*Pc/MaxiM</f>
        <v>5.0122203035824988E-5</v>
      </c>
      <c r="Q192" s="307">
        <f t="shared" si="51"/>
        <v>1</v>
      </c>
      <c r="R192" s="179">
        <f t="shared" si="52"/>
        <v>0.36712580794738603</v>
      </c>
      <c r="S192" s="837">
        <f t="shared" si="53"/>
        <v>-2</v>
      </c>
      <c r="T192" s="178">
        <f t="shared" si="54"/>
        <v>4</v>
      </c>
      <c r="U192" s="253">
        <f t="shared" si="55"/>
        <v>-1.632874192052614</v>
      </c>
      <c r="V192" s="385">
        <f t="shared" si="56"/>
        <v>59.353956572598527</v>
      </c>
      <c r="W192" s="58"/>
      <c r="X192" s="157">
        <f t="shared" si="57"/>
        <v>43643</v>
      </c>
      <c r="Y192" s="387">
        <f t="shared" si="58"/>
        <v>56.304000000000002</v>
      </c>
      <c r="Z192" s="387">
        <f t="shared" si="59"/>
        <v>56.738060810664173</v>
      </c>
      <c r="AA192" s="388">
        <f t="shared" si="60"/>
        <v>60.982562082779779</v>
      </c>
      <c r="AB192" s="199">
        <f t="shared" si="61"/>
        <v>43643</v>
      </c>
      <c r="AC192" s="426">
        <f>IF(OR(t&lt;Tnet,NoTnet),'2018'!Resal_s+('2018'!Salim-'2018'!Resal_s)*(1-EXP(('2018'!Tnet_s-t)/'2018'!Tau_j)),Resal_s+(Salim-Resal_s)*(1-EXP((Tnet_s-t)/Tau_j)))*Salcycl</f>
        <v>6.9601884984005449E-2</v>
      </c>
      <c r="AD192" s="233">
        <f>(INDEX(Models!$BJ192:$BT192,,AH192)*(1-AF192)+INDEX(Models!$BJ192:$BT192,,AH192+1)*AF192-ERP_i)*AE192*Ramure*Pc/MaxiM</f>
        <v>5.0122203035824988E-5</v>
      </c>
      <c r="AE192" s="307">
        <f t="shared" si="62"/>
        <v>1</v>
      </c>
      <c r="AF192" s="179">
        <f t="shared" si="63"/>
        <v>0.36712580794738603</v>
      </c>
      <c r="AG192" s="178">
        <f t="shared" si="64"/>
        <v>-2</v>
      </c>
      <c r="AH192" s="178">
        <f t="shared" si="65"/>
        <v>4</v>
      </c>
      <c r="AI192" s="227">
        <f t="shared" si="66"/>
        <v>-1.632874192052614</v>
      </c>
      <c r="AJ192" s="267" t="b">
        <f t="shared" si="67"/>
        <v>0</v>
      </c>
      <c r="AK192" s="267" t="b">
        <f t="shared" si="68"/>
        <v>0</v>
      </c>
      <c r="AL192" s="267"/>
      <c r="AM192" s="267"/>
      <c r="AN192" s="75"/>
    </row>
    <row r="193" spans="1:40" s="6" customFormat="1" ht="11.25" x14ac:dyDescent="0.2">
      <c r="A193" s="56">
        <f t="shared" si="72"/>
        <v>43644</v>
      </c>
      <c r="B193" s="618">
        <v>56.225000000000001</v>
      </c>
      <c r="C193" s="392"/>
      <c r="D193" s="395">
        <f t="shared" si="48"/>
        <v>56.659770336668856</v>
      </c>
      <c r="E193" s="387">
        <f t="shared" si="73"/>
        <v>60.912535026231843</v>
      </c>
      <c r="F193" s="387">
        <f t="shared" si="49"/>
        <v>60.915377399741978</v>
      </c>
      <c r="G193" s="110">
        <f t="shared" si="74"/>
        <v>0.9485166813566549</v>
      </c>
      <c r="H193" s="414" t="b">
        <f>Wh_hp&gt;='2018'!Maxi_hp</f>
        <v>1</v>
      </c>
      <c r="I193" s="392">
        <f>IF(H193,Wh_hp,'2018'!Maxi_hp)</f>
        <v>60.915377399741978</v>
      </c>
      <c r="J193" s="85">
        <f>IF(H193,An,'2018'!An_max)</f>
        <v>2019</v>
      </c>
      <c r="K193" s="199">
        <f t="shared" si="50"/>
        <v>43644</v>
      </c>
      <c r="L193" s="147">
        <f>IF(t&lt;Tvie,1-EXP((T0-t)*PertePVj)+'2018'!Pspv,1-EXP((T0-t)*PertePVj)+Pspv)</f>
        <v>7.6733515523532692E-3</v>
      </c>
      <c r="M193" s="870"/>
      <c r="N193" s="870"/>
      <c r="O193" s="48">
        <f>IF(t&lt;Tnet,'2018'!Resal+('2018'!Salim-'2018'!Resal)*(1-EXP(('2018'!Tnet-t)/('2018'!Tau_j))),Resal+(Salim-Resal)*(1-EXP((Tnet-t)/(Tau_j))))*Salcycl</f>
        <v>6.9817561980166226E-2</v>
      </c>
      <c r="P193" s="171">
        <f>(INDEX(Models!$BJ193:$BT193,,T193)*(1-R193)+INDEX(Models!$BJ193:$BT193,,T193+1)*R193-ERP_i)*Q193*Ramure*Pc/MaxiM</f>
        <v>5.0364988989809651E-5</v>
      </c>
      <c r="Q193" s="307">
        <f t="shared" si="51"/>
        <v>1</v>
      </c>
      <c r="R193" s="179">
        <f t="shared" si="52"/>
        <v>0.37347309929054728</v>
      </c>
      <c r="S193" s="837">
        <f t="shared" si="53"/>
        <v>-2</v>
      </c>
      <c r="T193" s="178">
        <f t="shared" si="54"/>
        <v>4</v>
      </c>
      <c r="U193" s="253">
        <f t="shared" si="55"/>
        <v>-1.6265269007094527</v>
      </c>
      <c r="V193" s="385">
        <f t="shared" si="56"/>
        <v>59.276544988207355</v>
      </c>
      <c r="W193" s="58"/>
      <c r="X193" s="157">
        <f t="shared" si="57"/>
        <v>43644</v>
      </c>
      <c r="Y193" s="387">
        <f t="shared" si="58"/>
        <v>56.225000000000001</v>
      </c>
      <c r="Z193" s="387">
        <f t="shared" si="59"/>
        <v>56.659770336668856</v>
      </c>
      <c r="AA193" s="388">
        <f t="shared" si="60"/>
        <v>60.912535026231843</v>
      </c>
      <c r="AB193" s="199">
        <f t="shared" si="61"/>
        <v>43644</v>
      </c>
      <c r="AC193" s="426">
        <f>IF(OR(t&lt;Tnet,NoTnet),'2018'!Resal_s+('2018'!Salim-'2018'!Resal_s)*(1-EXP(('2018'!Tnet_s-t)/'2018'!Tau_j)),Resal_s+(Salim-Resal_s)*(1-EXP((Tnet_s-t)/Tau_j)))*Salcycl</f>
        <v>6.9817561980166226E-2</v>
      </c>
      <c r="AD193" s="233">
        <f>(INDEX(Models!$BJ193:$BT193,,AH193)*(1-AF193)+INDEX(Models!$BJ193:$BT193,,AH193+1)*AF193-ERP_i)*AE193*Ramure*Pc/MaxiM</f>
        <v>5.0364988989809651E-5</v>
      </c>
      <c r="AE193" s="307">
        <f t="shared" si="62"/>
        <v>1</v>
      </c>
      <c r="AF193" s="179">
        <f t="shared" si="63"/>
        <v>0.37347309929054728</v>
      </c>
      <c r="AG193" s="178">
        <f t="shared" si="64"/>
        <v>-2</v>
      </c>
      <c r="AH193" s="178">
        <f t="shared" si="65"/>
        <v>4</v>
      </c>
      <c r="AI193" s="227">
        <f t="shared" si="66"/>
        <v>-1.6265269007094527</v>
      </c>
      <c r="AJ193" s="267" t="b">
        <f t="shared" si="67"/>
        <v>0</v>
      </c>
      <c r="AK193" s="267" t="b">
        <f t="shared" si="68"/>
        <v>0</v>
      </c>
      <c r="AL193" s="267"/>
      <c r="AM193" s="267"/>
      <c r="AN193" s="75"/>
    </row>
    <row r="194" spans="1:40" s="6" customFormat="1" ht="11.25" customHeight="1" x14ac:dyDescent="0.2">
      <c r="A194" s="56">
        <f t="shared" si="72"/>
        <v>43645</v>
      </c>
      <c r="B194" s="618">
        <v>54.15</v>
      </c>
      <c r="C194" s="392"/>
      <c r="D194" s="395">
        <f t="shared" si="48"/>
        <v>54.569994934275087</v>
      </c>
      <c r="E194" s="387">
        <f t="shared" si="73"/>
        <v>58.679375432942955</v>
      </c>
      <c r="F194" s="387">
        <f t="shared" si="49"/>
        <v>58.681985586481595</v>
      </c>
      <c r="G194" s="110">
        <f t="shared" si="74"/>
        <v>0.91473334972652842</v>
      </c>
      <c r="H194" s="414" t="b">
        <f>Wh_hp&gt;='2018'!Maxi_hp</f>
        <v>1</v>
      </c>
      <c r="I194" s="392">
        <f>IF(H194,Wh_hp,'2018'!Maxi_hp)</f>
        <v>58.681985586481595</v>
      </c>
      <c r="J194" s="85">
        <f>IF(H194,An,'2018'!An_max)</f>
        <v>2019</v>
      </c>
      <c r="K194" s="199">
        <f t="shared" si="50"/>
        <v>43645</v>
      </c>
      <c r="L194" s="147">
        <f>IF(t&lt;Tvie,1-EXP((T0-t)*PertePVj)+'2018'!Pspv,1-EXP((T0-t)*PertePVj)+Pspv)</f>
        <v>7.6964444431585344E-3</v>
      </c>
      <c r="M194" s="870"/>
      <c r="N194" s="870"/>
      <c r="O194" s="48">
        <f>IF(t&lt;Tnet,'2018'!Resal+('2018'!Salim-'2018'!Resal)*(1-EXP(('2018'!Tnet-t)/('2018'!Tau_j))),Resal+(Salim-Resal)*(1-EXP((Tnet-t)/(Tau_j))))*Salcycl</f>
        <v>7.0031087896699692E-2</v>
      </c>
      <c r="P194" s="171">
        <f>(INDEX(Models!$BJ194:$BT194,,T194)*(1-R194)+INDEX(Models!$BJ194:$BT194,,T194+1)*R194-ERP_i)*Q194*Ramure*Pc/MaxiM</f>
        <v>5.0648726853949791E-5</v>
      </c>
      <c r="Q194" s="307">
        <f t="shared" si="51"/>
        <v>1</v>
      </c>
      <c r="R194" s="179">
        <f t="shared" si="52"/>
        <v>0.37972876315502857</v>
      </c>
      <c r="S194" s="837">
        <f t="shared" si="53"/>
        <v>-2</v>
      </c>
      <c r="T194" s="178">
        <f t="shared" si="54"/>
        <v>4</v>
      </c>
      <c r="U194" s="253">
        <f t="shared" si="55"/>
        <v>-1.6202712368449714</v>
      </c>
      <c r="V194" s="385">
        <f t="shared" si="56"/>
        <v>59.197214079081895</v>
      </c>
      <c r="W194" s="58"/>
      <c r="X194" s="157">
        <f t="shared" si="57"/>
        <v>43645</v>
      </c>
      <c r="Y194" s="387">
        <f t="shared" si="58"/>
        <v>54.15</v>
      </c>
      <c r="Z194" s="387">
        <f t="shared" si="59"/>
        <v>54.569994934275087</v>
      </c>
      <c r="AA194" s="388">
        <f t="shared" si="60"/>
        <v>58.679375432942955</v>
      </c>
      <c r="AB194" s="199">
        <f t="shared" si="61"/>
        <v>43645</v>
      </c>
      <c r="AC194" s="426">
        <f>IF(OR(t&lt;Tnet,NoTnet),'2018'!Resal_s+('2018'!Salim-'2018'!Resal_s)*(1-EXP(('2018'!Tnet_s-t)/'2018'!Tau_j)),Resal_s+(Salim-Resal_s)*(1-EXP((Tnet_s-t)/Tau_j)))*Salcycl</f>
        <v>7.0031087896699692E-2</v>
      </c>
      <c r="AD194" s="233">
        <f>(INDEX(Models!$BJ194:$BT194,,AH194)*(1-AF194)+INDEX(Models!$BJ194:$BT194,,AH194+1)*AF194-ERP_i)*AE194*Ramure*Pc/MaxiM</f>
        <v>5.0648726853949791E-5</v>
      </c>
      <c r="AE194" s="307">
        <f t="shared" si="62"/>
        <v>1</v>
      </c>
      <c r="AF194" s="179">
        <f t="shared" si="63"/>
        <v>0.37972876315502857</v>
      </c>
      <c r="AG194" s="178">
        <f t="shared" si="64"/>
        <v>-2</v>
      </c>
      <c r="AH194" s="178">
        <f t="shared" si="65"/>
        <v>4</v>
      </c>
      <c r="AI194" s="227">
        <f t="shared" si="66"/>
        <v>-1.6202712368449714</v>
      </c>
      <c r="AJ194" s="267" t="b">
        <f t="shared" si="67"/>
        <v>0</v>
      </c>
      <c r="AK194" s="267" t="b">
        <f t="shared" si="68"/>
        <v>0</v>
      </c>
      <c r="AL194" s="267"/>
      <c r="AM194" s="267"/>
      <c r="AN194" s="75"/>
    </row>
    <row r="195" spans="1:40" s="6" customFormat="1" ht="11.25" customHeight="1" x14ac:dyDescent="0.2">
      <c r="A195" s="56">
        <f t="shared" si="72"/>
        <v>43646</v>
      </c>
      <c r="B195" s="618">
        <v>53.037999999999997</v>
      </c>
      <c r="C195" s="392"/>
      <c r="D195" s="395">
        <f t="shared" si="48"/>
        <v>53.450613981428283</v>
      </c>
      <c r="E195" s="387">
        <f t="shared" si="73"/>
        <v>57.488767500294138</v>
      </c>
      <c r="F195" s="387">
        <f t="shared" si="49"/>
        <v>57.491267700625883</v>
      </c>
      <c r="G195" s="110">
        <f t="shared" si="74"/>
        <v>0.89718219168130386</v>
      </c>
      <c r="H195" s="414" t="b">
        <f>Wh_hp&gt;='2018'!Maxi_hp</f>
        <v>1</v>
      </c>
      <c r="I195" s="392">
        <f>IF(H195,Wh_hp,'2018'!Maxi_hp)</f>
        <v>57.491267700625883</v>
      </c>
      <c r="J195" s="85">
        <f>IF(H195,An,'2018'!An_max)</f>
        <v>2019</v>
      </c>
      <c r="K195" s="199">
        <f t="shared" si="50"/>
        <v>43646</v>
      </c>
      <c r="L195" s="147">
        <f>IF(t&lt;Tvie,1-EXP((T0-t)*PertePVj)+'2018'!Pspv,1-EXP((T0-t)*PertePVj)+Pspv)</f>
        <v>7.7195367965585682E-3</v>
      </c>
      <c r="M195" s="870"/>
      <c r="N195" s="870"/>
      <c r="O195" s="48">
        <f>IF(t&lt;Tnet,'2018'!Resal+('2018'!Salim-'2018'!Resal)*(1-EXP(('2018'!Tnet-t)/('2018'!Tau_j))),Resal+(Salim-Resal)*(1-EXP((Tnet-t)/(Tau_j))))*Salcycl</f>
        <v>7.0242478564968291E-2</v>
      </c>
      <c r="P195" s="171">
        <f>(INDEX(Models!$BJ195:$BT195,,T195)*(1-R195)+INDEX(Models!$BJ195:$BT195,,T195+1)*R195-ERP_i)*Q195*Ramure*Pc/MaxiM</f>
        <v>5.0975234215486834E-5</v>
      </c>
      <c r="Q195" s="307">
        <f t="shared" si="51"/>
        <v>1</v>
      </c>
      <c r="R195" s="179">
        <f t="shared" si="52"/>
        <v>0.38588960349880641</v>
      </c>
      <c r="S195" s="837">
        <f t="shared" si="53"/>
        <v>-2</v>
      </c>
      <c r="T195" s="178">
        <f t="shared" si="54"/>
        <v>4</v>
      </c>
      <c r="U195" s="253">
        <f t="shared" si="55"/>
        <v>-1.6141103965011936</v>
      </c>
      <c r="V195" s="385">
        <f t="shared" si="56"/>
        <v>59.115755289276365</v>
      </c>
      <c r="W195" s="58"/>
      <c r="X195" s="157">
        <f t="shared" si="57"/>
        <v>43646</v>
      </c>
      <c r="Y195" s="387">
        <f t="shared" si="58"/>
        <v>53.037999999999997</v>
      </c>
      <c r="Z195" s="387">
        <f t="shared" si="59"/>
        <v>53.450613981428283</v>
      </c>
      <c r="AA195" s="388">
        <f t="shared" si="60"/>
        <v>57.488767500294138</v>
      </c>
      <c r="AB195" s="199">
        <f t="shared" si="61"/>
        <v>43646</v>
      </c>
      <c r="AC195" s="426">
        <f>IF(OR(t&lt;Tnet,NoTnet),'2018'!Resal_s+('2018'!Salim-'2018'!Resal_s)*(1-EXP(('2018'!Tnet_s-t)/'2018'!Tau_j)),Resal_s+(Salim-Resal_s)*(1-EXP((Tnet_s-t)/Tau_j)))*Salcycl</f>
        <v>7.0242478564968291E-2</v>
      </c>
      <c r="AD195" s="233">
        <f>(INDEX(Models!$BJ195:$BT195,,AH195)*(1-AF195)+INDEX(Models!$BJ195:$BT195,,AH195+1)*AF195-ERP_i)*AE195*Ramure*Pc/MaxiM</f>
        <v>5.0975234215486834E-5</v>
      </c>
      <c r="AE195" s="307">
        <f t="shared" si="62"/>
        <v>1</v>
      </c>
      <c r="AF195" s="179">
        <f t="shared" si="63"/>
        <v>0.38588960349880641</v>
      </c>
      <c r="AG195" s="178">
        <f t="shared" si="64"/>
        <v>-2</v>
      </c>
      <c r="AH195" s="178">
        <f t="shared" si="65"/>
        <v>4</v>
      </c>
      <c r="AI195" s="227">
        <f t="shared" si="66"/>
        <v>-1.6141103965011936</v>
      </c>
      <c r="AJ195" s="267" t="b">
        <f t="shared" si="67"/>
        <v>0</v>
      </c>
      <c r="AK195" s="267" t="b">
        <f t="shared" si="68"/>
        <v>0</v>
      </c>
      <c r="AL195" s="267"/>
      <c r="AM195" s="267"/>
      <c r="AN195" s="75"/>
    </row>
    <row r="196" spans="1:40" s="6" customFormat="1" ht="11.25" customHeight="1" x14ac:dyDescent="0.2">
      <c r="A196" s="56">
        <f t="shared" si="72"/>
        <v>43647</v>
      </c>
      <c r="B196" s="618">
        <v>18.012</v>
      </c>
      <c r="C196" s="392"/>
      <c r="D196" s="395">
        <f t="shared" si="48"/>
        <v>18.152548440949886</v>
      </c>
      <c r="E196" s="387">
        <f t="shared" si="73"/>
        <v>19.528355352632015</v>
      </c>
      <c r="F196" s="387">
        <f t="shared" si="49"/>
        <v>19.528362690819602</v>
      </c>
      <c r="G196" s="110">
        <f t="shared" si="74"/>
        <v>0.30510730031360311</v>
      </c>
      <c r="H196" s="414" t="b">
        <f>Wh_hp&gt;='2018'!Maxi_hp</f>
        <v>1</v>
      </c>
      <c r="I196" s="392">
        <f>IF(H196,Wh_hp,'2018'!Maxi_hp)</f>
        <v>19.528362690819602</v>
      </c>
      <c r="J196" s="85">
        <f>IF(H196,An,'2018'!An_max)</f>
        <v>2019</v>
      </c>
      <c r="K196" s="199">
        <f t="shared" si="50"/>
        <v>43647</v>
      </c>
      <c r="L196" s="147">
        <f>IF(t&lt;Tvie,1-EXP((T0-t)*PertePVj)+'2018'!Pspv,1-EXP((T0-t)*PertePVj)+Pspv)</f>
        <v>7.742628612565805E-3</v>
      </c>
      <c r="M196" s="870"/>
      <c r="N196" s="870"/>
      <c r="O196" s="48">
        <f>IF(t&lt;Tnet,'2018'!Resal+('2018'!Salim-'2018'!Resal)*(1-EXP(('2018'!Tnet-t)/('2018'!Tau_j))),Resal+(Salim-Resal)*(1-EXP((Tnet-t)/(Tau_j))))*Salcycl</f>
        <v>7.0451755247105383E-2</v>
      </c>
      <c r="P196" s="171">
        <f>(INDEX(Models!$BJ196:$BT196,,T196)*(1-R196)+INDEX(Models!$BJ196:$BT196,,T196+1)*R196-ERP_i)*Q196*Ramure*Pc/MaxiM</f>
        <v>5.134630042219355E-5</v>
      </c>
      <c r="Q196" s="307">
        <f t="shared" si="51"/>
        <v>1</v>
      </c>
      <c r="R196" s="179">
        <f t="shared" si="52"/>
        <v>0.39195267802812639</v>
      </c>
      <c r="S196" s="837">
        <f t="shared" si="53"/>
        <v>-2</v>
      </c>
      <c r="T196" s="178">
        <f t="shared" si="54"/>
        <v>4</v>
      </c>
      <c r="U196" s="253">
        <f t="shared" si="55"/>
        <v>-1.6080473219718736</v>
      </c>
      <c r="V196" s="385">
        <f t="shared" si="56"/>
        <v>59.031959903817565</v>
      </c>
      <c r="W196" s="58"/>
      <c r="X196" s="157">
        <f t="shared" si="57"/>
        <v>43647</v>
      </c>
      <c r="Y196" s="387">
        <f t="shared" si="58"/>
        <v>18.012</v>
      </c>
      <c r="Z196" s="387">
        <f t="shared" si="59"/>
        <v>18.152548440949886</v>
      </c>
      <c r="AA196" s="388">
        <f t="shared" si="60"/>
        <v>19.528355352632015</v>
      </c>
      <c r="AB196" s="199">
        <f t="shared" si="61"/>
        <v>43647</v>
      </c>
      <c r="AC196" s="426">
        <f>IF(OR(t&lt;Tnet,NoTnet),'2018'!Resal_s+('2018'!Salim-'2018'!Resal_s)*(1-EXP(('2018'!Tnet_s-t)/'2018'!Tau_j)),Resal_s+(Salim-Resal_s)*(1-EXP((Tnet_s-t)/Tau_j)))*Salcycl</f>
        <v>7.0451755247105383E-2</v>
      </c>
      <c r="AD196" s="233">
        <f>(INDEX(Models!$BJ196:$BT196,,AH196)*(1-AF196)+INDEX(Models!$BJ196:$BT196,,AH196+1)*AF196-ERP_i)*AE196*Ramure*Pc/MaxiM</f>
        <v>5.134630042219355E-5</v>
      </c>
      <c r="AE196" s="307">
        <f t="shared" si="62"/>
        <v>1</v>
      </c>
      <c r="AF196" s="179">
        <f t="shared" si="63"/>
        <v>0.39195267802812639</v>
      </c>
      <c r="AG196" s="178">
        <f t="shared" si="64"/>
        <v>-2</v>
      </c>
      <c r="AH196" s="178">
        <f t="shared" si="65"/>
        <v>4</v>
      </c>
      <c r="AI196" s="227">
        <f t="shared" si="66"/>
        <v>-1.6080473219718736</v>
      </c>
      <c r="AJ196" s="267" t="b">
        <f t="shared" si="67"/>
        <v>0</v>
      </c>
      <c r="AK196" s="267" t="b">
        <f t="shared" si="68"/>
        <v>0</v>
      </c>
      <c r="AL196" s="267"/>
      <c r="AM196" s="267"/>
      <c r="AN196" s="75"/>
    </row>
    <row r="197" spans="1:40" s="6" customFormat="1" ht="11.25" customHeight="1" x14ac:dyDescent="0.2">
      <c r="A197" s="56">
        <f t="shared" si="72"/>
        <v>43648</v>
      </c>
      <c r="B197" s="618">
        <v>29.558</v>
      </c>
      <c r="C197" s="392"/>
      <c r="D197" s="395">
        <f t="shared" si="48"/>
        <v>29.789335636296201</v>
      </c>
      <c r="E197" s="387">
        <f t="shared" si="73"/>
        <v>32.054255492321282</v>
      </c>
      <c r="F197" s="387">
        <f t="shared" si="49"/>
        <v>32.054732995573069</v>
      </c>
      <c r="G197" s="110">
        <f t="shared" si="74"/>
        <v>0.50142675119944502</v>
      </c>
      <c r="H197" s="414" t="b">
        <f>Wh_hp&gt;='2018'!Maxi_hp</f>
        <v>1</v>
      </c>
      <c r="I197" s="392">
        <f>IF(H197,Wh_hp,'2018'!Maxi_hp)</f>
        <v>32.054732995573069</v>
      </c>
      <c r="J197" s="85">
        <f>IF(H197,An,'2018'!An_max)</f>
        <v>2019</v>
      </c>
      <c r="K197" s="199">
        <f t="shared" si="50"/>
        <v>43648</v>
      </c>
      <c r="L197" s="147">
        <f>IF(t&lt;Tvie,1-EXP((T0-t)*PertePVj)+'2018'!Pspv,1-EXP((T0-t)*PertePVj)+Pspv)</f>
        <v>7.7657198911926795E-3</v>
      </c>
      <c r="M197" s="870"/>
      <c r="N197" s="870"/>
      <c r="O197" s="48">
        <f>IF(t&lt;Tnet,'2018'!Resal+('2018'!Salim-'2018'!Resal)*(1-EXP(('2018'!Tnet-t)/('2018'!Tau_j))),Resal+(Salim-Resal)*(1-EXP((Tnet-t)/(Tau_j))))*Salcycl</f>
        <v>7.0658944381586083E-2</v>
      </c>
      <c r="P197" s="171">
        <f>(INDEX(Models!$BJ197:$BT197,,T197)*(1-R197)+INDEX(Models!$BJ197:$BT197,,T197+1)*R197-ERP_i)*Q197*Ramure*Pc/MaxiM</f>
        <v>5.1763687123461772E-5</v>
      </c>
      <c r="Q197" s="307">
        <f t="shared" si="51"/>
        <v>1</v>
      </c>
      <c r="R197" s="179">
        <f t="shared" si="52"/>
        <v>0.39791529945885129</v>
      </c>
      <c r="S197" s="837">
        <f t="shared" si="53"/>
        <v>-2</v>
      </c>
      <c r="T197" s="178">
        <f t="shared" si="54"/>
        <v>4</v>
      </c>
      <c r="U197" s="253">
        <f t="shared" si="55"/>
        <v>-1.6020847005411487</v>
      </c>
      <c r="V197" s="385">
        <f t="shared" si="56"/>
        <v>58.94561906135948</v>
      </c>
      <c r="W197" s="58"/>
      <c r="X197" s="157">
        <f t="shared" si="57"/>
        <v>43648</v>
      </c>
      <c r="Y197" s="387">
        <f t="shared" si="58"/>
        <v>29.558000000000003</v>
      </c>
      <c r="Z197" s="387">
        <f t="shared" si="59"/>
        <v>29.789335636296205</v>
      </c>
      <c r="AA197" s="388">
        <f t="shared" si="60"/>
        <v>32.054255492321282</v>
      </c>
      <c r="AB197" s="199">
        <f t="shared" si="61"/>
        <v>43648</v>
      </c>
      <c r="AC197" s="426">
        <f>IF(OR(t&lt;Tnet,NoTnet),'2018'!Resal_s+('2018'!Salim-'2018'!Resal_s)*(1-EXP(('2018'!Tnet_s-t)/'2018'!Tau_j)),Resal_s+(Salim-Resal_s)*(1-EXP((Tnet_s-t)/Tau_j)))*Salcycl</f>
        <v>7.0658944381586083E-2</v>
      </c>
      <c r="AD197" s="233">
        <f>(INDEX(Models!$BJ197:$BT197,,AH197)*(1-AF197)+INDEX(Models!$BJ197:$BT197,,AH197+1)*AF197-ERP_i)*AE197*Ramure*Pc/MaxiM</f>
        <v>5.1763687123461772E-5</v>
      </c>
      <c r="AE197" s="307">
        <f t="shared" si="62"/>
        <v>1</v>
      </c>
      <c r="AF197" s="179">
        <f t="shared" si="63"/>
        <v>0.39791529945885129</v>
      </c>
      <c r="AG197" s="178">
        <f t="shared" si="64"/>
        <v>-2</v>
      </c>
      <c r="AH197" s="178">
        <f t="shared" si="65"/>
        <v>4</v>
      </c>
      <c r="AI197" s="227">
        <f t="shared" si="66"/>
        <v>-1.6020847005411487</v>
      </c>
      <c r="AJ197" s="267" t="b">
        <f t="shared" si="67"/>
        <v>0</v>
      </c>
      <c r="AK197" s="267" t="b">
        <f t="shared" si="68"/>
        <v>0</v>
      </c>
      <c r="AL197" s="267"/>
      <c r="AM197" s="267"/>
      <c r="AN197" s="75"/>
    </row>
    <row r="198" spans="1:40" s="6" customFormat="1" ht="11.25" customHeight="1" x14ac:dyDescent="0.2">
      <c r="A198" s="56">
        <f t="shared" si="72"/>
        <v>43649</v>
      </c>
      <c r="B198" s="618">
        <v>47.58</v>
      </c>
      <c r="C198" s="392"/>
      <c r="D198" s="395">
        <f t="shared" si="48"/>
        <v>47.953500736398951</v>
      </c>
      <c r="E198" s="387">
        <f t="shared" si="73"/>
        <v>51.610856458044282</v>
      </c>
      <c r="F198" s="387">
        <f t="shared" si="49"/>
        <v>51.612823612045531</v>
      </c>
      <c r="G198" s="110">
        <f t="shared" si="74"/>
        <v>0.80839514994850792</v>
      </c>
      <c r="H198" s="414" t="b">
        <f>Wh_hp&gt;='2018'!Maxi_hp</f>
        <v>1</v>
      </c>
      <c r="I198" s="392">
        <f>IF(H198,Wh_hp,'2018'!Maxi_hp)</f>
        <v>51.612823612045531</v>
      </c>
      <c r="J198" s="85">
        <f>IF(H198,An,'2018'!An_max)</f>
        <v>2019</v>
      </c>
      <c r="K198" s="199">
        <f t="shared" si="50"/>
        <v>43649</v>
      </c>
      <c r="L198" s="147">
        <f>IF(t&lt;Tvie,1-EXP((T0-t)*PertePVj)+'2018'!Pspv,1-EXP((T0-t)*PertePVj)+Pspv)</f>
        <v>7.788810632451848E-3</v>
      </c>
      <c r="M198" s="870"/>
      <c r="N198" s="870"/>
      <c r="O198" s="48">
        <f>IF(t&lt;Tnet,'2018'!Resal+('2018'!Salim-'2018'!Resal)*(1-EXP(('2018'!Tnet-t)/('2018'!Tau_j))),Resal+(Salim-Resal)*(1-EXP((Tnet-t)/(Tau_j))))*Salcycl</f>
        <v>7.0864077301613634E-2</v>
      </c>
      <c r="P198" s="171">
        <f>(INDEX(Models!$BJ198:$BT198,,T198)*(1-R198)+INDEX(Models!$BJ198:$BT198,,T198+1)*R198-ERP_i)*Q198*Ramure*Pc/MaxiM</f>
        <v>5.2476814448272682E-5</v>
      </c>
      <c r="Q198" s="307">
        <f t="shared" si="51"/>
        <v>1</v>
      </c>
      <c r="R198" s="179">
        <f t="shared" si="52"/>
        <v>0.40377503553306626</v>
      </c>
      <c r="S198" s="837">
        <f t="shared" si="53"/>
        <v>-2</v>
      </c>
      <c r="T198" s="178">
        <f t="shared" si="54"/>
        <v>4</v>
      </c>
      <c r="U198" s="253">
        <f t="shared" si="55"/>
        <v>-1.5962249644669337</v>
      </c>
      <c r="V198" s="385">
        <f t="shared" si="56"/>
        <v>58.856509194116427</v>
      </c>
      <c r="W198" s="58"/>
      <c r="X198" s="157">
        <f t="shared" si="57"/>
        <v>43649</v>
      </c>
      <c r="Y198" s="387">
        <f t="shared" si="58"/>
        <v>47.58</v>
      </c>
      <c r="Z198" s="387">
        <f t="shared" si="59"/>
        <v>47.953500736398951</v>
      </c>
      <c r="AA198" s="388">
        <f t="shared" si="60"/>
        <v>51.610856458044282</v>
      </c>
      <c r="AB198" s="199">
        <f t="shared" si="61"/>
        <v>43649</v>
      </c>
      <c r="AC198" s="426">
        <f>IF(OR(t&lt;Tnet,NoTnet),'2018'!Resal_s+('2018'!Salim-'2018'!Resal_s)*(1-EXP(('2018'!Tnet_s-t)/'2018'!Tau_j)),Resal_s+(Salim-Resal_s)*(1-EXP((Tnet_s-t)/Tau_j)))*Salcycl</f>
        <v>7.0864077301613634E-2</v>
      </c>
      <c r="AD198" s="233">
        <f>(INDEX(Models!$BJ198:$BT198,,AH198)*(1-AF198)+INDEX(Models!$BJ198:$BT198,,AH198+1)*AF198-ERP_i)*AE198*Ramure*Pc/MaxiM</f>
        <v>5.2476814448272682E-5</v>
      </c>
      <c r="AE198" s="307">
        <f t="shared" si="62"/>
        <v>1</v>
      </c>
      <c r="AF198" s="179">
        <f t="shared" si="63"/>
        <v>0.40377503553306626</v>
      </c>
      <c r="AG198" s="178">
        <f t="shared" si="64"/>
        <v>-2</v>
      </c>
      <c r="AH198" s="178">
        <f t="shared" si="65"/>
        <v>4</v>
      </c>
      <c r="AI198" s="227">
        <f t="shared" si="66"/>
        <v>-1.5962249644669337</v>
      </c>
      <c r="AJ198" s="267" t="b">
        <f t="shared" si="67"/>
        <v>0</v>
      </c>
      <c r="AK198" s="267" t="b">
        <f t="shared" si="68"/>
        <v>0</v>
      </c>
      <c r="AL198" s="267"/>
      <c r="AM198" s="267"/>
      <c r="AN198" s="75"/>
    </row>
    <row r="199" spans="1:40" s="6" customFormat="1" ht="11.25" customHeight="1" x14ac:dyDescent="0.2">
      <c r="A199" s="56">
        <f t="shared" si="72"/>
        <v>43650</v>
      </c>
      <c r="B199" s="618">
        <v>54.66</v>
      </c>
      <c r="C199" s="392"/>
      <c r="D199" s="395">
        <f t="shared" si="48"/>
        <v>55.090360432739651</v>
      </c>
      <c r="E199" s="387">
        <f t="shared" si="73"/>
        <v>59.305000141510014</v>
      </c>
      <c r="F199" s="387">
        <f t="shared" si="49"/>
        <v>59.307857255602293</v>
      </c>
      <c r="G199" s="110">
        <f t="shared" si="74"/>
        <v>0.93014971288158965</v>
      </c>
      <c r="H199" s="414" t="b">
        <f>Wh_hp&gt;='2018'!Maxi_hp</f>
        <v>1</v>
      </c>
      <c r="I199" s="392">
        <f>IF(H199,Wh_hp,'2018'!Maxi_hp)</f>
        <v>59.307857255602293</v>
      </c>
      <c r="J199" s="85">
        <f>IF(H199,An,'2018'!An_max)</f>
        <v>2019</v>
      </c>
      <c r="K199" s="199">
        <f t="shared" si="50"/>
        <v>43650</v>
      </c>
      <c r="L199" s="147">
        <f>IF(t&lt;Tvie,1-EXP((T0-t)*PertePVj)+'2018'!Pspv,1-EXP((T0-t)*PertePVj)+Pspv)</f>
        <v>7.8119008363556341E-3</v>
      </c>
      <c r="M199" s="870"/>
      <c r="N199" s="870"/>
      <c r="O199" s="48">
        <f>IF(t&lt;Tnet,'2018'!Resal+('2018'!Salim-'2018'!Resal)*(1-EXP(('2018'!Tnet-t)/('2018'!Tau_j))),Resal+(Salim-Resal)*(1-EXP((Tnet-t)/(Tau_j))))*Salcycl</f>
        <v>7.1067189928566657E-2</v>
      </c>
      <c r="P199" s="171">
        <f>(INDEX(Models!$BJ199:$BT199,,T199)*(1-R199)+INDEX(Models!$BJ199:$BT199,,T199+1)*R199-ERP_i)*Q199*Ramure*Pc/MaxiM</f>
        <v>5.3513853312849208E-5</v>
      </c>
      <c r="Q199" s="307">
        <f t="shared" si="51"/>
        <v>1</v>
      </c>
      <c r="R199" s="179">
        <f t="shared" si="52"/>
        <v>0.40952970784660625</v>
      </c>
      <c r="S199" s="837">
        <f t="shared" si="53"/>
        <v>-2</v>
      </c>
      <c r="T199" s="178">
        <f t="shared" si="54"/>
        <v>4</v>
      </c>
      <c r="U199" s="253">
        <f t="shared" si="55"/>
        <v>-1.5904702921533937</v>
      </c>
      <c r="V199" s="385">
        <f t="shared" si="56"/>
        <v>58.764419715012522</v>
      </c>
      <c r="W199" s="58"/>
      <c r="X199" s="157">
        <f t="shared" si="57"/>
        <v>43650</v>
      </c>
      <c r="Y199" s="387">
        <f t="shared" si="58"/>
        <v>54.66</v>
      </c>
      <c r="Z199" s="387">
        <f t="shared" si="59"/>
        <v>55.090360432739651</v>
      </c>
      <c r="AA199" s="388">
        <f t="shared" si="60"/>
        <v>59.305000141510014</v>
      </c>
      <c r="AB199" s="199">
        <f t="shared" si="61"/>
        <v>43650</v>
      </c>
      <c r="AC199" s="426">
        <f>IF(OR(t&lt;Tnet,NoTnet),'2018'!Resal_s+('2018'!Salim-'2018'!Resal_s)*(1-EXP(('2018'!Tnet_s-t)/'2018'!Tau_j)),Resal_s+(Salim-Resal_s)*(1-EXP((Tnet_s-t)/Tau_j)))*Salcycl</f>
        <v>7.1067189928566657E-2</v>
      </c>
      <c r="AD199" s="233">
        <f>(INDEX(Models!$BJ199:$BT199,,AH199)*(1-AF199)+INDEX(Models!$BJ199:$BT199,,AH199+1)*AF199-ERP_i)*AE199*Ramure*Pc/MaxiM</f>
        <v>5.3513853312849208E-5</v>
      </c>
      <c r="AE199" s="307">
        <f t="shared" si="62"/>
        <v>1</v>
      </c>
      <c r="AF199" s="179">
        <f t="shared" si="63"/>
        <v>0.40952970784660625</v>
      </c>
      <c r="AG199" s="178">
        <f t="shared" si="64"/>
        <v>-2</v>
      </c>
      <c r="AH199" s="178">
        <f t="shared" si="65"/>
        <v>4</v>
      </c>
      <c r="AI199" s="227">
        <f t="shared" si="66"/>
        <v>-1.5904702921533937</v>
      </c>
      <c r="AJ199" s="267" t="b">
        <f t="shared" si="67"/>
        <v>0</v>
      </c>
      <c r="AK199" s="267" t="b">
        <f t="shared" si="68"/>
        <v>0</v>
      </c>
      <c r="AL199" s="267"/>
      <c r="AM199" s="267"/>
      <c r="AN199" s="75"/>
    </row>
    <row r="200" spans="1:40" s="6" customFormat="1" ht="11.25" customHeight="1" x14ac:dyDescent="0.2">
      <c r="A200" s="56">
        <f t="shared" si="72"/>
        <v>43651</v>
      </c>
      <c r="B200" s="618">
        <v>53.228999999999999</v>
      </c>
      <c r="C200" s="392"/>
      <c r="D200" s="395">
        <f t="shared" si="48"/>
        <v>53.649342085729415</v>
      </c>
      <c r="E200" s="387">
        <f t="shared" si="73"/>
        <v>57.766245496061174</v>
      </c>
      <c r="F200" s="387">
        <f t="shared" si="49"/>
        <v>57.768996060623749</v>
      </c>
      <c r="G200" s="110">
        <f t="shared" si="74"/>
        <v>0.90726763665313059</v>
      </c>
      <c r="H200" s="414" t="b">
        <f>Wh_hp&gt;='2018'!Maxi_hp</f>
        <v>1</v>
      </c>
      <c r="I200" s="392">
        <f>IF(H200,Wh_hp,'2018'!Maxi_hp)</f>
        <v>57.768996060623749</v>
      </c>
      <c r="J200" s="85">
        <f>IF(H200,An,'2018'!An_max)</f>
        <v>2019</v>
      </c>
      <c r="K200" s="199">
        <f t="shared" si="50"/>
        <v>43651</v>
      </c>
      <c r="L200" s="147">
        <f>IF(t&lt;Tvie,1-EXP((T0-t)*PertePVj)+'2018'!Pspv,1-EXP((T0-t)*PertePVj)+Pspv)</f>
        <v>7.8349905029166944E-3</v>
      </c>
      <c r="M200" s="870"/>
      <c r="N200" s="870"/>
      <c r="O200" s="48">
        <f>IF(t&lt;Tnet,'2018'!Resal+('2018'!Salim-'2018'!Resal)*(1-EXP(('2018'!Tnet-t)/('2018'!Tau_j))),Resal+(Salim-Resal)*(1-EXP((Tnet-t)/(Tau_j))))*Salcycl</f>
        <v>7.1268322442947674E-2</v>
      </c>
      <c r="P200" s="171">
        <f>(INDEX(Models!$BJ200:$BT200,,T200)*(1-R200)+INDEX(Models!$BJ200:$BT200,,T200+1)*R200-ERP_i)*Q200*Ramure*Pc/MaxiM</f>
        <v>5.4883299050703529E-5</v>
      </c>
      <c r="Q200" s="307">
        <f t="shared" si="51"/>
        <v>1</v>
      </c>
      <c r="R200" s="179">
        <f t="shared" si="52"/>
        <v>0.41517738955056971</v>
      </c>
      <c r="S200" s="837">
        <f t="shared" si="53"/>
        <v>-2</v>
      </c>
      <c r="T200" s="178">
        <f t="shared" si="54"/>
        <v>4</v>
      </c>
      <c r="U200" s="253">
        <f t="shared" si="55"/>
        <v>-1.5848226104494303</v>
      </c>
      <c r="V200" s="385">
        <f t="shared" si="56"/>
        <v>58.669141110115589</v>
      </c>
      <c r="W200" s="58"/>
      <c r="X200" s="157">
        <f t="shared" si="57"/>
        <v>43651</v>
      </c>
      <c r="Y200" s="387">
        <f t="shared" si="58"/>
        <v>53.228999999999999</v>
      </c>
      <c r="Z200" s="387">
        <f t="shared" si="59"/>
        <v>53.649342085729415</v>
      </c>
      <c r="AA200" s="388">
        <f t="shared" si="60"/>
        <v>57.766245496061174</v>
      </c>
      <c r="AB200" s="199">
        <f t="shared" si="61"/>
        <v>43651</v>
      </c>
      <c r="AC200" s="426">
        <f>IF(OR(t&lt;Tnet,NoTnet),'2018'!Resal_s+('2018'!Salim-'2018'!Resal_s)*(1-EXP(('2018'!Tnet_s-t)/'2018'!Tau_j)),Resal_s+(Salim-Resal_s)*(1-EXP((Tnet_s-t)/Tau_j)))*Salcycl</f>
        <v>7.1268322442947674E-2</v>
      </c>
      <c r="AD200" s="233">
        <f>(INDEX(Models!$BJ200:$BT200,,AH200)*(1-AF200)+INDEX(Models!$BJ200:$BT200,,AH200+1)*AF200-ERP_i)*AE200*Ramure*Pc/MaxiM</f>
        <v>5.4883299050703529E-5</v>
      </c>
      <c r="AE200" s="307">
        <f t="shared" si="62"/>
        <v>1</v>
      </c>
      <c r="AF200" s="179">
        <f t="shared" si="63"/>
        <v>0.41517738955056971</v>
      </c>
      <c r="AG200" s="178">
        <f t="shared" si="64"/>
        <v>-2</v>
      </c>
      <c r="AH200" s="178">
        <f t="shared" si="65"/>
        <v>4</v>
      </c>
      <c r="AI200" s="227">
        <f t="shared" si="66"/>
        <v>-1.5848226104494303</v>
      </c>
      <c r="AJ200" s="267" t="b">
        <f t="shared" si="67"/>
        <v>0</v>
      </c>
      <c r="AK200" s="267" t="b">
        <f t="shared" si="68"/>
        <v>0</v>
      </c>
      <c r="AL200" s="267"/>
      <c r="AM200" s="267"/>
      <c r="AN200" s="75"/>
    </row>
    <row r="201" spans="1:40" s="6" customFormat="1" ht="11.25" customHeight="1" x14ac:dyDescent="0.2">
      <c r="A201" s="56">
        <f t="shared" si="72"/>
        <v>43652</v>
      </c>
      <c r="B201" s="618">
        <v>53.045000000000002</v>
      </c>
      <c r="C201" s="392"/>
      <c r="D201" s="395">
        <f t="shared" si="48"/>
        <v>53.465133274816893</v>
      </c>
      <c r="E201" s="387">
        <f t="shared" si="73"/>
        <v>57.580250949885333</v>
      </c>
      <c r="F201" s="387">
        <f t="shared" si="49"/>
        <v>57.583070587888336</v>
      </c>
      <c r="G201" s="110">
        <f t="shared" si="74"/>
        <v>0.90565435116112869</v>
      </c>
      <c r="H201" s="414" t="b">
        <f>Wh_hp&gt;='2018'!Maxi_hp</f>
        <v>1</v>
      </c>
      <c r="I201" s="392">
        <f>IF(H201,Wh_hp,'2018'!Maxi_hp)</f>
        <v>57.583070587888336</v>
      </c>
      <c r="J201" s="85">
        <f>IF(H201,An,'2018'!An_max)</f>
        <v>2019</v>
      </c>
      <c r="K201" s="199">
        <f t="shared" si="50"/>
        <v>43652</v>
      </c>
      <c r="L201" s="147">
        <f>IF(t&lt;Tvie,1-EXP((T0-t)*PertePVj)+'2018'!Pspv,1-EXP((T0-t)*PertePVj)+Pspv)</f>
        <v>7.8580796321474633E-3</v>
      </c>
      <c r="M201" s="870"/>
      <c r="N201" s="870"/>
      <c r="O201" s="48">
        <f>IF(t&lt;Tnet,'2018'!Resal+('2018'!Salim-'2018'!Resal)*(1-EXP(('2018'!Tnet-t)/('2018'!Tau_j))),Resal+(Salim-Resal)*(1-EXP((Tnet-t)/(Tau_j))))*Salcycl</f>
        <v>7.1467518935442148E-2</v>
      </c>
      <c r="P201" s="171">
        <f>(INDEX(Models!$BJ201:$BT201,,T201)*(1-R201)+INDEX(Models!$BJ201:$BT201,,T201+1)*R201-ERP_i)*Q201*Ramure*Pc/MaxiM</f>
        <v>5.6593529595755621E-5</v>
      </c>
      <c r="Q201" s="307">
        <f t="shared" si="51"/>
        <v>1</v>
      </c>
      <c r="R201" s="179">
        <f t="shared" si="52"/>
        <v>0.42071640199614624</v>
      </c>
      <c r="S201" s="837">
        <f t="shared" si="53"/>
        <v>-2</v>
      </c>
      <c r="T201" s="178">
        <f t="shared" si="54"/>
        <v>4</v>
      </c>
      <c r="U201" s="253">
        <f t="shared" si="55"/>
        <v>-1.5792835980038538</v>
      </c>
      <c r="V201" s="385">
        <f t="shared" si="56"/>
        <v>58.570463812427242</v>
      </c>
      <c r="W201" s="58"/>
      <c r="X201" s="157">
        <f t="shared" si="57"/>
        <v>43652</v>
      </c>
      <c r="Y201" s="387">
        <f t="shared" si="58"/>
        <v>53.045000000000002</v>
      </c>
      <c r="Z201" s="387">
        <f t="shared" si="59"/>
        <v>53.465133274816893</v>
      </c>
      <c r="AA201" s="388">
        <f t="shared" si="60"/>
        <v>57.580250949885333</v>
      </c>
      <c r="AB201" s="199">
        <f t="shared" si="61"/>
        <v>43652</v>
      </c>
      <c r="AC201" s="426">
        <f>IF(OR(t&lt;Tnet,NoTnet),'2018'!Resal_s+('2018'!Salim-'2018'!Resal_s)*(1-EXP(('2018'!Tnet_s-t)/'2018'!Tau_j)),Resal_s+(Salim-Resal_s)*(1-EXP((Tnet_s-t)/Tau_j)))*Salcycl</f>
        <v>7.1467518935442148E-2</v>
      </c>
      <c r="AD201" s="233">
        <f>(INDEX(Models!$BJ201:$BT201,,AH201)*(1-AF201)+INDEX(Models!$BJ201:$BT201,,AH201+1)*AF201-ERP_i)*AE201*Ramure*Pc/MaxiM</f>
        <v>5.6593529595755621E-5</v>
      </c>
      <c r="AE201" s="307">
        <f t="shared" si="62"/>
        <v>1</v>
      </c>
      <c r="AF201" s="179">
        <f t="shared" si="63"/>
        <v>0.42071640199614624</v>
      </c>
      <c r="AG201" s="178">
        <f t="shared" si="64"/>
        <v>-2</v>
      </c>
      <c r="AH201" s="178">
        <f t="shared" si="65"/>
        <v>4</v>
      </c>
      <c r="AI201" s="227">
        <f t="shared" si="66"/>
        <v>-1.5792835980038538</v>
      </c>
      <c r="AJ201" s="267" t="b">
        <f t="shared" si="67"/>
        <v>0</v>
      </c>
      <c r="AK201" s="267" t="b">
        <f t="shared" si="68"/>
        <v>0</v>
      </c>
      <c r="AL201" s="267"/>
      <c r="AM201" s="267"/>
      <c r="AN201" s="75"/>
    </row>
    <row r="202" spans="1:40" s="6" customFormat="1" ht="11.25" customHeight="1" x14ac:dyDescent="0.2">
      <c r="A202" s="56">
        <f t="shared" si="72"/>
        <v>43653</v>
      </c>
      <c r="B202" s="618">
        <v>48.911999999999999</v>
      </c>
      <c r="C202" s="392"/>
      <c r="D202" s="395">
        <f t="shared" si="48"/>
        <v>49.30054589574236</v>
      </c>
      <c r="E202" s="387">
        <f t="shared" si="73"/>
        <v>53.106407396578824</v>
      </c>
      <c r="F202" s="387">
        <f t="shared" si="49"/>
        <v>53.108795063091954</v>
      </c>
      <c r="G202" s="110">
        <f t="shared" si="74"/>
        <v>0.83654616274888294</v>
      </c>
      <c r="H202" s="414" t="b">
        <f>Wh_hp&gt;='2018'!Maxi_hp</f>
        <v>1</v>
      </c>
      <c r="I202" s="392">
        <f>IF(H202,Wh_hp,'2018'!Maxi_hp)</f>
        <v>53.108795063091954</v>
      </c>
      <c r="J202" s="85">
        <f>IF(H202,An,'2018'!An_max)</f>
        <v>2019</v>
      </c>
      <c r="K202" s="199">
        <f t="shared" si="50"/>
        <v>43653</v>
      </c>
      <c r="L202" s="147">
        <f>IF(t&lt;Tvie,1-EXP((T0-t)*PertePVj)+'2018'!Pspv,1-EXP((T0-t)*PertePVj)+Pspv)</f>
        <v>7.8811682240604863E-3</v>
      </c>
      <c r="M202" s="870"/>
      <c r="N202" s="870"/>
      <c r="O202" s="48">
        <f>IF(t&lt;Tnet,'2018'!Resal+('2018'!Salim-'2018'!Resal)*(1-EXP(('2018'!Tnet-t)/('2018'!Tau_j))),Resal+(Salim-Resal)*(1-EXP((Tnet-t)/(Tau_j))))*Salcycl</f>
        <v>7.166482704084487E-2</v>
      </c>
      <c r="P202" s="171">
        <f>(INDEX(Models!$BJ202:$BT202,,T202)*(1-R202)+INDEX(Models!$BJ202:$BT202,,T202+1)*R202-ERP_i)*Q202*Ramure*Pc/MaxiM</f>
        <v>5.865281945132441E-5</v>
      </c>
      <c r="Q202" s="307">
        <f t="shared" si="51"/>
        <v>1</v>
      </c>
      <c r="R202" s="179">
        <f t="shared" si="52"/>
        <v>0.42614531039720172</v>
      </c>
      <c r="S202" s="837">
        <f t="shared" si="53"/>
        <v>-2</v>
      </c>
      <c r="T202" s="178">
        <f t="shared" si="54"/>
        <v>4</v>
      </c>
      <c r="U202" s="253">
        <f t="shared" si="55"/>
        <v>-1.5738546896027983</v>
      </c>
      <c r="V202" s="385">
        <f t="shared" si="56"/>
        <v>58.468178216674112</v>
      </c>
      <c r="W202" s="58"/>
      <c r="X202" s="157">
        <f t="shared" si="57"/>
        <v>43653</v>
      </c>
      <c r="Y202" s="387">
        <f t="shared" si="58"/>
        <v>48.911999999999999</v>
      </c>
      <c r="Z202" s="387">
        <f t="shared" si="59"/>
        <v>49.30054589574236</v>
      </c>
      <c r="AA202" s="388">
        <f t="shared" si="60"/>
        <v>53.106407396578824</v>
      </c>
      <c r="AB202" s="199">
        <f t="shared" si="61"/>
        <v>43653</v>
      </c>
      <c r="AC202" s="426">
        <f>IF(OR(t&lt;Tnet,NoTnet),'2018'!Resal_s+('2018'!Salim-'2018'!Resal_s)*(1-EXP(('2018'!Tnet_s-t)/'2018'!Tau_j)),Resal_s+(Salim-Resal_s)*(1-EXP((Tnet_s-t)/Tau_j)))*Salcycl</f>
        <v>7.166482704084487E-2</v>
      </c>
      <c r="AD202" s="233">
        <f>(INDEX(Models!$BJ202:$BT202,,AH202)*(1-AF202)+INDEX(Models!$BJ202:$BT202,,AH202+1)*AF202-ERP_i)*AE202*Ramure*Pc/MaxiM</f>
        <v>5.865281945132441E-5</v>
      </c>
      <c r="AE202" s="307">
        <f t="shared" si="62"/>
        <v>1</v>
      </c>
      <c r="AF202" s="179">
        <f t="shared" si="63"/>
        <v>0.42614531039720172</v>
      </c>
      <c r="AG202" s="178">
        <f t="shared" si="64"/>
        <v>-2</v>
      </c>
      <c r="AH202" s="178">
        <f t="shared" si="65"/>
        <v>4</v>
      </c>
      <c r="AI202" s="227">
        <f t="shared" si="66"/>
        <v>-1.5738546896027983</v>
      </c>
      <c r="AJ202" s="267" t="b">
        <f t="shared" si="67"/>
        <v>0</v>
      </c>
      <c r="AK202" s="267" t="b">
        <f t="shared" si="68"/>
        <v>0</v>
      </c>
      <c r="AL202" s="267"/>
      <c r="AM202" s="267"/>
      <c r="AN202" s="75"/>
    </row>
    <row r="203" spans="1:40" s="6" customFormat="1" ht="11.25" customHeight="1" x14ac:dyDescent="0.2">
      <c r="A203" s="56">
        <f t="shared" si="72"/>
        <v>43654</v>
      </c>
      <c r="B203" s="618">
        <v>32.03</v>
      </c>
      <c r="C203" s="392"/>
      <c r="D203" s="395">
        <f t="shared" si="48"/>
        <v>32.285190419077999</v>
      </c>
      <c r="E203" s="387">
        <f t="shared" si="73"/>
        <v>34.784839323351953</v>
      </c>
      <c r="F203" s="387">
        <f t="shared" si="49"/>
        <v>34.785594418751785</v>
      </c>
      <c r="G203" s="110">
        <f t="shared" si="74"/>
        <v>0.54879370485161882</v>
      </c>
      <c r="H203" s="414" t="b">
        <f>Wh_hp&gt;='2018'!Maxi_hp</f>
        <v>1</v>
      </c>
      <c r="I203" s="392">
        <f>IF(H203,Wh_hp,'2018'!Maxi_hp)</f>
        <v>34.785594418751785</v>
      </c>
      <c r="J203" s="85">
        <f>IF(H203,An,'2018'!An_max)</f>
        <v>2019</v>
      </c>
      <c r="K203" s="199">
        <f t="shared" si="50"/>
        <v>43654</v>
      </c>
      <c r="L203" s="147">
        <f>IF(t&lt;Tvie,1-EXP((T0-t)*PertePVj)+'2018'!Pspv,1-EXP((T0-t)*PertePVj)+Pspv)</f>
        <v>7.904256278668309E-3</v>
      </c>
      <c r="M203" s="870"/>
      <c r="N203" s="870"/>
      <c r="O203" s="48">
        <f>IF(t&lt;Tnet,'2018'!Resal+('2018'!Salim-'2018'!Resal)*(1-EXP(('2018'!Tnet-t)/('2018'!Tau_j))),Resal+(Salim-Resal)*(1-EXP((Tnet-t)/(Tau_j))))*Salcycl</f>
        <v>7.1860297557731656E-2</v>
      </c>
      <c r="P203" s="171">
        <f>(INDEX(Models!$BJ203:$BT203,,T203)*(1-R203)+INDEX(Models!$BJ203:$BT203,,T203+1)*R203-ERP_i)*Q203*Ramure*Pc/MaxiM</f>
        <v>6.1069355893366326E-5</v>
      </c>
      <c r="Q203" s="307">
        <f t="shared" si="51"/>
        <v>1</v>
      </c>
      <c r="R203" s="179">
        <f t="shared" si="52"/>
        <v>0.43146291858904506</v>
      </c>
      <c r="S203" s="837">
        <f t="shared" si="53"/>
        <v>-2</v>
      </c>
      <c r="T203" s="178">
        <f t="shared" si="54"/>
        <v>4</v>
      </c>
      <c r="U203" s="253">
        <f t="shared" si="55"/>
        <v>-1.5685370814109549</v>
      </c>
      <c r="V203" s="385">
        <f t="shared" si="56"/>
        <v>58.362074705608002</v>
      </c>
      <c r="W203" s="58"/>
      <c r="X203" s="157">
        <f t="shared" si="57"/>
        <v>43654</v>
      </c>
      <c r="Y203" s="387">
        <f t="shared" si="58"/>
        <v>32.03</v>
      </c>
      <c r="Z203" s="387">
        <f t="shared" si="59"/>
        <v>32.285190419077999</v>
      </c>
      <c r="AA203" s="388">
        <f t="shared" si="60"/>
        <v>34.784839323351953</v>
      </c>
      <c r="AB203" s="199">
        <f t="shared" si="61"/>
        <v>43654</v>
      </c>
      <c r="AC203" s="426">
        <f>IF(OR(t&lt;Tnet,NoTnet),'2018'!Resal_s+('2018'!Salim-'2018'!Resal_s)*(1-EXP(('2018'!Tnet_s-t)/'2018'!Tau_j)),Resal_s+(Salim-Resal_s)*(1-EXP((Tnet_s-t)/Tau_j)))*Salcycl</f>
        <v>7.1860297557731656E-2</v>
      </c>
      <c r="AD203" s="233">
        <f>(INDEX(Models!$BJ203:$BT203,,AH203)*(1-AF203)+INDEX(Models!$BJ203:$BT203,,AH203+1)*AF203-ERP_i)*AE203*Ramure*Pc/MaxiM</f>
        <v>6.1069355893366326E-5</v>
      </c>
      <c r="AE203" s="307">
        <f t="shared" si="62"/>
        <v>1</v>
      </c>
      <c r="AF203" s="179">
        <f t="shared" si="63"/>
        <v>0.43146291858904506</v>
      </c>
      <c r="AG203" s="178">
        <f t="shared" si="64"/>
        <v>-2</v>
      </c>
      <c r="AH203" s="178">
        <f t="shared" si="65"/>
        <v>4</v>
      </c>
      <c r="AI203" s="227">
        <f t="shared" si="66"/>
        <v>-1.5685370814109549</v>
      </c>
      <c r="AJ203" s="267" t="b">
        <f t="shared" si="67"/>
        <v>0</v>
      </c>
      <c r="AK203" s="267" t="b">
        <f t="shared" si="68"/>
        <v>0</v>
      </c>
      <c r="AL203" s="267"/>
      <c r="AM203" s="267"/>
      <c r="AN203" s="75"/>
    </row>
    <row r="204" spans="1:40" s="6" customFormat="1" ht="11.25" customHeight="1" x14ac:dyDescent="0.2">
      <c r="A204" s="56">
        <f t="shared" si="72"/>
        <v>43655</v>
      </c>
      <c r="B204" s="618">
        <v>23.619</v>
      </c>
      <c r="C204" s="392"/>
      <c r="D204" s="395">
        <f t="shared" si="48"/>
        <v>23.807732077178454</v>
      </c>
      <c r="E204" s="387">
        <f t="shared" si="73"/>
        <v>25.656376198760423</v>
      </c>
      <c r="F204" s="387">
        <f t="shared" si="49"/>
        <v>25.656623013148732</v>
      </c>
      <c r="G204" s="110">
        <f t="shared" si="74"/>
        <v>0.40544087642084553</v>
      </c>
      <c r="H204" s="414" t="b">
        <f>Wh_hp&gt;='2018'!Maxi_hp</f>
        <v>1</v>
      </c>
      <c r="I204" s="392">
        <f>IF(H204,Wh_hp,'2018'!Maxi_hp)</f>
        <v>25.656623013148732</v>
      </c>
      <c r="J204" s="85">
        <f>IF(H204,An,'2018'!An_max)</f>
        <v>2019</v>
      </c>
      <c r="K204" s="199">
        <f t="shared" si="50"/>
        <v>43655</v>
      </c>
      <c r="L204" s="147">
        <f>IF(t&lt;Tvie,1-EXP((T0-t)*PertePVj)+'2018'!Pspv,1-EXP((T0-t)*PertePVj)+Pspv)</f>
        <v>7.9273437959832549E-3</v>
      </c>
      <c r="M204" s="870"/>
      <c r="N204" s="870"/>
      <c r="O204" s="48">
        <f>IF(t&lt;Tnet,'2018'!Resal+('2018'!Salim-'2018'!Resal)*(1-EXP(('2018'!Tnet-t)/('2018'!Tau_j))),Resal+(Salim-Resal)*(1-EXP((Tnet-t)/(Tau_j))))*Salcycl</f>
        <v>7.2053984056847667E-2</v>
      </c>
      <c r="P204" s="171">
        <f>(INDEX(Models!$BJ204:$BT204,,T204)*(1-R204)+INDEX(Models!$BJ204:$BT204,,T204+1)*R204-ERP_i)*Q204*Ramure*Pc/MaxiM</f>
        <v>6.385125737358262E-5</v>
      </c>
      <c r="Q204" s="307">
        <f t="shared" si="51"/>
        <v>1</v>
      </c>
      <c r="R204" s="179">
        <f t="shared" si="52"/>
        <v>0.43666826296467809</v>
      </c>
      <c r="S204" s="837">
        <f t="shared" si="53"/>
        <v>-2</v>
      </c>
      <c r="T204" s="178">
        <f t="shared" si="54"/>
        <v>4</v>
      </c>
      <c r="U204" s="253">
        <f t="shared" si="55"/>
        <v>-1.5633317370353219</v>
      </c>
      <c r="V204" s="385">
        <f t="shared" si="56"/>
        <v>58.251943676627299</v>
      </c>
      <c r="W204" s="58"/>
      <c r="X204" s="157">
        <f t="shared" si="57"/>
        <v>43655</v>
      </c>
      <c r="Y204" s="387">
        <f t="shared" si="58"/>
        <v>23.619</v>
      </c>
      <c r="Z204" s="387">
        <f t="shared" si="59"/>
        <v>23.807732077178454</v>
      </c>
      <c r="AA204" s="388">
        <f t="shared" si="60"/>
        <v>25.656376198760423</v>
      </c>
      <c r="AB204" s="199">
        <f t="shared" si="61"/>
        <v>43655</v>
      </c>
      <c r="AC204" s="426">
        <f>IF(OR(t&lt;Tnet,NoTnet),'2018'!Resal_s+('2018'!Salim-'2018'!Resal_s)*(1-EXP(('2018'!Tnet_s-t)/'2018'!Tau_j)),Resal_s+(Salim-Resal_s)*(1-EXP((Tnet_s-t)/Tau_j)))*Salcycl</f>
        <v>7.2053984056847667E-2</v>
      </c>
      <c r="AD204" s="233">
        <f>(INDEX(Models!$BJ204:$BT204,,AH204)*(1-AF204)+INDEX(Models!$BJ204:$BT204,,AH204+1)*AF204-ERP_i)*AE204*Ramure*Pc/MaxiM</f>
        <v>6.385125737358262E-5</v>
      </c>
      <c r="AE204" s="307">
        <f t="shared" si="62"/>
        <v>1</v>
      </c>
      <c r="AF204" s="179">
        <f t="shared" si="63"/>
        <v>0.43666826296467809</v>
      </c>
      <c r="AG204" s="178">
        <f t="shared" si="64"/>
        <v>-2</v>
      </c>
      <c r="AH204" s="178">
        <f t="shared" si="65"/>
        <v>4</v>
      </c>
      <c r="AI204" s="227">
        <f t="shared" si="66"/>
        <v>-1.5633317370353219</v>
      </c>
      <c r="AJ204" s="267" t="b">
        <f t="shared" si="67"/>
        <v>0</v>
      </c>
      <c r="AK204" s="267" t="b">
        <f t="shared" si="68"/>
        <v>0</v>
      </c>
      <c r="AL204" s="267"/>
      <c r="AM204" s="267"/>
      <c r="AN204" s="75"/>
    </row>
    <row r="205" spans="1:40" s="6" customFormat="1" ht="11.25" customHeight="1" x14ac:dyDescent="0.2">
      <c r="A205" s="56">
        <f t="shared" si="72"/>
        <v>43656</v>
      </c>
      <c r="B205" s="618">
        <v>58.07</v>
      </c>
      <c r="C205" s="392"/>
      <c r="D205" s="395">
        <f t="shared" si="48"/>
        <v>58.535381498552042</v>
      </c>
      <c r="E205" s="387">
        <f t="shared" si="73"/>
        <v>63.09364106162279</v>
      </c>
      <c r="F205" s="387">
        <f t="shared" si="49"/>
        <v>63.097862001735528</v>
      </c>
      <c r="G205" s="110">
        <f t="shared" si="74"/>
        <v>0.99883635825227768</v>
      </c>
      <c r="H205" s="414" t="b">
        <f>Wh_hp&gt;='2018'!Maxi_hp</f>
        <v>1</v>
      </c>
      <c r="I205" s="392">
        <f>IF(H205,Wh_hp,'2018'!Maxi_hp)</f>
        <v>63.097862001735528</v>
      </c>
      <c r="J205" s="85">
        <f>IF(H205,An,'2018'!An_max)</f>
        <v>2019</v>
      </c>
      <c r="K205" s="199">
        <f t="shared" si="50"/>
        <v>43656</v>
      </c>
      <c r="L205" s="147">
        <f>IF(t&lt;Tvie,1-EXP((T0-t)*PertePVj)+'2018'!Pspv,1-EXP((T0-t)*PertePVj)+Pspv)</f>
        <v>7.9504307760179804E-3</v>
      </c>
      <c r="M205" s="870"/>
      <c r="N205" s="870"/>
      <c r="O205" s="48">
        <f>IF(t&lt;Tnet,'2018'!Resal+('2018'!Salim-'2018'!Resal)*(1-EXP(('2018'!Tnet-t)/('2018'!Tau_j))),Resal+(Salim-Resal)*(1-EXP((Tnet-t)/(Tau_j))))*Salcycl</f>
        <v>7.2245942481251768E-2</v>
      </c>
      <c r="P205" s="171">
        <f>(INDEX(Models!$BJ205:$BT205,,T205)*(1-R205)+INDEX(Models!$BJ205:$BT205,,T205+1)*R205-ERP_i)*Q205*Ramure*Pc/MaxiM</f>
        <v>6.7006514154901558E-5</v>
      </c>
      <c r="Q205" s="307">
        <f t="shared" si="51"/>
        <v>1</v>
      </c>
      <c r="R205" s="179">
        <f t="shared" si="52"/>
        <v>0.44176060567163811</v>
      </c>
      <c r="S205" s="837">
        <f t="shared" si="53"/>
        <v>-2</v>
      </c>
      <c r="T205" s="178">
        <f t="shared" si="54"/>
        <v>4</v>
      </c>
      <c r="U205" s="253">
        <f t="shared" si="55"/>
        <v>-1.5582393943283619</v>
      </c>
      <c r="V205" s="385">
        <f t="shared" si="56"/>
        <v>58.137644922632703</v>
      </c>
      <c r="W205" s="58"/>
      <c r="X205" s="157">
        <f t="shared" si="57"/>
        <v>43656</v>
      </c>
      <c r="Y205" s="387">
        <f t="shared" si="58"/>
        <v>58.07</v>
      </c>
      <c r="Z205" s="387">
        <f t="shared" si="59"/>
        <v>58.535381498552042</v>
      </c>
      <c r="AA205" s="388">
        <f t="shared" si="60"/>
        <v>63.09364106162279</v>
      </c>
      <c r="AB205" s="199">
        <f t="shared" si="61"/>
        <v>43656</v>
      </c>
      <c r="AC205" s="426">
        <f>IF(OR(t&lt;Tnet,NoTnet),'2018'!Resal_s+('2018'!Salim-'2018'!Resal_s)*(1-EXP(('2018'!Tnet_s-t)/'2018'!Tau_j)),Resal_s+(Salim-Resal_s)*(1-EXP((Tnet_s-t)/Tau_j)))*Salcycl</f>
        <v>7.2245942481251768E-2</v>
      </c>
      <c r="AD205" s="233">
        <f>(INDEX(Models!$BJ205:$BT205,,AH205)*(1-AF205)+INDEX(Models!$BJ205:$BT205,,AH205+1)*AF205-ERP_i)*AE205*Ramure*Pc/MaxiM</f>
        <v>6.7006514154901558E-5</v>
      </c>
      <c r="AE205" s="307">
        <f t="shared" si="62"/>
        <v>1</v>
      </c>
      <c r="AF205" s="179">
        <f t="shared" si="63"/>
        <v>0.44176060567163811</v>
      </c>
      <c r="AG205" s="178">
        <f t="shared" si="64"/>
        <v>-2</v>
      </c>
      <c r="AH205" s="178">
        <f t="shared" si="65"/>
        <v>4</v>
      </c>
      <c r="AI205" s="227">
        <f t="shared" si="66"/>
        <v>-1.5582393943283619</v>
      </c>
      <c r="AJ205" s="267" t="b">
        <f t="shared" si="67"/>
        <v>0</v>
      </c>
      <c r="AK205" s="267" t="b">
        <f t="shared" si="68"/>
        <v>0</v>
      </c>
      <c r="AL205" s="267"/>
      <c r="AM205" s="267"/>
      <c r="AN205" s="75"/>
    </row>
    <row r="206" spans="1:40" s="6" customFormat="1" ht="11.25" customHeight="1" x14ac:dyDescent="0.2">
      <c r="A206" s="56">
        <f t="shared" si="72"/>
        <v>43657</v>
      </c>
      <c r="B206" s="618">
        <v>57.658000000000001</v>
      </c>
      <c r="C206" s="392"/>
      <c r="D206" s="395">
        <f t="shared" si="48"/>
        <v>58.121432240752085</v>
      </c>
      <c r="E206" s="387">
        <f t="shared" si="73"/>
        <v>62.660308829442215</v>
      </c>
      <c r="F206" s="387">
        <f t="shared" si="49"/>
        <v>62.66471285413887</v>
      </c>
      <c r="G206" s="110">
        <f t="shared" si="74"/>
        <v>0.99377223215416666</v>
      </c>
      <c r="H206" s="414" t="b">
        <f>Wh_hp&gt;='2018'!Maxi_hp</f>
        <v>1</v>
      </c>
      <c r="I206" s="392">
        <f>IF(H206,Wh_hp,'2018'!Maxi_hp)</f>
        <v>62.66471285413887</v>
      </c>
      <c r="J206" s="85">
        <f>IF(H206,An,'2018'!An_max)</f>
        <v>2019</v>
      </c>
      <c r="K206" s="199">
        <f t="shared" si="50"/>
        <v>43657</v>
      </c>
      <c r="L206" s="147">
        <f>IF(t&lt;Tvie,1-EXP((T0-t)*PertePVj)+'2018'!Pspv,1-EXP((T0-t)*PertePVj)+Pspv)</f>
        <v>7.9735172187850312E-3</v>
      </c>
      <c r="M206" s="870"/>
      <c r="N206" s="870"/>
      <c r="O206" s="48">
        <f>IF(t&lt;Tnet,'2018'!Resal+('2018'!Salim-'2018'!Resal)*(1-EXP(('2018'!Tnet-t)/('2018'!Tau_j))),Resal+(Salim-Resal)*(1-EXP((Tnet-t)/(Tau_j))))*Salcycl</f>
        <v>7.2436230741292573E-2</v>
      </c>
      <c r="P206" s="171">
        <f>(INDEX(Models!$BJ206:$BT206,,T206)*(1-R206)+INDEX(Models!$BJ206:$BT206,,T206+1)*R206-ERP_i)*Q206*Ramure*Pc/MaxiM</f>
        <v>7.0909990283521141E-5</v>
      </c>
      <c r="Q206" s="307">
        <f t="shared" si="51"/>
        <v>1</v>
      </c>
      <c r="R206" s="179">
        <f t="shared" si="52"/>
        <v>0.44673942715334825</v>
      </c>
      <c r="S206" s="837">
        <f t="shared" si="53"/>
        <v>-2</v>
      </c>
      <c r="T206" s="178">
        <f t="shared" si="54"/>
        <v>4</v>
      </c>
      <c r="U206" s="253">
        <f t="shared" si="55"/>
        <v>-1.5532605728466518</v>
      </c>
      <c r="V206" s="385">
        <f t="shared" si="56"/>
        <v>58.019294321857316</v>
      </c>
      <c r="W206" s="58"/>
      <c r="X206" s="157">
        <f t="shared" si="57"/>
        <v>43657</v>
      </c>
      <c r="Y206" s="387">
        <f t="shared" si="58"/>
        <v>57.658000000000001</v>
      </c>
      <c r="Z206" s="387">
        <f t="shared" si="59"/>
        <v>58.121432240752085</v>
      </c>
      <c r="AA206" s="388">
        <f t="shared" si="60"/>
        <v>62.660308829442215</v>
      </c>
      <c r="AB206" s="199">
        <f t="shared" si="61"/>
        <v>43657</v>
      </c>
      <c r="AC206" s="426">
        <f>IF(OR(t&lt;Tnet,NoTnet),'2018'!Resal_s+('2018'!Salim-'2018'!Resal_s)*(1-EXP(('2018'!Tnet_s-t)/'2018'!Tau_j)),Resal_s+(Salim-Resal_s)*(1-EXP((Tnet_s-t)/Tau_j)))*Salcycl</f>
        <v>7.2436230741292573E-2</v>
      </c>
      <c r="AD206" s="233">
        <f>(INDEX(Models!$BJ206:$BT206,,AH206)*(1-AF206)+INDEX(Models!$BJ206:$BT206,,AH206+1)*AF206-ERP_i)*AE206*Ramure*Pc/MaxiM</f>
        <v>7.0909990283521141E-5</v>
      </c>
      <c r="AE206" s="307">
        <f t="shared" si="62"/>
        <v>1</v>
      </c>
      <c r="AF206" s="179">
        <f t="shared" si="63"/>
        <v>0.44673942715334825</v>
      </c>
      <c r="AG206" s="178">
        <f t="shared" si="64"/>
        <v>-2</v>
      </c>
      <c r="AH206" s="178">
        <f t="shared" si="65"/>
        <v>4</v>
      </c>
      <c r="AI206" s="227">
        <f t="shared" si="66"/>
        <v>-1.5532605728466518</v>
      </c>
      <c r="AJ206" s="267" t="b">
        <f t="shared" si="67"/>
        <v>0</v>
      </c>
      <c r="AK206" s="267" t="b">
        <f t="shared" si="68"/>
        <v>0</v>
      </c>
      <c r="AL206" s="267"/>
      <c r="AM206" s="267"/>
      <c r="AN206" s="75"/>
    </row>
    <row r="207" spans="1:40" s="6" customFormat="1" ht="11.25" customHeight="1" x14ac:dyDescent="0.2">
      <c r="A207" s="56">
        <f t="shared" si="72"/>
        <v>43658</v>
      </c>
      <c r="B207" s="618">
        <v>58.412999999999997</v>
      </c>
      <c r="C207" s="392"/>
      <c r="D207" s="395">
        <f t="shared" ref="D207:D270" si="75">Wh/(1-Ppv)</f>
        <v>58.883870946380512</v>
      </c>
      <c r="E207" s="387">
        <f t="shared" si="73"/>
        <v>63.495204339503097</v>
      </c>
      <c r="F207" s="387">
        <f t="shared" ref="F207:F270" si="76">Wh_sa/(1-Pvg*MEDIAN((-Sdif+Wh/Env_an)/Csdif,0,1))</f>
        <v>63.499999412795624</v>
      </c>
      <c r="G207" s="110">
        <f t="shared" si="74"/>
        <v>1.0089106092834175</v>
      </c>
      <c r="H207" s="414" t="b">
        <f>Wh_hp&gt;='2018'!Maxi_hp</f>
        <v>1</v>
      </c>
      <c r="I207" s="392">
        <f>IF(H207,Wh_hp,'2018'!Maxi_hp)</f>
        <v>63.499999412795624</v>
      </c>
      <c r="J207" s="85">
        <f>IF(H207,An,'2018'!An_max)</f>
        <v>2019</v>
      </c>
      <c r="K207" s="199">
        <f t="shared" ref="K207:K270" si="77">t</f>
        <v>43658</v>
      </c>
      <c r="L207" s="147">
        <f>IF(t&lt;Tvie,1-EXP((T0-t)*PertePVj)+'2018'!Pspv,1-EXP((T0-t)*PertePVj)+Pspv)</f>
        <v>7.9966031242967306E-3</v>
      </c>
      <c r="M207" s="870"/>
      <c r="N207" s="870"/>
      <c r="O207" s="48">
        <f>IF(t&lt;Tnet,'2018'!Resal+('2018'!Salim-'2018'!Resal)*(1-EXP(('2018'!Tnet-t)/('2018'!Tau_j))),Resal+(Salim-Resal)*(1-EXP((Tnet-t)/(Tau_j))))*Salcycl</f>
        <v>7.262490830750308E-2</v>
      </c>
      <c r="P207" s="171">
        <f>(INDEX(Models!$BJ207:$BT207,,T207)*(1-R207)+INDEX(Models!$BJ207:$BT207,,T207+1)*R207-ERP_i)*Q207*Ramure*Pc/MaxiM</f>
        <v>7.5512965934858756E-5</v>
      </c>
      <c r="Q207" s="307">
        <f t="shared" ref="Q207:Q270" si="78">IF(OR(t&lt;Ttai,Notai),Dd+PousD*Croivg,Dens+PousD*(Croivg-Croi_tai))</f>
        <v>1</v>
      </c>
      <c r="R207" s="179">
        <f t="shared" ref="R207:R270" si="79">(Hp_vg-S207)/(INDEX(Echel_vg,T207+1)-S207)</f>
        <v>0.45160441811875374</v>
      </c>
      <c r="S207" s="837">
        <f t="shared" ref="S207:S270" si="80">INDEX(Echel_vg,T207)</f>
        <v>-2</v>
      </c>
      <c r="T207" s="178">
        <f t="shared" ref="T207:T270" si="81">MIN(MATCH(Hp_vg,Echel_vg),10)</f>
        <v>4</v>
      </c>
      <c r="U207" s="253">
        <f t="shared" ref="U207:U270" si="82">IF(OR(t&lt;Ttai,Notai),Hdd+PousH*Croivg,Hdtf+PousH*(Croivg-Croi_tai))</f>
        <v>-1.5483955818812463</v>
      </c>
      <c r="V207" s="385">
        <f t="shared" ref="V207:V270" si="83">MaxiM*(1-Ppv)*(1-Pvg)*(1-Psa)</f>
        <v>57.897101549450504</v>
      </c>
      <c r="W207" s="58"/>
      <c r="X207" s="157">
        <f t="shared" ref="X207:X270" si="84">t</f>
        <v>43658</v>
      </c>
      <c r="Y207" s="387">
        <f t="shared" ref="Y207:Y270" si="85">Wh_pvt_s*(1-Ppv)</f>
        <v>58.412999999999997</v>
      </c>
      <c r="Z207" s="387">
        <f t="shared" ref="Z207:Z270" si="86">Wh_sa_s*(1-Psa_s)</f>
        <v>58.883870946380512</v>
      </c>
      <c r="AA207" s="388">
        <f t="shared" ref="AA207:AA270" si="87">Wh_hp*(1-Pvg_s*MEDIAN((-Sdif+Wh/Env_an)/Csdif,0,1))</f>
        <v>63.495204339503097</v>
      </c>
      <c r="AB207" s="199">
        <f t="shared" ref="AB207:AB270" si="88">t</f>
        <v>43658</v>
      </c>
      <c r="AC207" s="426">
        <f>IF(OR(t&lt;Tnet,NoTnet),'2018'!Resal_s+('2018'!Salim-'2018'!Resal_s)*(1-EXP(('2018'!Tnet_s-t)/'2018'!Tau_j)),Resal_s+(Salim-Resal_s)*(1-EXP((Tnet_s-t)/Tau_j)))*Salcycl</f>
        <v>7.262490830750308E-2</v>
      </c>
      <c r="AD207" s="233">
        <f>(INDEX(Models!$BJ207:$BT207,,AH207)*(1-AF207)+INDEX(Models!$BJ207:$BT207,,AH207+1)*AF207-ERP_i)*AE207*Ramure*Pc/MaxiM</f>
        <v>7.5512965934858756E-5</v>
      </c>
      <c r="AE207" s="307">
        <f t="shared" ref="AE207:AE270" si="89">IF(OR(t&lt;Ttai,Notai),Dd_s+PousD*Croivg,Dens_s+PousD*(Croivg-Croi_tai))</f>
        <v>1</v>
      </c>
      <c r="AF207" s="179">
        <f t="shared" ref="AF207:AF270" si="90">(Hp_vg_s-AG207)/(INDEX(Echel_vg,AH207+1)-AG207)</f>
        <v>0.45160441811875374</v>
      </c>
      <c r="AG207" s="178">
        <f t="shared" ref="AG207:AG270" si="91">INDEX(Echel_vg,AH207)</f>
        <v>-2</v>
      </c>
      <c r="AH207" s="178">
        <f t="shared" ref="AH207:AH270" si="92">MIN(MATCH(Hp_vg_s,Echel_vg),10)</f>
        <v>4</v>
      </c>
      <c r="AI207" s="227">
        <f t="shared" ref="AI207:AI270" si="93">IF(OR(t&lt;Ttai,Notai),Hdd_s+PousH*Croivg,Hdtai_s+PousH*(Croivg-Croi_tai))</f>
        <v>-1.5483955818812463</v>
      </c>
      <c r="AJ207" s="267" t="b">
        <f t="shared" ref="AJ207:AJ270" si="94">t&lt;Tnet</f>
        <v>0</v>
      </c>
      <c r="AK207" s="267" t="b">
        <f t="shared" ref="AK207:AK270" si="95">t&lt;Ttai</f>
        <v>0</v>
      </c>
      <c r="AL207" s="267"/>
      <c r="AM207" s="267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8">
        <v>50.381999999999998</v>
      </c>
      <c r="C208" s="392"/>
      <c r="D208" s="395">
        <f t="shared" si="75"/>
        <v>50.789314480887676</v>
      </c>
      <c r="E208" s="387">
        <f t="shared" si="73"/>
        <v>54.777797428545426</v>
      </c>
      <c r="F208" s="387">
        <f t="shared" si="76"/>
        <v>54.781416262344493</v>
      </c>
      <c r="G208" s="110">
        <f t="shared" si="74"/>
        <v>0.87208146446853707</v>
      </c>
      <c r="H208" s="414" t="b">
        <f>Wh_hp&gt;='2018'!Maxi_hp</f>
        <v>1</v>
      </c>
      <c r="I208" s="392">
        <f>IF(H208,Wh_hp,'2018'!Maxi_hp)</f>
        <v>54.781416262344493</v>
      </c>
      <c r="J208" s="85">
        <f>IF(H208,An,'2018'!An_max)</f>
        <v>2019</v>
      </c>
      <c r="K208" s="199">
        <f t="shared" si="77"/>
        <v>43659</v>
      </c>
      <c r="L208" s="147">
        <f>IF(t&lt;Tvie,1-EXP((T0-t)*PertePVj)+'2018'!Pspv,1-EXP((T0-t)*PertePVj)+Pspv)</f>
        <v>8.0196884925657352E-3</v>
      </c>
      <c r="M208" s="870"/>
      <c r="N208" s="870"/>
      <c r="O208" s="48">
        <f>IF(t&lt;Tnet,'2018'!Resal+('2018'!Salim-'2018'!Resal)*(1-EXP(('2018'!Tnet-t)/('2018'!Tau_j))),Resal+(Salim-Resal)*(1-EXP((Tnet-t)/(Tau_j))))*Salcycl</f>
        <v>7.2812035804479022E-2</v>
      </c>
      <c r="P208" s="171">
        <f>(INDEX(Models!$BJ208:$BT208,,T208)*(1-R208)+INDEX(Models!$BJ208:$BT208,,T208+1)*R208-ERP_i)*Q208*Ramure*Pc/MaxiM</f>
        <v>8.0828732167881329E-5</v>
      </c>
      <c r="Q208" s="307">
        <f t="shared" si="78"/>
        <v>1</v>
      </c>
      <c r="R208" s="179">
        <f t="shared" si="79"/>
        <v>0.45635547102303731</v>
      </c>
      <c r="S208" s="837">
        <f t="shared" si="80"/>
        <v>-2</v>
      </c>
      <c r="T208" s="178">
        <f t="shared" si="81"/>
        <v>4</v>
      </c>
      <c r="U208" s="253">
        <f t="shared" si="82"/>
        <v>-1.5436445289769627</v>
      </c>
      <c r="V208" s="385">
        <f t="shared" si="83"/>
        <v>57.771272410719803</v>
      </c>
      <c r="W208" s="58"/>
      <c r="X208" s="157">
        <f t="shared" si="84"/>
        <v>43659</v>
      </c>
      <c r="Y208" s="387">
        <f t="shared" si="85"/>
        <v>50.381999999999998</v>
      </c>
      <c r="Z208" s="387">
        <f t="shared" si="86"/>
        <v>50.789314480887676</v>
      </c>
      <c r="AA208" s="388">
        <f t="shared" si="87"/>
        <v>54.777797428545426</v>
      </c>
      <c r="AB208" s="199">
        <f t="shared" si="88"/>
        <v>43659</v>
      </c>
      <c r="AC208" s="426">
        <f>IF(OR(t&lt;Tnet,NoTnet),'2018'!Resal_s+('2018'!Salim-'2018'!Resal_s)*(1-EXP(('2018'!Tnet_s-t)/'2018'!Tau_j)),Resal_s+(Salim-Resal_s)*(1-EXP((Tnet_s-t)/Tau_j)))*Salcycl</f>
        <v>7.2812035804479022E-2</v>
      </c>
      <c r="AD208" s="233">
        <f>(INDEX(Models!$BJ208:$BT208,,AH208)*(1-AF208)+INDEX(Models!$BJ208:$BT208,,AH208+1)*AF208-ERP_i)*AE208*Ramure*Pc/MaxiM</f>
        <v>8.0828732167881329E-5</v>
      </c>
      <c r="AE208" s="307">
        <f t="shared" si="89"/>
        <v>1</v>
      </c>
      <c r="AF208" s="179">
        <f t="shared" si="90"/>
        <v>0.45635547102303731</v>
      </c>
      <c r="AG208" s="178">
        <f t="shared" si="91"/>
        <v>-2</v>
      </c>
      <c r="AH208" s="178">
        <f t="shared" si="92"/>
        <v>4</v>
      </c>
      <c r="AI208" s="227">
        <f t="shared" si="93"/>
        <v>-1.5436445289769627</v>
      </c>
      <c r="AJ208" s="267" t="b">
        <f t="shared" si="94"/>
        <v>0</v>
      </c>
      <c r="AK208" s="267" t="b">
        <f t="shared" si="95"/>
        <v>0</v>
      </c>
      <c r="AL208" s="267"/>
      <c r="AM208" s="267"/>
      <c r="AN208" s="75"/>
    </row>
    <row r="209" spans="1:40" s="6" customFormat="1" ht="11.25" customHeight="1" x14ac:dyDescent="0.2">
      <c r="A209" s="56">
        <f t="shared" si="96"/>
        <v>43660</v>
      </c>
      <c r="B209" s="618">
        <v>57.393999999999998</v>
      </c>
      <c r="C209" s="392"/>
      <c r="D209" s="395">
        <f t="shared" si="75"/>
        <v>57.859349633755471</v>
      </c>
      <c r="E209" s="387">
        <f t="shared" si="73"/>
        <v>62.415538827624808</v>
      </c>
      <c r="F209" s="387">
        <f t="shared" si="76"/>
        <v>62.42092802890074</v>
      </c>
      <c r="G209" s="110">
        <f t="shared" si="74"/>
        <v>0.99569683402066278</v>
      </c>
      <c r="H209" s="414" t="b">
        <f>Wh_hp&gt;='2018'!Maxi_hp</f>
        <v>1</v>
      </c>
      <c r="I209" s="392">
        <f>IF(H209,Wh_hp,'2018'!Maxi_hp)</f>
        <v>62.42092802890074</v>
      </c>
      <c r="J209" s="85">
        <f>IF(H209,An,'2018'!An_max)</f>
        <v>2019</v>
      </c>
      <c r="K209" s="199">
        <f t="shared" si="77"/>
        <v>43660</v>
      </c>
      <c r="L209" s="147">
        <f>IF(t&lt;Tvie,1-EXP((T0-t)*PertePVj)+'2018'!Pspv,1-EXP((T0-t)*PertePVj)+Pspv)</f>
        <v>8.0427733236044796E-3</v>
      </c>
      <c r="M209" s="870"/>
      <c r="N209" s="870"/>
      <c r="O209" s="48">
        <f>IF(t&lt;Tnet,'2018'!Resal+('2018'!Salim-'2018'!Resal)*(1-EXP(('2018'!Tnet-t)/('2018'!Tau_j))),Resal+(Salim-Resal)*(1-EXP((Tnet-t)/(Tau_j))))*Salcycl</f>
        <v>7.2997674608759278E-2</v>
      </c>
      <c r="P209" s="171">
        <f>(INDEX(Models!$BJ209:$BT209,,T209)*(1-R209)+INDEX(Models!$BJ209:$BT209,,T209+1)*R209-ERP_i)*Q209*Ramure*Pc/MaxiM</f>
        <v>8.6870408530404221E-5</v>
      </c>
      <c r="Q209" s="307">
        <f t="shared" si="78"/>
        <v>1</v>
      </c>
      <c r="R209" s="179">
        <f t="shared" si="79"/>
        <v>0.4609926711404233</v>
      </c>
      <c r="S209" s="837">
        <f t="shared" si="80"/>
        <v>-2</v>
      </c>
      <c r="T209" s="178">
        <f t="shared" si="81"/>
        <v>4</v>
      </c>
      <c r="U209" s="253">
        <f t="shared" si="82"/>
        <v>-1.5390073288595767</v>
      </c>
      <c r="V209" s="385">
        <f t="shared" si="83"/>
        <v>57.642012498450569</v>
      </c>
      <c r="W209" s="58"/>
      <c r="X209" s="157">
        <f t="shared" si="84"/>
        <v>43660</v>
      </c>
      <c r="Y209" s="387">
        <f t="shared" si="85"/>
        <v>57.393999999999998</v>
      </c>
      <c r="Z209" s="387">
        <f t="shared" si="86"/>
        <v>57.859349633755471</v>
      </c>
      <c r="AA209" s="388">
        <f t="shared" si="87"/>
        <v>62.415538827624808</v>
      </c>
      <c r="AB209" s="199">
        <f t="shared" si="88"/>
        <v>43660</v>
      </c>
      <c r="AC209" s="426">
        <f>IF(OR(t&lt;Tnet,NoTnet),'2018'!Resal_s+('2018'!Salim-'2018'!Resal_s)*(1-EXP(('2018'!Tnet_s-t)/'2018'!Tau_j)),Resal_s+(Salim-Resal_s)*(1-EXP((Tnet_s-t)/Tau_j)))*Salcycl</f>
        <v>7.2997674608759278E-2</v>
      </c>
      <c r="AD209" s="233">
        <f>(INDEX(Models!$BJ209:$BT209,,AH209)*(1-AF209)+INDEX(Models!$BJ209:$BT209,,AH209+1)*AF209-ERP_i)*AE209*Ramure*Pc/MaxiM</f>
        <v>8.6870408530404221E-5</v>
      </c>
      <c r="AE209" s="307">
        <f t="shared" si="89"/>
        <v>1</v>
      </c>
      <c r="AF209" s="179">
        <f t="shared" si="90"/>
        <v>0.4609926711404233</v>
      </c>
      <c r="AG209" s="178">
        <f t="shared" si="91"/>
        <v>-2</v>
      </c>
      <c r="AH209" s="178">
        <f t="shared" si="92"/>
        <v>4</v>
      </c>
      <c r="AI209" s="227">
        <f t="shared" si="93"/>
        <v>-1.5390073288595767</v>
      </c>
      <c r="AJ209" s="267" t="b">
        <f t="shared" si="94"/>
        <v>0</v>
      </c>
      <c r="AK209" s="267" t="b">
        <f t="shared" si="95"/>
        <v>0</v>
      </c>
      <c r="AL209" s="267"/>
      <c r="AM209" s="267"/>
      <c r="AN209" s="75"/>
    </row>
    <row r="210" spans="1:40" s="6" customFormat="1" ht="11.25" x14ac:dyDescent="0.2">
      <c r="A210" s="56">
        <f t="shared" si="96"/>
        <v>43661</v>
      </c>
      <c r="B210" s="618">
        <v>58.887</v>
      </c>
      <c r="C210" s="392"/>
      <c r="D210" s="395">
        <f t="shared" si="75"/>
        <v>59.365836383609576</v>
      </c>
      <c r="E210" s="387">
        <f t="shared" si="73"/>
        <v>64.053383847294228</v>
      </c>
      <c r="F210" s="387">
        <f t="shared" si="76"/>
        <v>64.059383068495961</v>
      </c>
      <c r="G210" s="110">
        <f t="shared" si="74"/>
        <v>1.0239520797050197</v>
      </c>
      <c r="H210" s="414" t="b">
        <f>Wh_hp&gt;='2018'!Maxi_hp</f>
        <v>1</v>
      </c>
      <c r="I210" s="392">
        <f>IF(H210,Wh_hp,'2018'!Maxi_hp)</f>
        <v>64.059383068495961</v>
      </c>
      <c r="J210" s="85">
        <f>IF(H210,An,'2018'!An_max)</f>
        <v>2019</v>
      </c>
      <c r="K210" s="199">
        <f t="shared" si="77"/>
        <v>43661</v>
      </c>
      <c r="L210" s="147">
        <f>IF(t&lt;Tvie,1-EXP((T0-t)*PertePVj)+'2018'!Pspv,1-EXP((T0-t)*PertePVj)+Pspv)</f>
        <v>8.0658576174255092E-3</v>
      </c>
      <c r="M210" s="870"/>
      <c r="N210" s="870"/>
      <c r="O210" s="48">
        <f>IF(t&lt;Tnet,'2018'!Resal+('2018'!Salim-'2018'!Resal)*(1-EXP(('2018'!Tnet-t)/('2018'!Tau_j))),Resal+(Salim-Resal)*(1-EXP((Tnet-t)/(Tau_j))))*Salcycl</f>
        <v>7.3181886453648495E-2</v>
      </c>
      <c r="P210" s="171">
        <f>(INDEX(Models!$BJ210:$BT210,,T210)*(1-R210)+INDEX(Models!$BJ210:$BT210,,T210+1)*R210-ERP_i)*Q210*Ramure*Pc/MaxiM</f>
        <v>9.3650936277691065E-5</v>
      </c>
      <c r="Q210" s="307">
        <f t="shared" si="78"/>
        <v>1</v>
      </c>
      <c r="R210" s="179">
        <f t="shared" si="79"/>
        <v>0.46551628730763683</v>
      </c>
      <c r="S210" s="837">
        <f t="shared" si="80"/>
        <v>-2</v>
      </c>
      <c r="T210" s="178">
        <f t="shared" si="81"/>
        <v>4</v>
      </c>
      <c r="U210" s="253">
        <f t="shared" si="82"/>
        <v>-1.5344837126923632</v>
      </c>
      <c r="V210" s="385">
        <f t="shared" si="83"/>
        <v>57.50952722022322</v>
      </c>
      <c r="W210" s="58"/>
      <c r="X210" s="157">
        <f t="shared" si="84"/>
        <v>43661</v>
      </c>
      <c r="Y210" s="387">
        <f t="shared" si="85"/>
        <v>58.887</v>
      </c>
      <c r="Z210" s="387">
        <f t="shared" si="86"/>
        <v>59.365836383609576</v>
      </c>
      <c r="AA210" s="388">
        <f t="shared" si="87"/>
        <v>64.053383847294228</v>
      </c>
      <c r="AB210" s="199">
        <f t="shared" si="88"/>
        <v>43661</v>
      </c>
      <c r="AC210" s="426">
        <f>IF(OR(t&lt;Tnet,NoTnet),'2018'!Resal_s+('2018'!Salim-'2018'!Resal_s)*(1-EXP(('2018'!Tnet_s-t)/'2018'!Tau_j)),Resal_s+(Salim-Resal_s)*(1-EXP((Tnet_s-t)/Tau_j)))*Salcycl</f>
        <v>7.3181886453648495E-2</v>
      </c>
      <c r="AD210" s="233">
        <f>(INDEX(Models!$BJ210:$BT210,,AH210)*(1-AF210)+INDEX(Models!$BJ210:$BT210,,AH210+1)*AF210-ERP_i)*AE210*Ramure*Pc/MaxiM</f>
        <v>9.3650936277691065E-5</v>
      </c>
      <c r="AE210" s="307">
        <f t="shared" si="89"/>
        <v>1</v>
      </c>
      <c r="AF210" s="179">
        <f t="shared" si="90"/>
        <v>0.46551628730763683</v>
      </c>
      <c r="AG210" s="178">
        <f t="shared" si="91"/>
        <v>-2</v>
      </c>
      <c r="AH210" s="178">
        <f t="shared" si="92"/>
        <v>4</v>
      </c>
      <c r="AI210" s="227">
        <f t="shared" si="93"/>
        <v>-1.5344837126923632</v>
      </c>
      <c r="AJ210" s="267" t="b">
        <f t="shared" si="94"/>
        <v>0</v>
      </c>
      <c r="AK210" s="267" t="b">
        <f t="shared" si="95"/>
        <v>0</v>
      </c>
      <c r="AL210" s="267"/>
      <c r="AM210" s="267"/>
      <c r="AN210" s="75"/>
    </row>
    <row r="211" spans="1:40" s="6" customFormat="1" ht="11.25" x14ac:dyDescent="0.2">
      <c r="A211" s="56">
        <f t="shared" si="96"/>
        <v>43662</v>
      </c>
      <c r="B211" s="618">
        <v>56.924999999999997</v>
      </c>
      <c r="C211" s="392"/>
      <c r="D211" s="395">
        <f t="shared" si="75"/>
        <v>57.389218020066387</v>
      </c>
      <c r="E211" s="387">
        <f t="shared" si="73"/>
        <v>61.932909383622878</v>
      </c>
      <c r="F211" s="387">
        <f t="shared" si="76"/>
        <v>61.939106503544039</v>
      </c>
      <c r="G211" s="110">
        <f t="shared" si="74"/>
        <v>0.99217265564094836</v>
      </c>
      <c r="H211" s="414" t="b">
        <f>Wh_hp&gt;='2018'!Maxi_hp</f>
        <v>1</v>
      </c>
      <c r="I211" s="392">
        <f>IF(H211,Wh_hp,'2018'!Maxi_hp)</f>
        <v>61.939106503544039</v>
      </c>
      <c r="J211" s="85">
        <f>IF(H211,An,'2018'!An_max)</f>
        <v>2019</v>
      </c>
      <c r="K211" s="199">
        <f t="shared" si="77"/>
        <v>43662</v>
      </c>
      <c r="L211" s="147">
        <f>IF(t&lt;Tvie,1-EXP((T0-t)*PertePVj)+'2018'!Pspv,1-EXP((T0-t)*PertePVj)+Pspv)</f>
        <v>8.0889413740412586E-3</v>
      </c>
      <c r="M211" s="870"/>
      <c r="N211" s="870"/>
      <c r="O211" s="48">
        <f>IF(t&lt;Tnet,'2018'!Resal+('2018'!Salim-'2018'!Resal)*(1-EXP(('2018'!Tnet-t)/('2018'!Tau_j))),Resal+(Salim-Resal)*(1-EXP((Tnet-t)/(Tau_j))))*Salcycl</f>
        <v>7.336473304381845E-2</v>
      </c>
      <c r="P211" s="171">
        <f>(INDEX(Models!$BJ211:$BT211,,T211)*(1-R211)+INDEX(Models!$BJ211:$BT211,,T211+1)*R211-ERP_i)*Q211*Ramure*Pc/MaxiM</f>
        <v>1.0118307213400693E-4</v>
      </c>
      <c r="Q211" s="307">
        <f t="shared" si="78"/>
        <v>1</v>
      </c>
      <c r="R211" s="179">
        <f t="shared" si="79"/>
        <v>0.46992676241351461</v>
      </c>
      <c r="S211" s="837">
        <f t="shared" si="80"/>
        <v>-2</v>
      </c>
      <c r="T211" s="178">
        <f t="shared" si="81"/>
        <v>4</v>
      </c>
      <c r="U211" s="253">
        <f t="shared" si="82"/>
        <v>-1.5300732375864854</v>
      </c>
      <c r="V211" s="385">
        <f t="shared" si="83"/>
        <v>57.374021822718561</v>
      </c>
      <c r="W211" s="58"/>
      <c r="X211" s="157">
        <f t="shared" si="84"/>
        <v>43662</v>
      </c>
      <c r="Y211" s="387">
        <f t="shared" si="85"/>
        <v>56.924999999999997</v>
      </c>
      <c r="Z211" s="387">
        <f t="shared" si="86"/>
        <v>57.389218020066387</v>
      </c>
      <c r="AA211" s="388">
        <f t="shared" si="87"/>
        <v>61.932909383622878</v>
      </c>
      <c r="AB211" s="199">
        <f t="shared" si="88"/>
        <v>43662</v>
      </c>
      <c r="AC211" s="426">
        <f>IF(OR(t&lt;Tnet,NoTnet),'2018'!Resal_s+('2018'!Salim-'2018'!Resal_s)*(1-EXP(('2018'!Tnet_s-t)/'2018'!Tau_j)),Resal_s+(Salim-Resal_s)*(1-EXP((Tnet_s-t)/Tau_j)))*Salcycl</f>
        <v>7.336473304381845E-2</v>
      </c>
      <c r="AD211" s="233">
        <f>(INDEX(Models!$BJ211:$BT211,,AH211)*(1-AF211)+INDEX(Models!$BJ211:$BT211,,AH211+1)*AF211-ERP_i)*AE211*Ramure*Pc/MaxiM</f>
        <v>1.0118307213400693E-4</v>
      </c>
      <c r="AE211" s="307">
        <f t="shared" si="89"/>
        <v>1</v>
      </c>
      <c r="AF211" s="179">
        <f t="shared" si="90"/>
        <v>0.46992676241351461</v>
      </c>
      <c r="AG211" s="178">
        <f t="shared" si="91"/>
        <v>-2</v>
      </c>
      <c r="AH211" s="178">
        <f t="shared" si="92"/>
        <v>4</v>
      </c>
      <c r="AI211" s="227">
        <f t="shared" si="93"/>
        <v>-1.5300732375864854</v>
      </c>
      <c r="AJ211" s="267" t="b">
        <f t="shared" si="94"/>
        <v>0</v>
      </c>
      <c r="AK211" s="267" t="b">
        <f t="shared" si="95"/>
        <v>0</v>
      </c>
      <c r="AL211" s="267"/>
      <c r="AM211" s="267"/>
      <c r="AN211" s="75"/>
    </row>
    <row r="212" spans="1:40" s="6" customFormat="1" ht="11.25" x14ac:dyDescent="0.2">
      <c r="A212" s="56">
        <f t="shared" si="96"/>
        <v>43663</v>
      </c>
      <c r="B212" s="618">
        <v>49.921999999999997</v>
      </c>
      <c r="C212" s="392"/>
      <c r="D212" s="395">
        <f t="shared" si="75"/>
        <v>50.330280472992868</v>
      </c>
      <c r="E212" s="387">
        <f t="shared" si="73"/>
        <v>54.325736031839462</v>
      </c>
      <c r="F212" s="387">
        <f t="shared" si="76"/>
        <v>54.330603638083716</v>
      </c>
      <c r="G212" s="110">
        <f t="shared" si="74"/>
        <v>0.87220049487382789</v>
      </c>
      <c r="H212" s="414" t="b">
        <f>Wh_hp&gt;='2018'!Maxi_hp</f>
        <v>1</v>
      </c>
      <c r="I212" s="392">
        <f>IF(H212,Wh_hp,'2018'!Maxi_hp)</f>
        <v>54.330603638083716</v>
      </c>
      <c r="J212" s="85">
        <f>IF(H212,An,'2018'!An_max)</f>
        <v>2019</v>
      </c>
      <c r="K212" s="199">
        <f t="shared" si="77"/>
        <v>43663</v>
      </c>
      <c r="L212" s="147">
        <f>IF(t&lt;Tvie,1-EXP((T0-t)*PertePVj)+'2018'!Pspv,1-EXP((T0-t)*PertePVj)+Pspv)</f>
        <v>8.1120245934642732E-3</v>
      </c>
      <c r="M212" s="870"/>
      <c r="N212" s="870"/>
      <c r="O212" s="48">
        <f>IF(t&lt;Tnet,'2018'!Resal+('2018'!Salim-'2018'!Resal)*(1-EXP(('2018'!Tnet-t)/('2018'!Tau_j))),Resal+(Salim-Resal)*(1-EXP((Tnet-t)/(Tau_j))))*Salcycl</f>
        <v>7.3546275682393331E-2</v>
      </c>
      <c r="P212" s="171">
        <f>(INDEX(Models!$BJ212:$BT212,,T212)*(1-R212)+INDEX(Models!$BJ212:$BT212,,T212+1)*R212-ERP_i)*Q212*Ramure*Pc/MaxiM</f>
        <v>1.0959922283497452E-4</v>
      </c>
      <c r="Q212" s="307">
        <f t="shared" si="78"/>
        <v>1</v>
      </c>
      <c r="R212" s="179">
        <f t="shared" si="79"/>
        <v>0.47422470370672176</v>
      </c>
      <c r="S212" s="837">
        <f t="shared" si="80"/>
        <v>-2</v>
      </c>
      <c r="T212" s="178">
        <f t="shared" si="81"/>
        <v>4</v>
      </c>
      <c r="U212" s="253">
        <f t="shared" si="82"/>
        <v>-1.5257752962932782</v>
      </c>
      <c r="V212" s="385">
        <f t="shared" si="83"/>
        <v>57.235694568631459</v>
      </c>
      <c r="W212" s="58"/>
      <c r="X212" s="157">
        <f t="shared" si="84"/>
        <v>43663</v>
      </c>
      <c r="Y212" s="387">
        <f t="shared" si="85"/>
        <v>49.921999999999997</v>
      </c>
      <c r="Z212" s="387">
        <f t="shared" si="86"/>
        <v>50.330280472992868</v>
      </c>
      <c r="AA212" s="388">
        <f t="shared" si="87"/>
        <v>54.325736031839462</v>
      </c>
      <c r="AB212" s="199">
        <f t="shared" si="88"/>
        <v>43663</v>
      </c>
      <c r="AC212" s="426">
        <f>IF(OR(t&lt;Tnet,NoTnet),'2018'!Resal_s+('2018'!Salim-'2018'!Resal_s)*(1-EXP(('2018'!Tnet_s-t)/'2018'!Tau_j)),Resal_s+(Salim-Resal_s)*(1-EXP((Tnet_s-t)/Tau_j)))*Salcycl</f>
        <v>7.3546275682393331E-2</v>
      </c>
      <c r="AD212" s="233">
        <f>(INDEX(Models!$BJ212:$BT212,,AH212)*(1-AF212)+INDEX(Models!$BJ212:$BT212,,AH212+1)*AF212-ERP_i)*AE212*Ramure*Pc/MaxiM</f>
        <v>1.0959922283497452E-4</v>
      </c>
      <c r="AE212" s="307">
        <f t="shared" si="89"/>
        <v>1</v>
      </c>
      <c r="AF212" s="179">
        <f t="shared" si="90"/>
        <v>0.47422470370672176</v>
      </c>
      <c r="AG212" s="178">
        <f t="shared" si="91"/>
        <v>-2</v>
      </c>
      <c r="AH212" s="178">
        <f t="shared" si="92"/>
        <v>4</v>
      </c>
      <c r="AI212" s="227">
        <f t="shared" si="93"/>
        <v>-1.5257752962932782</v>
      </c>
      <c r="AJ212" s="267" t="b">
        <f t="shared" si="94"/>
        <v>0</v>
      </c>
      <c r="AK212" s="267" t="b">
        <f t="shared" si="95"/>
        <v>0</v>
      </c>
      <c r="AL212" s="267"/>
      <c r="AM212" s="267"/>
      <c r="AN212" s="75"/>
    </row>
    <row r="213" spans="1:40" s="6" customFormat="1" ht="11.25" customHeight="1" x14ac:dyDescent="0.2">
      <c r="A213" s="56">
        <f t="shared" si="96"/>
        <v>43664</v>
      </c>
      <c r="B213" s="618">
        <v>40.627000000000002</v>
      </c>
      <c r="C213" s="392"/>
      <c r="D213" s="395">
        <f t="shared" si="75"/>
        <v>40.960215749155488</v>
      </c>
      <c r="E213" s="387">
        <f t="shared" si="73"/>
        <v>44.220437119105881</v>
      </c>
      <c r="F213" s="387">
        <f t="shared" si="76"/>
        <v>44.223521683195017</v>
      </c>
      <c r="G213" s="110">
        <f t="shared" si="74"/>
        <v>0.71153656278429489</v>
      </c>
      <c r="H213" s="414" t="b">
        <f>Wh_hp&gt;='2018'!Maxi_hp</f>
        <v>1</v>
      </c>
      <c r="I213" s="392">
        <f>IF(H213,Wh_hp,'2018'!Maxi_hp)</f>
        <v>44.223521683195017</v>
      </c>
      <c r="J213" s="85">
        <f>IF(H213,An,'2018'!An_max)</f>
        <v>2019</v>
      </c>
      <c r="K213" s="199">
        <f t="shared" si="77"/>
        <v>43664</v>
      </c>
      <c r="L213" s="147">
        <f>IF(t&lt;Tvie,1-EXP((T0-t)*PertePVj)+'2018'!Pspv,1-EXP((T0-t)*PertePVj)+Pspv)</f>
        <v>8.1351072757069876E-3</v>
      </c>
      <c r="M213" s="870"/>
      <c r="N213" s="870"/>
      <c r="O213" s="48">
        <f>IF(t&lt;Tnet,'2018'!Resal+('2018'!Salim-'2018'!Resal)*(1-EXP(('2018'!Tnet-t)/('2018'!Tau_j))),Resal+(Salim-Resal)*(1-EXP((Tnet-t)/(Tau_j))))*Salcycl</f>
        <v>7.3726574913068388E-2</v>
      </c>
      <c r="P213" s="171">
        <f>(INDEX(Models!$BJ213:$BT213,,T213)*(1-R213)+INDEX(Models!$BJ213:$BT213,,T213+1)*R213-ERP_i)*Q213*Ramure*Pc/MaxiM</f>
        <v>1.1862968627249636E-4</v>
      </c>
      <c r="Q213" s="307">
        <f t="shared" si="78"/>
        <v>1</v>
      </c>
      <c r="R213" s="179">
        <f t="shared" si="79"/>
        <v>0.47841087298952822</v>
      </c>
      <c r="S213" s="837">
        <f t="shared" si="80"/>
        <v>-2</v>
      </c>
      <c r="T213" s="178">
        <f t="shared" si="81"/>
        <v>4</v>
      </c>
      <c r="U213" s="253">
        <f t="shared" si="82"/>
        <v>-1.5215891270104718</v>
      </c>
      <c r="V213" s="385">
        <f t="shared" si="83"/>
        <v>57.094766631676357</v>
      </c>
      <c r="W213" s="58"/>
      <c r="X213" s="157">
        <f t="shared" si="84"/>
        <v>43664</v>
      </c>
      <c r="Y213" s="387">
        <f t="shared" si="85"/>
        <v>40.627000000000002</v>
      </c>
      <c r="Z213" s="387">
        <f t="shared" si="86"/>
        <v>40.960215749155488</v>
      </c>
      <c r="AA213" s="388">
        <f t="shared" si="87"/>
        <v>44.220437119105881</v>
      </c>
      <c r="AB213" s="199">
        <f t="shared" si="88"/>
        <v>43664</v>
      </c>
      <c r="AC213" s="426">
        <f>IF(OR(t&lt;Tnet,NoTnet),'2018'!Resal_s+('2018'!Salim-'2018'!Resal_s)*(1-EXP(('2018'!Tnet_s-t)/'2018'!Tau_j)),Resal_s+(Salim-Resal_s)*(1-EXP((Tnet_s-t)/Tau_j)))*Salcycl</f>
        <v>7.3726574913068388E-2</v>
      </c>
      <c r="AD213" s="233">
        <f>(INDEX(Models!$BJ213:$BT213,,AH213)*(1-AF213)+INDEX(Models!$BJ213:$BT213,,AH213+1)*AF213-ERP_i)*AE213*Ramure*Pc/MaxiM</f>
        <v>1.1862968627249636E-4</v>
      </c>
      <c r="AE213" s="307">
        <f t="shared" si="89"/>
        <v>1</v>
      </c>
      <c r="AF213" s="179">
        <f t="shared" si="90"/>
        <v>0.47841087298952822</v>
      </c>
      <c r="AG213" s="178">
        <f t="shared" si="91"/>
        <v>-2</v>
      </c>
      <c r="AH213" s="178">
        <f t="shared" si="92"/>
        <v>4</v>
      </c>
      <c r="AI213" s="227">
        <f t="shared" si="93"/>
        <v>-1.5215891270104718</v>
      </c>
      <c r="AJ213" s="267" t="b">
        <f t="shared" si="94"/>
        <v>0</v>
      </c>
      <c r="AK213" s="267" t="b">
        <f t="shared" si="95"/>
        <v>0</v>
      </c>
      <c r="AL213" s="267"/>
      <c r="AM213" s="267"/>
      <c r="AN213" s="75"/>
    </row>
    <row r="214" spans="1:40" s="6" customFormat="1" ht="11.25" customHeight="1" x14ac:dyDescent="0.2">
      <c r="A214" s="56">
        <f t="shared" si="96"/>
        <v>43665</v>
      </c>
      <c r="B214" s="618">
        <v>55.353000000000002</v>
      </c>
      <c r="C214" s="392"/>
      <c r="D214" s="395">
        <f t="shared" si="75"/>
        <v>55.808294638915086</v>
      </c>
      <c r="E214" s="387">
        <f t="shared" si="73"/>
        <v>60.261999287891143</v>
      </c>
      <c r="F214" s="387">
        <f t="shared" si="76"/>
        <v>60.269420692728637</v>
      </c>
      <c r="G214" s="110">
        <f t="shared" si="74"/>
        <v>0.97192822735707851</v>
      </c>
      <c r="H214" s="414" t="b">
        <f>Wh_hp&gt;='2018'!Maxi_hp</f>
        <v>1</v>
      </c>
      <c r="I214" s="392">
        <f>IF(H214,Wh_hp,'2018'!Maxi_hp)</f>
        <v>60.269420692728637</v>
      </c>
      <c r="J214" s="85">
        <f>IF(H214,An,'2018'!An_max)</f>
        <v>2019</v>
      </c>
      <c r="K214" s="199">
        <f t="shared" si="77"/>
        <v>43665</v>
      </c>
      <c r="L214" s="147">
        <f>IF(t&lt;Tvie,1-EXP((T0-t)*PertePVj)+'2018'!Pspv,1-EXP((T0-t)*PertePVj)+Pspv)</f>
        <v>8.1581894207820582E-3</v>
      </c>
      <c r="M214" s="870"/>
      <c r="N214" s="870"/>
      <c r="O214" s="48">
        <f>IF(t&lt;Tnet,'2018'!Resal+('2018'!Salim-'2018'!Resal)*(1-EXP(('2018'!Tnet-t)/('2018'!Tau_j))),Resal+(Salim-Resal)*(1-EXP((Tnet-t)/(Tau_j))))*Salcycl</f>
        <v>7.39056901796315E-2</v>
      </c>
      <c r="P214" s="171">
        <f>(INDEX(Models!$BJ214:$BT214,,T214)*(1-R214)+INDEX(Models!$BJ214:$BT214,,T214+1)*R214-ERP_i)*Q214*Ramure*Pc/MaxiM</f>
        <v>1.2828061356010773E-4</v>
      </c>
      <c r="Q214" s="307">
        <f t="shared" si="78"/>
        <v>1</v>
      </c>
      <c r="R214" s="179">
        <f t="shared" si="79"/>
        <v>0.48248617676131733</v>
      </c>
      <c r="S214" s="837">
        <f t="shared" si="80"/>
        <v>-2</v>
      </c>
      <c r="T214" s="178">
        <f t="shared" si="81"/>
        <v>4</v>
      </c>
      <c r="U214" s="253">
        <f t="shared" si="82"/>
        <v>-1.5175138232386827</v>
      </c>
      <c r="V214" s="385">
        <f t="shared" si="83"/>
        <v>56.95144322482254</v>
      </c>
      <c r="W214" s="58"/>
      <c r="X214" s="157">
        <f t="shared" si="84"/>
        <v>43665</v>
      </c>
      <c r="Y214" s="387">
        <f t="shared" si="85"/>
        <v>55.353000000000002</v>
      </c>
      <c r="Z214" s="387">
        <f t="shared" si="86"/>
        <v>55.808294638915086</v>
      </c>
      <c r="AA214" s="388">
        <f t="shared" si="87"/>
        <v>60.261999287891143</v>
      </c>
      <c r="AB214" s="199">
        <f t="shared" si="88"/>
        <v>43665</v>
      </c>
      <c r="AC214" s="426">
        <f>IF(OR(t&lt;Tnet,NoTnet),'2018'!Resal_s+('2018'!Salim-'2018'!Resal_s)*(1-EXP(('2018'!Tnet_s-t)/'2018'!Tau_j)),Resal_s+(Salim-Resal_s)*(1-EXP((Tnet_s-t)/Tau_j)))*Salcycl</f>
        <v>7.39056901796315E-2</v>
      </c>
      <c r="AD214" s="233">
        <f>(INDEX(Models!$BJ214:$BT214,,AH214)*(1-AF214)+INDEX(Models!$BJ214:$BT214,,AH214+1)*AF214-ERP_i)*AE214*Ramure*Pc/MaxiM</f>
        <v>1.2828061356010773E-4</v>
      </c>
      <c r="AE214" s="307">
        <f t="shared" si="89"/>
        <v>1</v>
      </c>
      <c r="AF214" s="179">
        <f t="shared" si="90"/>
        <v>0.48248617676131733</v>
      </c>
      <c r="AG214" s="178">
        <f t="shared" si="91"/>
        <v>-2</v>
      </c>
      <c r="AH214" s="178">
        <f t="shared" si="92"/>
        <v>4</v>
      </c>
      <c r="AI214" s="227">
        <f t="shared" si="93"/>
        <v>-1.5175138232386827</v>
      </c>
      <c r="AJ214" s="267" t="b">
        <f t="shared" si="94"/>
        <v>0</v>
      </c>
      <c r="AK214" s="267" t="b">
        <f t="shared" si="95"/>
        <v>0</v>
      </c>
      <c r="AL214" s="267"/>
      <c r="AM214" s="267"/>
      <c r="AN214" s="75"/>
    </row>
    <row r="215" spans="1:40" s="6" customFormat="1" ht="11.25" customHeight="1" x14ac:dyDescent="0.2">
      <c r="A215" s="56">
        <f t="shared" si="96"/>
        <v>43666</v>
      </c>
      <c r="B215" s="618">
        <v>25.777000000000001</v>
      </c>
      <c r="C215" s="392"/>
      <c r="D215" s="395">
        <f t="shared" si="75"/>
        <v>25.989628192175381</v>
      </c>
      <c r="E215" s="387">
        <f t="shared" si="73"/>
        <v>28.069089632508874</v>
      </c>
      <c r="F215" s="387">
        <f t="shared" si="76"/>
        <v>28.069944021643909</v>
      </c>
      <c r="G215" s="110">
        <f t="shared" si="74"/>
        <v>0.45372398852648094</v>
      </c>
      <c r="H215" s="414" t="b">
        <f>Wh_hp&gt;='2018'!Maxi_hp</f>
        <v>1</v>
      </c>
      <c r="I215" s="392">
        <f>IF(H215,Wh_hp,'2018'!Maxi_hp)</f>
        <v>28.069944021643909</v>
      </c>
      <c r="J215" s="85">
        <f>IF(H215,An,'2018'!An_max)</f>
        <v>2019</v>
      </c>
      <c r="K215" s="199">
        <f t="shared" si="77"/>
        <v>43666</v>
      </c>
      <c r="L215" s="147">
        <f>IF(t&lt;Tvie,1-EXP((T0-t)*PertePVj)+'2018'!Pspv,1-EXP((T0-t)*PertePVj)+Pspv)</f>
        <v>8.1812710287019197E-3</v>
      </c>
      <c r="M215" s="870"/>
      <c r="N215" s="870"/>
      <c r="O215" s="48">
        <f>IF(t&lt;Tnet,'2018'!Resal+('2018'!Salim-'2018'!Resal)*(1-EXP(('2018'!Tnet-t)/('2018'!Tau_j))),Resal+(Salim-Resal)*(1-EXP((Tnet-t)/(Tau_j))))*Salcycl</f>
        <v>7.4083679505056579E-2</v>
      </c>
      <c r="P215" s="171">
        <f>(INDEX(Models!$BJ215:$BT215,,T215)*(1-R215)+INDEX(Models!$BJ215:$BT215,,T215+1)*R215-ERP_i)*Q215*Ramure*Pc/MaxiM</f>
        <v>1.385581181016125E-4</v>
      </c>
      <c r="Q215" s="307">
        <f t="shared" si="78"/>
        <v>1</v>
      </c>
      <c r="R215" s="179">
        <f t="shared" si="79"/>
        <v>0.48645165637092669</v>
      </c>
      <c r="S215" s="837">
        <f t="shared" si="80"/>
        <v>-2</v>
      </c>
      <c r="T215" s="178">
        <f t="shared" si="81"/>
        <v>4</v>
      </c>
      <c r="U215" s="253">
        <f t="shared" si="82"/>
        <v>-1.5135483436290733</v>
      </c>
      <c r="V215" s="385">
        <f t="shared" si="83"/>
        <v>56.805929488273179</v>
      </c>
      <c r="W215" s="58"/>
      <c r="X215" s="157">
        <f t="shared" si="84"/>
        <v>43666</v>
      </c>
      <c r="Y215" s="387">
        <f t="shared" si="85"/>
        <v>25.777000000000001</v>
      </c>
      <c r="Z215" s="387">
        <f t="shared" si="86"/>
        <v>25.989628192175381</v>
      </c>
      <c r="AA215" s="388">
        <f t="shared" si="87"/>
        <v>28.069089632508874</v>
      </c>
      <c r="AB215" s="199">
        <f t="shared" si="88"/>
        <v>43666</v>
      </c>
      <c r="AC215" s="426">
        <f>IF(OR(t&lt;Tnet,NoTnet),'2018'!Resal_s+('2018'!Salim-'2018'!Resal_s)*(1-EXP(('2018'!Tnet_s-t)/'2018'!Tau_j)),Resal_s+(Salim-Resal_s)*(1-EXP((Tnet_s-t)/Tau_j)))*Salcycl</f>
        <v>7.4083679505056579E-2</v>
      </c>
      <c r="AD215" s="233">
        <f>(INDEX(Models!$BJ215:$BT215,,AH215)*(1-AF215)+INDEX(Models!$BJ215:$BT215,,AH215+1)*AF215-ERP_i)*AE215*Ramure*Pc/MaxiM</f>
        <v>1.385581181016125E-4</v>
      </c>
      <c r="AE215" s="307">
        <f t="shared" si="89"/>
        <v>1</v>
      </c>
      <c r="AF215" s="179">
        <f t="shared" si="90"/>
        <v>0.48645165637092669</v>
      </c>
      <c r="AG215" s="178">
        <f t="shared" si="91"/>
        <v>-2</v>
      </c>
      <c r="AH215" s="178">
        <f t="shared" si="92"/>
        <v>4</v>
      </c>
      <c r="AI215" s="227">
        <f t="shared" si="93"/>
        <v>-1.5135483436290733</v>
      </c>
      <c r="AJ215" s="267" t="b">
        <f t="shared" si="94"/>
        <v>0</v>
      </c>
      <c r="AK215" s="267" t="b">
        <f t="shared" si="95"/>
        <v>0</v>
      </c>
      <c r="AL215" s="267"/>
      <c r="AM215" s="267"/>
      <c r="AN215" s="75"/>
    </row>
    <row r="216" spans="1:40" s="6" customFormat="1" ht="11.25" customHeight="1" x14ac:dyDescent="0.2">
      <c r="A216" s="56">
        <f t="shared" si="96"/>
        <v>43667</v>
      </c>
      <c r="B216" s="618">
        <v>42.951999999999998</v>
      </c>
      <c r="C216" s="392"/>
      <c r="D216" s="395">
        <f t="shared" si="75"/>
        <v>43.307308406648865</v>
      </c>
      <c r="E216" s="387">
        <f t="shared" si="73"/>
        <v>46.781317041118712</v>
      </c>
      <c r="F216" s="387">
        <f t="shared" si="76"/>
        <v>46.78589333102213</v>
      </c>
      <c r="G216" s="110">
        <f t="shared" si="74"/>
        <v>0.75804749124097448</v>
      </c>
      <c r="H216" s="414" t="b">
        <f>Wh_hp&gt;='2018'!Maxi_hp</f>
        <v>1</v>
      </c>
      <c r="I216" s="392">
        <f>IF(H216,Wh_hp,'2018'!Maxi_hp)</f>
        <v>46.78589333102213</v>
      </c>
      <c r="J216" s="85">
        <f>IF(H216,An,'2018'!An_max)</f>
        <v>2019</v>
      </c>
      <c r="K216" s="199">
        <f t="shared" si="77"/>
        <v>43667</v>
      </c>
      <c r="L216" s="147">
        <f>IF(t&lt;Tvie,1-EXP((T0-t)*PertePVj)+'2018'!Pspv,1-EXP((T0-t)*PertePVj)+Pspv)</f>
        <v>8.2043520994788954E-3</v>
      </c>
      <c r="M216" s="870"/>
      <c r="N216" s="870"/>
      <c r="O216" s="48">
        <f>IF(t&lt;Tnet,'2018'!Resal+('2018'!Salim-'2018'!Resal)*(1-EXP(('2018'!Tnet-t)/('2018'!Tau_j))),Resal+(Salim-Resal)*(1-EXP((Tnet-t)/(Tau_j))))*Salcycl</f>
        <v>7.42605991921165E-2</v>
      </c>
      <c r="P216" s="171">
        <f>(INDEX(Models!$BJ216:$BT216,,T216)*(1-R216)+INDEX(Models!$BJ216:$BT216,,T216+1)*R216-ERP_i)*Q216*Ramure*Pc/MaxiM</f>
        <v>1.4946826847757094E-4</v>
      </c>
      <c r="Q216" s="307">
        <f t="shared" si="78"/>
        <v>1</v>
      </c>
      <c r="R216" s="179">
        <f t="shared" si="79"/>
        <v>0.49030847823221047</v>
      </c>
      <c r="S216" s="837">
        <f t="shared" si="80"/>
        <v>-2</v>
      </c>
      <c r="T216" s="178">
        <f t="shared" si="81"/>
        <v>4</v>
      </c>
      <c r="U216" s="253">
        <f t="shared" si="82"/>
        <v>-1.5096915217677895</v>
      </c>
      <c r="V216" s="385">
        <f t="shared" si="83"/>
        <v>56.658430509585848</v>
      </c>
      <c r="W216" s="58"/>
      <c r="X216" s="157">
        <f t="shared" si="84"/>
        <v>43667</v>
      </c>
      <c r="Y216" s="387">
        <f t="shared" si="85"/>
        <v>42.951999999999998</v>
      </c>
      <c r="Z216" s="387">
        <f t="shared" si="86"/>
        <v>43.307308406648865</v>
      </c>
      <c r="AA216" s="388">
        <f t="shared" si="87"/>
        <v>46.781317041118712</v>
      </c>
      <c r="AB216" s="199">
        <f t="shared" si="88"/>
        <v>43667</v>
      </c>
      <c r="AC216" s="426">
        <f>IF(OR(t&lt;Tnet,NoTnet),'2018'!Resal_s+('2018'!Salim-'2018'!Resal_s)*(1-EXP(('2018'!Tnet_s-t)/'2018'!Tau_j)),Resal_s+(Salim-Resal_s)*(1-EXP((Tnet_s-t)/Tau_j)))*Salcycl</f>
        <v>7.42605991921165E-2</v>
      </c>
      <c r="AD216" s="233">
        <f>(INDEX(Models!$BJ216:$BT216,,AH216)*(1-AF216)+INDEX(Models!$BJ216:$BT216,,AH216+1)*AF216-ERP_i)*AE216*Ramure*Pc/MaxiM</f>
        <v>1.4946826847757094E-4</v>
      </c>
      <c r="AE216" s="307">
        <f t="shared" si="89"/>
        <v>1</v>
      </c>
      <c r="AF216" s="179">
        <f t="shared" si="90"/>
        <v>0.49030847823221047</v>
      </c>
      <c r="AG216" s="178">
        <f t="shared" si="91"/>
        <v>-2</v>
      </c>
      <c r="AH216" s="178">
        <f t="shared" si="92"/>
        <v>4</v>
      </c>
      <c r="AI216" s="227">
        <f t="shared" si="93"/>
        <v>-1.5096915217677895</v>
      </c>
      <c r="AJ216" s="267" t="b">
        <f t="shared" si="94"/>
        <v>0</v>
      </c>
      <c r="AK216" s="267" t="b">
        <f t="shared" si="95"/>
        <v>0</v>
      </c>
      <c r="AL216" s="267"/>
      <c r="AM216" s="267"/>
      <c r="AN216" s="75"/>
    </row>
    <row r="217" spans="1:40" s="6" customFormat="1" ht="11.25" customHeight="1" x14ac:dyDescent="0.2">
      <c r="A217" s="56">
        <f t="shared" si="96"/>
        <v>43668</v>
      </c>
      <c r="B217" s="618">
        <v>48.713000000000001</v>
      </c>
      <c r="C217" s="392"/>
      <c r="D217" s="395">
        <f t="shared" si="75"/>
        <v>49.117107694692059</v>
      </c>
      <c r="E217" s="387">
        <f t="shared" si="73"/>
        <v>53.067248095817881</v>
      </c>
      <c r="F217" s="387">
        <f t="shared" si="76"/>
        <v>53.074109639239175</v>
      </c>
      <c r="G217" s="110">
        <f t="shared" si="74"/>
        <v>0.86201000627002367</v>
      </c>
      <c r="H217" s="414" t="b">
        <f>Wh_hp&gt;='2018'!Maxi_hp</f>
        <v>1</v>
      </c>
      <c r="I217" s="392">
        <f>IF(H217,Wh_hp,'2018'!Maxi_hp)</f>
        <v>53.074109639239175</v>
      </c>
      <c r="J217" s="85">
        <f>IF(H217,An,'2018'!An_max)</f>
        <v>2019</v>
      </c>
      <c r="K217" s="199">
        <f t="shared" si="77"/>
        <v>43668</v>
      </c>
      <c r="L217" s="147">
        <f>IF(t&lt;Tvie,1-EXP((T0-t)*PertePVj)+'2018'!Pspv,1-EXP((T0-t)*PertePVj)+Pspv)</f>
        <v>8.227432633125753E-3</v>
      </c>
      <c r="M217" s="870"/>
      <c r="N217" s="870"/>
      <c r="O217" s="48">
        <f>IF(t&lt;Tnet,'2018'!Resal+('2018'!Salim-'2018'!Resal)*(1-EXP(('2018'!Tnet-t)/('2018'!Tau_j))),Resal+(Salim-Resal)*(1-EXP((Tnet-t)/(Tau_j))))*Salcycl</f>
        <v>7.4436503547225058E-2</v>
      </c>
      <c r="P217" s="171">
        <f>(INDEX(Models!$BJ217:$BT217,,T217)*(1-R217)+INDEX(Models!$BJ217:$BT217,,T217+1)*R217-ERP_i)*Q217*Ramure*Pc/MaxiM</f>
        <v>1.6101708078284049E-4</v>
      </c>
      <c r="Q217" s="307">
        <f t="shared" si="78"/>
        <v>1</v>
      </c>
      <c r="R217" s="179">
        <f t="shared" si="79"/>
        <v>0.49405792415240146</v>
      </c>
      <c r="S217" s="837">
        <f t="shared" si="80"/>
        <v>-2</v>
      </c>
      <c r="T217" s="178">
        <f t="shared" si="81"/>
        <v>4</v>
      </c>
      <c r="U217" s="253">
        <f t="shared" si="82"/>
        <v>-1.5059420758475985</v>
      </c>
      <c r="V217" s="385">
        <f t="shared" si="83"/>
        <v>56.509151343773645</v>
      </c>
      <c r="W217" s="58"/>
      <c r="X217" s="157">
        <f t="shared" si="84"/>
        <v>43668</v>
      </c>
      <c r="Y217" s="387">
        <f t="shared" si="85"/>
        <v>48.713000000000001</v>
      </c>
      <c r="Z217" s="387">
        <f t="shared" si="86"/>
        <v>49.117107694692059</v>
      </c>
      <c r="AA217" s="388">
        <f t="shared" si="87"/>
        <v>53.067248095817881</v>
      </c>
      <c r="AB217" s="199">
        <f t="shared" si="88"/>
        <v>43668</v>
      </c>
      <c r="AC217" s="426">
        <f>IF(OR(t&lt;Tnet,NoTnet),'2018'!Resal_s+('2018'!Salim-'2018'!Resal_s)*(1-EXP(('2018'!Tnet_s-t)/'2018'!Tau_j)),Resal_s+(Salim-Resal_s)*(1-EXP((Tnet_s-t)/Tau_j)))*Salcycl</f>
        <v>7.4436503547225058E-2</v>
      </c>
      <c r="AD217" s="233">
        <f>(INDEX(Models!$BJ217:$BT217,,AH217)*(1-AF217)+INDEX(Models!$BJ217:$BT217,,AH217+1)*AF217-ERP_i)*AE217*Ramure*Pc/MaxiM</f>
        <v>1.6101708078284049E-4</v>
      </c>
      <c r="AE217" s="307">
        <f t="shared" si="89"/>
        <v>1</v>
      </c>
      <c r="AF217" s="179">
        <f t="shared" si="90"/>
        <v>0.49405792415240146</v>
      </c>
      <c r="AG217" s="178">
        <f t="shared" si="91"/>
        <v>-2</v>
      </c>
      <c r="AH217" s="178">
        <f t="shared" si="92"/>
        <v>4</v>
      </c>
      <c r="AI217" s="227">
        <f t="shared" si="93"/>
        <v>-1.5059420758475985</v>
      </c>
      <c r="AJ217" s="267" t="b">
        <f t="shared" si="94"/>
        <v>0</v>
      </c>
      <c r="AK217" s="267" t="b">
        <f t="shared" si="95"/>
        <v>0</v>
      </c>
      <c r="AL217" s="267"/>
      <c r="AM217" s="267"/>
      <c r="AN217" s="75"/>
    </row>
    <row r="218" spans="1:40" s="6" customFormat="1" ht="11.25" x14ac:dyDescent="0.2">
      <c r="A218" s="56">
        <f t="shared" si="96"/>
        <v>43669</v>
      </c>
      <c r="B218" s="618">
        <v>52.298000000000002</v>
      </c>
      <c r="C218" s="392"/>
      <c r="D218" s="395">
        <f t="shared" si="75"/>
        <v>52.733074900466839</v>
      </c>
      <c r="E218" s="387">
        <f t="shared" si="73"/>
        <v>56.984792598092525</v>
      </c>
      <c r="F218" s="387">
        <f t="shared" si="76"/>
        <v>56.993648476218958</v>
      </c>
      <c r="G218" s="110">
        <f t="shared" si="74"/>
        <v>0.92793910212203623</v>
      </c>
      <c r="H218" s="414" t="b">
        <f>Wh_hp&gt;='2018'!Maxi_hp</f>
        <v>1</v>
      </c>
      <c r="I218" s="392">
        <f>IF(H218,Wh_hp,'2018'!Maxi_hp)</f>
        <v>56.993648476218958</v>
      </c>
      <c r="J218" s="85">
        <f>IF(H218,An,'2018'!An_max)</f>
        <v>2019</v>
      </c>
      <c r="K218" s="199">
        <f t="shared" si="77"/>
        <v>43669</v>
      </c>
      <c r="L218" s="147">
        <f>IF(t&lt;Tvie,1-EXP((T0-t)*PertePVj)+'2018'!Pspv,1-EXP((T0-t)*PertePVj)+Pspv)</f>
        <v>8.2505126296548159E-3</v>
      </c>
      <c r="M218" s="870"/>
      <c r="N218" s="870"/>
      <c r="O218" s="48">
        <f>IF(t&lt;Tnet,'2018'!Resal+('2018'!Salim-'2018'!Resal)*(1-EXP(('2018'!Tnet-t)/('2018'!Tau_j))),Resal+(Salim-Resal)*(1-EXP((Tnet-t)/(Tau_j))))*Salcycl</f>
        <v>7.4611444628965864E-2</v>
      </c>
      <c r="P218" s="171">
        <f>(INDEX(Models!$BJ218:$BT218,,T218)*(1-R218)+INDEX(Models!$BJ218:$BT218,,T218+1)*R218-ERP_i)*Q218*Ramure*Pc/MaxiM</f>
        <v>1.7321051035644634E-4</v>
      </c>
      <c r="Q218" s="307">
        <f t="shared" si="78"/>
        <v>1</v>
      </c>
      <c r="R218" s="179">
        <f t="shared" si="79"/>
        <v>0.49770138181798629</v>
      </c>
      <c r="S218" s="837">
        <f t="shared" si="80"/>
        <v>-2</v>
      </c>
      <c r="T218" s="178">
        <f t="shared" si="81"/>
        <v>4</v>
      </c>
      <c r="U218" s="253">
        <f t="shared" si="82"/>
        <v>-1.5022986181820137</v>
      </c>
      <c r="V218" s="385">
        <f t="shared" si="83"/>
        <v>56.358297030075406</v>
      </c>
      <c r="W218" s="58"/>
      <c r="X218" s="157">
        <f t="shared" si="84"/>
        <v>43669</v>
      </c>
      <c r="Y218" s="387">
        <f t="shared" si="85"/>
        <v>52.298000000000002</v>
      </c>
      <c r="Z218" s="387">
        <f t="shared" si="86"/>
        <v>52.733074900466839</v>
      </c>
      <c r="AA218" s="388">
        <f t="shared" si="87"/>
        <v>56.984792598092525</v>
      </c>
      <c r="AB218" s="199">
        <f t="shared" si="88"/>
        <v>43669</v>
      </c>
      <c r="AC218" s="426">
        <f>IF(OR(t&lt;Tnet,NoTnet),'2018'!Resal_s+('2018'!Salim-'2018'!Resal_s)*(1-EXP(('2018'!Tnet_s-t)/'2018'!Tau_j)),Resal_s+(Salim-Resal_s)*(1-EXP((Tnet_s-t)/Tau_j)))*Salcycl</f>
        <v>7.4611444628965864E-2</v>
      </c>
      <c r="AD218" s="233">
        <f>(INDEX(Models!$BJ218:$BT218,,AH218)*(1-AF218)+INDEX(Models!$BJ218:$BT218,,AH218+1)*AF218-ERP_i)*AE218*Ramure*Pc/MaxiM</f>
        <v>1.7321051035644634E-4</v>
      </c>
      <c r="AE218" s="307">
        <f t="shared" si="89"/>
        <v>1</v>
      </c>
      <c r="AF218" s="179">
        <f t="shared" si="90"/>
        <v>0.49770138181798629</v>
      </c>
      <c r="AG218" s="178">
        <f t="shared" si="91"/>
        <v>-2</v>
      </c>
      <c r="AH218" s="178">
        <f t="shared" si="92"/>
        <v>4</v>
      </c>
      <c r="AI218" s="227">
        <f t="shared" si="93"/>
        <v>-1.5022986181820137</v>
      </c>
      <c r="AJ218" s="267" t="b">
        <f t="shared" si="94"/>
        <v>0</v>
      </c>
      <c r="AK218" s="267" t="b">
        <f t="shared" si="95"/>
        <v>0</v>
      </c>
      <c r="AL218" s="267"/>
      <c r="AM218" s="267"/>
      <c r="AN218" s="75"/>
    </row>
    <row r="219" spans="1:40" s="6" customFormat="1" ht="11.25" customHeight="1" x14ac:dyDescent="0.2">
      <c r="A219" s="56">
        <f t="shared" si="96"/>
        <v>43670</v>
      </c>
      <c r="B219" s="618">
        <v>52.521999999999998</v>
      </c>
      <c r="C219" s="392"/>
      <c r="D219" s="395">
        <f t="shared" si="75"/>
        <v>52.960170850585662</v>
      </c>
      <c r="E219" s="387">
        <f t="shared" si="73"/>
        <v>57.24096331080694</v>
      </c>
      <c r="F219" s="387">
        <f t="shared" si="76"/>
        <v>57.250617661501515</v>
      </c>
      <c r="G219" s="110">
        <f t="shared" si="74"/>
        <v>0.93443905638745439</v>
      </c>
      <c r="H219" s="414" t="b">
        <f>Wh_hp&gt;='2018'!Maxi_hp</f>
        <v>1</v>
      </c>
      <c r="I219" s="392">
        <f>IF(H219,Wh_hp,'2018'!Maxi_hp)</f>
        <v>57.250617661501515</v>
      </c>
      <c r="J219" s="85">
        <f>IF(H219,An,'2018'!An_max)</f>
        <v>2019</v>
      </c>
      <c r="K219" s="199">
        <f t="shared" si="77"/>
        <v>43670</v>
      </c>
      <c r="L219" s="147">
        <f>IF(t&lt;Tvie,1-EXP((T0-t)*PertePVj)+'2018'!Pspv,1-EXP((T0-t)*PertePVj)+Pspv)</f>
        <v>8.2735920890787407E-3</v>
      </c>
      <c r="M219" s="870"/>
      <c r="N219" s="870"/>
      <c r="O219" s="48">
        <f>IF(t&lt;Tnet,'2018'!Resal+('2018'!Salim-'2018'!Resal)*(1-EXP(('2018'!Tnet-t)/('2018'!Tau_j))),Resal+(Salim-Resal)*(1-EXP((Tnet-t)/(Tau_j))))*Salcycl</f>
        <v>7.4785472022499577E-2</v>
      </c>
      <c r="P219" s="171">
        <f>(INDEX(Models!$BJ219:$BT219,,T219)*(1-R219)+INDEX(Models!$BJ219:$BT219,,T219+1)*R219-ERP_i)*Q219*Ramure*Pc/MaxiM</f>
        <v>1.8605437124833094E-4</v>
      </c>
      <c r="Q219" s="307">
        <f t="shared" si="78"/>
        <v>1</v>
      </c>
      <c r="R219" s="179">
        <f t="shared" si="79"/>
        <v>0.50124033547801439</v>
      </c>
      <c r="S219" s="837">
        <f t="shared" si="80"/>
        <v>-2</v>
      </c>
      <c r="T219" s="178">
        <f t="shared" si="81"/>
        <v>4</v>
      </c>
      <c r="U219" s="253">
        <f t="shared" si="82"/>
        <v>-1.4987596645219856</v>
      </c>
      <c r="V219" s="385">
        <f t="shared" si="83"/>
        <v>56.206003471371993</v>
      </c>
      <c r="W219" s="58"/>
      <c r="X219" s="157">
        <f t="shared" si="84"/>
        <v>43670</v>
      </c>
      <c r="Y219" s="387">
        <f t="shared" si="85"/>
        <v>52.521999999999998</v>
      </c>
      <c r="Z219" s="387">
        <f t="shared" si="86"/>
        <v>52.960170850585662</v>
      </c>
      <c r="AA219" s="388">
        <f t="shared" si="87"/>
        <v>57.24096331080694</v>
      </c>
      <c r="AB219" s="199">
        <f t="shared" si="88"/>
        <v>43670</v>
      </c>
      <c r="AC219" s="426">
        <f>IF(OR(t&lt;Tnet,NoTnet),'2018'!Resal_s+('2018'!Salim-'2018'!Resal_s)*(1-EXP(('2018'!Tnet_s-t)/'2018'!Tau_j)),Resal_s+(Salim-Resal_s)*(1-EXP((Tnet_s-t)/Tau_j)))*Salcycl</f>
        <v>7.4785472022499577E-2</v>
      </c>
      <c r="AD219" s="233">
        <f>(INDEX(Models!$BJ219:$BT219,,AH219)*(1-AF219)+INDEX(Models!$BJ219:$BT219,,AH219+1)*AF219-ERP_i)*AE219*Ramure*Pc/MaxiM</f>
        <v>1.8605437124833094E-4</v>
      </c>
      <c r="AE219" s="307">
        <f t="shared" si="89"/>
        <v>1</v>
      </c>
      <c r="AF219" s="179">
        <f t="shared" si="90"/>
        <v>0.50124033547801439</v>
      </c>
      <c r="AG219" s="178">
        <f t="shared" si="91"/>
        <v>-2</v>
      </c>
      <c r="AH219" s="178">
        <f t="shared" si="92"/>
        <v>4</v>
      </c>
      <c r="AI219" s="227">
        <f t="shared" si="93"/>
        <v>-1.4987596645219856</v>
      </c>
      <c r="AJ219" s="267" t="b">
        <f t="shared" si="94"/>
        <v>0</v>
      </c>
      <c r="AK219" s="267" t="b">
        <f t="shared" si="95"/>
        <v>0</v>
      </c>
      <c r="AL219" s="267"/>
      <c r="AM219" s="267"/>
      <c r="AN219" s="75"/>
    </row>
    <row r="220" spans="1:40" s="6" customFormat="1" ht="11.25" customHeight="1" x14ac:dyDescent="0.2">
      <c r="A220" s="56">
        <f t="shared" si="96"/>
        <v>43671</v>
      </c>
      <c r="B220" s="618">
        <v>52.424999999999997</v>
      </c>
      <c r="C220" s="392"/>
      <c r="D220" s="395">
        <f t="shared" si="75"/>
        <v>52.863591829894084</v>
      </c>
      <c r="E220" s="387">
        <f t="shared" si="73"/>
        <v>57.147273295254685</v>
      </c>
      <c r="F220" s="387">
        <f t="shared" si="76"/>
        <v>57.157662008004706</v>
      </c>
      <c r="G220" s="110">
        <f t="shared" si="74"/>
        <v>0.93527340668123404</v>
      </c>
      <c r="H220" s="414" t="b">
        <f>Wh_hp&gt;='2018'!Maxi_hp</f>
        <v>1</v>
      </c>
      <c r="I220" s="392">
        <f>IF(H220,Wh_hp,'2018'!Maxi_hp)</f>
        <v>57.157662008004706</v>
      </c>
      <c r="J220" s="85">
        <f>IF(H220,An,'2018'!An_max)</f>
        <v>2019</v>
      </c>
      <c r="K220" s="199">
        <f t="shared" si="77"/>
        <v>43671</v>
      </c>
      <c r="L220" s="147">
        <f>IF(t&lt;Tvie,1-EXP((T0-t)*PertePVj)+'2018'!Pspv,1-EXP((T0-t)*PertePVj)+Pspv)</f>
        <v>8.2966710114098507E-3</v>
      </c>
      <c r="M220" s="870"/>
      <c r="N220" s="870"/>
      <c r="O220" s="48">
        <f>IF(t&lt;Tnet,'2018'!Resal+('2018'!Salim-'2018'!Resal)*(1-EXP(('2018'!Tnet-t)/('2018'!Tau_j))),Resal+(Salim-Resal)*(1-EXP((Tnet-t)/(Tau_j))))*Salcycl</f>
        <v>7.4958632640768602E-2</v>
      </c>
      <c r="P220" s="171">
        <f>(INDEX(Models!$BJ220:$BT220,,T220)*(1-R220)+INDEX(Models!$BJ220:$BT220,,T220+1)*R220-ERP_i)*Q220*Ramure*Pc/MaxiM</f>
        <v>2.0026857482519702E-4</v>
      </c>
      <c r="Q220" s="307">
        <f t="shared" si="78"/>
        <v>1</v>
      </c>
      <c r="R220" s="179">
        <f t="shared" si="79"/>
        <v>0.50467635686000345</v>
      </c>
      <c r="S220" s="837">
        <f t="shared" si="80"/>
        <v>-2</v>
      </c>
      <c r="T220" s="178">
        <f t="shared" si="81"/>
        <v>4</v>
      </c>
      <c r="U220" s="253">
        <f t="shared" si="82"/>
        <v>-1.4953236431399966</v>
      </c>
      <c r="V220" s="385">
        <f t="shared" si="83"/>
        <v>56.052090110748651</v>
      </c>
      <c r="W220" s="58"/>
      <c r="X220" s="157">
        <f t="shared" si="84"/>
        <v>43671</v>
      </c>
      <c r="Y220" s="387">
        <f t="shared" si="85"/>
        <v>52.424999999999997</v>
      </c>
      <c r="Z220" s="387">
        <f t="shared" si="86"/>
        <v>52.863591829894084</v>
      </c>
      <c r="AA220" s="388">
        <f t="shared" si="87"/>
        <v>57.147273295254685</v>
      </c>
      <c r="AB220" s="199">
        <f t="shared" si="88"/>
        <v>43671</v>
      </c>
      <c r="AC220" s="426">
        <f>IF(OR(t&lt;Tnet,NoTnet),'2018'!Resal_s+('2018'!Salim-'2018'!Resal_s)*(1-EXP(('2018'!Tnet_s-t)/'2018'!Tau_j)),Resal_s+(Salim-Resal_s)*(1-EXP((Tnet_s-t)/Tau_j)))*Salcycl</f>
        <v>7.4958632640768602E-2</v>
      </c>
      <c r="AD220" s="233">
        <f>(INDEX(Models!$BJ220:$BT220,,AH220)*(1-AF220)+INDEX(Models!$BJ220:$BT220,,AH220+1)*AF220-ERP_i)*AE220*Ramure*Pc/MaxiM</f>
        <v>2.0026857482519702E-4</v>
      </c>
      <c r="AE220" s="307">
        <f t="shared" si="89"/>
        <v>1</v>
      </c>
      <c r="AF220" s="179">
        <f t="shared" si="90"/>
        <v>0.50467635686000345</v>
      </c>
      <c r="AG220" s="178">
        <f t="shared" si="91"/>
        <v>-2</v>
      </c>
      <c r="AH220" s="178">
        <f t="shared" si="92"/>
        <v>4</v>
      </c>
      <c r="AI220" s="227">
        <f t="shared" si="93"/>
        <v>-1.4953236431399966</v>
      </c>
      <c r="AJ220" s="267" t="b">
        <f t="shared" si="94"/>
        <v>0</v>
      </c>
      <c r="AK220" s="267" t="b">
        <f t="shared" si="95"/>
        <v>0</v>
      </c>
      <c r="AL220" s="267"/>
      <c r="AM220" s="267"/>
      <c r="AN220" s="75"/>
    </row>
    <row r="221" spans="1:40" s="6" customFormat="1" ht="11.25" customHeight="1" x14ac:dyDescent="0.2">
      <c r="A221" s="56">
        <f t="shared" si="96"/>
        <v>43672</v>
      </c>
      <c r="B221" s="618">
        <v>24.744</v>
      </c>
      <c r="C221" s="392"/>
      <c r="D221" s="395">
        <f t="shared" si="75"/>
        <v>24.95159098403515</v>
      </c>
      <c r="E221" s="387">
        <f t="shared" si="73"/>
        <v>26.978512837604633</v>
      </c>
      <c r="F221" s="387">
        <f t="shared" si="76"/>
        <v>26.979697725883835</v>
      </c>
      <c r="G221" s="110">
        <f t="shared" si="74"/>
        <v>0.4426003879824561</v>
      </c>
      <c r="H221" s="414" t="b">
        <f>Wh_hp&gt;='2018'!Maxi_hp</f>
        <v>1</v>
      </c>
      <c r="I221" s="392">
        <f>IF(H221,Wh_hp,'2018'!Maxi_hp)</f>
        <v>26.979697725883835</v>
      </c>
      <c r="J221" s="85">
        <f>IF(H221,An,'2018'!An_max)</f>
        <v>2019</v>
      </c>
      <c r="K221" s="199">
        <f t="shared" si="77"/>
        <v>43672</v>
      </c>
      <c r="L221" s="147">
        <f>IF(t&lt;Tvie,1-EXP((T0-t)*PertePVj)+'2018'!Pspv,1-EXP((T0-t)*PertePVj)+Pspv)</f>
        <v>8.3197493966606917E-3</v>
      </c>
      <c r="M221" s="870"/>
      <c r="N221" s="870"/>
      <c r="O221" s="48">
        <f>IF(t&lt;Tnet,'2018'!Resal+('2018'!Salim-'2018'!Resal)*(1-EXP(('2018'!Tnet-t)/('2018'!Tau_j))),Resal+(Salim-Resal)*(1-EXP((Tnet-t)/(Tau_j))))*Salcycl</f>
        <v>7.5130970553136334E-2</v>
      </c>
      <c r="P221" s="171">
        <f>(INDEX(Models!$BJ221:$BT221,,T221)*(1-R221)+INDEX(Models!$BJ221:$BT221,,T221+1)*R221-ERP_i)*Q221*Ramure*Pc/MaxiM</f>
        <v>2.1546980769762049E-4</v>
      </c>
      <c r="Q221" s="307">
        <f t="shared" si="78"/>
        <v>1</v>
      </c>
      <c r="R221" s="179">
        <f t="shared" si="79"/>
        <v>0.50801109634900588</v>
      </c>
      <c r="S221" s="837">
        <f t="shared" si="80"/>
        <v>-2</v>
      </c>
      <c r="T221" s="178">
        <f t="shared" si="81"/>
        <v>4</v>
      </c>
      <c r="U221" s="253">
        <f t="shared" si="82"/>
        <v>-1.4919889036509941</v>
      </c>
      <c r="V221" s="385">
        <f t="shared" si="83"/>
        <v>55.896369731686057</v>
      </c>
      <c r="W221" s="58"/>
      <c r="X221" s="157">
        <f t="shared" si="84"/>
        <v>43672</v>
      </c>
      <c r="Y221" s="387">
        <f t="shared" si="85"/>
        <v>24.744</v>
      </c>
      <c r="Z221" s="387">
        <f t="shared" si="86"/>
        <v>24.95159098403515</v>
      </c>
      <c r="AA221" s="388">
        <f t="shared" si="87"/>
        <v>26.978512837604633</v>
      </c>
      <c r="AB221" s="199">
        <f t="shared" si="88"/>
        <v>43672</v>
      </c>
      <c r="AC221" s="426">
        <f>IF(OR(t&lt;Tnet,NoTnet),'2018'!Resal_s+('2018'!Salim-'2018'!Resal_s)*(1-EXP(('2018'!Tnet_s-t)/'2018'!Tau_j)),Resal_s+(Salim-Resal_s)*(1-EXP((Tnet_s-t)/Tau_j)))*Salcycl</f>
        <v>7.5130970553136334E-2</v>
      </c>
      <c r="AD221" s="233">
        <f>(INDEX(Models!$BJ221:$BT221,,AH221)*(1-AF221)+INDEX(Models!$BJ221:$BT221,,AH221+1)*AF221-ERP_i)*AE221*Ramure*Pc/MaxiM</f>
        <v>2.1546980769762049E-4</v>
      </c>
      <c r="AE221" s="307">
        <f t="shared" si="89"/>
        <v>1</v>
      </c>
      <c r="AF221" s="179">
        <f t="shared" si="90"/>
        <v>0.50801109634900588</v>
      </c>
      <c r="AG221" s="178">
        <f t="shared" si="91"/>
        <v>-2</v>
      </c>
      <c r="AH221" s="178">
        <f t="shared" si="92"/>
        <v>4</v>
      </c>
      <c r="AI221" s="227">
        <f t="shared" si="93"/>
        <v>-1.4919889036509941</v>
      </c>
      <c r="AJ221" s="267" t="b">
        <f t="shared" si="94"/>
        <v>0</v>
      </c>
      <c r="AK221" s="267" t="b">
        <f t="shared" si="95"/>
        <v>0</v>
      </c>
      <c r="AL221" s="267"/>
      <c r="AM221" s="267"/>
      <c r="AN221" s="75"/>
    </row>
    <row r="222" spans="1:40" s="6" customFormat="1" ht="11.25" customHeight="1" x14ac:dyDescent="0.2">
      <c r="A222" s="56">
        <f t="shared" si="96"/>
        <v>43673</v>
      </c>
      <c r="B222" s="618">
        <v>12.273</v>
      </c>
      <c r="C222" s="392"/>
      <c r="D222" s="395">
        <f t="shared" si="75"/>
        <v>12.376252940218736</v>
      </c>
      <c r="E222" s="387">
        <f t="shared" si="73"/>
        <v>13.384110262515632</v>
      </c>
      <c r="F222" s="387">
        <f t="shared" si="76"/>
        <v>13.384110262515632</v>
      </c>
      <c r="G222" s="110">
        <f t="shared" si="74"/>
        <v>0.22013738050269113</v>
      </c>
      <c r="H222" s="414" t="b">
        <f>Wh_hp&gt;='2018'!Maxi_hp</f>
        <v>1</v>
      </c>
      <c r="I222" s="392">
        <f>IF(H222,Wh_hp,'2018'!Maxi_hp)</f>
        <v>13.384110262515632</v>
      </c>
      <c r="J222" s="85">
        <f>IF(H222,An,'2018'!An_max)</f>
        <v>2019</v>
      </c>
      <c r="K222" s="199">
        <f t="shared" si="77"/>
        <v>43673</v>
      </c>
      <c r="L222" s="147">
        <f>IF(t&lt;Tvie,1-EXP((T0-t)*PertePVj)+'2018'!Pspv,1-EXP((T0-t)*PertePVj)+Pspv)</f>
        <v>8.34282724484392E-3</v>
      </c>
      <c r="M222" s="870"/>
      <c r="N222" s="870"/>
      <c r="O222" s="48">
        <f>IF(t&lt;Tnet,'2018'!Resal+('2018'!Salim-'2018'!Resal)*(1-EXP(('2018'!Tnet-t)/('2018'!Tau_j))),Resal+(Salim-Resal)*(1-EXP((Tnet-t)/(Tau_j))))*Salcycl</f>
        <v>7.5302526841815154E-2</v>
      </c>
      <c r="P222" s="171">
        <f>(INDEX(Models!$BJ222:$BT222,,T222)*(1-R222)+INDEX(Models!$BJ222:$BT222,,T222+1)*R222-ERP_i)*Q222*Ramure*Pc/MaxiM</f>
        <v>2.3167088885998121E-4</v>
      </c>
      <c r="Q222" s="307">
        <f t="shared" si="78"/>
        <v>1</v>
      </c>
      <c r="R222" s="179">
        <f t="shared" si="79"/>
        <v>0.51124627445595827</v>
      </c>
      <c r="S222" s="837">
        <f t="shared" si="80"/>
        <v>-2</v>
      </c>
      <c r="T222" s="178">
        <f t="shared" si="81"/>
        <v>4</v>
      </c>
      <c r="U222" s="253">
        <f t="shared" si="82"/>
        <v>-1.4887537255440417</v>
      </c>
      <c r="V222" s="385">
        <f t="shared" si="83"/>
        <v>55.738633189700465</v>
      </c>
      <c r="W222" s="58"/>
      <c r="X222" s="157">
        <f t="shared" si="84"/>
        <v>43673</v>
      </c>
      <c r="Y222" s="387">
        <f t="shared" si="85"/>
        <v>12.273</v>
      </c>
      <c r="Z222" s="387">
        <f t="shared" si="86"/>
        <v>12.376252940218736</v>
      </c>
      <c r="AA222" s="388">
        <f t="shared" si="87"/>
        <v>13.384110262515632</v>
      </c>
      <c r="AB222" s="199">
        <f t="shared" si="88"/>
        <v>43673</v>
      </c>
      <c r="AC222" s="426">
        <f>IF(OR(t&lt;Tnet,NoTnet),'2018'!Resal_s+('2018'!Salim-'2018'!Resal_s)*(1-EXP(('2018'!Tnet_s-t)/'2018'!Tau_j)),Resal_s+(Salim-Resal_s)*(1-EXP((Tnet_s-t)/Tau_j)))*Salcycl</f>
        <v>7.5302526841815154E-2</v>
      </c>
      <c r="AD222" s="233">
        <f>(INDEX(Models!$BJ222:$BT222,,AH222)*(1-AF222)+INDEX(Models!$BJ222:$BT222,,AH222+1)*AF222-ERP_i)*AE222*Ramure*Pc/MaxiM</f>
        <v>2.3167088885998121E-4</v>
      </c>
      <c r="AE222" s="307">
        <f t="shared" si="89"/>
        <v>1</v>
      </c>
      <c r="AF222" s="179">
        <f t="shared" si="90"/>
        <v>0.51124627445595827</v>
      </c>
      <c r="AG222" s="178">
        <f t="shared" si="91"/>
        <v>-2</v>
      </c>
      <c r="AH222" s="178">
        <f t="shared" si="92"/>
        <v>4</v>
      </c>
      <c r="AI222" s="227">
        <f t="shared" si="93"/>
        <v>-1.4887537255440417</v>
      </c>
      <c r="AJ222" s="267" t="b">
        <f t="shared" si="94"/>
        <v>0</v>
      </c>
      <c r="AK222" s="267" t="b">
        <f t="shared" si="95"/>
        <v>0</v>
      </c>
      <c r="AL222" s="267"/>
      <c r="AM222" s="267"/>
      <c r="AN222" s="75"/>
    </row>
    <row r="223" spans="1:40" s="6" customFormat="1" ht="11.25" customHeight="1" x14ac:dyDescent="0.2">
      <c r="A223" s="56">
        <f t="shared" si="96"/>
        <v>43674</v>
      </c>
      <c r="B223" s="618">
        <v>56.353999999999999</v>
      </c>
      <c r="C223" s="392"/>
      <c r="D223" s="395">
        <f t="shared" si="75"/>
        <v>56.829429583868965</v>
      </c>
      <c r="E223" s="387">
        <f t="shared" si="73"/>
        <v>61.468675821942718</v>
      </c>
      <c r="F223" s="387">
        <f t="shared" si="76"/>
        <v>61.483978261170357</v>
      </c>
      <c r="G223" s="110">
        <f t="shared" si="74"/>
        <v>1.013950104354636</v>
      </c>
      <c r="H223" s="414" t="b">
        <f>Wh_hp&gt;='2018'!Maxi_hp</f>
        <v>1</v>
      </c>
      <c r="I223" s="392">
        <f>IF(H223,Wh_hp,'2018'!Maxi_hp)</f>
        <v>61.483978261170357</v>
      </c>
      <c r="J223" s="85">
        <f>IF(H223,An,'2018'!An_max)</f>
        <v>2019</v>
      </c>
      <c r="K223" s="199">
        <f t="shared" si="77"/>
        <v>43674</v>
      </c>
      <c r="L223" s="147">
        <f>IF(t&lt;Tvie,1-EXP((T0-t)*PertePVj)+'2018'!Pspv,1-EXP((T0-t)*PertePVj)+Pspv)</f>
        <v>8.3659045559717482E-3</v>
      </c>
      <c r="M223" s="870"/>
      <c r="N223" s="870"/>
      <c r="O223" s="48">
        <f>IF(t&lt;Tnet,'2018'!Resal+('2018'!Salim-'2018'!Resal)*(1-EXP(('2018'!Tnet-t)/('2018'!Tau_j))),Resal+(Salim-Resal)*(1-EXP((Tnet-t)/(Tau_j))))*Salcycl</f>
        <v>7.5473339486152785E-2</v>
      </c>
      <c r="P223" s="171">
        <f>(INDEX(Models!$BJ223:$BT223,,T223)*(1-R223)+INDEX(Models!$BJ223:$BT223,,T223+1)*R223-ERP_i)*Q223*Ramure*Pc/MaxiM</f>
        <v>2.488849885841432E-4</v>
      </c>
      <c r="Q223" s="307">
        <f t="shared" si="78"/>
        <v>1</v>
      </c>
      <c r="R223" s="179">
        <f t="shared" si="79"/>
        <v>0.5143836735971723</v>
      </c>
      <c r="S223" s="837">
        <f t="shared" si="80"/>
        <v>-2</v>
      </c>
      <c r="T223" s="178">
        <f t="shared" si="81"/>
        <v>4</v>
      </c>
      <c r="U223" s="253">
        <f t="shared" si="82"/>
        <v>-1.4856163264028277</v>
      </c>
      <c r="V223" s="385">
        <f t="shared" si="83"/>
        <v>55.578671729481684</v>
      </c>
      <c r="W223" s="58"/>
      <c r="X223" s="157">
        <f t="shared" si="84"/>
        <v>43674</v>
      </c>
      <c r="Y223" s="387">
        <f t="shared" si="85"/>
        <v>56.353999999999999</v>
      </c>
      <c r="Z223" s="387">
        <f t="shared" si="86"/>
        <v>56.829429583868965</v>
      </c>
      <c r="AA223" s="388">
        <f t="shared" si="87"/>
        <v>61.468675821942718</v>
      </c>
      <c r="AB223" s="199">
        <f t="shared" si="88"/>
        <v>43674</v>
      </c>
      <c r="AC223" s="426">
        <f>IF(OR(t&lt;Tnet,NoTnet),'2018'!Resal_s+('2018'!Salim-'2018'!Resal_s)*(1-EXP(('2018'!Tnet_s-t)/'2018'!Tau_j)),Resal_s+(Salim-Resal_s)*(1-EXP((Tnet_s-t)/Tau_j)))*Salcycl</f>
        <v>7.5473339486152785E-2</v>
      </c>
      <c r="AD223" s="233">
        <f>(INDEX(Models!$BJ223:$BT223,,AH223)*(1-AF223)+INDEX(Models!$BJ223:$BT223,,AH223+1)*AF223-ERP_i)*AE223*Ramure*Pc/MaxiM</f>
        <v>2.488849885841432E-4</v>
      </c>
      <c r="AE223" s="307">
        <f t="shared" si="89"/>
        <v>1</v>
      </c>
      <c r="AF223" s="179">
        <f t="shared" si="90"/>
        <v>0.5143836735971723</v>
      </c>
      <c r="AG223" s="178">
        <f t="shared" si="91"/>
        <v>-2</v>
      </c>
      <c r="AH223" s="178">
        <f t="shared" si="92"/>
        <v>4</v>
      </c>
      <c r="AI223" s="227">
        <f t="shared" si="93"/>
        <v>-1.4856163264028277</v>
      </c>
      <c r="AJ223" s="267" t="b">
        <f t="shared" si="94"/>
        <v>0</v>
      </c>
      <c r="AK223" s="267" t="b">
        <f t="shared" si="95"/>
        <v>0</v>
      </c>
      <c r="AL223" s="267"/>
      <c r="AM223" s="267"/>
      <c r="AN223" s="75"/>
    </row>
    <row r="224" spans="1:40" s="6" customFormat="1" ht="11.25" customHeight="1" x14ac:dyDescent="0.2">
      <c r="A224" s="56">
        <f t="shared" si="96"/>
        <v>43675</v>
      </c>
      <c r="B224" s="618">
        <v>55.177999999999997</v>
      </c>
      <c r="C224" s="392"/>
      <c r="D224" s="395">
        <f t="shared" si="75"/>
        <v>55.644803215287737</v>
      </c>
      <c r="E224" s="387">
        <f t="shared" si="73"/>
        <v>60.198418900614897</v>
      </c>
      <c r="F224" s="387">
        <f t="shared" si="76"/>
        <v>60.214404913663586</v>
      </c>
      <c r="G224" s="110">
        <f t="shared" si="74"/>
        <v>0.99569860045851943</v>
      </c>
      <c r="H224" s="414" t="b">
        <f>Wh_hp&gt;='2018'!Maxi_hp</f>
        <v>1</v>
      </c>
      <c r="I224" s="392">
        <f>IF(H224,Wh_hp,'2018'!Maxi_hp)</f>
        <v>60.214404913663586</v>
      </c>
      <c r="J224" s="85">
        <f>IF(H224,An,'2018'!An_max)</f>
        <v>2019</v>
      </c>
      <c r="K224" s="199">
        <f t="shared" si="77"/>
        <v>43675</v>
      </c>
      <c r="L224" s="147">
        <f>IF(t&lt;Tvie,1-EXP((T0-t)*PertePVj)+'2018'!Pspv,1-EXP((T0-t)*PertePVj)+Pspv)</f>
        <v>8.3889813300569438E-3</v>
      </c>
      <c r="M224" s="870"/>
      <c r="N224" s="870"/>
      <c r="O224" s="48">
        <f>IF(t&lt;Tnet,'2018'!Resal+('2018'!Salim-'2018'!Resal)*(1-EXP(('2018'!Tnet-t)/('2018'!Tau_j))),Resal+(Salim-Resal)*(1-EXP((Tnet-t)/(Tau_j))))*Salcycl</f>
        <v>7.5643443274564987E-2</v>
      </c>
      <c r="P224" s="171">
        <f>(INDEX(Models!$BJ224:$BT224,,T224)*(1-R224)+INDEX(Models!$BJ224:$BT224,,T224+1)*R224-ERP_i)*Q224*Ramure*Pc/MaxiM</f>
        <v>2.6712568855352626E-4</v>
      </c>
      <c r="Q224" s="307">
        <f t="shared" si="78"/>
        <v>1</v>
      </c>
      <c r="R224" s="179">
        <f t="shared" si="79"/>
        <v>0.51742513020281899</v>
      </c>
      <c r="S224" s="837">
        <f t="shared" si="80"/>
        <v>-2</v>
      </c>
      <c r="T224" s="178">
        <f t="shared" si="81"/>
        <v>4</v>
      </c>
      <c r="U224" s="253">
        <f t="shared" si="82"/>
        <v>-1.482574869797181</v>
      </c>
      <c r="V224" s="385">
        <f t="shared" si="83"/>
        <v>55.41627698691574</v>
      </c>
      <c r="W224" s="58"/>
      <c r="X224" s="157">
        <f t="shared" si="84"/>
        <v>43675</v>
      </c>
      <c r="Y224" s="387">
        <f t="shared" si="85"/>
        <v>55.177999999999997</v>
      </c>
      <c r="Z224" s="387">
        <f t="shared" si="86"/>
        <v>55.644803215287737</v>
      </c>
      <c r="AA224" s="388">
        <f t="shared" si="87"/>
        <v>60.198418900614897</v>
      </c>
      <c r="AB224" s="199">
        <f t="shared" si="88"/>
        <v>43675</v>
      </c>
      <c r="AC224" s="426">
        <f>IF(OR(t&lt;Tnet,NoTnet),'2018'!Resal_s+('2018'!Salim-'2018'!Resal_s)*(1-EXP(('2018'!Tnet_s-t)/'2018'!Tau_j)),Resal_s+(Salim-Resal_s)*(1-EXP((Tnet_s-t)/Tau_j)))*Salcycl</f>
        <v>7.5643443274564987E-2</v>
      </c>
      <c r="AD224" s="233">
        <f>(INDEX(Models!$BJ224:$BT224,,AH224)*(1-AF224)+INDEX(Models!$BJ224:$BT224,,AH224+1)*AF224-ERP_i)*AE224*Ramure*Pc/MaxiM</f>
        <v>2.6712568855352626E-4</v>
      </c>
      <c r="AE224" s="307">
        <f t="shared" si="89"/>
        <v>1</v>
      </c>
      <c r="AF224" s="179">
        <f t="shared" si="90"/>
        <v>0.51742513020281899</v>
      </c>
      <c r="AG224" s="178">
        <f t="shared" si="91"/>
        <v>-2</v>
      </c>
      <c r="AH224" s="178">
        <f t="shared" si="92"/>
        <v>4</v>
      </c>
      <c r="AI224" s="227">
        <f t="shared" si="93"/>
        <v>-1.482574869797181</v>
      </c>
      <c r="AJ224" s="267" t="b">
        <f t="shared" si="94"/>
        <v>0</v>
      </c>
      <c r="AK224" s="267" t="b">
        <f t="shared" si="95"/>
        <v>0</v>
      </c>
      <c r="AL224" s="267"/>
      <c r="AM224" s="267"/>
      <c r="AN224" s="75"/>
    </row>
    <row r="225" spans="1:40" s="6" customFormat="1" ht="11.25" customHeight="1" x14ac:dyDescent="0.2">
      <c r="A225" s="56">
        <f t="shared" si="96"/>
        <v>43676</v>
      </c>
      <c r="B225" s="618">
        <v>27.228999999999999</v>
      </c>
      <c r="C225" s="392"/>
      <c r="D225" s="395">
        <f t="shared" si="75"/>
        <v>27.459995059230856</v>
      </c>
      <c r="E225" s="387">
        <f t="shared" si="73"/>
        <v>29.712591920224359</v>
      </c>
      <c r="F225" s="387">
        <f t="shared" si="76"/>
        <v>29.714936235064584</v>
      </c>
      <c r="G225" s="110">
        <f t="shared" si="74"/>
        <v>0.49271923458149885</v>
      </c>
      <c r="H225" s="414" t="b">
        <f>Wh_hp&gt;='2018'!Maxi_hp</f>
        <v>1</v>
      </c>
      <c r="I225" s="392">
        <f>IF(H225,Wh_hp,'2018'!Maxi_hp)</f>
        <v>29.714936235064584</v>
      </c>
      <c r="J225" s="85">
        <f>IF(H225,An,'2018'!An_max)</f>
        <v>2019</v>
      </c>
      <c r="K225" s="199">
        <f t="shared" si="77"/>
        <v>43676</v>
      </c>
      <c r="L225" s="147">
        <f>IF(t&lt;Tvie,1-EXP((T0-t)*PertePVj)+'2018'!Pspv,1-EXP((T0-t)*PertePVj)+Pspv)</f>
        <v>8.4120575671118303E-3</v>
      </c>
      <c r="M225" s="870"/>
      <c r="N225" s="870"/>
      <c r="O225" s="48">
        <f>IF(t&lt;Tnet,'2018'!Resal+('2018'!Salim-'2018'!Resal)*(1-EXP(('2018'!Tnet-t)/('2018'!Tau_j))),Resal+(Salim-Resal)*(1-EXP((Tnet-t)/(Tau_j))))*Salcycl</f>
        <v>7.5812869743626651E-2</v>
      </c>
      <c r="P225" s="171">
        <f>(INDEX(Models!$BJ225:$BT225,,T225)*(1-R225)+INDEX(Models!$BJ225:$BT225,,T225+1)*R225-ERP_i)*Q225*Ramure*Pc/MaxiM</f>
        <v>2.864070440705871E-4</v>
      </c>
      <c r="Q225" s="307">
        <f t="shared" si="78"/>
        <v>1</v>
      </c>
      <c r="R225" s="179">
        <f t="shared" si="79"/>
        <v>0.52037252716845428</v>
      </c>
      <c r="S225" s="837">
        <f t="shared" si="80"/>
        <v>-2</v>
      </c>
      <c r="T225" s="178">
        <f t="shared" si="81"/>
        <v>4</v>
      </c>
      <c r="U225" s="253">
        <f t="shared" si="82"/>
        <v>-1.4796274728315457</v>
      </c>
      <c r="V225" s="385">
        <f t="shared" si="83"/>
        <v>55.25124098428185</v>
      </c>
      <c r="W225" s="58"/>
      <c r="X225" s="157">
        <f t="shared" si="84"/>
        <v>43676</v>
      </c>
      <c r="Y225" s="387">
        <f t="shared" si="85"/>
        <v>27.228999999999999</v>
      </c>
      <c r="Z225" s="387">
        <f t="shared" si="86"/>
        <v>27.459995059230856</v>
      </c>
      <c r="AA225" s="388">
        <f t="shared" si="87"/>
        <v>29.712591920224359</v>
      </c>
      <c r="AB225" s="199">
        <f t="shared" si="88"/>
        <v>43676</v>
      </c>
      <c r="AC225" s="426">
        <f>IF(OR(t&lt;Tnet,NoTnet),'2018'!Resal_s+('2018'!Salim-'2018'!Resal_s)*(1-EXP(('2018'!Tnet_s-t)/'2018'!Tau_j)),Resal_s+(Salim-Resal_s)*(1-EXP((Tnet_s-t)/Tau_j)))*Salcycl</f>
        <v>7.5812869743626651E-2</v>
      </c>
      <c r="AD225" s="233">
        <f>(INDEX(Models!$BJ225:$BT225,,AH225)*(1-AF225)+INDEX(Models!$BJ225:$BT225,,AH225+1)*AF225-ERP_i)*AE225*Ramure*Pc/MaxiM</f>
        <v>2.864070440705871E-4</v>
      </c>
      <c r="AE225" s="307">
        <f t="shared" si="89"/>
        <v>1</v>
      </c>
      <c r="AF225" s="179">
        <f t="shared" si="90"/>
        <v>0.52037252716845428</v>
      </c>
      <c r="AG225" s="178">
        <f t="shared" si="91"/>
        <v>-2</v>
      </c>
      <c r="AH225" s="178">
        <f t="shared" si="92"/>
        <v>4</v>
      </c>
      <c r="AI225" s="227">
        <f t="shared" si="93"/>
        <v>-1.4796274728315457</v>
      </c>
      <c r="AJ225" s="267" t="b">
        <f t="shared" si="94"/>
        <v>0</v>
      </c>
      <c r="AK225" s="267" t="b">
        <f t="shared" si="95"/>
        <v>0</v>
      </c>
      <c r="AL225" s="267"/>
      <c r="AM225" s="267"/>
      <c r="AN225" s="75"/>
    </row>
    <row r="226" spans="1:40" s="6" customFormat="1" ht="11.25" customHeight="1" x14ac:dyDescent="0.2">
      <c r="A226" s="56">
        <f t="shared" si="96"/>
        <v>43677</v>
      </c>
      <c r="B226" s="618">
        <v>50.145000000000003</v>
      </c>
      <c r="C226" s="392"/>
      <c r="D226" s="395">
        <f t="shared" si="75"/>
        <v>50.571577999959686</v>
      </c>
      <c r="E226" s="387">
        <f t="shared" si="73"/>
        <v>54.730057951367414</v>
      </c>
      <c r="F226" s="387">
        <f t="shared" si="76"/>
        <v>54.744789701316236</v>
      </c>
      <c r="G226" s="110">
        <f t="shared" si="74"/>
        <v>0.91031330157112511</v>
      </c>
      <c r="H226" s="414" t="b">
        <f>Wh_hp&gt;='2018'!Maxi_hp</f>
        <v>1</v>
      </c>
      <c r="I226" s="392">
        <f>IF(H226,Wh_hp,'2018'!Maxi_hp)</f>
        <v>54.744789701316236</v>
      </c>
      <c r="J226" s="85">
        <f>IF(H226,An,'2018'!An_max)</f>
        <v>2019</v>
      </c>
      <c r="K226" s="199">
        <f t="shared" si="77"/>
        <v>43677</v>
      </c>
      <c r="L226" s="147">
        <f>IF(t&lt;Tvie,1-EXP((T0-t)*PertePVj)+'2018'!Pspv,1-EXP((T0-t)*PertePVj)+Pspv)</f>
        <v>8.4351332671490642E-3</v>
      </c>
      <c r="M226" s="870"/>
      <c r="N226" s="870"/>
      <c r="O226" s="48">
        <f>IF(t&lt;Tnet,'2018'!Resal+('2018'!Salim-'2018'!Resal)*(1-EXP(('2018'!Tnet-t)/('2018'!Tau_j))),Resal+(Salim-Resal)*(1-EXP((Tnet-t)/(Tau_j))))*Salcycl</f>
        <v>7.5981647143566103E-2</v>
      </c>
      <c r="P226" s="171">
        <f>(INDEX(Models!$BJ226:$BT226,,T226)*(1-R226)+INDEX(Models!$BJ226:$BT226,,T226+1)*R226-ERP_i)*Q226*Ramure*Pc/MaxiM</f>
        <v>3.0862502656784914E-4</v>
      </c>
      <c r="Q226" s="307">
        <f t="shared" si="78"/>
        <v>1</v>
      </c>
      <c r="R226" s="179">
        <f t="shared" si="79"/>
        <v>0.52322778666011671</v>
      </c>
      <c r="S226" s="837">
        <f t="shared" si="80"/>
        <v>-2</v>
      </c>
      <c r="T226" s="178">
        <f t="shared" si="81"/>
        <v>4</v>
      </c>
      <c r="U226" s="253">
        <f t="shared" si="82"/>
        <v>-1.4767722133398833</v>
      </c>
      <c r="V226" s="385">
        <f t="shared" si="83"/>
        <v>55.083252469957486</v>
      </c>
      <c r="W226" s="58"/>
      <c r="X226" s="157">
        <f t="shared" si="84"/>
        <v>43677</v>
      </c>
      <c r="Y226" s="387">
        <f t="shared" si="85"/>
        <v>50.145000000000003</v>
      </c>
      <c r="Z226" s="387">
        <f t="shared" si="86"/>
        <v>50.571577999959686</v>
      </c>
      <c r="AA226" s="388">
        <f t="shared" si="87"/>
        <v>54.730057951367414</v>
      </c>
      <c r="AB226" s="199">
        <f t="shared" si="88"/>
        <v>43677</v>
      </c>
      <c r="AC226" s="426">
        <f>IF(OR(t&lt;Tnet,NoTnet),'2018'!Resal_s+('2018'!Salim-'2018'!Resal_s)*(1-EXP(('2018'!Tnet_s-t)/'2018'!Tau_j)),Resal_s+(Salim-Resal_s)*(1-EXP((Tnet_s-t)/Tau_j)))*Salcycl</f>
        <v>7.5981647143566103E-2</v>
      </c>
      <c r="AD226" s="233">
        <f>(INDEX(Models!$BJ226:$BT226,,AH226)*(1-AF226)+INDEX(Models!$BJ226:$BT226,,AH226+1)*AF226-ERP_i)*AE226*Ramure*Pc/MaxiM</f>
        <v>3.0862502656784914E-4</v>
      </c>
      <c r="AE226" s="307">
        <f t="shared" si="89"/>
        <v>1</v>
      </c>
      <c r="AF226" s="179">
        <f t="shared" si="90"/>
        <v>0.52322778666011671</v>
      </c>
      <c r="AG226" s="178">
        <f t="shared" si="91"/>
        <v>-2</v>
      </c>
      <c r="AH226" s="178">
        <f t="shared" si="92"/>
        <v>4</v>
      </c>
      <c r="AI226" s="227">
        <f t="shared" si="93"/>
        <v>-1.4767722133398833</v>
      </c>
      <c r="AJ226" s="267" t="b">
        <f t="shared" si="94"/>
        <v>0</v>
      </c>
      <c r="AK226" s="267" t="b">
        <f t="shared" si="95"/>
        <v>0</v>
      </c>
      <c r="AL226" s="267"/>
      <c r="AM226" s="267"/>
      <c r="AN226" s="75"/>
    </row>
    <row r="227" spans="1:40" s="6" customFormat="1" ht="11.25" customHeight="1" x14ac:dyDescent="0.2">
      <c r="A227" s="56">
        <f t="shared" si="96"/>
        <v>43678</v>
      </c>
      <c r="B227" s="618">
        <v>47.914999999999999</v>
      </c>
      <c r="C227" s="392"/>
      <c r="D227" s="395">
        <f t="shared" si="75"/>
        <v>48.323732199063926</v>
      </c>
      <c r="E227" s="387">
        <f t="shared" si="73"/>
        <v>52.306891551802977</v>
      </c>
      <c r="F227" s="387">
        <f t="shared" si="76"/>
        <v>52.321172936249354</v>
      </c>
      <c r="G227" s="110">
        <f t="shared" si="74"/>
        <v>0.87252317033500981</v>
      </c>
      <c r="H227" s="414" t="b">
        <f>Wh_hp&gt;='2018'!Maxi_hp</f>
        <v>1</v>
      </c>
      <c r="I227" s="392">
        <f>IF(H227,Wh_hp,'2018'!Maxi_hp)</f>
        <v>52.321172936249354</v>
      </c>
      <c r="J227" s="85">
        <f>IF(H227,An,'2018'!An_max)</f>
        <v>2019</v>
      </c>
      <c r="K227" s="199">
        <f t="shared" si="77"/>
        <v>43678</v>
      </c>
      <c r="L227" s="147">
        <f>IF(t&lt;Tvie,1-EXP((T0-t)*PertePVj)+'2018'!Pspv,1-EXP((T0-t)*PertePVj)+Pspv)</f>
        <v>8.458208430180969E-3</v>
      </c>
      <c r="M227" s="870"/>
      <c r="N227" s="870"/>
      <c r="O227" s="48">
        <f>IF(t&lt;Tnet,'2018'!Resal+('2018'!Salim-'2018'!Resal)*(1-EXP(('2018'!Tnet-t)/('2018'!Tau_j))),Resal+(Salim-Resal)*(1-EXP((Tnet-t)/(Tau_j))))*Salcycl</f>
        <v>7.6149800429151232E-2</v>
      </c>
      <c r="P227" s="171">
        <f>(INDEX(Models!$BJ227:$BT227,,T227)*(1-R227)+INDEX(Models!$BJ227:$BT227,,T227+1)*R227-ERP_i)*Q227*Ramure*Pc/MaxiM</f>
        <v>3.3370106670981979E-4</v>
      </c>
      <c r="Q227" s="307">
        <f t="shared" si="78"/>
        <v>1</v>
      </c>
      <c r="R227" s="179">
        <f t="shared" si="79"/>
        <v>0.52599286328025352</v>
      </c>
      <c r="S227" s="837">
        <f t="shared" si="80"/>
        <v>-2</v>
      </c>
      <c r="T227" s="178">
        <f t="shared" si="81"/>
        <v>4</v>
      </c>
      <c r="U227" s="253">
        <f t="shared" si="82"/>
        <v>-1.4740071367197465</v>
      </c>
      <c r="V227" s="385">
        <f t="shared" si="83"/>
        <v>54.912110348750254</v>
      </c>
      <c r="W227" s="58"/>
      <c r="X227" s="157">
        <f t="shared" si="84"/>
        <v>43678</v>
      </c>
      <c r="Y227" s="387">
        <f t="shared" si="85"/>
        <v>47.914999999999999</v>
      </c>
      <c r="Z227" s="387">
        <f t="shared" si="86"/>
        <v>48.323732199063926</v>
      </c>
      <c r="AA227" s="388">
        <f t="shared" si="87"/>
        <v>52.306891551802977</v>
      </c>
      <c r="AB227" s="199">
        <f t="shared" si="88"/>
        <v>43678</v>
      </c>
      <c r="AC227" s="426">
        <f>IF(OR(t&lt;Tnet,NoTnet),'2018'!Resal_s+('2018'!Salim-'2018'!Resal_s)*(1-EXP(('2018'!Tnet_s-t)/'2018'!Tau_j)),Resal_s+(Salim-Resal_s)*(1-EXP((Tnet_s-t)/Tau_j)))*Salcycl</f>
        <v>7.6149800429151232E-2</v>
      </c>
      <c r="AD227" s="233">
        <f>(INDEX(Models!$BJ227:$BT227,,AH227)*(1-AF227)+INDEX(Models!$BJ227:$BT227,,AH227+1)*AF227-ERP_i)*AE227*Ramure*Pc/MaxiM</f>
        <v>3.3370106670981979E-4</v>
      </c>
      <c r="AE227" s="307">
        <f t="shared" si="89"/>
        <v>1</v>
      </c>
      <c r="AF227" s="179">
        <f t="shared" si="90"/>
        <v>0.52599286328025352</v>
      </c>
      <c r="AG227" s="178">
        <f t="shared" si="91"/>
        <v>-2</v>
      </c>
      <c r="AH227" s="178">
        <f t="shared" si="92"/>
        <v>4</v>
      </c>
      <c r="AI227" s="227">
        <f t="shared" si="93"/>
        <v>-1.4740071367197465</v>
      </c>
      <c r="AJ227" s="267" t="b">
        <f t="shared" si="94"/>
        <v>0</v>
      </c>
      <c r="AK227" s="267" t="b">
        <f t="shared" si="95"/>
        <v>0</v>
      </c>
      <c r="AL227" s="267"/>
      <c r="AM227" s="267"/>
      <c r="AN227" s="75"/>
    </row>
    <row r="228" spans="1:40" s="6" customFormat="1" ht="11.25" customHeight="1" x14ac:dyDescent="0.2">
      <c r="A228" s="56">
        <f t="shared" si="96"/>
        <v>43679</v>
      </c>
      <c r="B228" s="618">
        <v>52.32</v>
      </c>
      <c r="C228" s="392"/>
      <c r="D228" s="395">
        <f t="shared" si="75"/>
        <v>52.767536412493762</v>
      </c>
      <c r="E228" s="387">
        <f t="shared" si="73"/>
        <v>57.12734399126677</v>
      </c>
      <c r="F228" s="387">
        <f t="shared" si="76"/>
        <v>57.146708679264712</v>
      </c>
      <c r="G228" s="110">
        <f t="shared" si="74"/>
        <v>0.9558109740101568</v>
      </c>
      <c r="H228" s="414" t="b">
        <f>Wh_hp&gt;='2018'!Maxi_hp</f>
        <v>1</v>
      </c>
      <c r="I228" s="392">
        <f>IF(H228,Wh_hp,'2018'!Maxi_hp)</f>
        <v>57.146708679264712</v>
      </c>
      <c r="J228" s="85">
        <f>IF(H228,An,'2018'!An_max)</f>
        <v>2019</v>
      </c>
      <c r="K228" s="199">
        <f t="shared" si="77"/>
        <v>43679</v>
      </c>
      <c r="L228" s="147">
        <f>IF(t&lt;Tvie,1-EXP((T0-t)*PertePVj)+'2018'!Pspv,1-EXP((T0-t)*PertePVj)+Pspv)</f>
        <v>8.4812830562200903E-3</v>
      </c>
      <c r="M228" s="870"/>
      <c r="N228" s="870"/>
      <c r="O228" s="48">
        <f>IF(t&lt;Tnet,'2018'!Resal+('2018'!Salim-'2018'!Resal)*(1-EXP(('2018'!Tnet-t)/('2018'!Tau_j))),Resal+(Salim-Resal)*(1-EXP((Tnet-t)/(Tau_j))))*Salcycl</f>
        <v>7.6317351274715353E-2</v>
      </c>
      <c r="P228" s="171">
        <f>(INDEX(Models!$BJ228:$BT228,,T228)*(1-R228)+INDEX(Models!$BJ228:$BT228,,T228+1)*R228-ERP_i)*Q228*Ramure*Pc/MaxiM</f>
        <v>3.6167974872300108E-4</v>
      </c>
      <c r="Q228" s="307">
        <f t="shared" si="78"/>
        <v>1</v>
      </c>
      <c r="R228" s="179">
        <f t="shared" si="79"/>
        <v>0.52866973759874503</v>
      </c>
      <c r="S228" s="837">
        <f t="shared" si="80"/>
        <v>-2</v>
      </c>
      <c r="T228" s="178">
        <f t="shared" si="81"/>
        <v>4</v>
      </c>
      <c r="U228" s="253">
        <f t="shared" si="82"/>
        <v>-1.471330262401255</v>
      </c>
      <c r="V228" s="385">
        <f t="shared" si="83"/>
        <v>54.737607170035311</v>
      </c>
      <c r="W228" s="58"/>
      <c r="X228" s="157">
        <f t="shared" si="84"/>
        <v>43679</v>
      </c>
      <c r="Y228" s="387">
        <f t="shared" si="85"/>
        <v>52.32</v>
      </c>
      <c r="Z228" s="387">
        <f t="shared" si="86"/>
        <v>52.767536412493762</v>
      </c>
      <c r="AA228" s="388">
        <f t="shared" si="87"/>
        <v>57.12734399126677</v>
      </c>
      <c r="AB228" s="199">
        <f t="shared" si="88"/>
        <v>43679</v>
      </c>
      <c r="AC228" s="426">
        <f>IF(OR(t&lt;Tnet,NoTnet),'2018'!Resal_s+('2018'!Salim-'2018'!Resal_s)*(1-EXP(('2018'!Tnet_s-t)/'2018'!Tau_j)),Resal_s+(Salim-Resal_s)*(1-EXP((Tnet_s-t)/Tau_j)))*Salcycl</f>
        <v>7.6317351274715353E-2</v>
      </c>
      <c r="AD228" s="233">
        <f>(INDEX(Models!$BJ228:$BT228,,AH228)*(1-AF228)+INDEX(Models!$BJ228:$BT228,,AH228+1)*AF228-ERP_i)*AE228*Ramure*Pc/MaxiM</f>
        <v>3.6167974872300108E-4</v>
      </c>
      <c r="AE228" s="307">
        <f t="shared" si="89"/>
        <v>1</v>
      </c>
      <c r="AF228" s="179">
        <f t="shared" si="90"/>
        <v>0.52866973759874503</v>
      </c>
      <c r="AG228" s="178">
        <f t="shared" si="91"/>
        <v>-2</v>
      </c>
      <c r="AH228" s="178">
        <f t="shared" si="92"/>
        <v>4</v>
      </c>
      <c r="AI228" s="227">
        <f t="shared" si="93"/>
        <v>-1.471330262401255</v>
      </c>
      <c r="AJ228" s="267" t="b">
        <f t="shared" si="94"/>
        <v>0</v>
      </c>
      <c r="AK228" s="267" t="b">
        <f t="shared" si="95"/>
        <v>0</v>
      </c>
      <c r="AL228" s="267"/>
      <c r="AM228" s="267"/>
      <c r="AN228" s="75"/>
    </row>
    <row r="229" spans="1:40" s="6" customFormat="1" ht="11.25" customHeight="1" x14ac:dyDescent="0.2">
      <c r="A229" s="56">
        <f t="shared" si="96"/>
        <v>43680</v>
      </c>
      <c r="B229" s="618">
        <v>52.585000000000001</v>
      </c>
      <c r="C229" s="392"/>
      <c r="D229" s="395">
        <f t="shared" si="75"/>
        <v>53.036037403651022</v>
      </c>
      <c r="E229" s="387">
        <f t="shared" si="73"/>
        <v>57.428410197883458</v>
      </c>
      <c r="F229" s="387">
        <f t="shared" si="76"/>
        <v>57.449799256977776</v>
      </c>
      <c r="G229" s="110">
        <f t="shared" si="74"/>
        <v>0.96378994740909152</v>
      </c>
      <c r="H229" s="414" t="b">
        <f>Wh_hp&gt;='2018'!Maxi_hp</f>
        <v>1</v>
      </c>
      <c r="I229" s="392">
        <f>IF(H229,Wh_hp,'2018'!Maxi_hp)</f>
        <v>57.449799256977776</v>
      </c>
      <c r="J229" s="85">
        <f>IF(H229,An,'2018'!An_max)</f>
        <v>2019</v>
      </c>
      <c r="K229" s="199">
        <f t="shared" si="77"/>
        <v>43680</v>
      </c>
      <c r="L229" s="147">
        <f>IF(t&lt;Tvie,1-EXP((T0-t)*PertePVj)+'2018'!Pspv,1-EXP((T0-t)*PertePVj)+Pspv)</f>
        <v>8.5043571452789735E-3</v>
      </c>
      <c r="M229" s="870"/>
      <c r="N229" s="870"/>
      <c r="O229" s="48">
        <f>IF(t&lt;Tnet,'2018'!Resal+('2018'!Salim-'2018'!Resal)*(1-EXP(('2018'!Tnet-t)/('2018'!Tau_j))),Resal+(Salim-Resal)*(1-EXP((Tnet-t)/(Tau_j))))*Salcycl</f>
        <v>7.6484318111844835E-2</v>
      </c>
      <c r="P229" s="171">
        <f>(INDEX(Models!$BJ229:$BT229,,T229)*(1-R229)+INDEX(Models!$BJ229:$BT229,,T229+1)*R229-ERP_i)*Q229*Ramure*Pc/MaxiM</f>
        <v>3.9260672061802694E-4</v>
      </c>
      <c r="Q229" s="307">
        <f t="shared" si="78"/>
        <v>1</v>
      </c>
      <c r="R229" s="179">
        <f t="shared" si="79"/>
        <v>0.53126041005055735</v>
      </c>
      <c r="S229" s="837">
        <f t="shared" si="80"/>
        <v>-2</v>
      </c>
      <c r="T229" s="178">
        <f t="shared" si="81"/>
        <v>4</v>
      </c>
      <c r="U229" s="253">
        <f t="shared" si="82"/>
        <v>-1.4687395899494426</v>
      </c>
      <c r="V229" s="385">
        <f t="shared" si="83"/>
        <v>54.559535894211649</v>
      </c>
      <c r="W229" s="58"/>
      <c r="X229" s="157">
        <f t="shared" si="84"/>
        <v>43680</v>
      </c>
      <c r="Y229" s="387">
        <f t="shared" si="85"/>
        <v>52.585000000000001</v>
      </c>
      <c r="Z229" s="387">
        <f t="shared" si="86"/>
        <v>53.036037403651022</v>
      </c>
      <c r="AA229" s="388">
        <f t="shared" si="87"/>
        <v>57.428410197883458</v>
      </c>
      <c r="AB229" s="199">
        <f t="shared" si="88"/>
        <v>43680</v>
      </c>
      <c r="AC229" s="426">
        <f>IF(OR(t&lt;Tnet,NoTnet),'2018'!Resal_s+('2018'!Salim-'2018'!Resal_s)*(1-EXP(('2018'!Tnet_s-t)/'2018'!Tau_j)),Resal_s+(Salim-Resal_s)*(1-EXP((Tnet_s-t)/Tau_j)))*Salcycl</f>
        <v>7.6484318111844835E-2</v>
      </c>
      <c r="AD229" s="233">
        <f>(INDEX(Models!$BJ229:$BT229,,AH229)*(1-AF229)+INDEX(Models!$BJ229:$BT229,,AH229+1)*AF229-ERP_i)*AE229*Ramure*Pc/MaxiM</f>
        <v>3.9260672061802694E-4</v>
      </c>
      <c r="AE229" s="307">
        <f t="shared" si="89"/>
        <v>1</v>
      </c>
      <c r="AF229" s="179">
        <f t="shared" si="90"/>
        <v>0.53126041005055735</v>
      </c>
      <c r="AG229" s="178">
        <f t="shared" si="91"/>
        <v>-2</v>
      </c>
      <c r="AH229" s="178">
        <f t="shared" si="92"/>
        <v>4</v>
      </c>
      <c r="AI229" s="227">
        <f t="shared" si="93"/>
        <v>-1.4687395899494426</v>
      </c>
      <c r="AJ229" s="267" t="b">
        <f t="shared" si="94"/>
        <v>0</v>
      </c>
      <c r="AK229" s="267" t="b">
        <f t="shared" si="95"/>
        <v>0</v>
      </c>
      <c r="AL229" s="267"/>
      <c r="AM229" s="267"/>
      <c r="AN229" s="75"/>
    </row>
    <row r="230" spans="1:40" s="6" customFormat="1" ht="11.25" customHeight="1" x14ac:dyDescent="0.2">
      <c r="A230" s="56">
        <f t="shared" si="96"/>
        <v>43681</v>
      </c>
      <c r="B230" s="618">
        <v>48.545999999999999</v>
      </c>
      <c r="C230" s="392"/>
      <c r="D230" s="395">
        <f t="shared" si="75"/>
        <v>48.963533135511462</v>
      </c>
      <c r="E230" s="387">
        <f t="shared" si="73"/>
        <v>53.028181202860146</v>
      </c>
      <c r="F230" s="387">
        <f t="shared" si="76"/>
        <v>53.047340954372693</v>
      </c>
      <c r="G230" s="110">
        <f t="shared" si="74"/>
        <v>0.89269747627972218</v>
      </c>
      <c r="H230" s="414" t="b">
        <f>Wh_hp&gt;='2018'!Maxi_hp</f>
        <v>1</v>
      </c>
      <c r="I230" s="392">
        <f>IF(H230,Wh_hp,'2018'!Maxi_hp)</f>
        <v>53.047340954372693</v>
      </c>
      <c r="J230" s="85">
        <f>IF(H230,An,'2018'!An_max)</f>
        <v>2019</v>
      </c>
      <c r="K230" s="199">
        <f t="shared" si="77"/>
        <v>43681</v>
      </c>
      <c r="L230" s="147">
        <f>IF(t&lt;Tvie,1-EXP((T0-t)*PertePVj)+'2018'!Pspv,1-EXP((T0-t)*PertePVj)+Pspv)</f>
        <v>8.5274306973701641E-3</v>
      </c>
      <c r="M230" s="870"/>
      <c r="N230" s="870"/>
      <c r="O230" s="48">
        <f>IF(t&lt;Tnet,'2018'!Resal+('2018'!Salim-'2018'!Resal)*(1-EXP(('2018'!Tnet-t)/('2018'!Tau_j))),Resal+(Salim-Resal)*(1-EXP((Tnet-t)/(Tau_j))))*Salcycl</f>
        <v>7.6650716188045531E-2</v>
      </c>
      <c r="P230" s="171">
        <f>(INDEX(Models!$BJ230:$BT230,,T230)*(1-R230)+INDEX(Models!$BJ230:$BT230,,T230+1)*R230-ERP_i)*Q230*Ramure*Pc/MaxiM</f>
        <v>4.2652889184272561E-4</v>
      </c>
      <c r="Q230" s="307">
        <f t="shared" si="78"/>
        <v>1</v>
      </c>
      <c r="R230" s="179">
        <f t="shared" si="79"/>
        <v>0.53376689519910481</v>
      </c>
      <c r="S230" s="837">
        <f t="shared" si="80"/>
        <v>-2</v>
      </c>
      <c r="T230" s="178">
        <f t="shared" si="81"/>
        <v>4</v>
      </c>
      <c r="U230" s="253">
        <f t="shared" si="82"/>
        <v>-1.4662331048008952</v>
      </c>
      <c r="V230" s="385">
        <f t="shared" si="83"/>
        <v>54.377689888988982</v>
      </c>
      <c r="W230" s="58"/>
      <c r="X230" s="157">
        <f t="shared" si="84"/>
        <v>43681</v>
      </c>
      <c r="Y230" s="387">
        <f t="shared" si="85"/>
        <v>48.545999999999999</v>
      </c>
      <c r="Z230" s="387">
        <f t="shared" si="86"/>
        <v>48.963533135511462</v>
      </c>
      <c r="AA230" s="388">
        <f t="shared" si="87"/>
        <v>53.028181202860146</v>
      </c>
      <c r="AB230" s="199">
        <f t="shared" si="88"/>
        <v>43681</v>
      </c>
      <c r="AC230" s="426">
        <f>IF(OR(t&lt;Tnet,NoTnet),'2018'!Resal_s+('2018'!Salim-'2018'!Resal_s)*(1-EXP(('2018'!Tnet_s-t)/'2018'!Tau_j)),Resal_s+(Salim-Resal_s)*(1-EXP((Tnet_s-t)/Tau_j)))*Salcycl</f>
        <v>7.6650716188045531E-2</v>
      </c>
      <c r="AD230" s="233">
        <f>(INDEX(Models!$BJ230:$BT230,,AH230)*(1-AF230)+INDEX(Models!$BJ230:$BT230,,AH230+1)*AF230-ERP_i)*AE230*Ramure*Pc/MaxiM</f>
        <v>4.2652889184272561E-4</v>
      </c>
      <c r="AE230" s="307">
        <f t="shared" si="89"/>
        <v>1</v>
      </c>
      <c r="AF230" s="179">
        <f t="shared" si="90"/>
        <v>0.53376689519910481</v>
      </c>
      <c r="AG230" s="178">
        <f t="shared" si="91"/>
        <v>-2</v>
      </c>
      <c r="AH230" s="178">
        <f t="shared" si="92"/>
        <v>4</v>
      </c>
      <c r="AI230" s="227">
        <f t="shared" si="93"/>
        <v>-1.4662331048008952</v>
      </c>
      <c r="AJ230" s="267" t="b">
        <f t="shared" si="94"/>
        <v>0</v>
      </c>
      <c r="AK230" s="267" t="b">
        <f t="shared" si="95"/>
        <v>0</v>
      </c>
      <c r="AL230" s="267"/>
      <c r="AM230" s="267"/>
      <c r="AN230" s="75"/>
    </row>
    <row r="231" spans="1:40" s="6" customFormat="1" ht="11.25" customHeight="1" x14ac:dyDescent="0.2">
      <c r="A231" s="56">
        <f t="shared" si="96"/>
        <v>43682</v>
      </c>
      <c r="B231" s="618">
        <v>49.357999999999997</v>
      </c>
      <c r="C231" s="392"/>
      <c r="D231" s="395">
        <f t="shared" si="75"/>
        <v>49.783675502203785</v>
      </c>
      <c r="E231" s="387">
        <f t="shared" si="73"/>
        <v>53.92609227823894</v>
      </c>
      <c r="F231" s="387">
        <f t="shared" si="76"/>
        <v>53.947910583059468</v>
      </c>
      <c r="G231" s="110">
        <f t="shared" si="74"/>
        <v>0.91074713046930644</v>
      </c>
      <c r="H231" s="414" t="b">
        <f>Wh_hp&gt;='2018'!Maxi_hp</f>
        <v>1</v>
      </c>
      <c r="I231" s="392">
        <f>IF(H231,Wh_hp,'2018'!Maxi_hp)</f>
        <v>53.947910583059468</v>
      </c>
      <c r="J231" s="85">
        <f>IF(H231,An,'2018'!An_max)</f>
        <v>2019</v>
      </c>
      <c r="K231" s="199">
        <f t="shared" si="77"/>
        <v>43682</v>
      </c>
      <c r="L231" s="147">
        <f>IF(t&lt;Tvie,1-EXP((T0-t)*PertePVj)+'2018'!Pspv,1-EXP((T0-t)*PertePVj)+Pspv)</f>
        <v>8.5505037125059857E-3</v>
      </c>
      <c r="M231" s="870"/>
      <c r="N231" s="870"/>
      <c r="O231" s="48">
        <f>IF(t&lt;Tnet,'2018'!Resal+('2018'!Salim-'2018'!Resal)*(1-EXP(('2018'!Tnet-t)/('2018'!Tau_j))),Resal+(Salim-Resal)*(1-EXP((Tnet-t)/(Tau_j))))*Salcycl</f>
        <v>7.6816557644522027E-2</v>
      </c>
      <c r="P231" s="171">
        <f>(INDEX(Models!$BJ231:$BT231,,T231)*(1-R231)+INDEX(Models!$BJ231:$BT231,,T231+1)*R231-ERP_i)*Q231*Ramure*Pc/MaxiM</f>
        <v>4.6349463879610293E-4</v>
      </c>
      <c r="Q231" s="307">
        <f t="shared" si="78"/>
        <v>1</v>
      </c>
      <c r="R231" s="179">
        <f t="shared" si="79"/>
        <v>0.53619121636220424</v>
      </c>
      <c r="S231" s="837">
        <f t="shared" si="80"/>
        <v>-2</v>
      </c>
      <c r="T231" s="178">
        <f t="shared" si="81"/>
        <v>4</v>
      </c>
      <c r="U231" s="253">
        <f t="shared" si="82"/>
        <v>-1.4638087836377958</v>
      </c>
      <c r="V231" s="385">
        <f t="shared" si="83"/>
        <v>54.191862917123622</v>
      </c>
      <c r="W231" s="58"/>
      <c r="X231" s="157">
        <f t="shared" si="84"/>
        <v>43682</v>
      </c>
      <c r="Y231" s="387">
        <f t="shared" si="85"/>
        <v>49.357999999999997</v>
      </c>
      <c r="Z231" s="387">
        <f t="shared" si="86"/>
        <v>49.783675502203785</v>
      </c>
      <c r="AA231" s="388">
        <f t="shared" si="87"/>
        <v>53.92609227823894</v>
      </c>
      <c r="AB231" s="199">
        <f t="shared" si="88"/>
        <v>43682</v>
      </c>
      <c r="AC231" s="426">
        <f>IF(OR(t&lt;Tnet,NoTnet),'2018'!Resal_s+('2018'!Salim-'2018'!Resal_s)*(1-EXP(('2018'!Tnet_s-t)/'2018'!Tau_j)),Resal_s+(Salim-Resal_s)*(1-EXP((Tnet_s-t)/Tau_j)))*Salcycl</f>
        <v>7.6816557644522027E-2</v>
      </c>
      <c r="AD231" s="233">
        <f>(INDEX(Models!$BJ231:$BT231,,AH231)*(1-AF231)+INDEX(Models!$BJ231:$BT231,,AH231+1)*AF231-ERP_i)*AE231*Ramure*Pc/MaxiM</f>
        <v>4.6349463879610293E-4</v>
      </c>
      <c r="AE231" s="307">
        <f t="shared" si="89"/>
        <v>1</v>
      </c>
      <c r="AF231" s="179">
        <f t="shared" si="90"/>
        <v>0.53619121636220424</v>
      </c>
      <c r="AG231" s="178">
        <f t="shared" si="91"/>
        <v>-2</v>
      </c>
      <c r="AH231" s="178">
        <f t="shared" si="92"/>
        <v>4</v>
      </c>
      <c r="AI231" s="227">
        <f t="shared" si="93"/>
        <v>-1.4638087836377958</v>
      </c>
      <c r="AJ231" s="267" t="b">
        <f t="shared" si="94"/>
        <v>0</v>
      </c>
      <c r="AK231" s="267" t="b">
        <f t="shared" si="95"/>
        <v>0</v>
      </c>
      <c r="AL231" s="267"/>
      <c r="AM231" s="267"/>
      <c r="AN231" s="75"/>
    </row>
    <row r="232" spans="1:40" s="6" customFormat="1" ht="11.25" customHeight="1" x14ac:dyDescent="0.2">
      <c r="A232" s="56">
        <f t="shared" si="96"/>
        <v>43683</v>
      </c>
      <c r="B232" s="618">
        <v>39.383000000000003</v>
      </c>
      <c r="C232" s="392"/>
      <c r="D232" s="395">
        <f t="shared" si="75"/>
        <v>39.723573080371374</v>
      </c>
      <c r="E232" s="387">
        <f t="shared" si="73"/>
        <v>43.036611089072451</v>
      </c>
      <c r="F232" s="387">
        <f t="shared" si="76"/>
        <v>43.049905553344097</v>
      </c>
      <c r="G232" s="110">
        <f t="shared" si="74"/>
        <v>0.72914777686528087</v>
      </c>
      <c r="H232" s="414" t="b">
        <f>Wh_hp&gt;='2018'!Maxi_hp</f>
        <v>1</v>
      </c>
      <c r="I232" s="392">
        <f>IF(H232,Wh_hp,'2018'!Maxi_hp)</f>
        <v>43.049905553344097</v>
      </c>
      <c r="J232" s="85">
        <f>IF(H232,An,'2018'!An_max)</f>
        <v>2019</v>
      </c>
      <c r="K232" s="199">
        <f t="shared" si="77"/>
        <v>43683</v>
      </c>
      <c r="L232" s="147">
        <f>IF(t&lt;Tvie,1-EXP((T0-t)*PertePVj)+'2018'!Pspv,1-EXP((T0-t)*PertePVj)+Pspv)</f>
        <v>8.5735761906990948E-3</v>
      </c>
      <c r="M232" s="870"/>
      <c r="N232" s="870"/>
      <c r="O232" s="48">
        <f>IF(t&lt;Tnet,'2018'!Resal+('2018'!Salim-'2018'!Resal)*(1-EXP(('2018'!Tnet-t)/('2018'!Tau_j))),Resal+(Salim-Resal)*(1-EXP((Tnet-t)/(Tau_j))))*Salcycl</f>
        <v>7.6981851611041402E-2</v>
      </c>
      <c r="P232" s="171">
        <f>(INDEX(Models!$BJ232:$BT232,,T232)*(1-R232)+INDEX(Models!$BJ232:$BT232,,T232+1)*R232-ERP_i)*Q232*Ramure*Pc/MaxiM</f>
        <v>5.035540186733436E-4</v>
      </c>
      <c r="Q232" s="307">
        <f t="shared" si="78"/>
        <v>1</v>
      </c>
      <c r="R232" s="179">
        <f t="shared" si="79"/>
        <v>0.53853540059554827</v>
      </c>
      <c r="S232" s="837">
        <f t="shared" si="80"/>
        <v>-2</v>
      </c>
      <c r="T232" s="178">
        <f t="shared" si="81"/>
        <v>4</v>
      </c>
      <c r="U232" s="253">
        <f t="shared" si="82"/>
        <v>-1.4614645994044517</v>
      </c>
      <c r="V232" s="385">
        <f t="shared" si="83"/>
        <v>54.001849118134686</v>
      </c>
      <c r="W232" s="58"/>
      <c r="X232" s="157">
        <f t="shared" si="84"/>
        <v>43683</v>
      </c>
      <c r="Y232" s="387">
        <f t="shared" si="85"/>
        <v>39.383000000000003</v>
      </c>
      <c r="Z232" s="387">
        <f t="shared" si="86"/>
        <v>39.723573080371374</v>
      </c>
      <c r="AA232" s="388">
        <f t="shared" si="87"/>
        <v>43.036611089072451</v>
      </c>
      <c r="AB232" s="199">
        <f t="shared" si="88"/>
        <v>43683</v>
      </c>
      <c r="AC232" s="426">
        <f>IF(OR(t&lt;Tnet,NoTnet),'2018'!Resal_s+('2018'!Salim-'2018'!Resal_s)*(1-EXP(('2018'!Tnet_s-t)/'2018'!Tau_j)),Resal_s+(Salim-Resal_s)*(1-EXP((Tnet_s-t)/Tau_j)))*Salcycl</f>
        <v>7.6981851611041402E-2</v>
      </c>
      <c r="AD232" s="233">
        <f>(INDEX(Models!$BJ232:$BT232,,AH232)*(1-AF232)+INDEX(Models!$BJ232:$BT232,,AH232+1)*AF232-ERP_i)*AE232*Ramure*Pc/MaxiM</f>
        <v>5.035540186733436E-4</v>
      </c>
      <c r="AE232" s="307">
        <f t="shared" si="89"/>
        <v>1</v>
      </c>
      <c r="AF232" s="179">
        <f t="shared" si="90"/>
        <v>0.53853540059554827</v>
      </c>
      <c r="AG232" s="178">
        <f t="shared" si="91"/>
        <v>-2</v>
      </c>
      <c r="AH232" s="178">
        <f t="shared" si="92"/>
        <v>4</v>
      </c>
      <c r="AI232" s="227">
        <f t="shared" si="93"/>
        <v>-1.4614645994044517</v>
      </c>
      <c r="AJ232" s="267" t="b">
        <f t="shared" si="94"/>
        <v>0</v>
      </c>
      <c r="AK232" s="267" t="b">
        <f t="shared" si="95"/>
        <v>0</v>
      </c>
      <c r="AL232" s="267"/>
      <c r="AM232" s="267"/>
      <c r="AN232" s="75"/>
    </row>
    <row r="233" spans="1:40" s="6" customFormat="1" ht="11.25" customHeight="1" x14ac:dyDescent="0.2">
      <c r="A233" s="56">
        <f t="shared" si="96"/>
        <v>43684</v>
      </c>
      <c r="B233" s="618">
        <v>42.011000000000003</v>
      </c>
      <c r="C233" s="392"/>
      <c r="D233" s="395">
        <f t="shared" si="75"/>
        <v>42.375285418232004</v>
      </c>
      <c r="E233" s="387">
        <f t="shared" ref="E233:E296" si="97">Wh_pvt/(1-Psa)</f>
        <v>45.917678383587081</v>
      </c>
      <c r="F233" s="387">
        <f t="shared" si="76"/>
        <v>45.934926606916108</v>
      </c>
      <c r="G233" s="110">
        <f t="shared" ref="G233:G296" si="98">+Wh_hp/MaxiM</f>
        <v>0.78061132560569257</v>
      </c>
      <c r="H233" s="414" t="b">
        <f>Wh_hp&gt;='2018'!Maxi_hp</f>
        <v>1</v>
      </c>
      <c r="I233" s="392">
        <f>IF(H233,Wh_hp,'2018'!Maxi_hp)</f>
        <v>45.934926606916108</v>
      </c>
      <c r="J233" s="85">
        <f>IF(H233,An,'2018'!An_max)</f>
        <v>2019</v>
      </c>
      <c r="K233" s="199">
        <f t="shared" si="77"/>
        <v>43684</v>
      </c>
      <c r="L233" s="147">
        <f>IF(t&lt;Tvie,1-EXP((T0-t)*PertePVj)+'2018'!Pspv,1-EXP((T0-t)*PertePVj)+Pspv)</f>
        <v>8.5966481319619259E-3</v>
      </c>
      <c r="M233" s="870"/>
      <c r="N233" s="870"/>
      <c r="O233" s="48">
        <f>IF(t&lt;Tnet,'2018'!Resal+('2018'!Salim-'2018'!Resal)*(1-EXP(('2018'!Tnet-t)/('2018'!Tau_j))),Resal+(Salim-Resal)*(1-EXP((Tnet-t)/(Tau_j))))*Salcycl</f>
        <v>7.7146604315719861E-2</v>
      </c>
      <c r="P233" s="171">
        <f>(INDEX(Models!$BJ233:$BT233,,T233)*(1-R233)+INDEX(Models!$BJ233:$BT233,,T233+1)*R233-ERP_i)*Q233*Ramure*Pc/MaxiM</f>
        <v>5.467446368257789E-4</v>
      </c>
      <c r="Q233" s="307">
        <f t="shared" si="78"/>
        <v>1</v>
      </c>
      <c r="R233" s="179">
        <f t="shared" si="79"/>
        <v>0.54080147402693735</v>
      </c>
      <c r="S233" s="837">
        <f t="shared" si="80"/>
        <v>-2</v>
      </c>
      <c r="T233" s="178">
        <f t="shared" si="81"/>
        <v>4</v>
      </c>
      <c r="U233" s="253">
        <f t="shared" si="82"/>
        <v>-1.4591985259730627</v>
      </c>
      <c r="V233" s="385">
        <f t="shared" si="83"/>
        <v>53.808856531841208</v>
      </c>
      <c r="W233" s="58"/>
      <c r="X233" s="157">
        <f t="shared" si="84"/>
        <v>43684</v>
      </c>
      <c r="Y233" s="387">
        <f t="shared" si="85"/>
        <v>42.011000000000003</v>
      </c>
      <c r="Z233" s="387">
        <f t="shared" si="86"/>
        <v>42.375285418232004</v>
      </c>
      <c r="AA233" s="388">
        <f t="shared" si="87"/>
        <v>45.917678383587081</v>
      </c>
      <c r="AB233" s="199">
        <f t="shared" si="88"/>
        <v>43684</v>
      </c>
      <c r="AC233" s="426">
        <f>IF(OR(t&lt;Tnet,NoTnet),'2018'!Resal_s+('2018'!Salim-'2018'!Resal_s)*(1-EXP(('2018'!Tnet_s-t)/'2018'!Tau_j)),Resal_s+(Salim-Resal_s)*(1-EXP((Tnet_s-t)/Tau_j)))*Salcycl</f>
        <v>7.7146604315719861E-2</v>
      </c>
      <c r="AD233" s="233">
        <f>(INDEX(Models!$BJ233:$BT233,,AH233)*(1-AF233)+INDEX(Models!$BJ233:$BT233,,AH233+1)*AF233-ERP_i)*AE233*Ramure*Pc/MaxiM</f>
        <v>5.467446368257789E-4</v>
      </c>
      <c r="AE233" s="307">
        <f t="shared" si="89"/>
        <v>1</v>
      </c>
      <c r="AF233" s="179">
        <f t="shared" si="90"/>
        <v>0.54080147402693735</v>
      </c>
      <c r="AG233" s="178">
        <f t="shared" si="91"/>
        <v>-2</v>
      </c>
      <c r="AH233" s="178">
        <f t="shared" si="92"/>
        <v>4</v>
      </c>
      <c r="AI233" s="227">
        <f t="shared" si="93"/>
        <v>-1.4591985259730627</v>
      </c>
      <c r="AJ233" s="267" t="b">
        <f t="shared" si="94"/>
        <v>0</v>
      </c>
      <c r="AK233" s="267" t="b">
        <f t="shared" si="95"/>
        <v>0</v>
      </c>
      <c r="AL233" s="267"/>
      <c r="AM233" s="267"/>
      <c r="AN233" s="75"/>
    </row>
    <row r="234" spans="1:40" s="6" customFormat="1" ht="11.25" customHeight="1" x14ac:dyDescent="0.2">
      <c r="A234" s="56">
        <f t="shared" si="96"/>
        <v>43685</v>
      </c>
      <c r="B234" s="618">
        <v>49.904000000000003</v>
      </c>
      <c r="C234" s="392"/>
      <c r="D234" s="395">
        <f t="shared" si="75"/>
        <v>50.337898567700655</v>
      </c>
      <c r="E234" s="387">
        <f t="shared" si="97"/>
        <v>54.55563977076568</v>
      </c>
      <c r="F234" s="387">
        <f t="shared" si="76"/>
        <v>54.584859154150735</v>
      </c>
      <c r="G234" s="110">
        <f t="shared" si="98"/>
        <v>0.93074861569823686</v>
      </c>
      <c r="H234" s="414" t="b">
        <f>Wh_hp&gt;='2018'!Maxi_hp</f>
        <v>1</v>
      </c>
      <c r="I234" s="392">
        <f>IF(H234,Wh_hp,'2018'!Maxi_hp)</f>
        <v>54.584859154150735</v>
      </c>
      <c r="J234" s="85">
        <f>IF(H234,An,'2018'!An_max)</f>
        <v>2019</v>
      </c>
      <c r="K234" s="199">
        <f t="shared" si="77"/>
        <v>43685</v>
      </c>
      <c r="L234" s="147">
        <f>IF(t&lt;Tvie,1-EXP((T0-t)*PertePVj)+'2018'!Pspv,1-EXP((T0-t)*PertePVj)+Pspv)</f>
        <v>8.6197195363070245E-3</v>
      </c>
      <c r="M234" s="870"/>
      <c r="N234" s="870"/>
      <c r="O234" s="48">
        <f>IF(t&lt;Tnet,'2018'!Resal+('2018'!Salim-'2018'!Resal)*(1-EXP(('2018'!Tnet-t)/('2018'!Tau_j))),Resal+(Salim-Resal)*(1-EXP((Tnet-t)/(Tau_j))))*Salcycl</f>
        <v>7.7310819207460885E-2</v>
      </c>
      <c r="P234" s="171">
        <f>(INDEX(Models!$BJ234:$BT234,,T234)*(1-R234)+INDEX(Models!$BJ234:$BT234,,T234+1)*R234-ERP_i)*Q234*Ramure*Pc/MaxiM</f>
        <v>5.9402255384224262E-4</v>
      </c>
      <c r="Q234" s="307">
        <f t="shared" si="78"/>
        <v>1</v>
      </c>
      <c r="R234" s="179">
        <f t="shared" si="79"/>
        <v>0.54299145753302724</v>
      </c>
      <c r="S234" s="837">
        <f t="shared" si="80"/>
        <v>-2</v>
      </c>
      <c r="T234" s="178">
        <f t="shared" si="81"/>
        <v>4</v>
      </c>
      <c r="U234" s="253">
        <f t="shared" si="82"/>
        <v>-1.4570085424669728</v>
      </c>
      <c r="V234" s="385">
        <f t="shared" si="83"/>
        <v>53.613905191519244</v>
      </c>
      <c r="W234" s="58"/>
      <c r="X234" s="157">
        <f t="shared" si="84"/>
        <v>43685</v>
      </c>
      <c r="Y234" s="387">
        <f t="shared" si="85"/>
        <v>49.904000000000003</v>
      </c>
      <c r="Z234" s="387">
        <f t="shared" si="86"/>
        <v>50.337898567700655</v>
      </c>
      <c r="AA234" s="388">
        <f t="shared" si="87"/>
        <v>54.55563977076568</v>
      </c>
      <c r="AB234" s="199">
        <f t="shared" si="88"/>
        <v>43685</v>
      </c>
      <c r="AC234" s="426">
        <f>IF(OR(t&lt;Tnet,NoTnet),'2018'!Resal_s+('2018'!Salim-'2018'!Resal_s)*(1-EXP(('2018'!Tnet_s-t)/'2018'!Tau_j)),Resal_s+(Salim-Resal_s)*(1-EXP((Tnet_s-t)/Tau_j)))*Salcycl</f>
        <v>7.7310819207460885E-2</v>
      </c>
      <c r="AD234" s="233">
        <f>(INDEX(Models!$BJ234:$BT234,,AH234)*(1-AF234)+INDEX(Models!$BJ234:$BT234,,AH234+1)*AF234-ERP_i)*AE234*Ramure*Pc/MaxiM</f>
        <v>5.9402255384224262E-4</v>
      </c>
      <c r="AE234" s="307">
        <f t="shared" si="89"/>
        <v>1</v>
      </c>
      <c r="AF234" s="179">
        <f t="shared" si="90"/>
        <v>0.54299145753302724</v>
      </c>
      <c r="AG234" s="178">
        <f t="shared" si="91"/>
        <v>-2</v>
      </c>
      <c r="AH234" s="178">
        <f t="shared" si="92"/>
        <v>4</v>
      </c>
      <c r="AI234" s="227">
        <f t="shared" si="93"/>
        <v>-1.4570085424669728</v>
      </c>
      <c r="AJ234" s="267" t="b">
        <f t="shared" si="94"/>
        <v>0</v>
      </c>
      <c r="AK234" s="267" t="b">
        <f t="shared" si="95"/>
        <v>0</v>
      </c>
      <c r="AL234" s="267"/>
      <c r="AM234" s="267"/>
      <c r="AN234" s="75"/>
    </row>
    <row r="235" spans="1:40" s="6" customFormat="1" ht="11.25" customHeight="1" x14ac:dyDescent="0.2">
      <c r="A235" s="56">
        <f t="shared" si="96"/>
        <v>43686</v>
      </c>
      <c r="B235" s="618">
        <v>46.718000000000004</v>
      </c>
      <c r="C235" s="392"/>
      <c r="D235" s="395">
        <f t="shared" si="75"/>
        <v>47.125294039094832</v>
      </c>
      <c r="E235" s="387">
        <f t="shared" si="97"/>
        <v>51.082917372340198</v>
      </c>
      <c r="F235" s="387">
        <f t="shared" si="76"/>
        <v>51.109964078479891</v>
      </c>
      <c r="G235" s="110">
        <f t="shared" si="98"/>
        <v>0.8744955949861285</v>
      </c>
      <c r="H235" s="414" t="b">
        <f>Wh_hp&gt;='2018'!Maxi_hp</f>
        <v>1</v>
      </c>
      <c r="I235" s="392">
        <f>IF(H235,Wh_hp,'2018'!Maxi_hp)</f>
        <v>51.109964078479891</v>
      </c>
      <c r="J235" s="85">
        <f>IF(H235,An,'2018'!An_max)</f>
        <v>2019</v>
      </c>
      <c r="K235" s="199">
        <f t="shared" si="77"/>
        <v>43686</v>
      </c>
      <c r="L235" s="147">
        <f>IF(t&lt;Tvie,1-EXP((T0-t)*PertePVj)+'2018'!Pspv,1-EXP((T0-t)*PertePVj)+Pspv)</f>
        <v>8.642790403746714E-3</v>
      </c>
      <c r="M235" s="870"/>
      <c r="N235" s="870"/>
      <c r="O235" s="48">
        <f>IF(t&lt;Tnet,'2018'!Resal+('2018'!Salim-'2018'!Resal)*(1-EXP(('2018'!Tnet-t)/('2018'!Tau_j))),Resal+(Salim-Resal)*(1-EXP((Tnet-t)/(Tau_j))))*Salcycl</f>
        <v>7.7474497088694014E-2</v>
      </c>
      <c r="P235" s="171">
        <f>(INDEX(Models!$BJ235:$BT235,,T235)*(1-R235)+INDEX(Models!$BJ235:$BT235,,T235+1)*R235-ERP_i)*Q235*Ramure*Pc/MaxiM</f>
        <v>6.4467933762404775E-4</v>
      </c>
      <c r="Q235" s="307">
        <f t="shared" si="78"/>
        <v>1</v>
      </c>
      <c r="R235" s="179">
        <f t="shared" si="79"/>
        <v>0.54510736274910698</v>
      </c>
      <c r="S235" s="837">
        <f t="shared" si="80"/>
        <v>-2</v>
      </c>
      <c r="T235" s="178">
        <f t="shared" si="81"/>
        <v>4</v>
      </c>
      <c r="U235" s="253">
        <f t="shared" si="82"/>
        <v>-1.454892637250893</v>
      </c>
      <c r="V235" s="385">
        <f t="shared" si="83"/>
        <v>53.416623044774894</v>
      </c>
      <c r="W235" s="58"/>
      <c r="X235" s="157">
        <f t="shared" si="84"/>
        <v>43686</v>
      </c>
      <c r="Y235" s="387">
        <f t="shared" si="85"/>
        <v>46.718000000000004</v>
      </c>
      <c r="Z235" s="387">
        <f t="shared" si="86"/>
        <v>47.125294039094832</v>
      </c>
      <c r="AA235" s="388">
        <f t="shared" si="87"/>
        <v>51.082917372340198</v>
      </c>
      <c r="AB235" s="199">
        <f t="shared" si="88"/>
        <v>43686</v>
      </c>
      <c r="AC235" s="426">
        <f>IF(OR(t&lt;Tnet,NoTnet),'2018'!Resal_s+('2018'!Salim-'2018'!Resal_s)*(1-EXP(('2018'!Tnet_s-t)/'2018'!Tau_j)),Resal_s+(Salim-Resal_s)*(1-EXP((Tnet_s-t)/Tau_j)))*Salcycl</f>
        <v>7.7474497088694014E-2</v>
      </c>
      <c r="AD235" s="233">
        <f>(INDEX(Models!$BJ235:$BT235,,AH235)*(1-AF235)+INDEX(Models!$BJ235:$BT235,,AH235+1)*AF235-ERP_i)*AE235*Ramure*Pc/MaxiM</f>
        <v>6.4467933762404775E-4</v>
      </c>
      <c r="AE235" s="307">
        <f t="shared" si="89"/>
        <v>1</v>
      </c>
      <c r="AF235" s="179">
        <f t="shared" si="90"/>
        <v>0.54510736274910698</v>
      </c>
      <c r="AG235" s="178">
        <f t="shared" si="91"/>
        <v>-2</v>
      </c>
      <c r="AH235" s="178">
        <f t="shared" si="92"/>
        <v>4</v>
      </c>
      <c r="AI235" s="227">
        <f t="shared" si="93"/>
        <v>-1.454892637250893</v>
      </c>
      <c r="AJ235" s="267" t="b">
        <f t="shared" si="94"/>
        <v>0</v>
      </c>
      <c r="AK235" s="267" t="b">
        <f t="shared" si="95"/>
        <v>0</v>
      </c>
      <c r="AL235" s="267"/>
      <c r="AM235" s="267"/>
      <c r="AN235" s="75"/>
    </row>
    <row r="236" spans="1:40" s="6" customFormat="1" ht="11.25" customHeight="1" x14ac:dyDescent="0.2">
      <c r="A236" s="56">
        <f t="shared" si="96"/>
        <v>43687</v>
      </c>
      <c r="B236" s="618">
        <v>39.625</v>
      </c>
      <c r="C236" s="392"/>
      <c r="D236" s="395">
        <f t="shared" si="75"/>
        <v>39.971386468492589</v>
      </c>
      <c r="E236" s="387">
        <f t="shared" si="97"/>
        <v>43.335881904638327</v>
      </c>
      <c r="F236" s="387">
        <f t="shared" si="76"/>
        <v>43.355123681467212</v>
      </c>
      <c r="G236" s="110">
        <f t="shared" si="98"/>
        <v>0.74440860466282732</v>
      </c>
      <c r="H236" s="414" t="b">
        <f>Wh_hp&gt;='2018'!Maxi_hp</f>
        <v>1</v>
      </c>
      <c r="I236" s="392">
        <f>IF(H236,Wh_hp,'2018'!Maxi_hp)</f>
        <v>43.355123681467212</v>
      </c>
      <c r="J236" s="85">
        <f>IF(H236,An,'2018'!An_max)</f>
        <v>2019</v>
      </c>
      <c r="K236" s="199">
        <f t="shared" si="77"/>
        <v>43687</v>
      </c>
      <c r="L236" s="147">
        <f>IF(t&lt;Tvie,1-EXP((T0-t)*PertePVj)+'2018'!Pspv,1-EXP((T0-t)*PertePVj)+Pspv)</f>
        <v>8.6658607342937621E-3</v>
      </c>
      <c r="M236" s="870"/>
      <c r="N236" s="870"/>
      <c r="O236" s="48">
        <f>IF(t&lt;Tnet,'2018'!Resal+('2018'!Salim-'2018'!Resal)*(1-EXP(('2018'!Tnet-t)/('2018'!Tau_j))),Resal+(Salim-Resal)*(1-EXP((Tnet-t)/(Tau_j))))*Salcycl</f>
        <v>7.7637636256010459E-2</v>
      </c>
      <c r="P236" s="171">
        <f>(INDEX(Models!$BJ236:$BT236,,T236)*(1-R236)+INDEX(Models!$BJ236:$BT236,,T236+1)*R236-ERP_i)*Q236*Ramure*Pc/MaxiM</f>
        <v>6.9877082601394326E-4</v>
      </c>
      <c r="Q236" s="307">
        <f t="shared" si="78"/>
        <v>1</v>
      </c>
      <c r="R236" s="179">
        <f t="shared" si="79"/>
        <v>0.5471511884013629</v>
      </c>
      <c r="S236" s="837">
        <f t="shared" si="80"/>
        <v>-2</v>
      </c>
      <c r="T236" s="178">
        <f t="shared" si="81"/>
        <v>4</v>
      </c>
      <c r="U236" s="253">
        <f t="shared" si="82"/>
        <v>-1.4528488115986371</v>
      </c>
      <c r="V236" s="385">
        <f t="shared" si="83"/>
        <v>53.216597381668429</v>
      </c>
      <c r="W236" s="58"/>
      <c r="X236" s="157">
        <f t="shared" si="84"/>
        <v>43687</v>
      </c>
      <c r="Y236" s="387">
        <f t="shared" si="85"/>
        <v>39.625</v>
      </c>
      <c r="Z236" s="387">
        <f t="shared" si="86"/>
        <v>39.971386468492589</v>
      </c>
      <c r="AA236" s="388">
        <f t="shared" si="87"/>
        <v>43.335881904638327</v>
      </c>
      <c r="AB236" s="199">
        <f t="shared" si="88"/>
        <v>43687</v>
      </c>
      <c r="AC236" s="426">
        <f>IF(OR(t&lt;Tnet,NoTnet),'2018'!Resal_s+('2018'!Salim-'2018'!Resal_s)*(1-EXP(('2018'!Tnet_s-t)/'2018'!Tau_j)),Resal_s+(Salim-Resal_s)*(1-EXP((Tnet_s-t)/Tau_j)))*Salcycl</f>
        <v>7.7637636256010459E-2</v>
      </c>
      <c r="AD236" s="233">
        <f>(INDEX(Models!$BJ236:$BT236,,AH236)*(1-AF236)+INDEX(Models!$BJ236:$BT236,,AH236+1)*AF236-ERP_i)*AE236*Ramure*Pc/MaxiM</f>
        <v>6.9877082601394326E-4</v>
      </c>
      <c r="AE236" s="307">
        <f t="shared" si="89"/>
        <v>1</v>
      </c>
      <c r="AF236" s="179">
        <f t="shared" si="90"/>
        <v>0.5471511884013629</v>
      </c>
      <c r="AG236" s="178">
        <f t="shared" si="91"/>
        <v>-2</v>
      </c>
      <c r="AH236" s="178">
        <f t="shared" si="92"/>
        <v>4</v>
      </c>
      <c r="AI236" s="227">
        <f t="shared" si="93"/>
        <v>-1.4528488115986371</v>
      </c>
      <c r="AJ236" s="267" t="b">
        <f t="shared" si="94"/>
        <v>0</v>
      </c>
      <c r="AK236" s="267" t="b">
        <f t="shared" si="95"/>
        <v>0</v>
      </c>
      <c r="AL236" s="267"/>
      <c r="AM236" s="267"/>
      <c r="AN236" s="75"/>
    </row>
    <row r="237" spans="1:40" s="6" customFormat="1" ht="11.25" customHeight="1" x14ac:dyDescent="0.2">
      <c r="A237" s="56">
        <f t="shared" si="96"/>
        <v>43688</v>
      </c>
      <c r="B237" s="618">
        <v>25.396999999999998</v>
      </c>
      <c r="C237" s="392"/>
      <c r="D237" s="395">
        <f t="shared" si="75"/>
        <v>25.61960698524847</v>
      </c>
      <c r="E237" s="387">
        <f t="shared" si="97"/>
        <v>27.780973160256206</v>
      </c>
      <c r="F237" s="387">
        <f t="shared" si="76"/>
        <v>27.786349368178811</v>
      </c>
      <c r="G237" s="110">
        <f t="shared" si="98"/>
        <v>0.47879770629595902</v>
      </c>
      <c r="H237" s="414" t="b">
        <f>Wh_hp&gt;='2018'!Maxi_hp</f>
        <v>1</v>
      </c>
      <c r="I237" s="392">
        <f>IF(H237,Wh_hp,'2018'!Maxi_hp)</f>
        <v>27.786349368178811</v>
      </c>
      <c r="J237" s="85">
        <f>IF(H237,An,'2018'!An_max)</f>
        <v>2019</v>
      </c>
      <c r="K237" s="199">
        <f t="shared" si="77"/>
        <v>43688</v>
      </c>
      <c r="L237" s="147">
        <f>IF(t&lt;Tvie,1-EXP((T0-t)*PertePVj)+'2018'!Pspv,1-EXP((T0-t)*PertePVj)+Pspv)</f>
        <v>8.6889305279603812E-3</v>
      </c>
      <c r="M237" s="870"/>
      <c r="N237" s="870"/>
      <c r="O237" s="48">
        <f>IF(t&lt;Tnet,'2018'!Resal+('2018'!Salim-'2018'!Resal)*(1-EXP(('2018'!Tnet-t)/('2018'!Tau_j))),Resal+(Salim-Resal)*(1-EXP((Tnet-t)/(Tau_j))))*Salcycl</f>
        <v>7.7800232646270701E-2</v>
      </c>
      <c r="P237" s="171">
        <f>(INDEX(Models!$BJ237:$BT237,,T237)*(1-R237)+INDEX(Models!$BJ237:$BT237,,T237+1)*R237-ERP_i)*Q237*Ramure*Pc/MaxiM</f>
        <v>7.5635563623155432E-4</v>
      </c>
      <c r="Q237" s="307">
        <f t="shared" si="78"/>
        <v>1</v>
      </c>
      <c r="R237" s="179">
        <f t="shared" si="79"/>
        <v>0.54912491695024257</v>
      </c>
      <c r="S237" s="837">
        <f t="shared" si="80"/>
        <v>-2</v>
      </c>
      <c r="T237" s="178">
        <f t="shared" si="81"/>
        <v>4</v>
      </c>
      <c r="U237" s="253">
        <f t="shared" si="82"/>
        <v>-1.4508750830497574</v>
      </c>
      <c r="V237" s="385">
        <f t="shared" si="83"/>
        <v>53.013415986072324</v>
      </c>
      <c r="W237" s="58"/>
      <c r="X237" s="157">
        <f t="shared" si="84"/>
        <v>43688</v>
      </c>
      <c r="Y237" s="387">
        <f t="shared" si="85"/>
        <v>25.396999999999998</v>
      </c>
      <c r="Z237" s="387">
        <f t="shared" si="86"/>
        <v>25.61960698524847</v>
      </c>
      <c r="AA237" s="388">
        <f t="shared" si="87"/>
        <v>27.780973160256206</v>
      </c>
      <c r="AB237" s="199">
        <f t="shared" si="88"/>
        <v>43688</v>
      </c>
      <c r="AC237" s="426">
        <f>IF(OR(t&lt;Tnet,NoTnet),'2018'!Resal_s+('2018'!Salim-'2018'!Resal_s)*(1-EXP(('2018'!Tnet_s-t)/'2018'!Tau_j)),Resal_s+(Salim-Resal_s)*(1-EXP((Tnet_s-t)/Tau_j)))*Salcycl</f>
        <v>7.7800232646270701E-2</v>
      </c>
      <c r="AD237" s="233">
        <f>(INDEX(Models!$BJ237:$BT237,,AH237)*(1-AF237)+INDEX(Models!$BJ237:$BT237,,AH237+1)*AF237-ERP_i)*AE237*Ramure*Pc/MaxiM</f>
        <v>7.5635563623155432E-4</v>
      </c>
      <c r="AE237" s="307">
        <f t="shared" si="89"/>
        <v>1</v>
      </c>
      <c r="AF237" s="179">
        <f t="shared" si="90"/>
        <v>0.54912491695024257</v>
      </c>
      <c r="AG237" s="178">
        <f t="shared" si="91"/>
        <v>-2</v>
      </c>
      <c r="AH237" s="178">
        <f t="shared" si="92"/>
        <v>4</v>
      </c>
      <c r="AI237" s="227">
        <f t="shared" si="93"/>
        <v>-1.4508750830497574</v>
      </c>
      <c r="AJ237" s="267" t="b">
        <f t="shared" si="94"/>
        <v>0</v>
      </c>
      <c r="AK237" s="267" t="b">
        <f t="shared" si="95"/>
        <v>0</v>
      </c>
      <c r="AL237" s="267"/>
      <c r="AM237" s="267"/>
      <c r="AN237" s="75"/>
    </row>
    <row r="238" spans="1:40" s="6" customFormat="1" ht="11.25" customHeight="1" x14ac:dyDescent="0.2">
      <c r="A238" s="56">
        <f t="shared" si="96"/>
        <v>43689</v>
      </c>
      <c r="B238" s="618">
        <v>28.548999999999999</v>
      </c>
      <c r="C238" s="392"/>
      <c r="D238" s="395">
        <f t="shared" si="75"/>
        <v>28.799904764105978</v>
      </c>
      <c r="E238" s="387">
        <f t="shared" si="97"/>
        <v>31.235061363499703</v>
      </c>
      <c r="F238" s="387">
        <f t="shared" si="76"/>
        <v>31.243841596768437</v>
      </c>
      <c r="G238" s="110">
        <f t="shared" si="98"/>
        <v>0.54034237514664452</v>
      </c>
      <c r="H238" s="414" t="b">
        <f>Wh_hp&gt;='2018'!Maxi_hp</f>
        <v>1</v>
      </c>
      <c r="I238" s="392">
        <f>IF(H238,Wh_hp,'2018'!Maxi_hp)</f>
        <v>31.243841596768437</v>
      </c>
      <c r="J238" s="85">
        <f>IF(H238,An,'2018'!An_max)</f>
        <v>2019</v>
      </c>
      <c r="K238" s="199">
        <f t="shared" si="77"/>
        <v>43689</v>
      </c>
      <c r="L238" s="147">
        <f>IF(t&lt;Tvie,1-EXP((T0-t)*PertePVj)+'2018'!Pspv,1-EXP((T0-t)*PertePVj)+Pspv)</f>
        <v>8.7119997847592279E-3</v>
      </c>
      <c r="M238" s="870"/>
      <c r="N238" s="870"/>
      <c r="O238" s="48">
        <f>IF(t&lt;Tnet,'2018'!Resal+('2018'!Salim-'2018'!Resal)*(1-EXP(('2018'!Tnet-t)/('2018'!Tau_j))),Resal+(Salim-Resal)*(1-EXP((Tnet-t)/(Tau_j))))*Salcycl</f>
        <v>7.7962279985765354E-2</v>
      </c>
      <c r="P238" s="171">
        <f>(INDEX(Models!$BJ238:$BT238,,T238)*(1-R238)+INDEX(Models!$BJ238:$BT238,,T238+1)*R238-ERP_i)*Q238*Ramure*Pc/MaxiM</f>
        <v>8.1749555432066728E-4</v>
      </c>
      <c r="Q238" s="307">
        <f t="shared" si="78"/>
        <v>1</v>
      </c>
      <c r="R238" s="179">
        <f t="shared" si="79"/>
        <v>0.55103051153283511</v>
      </c>
      <c r="S238" s="837">
        <f t="shared" si="80"/>
        <v>-2</v>
      </c>
      <c r="T238" s="178">
        <f t="shared" si="81"/>
        <v>4</v>
      </c>
      <c r="U238" s="253">
        <f t="shared" si="82"/>
        <v>-1.4489694884671649</v>
      </c>
      <c r="V238" s="385">
        <f t="shared" si="83"/>
        <v>52.806667120273268</v>
      </c>
      <c r="W238" s="58"/>
      <c r="X238" s="157">
        <f t="shared" si="84"/>
        <v>43689</v>
      </c>
      <c r="Y238" s="387">
        <f t="shared" si="85"/>
        <v>28.548999999999999</v>
      </c>
      <c r="Z238" s="387">
        <f t="shared" si="86"/>
        <v>28.799904764105978</v>
      </c>
      <c r="AA238" s="388">
        <f t="shared" si="87"/>
        <v>31.235061363499703</v>
      </c>
      <c r="AB238" s="199">
        <f t="shared" si="88"/>
        <v>43689</v>
      </c>
      <c r="AC238" s="426">
        <f>IF(OR(t&lt;Tnet,NoTnet),'2018'!Resal_s+('2018'!Salim-'2018'!Resal_s)*(1-EXP(('2018'!Tnet_s-t)/'2018'!Tau_j)),Resal_s+(Salim-Resal_s)*(1-EXP((Tnet_s-t)/Tau_j)))*Salcycl</f>
        <v>7.7962279985765354E-2</v>
      </c>
      <c r="AD238" s="233">
        <f>(INDEX(Models!$BJ238:$BT238,,AH238)*(1-AF238)+INDEX(Models!$BJ238:$BT238,,AH238+1)*AF238-ERP_i)*AE238*Ramure*Pc/MaxiM</f>
        <v>8.1749555432066728E-4</v>
      </c>
      <c r="AE238" s="307">
        <f t="shared" si="89"/>
        <v>1</v>
      </c>
      <c r="AF238" s="179">
        <f t="shared" si="90"/>
        <v>0.55103051153283511</v>
      </c>
      <c r="AG238" s="178">
        <f t="shared" si="91"/>
        <v>-2</v>
      </c>
      <c r="AH238" s="178">
        <f t="shared" si="92"/>
        <v>4</v>
      </c>
      <c r="AI238" s="227">
        <f t="shared" si="93"/>
        <v>-1.4489694884671649</v>
      </c>
      <c r="AJ238" s="267" t="b">
        <f t="shared" si="94"/>
        <v>0</v>
      </c>
      <c r="AK238" s="267" t="b">
        <f t="shared" si="95"/>
        <v>0</v>
      </c>
      <c r="AL238" s="267"/>
      <c r="AM238" s="267"/>
      <c r="AN238" s="75"/>
    </row>
    <row r="239" spans="1:40" s="6" customFormat="1" ht="11.25" customHeight="1" x14ac:dyDescent="0.2">
      <c r="A239" s="56">
        <f t="shared" si="96"/>
        <v>43690</v>
      </c>
      <c r="B239" s="618">
        <v>47.627000000000002</v>
      </c>
      <c r="C239" s="392"/>
      <c r="D239" s="395">
        <f t="shared" si="75"/>
        <v>48.046691138519265</v>
      </c>
      <c r="E239" s="387">
        <f t="shared" si="97"/>
        <v>52.11837508316561</v>
      </c>
      <c r="F239" s="387">
        <f t="shared" si="76"/>
        <v>52.158181392668176</v>
      </c>
      <c r="G239" s="110">
        <f t="shared" si="98"/>
        <v>0.90541827177528145</v>
      </c>
      <c r="H239" s="414" t="b">
        <f>Wh_hp&gt;='2018'!Maxi_hp</f>
        <v>1</v>
      </c>
      <c r="I239" s="392">
        <f>IF(H239,Wh_hp,'2018'!Maxi_hp)</f>
        <v>52.158181392668176</v>
      </c>
      <c r="J239" s="85">
        <f>IF(H239,An,'2018'!An_max)</f>
        <v>2019</v>
      </c>
      <c r="K239" s="199">
        <f t="shared" si="77"/>
        <v>43690</v>
      </c>
      <c r="L239" s="147">
        <f>IF(t&lt;Tvie,1-EXP((T0-t)*PertePVj)+'2018'!Pspv,1-EXP((T0-t)*PertePVj)+Pspv)</f>
        <v>8.7350685047028476E-3</v>
      </c>
      <c r="M239" s="870"/>
      <c r="N239" s="870"/>
      <c r="O239" s="48">
        <f>IF(t&lt;Tnet,'2018'!Resal+('2018'!Salim-'2018'!Resal)*(1-EXP(('2018'!Tnet-t)/('2018'!Tau_j))),Resal+(Salim-Resal)*(1-EXP((Tnet-t)/(Tau_j))))*Salcycl</f>
        <v>7.8123769940047744E-2</v>
      </c>
      <c r="P239" s="171">
        <f>(INDEX(Models!$BJ239:$BT239,,T239)*(1-R239)+INDEX(Models!$BJ239:$BT239,,T239+1)*R239-ERP_i)*Q239*Ramure*Pc/MaxiM</f>
        <v>8.8225594373641668E-4</v>
      </c>
      <c r="Q239" s="307">
        <f t="shared" si="78"/>
        <v>1</v>
      </c>
      <c r="R239" s="179">
        <f t="shared" si="79"/>
        <v>0.55286991319167611</v>
      </c>
      <c r="S239" s="837">
        <f t="shared" si="80"/>
        <v>-2</v>
      </c>
      <c r="T239" s="178">
        <f t="shared" si="81"/>
        <v>4</v>
      </c>
      <c r="U239" s="253">
        <f t="shared" si="82"/>
        <v>-1.4471300868083239</v>
      </c>
      <c r="V239" s="385">
        <f t="shared" si="83"/>
        <v>52.595939503275332</v>
      </c>
      <c r="W239" s="58"/>
      <c r="X239" s="157">
        <f t="shared" si="84"/>
        <v>43690</v>
      </c>
      <c r="Y239" s="387">
        <f t="shared" si="85"/>
        <v>47.627000000000002</v>
      </c>
      <c r="Z239" s="387">
        <f t="shared" si="86"/>
        <v>48.046691138519265</v>
      </c>
      <c r="AA239" s="388">
        <f t="shared" si="87"/>
        <v>52.11837508316561</v>
      </c>
      <c r="AB239" s="199">
        <f t="shared" si="88"/>
        <v>43690</v>
      </c>
      <c r="AC239" s="426">
        <f>IF(OR(t&lt;Tnet,NoTnet),'2018'!Resal_s+('2018'!Salim-'2018'!Resal_s)*(1-EXP(('2018'!Tnet_s-t)/'2018'!Tau_j)),Resal_s+(Salim-Resal_s)*(1-EXP((Tnet_s-t)/Tau_j)))*Salcycl</f>
        <v>7.8123769940047744E-2</v>
      </c>
      <c r="AD239" s="233">
        <f>(INDEX(Models!$BJ239:$BT239,,AH239)*(1-AF239)+INDEX(Models!$BJ239:$BT239,,AH239+1)*AF239-ERP_i)*AE239*Ramure*Pc/MaxiM</f>
        <v>8.8225594373641668E-4</v>
      </c>
      <c r="AE239" s="307">
        <f t="shared" si="89"/>
        <v>1</v>
      </c>
      <c r="AF239" s="179">
        <f t="shared" si="90"/>
        <v>0.55286991319167611</v>
      </c>
      <c r="AG239" s="178">
        <f t="shared" si="91"/>
        <v>-2</v>
      </c>
      <c r="AH239" s="178">
        <f t="shared" si="92"/>
        <v>4</v>
      </c>
      <c r="AI239" s="227">
        <f t="shared" si="93"/>
        <v>-1.4471300868083239</v>
      </c>
      <c r="AJ239" s="267" t="b">
        <f t="shared" si="94"/>
        <v>0</v>
      </c>
      <c r="AK239" s="267" t="b">
        <f t="shared" si="95"/>
        <v>0</v>
      </c>
      <c r="AL239" s="267"/>
      <c r="AM239" s="267"/>
      <c r="AN239" s="75"/>
    </row>
    <row r="240" spans="1:40" s="6" customFormat="1" ht="11.25" customHeight="1" x14ac:dyDescent="0.2">
      <c r="A240" s="56">
        <f t="shared" si="96"/>
        <v>43691</v>
      </c>
      <c r="B240" s="618">
        <v>51.588000000000001</v>
      </c>
      <c r="C240" s="392"/>
      <c r="D240" s="395">
        <f t="shared" si="75"/>
        <v>52.043806773475737</v>
      </c>
      <c r="E240" s="387">
        <f t="shared" si="97"/>
        <v>56.464079891658102</v>
      </c>
      <c r="F240" s="387">
        <f t="shared" si="76"/>
        <v>56.516623137013951</v>
      </c>
      <c r="G240" s="110">
        <f t="shared" si="98"/>
        <v>0.98484355193307593</v>
      </c>
      <c r="H240" s="414" t="b">
        <f>Wh_hp&gt;='2018'!Maxi_hp</f>
        <v>1</v>
      </c>
      <c r="I240" s="392">
        <f>IF(H240,Wh_hp,'2018'!Maxi_hp)</f>
        <v>56.516623137013951</v>
      </c>
      <c r="J240" s="85">
        <f>IF(H240,An,'2018'!An_max)</f>
        <v>2019</v>
      </c>
      <c r="K240" s="199">
        <f t="shared" si="77"/>
        <v>43691</v>
      </c>
      <c r="L240" s="147">
        <f>IF(t&lt;Tvie,1-EXP((T0-t)*PertePVj)+'2018'!Pspv,1-EXP((T0-t)*PertePVj)+Pspv)</f>
        <v>8.7581366878035638E-3</v>
      </c>
      <c r="M240" s="870"/>
      <c r="N240" s="870"/>
      <c r="O240" s="48">
        <f>IF(t&lt;Tnet,'2018'!Resal+('2018'!Salim-'2018'!Resal)*(1-EXP(('2018'!Tnet-t)/('2018'!Tau_j))),Resal+(Salim-Resal)*(1-EXP((Tnet-t)/(Tau_j))))*Salcycl</f>
        <v>7.8284692262122618E-2</v>
      </c>
      <c r="P240" s="171">
        <f>(INDEX(Models!$BJ240:$BT240,,T240)*(1-R240)+INDEX(Models!$BJ240:$BT240,,T240+1)*R240-ERP_i)*Q240*Ramure*Pc/MaxiM</f>
        <v>9.5024263700080444E-4</v>
      </c>
      <c r="Q240" s="307">
        <f t="shared" si="78"/>
        <v>1</v>
      </c>
      <c r="R240" s="179">
        <f t="shared" si="79"/>
        <v>0.55464503837700452</v>
      </c>
      <c r="S240" s="837">
        <f t="shared" si="80"/>
        <v>-2</v>
      </c>
      <c r="T240" s="178">
        <f t="shared" si="81"/>
        <v>4</v>
      </c>
      <c r="U240" s="253">
        <f t="shared" si="82"/>
        <v>-1.4453549616229955</v>
      </c>
      <c r="V240" s="385">
        <f t="shared" si="83"/>
        <v>52.380846604750936</v>
      </c>
      <c r="W240" s="58"/>
      <c r="X240" s="157">
        <f t="shared" si="84"/>
        <v>43691</v>
      </c>
      <c r="Y240" s="387">
        <f t="shared" si="85"/>
        <v>51.588000000000001</v>
      </c>
      <c r="Z240" s="387">
        <f t="shared" si="86"/>
        <v>52.043806773475737</v>
      </c>
      <c r="AA240" s="388">
        <f t="shared" si="87"/>
        <v>56.464079891658102</v>
      </c>
      <c r="AB240" s="199">
        <f t="shared" si="88"/>
        <v>43691</v>
      </c>
      <c r="AC240" s="426">
        <f>IF(OR(t&lt;Tnet,NoTnet),'2018'!Resal_s+('2018'!Salim-'2018'!Resal_s)*(1-EXP(('2018'!Tnet_s-t)/'2018'!Tau_j)),Resal_s+(Salim-Resal_s)*(1-EXP((Tnet_s-t)/Tau_j)))*Salcycl</f>
        <v>7.8284692262122618E-2</v>
      </c>
      <c r="AD240" s="233">
        <f>(INDEX(Models!$BJ240:$BT240,,AH240)*(1-AF240)+INDEX(Models!$BJ240:$BT240,,AH240+1)*AF240-ERP_i)*AE240*Ramure*Pc/MaxiM</f>
        <v>9.5024263700080444E-4</v>
      </c>
      <c r="AE240" s="307">
        <f t="shared" si="89"/>
        <v>1</v>
      </c>
      <c r="AF240" s="179">
        <f t="shared" si="90"/>
        <v>0.55464503837700452</v>
      </c>
      <c r="AG240" s="178">
        <f t="shared" si="91"/>
        <v>-2</v>
      </c>
      <c r="AH240" s="178">
        <f t="shared" si="92"/>
        <v>4</v>
      </c>
      <c r="AI240" s="227">
        <f t="shared" si="93"/>
        <v>-1.4453549616229955</v>
      </c>
      <c r="AJ240" s="267" t="b">
        <f t="shared" si="94"/>
        <v>0</v>
      </c>
      <c r="AK240" s="267" t="b">
        <f t="shared" si="95"/>
        <v>0</v>
      </c>
      <c r="AL240" s="267"/>
      <c r="AM240" s="267"/>
      <c r="AN240" s="75"/>
    </row>
    <row r="241" spans="1:40" s="6" customFormat="1" ht="11.25" customHeight="1" x14ac:dyDescent="0.2">
      <c r="A241" s="56">
        <f t="shared" si="96"/>
        <v>43692</v>
      </c>
      <c r="B241" s="618">
        <v>26.802</v>
      </c>
      <c r="C241" s="392"/>
      <c r="D241" s="395">
        <f t="shared" si="75"/>
        <v>27.039438837510879</v>
      </c>
      <c r="E241" s="387">
        <f t="shared" si="97"/>
        <v>29.341102660822418</v>
      </c>
      <c r="F241" s="387">
        <f t="shared" si="76"/>
        <v>29.350243084690987</v>
      </c>
      <c r="G241" s="110">
        <f t="shared" si="98"/>
        <v>0.51346740499270505</v>
      </c>
      <c r="H241" s="414" t="b">
        <f>Wh_hp&gt;='2018'!Maxi_hp</f>
        <v>1</v>
      </c>
      <c r="I241" s="392">
        <f>IF(H241,Wh_hp,'2018'!Maxi_hp)</f>
        <v>29.350243084690987</v>
      </c>
      <c r="J241" s="85">
        <f>IF(H241,An,'2018'!An_max)</f>
        <v>2019</v>
      </c>
      <c r="K241" s="199">
        <f t="shared" si="77"/>
        <v>43692</v>
      </c>
      <c r="L241" s="147">
        <f>IF(t&lt;Tvie,1-EXP((T0-t)*PertePVj)+'2018'!Pspv,1-EXP((T0-t)*PertePVj)+Pspv)</f>
        <v>8.7812043340740331E-3</v>
      </c>
      <c r="M241" s="870"/>
      <c r="N241" s="870"/>
      <c r="O241" s="48">
        <f>IF(t&lt;Tnet,'2018'!Resal+('2018'!Salim-'2018'!Resal)*(1-EXP(('2018'!Tnet-t)/('2018'!Tau_j))),Resal+(Salim-Resal)*(1-EXP((Tnet-t)/(Tau_j))))*Salcycl</f>
        <v>7.8445034936768951E-2</v>
      </c>
      <c r="P241" s="171">
        <f>(INDEX(Models!$BJ241:$BT241,,T241)*(1-R241)+INDEX(Models!$BJ241:$BT241,,T241+1)*R241-ERP_i)*Q241*Ramure*Pc/MaxiM</f>
        <v>1.0194861070724765E-3</v>
      </c>
      <c r="Q241" s="307">
        <f t="shared" si="78"/>
        <v>1</v>
      </c>
      <c r="R241" s="179">
        <f t="shared" si="79"/>
        <v>0.5563577767092609</v>
      </c>
      <c r="S241" s="837">
        <f t="shared" si="80"/>
        <v>-2</v>
      </c>
      <c r="T241" s="178">
        <f t="shared" si="81"/>
        <v>4</v>
      </c>
      <c r="U241" s="253">
        <f t="shared" si="82"/>
        <v>-1.4436422232907391</v>
      </c>
      <c r="V241" s="385">
        <f t="shared" si="83"/>
        <v>52.161084415828356</v>
      </c>
      <c r="W241" s="58"/>
      <c r="X241" s="157">
        <f t="shared" si="84"/>
        <v>43692</v>
      </c>
      <c r="Y241" s="387">
        <f t="shared" si="85"/>
        <v>26.802</v>
      </c>
      <c r="Z241" s="387">
        <f t="shared" si="86"/>
        <v>27.039438837510879</v>
      </c>
      <c r="AA241" s="388">
        <f t="shared" si="87"/>
        <v>29.341102660822418</v>
      </c>
      <c r="AB241" s="199">
        <f t="shared" si="88"/>
        <v>43692</v>
      </c>
      <c r="AC241" s="426">
        <f>IF(OR(t&lt;Tnet,NoTnet),'2018'!Resal_s+('2018'!Salim-'2018'!Resal_s)*(1-EXP(('2018'!Tnet_s-t)/'2018'!Tau_j)),Resal_s+(Salim-Resal_s)*(1-EXP((Tnet_s-t)/Tau_j)))*Salcycl</f>
        <v>7.8445034936768951E-2</v>
      </c>
      <c r="AD241" s="233">
        <f>(INDEX(Models!$BJ241:$BT241,,AH241)*(1-AF241)+INDEX(Models!$BJ241:$BT241,,AH241+1)*AF241-ERP_i)*AE241*Ramure*Pc/MaxiM</f>
        <v>1.0194861070724765E-3</v>
      </c>
      <c r="AE241" s="307">
        <f t="shared" si="89"/>
        <v>1</v>
      </c>
      <c r="AF241" s="179">
        <f t="shared" si="90"/>
        <v>0.5563577767092609</v>
      </c>
      <c r="AG241" s="178">
        <f t="shared" si="91"/>
        <v>-2</v>
      </c>
      <c r="AH241" s="178">
        <f t="shared" si="92"/>
        <v>4</v>
      </c>
      <c r="AI241" s="227">
        <f t="shared" si="93"/>
        <v>-1.4436422232907391</v>
      </c>
      <c r="AJ241" s="267" t="b">
        <f t="shared" si="94"/>
        <v>0</v>
      </c>
      <c r="AK241" s="267" t="b">
        <f t="shared" si="95"/>
        <v>0</v>
      </c>
      <c r="AL241" s="267"/>
      <c r="AM241" s="267"/>
      <c r="AN241" s="75"/>
    </row>
    <row r="242" spans="1:40" s="6" customFormat="1" ht="11.25" customHeight="1" x14ac:dyDescent="0.2">
      <c r="A242" s="56">
        <f t="shared" si="96"/>
        <v>43693</v>
      </c>
      <c r="B242" s="618">
        <v>50.661999999999999</v>
      </c>
      <c r="C242" s="392"/>
      <c r="D242" s="395">
        <f t="shared" si="75"/>
        <v>51.112003956858793</v>
      </c>
      <c r="E242" s="387">
        <f t="shared" si="97"/>
        <v>55.472399994042064</v>
      </c>
      <c r="F242" s="387">
        <f t="shared" si="76"/>
        <v>55.530808319610884</v>
      </c>
      <c r="G242" s="110">
        <f t="shared" si="98"/>
        <v>0.97542792973132575</v>
      </c>
      <c r="H242" s="414" t="b">
        <f>Wh_hp&gt;='2018'!Maxi_hp</f>
        <v>1</v>
      </c>
      <c r="I242" s="392">
        <f>IF(H242,Wh_hp,'2018'!Maxi_hp)</f>
        <v>55.530808319610884</v>
      </c>
      <c r="J242" s="85">
        <f>IF(H242,An,'2018'!An_max)</f>
        <v>2019</v>
      </c>
      <c r="K242" s="199">
        <f t="shared" si="77"/>
        <v>43693</v>
      </c>
      <c r="L242" s="147">
        <f>IF(t&lt;Tvie,1-EXP((T0-t)*PertePVj)+'2018'!Pspv,1-EXP((T0-t)*PertePVj)+Pspv)</f>
        <v>8.80427144352669E-3</v>
      </c>
      <c r="M242" s="870"/>
      <c r="N242" s="870"/>
      <c r="O242" s="48">
        <f>IF(t&lt;Tnet,'2018'!Resal+('2018'!Salim-'2018'!Resal)*(1-EXP(('2018'!Tnet-t)/('2018'!Tau_j))),Resal+(Salim-Resal)*(1-EXP((Tnet-t)/(Tau_j))))*Salcycl</f>
        <v>7.8604784318897156E-2</v>
      </c>
      <c r="P242" s="171">
        <f>(INDEX(Models!$BJ242:$BT242,,T242)*(1-R242)+INDEX(Models!$BJ242:$BT242,,T242+1)*R242-ERP_i)*Q242*Ramure*Pc/MaxiM</f>
        <v>1.0900233427824453E-3</v>
      </c>
      <c r="Q242" s="307">
        <f t="shared" si="78"/>
        <v>1</v>
      </c>
      <c r="R242" s="179">
        <f t="shared" si="79"/>
        <v>0.5580099889884873</v>
      </c>
      <c r="S242" s="837">
        <f t="shared" si="80"/>
        <v>-2</v>
      </c>
      <c r="T242" s="178">
        <f t="shared" si="81"/>
        <v>4</v>
      </c>
      <c r="U242" s="253">
        <f t="shared" si="82"/>
        <v>-1.4419900110115127</v>
      </c>
      <c r="V242" s="385">
        <f t="shared" si="83"/>
        <v>51.936243446308602</v>
      </c>
      <c r="W242" s="58"/>
      <c r="X242" s="157">
        <f t="shared" si="84"/>
        <v>43693</v>
      </c>
      <c r="Y242" s="387">
        <f t="shared" si="85"/>
        <v>50.661999999999999</v>
      </c>
      <c r="Z242" s="387">
        <f t="shared" si="86"/>
        <v>51.112003956858793</v>
      </c>
      <c r="AA242" s="388">
        <f t="shared" si="87"/>
        <v>55.472399994042064</v>
      </c>
      <c r="AB242" s="199">
        <f t="shared" si="88"/>
        <v>43693</v>
      </c>
      <c r="AC242" s="426">
        <f>IF(OR(t&lt;Tnet,NoTnet),'2018'!Resal_s+('2018'!Salim-'2018'!Resal_s)*(1-EXP(('2018'!Tnet_s-t)/'2018'!Tau_j)),Resal_s+(Salim-Resal_s)*(1-EXP((Tnet_s-t)/Tau_j)))*Salcycl</f>
        <v>7.8604784318897156E-2</v>
      </c>
      <c r="AD242" s="233">
        <f>(INDEX(Models!$BJ242:$BT242,,AH242)*(1-AF242)+INDEX(Models!$BJ242:$BT242,,AH242+1)*AF242-ERP_i)*AE242*Ramure*Pc/MaxiM</f>
        <v>1.0900233427824453E-3</v>
      </c>
      <c r="AE242" s="307">
        <f t="shared" si="89"/>
        <v>1</v>
      </c>
      <c r="AF242" s="179">
        <f t="shared" si="90"/>
        <v>0.5580099889884873</v>
      </c>
      <c r="AG242" s="178">
        <f t="shared" si="91"/>
        <v>-2</v>
      </c>
      <c r="AH242" s="178">
        <f t="shared" si="92"/>
        <v>4</v>
      </c>
      <c r="AI242" s="227">
        <f t="shared" si="93"/>
        <v>-1.4419900110115127</v>
      </c>
      <c r="AJ242" s="267" t="b">
        <f t="shared" si="94"/>
        <v>0</v>
      </c>
      <c r="AK242" s="267" t="b">
        <f t="shared" si="95"/>
        <v>0</v>
      </c>
      <c r="AL242" s="267"/>
      <c r="AM242" s="267"/>
      <c r="AN242" s="75"/>
    </row>
    <row r="243" spans="1:40" s="6" customFormat="1" ht="11.25" x14ac:dyDescent="0.2">
      <c r="A243" s="56">
        <f t="shared" si="96"/>
        <v>43694</v>
      </c>
      <c r="B243" s="618">
        <v>49.505000000000003</v>
      </c>
      <c r="C243" s="392"/>
      <c r="D243" s="395">
        <f t="shared" si="75"/>
        <v>49.945889246900784</v>
      </c>
      <c r="E243" s="387">
        <f t="shared" si="97"/>
        <v>54.216167404444242</v>
      </c>
      <c r="F243" s="387">
        <f t="shared" si="76"/>
        <v>54.275394990879882</v>
      </c>
      <c r="G243" s="110">
        <f t="shared" si="98"/>
        <v>0.95736626835656491</v>
      </c>
      <c r="H243" s="414" t="b">
        <f>Wh_hp&gt;='2018'!Maxi_hp</f>
        <v>1</v>
      </c>
      <c r="I243" s="392">
        <f>IF(H243,Wh_hp,'2018'!Maxi_hp)</f>
        <v>54.275394990879882</v>
      </c>
      <c r="J243" s="85">
        <f>IF(H243,An,'2018'!An_max)</f>
        <v>2019</v>
      </c>
      <c r="K243" s="199">
        <f t="shared" si="77"/>
        <v>43694</v>
      </c>
      <c r="L243" s="147">
        <f>IF(t&lt;Tvie,1-EXP((T0-t)*PertePVj)+'2018'!Pspv,1-EXP((T0-t)*PertePVj)+Pspv)</f>
        <v>8.827338016173969E-3</v>
      </c>
      <c r="M243" s="870"/>
      <c r="N243" s="870"/>
      <c r="O243" s="48">
        <f>IF(t&lt;Tnet,'2018'!Resal+('2018'!Salim-'2018'!Resal)*(1-EXP(('2018'!Tnet-t)/('2018'!Tau_j))),Resal+(Salim-Resal)*(1-EXP((Tnet-t)/(Tau_j))))*Salcycl</f>
        <v>7.8763925263987108E-2</v>
      </c>
      <c r="P243" s="171">
        <f>(INDEX(Models!$BJ243:$BT243,,T243)*(1-R243)+INDEX(Models!$BJ243:$BT243,,T243+1)*R243-ERP_i)*Q243*Ramure*Pc/MaxiM</f>
        <v>1.1618951262726612E-3</v>
      </c>
      <c r="Q243" s="307">
        <f t="shared" si="78"/>
        <v>1</v>
      </c>
      <c r="R243" s="179">
        <f t="shared" si="79"/>
        <v>0.55960350543728099</v>
      </c>
      <c r="S243" s="837">
        <f t="shared" si="80"/>
        <v>-2</v>
      </c>
      <c r="T243" s="178">
        <f t="shared" si="81"/>
        <v>4</v>
      </c>
      <c r="U243" s="253">
        <f t="shared" si="82"/>
        <v>-1.440396494562719</v>
      </c>
      <c r="V243" s="385">
        <f t="shared" si="83"/>
        <v>51.705914578739446</v>
      </c>
      <c r="W243" s="58"/>
      <c r="X243" s="157">
        <f t="shared" si="84"/>
        <v>43694</v>
      </c>
      <c r="Y243" s="387">
        <f t="shared" si="85"/>
        <v>49.505000000000003</v>
      </c>
      <c r="Z243" s="387">
        <f t="shared" si="86"/>
        <v>49.945889246900784</v>
      </c>
      <c r="AA243" s="388">
        <f t="shared" si="87"/>
        <v>54.216167404444242</v>
      </c>
      <c r="AB243" s="199">
        <f t="shared" si="88"/>
        <v>43694</v>
      </c>
      <c r="AC243" s="426">
        <f>IF(OR(t&lt;Tnet,NoTnet),'2018'!Resal_s+('2018'!Salim-'2018'!Resal_s)*(1-EXP(('2018'!Tnet_s-t)/'2018'!Tau_j)),Resal_s+(Salim-Resal_s)*(1-EXP((Tnet_s-t)/Tau_j)))*Salcycl</f>
        <v>7.8763925263987108E-2</v>
      </c>
      <c r="AD243" s="233">
        <f>(INDEX(Models!$BJ243:$BT243,,AH243)*(1-AF243)+INDEX(Models!$BJ243:$BT243,,AH243+1)*AF243-ERP_i)*AE243*Ramure*Pc/MaxiM</f>
        <v>1.1618951262726612E-3</v>
      </c>
      <c r="AE243" s="307">
        <f t="shared" si="89"/>
        <v>1</v>
      </c>
      <c r="AF243" s="179">
        <f t="shared" si="90"/>
        <v>0.55960350543728099</v>
      </c>
      <c r="AG243" s="178">
        <f t="shared" si="91"/>
        <v>-2</v>
      </c>
      <c r="AH243" s="178">
        <f t="shared" si="92"/>
        <v>4</v>
      </c>
      <c r="AI243" s="227">
        <f t="shared" si="93"/>
        <v>-1.440396494562719</v>
      </c>
      <c r="AJ243" s="267" t="b">
        <f t="shared" si="94"/>
        <v>0</v>
      </c>
      <c r="AK243" s="267" t="b">
        <f t="shared" si="95"/>
        <v>0</v>
      </c>
      <c r="AL243" s="267"/>
      <c r="AM243" s="267"/>
      <c r="AN243" s="75"/>
    </row>
    <row r="244" spans="1:40" s="6" customFormat="1" ht="11.25" x14ac:dyDescent="0.2">
      <c r="A244" s="56">
        <f t="shared" si="96"/>
        <v>43695</v>
      </c>
      <c r="B244" s="618">
        <v>34.524999999999999</v>
      </c>
      <c r="C244" s="392"/>
      <c r="D244" s="395">
        <f t="shared" si="75"/>
        <v>34.833288679272506</v>
      </c>
      <c r="E244" s="387">
        <f t="shared" si="97"/>
        <v>37.817975639858815</v>
      </c>
      <c r="F244" s="387">
        <f t="shared" si="76"/>
        <v>37.84273405480667</v>
      </c>
      <c r="G244" s="110">
        <f t="shared" si="98"/>
        <v>0.67039323319161181</v>
      </c>
      <c r="H244" s="414" t="b">
        <f>Wh_hp&gt;='2018'!Maxi_hp</f>
        <v>1</v>
      </c>
      <c r="I244" s="392">
        <f>IF(H244,Wh_hp,'2018'!Maxi_hp)</f>
        <v>37.84273405480667</v>
      </c>
      <c r="J244" s="85">
        <f>IF(H244,An,'2018'!An_max)</f>
        <v>2019</v>
      </c>
      <c r="K244" s="199">
        <f t="shared" si="77"/>
        <v>43695</v>
      </c>
      <c r="L244" s="147">
        <f>IF(t&lt;Tvie,1-EXP((T0-t)*PertePVj)+'2018'!Pspv,1-EXP((T0-t)*PertePVj)+Pspv)</f>
        <v>8.8504040520283045E-3</v>
      </c>
      <c r="M244" s="870"/>
      <c r="N244" s="870"/>
      <c r="O244" s="48">
        <f>IF(t&lt;Tnet,'2018'!Resal+('2018'!Salim-'2018'!Resal)*(1-EXP(('2018'!Tnet-t)/('2018'!Tau_j))),Resal+(Salim-Resal)*(1-EXP((Tnet-t)/(Tau_j))))*Salcycl</f>
        <v>7.8922441248826469E-2</v>
      </c>
      <c r="P244" s="171">
        <f>(INDEX(Models!$BJ244:$BT244,,T244)*(1-R244)+INDEX(Models!$BJ244:$BT244,,T244+1)*R244-ERP_i)*Q244*Ramure*Pc/MaxiM</f>
        <v>1.2351462534196855E-3</v>
      </c>
      <c r="Q244" s="307">
        <f t="shared" si="78"/>
        <v>1</v>
      </c>
      <c r="R244" s="179">
        <f t="shared" si="79"/>
        <v>0.56114012416401993</v>
      </c>
      <c r="S244" s="837">
        <f t="shared" si="80"/>
        <v>-2</v>
      </c>
      <c r="T244" s="178">
        <f t="shared" si="81"/>
        <v>4</v>
      </c>
      <c r="U244" s="253">
        <f t="shared" si="82"/>
        <v>-1.4388598758359801</v>
      </c>
      <c r="V244" s="385">
        <f t="shared" si="83"/>
        <v>51.469689044870769</v>
      </c>
      <c r="W244" s="58"/>
      <c r="X244" s="157">
        <f t="shared" si="84"/>
        <v>43695</v>
      </c>
      <c r="Y244" s="387">
        <f t="shared" si="85"/>
        <v>34.524999999999999</v>
      </c>
      <c r="Z244" s="387">
        <f t="shared" si="86"/>
        <v>34.833288679272506</v>
      </c>
      <c r="AA244" s="388">
        <f t="shared" si="87"/>
        <v>37.817975639858815</v>
      </c>
      <c r="AB244" s="199">
        <f t="shared" si="88"/>
        <v>43695</v>
      </c>
      <c r="AC244" s="426">
        <f>IF(OR(t&lt;Tnet,NoTnet),'2018'!Resal_s+('2018'!Salim-'2018'!Resal_s)*(1-EXP(('2018'!Tnet_s-t)/'2018'!Tau_j)),Resal_s+(Salim-Resal_s)*(1-EXP((Tnet_s-t)/Tau_j)))*Salcycl</f>
        <v>7.8922441248826469E-2</v>
      </c>
      <c r="AD244" s="233">
        <f>(INDEX(Models!$BJ244:$BT244,,AH244)*(1-AF244)+INDEX(Models!$BJ244:$BT244,,AH244+1)*AF244-ERP_i)*AE244*Ramure*Pc/MaxiM</f>
        <v>1.2351462534196855E-3</v>
      </c>
      <c r="AE244" s="307">
        <f t="shared" si="89"/>
        <v>1</v>
      </c>
      <c r="AF244" s="179">
        <f t="shared" si="90"/>
        <v>0.56114012416401993</v>
      </c>
      <c r="AG244" s="178">
        <f t="shared" si="91"/>
        <v>-2</v>
      </c>
      <c r="AH244" s="178">
        <f t="shared" si="92"/>
        <v>4</v>
      </c>
      <c r="AI244" s="227">
        <f t="shared" si="93"/>
        <v>-1.4388598758359801</v>
      </c>
      <c r="AJ244" s="267" t="b">
        <f t="shared" si="94"/>
        <v>0</v>
      </c>
      <c r="AK244" s="267" t="b">
        <f t="shared" si="95"/>
        <v>0</v>
      </c>
      <c r="AL244" s="267"/>
      <c r="AM244" s="267"/>
      <c r="AN244" s="75"/>
    </row>
    <row r="245" spans="1:40" s="6" customFormat="1" ht="11.25" customHeight="1" x14ac:dyDescent="0.2">
      <c r="A245" s="56">
        <f t="shared" si="96"/>
        <v>43696</v>
      </c>
      <c r="B245" s="618">
        <v>32.798000000000002</v>
      </c>
      <c r="C245" s="392"/>
      <c r="D245" s="395">
        <f t="shared" si="75"/>
        <v>33.091637638985659</v>
      </c>
      <c r="E245" s="387">
        <f t="shared" si="97"/>
        <v>35.933250379304134</v>
      </c>
      <c r="F245" s="387">
        <f t="shared" si="76"/>
        <v>35.956142289152396</v>
      </c>
      <c r="G245" s="110">
        <f t="shared" si="98"/>
        <v>0.63981506137907251</v>
      </c>
      <c r="H245" s="414" t="b">
        <f>Wh_hp&gt;='2018'!Maxi_hp</f>
        <v>1</v>
      </c>
      <c r="I245" s="392">
        <f>IF(H245,Wh_hp,'2018'!Maxi_hp)</f>
        <v>35.956142289152396</v>
      </c>
      <c r="J245" s="85">
        <f>IF(H245,An,'2018'!An_max)</f>
        <v>2019</v>
      </c>
      <c r="K245" s="199">
        <f t="shared" si="77"/>
        <v>43696</v>
      </c>
      <c r="L245" s="147">
        <f>IF(t&lt;Tvie,1-EXP((T0-t)*PertePVj)+'2018'!Pspv,1-EXP((T0-t)*PertePVj)+Pspv)</f>
        <v>8.8734695511024642E-3</v>
      </c>
      <c r="M245" s="870"/>
      <c r="N245" s="870"/>
      <c r="O245" s="48">
        <f>IF(t&lt;Tnet,'2018'!Resal+('2018'!Salim-'2018'!Resal)*(1-EXP(('2018'!Tnet-t)/('2018'!Tau_j))),Resal+(Salim-Resal)*(1-EXP((Tnet-t)/(Tau_j))))*Salcycl</f>
        <v>7.9080314480960881E-2</v>
      </c>
      <c r="P245" s="171">
        <f>(INDEX(Models!$BJ245:$BT245,,T245)*(1-R245)+INDEX(Models!$BJ245:$BT245,,T245+1)*R245-ERP_i)*Q245*Ramure*Pc/MaxiM</f>
        <v>1.3098257724172295E-3</v>
      </c>
      <c r="Q245" s="307">
        <f t="shared" si="78"/>
        <v>1</v>
      </c>
      <c r="R245" s="179">
        <f t="shared" si="79"/>
        <v>0.56262160983323506</v>
      </c>
      <c r="S245" s="837">
        <f t="shared" si="80"/>
        <v>-2</v>
      </c>
      <c r="T245" s="178">
        <f t="shared" si="81"/>
        <v>4</v>
      </c>
      <c r="U245" s="253">
        <f t="shared" si="82"/>
        <v>-1.4373783901667649</v>
      </c>
      <c r="V245" s="385">
        <f t="shared" si="83"/>
        <v>51.22715842113675</v>
      </c>
      <c r="W245" s="58"/>
      <c r="X245" s="157">
        <f t="shared" si="84"/>
        <v>43696</v>
      </c>
      <c r="Y245" s="387">
        <f t="shared" si="85"/>
        <v>32.798000000000002</v>
      </c>
      <c r="Z245" s="387">
        <f t="shared" si="86"/>
        <v>33.091637638985659</v>
      </c>
      <c r="AA245" s="388">
        <f t="shared" si="87"/>
        <v>35.933250379304134</v>
      </c>
      <c r="AB245" s="199">
        <f t="shared" si="88"/>
        <v>43696</v>
      </c>
      <c r="AC245" s="426">
        <f>IF(OR(t&lt;Tnet,NoTnet),'2018'!Resal_s+('2018'!Salim-'2018'!Resal_s)*(1-EXP(('2018'!Tnet_s-t)/'2018'!Tau_j)),Resal_s+(Salim-Resal_s)*(1-EXP((Tnet_s-t)/Tau_j)))*Salcycl</f>
        <v>7.9080314480960881E-2</v>
      </c>
      <c r="AD245" s="233">
        <f>(INDEX(Models!$BJ245:$BT245,,AH245)*(1-AF245)+INDEX(Models!$BJ245:$BT245,,AH245+1)*AF245-ERP_i)*AE245*Ramure*Pc/MaxiM</f>
        <v>1.3098257724172295E-3</v>
      </c>
      <c r="AE245" s="307">
        <f t="shared" si="89"/>
        <v>1</v>
      </c>
      <c r="AF245" s="179">
        <f t="shared" si="90"/>
        <v>0.56262160983323506</v>
      </c>
      <c r="AG245" s="178">
        <f t="shared" si="91"/>
        <v>-2</v>
      </c>
      <c r="AH245" s="178">
        <f t="shared" si="92"/>
        <v>4</v>
      </c>
      <c r="AI245" s="227">
        <f t="shared" si="93"/>
        <v>-1.4373783901667649</v>
      </c>
      <c r="AJ245" s="267" t="b">
        <f t="shared" si="94"/>
        <v>0</v>
      </c>
      <c r="AK245" s="267" t="b">
        <f t="shared" si="95"/>
        <v>0</v>
      </c>
      <c r="AL245" s="267"/>
      <c r="AM245" s="267"/>
      <c r="AN245" s="75"/>
    </row>
    <row r="246" spans="1:40" s="6" customFormat="1" ht="11.25" x14ac:dyDescent="0.2">
      <c r="A246" s="56">
        <f t="shared" si="96"/>
        <v>43697</v>
      </c>
      <c r="B246" s="618">
        <v>31.45</v>
      </c>
      <c r="C246" s="392"/>
      <c r="D246" s="395">
        <f t="shared" si="75"/>
        <v>31.732307569481996</v>
      </c>
      <c r="E246" s="387">
        <f t="shared" si="97"/>
        <v>34.463076488634499</v>
      </c>
      <c r="F246" s="387">
        <f t="shared" si="76"/>
        <v>34.48471644836544</v>
      </c>
      <c r="G246" s="110">
        <f t="shared" si="98"/>
        <v>0.61646561187191096</v>
      </c>
      <c r="H246" s="414" t="b">
        <f>Wh_hp&gt;='2018'!Maxi_hp</f>
        <v>1</v>
      </c>
      <c r="I246" s="392">
        <f>IF(H246,Wh_hp,'2018'!Maxi_hp)</f>
        <v>34.48471644836544</v>
      </c>
      <c r="J246" s="85">
        <f>IF(H246,An,'2018'!An_max)</f>
        <v>2019</v>
      </c>
      <c r="K246" s="199">
        <f t="shared" si="77"/>
        <v>43697</v>
      </c>
      <c r="L246" s="147">
        <f>IF(t&lt;Tvie,1-EXP((T0-t)*PertePVj)+'2018'!Pspv,1-EXP((T0-t)*PertePVj)+Pspv)</f>
        <v>8.8965345134086604E-3</v>
      </c>
      <c r="M246" s="870"/>
      <c r="N246" s="870"/>
      <c r="O246" s="48">
        <f>IF(t&lt;Tnet,'2018'!Resal+('2018'!Salim-'2018'!Resal)*(1-EXP(('2018'!Tnet-t)/('2018'!Tau_j))),Resal+(Salim-Resal)*(1-EXP((Tnet-t)/(Tau_j))))*Salcycl</f>
        <v>7.9237525995483185E-2</v>
      </c>
      <c r="P246" s="171">
        <f>(INDEX(Models!$BJ246:$BT246,,T246)*(1-R246)+INDEX(Models!$BJ246:$BT246,,T246+1)*R246-ERP_i)*Q246*Ramure*Pc/MaxiM</f>
        <v>1.3859872433008436E-3</v>
      </c>
      <c r="Q246" s="307">
        <f t="shared" si="78"/>
        <v>1</v>
      </c>
      <c r="R246" s="179">
        <f t="shared" si="79"/>
        <v>0.56404969253023429</v>
      </c>
      <c r="S246" s="837">
        <f t="shared" si="80"/>
        <v>-2</v>
      </c>
      <c r="T246" s="178">
        <f t="shared" si="81"/>
        <v>4</v>
      </c>
      <c r="U246" s="253">
        <f t="shared" si="82"/>
        <v>-1.4359503074697657</v>
      </c>
      <c r="V246" s="385">
        <f t="shared" si="83"/>
        <v>50.977914619390624</v>
      </c>
      <c r="W246" s="58"/>
      <c r="X246" s="157">
        <f t="shared" si="84"/>
        <v>43697</v>
      </c>
      <c r="Y246" s="387">
        <f t="shared" si="85"/>
        <v>31.450000000000003</v>
      </c>
      <c r="Z246" s="387">
        <f t="shared" si="86"/>
        <v>31.732307569482</v>
      </c>
      <c r="AA246" s="388">
        <f t="shared" si="87"/>
        <v>34.463076488634499</v>
      </c>
      <c r="AB246" s="199">
        <f t="shared" si="88"/>
        <v>43697</v>
      </c>
      <c r="AC246" s="426">
        <f>IF(OR(t&lt;Tnet,NoTnet),'2018'!Resal_s+('2018'!Salim-'2018'!Resal_s)*(1-EXP(('2018'!Tnet_s-t)/'2018'!Tau_j)),Resal_s+(Salim-Resal_s)*(1-EXP((Tnet_s-t)/Tau_j)))*Salcycl</f>
        <v>7.9237525995483185E-2</v>
      </c>
      <c r="AD246" s="233">
        <f>(INDEX(Models!$BJ246:$BT246,,AH246)*(1-AF246)+INDEX(Models!$BJ246:$BT246,,AH246+1)*AF246-ERP_i)*AE246*Ramure*Pc/MaxiM</f>
        <v>1.3859872433008436E-3</v>
      </c>
      <c r="AE246" s="307">
        <f t="shared" si="89"/>
        <v>1</v>
      </c>
      <c r="AF246" s="179">
        <f t="shared" si="90"/>
        <v>0.56404969253023429</v>
      </c>
      <c r="AG246" s="178">
        <f t="shared" si="91"/>
        <v>-2</v>
      </c>
      <c r="AH246" s="178">
        <f t="shared" si="92"/>
        <v>4</v>
      </c>
      <c r="AI246" s="227">
        <f t="shared" si="93"/>
        <v>-1.4359503074697657</v>
      </c>
      <c r="AJ246" s="267" t="b">
        <f t="shared" si="94"/>
        <v>0</v>
      </c>
      <c r="AK246" s="267" t="b">
        <f t="shared" si="95"/>
        <v>0</v>
      </c>
      <c r="AL246" s="267"/>
      <c r="AM246" s="267"/>
      <c r="AN246" s="75"/>
    </row>
    <row r="247" spans="1:40" s="6" customFormat="1" ht="11.25" customHeight="1" x14ac:dyDescent="0.2">
      <c r="A247" s="56">
        <f t="shared" si="96"/>
        <v>43698</v>
      </c>
      <c r="B247" s="618">
        <v>46.508000000000003</v>
      </c>
      <c r="C247" s="392"/>
      <c r="D247" s="395">
        <f t="shared" si="75"/>
        <v>46.926566149637317</v>
      </c>
      <c r="E247" s="387">
        <f t="shared" si="97"/>
        <v>50.973564142318004</v>
      </c>
      <c r="F247" s="387">
        <f t="shared" si="76"/>
        <v>51.039399504742391</v>
      </c>
      <c r="G247" s="110">
        <f t="shared" si="98"/>
        <v>0.91674157153915503</v>
      </c>
      <c r="H247" s="414" t="b">
        <f>Wh_hp&gt;='2018'!Maxi_hp</f>
        <v>1</v>
      </c>
      <c r="I247" s="392">
        <f>IF(H247,Wh_hp,'2018'!Maxi_hp)</f>
        <v>51.039399504742391</v>
      </c>
      <c r="J247" s="85">
        <f>IF(H247,An,'2018'!An_max)</f>
        <v>2019</v>
      </c>
      <c r="K247" s="199">
        <f t="shared" si="77"/>
        <v>43698</v>
      </c>
      <c r="L247" s="147">
        <f>IF(t&lt;Tvie,1-EXP((T0-t)*PertePVj)+'2018'!Pspv,1-EXP((T0-t)*PertePVj)+Pspv)</f>
        <v>8.9195989389594388E-3</v>
      </c>
      <c r="M247" s="870"/>
      <c r="N247" s="870"/>
      <c r="O247" s="48">
        <f>IF(t&lt;Tnet,'2018'!Resal+('2018'!Salim-'2018'!Resal)*(1-EXP(('2018'!Tnet-t)/('2018'!Tau_j))),Resal+(Salim-Resal)*(1-EXP((Tnet-t)/(Tau_j))))*Salcycl</f>
        <v>7.9394055738019068E-2</v>
      </c>
      <c r="P247" s="171">
        <f>(INDEX(Models!$BJ247:$BT247,,T247)*(1-R247)+INDEX(Models!$BJ247:$BT247,,T247+1)*R247-ERP_i)*Q247*Ramure*Pc/MaxiM</f>
        <v>1.4636464225002172E-3</v>
      </c>
      <c r="Q247" s="307">
        <f t="shared" si="78"/>
        <v>1</v>
      </c>
      <c r="R247" s="179">
        <f t="shared" si="79"/>
        <v>0.56542606680736429</v>
      </c>
      <c r="S247" s="837">
        <f t="shared" si="80"/>
        <v>-2</v>
      </c>
      <c r="T247" s="178">
        <f t="shared" si="81"/>
        <v>4</v>
      </c>
      <c r="U247" s="253">
        <f t="shared" si="82"/>
        <v>-1.4345739331926357</v>
      </c>
      <c r="V247" s="385">
        <f t="shared" si="83"/>
        <v>50.723028256693638</v>
      </c>
      <c r="W247" s="58"/>
      <c r="X247" s="157">
        <f t="shared" si="84"/>
        <v>43698</v>
      </c>
      <c r="Y247" s="387">
        <f t="shared" si="85"/>
        <v>46.508000000000003</v>
      </c>
      <c r="Z247" s="387">
        <f t="shared" si="86"/>
        <v>46.926566149637317</v>
      </c>
      <c r="AA247" s="388">
        <f t="shared" si="87"/>
        <v>50.973564142318004</v>
      </c>
      <c r="AB247" s="199">
        <f t="shared" si="88"/>
        <v>43698</v>
      </c>
      <c r="AC247" s="426">
        <f>IF(OR(t&lt;Tnet,NoTnet),'2018'!Resal_s+('2018'!Salim-'2018'!Resal_s)*(1-EXP(('2018'!Tnet_s-t)/'2018'!Tau_j)),Resal_s+(Salim-Resal_s)*(1-EXP((Tnet_s-t)/Tau_j)))*Salcycl</f>
        <v>7.9394055738019068E-2</v>
      </c>
      <c r="AD247" s="233">
        <f>(INDEX(Models!$BJ247:$BT247,,AH247)*(1-AF247)+INDEX(Models!$BJ247:$BT247,,AH247+1)*AF247-ERP_i)*AE247*Ramure*Pc/MaxiM</f>
        <v>1.4636464225002172E-3</v>
      </c>
      <c r="AE247" s="307">
        <f t="shared" si="89"/>
        <v>1</v>
      </c>
      <c r="AF247" s="179">
        <f t="shared" si="90"/>
        <v>0.56542606680736429</v>
      </c>
      <c r="AG247" s="178">
        <f t="shared" si="91"/>
        <v>-2</v>
      </c>
      <c r="AH247" s="178">
        <f t="shared" si="92"/>
        <v>4</v>
      </c>
      <c r="AI247" s="227">
        <f t="shared" si="93"/>
        <v>-1.4345739331926357</v>
      </c>
      <c r="AJ247" s="267" t="b">
        <f t="shared" si="94"/>
        <v>0</v>
      </c>
      <c r="AK247" s="267" t="b">
        <f t="shared" si="95"/>
        <v>0</v>
      </c>
      <c r="AL247" s="267"/>
      <c r="AM247" s="267"/>
      <c r="AN247" s="75"/>
    </row>
    <row r="248" spans="1:40" s="6" customFormat="1" ht="11.25" customHeight="1" x14ac:dyDescent="0.2">
      <c r="A248" s="56">
        <f t="shared" si="96"/>
        <v>43699</v>
      </c>
      <c r="B248" s="618">
        <v>50.378</v>
      </c>
      <c r="C248" s="392"/>
      <c r="D248" s="395">
        <f t="shared" si="75"/>
        <v>50.832578611185816</v>
      </c>
      <c r="E248" s="387">
        <f t="shared" si="97"/>
        <v>55.22578318159821</v>
      </c>
      <c r="F248" s="387">
        <f t="shared" si="76"/>
        <v>55.310874432474641</v>
      </c>
      <c r="G248" s="110">
        <f t="shared" si="98"/>
        <v>0.99829722754810801</v>
      </c>
      <c r="H248" s="414" t="b">
        <f>Wh_hp&gt;='2018'!Maxi_hp</f>
        <v>1</v>
      </c>
      <c r="I248" s="392">
        <f>IF(H248,Wh_hp,'2018'!Maxi_hp)</f>
        <v>55.310874432474641</v>
      </c>
      <c r="J248" s="85">
        <f>IF(H248,An,'2018'!An_max)</f>
        <v>2019</v>
      </c>
      <c r="K248" s="199">
        <f t="shared" si="77"/>
        <v>43699</v>
      </c>
      <c r="L248" s="147">
        <f>IF(t&lt;Tvie,1-EXP((T0-t)*PertePVj)+'2018'!Pspv,1-EXP((T0-t)*PertePVj)+Pspv)</f>
        <v>8.9426628277674558E-3</v>
      </c>
      <c r="M248" s="870"/>
      <c r="N248" s="870"/>
      <c r="O248" s="48">
        <f>IF(t&lt;Tnet,'2018'!Resal+('2018'!Salim-'2018'!Resal)*(1-EXP(('2018'!Tnet-t)/('2018'!Tau_j))),Resal+(Salim-Resal)*(1-EXP((Tnet-t)/(Tau_j))))*Salcycl</f>
        <v>7.9549882633013505E-2</v>
      </c>
      <c r="P248" s="171">
        <f>(INDEX(Models!$BJ248:$BT248,,T248)*(1-R248)+INDEX(Models!$BJ248:$BT248,,T248+1)*R248-ERP_i)*Q248*Ramure*Pc/MaxiM</f>
        <v>1.5421612210079285E-3</v>
      </c>
      <c r="Q248" s="307">
        <f t="shared" si="78"/>
        <v>1</v>
      </c>
      <c r="R248" s="179">
        <f t="shared" si="79"/>
        <v>0.56675239089963014</v>
      </c>
      <c r="S248" s="837">
        <f t="shared" si="80"/>
        <v>-2</v>
      </c>
      <c r="T248" s="178">
        <f t="shared" si="81"/>
        <v>4</v>
      </c>
      <c r="U248" s="253">
        <f t="shared" si="82"/>
        <v>-1.4332476091003699</v>
      </c>
      <c r="V248" s="385">
        <f t="shared" si="83"/>
        <v>50.46373940425574</v>
      </c>
      <c r="W248" s="58"/>
      <c r="X248" s="157">
        <f t="shared" si="84"/>
        <v>43699</v>
      </c>
      <c r="Y248" s="387">
        <f t="shared" si="85"/>
        <v>50.378</v>
      </c>
      <c r="Z248" s="387">
        <f t="shared" si="86"/>
        <v>50.832578611185816</v>
      </c>
      <c r="AA248" s="388">
        <f t="shared" si="87"/>
        <v>55.22578318159821</v>
      </c>
      <c r="AB248" s="199">
        <f t="shared" si="88"/>
        <v>43699</v>
      </c>
      <c r="AC248" s="426">
        <f>IF(OR(t&lt;Tnet,NoTnet),'2018'!Resal_s+('2018'!Salim-'2018'!Resal_s)*(1-EXP(('2018'!Tnet_s-t)/'2018'!Tau_j)),Resal_s+(Salim-Resal_s)*(1-EXP((Tnet_s-t)/Tau_j)))*Salcycl</f>
        <v>7.9549882633013505E-2</v>
      </c>
      <c r="AD248" s="233">
        <f>(INDEX(Models!$BJ248:$BT248,,AH248)*(1-AF248)+INDEX(Models!$BJ248:$BT248,,AH248+1)*AF248-ERP_i)*AE248*Ramure*Pc/MaxiM</f>
        <v>1.5421612210079285E-3</v>
      </c>
      <c r="AE248" s="307">
        <f t="shared" si="89"/>
        <v>1</v>
      </c>
      <c r="AF248" s="179">
        <f t="shared" si="90"/>
        <v>0.56675239089963014</v>
      </c>
      <c r="AG248" s="178">
        <f t="shared" si="91"/>
        <v>-2</v>
      </c>
      <c r="AH248" s="178">
        <f t="shared" si="92"/>
        <v>4</v>
      </c>
      <c r="AI248" s="227">
        <f t="shared" si="93"/>
        <v>-1.4332476091003699</v>
      </c>
      <c r="AJ248" s="267" t="b">
        <f t="shared" si="94"/>
        <v>0</v>
      </c>
      <c r="AK248" s="267" t="b">
        <f t="shared" si="95"/>
        <v>0</v>
      </c>
      <c r="AL248" s="267"/>
      <c r="AM248" s="267"/>
      <c r="AN248" s="75"/>
    </row>
    <row r="249" spans="1:40" s="6" customFormat="1" ht="11.25" customHeight="1" x14ac:dyDescent="0.2">
      <c r="A249" s="56">
        <f t="shared" si="96"/>
        <v>43700</v>
      </c>
      <c r="B249" s="618">
        <v>47.805</v>
      </c>
      <c r="C249" s="392"/>
      <c r="D249" s="395">
        <f t="shared" si="75"/>
        <v>48.237484073810421</v>
      </c>
      <c r="E249" s="387">
        <f t="shared" si="97"/>
        <v>52.415239970377286</v>
      </c>
      <c r="F249" s="387">
        <f t="shared" si="76"/>
        <v>52.494512682759208</v>
      </c>
      <c r="G249" s="110">
        <f t="shared" si="98"/>
        <v>0.95218747399771198</v>
      </c>
      <c r="H249" s="414" t="b">
        <f>Wh_hp&gt;='2018'!Maxi_hp</f>
        <v>1</v>
      </c>
      <c r="I249" s="392">
        <f>IF(H249,Wh_hp,'2018'!Maxi_hp)</f>
        <v>52.494512682759208</v>
      </c>
      <c r="J249" s="85">
        <f>IF(H249,An,'2018'!An_max)</f>
        <v>2019</v>
      </c>
      <c r="K249" s="199">
        <f t="shared" si="77"/>
        <v>43700</v>
      </c>
      <c r="L249" s="147">
        <f>IF(t&lt;Tvie,1-EXP((T0-t)*PertePVj)+'2018'!Pspv,1-EXP((T0-t)*PertePVj)+Pspv)</f>
        <v>8.9657261798450349E-3</v>
      </c>
      <c r="M249" s="870"/>
      <c r="N249" s="870"/>
      <c r="O249" s="48">
        <f>IF(t&lt;Tnet,'2018'!Resal+('2018'!Salim-'2018'!Resal)*(1-EXP(('2018'!Tnet-t)/('2018'!Tau_j))),Resal+(Salim-Resal)*(1-EXP((Tnet-t)/(Tau_j))))*Salcycl</f>
        <v>7.9704984636680812E-2</v>
      </c>
      <c r="P249" s="171">
        <f>(INDEX(Models!$BJ249:$BT249,,T249)*(1-R249)+INDEX(Models!$BJ249:$BT249,,T249+1)*R249-ERP_i)*Q249*Ramure*Pc/MaxiM</f>
        <v>1.6205605337847931E-3</v>
      </c>
      <c r="Q249" s="307">
        <f t="shared" si="78"/>
        <v>1</v>
      </c>
      <c r="R249" s="179">
        <f t="shared" si="79"/>
        <v>0.56803028609777084</v>
      </c>
      <c r="S249" s="837">
        <f t="shared" si="80"/>
        <v>-2</v>
      </c>
      <c r="T249" s="178">
        <f t="shared" si="81"/>
        <v>4</v>
      </c>
      <c r="U249" s="253">
        <f t="shared" si="82"/>
        <v>-1.4319697139022292</v>
      </c>
      <c r="V249" s="385">
        <f t="shared" si="83"/>
        <v>50.199895961768576</v>
      </c>
      <c r="W249" s="58"/>
      <c r="X249" s="157">
        <f t="shared" si="84"/>
        <v>43700</v>
      </c>
      <c r="Y249" s="387">
        <f t="shared" si="85"/>
        <v>47.805</v>
      </c>
      <c r="Z249" s="387">
        <f t="shared" si="86"/>
        <v>48.237484073810421</v>
      </c>
      <c r="AA249" s="388">
        <f t="shared" si="87"/>
        <v>52.415239970377286</v>
      </c>
      <c r="AB249" s="199">
        <f t="shared" si="88"/>
        <v>43700</v>
      </c>
      <c r="AC249" s="426">
        <f>IF(OR(t&lt;Tnet,NoTnet),'2018'!Resal_s+('2018'!Salim-'2018'!Resal_s)*(1-EXP(('2018'!Tnet_s-t)/'2018'!Tau_j)),Resal_s+(Salim-Resal_s)*(1-EXP((Tnet_s-t)/Tau_j)))*Salcycl</f>
        <v>7.9704984636680812E-2</v>
      </c>
      <c r="AD249" s="233">
        <f>(INDEX(Models!$BJ249:$BT249,,AH249)*(1-AF249)+INDEX(Models!$BJ249:$BT249,,AH249+1)*AF249-ERP_i)*AE249*Ramure*Pc/MaxiM</f>
        <v>1.6205605337847931E-3</v>
      </c>
      <c r="AE249" s="307">
        <f t="shared" si="89"/>
        <v>1</v>
      </c>
      <c r="AF249" s="179">
        <f t="shared" si="90"/>
        <v>0.56803028609777084</v>
      </c>
      <c r="AG249" s="178">
        <f t="shared" si="91"/>
        <v>-2</v>
      </c>
      <c r="AH249" s="178">
        <f t="shared" si="92"/>
        <v>4</v>
      </c>
      <c r="AI249" s="227">
        <f t="shared" si="93"/>
        <v>-1.4319697139022292</v>
      </c>
      <c r="AJ249" s="267" t="b">
        <f t="shared" si="94"/>
        <v>0</v>
      </c>
      <c r="AK249" s="267" t="b">
        <f t="shared" si="95"/>
        <v>0</v>
      </c>
      <c r="AL249" s="267"/>
      <c r="AM249" s="267"/>
      <c r="AN249" s="75"/>
    </row>
    <row r="250" spans="1:40" s="6" customFormat="1" ht="11.25" x14ac:dyDescent="0.2">
      <c r="A250" s="56">
        <f t="shared" si="96"/>
        <v>43701</v>
      </c>
      <c r="B250" s="618">
        <v>47.677</v>
      </c>
      <c r="C250" s="392"/>
      <c r="D250" s="395">
        <f t="shared" si="75"/>
        <v>48.109445655675131</v>
      </c>
      <c r="E250" s="387">
        <f t="shared" si="97"/>
        <v>52.284881739262424</v>
      </c>
      <c r="F250" s="387">
        <f t="shared" si="76"/>
        <v>52.36810981673333</v>
      </c>
      <c r="G250" s="110">
        <f t="shared" si="98"/>
        <v>0.95474725861697751</v>
      </c>
      <c r="H250" s="414" t="b">
        <f>Wh_hp&gt;='2018'!Maxi_hp</f>
        <v>1</v>
      </c>
      <c r="I250" s="392">
        <f>IF(H250,Wh_hp,'2018'!Maxi_hp)</f>
        <v>52.36810981673333</v>
      </c>
      <c r="J250" s="85">
        <f>IF(H250,An,'2018'!An_max)</f>
        <v>2019</v>
      </c>
      <c r="K250" s="199">
        <f t="shared" si="77"/>
        <v>43701</v>
      </c>
      <c r="L250" s="147">
        <f>IF(t&lt;Tvie,1-EXP((T0-t)*PertePVj)+'2018'!Pspv,1-EXP((T0-t)*PertePVj)+Pspv)</f>
        <v>8.9887889952047217E-3</v>
      </c>
      <c r="M250" s="870"/>
      <c r="N250" s="870"/>
      <c r="O250" s="48">
        <f>IF(t&lt;Tnet,'2018'!Resal+('2018'!Salim-'2018'!Resal)*(1-EXP(('2018'!Tnet-t)/('2018'!Tau_j))),Resal+(Salim-Resal)*(1-EXP((Tnet-t)/(Tau_j))))*Salcycl</f>
        <v>7.9859338774248834E-2</v>
      </c>
      <c r="P250" s="171">
        <f>(INDEX(Models!$BJ250:$BT250,,T250)*(1-R250)+INDEX(Models!$BJ250:$BT250,,T250+1)*R250-ERP_i)*Q250*Ramure*Pc/MaxiM</f>
        <v>1.6988608680508668E-3</v>
      </c>
      <c r="Q250" s="307">
        <f t="shared" si="78"/>
        <v>1</v>
      </c>
      <c r="R250" s="179">
        <f t="shared" si="79"/>
        <v>0.56926133626730069</v>
      </c>
      <c r="S250" s="837">
        <f t="shared" si="80"/>
        <v>-2</v>
      </c>
      <c r="T250" s="178">
        <f t="shared" si="81"/>
        <v>4</v>
      </c>
      <c r="U250" s="253">
        <f t="shared" si="82"/>
        <v>-1.4307386637326993</v>
      </c>
      <c r="V250" s="385">
        <f t="shared" si="83"/>
        <v>49.931295650404742</v>
      </c>
      <c r="W250" s="58"/>
      <c r="X250" s="157">
        <f t="shared" si="84"/>
        <v>43701</v>
      </c>
      <c r="Y250" s="387">
        <f t="shared" si="85"/>
        <v>47.677</v>
      </c>
      <c r="Z250" s="387">
        <f t="shared" si="86"/>
        <v>48.109445655675131</v>
      </c>
      <c r="AA250" s="388">
        <f t="shared" si="87"/>
        <v>52.284881739262424</v>
      </c>
      <c r="AB250" s="199">
        <f t="shared" si="88"/>
        <v>43701</v>
      </c>
      <c r="AC250" s="426">
        <f>IF(OR(t&lt;Tnet,NoTnet),'2018'!Resal_s+('2018'!Salim-'2018'!Resal_s)*(1-EXP(('2018'!Tnet_s-t)/'2018'!Tau_j)),Resal_s+(Salim-Resal_s)*(1-EXP((Tnet_s-t)/Tau_j)))*Salcycl</f>
        <v>7.9859338774248834E-2</v>
      </c>
      <c r="AD250" s="233">
        <f>(INDEX(Models!$BJ250:$BT250,,AH250)*(1-AF250)+INDEX(Models!$BJ250:$BT250,,AH250+1)*AF250-ERP_i)*AE250*Ramure*Pc/MaxiM</f>
        <v>1.6988608680508668E-3</v>
      </c>
      <c r="AE250" s="307">
        <f t="shared" si="89"/>
        <v>1</v>
      </c>
      <c r="AF250" s="179">
        <f t="shared" si="90"/>
        <v>0.56926133626730069</v>
      </c>
      <c r="AG250" s="178">
        <f t="shared" si="91"/>
        <v>-2</v>
      </c>
      <c r="AH250" s="178">
        <f t="shared" si="92"/>
        <v>4</v>
      </c>
      <c r="AI250" s="227">
        <f t="shared" si="93"/>
        <v>-1.4307386637326993</v>
      </c>
      <c r="AJ250" s="267" t="b">
        <f t="shared" si="94"/>
        <v>0</v>
      </c>
      <c r="AK250" s="267" t="b">
        <f t="shared" si="95"/>
        <v>0</v>
      </c>
      <c r="AL250" s="267"/>
      <c r="AM250" s="267"/>
      <c r="AN250" s="75"/>
    </row>
    <row r="251" spans="1:40" s="6" customFormat="1" ht="11.25" x14ac:dyDescent="0.2">
      <c r="A251" s="56">
        <f t="shared" si="96"/>
        <v>43702</v>
      </c>
      <c r="B251" s="618">
        <v>43.116999999999997</v>
      </c>
      <c r="C251" s="392"/>
      <c r="D251" s="395">
        <f t="shared" si="75"/>
        <v>43.509097515872874</v>
      </c>
      <c r="E251" s="387">
        <f t="shared" si="97"/>
        <v>47.293161520050027</v>
      </c>
      <c r="F251" s="387">
        <f t="shared" si="76"/>
        <v>47.361489704826198</v>
      </c>
      <c r="G251" s="110">
        <f t="shared" si="98"/>
        <v>0.86799287781336143</v>
      </c>
      <c r="H251" s="414" t="b">
        <f>Wh_hp&gt;='2018'!Maxi_hp</f>
        <v>1</v>
      </c>
      <c r="I251" s="392">
        <f>IF(H251,Wh_hp,'2018'!Maxi_hp)</f>
        <v>47.361489704826198</v>
      </c>
      <c r="J251" s="85">
        <f>IF(H251,An,'2018'!An_max)</f>
        <v>2019</v>
      </c>
      <c r="K251" s="199">
        <f t="shared" si="77"/>
        <v>43702</v>
      </c>
      <c r="L251" s="147">
        <f>IF(t&lt;Tvie,1-EXP((T0-t)*PertePVj)+'2018'!Pspv,1-EXP((T0-t)*PertePVj)+Pspv)</f>
        <v>9.0118512738590617E-3</v>
      </c>
      <c r="M251" s="870"/>
      <c r="N251" s="870"/>
      <c r="O251" s="48">
        <f>IF(t&lt;Tnet,'2018'!Resal+('2018'!Salim-'2018'!Resal)*(1-EXP(('2018'!Tnet-t)/('2018'!Tau_j))),Resal+(Salim-Resal)*(1-EXP((Tnet-t)/(Tau_j))))*Salcycl</f>
        <v>8.0012921161400741E-2</v>
      </c>
      <c r="P251" s="171">
        <f>(INDEX(Models!$BJ251:$BT251,,T251)*(1-R251)+INDEX(Models!$BJ251:$BT251,,T251+1)*R251-ERP_i)*Q251*Ramure*Pc/MaxiM</f>
        <v>1.7770817860523198E-3</v>
      </c>
      <c r="Q251" s="307">
        <f t="shared" si="78"/>
        <v>1</v>
      </c>
      <c r="R251" s="179">
        <f t="shared" si="79"/>
        <v>0.57044708750245121</v>
      </c>
      <c r="S251" s="837">
        <f t="shared" si="80"/>
        <v>-2</v>
      </c>
      <c r="T251" s="178">
        <f t="shared" si="81"/>
        <v>4</v>
      </c>
      <c r="U251" s="253">
        <f t="shared" si="82"/>
        <v>-1.4295529124975488</v>
      </c>
      <c r="V251" s="385">
        <f t="shared" si="83"/>
        <v>49.657736274756509</v>
      </c>
      <c r="W251" s="58"/>
      <c r="X251" s="157">
        <f t="shared" si="84"/>
        <v>43702</v>
      </c>
      <c r="Y251" s="387">
        <f t="shared" si="85"/>
        <v>43.116999999999997</v>
      </c>
      <c r="Z251" s="387">
        <f t="shared" si="86"/>
        <v>43.509097515872874</v>
      </c>
      <c r="AA251" s="388">
        <f t="shared" si="87"/>
        <v>47.293161520050027</v>
      </c>
      <c r="AB251" s="199">
        <f t="shared" si="88"/>
        <v>43702</v>
      </c>
      <c r="AC251" s="426">
        <f>IF(OR(t&lt;Tnet,NoTnet),'2018'!Resal_s+('2018'!Salim-'2018'!Resal_s)*(1-EXP(('2018'!Tnet_s-t)/'2018'!Tau_j)),Resal_s+(Salim-Resal_s)*(1-EXP((Tnet_s-t)/Tau_j)))*Salcycl</f>
        <v>8.0012921161400741E-2</v>
      </c>
      <c r="AD251" s="233">
        <f>(INDEX(Models!$BJ251:$BT251,,AH251)*(1-AF251)+INDEX(Models!$BJ251:$BT251,,AH251+1)*AF251-ERP_i)*AE251*Ramure*Pc/MaxiM</f>
        <v>1.7770817860523198E-3</v>
      </c>
      <c r="AE251" s="307">
        <f t="shared" si="89"/>
        <v>1</v>
      </c>
      <c r="AF251" s="179">
        <f t="shared" si="90"/>
        <v>0.57044708750245121</v>
      </c>
      <c r="AG251" s="178">
        <f t="shared" si="91"/>
        <v>-2</v>
      </c>
      <c r="AH251" s="178">
        <f t="shared" si="92"/>
        <v>4</v>
      </c>
      <c r="AI251" s="227">
        <f t="shared" si="93"/>
        <v>-1.4295529124975488</v>
      </c>
      <c r="AJ251" s="267" t="b">
        <f t="shared" si="94"/>
        <v>0</v>
      </c>
      <c r="AK251" s="267" t="b">
        <f t="shared" si="95"/>
        <v>0</v>
      </c>
      <c r="AL251" s="267"/>
      <c r="AM251" s="267"/>
      <c r="AN251" s="75"/>
    </row>
    <row r="252" spans="1:40" s="6" customFormat="1" ht="11.25" customHeight="1" x14ac:dyDescent="0.2">
      <c r="A252" s="56">
        <f t="shared" si="96"/>
        <v>43703</v>
      </c>
      <c r="B252" s="618">
        <v>39.03</v>
      </c>
      <c r="C252" s="392"/>
      <c r="D252" s="395">
        <f t="shared" si="75"/>
        <v>39.385847708097003</v>
      </c>
      <c r="E252" s="387">
        <f t="shared" si="97"/>
        <v>42.818416325916701</v>
      </c>
      <c r="F252" s="387">
        <f t="shared" si="76"/>
        <v>42.874143084853451</v>
      </c>
      <c r="G252" s="110">
        <f t="shared" si="98"/>
        <v>0.78997710264759535</v>
      </c>
      <c r="H252" s="414" t="b">
        <f>Wh_hp&gt;='2018'!Maxi_hp</f>
        <v>1</v>
      </c>
      <c r="I252" s="392">
        <f>IF(H252,Wh_hp,'2018'!Maxi_hp)</f>
        <v>42.874143084853451</v>
      </c>
      <c r="J252" s="85">
        <f>IF(H252,An,'2018'!An_max)</f>
        <v>2019</v>
      </c>
      <c r="K252" s="199">
        <f t="shared" si="77"/>
        <v>43703</v>
      </c>
      <c r="L252" s="147">
        <f>IF(t&lt;Tvie,1-EXP((T0-t)*PertePVj)+'2018'!Pspv,1-EXP((T0-t)*PertePVj)+Pspv)</f>
        <v>9.0349130158203783E-3</v>
      </c>
      <c r="M252" s="870"/>
      <c r="N252" s="870"/>
      <c r="O252" s="48">
        <f>IF(t&lt;Tnet,'2018'!Resal+('2018'!Salim-'2018'!Resal)*(1-EXP(('2018'!Tnet-t)/('2018'!Tau_j))),Resal+(Salim-Resal)*(1-EXP((Tnet-t)/(Tau_j))))*Salcycl</f>
        <v>8.0165707010094872E-2</v>
      </c>
      <c r="P252" s="171">
        <f>(INDEX(Models!$BJ252:$BT252,,T252)*(1-R252)+INDEX(Models!$BJ252:$BT252,,T252+1)*R252-ERP_i)*Q252*Ramure*Pc/MaxiM</f>
        <v>1.8552442690047825E-3</v>
      </c>
      <c r="Q252" s="307">
        <f t="shared" si="78"/>
        <v>1</v>
      </c>
      <c r="R252" s="179">
        <f t="shared" si="79"/>
        <v>0.57158904790441634</v>
      </c>
      <c r="S252" s="837">
        <f t="shared" si="80"/>
        <v>-2</v>
      </c>
      <c r="T252" s="178">
        <f t="shared" si="81"/>
        <v>4</v>
      </c>
      <c r="U252" s="253">
        <f t="shared" si="82"/>
        <v>-1.4284109520955837</v>
      </c>
      <c r="V252" s="385">
        <f t="shared" si="83"/>
        <v>49.379015804138511</v>
      </c>
      <c r="W252" s="58"/>
      <c r="X252" s="157">
        <f t="shared" si="84"/>
        <v>43703</v>
      </c>
      <c r="Y252" s="387">
        <f t="shared" si="85"/>
        <v>39.03</v>
      </c>
      <c r="Z252" s="387">
        <f t="shared" si="86"/>
        <v>39.385847708097003</v>
      </c>
      <c r="AA252" s="388">
        <f t="shared" si="87"/>
        <v>42.818416325916701</v>
      </c>
      <c r="AB252" s="199">
        <f t="shared" si="88"/>
        <v>43703</v>
      </c>
      <c r="AC252" s="426">
        <f>IF(OR(t&lt;Tnet,NoTnet),'2018'!Resal_s+('2018'!Salim-'2018'!Resal_s)*(1-EXP(('2018'!Tnet_s-t)/'2018'!Tau_j)),Resal_s+(Salim-Resal_s)*(1-EXP((Tnet_s-t)/Tau_j)))*Salcycl</f>
        <v>8.0165707010094872E-2</v>
      </c>
      <c r="AD252" s="233">
        <f>(INDEX(Models!$BJ252:$BT252,,AH252)*(1-AF252)+INDEX(Models!$BJ252:$BT252,,AH252+1)*AF252-ERP_i)*AE252*Ramure*Pc/MaxiM</f>
        <v>1.8552442690047825E-3</v>
      </c>
      <c r="AE252" s="307">
        <f t="shared" si="89"/>
        <v>1</v>
      </c>
      <c r="AF252" s="179">
        <f t="shared" si="90"/>
        <v>0.57158904790441634</v>
      </c>
      <c r="AG252" s="178">
        <f t="shared" si="91"/>
        <v>-2</v>
      </c>
      <c r="AH252" s="178">
        <f t="shared" si="92"/>
        <v>4</v>
      </c>
      <c r="AI252" s="227">
        <f t="shared" si="93"/>
        <v>-1.4284109520955837</v>
      </c>
      <c r="AJ252" s="267" t="b">
        <f t="shared" si="94"/>
        <v>0</v>
      </c>
      <c r="AK252" s="267" t="b">
        <f t="shared" si="95"/>
        <v>0</v>
      </c>
      <c r="AL252" s="267"/>
      <c r="AM252" s="267"/>
      <c r="AN252" s="75"/>
    </row>
    <row r="253" spans="1:40" s="6" customFormat="1" ht="11.25" customHeight="1" x14ac:dyDescent="0.2">
      <c r="A253" s="56">
        <f t="shared" si="96"/>
        <v>43704</v>
      </c>
      <c r="B253" s="618">
        <v>32.933999999999997</v>
      </c>
      <c r="C253" s="392"/>
      <c r="D253" s="395">
        <f t="shared" si="75"/>
        <v>33.235042155077906</v>
      </c>
      <c r="E253" s="387">
        <f t="shared" si="97"/>
        <v>36.137523896381602</v>
      </c>
      <c r="F253" s="387">
        <f t="shared" si="76"/>
        <v>36.174573808522233</v>
      </c>
      <c r="G253" s="110">
        <f t="shared" si="98"/>
        <v>0.67021228070403605</v>
      </c>
      <c r="H253" s="414" t="b">
        <f>Wh_hp&gt;='2018'!Maxi_hp</f>
        <v>1</v>
      </c>
      <c r="I253" s="392">
        <f>IF(H253,Wh_hp,'2018'!Maxi_hp)</f>
        <v>36.174573808522233</v>
      </c>
      <c r="J253" s="85">
        <f>IF(H253,An,'2018'!An_max)</f>
        <v>2019</v>
      </c>
      <c r="K253" s="199">
        <f t="shared" si="77"/>
        <v>43704</v>
      </c>
      <c r="L253" s="147">
        <f>IF(t&lt;Tvie,1-EXP((T0-t)*PertePVj)+'2018'!Pspv,1-EXP((T0-t)*PertePVj)+Pspv)</f>
        <v>9.0579742211013281E-3</v>
      </c>
      <c r="M253" s="870"/>
      <c r="N253" s="870"/>
      <c r="O253" s="48">
        <f>IF(t&lt;Tnet,'2018'!Resal+('2018'!Salim-'2018'!Resal)*(1-EXP(('2018'!Tnet-t)/('2018'!Tau_j))),Resal+(Salim-Resal)*(1-EXP((Tnet-t)/(Tau_j))))*Salcycl</f>
        <v>8.0317670619218004E-2</v>
      </c>
      <c r="P253" s="171">
        <f>(INDEX(Models!$BJ253:$BT253,,T253)*(1-R253)+INDEX(Models!$BJ253:$BT253,,T253+1)*R253-ERP_i)*Q253*Ramure*Pc/MaxiM</f>
        <v>1.9333717548190308E-3</v>
      </c>
      <c r="Q253" s="307">
        <f t="shared" si="78"/>
        <v>1</v>
      </c>
      <c r="R253" s="179">
        <f t="shared" si="79"/>
        <v>0.57268868747376245</v>
      </c>
      <c r="S253" s="837">
        <f t="shared" si="80"/>
        <v>-2</v>
      </c>
      <c r="T253" s="178">
        <f t="shared" si="81"/>
        <v>4</v>
      </c>
      <c r="U253" s="253">
        <f t="shared" si="82"/>
        <v>-1.4273113125262376</v>
      </c>
      <c r="V253" s="385">
        <f t="shared" si="83"/>
        <v>49.094932318336873</v>
      </c>
      <c r="W253" s="58"/>
      <c r="X253" s="157">
        <f t="shared" si="84"/>
        <v>43704</v>
      </c>
      <c r="Y253" s="387">
        <f t="shared" si="85"/>
        <v>32.933999999999997</v>
      </c>
      <c r="Z253" s="387">
        <f t="shared" si="86"/>
        <v>33.235042155077906</v>
      </c>
      <c r="AA253" s="388">
        <f t="shared" si="87"/>
        <v>36.137523896381602</v>
      </c>
      <c r="AB253" s="199">
        <f t="shared" si="88"/>
        <v>43704</v>
      </c>
      <c r="AC253" s="426">
        <f>IF(OR(t&lt;Tnet,NoTnet),'2018'!Resal_s+('2018'!Salim-'2018'!Resal_s)*(1-EXP(('2018'!Tnet_s-t)/'2018'!Tau_j)),Resal_s+(Salim-Resal_s)*(1-EXP((Tnet_s-t)/Tau_j)))*Salcycl</f>
        <v>8.0317670619218004E-2</v>
      </c>
      <c r="AD253" s="233">
        <f>(INDEX(Models!$BJ253:$BT253,,AH253)*(1-AF253)+INDEX(Models!$BJ253:$BT253,,AH253+1)*AF253-ERP_i)*AE253*Ramure*Pc/MaxiM</f>
        <v>1.9333717548190308E-3</v>
      </c>
      <c r="AE253" s="307">
        <f t="shared" si="89"/>
        <v>1</v>
      </c>
      <c r="AF253" s="179">
        <f t="shared" si="90"/>
        <v>0.57268868747376245</v>
      </c>
      <c r="AG253" s="178">
        <f t="shared" si="91"/>
        <v>-2</v>
      </c>
      <c r="AH253" s="178">
        <f t="shared" si="92"/>
        <v>4</v>
      </c>
      <c r="AI253" s="227">
        <f t="shared" si="93"/>
        <v>-1.4273113125262376</v>
      </c>
      <c r="AJ253" s="267" t="b">
        <f t="shared" si="94"/>
        <v>0</v>
      </c>
      <c r="AK253" s="267" t="b">
        <f t="shared" si="95"/>
        <v>0</v>
      </c>
      <c r="AL253" s="267"/>
      <c r="AM253" s="267"/>
      <c r="AN253" s="75"/>
    </row>
    <row r="254" spans="1:40" s="6" customFormat="1" ht="11.25" x14ac:dyDescent="0.2">
      <c r="A254" s="56">
        <f t="shared" si="96"/>
        <v>43705</v>
      </c>
      <c r="B254" s="618">
        <v>39.173999999999999</v>
      </c>
      <c r="C254" s="392"/>
      <c r="D254" s="395">
        <f t="shared" si="75"/>
        <v>39.533000557356452</v>
      </c>
      <c r="E254" s="387">
        <f t="shared" si="97"/>
        <v>42.992559608145818</v>
      </c>
      <c r="F254" s="387">
        <f t="shared" si="76"/>
        <v>43.054715664009734</v>
      </c>
      <c r="G254" s="110">
        <f t="shared" si="98"/>
        <v>0.8022025517827488</v>
      </c>
      <c r="H254" s="414" t="b">
        <f>Wh_hp&gt;='2018'!Maxi_hp</f>
        <v>1</v>
      </c>
      <c r="I254" s="392">
        <f>IF(H254,Wh_hp,'2018'!Maxi_hp)</f>
        <v>43.054715664009734</v>
      </c>
      <c r="J254" s="85">
        <f>IF(H254,An,'2018'!An_max)</f>
        <v>2019</v>
      </c>
      <c r="K254" s="199">
        <f t="shared" si="77"/>
        <v>43705</v>
      </c>
      <c r="L254" s="147">
        <f>IF(t&lt;Tvie,1-EXP((T0-t)*PertePVj)+'2018'!Pspv,1-EXP((T0-t)*PertePVj)+Pspv)</f>
        <v>9.0810348897143456E-3</v>
      </c>
      <c r="M254" s="870"/>
      <c r="N254" s="870"/>
      <c r="O254" s="48">
        <f>IF(t&lt;Tnet,'2018'!Resal+('2018'!Salim-'2018'!Resal)*(1-EXP(('2018'!Tnet-t)/('2018'!Tau_j))),Resal+(Salim-Resal)*(1-EXP((Tnet-t)/(Tau_j))))*Salcycl</f>
        <v>8.0468785350800112E-2</v>
      </c>
      <c r="P254" s="171">
        <f>(INDEX(Models!$BJ254:$BT254,,T254)*(1-R254)+INDEX(Models!$BJ254:$BT254,,T254+1)*R254-ERP_i)*Q254*Ramure*Pc/MaxiM</f>
        <v>2.0104257943348216E-3</v>
      </c>
      <c r="Q254" s="307">
        <f t="shared" si="78"/>
        <v>1</v>
      </c>
      <c r="R254" s="179">
        <f t="shared" si="79"/>
        <v>0.57374743810734619</v>
      </c>
      <c r="S254" s="837">
        <f t="shared" si="80"/>
        <v>-2</v>
      </c>
      <c r="T254" s="178">
        <f t="shared" si="81"/>
        <v>4</v>
      </c>
      <c r="U254" s="253">
        <f t="shared" si="82"/>
        <v>-1.4262525618926538</v>
      </c>
      <c r="V254" s="385">
        <f t="shared" si="83"/>
        <v>48.805336063532643</v>
      </c>
      <c r="W254" s="58"/>
      <c r="X254" s="157">
        <f t="shared" si="84"/>
        <v>43705</v>
      </c>
      <c r="Y254" s="387">
        <f t="shared" si="85"/>
        <v>39.173999999999999</v>
      </c>
      <c r="Z254" s="387">
        <f t="shared" si="86"/>
        <v>39.533000557356452</v>
      </c>
      <c r="AA254" s="388">
        <f t="shared" si="87"/>
        <v>42.992559608145818</v>
      </c>
      <c r="AB254" s="199">
        <f t="shared" si="88"/>
        <v>43705</v>
      </c>
      <c r="AC254" s="426">
        <f>IF(OR(t&lt;Tnet,NoTnet),'2018'!Resal_s+('2018'!Salim-'2018'!Resal_s)*(1-EXP(('2018'!Tnet_s-t)/'2018'!Tau_j)),Resal_s+(Salim-Resal_s)*(1-EXP((Tnet_s-t)/Tau_j)))*Salcycl</f>
        <v>8.0468785350800112E-2</v>
      </c>
      <c r="AD254" s="233">
        <f>(INDEX(Models!$BJ254:$BT254,,AH254)*(1-AF254)+INDEX(Models!$BJ254:$BT254,,AH254+1)*AF254-ERP_i)*AE254*Ramure*Pc/MaxiM</f>
        <v>2.0104257943348216E-3</v>
      </c>
      <c r="AE254" s="307">
        <f t="shared" si="89"/>
        <v>1</v>
      </c>
      <c r="AF254" s="179">
        <f t="shared" si="90"/>
        <v>0.57374743810734619</v>
      </c>
      <c r="AG254" s="178">
        <f t="shared" si="91"/>
        <v>-2</v>
      </c>
      <c r="AH254" s="178">
        <f t="shared" si="92"/>
        <v>4</v>
      </c>
      <c r="AI254" s="227">
        <f t="shared" si="93"/>
        <v>-1.4262525618926538</v>
      </c>
      <c r="AJ254" s="267" t="b">
        <f t="shared" si="94"/>
        <v>0</v>
      </c>
      <c r="AK254" s="267" t="b">
        <f t="shared" si="95"/>
        <v>0</v>
      </c>
      <c r="AL254" s="267"/>
      <c r="AM254" s="267"/>
      <c r="AN254" s="75"/>
    </row>
    <row r="255" spans="1:40" s="6" customFormat="1" ht="11.25" x14ac:dyDescent="0.2">
      <c r="A255" s="56">
        <f t="shared" si="96"/>
        <v>43706</v>
      </c>
      <c r="B255" s="618">
        <v>44.624000000000002</v>
      </c>
      <c r="C255" s="392"/>
      <c r="D255" s="395">
        <f t="shared" si="75"/>
        <v>45.033993758381683</v>
      </c>
      <c r="E255" s="387">
        <f t="shared" si="97"/>
        <v>48.98295147933856</v>
      </c>
      <c r="F255" s="387">
        <f t="shared" si="76"/>
        <v>49.073644341617516</v>
      </c>
      <c r="G255" s="110">
        <f t="shared" si="98"/>
        <v>0.9196726917966116</v>
      </c>
      <c r="H255" s="414" t="b">
        <f>Wh_hp&gt;='2018'!Maxi_hp</f>
        <v>1</v>
      </c>
      <c r="I255" s="392">
        <f>IF(H255,Wh_hp,'2018'!Maxi_hp)</f>
        <v>49.073644341617516</v>
      </c>
      <c r="J255" s="85">
        <f>IF(H255,An,'2018'!An_max)</f>
        <v>2019</v>
      </c>
      <c r="K255" s="199">
        <f t="shared" si="77"/>
        <v>43706</v>
      </c>
      <c r="L255" s="147">
        <f>IF(t&lt;Tvie,1-EXP((T0-t)*PertePVj)+'2018'!Pspv,1-EXP((T0-t)*PertePVj)+Pspv)</f>
        <v>9.1040950216718652E-3</v>
      </c>
      <c r="M255" s="870"/>
      <c r="N255" s="870"/>
      <c r="O255" s="48">
        <f>IF(t&lt;Tnet,'2018'!Resal+('2018'!Salim-'2018'!Resal)*(1-EXP(('2018'!Tnet-t)/('2018'!Tau_j))),Resal+(Salim-Resal)*(1-EXP((Tnet-t)/(Tau_j))))*Salcycl</f>
        <v>8.0619023592781711E-2</v>
      </c>
      <c r="P255" s="171">
        <f>(INDEX(Models!$BJ255:$BT255,,T255)*(1-R255)+INDEX(Models!$BJ255:$BT255,,T255+1)*R255-ERP_i)*Q255*Ramure*Pc/MaxiM</f>
        <v>2.0869221617076028E-3</v>
      </c>
      <c r="Q255" s="307">
        <f t="shared" si="78"/>
        <v>1</v>
      </c>
      <c r="R255" s="179">
        <f t="shared" si="79"/>
        <v>0.57476669369055866</v>
      </c>
      <c r="S255" s="837">
        <f t="shared" si="80"/>
        <v>-2</v>
      </c>
      <c r="T255" s="178">
        <f t="shared" si="81"/>
        <v>4</v>
      </c>
      <c r="U255" s="253">
        <f t="shared" si="82"/>
        <v>-1.4252333063094413</v>
      </c>
      <c r="V255" s="385">
        <f t="shared" si="83"/>
        <v>48.510000719178578</v>
      </c>
      <c r="W255" s="58"/>
      <c r="X255" s="157">
        <f t="shared" si="84"/>
        <v>43706</v>
      </c>
      <c r="Y255" s="387">
        <f t="shared" si="85"/>
        <v>44.624000000000002</v>
      </c>
      <c r="Z255" s="387">
        <f t="shared" si="86"/>
        <v>45.033993758381683</v>
      </c>
      <c r="AA255" s="388">
        <f t="shared" si="87"/>
        <v>48.98295147933856</v>
      </c>
      <c r="AB255" s="199">
        <f t="shared" si="88"/>
        <v>43706</v>
      </c>
      <c r="AC255" s="426">
        <f>IF(OR(t&lt;Tnet,NoTnet),'2018'!Resal_s+('2018'!Salim-'2018'!Resal_s)*(1-EXP(('2018'!Tnet_s-t)/'2018'!Tau_j)),Resal_s+(Salim-Resal_s)*(1-EXP((Tnet_s-t)/Tau_j)))*Salcycl</f>
        <v>8.0619023592781711E-2</v>
      </c>
      <c r="AD255" s="233">
        <f>(INDEX(Models!$BJ255:$BT255,,AH255)*(1-AF255)+INDEX(Models!$BJ255:$BT255,,AH255+1)*AF255-ERP_i)*AE255*Ramure*Pc/MaxiM</f>
        <v>2.0869221617076028E-3</v>
      </c>
      <c r="AE255" s="307">
        <f t="shared" si="89"/>
        <v>1</v>
      </c>
      <c r="AF255" s="179">
        <f t="shared" si="90"/>
        <v>0.57476669369055866</v>
      </c>
      <c r="AG255" s="178">
        <f t="shared" si="91"/>
        <v>-2</v>
      </c>
      <c r="AH255" s="178">
        <f t="shared" si="92"/>
        <v>4</v>
      </c>
      <c r="AI255" s="227">
        <f t="shared" si="93"/>
        <v>-1.4252333063094413</v>
      </c>
      <c r="AJ255" s="267" t="b">
        <f t="shared" si="94"/>
        <v>0</v>
      </c>
      <c r="AK255" s="267" t="b">
        <f t="shared" si="95"/>
        <v>0</v>
      </c>
      <c r="AL255" s="267"/>
      <c r="AM255" s="267"/>
      <c r="AN255" s="75"/>
    </row>
    <row r="256" spans="1:40" s="6" customFormat="1" ht="11.25" customHeight="1" x14ac:dyDescent="0.2">
      <c r="A256" s="56">
        <f t="shared" si="96"/>
        <v>43707</v>
      </c>
      <c r="B256" s="618">
        <v>44.198</v>
      </c>
      <c r="C256" s="392"/>
      <c r="D256" s="395">
        <f t="shared" si="75"/>
        <v>44.605117806932768</v>
      </c>
      <c r="E256" s="387">
        <f t="shared" si="97"/>
        <v>48.524349800739373</v>
      </c>
      <c r="F256" s="387">
        <f t="shared" si="76"/>
        <v>48.617005126682457</v>
      </c>
      <c r="G256" s="110">
        <f t="shared" si="98"/>
        <v>0.91656887967327705</v>
      </c>
      <c r="H256" s="414" t="b">
        <f>Wh_hp&gt;='2018'!Maxi_hp</f>
        <v>1</v>
      </c>
      <c r="I256" s="392">
        <f>IF(H256,Wh_hp,'2018'!Maxi_hp)</f>
        <v>48.617005126682457</v>
      </c>
      <c r="J256" s="85">
        <f>IF(H256,An,'2018'!An_max)</f>
        <v>2019</v>
      </c>
      <c r="K256" s="199">
        <f t="shared" si="77"/>
        <v>43707</v>
      </c>
      <c r="L256" s="147">
        <f>IF(t&lt;Tvie,1-EXP((T0-t)*PertePVj)+'2018'!Pspv,1-EXP((T0-t)*PertePVj)+Pspv)</f>
        <v>9.1271546169864326E-3</v>
      </c>
      <c r="M256" s="870"/>
      <c r="N256" s="870"/>
      <c r="O256" s="48">
        <f>IF(t&lt;Tnet,'2018'!Resal+('2018'!Salim-'2018'!Resal)*(1-EXP(('2018'!Tnet-t)/('2018'!Tau_j))),Resal+(Salim-Resal)*(1-EXP((Tnet-t)/(Tau_j))))*Salcycl</f>
        <v>8.0768356709581088E-2</v>
      </c>
      <c r="P256" s="171">
        <f>(INDEX(Models!$BJ256:$BT256,,T256)*(1-R256)+INDEX(Models!$BJ256:$BT256,,T256+1)*R256-ERP_i)*Q256*Ramure*Pc/MaxiM</f>
        <v>2.1628795729804451E-3</v>
      </c>
      <c r="Q256" s="307">
        <f t="shared" si="78"/>
        <v>1</v>
      </c>
      <c r="R256" s="179">
        <f t="shared" si="79"/>
        <v>0.57574781027620325</v>
      </c>
      <c r="S256" s="837">
        <f t="shared" si="80"/>
        <v>-2</v>
      </c>
      <c r="T256" s="178">
        <f t="shared" si="81"/>
        <v>4</v>
      </c>
      <c r="U256" s="253">
        <f t="shared" si="82"/>
        <v>-1.4242521897237967</v>
      </c>
      <c r="V256" s="385">
        <f t="shared" si="83"/>
        <v>48.208724762496672</v>
      </c>
      <c r="W256" s="58"/>
      <c r="X256" s="157">
        <f t="shared" si="84"/>
        <v>43707</v>
      </c>
      <c r="Y256" s="387">
        <f t="shared" si="85"/>
        <v>44.198</v>
      </c>
      <c r="Z256" s="387">
        <f t="shared" si="86"/>
        <v>44.605117806932768</v>
      </c>
      <c r="AA256" s="388">
        <f t="shared" si="87"/>
        <v>48.524349800739373</v>
      </c>
      <c r="AB256" s="199">
        <f t="shared" si="88"/>
        <v>43707</v>
      </c>
      <c r="AC256" s="426">
        <f>IF(OR(t&lt;Tnet,NoTnet),'2018'!Resal_s+('2018'!Salim-'2018'!Resal_s)*(1-EXP(('2018'!Tnet_s-t)/'2018'!Tau_j)),Resal_s+(Salim-Resal_s)*(1-EXP((Tnet_s-t)/Tau_j)))*Salcycl</f>
        <v>8.0768356709581088E-2</v>
      </c>
      <c r="AD256" s="233">
        <f>(INDEX(Models!$BJ256:$BT256,,AH256)*(1-AF256)+INDEX(Models!$BJ256:$BT256,,AH256+1)*AF256-ERP_i)*AE256*Ramure*Pc/MaxiM</f>
        <v>2.1628795729804451E-3</v>
      </c>
      <c r="AE256" s="307">
        <f t="shared" si="89"/>
        <v>1</v>
      </c>
      <c r="AF256" s="179">
        <f t="shared" si="90"/>
        <v>0.57574781027620325</v>
      </c>
      <c r="AG256" s="178">
        <f t="shared" si="91"/>
        <v>-2</v>
      </c>
      <c r="AH256" s="178">
        <f t="shared" si="92"/>
        <v>4</v>
      </c>
      <c r="AI256" s="227">
        <f t="shared" si="93"/>
        <v>-1.4242521897237967</v>
      </c>
      <c r="AJ256" s="267" t="b">
        <f t="shared" si="94"/>
        <v>0</v>
      </c>
      <c r="AK256" s="267" t="b">
        <f t="shared" si="95"/>
        <v>0</v>
      </c>
      <c r="AL256" s="267"/>
      <c r="AM256" s="267"/>
      <c r="AN256" s="75"/>
    </row>
    <row r="257" spans="1:40" s="6" customFormat="1" ht="11.25" x14ac:dyDescent="0.2">
      <c r="A257" s="56">
        <f t="shared" si="96"/>
        <v>43708</v>
      </c>
      <c r="B257" s="618">
        <v>42.758000000000003</v>
      </c>
      <c r="C257" s="392"/>
      <c r="D257" s="395">
        <f t="shared" si="75"/>
        <v>43.152857870228438</v>
      </c>
      <c r="E257" s="387">
        <f t="shared" si="97"/>
        <v>46.952066751451717</v>
      </c>
      <c r="F257" s="387">
        <f t="shared" si="76"/>
        <v>47.041209046242066</v>
      </c>
      <c r="G257" s="110">
        <f t="shared" si="98"/>
        <v>0.8923199524338985</v>
      </c>
      <c r="H257" s="414" t="b">
        <f>Wh_hp&gt;='2018'!Maxi_hp</f>
        <v>1</v>
      </c>
      <c r="I257" s="392">
        <f>IF(H257,Wh_hp,'2018'!Maxi_hp)</f>
        <v>47.041209046242066</v>
      </c>
      <c r="J257" s="85">
        <f>IF(H257,An,'2018'!An_max)</f>
        <v>2019</v>
      </c>
      <c r="K257" s="199">
        <f t="shared" si="77"/>
        <v>43708</v>
      </c>
      <c r="L257" s="147">
        <f>IF(t&lt;Tvie,1-EXP((T0-t)*PertePVj)+'2018'!Pspv,1-EXP((T0-t)*PertePVj)+Pspv)</f>
        <v>9.1502136756705932E-3</v>
      </c>
      <c r="M257" s="870"/>
      <c r="N257" s="870"/>
      <c r="O257" s="48">
        <f>IF(t&lt;Tnet,'2018'!Resal+('2018'!Salim-'2018'!Resal)*(1-EXP(('2018'!Tnet-t)/('2018'!Tau_j))),Resal+(Salim-Resal)*(1-EXP((Tnet-t)/(Tau_j))))*Salcycl</f>
        <v>8.091675498194785E-2</v>
      </c>
      <c r="P257" s="171">
        <f>(INDEX(Models!$BJ257:$BT257,,T257)*(1-R257)+INDEX(Models!$BJ257:$BT257,,T257+1)*R257-ERP_i)*Q257*Ramure*Pc/MaxiM</f>
        <v>2.2383187715163495E-3</v>
      </c>
      <c r="Q257" s="307">
        <f t="shared" si="78"/>
        <v>1</v>
      </c>
      <c r="R257" s="179">
        <f t="shared" si="79"/>
        <v>0.57669210634178358</v>
      </c>
      <c r="S257" s="837">
        <f t="shared" si="80"/>
        <v>-2</v>
      </c>
      <c r="T257" s="178">
        <f t="shared" si="81"/>
        <v>4</v>
      </c>
      <c r="U257" s="253">
        <f t="shared" si="82"/>
        <v>-1.4233078936582164</v>
      </c>
      <c r="V257" s="385">
        <f t="shared" si="83"/>
        <v>47.90130677198313</v>
      </c>
      <c r="W257" s="58"/>
      <c r="X257" s="157">
        <f t="shared" si="84"/>
        <v>43708</v>
      </c>
      <c r="Y257" s="387">
        <f t="shared" si="85"/>
        <v>42.758000000000003</v>
      </c>
      <c r="Z257" s="387">
        <f t="shared" si="86"/>
        <v>43.152857870228438</v>
      </c>
      <c r="AA257" s="388">
        <f t="shared" si="87"/>
        <v>46.952066751451717</v>
      </c>
      <c r="AB257" s="199">
        <f t="shared" si="88"/>
        <v>43708</v>
      </c>
      <c r="AC257" s="426">
        <f>IF(OR(t&lt;Tnet,NoTnet),'2018'!Resal_s+('2018'!Salim-'2018'!Resal_s)*(1-EXP(('2018'!Tnet_s-t)/'2018'!Tau_j)),Resal_s+(Salim-Resal_s)*(1-EXP((Tnet_s-t)/Tau_j)))*Salcycl</f>
        <v>8.091675498194785E-2</v>
      </c>
      <c r="AD257" s="233">
        <f>(INDEX(Models!$BJ257:$BT257,,AH257)*(1-AF257)+INDEX(Models!$BJ257:$BT257,,AH257+1)*AF257-ERP_i)*AE257*Ramure*Pc/MaxiM</f>
        <v>2.2383187715163495E-3</v>
      </c>
      <c r="AE257" s="307">
        <f t="shared" si="89"/>
        <v>1</v>
      </c>
      <c r="AF257" s="179">
        <f t="shared" si="90"/>
        <v>0.57669210634178358</v>
      </c>
      <c r="AG257" s="178">
        <f t="shared" si="91"/>
        <v>-2</v>
      </c>
      <c r="AH257" s="178">
        <f t="shared" si="92"/>
        <v>4</v>
      </c>
      <c r="AI257" s="227">
        <f t="shared" si="93"/>
        <v>-1.4233078936582164</v>
      </c>
      <c r="AJ257" s="267" t="b">
        <f t="shared" si="94"/>
        <v>0</v>
      </c>
      <c r="AK257" s="267" t="b">
        <f t="shared" si="95"/>
        <v>0</v>
      </c>
      <c r="AL257" s="267"/>
      <c r="AM257" s="267"/>
      <c r="AN257" s="75"/>
    </row>
    <row r="258" spans="1:40" s="6" customFormat="1" ht="11.25" customHeight="1" x14ac:dyDescent="0.2">
      <c r="A258" s="56">
        <f t="shared" si="96"/>
        <v>43709</v>
      </c>
      <c r="B258" s="618">
        <v>16.192</v>
      </c>
      <c r="C258" s="392"/>
      <c r="D258" s="395">
        <f t="shared" si="75"/>
        <v>16.341908777446097</v>
      </c>
      <c r="E258" s="387">
        <f t="shared" si="97"/>
        <v>17.783514970060608</v>
      </c>
      <c r="F258" s="387">
        <f t="shared" si="76"/>
        <v>17.785881133353975</v>
      </c>
      <c r="G258" s="110">
        <f t="shared" si="98"/>
        <v>0.33951515946585603</v>
      </c>
      <c r="H258" s="414" t="b">
        <f>Wh_hp&gt;='2018'!Maxi_hp</f>
        <v>1</v>
      </c>
      <c r="I258" s="392">
        <f>IF(H258,Wh_hp,'2018'!Maxi_hp)</f>
        <v>17.785881133353975</v>
      </c>
      <c r="J258" s="85">
        <f>IF(H258,An,'2018'!An_max)</f>
        <v>2019</v>
      </c>
      <c r="K258" s="199">
        <f t="shared" si="77"/>
        <v>43709</v>
      </c>
      <c r="L258" s="147">
        <f>IF(t&lt;Tvie,1-EXP((T0-t)*PertePVj)+'2018'!Pspv,1-EXP((T0-t)*PertePVj)+Pspv)</f>
        <v>9.1732721977367815E-3</v>
      </c>
      <c r="M258" s="870"/>
      <c r="N258" s="870"/>
      <c r="O258" s="48">
        <f>IF(t&lt;Tnet,'2018'!Resal+('2018'!Salim-'2018'!Resal)*(1-EXP(('2018'!Tnet-t)/('2018'!Tau_j))),Resal+(Salim-Resal)*(1-EXP((Tnet-t)/(Tau_j))))*Salcycl</f>
        <v>8.1064187537813789E-2</v>
      </c>
      <c r="P258" s="171">
        <f>(INDEX(Models!$BJ258:$BT258,,T258)*(1-R258)+INDEX(Models!$BJ258:$BT258,,T258+1)*R258-ERP_i)*Q258*Ramure*Pc/MaxiM</f>
        <v>2.3132625509936426E-3</v>
      </c>
      <c r="Q258" s="307">
        <f t="shared" si="78"/>
        <v>1</v>
      </c>
      <c r="R258" s="179">
        <f t="shared" si="79"/>
        <v>0.57760086311745362</v>
      </c>
      <c r="S258" s="837">
        <f t="shared" si="80"/>
        <v>-2</v>
      </c>
      <c r="T258" s="178">
        <f t="shared" si="81"/>
        <v>4</v>
      </c>
      <c r="U258" s="253">
        <f t="shared" si="82"/>
        <v>-1.4223991368825464</v>
      </c>
      <c r="V258" s="385">
        <f t="shared" si="83"/>
        <v>47.587545430223237</v>
      </c>
      <c r="W258" s="58"/>
      <c r="X258" s="157">
        <f t="shared" si="84"/>
        <v>43709</v>
      </c>
      <c r="Y258" s="387">
        <f t="shared" si="85"/>
        <v>16.192</v>
      </c>
      <c r="Z258" s="387">
        <f t="shared" si="86"/>
        <v>16.341908777446097</v>
      </c>
      <c r="AA258" s="388">
        <f t="shared" si="87"/>
        <v>17.783514970060608</v>
      </c>
      <c r="AB258" s="199">
        <f t="shared" si="88"/>
        <v>43709</v>
      </c>
      <c r="AC258" s="426">
        <f>IF(OR(t&lt;Tnet,NoTnet),'2018'!Resal_s+('2018'!Salim-'2018'!Resal_s)*(1-EXP(('2018'!Tnet_s-t)/'2018'!Tau_j)),Resal_s+(Salim-Resal_s)*(1-EXP((Tnet_s-t)/Tau_j)))*Salcycl</f>
        <v>8.1064187537813789E-2</v>
      </c>
      <c r="AD258" s="233">
        <f>(INDEX(Models!$BJ258:$BT258,,AH258)*(1-AF258)+INDEX(Models!$BJ258:$BT258,,AH258+1)*AF258-ERP_i)*AE258*Ramure*Pc/MaxiM</f>
        <v>2.3132625509936426E-3</v>
      </c>
      <c r="AE258" s="307">
        <f t="shared" si="89"/>
        <v>1</v>
      </c>
      <c r="AF258" s="179">
        <f t="shared" si="90"/>
        <v>0.57760086311745362</v>
      </c>
      <c r="AG258" s="178">
        <f t="shared" si="91"/>
        <v>-2</v>
      </c>
      <c r="AH258" s="178">
        <f t="shared" si="92"/>
        <v>4</v>
      </c>
      <c r="AI258" s="227">
        <f t="shared" si="93"/>
        <v>-1.4223991368825464</v>
      </c>
      <c r="AJ258" s="267" t="b">
        <f t="shared" si="94"/>
        <v>0</v>
      </c>
      <c r="AK258" s="267" t="b">
        <f t="shared" si="95"/>
        <v>0</v>
      </c>
      <c r="AL258" s="267"/>
      <c r="AM258" s="267"/>
      <c r="AN258" s="75"/>
    </row>
    <row r="259" spans="1:40" s="6" customFormat="1" ht="11.25" x14ac:dyDescent="0.2">
      <c r="A259" s="56">
        <f t="shared" si="96"/>
        <v>43710</v>
      </c>
      <c r="B259" s="618">
        <v>44.682000000000002</v>
      </c>
      <c r="C259" s="392"/>
      <c r="D259" s="395">
        <f t="shared" si="75"/>
        <v>45.096724367463842</v>
      </c>
      <c r="E259" s="387">
        <f t="shared" si="97"/>
        <v>49.082766367172241</v>
      </c>
      <c r="F259" s="387">
        <f t="shared" si="76"/>
        <v>49.191044286339199</v>
      </c>
      <c r="G259" s="110">
        <f t="shared" si="98"/>
        <v>0.94512914205743237</v>
      </c>
      <c r="H259" s="414" t="b">
        <f>Wh_hp&gt;='2018'!Maxi_hp</f>
        <v>1</v>
      </c>
      <c r="I259" s="392">
        <f>IF(H259,Wh_hp,'2018'!Maxi_hp)</f>
        <v>49.191044286339199</v>
      </c>
      <c r="J259" s="85">
        <f>IF(H259,An,'2018'!An_max)</f>
        <v>2019</v>
      </c>
      <c r="K259" s="199">
        <f t="shared" si="77"/>
        <v>43710</v>
      </c>
      <c r="L259" s="147">
        <f>IF(t&lt;Tvie,1-EXP((T0-t)*PertePVj)+'2018'!Pspv,1-EXP((T0-t)*PertePVj)+Pspv)</f>
        <v>9.196330183197432E-3</v>
      </c>
      <c r="M259" s="870"/>
      <c r="N259" s="870"/>
      <c r="O259" s="48">
        <f>IF(t&lt;Tnet,'2018'!Resal+('2018'!Salim-'2018'!Resal)*(1-EXP(('2018'!Tnet-t)/('2018'!Tau_j))),Resal+(Salim-Resal)*(1-EXP((Tnet-t)/(Tau_j))))*Salcycl</f>
        <v>8.121062227605734E-2</v>
      </c>
      <c r="P259" s="171">
        <f>(INDEX(Models!$BJ259:$BT259,,T259)*(1-R259)+INDEX(Models!$BJ259:$BT259,,T259+1)*R259-ERP_i)*Q259*Ramure*Pc/MaxiM</f>
        <v>2.3877357868857022E-3</v>
      </c>
      <c r="Q259" s="307">
        <f t="shared" si="78"/>
        <v>1</v>
      </c>
      <c r="R259" s="179">
        <f t="shared" si="79"/>
        <v>0.57847532497734289</v>
      </c>
      <c r="S259" s="837">
        <f t="shared" si="80"/>
        <v>-2</v>
      </c>
      <c r="T259" s="178">
        <f t="shared" si="81"/>
        <v>4</v>
      </c>
      <c r="U259" s="253">
        <f t="shared" si="82"/>
        <v>-1.4215246750226571</v>
      </c>
      <c r="V259" s="385">
        <f t="shared" si="83"/>
        <v>47.267239525198612</v>
      </c>
      <c r="W259" s="58"/>
      <c r="X259" s="157">
        <f t="shared" si="84"/>
        <v>43710</v>
      </c>
      <c r="Y259" s="387">
        <f t="shared" si="85"/>
        <v>44.682000000000002</v>
      </c>
      <c r="Z259" s="387">
        <f t="shared" si="86"/>
        <v>45.096724367463842</v>
      </c>
      <c r="AA259" s="388">
        <f t="shared" si="87"/>
        <v>49.082766367172241</v>
      </c>
      <c r="AB259" s="199">
        <f t="shared" si="88"/>
        <v>43710</v>
      </c>
      <c r="AC259" s="426">
        <f>IF(OR(t&lt;Tnet,NoTnet),'2018'!Resal_s+('2018'!Salim-'2018'!Resal_s)*(1-EXP(('2018'!Tnet_s-t)/'2018'!Tau_j)),Resal_s+(Salim-Resal_s)*(1-EXP((Tnet_s-t)/Tau_j)))*Salcycl</f>
        <v>8.121062227605734E-2</v>
      </c>
      <c r="AD259" s="233">
        <f>(INDEX(Models!$BJ259:$BT259,,AH259)*(1-AF259)+INDEX(Models!$BJ259:$BT259,,AH259+1)*AF259-ERP_i)*AE259*Ramure*Pc/MaxiM</f>
        <v>2.3877357868857022E-3</v>
      </c>
      <c r="AE259" s="307">
        <f t="shared" si="89"/>
        <v>1</v>
      </c>
      <c r="AF259" s="179">
        <f t="shared" si="90"/>
        <v>0.57847532497734289</v>
      </c>
      <c r="AG259" s="178">
        <f t="shared" si="91"/>
        <v>-2</v>
      </c>
      <c r="AH259" s="178">
        <f t="shared" si="92"/>
        <v>4</v>
      </c>
      <c r="AI259" s="227">
        <f t="shared" si="93"/>
        <v>-1.4215246750226571</v>
      </c>
      <c r="AJ259" s="267" t="b">
        <f t="shared" si="94"/>
        <v>0</v>
      </c>
      <c r="AK259" s="267" t="b">
        <f t="shared" si="95"/>
        <v>0</v>
      </c>
      <c r="AL259" s="267"/>
      <c r="AM259" s="267"/>
      <c r="AN259" s="75"/>
    </row>
    <row r="260" spans="1:40" s="6" customFormat="1" ht="11.25" x14ac:dyDescent="0.2">
      <c r="A260" s="56">
        <f t="shared" si="96"/>
        <v>43711</v>
      </c>
      <c r="B260" s="618">
        <v>46.456000000000003</v>
      </c>
      <c r="C260" s="392"/>
      <c r="D260" s="395">
        <f t="shared" si="75"/>
        <v>46.888281240154264</v>
      </c>
      <c r="E260" s="387">
        <f t="shared" si="97"/>
        <v>51.040754150959849</v>
      </c>
      <c r="F260" s="387">
        <f t="shared" si="76"/>
        <v>51.164853972749853</v>
      </c>
      <c r="G260" s="110">
        <f t="shared" si="98"/>
        <v>0.98964901299830765</v>
      </c>
      <c r="H260" s="414" t="b">
        <f>Wh_hp&gt;='2018'!Maxi_hp</f>
        <v>1</v>
      </c>
      <c r="I260" s="392">
        <f>IF(H260,Wh_hp,'2018'!Maxi_hp)</f>
        <v>51.164853972749853</v>
      </c>
      <c r="J260" s="85">
        <f>IF(H260,An,'2018'!An_max)</f>
        <v>2019</v>
      </c>
      <c r="K260" s="199">
        <f t="shared" si="77"/>
        <v>43711</v>
      </c>
      <c r="L260" s="147">
        <f>IF(t&lt;Tvie,1-EXP((T0-t)*PertePVj)+'2018'!Pspv,1-EXP((T0-t)*PertePVj)+Pspv)</f>
        <v>9.2193876320649792E-3</v>
      </c>
      <c r="M260" s="870"/>
      <c r="N260" s="870"/>
      <c r="O260" s="48">
        <f>IF(t&lt;Tnet,'2018'!Resal+('2018'!Salim-'2018'!Resal)*(1-EXP(('2018'!Tnet-t)/('2018'!Tau_j))),Resal+(Salim-Resal)*(1-EXP((Tnet-t)/(Tau_j))))*Salcycl</f>
        <v>8.1356025785279201E-2</v>
      </c>
      <c r="P260" s="171">
        <f>(INDEX(Models!$BJ260:$BT260,,T260)*(1-R260)+INDEX(Models!$BJ260:$BT260,,T260+1)*R260-ERP_i)*Q260*Ramure*Pc/MaxiM</f>
        <v>2.4617654773882694E-3</v>
      </c>
      <c r="Q260" s="307">
        <f t="shared" si="78"/>
        <v>1</v>
      </c>
      <c r="R260" s="179">
        <f t="shared" si="79"/>
        <v>0.57931669988741863</v>
      </c>
      <c r="S260" s="837">
        <f t="shared" si="80"/>
        <v>-2</v>
      </c>
      <c r="T260" s="178">
        <f t="shared" si="81"/>
        <v>4</v>
      </c>
      <c r="U260" s="253">
        <f t="shared" si="82"/>
        <v>-1.4206833001125814</v>
      </c>
      <c r="V260" s="385">
        <f t="shared" si="83"/>
        <v>46.940187946217179</v>
      </c>
      <c r="W260" s="58"/>
      <c r="X260" s="157">
        <f t="shared" si="84"/>
        <v>43711</v>
      </c>
      <c r="Y260" s="387">
        <f t="shared" si="85"/>
        <v>46.456000000000003</v>
      </c>
      <c r="Z260" s="387">
        <f t="shared" si="86"/>
        <v>46.888281240154264</v>
      </c>
      <c r="AA260" s="388">
        <f t="shared" si="87"/>
        <v>51.040754150959849</v>
      </c>
      <c r="AB260" s="199">
        <f t="shared" si="88"/>
        <v>43711</v>
      </c>
      <c r="AC260" s="426">
        <f>IF(OR(t&lt;Tnet,NoTnet),'2018'!Resal_s+('2018'!Salim-'2018'!Resal_s)*(1-EXP(('2018'!Tnet_s-t)/'2018'!Tau_j)),Resal_s+(Salim-Resal_s)*(1-EXP((Tnet_s-t)/Tau_j)))*Salcycl</f>
        <v>8.1356025785279201E-2</v>
      </c>
      <c r="AD260" s="233">
        <f>(INDEX(Models!$BJ260:$BT260,,AH260)*(1-AF260)+INDEX(Models!$BJ260:$BT260,,AH260+1)*AF260-ERP_i)*AE260*Ramure*Pc/MaxiM</f>
        <v>2.4617654773882694E-3</v>
      </c>
      <c r="AE260" s="307">
        <f t="shared" si="89"/>
        <v>1</v>
      </c>
      <c r="AF260" s="179">
        <f t="shared" si="90"/>
        <v>0.57931669988741863</v>
      </c>
      <c r="AG260" s="178">
        <f t="shared" si="91"/>
        <v>-2</v>
      </c>
      <c r="AH260" s="178">
        <f t="shared" si="92"/>
        <v>4</v>
      </c>
      <c r="AI260" s="227">
        <f t="shared" si="93"/>
        <v>-1.4206833001125814</v>
      </c>
      <c r="AJ260" s="267" t="b">
        <f t="shared" si="94"/>
        <v>0</v>
      </c>
      <c r="AK260" s="267" t="b">
        <f t="shared" si="95"/>
        <v>0</v>
      </c>
      <c r="AL260" s="267"/>
      <c r="AM260" s="267"/>
      <c r="AN260" s="75"/>
    </row>
    <row r="261" spans="1:40" s="6" customFormat="1" ht="11.25" customHeight="1" x14ac:dyDescent="0.2">
      <c r="A261" s="56">
        <f t="shared" si="96"/>
        <v>43712</v>
      </c>
      <c r="B261" s="618">
        <v>45.96</v>
      </c>
      <c r="C261" s="392"/>
      <c r="D261" s="395">
        <f t="shared" si="75"/>
        <v>46.388745406905393</v>
      </c>
      <c r="E261" s="387">
        <f t="shared" si="97"/>
        <v>50.504914265991076</v>
      </c>
      <c r="F261" s="387">
        <f t="shared" si="76"/>
        <v>50.630743838713244</v>
      </c>
      <c r="G261" s="110">
        <f t="shared" si="98"/>
        <v>0.98609820655460145</v>
      </c>
      <c r="H261" s="414" t="b">
        <f>Wh_hp&gt;='2018'!Maxi_hp</f>
        <v>1</v>
      </c>
      <c r="I261" s="392">
        <f>IF(H261,Wh_hp,'2018'!Maxi_hp)</f>
        <v>50.630743838713244</v>
      </c>
      <c r="J261" s="85">
        <f>IF(H261,An,'2018'!An_max)</f>
        <v>2019</v>
      </c>
      <c r="K261" s="199">
        <f t="shared" si="77"/>
        <v>43712</v>
      </c>
      <c r="L261" s="147">
        <f>IF(t&lt;Tvie,1-EXP((T0-t)*PertePVj)+'2018'!Pspv,1-EXP((T0-t)*PertePVj)+Pspv)</f>
        <v>9.2424445443521908E-3</v>
      </c>
      <c r="M261" s="870"/>
      <c r="N261" s="870"/>
      <c r="O261" s="48">
        <f>IF(t&lt;Tnet,'2018'!Resal+('2018'!Salim-'2018'!Resal)*(1-EXP(('2018'!Tnet-t)/('2018'!Tau_j))),Resal+(Salim-Resal)*(1-EXP((Tnet-t)/(Tau_j))))*Salcycl</f>
        <v>8.1500363259846692E-2</v>
      </c>
      <c r="P261" s="171">
        <f>(INDEX(Models!$BJ261:$BT261,,T261)*(1-R261)+INDEX(Models!$BJ261:$BT261,,T261+1)*R261-ERP_i)*Q261*Ramure*Pc/MaxiM</f>
        <v>2.5354133571225822E-3</v>
      </c>
      <c r="Q261" s="307">
        <f t="shared" si="78"/>
        <v>1</v>
      </c>
      <c r="R261" s="179">
        <f t="shared" si="79"/>
        <v>0.58012615990348859</v>
      </c>
      <c r="S261" s="837">
        <f t="shared" si="80"/>
        <v>-2</v>
      </c>
      <c r="T261" s="178">
        <f t="shared" si="81"/>
        <v>4</v>
      </c>
      <c r="U261" s="253">
        <f t="shared" si="82"/>
        <v>-1.4198738400965114</v>
      </c>
      <c r="V261" s="385">
        <f t="shared" si="83"/>
        <v>46.605589588042093</v>
      </c>
      <c r="W261" s="58"/>
      <c r="X261" s="157">
        <f t="shared" si="84"/>
        <v>43712</v>
      </c>
      <c r="Y261" s="387">
        <f t="shared" si="85"/>
        <v>45.96</v>
      </c>
      <c r="Z261" s="387">
        <f t="shared" si="86"/>
        <v>46.388745406905393</v>
      </c>
      <c r="AA261" s="388">
        <f t="shared" si="87"/>
        <v>50.504914265991076</v>
      </c>
      <c r="AB261" s="199">
        <f t="shared" si="88"/>
        <v>43712</v>
      </c>
      <c r="AC261" s="426">
        <f>IF(OR(t&lt;Tnet,NoTnet),'2018'!Resal_s+('2018'!Salim-'2018'!Resal_s)*(1-EXP(('2018'!Tnet_s-t)/'2018'!Tau_j)),Resal_s+(Salim-Resal_s)*(1-EXP((Tnet_s-t)/Tau_j)))*Salcycl</f>
        <v>8.1500363259846692E-2</v>
      </c>
      <c r="AD261" s="233">
        <f>(INDEX(Models!$BJ261:$BT261,,AH261)*(1-AF261)+INDEX(Models!$BJ261:$BT261,,AH261+1)*AF261-ERP_i)*AE261*Ramure*Pc/MaxiM</f>
        <v>2.5354133571225822E-3</v>
      </c>
      <c r="AE261" s="307">
        <f t="shared" si="89"/>
        <v>1</v>
      </c>
      <c r="AF261" s="179">
        <f t="shared" si="90"/>
        <v>0.58012615990348859</v>
      </c>
      <c r="AG261" s="178">
        <f t="shared" si="91"/>
        <v>-2</v>
      </c>
      <c r="AH261" s="178">
        <f t="shared" si="92"/>
        <v>4</v>
      </c>
      <c r="AI261" s="227">
        <f t="shared" si="93"/>
        <v>-1.4198738400965114</v>
      </c>
      <c r="AJ261" s="267" t="b">
        <f t="shared" si="94"/>
        <v>0</v>
      </c>
      <c r="AK261" s="267" t="b">
        <f t="shared" si="95"/>
        <v>0</v>
      </c>
      <c r="AL261" s="267"/>
      <c r="AM261" s="267"/>
      <c r="AN261" s="75"/>
    </row>
    <row r="262" spans="1:40" s="6" customFormat="1" ht="11.25" x14ac:dyDescent="0.2">
      <c r="A262" s="56">
        <f t="shared" si="96"/>
        <v>43713</v>
      </c>
      <c r="B262" s="618">
        <v>37.061</v>
      </c>
      <c r="C262" s="392"/>
      <c r="D262" s="395">
        <f t="shared" si="75"/>
        <v>37.407600153641219</v>
      </c>
      <c r="E262" s="387">
        <f t="shared" si="97"/>
        <v>40.733205636834739</v>
      </c>
      <c r="F262" s="387">
        <f t="shared" si="76"/>
        <v>40.809393074107462</v>
      </c>
      <c r="G262" s="110">
        <f t="shared" si="98"/>
        <v>0.80049623096066391</v>
      </c>
      <c r="H262" s="414" t="b">
        <f>Wh_hp&gt;='2018'!Maxi_hp</f>
        <v>1</v>
      </c>
      <c r="I262" s="392">
        <f>IF(H262,Wh_hp,'2018'!Maxi_hp)</f>
        <v>40.809393074107462</v>
      </c>
      <c r="J262" s="85">
        <f>IF(H262,An,'2018'!An_max)</f>
        <v>2019</v>
      </c>
      <c r="K262" s="199">
        <f t="shared" si="77"/>
        <v>43713</v>
      </c>
      <c r="L262" s="147">
        <f>IF(t&lt;Tvie,1-EXP((T0-t)*PertePVj)+'2018'!Pspv,1-EXP((T0-t)*PertePVj)+Pspv)</f>
        <v>9.265500920071168E-3</v>
      </c>
      <c r="M262" s="870"/>
      <c r="N262" s="870"/>
      <c r="O262" s="48">
        <f>IF(t&lt;Tnet,'2018'!Resal+('2018'!Salim-'2018'!Resal)*(1-EXP(('2018'!Tnet-t)/('2018'!Tau_j))),Resal+(Salim-Resal)*(1-EXP((Tnet-t)/(Tau_j))))*Salcycl</f>
        <v>8.1643598415593321E-2</v>
      </c>
      <c r="P262" s="171">
        <f>(INDEX(Models!$BJ262:$BT262,,T262)*(1-R262)+INDEX(Models!$BJ262:$BT262,,T262+1)*R262-ERP_i)*Q262*Ramure*Pc/MaxiM</f>
        <v>2.6079824211612201E-3</v>
      </c>
      <c r="Q262" s="307">
        <f t="shared" si="78"/>
        <v>1</v>
      </c>
      <c r="R262" s="179">
        <f t="shared" si="79"/>
        <v>0.58090484171336909</v>
      </c>
      <c r="S262" s="837">
        <f t="shared" si="80"/>
        <v>-2</v>
      </c>
      <c r="T262" s="178">
        <f t="shared" si="81"/>
        <v>4</v>
      </c>
      <c r="U262" s="253">
        <f t="shared" si="82"/>
        <v>-1.4190951582866309</v>
      </c>
      <c r="V262" s="385">
        <f t="shared" si="83"/>
        <v>46.263158136125377</v>
      </c>
      <c r="W262" s="58"/>
      <c r="X262" s="157">
        <f t="shared" si="84"/>
        <v>43713</v>
      </c>
      <c r="Y262" s="387">
        <f t="shared" si="85"/>
        <v>37.061</v>
      </c>
      <c r="Z262" s="387">
        <f t="shared" si="86"/>
        <v>37.407600153641219</v>
      </c>
      <c r="AA262" s="388">
        <f t="shared" si="87"/>
        <v>40.733205636834739</v>
      </c>
      <c r="AB262" s="199">
        <f t="shared" si="88"/>
        <v>43713</v>
      </c>
      <c r="AC262" s="426">
        <f>IF(OR(t&lt;Tnet,NoTnet),'2018'!Resal_s+('2018'!Salim-'2018'!Resal_s)*(1-EXP(('2018'!Tnet_s-t)/'2018'!Tau_j)),Resal_s+(Salim-Resal_s)*(1-EXP((Tnet_s-t)/Tau_j)))*Salcycl</f>
        <v>8.1643598415593321E-2</v>
      </c>
      <c r="AD262" s="233">
        <f>(INDEX(Models!$BJ262:$BT262,,AH262)*(1-AF262)+INDEX(Models!$BJ262:$BT262,,AH262+1)*AF262-ERP_i)*AE262*Ramure*Pc/MaxiM</f>
        <v>2.6079824211612201E-3</v>
      </c>
      <c r="AE262" s="307">
        <f t="shared" si="89"/>
        <v>1</v>
      </c>
      <c r="AF262" s="179">
        <f t="shared" si="90"/>
        <v>0.58090484171336909</v>
      </c>
      <c r="AG262" s="178">
        <f t="shared" si="91"/>
        <v>-2</v>
      </c>
      <c r="AH262" s="178">
        <f t="shared" si="92"/>
        <v>4</v>
      </c>
      <c r="AI262" s="227">
        <f t="shared" si="93"/>
        <v>-1.4190951582866309</v>
      </c>
      <c r="AJ262" s="267" t="b">
        <f t="shared" si="94"/>
        <v>0</v>
      </c>
      <c r="AK262" s="267" t="b">
        <f t="shared" si="95"/>
        <v>0</v>
      </c>
      <c r="AL262" s="267"/>
      <c r="AM262" s="267"/>
      <c r="AN262" s="75"/>
    </row>
    <row r="263" spans="1:40" s="6" customFormat="1" ht="11.25" x14ac:dyDescent="0.2">
      <c r="A263" s="56">
        <f t="shared" si="96"/>
        <v>43714</v>
      </c>
      <c r="B263" s="618">
        <v>47.158000000000001</v>
      </c>
      <c r="C263" s="392"/>
      <c r="D263" s="395">
        <f t="shared" si="75"/>
        <v>47.600136570280377</v>
      </c>
      <c r="E263" s="387">
        <f t="shared" si="97"/>
        <v>51.839898625554397</v>
      </c>
      <c r="F263" s="387">
        <f t="shared" si="76"/>
        <v>51.979212378770349</v>
      </c>
      <c r="G263" s="110">
        <f t="shared" si="98"/>
        <v>1.0271080151658565</v>
      </c>
      <c r="H263" s="414" t="b">
        <f>Wh_hp&gt;='2018'!Maxi_hp</f>
        <v>1</v>
      </c>
      <c r="I263" s="392">
        <f>IF(H263,Wh_hp,'2018'!Maxi_hp)</f>
        <v>51.979212378770349</v>
      </c>
      <c r="J263" s="85">
        <f>IF(H263,An,'2018'!An_max)</f>
        <v>2019</v>
      </c>
      <c r="K263" s="199">
        <f t="shared" si="77"/>
        <v>43714</v>
      </c>
      <c r="L263" s="147">
        <f>IF(t&lt;Tvie,1-EXP((T0-t)*PertePVj)+'2018'!Pspv,1-EXP((T0-t)*PertePVj)+Pspv)</f>
        <v>9.2885567592347895E-3</v>
      </c>
      <c r="M263" s="870"/>
      <c r="N263" s="870"/>
      <c r="O263" s="48">
        <f>IF(t&lt;Tnet,'2018'!Resal+('2018'!Salim-'2018'!Resal)*(1-EXP(('2018'!Tnet-t)/('2018'!Tau_j))),Resal+(Salim-Resal)*(1-EXP((Tnet-t)/(Tau_j))))*Salcycl</f>
        <v>8.1785693407664964E-2</v>
      </c>
      <c r="P263" s="171">
        <f>(INDEX(Models!$BJ263:$BT263,,T263)*(1-R263)+INDEX(Models!$BJ263:$BT263,,T263+1)*R263-ERP_i)*Q263*Ramure*Pc/MaxiM</f>
        <v>2.6801820735715296E-3</v>
      </c>
      <c r="Q263" s="307">
        <f t="shared" si="78"/>
        <v>1</v>
      </c>
      <c r="R263" s="179">
        <f t="shared" si="79"/>
        <v>0.58165384721765334</v>
      </c>
      <c r="S263" s="837">
        <f t="shared" si="80"/>
        <v>-2</v>
      </c>
      <c r="T263" s="178">
        <f t="shared" si="81"/>
        <v>4</v>
      </c>
      <c r="U263" s="253">
        <f t="shared" si="82"/>
        <v>-1.4183461527823467</v>
      </c>
      <c r="V263" s="385">
        <f t="shared" si="83"/>
        <v>45.913379414515582</v>
      </c>
      <c r="W263" s="58"/>
      <c r="X263" s="157">
        <f t="shared" si="84"/>
        <v>43714</v>
      </c>
      <c r="Y263" s="387">
        <f t="shared" si="85"/>
        <v>47.158000000000001</v>
      </c>
      <c r="Z263" s="387">
        <f t="shared" si="86"/>
        <v>47.600136570280377</v>
      </c>
      <c r="AA263" s="388">
        <f t="shared" si="87"/>
        <v>51.839898625554397</v>
      </c>
      <c r="AB263" s="199">
        <f t="shared" si="88"/>
        <v>43714</v>
      </c>
      <c r="AC263" s="426">
        <f>IF(OR(t&lt;Tnet,NoTnet),'2018'!Resal_s+('2018'!Salim-'2018'!Resal_s)*(1-EXP(('2018'!Tnet_s-t)/'2018'!Tau_j)),Resal_s+(Salim-Resal_s)*(1-EXP((Tnet_s-t)/Tau_j)))*Salcycl</f>
        <v>8.1785693407664964E-2</v>
      </c>
      <c r="AD263" s="233">
        <f>(INDEX(Models!$BJ263:$BT263,,AH263)*(1-AF263)+INDEX(Models!$BJ263:$BT263,,AH263+1)*AF263-ERP_i)*AE263*Ramure*Pc/MaxiM</f>
        <v>2.6801820735715296E-3</v>
      </c>
      <c r="AE263" s="307">
        <f t="shared" si="89"/>
        <v>1</v>
      </c>
      <c r="AF263" s="179">
        <f t="shared" si="90"/>
        <v>0.58165384721765334</v>
      </c>
      <c r="AG263" s="178">
        <f t="shared" si="91"/>
        <v>-2</v>
      </c>
      <c r="AH263" s="178">
        <f t="shared" si="92"/>
        <v>4</v>
      </c>
      <c r="AI263" s="227">
        <f t="shared" si="93"/>
        <v>-1.4183461527823467</v>
      </c>
      <c r="AJ263" s="267" t="b">
        <f t="shared" si="94"/>
        <v>0</v>
      </c>
      <c r="AK263" s="267" t="b">
        <f t="shared" si="95"/>
        <v>0</v>
      </c>
      <c r="AL263" s="267"/>
      <c r="AM263" s="267"/>
      <c r="AN263" s="75"/>
    </row>
    <row r="264" spans="1:40" s="6" customFormat="1" ht="11.25" x14ac:dyDescent="0.2">
      <c r="A264" s="56">
        <f t="shared" si="96"/>
        <v>43715</v>
      </c>
      <c r="B264" s="618">
        <v>46.018000000000001</v>
      </c>
      <c r="C264" s="392"/>
      <c r="D264" s="395">
        <f t="shared" si="75"/>
        <v>46.450529308993183</v>
      </c>
      <c r="E264" s="387">
        <f t="shared" si="97"/>
        <v>50.595660163839597</v>
      </c>
      <c r="F264" s="387">
        <f t="shared" si="76"/>
        <v>50.735283993858943</v>
      </c>
      <c r="G264" s="110">
        <f t="shared" si="98"/>
        <v>1.0101242393057017</v>
      </c>
      <c r="H264" s="414" t="b">
        <f>Wh_hp&gt;='2018'!Maxi_hp</f>
        <v>1</v>
      </c>
      <c r="I264" s="392">
        <f>IF(H264,Wh_hp,'2018'!Maxi_hp)</f>
        <v>50.735283993858943</v>
      </c>
      <c r="J264" s="85">
        <f>IF(H264,An,'2018'!An_max)</f>
        <v>2019</v>
      </c>
      <c r="K264" s="199">
        <f t="shared" si="77"/>
        <v>43715</v>
      </c>
      <c r="L264" s="147">
        <f>IF(t&lt;Tvie,1-EXP((T0-t)*PertePVj)+'2018'!Pspv,1-EXP((T0-t)*PertePVj)+Pspv)</f>
        <v>9.3116120618552678E-3</v>
      </c>
      <c r="M264" s="870"/>
      <c r="N264" s="870"/>
      <c r="O264" s="48">
        <f>IF(t&lt;Tnet,'2018'!Resal+('2018'!Salim-'2018'!Resal)*(1-EXP(('2018'!Tnet-t)/('2018'!Tau_j))),Resal+(Salim-Resal)*(1-EXP((Tnet-t)/(Tau_j))))*Salcycl</f>
        <v>8.192660875307467E-2</v>
      </c>
      <c r="P264" s="171">
        <f>(INDEX(Models!$BJ264:$BT264,,T264)*(1-R264)+INDEX(Models!$BJ264:$BT264,,T264+1)*R264-ERP_i)*Q264*Ramure*Pc/MaxiM</f>
        <v>2.75200647415806E-3</v>
      </c>
      <c r="Q264" s="307">
        <f t="shared" si="78"/>
        <v>1</v>
      </c>
      <c r="R264" s="179">
        <f t="shared" si="79"/>
        <v>0.58237424414390615</v>
      </c>
      <c r="S264" s="837">
        <f t="shared" si="80"/>
        <v>-2</v>
      </c>
      <c r="T264" s="178">
        <f t="shared" si="81"/>
        <v>4</v>
      </c>
      <c r="U264" s="253">
        <f t="shared" si="82"/>
        <v>-1.4176257558560938</v>
      </c>
      <c r="V264" s="385">
        <f t="shared" si="83"/>
        <v>45.55677233488624</v>
      </c>
      <c r="W264" s="58"/>
      <c r="X264" s="157">
        <f t="shared" si="84"/>
        <v>43715</v>
      </c>
      <c r="Y264" s="387">
        <f t="shared" si="85"/>
        <v>46.018000000000001</v>
      </c>
      <c r="Z264" s="387">
        <f t="shared" si="86"/>
        <v>46.450529308993183</v>
      </c>
      <c r="AA264" s="388">
        <f t="shared" si="87"/>
        <v>50.595660163839597</v>
      </c>
      <c r="AB264" s="199">
        <f t="shared" si="88"/>
        <v>43715</v>
      </c>
      <c r="AC264" s="426">
        <f>IF(OR(t&lt;Tnet,NoTnet),'2018'!Resal_s+('2018'!Salim-'2018'!Resal_s)*(1-EXP(('2018'!Tnet_s-t)/'2018'!Tau_j)),Resal_s+(Salim-Resal_s)*(1-EXP((Tnet_s-t)/Tau_j)))*Salcycl</f>
        <v>8.192660875307467E-2</v>
      </c>
      <c r="AD264" s="233">
        <f>(INDEX(Models!$BJ264:$BT264,,AH264)*(1-AF264)+INDEX(Models!$BJ264:$BT264,,AH264+1)*AF264-ERP_i)*AE264*Ramure*Pc/MaxiM</f>
        <v>2.75200647415806E-3</v>
      </c>
      <c r="AE264" s="307">
        <f t="shared" si="89"/>
        <v>1</v>
      </c>
      <c r="AF264" s="179">
        <f t="shared" si="90"/>
        <v>0.58237424414390615</v>
      </c>
      <c r="AG264" s="178">
        <f t="shared" si="91"/>
        <v>-2</v>
      </c>
      <c r="AH264" s="178">
        <f t="shared" si="92"/>
        <v>4</v>
      </c>
      <c r="AI264" s="227">
        <f t="shared" si="93"/>
        <v>-1.4176257558560938</v>
      </c>
      <c r="AJ264" s="267" t="b">
        <f t="shared" si="94"/>
        <v>0</v>
      </c>
      <c r="AK264" s="267" t="b">
        <f t="shared" si="95"/>
        <v>0</v>
      </c>
      <c r="AL264" s="267"/>
      <c r="AM264" s="267"/>
      <c r="AN264" s="75"/>
    </row>
    <row r="265" spans="1:40" s="6" customFormat="1" ht="11.25" x14ac:dyDescent="0.2">
      <c r="A265" s="56">
        <f t="shared" si="96"/>
        <v>43716</v>
      </c>
      <c r="B265" s="618">
        <v>40.435000000000002</v>
      </c>
      <c r="C265" s="392"/>
      <c r="D265" s="395">
        <f t="shared" si="75"/>
        <v>40.816003796690246</v>
      </c>
      <c r="E265" s="387">
        <f t="shared" si="97"/>
        <v>44.465089299664882</v>
      </c>
      <c r="F265" s="387">
        <f t="shared" si="76"/>
        <v>44.572005255446598</v>
      </c>
      <c r="G265" s="110">
        <f t="shared" si="98"/>
        <v>0.89432036095220457</v>
      </c>
      <c r="H265" s="414" t="b">
        <f>Wh_hp&gt;='2018'!Maxi_hp</f>
        <v>1</v>
      </c>
      <c r="I265" s="392">
        <f>IF(H265,Wh_hp,'2018'!Maxi_hp)</f>
        <v>44.572005255446598</v>
      </c>
      <c r="J265" s="85">
        <f>IF(H265,An,'2018'!An_max)</f>
        <v>2019</v>
      </c>
      <c r="K265" s="199">
        <f t="shared" si="77"/>
        <v>43716</v>
      </c>
      <c r="L265" s="147">
        <f>IF(t&lt;Tvie,1-EXP((T0-t)*PertePVj)+'2018'!Pspv,1-EXP((T0-t)*PertePVj)+Pspv)</f>
        <v>9.3346668279451483E-3</v>
      </c>
      <c r="M265" s="870"/>
      <c r="N265" s="870"/>
      <c r="O265" s="48">
        <f>IF(t&lt;Tnet,'2018'!Resal+('2018'!Salim-'2018'!Resal)*(1-EXP(('2018'!Tnet-t)/('2018'!Tau_j))),Resal+(Salim-Resal)*(1-EXP((Tnet-t)/(Tau_j))))*Salcycl</f>
        <v>8.2066303260570142E-2</v>
      </c>
      <c r="P265" s="171">
        <f>(INDEX(Models!$BJ265:$BT265,,T265)*(1-R265)+INDEX(Models!$BJ265:$BT265,,T265+1)*R265-ERP_i)*Q265*Ramure*Pc/MaxiM</f>
        <v>2.8234462268872771E-3</v>
      </c>
      <c r="Q265" s="307">
        <f t="shared" si="78"/>
        <v>1</v>
      </c>
      <c r="R265" s="179">
        <f t="shared" si="79"/>
        <v>0.58306706668949015</v>
      </c>
      <c r="S265" s="837">
        <f t="shared" si="80"/>
        <v>-2</v>
      </c>
      <c r="T265" s="178">
        <f t="shared" si="81"/>
        <v>4</v>
      </c>
      <c r="U265" s="253">
        <f t="shared" si="82"/>
        <v>-1.4169329333105098</v>
      </c>
      <c r="V265" s="385">
        <f t="shared" si="83"/>
        <v>45.193855404717432</v>
      </c>
      <c r="W265" s="58"/>
      <c r="X265" s="157">
        <f t="shared" si="84"/>
        <v>43716</v>
      </c>
      <c r="Y265" s="387">
        <f t="shared" si="85"/>
        <v>40.435000000000002</v>
      </c>
      <c r="Z265" s="387">
        <f t="shared" si="86"/>
        <v>40.816003796690246</v>
      </c>
      <c r="AA265" s="388">
        <f t="shared" si="87"/>
        <v>44.465089299664882</v>
      </c>
      <c r="AB265" s="199">
        <f t="shared" si="88"/>
        <v>43716</v>
      </c>
      <c r="AC265" s="426">
        <f>IF(OR(t&lt;Tnet,NoTnet),'2018'!Resal_s+('2018'!Salim-'2018'!Resal_s)*(1-EXP(('2018'!Tnet_s-t)/'2018'!Tau_j)),Resal_s+(Salim-Resal_s)*(1-EXP((Tnet_s-t)/Tau_j)))*Salcycl</f>
        <v>8.2066303260570142E-2</v>
      </c>
      <c r="AD265" s="233">
        <f>(INDEX(Models!$BJ265:$BT265,,AH265)*(1-AF265)+INDEX(Models!$BJ265:$BT265,,AH265+1)*AF265-ERP_i)*AE265*Ramure*Pc/MaxiM</f>
        <v>2.8234462268872771E-3</v>
      </c>
      <c r="AE265" s="307">
        <f t="shared" si="89"/>
        <v>1</v>
      </c>
      <c r="AF265" s="179">
        <f t="shared" si="90"/>
        <v>0.58306706668949015</v>
      </c>
      <c r="AG265" s="178">
        <f t="shared" si="91"/>
        <v>-2</v>
      </c>
      <c r="AH265" s="178">
        <f t="shared" si="92"/>
        <v>4</v>
      </c>
      <c r="AI265" s="227">
        <f t="shared" si="93"/>
        <v>-1.4169329333105098</v>
      </c>
      <c r="AJ265" s="267" t="b">
        <f t="shared" si="94"/>
        <v>0</v>
      </c>
      <c r="AK265" s="267" t="b">
        <f t="shared" si="95"/>
        <v>0</v>
      </c>
      <c r="AL265" s="267"/>
      <c r="AM265" s="267"/>
      <c r="AN265" s="75"/>
    </row>
    <row r="266" spans="1:40" s="6" customFormat="1" ht="11.25" x14ac:dyDescent="0.2">
      <c r="A266" s="56">
        <f t="shared" si="96"/>
        <v>43717</v>
      </c>
      <c r="B266" s="618">
        <v>35.384999999999998</v>
      </c>
      <c r="C266" s="392"/>
      <c r="D266" s="395">
        <f t="shared" si="75"/>
        <v>35.719250785231694</v>
      </c>
      <c r="E266" s="387">
        <f t="shared" si="97"/>
        <v>38.918538923996444</v>
      </c>
      <c r="F266" s="387">
        <f t="shared" si="76"/>
        <v>38.997456652695149</v>
      </c>
      <c r="G266" s="110">
        <f t="shared" si="98"/>
        <v>0.78871182720976341</v>
      </c>
      <c r="H266" s="414" t="b">
        <f>Wh_hp&gt;='2018'!Maxi_hp</f>
        <v>1</v>
      </c>
      <c r="I266" s="392">
        <f>IF(H266,Wh_hp,'2018'!Maxi_hp)</f>
        <v>38.997456652695149</v>
      </c>
      <c r="J266" s="85">
        <f>IF(H266,An,'2018'!An_max)</f>
        <v>2019</v>
      </c>
      <c r="K266" s="199">
        <f t="shared" si="77"/>
        <v>43717</v>
      </c>
      <c r="L266" s="147">
        <f>IF(t&lt;Tvie,1-EXP((T0-t)*PertePVj)+'2018'!Pspv,1-EXP((T0-t)*PertePVj)+Pspv)</f>
        <v>9.3577210575169767E-3</v>
      </c>
      <c r="M266" s="870"/>
      <c r="N266" s="870"/>
      <c r="O266" s="48">
        <f>IF(t&lt;Tnet,'2018'!Resal+('2018'!Salim-'2018'!Resal)*(1-EXP(('2018'!Tnet-t)/('2018'!Tau_j))),Resal+(Salim-Resal)*(1-EXP((Tnet-t)/(Tau_j))))*Salcycl</f>
        <v>8.2204733970424812E-2</v>
      </c>
      <c r="P266" s="171">
        <f>(INDEX(Models!$BJ266:$BT266,,T266)*(1-R266)+INDEX(Models!$BJ266:$BT266,,T266+1)*R266-ERP_i)*Q266*Ramure*Pc/MaxiM</f>
        <v>2.894488250333629E-3</v>
      </c>
      <c r="Q266" s="307">
        <f t="shared" si="78"/>
        <v>1</v>
      </c>
      <c r="R266" s="179">
        <f t="shared" si="79"/>
        <v>0.58373331618858737</v>
      </c>
      <c r="S266" s="837">
        <f t="shared" si="80"/>
        <v>-2</v>
      </c>
      <c r="T266" s="178">
        <f t="shared" si="81"/>
        <v>4</v>
      </c>
      <c r="U266" s="253">
        <f t="shared" si="82"/>
        <v>-1.4162666838114126</v>
      </c>
      <c r="V266" s="385">
        <f t="shared" si="83"/>
        <v>44.825146728888662</v>
      </c>
      <c r="W266" s="58"/>
      <c r="X266" s="157">
        <f t="shared" si="84"/>
        <v>43717</v>
      </c>
      <c r="Y266" s="387">
        <f t="shared" si="85"/>
        <v>35.384999999999998</v>
      </c>
      <c r="Z266" s="387">
        <f t="shared" si="86"/>
        <v>35.719250785231694</v>
      </c>
      <c r="AA266" s="388">
        <f t="shared" si="87"/>
        <v>38.918538923996444</v>
      </c>
      <c r="AB266" s="199">
        <f t="shared" si="88"/>
        <v>43717</v>
      </c>
      <c r="AC266" s="426">
        <f>IF(OR(t&lt;Tnet,NoTnet),'2018'!Resal_s+('2018'!Salim-'2018'!Resal_s)*(1-EXP(('2018'!Tnet_s-t)/'2018'!Tau_j)),Resal_s+(Salim-Resal_s)*(1-EXP((Tnet_s-t)/Tau_j)))*Salcycl</f>
        <v>8.2204733970424812E-2</v>
      </c>
      <c r="AD266" s="233">
        <f>(INDEX(Models!$BJ266:$BT266,,AH266)*(1-AF266)+INDEX(Models!$BJ266:$BT266,,AH266+1)*AF266-ERP_i)*AE266*Ramure*Pc/MaxiM</f>
        <v>2.894488250333629E-3</v>
      </c>
      <c r="AE266" s="307">
        <f t="shared" si="89"/>
        <v>1</v>
      </c>
      <c r="AF266" s="179">
        <f t="shared" si="90"/>
        <v>0.58373331618858737</v>
      </c>
      <c r="AG266" s="178">
        <f t="shared" si="91"/>
        <v>-2</v>
      </c>
      <c r="AH266" s="178">
        <f t="shared" si="92"/>
        <v>4</v>
      </c>
      <c r="AI266" s="227">
        <f t="shared" si="93"/>
        <v>-1.4162666838114126</v>
      </c>
      <c r="AJ266" s="267" t="b">
        <f t="shared" si="94"/>
        <v>0</v>
      </c>
      <c r="AK266" s="267" t="b">
        <f t="shared" si="95"/>
        <v>0</v>
      </c>
      <c r="AL266" s="267"/>
      <c r="AM266" s="267"/>
      <c r="AN266" s="75"/>
    </row>
    <row r="267" spans="1:40" s="6" customFormat="1" ht="11.25" x14ac:dyDescent="0.2">
      <c r="A267" s="56">
        <f t="shared" si="96"/>
        <v>43718</v>
      </c>
      <c r="B267" s="618">
        <v>13.108000000000001</v>
      </c>
      <c r="C267" s="392"/>
      <c r="D267" s="395">
        <f t="shared" si="75"/>
        <v>13.232127608566939</v>
      </c>
      <c r="E267" s="387">
        <f t="shared" si="97"/>
        <v>14.419452054801432</v>
      </c>
      <c r="F267" s="387">
        <f t="shared" si="76"/>
        <v>14.419452054801432</v>
      </c>
      <c r="G267" s="110">
        <f t="shared" si="98"/>
        <v>0.29401104682767398</v>
      </c>
      <c r="H267" s="414" t="b">
        <f>Wh_hp&gt;='2018'!Maxi_hp</f>
        <v>1</v>
      </c>
      <c r="I267" s="392">
        <f>IF(H267,Wh_hp,'2018'!Maxi_hp)</f>
        <v>14.419452054801432</v>
      </c>
      <c r="J267" s="85">
        <f>IF(H267,An,'2018'!An_max)</f>
        <v>2019</v>
      </c>
      <c r="K267" s="199">
        <f t="shared" si="77"/>
        <v>43718</v>
      </c>
      <c r="L267" s="147">
        <f>IF(t&lt;Tvie,1-EXP((T0-t)*PertePVj)+'2018'!Pspv,1-EXP((T0-t)*PertePVj)+Pspv)</f>
        <v>9.3807747505831873E-3</v>
      </c>
      <c r="M267" s="870"/>
      <c r="N267" s="870"/>
      <c r="O267" s="48">
        <f>IF(t&lt;Tnet,'2018'!Resal+('2018'!Salim-'2018'!Resal)*(1-EXP(('2018'!Tnet-t)/('2018'!Tau_j))),Resal+(Salim-Resal)*(1-EXP((Tnet-t)/(Tau_j))))*Salcycl</f>
        <v>8.234185610673983E-2</v>
      </c>
      <c r="P267" s="171">
        <f>(INDEX(Models!$BJ267:$BT267,,T267)*(1-R267)+INDEX(Models!$BJ267:$BT267,,T267+1)*R267-ERP_i)*Q267*Ramure*Pc/MaxiM</f>
        <v>2.9651156371367088E-3</v>
      </c>
      <c r="Q267" s="307">
        <f t="shared" si="78"/>
        <v>1</v>
      </c>
      <c r="R267" s="179">
        <f t="shared" si="79"/>
        <v>0.58437396179931822</v>
      </c>
      <c r="S267" s="837">
        <f t="shared" si="80"/>
        <v>-2</v>
      </c>
      <c r="T267" s="178">
        <f t="shared" si="81"/>
        <v>4</v>
      </c>
      <c r="U267" s="253">
        <f t="shared" si="82"/>
        <v>-1.4156260382006818</v>
      </c>
      <c r="V267" s="385">
        <f t="shared" si="83"/>
        <v>44.451164013196085</v>
      </c>
      <c r="W267" s="58"/>
      <c r="X267" s="157">
        <f t="shared" si="84"/>
        <v>43718</v>
      </c>
      <c r="Y267" s="387">
        <f t="shared" si="85"/>
        <v>13.108000000000001</v>
      </c>
      <c r="Z267" s="387">
        <f t="shared" si="86"/>
        <v>13.232127608566939</v>
      </c>
      <c r="AA267" s="388">
        <f t="shared" si="87"/>
        <v>14.419452054801432</v>
      </c>
      <c r="AB267" s="199">
        <f t="shared" si="88"/>
        <v>43718</v>
      </c>
      <c r="AC267" s="426">
        <f>IF(OR(t&lt;Tnet,NoTnet),'2018'!Resal_s+('2018'!Salim-'2018'!Resal_s)*(1-EXP(('2018'!Tnet_s-t)/'2018'!Tau_j)),Resal_s+(Salim-Resal_s)*(1-EXP((Tnet_s-t)/Tau_j)))*Salcycl</f>
        <v>8.234185610673983E-2</v>
      </c>
      <c r="AD267" s="233">
        <f>(INDEX(Models!$BJ267:$BT267,,AH267)*(1-AF267)+INDEX(Models!$BJ267:$BT267,,AH267+1)*AF267-ERP_i)*AE267*Ramure*Pc/MaxiM</f>
        <v>2.9651156371367088E-3</v>
      </c>
      <c r="AE267" s="307">
        <f t="shared" si="89"/>
        <v>1</v>
      </c>
      <c r="AF267" s="179">
        <f t="shared" si="90"/>
        <v>0.58437396179931822</v>
      </c>
      <c r="AG267" s="178">
        <f t="shared" si="91"/>
        <v>-2</v>
      </c>
      <c r="AH267" s="178">
        <f t="shared" si="92"/>
        <v>4</v>
      </c>
      <c r="AI267" s="227">
        <f t="shared" si="93"/>
        <v>-1.4156260382006818</v>
      </c>
      <c r="AJ267" s="267" t="b">
        <f t="shared" si="94"/>
        <v>0</v>
      </c>
      <c r="AK267" s="267" t="b">
        <f t="shared" si="95"/>
        <v>0</v>
      </c>
      <c r="AL267" s="267"/>
      <c r="AM267" s="267"/>
      <c r="AN267" s="75"/>
    </row>
    <row r="268" spans="1:40" s="6" customFormat="1" ht="11.25" x14ac:dyDescent="0.2">
      <c r="A268" s="56">
        <f t="shared" si="96"/>
        <v>43719</v>
      </c>
      <c r="B268" s="618">
        <v>37.722999999999999</v>
      </c>
      <c r="C268" s="392"/>
      <c r="D268" s="395">
        <f t="shared" si="75"/>
        <v>38.081108187912932</v>
      </c>
      <c r="E268" s="387">
        <f t="shared" si="97"/>
        <v>41.50428277758688</v>
      </c>
      <c r="F268" s="387">
        <f t="shared" si="76"/>
        <v>41.604525510884223</v>
      </c>
      <c r="G268" s="110">
        <f t="shared" si="98"/>
        <v>0.85539502186649619</v>
      </c>
      <c r="H268" s="414" t="b">
        <f>Wh_hp&gt;='2018'!Maxi_hp</f>
        <v>1</v>
      </c>
      <c r="I268" s="392">
        <f>IF(H268,Wh_hp,'2018'!Maxi_hp)</f>
        <v>41.604525510884223</v>
      </c>
      <c r="J268" s="85">
        <f>IF(H268,An,'2018'!An_max)</f>
        <v>2019</v>
      </c>
      <c r="K268" s="199">
        <f t="shared" si="77"/>
        <v>43719</v>
      </c>
      <c r="L268" s="147">
        <f>IF(t&lt;Tvie,1-EXP((T0-t)*PertePVj)+'2018'!Pspv,1-EXP((T0-t)*PertePVj)+Pspv)</f>
        <v>9.4038279071563258E-3</v>
      </c>
      <c r="M268" s="870"/>
      <c r="N268" s="870"/>
      <c r="O268" s="48">
        <f>IF(t&lt;Tnet,'2018'!Resal+('2018'!Salim-'2018'!Resal)*(1-EXP(('2018'!Tnet-t)/('2018'!Tau_j))),Resal+(Salim-Resal)*(1-EXP((Tnet-t)/(Tau_j))))*Salcycl</f>
        <v>8.2477623044784454E-2</v>
      </c>
      <c r="P268" s="171">
        <f>(INDEX(Models!$BJ268:$BT268,,T268)*(1-R268)+INDEX(Models!$BJ268:$BT268,,T268+1)*R268-ERP_i)*Q268*Ramure*Pc/MaxiM</f>
        <v>3.0338189894972638E-3</v>
      </c>
      <c r="Q268" s="307">
        <f t="shared" si="78"/>
        <v>1</v>
      </c>
      <c r="R268" s="179">
        <f t="shared" si="79"/>
        <v>0.58498994120718972</v>
      </c>
      <c r="S268" s="837">
        <f t="shared" si="80"/>
        <v>-2</v>
      </c>
      <c r="T268" s="178">
        <f t="shared" si="81"/>
        <v>4</v>
      </c>
      <c r="U268" s="253">
        <f t="shared" si="82"/>
        <v>-1.4150100587928103</v>
      </c>
      <c r="V268" s="385">
        <f t="shared" si="83"/>
        <v>44.072490376391237</v>
      </c>
      <c r="W268" s="58"/>
      <c r="X268" s="157">
        <f t="shared" si="84"/>
        <v>43719</v>
      </c>
      <c r="Y268" s="387">
        <f t="shared" si="85"/>
        <v>37.722999999999999</v>
      </c>
      <c r="Z268" s="387">
        <f t="shared" si="86"/>
        <v>38.081108187912932</v>
      </c>
      <c r="AA268" s="388">
        <f t="shared" si="87"/>
        <v>41.50428277758688</v>
      </c>
      <c r="AB268" s="199">
        <f t="shared" si="88"/>
        <v>43719</v>
      </c>
      <c r="AC268" s="426">
        <f>IF(OR(t&lt;Tnet,NoTnet),'2018'!Resal_s+('2018'!Salim-'2018'!Resal_s)*(1-EXP(('2018'!Tnet_s-t)/'2018'!Tau_j)),Resal_s+(Salim-Resal_s)*(1-EXP((Tnet_s-t)/Tau_j)))*Salcycl</f>
        <v>8.2477623044784454E-2</v>
      </c>
      <c r="AD268" s="233">
        <f>(INDEX(Models!$BJ268:$BT268,,AH268)*(1-AF268)+INDEX(Models!$BJ268:$BT268,,AH268+1)*AF268-ERP_i)*AE268*Ramure*Pc/MaxiM</f>
        <v>3.0338189894972638E-3</v>
      </c>
      <c r="AE268" s="307">
        <f t="shared" si="89"/>
        <v>1</v>
      </c>
      <c r="AF268" s="179">
        <f t="shared" si="90"/>
        <v>0.58498994120718972</v>
      </c>
      <c r="AG268" s="178">
        <f t="shared" si="91"/>
        <v>-2</v>
      </c>
      <c r="AH268" s="178">
        <f t="shared" si="92"/>
        <v>4</v>
      </c>
      <c r="AI268" s="227">
        <f t="shared" si="93"/>
        <v>-1.4150100587928103</v>
      </c>
      <c r="AJ268" s="267" t="b">
        <f t="shared" si="94"/>
        <v>0</v>
      </c>
      <c r="AK268" s="267" t="b">
        <f t="shared" si="95"/>
        <v>0</v>
      </c>
      <c r="AL268" s="267"/>
      <c r="AM268" s="267"/>
      <c r="AN268" s="75"/>
    </row>
    <row r="269" spans="1:40" s="6" customFormat="1" ht="11.25" x14ac:dyDescent="0.2">
      <c r="A269" s="56">
        <f t="shared" si="96"/>
        <v>43720</v>
      </c>
      <c r="B269" s="618">
        <v>42.883000000000003</v>
      </c>
      <c r="C269" s="392"/>
      <c r="D269" s="395">
        <f t="shared" si="75"/>
        <v>43.291100027855769</v>
      </c>
      <c r="E269" s="387">
        <f t="shared" si="97"/>
        <v>47.189520008068236</v>
      </c>
      <c r="F269" s="387">
        <f t="shared" si="76"/>
        <v>47.332460641090549</v>
      </c>
      <c r="G269" s="110">
        <f t="shared" si="98"/>
        <v>0.98145762247822543</v>
      </c>
      <c r="H269" s="414" t="b">
        <f>Wh_hp&gt;='2018'!Maxi_hp</f>
        <v>1</v>
      </c>
      <c r="I269" s="392">
        <f>IF(H269,Wh_hp,'2018'!Maxi_hp)</f>
        <v>47.332460641090549</v>
      </c>
      <c r="J269" s="85">
        <f>IF(H269,An,'2018'!An_max)</f>
        <v>2019</v>
      </c>
      <c r="K269" s="199">
        <f t="shared" si="77"/>
        <v>43720</v>
      </c>
      <c r="L269" s="147">
        <f>IF(t&lt;Tvie,1-EXP((T0-t)*PertePVj)+'2018'!Pspv,1-EXP((T0-t)*PertePVj)+Pspv)</f>
        <v>9.4268805272487155E-3</v>
      </c>
      <c r="M269" s="870"/>
      <c r="N269" s="870"/>
      <c r="O269" s="48">
        <f>IF(t&lt;Tnet,'2018'!Resal+('2018'!Salim-'2018'!Resal)*(1-EXP(('2018'!Tnet-t)/('2018'!Tau_j))),Resal+(Salim-Resal)*(1-EXP((Tnet-t)/(Tau_j))))*Salcycl</f>
        <v>8.2611986295811721E-2</v>
      </c>
      <c r="P269" s="171">
        <f>(INDEX(Models!$BJ269:$BT269,,T269)*(1-R269)+INDEX(Models!$BJ269:$BT269,,T269+1)*R269-ERP_i)*Q269*Ramure*Pc/MaxiM</f>
        <v>3.1017335009677033E-3</v>
      </c>
      <c r="Q269" s="307">
        <f t="shared" si="78"/>
        <v>1</v>
      </c>
      <c r="R269" s="179">
        <f t="shared" si="79"/>
        <v>0.58558216134141139</v>
      </c>
      <c r="S269" s="837">
        <f t="shared" si="80"/>
        <v>-2</v>
      </c>
      <c r="T269" s="178">
        <f t="shared" si="81"/>
        <v>4</v>
      </c>
      <c r="U269" s="253">
        <f t="shared" si="82"/>
        <v>-1.4144178386585886</v>
      </c>
      <c r="V269" s="385">
        <f t="shared" si="83"/>
        <v>43.689590192555187</v>
      </c>
      <c r="W269" s="58"/>
      <c r="X269" s="157">
        <f t="shared" si="84"/>
        <v>43720</v>
      </c>
      <c r="Y269" s="387">
        <f t="shared" si="85"/>
        <v>42.883000000000003</v>
      </c>
      <c r="Z269" s="387">
        <f t="shared" si="86"/>
        <v>43.291100027855769</v>
      </c>
      <c r="AA269" s="388">
        <f t="shared" si="87"/>
        <v>47.189520008068236</v>
      </c>
      <c r="AB269" s="199">
        <f t="shared" si="88"/>
        <v>43720</v>
      </c>
      <c r="AC269" s="426">
        <f>IF(OR(t&lt;Tnet,NoTnet),'2018'!Resal_s+('2018'!Salim-'2018'!Resal_s)*(1-EXP(('2018'!Tnet_s-t)/'2018'!Tau_j)),Resal_s+(Salim-Resal_s)*(1-EXP((Tnet_s-t)/Tau_j)))*Salcycl</f>
        <v>8.2611986295811721E-2</v>
      </c>
      <c r="AD269" s="233">
        <f>(INDEX(Models!$BJ269:$BT269,,AH269)*(1-AF269)+INDEX(Models!$BJ269:$BT269,,AH269+1)*AF269-ERP_i)*AE269*Ramure*Pc/MaxiM</f>
        <v>3.1017335009677033E-3</v>
      </c>
      <c r="AE269" s="307">
        <f t="shared" si="89"/>
        <v>1</v>
      </c>
      <c r="AF269" s="179">
        <f t="shared" si="90"/>
        <v>0.58558216134141139</v>
      </c>
      <c r="AG269" s="178">
        <f t="shared" si="91"/>
        <v>-2</v>
      </c>
      <c r="AH269" s="178">
        <f t="shared" si="92"/>
        <v>4</v>
      </c>
      <c r="AI269" s="227">
        <f t="shared" si="93"/>
        <v>-1.4144178386585886</v>
      </c>
      <c r="AJ269" s="267" t="b">
        <f t="shared" si="94"/>
        <v>0</v>
      </c>
      <c r="AK269" s="267" t="b">
        <f t="shared" si="95"/>
        <v>0</v>
      </c>
      <c r="AL269" s="267"/>
      <c r="AM269" s="267"/>
      <c r="AN269" s="75"/>
    </row>
    <row r="270" spans="1:40" s="6" customFormat="1" ht="11.25" x14ac:dyDescent="0.2">
      <c r="A270" s="56">
        <f t="shared" si="96"/>
        <v>43721</v>
      </c>
      <c r="B270" s="618">
        <v>32.469000000000001</v>
      </c>
      <c r="C270" s="392"/>
      <c r="D270" s="395">
        <f t="shared" si="75"/>
        <v>32.7787570451448</v>
      </c>
      <c r="E270" s="387">
        <f t="shared" si="97"/>
        <v>35.735704151168896</v>
      </c>
      <c r="F270" s="387">
        <f t="shared" si="76"/>
        <v>35.808619030731819</v>
      </c>
      <c r="G270" s="110">
        <f t="shared" si="98"/>
        <v>0.74895887415299689</v>
      </c>
      <c r="H270" s="414" t="b">
        <f>Wh_hp&gt;='2018'!Maxi_hp</f>
        <v>1</v>
      </c>
      <c r="I270" s="392">
        <f>IF(H270,Wh_hp,'2018'!Maxi_hp)</f>
        <v>35.808619030731819</v>
      </c>
      <c r="J270" s="85">
        <f>IF(H270,An,'2018'!An_max)</f>
        <v>2019</v>
      </c>
      <c r="K270" s="199">
        <f t="shared" si="77"/>
        <v>43721</v>
      </c>
      <c r="L270" s="147">
        <f>IF(t&lt;Tvie,1-EXP((T0-t)*PertePVj)+'2018'!Pspv,1-EXP((T0-t)*PertePVj)+Pspv)</f>
        <v>9.4499326108731241E-3</v>
      </c>
      <c r="M270" s="870"/>
      <c r="N270" s="870"/>
      <c r="O270" s="48">
        <f>IF(t&lt;Tnet,'2018'!Resal+('2018'!Salim-'2018'!Resal)*(1-EXP(('2018'!Tnet-t)/('2018'!Tau_j))),Resal+(Salim-Resal)*(1-EXP((Tnet-t)/(Tau_j))))*Salcycl</f>
        <v>8.2744895511660907E-2</v>
      </c>
      <c r="P270" s="171">
        <f>(INDEX(Models!$BJ270:$BT270,,T270)*(1-R270)+INDEX(Models!$BJ270:$BT270,,T270+1)*R270-ERP_i)*Q270*Ramure*Pc/MaxiM</f>
        <v>3.1688208684845023E-3</v>
      </c>
      <c r="Q270" s="307">
        <f t="shared" si="78"/>
        <v>1</v>
      </c>
      <c r="R270" s="179">
        <f t="shared" si="79"/>
        <v>0.58615149910090558</v>
      </c>
      <c r="S270" s="837">
        <f t="shared" si="80"/>
        <v>-2</v>
      </c>
      <c r="T270" s="178">
        <f t="shared" si="81"/>
        <v>4</v>
      </c>
      <c r="U270" s="253">
        <f t="shared" si="82"/>
        <v>-1.4138485008990944</v>
      </c>
      <c r="V270" s="385">
        <f t="shared" si="83"/>
        <v>43.302979991276601</v>
      </c>
      <c r="W270" s="58"/>
      <c r="X270" s="157">
        <f t="shared" si="84"/>
        <v>43721</v>
      </c>
      <c r="Y270" s="387">
        <f t="shared" si="85"/>
        <v>32.469000000000001</v>
      </c>
      <c r="Z270" s="387">
        <f t="shared" si="86"/>
        <v>32.7787570451448</v>
      </c>
      <c r="AA270" s="388">
        <f t="shared" si="87"/>
        <v>35.735704151168896</v>
      </c>
      <c r="AB270" s="199">
        <f t="shared" si="88"/>
        <v>43721</v>
      </c>
      <c r="AC270" s="426">
        <f>IF(OR(t&lt;Tnet,NoTnet),'2018'!Resal_s+('2018'!Salim-'2018'!Resal_s)*(1-EXP(('2018'!Tnet_s-t)/'2018'!Tau_j)),Resal_s+(Salim-Resal_s)*(1-EXP((Tnet_s-t)/Tau_j)))*Salcycl</f>
        <v>8.2744895511660907E-2</v>
      </c>
      <c r="AD270" s="233">
        <f>(INDEX(Models!$BJ270:$BT270,,AH270)*(1-AF270)+INDEX(Models!$BJ270:$BT270,,AH270+1)*AF270-ERP_i)*AE270*Ramure*Pc/MaxiM</f>
        <v>3.1688208684845023E-3</v>
      </c>
      <c r="AE270" s="307">
        <f t="shared" si="89"/>
        <v>1</v>
      </c>
      <c r="AF270" s="179">
        <f t="shared" si="90"/>
        <v>0.58615149910090558</v>
      </c>
      <c r="AG270" s="178">
        <f t="shared" si="91"/>
        <v>-2</v>
      </c>
      <c r="AH270" s="178">
        <f t="shared" si="92"/>
        <v>4</v>
      </c>
      <c r="AI270" s="227">
        <f t="shared" si="93"/>
        <v>-1.4138485008990944</v>
      </c>
      <c r="AJ270" s="267" t="b">
        <f t="shared" si="94"/>
        <v>0</v>
      </c>
      <c r="AK270" s="267" t="b">
        <f t="shared" si="95"/>
        <v>0</v>
      </c>
      <c r="AL270" s="267"/>
      <c r="AM270" s="267"/>
      <c r="AN270" s="75"/>
    </row>
    <row r="271" spans="1:40" s="6" customFormat="1" ht="11.25" x14ac:dyDescent="0.2">
      <c r="A271" s="56">
        <f t="shared" si="96"/>
        <v>43722</v>
      </c>
      <c r="B271" s="618">
        <v>37.926000000000002</v>
      </c>
      <c r="C271" s="392"/>
      <c r="D271" s="395">
        <f t="shared" ref="D271:D334" si="99">Wh/(1-Ppv)</f>
        <v>38.28870832741751</v>
      </c>
      <c r="E271" s="387">
        <f t="shared" si="97"/>
        <v>41.748684790575496</v>
      </c>
      <c r="F271" s="387">
        <f t="shared" ref="F271:F334" si="100">Wh_sa/(1-Pvg*MEDIAN((-Sdif+Wh/Env_an)/Csdif,0,1))</f>
        <v>41.861625361625606</v>
      </c>
      <c r="G271" s="110">
        <f t="shared" si="98"/>
        <v>0.88330855249002804</v>
      </c>
      <c r="H271" s="414" t="b">
        <f>Wh_hp&gt;='2018'!Maxi_hp</f>
        <v>1</v>
      </c>
      <c r="I271" s="392">
        <f>IF(H271,Wh_hp,'2018'!Maxi_hp)</f>
        <v>41.861625361625606</v>
      </c>
      <c r="J271" s="85">
        <f>IF(H271,An,'2018'!An_max)</f>
        <v>2019</v>
      </c>
      <c r="K271" s="199">
        <f t="shared" ref="K271:K334" si="101">t</f>
        <v>43722</v>
      </c>
      <c r="L271" s="147">
        <f>IF(t&lt;Tvie,1-EXP((T0-t)*PertePVj)+'2018'!Pspv,1-EXP((T0-t)*PertePVj)+Pspv)</f>
        <v>9.472984158041764E-3</v>
      </c>
      <c r="M271" s="870"/>
      <c r="N271" s="870"/>
      <c r="O271" s="48">
        <f>IF(t&lt;Tnet,'2018'!Resal+('2018'!Salim-'2018'!Resal)*(1-EXP(('2018'!Tnet-t)/('2018'!Tau_j))),Resal+(Salim-Resal)*(1-EXP((Tnet-t)/(Tau_j))))*Salcycl</f>
        <v>8.2876298511301974E-2</v>
      </c>
      <c r="P271" s="171">
        <f>(INDEX(Models!$BJ271:$BT271,,T271)*(1-R271)+INDEX(Models!$BJ271:$BT271,,T271+1)*R271-ERP_i)*Q271*Ramure*Pc/MaxiM</f>
        <v>3.2350378616272939E-3</v>
      </c>
      <c r="Q271" s="307">
        <f t="shared" ref="Q271:Q334" si="102">IF(OR(t&lt;Ttai,Notai),Dd+PousD*Croivg,Dens+PousD*(Croivg-Croi_tai))</f>
        <v>1</v>
      </c>
      <c r="R271" s="179">
        <f t="shared" ref="R271:R334" si="103">(Hp_vg-S271)/(INDEX(Echel_vg,T271+1)-S271)</f>
        <v>0.58669880208711556</v>
      </c>
      <c r="S271" s="837">
        <f t="shared" ref="S271:S334" si="104">INDEX(Echel_vg,T271)</f>
        <v>-2</v>
      </c>
      <c r="T271" s="178">
        <f t="shared" ref="T271:T334" si="105">MIN(MATCH(Hp_vg,Echel_vg),10)</f>
        <v>4</v>
      </c>
      <c r="U271" s="253">
        <f t="shared" ref="U271:U334" si="106">IF(OR(t&lt;Ttai,Notai),Hdd+PousH*Croivg,Hdtf+PousH*(Croivg-Croi_tai))</f>
        <v>-1.4133011979128844</v>
      </c>
      <c r="V271" s="385">
        <f t="shared" ref="V271:V334" si="107">MaxiM*(1-Ppv)*(1-Pvg)*(1-Psa)</f>
        <v>42.913175914684103</v>
      </c>
      <c r="W271" s="58"/>
      <c r="X271" s="157">
        <f t="shared" ref="X271:X334" si="108">t</f>
        <v>43722</v>
      </c>
      <c r="Y271" s="387">
        <f t="shared" ref="Y271:Y334" si="109">Wh_pvt_s*(1-Ppv)</f>
        <v>37.926000000000002</v>
      </c>
      <c r="Z271" s="387">
        <f t="shared" ref="Z271:Z334" si="110">Wh_sa_s*(1-Psa_s)</f>
        <v>38.28870832741751</v>
      </c>
      <c r="AA271" s="388">
        <f t="shared" ref="AA271:AA334" si="111">Wh_hp*(1-Pvg_s*MEDIAN((-Sdif+Wh/Env_an)/Csdif,0,1))</f>
        <v>41.748684790575496</v>
      </c>
      <c r="AB271" s="199">
        <f t="shared" ref="AB271:AB334" si="112">t</f>
        <v>43722</v>
      </c>
      <c r="AC271" s="426">
        <f>IF(OR(t&lt;Tnet,NoTnet),'2018'!Resal_s+('2018'!Salim-'2018'!Resal_s)*(1-EXP(('2018'!Tnet_s-t)/'2018'!Tau_j)),Resal_s+(Salim-Resal_s)*(1-EXP((Tnet_s-t)/Tau_j)))*Salcycl</f>
        <v>8.2876298511301974E-2</v>
      </c>
      <c r="AD271" s="233">
        <f>(INDEX(Models!$BJ271:$BT271,,AH271)*(1-AF271)+INDEX(Models!$BJ271:$BT271,,AH271+1)*AF271-ERP_i)*AE271*Ramure*Pc/MaxiM</f>
        <v>3.2350378616272939E-3</v>
      </c>
      <c r="AE271" s="307">
        <f t="shared" ref="AE271:AE334" si="113">IF(OR(t&lt;Ttai,Notai),Dd_s+PousD*Croivg,Dens_s+PousD*(Croivg-Croi_tai))</f>
        <v>1</v>
      </c>
      <c r="AF271" s="179">
        <f t="shared" ref="AF271:AF334" si="114">(Hp_vg_s-AG271)/(INDEX(Echel_vg,AH271+1)-AG271)</f>
        <v>0.58669880208711556</v>
      </c>
      <c r="AG271" s="178">
        <f t="shared" ref="AG271:AG334" si="115">INDEX(Echel_vg,AH271)</f>
        <v>-2</v>
      </c>
      <c r="AH271" s="178">
        <f t="shared" ref="AH271:AH334" si="116">MIN(MATCH(Hp_vg_s,Echel_vg),10)</f>
        <v>4</v>
      </c>
      <c r="AI271" s="227">
        <f t="shared" ref="AI271:AI334" si="117">IF(OR(t&lt;Ttai,Notai),Hdd_s+PousH*Croivg,Hdtai_s+PousH*(Croivg-Croi_tai))</f>
        <v>-1.4133011979128844</v>
      </c>
      <c r="AJ271" s="267" t="b">
        <f t="shared" ref="AJ271:AJ334" si="118">t&lt;Tnet</f>
        <v>0</v>
      </c>
      <c r="AK271" s="267" t="b">
        <f t="shared" ref="AK271:AK334" si="119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0">A271+1</f>
        <v>43723</v>
      </c>
      <c r="B272" s="618">
        <v>37.787999999999997</v>
      </c>
      <c r="C272" s="392"/>
      <c r="D272" s="395">
        <f t="shared" si="99"/>
        <v>38.150276366070386</v>
      </c>
      <c r="E272" s="387">
        <f t="shared" si="97"/>
        <v>41.603633443583661</v>
      </c>
      <c r="F272" s="387">
        <f t="shared" si="100"/>
        <v>41.719428517765948</v>
      </c>
      <c r="G272" s="110">
        <f t="shared" si="98"/>
        <v>0.88822903695484423</v>
      </c>
      <c r="H272" s="414" t="b">
        <f>Wh_hp&gt;='2018'!Maxi_hp</f>
        <v>1</v>
      </c>
      <c r="I272" s="392">
        <f>IF(H272,Wh_hp,'2018'!Maxi_hp)</f>
        <v>41.719428517765948</v>
      </c>
      <c r="J272" s="85">
        <f>IF(H272,An,'2018'!An_max)</f>
        <v>2019</v>
      </c>
      <c r="K272" s="199">
        <f t="shared" si="101"/>
        <v>43723</v>
      </c>
      <c r="L272" s="147">
        <f>IF(t&lt;Tvie,1-EXP((T0-t)*PertePVj)+'2018'!Pspv,1-EXP((T0-t)*PertePVj)+Pspv)</f>
        <v>9.4960351687671807E-3</v>
      </c>
      <c r="M272" s="870"/>
      <c r="N272" s="870"/>
      <c r="O272" s="48">
        <f>IF(t&lt;Tnet,'2018'!Resal+('2018'!Salim-'2018'!Resal)*(1-EXP(('2018'!Tnet-t)/('2018'!Tau_j))),Resal+(Salim-Resal)*(1-EXP((Tnet-t)/(Tau_j))))*Salcycl</f>
        <v>8.3006141331289737E-2</v>
      </c>
      <c r="P272" s="171">
        <f>(INDEX(Models!$BJ272:$BT272,,T272)*(1-R272)+INDEX(Models!$BJ272:$BT272,,T272+1)*R272-ERP_i)*Q272*Ramure*Pc/MaxiM</f>
        <v>3.3003361510358185E-3</v>
      </c>
      <c r="Q272" s="307">
        <f t="shared" si="102"/>
        <v>1</v>
      </c>
      <c r="R272" s="179">
        <f t="shared" si="103"/>
        <v>0.58722488934097283</v>
      </c>
      <c r="S272" s="837">
        <f t="shared" si="104"/>
        <v>-2</v>
      </c>
      <c r="T272" s="178">
        <f t="shared" si="105"/>
        <v>4</v>
      </c>
      <c r="U272" s="253">
        <f t="shared" si="106"/>
        <v>-1.4127751106590272</v>
      </c>
      <c r="V272" s="385">
        <f t="shared" si="107"/>
        <v>42.520693722015338</v>
      </c>
      <c r="W272" s="58"/>
      <c r="X272" s="157">
        <f t="shared" si="108"/>
        <v>43723</v>
      </c>
      <c r="Y272" s="387">
        <f t="shared" si="109"/>
        <v>37.787999999999997</v>
      </c>
      <c r="Z272" s="387">
        <f t="shared" si="110"/>
        <v>38.150276366070386</v>
      </c>
      <c r="AA272" s="388">
        <f t="shared" si="111"/>
        <v>41.603633443583661</v>
      </c>
      <c r="AB272" s="199">
        <f t="shared" si="112"/>
        <v>43723</v>
      </c>
      <c r="AC272" s="426">
        <f>IF(OR(t&lt;Tnet,NoTnet),'2018'!Resal_s+('2018'!Salim-'2018'!Resal_s)*(1-EXP(('2018'!Tnet_s-t)/'2018'!Tau_j)),Resal_s+(Salim-Resal_s)*(1-EXP((Tnet_s-t)/Tau_j)))*Salcycl</f>
        <v>8.3006141331289737E-2</v>
      </c>
      <c r="AD272" s="233">
        <f>(INDEX(Models!$BJ272:$BT272,,AH272)*(1-AF272)+INDEX(Models!$BJ272:$BT272,,AH272+1)*AF272-ERP_i)*AE272*Ramure*Pc/MaxiM</f>
        <v>3.3003361510358185E-3</v>
      </c>
      <c r="AE272" s="307">
        <f t="shared" si="113"/>
        <v>1</v>
      </c>
      <c r="AF272" s="179">
        <f t="shared" si="114"/>
        <v>0.58722488934097283</v>
      </c>
      <c r="AG272" s="178">
        <f t="shared" si="115"/>
        <v>-2</v>
      </c>
      <c r="AH272" s="178">
        <f t="shared" si="116"/>
        <v>4</v>
      </c>
      <c r="AI272" s="227">
        <f t="shared" si="117"/>
        <v>-1.4127751106590272</v>
      </c>
      <c r="AJ272" s="267" t="b">
        <f t="shared" si="118"/>
        <v>0</v>
      </c>
      <c r="AK272" s="267" t="b">
        <f t="shared" si="119"/>
        <v>0</v>
      </c>
      <c r="AL272" s="267"/>
      <c r="AM272" s="267"/>
      <c r="AN272" s="75"/>
    </row>
    <row r="273" spans="1:40" s="6" customFormat="1" ht="11.25" x14ac:dyDescent="0.2">
      <c r="A273" s="56">
        <f t="shared" si="120"/>
        <v>43724</v>
      </c>
      <c r="B273" s="618">
        <v>37.408999999999999</v>
      </c>
      <c r="C273" s="392"/>
      <c r="D273" s="395">
        <f t="shared" si="99"/>
        <v>37.768521793564794</v>
      </c>
      <c r="E273" s="387">
        <f t="shared" si="97"/>
        <v>41.193082702439163</v>
      </c>
      <c r="F273" s="387">
        <f t="shared" si="100"/>
        <v>41.309842416196986</v>
      </c>
      <c r="G273" s="110">
        <f t="shared" si="98"/>
        <v>0.8875460572313516</v>
      </c>
      <c r="H273" s="414" t="b">
        <f>Wh_hp&gt;='2018'!Maxi_hp</f>
        <v>1</v>
      </c>
      <c r="I273" s="392">
        <f>IF(H273,Wh_hp,'2018'!Maxi_hp)</f>
        <v>41.309842416196986</v>
      </c>
      <c r="J273" s="85">
        <f>IF(H273,An,'2018'!An_max)</f>
        <v>2019</v>
      </c>
      <c r="K273" s="199">
        <f t="shared" si="101"/>
        <v>43724</v>
      </c>
      <c r="L273" s="147">
        <f>IF(t&lt;Tvie,1-EXP((T0-t)*PertePVj)+'2018'!Pspv,1-EXP((T0-t)*PertePVj)+Pspv)</f>
        <v>9.5190856430620308E-3</v>
      </c>
      <c r="M273" s="870"/>
      <c r="N273" s="870"/>
      <c r="O273" s="48">
        <f>IF(t&lt;Tnet,'2018'!Resal+('2018'!Salim-'2018'!Resal)*(1-EXP(('2018'!Tnet-t)/('2018'!Tau_j))),Resal+(Salim-Resal)*(1-EXP((Tnet-t)/(Tau_j))))*Salcycl</f>
        <v>8.3134368301879646E-2</v>
      </c>
      <c r="P273" s="171">
        <f>(INDEX(Models!$BJ273:$BT273,,T273)*(1-R273)+INDEX(Models!$BJ273:$BT273,,T273+1)*R273-ERP_i)*Q273*Ramure*Pc/MaxiM</f>
        <v>3.3646621336095341E-3</v>
      </c>
      <c r="Q273" s="307">
        <f t="shared" si="102"/>
        <v>1</v>
      </c>
      <c r="R273" s="179">
        <f t="shared" si="103"/>
        <v>0.58773055208162672</v>
      </c>
      <c r="S273" s="837">
        <f t="shared" si="104"/>
        <v>-2</v>
      </c>
      <c r="T273" s="178">
        <f t="shared" si="105"/>
        <v>4</v>
      </c>
      <c r="U273" s="253">
        <f t="shared" si="106"/>
        <v>-1.4122694479183733</v>
      </c>
      <c r="V273" s="385">
        <f t="shared" si="107"/>
        <v>42.126048787695154</v>
      </c>
      <c r="W273" s="58"/>
      <c r="X273" s="157">
        <f t="shared" si="108"/>
        <v>43724</v>
      </c>
      <c r="Y273" s="387">
        <f t="shared" si="109"/>
        <v>37.408999999999999</v>
      </c>
      <c r="Z273" s="387">
        <f t="shared" si="110"/>
        <v>37.768521793564794</v>
      </c>
      <c r="AA273" s="388">
        <f t="shared" si="111"/>
        <v>41.193082702439163</v>
      </c>
      <c r="AB273" s="199">
        <f t="shared" si="112"/>
        <v>43724</v>
      </c>
      <c r="AC273" s="426">
        <f>IF(OR(t&lt;Tnet,NoTnet),'2018'!Resal_s+('2018'!Salim-'2018'!Resal_s)*(1-EXP(('2018'!Tnet_s-t)/'2018'!Tau_j)),Resal_s+(Salim-Resal_s)*(1-EXP((Tnet_s-t)/Tau_j)))*Salcycl</f>
        <v>8.3134368301879646E-2</v>
      </c>
      <c r="AD273" s="233">
        <f>(INDEX(Models!$BJ273:$BT273,,AH273)*(1-AF273)+INDEX(Models!$BJ273:$BT273,,AH273+1)*AF273-ERP_i)*AE273*Ramure*Pc/MaxiM</f>
        <v>3.3646621336095341E-3</v>
      </c>
      <c r="AE273" s="307">
        <f t="shared" si="113"/>
        <v>1</v>
      </c>
      <c r="AF273" s="179">
        <f t="shared" si="114"/>
        <v>0.58773055208162672</v>
      </c>
      <c r="AG273" s="178">
        <f t="shared" si="115"/>
        <v>-2</v>
      </c>
      <c r="AH273" s="178">
        <f t="shared" si="116"/>
        <v>4</v>
      </c>
      <c r="AI273" s="227">
        <f t="shared" si="117"/>
        <v>-1.4122694479183733</v>
      </c>
      <c r="AJ273" s="267" t="b">
        <f t="shared" si="118"/>
        <v>0</v>
      </c>
      <c r="AK273" s="267" t="b">
        <f t="shared" si="119"/>
        <v>0</v>
      </c>
      <c r="AL273" s="267"/>
      <c r="AM273" s="267"/>
      <c r="AN273" s="75"/>
    </row>
    <row r="274" spans="1:40" s="6" customFormat="1" ht="11.25" customHeight="1" x14ac:dyDescent="0.2">
      <c r="A274" s="56">
        <f t="shared" si="120"/>
        <v>43725</v>
      </c>
      <c r="B274" s="618">
        <v>36.277000000000001</v>
      </c>
      <c r="C274" s="392"/>
      <c r="D274" s="395">
        <f t="shared" si="99"/>
        <v>36.62649498096291</v>
      </c>
      <c r="E274" s="387">
        <f t="shared" si="97"/>
        <v>39.953020293270747</v>
      </c>
      <c r="F274" s="387">
        <f t="shared" si="100"/>
        <v>40.064723286618566</v>
      </c>
      <c r="G274" s="110">
        <f t="shared" si="98"/>
        <v>0.86877386972048398</v>
      </c>
      <c r="H274" s="414" t="b">
        <f>Wh_hp&gt;='2018'!Maxi_hp</f>
        <v>1</v>
      </c>
      <c r="I274" s="392">
        <f>IF(H274,Wh_hp,'2018'!Maxi_hp)</f>
        <v>40.064723286618566</v>
      </c>
      <c r="J274" s="85">
        <f>IF(H274,An,'2018'!An_max)</f>
        <v>2019</v>
      </c>
      <c r="K274" s="199">
        <f t="shared" si="101"/>
        <v>43725</v>
      </c>
      <c r="L274" s="147">
        <f>IF(t&lt;Tvie,1-EXP((T0-t)*PertePVj)+'2018'!Pspv,1-EXP((T0-t)*PertePVj)+Pspv)</f>
        <v>9.5421355809385267E-3</v>
      </c>
      <c r="M274" s="870"/>
      <c r="N274" s="870"/>
      <c r="O274" s="48">
        <f>IF(t&lt;Tnet,'2018'!Resal+('2018'!Salim-'2018'!Resal)*(1-EXP(('2018'!Tnet-t)/('2018'!Tau_j))),Resal+(Salim-Resal)*(1-EXP((Tnet-t)/(Tau_j))))*Salcycl</f>
        <v>8.3260922150311625E-2</v>
      </c>
      <c r="P274" s="171">
        <f>(INDEX(Models!$BJ274:$BT274,,T274)*(1-R274)+INDEX(Models!$BJ274:$BT274,,T274+1)*R274-ERP_i)*Q274*Ramure*Pc/MaxiM</f>
        <v>3.4279567555040064E-3</v>
      </c>
      <c r="Q274" s="307">
        <f t="shared" si="102"/>
        <v>1</v>
      </c>
      <c r="R274" s="179">
        <f t="shared" si="103"/>
        <v>0.58821655444476439</v>
      </c>
      <c r="S274" s="837">
        <f t="shared" si="104"/>
        <v>-2</v>
      </c>
      <c r="T274" s="178">
        <f t="shared" si="105"/>
        <v>4</v>
      </c>
      <c r="U274" s="253">
        <f t="shared" si="106"/>
        <v>-1.4117834455552356</v>
      </c>
      <c r="V274" s="385">
        <f t="shared" si="107"/>
        <v>41.729756102447077</v>
      </c>
      <c r="W274" s="58"/>
      <c r="X274" s="157">
        <f t="shared" si="108"/>
        <v>43725</v>
      </c>
      <c r="Y274" s="387">
        <f t="shared" si="109"/>
        <v>36.277000000000001</v>
      </c>
      <c r="Z274" s="387">
        <f t="shared" si="110"/>
        <v>36.62649498096291</v>
      </c>
      <c r="AA274" s="388">
        <f t="shared" si="111"/>
        <v>39.953020293270747</v>
      </c>
      <c r="AB274" s="199">
        <f t="shared" si="112"/>
        <v>43725</v>
      </c>
      <c r="AC274" s="426">
        <f>IF(OR(t&lt;Tnet,NoTnet),'2018'!Resal_s+('2018'!Salim-'2018'!Resal_s)*(1-EXP(('2018'!Tnet_s-t)/'2018'!Tau_j)),Resal_s+(Salim-Resal_s)*(1-EXP((Tnet_s-t)/Tau_j)))*Salcycl</f>
        <v>8.3260922150311625E-2</v>
      </c>
      <c r="AD274" s="233">
        <f>(INDEX(Models!$BJ274:$BT274,,AH274)*(1-AF274)+INDEX(Models!$BJ274:$BT274,,AH274+1)*AF274-ERP_i)*AE274*Ramure*Pc/MaxiM</f>
        <v>3.4279567555040064E-3</v>
      </c>
      <c r="AE274" s="307">
        <f t="shared" si="113"/>
        <v>1</v>
      </c>
      <c r="AF274" s="179">
        <f t="shared" si="114"/>
        <v>0.58821655444476439</v>
      </c>
      <c r="AG274" s="178">
        <f t="shared" si="115"/>
        <v>-2</v>
      </c>
      <c r="AH274" s="178">
        <f t="shared" si="116"/>
        <v>4</v>
      </c>
      <c r="AI274" s="227">
        <f t="shared" si="117"/>
        <v>-1.4117834455552356</v>
      </c>
      <c r="AJ274" s="267" t="b">
        <f t="shared" si="118"/>
        <v>0</v>
      </c>
      <c r="AK274" s="267" t="b">
        <f t="shared" si="119"/>
        <v>0</v>
      </c>
      <c r="AL274" s="267"/>
      <c r="AM274" s="267"/>
      <c r="AN274" s="75"/>
    </row>
    <row r="275" spans="1:40" s="6" customFormat="1" ht="11.25" x14ac:dyDescent="0.2">
      <c r="A275" s="56">
        <f t="shared" si="120"/>
        <v>43726</v>
      </c>
      <c r="B275" s="618">
        <v>25.167999999999999</v>
      </c>
      <c r="C275" s="392"/>
      <c r="D275" s="395">
        <f t="shared" si="99"/>
        <v>25.411061503884035</v>
      </c>
      <c r="E275" s="387">
        <f t="shared" si="97"/>
        <v>27.722743063639793</v>
      </c>
      <c r="F275" s="387">
        <f t="shared" si="100"/>
        <v>27.765518863201862</v>
      </c>
      <c r="G275" s="110">
        <f t="shared" si="98"/>
        <v>0.60777718046960794</v>
      </c>
      <c r="H275" s="414" t="b">
        <f>Wh_hp&gt;='2018'!Maxi_hp</f>
        <v>1</v>
      </c>
      <c r="I275" s="392">
        <f>IF(H275,Wh_hp,'2018'!Maxi_hp)</f>
        <v>27.765518863201862</v>
      </c>
      <c r="J275" s="85">
        <f>IF(H275,An,'2018'!An_max)</f>
        <v>2019</v>
      </c>
      <c r="K275" s="199">
        <f t="shared" si="101"/>
        <v>43726</v>
      </c>
      <c r="L275" s="147">
        <f>IF(t&lt;Tvie,1-EXP((T0-t)*PertePVj)+'2018'!Pspv,1-EXP((T0-t)*PertePVj)+Pspv)</f>
        <v>9.5651849824094359E-3</v>
      </c>
      <c r="M275" s="870"/>
      <c r="N275" s="870"/>
      <c r="O275" s="48">
        <f>IF(t&lt;Tnet,'2018'!Resal+('2018'!Salim-'2018'!Resal)*(1-EXP(('2018'!Tnet-t)/('2018'!Tau_j))),Resal+(Salim-Resal)*(1-EXP((Tnet-t)/(Tau_j))))*Salcycl</f>
        <v>8.3385744132501896E-2</v>
      </c>
      <c r="P275" s="171">
        <f>(INDEX(Models!$BJ275:$BT275,,T275)*(1-R275)+INDEX(Models!$BJ275:$BT275,,T275+1)*R275-ERP_i)*Q275*Ramure*Pc/MaxiM</f>
        <v>3.4904317053673617E-3</v>
      </c>
      <c r="Q275" s="307">
        <f t="shared" si="102"/>
        <v>1</v>
      </c>
      <c r="R275" s="179">
        <f t="shared" si="103"/>
        <v>0.58868363421856529</v>
      </c>
      <c r="S275" s="837">
        <f t="shared" si="104"/>
        <v>-2</v>
      </c>
      <c r="T275" s="178">
        <f t="shared" si="105"/>
        <v>4</v>
      </c>
      <c r="U275" s="253">
        <f t="shared" si="106"/>
        <v>-1.4113163657814347</v>
      </c>
      <c r="V275" s="385">
        <f t="shared" si="107"/>
        <v>41.329046141053226</v>
      </c>
      <c r="W275" s="58"/>
      <c r="X275" s="157">
        <f t="shared" si="108"/>
        <v>43726</v>
      </c>
      <c r="Y275" s="387">
        <f t="shared" si="109"/>
        <v>25.167999999999999</v>
      </c>
      <c r="Z275" s="387">
        <f t="shared" si="110"/>
        <v>25.411061503884035</v>
      </c>
      <c r="AA275" s="388">
        <f t="shared" si="111"/>
        <v>27.722743063639793</v>
      </c>
      <c r="AB275" s="199">
        <f t="shared" si="112"/>
        <v>43726</v>
      </c>
      <c r="AC275" s="426">
        <f>IF(OR(t&lt;Tnet,NoTnet),'2018'!Resal_s+('2018'!Salim-'2018'!Resal_s)*(1-EXP(('2018'!Tnet_s-t)/'2018'!Tau_j)),Resal_s+(Salim-Resal_s)*(1-EXP((Tnet_s-t)/Tau_j)))*Salcycl</f>
        <v>8.3385744132501896E-2</v>
      </c>
      <c r="AD275" s="233">
        <f>(INDEX(Models!$BJ275:$BT275,,AH275)*(1-AF275)+INDEX(Models!$BJ275:$BT275,,AH275+1)*AF275-ERP_i)*AE275*Ramure*Pc/MaxiM</f>
        <v>3.4904317053673617E-3</v>
      </c>
      <c r="AE275" s="307">
        <f t="shared" si="113"/>
        <v>1</v>
      </c>
      <c r="AF275" s="179">
        <f t="shared" si="114"/>
        <v>0.58868363421856529</v>
      </c>
      <c r="AG275" s="178">
        <f t="shared" si="115"/>
        <v>-2</v>
      </c>
      <c r="AH275" s="178">
        <f t="shared" si="116"/>
        <v>4</v>
      </c>
      <c r="AI275" s="227">
        <f t="shared" si="117"/>
        <v>-1.4113163657814347</v>
      </c>
      <c r="AJ275" s="267" t="b">
        <f t="shared" si="118"/>
        <v>0</v>
      </c>
      <c r="AK275" s="267" t="b">
        <f t="shared" si="119"/>
        <v>0</v>
      </c>
      <c r="AL275" s="267"/>
      <c r="AM275" s="267"/>
      <c r="AN275" s="75"/>
    </row>
    <row r="276" spans="1:40" s="6" customFormat="1" ht="11.25" x14ac:dyDescent="0.2">
      <c r="A276" s="56">
        <f t="shared" si="120"/>
        <v>43727</v>
      </c>
      <c r="B276" s="618">
        <v>36.893000000000001</v>
      </c>
      <c r="C276" s="392"/>
      <c r="D276" s="395">
        <f t="shared" si="99"/>
        <v>37.250163276350726</v>
      </c>
      <c r="E276" s="387">
        <f t="shared" si="97"/>
        <v>40.644320673768618</v>
      </c>
      <c r="F276" s="387">
        <f t="shared" si="100"/>
        <v>40.768684466734584</v>
      </c>
      <c r="G276" s="110">
        <f t="shared" si="98"/>
        <v>0.90110326702475041</v>
      </c>
      <c r="H276" s="414" t="b">
        <f>Wh_hp&gt;='2018'!Maxi_hp</f>
        <v>1</v>
      </c>
      <c r="I276" s="392">
        <f>IF(H276,Wh_hp,'2018'!Maxi_hp)</f>
        <v>40.768684466734584</v>
      </c>
      <c r="J276" s="85">
        <f>IF(H276,An,'2018'!An_max)</f>
        <v>2019</v>
      </c>
      <c r="K276" s="199">
        <f t="shared" si="101"/>
        <v>43727</v>
      </c>
      <c r="L276" s="147">
        <f>IF(t&lt;Tvie,1-EXP((T0-t)*PertePVj)+'2018'!Pspv,1-EXP((T0-t)*PertePVj)+Pspv)</f>
        <v>9.5882338474869711E-3</v>
      </c>
      <c r="M276" s="870"/>
      <c r="N276" s="870"/>
      <c r="O276" s="48">
        <f>IF(t&lt;Tnet,'2018'!Resal+('2018'!Salim-'2018'!Resal)*(1-EXP(('2018'!Tnet-t)/('2018'!Tau_j))),Resal+(Salim-Resal)*(1-EXP((Tnet-t)/(Tau_j))))*Salcycl</f>
        <v>8.3508774194089141E-2</v>
      </c>
      <c r="P276" s="171">
        <f>(INDEX(Models!$BJ276:$BT276,,T276)*(1-R276)+INDEX(Models!$BJ276:$BT276,,T276+1)*R276-ERP_i)*Q276*Ramure*Pc/MaxiM</f>
        <v>3.5496878782457892E-3</v>
      </c>
      <c r="Q276" s="307">
        <f t="shared" si="102"/>
        <v>1</v>
      </c>
      <c r="R276" s="179">
        <f t="shared" si="103"/>
        <v>0.58913250357553149</v>
      </c>
      <c r="S276" s="837">
        <f t="shared" si="104"/>
        <v>-2</v>
      </c>
      <c r="T276" s="178">
        <f t="shared" si="105"/>
        <v>4</v>
      </c>
      <c r="U276" s="253">
        <f t="shared" si="106"/>
        <v>-1.4108674964244685</v>
      </c>
      <c r="V276" s="385">
        <f t="shared" si="107"/>
        <v>40.921531949259453</v>
      </c>
      <c r="W276" s="58"/>
      <c r="X276" s="157">
        <f t="shared" si="108"/>
        <v>43727</v>
      </c>
      <c r="Y276" s="387">
        <f t="shared" si="109"/>
        <v>36.893000000000001</v>
      </c>
      <c r="Z276" s="387">
        <f t="shared" si="110"/>
        <v>37.250163276350726</v>
      </c>
      <c r="AA276" s="388">
        <f t="shared" si="111"/>
        <v>40.644320673768618</v>
      </c>
      <c r="AB276" s="199">
        <f t="shared" si="112"/>
        <v>43727</v>
      </c>
      <c r="AC276" s="426">
        <f>IF(OR(t&lt;Tnet,NoTnet),'2018'!Resal_s+('2018'!Salim-'2018'!Resal_s)*(1-EXP(('2018'!Tnet_s-t)/'2018'!Tau_j)),Resal_s+(Salim-Resal_s)*(1-EXP((Tnet_s-t)/Tau_j)))*Salcycl</f>
        <v>8.3508774194089141E-2</v>
      </c>
      <c r="AD276" s="233">
        <f>(INDEX(Models!$BJ276:$BT276,,AH276)*(1-AF276)+INDEX(Models!$BJ276:$BT276,,AH276+1)*AF276-ERP_i)*AE276*Ramure*Pc/MaxiM</f>
        <v>3.5496878782457892E-3</v>
      </c>
      <c r="AE276" s="307">
        <f t="shared" si="113"/>
        <v>1</v>
      </c>
      <c r="AF276" s="179">
        <f t="shared" si="114"/>
        <v>0.58913250357553149</v>
      </c>
      <c r="AG276" s="178">
        <f t="shared" si="115"/>
        <v>-2</v>
      </c>
      <c r="AH276" s="178">
        <f t="shared" si="116"/>
        <v>4</v>
      </c>
      <c r="AI276" s="227">
        <f t="shared" si="117"/>
        <v>-1.4108674964244685</v>
      </c>
      <c r="AJ276" s="267" t="b">
        <f t="shared" si="118"/>
        <v>0</v>
      </c>
      <c r="AK276" s="267" t="b">
        <f t="shared" si="119"/>
        <v>0</v>
      </c>
      <c r="AL276" s="267"/>
      <c r="AM276" s="267"/>
      <c r="AN276" s="75"/>
    </row>
    <row r="277" spans="1:40" s="6" customFormat="1" ht="11.25" customHeight="1" x14ac:dyDescent="0.2">
      <c r="A277" s="56">
        <f t="shared" si="120"/>
        <v>43728</v>
      </c>
      <c r="B277" s="618">
        <v>37.710999999999999</v>
      </c>
      <c r="C277" s="392"/>
      <c r="D277" s="395">
        <f t="shared" si="99"/>
        <v>38.076968488557178</v>
      </c>
      <c r="E277" s="387">
        <f t="shared" si="97"/>
        <v>41.551956588736843</v>
      </c>
      <c r="F277" s="387">
        <f t="shared" si="100"/>
        <v>41.687468761411431</v>
      </c>
      <c r="G277" s="110">
        <f t="shared" si="98"/>
        <v>0.93061719946438837</v>
      </c>
      <c r="H277" s="414" t="b">
        <f>Wh_hp&gt;='2018'!Maxi_hp</f>
        <v>1</v>
      </c>
      <c r="I277" s="392">
        <f>IF(H277,Wh_hp,'2018'!Maxi_hp)</f>
        <v>41.687468761411431</v>
      </c>
      <c r="J277" s="85">
        <f>IF(H277,An,'2018'!An_max)</f>
        <v>2019</v>
      </c>
      <c r="K277" s="199">
        <f t="shared" si="101"/>
        <v>43728</v>
      </c>
      <c r="L277" s="147">
        <f>IF(t&lt;Tvie,1-EXP((T0-t)*PertePVj)+'2018'!Pspv,1-EXP((T0-t)*PertePVj)+Pspv)</f>
        <v>9.6112821761837886E-3</v>
      </c>
      <c r="M277" s="870"/>
      <c r="N277" s="870"/>
      <c r="O277" s="48">
        <f>IF(t&lt;Tnet,'2018'!Resal+('2018'!Salim-'2018'!Resal)*(1-EXP(('2018'!Tnet-t)/('2018'!Tau_j))),Resal+(Salim-Resal)*(1-EXP((Tnet-t)/(Tau_j))))*Salcycl</f>
        <v>8.3629951161471955E-2</v>
      </c>
      <c r="P277" s="171">
        <f>(INDEX(Models!$BJ277:$BT277,,T277)*(1-R277)+INDEX(Models!$BJ277:$BT277,,T277+1)*R277-ERP_i)*Q277*Ramure*Pc/MaxiM</f>
        <v>3.6064195289686111E-3</v>
      </c>
      <c r="Q277" s="307">
        <f t="shared" si="102"/>
        <v>1</v>
      </c>
      <c r="R277" s="179">
        <f t="shared" si="103"/>
        <v>0.58956384979861376</v>
      </c>
      <c r="S277" s="837">
        <f t="shared" si="104"/>
        <v>-2</v>
      </c>
      <c r="T277" s="178">
        <f t="shared" si="105"/>
        <v>4</v>
      </c>
      <c r="U277" s="253">
        <f t="shared" si="106"/>
        <v>-1.4104361502013862</v>
      </c>
      <c r="V277" s="385">
        <f t="shared" si="107"/>
        <v>40.508106416448499</v>
      </c>
      <c r="W277" s="58"/>
      <c r="X277" s="157">
        <f t="shared" si="108"/>
        <v>43728</v>
      </c>
      <c r="Y277" s="387">
        <f t="shared" si="109"/>
        <v>37.710999999999999</v>
      </c>
      <c r="Z277" s="387">
        <f t="shared" si="110"/>
        <v>38.076968488557178</v>
      </c>
      <c r="AA277" s="388">
        <f t="shared" si="111"/>
        <v>41.551956588736843</v>
      </c>
      <c r="AB277" s="199">
        <f t="shared" si="112"/>
        <v>43728</v>
      </c>
      <c r="AC277" s="426">
        <f>IF(OR(t&lt;Tnet,NoTnet),'2018'!Resal_s+('2018'!Salim-'2018'!Resal_s)*(1-EXP(('2018'!Tnet_s-t)/'2018'!Tau_j)),Resal_s+(Salim-Resal_s)*(1-EXP((Tnet_s-t)/Tau_j)))*Salcycl</f>
        <v>8.3629951161471955E-2</v>
      </c>
      <c r="AD277" s="233">
        <f>(INDEX(Models!$BJ277:$BT277,,AH277)*(1-AF277)+INDEX(Models!$BJ277:$BT277,,AH277+1)*AF277-ERP_i)*AE277*Ramure*Pc/MaxiM</f>
        <v>3.6064195289686111E-3</v>
      </c>
      <c r="AE277" s="307">
        <f t="shared" si="113"/>
        <v>1</v>
      </c>
      <c r="AF277" s="179">
        <f t="shared" si="114"/>
        <v>0.58956384979861376</v>
      </c>
      <c r="AG277" s="178">
        <f t="shared" si="115"/>
        <v>-2</v>
      </c>
      <c r="AH277" s="178">
        <f t="shared" si="116"/>
        <v>4</v>
      </c>
      <c r="AI277" s="227">
        <f t="shared" si="117"/>
        <v>-1.4104361502013862</v>
      </c>
      <c r="AJ277" s="267" t="b">
        <f t="shared" si="118"/>
        <v>0</v>
      </c>
      <c r="AK277" s="267" t="b">
        <f t="shared" si="119"/>
        <v>0</v>
      </c>
      <c r="AL277" s="267"/>
      <c r="AM277" s="267"/>
      <c r="AN277" s="75"/>
    </row>
    <row r="278" spans="1:40" s="6" customFormat="1" ht="11.25" x14ac:dyDescent="0.2">
      <c r="A278" s="56">
        <f t="shared" si="120"/>
        <v>43729</v>
      </c>
      <c r="B278" s="618">
        <v>30.489000000000001</v>
      </c>
      <c r="C278" s="392"/>
      <c r="D278" s="395">
        <f t="shared" si="99"/>
        <v>30.785598615338351</v>
      </c>
      <c r="E278" s="387">
        <f t="shared" si="97"/>
        <v>33.599533065503472</v>
      </c>
      <c r="F278" s="387">
        <f t="shared" si="100"/>
        <v>33.680642124800514</v>
      </c>
      <c r="G278" s="110">
        <f t="shared" si="98"/>
        <v>0.75956490608806582</v>
      </c>
      <c r="H278" s="414" t="b">
        <f>Wh_hp&gt;='2018'!Maxi_hp</f>
        <v>1</v>
      </c>
      <c r="I278" s="392">
        <f>IF(H278,Wh_hp,'2018'!Maxi_hp)</f>
        <v>33.680642124800514</v>
      </c>
      <c r="J278" s="85">
        <f>IF(H278,An,'2018'!An_max)</f>
        <v>2019</v>
      </c>
      <c r="K278" s="199">
        <f t="shared" si="101"/>
        <v>43729</v>
      </c>
      <c r="L278" s="147">
        <f>IF(t&lt;Tvie,1-EXP((T0-t)*PertePVj)+'2018'!Pspv,1-EXP((T0-t)*PertePVj)+Pspv)</f>
        <v>9.634329968512434E-3</v>
      </c>
      <c r="M278" s="870"/>
      <c r="N278" s="870"/>
      <c r="O278" s="48">
        <f>IF(t&lt;Tnet,'2018'!Resal+('2018'!Salim-'2018'!Resal)*(1-EXP(('2018'!Tnet-t)/('2018'!Tau_j))),Resal+(Salim-Resal)*(1-EXP((Tnet-t)/(Tau_j))))*Salcycl</f>
        <v>8.3749212963146052E-2</v>
      </c>
      <c r="P278" s="171">
        <f>(INDEX(Models!$BJ278:$BT278,,T278)*(1-R278)+INDEX(Models!$BJ278:$BT278,,T278+1)*R278-ERP_i)*Q278*Ramure*Pc/MaxiM</f>
        <v>3.6604873825835348E-3</v>
      </c>
      <c r="Q278" s="307">
        <f t="shared" si="102"/>
        <v>1</v>
      </c>
      <c r="R278" s="179">
        <f t="shared" si="103"/>
        <v>0.58997833600023641</v>
      </c>
      <c r="S278" s="837">
        <f t="shared" si="104"/>
        <v>-2</v>
      </c>
      <c r="T278" s="178">
        <f t="shared" si="105"/>
        <v>4</v>
      </c>
      <c r="U278" s="253">
        <f t="shared" si="106"/>
        <v>-1.4100216639997636</v>
      </c>
      <c r="V278" s="385">
        <f t="shared" si="107"/>
        <v>40.089696082024311</v>
      </c>
      <c r="W278" s="58"/>
      <c r="X278" s="157">
        <f t="shared" si="108"/>
        <v>43729</v>
      </c>
      <c r="Y278" s="387">
        <f t="shared" si="109"/>
        <v>30.489000000000004</v>
      </c>
      <c r="Z278" s="387">
        <f t="shared" si="110"/>
        <v>30.785598615338355</v>
      </c>
      <c r="AA278" s="388">
        <f t="shared" si="111"/>
        <v>33.599533065503472</v>
      </c>
      <c r="AB278" s="199">
        <f t="shared" si="112"/>
        <v>43729</v>
      </c>
      <c r="AC278" s="426">
        <f>IF(OR(t&lt;Tnet,NoTnet),'2018'!Resal_s+('2018'!Salim-'2018'!Resal_s)*(1-EXP(('2018'!Tnet_s-t)/'2018'!Tau_j)),Resal_s+(Salim-Resal_s)*(1-EXP((Tnet_s-t)/Tau_j)))*Salcycl</f>
        <v>8.3749212963146052E-2</v>
      </c>
      <c r="AD278" s="233">
        <f>(INDEX(Models!$BJ278:$BT278,,AH278)*(1-AF278)+INDEX(Models!$BJ278:$BT278,,AH278+1)*AF278-ERP_i)*AE278*Ramure*Pc/MaxiM</f>
        <v>3.6604873825835348E-3</v>
      </c>
      <c r="AE278" s="307">
        <f t="shared" si="113"/>
        <v>1</v>
      </c>
      <c r="AF278" s="179">
        <f t="shared" si="114"/>
        <v>0.58997833600023641</v>
      </c>
      <c r="AG278" s="178">
        <f t="shared" si="115"/>
        <v>-2</v>
      </c>
      <c r="AH278" s="178">
        <f t="shared" si="116"/>
        <v>4</v>
      </c>
      <c r="AI278" s="227">
        <f t="shared" si="117"/>
        <v>-1.4100216639997636</v>
      </c>
      <c r="AJ278" s="267" t="b">
        <f t="shared" si="118"/>
        <v>0</v>
      </c>
      <c r="AK278" s="267" t="b">
        <f t="shared" si="119"/>
        <v>0</v>
      </c>
      <c r="AL278" s="267"/>
      <c r="AM278" s="267"/>
      <c r="AN278" s="75"/>
    </row>
    <row r="279" spans="1:40" s="6" customFormat="1" ht="11.25" x14ac:dyDescent="0.2">
      <c r="A279" s="56">
        <f t="shared" si="120"/>
        <v>43730</v>
      </c>
      <c r="B279" s="618">
        <v>11.411</v>
      </c>
      <c r="C279" s="392"/>
      <c r="D279" s="395">
        <f t="shared" si="99"/>
        <v>11.522274955731739</v>
      </c>
      <c r="E279" s="387">
        <f t="shared" si="97"/>
        <v>12.577069735478238</v>
      </c>
      <c r="F279" s="387">
        <f t="shared" si="100"/>
        <v>12.577069735478238</v>
      </c>
      <c r="G279" s="110">
        <f t="shared" si="98"/>
        <v>0.28660045766808195</v>
      </c>
      <c r="H279" s="414" t="b">
        <f>Wh_hp&gt;='2018'!Maxi_hp</f>
        <v>1</v>
      </c>
      <c r="I279" s="392">
        <f>IF(H279,Wh_hp,'2018'!Maxi_hp)</f>
        <v>12.577069735478238</v>
      </c>
      <c r="J279" s="85">
        <f>IF(H279,An,'2018'!An_max)</f>
        <v>2019</v>
      </c>
      <c r="K279" s="199">
        <f t="shared" si="101"/>
        <v>43730</v>
      </c>
      <c r="L279" s="147">
        <f>IF(t&lt;Tvie,1-EXP((T0-t)*PertePVj)+'2018'!Pspv,1-EXP((T0-t)*PertePVj)+Pspv)</f>
        <v>9.6573772244851197E-3</v>
      </c>
      <c r="M279" s="870"/>
      <c r="N279" s="870"/>
      <c r="O279" s="48">
        <f>IF(t&lt;Tnet,'2018'!Resal+('2018'!Salim-'2018'!Resal)*(1-EXP(('2018'!Tnet-t)/('2018'!Tau_j))),Resal+(Salim-Resal)*(1-EXP((Tnet-t)/(Tau_j))))*Salcycl</f>
        <v>8.3866496881309635E-2</v>
      </c>
      <c r="P279" s="171">
        <f>(INDEX(Models!$BJ279:$BT279,,T279)*(1-R279)+INDEX(Models!$BJ279:$BT279,,T279+1)*R279-ERP_i)*Q279*Ramure*Pc/MaxiM</f>
        <v>3.7117393442007646E-3</v>
      </c>
      <c r="Q279" s="307">
        <f t="shared" si="102"/>
        <v>1</v>
      </c>
      <c r="R279" s="179">
        <f t="shared" si="103"/>
        <v>0.59037660183297058</v>
      </c>
      <c r="S279" s="837">
        <f t="shared" si="104"/>
        <v>-2</v>
      </c>
      <c r="T279" s="178">
        <f t="shared" si="105"/>
        <v>4</v>
      </c>
      <c r="U279" s="253">
        <f t="shared" si="106"/>
        <v>-1.4096233981670294</v>
      </c>
      <c r="V279" s="385">
        <f t="shared" si="107"/>
        <v>39.667226754779271</v>
      </c>
      <c r="W279" s="58"/>
      <c r="X279" s="157">
        <f t="shared" si="108"/>
        <v>43730</v>
      </c>
      <c r="Y279" s="387">
        <f t="shared" si="109"/>
        <v>11.411</v>
      </c>
      <c r="Z279" s="387">
        <f t="shared" si="110"/>
        <v>11.522274955731739</v>
      </c>
      <c r="AA279" s="388">
        <f t="shared" si="111"/>
        <v>12.577069735478238</v>
      </c>
      <c r="AB279" s="199">
        <f t="shared" si="112"/>
        <v>43730</v>
      </c>
      <c r="AC279" s="426">
        <f>IF(OR(t&lt;Tnet,NoTnet),'2018'!Resal_s+('2018'!Salim-'2018'!Resal_s)*(1-EXP(('2018'!Tnet_s-t)/'2018'!Tau_j)),Resal_s+(Salim-Resal_s)*(1-EXP((Tnet_s-t)/Tau_j)))*Salcycl</f>
        <v>8.3866496881309635E-2</v>
      </c>
      <c r="AD279" s="233">
        <f>(INDEX(Models!$BJ279:$BT279,,AH279)*(1-AF279)+INDEX(Models!$BJ279:$BT279,,AH279+1)*AF279-ERP_i)*AE279*Ramure*Pc/MaxiM</f>
        <v>3.7117393442007646E-3</v>
      </c>
      <c r="AE279" s="307">
        <f t="shared" si="113"/>
        <v>1</v>
      </c>
      <c r="AF279" s="179">
        <f t="shared" si="114"/>
        <v>0.59037660183297058</v>
      </c>
      <c r="AG279" s="178">
        <f t="shared" si="115"/>
        <v>-2</v>
      </c>
      <c r="AH279" s="178">
        <f t="shared" si="116"/>
        <v>4</v>
      </c>
      <c r="AI279" s="227">
        <f t="shared" si="117"/>
        <v>-1.4096233981670294</v>
      </c>
      <c r="AJ279" s="267" t="b">
        <f t="shared" si="118"/>
        <v>0</v>
      </c>
      <c r="AK279" s="267" t="b">
        <f t="shared" si="119"/>
        <v>0</v>
      </c>
      <c r="AL279" s="267"/>
      <c r="AM279" s="267"/>
      <c r="AN279" s="75"/>
    </row>
    <row r="280" spans="1:40" s="6" customFormat="1" ht="11.25" x14ac:dyDescent="0.2">
      <c r="A280" s="56">
        <f t="shared" si="120"/>
        <v>43731</v>
      </c>
      <c r="B280" s="618">
        <v>35.387999999999998</v>
      </c>
      <c r="C280" s="392"/>
      <c r="D280" s="395">
        <f t="shared" si="99"/>
        <v>35.733919489846571</v>
      </c>
      <c r="E280" s="387">
        <f t="shared" si="97"/>
        <v>39.010051484503897</v>
      </c>
      <c r="F280" s="387">
        <f t="shared" si="100"/>
        <v>39.136561933282216</v>
      </c>
      <c r="G280" s="110">
        <f t="shared" si="98"/>
        <v>0.90132033601785166</v>
      </c>
      <c r="H280" s="414" t="b">
        <f>Wh_hp&gt;='2018'!Maxi_hp</f>
        <v>1</v>
      </c>
      <c r="I280" s="392">
        <f>IF(H280,Wh_hp,'2018'!Maxi_hp)</f>
        <v>39.136561933282216</v>
      </c>
      <c r="J280" s="85">
        <f>IF(H280,An,'2018'!An_max)</f>
        <v>2019</v>
      </c>
      <c r="K280" s="199">
        <f t="shared" si="101"/>
        <v>43731</v>
      </c>
      <c r="L280" s="147">
        <f>IF(t&lt;Tvie,1-EXP((T0-t)*PertePVj)+'2018'!Pspv,1-EXP((T0-t)*PertePVj)+Pspv)</f>
        <v>9.6804239441146134E-3</v>
      </c>
      <c r="M280" s="870"/>
      <c r="N280" s="870"/>
      <c r="O280" s="48">
        <f>IF(t&lt;Tnet,'2018'!Resal+('2018'!Salim-'2018'!Resal)*(1-EXP(('2018'!Tnet-t)/('2018'!Tau_j))),Resal+(Salim-Resal)*(1-EXP((Tnet-t)/(Tau_j))))*Salcycl</f>
        <v>8.398173983335333E-2</v>
      </c>
      <c r="P280" s="171">
        <f>(INDEX(Models!$BJ280:$BT280,,T280)*(1-R280)+INDEX(Models!$BJ280:$BT280,,T280+1)*R280-ERP_i)*Q280*Ramure*Pc/MaxiM</f>
        <v>3.7600302244628326E-3</v>
      </c>
      <c r="Q280" s="307">
        <f t="shared" si="102"/>
        <v>1</v>
      </c>
      <c r="R280" s="179">
        <f t="shared" si="103"/>
        <v>0.59075926419076197</v>
      </c>
      <c r="S280" s="837">
        <f t="shared" si="104"/>
        <v>-2</v>
      </c>
      <c r="T280" s="178">
        <f t="shared" si="105"/>
        <v>4</v>
      </c>
      <c r="U280" s="253">
        <f t="shared" si="106"/>
        <v>-1.409240735809238</v>
      </c>
      <c r="V280" s="385">
        <f t="shared" si="107"/>
        <v>39.241622736578357</v>
      </c>
      <c r="W280" s="58"/>
      <c r="X280" s="157">
        <f t="shared" si="108"/>
        <v>43731</v>
      </c>
      <c r="Y280" s="387">
        <f t="shared" si="109"/>
        <v>35.387999999999998</v>
      </c>
      <c r="Z280" s="387">
        <f t="shared" si="110"/>
        <v>35.733919489846571</v>
      </c>
      <c r="AA280" s="388">
        <f t="shared" si="111"/>
        <v>39.010051484503897</v>
      </c>
      <c r="AB280" s="199">
        <f t="shared" si="112"/>
        <v>43731</v>
      </c>
      <c r="AC280" s="426">
        <f>IF(OR(t&lt;Tnet,NoTnet),'2018'!Resal_s+('2018'!Salim-'2018'!Resal_s)*(1-EXP(('2018'!Tnet_s-t)/'2018'!Tau_j)),Resal_s+(Salim-Resal_s)*(1-EXP((Tnet_s-t)/Tau_j)))*Salcycl</f>
        <v>8.398173983335333E-2</v>
      </c>
      <c r="AD280" s="233">
        <f>(INDEX(Models!$BJ280:$BT280,,AH280)*(1-AF280)+INDEX(Models!$BJ280:$BT280,,AH280+1)*AF280-ERP_i)*AE280*Ramure*Pc/MaxiM</f>
        <v>3.7600302244628326E-3</v>
      </c>
      <c r="AE280" s="307">
        <f t="shared" si="113"/>
        <v>1</v>
      </c>
      <c r="AF280" s="179">
        <f t="shared" si="114"/>
        <v>0.59075926419076197</v>
      </c>
      <c r="AG280" s="178">
        <f t="shared" si="115"/>
        <v>-2</v>
      </c>
      <c r="AH280" s="178">
        <f t="shared" si="116"/>
        <v>4</v>
      </c>
      <c r="AI280" s="227">
        <f t="shared" si="117"/>
        <v>-1.409240735809238</v>
      </c>
      <c r="AJ280" s="267" t="b">
        <f t="shared" si="118"/>
        <v>0</v>
      </c>
      <c r="AK280" s="267" t="b">
        <f t="shared" si="119"/>
        <v>0</v>
      </c>
      <c r="AL280" s="267"/>
      <c r="AM280" s="267"/>
      <c r="AN280" s="75"/>
    </row>
    <row r="281" spans="1:40" s="6" customFormat="1" ht="11.25" x14ac:dyDescent="0.2">
      <c r="A281" s="56">
        <f t="shared" si="120"/>
        <v>43732</v>
      </c>
      <c r="B281" s="618">
        <v>26.093</v>
      </c>
      <c r="C281" s="392"/>
      <c r="D281" s="395">
        <f t="shared" si="99"/>
        <v>26.34867356685292</v>
      </c>
      <c r="E281" s="387">
        <f t="shared" si="97"/>
        <v>28.767907235796518</v>
      </c>
      <c r="F281" s="387">
        <f t="shared" si="100"/>
        <v>28.826240171184025</v>
      </c>
      <c r="G281" s="110">
        <f t="shared" si="98"/>
        <v>0.67106063865901955</v>
      </c>
      <c r="H281" s="414" t="b">
        <f>Wh_hp&gt;='2018'!Maxi_hp</f>
        <v>1</v>
      </c>
      <c r="I281" s="392">
        <f>IF(H281,Wh_hp,'2018'!Maxi_hp)</f>
        <v>28.826240171184025</v>
      </c>
      <c r="J281" s="85">
        <f>IF(H281,An,'2018'!An_max)</f>
        <v>2019</v>
      </c>
      <c r="K281" s="199">
        <f t="shared" si="101"/>
        <v>43732</v>
      </c>
      <c r="L281" s="147">
        <f>IF(t&lt;Tvie,1-EXP((T0-t)*PertePVj)+'2018'!Pspv,1-EXP((T0-t)*PertePVj)+Pspv)</f>
        <v>9.7034701274132384E-3</v>
      </c>
      <c r="M281" s="870"/>
      <c r="N281" s="870"/>
      <c r="O281" s="48">
        <f>IF(t&lt;Tnet,'2018'!Resal+('2018'!Salim-'2018'!Resal)*(1-EXP(('2018'!Tnet-t)/('2018'!Tau_j))),Resal+(Salim-Resal)*(1-EXP((Tnet-t)/(Tau_j))))*Salcycl</f>
        <v>8.4094878682495641E-2</v>
      </c>
      <c r="P281" s="171">
        <f>(INDEX(Models!$BJ281:$BT281,,T281)*(1-R281)+INDEX(Models!$BJ281:$BT281,,T281+1)*R281-ERP_i)*Q281*Ramure*Pc/MaxiM</f>
        <v>3.8051923324553824E-3</v>
      </c>
      <c r="Q281" s="307">
        <f t="shared" si="102"/>
        <v>1</v>
      </c>
      <c r="R281" s="179">
        <f t="shared" si="103"/>
        <v>0.59112691789975247</v>
      </c>
      <c r="S281" s="837">
        <f t="shared" si="104"/>
        <v>-2</v>
      </c>
      <c r="T281" s="178">
        <f t="shared" si="105"/>
        <v>4</v>
      </c>
      <c r="U281" s="253">
        <f t="shared" si="106"/>
        <v>-1.4088730821002475</v>
      </c>
      <c r="V281" s="385">
        <f t="shared" si="107"/>
        <v>38.813808007480162</v>
      </c>
      <c r="W281" s="58"/>
      <c r="X281" s="157">
        <f t="shared" si="108"/>
        <v>43732</v>
      </c>
      <c r="Y281" s="387">
        <f t="shared" si="109"/>
        <v>26.093</v>
      </c>
      <c r="Z281" s="387">
        <f t="shared" si="110"/>
        <v>26.34867356685292</v>
      </c>
      <c r="AA281" s="388">
        <f t="shared" si="111"/>
        <v>28.767907235796518</v>
      </c>
      <c r="AB281" s="199">
        <f t="shared" si="112"/>
        <v>43732</v>
      </c>
      <c r="AC281" s="426">
        <f>IF(OR(t&lt;Tnet,NoTnet),'2018'!Resal_s+('2018'!Salim-'2018'!Resal_s)*(1-EXP(('2018'!Tnet_s-t)/'2018'!Tau_j)),Resal_s+(Salim-Resal_s)*(1-EXP((Tnet_s-t)/Tau_j)))*Salcycl</f>
        <v>8.4094878682495641E-2</v>
      </c>
      <c r="AD281" s="233">
        <f>(INDEX(Models!$BJ281:$BT281,,AH281)*(1-AF281)+INDEX(Models!$BJ281:$BT281,,AH281+1)*AF281-ERP_i)*AE281*Ramure*Pc/MaxiM</f>
        <v>3.8051923324553824E-3</v>
      </c>
      <c r="AE281" s="307">
        <f t="shared" si="113"/>
        <v>1</v>
      </c>
      <c r="AF281" s="179">
        <f t="shared" si="114"/>
        <v>0.59112691789975247</v>
      </c>
      <c r="AG281" s="178">
        <f t="shared" si="115"/>
        <v>-2</v>
      </c>
      <c r="AH281" s="178">
        <f t="shared" si="116"/>
        <v>4</v>
      </c>
      <c r="AI281" s="227">
        <f t="shared" si="117"/>
        <v>-1.4088730821002475</v>
      </c>
      <c r="AJ281" s="267" t="b">
        <f t="shared" si="118"/>
        <v>0</v>
      </c>
      <c r="AK281" s="267" t="b">
        <f t="shared" si="119"/>
        <v>0</v>
      </c>
      <c r="AL281" s="267"/>
      <c r="AM281" s="267"/>
      <c r="AN281" s="75"/>
    </row>
    <row r="282" spans="1:40" s="6" customFormat="1" ht="11.25" x14ac:dyDescent="0.2">
      <c r="A282" s="56">
        <f t="shared" si="120"/>
        <v>43733</v>
      </c>
      <c r="B282" s="618">
        <v>26.585000000000001</v>
      </c>
      <c r="C282" s="392"/>
      <c r="D282" s="395">
        <f t="shared" si="99"/>
        <v>26.846119201898514</v>
      </c>
      <c r="E282" s="387">
        <f t="shared" si="97"/>
        <v>29.314578192923971</v>
      </c>
      <c r="F282" s="387">
        <f t="shared" si="100"/>
        <v>29.377936040078989</v>
      </c>
      <c r="G282" s="110">
        <f t="shared" si="98"/>
        <v>0.69142026940953505</v>
      </c>
      <c r="H282" s="414" t="b">
        <f>Wh_hp&gt;='2018'!Maxi_hp</f>
        <v>1</v>
      </c>
      <c r="I282" s="392">
        <f>IF(H282,Wh_hp,'2018'!Maxi_hp)</f>
        <v>29.377936040078989</v>
      </c>
      <c r="J282" s="85">
        <f>IF(H282,An,'2018'!An_max)</f>
        <v>2019</v>
      </c>
      <c r="K282" s="199">
        <f t="shared" si="101"/>
        <v>43733</v>
      </c>
      <c r="L282" s="147">
        <f>IF(t&lt;Tvie,1-EXP((T0-t)*PertePVj)+'2018'!Pspv,1-EXP((T0-t)*PertePVj)+Pspv)</f>
        <v>9.7265157743934294E-3</v>
      </c>
      <c r="M282" s="870"/>
      <c r="N282" s="870"/>
      <c r="O282" s="48">
        <f>IF(t&lt;Tnet,'2018'!Resal+('2018'!Salim-'2018'!Resal)*(1-EXP(('2018'!Tnet-t)/('2018'!Tau_j))),Resal+(Salim-Resal)*(1-EXP((Tnet-t)/(Tau_j))))*Salcycl</f>
        <v>8.4205850576465055E-2</v>
      </c>
      <c r="P282" s="171">
        <f>(INDEX(Models!$BJ282:$BT282,,T282)*(1-R282)+INDEX(Models!$BJ282:$BT282,,T282+1)*R282-ERP_i)*Q282*Ramure*Pc/MaxiM</f>
        <v>3.8453449886814046E-3</v>
      </c>
      <c r="Q282" s="307">
        <f t="shared" si="102"/>
        <v>1</v>
      </c>
      <c r="R282" s="179">
        <f t="shared" si="103"/>
        <v>0.59148013639785813</v>
      </c>
      <c r="S282" s="837">
        <f t="shared" si="104"/>
        <v>-2</v>
      </c>
      <c r="T282" s="178">
        <f t="shared" si="105"/>
        <v>4</v>
      </c>
      <c r="U282" s="253">
        <f t="shared" si="106"/>
        <v>-1.4085198636021419</v>
      </c>
      <c r="V282" s="385">
        <f t="shared" si="107"/>
        <v>38.384771342348273</v>
      </c>
      <c r="W282" s="58"/>
      <c r="X282" s="157">
        <f t="shared" si="108"/>
        <v>43733</v>
      </c>
      <c r="Y282" s="387">
        <f t="shared" si="109"/>
        <v>26.585000000000001</v>
      </c>
      <c r="Z282" s="387">
        <f t="shared" si="110"/>
        <v>26.846119201898514</v>
      </c>
      <c r="AA282" s="388">
        <f t="shared" si="111"/>
        <v>29.314578192923971</v>
      </c>
      <c r="AB282" s="199">
        <f t="shared" si="112"/>
        <v>43733</v>
      </c>
      <c r="AC282" s="426">
        <f>IF(OR(t&lt;Tnet,NoTnet),'2018'!Resal_s+('2018'!Salim-'2018'!Resal_s)*(1-EXP(('2018'!Tnet_s-t)/'2018'!Tau_j)),Resal_s+(Salim-Resal_s)*(1-EXP((Tnet_s-t)/Tau_j)))*Salcycl</f>
        <v>8.4205850576465055E-2</v>
      </c>
      <c r="AD282" s="233">
        <f>(INDEX(Models!$BJ282:$BT282,,AH282)*(1-AF282)+INDEX(Models!$BJ282:$BT282,,AH282+1)*AF282-ERP_i)*AE282*Ramure*Pc/MaxiM</f>
        <v>3.8453449886814046E-3</v>
      </c>
      <c r="AE282" s="307">
        <f t="shared" si="113"/>
        <v>1</v>
      </c>
      <c r="AF282" s="179">
        <f t="shared" si="114"/>
        <v>0.59148013639785813</v>
      </c>
      <c r="AG282" s="178">
        <f t="shared" si="115"/>
        <v>-2</v>
      </c>
      <c r="AH282" s="178">
        <f t="shared" si="116"/>
        <v>4</v>
      </c>
      <c r="AI282" s="227">
        <f t="shared" si="117"/>
        <v>-1.4085198636021419</v>
      </c>
      <c r="AJ282" s="267" t="b">
        <f t="shared" si="118"/>
        <v>0</v>
      </c>
      <c r="AK282" s="267" t="b">
        <f t="shared" si="119"/>
        <v>0</v>
      </c>
      <c r="AL282" s="267"/>
      <c r="AM282" s="267"/>
      <c r="AN282" s="75"/>
    </row>
    <row r="283" spans="1:40" s="6" customFormat="1" ht="11.25" x14ac:dyDescent="0.2">
      <c r="A283" s="56">
        <f t="shared" si="120"/>
        <v>43734</v>
      </c>
      <c r="B283" s="618">
        <v>28.027999999999999</v>
      </c>
      <c r="C283" s="392"/>
      <c r="D283" s="395">
        <f t="shared" si="99"/>
        <v>28.303951094483651</v>
      </c>
      <c r="E283" s="387">
        <f t="shared" si="97"/>
        <v>30.910125778766986</v>
      </c>
      <c r="F283" s="387">
        <f t="shared" si="100"/>
        <v>30.985466027101729</v>
      </c>
      <c r="G283" s="110">
        <f t="shared" si="98"/>
        <v>0.73737252062119485</v>
      </c>
      <c r="H283" s="414" t="b">
        <f>Wh_hp&gt;='2018'!Maxi_hp</f>
        <v>1</v>
      </c>
      <c r="I283" s="392">
        <f>IF(H283,Wh_hp,'2018'!Maxi_hp)</f>
        <v>30.985466027101729</v>
      </c>
      <c r="J283" s="85">
        <f>IF(H283,An,'2018'!An_max)</f>
        <v>2019</v>
      </c>
      <c r="K283" s="199">
        <f t="shared" si="101"/>
        <v>43734</v>
      </c>
      <c r="L283" s="147">
        <f>IF(t&lt;Tvie,1-EXP((T0-t)*PertePVj)+'2018'!Pspv,1-EXP((T0-t)*PertePVj)+Pspv)</f>
        <v>9.7495608850678428E-3</v>
      </c>
      <c r="M283" s="870"/>
      <c r="N283" s="870"/>
      <c r="O283" s="48">
        <f>IF(t&lt;Tnet,'2018'!Resal+('2018'!Salim-'2018'!Resal)*(1-EXP(('2018'!Tnet-t)/('2018'!Tau_j))),Resal+(Salim-Resal)*(1-EXP((Tnet-t)/(Tau_j))))*Salcycl</f>
        <v>8.4314593312770858E-2</v>
      </c>
      <c r="P283" s="171">
        <f>(INDEX(Models!$BJ283:$BT283,,T283)*(1-R283)+INDEX(Models!$BJ283:$BT283,,T283+1)*R283-ERP_i)*Q283*Ramure*Pc/MaxiM</f>
        <v>3.881956883652225E-3</v>
      </c>
      <c r="Q283" s="307">
        <f t="shared" si="102"/>
        <v>1</v>
      </c>
      <c r="R283" s="179">
        <f t="shared" si="103"/>
        <v>0.59181947240238708</v>
      </c>
      <c r="S283" s="837">
        <f t="shared" si="104"/>
        <v>-2</v>
      </c>
      <c r="T283" s="178">
        <f t="shared" si="105"/>
        <v>4</v>
      </c>
      <c r="U283" s="253">
        <f t="shared" si="106"/>
        <v>-1.4081805275976129</v>
      </c>
      <c r="V283" s="385">
        <f t="shared" si="107"/>
        <v>37.955369770429684</v>
      </c>
      <c r="W283" s="58"/>
      <c r="X283" s="157">
        <f t="shared" si="108"/>
        <v>43734</v>
      </c>
      <c r="Y283" s="387">
        <f t="shared" si="109"/>
        <v>28.027999999999999</v>
      </c>
      <c r="Z283" s="387">
        <f t="shared" si="110"/>
        <v>28.303951094483651</v>
      </c>
      <c r="AA283" s="388">
        <f t="shared" si="111"/>
        <v>30.910125778766986</v>
      </c>
      <c r="AB283" s="199">
        <f t="shared" si="112"/>
        <v>43734</v>
      </c>
      <c r="AC283" s="426">
        <f>IF(OR(t&lt;Tnet,NoTnet),'2018'!Resal_s+('2018'!Salim-'2018'!Resal_s)*(1-EXP(('2018'!Tnet_s-t)/'2018'!Tau_j)),Resal_s+(Salim-Resal_s)*(1-EXP((Tnet_s-t)/Tau_j)))*Salcycl</f>
        <v>8.4314593312770858E-2</v>
      </c>
      <c r="AD283" s="233">
        <f>(INDEX(Models!$BJ283:$BT283,,AH283)*(1-AF283)+INDEX(Models!$BJ283:$BT283,,AH283+1)*AF283-ERP_i)*AE283*Ramure*Pc/MaxiM</f>
        <v>3.881956883652225E-3</v>
      </c>
      <c r="AE283" s="307">
        <f t="shared" si="113"/>
        <v>1</v>
      </c>
      <c r="AF283" s="179">
        <f t="shared" si="114"/>
        <v>0.59181947240238708</v>
      </c>
      <c r="AG283" s="178">
        <f t="shared" si="115"/>
        <v>-2</v>
      </c>
      <c r="AH283" s="178">
        <f t="shared" si="116"/>
        <v>4</v>
      </c>
      <c r="AI283" s="227">
        <f t="shared" si="117"/>
        <v>-1.4081805275976129</v>
      </c>
      <c r="AJ283" s="267" t="b">
        <f t="shared" si="118"/>
        <v>0</v>
      </c>
      <c r="AK283" s="267" t="b">
        <f t="shared" si="119"/>
        <v>0</v>
      </c>
      <c r="AL283" s="267"/>
      <c r="AM283" s="267"/>
      <c r="AN283" s="75"/>
    </row>
    <row r="284" spans="1:40" s="6" customFormat="1" ht="11.25" x14ac:dyDescent="0.2">
      <c r="A284" s="56">
        <f t="shared" si="120"/>
        <v>43735</v>
      </c>
      <c r="B284" s="618">
        <v>29.395</v>
      </c>
      <c r="C284" s="392"/>
      <c r="D284" s="395">
        <f t="shared" si="99"/>
        <v>29.685100777926653</v>
      </c>
      <c r="E284" s="387">
        <f t="shared" si="97"/>
        <v>32.422218356421816</v>
      </c>
      <c r="F284" s="387">
        <f t="shared" si="100"/>
        <v>32.510091909422549</v>
      </c>
      <c r="G284" s="110">
        <f t="shared" si="98"/>
        <v>0.78236076395921617</v>
      </c>
      <c r="H284" s="414" t="b">
        <f>Wh_hp&gt;='2018'!Maxi_hp</f>
        <v>1</v>
      </c>
      <c r="I284" s="392">
        <f>IF(H284,Wh_hp,'2018'!Maxi_hp)</f>
        <v>32.510091909422549</v>
      </c>
      <c r="J284" s="85">
        <f>IF(H284,An,'2018'!An_max)</f>
        <v>2019</v>
      </c>
      <c r="K284" s="199">
        <f t="shared" si="101"/>
        <v>43735</v>
      </c>
      <c r="L284" s="147">
        <f>IF(t&lt;Tvie,1-EXP((T0-t)*PertePVj)+'2018'!Pspv,1-EXP((T0-t)*PertePVj)+Pspv)</f>
        <v>9.7726054594488021E-3</v>
      </c>
      <c r="M284" s="870"/>
      <c r="N284" s="870"/>
      <c r="O284" s="48">
        <f>IF(t&lt;Tnet,'2018'!Resal+('2018'!Salim-'2018'!Resal)*(1-EXP(('2018'!Tnet-t)/('2018'!Tau_j))),Resal+(Salim-Resal)*(1-EXP((Tnet-t)/(Tau_j))))*Salcycl</f>
        <v>8.4421045728754876E-2</v>
      </c>
      <c r="P284" s="171">
        <f>(INDEX(Models!$BJ284:$BT284,,T284)*(1-R284)+INDEX(Models!$BJ284:$BT284,,T284+1)*R284-ERP_i)*Q284*Ramure*Pc/MaxiM</f>
        <v>3.9148031021516974E-3</v>
      </c>
      <c r="Q284" s="307">
        <f t="shared" si="102"/>
        <v>1</v>
      </c>
      <c r="R284" s="179">
        <f t="shared" si="103"/>
        <v>0.59214545856508405</v>
      </c>
      <c r="S284" s="837">
        <f t="shared" si="104"/>
        <v>-2</v>
      </c>
      <c r="T284" s="178">
        <f t="shared" si="105"/>
        <v>4</v>
      </c>
      <c r="U284" s="253">
        <f t="shared" si="106"/>
        <v>-1.407854541434916</v>
      </c>
      <c r="V284" s="385">
        <f t="shared" si="107"/>
        <v>37.526525800168812</v>
      </c>
      <c r="W284" s="58"/>
      <c r="X284" s="157">
        <f t="shared" si="108"/>
        <v>43735</v>
      </c>
      <c r="Y284" s="387">
        <f t="shared" si="109"/>
        <v>29.395</v>
      </c>
      <c r="Z284" s="387">
        <f t="shared" si="110"/>
        <v>29.685100777926653</v>
      </c>
      <c r="AA284" s="388">
        <f t="shared" si="111"/>
        <v>32.422218356421816</v>
      </c>
      <c r="AB284" s="199">
        <f t="shared" si="112"/>
        <v>43735</v>
      </c>
      <c r="AC284" s="426">
        <f>IF(OR(t&lt;Tnet,NoTnet),'2018'!Resal_s+('2018'!Salim-'2018'!Resal_s)*(1-EXP(('2018'!Tnet_s-t)/'2018'!Tau_j)),Resal_s+(Salim-Resal_s)*(1-EXP((Tnet_s-t)/Tau_j)))*Salcycl</f>
        <v>8.4421045728754876E-2</v>
      </c>
      <c r="AD284" s="233">
        <f>(INDEX(Models!$BJ284:$BT284,,AH284)*(1-AF284)+INDEX(Models!$BJ284:$BT284,,AH284+1)*AF284-ERP_i)*AE284*Ramure*Pc/MaxiM</f>
        <v>3.9148031021516974E-3</v>
      </c>
      <c r="AE284" s="307">
        <f t="shared" si="113"/>
        <v>1</v>
      </c>
      <c r="AF284" s="179">
        <f t="shared" si="114"/>
        <v>0.59214545856508405</v>
      </c>
      <c r="AG284" s="178">
        <f t="shared" si="115"/>
        <v>-2</v>
      </c>
      <c r="AH284" s="178">
        <f t="shared" si="116"/>
        <v>4</v>
      </c>
      <c r="AI284" s="227">
        <f t="shared" si="117"/>
        <v>-1.407854541434916</v>
      </c>
      <c r="AJ284" s="267" t="b">
        <f t="shared" si="118"/>
        <v>0</v>
      </c>
      <c r="AK284" s="267" t="b">
        <f t="shared" si="119"/>
        <v>0</v>
      </c>
      <c r="AL284" s="267"/>
      <c r="AM284" s="267"/>
      <c r="AN284" s="75"/>
    </row>
    <row r="285" spans="1:40" s="6" customFormat="1" ht="11.25" x14ac:dyDescent="0.2">
      <c r="A285" s="56">
        <f t="shared" si="120"/>
        <v>43736</v>
      </c>
      <c r="B285" s="618">
        <v>25.867999999999999</v>
      </c>
      <c r="C285" s="392"/>
      <c r="D285" s="395">
        <f t="shared" si="99"/>
        <v>26.123900573527084</v>
      </c>
      <c r="E285" s="387">
        <f t="shared" si="97"/>
        <v>28.535901908955847</v>
      </c>
      <c r="F285" s="387">
        <f t="shared" si="100"/>
        <v>28.599911688914776</v>
      </c>
      <c r="G285" s="110">
        <f t="shared" si="98"/>
        <v>0.69607455826068165</v>
      </c>
      <c r="H285" s="414" t="b">
        <f>Wh_hp&gt;='2018'!Maxi_hp</f>
        <v>1</v>
      </c>
      <c r="I285" s="392">
        <f>IF(H285,Wh_hp,'2018'!Maxi_hp)</f>
        <v>28.599911688914776</v>
      </c>
      <c r="J285" s="85">
        <f>IF(H285,An,'2018'!An_max)</f>
        <v>2019</v>
      </c>
      <c r="K285" s="199">
        <f t="shared" si="101"/>
        <v>43736</v>
      </c>
      <c r="L285" s="147">
        <f>IF(t&lt;Tvie,1-EXP((T0-t)*PertePVj)+'2018'!Pspv,1-EXP((T0-t)*PertePVj)+Pspv)</f>
        <v>9.7956494975488528E-3</v>
      </c>
      <c r="M285" s="870"/>
      <c r="N285" s="870"/>
      <c r="O285" s="48">
        <f>IF(t&lt;Tnet,'2018'!Resal+('2018'!Salim-'2018'!Resal)*(1-EXP(('2018'!Tnet-t)/('2018'!Tau_j))),Resal+(Salim-Resal)*(1-EXP((Tnet-t)/(Tau_j))))*Salcycl</f>
        <v>8.4525148114269616E-2</v>
      </c>
      <c r="P285" s="171">
        <f>(INDEX(Models!$BJ285:$BT285,,T285)*(1-R285)+INDEX(Models!$BJ285:$BT285,,T285+1)*R285-ERP_i)*Q285*Ramure*Pc/MaxiM</f>
        <v>3.9436449357005904E-3</v>
      </c>
      <c r="Q285" s="307">
        <f t="shared" si="102"/>
        <v>1</v>
      </c>
      <c r="R285" s="179">
        <f t="shared" si="103"/>
        <v>0.59245860811408546</v>
      </c>
      <c r="S285" s="837">
        <f t="shared" si="104"/>
        <v>-2</v>
      </c>
      <c r="T285" s="178">
        <f t="shared" si="105"/>
        <v>4</v>
      </c>
      <c r="U285" s="253">
        <f t="shared" si="106"/>
        <v>-1.4075413918859145</v>
      </c>
      <c r="V285" s="385">
        <f t="shared" si="107"/>
        <v>37.099161261180022</v>
      </c>
      <c r="W285" s="58"/>
      <c r="X285" s="157">
        <f t="shared" si="108"/>
        <v>43736</v>
      </c>
      <c r="Y285" s="387">
        <f t="shared" si="109"/>
        <v>25.867999999999999</v>
      </c>
      <c r="Z285" s="387">
        <f t="shared" si="110"/>
        <v>26.123900573527084</v>
      </c>
      <c r="AA285" s="388">
        <f t="shared" si="111"/>
        <v>28.535901908955847</v>
      </c>
      <c r="AB285" s="199">
        <f t="shared" si="112"/>
        <v>43736</v>
      </c>
      <c r="AC285" s="426">
        <f>IF(OR(t&lt;Tnet,NoTnet),'2018'!Resal_s+('2018'!Salim-'2018'!Resal_s)*(1-EXP(('2018'!Tnet_s-t)/'2018'!Tau_j)),Resal_s+(Salim-Resal_s)*(1-EXP((Tnet_s-t)/Tau_j)))*Salcycl</f>
        <v>8.4525148114269616E-2</v>
      </c>
      <c r="AD285" s="233">
        <f>(INDEX(Models!$BJ285:$BT285,,AH285)*(1-AF285)+INDEX(Models!$BJ285:$BT285,,AH285+1)*AF285-ERP_i)*AE285*Ramure*Pc/MaxiM</f>
        <v>3.9436449357005904E-3</v>
      </c>
      <c r="AE285" s="307">
        <f t="shared" si="113"/>
        <v>1</v>
      </c>
      <c r="AF285" s="179">
        <f t="shared" si="114"/>
        <v>0.59245860811408546</v>
      </c>
      <c r="AG285" s="178">
        <f t="shared" si="115"/>
        <v>-2</v>
      </c>
      <c r="AH285" s="178">
        <f t="shared" si="116"/>
        <v>4</v>
      </c>
      <c r="AI285" s="227">
        <f t="shared" si="117"/>
        <v>-1.4075413918859145</v>
      </c>
      <c r="AJ285" s="267" t="b">
        <f t="shared" si="118"/>
        <v>0</v>
      </c>
      <c r="AK285" s="267" t="b">
        <f t="shared" si="119"/>
        <v>0</v>
      </c>
      <c r="AL285" s="267"/>
      <c r="AM285" s="267"/>
      <c r="AN285" s="75"/>
    </row>
    <row r="286" spans="1:40" s="6" customFormat="1" ht="11.25" x14ac:dyDescent="0.2">
      <c r="A286" s="56">
        <f t="shared" si="120"/>
        <v>43737</v>
      </c>
      <c r="B286" s="618">
        <v>35.793999999999997</v>
      </c>
      <c r="C286" s="392"/>
      <c r="D286" s="395">
        <f t="shared" si="99"/>
        <v>36.148935297944988</v>
      </c>
      <c r="E286" s="387">
        <f t="shared" si="97"/>
        <v>39.490927833604772</v>
      </c>
      <c r="F286" s="387">
        <f t="shared" si="100"/>
        <v>39.642846116741424</v>
      </c>
      <c r="G286" s="110">
        <f t="shared" si="98"/>
        <v>0.97586624636861696</v>
      </c>
      <c r="H286" s="414" t="b">
        <f>Wh_hp&gt;='2018'!Maxi_hp</f>
        <v>1</v>
      </c>
      <c r="I286" s="392">
        <f>IF(H286,Wh_hp,'2018'!Maxi_hp)</f>
        <v>39.642846116741424</v>
      </c>
      <c r="J286" s="85">
        <f>IF(H286,An,'2018'!An_max)</f>
        <v>2019</v>
      </c>
      <c r="K286" s="199">
        <f t="shared" si="101"/>
        <v>43737</v>
      </c>
      <c r="L286" s="147">
        <f>IF(t&lt;Tvie,1-EXP((T0-t)*PertePVj)+'2018'!Pspv,1-EXP((T0-t)*PertePVj)+Pspv)</f>
        <v>9.8186929993805405E-3</v>
      </c>
      <c r="M286" s="870"/>
      <c r="N286" s="870"/>
      <c r="O286" s="48">
        <f>IF(t&lt;Tnet,'2018'!Resal+('2018'!Salim-'2018'!Resal)*(1-EXP(('2018'!Tnet-t)/('2018'!Tau_j))),Resal+(Salim-Resal)*(1-EXP((Tnet-t)/(Tau_j))))*Salcycl</f>
        <v>8.4626842644500322E-2</v>
      </c>
      <c r="P286" s="171">
        <f>(INDEX(Models!$BJ286:$BT286,,T286)*(1-R286)+INDEX(Models!$BJ286:$BT286,,T286+1)*R286-ERP_i)*Q286*Ramure*Pc/MaxiM</f>
        <v>3.9682301412216694E-3</v>
      </c>
      <c r="Q286" s="307">
        <f t="shared" si="102"/>
        <v>1</v>
      </c>
      <c r="R286" s="179">
        <f t="shared" si="103"/>
        <v>0.59275941548235966</v>
      </c>
      <c r="S286" s="837">
        <f t="shared" si="104"/>
        <v>-2</v>
      </c>
      <c r="T286" s="178">
        <f t="shared" si="105"/>
        <v>4</v>
      </c>
      <c r="U286" s="253">
        <f t="shared" si="106"/>
        <v>-1.4072405845176403</v>
      </c>
      <c r="V286" s="385">
        <f t="shared" si="107"/>
        <v>36.67419731368134</v>
      </c>
      <c r="W286" s="58"/>
      <c r="X286" s="157">
        <f t="shared" si="108"/>
        <v>43737</v>
      </c>
      <c r="Y286" s="387">
        <f t="shared" si="109"/>
        <v>35.793999999999997</v>
      </c>
      <c r="Z286" s="387">
        <f t="shared" si="110"/>
        <v>36.148935297944988</v>
      </c>
      <c r="AA286" s="388">
        <f t="shared" si="111"/>
        <v>39.490927833604772</v>
      </c>
      <c r="AB286" s="199">
        <f t="shared" si="112"/>
        <v>43737</v>
      </c>
      <c r="AC286" s="426">
        <f>IF(OR(t&lt;Tnet,NoTnet),'2018'!Resal_s+('2018'!Salim-'2018'!Resal_s)*(1-EXP(('2018'!Tnet_s-t)/'2018'!Tau_j)),Resal_s+(Salim-Resal_s)*(1-EXP((Tnet_s-t)/Tau_j)))*Salcycl</f>
        <v>8.4626842644500322E-2</v>
      </c>
      <c r="AD286" s="233">
        <f>(INDEX(Models!$BJ286:$BT286,,AH286)*(1-AF286)+INDEX(Models!$BJ286:$BT286,,AH286+1)*AF286-ERP_i)*AE286*Ramure*Pc/MaxiM</f>
        <v>3.9682301412216694E-3</v>
      </c>
      <c r="AE286" s="307">
        <f t="shared" si="113"/>
        <v>1</v>
      </c>
      <c r="AF286" s="179">
        <f t="shared" si="114"/>
        <v>0.59275941548235966</v>
      </c>
      <c r="AG286" s="178">
        <f t="shared" si="115"/>
        <v>-2</v>
      </c>
      <c r="AH286" s="178">
        <f t="shared" si="116"/>
        <v>4</v>
      </c>
      <c r="AI286" s="227">
        <f t="shared" si="117"/>
        <v>-1.4072405845176403</v>
      </c>
      <c r="AJ286" s="267" t="b">
        <f t="shared" si="118"/>
        <v>0</v>
      </c>
      <c r="AK286" s="267" t="b">
        <f t="shared" si="119"/>
        <v>0</v>
      </c>
      <c r="AL286" s="267"/>
      <c r="AM286" s="267"/>
      <c r="AN286" s="75"/>
    </row>
    <row r="287" spans="1:40" s="6" customFormat="1" ht="11.25" x14ac:dyDescent="0.2">
      <c r="A287" s="56">
        <f t="shared" si="120"/>
        <v>43738</v>
      </c>
      <c r="B287" s="618">
        <v>24.041</v>
      </c>
      <c r="C287" s="392"/>
      <c r="D287" s="395">
        <f t="shared" si="99"/>
        <v>24.279956925299306</v>
      </c>
      <c r="E287" s="387">
        <f t="shared" si="97"/>
        <v>26.527530426768845</v>
      </c>
      <c r="F287" s="387">
        <f t="shared" si="100"/>
        <v>26.582532031172256</v>
      </c>
      <c r="G287" s="110">
        <f t="shared" si="98"/>
        <v>0.6618779030477403</v>
      </c>
      <c r="H287" s="414" t="b">
        <f>Wh_hp&gt;='2018'!Maxi_hp</f>
        <v>1</v>
      </c>
      <c r="I287" s="392">
        <f>IF(H287,Wh_hp,'2018'!Maxi_hp)</f>
        <v>26.582532031172256</v>
      </c>
      <c r="J287" s="85">
        <f>IF(H287,An,'2018'!An_max)</f>
        <v>2019</v>
      </c>
      <c r="K287" s="199">
        <f t="shared" si="101"/>
        <v>43738</v>
      </c>
      <c r="L287" s="147">
        <f>IF(t&lt;Tvie,1-EXP((T0-t)*PertePVj)+'2018'!Pspv,1-EXP((T0-t)*PertePVj)+Pspv)</f>
        <v>9.8417359649561886E-3</v>
      </c>
      <c r="M287" s="870"/>
      <c r="N287" s="870"/>
      <c r="O287" s="48">
        <f>IF(t&lt;Tnet,'2018'!Resal+('2018'!Salim-'2018'!Resal)*(1-EXP(('2018'!Tnet-t)/('2018'!Tau_j))),Resal+(Salim-Resal)*(1-EXP((Tnet-t)/(Tau_j))))*Salcycl</f>
        <v>8.4726073830133919E-2</v>
      </c>
      <c r="P287" s="171">
        <f>(INDEX(Models!$BJ287:$BT287,,T287)*(1-R287)+INDEX(Models!$BJ287:$BT287,,T287+1)*R287-ERP_i)*Q287*Ramure*Pc/MaxiM</f>
        <v>3.9882933493626278E-3</v>
      </c>
      <c r="Q287" s="307">
        <f t="shared" si="102"/>
        <v>1</v>
      </c>
      <c r="R287" s="179">
        <f t="shared" si="103"/>
        <v>0.59304835692229219</v>
      </c>
      <c r="S287" s="837">
        <f t="shared" si="104"/>
        <v>-2</v>
      </c>
      <c r="T287" s="178">
        <f t="shared" si="105"/>
        <v>4</v>
      </c>
      <c r="U287" s="253">
        <f t="shared" si="106"/>
        <v>-1.4069516430777078</v>
      </c>
      <c r="V287" s="385">
        <f t="shared" si="107"/>
        <v>36.25255445846323</v>
      </c>
      <c r="W287" s="58"/>
      <c r="X287" s="157">
        <f t="shared" si="108"/>
        <v>43738</v>
      </c>
      <c r="Y287" s="387">
        <f t="shared" si="109"/>
        <v>24.041</v>
      </c>
      <c r="Z287" s="387">
        <f t="shared" si="110"/>
        <v>24.279956925299306</v>
      </c>
      <c r="AA287" s="388">
        <f t="shared" si="111"/>
        <v>26.527530426768845</v>
      </c>
      <c r="AB287" s="199">
        <f t="shared" si="112"/>
        <v>43738</v>
      </c>
      <c r="AC287" s="426">
        <f>IF(OR(t&lt;Tnet,NoTnet),'2018'!Resal_s+('2018'!Salim-'2018'!Resal_s)*(1-EXP(('2018'!Tnet_s-t)/'2018'!Tau_j)),Resal_s+(Salim-Resal_s)*(1-EXP((Tnet_s-t)/Tau_j)))*Salcycl</f>
        <v>8.4726073830133919E-2</v>
      </c>
      <c r="AD287" s="233">
        <f>(INDEX(Models!$BJ287:$BT287,,AH287)*(1-AF287)+INDEX(Models!$BJ287:$BT287,,AH287+1)*AF287-ERP_i)*AE287*Ramure*Pc/MaxiM</f>
        <v>3.9882933493626278E-3</v>
      </c>
      <c r="AE287" s="307">
        <f t="shared" si="113"/>
        <v>1</v>
      </c>
      <c r="AF287" s="179">
        <f t="shared" si="114"/>
        <v>0.59304835692229219</v>
      </c>
      <c r="AG287" s="178">
        <f t="shared" si="115"/>
        <v>-2</v>
      </c>
      <c r="AH287" s="178">
        <f t="shared" si="116"/>
        <v>4</v>
      </c>
      <c r="AI287" s="227">
        <f t="shared" si="117"/>
        <v>-1.4069516430777078</v>
      </c>
      <c r="AJ287" s="267" t="b">
        <f t="shared" si="118"/>
        <v>0</v>
      </c>
      <c r="AK287" s="267" t="b">
        <f t="shared" si="119"/>
        <v>0</v>
      </c>
      <c r="AL287" s="267"/>
      <c r="AM287" s="267"/>
      <c r="AN287" s="75"/>
    </row>
    <row r="288" spans="1:40" s="6" customFormat="1" ht="11.25" x14ac:dyDescent="0.2">
      <c r="A288" s="56">
        <f t="shared" si="120"/>
        <v>43739</v>
      </c>
      <c r="B288" s="618">
        <v>27.218</v>
      </c>
      <c r="C288" s="392"/>
      <c r="D288" s="395">
        <f t="shared" si="99"/>
        <v>27.489174615827032</v>
      </c>
      <c r="E288" s="387">
        <f t="shared" si="97"/>
        <v>30.036996425252855</v>
      </c>
      <c r="F288" s="387">
        <f t="shared" si="100"/>
        <v>30.116148915178567</v>
      </c>
      <c r="G288" s="110">
        <f t="shared" si="98"/>
        <v>0.75848618117137379</v>
      </c>
      <c r="H288" s="414" t="b">
        <f>Wh_hp&gt;='2018'!Maxi_hp</f>
        <v>1</v>
      </c>
      <c r="I288" s="392">
        <f>IF(H288,Wh_hp,'2018'!Maxi_hp)</f>
        <v>30.116148915178567</v>
      </c>
      <c r="J288" s="85">
        <f>IF(H288,An,'2018'!An_max)</f>
        <v>2019</v>
      </c>
      <c r="K288" s="199">
        <f t="shared" si="101"/>
        <v>43739</v>
      </c>
      <c r="L288" s="147">
        <f>IF(t&lt;Tvie,1-EXP((T0-t)*PertePVj)+'2018'!Pspv,1-EXP((T0-t)*PertePVj)+Pspv)</f>
        <v>9.8647783942884537E-3</v>
      </c>
      <c r="M288" s="870"/>
      <c r="N288" s="870"/>
      <c r="O288" s="48">
        <f>IF(t&lt;Tnet,'2018'!Resal+('2018'!Salim-'2018'!Resal)*(1-EXP(('2018'!Tnet-t)/('2018'!Tau_j))),Resal+(Salim-Resal)*(1-EXP((Tnet-t)/(Tau_j))))*Salcycl</f>
        <v>8.4822788981783956E-2</v>
      </c>
      <c r="P288" s="171">
        <f>(INDEX(Models!$BJ288:$BT288,,T288)*(1-R288)+INDEX(Models!$BJ288:$BT288,,T288+1)*R288-ERP_i)*Q288*Ramure*Pc/MaxiM</f>
        <v>4.0035566458772615E-3</v>
      </c>
      <c r="Q288" s="307">
        <f t="shared" si="102"/>
        <v>1</v>
      </c>
      <c r="R288" s="179">
        <f t="shared" si="103"/>
        <v>0.59332589110613987</v>
      </c>
      <c r="S288" s="837">
        <f t="shared" si="104"/>
        <v>-2</v>
      </c>
      <c r="T288" s="178">
        <f t="shared" si="105"/>
        <v>4</v>
      </c>
      <c r="U288" s="253">
        <f t="shared" si="106"/>
        <v>-1.4066741088938601</v>
      </c>
      <c r="V288" s="385">
        <f t="shared" si="107"/>
        <v>35.835152549469001</v>
      </c>
      <c r="W288" s="58"/>
      <c r="X288" s="157">
        <f t="shared" si="108"/>
        <v>43739</v>
      </c>
      <c r="Y288" s="387">
        <f t="shared" si="109"/>
        <v>27.218</v>
      </c>
      <c r="Z288" s="387">
        <f t="shared" si="110"/>
        <v>27.489174615827032</v>
      </c>
      <c r="AA288" s="388">
        <f t="shared" si="111"/>
        <v>30.036996425252855</v>
      </c>
      <c r="AB288" s="199">
        <f t="shared" si="112"/>
        <v>43739</v>
      </c>
      <c r="AC288" s="426">
        <f>IF(OR(t&lt;Tnet,NoTnet),'2018'!Resal_s+('2018'!Salim-'2018'!Resal_s)*(1-EXP(('2018'!Tnet_s-t)/'2018'!Tau_j)),Resal_s+(Salim-Resal_s)*(1-EXP((Tnet_s-t)/Tau_j)))*Salcycl</f>
        <v>8.4822788981783956E-2</v>
      </c>
      <c r="AD288" s="233">
        <f>(INDEX(Models!$BJ288:$BT288,,AH288)*(1-AF288)+INDEX(Models!$BJ288:$BT288,,AH288+1)*AF288-ERP_i)*AE288*Ramure*Pc/MaxiM</f>
        <v>4.0035566458772615E-3</v>
      </c>
      <c r="AE288" s="307">
        <f t="shared" si="113"/>
        <v>1</v>
      </c>
      <c r="AF288" s="179">
        <f t="shared" si="114"/>
        <v>0.59332589110613987</v>
      </c>
      <c r="AG288" s="178">
        <f t="shared" si="115"/>
        <v>-2</v>
      </c>
      <c r="AH288" s="178">
        <f t="shared" si="116"/>
        <v>4</v>
      </c>
      <c r="AI288" s="227">
        <f t="shared" si="117"/>
        <v>-1.4066741088938601</v>
      </c>
      <c r="AJ288" s="267" t="b">
        <f t="shared" si="118"/>
        <v>0</v>
      </c>
      <c r="AK288" s="267" t="b">
        <f t="shared" si="119"/>
        <v>0</v>
      </c>
      <c r="AL288" s="267"/>
      <c r="AM288" s="267"/>
      <c r="AN288" s="75"/>
    </row>
    <row r="289" spans="1:40" s="6" customFormat="1" ht="11.25" customHeight="1" x14ac:dyDescent="0.2">
      <c r="A289" s="56">
        <f t="shared" si="120"/>
        <v>43740</v>
      </c>
      <c r="B289" s="618">
        <v>23.387</v>
      </c>
      <c r="C289" s="392"/>
      <c r="D289" s="395">
        <f t="shared" si="99"/>
        <v>23.6205558109469</v>
      </c>
      <c r="E289" s="387">
        <f t="shared" si="97"/>
        <v>25.81247190502199</v>
      </c>
      <c r="F289" s="387">
        <f t="shared" si="100"/>
        <v>25.865916730981414</v>
      </c>
      <c r="G289" s="110">
        <f t="shared" si="98"/>
        <v>0.65901779761742862</v>
      </c>
      <c r="H289" s="414" t="b">
        <f>Wh_hp&gt;='2018'!Maxi_hp</f>
        <v>0</v>
      </c>
      <c r="I289" s="392">
        <f>IF(H289,Wh_hp,'2018'!Maxi_hp)</f>
        <v>36.187282079507987</v>
      </c>
      <c r="J289" s="85">
        <f>IF(H289,An,'2018'!An_max)</f>
        <v>2018</v>
      </c>
      <c r="K289" s="199">
        <f t="shared" si="101"/>
        <v>43740</v>
      </c>
      <c r="L289" s="147">
        <f>IF(t&lt;Tvie,1-EXP((T0-t)*PertePVj)+'2018'!Pspv,1-EXP((T0-t)*PertePVj)+Pspv)</f>
        <v>9.8878202873896592E-3</v>
      </c>
      <c r="M289" s="870"/>
      <c r="N289" s="870"/>
      <c r="O289" s="48">
        <f>IF(t&lt;Tnet,'2018'!Resal+('2018'!Salim-'2018'!Resal)*(1-EXP(('2018'!Tnet-t)/('2018'!Tau_j))),Resal+(Salim-Resal)*(1-EXP((Tnet-t)/(Tau_j))))*Salcycl</f>
        <v>8.491693868531186E-2</v>
      </c>
      <c r="P289" s="171">
        <f>(INDEX(Models!$BJ289:$BT289,,T289)*(1-R289)+INDEX(Models!$BJ289:$BT289,,T289+1)*R289-ERP_i)*Q289*Ramure*Pc/MaxiM</f>
        <v>4.0142409384312829E-3</v>
      </c>
      <c r="Q289" s="307">
        <f t="shared" si="102"/>
        <v>1</v>
      </c>
      <c r="R289" s="179">
        <f t="shared" si="103"/>
        <v>0.59359245971215868</v>
      </c>
      <c r="S289" s="837">
        <f t="shared" si="104"/>
        <v>-2</v>
      </c>
      <c r="T289" s="178">
        <f t="shared" si="105"/>
        <v>4</v>
      </c>
      <c r="U289" s="253">
        <f t="shared" si="106"/>
        <v>-1.4064075402878413</v>
      </c>
      <c r="V289" s="385">
        <f t="shared" si="107"/>
        <v>35.418387071151379</v>
      </c>
      <c r="W289" s="58"/>
      <c r="X289" s="157">
        <f t="shared" si="108"/>
        <v>43740</v>
      </c>
      <c r="Y289" s="387">
        <f t="shared" si="109"/>
        <v>23.387</v>
      </c>
      <c r="Z289" s="387">
        <f t="shared" si="110"/>
        <v>23.6205558109469</v>
      </c>
      <c r="AA289" s="388">
        <f t="shared" si="111"/>
        <v>25.81247190502199</v>
      </c>
      <c r="AB289" s="199">
        <f t="shared" si="112"/>
        <v>43740</v>
      </c>
      <c r="AC289" s="426">
        <f>IF(OR(t&lt;Tnet,NoTnet),'2018'!Resal_s+('2018'!Salim-'2018'!Resal_s)*(1-EXP(('2018'!Tnet_s-t)/'2018'!Tau_j)),Resal_s+(Salim-Resal_s)*(1-EXP((Tnet_s-t)/Tau_j)))*Salcycl</f>
        <v>8.491693868531186E-2</v>
      </c>
      <c r="AD289" s="233">
        <f>(INDEX(Models!$BJ289:$BT289,,AH289)*(1-AF289)+INDEX(Models!$BJ289:$BT289,,AH289+1)*AF289-ERP_i)*AE289*Ramure*Pc/MaxiM</f>
        <v>4.0142409384312829E-3</v>
      </c>
      <c r="AE289" s="307">
        <f t="shared" si="113"/>
        <v>1</v>
      </c>
      <c r="AF289" s="179">
        <f t="shared" si="114"/>
        <v>0.59359245971215868</v>
      </c>
      <c r="AG289" s="178">
        <f t="shared" si="115"/>
        <v>-2</v>
      </c>
      <c r="AH289" s="178">
        <f t="shared" si="116"/>
        <v>4</v>
      </c>
      <c r="AI289" s="227">
        <f t="shared" si="117"/>
        <v>-1.4064075402878413</v>
      </c>
      <c r="AJ289" s="267" t="b">
        <f t="shared" si="118"/>
        <v>0</v>
      </c>
      <c r="AK289" s="267" t="b">
        <f t="shared" si="119"/>
        <v>0</v>
      </c>
      <c r="AL289" s="267"/>
      <c r="AM289" s="267"/>
      <c r="AN289" s="75"/>
    </row>
    <row r="290" spans="1:40" s="6" customFormat="1" ht="11.25" x14ac:dyDescent="0.2">
      <c r="A290" s="56">
        <f t="shared" si="120"/>
        <v>43741</v>
      </c>
      <c r="B290" s="618">
        <v>31.98</v>
      </c>
      <c r="C290" s="392"/>
      <c r="D290" s="395">
        <f t="shared" si="99"/>
        <v>32.300122040637874</v>
      </c>
      <c r="E290" s="387">
        <f t="shared" si="97"/>
        <v>35.30100688231073</v>
      </c>
      <c r="F290" s="387">
        <f t="shared" si="100"/>
        <v>35.425871044615043</v>
      </c>
      <c r="G290" s="110">
        <f t="shared" si="98"/>
        <v>0.9132928702130082</v>
      </c>
      <c r="H290" s="414" t="b">
        <f>Wh_hp&gt;='2018'!Maxi_hp</f>
        <v>0</v>
      </c>
      <c r="I290" s="392">
        <f>IF(H290,Wh_hp,'2018'!Maxi_hp)</f>
        <v>36.052378620144729</v>
      </c>
      <c r="J290" s="85">
        <f>IF(H290,An,'2018'!An_max)</f>
        <v>2018</v>
      </c>
      <c r="K290" s="199">
        <f t="shared" si="101"/>
        <v>43741</v>
      </c>
      <c r="L290" s="147">
        <f>IF(t&lt;Tvie,1-EXP((T0-t)*PertePVj)+'2018'!Pspv,1-EXP((T0-t)*PertePVj)+Pspv)</f>
        <v>9.9108616442723507E-3</v>
      </c>
      <c r="M290" s="870"/>
      <c r="N290" s="870"/>
      <c r="O290" s="48">
        <f>IF(t&lt;Tnet,'2018'!Resal+('2018'!Salim-'2018'!Resal)*(1-EXP(('2018'!Tnet-t)/('2018'!Tau_j))),Resal+(Salim-Resal)*(1-EXP((Tnet-t)/(Tau_j))))*Salcycl</f>
        <v>8.5008477284442469E-2</v>
      </c>
      <c r="P290" s="171">
        <f>(INDEX(Models!$BJ290:$BT290,,T290)*(1-R290)+INDEX(Models!$BJ290:$BT290,,T290+1)*R290-ERP_i)*Q290*Ramure*Pc/MaxiM</f>
        <v>4.0199982887692423E-3</v>
      </c>
      <c r="Q290" s="307">
        <f t="shared" si="102"/>
        <v>1</v>
      </c>
      <c r="R290" s="179">
        <f t="shared" si="103"/>
        <v>0.593848487996262</v>
      </c>
      <c r="S290" s="837">
        <f t="shared" si="104"/>
        <v>-2</v>
      </c>
      <c r="T290" s="178">
        <f t="shared" si="105"/>
        <v>4</v>
      </c>
      <c r="U290" s="253">
        <f t="shared" si="106"/>
        <v>-1.406151512003738</v>
      </c>
      <c r="V290" s="385">
        <f t="shared" si="107"/>
        <v>34.998743670573305</v>
      </c>
      <c r="W290" s="58"/>
      <c r="X290" s="157">
        <f t="shared" si="108"/>
        <v>43741</v>
      </c>
      <c r="Y290" s="387">
        <f t="shared" si="109"/>
        <v>31.98</v>
      </c>
      <c r="Z290" s="387">
        <f t="shared" si="110"/>
        <v>32.300122040637874</v>
      </c>
      <c r="AA290" s="388">
        <f t="shared" si="111"/>
        <v>35.30100688231073</v>
      </c>
      <c r="AB290" s="199">
        <f t="shared" si="112"/>
        <v>43741</v>
      </c>
      <c r="AC290" s="426">
        <f>IF(OR(t&lt;Tnet,NoTnet),'2018'!Resal_s+('2018'!Salim-'2018'!Resal_s)*(1-EXP(('2018'!Tnet_s-t)/'2018'!Tau_j)),Resal_s+(Salim-Resal_s)*(1-EXP((Tnet_s-t)/Tau_j)))*Salcycl</f>
        <v>8.5008477284442469E-2</v>
      </c>
      <c r="AD290" s="233">
        <f>(INDEX(Models!$BJ290:$BT290,,AH290)*(1-AF290)+INDEX(Models!$BJ290:$BT290,,AH290+1)*AF290-ERP_i)*AE290*Ramure*Pc/MaxiM</f>
        <v>4.0199982887692423E-3</v>
      </c>
      <c r="AE290" s="307">
        <f t="shared" si="113"/>
        <v>1</v>
      </c>
      <c r="AF290" s="179">
        <f t="shared" si="114"/>
        <v>0.593848487996262</v>
      </c>
      <c r="AG290" s="178">
        <f t="shared" si="115"/>
        <v>-2</v>
      </c>
      <c r="AH290" s="178">
        <f t="shared" si="116"/>
        <v>4</v>
      </c>
      <c r="AI290" s="227">
        <f t="shared" si="117"/>
        <v>-1.406151512003738</v>
      </c>
      <c r="AJ290" s="267" t="b">
        <f t="shared" si="118"/>
        <v>0</v>
      </c>
      <c r="AK290" s="267" t="b">
        <f t="shared" si="119"/>
        <v>0</v>
      </c>
      <c r="AL290" s="267"/>
      <c r="AM290" s="267"/>
      <c r="AN290" s="75"/>
    </row>
    <row r="291" spans="1:40" s="6" customFormat="1" ht="11.25" customHeight="1" x14ac:dyDescent="0.2">
      <c r="A291" s="56">
        <f t="shared" si="120"/>
        <v>43742</v>
      </c>
      <c r="B291" s="618">
        <v>10.919</v>
      </c>
      <c r="C291" s="392"/>
      <c r="D291" s="395">
        <f t="shared" si="99"/>
        <v>11.028556605649694</v>
      </c>
      <c r="E291" s="387">
        <f t="shared" si="97"/>
        <v>12.054350008471925</v>
      </c>
      <c r="F291" s="387">
        <f t="shared" si="100"/>
        <v>12.055443951527939</v>
      </c>
      <c r="G291" s="110">
        <f t="shared" si="98"/>
        <v>0.31454462497003111</v>
      </c>
      <c r="H291" s="414" t="b">
        <f>Wh_hp&gt;='2018'!Maxi_hp</f>
        <v>0</v>
      </c>
      <c r="I291" s="392">
        <f>IF(H291,Wh_hp,'2018'!Maxi_hp)</f>
        <v>35.933691414169608</v>
      </c>
      <c r="J291" s="85">
        <f>IF(H291,An,'2018'!An_max)</f>
        <v>2018</v>
      </c>
      <c r="K291" s="199">
        <f t="shared" si="101"/>
        <v>43742</v>
      </c>
      <c r="L291" s="147">
        <f>IF(t&lt;Tvie,1-EXP((T0-t)*PertePVj)+'2018'!Pspv,1-EXP((T0-t)*PertePVj)+Pspv)</f>
        <v>9.9339024649490737E-3</v>
      </c>
      <c r="M291" s="870"/>
      <c r="N291" s="870"/>
      <c r="O291" s="48">
        <f>IF(t&lt;Tnet,'2018'!Resal+('2018'!Salim-'2018'!Resal)*(1-EXP(('2018'!Tnet-t)/('2018'!Tau_j))),Resal+(Salim-Resal)*(1-EXP((Tnet-t)/(Tau_j))))*Salcycl</f>
        <v>8.5097363366858594E-2</v>
      </c>
      <c r="P291" s="171">
        <f>(INDEX(Models!$BJ291:$BT291,,T291)*(1-R291)+INDEX(Models!$BJ291:$BT291,,T291+1)*R291-ERP_i)*Q291*Ramure*Pc/MaxiM</f>
        <v>4.0236334056912917E-3</v>
      </c>
      <c r="Q291" s="307">
        <f t="shared" si="102"/>
        <v>1</v>
      </c>
      <c r="R291" s="179">
        <f t="shared" si="103"/>
        <v>0.59409438534912473</v>
      </c>
      <c r="S291" s="837">
        <f t="shared" si="104"/>
        <v>-2</v>
      </c>
      <c r="T291" s="178">
        <f t="shared" si="105"/>
        <v>4</v>
      </c>
      <c r="U291" s="253">
        <f t="shared" si="106"/>
        <v>-1.4059056146508753</v>
      </c>
      <c r="V291" s="385">
        <f t="shared" si="107"/>
        <v>34.577137885764401</v>
      </c>
      <c r="W291" s="58"/>
      <c r="X291" s="157">
        <f t="shared" si="108"/>
        <v>43742</v>
      </c>
      <c r="Y291" s="387">
        <f t="shared" si="109"/>
        <v>10.919</v>
      </c>
      <c r="Z291" s="387">
        <f t="shared" si="110"/>
        <v>11.028556605649694</v>
      </c>
      <c r="AA291" s="388">
        <f t="shared" si="111"/>
        <v>12.054350008471925</v>
      </c>
      <c r="AB291" s="199">
        <f t="shared" si="112"/>
        <v>43742</v>
      </c>
      <c r="AC291" s="426">
        <f>IF(OR(t&lt;Tnet,NoTnet),'2018'!Resal_s+('2018'!Salim-'2018'!Resal_s)*(1-EXP(('2018'!Tnet_s-t)/'2018'!Tau_j)),Resal_s+(Salim-Resal_s)*(1-EXP((Tnet_s-t)/Tau_j)))*Salcycl</f>
        <v>8.5097363366858594E-2</v>
      </c>
      <c r="AD291" s="233">
        <f>(INDEX(Models!$BJ291:$BT291,,AH291)*(1-AF291)+INDEX(Models!$BJ291:$BT291,,AH291+1)*AF291-ERP_i)*AE291*Ramure*Pc/MaxiM</f>
        <v>4.0236334056912917E-3</v>
      </c>
      <c r="AE291" s="307">
        <f t="shared" si="113"/>
        <v>1</v>
      </c>
      <c r="AF291" s="179">
        <f t="shared" si="114"/>
        <v>0.59409438534912473</v>
      </c>
      <c r="AG291" s="178">
        <f t="shared" si="115"/>
        <v>-2</v>
      </c>
      <c r="AH291" s="178">
        <f t="shared" si="116"/>
        <v>4</v>
      </c>
      <c r="AI291" s="227">
        <f t="shared" si="117"/>
        <v>-1.4059056146508753</v>
      </c>
      <c r="AJ291" s="267" t="b">
        <f t="shared" si="118"/>
        <v>0</v>
      </c>
      <c r="AK291" s="267" t="b">
        <f t="shared" si="119"/>
        <v>0</v>
      </c>
      <c r="AL291" s="267"/>
      <c r="AM291" s="267"/>
      <c r="AN291" s="75"/>
    </row>
    <row r="292" spans="1:40" s="6" customFormat="1" ht="11.25" x14ac:dyDescent="0.2">
      <c r="A292" s="56">
        <f t="shared" si="120"/>
        <v>43743</v>
      </c>
      <c r="B292" s="618">
        <v>30.827000000000002</v>
      </c>
      <c r="C292" s="392"/>
      <c r="D292" s="395">
        <f t="shared" si="99"/>
        <v>31.137029621326928</v>
      </c>
      <c r="E292" s="387">
        <f t="shared" si="97"/>
        <v>34.036368683785973</v>
      </c>
      <c r="F292" s="387">
        <f t="shared" si="100"/>
        <v>34.154705913763294</v>
      </c>
      <c r="G292" s="110">
        <f t="shared" si="98"/>
        <v>0.90206524365719887</v>
      </c>
      <c r="H292" s="414" t="b">
        <f>Wh_hp&gt;='2018'!Maxi_hp</f>
        <v>0</v>
      </c>
      <c r="I292" s="392">
        <f>IF(H292,Wh_hp,'2018'!Maxi_hp)</f>
        <v>35.379752101796598</v>
      </c>
      <c r="J292" s="85">
        <f>IF(H292,An,'2018'!An_max)</f>
        <v>2018</v>
      </c>
      <c r="K292" s="199">
        <f t="shared" si="101"/>
        <v>43743</v>
      </c>
      <c r="L292" s="147">
        <f>IF(t&lt;Tvie,1-EXP((T0-t)*PertePVj)+'2018'!Pspv,1-EXP((T0-t)*PertePVj)+Pspv)</f>
        <v>9.9569427494321516E-3</v>
      </c>
      <c r="M292" s="870"/>
      <c r="N292" s="870"/>
      <c r="O292" s="48">
        <f>IF(t&lt;Tnet,'2018'!Resal+('2018'!Salim-'2018'!Resal)*(1-EXP(('2018'!Tnet-t)/('2018'!Tau_j))),Resal+(Salim-Resal)*(1-EXP((Tnet-t)/(Tau_j))))*Salcycl</f>
        <v>8.5183560249781048E-2</v>
      </c>
      <c r="P292" s="171">
        <f>(INDEX(Models!$BJ292:$BT292,,T292)*(1-R292)+INDEX(Models!$BJ292:$BT292,,T292+1)*R292-ERP_i)*Q292*Ramure*Pc/MaxiM</f>
        <v>4.0249407662087868E-3</v>
      </c>
      <c r="Q292" s="307">
        <f t="shared" si="102"/>
        <v>1</v>
      </c>
      <c r="R292" s="179">
        <f t="shared" si="103"/>
        <v>0.59433054583869915</v>
      </c>
      <c r="S292" s="837">
        <f t="shared" si="104"/>
        <v>-2</v>
      </c>
      <c r="T292" s="178">
        <f t="shared" si="105"/>
        <v>4</v>
      </c>
      <c r="U292" s="253">
        <f t="shared" si="106"/>
        <v>-1.4056694541613008</v>
      </c>
      <c r="V292" s="385">
        <f t="shared" si="107"/>
        <v>34.154592381196146</v>
      </c>
      <c r="W292" s="58"/>
      <c r="X292" s="157">
        <f t="shared" si="108"/>
        <v>43743</v>
      </c>
      <c r="Y292" s="387">
        <f t="shared" si="109"/>
        <v>30.827000000000005</v>
      </c>
      <c r="Z292" s="387">
        <f t="shared" si="110"/>
        <v>31.137029621326931</v>
      </c>
      <c r="AA292" s="388">
        <f t="shared" si="111"/>
        <v>34.036368683785973</v>
      </c>
      <c r="AB292" s="199">
        <f t="shared" si="112"/>
        <v>43743</v>
      </c>
      <c r="AC292" s="426">
        <f>IF(OR(t&lt;Tnet,NoTnet),'2018'!Resal_s+('2018'!Salim-'2018'!Resal_s)*(1-EXP(('2018'!Tnet_s-t)/'2018'!Tau_j)),Resal_s+(Salim-Resal_s)*(1-EXP((Tnet_s-t)/Tau_j)))*Salcycl</f>
        <v>8.5183560249781048E-2</v>
      </c>
      <c r="AD292" s="233">
        <f>(INDEX(Models!$BJ292:$BT292,,AH292)*(1-AF292)+INDEX(Models!$BJ292:$BT292,,AH292+1)*AF292-ERP_i)*AE292*Ramure*Pc/MaxiM</f>
        <v>4.0249407662087868E-3</v>
      </c>
      <c r="AE292" s="307">
        <f t="shared" si="113"/>
        <v>1</v>
      </c>
      <c r="AF292" s="179">
        <f t="shared" si="114"/>
        <v>0.59433054583869915</v>
      </c>
      <c r="AG292" s="178">
        <f t="shared" si="115"/>
        <v>-2</v>
      </c>
      <c r="AH292" s="178">
        <f t="shared" si="116"/>
        <v>4</v>
      </c>
      <c r="AI292" s="227">
        <f t="shared" si="117"/>
        <v>-1.4056694541613008</v>
      </c>
      <c r="AJ292" s="267" t="b">
        <f t="shared" si="118"/>
        <v>0</v>
      </c>
      <c r="AK292" s="267" t="b">
        <f t="shared" si="119"/>
        <v>0</v>
      </c>
      <c r="AL292" s="267"/>
      <c r="AM292" s="267"/>
      <c r="AN292" s="75"/>
    </row>
    <row r="293" spans="1:40" s="6" customFormat="1" ht="11.25" x14ac:dyDescent="0.2">
      <c r="A293" s="56">
        <f t="shared" si="120"/>
        <v>43744</v>
      </c>
      <c r="B293" s="618">
        <v>17.52</v>
      </c>
      <c r="C293" s="392"/>
      <c r="D293" s="395">
        <f t="shared" si="99"/>
        <v>17.696611876799658</v>
      </c>
      <c r="E293" s="387">
        <f t="shared" si="97"/>
        <v>19.34620548529422</v>
      </c>
      <c r="F293" s="387">
        <f t="shared" si="100"/>
        <v>19.370633094587458</v>
      </c>
      <c r="G293" s="110">
        <f t="shared" si="98"/>
        <v>0.51794944242847762</v>
      </c>
      <c r="H293" s="414" t="b">
        <f>Wh_hp&gt;='2018'!Maxi_hp</f>
        <v>0</v>
      </c>
      <c r="I293" s="392">
        <f>IF(H293,Wh_hp,'2018'!Maxi_hp)</f>
        <v>33.993896318509428</v>
      </c>
      <c r="J293" s="85">
        <f>IF(H293,An,'2018'!An_max)</f>
        <v>2018</v>
      </c>
      <c r="K293" s="199">
        <f t="shared" si="101"/>
        <v>43744</v>
      </c>
      <c r="L293" s="147">
        <f>IF(t&lt;Tvie,1-EXP((T0-t)*PertePVj)+'2018'!Pspv,1-EXP((T0-t)*PertePVj)+Pspv)</f>
        <v>9.9799824977342411E-3</v>
      </c>
      <c r="M293" s="870"/>
      <c r="N293" s="870"/>
      <c r="O293" s="48">
        <f>IF(t&lt;Tnet,'2018'!Resal+('2018'!Salim-'2018'!Resal)*(1-EXP(('2018'!Tnet-t)/('2018'!Tau_j))),Resal+(Salim-Resal)*(1-EXP((Tnet-t)/(Tau_j))))*Salcycl</f>
        <v>8.5267036460895687E-2</v>
      </c>
      <c r="P293" s="171">
        <f>(INDEX(Models!$BJ293:$BT293,,T293)*(1-R293)+INDEX(Models!$BJ293:$BT293,,T293+1)*R293-ERP_i)*Q293*Ramure*Pc/MaxiM</f>
        <v>4.0237039628186148E-3</v>
      </c>
      <c r="Q293" s="307">
        <f t="shared" si="102"/>
        <v>1</v>
      </c>
      <c r="R293" s="179">
        <f t="shared" si="103"/>
        <v>0.59455734873815391</v>
      </c>
      <c r="S293" s="837">
        <f t="shared" si="104"/>
        <v>-2</v>
      </c>
      <c r="T293" s="178">
        <f t="shared" si="105"/>
        <v>4</v>
      </c>
      <c r="U293" s="253">
        <f t="shared" si="106"/>
        <v>-1.4054426512618461</v>
      </c>
      <c r="V293" s="385">
        <f t="shared" si="107"/>
        <v>33.732129052318164</v>
      </c>
      <c r="W293" s="58"/>
      <c r="X293" s="157">
        <f t="shared" si="108"/>
        <v>43744</v>
      </c>
      <c r="Y293" s="387">
        <f t="shared" si="109"/>
        <v>17.52</v>
      </c>
      <c r="Z293" s="387">
        <f t="shared" si="110"/>
        <v>17.696611876799658</v>
      </c>
      <c r="AA293" s="388">
        <f t="shared" si="111"/>
        <v>19.34620548529422</v>
      </c>
      <c r="AB293" s="199">
        <f t="shared" si="112"/>
        <v>43744</v>
      </c>
      <c r="AC293" s="426">
        <f>IF(OR(t&lt;Tnet,NoTnet),'2018'!Resal_s+('2018'!Salim-'2018'!Resal_s)*(1-EXP(('2018'!Tnet_s-t)/'2018'!Tau_j)),Resal_s+(Salim-Resal_s)*(1-EXP((Tnet_s-t)/Tau_j)))*Salcycl</f>
        <v>8.5267036460895687E-2</v>
      </c>
      <c r="AD293" s="233">
        <f>(INDEX(Models!$BJ293:$BT293,,AH293)*(1-AF293)+INDEX(Models!$BJ293:$BT293,,AH293+1)*AF293-ERP_i)*AE293*Ramure*Pc/MaxiM</f>
        <v>4.0237039628186148E-3</v>
      </c>
      <c r="AE293" s="307">
        <f t="shared" si="113"/>
        <v>1</v>
      </c>
      <c r="AF293" s="179">
        <f t="shared" si="114"/>
        <v>0.59455734873815391</v>
      </c>
      <c r="AG293" s="178">
        <f t="shared" si="115"/>
        <v>-2</v>
      </c>
      <c r="AH293" s="178">
        <f t="shared" si="116"/>
        <v>4</v>
      </c>
      <c r="AI293" s="227">
        <f t="shared" si="117"/>
        <v>-1.4054426512618461</v>
      </c>
      <c r="AJ293" s="267" t="b">
        <f t="shared" si="118"/>
        <v>0</v>
      </c>
      <c r="AK293" s="267" t="b">
        <f t="shared" si="119"/>
        <v>0</v>
      </c>
      <c r="AL293" s="267"/>
      <c r="AM293" s="267"/>
      <c r="AN293" s="75"/>
    </row>
    <row r="294" spans="1:40" s="6" customFormat="1" ht="11.25" customHeight="1" x14ac:dyDescent="0.2">
      <c r="A294" s="56">
        <f t="shared" si="120"/>
        <v>43745</v>
      </c>
      <c r="B294" s="618">
        <v>27.521000000000001</v>
      </c>
      <c r="C294" s="392"/>
      <c r="D294" s="395">
        <f t="shared" si="99"/>
        <v>27.799074748220686</v>
      </c>
      <c r="E294" s="387">
        <f t="shared" si="97"/>
        <v>30.393054016872238</v>
      </c>
      <c r="F294" s="387">
        <f t="shared" si="100"/>
        <v>30.48516803437801</v>
      </c>
      <c r="G294" s="110">
        <f t="shared" si="98"/>
        <v>0.82536215682448322</v>
      </c>
      <c r="H294" s="414" t="b">
        <f>Wh_hp&gt;='2018'!Maxi_hp</f>
        <v>1</v>
      </c>
      <c r="I294" s="392">
        <f>IF(H294,Wh_hp,'2018'!Maxi_hp)</f>
        <v>30.48516803437801</v>
      </c>
      <c r="J294" s="85">
        <f>IF(H294,An,'2018'!An_max)</f>
        <v>2019</v>
      </c>
      <c r="K294" s="199">
        <f t="shared" si="101"/>
        <v>43745</v>
      </c>
      <c r="L294" s="147">
        <f>IF(t&lt;Tvie,1-EXP((T0-t)*PertePVj)+'2018'!Pspv,1-EXP((T0-t)*PertePVj)+Pspv)</f>
        <v>1.0003021709867665E-2</v>
      </c>
      <c r="M294" s="870"/>
      <c r="N294" s="870"/>
      <c r="O294" s="48">
        <f>IF(t&lt;Tnet,'2018'!Resal+('2018'!Salim-'2018'!Resal)*(1-EXP(('2018'!Tnet-t)/('2018'!Tau_j))),Resal+(Salim-Resal)*(1-EXP((Tnet-t)/(Tau_j))))*Salcycl</f>
        <v>8.534776621038298E-2</v>
      </c>
      <c r="P294" s="171">
        <f>(INDEX(Models!$BJ294:$BT294,,T294)*(1-R294)+INDEX(Models!$BJ294:$BT294,,T294+1)*R294-ERP_i)*Q294*Ramure*Pc/MaxiM</f>
        <v>4.0196957475170979E-3</v>
      </c>
      <c r="Q294" s="307">
        <f t="shared" si="102"/>
        <v>1</v>
      </c>
      <c r="R294" s="179">
        <f t="shared" si="103"/>
        <v>0.59477515903928602</v>
      </c>
      <c r="S294" s="837">
        <f t="shared" si="104"/>
        <v>-2</v>
      </c>
      <c r="T294" s="178">
        <f t="shared" si="105"/>
        <v>4</v>
      </c>
      <c r="U294" s="253">
        <f t="shared" si="106"/>
        <v>-1.405224840960714</v>
      </c>
      <c r="V294" s="385">
        <f t="shared" si="107"/>
        <v>33.31076904787048</v>
      </c>
      <c r="W294" s="58"/>
      <c r="X294" s="157">
        <f t="shared" si="108"/>
        <v>43745</v>
      </c>
      <c r="Y294" s="387">
        <f t="shared" si="109"/>
        <v>27.521000000000001</v>
      </c>
      <c r="Z294" s="387">
        <f t="shared" si="110"/>
        <v>27.799074748220686</v>
      </c>
      <c r="AA294" s="388">
        <f t="shared" si="111"/>
        <v>30.393054016872238</v>
      </c>
      <c r="AB294" s="199">
        <f t="shared" si="112"/>
        <v>43745</v>
      </c>
      <c r="AC294" s="426">
        <f>IF(OR(t&lt;Tnet,NoTnet),'2018'!Resal_s+('2018'!Salim-'2018'!Resal_s)*(1-EXP(('2018'!Tnet_s-t)/'2018'!Tau_j)),Resal_s+(Salim-Resal_s)*(1-EXP((Tnet_s-t)/Tau_j)))*Salcycl</f>
        <v>8.534776621038298E-2</v>
      </c>
      <c r="AD294" s="233">
        <f>(INDEX(Models!$BJ294:$BT294,,AH294)*(1-AF294)+INDEX(Models!$BJ294:$BT294,,AH294+1)*AF294-ERP_i)*AE294*Ramure*Pc/MaxiM</f>
        <v>4.0196957475170979E-3</v>
      </c>
      <c r="AE294" s="307">
        <f t="shared" si="113"/>
        <v>1</v>
      </c>
      <c r="AF294" s="179">
        <f t="shared" si="114"/>
        <v>0.59477515903928602</v>
      </c>
      <c r="AG294" s="178">
        <f t="shared" si="115"/>
        <v>-2</v>
      </c>
      <c r="AH294" s="178">
        <f t="shared" si="116"/>
        <v>4</v>
      </c>
      <c r="AI294" s="227">
        <f t="shared" si="117"/>
        <v>-1.405224840960714</v>
      </c>
      <c r="AJ294" s="267" t="b">
        <f t="shared" si="118"/>
        <v>0</v>
      </c>
      <c r="AK294" s="267" t="b">
        <f t="shared" si="119"/>
        <v>0</v>
      </c>
      <c r="AL294" s="267"/>
      <c r="AM294" s="267"/>
      <c r="AN294" s="75"/>
    </row>
    <row r="295" spans="1:40" s="6" customFormat="1" ht="11.25" customHeight="1" x14ac:dyDescent="0.2">
      <c r="A295" s="56">
        <f t="shared" si="120"/>
        <v>43746</v>
      </c>
      <c r="B295" s="618">
        <v>31.085999999999999</v>
      </c>
      <c r="C295" s="392"/>
      <c r="D295" s="395">
        <f t="shared" si="99"/>
        <v>31.400826583491529</v>
      </c>
      <c r="E295" s="387">
        <f t="shared" si="97"/>
        <v>34.333818048841934</v>
      </c>
      <c r="F295" s="387">
        <f t="shared" si="100"/>
        <v>34.461256001132043</v>
      </c>
      <c r="G295" s="110">
        <f t="shared" si="98"/>
        <v>0.94480795409609153</v>
      </c>
      <c r="H295" s="414" t="b">
        <f>Wh_hp&gt;='2018'!Maxi_hp</f>
        <v>1</v>
      </c>
      <c r="I295" s="392">
        <f>IF(H295,Wh_hp,'2018'!Maxi_hp)</f>
        <v>34.461256001132043</v>
      </c>
      <c r="J295" s="85">
        <f>IF(H295,An,'2018'!An_max)</f>
        <v>2019</v>
      </c>
      <c r="K295" s="199">
        <f t="shared" si="101"/>
        <v>43746</v>
      </c>
      <c r="L295" s="147">
        <f>IF(t&lt;Tvie,1-EXP((T0-t)*PertePVj)+'2018'!Pspv,1-EXP((T0-t)*PertePVj)+Pspv)</f>
        <v>1.002606038584497E-2</v>
      </c>
      <c r="M295" s="870"/>
      <c r="N295" s="870"/>
      <c r="O295" s="48">
        <f>IF(t&lt;Tnet,'2018'!Resal+('2018'!Salim-'2018'!Resal)*(1-EXP(('2018'!Tnet-t)/('2018'!Tau_j))),Resal+(Salim-Resal)*(1-EXP((Tnet-t)/(Tau_j))))*Salcycl</f>
        <v>8.5425729849737286E-2</v>
      </c>
      <c r="P295" s="171">
        <f>(INDEX(Models!$BJ295:$BT295,,T295)*(1-R295)+INDEX(Models!$BJ295:$BT295,,T295+1)*R295-ERP_i)*Q295*Ramure*Pc/MaxiM</f>
        <v>4.0126782153928698E-3</v>
      </c>
      <c r="Q295" s="307">
        <f t="shared" si="102"/>
        <v>1</v>
      </c>
      <c r="R295" s="179">
        <f t="shared" si="103"/>
        <v>0.59498432795149148</v>
      </c>
      <c r="S295" s="837">
        <f t="shared" si="104"/>
        <v>-2</v>
      </c>
      <c r="T295" s="178">
        <f t="shared" si="105"/>
        <v>4</v>
      </c>
      <c r="U295" s="253">
        <f t="shared" si="106"/>
        <v>-1.4050156720485085</v>
      </c>
      <c r="V295" s="385">
        <f t="shared" si="107"/>
        <v>32.891532798645912</v>
      </c>
      <c r="W295" s="58"/>
      <c r="X295" s="157">
        <f t="shared" si="108"/>
        <v>43746</v>
      </c>
      <c r="Y295" s="387">
        <f t="shared" si="109"/>
        <v>31.085999999999999</v>
      </c>
      <c r="Z295" s="387">
        <f t="shared" si="110"/>
        <v>31.400826583491529</v>
      </c>
      <c r="AA295" s="388">
        <f t="shared" si="111"/>
        <v>34.333818048841934</v>
      </c>
      <c r="AB295" s="199">
        <f t="shared" si="112"/>
        <v>43746</v>
      </c>
      <c r="AC295" s="426">
        <f>IF(OR(t&lt;Tnet,NoTnet),'2018'!Resal_s+('2018'!Salim-'2018'!Resal_s)*(1-EXP(('2018'!Tnet_s-t)/'2018'!Tau_j)),Resal_s+(Salim-Resal_s)*(1-EXP((Tnet_s-t)/Tau_j)))*Salcycl</f>
        <v>8.5425729849737286E-2</v>
      </c>
      <c r="AD295" s="233">
        <f>(INDEX(Models!$BJ295:$BT295,,AH295)*(1-AF295)+INDEX(Models!$BJ295:$BT295,,AH295+1)*AF295-ERP_i)*AE295*Ramure*Pc/MaxiM</f>
        <v>4.0126782153928698E-3</v>
      </c>
      <c r="AE295" s="307">
        <f t="shared" si="113"/>
        <v>1</v>
      </c>
      <c r="AF295" s="179">
        <f t="shared" si="114"/>
        <v>0.59498432795149148</v>
      </c>
      <c r="AG295" s="178">
        <f t="shared" si="115"/>
        <v>-2</v>
      </c>
      <c r="AH295" s="178">
        <f t="shared" si="116"/>
        <v>4</v>
      </c>
      <c r="AI295" s="227">
        <f t="shared" si="117"/>
        <v>-1.4050156720485085</v>
      </c>
      <c r="AJ295" s="267" t="b">
        <f t="shared" si="118"/>
        <v>0</v>
      </c>
      <c r="AK295" s="267" t="b">
        <f t="shared" si="119"/>
        <v>0</v>
      </c>
      <c r="AL295" s="267"/>
      <c r="AM295" s="267"/>
      <c r="AN295" s="75"/>
    </row>
    <row r="296" spans="1:40" s="6" customFormat="1" ht="11.25" customHeight="1" x14ac:dyDescent="0.2">
      <c r="A296" s="56">
        <f t="shared" si="120"/>
        <v>43747</v>
      </c>
      <c r="B296" s="618">
        <v>8.9670000000000005</v>
      </c>
      <c r="C296" s="392"/>
      <c r="D296" s="395">
        <f t="shared" si="99"/>
        <v>9.0580249855276271</v>
      </c>
      <c r="E296" s="387">
        <f t="shared" si="97"/>
        <v>9.9049032714158844</v>
      </c>
      <c r="F296" s="387">
        <f t="shared" si="100"/>
        <v>9.9049032714158844</v>
      </c>
      <c r="G296" s="110">
        <f t="shared" si="98"/>
        <v>0.27501122198587979</v>
      </c>
      <c r="H296" s="414" t="b">
        <f>Wh_hp&gt;='2018'!Maxi_hp</f>
        <v>0</v>
      </c>
      <c r="I296" s="392">
        <f>IF(H296,Wh_hp,'2018'!Maxi_hp)</f>
        <v>31.887839166826826</v>
      </c>
      <c r="J296" s="85">
        <f>IF(H296,An,'2018'!An_max)</f>
        <v>2018</v>
      </c>
      <c r="K296" s="199">
        <f t="shared" si="101"/>
        <v>43747</v>
      </c>
      <c r="L296" s="147">
        <f>IF(t&lt;Tvie,1-EXP((T0-t)*PertePVj)+'2018'!Pspv,1-EXP((T0-t)*PertePVj)+Pspv)</f>
        <v>1.0049098525678701E-2</v>
      </c>
      <c r="M296" s="870"/>
      <c r="N296" s="870"/>
      <c r="O296" s="48">
        <f>IF(t&lt;Tnet,'2018'!Resal+('2018'!Salim-'2018'!Resal)*(1-EXP(('2018'!Tnet-t)/('2018'!Tau_j))),Resal+(Salim-Resal)*(1-EXP((Tnet-t)/(Tau_j))))*Salcycl</f>
        <v>8.5500914313037732E-2</v>
      </c>
      <c r="P296" s="171">
        <f>(INDEX(Models!$BJ296:$BT296,,T296)*(1-R296)+INDEX(Models!$BJ296:$BT296,,T296+1)*R296-ERP_i)*Q296*Ramure*Pc/MaxiM</f>
        <v>4.0137642040357765E-3</v>
      </c>
      <c r="Q296" s="307">
        <f t="shared" si="102"/>
        <v>1</v>
      </c>
      <c r="R296" s="179">
        <f t="shared" si="103"/>
        <v>0.59518519338641918</v>
      </c>
      <c r="S296" s="837">
        <f t="shared" si="104"/>
        <v>-2</v>
      </c>
      <c r="T296" s="178">
        <f t="shared" si="105"/>
        <v>4</v>
      </c>
      <c r="U296" s="253">
        <f t="shared" si="106"/>
        <v>-1.4048148066135808</v>
      </c>
      <c r="V296" s="385">
        <f t="shared" si="107"/>
        <v>32.475069605853996</v>
      </c>
      <c r="W296" s="58"/>
      <c r="X296" s="157">
        <f t="shared" si="108"/>
        <v>43747</v>
      </c>
      <c r="Y296" s="387">
        <f t="shared" si="109"/>
        <v>8.9670000000000005</v>
      </c>
      <c r="Z296" s="387">
        <f t="shared" si="110"/>
        <v>9.0580249855276271</v>
      </c>
      <c r="AA296" s="388">
        <f t="shared" si="111"/>
        <v>9.9049032714158844</v>
      </c>
      <c r="AB296" s="199">
        <f t="shared" si="112"/>
        <v>43747</v>
      </c>
      <c r="AC296" s="426">
        <f>IF(OR(t&lt;Tnet,NoTnet),'2018'!Resal_s+('2018'!Salim-'2018'!Resal_s)*(1-EXP(('2018'!Tnet_s-t)/'2018'!Tau_j)),Resal_s+(Salim-Resal_s)*(1-EXP((Tnet_s-t)/Tau_j)))*Salcycl</f>
        <v>8.5500914313037732E-2</v>
      </c>
      <c r="AD296" s="233">
        <f>(INDEX(Models!$BJ296:$BT296,,AH296)*(1-AF296)+INDEX(Models!$BJ296:$BT296,,AH296+1)*AF296-ERP_i)*AE296*Ramure*Pc/MaxiM</f>
        <v>4.0137642040357765E-3</v>
      </c>
      <c r="AE296" s="307">
        <f t="shared" si="113"/>
        <v>1</v>
      </c>
      <c r="AF296" s="179">
        <f t="shared" si="114"/>
        <v>0.59518519338641918</v>
      </c>
      <c r="AG296" s="178">
        <f t="shared" si="115"/>
        <v>-2</v>
      </c>
      <c r="AH296" s="178">
        <f t="shared" si="116"/>
        <v>4</v>
      </c>
      <c r="AI296" s="227">
        <f t="shared" si="117"/>
        <v>-1.4048148066135808</v>
      </c>
      <c r="AJ296" s="267" t="b">
        <f t="shared" si="118"/>
        <v>0</v>
      </c>
      <c r="AK296" s="267" t="b">
        <f t="shared" si="119"/>
        <v>0</v>
      </c>
      <c r="AL296" s="267"/>
      <c r="AM296" s="267"/>
      <c r="AN296" s="75"/>
    </row>
    <row r="297" spans="1:40" s="6" customFormat="1" ht="11.25" customHeight="1" x14ac:dyDescent="0.2">
      <c r="A297" s="56">
        <f t="shared" si="120"/>
        <v>43748</v>
      </c>
      <c r="B297" s="618">
        <v>23.169</v>
      </c>
      <c r="C297" s="392"/>
      <c r="D297" s="395">
        <f t="shared" si="99"/>
        <v>23.404735683880226</v>
      </c>
      <c r="E297" s="387">
        <f t="shared" ref="E297:E360" si="121">Wh_pvt/(1-Psa)</f>
        <v>25.594983206792584</v>
      </c>
      <c r="F297" s="387">
        <f t="shared" si="100"/>
        <v>25.657335710961718</v>
      </c>
      <c r="G297" s="110">
        <f t="shared" ref="G297:G360" si="122">+Wh_hp/MaxiM</f>
        <v>0.72146827715701634</v>
      </c>
      <c r="H297" s="414" t="b">
        <f>Wh_hp&gt;='2018'!Maxi_hp</f>
        <v>1</v>
      </c>
      <c r="I297" s="392">
        <f>IF(H297,Wh_hp,'2018'!Maxi_hp)</f>
        <v>25.657335710961718</v>
      </c>
      <c r="J297" s="85">
        <f>IF(H297,An,'2018'!An_max)</f>
        <v>2019</v>
      </c>
      <c r="K297" s="199">
        <f t="shared" si="101"/>
        <v>43748</v>
      </c>
      <c r="L297" s="147">
        <f>IF(t&lt;Tvie,1-EXP((T0-t)*PertePVj)+'2018'!Pspv,1-EXP((T0-t)*PertePVj)+Pspv)</f>
        <v>1.0072136129381182E-2</v>
      </c>
      <c r="M297" s="870"/>
      <c r="N297" s="870"/>
      <c r="O297" s="48">
        <f>IF(t&lt;Tnet,'2018'!Resal+('2018'!Salim-'2018'!Resal)*(1-EXP(('2018'!Tnet-t)/('2018'!Tau_j))),Resal+(Salim-Resal)*(1-EXP((Tnet-t)/(Tau_j))))*Salcycl</f>
        <v>8.5573313536345466E-2</v>
      </c>
      <c r="P297" s="171">
        <f>(INDEX(Models!$BJ297:$BT297,,T297)*(1-R297)+INDEX(Models!$BJ297:$BT297,,T297+1)*R297-ERP_i)*Q297*Ramure*Pc/MaxiM</f>
        <v>4.0251917519581945E-3</v>
      </c>
      <c r="Q297" s="307">
        <f t="shared" si="102"/>
        <v>1</v>
      </c>
      <c r="R297" s="179">
        <f t="shared" si="103"/>
        <v>0.59537808042844675</v>
      </c>
      <c r="S297" s="837">
        <f t="shared" si="104"/>
        <v>-2</v>
      </c>
      <c r="T297" s="178">
        <f t="shared" si="105"/>
        <v>4</v>
      </c>
      <c r="U297" s="253">
        <f t="shared" si="106"/>
        <v>-1.4046219195715532</v>
      </c>
      <c r="V297" s="385">
        <f t="shared" si="107"/>
        <v>32.062332309863677</v>
      </c>
      <c r="W297" s="58"/>
      <c r="X297" s="157">
        <f t="shared" si="108"/>
        <v>43748</v>
      </c>
      <c r="Y297" s="387">
        <f t="shared" si="109"/>
        <v>23.169</v>
      </c>
      <c r="Z297" s="387">
        <f t="shared" si="110"/>
        <v>23.404735683880226</v>
      </c>
      <c r="AA297" s="388">
        <f t="shared" si="111"/>
        <v>25.594983206792584</v>
      </c>
      <c r="AB297" s="199">
        <f t="shared" si="112"/>
        <v>43748</v>
      </c>
      <c r="AC297" s="426">
        <f>IF(OR(t&lt;Tnet,NoTnet),'2018'!Resal_s+('2018'!Salim-'2018'!Resal_s)*(1-EXP(('2018'!Tnet_s-t)/'2018'!Tau_j)),Resal_s+(Salim-Resal_s)*(1-EXP((Tnet_s-t)/Tau_j)))*Salcycl</f>
        <v>8.5573313536345466E-2</v>
      </c>
      <c r="AD297" s="233">
        <f>(INDEX(Models!$BJ297:$BT297,,AH297)*(1-AF297)+INDEX(Models!$BJ297:$BT297,,AH297+1)*AF297-ERP_i)*AE297*Ramure*Pc/MaxiM</f>
        <v>4.0251917519581945E-3</v>
      </c>
      <c r="AE297" s="307">
        <f t="shared" si="113"/>
        <v>1</v>
      </c>
      <c r="AF297" s="179">
        <f t="shared" si="114"/>
        <v>0.59537808042844675</v>
      </c>
      <c r="AG297" s="178">
        <f t="shared" si="115"/>
        <v>-2</v>
      </c>
      <c r="AH297" s="178">
        <f t="shared" si="116"/>
        <v>4</v>
      </c>
      <c r="AI297" s="227">
        <f t="shared" si="117"/>
        <v>-1.4046219195715532</v>
      </c>
      <c r="AJ297" s="267" t="b">
        <f t="shared" si="118"/>
        <v>0</v>
      </c>
      <c r="AK297" s="267" t="b">
        <f t="shared" si="119"/>
        <v>0</v>
      </c>
      <c r="AL297" s="267"/>
      <c r="AM297" s="267"/>
      <c r="AN297" s="75"/>
    </row>
    <row r="298" spans="1:40" s="6" customFormat="1" ht="11.25" customHeight="1" x14ac:dyDescent="0.2">
      <c r="A298" s="56">
        <f t="shared" si="120"/>
        <v>43749</v>
      </c>
      <c r="B298" s="618">
        <v>31.757000000000001</v>
      </c>
      <c r="C298" s="392"/>
      <c r="D298" s="395">
        <f t="shared" si="99"/>
        <v>32.080861856751817</v>
      </c>
      <c r="E298" s="387">
        <f t="shared" si="121"/>
        <v>35.085704336968696</v>
      </c>
      <c r="F298" s="387">
        <f t="shared" si="100"/>
        <v>35.228282069749262</v>
      </c>
      <c r="G298" s="110">
        <f t="shared" si="122"/>
        <v>1.003243206176593</v>
      </c>
      <c r="H298" s="414" t="b">
        <f>Wh_hp&gt;='2018'!Maxi_hp</f>
        <v>1</v>
      </c>
      <c r="I298" s="392">
        <f>IF(H298,Wh_hp,'2018'!Maxi_hp)</f>
        <v>35.228282069749262</v>
      </c>
      <c r="J298" s="85">
        <f>IF(H298,An,'2018'!An_max)</f>
        <v>2019</v>
      </c>
      <c r="K298" s="199">
        <f t="shared" si="101"/>
        <v>43749</v>
      </c>
      <c r="L298" s="147">
        <f>IF(t&lt;Tvie,1-EXP((T0-t)*PertePVj)+'2018'!Pspv,1-EXP((T0-t)*PertePVj)+Pspv)</f>
        <v>1.0095173196964957E-2</v>
      </c>
      <c r="M298" s="870"/>
      <c r="N298" s="870"/>
      <c r="O298" s="48">
        <f>IF(t&lt;Tnet,'2018'!Resal+('2018'!Salim-'2018'!Resal)*(1-EXP(('2018'!Tnet-t)/('2018'!Tau_j))),Resal+(Salim-Resal)*(1-EXP((Tnet-t)/(Tau_j))))*Salcycl</f>
        <v>8.5642928850961461E-2</v>
      </c>
      <c r="P298" s="171">
        <f>(INDEX(Models!$BJ298:$BT298,,T298)*(1-R298)+INDEX(Models!$BJ298:$BT298,,T298+1)*R298-ERP_i)*Q298*Ramure*Pc/MaxiM</f>
        <v>4.0472519352000649E-3</v>
      </c>
      <c r="Q298" s="307">
        <f t="shared" si="102"/>
        <v>1</v>
      </c>
      <c r="R298" s="179">
        <f t="shared" si="103"/>
        <v>0.59556330179115946</v>
      </c>
      <c r="S298" s="837">
        <f t="shared" si="104"/>
        <v>-2</v>
      </c>
      <c r="T298" s="178">
        <f t="shared" si="105"/>
        <v>4</v>
      </c>
      <c r="U298" s="253">
        <f t="shared" si="106"/>
        <v>-1.4044366982088405</v>
      </c>
      <c r="V298" s="385">
        <f t="shared" si="107"/>
        <v>31.654338454009988</v>
      </c>
      <c r="W298" s="58"/>
      <c r="X298" s="157">
        <f t="shared" si="108"/>
        <v>43749</v>
      </c>
      <c r="Y298" s="387">
        <f t="shared" si="109"/>
        <v>31.757000000000001</v>
      </c>
      <c r="Z298" s="387">
        <f t="shared" si="110"/>
        <v>32.080861856751817</v>
      </c>
      <c r="AA298" s="388">
        <f t="shared" si="111"/>
        <v>35.085704336968696</v>
      </c>
      <c r="AB298" s="199">
        <f t="shared" si="112"/>
        <v>43749</v>
      </c>
      <c r="AC298" s="426">
        <f>IF(OR(t&lt;Tnet,NoTnet),'2018'!Resal_s+('2018'!Salim-'2018'!Resal_s)*(1-EXP(('2018'!Tnet_s-t)/'2018'!Tau_j)),Resal_s+(Salim-Resal_s)*(1-EXP((Tnet_s-t)/Tau_j)))*Salcycl</f>
        <v>8.5642928850961461E-2</v>
      </c>
      <c r="AD298" s="233">
        <f>(INDEX(Models!$BJ298:$BT298,,AH298)*(1-AF298)+INDEX(Models!$BJ298:$BT298,,AH298+1)*AF298-ERP_i)*AE298*Ramure*Pc/MaxiM</f>
        <v>4.0472519352000649E-3</v>
      </c>
      <c r="AE298" s="307">
        <f t="shared" si="113"/>
        <v>1</v>
      </c>
      <c r="AF298" s="179">
        <f t="shared" si="114"/>
        <v>0.59556330179115946</v>
      </c>
      <c r="AG298" s="178">
        <f t="shared" si="115"/>
        <v>-2</v>
      </c>
      <c r="AH298" s="178">
        <f t="shared" si="116"/>
        <v>4</v>
      </c>
      <c r="AI298" s="227">
        <f t="shared" si="117"/>
        <v>-1.4044366982088405</v>
      </c>
      <c r="AJ298" s="267" t="b">
        <f t="shared" si="118"/>
        <v>0</v>
      </c>
      <c r="AK298" s="267" t="b">
        <f t="shared" si="119"/>
        <v>0</v>
      </c>
      <c r="AL298" s="267"/>
      <c r="AM298" s="267"/>
      <c r="AN298" s="75"/>
    </row>
    <row r="299" spans="1:40" s="6" customFormat="1" ht="11.25" customHeight="1" x14ac:dyDescent="0.2">
      <c r="A299" s="56">
        <f t="shared" si="120"/>
        <v>43750</v>
      </c>
      <c r="B299" s="618">
        <v>15.401</v>
      </c>
      <c r="C299" s="392"/>
      <c r="D299" s="395">
        <f t="shared" si="99"/>
        <v>15.558423390913166</v>
      </c>
      <c r="E299" s="387">
        <f t="shared" si="121"/>
        <v>17.016941523908091</v>
      </c>
      <c r="F299" s="387">
        <f t="shared" si="100"/>
        <v>17.0360868008738</v>
      </c>
      <c r="G299" s="110">
        <f t="shared" si="122"/>
        <v>0.49134024017301442</v>
      </c>
      <c r="H299" s="414" t="b">
        <f>Wh_hp&gt;='2018'!Maxi_hp</f>
        <v>0</v>
      </c>
      <c r="I299" s="392">
        <f>IF(H299,Wh_hp,'2018'!Maxi_hp)</f>
        <v>31.032234429948332</v>
      </c>
      <c r="J299" s="85">
        <f>IF(H299,An,'2018'!An_max)</f>
        <v>2018</v>
      </c>
      <c r="K299" s="199">
        <f t="shared" si="101"/>
        <v>43750</v>
      </c>
      <c r="L299" s="147">
        <f>IF(t&lt;Tvie,1-EXP((T0-t)*PertePVj)+'2018'!Pspv,1-EXP((T0-t)*PertePVj)+Pspv)</f>
        <v>1.0118209728442573E-2</v>
      </c>
      <c r="M299" s="870"/>
      <c r="N299" s="870"/>
      <c r="O299" s="48">
        <f>IF(t&lt;Tnet,'2018'!Resal+('2018'!Salim-'2018'!Resal)*(1-EXP(('2018'!Tnet-t)/('2018'!Tau_j))),Resal+(Salim-Resal)*(1-EXP((Tnet-t)/(Tau_j))))*Salcycl</f>
        <v>8.5709769346375642E-2</v>
      </c>
      <c r="P299" s="171">
        <f>(INDEX(Models!$BJ299:$BT299,,T299)*(1-R299)+INDEX(Models!$BJ299:$BT299,,T299+1)*R299-ERP_i)*Q299*Ramure*Pc/MaxiM</f>
        <v>4.0802381451242814E-3</v>
      </c>
      <c r="Q299" s="307">
        <f t="shared" si="102"/>
        <v>1</v>
      </c>
      <c r="R299" s="179">
        <f t="shared" si="103"/>
        <v>0.59574115826002161</v>
      </c>
      <c r="S299" s="837">
        <f t="shared" si="104"/>
        <v>-2</v>
      </c>
      <c r="T299" s="178">
        <f t="shared" si="105"/>
        <v>4</v>
      </c>
      <c r="U299" s="253">
        <f t="shared" si="106"/>
        <v>-1.4042588417399784</v>
      </c>
      <c r="V299" s="385">
        <f t="shared" si="107"/>
        <v>31.252105007356203</v>
      </c>
      <c r="W299" s="58"/>
      <c r="X299" s="157">
        <f t="shared" si="108"/>
        <v>43750</v>
      </c>
      <c r="Y299" s="387">
        <f t="shared" si="109"/>
        <v>15.401</v>
      </c>
      <c r="Z299" s="387">
        <f t="shared" si="110"/>
        <v>15.558423390913166</v>
      </c>
      <c r="AA299" s="388">
        <f t="shared" si="111"/>
        <v>17.016941523908091</v>
      </c>
      <c r="AB299" s="199">
        <f t="shared" si="112"/>
        <v>43750</v>
      </c>
      <c r="AC299" s="426">
        <f>IF(OR(t&lt;Tnet,NoTnet),'2018'!Resal_s+('2018'!Salim-'2018'!Resal_s)*(1-EXP(('2018'!Tnet_s-t)/'2018'!Tau_j)),Resal_s+(Salim-Resal_s)*(1-EXP((Tnet_s-t)/Tau_j)))*Salcycl</f>
        <v>8.5709769346375642E-2</v>
      </c>
      <c r="AD299" s="233">
        <f>(INDEX(Models!$BJ299:$BT299,,AH299)*(1-AF299)+INDEX(Models!$BJ299:$BT299,,AH299+1)*AF299-ERP_i)*AE299*Ramure*Pc/MaxiM</f>
        <v>4.0802381451242814E-3</v>
      </c>
      <c r="AE299" s="307">
        <f t="shared" si="113"/>
        <v>1</v>
      </c>
      <c r="AF299" s="179">
        <f t="shared" si="114"/>
        <v>0.59574115826002161</v>
      </c>
      <c r="AG299" s="178">
        <f t="shared" si="115"/>
        <v>-2</v>
      </c>
      <c r="AH299" s="178">
        <f t="shared" si="116"/>
        <v>4</v>
      </c>
      <c r="AI299" s="227">
        <f t="shared" si="117"/>
        <v>-1.4042588417399784</v>
      </c>
      <c r="AJ299" s="267" t="b">
        <f t="shared" si="118"/>
        <v>0</v>
      </c>
      <c r="AK299" s="267" t="b">
        <f t="shared" si="119"/>
        <v>0</v>
      </c>
      <c r="AL299" s="267"/>
      <c r="AM299" s="267"/>
      <c r="AN299" s="75"/>
    </row>
    <row r="300" spans="1:40" s="6" customFormat="1" ht="11.25" customHeight="1" x14ac:dyDescent="0.2">
      <c r="A300" s="56">
        <f t="shared" si="120"/>
        <v>43751</v>
      </c>
      <c r="B300" s="618">
        <v>28.559000000000001</v>
      </c>
      <c r="C300" s="392"/>
      <c r="D300" s="395">
        <f t="shared" si="99"/>
        <v>28.851591074610987</v>
      </c>
      <c r="E300" s="387">
        <f t="shared" si="121"/>
        <v>31.558483799664209</v>
      </c>
      <c r="F300" s="387">
        <f t="shared" si="100"/>
        <v>31.675229426911173</v>
      </c>
      <c r="G300" s="110">
        <f t="shared" si="122"/>
        <v>0.92513041093485404</v>
      </c>
      <c r="H300" s="414" t="b">
        <f>Wh_hp&gt;='2018'!Maxi_hp</f>
        <v>1</v>
      </c>
      <c r="I300" s="392">
        <f>IF(H300,Wh_hp,'2018'!Maxi_hp)</f>
        <v>31.675229426911173</v>
      </c>
      <c r="J300" s="85">
        <f>IF(H300,An,'2018'!An_max)</f>
        <v>2019</v>
      </c>
      <c r="K300" s="199">
        <f t="shared" si="101"/>
        <v>43751</v>
      </c>
      <c r="L300" s="147">
        <f>IF(t&lt;Tvie,1-EXP((T0-t)*PertePVj)+'2018'!Pspv,1-EXP((T0-t)*PertePVj)+Pspv)</f>
        <v>1.0141245723826353E-2</v>
      </c>
      <c r="M300" s="870"/>
      <c r="N300" s="870"/>
      <c r="O300" s="48">
        <f>IF(t&lt;Tnet,'2018'!Resal+('2018'!Salim-'2018'!Resal)*(1-EXP(('2018'!Tnet-t)/('2018'!Tau_j))),Resal+(Salim-Resal)*(1-EXP((Tnet-t)/(Tau_j))))*Salcycl</f>
        <v>8.5773852198882491E-2</v>
      </c>
      <c r="P300" s="171">
        <f>(INDEX(Models!$BJ300:$BT300,,T300)*(1-R300)+INDEX(Models!$BJ300:$BT300,,T300+1)*R300-ERP_i)*Q300*Ramure*Pc/MaxiM</f>
        <v>4.1244420997179204E-3</v>
      </c>
      <c r="Q300" s="307">
        <f t="shared" si="102"/>
        <v>1</v>
      </c>
      <c r="R300" s="179">
        <f t="shared" si="103"/>
        <v>0.59591193912145335</v>
      </c>
      <c r="S300" s="837">
        <f t="shared" si="104"/>
        <v>-2</v>
      </c>
      <c r="T300" s="178">
        <f t="shared" si="105"/>
        <v>4</v>
      </c>
      <c r="U300" s="253">
        <f t="shared" si="106"/>
        <v>-1.4040880608785467</v>
      </c>
      <c r="V300" s="385">
        <f t="shared" si="107"/>
        <v>30.856648409744857</v>
      </c>
      <c r="W300" s="58"/>
      <c r="X300" s="157">
        <f t="shared" si="108"/>
        <v>43751</v>
      </c>
      <c r="Y300" s="387">
        <f t="shared" si="109"/>
        <v>28.559000000000001</v>
      </c>
      <c r="Z300" s="387">
        <f t="shared" si="110"/>
        <v>28.851591074610987</v>
      </c>
      <c r="AA300" s="388">
        <f t="shared" si="111"/>
        <v>31.558483799664209</v>
      </c>
      <c r="AB300" s="199">
        <f t="shared" si="112"/>
        <v>43751</v>
      </c>
      <c r="AC300" s="426">
        <f>IF(OR(t&lt;Tnet,NoTnet),'2018'!Resal_s+('2018'!Salim-'2018'!Resal_s)*(1-EXP(('2018'!Tnet_s-t)/'2018'!Tau_j)),Resal_s+(Salim-Resal_s)*(1-EXP((Tnet_s-t)/Tau_j)))*Salcycl</f>
        <v>8.5773852198882491E-2</v>
      </c>
      <c r="AD300" s="233">
        <f>(INDEX(Models!$BJ300:$BT300,,AH300)*(1-AF300)+INDEX(Models!$BJ300:$BT300,,AH300+1)*AF300-ERP_i)*AE300*Ramure*Pc/MaxiM</f>
        <v>4.1244420997179204E-3</v>
      </c>
      <c r="AE300" s="307">
        <f t="shared" si="113"/>
        <v>1</v>
      </c>
      <c r="AF300" s="179">
        <f t="shared" si="114"/>
        <v>0.59591193912145335</v>
      </c>
      <c r="AG300" s="178">
        <f t="shared" si="115"/>
        <v>-2</v>
      </c>
      <c r="AH300" s="178">
        <f t="shared" si="116"/>
        <v>4</v>
      </c>
      <c r="AI300" s="227">
        <f t="shared" si="117"/>
        <v>-1.4040880608785467</v>
      </c>
      <c r="AJ300" s="267" t="b">
        <f t="shared" si="118"/>
        <v>0</v>
      </c>
      <c r="AK300" s="267" t="b">
        <f t="shared" si="119"/>
        <v>0</v>
      </c>
      <c r="AL300" s="267"/>
      <c r="AM300" s="267"/>
      <c r="AN300" s="75"/>
    </row>
    <row r="301" spans="1:40" s="6" customFormat="1" ht="11.25" customHeight="1" x14ac:dyDescent="0.2">
      <c r="A301" s="56">
        <f t="shared" si="120"/>
        <v>43752</v>
      </c>
      <c r="B301" s="618">
        <v>9.3800000000000008</v>
      </c>
      <c r="C301" s="392"/>
      <c r="D301" s="395">
        <f t="shared" si="99"/>
        <v>9.476319980866835</v>
      </c>
      <c r="E301" s="387">
        <f t="shared" si="121"/>
        <v>10.366095928842817</v>
      </c>
      <c r="F301" s="387">
        <f t="shared" si="100"/>
        <v>10.366582137236106</v>
      </c>
      <c r="G301" s="110">
        <f t="shared" si="122"/>
        <v>0.30658154311667291</v>
      </c>
      <c r="H301" s="414" t="b">
        <f>Wh_hp&gt;='2018'!Maxi_hp</f>
        <v>0</v>
      </c>
      <c r="I301" s="392">
        <f>IF(H301,Wh_hp,'2018'!Maxi_hp)</f>
        <v>30.861969541361116</v>
      </c>
      <c r="J301" s="85">
        <f>IF(H301,An,'2018'!An_max)</f>
        <v>2018</v>
      </c>
      <c r="K301" s="199">
        <f t="shared" si="101"/>
        <v>43752</v>
      </c>
      <c r="L301" s="147">
        <f>IF(t&lt;Tvie,1-EXP((T0-t)*PertePVj)+'2018'!Pspv,1-EXP((T0-t)*PertePVj)+Pspv)</f>
        <v>1.0164281183128954E-2</v>
      </c>
      <c r="M301" s="870"/>
      <c r="N301" s="870"/>
      <c r="O301" s="48">
        <f>IF(t&lt;Tnet,'2018'!Resal+('2018'!Salim-'2018'!Resal)*(1-EXP(('2018'!Tnet-t)/('2018'!Tau_j))),Resal+(Salim-Resal)*(1-EXP((Tnet-t)/(Tau_j))))*Salcycl</f>
        <v>8.5835202962019047E-2</v>
      </c>
      <c r="P301" s="171">
        <f>(INDEX(Models!$BJ301:$BT301,,T301)*(1-R301)+INDEX(Models!$BJ301:$BT301,,T301+1)*R301-ERP_i)*Q301*Ramure*Pc/MaxiM</f>
        <v>4.1801493488308932E-3</v>
      </c>
      <c r="Q301" s="307">
        <f t="shared" si="102"/>
        <v>1</v>
      </c>
      <c r="R301" s="179">
        <f t="shared" si="103"/>
        <v>0.59607592257854636</v>
      </c>
      <c r="S301" s="837">
        <f t="shared" si="104"/>
        <v>-2</v>
      </c>
      <c r="T301" s="178">
        <f t="shared" si="105"/>
        <v>4</v>
      </c>
      <c r="U301" s="253">
        <f t="shared" si="106"/>
        <v>-1.4039240774214536</v>
      </c>
      <c r="V301" s="385">
        <f t="shared" si="107"/>
        <v>30.468984603225703</v>
      </c>
      <c r="W301" s="58"/>
      <c r="X301" s="157">
        <f t="shared" si="108"/>
        <v>43752</v>
      </c>
      <c r="Y301" s="387">
        <f t="shared" si="109"/>
        <v>9.3800000000000008</v>
      </c>
      <c r="Z301" s="387">
        <f t="shared" si="110"/>
        <v>9.476319980866835</v>
      </c>
      <c r="AA301" s="388">
        <f t="shared" si="111"/>
        <v>10.366095928842817</v>
      </c>
      <c r="AB301" s="199">
        <f t="shared" si="112"/>
        <v>43752</v>
      </c>
      <c r="AC301" s="426">
        <f>IF(OR(t&lt;Tnet,NoTnet),'2018'!Resal_s+('2018'!Salim-'2018'!Resal_s)*(1-EXP(('2018'!Tnet_s-t)/'2018'!Tau_j)),Resal_s+(Salim-Resal_s)*(1-EXP((Tnet_s-t)/Tau_j)))*Salcycl</f>
        <v>8.5835202962019047E-2</v>
      </c>
      <c r="AD301" s="233">
        <f>(INDEX(Models!$BJ301:$BT301,,AH301)*(1-AF301)+INDEX(Models!$BJ301:$BT301,,AH301+1)*AF301-ERP_i)*AE301*Ramure*Pc/MaxiM</f>
        <v>4.1801493488308932E-3</v>
      </c>
      <c r="AE301" s="307">
        <f t="shared" si="113"/>
        <v>1</v>
      </c>
      <c r="AF301" s="179">
        <f t="shared" si="114"/>
        <v>0.59607592257854636</v>
      </c>
      <c r="AG301" s="178">
        <f t="shared" si="115"/>
        <v>-2</v>
      </c>
      <c r="AH301" s="178">
        <f t="shared" si="116"/>
        <v>4</v>
      </c>
      <c r="AI301" s="227">
        <f t="shared" si="117"/>
        <v>-1.4039240774214536</v>
      </c>
      <c r="AJ301" s="267" t="b">
        <f t="shared" si="118"/>
        <v>0</v>
      </c>
      <c r="AK301" s="267" t="b">
        <f t="shared" si="119"/>
        <v>0</v>
      </c>
      <c r="AL301" s="267"/>
      <c r="AM301" s="267"/>
      <c r="AN301" s="75"/>
    </row>
    <row r="302" spans="1:40" s="6" customFormat="1" ht="11.25" customHeight="1" x14ac:dyDescent="0.2">
      <c r="A302" s="56">
        <f t="shared" si="120"/>
        <v>43753</v>
      </c>
      <c r="B302" s="618">
        <v>25.155000000000001</v>
      </c>
      <c r="C302" s="392"/>
      <c r="D302" s="395">
        <f t="shared" si="99"/>
        <v>25.41389942695773</v>
      </c>
      <c r="E302" s="387">
        <f t="shared" si="121"/>
        <v>27.801912927324224</v>
      </c>
      <c r="F302" s="387">
        <f t="shared" si="100"/>
        <v>27.892631033806762</v>
      </c>
      <c r="G302" s="110">
        <f t="shared" si="122"/>
        <v>0.83515372185087255</v>
      </c>
      <c r="H302" s="414" t="b">
        <f>Wh_hp&gt;='2018'!Maxi_hp</f>
        <v>1</v>
      </c>
      <c r="I302" s="392">
        <f>IF(H302,Wh_hp,'2018'!Maxi_hp)</f>
        <v>27.892631033806762</v>
      </c>
      <c r="J302" s="85">
        <f>IF(H302,An,'2018'!An_max)</f>
        <v>2019</v>
      </c>
      <c r="K302" s="199">
        <f t="shared" si="101"/>
        <v>43753</v>
      </c>
      <c r="L302" s="147">
        <f>IF(t&lt;Tvie,1-EXP((T0-t)*PertePVj)+'2018'!Pspv,1-EXP((T0-t)*PertePVj)+Pspv)</f>
        <v>1.0187316106362698E-2</v>
      </c>
      <c r="M302" s="870"/>
      <c r="N302" s="870"/>
      <c r="O302" s="48">
        <f>IF(t&lt;Tnet,'2018'!Resal+('2018'!Salim-'2018'!Resal)*(1-EXP(('2018'!Tnet-t)/('2018'!Tau_j))),Resal+(Salim-Resal)*(1-EXP((Tnet-t)/(Tau_j))))*Salcycl</f>
        <v>8.5893855815205866E-2</v>
      </c>
      <c r="P302" s="171">
        <f>(INDEX(Models!$BJ302:$BT302,,T302)*(1-R302)+INDEX(Models!$BJ302:$BT302,,T302+1)*R302-ERP_i)*Q302*Ramure*Pc/MaxiM</f>
        <v>4.2476342470303208E-3</v>
      </c>
      <c r="Q302" s="307">
        <f t="shared" si="102"/>
        <v>1</v>
      </c>
      <c r="R302" s="179">
        <f t="shared" si="103"/>
        <v>0.5962333761536589</v>
      </c>
      <c r="S302" s="837">
        <f t="shared" si="104"/>
        <v>-2</v>
      </c>
      <c r="T302" s="178">
        <f t="shared" si="105"/>
        <v>4</v>
      </c>
      <c r="U302" s="253">
        <f t="shared" si="106"/>
        <v>-1.4037666238463411</v>
      </c>
      <c r="V302" s="385">
        <f t="shared" si="107"/>
        <v>30.090129083465968</v>
      </c>
      <c r="W302" s="58"/>
      <c r="X302" s="157">
        <f t="shared" si="108"/>
        <v>43753</v>
      </c>
      <c r="Y302" s="387">
        <f t="shared" si="109"/>
        <v>25.155000000000001</v>
      </c>
      <c r="Z302" s="387">
        <f t="shared" si="110"/>
        <v>25.41389942695773</v>
      </c>
      <c r="AA302" s="388">
        <f t="shared" si="111"/>
        <v>27.801912927324224</v>
      </c>
      <c r="AB302" s="199">
        <f t="shared" si="112"/>
        <v>43753</v>
      </c>
      <c r="AC302" s="426">
        <f>IF(OR(t&lt;Tnet,NoTnet),'2018'!Resal_s+('2018'!Salim-'2018'!Resal_s)*(1-EXP(('2018'!Tnet_s-t)/'2018'!Tau_j)),Resal_s+(Salim-Resal_s)*(1-EXP((Tnet_s-t)/Tau_j)))*Salcycl</f>
        <v>8.5893855815205866E-2</v>
      </c>
      <c r="AD302" s="233">
        <f>(INDEX(Models!$BJ302:$BT302,,AH302)*(1-AF302)+INDEX(Models!$BJ302:$BT302,,AH302+1)*AF302-ERP_i)*AE302*Ramure*Pc/MaxiM</f>
        <v>4.2476342470303208E-3</v>
      </c>
      <c r="AE302" s="307">
        <f t="shared" si="113"/>
        <v>1</v>
      </c>
      <c r="AF302" s="179">
        <f t="shared" si="114"/>
        <v>0.5962333761536589</v>
      </c>
      <c r="AG302" s="178">
        <f t="shared" si="115"/>
        <v>-2</v>
      </c>
      <c r="AH302" s="178">
        <f t="shared" si="116"/>
        <v>4</v>
      </c>
      <c r="AI302" s="227">
        <f t="shared" si="117"/>
        <v>-1.4037666238463411</v>
      </c>
      <c r="AJ302" s="267" t="b">
        <f t="shared" si="118"/>
        <v>0</v>
      </c>
      <c r="AK302" s="267" t="b">
        <f t="shared" si="119"/>
        <v>0</v>
      </c>
      <c r="AL302" s="267"/>
      <c r="AM302" s="267"/>
      <c r="AN302" s="75"/>
    </row>
    <row r="303" spans="1:40" s="6" customFormat="1" ht="11.25" customHeight="1" x14ac:dyDescent="0.2">
      <c r="A303" s="56">
        <f t="shared" si="120"/>
        <v>43754</v>
      </c>
      <c r="B303" s="618">
        <v>26.942</v>
      </c>
      <c r="C303" s="392"/>
      <c r="D303" s="395">
        <f t="shared" si="99"/>
        <v>27.219924974396456</v>
      </c>
      <c r="E303" s="387">
        <f t="shared" si="121"/>
        <v>29.779465696255976</v>
      </c>
      <c r="F303" s="387">
        <f t="shared" si="100"/>
        <v>29.891550892586281</v>
      </c>
      <c r="G303" s="110">
        <f t="shared" si="122"/>
        <v>0.90602615926137775</v>
      </c>
      <c r="H303" s="414" t="b">
        <f>Wh_hp&gt;='2018'!Maxi_hp</f>
        <v>1</v>
      </c>
      <c r="I303" s="392">
        <f>IF(H303,Wh_hp,'2018'!Maxi_hp)</f>
        <v>29.891550892586281</v>
      </c>
      <c r="J303" s="85">
        <f>IF(H303,An,'2018'!An_max)</f>
        <v>2019</v>
      </c>
      <c r="K303" s="199">
        <f t="shared" si="101"/>
        <v>43754</v>
      </c>
      <c r="L303" s="147">
        <f>IF(t&lt;Tvie,1-EXP((T0-t)*PertePVj)+'2018'!Pspv,1-EXP((T0-t)*PertePVj)+Pspv)</f>
        <v>1.0210350493540243E-2</v>
      </c>
      <c r="M303" s="870"/>
      <c r="N303" s="870"/>
      <c r="O303" s="48">
        <f>IF(t&lt;Tnet,'2018'!Resal+('2018'!Salim-'2018'!Resal)*(1-EXP(('2018'!Tnet-t)/('2018'!Tau_j))),Resal+(Salim-Resal)*(1-EXP((Tnet-t)/(Tau_j))))*Salcycl</f>
        <v>8.5949853767232548E-2</v>
      </c>
      <c r="P303" s="171">
        <f>(INDEX(Models!$BJ303:$BT303,,T303)*(1-R303)+INDEX(Models!$BJ303:$BT303,,T303+1)*R303-ERP_i)*Q303*Ramure*Pc/MaxiM</f>
        <v>4.3274286867775917E-3</v>
      </c>
      <c r="Q303" s="307">
        <f t="shared" si="102"/>
        <v>1</v>
      </c>
      <c r="R303" s="179">
        <f t="shared" si="103"/>
        <v>0.59638455707814497</v>
      </c>
      <c r="S303" s="837">
        <f t="shared" si="104"/>
        <v>-2</v>
      </c>
      <c r="T303" s="178">
        <f t="shared" si="105"/>
        <v>4</v>
      </c>
      <c r="U303" s="253">
        <f t="shared" si="106"/>
        <v>-1.403615442921855</v>
      </c>
      <c r="V303" s="385">
        <f t="shared" si="107"/>
        <v>29.719204838415504</v>
      </c>
      <c r="W303" s="58"/>
      <c r="X303" s="157">
        <f t="shared" si="108"/>
        <v>43754</v>
      </c>
      <c r="Y303" s="387">
        <f t="shared" si="109"/>
        <v>26.942</v>
      </c>
      <c r="Z303" s="387">
        <f t="shared" si="110"/>
        <v>27.219924974396456</v>
      </c>
      <c r="AA303" s="388">
        <f t="shared" si="111"/>
        <v>29.779465696255976</v>
      </c>
      <c r="AB303" s="199">
        <f t="shared" si="112"/>
        <v>43754</v>
      </c>
      <c r="AC303" s="426">
        <f>IF(OR(t&lt;Tnet,NoTnet),'2018'!Resal_s+('2018'!Salim-'2018'!Resal_s)*(1-EXP(('2018'!Tnet_s-t)/'2018'!Tau_j)),Resal_s+(Salim-Resal_s)*(1-EXP((Tnet_s-t)/Tau_j)))*Salcycl</f>
        <v>8.5949853767232548E-2</v>
      </c>
      <c r="AD303" s="233">
        <f>(INDEX(Models!$BJ303:$BT303,,AH303)*(1-AF303)+INDEX(Models!$BJ303:$BT303,,AH303+1)*AF303-ERP_i)*AE303*Ramure*Pc/MaxiM</f>
        <v>4.3274286867775917E-3</v>
      </c>
      <c r="AE303" s="307">
        <f t="shared" si="113"/>
        <v>1</v>
      </c>
      <c r="AF303" s="179">
        <f t="shared" si="114"/>
        <v>0.59638455707814497</v>
      </c>
      <c r="AG303" s="178">
        <f t="shared" si="115"/>
        <v>-2</v>
      </c>
      <c r="AH303" s="178">
        <f t="shared" si="116"/>
        <v>4</v>
      </c>
      <c r="AI303" s="227">
        <f t="shared" si="117"/>
        <v>-1.403615442921855</v>
      </c>
      <c r="AJ303" s="267" t="b">
        <f t="shared" si="118"/>
        <v>0</v>
      </c>
      <c r="AK303" s="267" t="b">
        <f t="shared" si="119"/>
        <v>0</v>
      </c>
      <c r="AL303" s="267"/>
      <c r="AM303" s="267"/>
      <c r="AN303" s="75"/>
    </row>
    <row r="304" spans="1:40" s="6" customFormat="1" ht="11.25" customHeight="1" x14ac:dyDescent="0.2">
      <c r="A304" s="56">
        <f t="shared" si="120"/>
        <v>43755</v>
      </c>
      <c r="B304" s="618">
        <v>17.187999999999999</v>
      </c>
      <c r="C304" s="392"/>
      <c r="D304" s="395">
        <f t="shared" si="99"/>
        <v>17.365709984691485</v>
      </c>
      <c r="E304" s="387">
        <f t="shared" si="121"/>
        <v>18.999750231180627</v>
      </c>
      <c r="F304" s="387">
        <f t="shared" si="100"/>
        <v>19.03427357952528</v>
      </c>
      <c r="G304" s="110">
        <f t="shared" si="122"/>
        <v>0.58400410781985634</v>
      </c>
      <c r="H304" s="414" t="b">
        <f>Wh_hp&gt;='2018'!Maxi_hp</f>
        <v>0</v>
      </c>
      <c r="I304" s="392">
        <f>IF(H304,Wh_hp,'2018'!Maxi_hp)</f>
        <v>21.545858214581099</v>
      </c>
      <c r="J304" s="85">
        <f>IF(H304,An,'2018'!An_max)</f>
        <v>2018</v>
      </c>
      <c r="K304" s="199">
        <f t="shared" si="101"/>
        <v>43755</v>
      </c>
      <c r="L304" s="147">
        <f>IF(t&lt;Tvie,1-EXP((T0-t)*PertePVj)+'2018'!Pspv,1-EXP((T0-t)*PertePVj)+Pspv)</f>
        <v>1.0233384344673802E-2</v>
      </c>
      <c r="M304" s="870"/>
      <c r="N304" s="870"/>
      <c r="O304" s="48">
        <f>IF(t&lt;Tnet,'2018'!Resal+('2018'!Salim-'2018'!Resal)*(1-EXP(('2018'!Tnet-t)/('2018'!Tau_j))),Resal+(Salim-Resal)*(1-EXP((Tnet-t)/(Tau_j))))*Salcycl</f>
        <v>8.600324881152957E-2</v>
      </c>
      <c r="P304" s="171">
        <f>(INDEX(Models!$BJ304:$BT304,,T304)*(1-R304)+INDEX(Models!$BJ304:$BT304,,T304+1)*R304-ERP_i)*Q304*Ramure*Pc/MaxiM</f>
        <v>4.4462610022305083E-3</v>
      </c>
      <c r="Q304" s="307">
        <f t="shared" si="102"/>
        <v>1</v>
      </c>
      <c r="R304" s="179">
        <f t="shared" si="103"/>
        <v>0.59652971266948773</v>
      </c>
      <c r="S304" s="837">
        <f t="shared" si="104"/>
        <v>-2</v>
      </c>
      <c r="T304" s="178">
        <f t="shared" si="105"/>
        <v>4</v>
      </c>
      <c r="U304" s="253">
        <f t="shared" si="106"/>
        <v>-1.4034702873305123</v>
      </c>
      <c r="V304" s="385">
        <f t="shared" si="107"/>
        <v>29.353680728314171</v>
      </c>
      <c r="W304" s="58"/>
      <c r="X304" s="157">
        <f t="shared" si="108"/>
        <v>43755</v>
      </c>
      <c r="Y304" s="387">
        <f t="shared" si="109"/>
        <v>17.187999999999999</v>
      </c>
      <c r="Z304" s="387">
        <f t="shared" si="110"/>
        <v>17.365709984691485</v>
      </c>
      <c r="AA304" s="388">
        <f t="shared" si="111"/>
        <v>18.999750231180627</v>
      </c>
      <c r="AB304" s="199">
        <f t="shared" si="112"/>
        <v>43755</v>
      </c>
      <c r="AC304" s="426">
        <f>IF(OR(t&lt;Tnet,NoTnet),'2018'!Resal_s+('2018'!Salim-'2018'!Resal_s)*(1-EXP(('2018'!Tnet_s-t)/'2018'!Tau_j)),Resal_s+(Salim-Resal_s)*(1-EXP((Tnet_s-t)/Tau_j)))*Salcycl</f>
        <v>8.600324881152957E-2</v>
      </c>
      <c r="AD304" s="233">
        <f>(INDEX(Models!$BJ304:$BT304,,AH304)*(1-AF304)+INDEX(Models!$BJ304:$BT304,,AH304+1)*AF304-ERP_i)*AE304*Ramure*Pc/MaxiM</f>
        <v>4.4462610022305083E-3</v>
      </c>
      <c r="AE304" s="307">
        <f t="shared" si="113"/>
        <v>1</v>
      </c>
      <c r="AF304" s="179">
        <f t="shared" si="114"/>
        <v>0.59652971266948773</v>
      </c>
      <c r="AG304" s="178">
        <f t="shared" si="115"/>
        <v>-2</v>
      </c>
      <c r="AH304" s="178">
        <f t="shared" si="116"/>
        <v>4</v>
      </c>
      <c r="AI304" s="227">
        <f t="shared" si="117"/>
        <v>-1.4034702873305123</v>
      </c>
      <c r="AJ304" s="267" t="b">
        <f t="shared" si="118"/>
        <v>0</v>
      </c>
      <c r="AK304" s="267" t="b">
        <f t="shared" si="119"/>
        <v>0</v>
      </c>
      <c r="AL304" s="267"/>
      <c r="AM304" s="267"/>
      <c r="AN304" s="75"/>
    </row>
    <row r="305" spans="1:40" s="6" customFormat="1" ht="11.25" customHeight="1" x14ac:dyDescent="0.2">
      <c r="A305" s="56">
        <f t="shared" si="120"/>
        <v>43756</v>
      </c>
      <c r="B305" s="618">
        <v>13.368</v>
      </c>
      <c r="C305" s="392"/>
      <c r="D305" s="395">
        <f t="shared" si="99"/>
        <v>13.506528598439305</v>
      </c>
      <c r="E305" s="387">
        <f t="shared" si="121"/>
        <v>14.778258350353743</v>
      </c>
      <c r="F305" s="387">
        <f t="shared" si="100"/>
        <v>14.793939012958004</v>
      </c>
      <c r="G305" s="110">
        <f t="shared" si="122"/>
        <v>0.45943641511490435</v>
      </c>
      <c r="H305" s="414" t="b">
        <f>Wh_hp&gt;='2018'!Maxi_hp</f>
        <v>1</v>
      </c>
      <c r="I305" s="392">
        <f>IF(H305,Wh_hp,'2018'!Maxi_hp)</f>
        <v>14.793939012958004</v>
      </c>
      <c r="J305" s="85">
        <f>IF(H305,An,'2018'!An_max)</f>
        <v>2019</v>
      </c>
      <c r="K305" s="199">
        <f t="shared" si="101"/>
        <v>43756</v>
      </c>
      <c r="L305" s="147">
        <f>IF(t&lt;Tvie,1-EXP((T0-t)*PertePVj)+'2018'!Pspv,1-EXP((T0-t)*PertePVj)+Pspv)</f>
        <v>1.025641765977614E-2</v>
      </c>
      <c r="M305" s="870"/>
      <c r="N305" s="870"/>
      <c r="O305" s="48">
        <f>IF(t&lt;Tnet,'2018'!Resal+('2018'!Salim-'2018'!Resal)*(1-EXP(('2018'!Tnet-t)/('2018'!Tau_j))),Resal+(Salim-Resal)*(1-EXP((Tnet-t)/(Tau_j))))*Salcycl</f>
        <v>8.6054102030500609E-2</v>
      </c>
      <c r="P305" s="171">
        <f>(INDEX(Models!$BJ305:$BT305,,T305)*(1-R305)+INDEX(Models!$BJ305:$BT305,,T305+1)*R305-ERP_i)*Q305*Ramure*Pc/MaxiM</f>
        <v>4.6063303266599244E-3</v>
      </c>
      <c r="Q305" s="307">
        <f t="shared" si="102"/>
        <v>1</v>
      </c>
      <c r="R305" s="179">
        <f t="shared" si="103"/>
        <v>0.59666908069610458</v>
      </c>
      <c r="S305" s="837">
        <f t="shared" si="104"/>
        <v>-2</v>
      </c>
      <c r="T305" s="178">
        <f t="shared" si="105"/>
        <v>4</v>
      </c>
      <c r="U305" s="253">
        <f t="shared" si="106"/>
        <v>-1.4033309193038954</v>
      </c>
      <c r="V305" s="385">
        <f t="shared" si="107"/>
        <v>28.993221020665814</v>
      </c>
      <c r="W305" s="58"/>
      <c r="X305" s="157">
        <f t="shared" si="108"/>
        <v>43756</v>
      </c>
      <c r="Y305" s="387">
        <f t="shared" si="109"/>
        <v>13.368</v>
      </c>
      <c r="Z305" s="387">
        <f t="shared" si="110"/>
        <v>13.506528598439305</v>
      </c>
      <c r="AA305" s="388">
        <f t="shared" si="111"/>
        <v>14.778258350353743</v>
      </c>
      <c r="AB305" s="199">
        <f t="shared" si="112"/>
        <v>43756</v>
      </c>
      <c r="AC305" s="426">
        <f>IF(OR(t&lt;Tnet,NoTnet),'2018'!Resal_s+('2018'!Salim-'2018'!Resal_s)*(1-EXP(('2018'!Tnet_s-t)/'2018'!Tau_j)),Resal_s+(Salim-Resal_s)*(1-EXP((Tnet_s-t)/Tau_j)))*Salcycl</f>
        <v>8.6054102030500609E-2</v>
      </c>
      <c r="AD305" s="233">
        <f>(INDEX(Models!$BJ305:$BT305,,AH305)*(1-AF305)+INDEX(Models!$BJ305:$BT305,,AH305+1)*AF305-ERP_i)*AE305*Ramure*Pc/MaxiM</f>
        <v>4.6063303266599244E-3</v>
      </c>
      <c r="AE305" s="307">
        <f t="shared" si="113"/>
        <v>1</v>
      </c>
      <c r="AF305" s="179">
        <f t="shared" si="114"/>
        <v>0.59666908069610458</v>
      </c>
      <c r="AG305" s="178">
        <f t="shared" si="115"/>
        <v>-2</v>
      </c>
      <c r="AH305" s="178">
        <f t="shared" si="116"/>
        <v>4</v>
      </c>
      <c r="AI305" s="227">
        <f t="shared" si="117"/>
        <v>-1.4033309193038954</v>
      </c>
      <c r="AJ305" s="267" t="b">
        <f t="shared" si="118"/>
        <v>0</v>
      </c>
      <c r="AK305" s="267" t="b">
        <f t="shared" si="119"/>
        <v>0</v>
      </c>
      <c r="AL305" s="267"/>
      <c r="AM305" s="267"/>
      <c r="AN305" s="75"/>
    </row>
    <row r="306" spans="1:40" s="6" customFormat="1" ht="11.25" customHeight="1" x14ac:dyDescent="0.2">
      <c r="A306" s="56">
        <f t="shared" si="120"/>
        <v>43757</v>
      </c>
      <c r="B306" s="618">
        <v>23.94</v>
      </c>
      <c r="C306" s="392"/>
      <c r="D306" s="395">
        <f t="shared" si="99"/>
        <v>24.188645987612784</v>
      </c>
      <c r="E306" s="387">
        <f t="shared" si="121"/>
        <v>26.467569453660662</v>
      </c>
      <c r="F306" s="387">
        <f t="shared" si="100"/>
        <v>26.565389399857771</v>
      </c>
      <c r="G306" s="110">
        <f t="shared" si="122"/>
        <v>0.83502094333763444</v>
      </c>
      <c r="H306" s="414" t="b">
        <f>Wh_hp&gt;='2018'!Maxi_hp</f>
        <v>1</v>
      </c>
      <c r="I306" s="392">
        <f>IF(H306,Wh_hp,'2018'!Maxi_hp)</f>
        <v>26.565389399857771</v>
      </c>
      <c r="J306" s="85">
        <f>IF(H306,An,'2018'!An_max)</f>
        <v>2019</v>
      </c>
      <c r="K306" s="199">
        <f t="shared" si="101"/>
        <v>43757</v>
      </c>
      <c r="L306" s="147">
        <f>IF(t&lt;Tvie,1-EXP((T0-t)*PertePVj)+'2018'!Pspv,1-EXP((T0-t)*PertePVj)+Pspv)</f>
        <v>1.0279450438859472E-2</v>
      </c>
      <c r="M306" s="870"/>
      <c r="N306" s="870"/>
      <c r="O306" s="48">
        <f>IF(t&lt;Tnet,'2018'!Resal+('2018'!Salim-'2018'!Resal)*(1-EXP(('2018'!Tnet-t)/('2018'!Tau_j))),Resal+(Salim-Resal)*(1-EXP((Tnet-t)/(Tau_j))))*Salcycl</f>
        <v>8.6102483646555067E-2</v>
      </c>
      <c r="P306" s="171">
        <f>(INDEX(Models!$BJ306:$BT306,,T306)*(1-R306)+INDEX(Models!$BJ306:$BT306,,T306+1)*R306-ERP_i)*Q306*Ramure*Pc/MaxiM</f>
        <v>4.8091864094913271E-3</v>
      </c>
      <c r="Q306" s="307">
        <f t="shared" si="102"/>
        <v>1</v>
      </c>
      <c r="R306" s="179">
        <f t="shared" si="103"/>
        <v>0.59680288973010676</v>
      </c>
      <c r="S306" s="837">
        <f t="shared" si="104"/>
        <v>-2</v>
      </c>
      <c r="T306" s="178">
        <f t="shared" si="105"/>
        <v>4</v>
      </c>
      <c r="U306" s="253">
        <f t="shared" si="106"/>
        <v>-1.4031971102698932</v>
      </c>
      <c r="V306" s="385">
        <f t="shared" si="107"/>
        <v>28.63751048218478</v>
      </c>
      <c r="W306" s="58"/>
      <c r="X306" s="157">
        <f t="shared" si="108"/>
        <v>43757</v>
      </c>
      <c r="Y306" s="387">
        <f t="shared" si="109"/>
        <v>23.94</v>
      </c>
      <c r="Z306" s="387">
        <f t="shared" si="110"/>
        <v>24.188645987612784</v>
      </c>
      <c r="AA306" s="388">
        <f t="shared" si="111"/>
        <v>26.467569453660662</v>
      </c>
      <c r="AB306" s="199">
        <f t="shared" si="112"/>
        <v>43757</v>
      </c>
      <c r="AC306" s="426">
        <f>IF(OR(t&lt;Tnet,NoTnet),'2018'!Resal_s+('2018'!Salim-'2018'!Resal_s)*(1-EXP(('2018'!Tnet_s-t)/'2018'!Tau_j)),Resal_s+(Salim-Resal_s)*(1-EXP((Tnet_s-t)/Tau_j)))*Salcycl</f>
        <v>8.6102483646555067E-2</v>
      </c>
      <c r="AD306" s="233">
        <f>(INDEX(Models!$BJ306:$BT306,,AH306)*(1-AF306)+INDEX(Models!$BJ306:$BT306,,AH306+1)*AF306-ERP_i)*AE306*Ramure*Pc/MaxiM</f>
        <v>4.8091864094913271E-3</v>
      </c>
      <c r="AE306" s="307">
        <f t="shared" si="113"/>
        <v>1</v>
      </c>
      <c r="AF306" s="179">
        <f t="shared" si="114"/>
        <v>0.59680288973010676</v>
      </c>
      <c r="AG306" s="178">
        <f t="shared" si="115"/>
        <v>-2</v>
      </c>
      <c r="AH306" s="178">
        <f t="shared" si="116"/>
        <v>4</v>
      </c>
      <c r="AI306" s="227">
        <f t="shared" si="117"/>
        <v>-1.4031971102698932</v>
      </c>
      <c r="AJ306" s="267" t="b">
        <f t="shared" si="118"/>
        <v>0</v>
      </c>
      <c r="AK306" s="267" t="b">
        <f t="shared" si="119"/>
        <v>0</v>
      </c>
      <c r="AL306" s="267"/>
      <c r="AM306" s="267"/>
      <c r="AN306" s="75"/>
    </row>
    <row r="307" spans="1:40" s="6" customFormat="1" ht="11.25" customHeight="1" x14ac:dyDescent="0.2">
      <c r="A307" s="56">
        <f t="shared" si="120"/>
        <v>43758</v>
      </c>
      <c r="B307" s="618">
        <v>10.217000000000001</v>
      </c>
      <c r="C307" s="392"/>
      <c r="D307" s="395">
        <f t="shared" si="99"/>
        <v>10.323356198454034</v>
      </c>
      <c r="E307" s="387">
        <f t="shared" si="121"/>
        <v>11.296535480490549</v>
      </c>
      <c r="F307" s="387">
        <f t="shared" si="100"/>
        <v>11.301531634796513</v>
      </c>
      <c r="G307" s="110">
        <f t="shared" si="122"/>
        <v>0.35953299898426999</v>
      </c>
      <c r="H307" s="414" t="b">
        <f>Wh_hp&gt;='2018'!Maxi_hp</f>
        <v>0</v>
      </c>
      <c r="I307" s="392">
        <f>IF(H307,Wh_hp,'2018'!Maxi_hp)</f>
        <v>12.644056936364512</v>
      </c>
      <c r="J307" s="85">
        <f>IF(H307,An,'2018'!An_max)</f>
        <v>2018</v>
      </c>
      <c r="K307" s="199">
        <f t="shared" si="101"/>
        <v>43758</v>
      </c>
      <c r="L307" s="147">
        <f>IF(t&lt;Tvie,1-EXP((T0-t)*PertePVj)+'2018'!Pspv,1-EXP((T0-t)*PertePVj)+Pspv)</f>
        <v>1.0302482681936453E-2</v>
      </c>
      <c r="M307" s="870"/>
      <c r="N307" s="870"/>
      <c r="O307" s="48">
        <f>IF(t&lt;Tnet,'2018'!Resal+('2018'!Salim-'2018'!Resal)*(1-EXP(('2018'!Tnet-t)/('2018'!Tau_j))),Resal+(Salim-Resal)*(1-EXP((Tnet-t)/(Tau_j))))*Salcycl</f>
        <v>8.6148473017875607E-2</v>
      </c>
      <c r="P307" s="171">
        <f>(INDEX(Models!$BJ307:$BT307,,T307)*(1-R307)+INDEX(Models!$BJ307:$BT307,,T307+1)*R307-ERP_i)*Q307*Ramure*Pc/MaxiM</f>
        <v>5.0564075992053708E-3</v>
      </c>
      <c r="Q307" s="307">
        <f t="shared" si="102"/>
        <v>1</v>
      </c>
      <c r="R307" s="179">
        <f t="shared" si="103"/>
        <v>0.59693135948829745</v>
      </c>
      <c r="S307" s="837">
        <f t="shared" si="104"/>
        <v>-2</v>
      </c>
      <c r="T307" s="178">
        <f t="shared" si="105"/>
        <v>4</v>
      </c>
      <c r="U307" s="253">
        <f t="shared" si="106"/>
        <v>-1.4030686405117025</v>
      </c>
      <c r="V307" s="385">
        <f t="shared" si="107"/>
        <v>28.286233999738336</v>
      </c>
      <c r="W307" s="58"/>
      <c r="X307" s="157">
        <f t="shared" si="108"/>
        <v>43758</v>
      </c>
      <c r="Y307" s="387">
        <f t="shared" si="109"/>
        <v>10.217000000000001</v>
      </c>
      <c r="Z307" s="387">
        <f t="shared" si="110"/>
        <v>10.323356198454034</v>
      </c>
      <c r="AA307" s="388">
        <f t="shared" si="111"/>
        <v>11.296535480490549</v>
      </c>
      <c r="AB307" s="199">
        <f t="shared" si="112"/>
        <v>43758</v>
      </c>
      <c r="AC307" s="426">
        <f>IF(OR(t&lt;Tnet,NoTnet),'2018'!Resal_s+('2018'!Salim-'2018'!Resal_s)*(1-EXP(('2018'!Tnet_s-t)/'2018'!Tau_j)),Resal_s+(Salim-Resal_s)*(1-EXP((Tnet_s-t)/Tau_j)))*Salcycl</f>
        <v>8.6148473017875607E-2</v>
      </c>
      <c r="AD307" s="233">
        <f>(INDEX(Models!$BJ307:$BT307,,AH307)*(1-AF307)+INDEX(Models!$BJ307:$BT307,,AH307+1)*AF307-ERP_i)*AE307*Ramure*Pc/MaxiM</f>
        <v>5.0564075992053708E-3</v>
      </c>
      <c r="AE307" s="307">
        <f t="shared" si="113"/>
        <v>1</v>
      </c>
      <c r="AF307" s="179">
        <f t="shared" si="114"/>
        <v>0.59693135948829745</v>
      </c>
      <c r="AG307" s="178">
        <f t="shared" si="115"/>
        <v>-2</v>
      </c>
      <c r="AH307" s="178">
        <f t="shared" si="116"/>
        <v>4</v>
      </c>
      <c r="AI307" s="227">
        <f t="shared" si="117"/>
        <v>-1.4030686405117025</v>
      </c>
      <c r="AJ307" s="267" t="b">
        <f t="shared" si="118"/>
        <v>0</v>
      </c>
      <c r="AK307" s="267" t="b">
        <f t="shared" si="119"/>
        <v>0</v>
      </c>
      <c r="AL307" s="267"/>
      <c r="AM307" s="267"/>
      <c r="AN307" s="75"/>
    </row>
    <row r="308" spans="1:40" s="6" customFormat="1" ht="11.25" customHeight="1" x14ac:dyDescent="0.2">
      <c r="A308" s="56">
        <f t="shared" si="120"/>
        <v>43759</v>
      </c>
      <c r="B308" s="618">
        <v>20.259</v>
      </c>
      <c r="C308" s="392"/>
      <c r="D308" s="395">
        <f t="shared" si="99"/>
        <v>20.470367069726976</v>
      </c>
      <c r="E308" s="387">
        <f t="shared" si="121"/>
        <v>22.401172480483943</v>
      </c>
      <c r="F308" s="387">
        <f t="shared" si="100"/>
        <v>22.474187536944374</v>
      </c>
      <c r="G308" s="110">
        <f t="shared" si="122"/>
        <v>0.72358518574429875</v>
      </c>
      <c r="H308" s="414" t="b">
        <f>Wh_hp&gt;='2018'!Maxi_hp</f>
        <v>1</v>
      </c>
      <c r="I308" s="392">
        <f>IF(H308,Wh_hp,'2018'!Maxi_hp)</f>
        <v>22.474187536944374</v>
      </c>
      <c r="J308" s="85">
        <f>IF(H308,An,'2018'!An_max)</f>
        <v>2019</v>
      </c>
      <c r="K308" s="199">
        <f t="shared" si="101"/>
        <v>43759</v>
      </c>
      <c r="L308" s="147">
        <f>IF(t&lt;Tvie,1-EXP((T0-t)*PertePVj)+'2018'!Pspv,1-EXP((T0-t)*PertePVj)+Pspv)</f>
        <v>1.0325514389019408E-2</v>
      </c>
      <c r="M308" s="870"/>
      <c r="N308" s="870"/>
      <c r="O308" s="48">
        <f>IF(t&lt;Tnet,'2018'!Resal+('2018'!Salim-'2018'!Resal)*(1-EXP(('2018'!Tnet-t)/('2018'!Tau_j))),Resal+(Salim-Resal)*(1-EXP((Tnet-t)/(Tau_j))))*Salcycl</f>
        <v>8.6192158577373515E-2</v>
      </c>
      <c r="P308" s="171">
        <f>(INDEX(Models!$BJ308:$BT308,,T308)*(1-R308)+INDEX(Models!$BJ308:$BT308,,T308+1)*R308-ERP_i)*Q308*Ramure*Pc/MaxiM</f>
        <v>5.3496039018649608E-3</v>
      </c>
      <c r="Q308" s="307">
        <f t="shared" si="102"/>
        <v>1</v>
      </c>
      <c r="R308" s="179">
        <f t="shared" si="103"/>
        <v>0.5970547011616969</v>
      </c>
      <c r="S308" s="837">
        <f t="shared" si="104"/>
        <v>-2</v>
      </c>
      <c r="T308" s="178">
        <f t="shared" si="105"/>
        <v>4</v>
      </c>
      <c r="U308" s="253">
        <f t="shared" si="106"/>
        <v>-1.4029452988383031</v>
      </c>
      <c r="V308" s="385">
        <f t="shared" si="107"/>
        <v>27.939076584880866</v>
      </c>
      <c r="W308" s="58"/>
      <c r="X308" s="157">
        <f t="shared" si="108"/>
        <v>43759</v>
      </c>
      <c r="Y308" s="387">
        <f t="shared" si="109"/>
        <v>20.259</v>
      </c>
      <c r="Z308" s="387">
        <f t="shared" si="110"/>
        <v>20.470367069726976</v>
      </c>
      <c r="AA308" s="388">
        <f t="shared" si="111"/>
        <v>22.401172480483943</v>
      </c>
      <c r="AB308" s="199">
        <f t="shared" si="112"/>
        <v>43759</v>
      </c>
      <c r="AC308" s="426">
        <f>IF(OR(t&lt;Tnet,NoTnet),'2018'!Resal_s+('2018'!Salim-'2018'!Resal_s)*(1-EXP(('2018'!Tnet_s-t)/'2018'!Tau_j)),Resal_s+(Salim-Resal_s)*(1-EXP((Tnet_s-t)/Tau_j)))*Salcycl</f>
        <v>8.6192158577373515E-2</v>
      </c>
      <c r="AD308" s="233">
        <f>(INDEX(Models!$BJ308:$BT308,,AH308)*(1-AF308)+INDEX(Models!$BJ308:$BT308,,AH308+1)*AF308-ERP_i)*AE308*Ramure*Pc/MaxiM</f>
        <v>5.3496039018649608E-3</v>
      </c>
      <c r="AE308" s="307">
        <f t="shared" si="113"/>
        <v>1</v>
      </c>
      <c r="AF308" s="179">
        <f t="shared" si="114"/>
        <v>0.5970547011616969</v>
      </c>
      <c r="AG308" s="178">
        <f t="shared" si="115"/>
        <v>-2</v>
      </c>
      <c r="AH308" s="178">
        <f t="shared" si="116"/>
        <v>4</v>
      </c>
      <c r="AI308" s="227">
        <f t="shared" si="117"/>
        <v>-1.4029452988383031</v>
      </c>
      <c r="AJ308" s="267" t="b">
        <f t="shared" si="118"/>
        <v>0</v>
      </c>
      <c r="AK308" s="267" t="b">
        <f t="shared" si="119"/>
        <v>0</v>
      </c>
      <c r="AL308" s="267"/>
      <c r="AM308" s="267"/>
      <c r="AN308" s="75"/>
    </row>
    <row r="309" spans="1:40" s="6" customFormat="1" ht="11.25" customHeight="1" x14ac:dyDescent="0.2">
      <c r="A309" s="56">
        <f t="shared" si="120"/>
        <v>43760</v>
      </c>
      <c r="B309" s="618">
        <v>3.931</v>
      </c>
      <c r="C309" s="392"/>
      <c r="D309" s="395">
        <f t="shared" si="99"/>
        <v>3.9721055148904516</v>
      </c>
      <c r="E309" s="387">
        <f t="shared" si="121"/>
        <v>4.346959659307351</v>
      </c>
      <c r="F309" s="387">
        <f t="shared" si="100"/>
        <v>4.346959659307351</v>
      </c>
      <c r="G309" s="110">
        <f t="shared" si="122"/>
        <v>0.14163901052931221</v>
      </c>
      <c r="H309" s="414" t="b">
        <f>Wh_hp&gt;='2018'!Maxi_hp</f>
        <v>0</v>
      </c>
      <c r="I309" s="392">
        <f>IF(H309,Wh_hp,'2018'!Maxi_hp)</f>
        <v>20.510015712487224</v>
      </c>
      <c r="J309" s="85">
        <f>IF(H309,An,'2018'!An_max)</f>
        <v>2018</v>
      </c>
      <c r="K309" s="199">
        <f t="shared" si="101"/>
        <v>43760</v>
      </c>
      <c r="L309" s="147">
        <f>IF(t&lt;Tvie,1-EXP((T0-t)*PertePVj)+'2018'!Pspv,1-EXP((T0-t)*PertePVj)+Pspv)</f>
        <v>1.0348545560120992E-2</v>
      </c>
      <c r="M309" s="870"/>
      <c r="N309" s="870"/>
      <c r="O309" s="48">
        <f>IF(t&lt;Tnet,'2018'!Resal+('2018'!Salim-'2018'!Resal)*(1-EXP(('2018'!Tnet-t)/('2018'!Tau_j))),Resal+(Salim-Resal)*(1-EXP((Tnet-t)/(Tau_j))))*Salcycl</f>
        <v>8.6233637713727676E-2</v>
      </c>
      <c r="P309" s="171">
        <f>(INDEX(Models!$BJ309:$BT309,,T309)*(1-R309)+INDEX(Models!$BJ309:$BT309,,T309+1)*R309-ERP_i)*Q309*Ramure*Pc/MaxiM</f>
        <v>5.6904205181531583E-3</v>
      </c>
      <c r="Q309" s="307">
        <f t="shared" si="102"/>
        <v>1</v>
      </c>
      <c r="R309" s="179">
        <f t="shared" si="103"/>
        <v>0.59717311773388104</v>
      </c>
      <c r="S309" s="837">
        <f t="shared" si="104"/>
        <v>-2</v>
      </c>
      <c r="T309" s="178">
        <f t="shared" si="105"/>
        <v>4</v>
      </c>
      <c r="U309" s="253">
        <f t="shared" si="106"/>
        <v>-1.402826882266119</v>
      </c>
      <c r="V309" s="385">
        <f t="shared" si="107"/>
        <v>27.595723398069403</v>
      </c>
      <c r="W309" s="58"/>
      <c r="X309" s="157">
        <f t="shared" si="108"/>
        <v>43760</v>
      </c>
      <c r="Y309" s="387">
        <f t="shared" si="109"/>
        <v>3.931</v>
      </c>
      <c r="Z309" s="387">
        <f t="shared" si="110"/>
        <v>3.9721055148904516</v>
      </c>
      <c r="AA309" s="388">
        <f t="shared" si="111"/>
        <v>4.346959659307351</v>
      </c>
      <c r="AB309" s="199">
        <f t="shared" si="112"/>
        <v>43760</v>
      </c>
      <c r="AC309" s="426">
        <f>IF(OR(t&lt;Tnet,NoTnet),'2018'!Resal_s+('2018'!Salim-'2018'!Resal_s)*(1-EXP(('2018'!Tnet_s-t)/'2018'!Tau_j)),Resal_s+(Salim-Resal_s)*(1-EXP((Tnet_s-t)/Tau_j)))*Salcycl</f>
        <v>8.6233637713727676E-2</v>
      </c>
      <c r="AD309" s="233">
        <f>(INDEX(Models!$BJ309:$BT309,,AH309)*(1-AF309)+INDEX(Models!$BJ309:$BT309,,AH309+1)*AF309-ERP_i)*AE309*Ramure*Pc/MaxiM</f>
        <v>5.6904205181531583E-3</v>
      </c>
      <c r="AE309" s="307">
        <f t="shared" si="113"/>
        <v>1</v>
      </c>
      <c r="AF309" s="179">
        <f t="shared" si="114"/>
        <v>0.59717311773388104</v>
      </c>
      <c r="AG309" s="178">
        <f t="shared" si="115"/>
        <v>-2</v>
      </c>
      <c r="AH309" s="178">
        <f t="shared" si="116"/>
        <v>4</v>
      </c>
      <c r="AI309" s="227">
        <f t="shared" si="117"/>
        <v>-1.402826882266119</v>
      </c>
      <c r="AJ309" s="267" t="b">
        <f t="shared" si="118"/>
        <v>0</v>
      </c>
      <c r="AK309" s="267" t="b">
        <f t="shared" si="119"/>
        <v>0</v>
      </c>
      <c r="AL309" s="267"/>
      <c r="AM309" s="267"/>
      <c r="AN309" s="75"/>
    </row>
    <row r="310" spans="1:40" s="6" customFormat="1" ht="11.25" customHeight="1" x14ac:dyDescent="0.2">
      <c r="A310" s="56">
        <f t="shared" si="120"/>
        <v>43761</v>
      </c>
      <c r="B310" s="618">
        <v>16.448</v>
      </c>
      <c r="C310" s="392"/>
      <c r="D310" s="395">
        <f t="shared" si="99"/>
        <v>16.620379532717614</v>
      </c>
      <c r="E310" s="387">
        <f t="shared" si="121"/>
        <v>18.189656029157774</v>
      </c>
      <c r="F310" s="387">
        <f t="shared" si="100"/>
        <v>18.237803287943144</v>
      </c>
      <c r="G310" s="110">
        <f t="shared" si="122"/>
        <v>0.60138479672931033</v>
      </c>
      <c r="H310" s="414" t="b">
        <f>Wh_hp&gt;='2018'!Maxi_hp</f>
        <v>0</v>
      </c>
      <c r="I310" s="392">
        <f>IF(H310,Wh_hp,'2018'!Maxi_hp)</f>
        <v>29.510079439366795</v>
      </c>
      <c r="J310" s="85">
        <f>IF(H310,An,'2018'!An_max)</f>
        <v>2018</v>
      </c>
      <c r="K310" s="199">
        <f t="shared" si="101"/>
        <v>43761</v>
      </c>
      <c r="L310" s="147">
        <f>IF(t&lt;Tvie,1-EXP((T0-t)*PertePVj)+'2018'!Pspv,1-EXP((T0-t)*PertePVj)+Pspv)</f>
        <v>1.0371576195253529E-2</v>
      </c>
      <c r="M310" s="870"/>
      <c r="N310" s="870"/>
      <c r="O310" s="48">
        <f>IF(t&lt;Tnet,'2018'!Resal+('2018'!Salim-'2018'!Resal)*(1-EXP(('2018'!Tnet-t)/('2018'!Tau_j))),Resal+(Salim-Resal)*(1-EXP((Tnet-t)/(Tau_j))))*Salcycl</f>
        <v>8.6273016593861496E-2</v>
      </c>
      <c r="P310" s="171">
        <f>(INDEX(Models!$BJ310:$BT310,,T310)*(1-R310)+INDEX(Models!$BJ310:$BT310,,T310+1)*R310-ERP_i)*Q310*Ramure*Pc/MaxiM</f>
        <v>6.0894558811230111E-3</v>
      </c>
      <c r="Q310" s="307">
        <f t="shared" si="102"/>
        <v>1</v>
      </c>
      <c r="R310" s="179">
        <f t="shared" si="103"/>
        <v>0.59728680428843162</v>
      </c>
      <c r="S310" s="837">
        <f t="shared" si="104"/>
        <v>-2</v>
      </c>
      <c r="T310" s="178">
        <f t="shared" si="105"/>
        <v>4</v>
      </c>
      <c r="U310" s="253">
        <f t="shared" si="106"/>
        <v>-1.4027131957115684</v>
      </c>
      <c r="V310" s="385">
        <f t="shared" si="107"/>
        <v>27.25561532194174</v>
      </c>
      <c r="W310" s="58"/>
      <c r="X310" s="157">
        <f t="shared" si="108"/>
        <v>43761</v>
      </c>
      <c r="Y310" s="387">
        <f t="shared" si="109"/>
        <v>16.448</v>
      </c>
      <c r="Z310" s="387">
        <f t="shared" si="110"/>
        <v>16.620379532717614</v>
      </c>
      <c r="AA310" s="388">
        <f t="shared" si="111"/>
        <v>18.189656029157774</v>
      </c>
      <c r="AB310" s="199">
        <f t="shared" si="112"/>
        <v>43761</v>
      </c>
      <c r="AC310" s="426">
        <f>IF(OR(t&lt;Tnet,NoTnet),'2018'!Resal_s+('2018'!Salim-'2018'!Resal_s)*(1-EXP(('2018'!Tnet_s-t)/'2018'!Tau_j)),Resal_s+(Salim-Resal_s)*(1-EXP((Tnet_s-t)/Tau_j)))*Salcycl</f>
        <v>8.6273016593861496E-2</v>
      </c>
      <c r="AD310" s="233">
        <f>(INDEX(Models!$BJ310:$BT310,,AH310)*(1-AF310)+INDEX(Models!$BJ310:$BT310,,AH310+1)*AF310-ERP_i)*AE310*Ramure*Pc/MaxiM</f>
        <v>6.0894558811230111E-3</v>
      </c>
      <c r="AE310" s="307">
        <f t="shared" si="113"/>
        <v>1</v>
      </c>
      <c r="AF310" s="179">
        <f t="shared" si="114"/>
        <v>0.59728680428843162</v>
      </c>
      <c r="AG310" s="178">
        <f t="shared" si="115"/>
        <v>-2</v>
      </c>
      <c r="AH310" s="178">
        <f t="shared" si="116"/>
        <v>4</v>
      </c>
      <c r="AI310" s="227">
        <f t="shared" si="117"/>
        <v>-1.4027131957115684</v>
      </c>
      <c r="AJ310" s="267" t="b">
        <f t="shared" si="118"/>
        <v>0</v>
      </c>
      <c r="AK310" s="267" t="b">
        <f t="shared" si="119"/>
        <v>0</v>
      </c>
      <c r="AL310" s="267"/>
      <c r="AM310" s="267"/>
      <c r="AN310" s="75"/>
    </row>
    <row r="311" spans="1:40" s="6" customFormat="1" ht="11.25" customHeight="1" x14ac:dyDescent="0.2">
      <c r="A311" s="56">
        <f t="shared" si="120"/>
        <v>43762</v>
      </c>
      <c r="B311" s="618">
        <v>16.774000000000001</v>
      </c>
      <c r="C311" s="392"/>
      <c r="D311" s="395">
        <f t="shared" si="99"/>
        <v>16.95019055746036</v>
      </c>
      <c r="E311" s="387">
        <f t="shared" si="121"/>
        <v>18.551366614673004</v>
      </c>
      <c r="F311" s="387">
        <f t="shared" si="100"/>
        <v>18.60749979011435</v>
      </c>
      <c r="G311" s="110">
        <f t="shared" si="122"/>
        <v>0.62093402136076203</v>
      </c>
      <c r="H311" s="414" t="b">
        <f>Wh_hp&gt;='2018'!Maxi_hp</f>
        <v>0</v>
      </c>
      <c r="I311" s="392">
        <f>IF(H311,Wh_hp,'2018'!Maxi_hp)</f>
        <v>29.170180874770704</v>
      </c>
      <c r="J311" s="85">
        <f>IF(H311,An,'2018'!An_max)</f>
        <v>2018</v>
      </c>
      <c r="K311" s="199">
        <f t="shared" si="101"/>
        <v>43762</v>
      </c>
      <c r="L311" s="147">
        <f>IF(t&lt;Tvie,1-EXP((T0-t)*PertePVj)+'2018'!Pspv,1-EXP((T0-t)*PertePVj)+Pspv)</f>
        <v>1.0394606294429565E-2</v>
      </c>
      <c r="M311" s="870"/>
      <c r="N311" s="870"/>
      <c r="O311" s="48">
        <f>IF(t&lt;Tnet,'2018'!Resal+('2018'!Salim-'2018'!Resal)*(1-EXP(('2018'!Tnet-t)/('2018'!Tau_j))),Resal+(Salim-Resal)*(1-EXP((Tnet-t)/(Tau_j))))*Salcycl</f>
        <v>8.63104099266849E-2</v>
      </c>
      <c r="P311" s="171">
        <f>(INDEX(Models!$BJ311:$BT311,,T311)*(1-R311)+INDEX(Models!$BJ311:$BT311,,T311+1)*R311-ERP_i)*Q311*Ramure*Pc/MaxiM</f>
        <v>6.535039942845584E-3</v>
      </c>
      <c r="Q311" s="307">
        <f t="shared" si="102"/>
        <v>1</v>
      </c>
      <c r="R311" s="179">
        <f t="shared" si="103"/>
        <v>0.59739594830578135</v>
      </c>
      <c r="S311" s="837">
        <f t="shared" si="104"/>
        <v>-2</v>
      </c>
      <c r="T311" s="178">
        <f t="shared" si="105"/>
        <v>4</v>
      </c>
      <c r="U311" s="253">
        <f t="shared" si="106"/>
        <v>-1.4026040516942186</v>
      </c>
      <c r="V311" s="385">
        <f t="shared" si="107"/>
        <v>26.918809654939295</v>
      </c>
      <c r="W311" s="58"/>
      <c r="X311" s="157">
        <f t="shared" si="108"/>
        <v>43762</v>
      </c>
      <c r="Y311" s="387">
        <f t="shared" si="109"/>
        <v>16.774000000000001</v>
      </c>
      <c r="Z311" s="387">
        <f t="shared" si="110"/>
        <v>16.95019055746036</v>
      </c>
      <c r="AA311" s="388">
        <f t="shared" si="111"/>
        <v>18.551366614673004</v>
      </c>
      <c r="AB311" s="199">
        <f t="shared" si="112"/>
        <v>43762</v>
      </c>
      <c r="AC311" s="426">
        <f>IF(OR(t&lt;Tnet,NoTnet),'2018'!Resal_s+('2018'!Salim-'2018'!Resal_s)*(1-EXP(('2018'!Tnet_s-t)/'2018'!Tau_j)),Resal_s+(Salim-Resal_s)*(1-EXP((Tnet_s-t)/Tau_j)))*Salcycl</f>
        <v>8.63104099266849E-2</v>
      </c>
      <c r="AD311" s="233">
        <f>(INDEX(Models!$BJ311:$BT311,,AH311)*(1-AF311)+INDEX(Models!$BJ311:$BT311,,AH311+1)*AF311-ERP_i)*AE311*Ramure*Pc/MaxiM</f>
        <v>6.535039942845584E-3</v>
      </c>
      <c r="AE311" s="307">
        <f t="shared" si="113"/>
        <v>1</v>
      </c>
      <c r="AF311" s="179">
        <f t="shared" si="114"/>
        <v>0.59739594830578135</v>
      </c>
      <c r="AG311" s="178">
        <f t="shared" si="115"/>
        <v>-2</v>
      </c>
      <c r="AH311" s="178">
        <f t="shared" si="116"/>
        <v>4</v>
      </c>
      <c r="AI311" s="227">
        <f t="shared" si="117"/>
        <v>-1.4026040516942186</v>
      </c>
      <c r="AJ311" s="267" t="b">
        <f t="shared" si="118"/>
        <v>0</v>
      </c>
      <c r="AK311" s="267" t="b">
        <f t="shared" si="119"/>
        <v>0</v>
      </c>
      <c r="AL311" s="267"/>
      <c r="AM311" s="267"/>
      <c r="AN311" s="75"/>
    </row>
    <row r="312" spans="1:40" s="6" customFormat="1" ht="11.25" customHeight="1" x14ac:dyDescent="0.2">
      <c r="A312" s="56">
        <f t="shared" si="120"/>
        <v>43763</v>
      </c>
      <c r="B312" s="618">
        <v>23.324000000000002</v>
      </c>
      <c r="C312" s="392"/>
      <c r="D312" s="395">
        <f t="shared" si="99"/>
        <v>23.569538873315196</v>
      </c>
      <c r="E312" s="387">
        <f t="shared" si="121"/>
        <v>25.797005587167462</v>
      </c>
      <c r="F312" s="387">
        <f t="shared" si="100"/>
        <v>25.94742696263771</v>
      </c>
      <c r="G312" s="110">
        <f t="shared" si="122"/>
        <v>0.87625025352317121</v>
      </c>
      <c r="H312" s="414" t="b">
        <f>Wh_hp&gt;='2018'!Maxi_hp</f>
        <v>0</v>
      </c>
      <c r="I312" s="392">
        <f>IF(H312,Wh_hp,'2018'!Maxi_hp)</f>
        <v>28.500024439336709</v>
      </c>
      <c r="J312" s="85">
        <f>IF(H312,An,'2018'!An_max)</f>
        <v>2018</v>
      </c>
      <c r="K312" s="199">
        <f t="shared" si="101"/>
        <v>43763</v>
      </c>
      <c r="L312" s="147">
        <f>IF(t&lt;Tvie,1-EXP((T0-t)*PertePVj)+'2018'!Pspv,1-EXP((T0-t)*PertePVj)+Pspv)</f>
        <v>1.0417635857661423E-2</v>
      </c>
      <c r="M312" s="870"/>
      <c r="N312" s="870"/>
      <c r="O312" s="48">
        <f>IF(t&lt;Tnet,'2018'!Resal+('2018'!Salim-'2018'!Resal)*(1-EXP(('2018'!Tnet-t)/('2018'!Tau_j))),Resal+(Salim-Resal)*(1-EXP((Tnet-t)/(Tau_j))))*Salcycl</f>
        <v>8.634594066841253E-2</v>
      </c>
      <c r="P312" s="171">
        <f>(INDEX(Models!$BJ312:$BT312,,T312)*(1-R312)+INDEX(Models!$BJ312:$BT312,,T312+1)*R312-ERP_i)*Q312*Ramure*Pc/MaxiM</f>
        <v>7.0288421365671556E-3</v>
      </c>
      <c r="Q312" s="307">
        <f t="shared" si="102"/>
        <v>1</v>
      </c>
      <c r="R312" s="179">
        <f t="shared" si="103"/>
        <v>0.59750072994975278</v>
      </c>
      <c r="S312" s="837">
        <f t="shared" si="104"/>
        <v>-2</v>
      </c>
      <c r="T312" s="178">
        <f t="shared" si="105"/>
        <v>4</v>
      </c>
      <c r="U312" s="253">
        <f t="shared" si="106"/>
        <v>-1.4024992700502472</v>
      </c>
      <c r="V312" s="385">
        <f t="shared" si="107"/>
        <v>26.584990569168689</v>
      </c>
      <c r="W312" s="58"/>
      <c r="X312" s="157">
        <f t="shared" si="108"/>
        <v>43763</v>
      </c>
      <c r="Y312" s="387">
        <f t="shared" si="109"/>
        <v>23.324000000000002</v>
      </c>
      <c r="Z312" s="387">
        <f t="shared" si="110"/>
        <v>23.569538873315196</v>
      </c>
      <c r="AA312" s="388">
        <f t="shared" si="111"/>
        <v>25.797005587167462</v>
      </c>
      <c r="AB312" s="199">
        <f t="shared" si="112"/>
        <v>43763</v>
      </c>
      <c r="AC312" s="426">
        <f>IF(OR(t&lt;Tnet,NoTnet),'2018'!Resal_s+('2018'!Salim-'2018'!Resal_s)*(1-EXP(('2018'!Tnet_s-t)/'2018'!Tau_j)),Resal_s+(Salim-Resal_s)*(1-EXP((Tnet_s-t)/Tau_j)))*Salcycl</f>
        <v>8.634594066841253E-2</v>
      </c>
      <c r="AD312" s="233">
        <f>(INDEX(Models!$BJ312:$BT312,,AH312)*(1-AF312)+INDEX(Models!$BJ312:$BT312,,AH312+1)*AF312-ERP_i)*AE312*Ramure*Pc/MaxiM</f>
        <v>7.0288421365671556E-3</v>
      </c>
      <c r="AE312" s="307">
        <f t="shared" si="113"/>
        <v>1</v>
      </c>
      <c r="AF312" s="179">
        <f t="shared" si="114"/>
        <v>0.59750072994975278</v>
      </c>
      <c r="AG312" s="178">
        <f t="shared" si="115"/>
        <v>-2</v>
      </c>
      <c r="AH312" s="178">
        <f t="shared" si="116"/>
        <v>4</v>
      </c>
      <c r="AI312" s="227">
        <f t="shared" si="117"/>
        <v>-1.4024992700502472</v>
      </c>
      <c r="AJ312" s="267" t="b">
        <f t="shared" si="118"/>
        <v>0</v>
      </c>
      <c r="AK312" s="267" t="b">
        <f t="shared" si="119"/>
        <v>0</v>
      </c>
      <c r="AL312" s="267"/>
      <c r="AM312" s="267"/>
      <c r="AN312" s="75"/>
    </row>
    <row r="313" spans="1:40" s="6" customFormat="1" ht="11.25" customHeight="1" x14ac:dyDescent="0.2">
      <c r="A313" s="56">
        <f t="shared" si="120"/>
        <v>43764</v>
      </c>
      <c r="B313" s="618">
        <v>26.256</v>
      </c>
      <c r="C313" s="392"/>
      <c r="D313" s="395">
        <f t="shared" si="99"/>
        <v>26.533022395213614</v>
      </c>
      <c r="E313" s="387">
        <f t="shared" si="121"/>
        <v>29.041630913085584</v>
      </c>
      <c r="F313" s="387">
        <f t="shared" si="100"/>
        <v>29.263227957076836</v>
      </c>
      <c r="G313" s="110">
        <f t="shared" si="122"/>
        <v>1.0000821356752643</v>
      </c>
      <c r="H313" s="414" t="b">
        <f>Wh_hp&gt;='2018'!Maxi_hp</f>
        <v>1</v>
      </c>
      <c r="I313" s="392">
        <f>IF(H313,Wh_hp,'2018'!Maxi_hp)</f>
        <v>29.263227957076836</v>
      </c>
      <c r="J313" s="85">
        <f>IF(H313,An,'2018'!An_max)</f>
        <v>2019</v>
      </c>
      <c r="K313" s="199">
        <f t="shared" si="101"/>
        <v>43764</v>
      </c>
      <c r="L313" s="147">
        <f>IF(t&lt;Tvie,1-EXP((T0-t)*PertePVj)+'2018'!Pspv,1-EXP((T0-t)*PertePVj)+Pspv)</f>
        <v>1.044066488496187E-2</v>
      </c>
      <c r="M313" s="870"/>
      <c r="N313" s="870"/>
      <c r="O313" s="48">
        <f>IF(t&lt;Tnet,'2018'!Resal+('2018'!Salim-'2018'!Resal)*(1-EXP(('2018'!Tnet-t)/('2018'!Tau_j))),Resal+(Salim-Resal)*(1-EXP((Tnet-t)/(Tau_j))))*Salcycl</f>
        <v>8.6379739670255293E-2</v>
      </c>
      <c r="P313" s="171">
        <f>(INDEX(Models!$BJ313:$BT313,,T313)*(1-R313)+INDEX(Models!$BJ313:$BT313,,T313+1)*R313-ERP_i)*Q313*Ramure*Pc/MaxiM</f>
        <v>7.5725427255082705E-3</v>
      </c>
      <c r="Q313" s="307">
        <f t="shared" si="102"/>
        <v>1</v>
      </c>
      <c r="R313" s="179">
        <f t="shared" si="103"/>
        <v>0.59760132234407415</v>
      </c>
      <c r="S313" s="837">
        <f t="shared" si="104"/>
        <v>-2</v>
      </c>
      <c r="T313" s="178">
        <f t="shared" si="105"/>
        <v>4</v>
      </c>
      <c r="U313" s="253">
        <f t="shared" si="106"/>
        <v>-1.4023986776559259</v>
      </c>
      <c r="V313" s="385">
        <f t="shared" si="107"/>
        <v>26.253843622825762</v>
      </c>
      <c r="W313" s="58"/>
      <c r="X313" s="157">
        <f t="shared" si="108"/>
        <v>43764</v>
      </c>
      <c r="Y313" s="387">
        <f t="shared" si="109"/>
        <v>26.256</v>
      </c>
      <c r="Z313" s="387">
        <f t="shared" si="110"/>
        <v>26.533022395213614</v>
      </c>
      <c r="AA313" s="388">
        <f t="shared" si="111"/>
        <v>29.041630913085584</v>
      </c>
      <c r="AB313" s="199">
        <f t="shared" si="112"/>
        <v>43764</v>
      </c>
      <c r="AC313" s="426">
        <f>IF(OR(t&lt;Tnet,NoTnet),'2018'!Resal_s+('2018'!Salim-'2018'!Resal_s)*(1-EXP(('2018'!Tnet_s-t)/'2018'!Tau_j)),Resal_s+(Salim-Resal_s)*(1-EXP((Tnet_s-t)/Tau_j)))*Salcycl</f>
        <v>8.6379739670255293E-2</v>
      </c>
      <c r="AD313" s="233">
        <f>(INDEX(Models!$BJ313:$BT313,,AH313)*(1-AF313)+INDEX(Models!$BJ313:$BT313,,AH313+1)*AF313-ERP_i)*AE313*Ramure*Pc/MaxiM</f>
        <v>7.5725427255082705E-3</v>
      </c>
      <c r="AE313" s="307">
        <f t="shared" si="113"/>
        <v>1</v>
      </c>
      <c r="AF313" s="179">
        <f t="shared" si="114"/>
        <v>0.59760132234407415</v>
      </c>
      <c r="AG313" s="178">
        <f t="shared" si="115"/>
        <v>-2</v>
      </c>
      <c r="AH313" s="178">
        <f t="shared" si="116"/>
        <v>4</v>
      </c>
      <c r="AI313" s="227">
        <f t="shared" si="117"/>
        <v>-1.4023986776559259</v>
      </c>
      <c r="AJ313" s="267" t="b">
        <f t="shared" si="118"/>
        <v>0</v>
      </c>
      <c r="AK313" s="267" t="b">
        <f t="shared" si="119"/>
        <v>0</v>
      </c>
      <c r="AL313" s="267"/>
      <c r="AM313" s="267"/>
      <c r="AN313" s="75"/>
    </row>
    <row r="314" spans="1:40" s="6" customFormat="1" ht="11.25" customHeight="1" x14ac:dyDescent="0.2">
      <c r="A314" s="56">
        <f t="shared" si="120"/>
        <v>43765</v>
      </c>
      <c r="B314" s="618">
        <v>19.54</v>
      </c>
      <c r="C314" s="392"/>
      <c r="D314" s="395">
        <f t="shared" si="99"/>
        <v>19.746622604148172</v>
      </c>
      <c r="E314" s="387">
        <f t="shared" si="121"/>
        <v>21.614361639151603</v>
      </c>
      <c r="F314" s="387">
        <f t="shared" si="100"/>
        <v>21.729398950093344</v>
      </c>
      <c r="G314" s="110">
        <f t="shared" si="122"/>
        <v>0.75153350597690638</v>
      </c>
      <c r="H314" s="414" t="b">
        <f>Wh_hp&gt;='2018'!Maxi_hp</f>
        <v>1</v>
      </c>
      <c r="I314" s="392">
        <f>IF(H314,Wh_hp,'2018'!Maxi_hp)</f>
        <v>21.729398950093344</v>
      </c>
      <c r="J314" s="85">
        <f>IF(H314,An,'2018'!An_max)</f>
        <v>2019</v>
      </c>
      <c r="K314" s="199">
        <f t="shared" si="101"/>
        <v>43765</v>
      </c>
      <c r="L314" s="147">
        <f>IF(t&lt;Tvie,1-EXP((T0-t)*PertePVj)+'2018'!Pspv,1-EXP((T0-t)*PertePVj)+Pspv)</f>
        <v>1.0463693376343119E-2</v>
      </c>
      <c r="M314" s="870"/>
      <c r="N314" s="870"/>
      <c r="O314" s="48">
        <f>IF(t&lt;Tnet,'2018'!Resal+('2018'!Salim-'2018'!Resal)*(1-EXP(('2018'!Tnet-t)/('2018'!Tau_j))),Resal+(Salim-Resal)*(1-EXP((Tnet-t)/(Tau_j))))*Salcycl</f>
        <v>8.6411945269772097E-2</v>
      </c>
      <c r="P314" s="171">
        <f>(INDEX(Models!$BJ314:$BT314,,T314)*(1-R314)+INDEX(Models!$BJ314:$BT314,,T314+1)*R314-ERP_i)*Q314*Ramure*Pc/MaxiM</f>
        <v>8.16788645945625E-3</v>
      </c>
      <c r="Q314" s="307">
        <f t="shared" si="102"/>
        <v>1</v>
      </c>
      <c r="R314" s="179">
        <f t="shared" si="103"/>
        <v>0.59769789183916244</v>
      </c>
      <c r="S314" s="837">
        <f t="shared" si="104"/>
        <v>-2</v>
      </c>
      <c r="T314" s="178">
        <f t="shared" si="105"/>
        <v>4</v>
      </c>
      <c r="U314" s="253">
        <f t="shared" si="106"/>
        <v>-1.4023021081608376</v>
      </c>
      <c r="V314" s="385">
        <f t="shared" si="107"/>
        <v>25.925054466869607</v>
      </c>
      <c r="W314" s="58"/>
      <c r="X314" s="157">
        <f t="shared" si="108"/>
        <v>43765</v>
      </c>
      <c r="Y314" s="387">
        <f t="shared" si="109"/>
        <v>19.54</v>
      </c>
      <c r="Z314" s="387">
        <f t="shared" si="110"/>
        <v>19.746622604148172</v>
      </c>
      <c r="AA314" s="388">
        <f t="shared" si="111"/>
        <v>21.614361639151603</v>
      </c>
      <c r="AB314" s="199">
        <f t="shared" si="112"/>
        <v>43765</v>
      </c>
      <c r="AC314" s="426">
        <f>IF(OR(t&lt;Tnet,NoTnet),'2018'!Resal_s+('2018'!Salim-'2018'!Resal_s)*(1-EXP(('2018'!Tnet_s-t)/'2018'!Tau_j)),Resal_s+(Salim-Resal_s)*(1-EXP((Tnet_s-t)/Tau_j)))*Salcycl</f>
        <v>8.6411945269772097E-2</v>
      </c>
      <c r="AD314" s="233">
        <f>(INDEX(Models!$BJ314:$BT314,,AH314)*(1-AF314)+INDEX(Models!$BJ314:$BT314,,AH314+1)*AF314-ERP_i)*AE314*Ramure*Pc/MaxiM</f>
        <v>8.16788645945625E-3</v>
      </c>
      <c r="AE314" s="307">
        <f t="shared" si="113"/>
        <v>1</v>
      </c>
      <c r="AF314" s="179">
        <f t="shared" si="114"/>
        <v>0.59769789183916244</v>
      </c>
      <c r="AG314" s="178">
        <f t="shared" si="115"/>
        <v>-2</v>
      </c>
      <c r="AH314" s="178">
        <f t="shared" si="116"/>
        <v>4</v>
      </c>
      <c r="AI314" s="227">
        <f t="shared" si="117"/>
        <v>-1.4023021081608376</v>
      </c>
      <c r="AJ314" s="267" t="b">
        <f t="shared" si="118"/>
        <v>0</v>
      </c>
      <c r="AK314" s="267" t="b">
        <f t="shared" si="119"/>
        <v>0</v>
      </c>
      <c r="AL314" s="267"/>
      <c r="AM314" s="267"/>
      <c r="AN314" s="75"/>
    </row>
    <row r="315" spans="1:40" s="6" customFormat="1" ht="11.25" customHeight="1" x14ac:dyDescent="0.2">
      <c r="A315" s="56">
        <f t="shared" si="120"/>
        <v>43766</v>
      </c>
      <c r="B315" s="618">
        <v>9.4990000000000006</v>
      </c>
      <c r="C315" s="392"/>
      <c r="D315" s="395">
        <f t="shared" si="99"/>
        <v>9.5996690542495902</v>
      </c>
      <c r="E315" s="387">
        <f t="shared" si="121"/>
        <v>10.508009824849069</v>
      </c>
      <c r="F315" s="387">
        <f t="shared" si="100"/>
        <v>10.517425674447448</v>
      </c>
      <c r="G315" s="110">
        <f t="shared" si="122"/>
        <v>0.36813708955905133</v>
      </c>
      <c r="H315" s="414" t="b">
        <f>Wh_hp&gt;='2018'!Maxi_hp</f>
        <v>1</v>
      </c>
      <c r="I315" s="392">
        <f>IF(H315,Wh_hp,'2018'!Maxi_hp)</f>
        <v>10.517425674447448</v>
      </c>
      <c r="J315" s="85">
        <f>IF(H315,An,'2018'!An_max)</f>
        <v>2019</v>
      </c>
      <c r="K315" s="199">
        <f t="shared" si="101"/>
        <v>43766</v>
      </c>
      <c r="L315" s="147">
        <f>IF(t&lt;Tvie,1-EXP((T0-t)*PertePVj)+'2018'!Pspv,1-EXP((T0-t)*PertePVj)+Pspv)</f>
        <v>1.0486721331817717E-2</v>
      </c>
      <c r="M315" s="870"/>
      <c r="N315" s="870"/>
      <c r="O315" s="48">
        <f>IF(t&lt;Tnet,'2018'!Resal+('2018'!Salim-'2018'!Resal)*(1-EXP(('2018'!Tnet-t)/('2018'!Tau_j))),Resal+(Salim-Resal)*(1-EXP((Tnet-t)/(Tau_j))))*Salcycl</f>
        <v>8.6442702827652151E-2</v>
      </c>
      <c r="P315" s="171">
        <f>(INDEX(Models!$BJ315:$BT315,,T315)*(1-R315)+INDEX(Models!$BJ315:$BT315,,T315+1)*R315-ERP_i)*Q315*Ramure*Pc/MaxiM</f>
        <v>8.8166898919051929E-3</v>
      </c>
      <c r="Q315" s="307">
        <f t="shared" si="102"/>
        <v>1</v>
      </c>
      <c r="R315" s="179">
        <f t="shared" si="103"/>
        <v>0.59779059826945735</v>
      </c>
      <c r="S315" s="837">
        <f t="shared" si="104"/>
        <v>-2</v>
      </c>
      <c r="T315" s="178">
        <f t="shared" si="105"/>
        <v>4</v>
      </c>
      <c r="U315" s="253">
        <f t="shared" si="106"/>
        <v>-1.4022094017305426</v>
      </c>
      <c r="V315" s="385">
        <f t="shared" si="107"/>
        <v>25.598308882892059</v>
      </c>
      <c r="W315" s="58"/>
      <c r="X315" s="157">
        <f t="shared" si="108"/>
        <v>43766</v>
      </c>
      <c r="Y315" s="387">
        <f t="shared" si="109"/>
        <v>9.4990000000000006</v>
      </c>
      <c r="Z315" s="387">
        <f t="shared" si="110"/>
        <v>9.5996690542495902</v>
      </c>
      <c r="AA315" s="388">
        <f t="shared" si="111"/>
        <v>10.508009824849069</v>
      </c>
      <c r="AB315" s="199">
        <f t="shared" si="112"/>
        <v>43766</v>
      </c>
      <c r="AC315" s="426">
        <f>IF(OR(t&lt;Tnet,NoTnet),'2018'!Resal_s+('2018'!Salim-'2018'!Resal_s)*(1-EXP(('2018'!Tnet_s-t)/'2018'!Tau_j)),Resal_s+(Salim-Resal_s)*(1-EXP((Tnet_s-t)/Tau_j)))*Salcycl</f>
        <v>8.6442702827652151E-2</v>
      </c>
      <c r="AD315" s="233">
        <f>(INDEX(Models!$BJ315:$BT315,,AH315)*(1-AF315)+INDEX(Models!$BJ315:$BT315,,AH315+1)*AF315-ERP_i)*AE315*Ramure*Pc/MaxiM</f>
        <v>8.8166898919051929E-3</v>
      </c>
      <c r="AE315" s="307">
        <f t="shared" si="113"/>
        <v>1</v>
      </c>
      <c r="AF315" s="179">
        <f t="shared" si="114"/>
        <v>0.59779059826945735</v>
      </c>
      <c r="AG315" s="178">
        <f t="shared" si="115"/>
        <v>-2</v>
      </c>
      <c r="AH315" s="178">
        <f t="shared" si="116"/>
        <v>4</v>
      </c>
      <c r="AI315" s="227">
        <f t="shared" si="117"/>
        <v>-1.4022094017305426</v>
      </c>
      <c r="AJ315" s="267" t="b">
        <f t="shared" si="118"/>
        <v>0</v>
      </c>
      <c r="AK315" s="267" t="b">
        <f t="shared" si="119"/>
        <v>0</v>
      </c>
      <c r="AL315" s="267"/>
      <c r="AM315" s="267"/>
      <c r="AN315" s="75"/>
    </row>
    <row r="316" spans="1:40" s="6" customFormat="1" ht="11.25" customHeight="1" x14ac:dyDescent="0.2">
      <c r="A316" s="56">
        <f t="shared" si="120"/>
        <v>43767</v>
      </c>
      <c r="B316" s="618">
        <v>22.603999999999999</v>
      </c>
      <c r="C316" s="392"/>
      <c r="D316" s="395">
        <f t="shared" si="99"/>
        <v>22.844085600112617</v>
      </c>
      <c r="E316" s="387">
        <f t="shared" si="121"/>
        <v>25.006447209582717</v>
      </c>
      <c r="F316" s="387">
        <f t="shared" si="100"/>
        <v>25.210255189313802</v>
      </c>
      <c r="G316" s="110">
        <f t="shared" si="122"/>
        <v>0.89308759288621875</v>
      </c>
      <c r="H316" s="414" t="b">
        <f>Wh_hp&gt;='2018'!Maxi_hp</f>
        <v>1</v>
      </c>
      <c r="I316" s="392">
        <f>IF(H316,Wh_hp,'2018'!Maxi_hp)</f>
        <v>25.210255189313802</v>
      </c>
      <c r="J316" s="85">
        <f>IF(H316,An,'2018'!An_max)</f>
        <v>2019</v>
      </c>
      <c r="K316" s="199">
        <f t="shared" si="101"/>
        <v>43767</v>
      </c>
      <c r="L316" s="147">
        <f>IF(t&lt;Tvie,1-EXP((T0-t)*PertePVj)+'2018'!Pspv,1-EXP((T0-t)*PertePVj)+Pspv)</f>
        <v>1.0509748751398207E-2</v>
      </c>
      <c r="M316" s="870"/>
      <c r="N316" s="870"/>
      <c r="O316" s="48">
        <f>IF(t&lt;Tnet,'2018'!Resal+('2018'!Salim-'2018'!Resal)*(1-EXP(('2018'!Tnet-t)/('2018'!Tau_j))),Resal+(Salim-Resal)*(1-EXP((Tnet-t)/(Tau_j))))*Salcycl</f>
        <v>8.6472164212174032E-2</v>
      </c>
      <c r="P316" s="171">
        <f>(INDEX(Models!$BJ316:$BT316,,T316)*(1-R316)+INDEX(Models!$BJ316:$BT316,,T316+1)*R316-ERP_i)*Q316*Ramure*Pc/MaxiM</f>
        <v>9.5208495355231116E-3</v>
      </c>
      <c r="Q316" s="307">
        <f t="shared" si="102"/>
        <v>1</v>
      </c>
      <c r="R316" s="179">
        <f t="shared" si="103"/>
        <v>0.59787959520158784</v>
      </c>
      <c r="S316" s="837">
        <f t="shared" si="104"/>
        <v>-2</v>
      </c>
      <c r="T316" s="178">
        <f t="shared" si="105"/>
        <v>4</v>
      </c>
      <c r="U316" s="253">
        <f t="shared" si="106"/>
        <v>-1.4021204047984122</v>
      </c>
      <c r="V316" s="385">
        <f t="shared" si="107"/>
        <v>25.273292795999051</v>
      </c>
      <c r="W316" s="58"/>
      <c r="X316" s="157">
        <f t="shared" si="108"/>
        <v>43767</v>
      </c>
      <c r="Y316" s="387">
        <f t="shared" si="109"/>
        <v>22.603999999999999</v>
      </c>
      <c r="Z316" s="387">
        <f t="shared" si="110"/>
        <v>22.844085600112617</v>
      </c>
      <c r="AA316" s="388">
        <f t="shared" si="111"/>
        <v>25.006447209582717</v>
      </c>
      <c r="AB316" s="199">
        <f t="shared" si="112"/>
        <v>43767</v>
      </c>
      <c r="AC316" s="426">
        <f>IF(OR(t&lt;Tnet,NoTnet),'2018'!Resal_s+('2018'!Salim-'2018'!Resal_s)*(1-EXP(('2018'!Tnet_s-t)/'2018'!Tau_j)),Resal_s+(Salim-Resal_s)*(1-EXP((Tnet_s-t)/Tau_j)))*Salcycl</f>
        <v>8.6472164212174032E-2</v>
      </c>
      <c r="AD316" s="233">
        <f>(INDEX(Models!$BJ316:$BT316,,AH316)*(1-AF316)+INDEX(Models!$BJ316:$BT316,,AH316+1)*AF316-ERP_i)*AE316*Ramure*Pc/MaxiM</f>
        <v>9.5208495355231116E-3</v>
      </c>
      <c r="AE316" s="307">
        <f t="shared" si="113"/>
        <v>1</v>
      </c>
      <c r="AF316" s="179">
        <f t="shared" si="114"/>
        <v>0.59787959520158784</v>
      </c>
      <c r="AG316" s="178">
        <f t="shared" si="115"/>
        <v>-2</v>
      </c>
      <c r="AH316" s="178">
        <f t="shared" si="116"/>
        <v>4</v>
      </c>
      <c r="AI316" s="227">
        <f t="shared" si="117"/>
        <v>-1.4021204047984122</v>
      </c>
      <c r="AJ316" s="267" t="b">
        <f t="shared" si="118"/>
        <v>0</v>
      </c>
      <c r="AK316" s="267" t="b">
        <f t="shared" si="119"/>
        <v>0</v>
      </c>
      <c r="AL316" s="267"/>
      <c r="AM316" s="267"/>
      <c r="AN316" s="75"/>
    </row>
    <row r="317" spans="1:40" s="6" customFormat="1" ht="11.25" customHeight="1" x14ac:dyDescent="0.2">
      <c r="A317" s="56">
        <f t="shared" si="120"/>
        <v>43768</v>
      </c>
      <c r="B317" s="618">
        <v>18.943000000000001</v>
      </c>
      <c r="C317" s="392"/>
      <c r="D317" s="395">
        <f t="shared" si="99"/>
        <v>19.144646263708946</v>
      </c>
      <c r="E317" s="387">
        <f t="shared" si="121"/>
        <v>20.957478352387533</v>
      </c>
      <c r="F317" s="387">
        <f t="shared" si="100"/>
        <v>21.099817937708817</v>
      </c>
      <c r="G317" s="110">
        <f t="shared" si="122"/>
        <v>0.75654822271042632</v>
      </c>
      <c r="H317" s="414" t="b">
        <f>Wh_hp&gt;='2018'!Maxi_hp</f>
        <v>0</v>
      </c>
      <c r="I317" s="392">
        <f>IF(H317,Wh_hp,'2018'!Maxi_hp)</f>
        <v>24.760292148495747</v>
      </c>
      <c r="J317" s="85">
        <f>IF(H317,An,'2018'!An_max)</f>
        <v>2018</v>
      </c>
      <c r="K317" s="199">
        <f t="shared" si="101"/>
        <v>43768</v>
      </c>
      <c r="L317" s="147">
        <f>IF(t&lt;Tvie,1-EXP((T0-t)*PertePVj)+'2018'!Pspv,1-EXP((T0-t)*PertePVj)+Pspv)</f>
        <v>1.0532775635097025E-2</v>
      </c>
      <c r="M317" s="870"/>
      <c r="N317" s="870"/>
      <c r="O317" s="48">
        <f>IF(t&lt;Tnet,'2018'!Resal+('2018'!Salim-'2018'!Resal)*(1-EXP(('2018'!Tnet-t)/('2018'!Tau_j))),Resal+(Salim-Resal)*(1-EXP((Tnet-t)/(Tau_j))))*Salcycl</f>
        <v>8.650048723405046E-2</v>
      </c>
      <c r="P317" s="171">
        <f>(INDEX(Models!$BJ317:$BT317,,T317)*(1-R317)+INDEX(Models!$BJ317:$BT317,,T317+1)*R317-ERP_i)*Q317*Ramure*Pc/MaxiM</f>
        <v>1.0282399547201337E-2</v>
      </c>
      <c r="Q317" s="307">
        <f t="shared" si="102"/>
        <v>1</v>
      </c>
      <c r="R317" s="179">
        <f t="shared" si="103"/>
        <v>0.59796503017364788</v>
      </c>
      <c r="S317" s="837">
        <f t="shared" si="104"/>
        <v>-2</v>
      </c>
      <c r="T317" s="178">
        <f t="shared" si="105"/>
        <v>4</v>
      </c>
      <c r="U317" s="253">
        <f t="shared" si="106"/>
        <v>-1.4020349698263521</v>
      </c>
      <c r="V317" s="385">
        <f t="shared" si="107"/>
        <v>24.949573107292956</v>
      </c>
      <c r="W317" s="58"/>
      <c r="X317" s="157">
        <f t="shared" si="108"/>
        <v>43768</v>
      </c>
      <c r="Y317" s="387">
        <f t="shared" si="109"/>
        <v>18.943000000000001</v>
      </c>
      <c r="Z317" s="387">
        <f t="shared" si="110"/>
        <v>19.144646263708946</v>
      </c>
      <c r="AA317" s="388">
        <f t="shared" si="111"/>
        <v>20.957478352387533</v>
      </c>
      <c r="AB317" s="199">
        <f t="shared" si="112"/>
        <v>43768</v>
      </c>
      <c r="AC317" s="426">
        <f>IF(OR(t&lt;Tnet,NoTnet),'2018'!Resal_s+('2018'!Salim-'2018'!Resal_s)*(1-EXP(('2018'!Tnet_s-t)/'2018'!Tau_j)),Resal_s+(Salim-Resal_s)*(1-EXP((Tnet_s-t)/Tau_j)))*Salcycl</f>
        <v>8.650048723405046E-2</v>
      </c>
      <c r="AD317" s="233">
        <f>(INDEX(Models!$BJ317:$BT317,,AH317)*(1-AF317)+INDEX(Models!$BJ317:$BT317,,AH317+1)*AF317-ERP_i)*AE317*Ramure*Pc/MaxiM</f>
        <v>1.0282399547201337E-2</v>
      </c>
      <c r="AE317" s="307">
        <f t="shared" si="113"/>
        <v>1</v>
      </c>
      <c r="AF317" s="179">
        <f t="shared" si="114"/>
        <v>0.59796503017364788</v>
      </c>
      <c r="AG317" s="178">
        <f t="shared" si="115"/>
        <v>-2</v>
      </c>
      <c r="AH317" s="178">
        <f t="shared" si="116"/>
        <v>4</v>
      </c>
      <c r="AI317" s="227">
        <f t="shared" si="117"/>
        <v>-1.4020349698263521</v>
      </c>
      <c r="AJ317" s="267" t="b">
        <f t="shared" si="118"/>
        <v>0</v>
      </c>
      <c r="AK317" s="267" t="b">
        <f t="shared" si="119"/>
        <v>0</v>
      </c>
      <c r="AL317" s="267"/>
      <c r="AM317" s="267"/>
      <c r="AN317" s="75"/>
    </row>
    <row r="318" spans="1:40" s="6" customFormat="1" ht="11.25" customHeight="1" x14ac:dyDescent="0.2">
      <c r="A318" s="56">
        <f t="shared" si="120"/>
        <v>43769</v>
      </c>
      <c r="B318" s="618">
        <v>16.504999999999999</v>
      </c>
      <c r="C318" s="392"/>
      <c r="D318" s="395">
        <f t="shared" si="99"/>
        <v>16.681082200570138</v>
      </c>
      <c r="E318" s="387">
        <f t="shared" si="121"/>
        <v>18.261182814701151</v>
      </c>
      <c r="F318" s="387">
        <f t="shared" si="100"/>
        <v>18.368857345155021</v>
      </c>
      <c r="G318" s="110">
        <f t="shared" si="122"/>
        <v>0.66666057933531775</v>
      </c>
      <c r="H318" s="414" t="b">
        <f>Wh_hp&gt;='2018'!Maxi_hp</f>
        <v>1</v>
      </c>
      <c r="I318" s="392">
        <f>IF(H318,Wh_hp,'2018'!Maxi_hp)</f>
        <v>18.368857345155021</v>
      </c>
      <c r="J318" s="85">
        <f>IF(H318,An,'2018'!An_max)</f>
        <v>2019</v>
      </c>
      <c r="K318" s="199">
        <f t="shared" si="101"/>
        <v>43769</v>
      </c>
      <c r="L318" s="147">
        <f>IF(t&lt;Tvie,1-EXP((T0-t)*PertePVj)+'2018'!Pspv,1-EXP((T0-t)*PertePVj)+Pspv)</f>
        <v>1.0555801982926605E-2</v>
      </c>
      <c r="M318" s="870"/>
      <c r="N318" s="870"/>
      <c r="O318" s="48">
        <f>IF(t&lt;Tnet,'2018'!Resal+('2018'!Salim-'2018'!Resal)*(1-EXP(('2018'!Tnet-t)/('2018'!Tau_j))),Resal+(Salim-Resal)*(1-EXP((Tnet-t)/(Tau_j))))*Salcycl</f>
        <v>8.6527835034812414E-2</v>
      </c>
      <c r="P318" s="171">
        <f>(INDEX(Models!$BJ318:$BT318,,T318)*(1-R318)+INDEX(Models!$BJ318:$BT318,,T318+1)*R318-ERP_i)*Q318*Ramure*Pc/MaxiM</f>
        <v>1.1084455298906311E-2</v>
      </c>
      <c r="Q318" s="307">
        <f t="shared" si="102"/>
        <v>1</v>
      </c>
      <c r="R318" s="179">
        <f t="shared" si="103"/>
        <v>0.59804704492585303</v>
      </c>
      <c r="S318" s="837">
        <f t="shared" si="104"/>
        <v>-2</v>
      </c>
      <c r="T318" s="178">
        <f t="shared" si="105"/>
        <v>4</v>
      </c>
      <c r="U318" s="253">
        <f t="shared" si="106"/>
        <v>-1.401952955074147</v>
      </c>
      <c r="V318" s="385">
        <f t="shared" si="107"/>
        <v>24.627662536816278</v>
      </c>
      <c r="W318" s="58"/>
      <c r="X318" s="157">
        <f t="shared" si="108"/>
        <v>43769</v>
      </c>
      <c r="Y318" s="387">
        <f t="shared" si="109"/>
        <v>16.504999999999999</v>
      </c>
      <c r="Z318" s="387">
        <f t="shared" si="110"/>
        <v>16.681082200570138</v>
      </c>
      <c r="AA318" s="388">
        <f t="shared" si="111"/>
        <v>18.261182814701151</v>
      </c>
      <c r="AB318" s="199">
        <f t="shared" si="112"/>
        <v>43769</v>
      </c>
      <c r="AC318" s="426">
        <f>IF(OR(t&lt;Tnet,NoTnet),'2018'!Resal_s+('2018'!Salim-'2018'!Resal_s)*(1-EXP(('2018'!Tnet_s-t)/'2018'!Tau_j)),Resal_s+(Salim-Resal_s)*(1-EXP((Tnet_s-t)/Tau_j)))*Salcycl</f>
        <v>8.6527835034812414E-2</v>
      </c>
      <c r="AD318" s="233">
        <f>(INDEX(Models!$BJ318:$BT318,,AH318)*(1-AF318)+INDEX(Models!$BJ318:$BT318,,AH318+1)*AF318-ERP_i)*AE318*Ramure*Pc/MaxiM</f>
        <v>1.1084455298906311E-2</v>
      </c>
      <c r="AE318" s="307">
        <f t="shared" si="113"/>
        <v>1</v>
      </c>
      <c r="AF318" s="179">
        <f t="shared" si="114"/>
        <v>0.59804704492585303</v>
      </c>
      <c r="AG318" s="178">
        <f t="shared" si="115"/>
        <v>-2</v>
      </c>
      <c r="AH318" s="178">
        <f t="shared" si="116"/>
        <v>4</v>
      </c>
      <c r="AI318" s="227">
        <f t="shared" si="117"/>
        <v>-1.401952955074147</v>
      </c>
      <c r="AJ318" s="267" t="b">
        <f t="shared" si="118"/>
        <v>0</v>
      </c>
      <c r="AK318" s="267" t="b">
        <f t="shared" si="119"/>
        <v>0</v>
      </c>
      <c r="AL318" s="267"/>
      <c r="AM318" s="267"/>
      <c r="AN318" s="75"/>
    </row>
    <row r="319" spans="1:40" s="6" customFormat="1" ht="11.25" customHeight="1" x14ac:dyDescent="0.2">
      <c r="A319" s="56">
        <f t="shared" si="120"/>
        <v>43770</v>
      </c>
      <c r="B319" s="618">
        <v>7.3150000000000004</v>
      </c>
      <c r="C319" s="392"/>
      <c r="D319" s="395">
        <f t="shared" si="99"/>
        <v>7.3932115114306933</v>
      </c>
      <c r="E319" s="387">
        <f t="shared" si="121"/>
        <v>8.0937620287247061</v>
      </c>
      <c r="F319" s="387">
        <f t="shared" si="100"/>
        <v>8.0938886634397349</v>
      </c>
      <c r="G319" s="110">
        <f t="shared" si="122"/>
        <v>0.29734531008423137</v>
      </c>
      <c r="H319" s="414" t="b">
        <f>Wh_hp&gt;='2018'!Maxi_hp</f>
        <v>0</v>
      </c>
      <c r="I319" s="392">
        <f>IF(H319,Wh_hp,'2018'!Maxi_hp)</f>
        <v>19.637004032228749</v>
      </c>
      <c r="J319" s="85">
        <f>IF(H319,An,'2018'!An_max)</f>
        <v>2018</v>
      </c>
      <c r="K319" s="199">
        <f t="shared" si="101"/>
        <v>43770</v>
      </c>
      <c r="L319" s="147">
        <f>IF(t&lt;Tvie,1-EXP((T0-t)*PertePVj)+'2018'!Pspv,1-EXP((T0-t)*PertePVj)+Pspv)</f>
        <v>1.0578827794899381E-2</v>
      </c>
      <c r="M319" s="870"/>
      <c r="N319" s="870"/>
      <c r="O319" s="48">
        <f>IF(t&lt;Tnet,'2018'!Resal+('2018'!Salim-'2018'!Resal)*(1-EXP(('2018'!Tnet-t)/('2018'!Tau_j))),Resal+(Salim-Resal)*(1-EXP((Tnet-t)/(Tau_j))))*Salcycl</f>
        <v>8.6554375432309885E-2</v>
      </c>
      <c r="P319" s="171">
        <f>(INDEX(Models!$BJ319:$BT319,,T319)*(1-R319)+INDEX(Models!$BJ319:$BT319,,T319+1)*R319-ERP_i)*Q319*Ramure*Pc/MaxiM</f>
        <v>1.1896625404223706E-2</v>
      </c>
      <c r="Q319" s="307">
        <f t="shared" si="102"/>
        <v>1</v>
      </c>
      <c r="R319" s="179">
        <f t="shared" si="103"/>
        <v>0.5981257756228513</v>
      </c>
      <c r="S319" s="837">
        <f t="shared" si="104"/>
        <v>-2</v>
      </c>
      <c r="T319" s="178">
        <f t="shared" si="105"/>
        <v>4</v>
      </c>
      <c r="U319" s="253">
        <f t="shared" si="106"/>
        <v>-1.4018742243771487</v>
      </c>
      <c r="V319" s="385">
        <f t="shared" si="107"/>
        <v>24.308738119262159</v>
      </c>
      <c r="W319" s="58"/>
      <c r="X319" s="157">
        <f t="shared" si="108"/>
        <v>43770</v>
      </c>
      <c r="Y319" s="387">
        <f t="shared" si="109"/>
        <v>7.3150000000000004</v>
      </c>
      <c r="Z319" s="387">
        <f t="shared" si="110"/>
        <v>7.3932115114306933</v>
      </c>
      <c r="AA319" s="388">
        <f t="shared" si="111"/>
        <v>8.0937620287247061</v>
      </c>
      <c r="AB319" s="199">
        <f t="shared" si="112"/>
        <v>43770</v>
      </c>
      <c r="AC319" s="426">
        <f>IF(OR(t&lt;Tnet,NoTnet),'2018'!Resal_s+('2018'!Salim-'2018'!Resal_s)*(1-EXP(('2018'!Tnet_s-t)/'2018'!Tau_j)),Resal_s+(Salim-Resal_s)*(1-EXP((Tnet_s-t)/Tau_j)))*Salcycl</f>
        <v>8.6554375432309885E-2</v>
      </c>
      <c r="AD319" s="233">
        <f>(INDEX(Models!$BJ319:$BT319,,AH319)*(1-AF319)+INDEX(Models!$BJ319:$BT319,,AH319+1)*AF319-ERP_i)*AE319*Ramure*Pc/MaxiM</f>
        <v>1.1896625404223706E-2</v>
      </c>
      <c r="AE319" s="307">
        <f t="shared" si="113"/>
        <v>1</v>
      </c>
      <c r="AF319" s="179">
        <f t="shared" si="114"/>
        <v>0.5981257756228513</v>
      </c>
      <c r="AG319" s="178">
        <f t="shared" si="115"/>
        <v>-2</v>
      </c>
      <c r="AH319" s="178">
        <f t="shared" si="116"/>
        <v>4</v>
      </c>
      <c r="AI319" s="227">
        <f t="shared" si="117"/>
        <v>-1.4018742243771487</v>
      </c>
      <c r="AJ319" s="267" t="b">
        <f t="shared" si="118"/>
        <v>0</v>
      </c>
      <c r="AK319" s="267" t="b">
        <f t="shared" si="119"/>
        <v>0</v>
      </c>
      <c r="AL319" s="267"/>
      <c r="AM319" s="267"/>
      <c r="AN319" s="75"/>
    </row>
    <row r="320" spans="1:40" s="6" customFormat="1" ht="11.25" customHeight="1" x14ac:dyDescent="0.2">
      <c r="A320" s="56">
        <f t="shared" si="120"/>
        <v>43771</v>
      </c>
      <c r="B320" s="618">
        <v>5.3070000000000004</v>
      </c>
      <c r="C320" s="392"/>
      <c r="D320" s="395">
        <f t="shared" si="99"/>
        <v>5.3638669290745948</v>
      </c>
      <c r="E320" s="387">
        <f t="shared" si="121"/>
        <v>5.8722915796140054</v>
      </c>
      <c r="F320" s="387">
        <f t="shared" si="100"/>
        <v>5.8722915796140054</v>
      </c>
      <c r="G320" s="110">
        <f t="shared" si="122"/>
        <v>0.21837440390792823</v>
      </c>
      <c r="H320" s="414" t="b">
        <f>Wh_hp&gt;='2018'!Maxi_hp</f>
        <v>0</v>
      </c>
      <c r="I320" s="392">
        <f>IF(H320,Wh_hp,'2018'!Maxi_hp)</f>
        <v>8.3434602036899594</v>
      </c>
      <c r="J320" s="85">
        <f>IF(H320,An,'2018'!An_max)</f>
        <v>2018</v>
      </c>
      <c r="K320" s="199">
        <f t="shared" si="101"/>
        <v>43771</v>
      </c>
      <c r="L320" s="147">
        <f>IF(t&lt;Tvie,1-EXP((T0-t)*PertePVj)+'2018'!Pspv,1-EXP((T0-t)*PertePVj)+Pspv)</f>
        <v>1.06018530710279E-2</v>
      </c>
      <c r="M320" s="870"/>
      <c r="N320" s="870"/>
      <c r="O320" s="48">
        <f>IF(t&lt;Tnet,'2018'!Resal+('2018'!Salim-'2018'!Resal)*(1-EXP(('2018'!Tnet-t)/('2018'!Tau_j))),Resal+(Salim-Resal)*(1-EXP((Tnet-t)/(Tau_j))))*Salcycl</f>
        <v>8.6580280227302672E-2</v>
      </c>
      <c r="P320" s="171">
        <f>(INDEX(Models!$BJ320:$BT320,,T320)*(1-R320)+INDEX(Models!$BJ320:$BT320,,T320+1)*R320-ERP_i)*Q320*Ramure*Pc/MaxiM</f>
        <v>1.2718754267764133E-2</v>
      </c>
      <c r="Q320" s="307">
        <f t="shared" si="102"/>
        <v>1</v>
      </c>
      <c r="R320" s="179">
        <f t="shared" si="103"/>
        <v>0.59820135306794708</v>
      </c>
      <c r="S320" s="837">
        <f t="shared" si="104"/>
        <v>-2</v>
      </c>
      <c r="T320" s="178">
        <f t="shared" si="105"/>
        <v>4</v>
      </c>
      <c r="U320" s="253">
        <f t="shared" si="106"/>
        <v>-1.4017986469320529</v>
      </c>
      <c r="V320" s="385">
        <f t="shared" si="107"/>
        <v>23.993203769934837</v>
      </c>
      <c r="W320" s="58"/>
      <c r="X320" s="157">
        <f t="shared" si="108"/>
        <v>43771</v>
      </c>
      <c r="Y320" s="387">
        <f t="shared" si="109"/>
        <v>5.3070000000000004</v>
      </c>
      <c r="Z320" s="387">
        <f t="shared" si="110"/>
        <v>5.3638669290745948</v>
      </c>
      <c r="AA320" s="388">
        <f t="shared" si="111"/>
        <v>5.8722915796140054</v>
      </c>
      <c r="AB320" s="199">
        <f t="shared" si="112"/>
        <v>43771</v>
      </c>
      <c r="AC320" s="426">
        <f>IF(OR(t&lt;Tnet,NoTnet),'2018'!Resal_s+('2018'!Salim-'2018'!Resal_s)*(1-EXP(('2018'!Tnet_s-t)/'2018'!Tau_j)),Resal_s+(Salim-Resal_s)*(1-EXP((Tnet_s-t)/Tau_j)))*Salcycl</f>
        <v>8.6580280227302672E-2</v>
      </c>
      <c r="AD320" s="233">
        <f>(INDEX(Models!$BJ320:$BT320,,AH320)*(1-AF320)+INDEX(Models!$BJ320:$BT320,,AH320+1)*AF320-ERP_i)*AE320*Ramure*Pc/MaxiM</f>
        <v>1.2718754267764133E-2</v>
      </c>
      <c r="AE320" s="307">
        <f t="shared" si="113"/>
        <v>1</v>
      </c>
      <c r="AF320" s="179">
        <f t="shared" si="114"/>
        <v>0.59820135306794708</v>
      </c>
      <c r="AG320" s="178">
        <f t="shared" si="115"/>
        <v>-2</v>
      </c>
      <c r="AH320" s="178">
        <f t="shared" si="116"/>
        <v>4</v>
      </c>
      <c r="AI320" s="227">
        <f t="shared" si="117"/>
        <v>-1.4017986469320529</v>
      </c>
      <c r="AJ320" s="267" t="b">
        <f t="shared" si="118"/>
        <v>0</v>
      </c>
      <c r="AK320" s="267" t="b">
        <f t="shared" si="119"/>
        <v>0</v>
      </c>
      <c r="AL320" s="267"/>
      <c r="AM320" s="267"/>
      <c r="AN320" s="75"/>
    </row>
    <row r="321" spans="1:40" s="6" customFormat="1" ht="11.25" customHeight="1" x14ac:dyDescent="0.2">
      <c r="A321" s="56">
        <f t="shared" si="120"/>
        <v>43772</v>
      </c>
      <c r="B321" s="618">
        <v>12.545999999999999</v>
      </c>
      <c r="C321" s="392"/>
      <c r="D321" s="395">
        <f t="shared" si="99"/>
        <v>12.680731219768287</v>
      </c>
      <c r="E321" s="387">
        <f t="shared" si="121"/>
        <v>13.883085935136148</v>
      </c>
      <c r="F321" s="387">
        <f t="shared" si="100"/>
        <v>13.945115396339439</v>
      </c>
      <c r="G321" s="110">
        <f t="shared" si="122"/>
        <v>0.52493756479765619</v>
      </c>
      <c r="H321" s="414" t="b">
        <f>Wh_hp&gt;='2018'!Maxi_hp</f>
        <v>0</v>
      </c>
      <c r="I321" s="392">
        <f>IF(H321,Wh_hp,'2018'!Maxi_hp)</f>
        <v>23.197448549639653</v>
      </c>
      <c r="J321" s="85">
        <f>IF(H321,An,'2018'!An_max)</f>
        <v>2018</v>
      </c>
      <c r="K321" s="199">
        <f t="shared" si="101"/>
        <v>43772</v>
      </c>
      <c r="L321" s="147">
        <f>IF(t&lt;Tvie,1-EXP((T0-t)*PertePVj)+'2018'!Pspv,1-EXP((T0-t)*PertePVj)+Pspv)</f>
        <v>1.0624877811324596E-2</v>
      </c>
      <c r="M321" s="870"/>
      <c r="N321" s="870"/>
      <c r="O321" s="48">
        <f>IF(t&lt;Tnet,'2018'!Resal+('2018'!Salim-'2018'!Resal)*(1-EXP(('2018'!Tnet-t)/('2018'!Tau_j))),Resal+(Salim-Resal)*(1-EXP((Tnet-t)/(Tau_j))))*Salcycl</f>
        <v>8.660572447548337E-2</v>
      </c>
      <c r="P321" s="171">
        <f>(INDEX(Models!$BJ321:$BT321,,T321)*(1-R321)+INDEX(Models!$BJ321:$BT321,,T321+1)*R321-ERP_i)*Q321*Ramure*Pc/MaxiM</f>
        <v>1.3550614088400763E-2</v>
      </c>
      <c r="Q321" s="307">
        <f t="shared" si="102"/>
        <v>1</v>
      </c>
      <c r="R321" s="179">
        <f t="shared" si="103"/>
        <v>0.59827390290949767</v>
      </c>
      <c r="S321" s="837">
        <f t="shared" si="104"/>
        <v>-2</v>
      </c>
      <c r="T321" s="178">
        <f t="shared" si="105"/>
        <v>4</v>
      </c>
      <c r="U321" s="253">
        <f t="shared" si="106"/>
        <v>-1.4017260970905023</v>
      </c>
      <c r="V321" s="385">
        <f t="shared" si="107"/>
        <v>23.681463514539331</v>
      </c>
      <c r="W321" s="58"/>
      <c r="X321" s="157">
        <f t="shared" si="108"/>
        <v>43772</v>
      </c>
      <c r="Y321" s="387">
        <f t="shared" si="109"/>
        <v>12.545999999999999</v>
      </c>
      <c r="Z321" s="387">
        <f t="shared" si="110"/>
        <v>12.680731219768287</v>
      </c>
      <c r="AA321" s="388">
        <f t="shared" si="111"/>
        <v>13.883085935136148</v>
      </c>
      <c r="AB321" s="199">
        <f t="shared" si="112"/>
        <v>43772</v>
      </c>
      <c r="AC321" s="426">
        <f>IF(OR(t&lt;Tnet,NoTnet),'2018'!Resal_s+('2018'!Salim-'2018'!Resal_s)*(1-EXP(('2018'!Tnet_s-t)/'2018'!Tau_j)),Resal_s+(Salim-Resal_s)*(1-EXP((Tnet_s-t)/Tau_j)))*Salcycl</f>
        <v>8.660572447548337E-2</v>
      </c>
      <c r="AD321" s="233">
        <f>(INDEX(Models!$BJ321:$BT321,,AH321)*(1-AF321)+INDEX(Models!$BJ321:$BT321,,AH321+1)*AF321-ERP_i)*AE321*Ramure*Pc/MaxiM</f>
        <v>1.3550614088400763E-2</v>
      </c>
      <c r="AE321" s="307">
        <f t="shared" si="113"/>
        <v>1</v>
      </c>
      <c r="AF321" s="179">
        <f t="shared" si="114"/>
        <v>0.59827390290949767</v>
      </c>
      <c r="AG321" s="178">
        <f t="shared" si="115"/>
        <v>-2</v>
      </c>
      <c r="AH321" s="178">
        <f t="shared" si="116"/>
        <v>4</v>
      </c>
      <c r="AI321" s="227">
        <f t="shared" si="117"/>
        <v>-1.4017260970905023</v>
      </c>
      <c r="AJ321" s="267" t="b">
        <f t="shared" si="118"/>
        <v>0</v>
      </c>
      <c r="AK321" s="267" t="b">
        <f t="shared" si="119"/>
        <v>0</v>
      </c>
      <c r="AL321" s="267"/>
      <c r="AM321" s="267"/>
      <c r="AN321" s="75"/>
    </row>
    <row r="322" spans="1:40" s="6" customFormat="1" ht="11.25" customHeight="1" x14ac:dyDescent="0.2">
      <c r="A322" s="56">
        <f t="shared" si="120"/>
        <v>43773</v>
      </c>
      <c r="B322" s="618">
        <v>9.5739999999999998</v>
      </c>
      <c r="C322" s="392"/>
      <c r="D322" s="395">
        <f t="shared" si="99"/>
        <v>9.6770401755926887</v>
      </c>
      <c r="E322" s="387">
        <f t="shared" si="121"/>
        <v>10.594884394928091</v>
      </c>
      <c r="F322" s="387">
        <f t="shared" si="100"/>
        <v>10.618812794814342</v>
      </c>
      <c r="G322" s="110">
        <f t="shared" si="122"/>
        <v>0.40461860508407921</v>
      </c>
      <c r="H322" s="414" t="b">
        <f>Wh_hp&gt;='2018'!Maxi_hp</f>
        <v>0</v>
      </c>
      <c r="I322" s="392">
        <f>IF(H322,Wh_hp,'2018'!Maxi_hp)</f>
        <v>18.882274393596006</v>
      </c>
      <c r="J322" s="85">
        <f>IF(H322,An,'2018'!An_max)</f>
        <v>2018</v>
      </c>
      <c r="K322" s="199">
        <f t="shared" si="101"/>
        <v>43773</v>
      </c>
      <c r="L322" s="147">
        <f>IF(t&lt;Tvie,1-EXP((T0-t)*PertePVj)+'2018'!Pspv,1-EXP((T0-t)*PertePVj)+Pspv)</f>
        <v>1.0647902015801902E-2</v>
      </c>
      <c r="M322" s="870"/>
      <c r="N322" s="870"/>
      <c r="O322" s="48">
        <f>IF(t&lt;Tnet,'2018'!Resal+('2018'!Salim-'2018'!Resal)*(1-EXP(('2018'!Tnet-t)/('2018'!Tau_j))),Resal+(Salim-Resal)*(1-EXP((Tnet-t)/(Tau_j))))*Salcycl</f>
        <v>8.6630885729606102E-2</v>
      </c>
      <c r="P322" s="171">
        <f>(INDEX(Models!$BJ322:$BT322,,T322)*(1-R322)+INDEX(Models!$BJ322:$BT322,,T322+1)*R322-ERP_i)*Q322*Ramure*Pc/MaxiM</f>
        <v>1.4391898953939506E-2</v>
      </c>
      <c r="Q322" s="307">
        <f t="shared" si="102"/>
        <v>1</v>
      </c>
      <c r="R322" s="179">
        <f t="shared" si="103"/>
        <v>0.59834354583973903</v>
      </c>
      <c r="S322" s="837">
        <f t="shared" si="104"/>
        <v>-2</v>
      </c>
      <c r="T322" s="178">
        <f t="shared" si="105"/>
        <v>4</v>
      </c>
      <c r="U322" s="253">
        <f t="shared" si="106"/>
        <v>-1.401656454160261</v>
      </c>
      <c r="V322" s="385">
        <f t="shared" si="107"/>
        <v>23.373921502358947</v>
      </c>
      <c r="W322" s="58"/>
      <c r="X322" s="157">
        <f t="shared" si="108"/>
        <v>43773</v>
      </c>
      <c r="Y322" s="387">
        <f t="shared" si="109"/>
        <v>9.5739999999999998</v>
      </c>
      <c r="Z322" s="387">
        <f t="shared" si="110"/>
        <v>9.6770401755926887</v>
      </c>
      <c r="AA322" s="388">
        <f t="shared" si="111"/>
        <v>10.594884394928091</v>
      </c>
      <c r="AB322" s="199">
        <f t="shared" si="112"/>
        <v>43773</v>
      </c>
      <c r="AC322" s="426">
        <f>IF(OR(t&lt;Tnet,NoTnet),'2018'!Resal_s+('2018'!Salim-'2018'!Resal_s)*(1-EXP(('2018'!Tnet_s-t)/'2018'!Tau_j)),Resal_s+(Salim-Resal_s)*(1-EXP((Tnet_s-t)/Tau_j)))*Salcycl</f>
        <v>8.6630885729606102E-2</v>
      </c>
      <c r="AD322" s="233">
        <f>(INDEX(Models!$BJ322:$BT322,,AH322)*(1-AF322)+INDEX(Models!$BJ322:$BT322,,AH322+1)*AF322-ERP_i)*AE322*Ramure*Pc/MaxiM</f>
        <v>1.4391898953939506E-2</v>
      </c>
      <c r="AE322" s="307">
        <f t="shared" si="113"/>
        <v>1</v>
      </c>
      <c r="AF322" s="179">
        <f t="shared" si="114"/>
        <v>0.59834354583973903</v>
      </c>
      <c r="AG322" s="178">
        <f t="shared" si="115"/>
        <v>-2</v>
      </c>
      <c r="AH322" s="178">
        <f t="shared" si="116"/>
        <v>4</v>
      </c>
      <c r="AI322" s="227">
        <f t="shared" si="117"/>
        <v>-1.401656454160261</v>
      </c>
      <c r="AJ322" s="267" t="b">
        <f t="shared" si="118"/>
        <v>0</v>
      </c>
      <c r="AK322" s="267" t="b">
        <f t="shared" si="119"/>
        <v>0</v>
      </c>
      <c r="AL322" s="267"/>
      <c r="AM322" s="267"/>
      <c r="AN322" s="75"/>
    </row>
    <row r="323" spans="1:40" s="6" customFormat="1" ht="11.25" customHeight="1" x14ac:dyDescent="0.2">
      <c r="A323" s="56">
        <f t="shared" si="120"/>
        <v>43774</v>
      </c>
      <c r="B323" s="618">
        <v>11.484999999999999</v>
      </c>
      <c r="C323" s="392"/>
      <c r="D323" s="395">
        <f t="shared" si="99"/>
        <v>11.608877468749167</v>
      </c>
      <c r="E323" s="387">
        <f t="shared" si="121"/>
        <v>12.710300552173862</v>
      </c>
      <c r="F323" s="387">
        <f t="shared" si="100"/>
        <v>12.765284023133834</v>
      </c>
      <c r="G323" s="110">
        <f t="shared" si="122"/>
        <v>0.49234439903335686</v>
      </c>
      <c r="H323" s="414" t="b">
        <f>Wh_hp&gt;='2018'!Maxi_hp</f>
        <v>1</v>
      </c>
      <c r="I323" s="392">
        <f>IF(H323,Wh_hp,'2018'!Maxi_hp)</f>
        <v>12.765284023133834</v>
      </c>
      <c r="J323" s="85">
        <f>IF(H323,An,'2018'!An_max)</f>
        <v>2019</v>
      </c>
      <c r="K323" s="199">
        <f t="shared" si="101"/>
        <v>43774</v>
      </c>
      <c r="L323" s="147">
        <f>IF(t&lt;Tvie,1-EXP((T0-t)*PertePVj)+'2018'!Pspv,1-EXP((T0-t)*PertePVj)+Pspv)</f>
        <v>1.0670925684472365E-2</v>
      </c>
      <c r="M323" s="870"/>
      <c r="N323" s="870"/>
      <c r="O323" s="48">
        <f>IF(t&lt;Tnet,'2018'!Resal+('2018'!Salim-'2018'!Resal)*(1-EXP(('2018'!Tnet-t)/('2018'!Tau_j))),Resal+(Salim-Resal)*(1-EXP((Tnet-t)/(Tau_j))))*Salcycl</f>
        <v>8.6655943256693194E-2</v>
      </c>
      <c r="P323" s="171">
        <f>(INDEX(Models!$BJ323:$BT323,,T323)*(1-R323)+INDEX(Models!$BJ323:$BT323,,T323+1)*R323-ERP_i)*Q323*Ramure*Pc/MaxiM</f>
        <v>1.5242218755322298E-2</v>
      </c>
      <c r="Q323" s="307">
        <f t="shared" si="102"/>
        <v>1</v>
      </c>
      <c r="R323" s="179">
        <f t="shared" si="103"/>
        <v>0.59841039778628424</v>
      </c>
      <c r="S323" s="837">
        <f t="shared" si="104"/>
        <v>-2</v>
      </c>
      <c r="T323" s="178">
        <f t="shared" si="105"/>
        <v>4</v>
      </c>
      <c r="U323" s="253">
        <f t="shared" si="106"/>
        <v>-1.4015896022137158</v>
      </c>
      <c r="V323" s="385">
        <f t="shared" si="107"/>
        <v>23.070982033380083</v>
      </c>
      <c r="W323" s="58"/>
      <c r="X323" s="157">
        <f t="shared" si="108"/>
        <v>43774</v>
      </c>
      <c r="Y323" s="387">
        <f t="shared" si="109"/>
        <v>11.484999999999999</v>
      </c>
      <c r="Z323" s="387">
        <f t="shared" si="110"/>
        <v>11.608877468749167</v>
      </c>
      <c r="AA323" s="388">
        <f t="shared" si="111"/>
        <v>12.710300552173862</v>
      </c>
      <c r="AB323" s="199">
        <f t="shared" si="112"/>
        <v>43774</v>
      </c>
      <c r="AC323" s="426">
        <f>IF(OR(t&lt;Tnet,NoTnet),'2018'!Resal_s+('2018'!Salim-'2018'!Resal_s)*(1-EXP(('2018'!Tnet_s-t)/'2018'!Tau_j)),Resal_s+(Salim-Resal_s)*(1-EXP((Tnet_s-t)/Tau_j)))*Salcycl</f>
        <v>8.6655943256693194E-2</v>
      </c>
      <c r="AD323" s="233">
        <f>(INDEX(Models!$BJ323:$BT323,,AH323)*(1-AF323)+INDEX(Models!$BJ323:$BT323,,AH323+1)*AF323-ERP_i)*AE323*Ramure*Pc/MaxiM</f>
        <v>1.5242218755322298E-2</v>
      </c>
      <c r="AE323" s="307">
        <f t="shared" si="113"/>
        <v>1</v>
      </c>
      <c r="AF323" s="179">
        <f t="shared" si="114"/>
        <v>0.59841039778628424</v>
      </c>
      <c r="AG323" s="178">
        <f t="shared" si="115"/>
        <v>-2</v>
      </c>
      <c r="AH323" s="178">
        <f t="shared" si="116"/>
        <v>4</v>
      </c>
      <c r="AI323" s="227">
        <f t="shared" si="117"/>
        <v>-1.4015896022137158</v>
      </c>
      <c r="AJ323" s="267" t="b">
        <f t="shared" si="118"/>
        <v>0</v>
      </c>
      <c r="AK323" s="267" t="b">
        <f t="shared" si="119"/>
        <v>0</v>
      </c>
      <c r="AL323" s="267"/>
      <c r="AM323" s="267"/>
      <c r="AN323" s="75"/>
    </row>
    <row r="324" spans="1:40" s="6" customFormat="1" ht="11.25" customHeight="1" x14ac:dyDescent="0.2">
      <c r="A324" s="56">
        <f t="shared" si="120"/>
        <v>43775</v>
      </c>
      <c r="B324" s="618">
        <v>12.484</v>
      </c>
      <c r="C324" s="392"/>
      <c r="D324" s="395">
        <f t="shared" si="99"/>
        <v>12.618946366572997</v>
      </c>
      <c r="E324" s="387">
        <f t="shared" si="121"/>
        <v>13.816582632907361</v>
      </c>
      <c r="F324" s="387">
        <f t="shared" si="100"/>
        <v>13.895794764555049</v>
      </c>
      <c r="G324" s="110">
        <f t="shared" si="122"/>
        <v>0.54245760123509212</v>
      </c>
      <c r="H324" s="414" t="b">
        <f>Wh_hp&gt;='2018'!Maxi_hp</f>
        <v>0</v>
      </c>
      <c r="I324" s="392">
        <f>IF(H324,Wh_hp,'2018'!Maxi_hp)</f>
        <v>19.26217495295213</v>
      </c>
      <c r="J324" s="85">
        <f>IF(H324,An,'2018'!An_max)</f>
        <v>2018</v>
      </c>
      <c r="K324" s="199">
        <f t="shared" si="101"/>
        <v>43775</v>
      </c>
      <c r="L324" s="147">
        <f>IF(t&lt;Tvie,1-EXP((T0-t)*PertePVj)+'2018'!Pspv,1-EXP((T0-t)*PertePVj)+Pspv)</f>
        <v>1.0693948817348531E-2</v>
      </c>
      <c r="M324" s="870"/>
      <c r="N324" s="870"/>
      <c r="O324" s="48">
        <f>IF(t&lt;Tnet,'2018'!Resal+('2018'!Salim-'2018'!Resal)*(1-EXP(('2018'!Tnet-t)/('2018'!Tau_j))),Resal+(Salim-Resal)*(1-EXP((Tnet-t)/(Tau_j))))*Salcycl</f>
        <v>8.668107723554716E-2</v>
      </c>
      <c r="P324" s="171">
        <f>(INDEX(Models!$BJ324:$BT324,,T324)*(1-R324)+INDEX(Models!$BJ324:$BT324,,T324+1)*R324-ERP_i)*Q324*Ramure*Pc/MaxiM</f>
        <v>1.6078333601685778E-2</v>
      </c>
      <c r="Q324" s="307">
        <f t="shared" si="102"/>
        <v>1</v>
      </c>
      <c r="R324" s="179">
        <f t="shared" si="103"/>
        <v>0.59847457009654104</v>
      </c>
      <c r="S324" s="837">
        <f t="shared" si="104"/>
        <v>-2</v>
      </c>
      <c r="T324" s="178">
        <f t="shared" si="105"/>
        <v>4</v>
      </c>
      <c r="U324" s="253">
        <f t="shared" si="106"/>
        <v>-1.401525429903459</v>
      </c>
      <c r="V324" s="385">
        <f t="shared" si="107"/>
        <v>22.773576344502452</v>
      </c>
      <c r="W324" s="58"/>
      <c r="X324" s="157">
        <f t="shared" si="108"/>
        <v>43775</v>
      </c>
      <c r="Y324" s="387">
        <f t="shared" si="109"/>
        <v>12.484</v>
      </c>
      <c r="Z324" s="387">
        <f t="shared" si="110"/>
        <v>12.618946366572997</v>
      </c>
      <c r="AA324" s="388">
        <f t="shared" si="111"/>
        <v>13.816582632907361</v>
      </c>
      <c r="AB324" s="199">
        <f t="shared" si="112"/>
        <v>43775</v>
      </c>
      <c r="AC324" s="426">
        <f>IF(OR(t&lt;Tnet,NoTnet),'2018'!Resal_s+('2018'!Salim-'2018'!Resal_s)*(1-EXP(('2018'!Tnet_s-t)/'2018'!Tau_j)),Resal_s+(Salim-Resal_s)*(1-EXP((Tnet_s-t)/Tau_j)))*Salcycl</f>
        <v>8.668107723554716E-2</v>
      </c>
      <c r="AD324" s="233">
        <f>(INDEX(Models!$BJ324:$BT324,,AH324)*(1-AF324)+INDEX(Models!$BJ324:$BT324,,AH324+1)*AF324-ERP_i)*AE324*Ramure*Pc/MaxiM</f>
        <v>1.6078333601685778E-2</v>
      </c>
      <c r="AE324" s="307">
        <f t="shared" si="113"/>
        <v>1</v>
      </c>
      <c r="AF324" s="179">
        <f t="shared" si="114"/>
        <v>0.59847457009654104</v>
      </c>
      <c r="AG324" s="178">
        <f t="shared" si="115"/>
        <v>-2</v>
      </c>
      <c r="AH324" s="178">
        <f t="shared" si="116"/>
        <v>4</v>
      </c>
      <c r="AI324" s="227">
        <f t="shared" si="117"/>
        <v>-1.401525429903459</v>
      </c>
      <c r="AJ324" s="267" t="b">
        <f t="shared" si="118"/>
        <v>0</v>
      </c>
      <c r="AK324" s="267" t="b">
        <f t="shared" si="119"/>
        <v>0</v>
      </c>
      <c r="AL324" s="267"/>
      <c r="AM324" s="267"/>
      <c r="AN324" s="75"/>
    </row>
    <row r="325" spans="1:40" s="6" customFormat="1" ht="11.25" customHeight="1" x14ac:dyDescent="0.2">
      <c r="A325" s="56">
        <f t="shared" si="120"/>
        <v>43776</v>
      </c>
      <c r="B325" s="618">
        <v>4.407</v>
      </c>
      <c r="C325" s="392"/>
      <c r="D325" s="395">
        <f t="shared" si="99"/>
        <v>4.4547413355518453</v>
      </c>
      <c r="E325" s="387">
        <f t="shared" si="121"/>
        <v>4.8776665761596911</v>
      </c>
      <c r="F325" s="387">
        <f t="shared" si="100"/>
        <v>4.8776665761596911</v>
      </c>
      <c r="G325" s="110">
        <f t="shared" si="122"/>
        <v>0.19270998126111236</v>
      </c>
      <c r="H325" s="414" t="b">
        <f>Wh_hp&gt;='2018'!Maxi_hp</f>
        <v>0</v>
      </c>
      <c r="I325" s="392">
        <f>IF(H325,Wh_hp,'2018'!Maxi_hp)</f>
        <v>11.090965678906324</v>
      </c>
      <c r="J325" s="85">
        <f>IF(H325,An,'2018'!An_max)</f>
        <v>2018</v>
      </c>
      <c r="K325" s="199">
        <f t="shared" si="101"/>
        <v>43776</v>
      </c>
      <c r="L325" s="147">
        <f>IF(t&lt;Tvie,1-EXP((T0-t)*PertePVj)+'2018'!Pspv,1-EXP((T0-t)*PertePVj)+Pspv)</f>
        <v>1.0716971414442611E-2</v>
      </c>
      <c r="M325" s="870"/>
      <c r="N325" s="870"/>
      <c r="O325" s="48">
        <f>IF(t&lt;Tnet,'2018'!Resal+('2018'!Salim-'2018'!Resal)*(1-EXP(('2018'!Tnet-t)/('2018'!Tau_j))),Resal+(Salim-Resal)*(1-EXP((Tnet-t)/(Tau_j))))*Salcycl</f>
        <v>8.6706467940009316E-2</v>
      </c>
      <c r="P325" s="171">
        <f>(INDEX(Models!$BJ325:$BT325,,T325)*(1-R325)+INDEX(Models!$BJ325:$BT325,,T325+1)*R325-ERP_i)*Q325*Ramure*Pc/MaxiM</f>
        <v>1.6888070064712588E-2</v>
      </c>
      <c r="Q325" s="307">
        <f t="shared" si="102"/>
        <v>1</v>
      </c>
      <c r="R325" s="179">
        <f t="shared" si="103"/>
        <v>0.59853616971528045</v>
      </c>
      <c r="S325" s="837">
        <f t="shared" si="104"/>
        <v>-2</v>
      </c>
      <c r="T325" s="178">
        <f t="shared" si="105"/>
        <v>4</v>
      </c>
      <c r="U325" s="253">
        <f t="shared" si="106"/>
        <v>-1.4014638302847195</v>
      </c>
      <c r="V325" s="385">
        <f t="shared" si="107"/>
        <v>22.482355334539687</v>
      </c>
      <c r="W325" s="58"/>
      <c r="X325" s="157">
        <f t="shared" si="108"/>
        <v>43776</v>
      </c>
      <c r="Y325" s="387">
        <f t="shared" si="109"/>
        <v>4.407</v>
      </c>
      <c r="Z325" s="387">
        <f t="shared" si="110"/>
        <v>4.4547413355518453</v>
      </c>
      <c r="AA325" s="388">
        <f t="shared" si="111"/>
        <v>4.8776665761596911</v>
      </c>
      <c r="AB325" s="199">
        <f t="shared" si="112"/>
        <v>43776</v>
      </c>
      <c r="AC325" s="426">
        <f>IF(OR(t&lt;Tnet,NoTnet),'2018'!Resal_s+('2018'!Salim-'2018'!Resal_s)*(1-EXP(('2018'!Tnet_s-t)/'2018'!Tau_j)),Resal_s+(Salim-Resal_s)*(1-EXP((Tnet_s-t)/Tau_j)))*Salcycl</f>
        <v>8.6706467940009316E-2</v>
      </c>
      <c r="AD325" s="233">
        <f>(INDEX(Models!$BJ325:$BT325,,AH325)*(1-AF325)+INDEX(Models!$BJ325:$BT325,,AH325+1)*AF325-ERP_i)*AE325*Ramure*Pc/MaxiM</f>
        <v>1.6888070064712588E-2</v>
      </c>
      <c r="AE325" s="307">
        <f t="shared" si="113"/>
        <v>1</v>
      </c>
      <c r="AF325" s="179">
        <f t="shared" si="114"/>
        <v>0.59853616971528045</v>
      </c>
      <c r="AG325" s="178">
        <f t="shared" si="115"/>
        <v>-2</v>
      </c>
      <c r="AH325" s="178">
        <f t="shared" si="116"/>
        <v>4</v>
      </c>
      <c r="AI325" s="227">
        <f t="shared" si="117"/>
        <v>-1.4014638302847195</v>
      </c>
      <c r="AJ325" s="267" t="b">
        <f t="shared" si="118"/>
        <v>0</v>
      </c>
      <c r="AK325" s="267" t="b">
        <f t="shared" si="119"/>
        <v>0</v>
      </c>
      <c r="AL325" s="267"/>
      <c r="AM325" s="267"/>
      <c r="AN325" s="75"/>
    </row>
    <row r="326" spans="1:40" s="6" customFormat="1" ht="11.25" customHeight="1" x14ac:dyDescent="0.2">
      <c r="A326" s="56">
        <f t="shared" si="120"/>
        <v>43777</v>
      </c>
      <c r="B326" s="618">
        <v>12.961</v>
      </c>
      <c r="C326" s="392"/>
      <c r="D326" s="395">
        <f t="shared" si="99"/>
        <v>13.101712304673574</v>
      </c>
      <c r="E326" s="387">
        <f t="shared" si="121"/>
        <v>14.345971320023562</v>
      </c>
      <c r="F326" s="387">
        <f t="shared" si="100"/>
        <v>14.449515867114824</v>
      </c>
      <c r="G326" s="110">
        <f t="shared" si="122"/>
        <v>0.57771151208596794</v>
      </c>
      <c r="H326" s="414" t="b">
        <f>Wh_hp&gt;='2018'!Maxi_hp</f>
        <v>1</v>
      </c>
      <c r="I326" s="392">
        <f>IF(H326,Wh_hp,'2018'!Maxi_hp)</f>
        <v>14.449515867114824</v>
      </c>
      <c r="J326" s="85">
        <f>IF(H326,An,'2018'!An_max)</f>
        <v>2019</v>
      </c>
      <c r="K326" s="199">
        <f t="shared" si="101"/>
        <v>43777</v>
      </c>
      <c r="L326" s="147">
        <f>IF(t&lt;Tvie,1-EXP((T0-t)*PertePVj)+'2018'!Pspv,1-EXP((T0-t)*PertePVj)+Pspv)</f>
        <v>1.0739993475767262E-2</v>
      </c>
      <c r="M326" s="870"/>
      <c r="N326" s="870"/>
      <c r="O326" s="48">
        <f>IF(t&lt;Tnet,'2018'!Resal+('2018'!Salim-'2018'!Resal)*(1-EXP(('2018'!Tnet-t)/('2018'!Tau_j))),Resal+(Salim-Resal)*(1-EXP((Tnet-t)/(Tau_j))))*Salcycl</f>
        <v>8.6732294913575994E-2</v>
      </c>
      <c r="P326" s="171">
        <f>(INDEX(Models!$BJ326:$BT326,,T326)*(1-R326)+INDEX(Models!$BJ326:$BT326,,T326+1)*R326-ERP_i)*Q326*Ramure*Pc/MaxiM</f>
        <v>1.7669485923124457E-2</v>
      </c>
      <c r="Q326" s="307">
        <f t="shared" si="102"/>
        <v>1</v>
      </c>
      <c r="R326" s="179">
        <f t="shared" si="103"/>
        <v>0.59859529935559297</v>
      </c>
      <c r="S326" s="837">
        <f t="shared" si="104"/>
        <v>-2</v>
      </c>
      <c r="T326" s="178">
        <f t="shared" si="105"/>
        <v>4</v>
      </c>
      <c r="U326" s="253">
        <f t="shared" si="106"/>
        <v>-1.401404700644407</v>
      </c>
      <c r="V326" s="385">
        <f t="shared" si="107"/>
        <v>22.197724729489355</v>
      </c>
      <c r="W326" s="58"/>
      <c r="X326" s="157">
        <f t="shared" si="108"/>
        <v>43777</v>
      </c>
      <c r="Y326" s="387">
        <f t="shared" si="109"/>
        <v>12.961</v>
      </c>
      <c r="Z326" s="387">
        <f t="shared" si="110"/>
        <v>13.101712304673574</v>
      </c>
      <c r="AA326" s="388">
        <f t="shared" si="111"/>
        <v>14.345971320023562</v>
      </c>
      <c r="AB326" s="199">
        <f t="shared" si="112"/>
        <v>43777</v>
      </c>
      <c r="AC326" s="426">
        <f>IF(OR(t&lt;Tnet,NoTnet),'2018'!Resal_s+('2018'!Salim-'2018'!Resal_s)*(1-EXP(('2018'!Tnet_s-t)/'2018'!Tau_j)),Resal_s+(Salim-Resal_s)*(1-EXP((Tnet_s-t)/Tau_j)))*Salcycl</f>
        <v>8.6732294913575994E-2</v>
      </c>
      <c r="AD326" s="233">
        <f>(INDEX(Models!$BJ326:$BT326,,AH326)*(1-AF326)+INDEX(Models!$BJ326:$BT326,,AH326+1)*AF326-ERP_i)*AE326*Ramure*Pc/MaxiM</f>
        <v>1.7669485923124457E-2</v>
      </c>
      <c r="AE326" s="307">
        <f t="shared" si="113"/>
        <v>1</v>
      </c>
      <c r="AF326" s="179">
        <f t="shared" si="114"/>
        <v>0.59859529935559297</v>
      </c>
      <c r="AG326" s="178">
        <f t="shared" si="115"/>
        <v>-2</v>
      </c>
      <c r="AH326" s="178">
        <f t="shared" si="116"/>
        <v>4</v>
      </c>
      <c r="AI326" s="227">
        <f t="shared" si="117"/>
        <v>-1.401404700644407</v>
      </c>
      <c r="AJ326" s="267" t="b">
        <f t="shared" si="118"/>
        <v>0</v>
      </c>
      <c r="AK326" s="267" t="b">
        <f t="shared" si="119"/>
        <v>0</v>
      </c>
      <c r="AL326" s="267"/>
      <c r="AM326" s="267"/>
      <c r="AN326" s="75"/>
    </row>
    <row r="327" spans="1:40" s="6" customFormat="1" ht="11.25" customHeight="1" x14ac:dyDescent="0.2">
      <c r="A327" s="56">
        <f t="shared" si="120"/>
        <v>43778</v>
      </c>
      <c r="B327" s="618">
        <v>15.875999999999999</v>
      </c>
      <c r="C327" s="392"/>
      <c r="D327" s="395">
        <f t="shared" si="99"/>
        <v>16.048732751355253</v>
      </c>
      <c r="E327" s="387">
        <f t="shared" si="121"/>
        <v>17.573376703918761</v>
      </c>
      <c r="F327" s="387">
        <f t="shared" si="100"/>
        <v>17.771791753188396</v>
      </c>
      <c r="G327" s="110">
        <f t="shared" si="122"/>
        <v>0.71895252461890458</v>
      </c>
      <c r="H327" s="414" t="b">
        <f>Wh_hp&gt;='2018'!Maxi_hp</f>
        <v>1</v>
      </c>
      <c r="I327" s="392">
        <f>IF(H327,Wh_hp,'2018'!Maxi_hp)</f>
        <v>17.771791753188396</v>
      </c>
      <c r="J327" s="85">
        <f>IF(H327,An,'2018'!An_max)</f>
        <v>2019</v>
      </c>
      <c r="K327" s="199">
        <f t="shared" si="101"/>
        <v>43778</v>
      </c>
      <c r="L327" s="147">
        <f>IF(t&lt;Tvie,1-EXP((T0-t)*PertePVj)+'2018'!Pspv,1-EXP((T0-t)*PertePVj)+Pspv)</f>
        <v>1.076301500133503E-2</v>
      </c>
      <c r="M327" s="870"/>
      <c r="N327" s="870"/>
      <c r="O327" s="48">
        <f>IF(t&lt;Tnet,'2018'!Resal+('2018'!Salim-'2018'!Resal)*(1-EXP(('2018'!Tnet-t)/('2018'!Tau_j))),Resal+(Salim-Resal)*(1-EXP((Tnet-t)/(Tau_j))))*Salcycl</f>
        <v>8.6758736141103715E-2</v>
      </c>
      <c r="P327" s="171">
        <f>(INDEX(Models!$BJ327:$BT327,,T327)*(1-R327)+INDEX(Models!$BJ327:$BT327,,T327+1)*R327-ERP_i)*Q327*Ramure*Pc/MaxiM</f>
        <v>1.8420528769048539E-2</v>
      </c>
      <c r="Q327" s="307">
        <f t="shared" si="102"/>
        <v>1</v>
      </c>
      <c r="R327" s="179">
        <f t="shared" si="103"/>
        <v>0.5986520576634502</v>
      </c>
      <c r="S327" s="837">
        <f t="shared" si="104"/>
        <v>-2</v>
      </c>
      <c r="T327" s="178">
        <f t="shared" si="105"/>
        <v>4</v>
      </c>
      <c r="U327" s="253">
        <f t="shared" si="106"/>
        <v>-1.4013479423365498</v>
      </c>
      <c r="V327" s="385">
        <f t="shared" si="107"/>
        <v>21.920090408124658</v>
      </c>
      <c r="W327" s="58"/>
      <c r="X327" s="157">
        <f t="shared" si="108"/>
        <v>43778</v>
      </c>
      <c r="Y327" s="387">
        <f t="shared" si="109"/>
        <v>15.875999999999999</v>
      </c>
      <c r="Z327" s="387">
        <f t="shared" si="110"/>
        <v>16.048732751355253</v>
      </c>
      <c r="AA327" s="388">
        <f t="shared" si="111"/>
        <v>17.573376703918761</v>
      </c>
      <c r="AB327" s="199">
        <f t="shared" si="112"/>
        <v>43778</v>
      </c>
      <c r="AC327" s="426">
        <f>IF(OR(t&lt;Tnet,NoTnet),'2018'!Resal_s+('2018'!Salim-'2018'!Resal_s)*(1-EXP(('2018'!Tnet_s-t)/'2018'!Tau_j)),Resal_s+(Salim-Resal_s)*(1-EXP((Tnet_s-t)/Tau_j)))*Salcycl</f>
        <v>8.6758736141103715E-2</v>
      </c>
      <c r="AD327" s="233">
        <f>(INDEX(Models!$BJ327:$BT327,,AH327)*(1-AF327)+INDEX(Models!$BJ327:$BT327,,AH327+1)*AF327-ERP_i)*AE327*Ramure*Pc/MaxiM</f>
        <v>1.8420528769048539E-2</v>
      </c>
      <c r="AE327" s="307">
        <f t="shared" si="113"/>
        <v>1</v>
      </c>
      <c r="AF327" s="179">
        <f t="shared" si="114"/>
        <v>0.5986520576634502</v>
      </c>
      <c r="AG327" s="178">
        <f t="shared" si="115"/>
        <v>-2</v>
      </c>
      <c r="AH327" s="178">
        <f t="shared" si="116"/>
        <v>4</v>
      </c>
      <c r="AI327" s="227">
        <f t="shared" si="117"/>
        <v>-1.4013479423365498</v>
      </c>
      <c r="AJ327" s="267" t="b">
        <f t="shared" si="118"/>
        <v>0</v>
      </c>
      <c r="AK327" s="267" t="b">
        <f t="shared" si="119"/>
        <v>0</v>
      </c>
      <c r="AL327" s="267"/>
      <c r="AM327" s="267"/>
      <c r="AN327" s="75"/>
    </row>
    <row r="328" spans="1:40" s="6" customFormat="1" ht="11.25" customHeight="1" x14ac:dyDescent="0.2">
      <c r="A328" s="56">
        <f t="shared" si="120"/>
        <v>43779</v>
      </c>
      <c r="B328" s="618">
        <v>16.672999999999998</v>
      </c>
      <c r="C328" s="392"/>
      <c r="D328" s="395">
        <f t="shared" si="99"/>
        <v>16.854796441036665</v>
      </c>
      <c r="E328" s="387">
        <f t="shared" si="121"/>
        <v>18.456567503447516</v>
      </c>
      <c r="F328" s="387">
        <f t="shared" si="100"/>
        <v>18.696893512154762</v>
      </c>
      <c r="G328" s="110">
        <f t="shared" si="122"/>
        <v>0.76521708562417379</v>
      </c>
      <c r="H328" s="414" t="b">
        <f>Wh_hp&gt;='2018'!Maxi_hp</f>
        <v>1</v>
      </c>
      <c r="I328" s="392">
        <f>IF(H328,Wh_hp,'2018'!Maxi_hp)</f>
        <v>18.696893512154762</v>
      </c>
      <c r="J328" s="85">
        <f>IF(H328,An,'2018'!An_max)</f>
        <v>2019</v>
      </c>
      <c r="K328" s="199">
        <f t="shared" si="101"/>
        <v>43779</v>
      </c>
      <c r="L328" s="147">
        <f>IF(t&lt;Tvie,1-EXP((T0-t)*PertePVj)+'2018'!Pspv,1-EXP((T0-t)*PertePVj)+Pspv)</f>
        <v>1.0786035991158127E-2</v>
      </c>
      <c r="M328" s="870"/>
      <c r="N328" s="870"/>
      <c r="O328" s="48">
        <f>IF(t&lt;Tnet,'2018'!Resal+('2018'!Salim-'2018'!Resal)*(1-EXP(('2018'!Tnet-t)/('2018'!Tau_j))),Resal+(Salim-Resal)*(1-EXP((Tnet-t)/(Tau_j))))*Salcycl</f>
        <v>8.6785967223410004E-2</v>
      </c>
      <c r="P328" s="171">
        <f>(INDEX(Models!$BJ328:$BT328,,T328)*(1-R328)+INDEX(Models!$BJ328:$BT328,,T328+1)*R328-ERP_i)*Q328*Ramure*Pc/MaxiM</f>
        <v>1.9139040434596685E-2</v>
      </c>
      <c r="Q328" s="307">
        <f t="shared" si="102"/>
        <v>1</v>
      </c>
      <c r="R328" s="179">
        <f t="shared" si="103"/>
        <v>0.59870653937609952</v>
      </c>
      <c r="S328" s="837">
        <f t="shared" si="104"/>
        <v>-2</v>
      </c>
      <c r="T328" s="178">
        <f t="shared" si="105"/>
        <v>4</v>
      </c>
      <c r="U328" s="253">
        <f t="shared" si="106"/>
        <v>-1.4012934606239005</v>
      </c>
      <c r="V328" s="385">
        <f t="shared" si="107"/>
        <v>21.64985838728067</v>
      </c>
      <c r="W328" s="58"/>
      <c r="X328" s="157">
        <f t="shared" si="108"/>
        <v>43779</v>
      </c>
      <c r="Y328" s="387">
        <f t="shared" si="109"/>
        <v>16.672999999999998</v>
      </c>
      <c r="Z328" s="387">
        <f t="shared" si="110"/>
        <v>16.854796441036665</v>
      </c>
      <c r="AA328" s="388">
        <f t="shared" si="111"/>
        <v>18.456567503447516</v>
      </c>
      <c r="AB328" s="199">
        <f t="shared" si="112"/>
        <v>43779</v>
      </c>
      <c r="AC328" s="426">
        <f>IF(OR(t&lt;Tnet,NoTnet),'2018'!Resal_s+('2018'!Salim-'2018'!Resal_s)*(1-EXP(('2018'!Tnet_s-t)/'2018'!Tau_j)),Resal_s+(Salim-Resal_s)*(1-EXP((Tnet_s-t)/Tau_j)))*Salcycl</f>
        <v>8.6785967223410004E-2</v>
      </c>
      <c r="AD328" s="233">
        <f>(INDEX(Models!$BJ328:$BT328,,AH328)*(1-AF328)+INDEX(Models!$BJ328:$BT328,,AH328+1)*AF328-ERP_i)*AE328*Ramure*Pc/MaxiM</f>
        <v>1.9139040434596685E-2</v>
      </c>
      <c r="AE328" s="307">
        <f t="shared" si="113"/>
        <v>1</v>
      </c>
      <c r="AF328" s="179">
        <f t="shared" si="114"/>
        <v>0.59870653937609952</v>
      </c>
      <c r="AG328" s="178">
        <f t="shared" si="115"/>
        <v>-2</v>
      </c>
      <c r="AH328" s="178">
        <f t="shared" si="116"/>
        <v>4</v>
      </c>
      <c r="AI328" s="227">
        <f t="shared" si="117"/>
        <v>-1.4012934606239005</v>
      </c>
      <c r="AJ328" s="267" t="b">
        <f t="shared" si="118"/>
        <v>0</v>
      </c>
      <c r="AK328" s="267" t="b">
        <f t="shared" si="119"/>
        <v>0</v>
      </c>
      <c r="AL328" s="267"/>
      <c r="AM328" s="267"/>
      <c r="AN328" s="75"/>
    </row>
    <row r="329" spans="1:40" s="6" customFormat="1" ht="11.25" customHeight="1" x14ac:dyDescent="0.2">
      <c r="A329" s="56">
        <f t="shared" si="120"/>
        <v>43780</v>
      </c>
      <c r="B329" s="618">
        <v>18.63</v>
      </c>
      <c r="C329" s="392"/>
      <c r="D329" s="395">
        <f t="shared" si="99"/>
        <v>18.833573155301384</v>
      </c>
      <c r="E329" s="387">
        <f t="shared" si="121"/>
        <v>20.624031102872976</v>
      </c>
      <c r="F329" s="387">
        <f t="shared" si="100"/>
        <v>20.963040267417192</v>
      </c>
      <c r="G329" s="110">
        <f t="shared" si="122"/>
        <v>0.86783963731660263</v>
      </c>
      <c r="H329" s="414" t="b">
        <f>Wh_hp&gt;='2018'!Maxi_hp</f>
        <v>1</v>
      </c>
      <c r="I329" s="392">
        <f>IF(H329,Wh_hp,'2018'!Maxi_hp)</f>
        <v>20.963040267417192</v>
      </c>
      <c r="J329" s="85">
        <f>IF(H329,An,'2018'!An_max)</f>
        <v>2019</v>
      </c>
      <c r="K329" s="199">
        <f t="shared" si="101"/>
        <v>43780</v>
      </c>
      <c r="L329" s="147">
        <f>IF(t&lt;Tvie,1-EXP((T0-t)*PertePVj)+'2018'!Pspv,1-EXP((T0-t)*PertePVj)+Pspv)</f>
        <v>1.080905644524921E-2</v>
      </c>
      <c r="M329" s="870"/>
      <c r="N329" s="870"/>
      <c r="O329" s="48">
        <f>IF(t&lt;Tnet,'2018'!Resal+('2018'!Salim-'2018'!Resal)*(1-EXP(('2018'!Tnet-t)/('2018'!Tau_j))),Resal+(Salim-Resal)*(1-EXP((Tnet-t)/(Tau_j))))*Salcycl</f>
        <v>8.6814160560598583E-2</v>
      </c>
      <c r="P329" s="171">
        <f>(INDEX(Models!$BJ329:$BT329,,T329)*(1-R329)+INDEX(Models!$BJ329:$BT329,,T329+1)*R329-ERP_i)*Q329*Ramure*Pc/MaxiM</f>
        <v>1.9822762957711328E-2</v>
      </c>
      <c r="Q329" s="307">
        <f t="shared" si="102"/>
        <v>1</v>
      </c>
      <c r="R329" s="179">
        <f t="shared" si="103"/>
        <v>0.59875883547449549</v>
      </c>
      <c r="S329" s="837">
        <f t="shared" si="104"/>
        <v>-2</v>
      </c>
      <c r="T329" s="178">
        <f t="shared" si="105"/>
        <v>4</v>
      </c>
      <c r="U329" s="253">
        <f t="shared" si="106"/>
        <v>-1.4012411645255045</v>
      </c>
      <c r="V329" s="385">
        <f t="shared" si="107"/>
        <v>21.387434820605211</v>
      </c>
      <c r="W329" s="58"/>
      <c r="X329" s="157">
        <f t="shared" si="108"/>
        <v>43780</v>
      </c>
      <c r="Y329" s="387">
        <f t="shared" si="109"/>
        <v>18.63</v>
      </c>
      <c r="Z329" s="387">
        <f t="shared" si="110"/>
        <v>18.833573155301384</v>
      </c>
      <c r="AA329" s="388">
        <f t="shared" si="111"/>
        <v>20.624031102872976</v>
      </c>
      <c r="AB329" s="199">
        <f t="shared" si="112"/>
        <v>43780</v>
      </c>
      <c r="AC329" s="426">
        <f>IF(OR(t&lt;Tnet,NoTnet),'2018'!Resal_s+('2018'!Salim-'2018'!Resal_s)*(1-EXP(('2018'!Tnet_s-t)/'2018'!Tau_j)),Resal_s+(Salim-Resal_s)*(1-EXP((Tnet_s-t)/Tau_j)))*Salcycl</f>
        <v>8.6814160560598583E-2</v>
      </c>
      <c r="AD329" s="233">
        <f>(INDEX(Models!$BJ329:$BT329,,AH329)*(1-AF329)+INDEX(Models!$BJ329:$BT329,,AH329+1)*AF329-ERP_i)*AE329*Ramure*Pc/MaxiM</f>
        <v>1.9822762957711328E-2</v>
      </c>
      <c r="AE329" s="307">
        <f t="shared" si="113"/>
        <v>1</v>
      </c>
      <c r="AF329" s="179">
        <f t="shared" si="114"/>
        <v>0.59875883547449549</v>
      </c>
      <c r="AG329" s="178">
        <f t="shared" si="115"/>
        <v>-2</v>
      </c>
      <c r="AH329" s="178">
        <f t="shared" si="116"/>
        <v>4</v>
      </c>
      <c r="AI329" s="227">
        <f t="shared" si="117"/>
        <v>-1.4012411645255045</v>
      </c>
      <c r="AJ329" s="267" t="b">
        <f t="shared" si="118"/>
        <v>0</v>
      </c>
      <c r="AK329" s="267" t="b">
        <f t="shared" si="119"/>
        <v>0</v>
      </c>
      <c r="AL329" s="267"/>
      <c r="AM329" s="267"/>
      <c r="AN329" s="75"/>
    </row>
    <row r="330" spans="1:40" s="6" customFormat="1" ht="11.25" customHeight="1" x14ac:dyDescent="0.2">
      <c r="A330" s="56">
        <f t="shared" si="120"/>
        <v>43781</v>
      </c>
      <c r="B330" s="618">
        <v>14.215999999999999</v>
      </c>
      <c r="C330" s="392"/>
      <c r="D330" s="395">
        <f t="shared" si="99"/>
        <v>14.371675081960944</v>
      </c>
      <c r="E330" s="387">
        <f t="shared" si="121"/>
        <v>15.738457579615792</v>
      </c>
      <c r="F330" s="387">
        <f t="shared" si="100"/>
        <v>15.911865414502167</v>
      </c>
      <c r="G330" s="110">
        <f t="shared" si="122"/>
        <v>0.66617537970304952</v>
      </c>
      <c r="H330" s="414" t="b">
        <f>Wh_hp&gt;='2018'!Maxi_hp</f>
        <v>0</v>
      </c>
      <c r="I330" s="392">
        <f>IF(H330,Wh_hp,'2018'!Maxi_hp)</f>
        <v>21.432672952690233</v>
      </c>
      <c r="J330" s="85">
        <f>IF(H330,An,'2018'!An_max)</f>
        <v>2018</v>
      </c>
      <c r="K330" s="199">
        <f t="shared" si="101"/>
        <v>43781</v>
      </c>
      <c r="L330" s="147">
        <f>IF(t&lt;Tvie,1-EXP((T0-t)*PertePVj)+'2018'!Pspv,1-EXP((T0-t)*PertePVj)+Pspv)</f>
        <v>1.0832076363620713E-2</v>
      </c>
      <c r="M330" s="870"/>
      <c r="N330" s="870"/>
      <c r="O330" s="48">
        <f>IF(t&lt;Tnet,'2018'!Resal+('2018'!Salim-'2018'!Resal)*(1-EXP(('2018'!Tnet-t)/('2018'!Tau_j))),Resal+(Salim-Resal)*(1-EXP((Tnet-t)/(Tau_j))))*Salcycl</f>
        <v>8.6843484549914432E-2</v>
      </c>
      <c r="P330" s="171">
        <f>(INDEX(Models!$BJ330:$BT330,,T330)*(1-R330)+INDEX(Models!$BJ330:$BT330,,T330+1)*R330-ERP_i)*Q330*Ramure*Pc/MaxiM</f>
        <v>2.0469346272621425E-2</v>
      </c>
      <c r="Q330" s="307">
        <f t="shared" si="102"/>
        <v>1</v>
      </c>
      <c r="R330" s="179">
        <f t="shared" si="103"/>
        <v>0.59880903332998381</v>
      </c>
      <c r="S330" s="837">
        <f t="shared" si="104"/>
        <v>-2</v>
      </c>
      <c r="T330" s="178">
        <f t="shared" si="105"/>
        <v>4</v>
      </c>
      <c r="U330" s="253">
        <f t="shared" si="106"/>
        <v>-1.4011909666700162</v>
      </c>
      <c r="V330" s="385">
        <f t="shared" si="107"/>
        <v>21.133225984245346</v>
      </c>
      <c r="W330" s="58"/>
      <c r="X330" s="157">
        <f t="shared" si="108"/>
        <v>43781</v>
      </c>
      <c r="Y330" s="387">
        <f t="shared" si="109"/>
        <v>14.215999999999999</v>
      </c>
      <c r="Z330" s="387">
        <f t="shared" si="110"/>
        <v>14.371675081960944</v>
      </c>
      <c r="AA330" s="388">
        <f t="shared" si="111"/>
        <v>15.738457579615792</v>
      </c>
      <c r="AB330" s="199">
        <f t="shared" si="112"/>
        <v>43781</v>
      </c>
      <c r="AC330" s="426">
        <f>IF(OR(t&lt;Tnet,NoTnet),'2018'!Resal_s+('2018'!Salim-'2018'!Resal_s)*(1-EXP(('2018'!Tnet_s-t)/'2018'!Tau_j)),Resal_s+(Salim-Resal_s)*(1-EXP((Tnet_s-t)/Tau_j)))*Salcycl</f>
        <v>8.6843484549914432E-2</v>
      </c>
      <c r="AD330" s="233">
        <f>(INDEX(Models!$BJ330:$BT330,,AH330)*(1-AF330)+INDEX(Models!$BJ330:$BT330,,AH330+1)*AF330-ERP_i)*AE330*Ramure*Pc/MaxiM</f>
        <v>2.0469346272621425E-2</v>
      </c>
      <c r="AE330" s="307">
        <f t="shared" si="113"/>
        <v>1</v>
      </c>
      <c r="AF330" s="179">
        <f t="shared" si="114"/>
        <v>0.59880903332998381</v>
      </c>
      <c r="AG330" s="178">
        <f t="shared" si="115"/>
        <v>-2</v>
      </c>
      <c r="AH330" s="178">
        <f t="shared" si="116"/>
        <v>4</v>
      </c>
      <c r="AI330" s="227">
        <f t="shared" si="117"/>
        <v>-1.4011909666700162</v>
      </c>
      <c r="AJ330" s="267" t="b">
        <f t="shared" si="118"/>
        <v>0</v>
      </c>
      <c r="AK330" s="267" t="b">
        <f t="shared" si="119"/>
        <v>0</v>
      </c>
      <c r="AL330" s="267"/>
      <c r="AM330" s="267"/>
      <c r="AN330" s="75"/>
    </row>
    <row r="331" spans="1:40" s="6" customFormat="1" ht="11.25" customHeight="1" x14ac:dyDescent="0.2">
      <c r="A331" s="56">
        <f t="shared" si="120"/>
        <v>43782</v>
      </c>
      <c r="B331" s="618">
        <v>17.053999999999998</v>
      </c>
      <c r="C331" s="392"/>
      <c r="D331" s="395">
        <f t="shared" si="99"/>
        <v>17.241154381588625</v>
      </c>
      <c r="E331" s="387">
        <f t="shared" si="121"/>
        <v>18.881464685789268</v>
      </c>
      <c r="F331" s="387">
        <f t="shared" si="100"/>
        <v>19.179727311699803</v>
      </c>
      <c r="G331" s="110">
        <f t="shared" si="122"/>
        <v>0.81189480028047512</v>
      </c>
      <c r="H331" s="414" t="b">
        <f>Wh_hp&gt;='2018'!Maxi_hp</f>
        <v>1</v>
      </c>
      <c r="I331" s="392">
        <f>IF(H331,Wh_hp,'2018'!Maxi_hp)</f>
        <v>19.179727311699803</v>
      </c>
      <c r="J331" s="85">
        <f>IF(H331,An,'2018'!An_max)</f>
        <v>2019</v>
      </c>
      <c r="K331" s="199">
        <f t="shared" si="101"/>
        <v>43782</v>
      </c>
      <c r="L331" s="147">
        <f>IF(t&lt;Tvie,1-EXP((T0-t)*PertePVj)+'2018'!Pspv,1-EXP((T0-t)*PertePVj)+Pspv)</f>
        <v>1.0855095746285071E-2</v>
      </c>
      <c r="M331" s="870"/>
      <c r="N331" s="870"/>
      <c r="O331" s="48">
        <f>IF(t&lt;Tnet,'2018'!Resal+('2018'!Salim-'2018'!Resal)*(1-EXP(('2018'!Tnet-t)/('2018'!Tau_j))),Resal+(Salim-Resal)*(1-EXP((Tnet-t)/(Tau_j))))*Salcycl</f>
        <v>8.6874102803856545E-2</v>
      </c>
      <c r="P331" s="171">
        <f>(INDEX(Models!$BJ331:$BT331,,T331)*(1-R331)+INDEX(Models!$BJ331:$BT331,,T331+1)*R331-ERP_i)*Q331*Ramure*Pc/MaxiM</f>
        <v>2.1076710784349525E-2</v>
      </c>
      <c r="Q331" s="307">
        <f t="shared" si="102"/>
        <v>1</v>
      </c>
      <c r="R331" s="179">
        <f t="shared" si="103"/>
        <v>0.59885721684543491</v>
      </c>
      <c r="S331" s="837">
        <f t="shared" si="104"/>
        <v>-2</v>
      </c>
      <c r="T331" s="178">
        <f t="shared" si="105"/>
        <v>4</v>
      </c>
      <c r="U331" s="253">
        <f t="shared" si="106"/>
        <v>-1.4011427831545651</v>
      </c>
      <c r="V331" s="385">
        <f t="shared" si="107"/>
        <v>20.88728088612207</v>
      </c>
      <c r="W331" s="58"/>
      <c r="X331" s="157">
        <f t="shared" si="108"/>
        <v>43782</v>
      </c>
      <c r="Y331" s="387">
        <f t="shared" si="109"/>
        <v>17.053999999999998</v>
      </c>
      <c r="Z331" s="387">
        <f t="shared" si="110"/>
        <v>17.241154381588625</v>
      </c>
      <c r="AA331" s="388">
        <f t="shared" si="111"/>
        <v>18.881464685789268</v>
      </c>
      <c r="AB331" s="199">
        <f t="shared" si="112"/>
        <v>43782</v>
      </c>
      <c r="AC331" s="426">
        <f>IF(OR(t&lt;Tnet,NoTnet),'2018'!Resal_s+('2018'!Salim-'2018'!Resal_s)*(1-EXP(('2018'!Tnet_s-t)/'2018'!Tau_j)),Resal_s+(Salim-Resal_s)*(1-EXP((Tnet_s-t)/Tau_j)))*Salcycl</f>
        <v>8.6874102803856545E-2</v>
      </c>
      <c r="AD331" s="233">
        <f>(INDEX(Models!$BJ331:$BT331,,AH331)*(1-AF331)+INDEX(Models!$BJ331:$BT331,,AH331+1)*AF331-ERP_i)*AE331*Ramure*Pc/MaxiM</f>
        <v>2.1076710784349525E-2</v>
      </c>
      <c r="AE331" s="307">
        <f t="shared" si="113"/>
        <v>1</v>
      </c>
      <c r="AF331" s="179">
        <f t="shared" si="114"/>
        <v>0.59885721684543491</v>
      </c>
      <c r="AG331" s="178">
        <f t="shared" si="115"/>
        <v>-2</v>
      </c>
      <c r="AH331" s="178">
        <f t="shared" si="116"/>
        <v>4</v>
      </c>
      <c r="AI331" s="227">
        <f t="shared" si="117"/>
        <v>-1.4011427831545651</v>
      </c>
      <c r="AJ331" s="267" t="b">
        <f t="shared" si="118"/>
        <v>0</v>
      </c>
      <c r="AK331" s="267" t="b">
        <f t="shared" si="119"/>
        <v>0</v>
      </c>
      <c r="AL331" s="267"/>
      <c r="AM331" s="267"/>
      <c r="AN331" s="75"/>
    </row>
    <row r="332" spans="1:40" s="6" customFormat="1" ht="11.25" customHeight="1" x14ac:dyDescent="0.2">
      <c r="A332" s="56">
        <f t="shared" si="120"/>
        <v>43783</v>
      </c>
      <c r="B332" s="618">
        <v>5.399</v>
      </c>
      <c r="C332" s="392"/>
      <c r="D332" s="395">
        <f t="shared" si="99"/>
        <v>5.4583768488550133</v>
      </c>
      <c r="E332" s="387">
        <f t="shared" si="121"/>
        <v>5.977892621555541</v>
      </c>
      <c r="F332" s="387">
        <f t="shared" si="100"/>
        <v>5.977892621555541</v>
      </c>
      <c r="G332" s="110">
        <f t="shared" si="122"/>
        <v>0.25580435089008152</v>
      </c>
      <c r="H332" s="414" t="b">
        <f>Wh_hp&gt;='2018'!Maxi_hp</f>
        <v>0</v>
      </c>
      <c r="I332" s="392">
        <f>IF(H332,Wh_hp,'2018'!Maxi_hp)</f>
        <v>16.419116292170823</v>
      </c>
      <c r="J332" s="85">
        <f>IF(H332,An,'2018'!An_max)</f>
        <v>2018</v>
      </c>
      <c r="K332" s="199">
        <f t="shared" si="101"/>
        <v>43783</v>
      </c>
      <c r="L332" s="147">
        <f>IF(t&lt;Tvie,1-EXP((T0-t)*PertePVj)+'2018'!Pspv,1-EXP((T0-t)*PertePVj)+Pspv)</f>
        <v>1.0878114593254717E-2</v>
      </c>
      <c r="M332" s="870"/>
      <c r="N332" s="870"/>
      <c r="O332" s="48">
        <f>IF(t&lt;Tnet,'2018'!Resal+('2018'!Salim-'2018'!Resal)*(1-EXP(('2018'!Tnet-t)/('2018'!Tau_j))),Resal+(Salim-Resal)*(1-EXP((Tnet-t)/(Tau_j))))*Salcycl</f>
        <v>8.6906173394151964E-2</v>
      </c>
      <c r="P332" s="171">
        <f>(INDEX(Models!$BJ332:$BT332,,T332)*(1-R332)+INDEX(Models!$BJ332:$BT332,,T332+1)*R332-ERP_i)*Q332*Ramure*Pc/MaxiM</f>
        <v>2.1634943685205094E-2</v>
      </c>
      <c r="Q332" s="307">
        <f t="shared" si="102"/>
        <v>1</v>
      </c>
      <c r="R332" s="179">
        <f t="shared" si="103"/>
        <v>0.59890346659102134</v>
      </c>
      <c r="S332" s="837">
        <f t="shared" si="104"/>
        <v>-2</v>
      </c>
      <c r="T332" s="178">
        <f t="shared" si="105"/>
        <v>4</v>
      </c>
      <c r="U332" s="253">
        <f t="shared" si="106"/>
        <v>-1.4010965334089787</v>
      </c>
      <c r="V332" s="385">
        <f t="shared" si="107"/>
        <v>20.649347521509995</v>
      </c>
      <c r="W332" s="58"/>
      <c r="X332" s="157">
        <f t="shared" si="108"/>
        <v>43783</v>
      </c>
      <c r="Y332" s="387">
        <f t="shared" si="109"/>
        <v>5.399</v>
      </c>
      <c r="Z332" s="387">
        <f t="shared" si="110"/>
        <v>5.4583768488550133</v>
      </c>
      <c r="AA332" s="388">
        <f t="shared" si="111"/>
        <v>5.977892621555541</v>
      </c>
      <c r="AB332" s="199">
        <f t="shared" si="112"/>
        <v>43783</v>
      </c>
      <c r="AC332" s="426">
        <f>IF(OR(t&lt;Tnet,NoTnet),'2018'!Resal_s+('2018'!Salim-'2018'!Resal_s)*(1-EXP(('2018'!Tnet_s-t)/'2018'!Tau_j)),Resal_s+(Salim-Resal_s)*(1-EXP((Tnet_s-t)/Tau_j)))*Salcycl</f>
        <v>8.6906173394151964E-2</v>
      </c>
      <c r="AD332" s="233">
        <f>(INDEX(Models!$BJ332:$BT332,,AH332)*(1-AF332)+INDEX(Models!$BJ332:$BT332,,AH332+1)*AF332-ERP_i)*AE332*Ramure*Pc/MaxiM</f>
        <v>2.1634943685205094E-2</v>
      </c>
      <c r="AE332" s="307">
        <f t="shared" si="113"/>
        <v>1</v>
      </c>
      <c r="AF332" s="179">
        <f t="shared" si="114"/>
        <v>0.59890346659102134</v>
      </c>
      <c r="AG332" s="178">
        <f t="shared" si="115"/>
        <v>-2</v>
      </c>
      <c r="AH332" s="178">
        <f t="shared" si="116"/>
        <v>4</v>
      </c>
      <c r="AI332" s="227">
        <f t="shared" si="117"/>
        <v>-1.4010965334089787</v>
      </c>
      <c r="AJ332" s="267" t="b">
        <f t="shared" si="118"/>
        <v>0</v>
      </c>
      <c r="AK332" s="267" t="b">
        <f t="shared" si="119"/>
        <v>0</v>
      </c>
      <c r="AL332" s="267"/>
      <c r="AM332" s="267"/>
      <c r="AN332" s="75"/>
    </row>
    <row r="333" spans="1:40" s="6" customFormat="1" ht="11.25" customHeight="1" x14ac:dyDescent="0.2">
      <c r="A333" s="56">
        <f t="shared" si="120"/>
        <v>43784</v>
      </c>
      <c r="B333" s="618">
        <v>13.058</v>
      </c>
      <c r="C333" s="392"/>
      <c r="D333" s="395">
        <f t="shared" si="99"/>
        <v>13.201915839157234</v>
      </c>
      <c r="E333" s="387">
        <f t="shared" si="121"/>
        <v>14.458977113474806</v>
      </c>
      <c r="F333" s="387">
        <f t="shared" si="100"/>
        <v>14.616104964588599</v>
      </c>
      <c r="G333" s="110">
        <f t="shared" si="122"/>
        <v>0.63213453378067219</v>
      </c>
      <c r="H333" s="414" t="b">
        <f>Wh_hp&gt;='2018'!Maxi_hp</f>
        <v>0</v>
      </c>
      <c r="I333" s="392">
        <f>IF(H333,Wh_hp,'2018'!Maxi_hp)</f>
        <v>14.868765567065886</v>
      </c>
      <c r="J333" s="85">
        <f>IF(H333,An,'2018'!An_max)</f>
        <v>2018</v>
      </c>
      <c r="K333" s="199">
        <f t="shared" si="101"/>
        <v>43784</v>
      </c>
      <c r="L333" s="147">
        <f>IF(t&lt;Tvie,1-EXP((T0-t)*PertePVj)+'2018'!Pspv,1-EXP((T0-t)*PertePVj)+Pspv)</f>
        <v>1.0901132904542199E-2</v>
      </c>
      <c r="M333" s="870"/>
      <c r="N333" s="870"/>
      <c r="O333" s="48">
        <f>IF(t&lt;Tnet,'2018'!Resal+('2018'!Salim-'2018'!Resal)*(1-EXP(('2018'!Tnet-t)/('2018'!Tau_j))),Resal+(Salim-Resal)*(1-EXP((Tnet-t)/(Tau_j))))*Salcycl</f>
        <v>8.6939848127020922E-2</v>
      </c>
      <c r="P333" s="171">
        <f>(INDEX(Models!$BJ333:$BT333,,T333)*(1-R333)+INDEX(Models!$BJ333:$BT333,,T333+1)*R333-ERP_i)*Q333*Ramure*Pc/MaxiM</f>
        <v>2.2164731425758474E-2</v>
      </c>
      <c r="Q333" s="307">
        <f t="shared" si="102"/>
        <v>1</v>
      </c>
      <c r="R333" s="179">
        <f t="shared" si="103"/>
        <v>0.59894785993483435</v>
      </c>
      <c r="S333" s="837">
        <f t="shared" si="104"/>
        <v>-2</v>
      </c>
      <c r="T333" s="178">
        <f t="shared" si="105"/>
        <v>4</v>
      </c>
      <c r="U333" s="253">
        <f t="shared" si="106"/>
        <v>-1.4010521400651657</v>
      </c>
      <c r="V333" s="385">
        <f t="shared" si="107"/>
        <v>20.41864543895278</v>
      </c>
      <c r="W333" s="58"/>
      <c r="X333" s="157">
        <f t="shared" si="108"/>
        <v>43784</v>
      </c>
      <c r="Y333" s="387">
        <f t="shared" si="109"/>
        <v>13.058</v>
      </c>
      <c r="Z333" s="387">
        <f t="shared" si="110"/>
        <v>13.201915839157234</v>
      </c>
      <c r="AA333" s="388">
        <f t="shared" si="111"/>
        <v>14.458977113474806</v>
      </c>
      <c r="AB333" s="199">
        <f t="shared" si="112"/>
        <v>43784</v>
      </c>
      <c r="AC333" s="426">
        <f>IF(OR(t&lt;Tnet,NoTnet),'2018'!Resal_s+('2018'!Salim-'2018'!Resal_s)*(1-EXP(('2018'!Tnet_s-t)/'2018'!Tau_j)),Resal_s+(Salim-Resal_s)*(1-EXP((Tnet_s-t)/Tau_j)))*Salcycl</f>
        <v>8.6939848127020922E-2</v>
      </c>
      <c r="AD333" s="233">
        <f>(INDEX(Models!$BJ333:$BT333,,AH333)*(1-AF333)+INDEX(Models!$BJ333:$BT333,,AH333+1)*AF333-ERP_i)*AE333*Ramure*Pc/MaxiM</f>
        <v>2.2164731425758474E-2</v>
      </c>
      <c r="AE333" s="307">
        <f t="shared" si="113"/>
        <v>1</v>
      </c>
      <c r="AF333" s="179">
        <f t="shared" si="114"/>
        <v>0.59894785993483435</v>
      </c>
      <c r="AG333" s="178">
        <f t="shared" si="115"/>
        <v>-2</v>
      </c>
      <c r="AH333" s="178">
        <f t="shared" si="116"/>
        <v>4</v>
      </c>
      <c r="AI333" s="227">
        <f t="shared" si="117"/>
        <v>-1.4010521400651657</v>
      </c>
      <c r="AJ333" s="267" t="b">
        <f t="shared" si="118"/>
        <v>0</v>
      </c>
      <c r="AK333" s="267" t="b">
        <f t="shared" si="119"/>
        <v>0</v>
      </c>
      <c r="AL333" s="267"/>
      <c r="AM333" s="267"/>
      <c r="AN333" s="75"/>
    </row>
    <row r="334" spans="1:40" s="6" customFormat="1" ht="11.25" customHeight="1" x14ac:dyDescent="0.2">
      <c r="A334" s="56">
        <f t="shared" si="120"/>
        <v>43785</v>
      </c>
      <c r="B334" s="618">
        <v>13.372</v>
      </c>
      <c r="C334" s="392"/>
      <c r="D334" s="395">
        <f t="shared" si="99"/>
        <v>13.519691143197514</v>
      </c>
      <c r="E334" s="387">
        <f t="shared" si="121"/>
        <v>14.80758486209319</v>
      </c>
      <c r="F334" s="387">
        <f t="shared" si="100"/>
        <v>14.983275878445841</v>
      </c>
      <c r="G334" s="110">
        <f t="shared" si="122"/>
        <v>0.65481921663257525</v>
      </c>
      <c r="H334" s="414" t="b">
        <f>Wh_hp&gt;='2018'!Maxi_hp</f>
        <v>0</v>
      </c>
      <c r="I334" s="392">
        <f>IF(H334,Wh_hp,'2018'!Maxi_hp)</f>
        <v>20.784423459176622</v>
      </c>
      <c r="J334" s="85">
        <f>IF(H334,An,'2018'!An_max)</f>
        <v>2018</v>
      </c>
      <c r="K334" s="199">
        <f t="shared" si="101"/>
        <v>43785</v>
      </c>
      <c r="L334" s="147">
        <f>IF(t&lt;Tvie,1-EXP((T0-t)*PertePVj)+'2018'!Pspv,1-EXP((T0-t)*PertePVj)+Pspv)</f>
        <v>1.092415068015995E-2</v>
      </c>
      <c r="M334" s="870"/>
      <c r="N334" s="870"/>
      <c r="O334" s="48">
        <f>IF(t&lt;Tnet,'2018'!Resal+('2018'!Salim-'2018'!Resal)*(1-EXP(('2018'!Tnet-t)/('2018'!Tau_j))),Resal+(Salim-Resal)*(1-EXP((Tnet-t)/(Tau_j))))*Salcycl</f>
        <v>8.6975271854941846E-2</v>
      </c>
      <c r="P334" s="171">
        <f>(INDEX(Models!$BJ334:$BT334,,T334)*(1-R334)+INDEX(Models!$BJ334:$BT334,,T334+1)*R334-ERP_i)*Q334*Ramure*Pc/MaxiM</f>
        <v>2.2664918432228336E-2</v>
      </c>
      <c r="Q334" s="307">
        <f t="shared" si="102"/>
        <v>1</v>
      </c>
      <c r="R334" s="179">
        <f t="shared" si="103"/>
        <v>0.59899047116851989</v>
      </c>
      <c r="S334" s="837">
        <f t="shared" si="104"/>
        <v>-2</v>
      </c>
      <c r="T334" s="178">
        <f t="shared" si="105"/>
        <v>4</v>
      </c>
      <c r="U334" s="253">
        <f t="shared" si="106"/>
        <v>-1.4010095288314801</v>
      </c>
      <c r="V334" s="385">
        <f t="shared" si="107"/>
        <v>20.194866465928602</v>
      </c>
      <c r="W334" s="58"/>
      <c r="X334" s="157">
        <f t="shared" si="108"/>
        <v>43785</v>
      </c>
      <c r="Y334" s="387">
        <f t="shared" si="109"/>
        <v>13.372</v>
      </c>
      <c r="Z334" s="387">
        <f t="shared" si="110"/>
        <v>13.519691143197514</v>
      </c>
      <c r="AA334" s="388">
        <f t="shared" si="111"/>
        <v>14.80758486209319</v>
      </c>
      <c r="AB334" s="199">
        <f t="shared" si="112"/>
        <v>43785</v>
      </c>
      <c r="AC334" s="426">
        <f>IF(OR(t&lt;Tnet,NoTnet),'2018'!Resal_s+('2018'!Salim-'2018'!Resal_s)*(1-EXP(('2018'!Tnet_s-t)/'2018'!Tau_j)),Resal_s+(Salim-Resal_s)*(1-EXP((Tnet_s-t)/Tau_j)))*Salcycl</f>
        <v>8.6975271854941846E-2</v>
      </c>
      <c r="AD334" s="233">
        <f>(INDEX(Models!$BJ334:$BT334,,AH334)*(1-AF334)+INDEX(Models!$BJ334:$BT334,,AH334+1)*AF334-ERP_i)*AE334*Ramure*Pc/MaxiM</f>
        <v>2.2664918432228336E-2</v>
      </c>
      <c r="AE334" s="307">
        <f t="shared" si="113"/>
        <v>1</v>
      </c>
      <c r="AF334" s="179">
        <f t="shared" si="114"/>
        <v>0.59899047116851989</v>
      </c>
      <c r="AG334" s="178">
        <f t="shared" si="115"/>
        <v>-2</v>
      </c>
      <c r="AH334" s="178">
        <f t="shared" si="116"/>
        <v>4</v>
      </c>
      <c r="AI334" s="227">
        <f t="shared" si="117"/>
        <v>-1.4010095288314801</v>
      </c>
      <c r="AJ334" s="267" t="b">
        <f t="shared" si="118"/>
        <v>0</v>
      </c>
      <c r="AK334" s="267" t="b">
        <f t="shared" si="119"/>
        <v>0</v>
      </c>
      <c r="AL334" s="267"/>
      <c r="AM334" s="267"/>
      <c r="AN334" s="75"/>
    </row>
    <row r="335" spans="1:40" s="6" customFormat="1" ht="11.25" customHeight="1" x14ac:dyDescent="0.2">
      <c r="A335" s="56">
        <f t="shared" si="120"/>
        <v>43786</v>
      </c>
      <c r="B335" s="618">
        <v>8.6129999999999995</v>
      </c>
      <c r="C335" s="392"/>
      <c r="D335" s="395">
        <f t="shared" ref="D335:D379" si="123">Wh/(1-Ppv)</f>
        <v>8.7083315679787479</v>
      </c>
      <c r="E335" s="387">
        <f t="shared" si="121"/>
        <v>9.5382821216008029</v>
      </c>
      <c r="F335" s="387">
        <f t="shared" ref="F335:F379" si="124">Wh_sa/(1-Pvg*MEDIAN((-Sdif+Wh/Env_an)/Csdif,0,1))</f>
        <v>9.5797986026432742</v>
      </c>
      <c r="G335" s="110">
        <f t="shared" si="122"/>
        <v>0.42298984312240295</v>
      </c>
      <c r="H335" s="414" t="b">
        <f>Wh_hp&gt;='2018'!Maxi_hp</f>
        <v>0</v>
      </c>
      <c r="I335" s="392">
        <f>IF(H335,Wh_hp,'2018'!Maxi_hp)</f>
        <v>21.938135822618069</v>
      </c>
      <c r="J335" s="85">
        <f>IF(H335,An,'2018'!An_max)</f>
        <v>2018</v>
      </c>
      <c r="K335" s="199">
        <f t="shared" ref="K335:K379" si="125">t</f>
        <v>43786</v>
      </c>
      <c r="L335" s="147">
        <f>IF(t&lt;Tvie,1-EXP((T0-t)*PertePVj)+'2018'!Pspv,1-EXP((T0-t)*PertePVj)+Pspv)</f>
        <v>1.0947167920120404E-2</v>
      </c>
      <c r="M335" s="870"/>
      <c r="N335" s="870"/>
      <c r="O335" s="48">
        <f>IF(t&lt;Tnet,'2018'!Resal+('2018'!Salim-'2018'!Resal)*(1-EXP(('2018'!Tnet-t)/('2018'!Tau_j))),Resal+(Salim-Resal)*(1-EXP((Tnet-t)/(Tau_j))))*Salcycl</f>
        <v>8.7012581829857411E-2</v>
      </c>
      <c r="P335" s="171">
        <f>(INDEX(Models!$BJ335:$BT335,,T335)*(1-R335)+INDEX(Models!$BJ335:$BT335,,T335+1)*R335-ERP_i)*Q335*Ramure*Pc/MaxiM</f>
        <v>2.313438582642462E-2</v>
      </c>
      <c r="Q335" s="307">
        <f t="shared" ref="Q335:Q379" si="126">IF(OR(t&lt;Ttai,Notai),Dd+PousD*Croivg,Dens+PousD*(Croivg-Croi_tai))</f>
        <v>1</v>
      </c>
      <c r="R335" s="179">
        <f t="shared" ref="R335:R379" si="127">(Hp_vg-S335)/(INDEX(Echel_vg,T335+1)-S335)</f>
        <v>0.59903137162811193</v>
      </c>
      <c r="S335" s="837">
        <f t="shared" ref="S335:S379" si="128">INDEX(Echel_vg,T335)</f>
        <v>-2</v>
      </c>
      <c r="T335" s="178">
        <f t="shared" ref="T335:T379" si="129">MIN(MATCH(Hp_vg,Echel_vg),10)</f>
        <v>4</v>
      </c>
      <c r="U335" s="253">
        <f t="shared" ref="U335:U379" si="130">IF(OR(t&lt;Ttai,Notai),Hdd+PousH*Croivg,Hdtf+PousH*(Croivg-Croi_tai))</f>
        <v>-1.4009686283718881</v>
      </c>
      <c r="V335" s="385">
        <f t="shared" ref="V335:V379" si="131">MaxiM*(1-Ppv)*(1-Pvg)*(1-Psa)</f>
        <v>19.977702700138742</v>
      </c>
      <c r="W335" s="58"/>
      <c r="X335" s="157">
        <f t="shared" ref="X335:X379" si="132">t</f>
        <v>43786</v>
      </c>
      <c r="Y335" s="387">
        <f t="shared" ref="Y335:Y379" si="133">Wh_pvt_s*(1-Ppv)</f>
        <v>8.6129999999999995</v>
      </c>
      <c r="Z335" s="387">
        <f t="shared" ref="Z335:Z379" si="134">Wh_sa_s*(1-Psa_s)</f>
        <v>8.7083315679787479</v>
      </c>
      <c r="AA335" s="388">
        <f t="shared" ref="AA335:AA379" si="135">Wh_hp*(1-Pvg_s*MEDIAN((-Sdif+Wh/Env_an)/Csdif,0,1))</f>
        <v>9.5382821216008029</v>
      </c>
      <c r="AB335" s="199">
        <f t="shared" ref="AB335:AB379" si="136">t</f>
        <v>43786</v>
      </c>
      <c r="AC335" s="426">
        <f>IF(OR(t&lt;Tnet,NoTnet),'2018'!Resal_s+('2018'!Salim-'2018'!Resal_s)*(1-EXP(('2018'!Tnet_s-t)/'2018'!Tau_j)),Resal_s+(Salim-Resal_s)*(1-EXP((Tnet_s-t)/Tau_j)))*Salcycl</f>
        <v>8.7012581829857411E-2</v>
      </c>
      <c r="AD335" s="233">
        <f>(INDEX(Models!$BJ335:$BT335,,AH335)*(1-AF335)+INDEX(Models!$BJ335:$BT335,,AH335+1)*AF335-ERP_i)*AE335*Ramure*Pc/MaxiM</f>
        <v>2.313438582642462E-2</v>
      </c>
      <c r="AE335" s="307">
        <f t="shared" ref="AE335:AE379" si="137">IF(OR(t&lt;Ttai,Notai),Dd_s+PousD*Croivg,Dens_s+PousD*(Croivg-Croi_tai))</f>
        <v>1</v>
      </c>
      <c r="AF335" s="179">
        <f t="shared" ref="AF335:AF379" si="138">(Hp_vg_s-AG335)/(INDEX(Echel_vg,AH335+1)-AG335)</f>
        <v>0.59903137162811193</v>
      </c>
      <c r="AG335" s="178">
        <f t="shared" ref="AG335:AG379" si="139">INDEX(Echel_vg,AH335)</f>
        <v>-2</v>
      </c>
      <c r="AH335" s="178">
        <f t="shared" ref="AH335:AH379" si="140">MIN(MATCH(Hp_vg_s,Echel_vg),10)</f>
        <v>4</v>
      </c>
      <c r="AI335" s="227">
        <f t="shared" ref="AI335:AI379" si="141">IF(OR(t&lt;Ttai,Notai),Hdd_s+PousH*Croivg,Hdtai_s+PousH*(Croivg-Croi_tai))</f>
        <v>-1.4009686283718881</v>
      </c>
      <c r="AJ335" s="267" t="b">
        <f t="shared" ref="AJ335:AJ380" si="142">t&lt;Tnet</f>
        <v>0</v>
      </c>
      <c r="AK335" s="267" t="b">
        <f t="shared" ref="AK335:AK380" si="143">t&lt;Ttai</f>
        <v>0</v>
      </c>
      <c r="AL335" s="267"/>
      <c r="AM335" s="267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8">
        <v>8.9930000000000003</v>
      </c>
      <c r="C336" s="392"/>
      <c r="D336" s="395">
        <f t="shared" si="123"/>
        <v>9.0927491367740938</v>
      </c>
      <c r="E336" s="387">
        <f t="shared" si="121"/>
        <v>9.9597657386141414</v>
      </c>
      <c r="F336" s="387">
        <f t="shared" si="124"/>
        <v>10.012008064938117</v>
      </c>
      <c r="G336" s="110">
        <f t="shared" si="122"/>
        <v>0.44655964304756873</v>
      </c>
      <c r="H336" s="414" t="b">
        <f>Wh_hp&gt;='2018'!Maxi_hp</f>
        <v>0</v>
      </c>
      <c r="I336" s="392">
        <f>IF(H336,Wh_hp,'2018'!Maxi_hp)</f>
        <v>19.3969155891375</v>
      </c>
      <c r="J336" s="85">
        <f>IF(H336,An,'2018'!An_max)</f>
        <v>2018</v>
      </c>
      <c r="K336" s="199">
        <f t="shared" si="125"/>
        <v>43787</v>
      </c>
      <c r="L336" s="147">
        <f>IF(t&lt;Tvie,1-EXP((T0-t)*PertePVj)+'2018'!Pspv,1-EXP((T0-t)*PertePVj)+Pspv)</f>
        <v>1.0970184624436108E-2</v>
      </c>
      <c r="M336" s="870"/>
      <c r="N336" s="870"/>
      <c r="O336" s="48">
        <f>IF(t&lt;Tnet,'2018'!Resal+('2018'!Salim-'2018'!Resal)*(1-EXP(('2018'!Tnet-t)/('2018'!Tau_j))),Resal+(Salim-Resal)*(1-EXP((Tnet-t)/(Tau_j))))*Salcycl</f>
        <v>8.7051907102454418E-2</v>
      </c>
      <c r="P336" s="171">
        <f>(INDEX(Models!$BJ336:$BT336,,T336)*(1-R336)+INDEX(Models!$BJ336:$BT336,,T336+1)*R336-ERP_i)*Q336*Ramure*Pc/MaxiM</f>
        <v>2.3572052511268302E-2</v>
      </c>
      <c r="Q336" s="307">
        <f t="shared" si="126"/>
        <v>1</v>
      </c>
      <c r="R336" s="179">
        <f t="shared" si="127"/>
        <v>0.59907062981024062</v>
      </c>
      <c r="S336" s="837">
        <f t="shared" si="128"/>
        <v>-2</v>
      </c>
      <c r="T336" s="178">
        <f t="shared" si="129"/>
        <v>4</v>
      </c>
      <c r="U336" s="253">
        <f t="shared" si="130"/>
        <v>-1.4009293701897594</v>
      </c>
      <c r="V336" s="385">
        <f t="shared" si="131"/>
        <v>19.76684650943492</v>
      </c>
      <c r="W336" s="58"/>
      <c r="X336" s="157">
        <f t="shared" si="132"/>
        <v>43787</v>
      </c>
      <c r="Y336" s="387">
        <f t="shared" si="133"/>
        <v>8.9930000000000003</v>
      </c>
      <c r="Z336" s="387">
        <f t="shared" si="134"/>
        <v>9.0927491367740938</v>
      </c>
      <c r="AA336" s="388">
        <f t="shared" si="135"/>
        <v>9.9597657386141414</v>
      </c>
      <c r="AB336" s="199">
        <f t="shared" si="136"/>
        <v>43787</v>
      </c>
      <c r="AC336" s="426">
        <f>IF(OR(t&lt;Tnet,NoTnet),'2018'!Resal_s+('2018'!Salim-'2018'!Resal_s)*(1-EXP(('2018'!Tnet_s-t)/'2018'!Tau_j)),Resal_s+(Salim-Resal_s)*(1-EXP((Tnet_s-t)/Tau_j)))*Salcycl</f>
        <v>8.7051907102454418E-2</v>
      </c>
      <c r="AD336" s="233">
        <f>(INDEX(Models!$BJ336:$BT336,,AH336)*(1-AF336)+INDEX(Models!$BJ336:$BT336,,AH336+1)*AF336-ERP_i)*AE336*Ramure*Pc/MaxiM</f>
        <v>2.3572052511268302E-2</v>
      </c>
      <c r="AE336" s="307">
        <f t="shared" si="137"/>
        <v>1</v>
      </c>
      <c r="AF336" s="179">
        <f t="shared" si="138"/>
        <v>0.59907062981024062</v>
      </c>
      <c r="AG336" s="178">
        <f t="shared" si="139"/>
        <v>-2</v>
      </c>
      <c r="AH336" s="178">
        <f t="shared" si="140"/>
        <v>4</v>
      </c>
      <c r="AI336" s="227">
        <f t="shared" si="141"/>
        <v>-1.4009293701897594</v>
      </c>
      <c r="AJ336" s="267" t="b">
        <f t="shared" si="142"/>
        <v>0</v>
      </c>
      <c r="AK336" s="267" t="b">
        <f t="shared" si="143"/>
        <v>0</v>
      </c>
      <c r="AL336" s="267"/>
      <c r="AM336" s="267"/>
      <c r="AN336" s="75"/>
    </row>
    <row r="337" spans="1:40" s="6" customFormat="1" ht="11.25" customHeight="1" x14ac:dyDescent="0.2">
      <c r="A337" s="56">
        <f t="shared" si="144"/>
        <v>43788</v>
      </c>
      <c r="B337" s="618">
        <v>14.788</v>
      </c>
      <c r="C337" s="392"/>
      <c r="D337" s="395">
        <f t="shared" si="123"/>
        <v>14.952374454714588</v>
      </c>
      <c r="E337" s="387">
        <f t="shared" si="121"/>
        <v>16.37886496836478</v>
      </c>
      <c r="F337" s="387">
        <f t="shared" si="124"/>
        <v>16.638723690935258</v>
      </c>
      <c r="G337" s="110">
        <f t="shared" si="122"/>
        <v>0.7495363719892183</v>
      </c>
      <c r="H337" s="414" t="b">
        <f>Wh_hp&gt;='2018'!Maxi_hp</f>
        <v>1</v>
      </c>
      <c r="I337" s="392">
        <f>IF(H337,Wh_hp,'2018'!Maxi_hp)</f>
        <v>16.638723690935258</v>
      </c>
      <c r="J337" s="85">
        <f>IF(H337,An,'2018'!An_max)</f>
        <v>2019</v>
      </c>
      <c r="K337" s="199">
        <f t="shared" si="125"/>
        <v>43788</v>
      </c>
      <c r="L337" s="147">
        <f>IF(t&lt;Tvie,1-EXP((T0-t)*PertePVj)+'2018'!Pspv,1-EXP((T0-t)*PertePVj)+Pspv)</f>
        <v>1.0993200793119495E-2</v>
      </c>
      <c r="M337" s="870"/>
      <c r="N337" s="870"/>
      <c r="O337" s="48">
        <f>IF(t&lt;Tnet,'2018'!Resal+('2018'!Salim-'2018'!Resal)*(1-EXP(('2018'!Tnet-t)/('2018'!Tau_j))),Resal+(Salim-Resal)*(1-EXP((Tnet-t)/(Tau_j))))*Salcycl</f>
        <v>8.709336797179848E-2</v>
      </c>
      <c r="P337" s="171">
        <f>(INDEX(Models!$BJ337:$BT337,,T337)*(1-R337)+INDEX(Models!$BJ337:$BT337,,T337+1)*R337-ERP_i)*Q337*Ramure*Pc/MaxiM</f>
        <v>2.3976875836030351E-2</v>
      </c>
      <c r="Q337" s="307">
        <f t="shared" si="126"/>
        <v>1</v>
      </c>
      <c r="R337" s="179">
        <f t="shared" si="127"/>
        <v>0.59910831148387933</v>
      </c>
      <c r="S337" s="837">
        <f t="shared" si="128"/>
        <v>-2</v>
      </c>
      <c r="T337" s="178">
        <f t="shared" si="129"/>
        <v>4</v>
      </c>
      <c r="U337" s="253">
        <f t="shared" si="130"/>
        <v>-1.4008916885161207</v>
      </c>
      <c r="V337" s="385">
        <f t="shared" si="131"/>
        <v>19.561990519054085</v>
      </c>
      <c r="W337" s="58"/>
      <c r="X337" s="157">
        <f t="shared" si="132"/>
        <v>43788</v>
      </c>
      <c r="Y337" s="387">
        <f t="shared" si="133"/>
        <v>14.788</v>
      </c>
      <c r="Z337" s="387">
        <f t="shared" si="134"/>
        <v>14.952374454714588</v>
      </c>
      <c r="AA337" s="388">
        <f t="shared" si="135"/>
        <v>16.37886496836478</v>
      </c>
      <c r="AB337" s="199">
        <f t="shared" si="136"/>
        <v>43788</v>
      </c>
      <c r="AC337" s="426">
        <f>IF(OR(t&lt;Tnet,NoTnet),'2018'!Resal_s+('2018'!Salim-'2018'!Resal_s)*(1-EXP(('2018'!Tnet_s-t)/'2018'!Tau_j)),Resal_s+(Salim-Resal_s)*(1-EXP((Tnet_s-t)/Tau_j)))*Salcycl</f>
        <v>8.709336797179848E-2</v>
      </c>
      <c r="AD337" s="233">
        <f>(INDEX(Models!$BJ337:$BT337,,AH337)*(1-AF337)+INDEX(Models!$BJ337:$BT337,,AH337+1)*AF337-ERP_i)*AE337*Ramure*Pc/MaxiM</f>
        <v>2.3976875836030351E-2</v>
      </c>
      <c r="AE337" s="307">
        <f t="shared" si="137"/>
        <v>1</v>
      </c>
      <c r="AF337" s="179">
        <f t="shared" si="138"/>
        <v>0.59910831148387933</v>
      </c>
      <c r="AG337" s="178">
        <f t="shared" si="139"/>
        <v>-2</v>
      </c>
      <c r="AH337" s="178">
        <f t="shared" si="140"/>
        <v>4</v>
      </c>
      <c r="AI337" s="227">
        <f t="shared" si="141"/>
        <v>-1.4008916885161207</v>
      </c>
      <c r="AJ337" s="267" t="b">
        <f t="shared" si="142"/>
        <v>0</v>
      </c>
      <c r="AK337" s="267" t="b">
        <f t="shared" si="143"/>
        <v>0</v>
      </c>
      <c r="AL337" s="267"/>
      <c r="AM337" s="267"/>
      <c r="AN337" s="75"/>
    </row>
    <row r="338" spans="1:40" s="6" customFormat="1" ht="11.25" customHeight="1" x14ac:dyDescent="0.2">
      <c r="A338" s="56">
        <f t="shared" si="144"/>
        <v>43789</v>
      </c>
      <c r="B338" s="618">
        <v>19.847000000000001</v>
      </c>
      <c r="C338" s="392"/>
      <c r="D338" s="395">
        <f t="shared" si="123"/>
        <v>20.068074249185742</v>
      </c>
      <c r="E338" s="387">
        <f t="shared" si="121"/>
        <v>21.983666671467152</v>
      </c>
      <c r="F338" s="387">
        <f t="shared" si="124"/>
        <v>22.532430665642437</v>
      </c>
      <c r="G338" s="110">
        <f t="shared" si="122"/>
        <v>1.0250121396551111</v>
      </c>
      <c r="H338" s="414" t="b">
        <f>Wh_hp&gt;='2018'!Maxi_hp</f>
        <v>1</v>
      </c>
      <c r="I338" s="392">
        <f>IF(H338,Wh_hp,'2018'!Maxi_hp)</f>
        <v>22.532430665642437</v>
      </c>
      <c r="J338" s="85">
        <f>IF(H338,An,'2018'!An_max)</f>
        <v>2019</v>
      </c>
      <c r="K338" s="199">
        <f t="shared" si="125"/>
        <v>43789</v>
      </c>
      <c r="L338" s="147">
        <f>IF(t&lt;Tvie,1-EXP((T0-t)*PertePVj)+'2018'!Pspv,1-EXP((T0-t)*PertePVj)+Pspv)</f>
        <v>1.1016216426183001E-2</v>
      </c>
      <c r="M338" s="870"/>
      <c r="N338" s="870"/>
      <c r="O338" s="48">
        <f>IF(t&lt;Tnet,'2018'!Resal+('2018'!Salim-'2018'!Resal)*(1-EXP(('2018'!Tnet-t)/('2018'!Tau_j))),Resal+(Salim-Resal)*(1-EXP((Tnet-t)/(Tau_j))))*Salcycl</f>
        <v>8.7137075489216662E-2</v>
      </c>
      <c r="P338" s="171">
        <f>(INDEX(Models!$BJ338:$BT338,,T338)*(1-R338)+INDEX(Models!$BJ338:$BT338,,T338+1)*R338-ERP_i)*Q338*Ramure*Pc/MaxiM</f>
        <v>2.4354407312658182E-2</v>
      </c>
      <c r="Q338" s="307">
        <f t="shared" si="126"/>
        <v>1</v>
      </c>
      <c r="R338" s="179">
        <f t="shared" si="127"/>
        <v>0.59914447979779384</v>
      </c>
      <c r="S338" s="837">
        <f t="shared" si="128"/>
        <v>-2</v>
      </c>
      <c r="T338" s="178">
        <f t="shared" si="129"/>
        <v>4</v>
      </c>
      <c r="U338" s="253">
        <f t="shared" si="130"/>
        <v>-1.4008555202022062</v>
      </c>
      <c r="V338" s="385">
        <f t="shared" si="131"/>
        <v>19.36269750588318</v>
      </c>
      <c r="W338" s="58"/>
      <c r="X338" s="157">
        <f t="shared" si="132"/>
        <v>43789</v>
      </c>
      <c r="Y338" s="387">
        <f t="shared" si="133"/>
        <v>19.847000000000001</v>
      </c>
      <c r="Z338" s="387">
        <f t="shared" si="134"/>
        <v>20.068074249185742</v>
      </c>
      <c r="AA338" s="388">
        <f t="shared" si="135"/>
        <v>21.983666671467152</v>
      </c>
      <c r="AB338" s="199">
        <f t="shared" si="136"/>
        <v>43789</v>
      </c>
      <c r="AC338" s="426">
        <f>IF(OR(t&lt;Tnet,NoTnet),'2018'!Resal_s+('2018'!Salim-'2018'!Resal_s)*(1-EXP(('2018'!Tnet_s-t)/'2018'!Tau_j)),Resal_s+(Salim-Resal_s)*(1-EXP((Tnet_s-t)/Tau_j)))*Salcycl</f>
        <v>8.7137075489216662E-2</v>
      </c>
      <c r="AD338" s="233">
        <f>(INDEX(Models!$BJ338:$BT338,,AH338)*(1-AF338)+INDEX(Models!$BJ338:$BT338,,AH338+1)*AF338-ERP_i)*AE338*Ramure*Pc/MaxiM</f>
        <v>2.4354407312658182E-2</v>
      </c>
      <c r="AE338" s="307">
        <f t="shared" si="137"/>
        <v>1</v>
      </c>
      <c r="AF338" s="179">
        <f t="shared" si="138"/>
        <v>0.59914447979779384</v>
      </c>
      <c r="AG338" s="178">
        <f t="shared" si="139"/>
        <v>-2</v>
      </c>
      <c r="AH338" s="178">
        <f t="shared" si="140"/>
        <v>4</v>
      </c>
      <c r="AI338" s="227">
        <f t="shared" si="141"/>
        <v>-1.4008555202022062</v>
      </c>
      <c r="AJ338" s="267" t="b">
        <f t="shared" si="142"/>
        <v>0</v>
      </c>
      <c r="AK338" s="267" t="b">
        <f t="shared" si="143"/>
        <v>0</v>
      </c>
      <c r="AL338" s="267"/>
      <c r="AM338" s="267"/>
      <c r="AN338" s="75"/>
    </row>
    <row r="339" spans="1:40" s="6" customFormat="1" ht="11.25" customHeight="1" x14ac:dyDescent="0.2">
      <c r="A339" s="56">
        <f t="shared" si="144"/>
        <v>43790</v>
      </c>
      <c r="B339" s="618">
        <v>19.119</v>
      </c>
      <c r="C339" s="392"/>
      <c r="D339" s="395">
        <f t="shared" si="123"/>
        <v>19.332415005152956</v>
      </c>
      <c r="E339" s="387">
        <f t="shared" si="121"/>
        <v>21.178853789975694</v>
      </c>
      <c r="F339" s="387">
        <f t="shared" si="124"/>
        <v>21.71388989490131</v>
      </c>
      <c r="G339" s="110">
        <f t="shared" si="122"/>
        <v>0.9973442408854184</v>
      </c>
      <c r="H339" s="414" t="b">
        <f>Wh_hp&gt;='2018'!Maxi_hp</f>
        <v>1</v>
      </c>
      <c r="I339" s="392">
        <f>IF(H339,Wh_hp,'2018'!Maxi_hp)</f>
        <v>21.71388989490131</v>
      </c>
      <c r="J339" s="85">
        <f>IF(H339,An,'2018'!An_max)</f>
        <v>2019</v>
      </c>
      <c r="K339" s="199">
        <f t="shared" si="125"/>
        <v>43790</v>
      </c>
      <c r="L339" s="147">
        <f>IF(t&lt;Tvie,1-EXP((T0-t)*PertePVj)+'2018'!Pspv,1-EXP((T0-t)*PertePVj)+Pspv)</f>
        <v>1.1039231523639059E-2</v>
      </c>
      <c r="M339" s="870"/>
      <c r="N339" s="870"/>
      <c r="O339" s="48">
        <f>IF(t&lt;Tnet,'2018'!Resal+('2018'!Salim-'2018'!Resal)*(1-EXP(('2018'!Tnet-t)/('2018'!Tau_j))),Resal+(Salim-Resal)*(1-EXP((Tnet-t)/(Tau_j))))*Salcycl</f>
        <v>8.7183131019899107E-2</v>
      </c>
      <c r="P339" s="171">
        <f>(INDEX(Models!$BJ339:$BT339,,T339)*(1-R339)+INDEX(Models!$BJ339:$BT339,,T339+1)*R339-ERP_i)*Q339*Ramure*Pc/MaxiM</f>
        <v>2.4730825362260296E-2</v>
      </c>
      <c r="Q339" s="307">
        <f t="shared" si="126"/>
        <v>1</v>
      </c>
      <c r="R339" s="179">
        <f t="shared" si="127"/>
        <v>0.599179195383853</v>
      </c>
      <c r="S339" s="837">
        <f t="shared" si="128"/>
        <v>-2</v>
      </c>
      <c r="T339" s="178">
        <f t="shared" si="129"/>
        <v>4</v>
      </c>
      <c r="U339" s="253">
        <f t="shared" si="130"/>
        <v>-1.400820804616147</v>
      </c>
      <c r="V339" s="385">
        <f t="shared" si="131"/>
        <v>19.168130867818842</v>
      </c>
      <c r="W339" s="58"/>
      <c r="X339" s="157">
        <f t="shared" si="132"/>
        <v>43790</v>
      </c>
      <c r="Y339" s="387">
        <f t="shared" si="133"/>
        <v>19.119</v>
      </c>
      <c r="Z339" s="387">
        <f t="shared" si="134"/>
        <v>19.332415005152956</v>
      </c>
      <c r="AA339" s="388">
        <f t="shared" si="135"/>
        <v>21.178853789975694</v>
      </c>
      <c r="AB339" s="199">
        <f t="shared" si="136"/>
        <v>43790</v>
      </c>
      <c r="AC339" s="426">
        <f>IF(OR(t&lt;Tnet,NoTnet),'2018'!Resal_s+('2018'!Salim-'2018'!Resal_s)*(1-EXP(('2018'!Tnet_s-t)/'2018'!Tau_j)),Resal_s+(Salim-Resal_s)*(1-EXP((Tnet_s-t)/Tau_j)))*Salcycl</f>
        <v>8.7183131019899107E-2</v>
      </c>
      <c r="AD339" s="233">
        <f>(INDEX(Models!$BJ339:$BT339,,AH339)*(1-AF339)+INDEX(Models!$BJ339:$BT339,,AH339+1)*AF339-ERP_i)*AE339*Ramure*Pc/MaxiM</f>
        <v>2.4730825362260296E-2</v>
      </c>
      <c r="AE339" s="307">
        <f t="shared" si="137"/>
        <v>1</v>
      </c>
      <c r="AF339" s="179">
        <f t="shared" si="138"/>
        <v>0.599179195383853</v>
      </c>
      <c r="AG339" s="178">
        <f t="shared" si="139"/>
        <v>-2</v>
      </c>
      <c r="AH339" s="178">
        <f t="shared" si="140"/>
        <v>4</v>
      </c>
      <c r="AI339" s="227">
        <f t="shared" si="141"/>
        <v>-1.400820804616147</v>
      </c>
      <c r="AJ339" s="267" t="b">
        <f t="shared" si="142"/>
        <v>0</v>
      </c>
      <c r="AK339" s="267" t="b">
        <f t="shared" si="143"/>
        <v>0</v>
      </c>
      <c r="AL339" s="267"/>
      <c r="AM339" s="267"/>
      <c r="AN339" s="75"/>
    </row>
    <row r="340" spans="1:40" s="6" customFormat="1" ht="11.25" customHeight="1" x14ac:dyDescent="0.2">
      <c r="A340" s="56">
        <f t="shared" si="144"/>
        <v>43791</v>
      </c>
      <c r="B340" s="618">
        <v>8.9770000000000003</v>
      </c>
      <c r="C340" s="392"/>
      <c r="D340" s="395">
        <f t="shared" si="123"/>
        <v>9.0774166164315755</v>
      </c>
      <c r="E340" s="387">
        <f t="shared" si="121"/>
        <v>9.9449289366936036</v>
      </c>
      <c r="F340" s="387">
        <f t="shared" si="124"/>
        <v>10.007028534982954</v>
      </c>
      <c r="G340" s="110">
        <f t="shared" si="122"/>
        <v>0.46402558307455138</v>
      </c>
      <c r="H340" s="414" t="b">
        <f>Wh_hp&gt;='2018'!Maxi_hp</f>
        <v>0</v>
      </c>
      <c r="I340" s="392">
        <f>IF(H340,Wh_hp,'2018'!Maxi_hp)</f>
        <v>19.464271045851394</v>
      </c>
      <c r="J340" s="85">
        <f>IF(H340,An,'2018'!An_max)</f>
        <v>2018</v>
      </c>
      <c r="K340" s="199">
        <f t="shared" si="125"/>
        <v>43791</v>
      </c>
      <c r="L340" s="147">
        <f>IF(t&lt;Tvie,1-EXP((T0-t)*PertePVj)+'2018'!Pspv,1-EXP((T0-t)*PertePVj)+Pspv)</f>
        <v>1.1062246085500216E-2</v>
      </c>
      <c r="M340" s="870"/>
      <c r="N340" s="870"/>
      <c r="O340" s="48">
        <f>IF(t&lt;Tnet,'2018'!Resal+('2018'!Salim-'2018'!Resal)*(1-EXP(('2018'!Tnet-t)/('2018'!Tau_j))),Resal+(Salim-Resal)*(1-EXP((Tnet-t)/(Tau_j))))*Salcycl</f>
        <v>8.7231625865237292E-2</v>
      </c>
      <c r="P340" s="171">
        <f>(INDEX(Models!$BJ340:$BT340,,T340)*(1-R340)+INDEX(Models!$BJ340:$BT340,,T340+1)*R340-ERP_i)*Q340*Ramure*Pc/MaxiM</f>
        <v>2.5106192737481572E-2</v>
      </c>
      <c r="Q340" s="307">
        <f t="shared" si="126"/>
        <v>1</v>
      </c>
      <c r="R340" s="179">
        <f t="shared" si="127"/>
        <v>0.5992125164563491</v>
      </c>
      <c r="S340" s="837">
        <f t="shared" si="128"/>
        <v>-2</v>
      </c>
      <c r="T340" s="178">
        <f t="shared" si="129"/>
        <v>4</v>
      </c>
      <c r="U340" s="253">
        <f t="shared" si="130"/>
        <v>-1.4007874835436509</v>
      </c>
      <c r="V340" s="385">
        <f t="shared" si="131"/>
        <v>18.977983545621008</v>
      </c>
      <c r="W340" s="58"/>
      <c r="X340" s="157">
        <f t="shared" si="132"/>
        <v>43791</v>
      </c>
      <c r="Y340" s="387">
        <f t="shared" si="133"/>
        <v>8.9770000000000003</v>
      </c>
      <c r="Z340" s="387">
        <f t="shared" si="134"/>
        <v>9.0774166164315755</v>
      </c>
      <c r="AA340" s="388">
        <f t="shared" si="135"/>
        <v>9.9449289366936036</v>
      </c>
      <c r="AB340" s="199">
        <f t="shared" si="136"/>
        <v>43791</v>
      </c>
      <c r="AC340" s="426">
        <f>IF(OR(t&lt;Tnet,NoTnet),'2018'!Resal_s+('2018'!Salim-'2018'!Resal_s)*(1-EXP(('2018'!Tnet_s-t)/'2018'!Tau_j)),Resal_s+(Salim-Resal_s)*(1-EXP((Tnet_s-t)/Tau_j)))*Salcycl</f>
        <v>8.7231625865237292E-2</v>
      </c>
      <c r="AD340" s="233">
        <f>(INDEX(Models!$BJ340:$BT340,,AH340)*(1-AF340)+INDEX(Models!$BJ340:$BT340,,AH340+1)*AF340-ERP_i)*AE340*Ramure*Pc/MaxiM</f>
        <v>2.5106192737481572E-2</v>
      </c>
      <c r="AE340" s="307">
        <f t="shared" si="137"/>
        <v>1</v>
      </c>
      <c r="AF340" s="179">
        <f t="shared" si="138"/>
        <v>0.5992125164563491</v>
      </c>
      <c r="AG340" s="178">
        <f t="shared" si="139"/>
        <v>-2</v>
      </c>
      <c r="AH340" s="178">
        <f t="shared" si="140"/>
        <v>4</v>
      </c>
      <c r="AI340" s="227">
        <f t="shared" si="141"/>
        <v>-1.4007874835436509</v>
      </c>
      <c r="AJ340" s="267" t="b">
        <f t="shared" si="142"/>
        <v>0</v>
      </c>
      <c r="AK340" s="267" t="b">
        <f t="shared" si="143"/>
        <v>0</v>
      </c>
      <c r="AL340" s="267"/>
      <c r="AM340" s="267"/>
      <c r="AN340" s="75"/>
    </row>
    <row r="341" spans="1:40" s="6" customFormat="1" ht="11.25" customHeight="1" x14ac:dyDescent="0.2">
      <c r="A341" s="56">
        <f t="shared" si="144"/>
        <v>43792</v>
      </c>
      <c r="B341" s="618">
        <v>5.2949999999999999</v>
      </c>
      <c r="C341" s="392"/>
      <c r="D341" s="395">
        <f t="shared" si="123"/>
        <v>5.3543544113808066</v>
      </c>
      <c r="E341" s="387">
        <f t="shared" si="121"/>
        <v>5.8663882726463203</v>
      </c>
      <c r="F341" s="387">
        <f t="shared" si="124"/>
        <v>5.8663882726463203</v>
      </c>
      <c r="G341" s="110">
        <f t="shared" si="122"/>
        <v>0.27458994706751927</v>
      </c>
      <c r="H341" s="414" t="b">
        <f>Wh_hp&gt;='2018'!Maxi_hp</f>
        <v>0</v>
      </c>
      <c r="I341" s="392">
        <f>IF(H341,Wh_hp,'2018'!Maxi_hp)</f>
        <v>13.776347840346039</v>
      </c>
      <c r="J341" s="85">
        <f>IF(H341,An,'2018'!An_max)</f>
        <v>2018</v>
      </c>
      <c r="K341" s="199">
        <f t="shared" si="125"/>
        <v>43792</v>
      </c>
      <c r="L341" s="147">
        <f>IF(t&lt;Tvie,1-EXP((T0-t)*PertePVj)+'2018'!Pspv,1-EXP((T0-t)*PertePVj)+Pspv)</f>
        <v>1.1085260111778905E-2</v>
      </c>
      <c r="M341" s="870"/>
      <c r="N341" s="870"/>
      <c r="O341" s="48">
        <f>IF(t&lt;Tnet,'2018'!Resal+('2018'!Salim-'2018'!Resal)*(1-EXP(('2018'!Tnet-t)/('2018'!Tau_j))),Resal+(Salim-Resal)*(1-EXP((Tnet-t)/(Tau_j))))*Salcycl</f>
        <v>8.7282640948437656E-2</v>
      </c>
      <c r="P341" s="171">
        <f>(INDEX(Models!$BJ341:$BT341,,T341)*(1-R341)+INDEX(Models!$BJ341:$BT341,,T341+1)*R341-ERP_i)*Q341*Ramure*Pc/MaxiM</f>
        <v>2.5480440743955668E-2</v>
      </c>
      <c r="Q341" s="307">
        <f t="shared" si="126"/>
        <v>1</v>
      </c>
      <c r="R341" s="179">
        <f t="shared" si="127"/>
        <v>0.59924449890747855</v>
      </c>
      <c r="S341" s="837">
        <f t="shared" si="128"/>
        <v>-2</v>
      </c>
      <c r="T341" s="178">
        <f t="shared" si="129"/>
        <v>4</v>
      </c>
      <c r="U341" s="253">
        <f t="shared" si="130"/>
        <v>-1.4007555010925214</v>
      </c>
      <c r="V341" s="385">
        <f t="shared" si="131"/>
        <v>18.791951859009369</v>
      </c>
      <c r="W341" s="58"/>
      <c r="X341" s="157">
        <f t="shared" si="132"/>
        <v>43792</v>
      </c>
      <c r="Y341" s="387">
        <f t="shared" si="133"/>
        <v>5.2949999999999999</v>
      </c>
      <c r="Z341" s="387">
        <f t="shared" si="134"/>
        <v>5.3543544113808066</v>
      </c>
      <c r="AA341" s="388">
        <f t="shared" si="135"/>
        <v>5.8663882726463203</v>
      </c>
      <c r="AB341" s="199">
        <f t="shared" si="136"/>
        <v>43792</v>
      </c>
      <c r="AC341" s="426">
        <f>IF(OR(t&lt;Tnet,NoTnet),'2018'!Resal_s+('2018'!Salim-'2018'!Resal_s)*(1-EXP(('2018'!Tnet_s-t)/'2018'!Tau_j)),Resal_s+(Salim-Resal_s)*(1-EXP((Tnet_s-t)/Tau_j)))*Salcycl</f>
        <v>8.7282640948437656E-2</v>
      </c>
      <c r="AD341" s="233">
        <f>(INDEX(Models!$BJ341:$BT341,,AH341)*(1-AF341)+INDEX(Models!$BJ341:$BT341,,AH341+1)*AF341-ERP_i)*AE341*Ramure*Pc/MaxiM</f>
        <v>2.5480440743955668E-2</v>
      </c>
      <c r="AE341" s="307">
        <f t="shared" si="137"/>
        <v>1</v>
      </c>
      <c r="AF341" s="179">
        <f t="shared" si="138"/>
        <v>0.59924449890747855</v>
      </c>
      <c r="AG341" s="178">
        <f t="shared" si="139"/>
        <v>-2</v>
      </c>
      <c r="AH341" s="178">
        <f t="shared" si="140"/>
        <v>4</v>
      </c>
      <c r="AI341" s="227">
        <f t="shared" si="141"/>
        <v>-1.4007555010925214</v>
      </c>
      <c r="AJ341" s="267" t="b">
        <f t="shared" si="142"/>
        <v>0</v>
      </c>
      <c r="AK341" s="267" t="b">
        <f t="shared" si="143"/>
        <v>0</v>
      </c>
      <c r="AL341" s="267"/>
      <c r="AM341" s="267"/>
      <c r="AN341" s="75"/>
    </row>
    <row r="342" spans="1:40" s="6" customFormat="1" ht="11.25" x14ac:dyDescent="0.2">
      <c r="A342" s="56">
        <f t="shared" si="144"/>
        <v>43793</v>
      </c>
      <c r="B342" s="618">
        <v>9.9819999999999993</v>
      </c>
      <c r="C342" s="392"/>
      <c r="D342" s="395">
        <f t="shared" si="123"/>
        <v>10.094128339372372</v>
      </c>
      <c r="E342" s="387">
        <f t="shared" si="121"/>
        <v>11.060073659533389</v>
      </c>
      <c r="F342" s="387">
        <f t="shared" si="124"/>
        <v>11.157485472307227</v>
      </c>
      <c r="G342" s="110">
        <f t="shared" si="122"/>
        <v>0.5271206270072174</v>
      </c>
      <c r="H342" s="414" t="b">
        <f>Wh_hp&gt;='2018'!Maxi_hp</f>
        <v>0</v>
      </c>
      <c r="I342" s="392">
        <f>IF(H342,Wh_hp,'2018'!Maxi_hp)</f>
        <v>16.971299899750864</v>
      </c>
      <c r="J342" s="85">
        <f>IF(H342,An,'2018'!An_max)</f>
        <v>2018</v>
      </c>
      <c r="K342" s="199">
        <f t="shared" si="125"/>
        <v>43793</v>
      </c>
      <c r="L342" s="147">
        <f>IF(t&lt;Tvie,1-EXP((T0-t)*PertePVj)+'2018'!Pspv,1-EXP((T0-t)*PertePVj)+Pspv)</f>
        <v>1.1108273602487562E-2</v>
      </c>
      <c r="M342" s="870"/>
      <c r="N342" s="870"/>
      <c r="O342" s="48">
        <f>IF(t&lt;Tnet,'2018'!Resal+('2018'!Salim-'2018'!Resal)*(1-EXP(('2018'!Tnet-t)/('2018'!Tau_j))),Resal+(Salim-Resal)*(1-EXP((Tnet-t)/(Tau_j))))*Salcycl</f>
        <v>8.7336246565447376E-2</v>
      </c>
      <c r="P342" s="171">
        <f>(INDEX(Models!$BJ342:$BT342,,T342)*(1-R342)+INDEX(Models!$BJ342:$BT342,,T342+1)*R342-ERP_i)*Q342*Ramure*Pc/MaxiM</f>
        <v>2.5853626689968254E-2</v>
      </c>
      <c r="Q342" s="307">
        <f t="shared" si="126"/>
        <v>1</v>
      </c>
      <c r="R342" s="179">
        <f t="shared" si="127"/>
        <v>0.59927519639912585</v>
      </c>
      <c r="S342" s="837">
        <f t="shared" si="128"/>
        <v>-2</v>
      </c>
      <c r="T342" s="178">
        <f t="shared" si="129"/>
        <v>4</v>
      </c>
      <c r="U342" s="253">
        <f t="shared" si="130"/>
        <v>-1.4007248036008741</v>
      </c>
      <c r="V342" s="385">
        <f t="shared" si="131"/>
        <v>18.609730466766379</v>
      </c>
      <c r="W342" s="58"/>
      <c r="X342" s="157">
        <f t="shared" si="132"/>
        <v>43793</v>
      </c>
      <c r="Y342" s="387">
        <f t="shared" si="133"/>
        <v>9.9819999999999993</v>
      </c>
      <c r="Z342" s="387">
        <f t="shared" si="134"/>
        <v>10.094128339372372</v>
      </c>
      <c r="AA342" s="388">
        <f t="shared" si="135"/>
        <v>11.060073659533389</v>
      </c>
      <c r="AB342" s="199">
        <f t="shared" si="136"/>
        <v>43793</v>
      </c>
      <c r="AC342" s="426">
        <f>IF(OR(t&lt;Tnet,NoTnet),'2018'!Resal_s+('2018'!Salim-'2018'!Resal_s)*(1-EXP(('2018'!Tnet_s-t)/'2018'!Tau_j)),Resal_s+(Salim-Resal_s)*(1-EXP((Tnet_s-t)/Tau_j)))*Salcycl</f>
        <v>8.7336246565447376E-2</v>
      </c>
      <c r="AD342" s="233">
        <f>(INDEX(Models!$BJ342:$BT342,,AH342)*(1-AF342)+INDEX(Models!$BJ342:$BT342,,AH342+1)*AF342-ERP_i)*AE342*Ramure*Pc/MaxiM</f>
        <v>2.5853626689968254E-2</v>
      </c>
      <c r="AE342" s="307">
        <f t="shared" si="137"/>
        <v>1</v>
      </c>
      <c r="AF342" s="179">
        <f t="shared" si="138"/>
        <v>0.59927519639912585</v>
      </c>
      <c r="AG342" s="178">
        <f t="shared" si="139"/>
        <v>-2</v>
      </c>
      <c r="AH342" s="178">
        <f t="shared" si="140"/>
        <v>4</v>
      </c>
      <c r="AI342" s="227">
        <f t="shared" si="141"/>
        <v>-1.4007248036008741</v>
      </c>
      <c r="AJ342" s="267" t="b">
        <f t="shared" si="142"/>
        <v>0</v>
      </c>
      <c r="AK342" s="267" t="b">
        <f t="shared" si="143"/>
        <v>0</v>
      </c>
      <c r="AL342" s="267"/>
      <c r="AM342" s="267"/>
      <c r="AN342" s="75"/>
    </row>
    <row r="343" spans="1:40" s="6" customFormat="1" ht="11.25" customHeight="1" x14ac:dyDescent="0.2">
      <c r="A343" s="56">
        <f t="shared" si="144"/>
        <v>43794</v>
      </c>
      <c r="B343" s="618">
        <v>10.207000000000001</v>
      </c>
      <c r="C343" s="392"/>
      <c r="D343" s="395">
        <f t="shared" si="123"/>
        <v>10.321895981993711</v>
      </c>
      <c r="E343" s="387">
        <f t="shared" si="121"/>
        <v>11.310334406529753</v>
      </c>
      <c r="F343" s="387">
        <f t="shared" si="124"/>
        <v>11.418912218444055</v>
      </c>
      <c r="G343" s="110">
        <f t="shared" si="122"/>
        <v>0.54444800980875763</v>
      </c>
      <c r="H343" s="414" t="b">
        <f>Wh_hp&gt;='2018'!Maxi_hp</f>
        <v>1</v>
      </c>
      <c r="I343" s="392">
        <f>IF(H343,Wh_hp,'2018'!Maxi_hp)</f>
        <v>11.418912218444055</v>
      </c>
      <c r="J343" s="85">
        <f>IF(H343,An,'2018'!An_max)</f>
        <v>2019</v>
      </c>
      <c r="K343" s="199">
        <f t="shared" si="125"/>
        <v>43794</v>
      </c>
      <c r="L343" s="147">
        <f>IF(t&lt;Tvie,1-EXP((T0-t)*PertePVj)+'2018'!Pspv,1-EXP((T0-t)*PertePVj)+Pspv)</f>
        <v>1.113128655763862E-2</v>
      </c>
      <c r="M343" s="870"/>
      <c r="N343" s="870"/>
      <c r="O343" s="48">
        <f>IF(t&lt;Tnet,'2018'!Resal+('2018'!Salim-'2018'!Resal)*(1-EXP(('2018'!Tnet-t)/('2018'!Tau_j))),Resal+(Salim-Resal)*(1-EXP((Tnet-t)/(Tau_j))))*Salcycl</f>
        <v>8.739250220271029E-2</v>
      </c>
      <c r="P343" s="171">
        <f>(INDEX(Models!$BJ343:$BT343,,T343)*(1-R343)+INDEX(Models!$BJ343:$BT343,,T343+1)*R343-ERP_i)*Q343*Ramure*Pc/MaxiM</f>
        <v>2.6225968335123761E-2</v>
      </c>
      <c r="Q343" s="307">
        <f t="shared" si="126"/>
        <v>1</v>
      </c>
      <c r="R343" s="179">
        <f t="shared" si="127"/>
        <v>0.59930466045108211</v>
      </c>
      <c r="S343" s="837">
        <f t="shared" si="128"/>
        <v>-2</v>
      </c>
      <c r="T343" s="178">
        <f t="shared" si="129"/>
        <v>4</v>
      </c>
      <c r="U343" s="253">
        <f t="shared" si="130"/>
        <v>-1.4006953395489179</v>
      </c>
      <c r="V343" s="385">
        <f t="shared" si="131"/>
        <v>18.43101181809082</v>
      </c>
      <c r="W343" s="58"/>
      <c r="X343" s="157">
        <f t="shared" si="132"/>
        <v>43794</v>
      </c>
      <c r="Y343" s="387">
        <f t="shared" si="133"/>
        <v>10.207000000000001</v>
      </c>
      <c r="Z343" s="387">
        <f t="shared" si="134"/>
        <v>10.321895981993711</v>
      </c>
      <c r="AA343" s="388">
        <f t="shared" si="135"/>
        <v>11.310334406529753</v>
      </c>
      <c r="AB343" s="199">
        <f t="shared" si="136"/>
        <v>43794</v>
      </c>
      <c r="AC343" s="426">
        <f>IF(OR(t&lt;Tnet,NoTnet),'2018'!Resal_s+('2018'!Salim-'2018'!Resal_s)*(1-EXP(('2018'!Tnet_s-t)/'2018'!Tau_j)),Resal_s+(Salim-Resal_s)*(1-EXP((Tnet_s-t)/Tau_j)))*Salcycl</f>
        <v>8.739250220271029E-2</v>
      </c>
      <c r="AD343" s="233">
        <f>(INDEX(Models!$BJ343:$BT343,,AH343)*(1-AF343)+INDEX(Models!$BJ343:$BT343,,AH343+1)*AF343-ERP_i)*AE343*Ramure*Pc/MaxiM</f>
        <v>2.6225968335123761E-2</v>
      </c>
      <c r="AE343" s="307">
        <f t="shared" si="137"/>
        <v>1</v>
      </c>
      <c r="AF343" s="179">
        <f t="shared" si="138"/>
        <v>0.59930466045108211</v>
      </c>
      <c r="AG343" s="178">
        <f t="shared" si="139"/>
        <v>-2</v>
      </c>
      <c r="AH343" s="178">
        <f t="shared" si="140"/>
        <v>4</v>
      </c>
      <c r="AI343" s="227">
        <f t="shared" si="141"/>
        <v>-1.4006953395489179</v>
      </c>
      <c r="AJ343" s="267" t="b">
        <f t="shared" si="142"/>
        <v>0</v>
      </c>
      <c r="AK343" s="267" t="b">
        <f t="shared" si="143"/>
        <v>0</v>
      </c>
      <c r="AL343" s="267"/>
      <c r="AM343" s="267"/>
      <c r="AN343" s="75"/>
    </row>
    <row r="344" spans="1:40" s="6" customFormat="1" ht="11.25" x14ac:dyDescent="0.2">
      <c r="A344" s="56">
        <f t="shared" si="144"/>
        <v>43795</v>
      </c>
      <c r="B344" s="618">
        <v>15.327999999999999</v>
      </c>
      <c r="C344" s="392"/>
      <c r="D344" s="395">
        <f t="shared" si="123"/>
        <v>15.500901691888197</v>
      </c>
      <c r="E344" s="387">
        <f t="shared" si="121"/>
        <v>16.986385876112909</v>
      </c>
      <c r="F344" s="387">
        <f t="shared" si="124"/>
        <v>17.341974047466518</v>
      </c>
      <c r="G344" s="110">
        <f t="shared" si="122"/>
        <v>0.83441467938648228</v>
      </c>
      <c r="H344" s="414" t="b">
        <f>Wh_hp&gt;='2018'!Maxi_hp</f>
        <v>1</v>
      </c>
      <c r="I344" s="392">
        <f>IF(H344,Wh_hp,'2018'!Maxi_hp)</f>
        <v>17.341974047466518</v>
      </c>
      <c r="J344" s="85">
        <f>IF(H344,An,'2018'!An_max)</f>
        <v>2019</v>
      </c>
      <c r="K344" s="199">
        <f t="shared" si="125"/>
        <v>43795</v>
      </c>
      <c r="L344" s="147">
        <f>IF(t&lt;Tvie,1-EXP((T0-t)*PertePVj)+'2018'!Pspv,1-EXP((T0-t)*PertePVj)+Pspv)</f>
        <v>1.1154298977244625E-2</v>
      </c>
      <c r="M344" s="870"/>
      <c r="N344" s="870"/>
      <c r="O344" s="48">
        <f>IF(t&lt;Tnet,'2018'!Resal+('2018'!Salim-'2018'!Resal)*(1-EXP(('2018'!Tnet-t)/('2018'!Tau_j))),Resal+(Salim-Resal)*(1-EXP((Tnet-t)/(Tau_j))))*Salcycl</f>
        <v>8.745145642273866E-2</v>
      </c>
      <c r="P344" s="171">
        <f>(INDEX(Models!$BJ344:$BT344,,T344)*(1-R344)+INDEX(Models!$BJ344:$BT344,,T344+1)*R344-ERP_i)*Q344*Ramure*Pc/MaxiM</f>
        <v>2.6597717990665577E-2</v>
      </c>
      <c r="Q344" s="307">
        <f t="shared" si="126"/>
        <v>1</v>
      </c>
      <c r="R344" s="179">
        <f t="shared" si="127"/>
        <v>0.59933294052583985</v>
      </c>
      <c r="S344" s="837">
        <f t="shared" si="128"/>
        <v>-2</v>
      </c>
      <c r="T344" s="178">
        <f t="shared" si="129"/>
        <v>4</v>
      </c>
      <c r="U344" s="253">
        <f t="shared" si="130"/>
        <v>-1.4006670594741601</v>
      </c>
      <c r="V344" s="385">
        <f t="shared" si="131"/>
        <v>18.255488649949264</v>
      </c>
      <c r="W344" s="58"/>
      <c r="X344" s="157">
        <f t="shared" si="132"/>
        <v>43795</v>
      </c>
      <c r="Y344" s="387">
        <f t="shared" si="133"/>
        <v>15.327999999999999</v>
      </c>
      <c r="Z344" s="387">
        <f t="shared" si="134"/>
        <v>15.500901691888197</v>
      </c>
      <c r="AA344" s="388">
        <f t="shared" si="135"/>
        <v>16.986385876112909</v>
      </c>
      <c r="AB344" s="199">
        <f t="shared" si="136"/>
        <v>43795</v>
      </c>
      <c r="AC344" s="426">
        <f>IF(OR(t&lt;Tnet,NoTnet),'2018'!Resal_s+('2018'!Salim-'2018'!Resal_s)*(1-EXP(('2018'!Tnet_s-t)/'2018'!Tau_j)),Resal_s+(Salim-Resal_s)*(1-EXP((Tnet_s-t)/Tau_j)))*Salcycl</f>
        <v>8.745145642273866E-2</v>
      </c>
      <c r="AD344" s="233">
        <f>(INDEX(Models!$BJ344:$BT344,,AH344)*(1-AF344)+INDEX(Models!$BJ344:$BT344,,AH344+1)*AF344-ERP_i)*AE344*Ramure*Pc/MaxiM</f>
        <v>2.6597717990665577E-2</v>
      </c>
      <c r="AE344" s="307">
        <f t="shared" si="137"/>
        <v>1</v>
      </c>
      <c r="AF344" s="179">
        <f t="shared" si="138"/>
        <v>0.59933294052583985</v>
      </c>
      <c r="AG344" s="178">
        <f t="shared" si="139"/>
        <v>-2</v>
      </c>
      <c r="AH344" s="178">
        <f t="shared" si="140"/>
        <v>4</v>
      </c>
      <c r="AI344" s="227">
        <f t="shared" si="141"/>
        <v>-1.4006670594741601</v>
      </c>
      <c r="AJ344" s="267" t="b">
        <f t="shared" si="142"/>
        <v>0</v>
      </c>
      <c r="AK344" s="267" t="b">
        <f t="shared" si="143"/>
        <v>0</v>
      </c>
      <c r="AL344" s="267"/>
      <c r="AM344" s="267"/>
      <c r="AN344" s="75"/>
    </row>
    <row r="345" spans="1:40" s="6" customFormat="1" ht="11.25" customHeight="1" x14ac:dyDescent="0.2">
      <c r="A345" s="56">
        <f t="shared" si="144"/>
        <v>43796</v>
      </c>
      <c r="B345" s="618">
        <v>13.792999999999999</v>
      </c>
      <c r="C345" s="392"/>
      <c r="D345" s="395">
        <f t="shared" si="123"/>
        <v>13.948911317977997</v>
      </c>
      <c r="E345" s="387">
        <f t="shared" si="121"/>
        <v>15.286698399363107</v>
      </c>
      <c r="F345" s="387">
        <f t="shared" si="124"/>
        <v>15.564245521925329</v>
      </c>
      <c r="G345" s="110">
        <f t="shared" si="122"/>
        <v>0.75572074738477413</v>
      </c>
      <c r="H345" s="414" t="b">
        <f>Wh_hp&gt;='2018'!Maxi_hp</f>
        <v>0</v>
      </c>
      <c r="I345" s="392">
        <f>IF(H345,Wh_hp,'2018'!Maxi_hp)</f>
        <v>18.723509974078482</v>
      </c>
      <c r="J345" s="85">
        <f>IF(H345,An,'2018'!An_max)</f>
        <v>2018</v>
      </c>
      <c r="K345" s="199">
        <f t="shared" si="125"/>
        <v>43796</v>
      </c>
      <c r="L345" s="147">
        <f>IF(t&lt;Tvie,1-EXP((T0-t)*PertePVj)+'2018'!Pspv,1-EXP((T0-t)*PertePVj)+Pspv)</f>
        <v>1.1177310861318013E-2</v>
      </c>
      <c r="M345" s="870"/>
      <c r="N345" s="870"/>
      <c r="O345" s="48">
        <f>IF(t&lt;Tnet,'2018'!Resal+('2018'!Salim-'2018'!Resal)*(1-EXP(('2018'!Tnet-t)/('2018'!Tau_j))),Resal+(Salim-Resal)*(1-EXP((Tnet-t)/(Tau_j))))*Salcycl</f>
        <v>8.7513146817945198E-2</v>
      </c>
      <c r="P345" s="171">
        <f>(INDEX(Models!$BJ345:$BT345,,T345)*(1-R345)+INDEX(Models!$BJ345:$BT345,,T345+1)*R345-ERP_i)*Q345*Ramure*Pc/MaxiM</f>
        <v>2.6970939946990291E-2</v>
      </c>
      <c r="Q345" s="307">
        <f t="shared" si="126"/>
        <v>1</v>
      </c>
      <c r="R345" s="179">
        <f t="shared" si="127"/>
        <v>0.59936008411008457</v>
      </c>
      <c r="S345" s="837">
        <f t="shared" si="128"/>
        <v>-2</v>
      </c>
      <c r="T345" s="178">
        <f t="shared" si="129"/>
        <v>4</v>
      </c>
      <c r="U345" s="253">
        <f t="shared" si="130"/>
        <v>-1.4006399158899154</v>
      </c>
      <c r="V345" s="385">
        <f t="shared" si="131"/>
        <v>18.081629976918599</v>
      </c>
      <c r="W345" s="58"/>
      <c r="X345" s="157">
        <f t="shared" si="132"/>
        <v>43796</v>
      </c>
      <c r="Y345" s="387">
        <f t="shared" si="133"/>
        <v>13.792999999999999</v>
      </c>
      <c r="Z345" s="387">
        <f t="shared" si="134"/>
        <v>13.948911317977997</v>
      </c>
      <c r="AA345" s="388">
        <f t="shared" si="135"/>
        <v>15.286698399363107</v>
      </c>
      <c r="AB345" s="199">
        <f t="shared" si="136"/>
        <v>43796</v>
      </c>
      <c r="AC345" s="426">
        <f>IF(OR(t&lt;Tnet,NoTnet),'2018'!Resal_s+('2018'!Salim-'2018'!Resal_s)*(1-EXP(('2018'!Tnet_s-t)/'2018'!Tau_j)),Resal_s+(Salim-Resal_s)*(1-EXP((Tnet_s-t)/Tau_j)))*Salcycl</f>
        <v>8.7513146817945198E-2</v>
      </c>
      <c r="AD345" s="233">
        <f>(INDEX(Models!$BJ345:$BT345,,AH345)*(1-AF345)+INDEX(Models!$BJ345:$BT345,,AH345+1)*AF345-ERP_i)*AE345*Ramure*Pc/MaxiM</f>
        <v>2.6970939946990291E-2</v>
      </c>
      <c r="AE345" s="307">
        <f t="shared" si="137"/>
        <v>1</v>
      </c>
      <c r="AF345" s="179">
        <f t="shared" si="138"/>
        <v>0.59936008411008457</v>
      </c>
      <c r="AG345" s="178">
        <f t="shared" si="139"/>
        <v>-2</v>
      </c>
      <c r="AH345" s="178">
        <f t="shared" si="140"/>
        <v>4</v>
      </c>
      <c r="AI345" s="227">
        <f t="shared" si="141"/>
        <v>-1.4006399158899154</v>
      </c>
      <c r="AJ345" s="267" t="b">
        <f t="shared" si="142"/>
        <v>0</v>
      </c>
      <c r="AK345" s="267" t="b">
        <f t="shared" si="143"/>
        <v>0</v>
      </c>
      <c r="AL345" s="267"/>
      <c r="AM345" s="267"/>
      <c r="AN345" s="75"/>
    </row>
    <row r="346" spans="1:40" s="6" customFormat="1" ht="11.25" customHeight="1" x14ac:dyDescent="0.2">
      <c r="A346" s="56">
        <f t="shared" si="144"/>
        <v>43797</v>
      </c>
      <c r="B346" s="618">
        <v>8.3460000000000001</v>
      </c>
      <c r="C346" s="392"/>
      <c r="D346" s="395">
        <f t="shared" si="123"/>
        <v>8.4405367310115835</v>
      </c>
      <c r="E346" s="387">
        <f t="shared" si="121"/>
        <v>9.2506899560044875</v>
      </c>
      <c r="F346" s="387">
        <f t="shared" si="124"/>
        <v>9.3110877558605516</v>
      </c>
      <c r="G346" s="110">
        <f t="shared" si="122"/>
        <v>0.45624504682241451</v>
      </c>
      <c r="H346" s="414" t="b">
        <f>Wh_hp&gt;='2018'!Maxi_hp</f>
        <v>0</v>
      </c>
      <c r="I346" s="392">
        <f>IF(H346,Wh_hp,'2018'!Maxi_hp)</f>
        <v>15.043607934783193</v>
      </c>
      <c r="J346" s="85">
        <f>IF(H346,An,'2018'!An_max)</f>
        <v>2018</v>
      </c>
      <c r="K346" s="199">
        <f t="shared" si="125"/>
        <v>43797</v>
      </c>
      <c r="L346" s="147">
        <f>IF(t&lt;Tvie,1-EXP((T0-t)*PertePVj)+'2018'!Pspv,1-EXP((T0-t)*PertePVj)+Pspv)</f>
        <v>1.1200322209871327E-2</v>
      </c>
      <c r="M346" s="870"/>
      <c r="N346" s="870"/>
      <c r="O346" s="48">
        <f>IF(t&lt;Tnet,'2018'!Resal+('2018'!Salim-'2018'!Resal)*(1-EXP(('2018'!Tnet-t)/('2018'!Tau_j))),Resal+(Salim-Resal)*(1-EXP((Tnet-t)/(Tau_j))))*Salcycl</f>
        <v>8.7577600032638106E-2</v>
      </c>
      <c r="P346" s="171">
        <f>(INDEX(Models!$BJ346:$BT346,,T346)*(1-R346)+INDEX(Models!$BJ346:$BT346,,T346+1)*R346-ERP_i)*Q346*Ramure*Pc/MaxiM</f>
        <v>2.7348301728176056E-2</v>
      </c>
      <c r="Q346" s="307">
        <f t="shared" si="126"/>
        <v>1</v>
      </c>
      <c r="R346" s="179">
        <f t="shared" si="127"/>
        <v>0.59938613679301334</v>
      </c>
      <c r="S346" s="837">
        <f t="shared" si="128"/>
        <v>-2</v>
      </c>
      <c r="T346" s="178">
        <f t="shared" si="129"/>
        <v>4</v>
      </c>
      <c r="U346" s="253">
        <f t="shared" si="130"/>
        <v>-1.4006138632069867</v>
      </c>
      <c r="V346" s="385">
        <f t="shared" si="131"/>
        <v>17.908691759065729</v>
      </c>
      <c r="W346" s="58"/>
      <c r="X346" s="157">
        <f t="shared" si="132"/>
        <v>43797</v>
      </c>
      <c r="Y346" s="387">
        <f t="shared" si="133"/>
        <v>8.3460000000000001</v>
      </c>
      <c r="Z346" s="387">
        <f t="shared" si="134"/>
        <v>8.4405367310115835</v>
      </c>
      <c r="AA346" s="388">
        <f t="shared" si="135"/>
        <v>9.2506899560044875</v>
      </c>
      <c r="AB346" s="199">
        <f t="shared" si="136"/>
        <v>43797</v>
      </c>
      <c r="AC346" s="426">
        <f>IF(OR(t&lt;Tnet,NoTnet),'2018'!Resal_s+('2018'!Salim-'2018'!Resal_s)*(1-EXP(('2018'!Tnet_s-t)/'2018'!Tau_j)),Resal_s+(Salim-Resal_s)*(1-EXP((Tnet_s-t)/Tau_j)))*Salcycl</f>
        <v>8.7577600032638106E-2</v>
      </c>
      <c r="AD346" s="233">
        <f>(INDEX(Models!$BJ346:$BT346,,AH346)*(1-AF346)+INDEX(Models!$BJ346:$BT346,,AH346+1)*AF346-ERP_i)*AE346*Ramure*Pc/MaxiM</f>
        <v>2.7348301728176056E-2</v>
      </c>
      <c r="AE346" s="307">
        <f t="shared" si="137"/>
        <v>1</v>
      </c>
      <c r="AF346" s="179">
        <f t="shared" si="138"/>
        <v>0.59938613679301334</v>
      </c>
      <c r="AG346" s="178">
        <f t="shared" si="139"/>
        <v>-2</v>
      </c>
      <c r="AH346" s="178">
        <f t="shared" si="140"/>
        <v>4</v>
      </c>
      <c r="AI346" s="227">
        <f t="shared" si="141"/>
        <v>-1.4006138632069867</v>
      </c>
      <c r="AJ346" s="267" t="b">
        <f t="shared" si="142"/>
        <v>0</v>
      </c>
      <c r="AK346" s="267" t="b">
        <f t="shared" si="143"/>
        <v>0</v>
      </c>
      <c r="AL346" s="267"/>
      <c r="AM346" s="267"/>
      <c r="AN346" s="75"/>
    </row>
    <row r="347" spans="1:40" s="6" customFormat="1" ht="11.25" customHeight="1" x14ac:dyDescent="0.2">
      <c r="A347" s="56">
        <f t="shared" si="144"/>
        <v>43798</v>
      </c>
      <c r="B347" s="618">
        <v>13.379</v>
      </c>
      <c r="C347" s="392"/>
      <c r="D347" s="395">
        <f t="shared" si="123"/>
        <v>13.530861363165727</v>
      </c>
      <c r="E347" s="387">
        <f t="shared" si="121"/>
        <v>14.830695145444436</v>
      </c>
      <c r="F347" s="387">
        <f t="shared" si="124"/>
        <v>15.102560972387771</v>
      </c>
      <c r="G347" s="110">
        <f t="shared" si="122"/>
        <v>0.74680227691074474</v>
      </c>
      <c r="H347" s="414" t="b">
        <f>Wh_hp&gt;='2018'!Maxi_hp</f>
        <v>0</v>
      </c>
      <c r="I347" s="392">
        <f>IF(H347,Wh_hp,'2018'!Maxi_hp)</f>
        <v>19.948122922418964</v>
      </c>
      <c r="J347" s="85">
        <f>IF(H347,An,'2018'!An_max)</f>
        <v>2018</v>
      </c>
      <c r="K347" s="199">
        <f t="shared" si="125"/>
        <v>43798</v>
      </c>
      <c r="L347" s="147">
        <f>IF(t&lt;Tvie,1-EXP((T0-t)*PertePVj)+'2018'!Pspv,1-EXP((T0-t)*PertePVj)+Pspv)</f>
        <v>1.1223333022916782E-2</v>
      </c>
      <c r="M347" s="870"/>
      <c r="N347" s="870"/>
      <c r="O347" s="48">
        <f>IF(t&lt;Tnet,'2018'!Resal+('2018'!Salim-'2018'!Resal)*(1-EXP(('2018'!Tnet-t)/('2018'!Tau_j))),Resal+(Salim-Resal)*(1-EXP((Tnet-t)/(Tau_j))))*Salcycl</f>
        <v>8.7644831852536742E-2</v>
      </c>
      <c r="P347" s="171">
        <f>(INDEX(Models!$BJ347:$BT347,,T347)*(1-R347)+INDEX(Models!$BJ347:$BT347,,T347+1)*R347-ERP_i)*Q347*Ramure*Pc/MaxiM</f>
        <v>2.7738136679996767E-2</v>
      </c>
      <c r="Q347" s="307">
        <f t="shared" si="126"/>
        <v>1</v>
      </c>
      <c r="R347" s="179">
        <f t="shared" si="127"/>
        <v>0.59941114234159398</v>
      </c>
      <c r="S347" s="837">
        <f t="shared" si="128"/>
        <v>-2</v>
      </c>
      <c r="T347" s="178">
        <f t="shared" si="129"/>
        <v>4</v>
      </c>
      <c r="U347" s="253">
        <f t="shared" si="130"/>
        <v>-1.400588857658406</v>
      </c>
      <c r="V347" s="385">
        <f t="shared" si="131"/>
        <v>17.73741639051093</v>
      </c>
      <c r="W347" s="58"/>
      <c r="X347" s="157">
        <f t="shared" si="132"/>
        <v>43798</v>
      </c>
      <c r="Y347" s="387">
        <f t="shared" si="133"/>
        <v>13.379</v>
      </c>
      <c r="Z347" s="387">
        <f t="shared" si="134"/>
        <v>13.530861363165727</v>
      </c>
      <c r="AA347" s="388">
        <f t="shared" si="135"/>
        <v>14.830695145444436</v>
      </c>
      <c r="AB347" s="199">
        <f t="shared" si="136"/>
        <v>43798</v>
      </c>
      <c r="AC347" s="426">
        <f>IF(OR(t&lt;Tnet,NoTnet),'2018'!Resal_s+('2018'!Salim-'2018'!Resal_s)*(1-EXP(('2018'!Tnet_s-t)/'2018'!Tau_j)),Resal_s+(Salim-Resal_s)*(1-EXP((Tnet_s-t)/Tau_j)))*Salcycl</f>
        <v>8.7644831852536742E-2</v>
      </c>
      <c r="AD347" s="233">
        <f>(INDEX(Models!$BJ347:$BT347,,AH347)*(1-AF347)+INDEX(Models!$BJ347:$BT347,,AH347+1)*AF347-ERP_i)*AE347*Ramure*Pc/MaxiM</f>
        <v>2.7738136679996767E-2</v>
      </c>
      <c r="AE347" s="307">
        <f t="shared" si="137"/>
        <v>1</v>
      </c>
      <c r="AF347" s="179">
        <f t="shared" si="138"/>
        <v>0.59941114234159398</v>
      </c>
      <c r="AG347" s="178">
        <f t="shared" si="139"/>
        <v>-2</v>
      </c>
      <c r="AH347" s="178">
        <f t="shared" si="140"/>
        <v>4</v>
      </c>
      <c r="AI347" s="227">
        <f t="shared" si="141"/>
        <v>-1.400588857658406</v>
      </c>
      <c r="AJ347" s="267" t="b">
        <f t="shared" si="142"/>
        <v>0</v>
      </c>
      <c r="AK347" s="267" t="b">
        <f t="shared" si="143"/>
        <v>0</v>
      </c>
      <c r="AL347" s="267"/>
      <c r="AM347" s="267"/>
      <c r="AN347" s="75"/>
    </row>
    <row r="348" spans="1:40" s="6" customFormat="1" ht="11.25" customHeight="1" x14ac:dyDescent="0.2">
      <c r="A348" s="56">
        <f t="shared" si="144"/>
        <v>43799</v>
      </c>
      <c r="B348" s="618">
        <v>11.948</v>
      </c>
      <c r="C348" s="392"/>
      <c r="D348" s="395">
        <f t="shared" si="123"/>
        <v>12.083899684257567</v>
      </c>
      <c r="E348" s="387">
        <f t="shared" si="121"/>
        <v>13.24574849135402</v>
      </c>
      <c r="F348" s="387">
        <f t="shared" si="124"/>
        <v>13.451263938749916</v>
      </c>
      <c r="G348" s="110">
        <f t="shared" si="122"/>
        <v>0.67119028993947405</v>
      </c>
      <c r="H348" s="414" t="b">
        <f>Wh_hp&gt;='2018'!Maxi_hp</f>
        <v>1</v>
      </c>
      <c r="I348" s="392">
        <f>IF(H348,Wh_hp,'2018'!Maxi_hp)</f>
        <v>13.451263938749916</v>
      </c>
      <c r="J348" s="85">
        <f>IF(H348,An,'2018'!An_max)</f>
        <v>2019</v>
      </c>
      <c r="K348" s="199">
        <f t="shared" si="125"/>
        <v>43799</v>
      </c>
      <c r="L348" s="147">
        <f>IF(t&lt;Tvie,1-EXP((T0-t)*PertePVj)+'2018'!Pspv,1-EXP((T0-t)*PertePVj)+Pspv)</f>
        <v>1.1246343300467143E-2</v>
      </c>
      <c r="M348" s="870"/>
      <c r="N348" s="870"/>
      <c r="O348" s="48">
        <f>IF(t&lt;Tnet,'2018'!Resal+('2018'!Salim-'2018'!Resal)*(1-EXP(('2018'!Tnet-t)/('2018'!Tau_j))),Resal+(Salim-Resal)*(1-EXP((Tnet-t)/(Tau_j))))*Salcycl</f>
        <v>8.7714847360633022E-2</v>
      </c>
      <c r="P348" s="171">
        <f>(INDEX(Models!$BJ348:$BT348,,T348)*(1-R348)+INDEX(Models!$BJ348:$BT348,,T348+1)*R348-ERP_i)*Q348*Ramure*Pc/MaxiM</f>
        <v>2.8139297793271512E-2</v>
      </c>
      <c r="Q348" s="307">
        <f t="shared" si="126"/>
        <v>1</v>
      </c>
      <c r="R348" s="179">
        <f t="shared" si="127"/>
        <v>0.59943514277288679</v>
      </c>
      <c r="S348" s="837">
        <f t="shared" si="128"/>
        <v>-2</v>
      </c>
      <c r="T348" s="178">
        <f t="shared" si="129"/>
        <v>4</v>
      </c>
      <c r="U348" s="253">
        <f t="shared" si="130"/>
        <v>-1.4005648572271132</v>
      </c>
      <c r="V348" s="385">
        <f t="shared" si="131"/>
        <v>17.568721581895055</v>
      </c>
      <c r="W348" s="58"/>
      <c r="X348" s="157">
        <f t="shared" si="132"/>
        <v>43799</v>
      </c>
      <c r="Y348" s="387">
        <f t="shared" si="133"/>
        <v>11.948</v>
      </c>
      <c r="Z348" s="387">
        <f t="shared" si="134"/>
        <v>12.083899684257567</v>
      </c>
      <c r="AA348" s="388">
        <f t="shared" si="135"/>
        <v>13.24574849135402</v>
      </c>
      <c r="AB348" s="199">
        <f t="shared" si="136"/>
        <v>43799</v>
      </c>
      <c r="AC348" s="426">
        <f>IF(OR(t&lt;Tnet,NoTnet),'2018'!Resal_s+('2018'!Salim-'2018'!Resal_s)*(1-EXP(('2018'!Tnet_s-t)/'2018'!Tau_j)),Resal_s+(Salim-Resal_s)*(1-EXP((Tnet_s-t)/Tau_j)))*Salcycl</f>
        <v>8.7714847360633022E-2</v>
      </c>
      <c r="AD348" s="233">
        <f>(INDEX(Models!$BJ348:$BT348,,AH348)*(1-AF348)+INDEX(Models!$BJ348:$BT348,,AH348+1)*AF348-ERP_i)*AE348*Ramure*Pc/MaxiM</f>
        <v>2.8139297793271512E-2</v>
      </c>
      <c r="AE348" s="307">
        <f t="shared" si="137"/>
        <v>1</v>
      </c>
      <c r="AF348" s="179">
        <f t="shared" si="138"/>
        <v>0.59943514277288679</v>
      </c>
      <c r="AG348" s="178">
        <f t="shared" si="139"/>
        <v>-2</v>
      </c>
      <c r="AH348" s="178">
        <f t="shared" si="140"/>
        <v>4</v>
      </c>
      <c r="AI348" s="227">
        <f t="shared" si="141"/>
        <v>-1.4005648572271132</v>
      </c>
      <c r="AJ348" s="267" t="b">
        <f t="shared" si="142"/>
        <v>0</v>
      </c>
      <c r="AK348" s="267" t="b">
        <f t="shared" si="143"/>
        <v>0</v>
      </c>
      <c r="AL348" s="267"/>
      <c r="AM348" s="267"/>
      <c r="AN348" s="75"/>
    </row>
    <row r="349" spans="1:40" s="6" customFormat="1" ht="11.25" customHeight="1" x14ac:dyDescent="0.2">
      <c r="A349" s="56">
        <f t="shared" si="144"/>
        <v>43800</v>
      </c>
      <c r="B349" s="618">
        <v>7.734</v>
      </c>
      <c r="C349" s="392"/>
      <c r="D349" s="395">
        <f t="shared" si="123"/>
        <v>7.8221505763972869</v>
      </c>
      <c r="E349" s="387">
        <f t="shared" si="121"/>
        <v>8.5749228242472455</v>
      </c>
      <c r="F349" s="387">
        <f t="shared" si="124"/>
        <v>8.625721985954856</v>
      </c>
      <c r="G349" s="110">
        <f t="shared" si="122"/>
        <v>0.43426258556945813</v>
      </c>
      <c r="H349" s="414" t="b">
        <f>Wh_hp&gt;='2018'!Maxi_hp</f>
        <v>0</v>
      </c>
      <c r="I349" s="392">
        <f>IF(H349,Wh_hp,'2018'!Maxi_hp)</f>
        <v>15.930186665016642</v>
      </c>
      <c r="J349" s="85">
        <f>IF(H349,An,'2018'!An_max)</f>
        <v>2018</v>
      </c>
      <c r="K349" s="199">
        <f t="shared" si="125"/>
        <v>43800</v>
      </c>
      <c r="L349" s="147">
        <f>IF(t&lt;Tvie,1-EXP((T0-t)*PertePVj)+'2018'!Pspv,1-EXP((T0-t)*PertePVj)+Pspv)</f>
        <v>1.1269353042534624E-2</v>
      </c>
      <c r="M349" s="870"/>
      <c r="N349" s="870"/>
      <c r="O349" s="48">
        <f>IF(t&lt;Tnet,'2018'!Resal+('2018'!Salim-'2018'!Resal)*(1-EXP(('2018'!Tnet-t)/('2018'!Tau_j))),Resal+(Salim-Resal)*(1-EXP((Tnet-t)/(Tau_j))))*Salcycl</f>
        <v>8.7787641157696564E-2</v>
      </c>
      <c r="P349" s="171">
        <f>(INDEX(Models!$BJ349:$BT349,,T349)*(1-R349)+INDEX(Models!$BJ349:$BT349,,T349+1)*R349-ERP_i)*Q349*Ramure*Pc/MaxiM</f>
        <v>2.8550504496152058E-2</v>
      </c>
      <c r="Q349" s="307">
        <f t="shared" si="126"/>
        <v>1</v>
      </c>
      <c r="R349" s="179">
        <f t="shared" si="127"/>
        <v>0.59945817842353266</v>
      </c>
      <c r="S349" s="837">
        <f t="shared" si="128"/>
        <v>-2</v>
      </c>
      <c r="T349" s="178">
        <f t="shared" si="129"/>
        <v>4</v>
      </c>
      <c r="U349" s="253">
        <f t="shared" si="130"/>
        <v>-1.4005418215764673</v>
      </c>
      <c r="V349" s="385">
        <f t="shared" si="131"/>
        <v>17.403524837002664</v>
      </c>
      <c r="W349" s="58"/>
      <c r="X349" s="157">
        <f t="shared" si="132"/>
        <v>43800</v>
      </c>
      <c r="Y349" s="387">
        <f t="shared" si="133"/>
        <v>7.7339999999999991</v>
      </c>
      <c r="Z349" s="387">
        <f t="shared" si="134"/>
        <v>7.8221505763972861</v>
      </c>
      <c r="AA349" s="388">
        <f t="shared" si="135"/>
        <v>8.5749228242472455</v>
      </c>
      <c r="AB349" s="199">
        <f t="shared" si="136"/>
        <v>43800</v>
      </c>
      <c r="AC349" s="426">
        <f>IF(OR(t&lt;Tnet,NoTnet),'2018'!Resal_s+('2018'!Salim-'2018'!Resal_s)*(1-EXP(('2018'!Tnet_s-t)/'2018'!Tau_j)),Resal_s+(Salim-Resal_s)*(1-EXP((Tnet_s-t)/Tau_j)))*Salcycl</f>
        <v>8.7787641157696564E-2</v>
      </c>
      <c r="AD349" s="233">
        <f>(INDEX(Models!$BJ349:$BT349,,AH349)*(1-AF349)+INDEX(Models!$BJ349:$BT349,,AH349+1)*AF349-ERP_i)*AE349*Ramure*Pc/MaxiM</f>
        <v>2.8550504496152058E-2</v>
      </c>
      <c r="AE349" s="307">
        <f t="shared" si="137"/>
        <v>1</v>
      </c>
      <c r="AF349" s="179">
        <f t="shared" si="138"/>
        <v>0.59945817842353266</v>
      </c>
      <c r="AG349" s="178">
        <f t="shared" si="139"/>
        <v>-2</v>
      </c>
      <c r="AH349" s="178">
        <f t="shared" si="140"/>
        <v>4</v>
      </c>
      <c r="AI349" s="227">
        <f t="shared" si="141"/>
        <v>-1.4005418215764673</v>
      </c>
      <c r="AJ349" s="267" t="b">
        <f t="shared" si="142"/>
        <v>0</v>
      </c>
      <c r="AK349" s="267" t="b">
        <f t="shared" si="143"/>
        <v>0</v>
      </c>
      <c r="AL349" s="267"/>
      <c r="AM349" s="267"/>
      <c r="AN349" s="75"/>
    </row>
    <row r="350" spans="1:40" s="6" customFormat="1" ht="11.25" customHeight="1" x14ac:dyDescent="0.2">
      <c r="A350" s="56">
        <f t="shared" si="144"/>
        <v>43801</v>
      </c>
      <c r="B350" s="618">
        <v>3.5619999999999998</v>
      </c>
      <c r="C350" s="392"/>
      <c r="D350" s="395">
        <f t="shared" si="123"/>
        <v>3.6026827992377086</v>
      </c>
      <c r="E350" s="387">
        <f t="shared" si="121"/>
        <v>3.9497176190424228</v>
      </c>
      <c r="F350" s="387">
        <f t="shared" si="124"/>
        <v>3.9497176190424228</v>
      </c>
      <c r="G350" s="110">
        <f t="shared" si="122"/>
        <v>0.20059497440721508</v>
      </c>
      <c r="H350" s="414" t="b">
        <f>Wh_hp&gt;='2018'!Maxi_hp</f>
        <v>0</v>
      </c>
      <c r="I350" s="392">
        <f>IF(H350,Wh_hp,'2018'!Maxi_hp)</f>
        <v>7.5270969841671391</v>
      </c>
      <c r="J350" s="85">
        <f>IF(H350,An,'2018'!An_max)</f>
        <v>2018</v>
      </c>
      <c r="K350" s="199">
        <f t="shared" si="125"/>
        <v>43801</v>
      </c>
      <c r="L350" s="147">
        <f>IF(t&lt;Tvie,1-EXP((T0-t)*PertePVj)+'2018'!Pspv,1-EXP((T0-t)*PertePVj)+Pspv)</f>
        <v>1.1292362249131882E-2</v>
      </c>
      <c r="M350" s="870"/>
      <c r="N350" s="870"/>
      <c r="O350" s="48">
        <f>IF(t&lt;Tnet,'2018'!Resal+('2018'!Salim-'2018'!Resal)*(1-EXP(('2018'!Tnet-t)/('2018'!Tau_j))),Resal+(Salim-Resal)*(1-EXP((Tnet-t)/(Tau_j))))*Salcycl</f>
        <v>8.7863197645215455E-2</v>
      </c>
      <c r="P350" s="171">
        <f>(INDEX(Models!$BJ350:$BT350,,T350)*(1-R350)+INDEX(Models!$BJ350:$BT350,,T350+1)*R350-ERP_i)*Q350*Ramure*Pc/MaxiM</f>
        <v>2.8970333504508689E-2</v>
      </c>
      <c r="Q350" s="307">
        <f t="shared" si="126"/>
        <v>1</v>
      </c>
      <c r="R350" s="179">
        <f t="shared" si="127"/>
        <v>0.59948028801652331</v>
      </c>
      <c r="S350" s="837">
        <f t="shared" si="128"/>
        <v>-2</v>
      </c>
      <c r="T350" s="178">
        <f t="shared" si="129"/>
        <v>4</v>
      </c>
      <c r="U350" s="253">
        <f t="shared" si="130"/>
        <v>-1.4005197119834767</v>
      </c>
      <c r="V350" s="385">
        <f t="shared" si="131"/>
        <v>17.242743405103631</v>
      </c>
      <c r="W350" s="58"/>
      <c r="X350" s="157">
        <f t="shared" si="132"/>
        <v>43801</v>
      </c>
      <c r="Y350" s="387">
        <f t="shared" si="133"/>
        <v>3.5619999999999998</v>
      </c>
      <c r="Z350" s="387">
        <f t="shared" si="134"/>
        <v>3.6026827992377086</v>
      </c>
      <c r="AA350" s="388">
        <f t="shared" si="135"/>
        <v>3.9497176190424228</v>
      </c>
      <c r="AB350" s="199">
        <f t="shared" si="136"/>
        <v>43801</v>
      </c>
      <c r="AC350" s="426">
        <f>IF(OR(t&lt;Tnet,NoTnet),'2018'!Resal_s+('2018'!Salim-'2018'!Resal_s)*(1-EXP(('2018'!Tnet_s-t)/'2018'!Tau_j)),Resal_s+(Salim-Resal_s)*(1-EXP((Tnet_s-t)/Tau_j)))*Salcycl</f>
        <v>8.7863197645215455E-2</v>
      </c>
      <c r="AD350" s="233">
        <f>(INDEX(Models!$BJ350:$BT350,,AH350)*(1-AF350)+INDEX(Models!$BJ350:$BT350,,AH350+1)*AF350-ERP_i)*AE350*Ramure*Pc/MaxiM</f>
        <v>2.8970333504508689E-2</v>
      </c>
      <c r="AE350" s="307">
        <f t="shared" si="137"/>
        <v>1</v>
      </c>
      <c r="AF350" s="179">
        <f t="shared" si="138"/>
        <v>0.59948028801652331</v>
      </c>
      <c r="AG350" s="178">
        <f t="shared" si="139"/>
        <v>-2</v>
      </c>
      <c r="AH350" s="178">
        <f t="shared" si="140"/>
        <v>4</v>
      </c>
      <c r="AI350" s="227">
        <f t="shared" si="141"/>
        <v>-1.4005197119834767</v>
      </c>
      <c r="AJ350" s="267" t="b">
        <f t="shared" si="142"/>
        <v>0</v>
      </c>
      <c r="AK350" s="267" t="b">
        <f t="shared" si="143"/>
        <v>0</v>
      </c>
      <c r="AL350" s="267"/>
      <c r="AM350" s="267"/>
      <c r="AN350" s="75"/>
    </row>
    <row r="351" spans="1:40" s="6" customFormat="1" ht="11.25" customHeight="1" x14ac:dyDescent="0.2">
      <c r="A351" s="56">
        <f t="shared" si="144"/>
        <v>43802</v>
      </c>
      <c r="B351" s="618">
        <v>3.9740000000000002</v>
      </c>
      <c r="C351" s="392"/>
      <c r="D351" s="395">
        <f t="shared" si="123"/>
        <v>4.0194819289332067</v>
      </c>
      <c r="E351" s="387">
        <f t="shared" si="121"/>
        <v>4.4070439460757544</v>
      </c>
      <c r="F351" s="387">
        <f t="shared" si="124"/>
        <v>4.4070439460757544</v>
      </c>
      <c r="G351" s="110">
        <f t="shared" si="122"/>
        <v>0.22573354392526127</v>
      </c>
      <c r="H351" s="414" t="b">
        <f>Wh_hp&gt;='2018'!Maxi_hp</f>
        <v>0</v>
      </c>
      <c r="I351" s="392">
        <f>IF(H351,Wh_hp,'2018'!Maxi_hp)</f>
        <v>8.9574187456558683</v>
      </c>
      <c r="J351" s="85">
        <f>IF(H351,An,'2018'!An_max)</f>
        <v>2018</v>
      </c>
      <c r="K351" s="199">
        <f t="shared" si="125"/>
        <v>43802</v>
      </c>
      <c r="L351" s="147">
        <f>IF(t&lt;Tvie,1-EXP((T0-t)*PertePVj)+'2018'!Pspv,1-EXP((T0-t)*PertePVj)+Pspv)</f>
        <v>1.1315370920271239E-2</v>
      </c>
      <c r="M351" s="870"/>
      <c r="N351" s="870"/>
      <c r="O351" s="48">
        <f>IF(t&lt;Tnet,'2018'!Resal+('2018'!Salim-'2018'!Resal)*(1-EXP(('2018'!Tnet-t)/('2018'!Tau_j))),Resal+(Salim-Resal)*(1-EXP((Tnet-t)/(Tau_j))))*Salcycl</f>
        <v>8.794149136807497E-2</v>
      </c>
      <c r="P351" s="171">
        <f>(INDEX(Models!$BJ351:$BT351,,T351)*(1-R351)+INDEX(Models!$BJ351:$BT351,,T351+1)*R351-ERP_i)*Q351*Ramure*Pc/MaxiM</f>
        <v>2.9397211024632271E-2</v>
      </c>
      <c r="Q351" s="307">
        <f t="shared" si="126"/>
        <v>1</v>
      </c>
      <c r="R351" s="179">
        <f t="shared" si="127"/>
        <v>0.5995015087253508</v>
      </c>
      <c r="S351" s="837">
        <f t="shared" si="128"/>
        <v>-2</v>
      </c>
      <c r="T351" s="178">
        <f t="shared" si="129"/>
        <v>4</v>
      </c>
      <c r="U351" s="253">
        <f t="shared" si="130"/>
        <v>-1.4004984912746492</v>
      </c>
      <c r="V351" s="385">
        <f t="shared" si="131"/>
        <v>17.087294233351486</v>
      </c>
      <c r="W351" s="58"/>
      <c r="X351" s="157">
        <f t="shared" si="132"/>
        <v>43802</v>
      </c>
      <c r="Y351" s="387">
        <f t="shared" si="133"/>
        <v>3.9740000000000002</v>
      </c>
      <c r="Z351" s="387">
        <f t="shared" si="134"/>
        <v>4.0194819289332067</v>
      </c>
      <c r="AA351" s="388">
        <f t="shared" si="135"/>
        <v>4.4070439460757544</v>
      </c>
      <c r="AB351" s="199">
        <f t="shared" si="136"/>
        <v>43802</v>
      </c>
      <c r="AC351" s="426">
        <f>IF(OR(t&lt;Tnet,NoTnet),'2018'!Resal_s+('2018'!Salim-'2018'!Resal_s)*(1-EXP(('2018'!Tnet_s-t)/'2018'!Tau_j)),Resal_s+(Salim-Resal_s)*(1-EXP((Tnet_s-t)/Tau_j)))*Salcycl</f>
        <v>8.794149136807497E-2</v>
      </c>
      <c r="AD351" s="233">
        <f>(INDEX(Models!$BJ351:$BT351,,AH351)*(1-AF351)+INDEX(Models!$BJ351:$BT351,,AH351+1)*AF351-ERP_i)*AE351*Ramure*Pc/MaxiM</f>
        <v>2.9397211024632271E-2</v>
      </c>
      <c r="AE351" s="307">
        <f t="shared" si="137"/>
        <v>1</v>
      </c>
      <c r="AF351" s="179">
        <f t="shared" si="138"/>
        <v>0.5995015087253508</v>
      </c>
      <c r="AG351" s="178">
        <f t="shared" si="139"/>
        <v>-2</v>
      </c>
      <c r="AH351" s="178">
        <f t="shared" si="140"/>
        <v>4</v>
      </c>
      <c r="AI351" s="227">
        <f t="shared" si="141"/>
        <v>-1.4004984912746492</v>
      </c>
      <c r="AJ351" s="267" t="b">
        <f t="shared" si="142"/>
        <v>0</v>
      </c>
      <c r="AK351" s="267" t="b">
        <f t="shared" si="143"/>
        <v>0</v>
      </c>
      <c r="AL351" s="267"/>
      <c r="AM351" s="267"/>
      <c r="AN351" s="75"/>
    </row>
    <row r="352" spans="1:40" s="6" customFormat="1" ht="11.25" customHeight="1" x14ac:dyDescent="0.2">
      <c r="A352" s="56">
        <f t="shared" si="144"/>
        <v>43803</v>
      </c>
      <c r="B352" s="618">
        <v>6.3410000000000002</v>
      </c>
      <c r="C352" s="392"/>
      <c r="D352" s="395">
        <f t="shared" si="123"/>
        <v>6.4137212021492491</v>
      </c>
      <c r="E352" s="387">
        <f t="shared" si="121"/>
        <v>7.0327624460401799</v>
      </c>
      <c r="F352" s="387">
        <f t="shared" si="124"/>
        <v>7.0551135964937997</v>
      </c>
      <c r="G352" s="110">
        <f t="shared" si="122"/>
        <v>0.36435051354488218</v>
      </c>
      <c r="H352" s="414" t="b">
        <f>Wh_hp&gt;='2018'!Maxi_hp</f>
        <v>1</v>
      </c>
      <c r="I352" s="392">
        <f>IF(H352,Wh_hp,'2018'!Maxi_hp)</f>
        <v>7.0551135964937997</v>
      </c>
      <c r="J352" s="85">
        <f>IF(H352,An,'2018'!An_max)</f>
        <v>2019</v>
      </c>
      <c r="K352" s="199">
        <f t="shared" si="125"/>
        <v>43803</v>
      </c>
      <c r="L352" s="147">
        <f>IF(t&lt;Tvie,1-EXP((T0-t)*PertePVj)+'2018'!Pspv,1-EXP((T0-t)*PertePVj)+Pspv)</f>
        <v>1.1338379055965131E-2</v>
      </c>
      <c r="M352" s="870"/>
      <c r="N352" s="870"/>
      <c r="O352" s="48">
        <f>IF(t&lt;Tnet,'2018'!Resal+('2018'!Salim-'2018'!Resal)*(1-EXP(('2018'!Tnet-t)/('2018'!Tau_j))),Resal+(Salim-Resal)*(1-EXP((Tnet-t)/(Tau_j))))*Salcycl</f>
        <v>8.8022487413816089E-2</v>
      </c>
      <c r="P352" s="171">
        <f>(INDEX(Models!$BJ352:$BT352,,T352)*(1-R352)+INDEX(Models!$BJ352:$BT352,,T352+1)*R352-ERP_i)*Q352*Ramure*Pc/MaxiM</f>
        <v>2.9822917968055002E-2</v>
      </c>
      <c r="Q352" s="307">
        <f t="shared" si="126"/>
        <v>1</v>
      </c>
      <c r="R352" s="179">
        <f t="shared" si="127"/>
        <v>0.59952187623563979</v>
      </c>
      <c r="S352" s="837">
        <f t="shared" si="128"/>
        <v>-2</v>
      </c>
      <c r="T352" s="178">
        <f t="shared" si="129"/>
        <v>4</v>
      </c>
      <c r="U352" s="253">
        <f t="shared" si="130"/>
        <v>-1.4004781237643602</v>
      </c>
      <c r="V352" s="385">
        <f t="shared" si="131"/>
        <v>16.938207208490333</v>
      </c>
      <c r="W352" s="58"/>
      <c r="X352" s="157">
        <f t="shared" si="132"/>
        <v>43803</v>
      </c>
      <c r="Y352" s="387">
        <f t="shared" si="133"/>
        <v>6.3410000000000002</v>
      </c>
      <c r="Z352" s="387">
        <f t="shared" si="134"/>
        <v>6.4137212021492491</v>
      </c>
      <c r="AA352" s="388">
        <f t="shared" si="135"/>
        <v>7.0327624460401799</v>
      </c>
      <c r="AB352" s="199">
        <f t="shared" si="136"/>
        <v>43803</v>
      </c>
      <c r="AC352" s="426">
        <f>IF(OR(t&lt;Tnet,NoTnet),'2018'!Resal_s+('2018'!Salim-'2018'!Resal_s)*(1-EXP(('2018'!Tnet_s-t)/'2018'!Tau_j)),Resal_s+(Salim-Resal_s)*(1-EXP((Tnet_s-t)/Tau_j)))*Salcycl</f>
        <v>8.8022487413816089E-2</v>
      </c>
      <c r="AD352" s="233">
        <f>(INDEX(Models!$BJ352:$BT352,,AH352)*(1-AF352)+INDEX(Models!$BJ352:$BT352,,AH352+1)*AF352-ERP_i)*AE352*Ramure*Pc/MaxiM</f>
        <v>2.9822917968055002E-2</v>
      </c>
      <c r="AE352" s="307">
        <f t="shared" si="137"/>
        <v>1</v>
      </c>
      <c r="AF352" s="179">
        <f t="shared" si="138"/>
        <v>0.59952187623563979</v>
      </c>
      <c r="AG352" s="178">
        <f t="shared" si="139"/>
        <v>-2</v>
      </c>
      <c r="AH352" s="178">
        <f t="shared" si="140"/>
        <v>4</v>
      </c>
      <c r="AI352" s="227">
        <f t="shared" si="141"/>
        <v>-1.4004781237643602</v>
      </c>
      <c r="AJ352" s="267" t="b">
        <f t="shared" si="142"/>
        <v>0</v>
      </c>
      <c r="AK352" s="267" t="b">
        <f t="shared" si="143"/>
        <v>0</v>
      </c>
      <c r="AL352" s="267"/>
      <c r="AM352" s="267"/>
      <c r="AN352" s="75"/>
    </row>
    <row r="353" spans="1:40" s="6" customFormat="1" ht="11.25" customHeight="1" x14ac:dyDescent="0.2">
      <c r="A353" s="56">
        <f t="shared" si="144"/>
        <v>43804</v>
      </c>
      <c r="B353" s="618">
        <v>7.97</v>
      </c>
      <c r="C353" s="392"/>
      <c r="D353" s="395">
        <f t="shared" si="123"/>
        <v>8.0615908507193179</v>
      </c>
      <c r="E353" s="387">
        <f t="shared" si="121"/>
        <v>8.8404925406623232</v>
      </c>
      <c r="F353" s="387">
        <f t="shared" si="124"/>
        <v>8.9076382554215954</v>
      </c>
      <c r="G353" s="110">
        <f t="shared" si="122"/>
        <v>0.4636498301785234</v>
      </c>
      <c r="H353" s="414" t="b">
        <f>Wh_hp&gt;='2018'!Maxi_hp</f>
        <v>0</v>
      </c>
      <c r="I353" s="392">
        <f>IF(H353,Wh_hp,'2018'!Maxi_hp)</f>
        <v>15.942256021610223</v>
      </c>
      <c r="J353" s="85">
        <f>IF(H353,An,'2018'!An_max)</f>
        <v>2018</v>
      </c>
      <c r="K353" s="199">
        <f t="shared" si="125"/>
        <v>43804</v>
      </c>
      <c r="L353" s="147">
        <f>IF(t&lt;Tvie,1-EXP((T0-t)*PertePVj)+'2018'!Pspv,1-EXP((T0-t)*PertePVj)+Pspv)</f>
        <v>1.1361386656226213E-2</v>
      </c>
      <c r="M353" s="870"/>
      <c r="N353" s="870"/>
      <c r="O353" s="48">
        <f>IF(t&lt;Tnet,'2018'!Resal+('2018'!Salim-'2018'!Resal)*(1-EXP(('2018'!Tnet-t)/('2018'!Tau_j))),Resal+(Salim-Resal)*(1-EXP((Tnet-t)/(Tau_j))))*Salcycl</f>
        <v>8.8106141864879681E-2</v>
      </c>
      <c r="P353" s="171">
        <f>(INDEX(Models!$BJ353:$BT353,,T353)*(1-R353)+INDEX(Models!$BJ353:$BT353,,T353+1)*R353-ERP_i)*Q353*Ramure*Pc/MaxiM</f>
        <v>3.0237881995819914E-2</v>
      </c>
      <c r="Q353" s="307">
        <f t="shared" si="126"/>
        <v>1</v>
      </c>
      <c r="R353" s="179">
        <f t="shared" si="127"/>
        <v>0.59954142480435646</v>
      </c>
      <c r="S353" s="837">
        <f t="shared" si="128"/>
        <v>-2</v>
      </c>
      <c r="T353" s="178">
        <f t="shared" si="129"/>
        <v>4</v>
      </c>
      <c r="U353" s="253">
        <f t="shared" si="130"/>
        <v>-1.4004585751956435</v>
      </c>
      <c r="V353" s="385">
        <f t="shared" si="131"/>
        <v>16.796528889225549</v>
      </c>
      <c r="W353" s="58"/>
      <c r="X353" s="157">
        <f t="shared" si="132"/>
        <v>43804</v>
      </c>
      <c r="Y353" s="387">
        <f t="shared" si="133"/>
        <v>7.97</v>
      </c>
      <c r="Z353" s="387">
        <f t="shared" si="134"/>
        <v>8.0615908507193179</v>
      </c>
      <c r="AA353" s="388">
        <f t="shared" si="135"/>
        <v>8.8404925406623232</v>
      </c>
      <c r="AB353" s="199">
        <f t="shared" si="136"/>
        <v>43804</v>
      </c>
      <c r="AC353" s="426">
        <f>IF(OR(t&lt;Tnet,NoTnet),'2018'!Resal_s+('2018'!Salim-'2018'!Resal_s)*(1-EXP(('2018'!Tnet_s-t)/'2018'!Tau_j)),Resal_s+(Salim-Resal_s)*(1-EXP((Tnet_s-t)/Tau_j)))*Salcycl</f>
        <v>8.8106141864879681E-2</v>
      </c>
      <c r="AD353" s="233">
        <f>(INDEX(Models!$BJ353:$BT353,,AH353)*(1-AF353)+INDEX(Models!$BJ353:$BT353,,AH353+1)*AF353-ERP_i)*AE353*Ramure*Pc/MaxiM</f>
        <v>3.0237881995819914E-2</v>
      </c>
      <c r="AE353" s="307">
        <f t="shared" si="137"/>
        <v>1</v>
      </c>
      <c r="AF353" s="179">
        <f t="shared" si="138"/>
        <v>0.59954142480435646</v>
      </c>
      <c r="AG353" s="178">
        <f t="shared" si="139"/>
        <v>-2</v>
      </c>
      <c r="AH353" s="178">
        <f t="shared" si="140"/>
        <v>4</v>
      </c>
      <c r="AI353" s="227">
        <f t="shared" si="141"/>
        <v>-1.4004585751956435</v>
      </c>
      <c r="AJ353" s="267" t="b">
        <f t="shared" si="142"/>
        <v>0</v>
      </c>
      <c r="AK353" s="267" t="b">
        <f t="shared" si="143"/>
        <v>0</v>
      </c>
      <c r="AL353" s="267"/>
      <c r="AM353" s="267"/>
      <c r="AN353" s="75"/>
    </row>
    <row r="354" spans="1:40" s="6" customFormat="1" ht="11.25" x14ac:dyDescent="0.2">
      <c r="A354" s="56">
        <f t="shared" si="144"/>
        <v>43805</v>
      </c>
      <c r="B354" s="618">
        <v>11.013999999999999</v>
      </c>
      <c r="C354" s="392"/>
      <c r="D354" s="395">
        <f t="shared" si="123"/>
        <v>11.140831613467824</v>
      </c>
      <c r="E354" s="387">
        <f t="shared" si="121"/>
        <v>12.21840182245492</v>
      </c>
      <c r="F354" s="387">
        <f t="shared" si="124"/>
        <v>12.414556898847334</v>
      </c>
      <c r="G354" s="110">
        <f t="shared" si="122"/>
        <v>0.65101253033923645</v>
      </c>
      <c r="H354" s="414" t="b">
        <f>Wh_hp&gt;='2018'!Maxi_hp</f>
        <v>0</v>
      </c>
      <c r="I354" s="392">
        <f>IF(H354,Wh_hp,'2018'!Maxi_hp)</f>
        <v>13.27351897074759</v>
      </c>
      <c r="J354" s="85">
        <f>IF(H354,An,'2018'!An_max)</f>
        <v>2018</v>
      </c>
      <c r="K354" s="199">
        <f t="shared" si="125"/>
        <v>43805</v>
      </c>
      <c r="L354" s="147">
        <f>IF(t&lt;Tvie,1-EXP((T0-t)*PertePVj)+'2018'!Pspv,1-EXP((T0-t)*PertePVj)+Pspv)</f>
        <v>1.138439372106681E-2</v>
      </c>
      <c r="M354" s="870"/>
      <c r="N354" s="870"/>
      <c r="O354" s="48">
        <f>IF(t&lt;Tnet,'2018'!Resal+('2018'!Salim-'2018'!Resal)*(1-EXP(('2018'!Tnet-t)/('2018'!Tau_j))),Resal+(Salim-Resal)*(1-EXP((Tnet-t)/(Tau_j))))*Salcycl</f>
        <v>8.8192402299844347E-2</v>
      </c>
      <c r="P354" s="171">
        <f>(INDEX(Models!$BJ354:$BT354,,T354)*(1-R354)+INDEX(Models!$BJ354:$BT354,,T354+1)*R354-ERP_i)*Q354*Ramure*Pc/MaxiM</f>
        <v>3.0639739161840342E-2</v>
      </c>
      <c r="Q354" s="307">
        <f t="shared" si="126"/>
        <v>1</v>
      </c>
      <c r="R354" s="179">
        <f t="shared" si="127"/>
        <v>0.59956018731668848</v>
      </c>
      <c r="S354" s="837">
        <f t="shared" si="128"/>
        <v>-2</v>
      </c>
      <c r="T354" s="178">
        <f t="shared" si="129"/>
        <v>4</v>
      </c>
      <c r="U354" s="253">
        <f t="shared" si="130"/>
        <v>-1.4004398126833115</v>
      </c>
      <c r="V354" s="385">
        <f t="shared" si="131"/>
        <v>16.66317502134898</v>
      </c>
      <c r="W354" s="58"/>
      <c r="X354" s="157">
        <f t="shared" si="132"/>
        <v>43805</v>
      </c>
      <c r="Y354" s="387">
        <f t="shared" si="133"/>
        <v>11.013999999999999</v>
      </c>
      <c r="Z354" s="387">
        <f t="shared" si="134"/>
        <v>11.140831613467824</v>
      </c>
      <c r="AA354" s="388">
        <f t="shared" si="135"/>
        <v>12.21840182245492</v>
      </c>
      <c r="AB354" s="199">
        <f t="shared" si="136"/>
        <v>43805</v>
      </c>
      <c r="AC354" s="426">
        <f>IF(OR(t&lt;Tnet,NoTnet),'2018'!Resal_s+('2018'!Salim-'2018'!Resal_s)*(1-EXP(('2018'!Tnet_s-t)/'2018'!Tau_j)),Resal_s+(Salim-Resal_s)*(1-EXP((Tnet_s-t)/Tau_j)))*Salcycl</f>
        <v>8.8192402299844347E-2</v>
      </c>
      <c r="AD354" s="233">
        <f>(INDEX(Models!$BJ354:$BT354,,AH354)*(1-AF354)+INDEX(Models!$BJ354:$BT354,,AH354+1)*AF354-ERP_i)*AE354*Ramure*Pc/MaxiM</f>
        <v>3.0639739161840342E-2</v>
      </c>
      <c r="AE354" s="307">
        <f t="shared" si="137"/>
        <v>1</v>
      </c>
      <c r="AF354" s="179">
        <f t="shared" si="138"/>
        <v>0.59956018731668848</v>
      </c>
      <c r="AG354" s="178">
        <f t="shared" si="139"/>
        <v>-2</v>
      </c>
      <c r="AH354" s="178">
        <f t="shared" si="140"/>
        <v>4</v>
      </c>
      <c r="AI354" s="227">
        <f t="shared" si="141"/>
        <v>-1.4004398126833115</v>
      </c>
      <c r="AJ354" s="267" t="b">
        <f t="shared" si="142"/>
        <v>0</v>
      </c>
      <c r="AK354" s="267" t="b">
        <f t="shared" si="143"/>
        <v>0</v>
      </c>
      <c r="AL354" s="267"/>
      <c r="AM354" s="267"/>
      <c r="AN354" s="75"/>
    </row>
    <row r="355" spans="1:40" s="6" customFormat="1" ht="11.25" x14ac:dyDescent="0.2">
      <c r="A355" s="56">
        <f t="shared" si="144"/>
        <v>43806</v>
      </c>
      <c r="B355" s="618">
        <v>11.79</v>
      </c>
      <c r="C355" s="392"/>
      <c r="D355" s="395">
        <f t="shared" si="123"/>
        <v>11.926045170667336</v>
      </c>
      <c r="E355" s="387">
        <f t="shared" si="121"/>
        <v>13.080837292981522</v>
      </c>
      <c r="F355" s="387">
        <f t="shared" si="124"/>
        <v>13.324665938368721</v>
      </c>
      <c r="G355" s="110">
        <f t="shared" si="122"/>
        <v>0.70361626088265539</v>
      </c>
      <c r="H355" s="414" t="b">
        <f>Wh_hp&gt;='2018'!Maxi_hp</f>
        <v>0</v>
      </c>
      <c r="I355" s="392">
        <f>IF(H355,Wh_hp,'2018'!Maxi_hp)</f>
        <v>16.590596066014591</v>
      </c>
      <c r="J355" s="85">
        <f>IF(H355,An,'2018'!An_max)</f>
        <v>2018</v>
      </c>
      <c r="K355" s="199">
        <f t="shared" si="125"/>
        <v>43806</v>
      </c>
      <c r="L355" s="147">
        <f>IF(t&lt;Tvie,1-EXP((T0-t)*PertePVj)+'2018'!Pspv,1-EXP((T0-t)*PertePVj)+Pspv)</f>
        <v>1.1407400250499355E-2</v>
      </c>
      <c r="M355" s="870"/>
      <c r="N355" s="870"/>
      <c r="O355" s="48">
        <f>IF(t&lt;Tnet,'2018'!Resal+('2018'!Salim-'2018'!Resal)*(1-EXP(('2018'!Tnet-t)/('2018'!Tau_j))),Resal+(Salim-Resal)*(1-EXP((Tnet-t)/(Tau_j))))*Salcycl</f>
        <v>8.8281208339299935E-2</v>
      </c>
      <c r="P355" s="171">
        <f>(INDEX(Models!$BJ355:$BT355,,T355)*(1-R355)+INDEX(Models!$BJ355:$BT355,,T355+1)*R355-ERP_i)*Q355*Ramure*Pc/MaxiM</f>
        <v>3.102600438834572E-2</v>
      </c>
      <c r="Q355" s="307">
        <f t="shared" si="126"/>
        <v>1</v>
      </c>
      <c r="R355" s="179">
        <f t="shared" si="127"/>
        <v>0.59957819534068757</v>
      </c>
      <c r="S355" s="837">
        <f t="shared" si="128"/>
        <v>-2</v>
      </c>
      <c r="T355" s="178">
        <f t="shared" si="129"/>
        <v>4</v>
      </c>
      <c r="U355" s="253">
        <f t="shared" si="130"/>
        <v>-1.4004218046593124</v>
      </c>
      <c r="V355" s="385">
        <f t="shared" si="131"/>
        <v>16.539060866263778</v>
      </c>
      <c r="W355" s="58"/>
      <c r="X355" s="157">
        <f t="shared" si="132"/>
        <v>43806</v>
      </c>
      <c r="Y355" s="387">
        <f t="shared" si="133"/>
        <v>11.79</v>
      </c>
      <c r="Z355" s="387">
        <f t="shared" si="134"/>
        <v>11.926045170667336</v>
      </c>
      <c r="AA355" s="388">
        <f t="shared" si="135"/>
        <v>13.080837292981522</v>
      </c>
      <c r="AB355" s="199">
        <f t="shared" si="136"/>
        <v>43806</v>
      </c>
      <c r="AC355" s="426">
        <f>IF(OR(t&lt;Tnet,NoTnet),'2018'!Resal_s+('2018'!Salim-'2018'!Resal_s)*(1-EXP(('2018'!Tnet_s-t)/'2018'!Tau_j)),Resal_s+(Salim-Resal_s)*(1-EXP((Tnet_s-t)/Tau_j)))*Salcycl</f>
        <v>8.8281208339299935E-2</v>
      </c>
      <c r="AD355" s="233">
        <f>(INDEX(Models!$BJ355:$BT355,,AH355)*(1-AF355)+INDEX(Models!$BJ355:$BT355,,AH355+1)*AF355-ERP_i)*AE355*Ramure*Pc/MaxiM</f>
        <v>3.102600438834572E-2</v>
      </c>
      <c r="AE355" s="307">
        <f t="shared" si="137"/>
        <v>1</v>
      </c>
      <c r="AF355" s="179">
        <f t="shared" si="138"/>
        <v>0.59957819534068757</v>
      </c>
      <c r="AG355" s="178">
        <f t="shared" si="139"/>
        <v>-2</v>
      </c>
      <c r="AH355" s="178">
        <f t="shared" si="140"/>
        <v>4</v>
      </c>
      <c r="AI355" s="227">
        <f t="shared" si="141"/>
        <v>-1.4004218046593124</v>
      </c>
      <c r="AJ355" s="267" t="b">
        <f t="shared" si="142"/>
        <v>0</v>
      </c>
      <c r="AK355" s="267" t="b">
        <f t="shared" si="143"/>
        <v>0</v>
      </c>
      <c r="AL355" s="267"/>
      <c r="AM355" s="267"/>
      <c r="AN355" s="75"/>
    </row>
    <row r="356" spans="1:40" s="6" customFormat="1" ht="11.25" customHeight="1" x14ac:dyDescent="0.2">
      <c r="A356" s="56">
        <f t="shared" si="144"/>
        <v>43807</v>
      </c>
      <c r="B356" s="618">
        <v>13.38</v>
      </c>
      <c r="C356" s="392"/>
      <c r="D356" s="395">
        <f t="shared" si="123"/>
        <v>13.53470720171647</v>
      </c>
      <c r="E356" s="387">
        <f t="shared" si="121"/>
        <v>14.846751646239387</v>
      </c>
      <c r="F356" s="387">
        <f t="shared" si="124"/>
        <v>15.197501570723485</v>
      </c>
      <c r="G356" s="110">
        <f t="shared" si="122"/>
        <v>0.80767367770935528</v>
      </c>
      <c r="H356" s="414" t="b">
        <f>Wh_hp&gt;='2018'!Maxi_hp</f>
        <v>1</v>
      </c>
      <c r="I356" s="392">
        <f>IF(H356,Wh_hp,'2018'!Maxi_hp)</f>
        <v>15.197501570723485</v>
      </c>
      <c r="J356" s="85">
        <f>IF(H356,An,'2018'!An_max)</f>
        <v>2019</v>
      </c>
      <c r="K356" s="199">
        <f t="shared" si="125"/>
        <v>43807</v>
      </c>
      <c r="L356" s="147">
        <f>IF(t&lt;Tvie,1-EXP((T0-t)*PertePVj)+'2018'!Pspv,1-EXP((T0-t)*PertePVj)+Pspv)</f>
        <v>1.1430406244536284E-2</v>
      </c>
      <c r="M356" s="870"/>
      <c r="N356" s="870"/>
      <c r="O356" s="48">
        <f>IF(t&lt;Tnet,'2018'!Resal+('2018'!Salim-'2018'!Resal)*(1-EXP(('2018'!Tnet-t)/('2018'!Tau_j))),Resal+(Salim-Resal)*(1-EXP((Tnet-t)/(Tau_j))))*Salcycl</f>
        <v>8.8372492231676161E-2</v>
      </c>
      <c r="P356" s="171">
        <f>(INDEX(Models!$BJ356:$BT356,,T356)*(1-R356)+INDEX(Models!$BJ356:$BT356,,T356+1)*R356-ERP_i)*Q356*Ramure*Pc/MaxiM</f>
        <v>3.1394087339575098E-2</v>
      </c>
      <c r="Q356" s="307">
        <f t="shared" si="126"/>
        <v>1</v>
      </c>
      <c r="R356" s="179">
        <f t="shared" si="127"/>
        <v>0.59959547917975531</v>
      </c>
      <c r="S356" s="837">
        <f t="shared" si="128"/>
        <v>-2</v>
      </c>
      <c r="T356" s="178">
        <f t="shared" si="129"/>
        <v>4</v>
      </c>
      <c r="U356" s="253">
        <f t="shared" si="130"/>
        <v>-1.4004045208202447</v>
      </c>
      <c r="V356" s="385">
        <f t="shared" si="131"/>
        <v>16.425101160683163</v>
      </c>
      <c r="W356" s="58"/>
      <c r="X356" s="157">
        <f t="shared" si="132"/>
        <v>43807</v>
      </c>
      <c r="Y356" s="387">
        <f t="shared" si="133"/>
        <v>13.38</v>
      </c>
      <c r="Z356" s="387">
        <f t="shared" si="134"/>
        <v>13.53470720171647</v>
      </c>
      <c r="AA356" s="388">
        <f t="shared" si="135"/>
        <v>14.846751646239387</v>
      </c>
      <c r="AB356" s="199">
        <f t="shared" si="136"/>
        <v>43807</v>
      </c>
      <c r="AC356" s="426">
        <f>IF(OR(t&lt;Tnet,NoTnet),'2018'!Resal_s+('2018'!Salim-'2018'!Resal_s)*(1-EXP(('2018'!Tnet_s-t)/'2018'!Tau_j)),Resal_s+(Salim-Resal_s)*(1-EXP((Tnet_s-t)/Tau_j)))*Salcycl</f>
        <v>8.8372492231676161E-2</v>
      </c>
      <c r="AD356" s="233">
        <f>(INDEX(Models!$BJ356:$BT356,,AH356)*(1-AF356)+INDEX(Models!$BJ356:$BT356,,AH356+1)*AF356-ERP_i)*AE356*Ramure*Pc/MaxiM</f>
        <v>3.1394087339575098E-2</v>
      </c>
      <c r="AE356" s="307">
        <f t="shared" si="137"/>
        <v>1</v>
      </c>
      <c r="AF356" s="179">
        <f t="shared" si="138"/>
        <v>0.59959547917975531</v>
      </c>
      <c r="AG356" s="178">
        <f t="shared" si="139"/>
        <v>-2</v>
      </c>
      <c r="AH356" s="178">
        <f t="shared" si="140"/>
        <v>4</v>
      </c>
      <c r="AI356" s="227">
        <f t="shared" si="141"/>
        <v>-1.4004045208202447</v>
      </c>
      <c r="AJ356" s="267" t="b">
        <f t="shared" si="142"/>
        <v>0</v>
      </c>
      <c r="AK356" s="267" t="b">
        <f t="shared" si="143"/>
        <v>0</v>
      </c>
      <c r="AL356" s="267"/>
      <c r="AM356" s="267"/>
      <c r="AN356" s="75"/>
    </row>
    <row r="357" spans="1:40" s="6" customFormat="1" ht="11.25" x14ac:dyDescent="0.2">
      <c r="A357" s="56">
        <f t="shared" si="144"/>
        <v>43808</v>
      </c>
      <c r="B357" s="618">
        <v>8.0920000000000005</v>
      </c>
      <c r="C357" s="392"/>
      <c r="D357" s="395">
        <f t="shared" si="123"/>
        <v>8.1857548200554699</v>
      </c>
      <c r="E357" s="387">
        <f t="shared" si="121"/>
        <v>8.9801986889882457</v>
      </c>
      <c r="F357" s="387">
        <f t="shared" si="124"/>
        <v>9.0606295872430866</v>
      </c>
      <c r="G357" s="110">
        <f t="shared" si="122"/>
        <v>0.4843293003294516</v>
      </c>
      <c r="H357" s="414" t="b">
        <f>Wh_hp&gt;='2018'!Maxi_hp</f>
        <v>1</v>
      </c>
      <c r="I357" s="392">
        <f>IF(H357,Wh_hp,'2018'!Maxi_hp)</f>
        <v>9.0606295872430866</v>
      </c>
      <c r="J357" s="85">
        <f>IF(H357,An,'2018'!An_max)</f>
        <v>2019</v>
      </c>
      <c r="K357" s="199">
        <f t="shared" si="125"/>
        <v>43808</v>
      </c>
      <c r="L357" s="147">
        <f>IF(t&lt;Tvie,1-EXP((T0-t)*PertePVj)+'2018'!Pspv,1-EXP((T0-t)*PertePVj)+Pspv)</f>
        <v>1.1453411703190253E-2</v>
      </c>
      <c r="M357" s="870"/>
      <c r="N357" s="870"/>
      <c r="O357" s="48">
        <f>IF(t&lt;Tnet,'2018'!Resal+('2018'!Salim-'2018'!Resal)*(1-EXP(('2018'!Tnet-t)/('2018'!Tau_j))),Resal+(Salim-Resal)*(1-EXP((Tnet-t)/(Tau_j))))*Salcycl</f>
        <v>8.8466179474062684E-2</v>
      </c>
      <c r="P357" s="171">
        <f>(INDEX(Models!$BJ357:$BT357,,T357)*(1-R357)+INDEX(Models!$BJ357:$BT357,,T357+1)*R357-ERP_i)*Q357*Ramure*Pc/MaxiM</f>
        <v>3.1741312581151059E-2</v>
      </c>
      <c r="Q357" s="307">
        <f t="shared" si="126"/>
        <v>1</v>
      </c>
      <c r="R357" s="179">
        <f t="shared" si="127"/>
        <v>0.59961206792305921</v>
      </c>
      <c r="S357" s="837">
        <f t="shared" si="128"/>
        <v>-2</v>
      </c>
      <c r="T357" s="178">
        <f t="shared" si="129"/>
        <v>4</v>
      </c>
      <c r="U357" s="253">
        <f t="shared" si="130"/>
        <v>-1.4003879320769408</v>
      </c>
      <c r="V357" s="385">
        <f t="shared" si="131"/>
        <v>16.322210092697119</v>
      </c>
      <c r="W357" s="58"/>
      <c r="X357" s="157">
        <f t="shared" si="132"/>
        <v>43808</v>
      </c>
      <c r="Y357" s="387">
        <f t="shared" si="133"/>
        <v>8.0920000000000005</v>
      </c>
      <c r="Z357" s="387">
        <f t="shared" si="134"/>
        <v>8.1857548200554699</v>
      </c>
      <c r="AA357" s="388">
        <f t="shared" si="135"/>
        <v>8.9801986889882457</v>
      </c>
      <c r="AB357" s="199">
        <f t="shared" si="136"/>
        <v>43808</v>
      </c>
      <c r="AC357" s="426">
        <f>IF(OR(t&lt;Tnet,NoTnet),'2018'!Resal_s+('2018'!Salim-'2018'!Resal_s)*(1-EXP(('2018'!Tnet_s-t)/'2018'!Tau_j)),Resal_s+(Salim-Resal_s)*(1-EXP((Tnet_s-t)/Tau_j)))*Salcycl</f>
        <v>8.8466179474062684E-2</v>
      </c>
      <c r="AD357" s="233">
        <f>(INDEX(Models!$BJ357:$BT357,,AH357)*(1-AF357)+INDEX(Models!$BJ357:$BT357,,AH357+1)*AF357-ERP_i)*AE357*Ramure*Pc/MaxiM</f>
        <v>3.1741312581151059E-2</v>
      </c>
      <c r="AE357" s="307">
        <f t="shared" si="137"/>
        <v>1</v>
      </c>
      <c r="AF357" s="179">
        <f t="shared" si="138"/>
        <v>0.59961206792305921</v>
      </c>
      <c r="AG357" s="178">
        <f t="shared" si="139"/>
        <v>-2</v>
      </c>
      <c r="AH357" s="178">
        <f t="shared" si="140"/>
        <v>4</v>
      </c>
      <c r="AI357" s="227">
        <f t="shared" si="141"/>
        <v>-1.4003879320769408</v>
      </c>
      <c r="AJ357" s="267" t="b">
        <f t="shared" si="142"/>
        <v>0</v>
      </c>
      <c r="AK357" s="267" t="b">
        <f t="shared" si="143"/>
        <v>0</v>
      </c>
      <c r="AL357" s="267"/>
      <c r="AM357" s="267"/>
      <c r="AN357" s="75"/>
    </row>
    <row r="358" spans="1:40" s="6" customFormat="1" ht="11.25" customHeight="1" x14ac:dyDescent="0.2">
      <c r="A358" s="56">
        <f t="shared" si="144"/>
        <v>43809</v>
      </c>
      <c r="B358" s="618">
        <v>14.64</v>
      </c>
      <c r="C358" s="392"/>
      <c r="D358" s="395">
        <f t="shared" si="123"/>
        <v>14.809965332378001</v>
      </c>
      <c r="E358" s="387">
        <f t="shared" si="121"/>
        <v>16.249013548877674</v>
      </c>
      <c r="F358" s="387">
        <f t="shared" si="124"/>
        <v>16.709769802628212</v>
      </c>
      <c r="G358" s="110">
        <f t="shared" si="122"/>
        <v>0.89779549771856482</v>
      </c>
      <c r="H358" s="414" t="b">
        <f>Wh_hp&gt;='2018'!Maxi_hp</f>
        <v>1</v>
      </c>
      <c r="I358" s="392">
        <f>IF(H358,Wh_hp,'2018'!Maxi_hp)</f>
        <v>16.709769802628212</v>
      </c>
      <c r="J358" s="85">
        <f>IF(H358,An,'2018'!An_max)</f>
        <v>2019</v>
      </c>
      <c r="K358" s="199">
        <f t="shared" si="125"/>
        <v>43809</v>
      </c>
      <c r="L358" s="147">
        <f>IF(t&lt;Tvie,1-EXP((T0-t)*PertePVj)+'2018'!Pspv,1-EXP((T0-t)*PertePVj)+Pspv)</f>
        <v>1.1476416626473585E-2</v>
      </c>
      <c r="M358" s="870"/>
      <c r="N358" s="870"/>
      <c r="O358" s="48">
        <f>IF(t&lt;Tnet,'2018'!Resal+('2018'!Salim-'2018'!Resal)*(1-EXP(('2018'!Tnet-t)/('2018'!Tau_j))),Resal+(Salim-Resal)*(1-EXP((Tnet-t)/(Tau_j))))*Salcycl</f>
        <v>8.8562189462822322E-2</v>
      </c>
      <c r="P358" s="171">
        <f>(INDEX(Models!$BJ358:$BT358,,T358)*(1-R358)+INDEX(Models!$BJ358:$BT358,,T358+1)*R358-ERP_i)*Q358*Ramure*Pc/MaxiM</f>
        <v>3.2064944219102894E-2</v>
      </c>
      <c r="Q358" s="307">
        <f t="shared" si="126"/>
        <v>1</v>
      </c>
      <c r="R358" s="179">
        <f t="shared" si="127"/>
        <v>0.59962798949396179</v>
      </c>
      <c r="S358" s="837">
        <f t="shared" si="128"/>
        <v>-2</v>
      </c>
      <c r="T358" s="178">
        <f t="shared" si="129"/>
        <v>4</v>
      </c>
      <c r="U358" s="253">
        <f t="shared" si="130"/>
        <v>-1.4003720105060382</v>
      </c>
      <c r="V358" s="385">
        <f t="shared" si="131"/>
        <v>16.231301269597321</v>
      </c>
      <c r="W358" s="58"/>
      <c r="X358" s="157">
        <f t="shared" si="132"/>
        <v>43809</v>
      </c>
      <c r="Y358" s="387">
        <f t="shared" si="133"/>
        <v>14.640000000000002</v>
      </c>
      <c r="Z358" s="387">
        <f t="shared" si="134"/>
        <v>14.809965332378003</v>
      </c>
      <c r="AA358" s="388">
        <f t="shared" si="135"/>
        <v>16.249013548877674</v>
      </c>
      <c r="AB358" s="199">
        <f t="shared" si="136"/>
        <v>43809</v>
      </c>
      <c r="AC358" s="426">
        <f>IF(OR(t&lt;Tnet,NoTnet),'2018'!Resal_s+('2018'!Salim-'2018'!Resal_s)*(1-EXP(('2018'!Tnet_s-t)/'2018'!Tau_j)),Resal_s+(Salim-Resal_s)*(1-EXP((Tnet_s-t)/Tau_j)))*Salcycl</f>
        <v>8.8562189462822322E-2</v>
      </c>
      <c r="AD358" s="233">
        <f>(INDEX(Models!$BJ358:$BT358,,AH358)*(1-AF358)+INDEX(Models!$BJ358:$BT358,,AH358+1)*AF358-ERP_i)*AE358*Ramure*Pc/MaxiM</f>
        <v>3.2064944219102894E-2</v>
      </c>
      <c r="AE358" s="307">
        <f t="shared" si="137"/>
        <v>1</v>
      </c>
      <c r="AF358" s="179">
        <f t="shared" si="138"/>
        <v>0.59962798949396179</v>
      </c>
      <c r="AG358" s="178">
        <f t="shared" si="139"/>
        <v>-2</v>
      </c>
      <c r="AH358" s="178">
        <f t="shared" si="140"/>
        <v>4</v>
      </c>
      <c r="AI358" s="227">
        <f t="shared" si="141"/>
        <v>-1.4003720105060382</v>
      </c>
      <c r="AJ358" s="267" t="b">
        <f t="shared" si="142"/>
        <v>0</v>
      </c>
      <c r="AK358" s="267" t="b">
        <f t="shared" si="143"/>
        <v>0</v>
      </c>
      <c r="AL358" s="267"/>
      <c r="AM358" s="267"/>
      <c r="AN358" s="75"/>
    </row>
    <row r="359" spans="1:40" s="6" customFormat="1" ht="11.25" customHeight="1" x14ac:dyDescent="0.2">
      <c r="A359" s="56">
        <f t="shared" si="144"/>
        <v>43810</v>
      </c>
      <c r="B359" s="618">
        <v>1.768</v>
      </c>
      <c r="C359" s="392"/>
      <c r="D359" s="395">
        <f t="shared" si="123"/>
        <v>1.7885674905869255</v>
      </c>
      <c r="E359" s="387">
        <f t="shared" si="121"/>
        <v>1.9625697836134215</v>
      </c>
      <c r="F359" s="387">
        <f t="shared" si="124"/>
        <v>1.9625697836134215</v>
      </c>
      <c r="G359" s="110">
        <f t="shared" si="122"/>
        <v>0.10592541688717021</v>
      </c>
      <c r="H359" s="414" t="b">
        <f>Wh_hp&gt;='2018'!Maxi_hp</f>
        <v>0</v>
      </c>
      <c r="I359" s="392">
        <f>IF(H359,Wh_hp,'2018'!Maxi_hp)</f>
        <v>15.16428753732999</v>
      </c>
      <c r="J359" s="85">
        <f>IF(H359,An,'2018'!An_max)</f>
        <v>2018</v>
      </c>
      <c r="K359" s="199">
        <f t="shared" si="125"/>
        <v>43810</v>
      </c>
      <c r="L359" s="147">
        <f>IF(t&lt;Tvie,1-EXP((T0-t)*PertePVj)+'2018'!Pspv,1-EXP((T0-t)*PertePVj)+Pspv)</f>
        <v>1.1499421014398603E-2</v>
      </c>
      <c r="M359" s="870"/>
      <c r="N359" s="870"/>
      <c r="O359" s="48">
        <f>IF(t&lt;Tnet,'2018'!Resal+('2018'!Salim-'2018'!Resal)*(1-EXP(('2018'!Tnet-t)/('2018'!Tau_j))),Resal+(Salim-Resal)*(1-EXP((Tnet-t)/(Tau_j))))*Salcycl</f>
        <v>8.8660436168607665E-2</v>
      </c>
      <c r="P359" s="171">
        <f>(INDEX(Models!$BJ359:$BT359,,T359)*(1-R359)+INDEX(Models!$BJ359:$BT359,,T359+1)*R359-ERP_i)*Q359*Ramure*Pc/MaxiM</f>
        <v>3.2367135764921999E-2</v>
      </c>
      <c r="Q359" s="307">
        <f t="shared" si="126"/>
        <v>1</v>
      </c>
      <c r="R359" s="179">
        <f t="shared" si="127"/>
        <v>0.59964327069652956</v>
      </c>
      <c r="S359" s="837">
        <f t="shared" si="128"/>
        <v>-2</v>
      </c>
      <c r="T359" s="178">
        <f t="shared" si="129"/>
        <v>4</v>
      </c>
      <c r="U359" s="253">
        <f t="shared" si="130"/>
        <v>-1.4003567293034704</v>
      </c>
      <c r="V359" s="385">
        <f t="shared" si="131"/>
        <v>16.150749784538529</v>
      </c>
      <c r="W359" s="58"/>
      <c r="X359" s="157">
        <f t="shared" si="132"/>
        <v>43810</v>
      </c>
      <c r="Y359" s="387">
        <f t="shared" si="133"/>
        <v>1.768</v>
      </c>
      <c r="Z359" s="387">
        <f t="shared" si="134"/>
        <v>1.7885674905869255</v>
      </c>
      <c r="AA359" s="388">
        <f t="shared" si="135"/>
        <v>1.9625697836134215</v>
      </c>
      <c r="AB359" s="199">
        <f t="shared" si="136"/>
        <v>43810</v>
      </c>
      <c r="AC359" s="426">
        <f>IF(OR(t&lt;Tnet,NoTnet),'2018'!Resal_s+('2018'!Salim-'2018'!Resal_s)*(1-EXP(('2018'!Tnet_s-t)/'2018'!Tau_j)),Resal_s+(Salim-Resal_s)*(1-EXP((Tnet_s-t)/Tau_j)))*Salcycl</f>
        <v>8.8660436168607665E-2</v>
      </c>
      <c r="AD359" s="233">
        <f>(INDEX(Models!$BJ359:$BT359,,AH359)*(1-AF359)+INDEX(Models!$BJ359:$BT359,,AH359+1)*AF359-ERP_i)*AE359*Ramure*Pc/MaxiM</f>
        <v>3.2367135764921999E-2</v>
      </c>
      <c r="AE359" s="307">
        <f t="shared" si="137"/>
        <v>1</v>
      </c>
      <c r="AF359" s="179">
        <f t="shared" si="138"/>
        <v>0.59964327069652956</v>
      </c>
      <c r="AG359" s="178">
        <f t="shared" si="139"/>
        <v>-2</v>
      </c>
      <c r="AH359" s="178">
        <f t="shared" si="140"/>
        <v>4</v>
      </c>
      <c r="AI359" s="227">
        <f t="shared" si="141"/>
        <v>-1.4003567293034704</v>
      </c>
      <c r="AJ359" s="267" t="b">
        <f t="shared" si="142"/>
        <v>0</v>
      </c>
      <c r="AK359" s="267" t="b">
        <f t="shared" si="143"/>
        <v>0</v>
      </c>
      <c r="AL359" s="267"/>
      <c r="AM359" s="267"/>
      <c r="AN359" s="75"/>
    </row>
    <row r="360" spans="1:40" s="6" customFormat="1" ht="11.25" customHeight="1" x14ac:dyDescent="0.2">
      <c r="A360" s="56">
        <f t="shared" si="144"/>
        <v>43811</v>
      </c>
      <c r="B360" s="618">
        <v>5.657</v>
      </c>
      <c r="C360" s="392"/>
      <c r="D360" s="395">
        <f t="shared" si="123"/>
        <v>5.7229421711855455</v>
      </c>
      <c r="E360" s="387">
        <f t="shared" si="121"/>
        <v>6.2803952598295991</v>
      </c>
      <c r="F360" s="387">
        <f t="shared" si="124"/>
        <v>6.2956180523944374</v>
      </c>
      <c r="G360" s="110">
        <f t="shared" si="122"/>
        <v>0.34117553342546059</v>
      </c>
      <c r="H360" s="414" t="b">
        <f>Wh_hp&gt;='2018'!Maxi_hp</f>
        <v>1</v>
      </c>
      <c r="I360" s="392">
        <f>IF(H360,Wh_hp,'2018'!Maxi_hp)</f>
        <v>6.2956180523944374</v>
      </c>
      <c r="J360" s="85">
        <f>IF(H360,An,'2018'!An_max)</f>
        <v>2019</v>
      </c>
      <c r="K360" s="199">
        <f t="shared" si="125"/>
        <v>43811</v>
      </c>
      <c r="L360" s="147">
        <f>IF(t&lt;Tvie,1-EXP((T0-t)*PertePVj)+'2018'!Pspv,1-EXP((T0-t)*PertePVj)+Pspv)</f>
        <v>1.1522424866978076E-2</v>
      </c>
      <c r="M360" s="870"/>
      <c r="N360" s="870"/>
      <c r="O360" s="48">
        <f>IF(t&lt;Tnet,'2018'!Resal+('2018'!Salim-'2018'!Resal)*(1-EXP(('2018'!Tnet-t)/('2018'!Tau_j))),Resal+(Salim-Resal)*(1-EXP((Tnet-t)/(Tau_j))))*Salcycl</f>
        <v>8.8760828830250826E-2</v>
      </c>
      <c r="P360" s="171">
        <f>(INDEX(Models!$BJ360:$BT360,,T360)*(1-R360)+INDEX(Models!$BJ360:$BT360,,T360+1)*R360-ERP_i)*Q360*Ramure*Pc/MaxiM</f>
        <v>3.2651337223628084E-2</v>
      </c>
      <c r="Q360" s="307">
        <f t="shared" si="126"/>
        <v>1</v>
      </c>
      <c r="R360" s="179">
        <f t="shared" si="127"/>
        <v>0.59965793726020999</v>
      </c>
      <c r="S360" s="837">
        <f t="shared" si="128"/>
        <v>-2</v>
      </c>
      <c r="T360" s="178">
        <f t="shared" si="129"/>
        <v>4</v>
      </c>
      <c r="U360" s="253">
        <f t="shared" si="130"/>
        <v>-1.40034206273979</v>
      </c>
      <c r="V360" s="385">
        <f t="shared" si="131"/>
        <v>16.078396340343932</v>
      </c>
      <c r="W360" s="58"/>
      <c r="X360" s="157">
        <f t="shared" si="132"/>
        <v>43811</v>
      </c>
      <c r="Y360" s="387">
        <f t="shared" si="133"/>
        <v>5.657</v>
      </c>
      <c r="Z360" s="387">
        <f t="shared" si="134"/>
        <v>5.7229421711855455</v>
      </c>
      <c r="AA360" s="388">
        <f t="shared" si="135"/>
        <v>6.2803952598295991</v>
      </c>
      <c r="AB360" s="199">
        <f t="shared" si="136"/>
        <v>43811</v>
      </c>
      <c r="AC360" s="426">
        <f>IF(OR(t&lt;Tnet,NoTnet),'2018'!Resal_s+('2018'!Salim-'2018'!Resal_s)*(1-EXP(('2018'!Tnet_s-t)/'2018'!Tau_j)),Resal_s+(Salim-Resal_s)*(1-EXP((Tnet_s-t)/Tau_j)))*Salcycl</f>
        <v>8.8760828830250826E-2</v>
      </c>
      <c r="AD360" s="233">
        <f>(INDEX(Models!$BJ360:$BT360,,AH360)*(1-AF360)+INDEX(Models!$BJ360:$BT360,,AH360+1)*AF360-ERP_i)*AE360*Ramure*Pc/MaxiM</f>
        <v>3.2651337223628084E-2</v>
      </c>
      <c r="AE360" s="307">
        <f t="shared" si="137"/>
        <v>1</v>
      </c>
      <c r="AF360" s="179">
        <f t="shared" si="138"/>
        <v>0.59965793726020999</v>
      </c>
      <c r="AG360" s="178">
        <f t="shared" si="139"/>
        <v>-2</v>
      </c>
      <c r="AH360" s="178">
        <f t="shared" si="140"/>
        <v>4</v>
      </c>
      <c r="AI360" s="227">
        <f t="shared" si="141"/>
        <v>-1.40034206273979</v>
      </c>
      <c r="AJ360" s="267" t="b">
        <f t="shared" si="142"/>
        <v>0</v>
      </c>
      <c r="AK360" s="267" t="b">
        <f t="shared" si="143"/>
        <v>0</v>
      </c>
      <c r="AL360" s="267"/>
      <c r="AM360" s="267"/>
      <c r="AN360" s="75"/>
    </row>
    <row r="361" spans="1:40" s="6" customFormat="1" ht="11.25" customHeight="1" x14ac:dyDescent="0.2">
      <c r="A361" s="56">
        <f t="shared" si="144"/>
        <v>43812</v>
      </c>
      <c r="B361" s="618">
        <v>1.976</v>
      </c>
      <c r="C361" s="392"/>
      <c r="D361" s="395">
        <f t="shared" si="123"/>
        <v>1.9990802373144154</v>
      </c>
      <c r="E361" s="387">
        <f t="shared" ref="E361:E379" si="145">Wh_pvt/(1-Psa)</f>
        <v>2.1940507690374527</v>
      </c>
      <c r="F361" s="387">
        <f t="shared" si="124"/>
        <v>2.1940507690374527</v>
      </c>
      <c r="G361" s="110">
        <f t="shared" ref="G361:G379" si="146">+Wh_hp/MaxiM</f>
        <v>0.11932774099791209</v>
      </c>
      <c r="H361" s="414" t="b">
        <f>Wh_hp&gt;='2018'!Maxi_hp</f>
        <v>1</v>
      </c>
      <c r="I361" s="392">
        <f>IF(H361,Wh_hp,'2018'!Maxi_hp)</f>
        <v>2.1940507690374527</v>
      </c>
      <c r="J361" s="85">
        <f>IF(H361,An,'2018'!An_max)</f>
        <v>2019</v>
      </c>
      <c r="K361" s="199">
        <f t="shared" si="125"/>
        <v>43812</v>
      </c>
      <c r="L361" s="147">
        <f>IF(t&lt;Tvie,1-EXP((T0-t)*PertePVj)+'2018'!Pspv,1-EXP((T0-t)*PertePVj)+Pspv)</f>
        <v>1.1545428184224216E-2</v>
      </c>
      <c r="M361" s="870"/>
      <c r="N361" s="870"/>
      <c r="O361" s="48">
        <f>IF(t&lt;Tnet,'2018'!Resal+('2018'!Salim-'2018'!Resal)*(1-EXP(('2018'!Tnet-t)/('2018'!Tau_j))),Resal+(Salim-Resal)*(1-EXP((Tnet-t)/(Tau_j))))*Salcycl</f>
        <v>8.8863272661904913E-2</v>
      </c>
      <c r="P361" s="171">
        <f>(INDEX(Models!$BJ361:$BT361,,T361)*(1-R361)+INDEX(Models!$BJ361:$BT361,,T361+1)*R361-ERP_i)*Q361*Ramure*Pc/MaxiM</f>
        <v>3.2907625619200964E-2</v>
      </c>
      <c r="Q361" s="307">
        <f t="shared" si="126"/>
        <v>1</v>
      </c>
      <c r="R361" s="179">
        <f t="shared" si="127"/>
        <v>0.59967201388273628</v>
      </c>
      <c r="S361" s="837">
        <f t="shared" si="128"/>
        <v>-2</v>
      </c>
      <c r="T361" s="178">
        <f t="shared" si="129"/>
        <v>4</v>
      </c>
      <c r="U361" s="253">
        <f t="shared" si="130"/>
        <v>-1.4003279861172637</v>
      </c>
      <c r="V361" s="385">
        <f t="shared" si="131"/>
        <v>16.014503549597034</v>
      </c>
      <c r="W361" s="58"/>
      <c r="X361" s="157">
        <f t="shared" si="132"/>
        <v>43812</v>
      </c>
      <c r="Y361" s="387">
        <f t="shared" si="133"/>
        <v>1.9759999999999998</v>
      </c>
      <c r="Z361" s="387">
        <f t="shared" si="134"/>
        <v>1.9990802373144152</v>
      </c>
      <c r="AA361" s="388">
        <f t="shared" si="135"/>
        <v>2.1940507690374527</v>
      </c>
      <c r="AB361" s="199">
        <f t="shared" si="136"/>
        <v>43812</v>
      </c>
      <c r="AC361" s="426">
        <f>IF(OR(t&lt;Tnet,NoTnet),'2018'!Resal_s+('2018'!Salim-'2018'!Resal_s)*(1-EXP(('2018'!Tnet_s-t)/'2018'!Tau_j)),Resal_s+(Salim-Resal_s)*(1-EXP((Tnet_s-t)/Tau_j)))*Salcycl</f>
        <v>8.8863272661904913E-2</v>
      </c>
      <c r="AD361" s="233">
        <f>(INDEX(Models!$BJ361:$BT361,,AH361)*(1-AF361)+INDEX(Models!$BJ361:$BT361,,AH361+1)*AF361-ERP_i)*AE361*Ramure*Pc/MaxiM</f>
        <v>3.2907625619200964E-2</v>
      </c>
      <c r="AE361" s="307">
        <f t="shared" si="137"/>
        <v>1</v>
      </c>
      <c r="AF361" s="179">
        <f t="shared" si="138"/>
        <v>0.59967201388273628</v>
      </c>
      <c r="AG361" s="178">
        <f t="shared" si="139"/>
        <v>-2</v>
      </c>
      <c r="AH361" s="178">
        <f t="shared" si="140"/>
        <v>4</v>
      </c>
      <c r="AI361" s="227">
        <f t="shared" si="141"/>
        <v>-1.4003279861172637</v>
      </c>
      <c r="AJ361" s="267" t="b">
        <f t="shared" si="142"/>
        <v>0</v>
      </c>
      <c r="AK361" s="267" t="b">
        <f t="shared" si="143"/>
        <v>0</v>
      </c>
      <c r="AL361" s="267"/>
      <c r="AM361" s="267"/>
      <c r="AN361" s="75"/>
    </row>
    <row r="362" spans="1:40" s="6" customFormat="1" ht="11.25" customHeight="1" x14ac:dyDescent="0.2">
      <c r="A362" s="56">
        <f t="shared" si="144"/>
        <v>43813</v>
      </c>
      <c r="B362" s="618">
        <v>12.411</v>
      </c>
      <c r="C362" s="392"/>
      <c r="D362" s="395">
        <f t="shared" si="123"/>
        <v>12.556256182844525</v>
      </c>
      <c r="E362" s="387">
        <f t="shared" si="145"/>
        <v>13.782448507494109</v>
      </c>
      <c r="F362" s="387">
        <f t="shared" si="124"/>
        <v>14.101293186077918</v>
      </c>
      <c r="G362" s="110">
        <f t="shared" si="146"/>
        <v>0.76929774998058331</v>
      </c>
      <c r="H362" s="414" t="b">
        <f>Wh_hp&gt;='2018'!Maxi_hp</f>
        <v>1</v>
      </c>
      <c r="I362" s="392">
        <f>IF(H362,Wh_hp,'2018'!Maxi_hp)</f>
        <v>14.101293186077918</v>
      </c>
      <c r="J362" s="85">
        <f>IF(H362,An,'2018'!An_max)</f>
        <v>2019</v>
      </c>
      <c r="K362" s="199">
        <f t="shared" si="125"/>
        <v>43813</v>
      </c>
      <c r="L362" s="147">
        <f>IF(t&lt;Tvie,1-EXP((T0-t)*PertePVj)+'2018'!Pspv,1-EXP((T0-t)*PertePVj)+Pspv)</f>
        <v>1.1568430966149568E-2</v>
      </c>
      <c r="M362" s="870"/>
      <c r="N362" s="870"/>
      <c r="O362" s="48">
        <f>IF(t&lt;Tnet,'2018'!Resal+('2018'!Salim-'2018'!Resal)*(1-EXP(('2018'!Tnet-t)/('2018'!Tau_j))),Resal+(Salim-Resal)*(1-EXP((Tnet-t)/(Tau_j))))*Salcycl</f>
        <v>8.8967669567773147E-2</v>
      </c>
      <c r="P362" s="171">
        <f>(INDEX(Models!$BJ362:$BT362,,T362)*(1-R362)+INDEX(Models!$BJ362:$BT362,,T362+1)*R362-ERP_i)*Q362*Ramure*Pc/MaxiM</f>
        <v>3.3135156652238505E-2</v>
      </c>
      <c r="Q362" s="307">
        <f t="shared" si="126"/>
        <v>1</v>
      </c>
      <c r="R362" s="179">
        <f t="shared" si="127"/>
        <v>0.59968552427133348</v>
      </c>
      <c r="S362" s="837">
        <f t="shared" si="128"/>
        <v>-2</v>
      </c>
      <c r="T362" s="178">
        <f t="shared" si="129"/>
        <v>4</v>
      </c>
      <c r="U362" s="253">
        <f t="shared" si="130"/>
        <v>-1.4003144757286665</v>
      </c>
      <c r="V362" s="385">
        <f t="shared" si="131"/>
        <v>15.959182680422419</v>
      </c>
      <c r="W362" s="58"/>
      <c r="X362" s="157">
        <f t="shared" si="132"/>
        <v>43813</v>
      </c>
      <c r="Y362" s="387">
        <f t="shared" si="133"/>
        <v>12.411</v>
      </c>
      <c r="Z362" s="387">
        <f t="shared" si="134"/>
        <v>12.556256182844525</v>
      </c>
      <c r="AA362" s="388">
        <f t="shared" si="135"/>
        <v>13.782448507494109</v>
      </c>
      <c r="AB362" s="199">
        <f t="shared" si="136"/>
        <v>43813</v>
      </c>
      <c r="AC362" s="426">
        <f>IF(OR(t&lt;Tnet,NoTnet),'2018'!Resal_s+('2018'!Salim-'2018'!Resal_s)*(1-EXP(('2018'!Tnet_s-t)/'2018'!Tau_j)),Resal_s+(Salim-Resal_s)*(1-EXP((Tnet_s-t)/Tau_j)))*Salcycl</f>
        <v>8.8967669567773147E-2</v>
      </c>
      <c r="AD362" s="233">
        <f>(INDEX(Models!$BJ362:$BT362,,AH362)*(1-AF362)+INDEX(Models!$BJ362:$BT362,,AH362+1)*AF362-ERP_i)*AE362*Ramure*Pc/MaxiM</f>
        <v>3.3135156652238505E-2</v>
      </c>
      <c r="AE362" s="307">
        <f t="shared" si="137"/>
        <v>1</v>
      </c>
      <c r="AF362" s="179">
        <f t="shared" si="138"/>
        <v>0.59968552427133348</v>
      </c>
      <c r="AG362" s="178">
        <f t="shared" si="139"/>
        <v>-2</v>
      </c>
      <c r="AH362" s="178">
        <f t="shared" si="140"/>
        <v>4</v>
      </c>
      <c r="AI362" s="227">
        <f t="shared" si="141"/>
        <v>-1.4003144757286665</v>
      </c>
      <c r="AJ362" s="267" t="b">
        <f t="shared" si="142"/>
        <v>0</v>
      </c>
      <c r="AK362" s="267" t="b">
        <f t="shared" si="143"/>
        <v>0</v>
      </c>
      <c r="AL362" s="267"/>
      <c r="AM362" s="267"/>
      <c r="AN362" s="75"/>
    </row>
    <row r="363" spans="1:40" s="6" customFormat="1" ht="11.25" x14ac:dyDescent="0.2">
      <c r="A363" s="56">
        <f t="shared" si="144"/>
        <v>43814</v>
      </c>
      <c r="B363" s="618">
        <v>15.532999999999999</v>
      </c>
      <c r="C363" s="392"/>
      <c r="D363" s="395">
        <f t="shared" si="123"/>
        <v>15.715161241964084</v>
      </c>
      <c r="E363" s="387">
        <f t="shared" si="145"/>
        <v>17.251851239428525</v>
      </c>
      <c r="F363" s="387">
        <f t="shared" si="124"/>
        <v>17.825794694117317</v>
      </c>
      <c r="G363" s="110">
        <f t="shared" si="146"/>
        <v>0.97500247956937935</v>
      </c>
      <c r="H363" s="414" t="b">
        <f>Wh_hp&gt;='2018'!Maxi_hp</f>
        <v>1</v>
      </c>
      <c r="I363" s="392">
        <f>IF(H363,Wh_hp,'2018'!Maxi_hp)</f>
        <v>17.825794694117317</v>
      </c>
      <c r="J363" s="85">
        <f>IF(H363,An,'2018'!An_max)</f>
        <v>2019</v>
      </c>
      <c r="K363" s="199">
        <f t="shared" si="125"/>
        <v>43814</v>
      </c>
      <c r="L363" s="147">
        <f>IF(t&lt;Tvie,1-EXP((T0-t)*PertePVj)+'2018'!Pspv,1-EXP((T0-t)*PertePVj)+Pspv)</f>
        <v>1.1591433212766566E-2</v>
      </c>
      <c r="M363" s="870"/>
      <c r="N363" s="870"/>
      <c r="O363" s="48">
        <f>IF(t&lt;Tnet,'2018'!Resal+('2018'!Salim-'2018'!Resal)*(1-EXP(('2018'!Tnet-t)/('2018'!Tau_j))),Resal+(Salim-Resal)*(1-EXP((Tnet-t)/(Tau_j))))*Salcycl</f>
        <v>8.9073918858770765E-2</v>
      </c>
      <c r="P363" s="171">
        <f>(INDEX(Models!$BJ363:$BT363,,T363)*(1-R363)+INDEX(Models!$BJ363:$BT363,,T363+1)*R363-ERP_i)*Q363*Ramure*Pc/MaxiM</f>
        <v>3.3333155796988416E-2</v>
      </c>
      <c r="Q363" s="307">
        <f t="shared" si="126"/>
        <v>1</v>
      </c>
      <c r="R363" s="179">
        <f t="shared" si="127"/>
        <v>0.59969849118229268</v>
      </c>
      <c r="S363" s="837">
        <f t="shared" si="128"/>
        <v>-2</v>
      </c>
      <c r="T363" s="178">
        <f t="shared" si="129"/>
        <v>4</v>
      </c>
      <c r="U363" s="253">
        <f t="shared" si="130"/>
        <v>-1.4003015088177073</v>
      </c>
      <c r="V363" s="385">
        <f t="shared" si="131"/>
        <v>15.912544848236768</v>
      </c>
      <c r="W363" s="58"/>
      <c r="X363" s="157">
        <f t="shared" si="132"/>
        <v>43814</v>
      </c>
      <c r="Y363" s="387">
        <f t="shared" si="133"/>
        <v>15.532999999999999</v>
      </c>
      <c r="Z363" s="387">
        <f t="shared" si="134"/>
        <v>15.715161241964084</v>
      </c>
      <c r="AA363" s="388">
        <f t="shared" si="135"/>
        <v>17.251851239428525</v>
      </c>
      <c r="AB363" s="199">
        <f t="shared" si="136"/>
        <v>43814</v>
      </c>
      <c r="AC363" s="426">
        <f>IF(OR(t&lt;Tnet,NoTnet),'2018'!Resal_s+('2018'!Salim-'2018'!Resal_s)*(1-EXP(('2018'!Tnet_s-t)/'2018'!Tau_j)),Resal_s+(Salim-Resal_s)*(1-EXP((Tnet_s-t)/Tau_j)))*Salcycl</f>
        <v>8.9073918858770765E-2</v>
      </c>
      <c r="AD363" s="233">
        <f>(INDEX(Models!$BJ363:$BT363,,AH363)*(1-AF363)+INDEX(Models!$BJ363:$BT363,,AH363+1)*AF363-ERP_i)*AE363*Ramure*Pc/MaxiM</f>
        <v>3.3333155796988416E-2</v>
      </c>
      <c r="AE363" s="307">
        <f t="shared" si="137"/>
        <v>1</v>
      </c>
      <c r="AF363" s="179">
        <f t="shared" si="138"/>
        <v>0.59969849118229268</v>
      </c>
      <c r="AG363" s="178">
        <f t="shared" si="139"/>
        <v>-2</v>
      </c>
      <c r="AH363" s="178">
        <f t="shared" si="140"/>
        <v>4</v>
      </c>
      <c r="AI363" s="227">
        <f t="shared" si="141"/>
        <v>-1.4003015088177073</v>
      </c>
      <c r="AJ363" s="267" t="b">
        <f t="shared" si="142"/>
        <v>0</v>
      </c>
      <c r="AK363" s="267" t="b">
        <f t="shared" si="143"/>
        <v>0</v>
      </c>
      <c r="AL363" s="267"/>
      <c r="AM363" s="267"/>
      <c r="AN363" s="75"/>
    </row>
    <row r="364" spans="1:40" s="6" customFormat="1" ht="11.25" customHeight="1" x14ac:dyDescent="0.2">
      <c r="A364" s="56">
        <f t="shared" si="144"/>
        <v>43815</v>
      </c>
      <c r="B364" s="618">
        <v>10.952999999999999</v>
      </c>
      <c r="C364" s="392"/>
      <c r="D364" s="395">
        <f t="shared" si="123"/>
        <v>11.081707773786398</v>
      </c>
      <c r="E364" s="387">
        <f t="shared" si="145"/>
        <v>12.166763036844202</v>
      </c>
      <c r="F364" s="387">
        <f t="shared" si="124"/>
        <v>12.398151751173463</v>
      </c>
      <c r="G364" s="110">
        <f t="shared" si="146"/>
        <v>0.6795335034172707</v>
      </c>
      <c r="H364" s="414" t="b">
        <f>Wh_hp&gt;='2018'!Maxi_hp</f>
        <v>1</v>
      </c>
      <c r="I364" s="392">
        <f>IF(H364,Wh_hp,'2018'!Maxi_hp)</f>
        <v>12.398151751173463</v>
      </c>
      <c r="J364" s="85">
        <f>IF(H364,An,'2018'!An_max)</f>
        <v>2019</v>
      </c>
      <c r="K364" s="199">
        <f t="shared" si="125"/>
        <v>43815</v>
      </c>
      <c r="L364" s="147">
        <f>IF(t&lt;Tvie,1-EXP((T0-t)*PertePVj)+'2018'!Pspv,1-EXP((T0-t)*PertePVj)+Pspv)</f>
        <v>1.1614434924087647E-2</v>
      </c>
      <c r="M364" s="870"/>
      <c r="N364" s="870"/>
      <c r="O364" s="48">
        <f>IF(t&lt;Tnet,'2018'!Resal+('2018'!Salim-'2018'!Resal)*(1-EXP(('2018'!Tnet-t)/('2018'!Tau_j))),Resal+(Salim-Resal)*(1-EXP((Tnet-t)/(Tau_j))))*Salcycl</f>
        <v>8.9181917965523494E-2</v>
      </c>
      <c r="P364" s="171">
        <f>(INDEX(Models!$BJ364:$BT364,,T364)*(1-R364)+INDEX(Models!$BJ364:$BT364,,T364+1)*R364-ERP_i)*Q364*Ramure*Pc/MaxiM</f>
        <v>3.3500925060501542E-2</v>
      </c>
      <c r="Q364" s="307">
        <f t="shared" si="126"/>
        <v>1</v>
      </c>
      <c r="R364" s="179">
        <f t="shared" si="127"/>
        <v>0.59971093645897589</v>
      </c>
      <c r="S364" s="837">
        <f t="shared" si="128"/>
        <v>-2</v>
      </c>
      <c r="T364" s="178">
        <f t="shared" si="129"/>
        <v>4</v>
      </c>
      <c r="U364" s="253">
        <f t="shared" si="130"/>
        <v>-1.4002890635410241</v>
      </c>
      <c r="V364" s="385">
        <f t="shared" si="131"/>
        <v>15.874701015869572</v>
      </c>
      <c r="W364" s="58"/>
      <c r="X364" s="157">
        <f t="shared" si="132"/>
        <v>43815</v>
      </c>
      <c r="Y364" s="387">
        <f t="shared" si="133"/>
        <v>10.952999999999999</v>
      </c>
      <c r="Z364" s="387">
        <f t="shared" si="134"/>
        <v>11.081707773786398</v>
      </c>
      <c r="AA364" s="388">
        <f t="shared" si="135"/>
        <v>12.166763036844202</v>
      </c>
      <c r="AB364" s="199">
        <f t="shared" si="136"/>
        <v>43815</v>
      </c>
      <c r="AC364" s="426">
        <f>IF(OR(t&lt;Tnet,NoTnet),'2018'!Resal_s+('2018'!Salim-'2018'!Resal_s)*(1-EXP(('2018'!Tnet_s-t)/'2018'!Tau_j)),Resal_s+(Salim-Resal_s)*(1-EXP((Tnet_s-t)/Tau_j)))*Salcycl</f>
        <v>8.9181917965523494E-2</v>
      </c>
      <c r="AD364" s="233">
        <f>(INDEX(Models!$BJ364:$BT364,,AH364)*(1-AF364)+INDEX(Models!$BJ364:$BT364,,AH364+1)*AF364-ERP_i)*AE364*Ramure*Pc/MaxiM</f>
        <v>3.3500925060501542E-2</v>
      </c>
      <c r="AE364" s="307">
        <f t="shared" si="137"/>
        <v>1</v>
      </c>
      <c r="AF364" s="179">
        <f t="shared" si="138"/>
        <v>0.59971093645897589</v>
      </c>
      <c r="AG364" s="178">
        <f t="shared" si="139"/>
        <v>-2</v>
      </c>
      <c r="AH364" s="178">
        <f t="shared" si="140"/>
        <v>4</v>
      </c>
      <c r="AI364" s="227">
        <f t="shared" si="141"/>
        <v>-1.4002890635410241</v>
      </c>
      <c r="AJ364" s="267" t="b">
        <f t="shared" si="142"/>
        <v>0</v>
      </c>
      <c r="AK364" s="267" t="b">
        <f t="shared" si="143"/>
        <v>0</v>
      </c>
      <c r="AL364" s="267"/>
      <c r="AM364" s="267"/>
      <c r="AN364" s="75"/>
    </row>
    <row r="365" spans="1:40" s="6" customFormat="1" ht="11.25" customHeight="1" x14ac:dyDescent="0.2">
      <c r="A365" s="56">
        <f t="shared" si="144"/>
        <v>43816</v>
      </c>
      <c r="B365" s="618">
        <v>9.4710000000000001</v>
      </c>
      <c r="C365" s="392"/>
      <c r="D365" s="395">
        <f t="shared" si="123"/>
        <v>9.5825159166585472</v>
      </c>
      <c r="E365" s="387">
        <f t="shared" si="145"/>
        <v>10.522045836888317</v>
      </c>
      <c r="F365" s="387">
        <f t="shared" si="124"/>
        <v>10.674755262521771</v>
      </c>
      <c r="G365" s="110">
        <f t="shared" si="146"/>
        <v>0.58597671316185651</v>
      </c>
      <c r="H365" s="414" t="b">
        <f>Wh_hp&gt;='2018'!Maxi_hp</f>
        <v>0</v>
      </c>
      <c r="I365" s="392">
        <f>IF(H365,Wh_hp,'2018'!Maxi_hp)</f>
        <v>15.2581303092539</v>
      </c>
      <c r="J365" s="85">
        <f>IF(H365,An,'2018'!An_max)</f>
        <v>2018</v>
      </c>
      <c r="K365" s="199">
        <f t="shared" si="125"/>
        <v>43816</v>
      </c>
      <c r="L365" s="147">
        <f>IF(t&lt;Tvie,1-EXP((T0-t)*PertePVj)+'2018'!Pspv,1-EXP((T0-t)*PertePVj)+Pspv)</f>
        <v>1.1637436100125353E-2</v>
      </c>
      <c r="M365" s="870"/>
      <c r="N365" s="870"/>
      <c r="O365" s="48">
        <f>IF(t&lt;Tnet,'2018'!Resal+('2018'!Salim-'2018'!Resal)*(1-EXP(('2018'!Tnet-t)/('2018'!Tau_j))),Resal+(Salim-Resal)*(1-EXP((Tnet-t)/(Tau_j))))*Salcycl</f>
        <v>8.9291563142212788E-2</v>
      </c>
      <c r="P365" s="171">
        <f>(INDEX(Models!$BJ365:$BT365,,T365)*(1-R365)+INDEX(Models!$BJ365:$BT365,,T365+1)*R365-ERP_i)*Q365*Ramure*Pc/MaxiM</f>
        <v>3.3637849377759016E-2</v>
      </c>
      <c r="Q365" s="307">
        <f t="shared" si="126"/>
        <v>1</v>
      </c>
      <c r="R365" s="179">
        <f t="shared" si="127"/>
        <v>0.59972288106831328</v>
      </c>
      <c r="S365" s="837">
        <f t="shared" si="128"/>
        <v>-2</v>
      </c>
      <c r="T365" s="178">
        <f t="shared" si="129"/>
        <v>4</v>
      </c>
      <c r="U365" s="253">
        <f t="shared" si="130"/>
        <v>-1.4002771189316867</v>
      </c>
      <c r="V365" s="385">
        <f t="shared" si="131"/>
        <v>15.845761989489091</v>
      </c>
      <c r="W365" s="58"/>
      <c r="X365" s="157">
        <f t="shared" si="132"/>
        <v>43816</v>
      </c>
      <c r="Y365" s="387">
        <f t="shared" si="133"/>
        <v>9.4710000000000001</v>
      </c>
      <c r="Z365" s="387">
        <f t="shared" si="134"/>
        <v>9.5825159166585472</v>
      </c>
      <c r="AA365" s="388">
        <f t="shared" si="135"/>
        <v>10.522045836888317</v>
      </c>
      <c r="AB365" s="199">
        <f t="shared" si="136"/>
        <v>43816</v>
      </c>
      <c r="AC365" s="426">
        <f>IF(OR(t&lt;Tnet,NoTnet),'2018'!Resal_s+('2018'!Salim-'2018'!Resal_s)*(1-EXP(('2018'!Tnet_s-t)/'2018'!Tau_j)),Resal_s+(Salim-Resal_s)*(1-EXP((Tnet_s-t)/Tau_j)))*Salcycl</f>
        <v>8.9291563142212788E-2</v>
      </c>
      <c r="AD365" s="233">
        <f>(INDEX(Models!$BJ365:$BT365,,AH365)*(1-AF365)+INDEX(Models!$BJ365:$BT365,,AH365+1)*AF365-ERP_i)*AE365*Ramure*Pc/MaxiM</f>
        <v>3.3637849377759016E-2</v>
      </c>
      <c r="AE365" s="307">
        <f t="shared" si="137"/>
        <v>1</v>
      </c>
      <c r="AF365" s="179">
        <f t="shared" si="138"/>
        <v>0.59972288106831328</v>
      </c>
      <c r="AG365" s="178">
        <f t="shared" si="139"/>
        <v>-2</v>
      </c>
      <c r="AH365" s="178">
        <f t="shared" si="140"/>
        <v>4</v>
      </c>
      <c r="AI365" s="227">
        <f t="shared" si="141"/>
        <v>-1.4002771189316867</v>
      </c>
      <c r="AJ365" s="267" t="b">
        <f t="shared" si="142"/>
        <v>0</v>
      </c>
      <c r="AK365" s="267" t="b">
        <f t="shared" si="143"/>
        <v>0</v>
      </c>
      <c r="AL365" s="267"/>
      <c r="AM365" s="267"/>
      <c r="AN365" s="75"/>
    </row>
    <row r="366" spans="1:40" s="6" customFormat="1" ht="11.25" customHeight="1" x14ac:dyDescent="0.2">
      <c r="A366" s="56">
        <f t="shared" si="144"/>
        <v>43817</v>
      </c>
      <c r="B366" s="618">
        <v>13.004</v>
      </c>
      <c r="C366" s="392"/>
      <c r="D366" s="395">
        <f t="shared" si="123"/>
        <v>13.157421278491114</v>
      </c>
      <c r="E366" s="387">
        <f t="shared" si="145"/>
        <v>14.449221410172546</v>
      </c>
      <c r="F366" s="387">
        <f t="shared" si="124"/>
        <v>14.821878497252188</v>
      </c>
      <c r="G366" s="110">
        <f t="shared" si="146"/>
        <v>0.81444452580223092</v>
      </c>
      <c r="H366" s="414" t="b">
        <f>Wh_hp&gt;='2018'!Maxi_hp</f>
        <v>1</v>
      </c>
      <c r="I366" s="392">
        <f>IF(H366,Wh_hp,'2018'!Maxi_hp)</f>
        <v>14.821878497252188</v>
      </c>
      <c r="J366" s="85">
        <f>IF(H366,An,'2018'!An_max)</f>
        <v>2019</v>
      </c>
      <c r="K366" s="199">
        <f t="shared" si="125"/>
        <v>43817</v>
      </c>
      <c r="L366" s="147">
        <f>IF(t&lt;Tvie,1-EXP((T0-t)*PertePVj)+'2018'!Pspv,1-EXP((T0-t)*PertePVj)+Pspv)</f>
        <v>1.1660436740892122E-2</v>
      </c>
      <c r="M366" s="870"/>
      <c r="N366" s="870"/>
      <c r="O366" s="48">
        <f>IF(t&lt;Tnet,'2018'!Resal+('2018'!Salim-'2018'!Resal)*(1-EXP(('2018'!Tnet-t)/('2018'!Tau_j))),Resal+(Salim-Resal)*(1-EXP((Tnet-t)/(Tau_j))))*Salcycl</f>
        <v>8.9402750155934269E-2</v>
      </c>
      <c r="P366" s="171">
        <f>(INDEX(Models!$BJ366:$BT366,,T366)*(1-R366)+INDEX(Models!$BJ366:$BT366,,T366+1)*R366-ERP_i)*Q366*Ramure*Pc/MaxiM</f>
        <v>3.3735985360937137E-2</v>
      </c>
      <c r="Q366" s="307">
        <f t="shared" si="126"/>
        <v>1</v>
      </c>
      <c r="R366" s="179">
        <f t="shared" si="127"/>
        <v>0.59973434513585033</v>
      </c>
      <c r="S366" s="837">
        <f t="shared" si="128"/>
        <v>-2</v>
      </c>
      <c r="T366" s="178">
        <f t="shared" si="129"/>
        <v>4</v>
      </c>
      <c r="U366" s="253">
        <f t="shared" si="130"/>
        <v>-1.4002656548641497</v>
      </c>
      <c r="V366" s="385">
        <f t="shared" si="131"/>
        <v>15.825959902432258</v>
      </c>
      <c r="W366" s="58"/>
      <c r="X366" s="157">
        <f t="shared" si="132"/>
        <v>43817</v>
      </c>
      <c r="Y366" s="387">
        <f t="shared" si="133"/>
        <v>13.004</v>
      </c>
      <c r="Z366" s="387">
        <f t="shared" si="134"/>
        <v>13.157421278491114</v>
      </c>
      <c r="AA366" s="388">
        <f t="shared" si="135"/>
        <v>14.449221410172546</v>
      </c>
      <c r="AB366" s="199">
        <f t="shared" si="136"/>
        <v>43817</v>
      </c>
      <c r="AC366" s="426">
        <f>IF(OR(t&lt;Tnet,NoTnet),'2018'!Resal_s+('2018'!Salim-'2018'!Resal_s)*(1-EXP(('2018'!Tnet_s-t)/'2018'!Tau_j)),Resal_s+(Salim-Resal_s)*(1-EXP((Tnet_s-t)/Tau_j)))*Salcycl</f>
        <v>8.9402750155934269E-2</v>
      </c>
      <c r="AD366" s="233">
        <f>(INDEX(Models!$BJ366:$BT366,,AH366)*(1-AF366)+INDEX(Models!$BJ366:$BT366,,AH366+1)*AF366-ERP_i)*AE366*Ramure*Pc/MaxiM</f>
        <v>3.3735985360937137E-2</v>
      </c>
      <c r="AE366" s="307">
        <f t="shared" si="137"/>
        <v>1</v>
      </c>
      <c r="AF366" s="179">
        <f t="shared" si="138"/>
        <v>0.59973434513585033</v>
      </c>
      <c r="AG366" s="178">
        <f t="shared" si="139"/>
        <v>-2</v>
      </c>
      <c r="AH366" s="178">
        <f t="shared" si="140"/>
        <v>4</v>
      </c>
      <c r="AI366" s="227">
        <f t="shared" si="141"/>
        <v>-1.4002656548641497</v>
      </c>
      <c r="AJ366" s="267" t="b">
        <f t="shared" si="142"/>
        <v>0</v>
      </c>
      <c r="AK366" s="267" t="b">
        <f t="shared" si="143"/>
        <v>0</v>
      </c>
      <c r="AL366" s="267"/>
      <c r="AM366" s="267"/>
      <c r="AN366" s="75"/>
    </row>
    <row r="367" spans="1:40" s="6" customFormat="1" ht="11.25" customHeight="1" x14ac:dyDescent="0.2">
      <c r="A367" s="56">
        <f t="shared" si="144"/>
        <v>43818</v>
      </c>
      <c r="B367" s="618">
        <v>8.4760000000000009</v>
      </c>
      <c r="C367" s="392"/>
      <c r="D367" s="395">
        <f t="shared" si="123"/>
        <v>8.5761994850658994</v>
      </c>
      <c r="E367" s="387">
        <f t="shared" si="145"/>
        <v>9.4193787013762602</v>
      </c>
      <c r="F367" s="387">
        <f t="shared" si="124"/>
        <v>9.5279303571681986</v>
      </c>
      <c r="G367" s="110">
        <f t="shared" si="146"/>
        <v>0.52378887571277233</v>
      </c>
      <c r="H367" s="414" t="b">
        <f>Wh_hp&gt;='2018'!Maxi_hp</f>
        <v>0</v>
      </c>
      <c r="I367" s="392">
        <f>IF(H367,Wh_hp,'2018'!Maxi_hp)</f>
        <v>16.382264966636473</v>
      </c>
      <c r="J367" s="85">
        <f>IF(H367,An,'2018'!An_max)</f>
        <v>2018</v>
      </c>
      <c r="K367" s="199">
        <f t="shared" si="125"/>
        <v>43818</v>
      </c>
      <c r="L367" s="147">
        <f>IF(t&lt;Tvie,1-EXP((T0-t)*PertePVj)+'2018'!Pspv,1-EXP((T0-t)*PertePVj)+Pspv)</f>
        <v>1.1683436846400275E-2</v>
      </c>
      <c r="M367" s="870"/>
      <c r="N367" s="870"/>
      <c r="O367" s="48">
        <f>IF(t&lt;Tnet,'2018'!Resal+('2018'!Salim-'2018'!Resal)*(1-EXP(('2018'!Tnet-t)/('2018'!Tau_j))),Resal+(Salim-Resal)*(1-EXP((Tnet-t)/(Tau_j))))*Salcycl</f>
        <v>8.9515374956435828E-2</v>
      </c>
      <c r="P367" s="171">
        <f>(INDEX(Models!$BJ367:$BT367,,T367)*(1-R367)+INDEX(Models!$BJ367:$BT367,,T367+1)*R367-ERP_i)*Q367*Ramure*Pc/MaxiM</f>
        <v>3.3801804445967122E-2</v>
      </c>
      <c r="Q367" s="307">
        <f t="shared" si="126"/>
        <v>1</v>
      </c>
      <c r="R367" s="179">
        <f t="shared" si="127"/>
        <v>0.59974534797940304</v>
      </c>
      <c r="S367" s="837">
        <f t="shared" si="128"/>
        <v>-2</v>
      </c>
      <c r="T367" s="178">
        <f t="shared" si="129"/>
        <v>4</v>
      </c>
      <c r="U367" s="253">
        <f t="shared" si="130"/>
        <v>-1.400254652020597</v>
      </c>
      <c r="V367" s="385">
        <f t="shared" si="131"/>
        <v>15.815292036328868</v>
      </c>
      <c r="W367" s="58"/>
      <c r="X367" s="157">
        <f t="shared" si="132"/>
        <v>43818</v>
      </c>
      <c r="Y367" s="387">
        <f t="shared" si="133"/>
        <v>8.4760000000000009</v>
      </c>
      <c r="Z367" s="387">
        <f t="shared" si="134"/>
        <v>8.5761994850658994</v>
      </c>
      <c r="AA367" s="388">
        <f t="shared" si="135"/>
        <v>9.4193787013762602</v>
      </c>
      <c r="AB367" s="199">
        <f t="shared" si="136"/>
        <v>43818</v>
      </c>
      <c r="AC367" s="426">
        <f>IF(OR(t&lt;Tnet,NoTnet),'2018'!Resal_s+('2018'!Salim-'2018'!Resal_s)*(1-EXP(('2018'!Tnet_s-t)/'2018'!Tau_j)),Resal_s+(Salim-Resal_s)*(1-EXP((Tnet_s-t)/Tau_j)))*Salcycl</f>
        <v>8.9515374956435828E-2</v>
      </c>
      <c r="AD367" s="233">
        <f>(INDEX(Models!$BJ367:$BT367,,AH367)*(1-AF367)+INDEX(Models!$BJ367:$BT367,,AH367+1)*AF367-ERP_i)*AE367*Ramure*Pc/MaxiM</f>
        <v>3.3801804445967122E-2</v>
      </c>
      <c r="AE367" s="307">
        <f t="shared" si="137"/>
        <v>1</v>
      </c>
      <c r="AF367" s="179">
        <f t="shared" si="138"/>
        <v>0.59974534797940304</v>
      </c>
      <c r="AG367" s="178">
        <f t="shared" si="139"/>
        <v>-2</v>
      </c>
      <c r="AH367" s="178">
        <f t="shared" si="140"/>
        <v>4</v>
      </c>
      <c r="AI367" s="227">
        <f t="shared" si="141"/>
        <v>-1.400254652020597</v>
      </c>
      <c r="AJ367" s="267" t="b">
        <f t="shared" si="142"/>
        <v>0</v>
      </c>
      <c r="AK367" s="267" t="b">
        <f t="shared" si="143"/>
        <v>0</v>
      </c>
      <c r="AL367" s="267"/>
      <c r="AM367" s="267"/>
      <c r="AN367" s="75"/>
    </row>
    <row r="368" spans="1:40" s="6" customFormat="1" ht="11.25" customHeight="1" x14ac:dyDescent="0.2">
      <c r="A368" s="56">
        <f t="shared" si="144"/>
        <v>43819</v>
      </c>
      <c r="B368" s="618">
        <v>6.6340000000000003</v>
      </c>
      <c r="C368" s="392"/>
      <c r="D368" s="395">
        <f t="shared" si="123"/>
        <v>6.7125803955927417</v>
      </c>
      <c r="E368" s="387">
        <f t="shared" si="145"/>
        <v>7.3734585797409489</v>
      </c>
      <c r="F368" s="387">
        <f t="shared" si="124"/>
        <v>7.4162978313725141</v>
      </c>
      <c r="G368" s="110">
        <f t="shared" si="146"/>
        <v>0.40766606572464209</v>
      </c>
      <c r="H368" s="414" t="b">
        <f>Wh_hp&gt;='2018'!Maxi_hp</f>
        <v>0</v>
      </c>
      <c r="I368" s="392">
        <f>IF(H368,Wh_hp,'2018'!Maxi_hp)</f>
        <v>11.009406812456149</v>
      </c>
      <c r="J368" s="85">
        <f>IF(H368,An,'2018'!An_max)</f>
        <v>2018</v>
      </c>
      <c r="K368" s="199">
        <f t="shared" si="125"/>
        <v>43819</v>
      </c>
      <c r="L368" s="147">
        <f>IF(t&lt;Tvie,1-EXP((T0-t)*PertePVj)+'2018'!Pspv,1-EXP((T0-t)*PertePVj)+Pspv)</f>
        <v>1.1706436416662469E-2</v>
      </c>
      <c r="M368" s="870"/>
      <c r="N368" s="870"/>
      <c r="O368" s="48">
        <f>IF(t&lt;Tnet,'2018'!Resal+('2018'!Salim-'2018'!Resal)*(1-EXP(('2018'!Tnet-t)/('2018'!Tau_j))),Resal+(Salim-Resal)*(1-EXP((Tnet-t)/(Tau_j))))*Salcycl</f>
        <v>8.9629334321347107E-2</v>
      </c>
      <c r="P368" s="171">
        <f>(INDEX(Models!$BJ368:$BT368,,T368)*(1-R368)+INDEX(Models!$BJ368:$BT368,,T368+1)*R368-ERP_i)*Q368*Ramure*Pc/MaxiM</f>
        <v>3.3834985110574055E-2</v>
      </c>
      <c r="Q368" s="307">
        <f t="shared" si="126"/>
        <v>1</v>
      </c>
      <c r="R368" s="179">
        <f t="shared" si="127"/>
        <v>0.5997559081413768</v>
      </c>
      <c r="S368" s="837">
        <f t="shared" si="128"/>
        <v>-2</v>
      </c>
      <c r="T368" s="178">
        <f t="shared" si="129"/>
        <v>4</v>
      </c>
      <c r="U368" s="253">
        <f t="shared" si="130"/>
        <v>-1.4002440918586232</v>
      </c>
      <c r="V368" s="385">
        <f t="shared" si="131"/>
        <v>15.813868749283232</v>
      </c>
      <c r="W368" s="58"/>
      <c r="X368" s="157">
        <f t="shared" si="132"/>
        <v>43819</v>
      </c>
      <c r="Y368" s="387">
        <f t="shared" si="133"/>
        <v>6.6340000000000003</v>
      </c>
      <c r="Z368" s="387">
        <f t="shared" si="134"/>
        <v>6.7125803955927417</v>
      </c>
      <c r="AA368" s="388">
        <f t="shared" si="135"/>
        <v>7.3734585797409489</v>
      </c>
      <c r="AB368" s="199">
        <f t="shared" si="136"/>
        <v>43819</v>
      </c>
      <c r="AC368" s="426">
        <f>IF(OR(t&lt;Tnet,NoTnet),'2018'!Resal_s+('2018'!Salim-'2018'!Resal_s)*(1-EXP(('2018'!Tnet_s-t)/'2018'!Tau_j)),Resal_s+(Salim-Resal_s)*(1-EXP((Tnet_s-t)/Tau_j)))*Salcycl</f>
        <v>8.9629334321347107E-2</v>
      </c>
      <c r="AD368" s="233">
        <f>(INDEX(Models!$BJ368:$BT368,,AH368)*(1-AF368)+INDEX(Models!$BJ368:$BT368,,AH368+1)*AF368-ERP_i)*AE368*Ramure*Pc/MaxiM</f>
        <v>3.3834985110574055E-2</v>
      </c>
      <c r="AE368" s="307">
        <f t="shared" si="137"/>
        <v>1</v>
      </c>
      <c r="AF368" s="179">
        <f t="shared" si="138"/>
        <v>0.5997559081413768</v>
      </c>
      <c r="AG368" s="178">
        <f t="shared" si="139"/>
        <v>-2</v>
      </c>
      <c r="AH368" s="178">
        <f t="shared" si="140"/>
        <v>4</v>
      </c>
      <c r="AI368" s="227">
        <f t="shared" si="141"/>
        <v>-1.4002440918586232</v>
      </c>
      <c r="AJ368" s="267" t="b">
        <f t="shared" si="142"/>
        <v>0</v>
      </c>
      <c r="AK368" s="267" t="b">
        <f t="shared" si="143"/>
        <v>0</v>
      </c>
      <c r="AL368" s="267"/>
      <c r="AM368" s="267"/>
      <c r="AN368" s="75"/>
    </row>
    <row r="369" spans="1:40" s="18" customFormat="1" ht="11.25" customHeight="1" x14ac:dyDescent="0.2">
      <c r="A369" s="56">
        <f t="shared" si="144"/>
        <v>43820</v>
      </c>
      <c r="B369" s="618">
        <v>13.78</v>
      </c>
      <c r="C369" s="392"/>
      <c r="D369" s="395">
        <f t="shared" si="123"/>
        <v>13.943549969332716</v>
      </c>
      <c r="E369" s="387">
        <f t="shared" si="145"/>
        <v>15.318281927264195</v>
      </c>
      <c r="F369" s="387">
        <f t="shared" si="124"/>
        <v>15.753026690424752</v>
      </c>
      <c r="G369" s="110">
        <f t="shared" si="146"/>
        <v>0.86536321877367794</v>
      </c>
      <c r="H369" s="414" t="b">
        <f>Wh_hp&gt;='2018'!Maxi_hp</f>
        <v>1</v>
      </c>
      <c r="I369" s="392">
        <f>IF(H369,Wh_hp,'2018'!Maxi_hp)</f>
        <v>15.753026690424752</v>
      </c>
      <c r="J369" s="85">
        <f>IF(H369,An,'2018'!An_max)</f>
        <v>2019</v>
      </c>
      <c r="K369" s="199">
        <f t="shared" si="125"/>
        <v>43820</v>
      </c>
      <c r="L369" s="147">
        <f>IF(t&lt;Tvie,1-EXP((T0-t)*PertePVj)+'2018'!Pspv,1-EXP((T0-t)*PertePVj)+Pspv)</f>
        <v>1.1729435451691028E-2</v>
      </c>
      <c r="M369" s="870"/>
      <c r="N369" s="870"/>
      <c r="O369" s="48">
        <f>IF(t&lt;Tnet,'2018'!Resal+('2018'!Salim-'2018'!Resal)*(1-EXP(('2018'!Tnet-t)/('2018'!Tau_j))),Resal+(Salim-Resal)*(1-EXP((Tnet-t)/(Tau_j))))*Salcycl</f>
        <v>8.9744526472297526E-2</v>
      </c>
      <c r="P369" s="171">
        <f>(INDEX(Models!$BJ369:$BT369,,T369)*(1-R369)+INDEX(Models!$BJ369:$BT369,,T369+1)*R369-ERP_i)*Q369*Ramure*Pc/MaxiM</f>
        <v>3.3835310443619419E-2</v>
      </c>
      <c r="Q369" s="307">
        <f t="shared" si="126"/>
        <v>1</v>
      </c>
      <c r="R369" s="179">
        <f t="shared" si="127"/>
        <v>0.59976604341979822</v>
      </c>
      <c r="S369" s="837">
        <f t="shared" si="128"/>
        <v>-2</v>
      </c>
      <c r="T369" s="178">
        <f t="shared" si="129"/>
        <v>4</v>
      </c>
      <c r="U369" s="253">
        <f t="shared" si="130"/>
        <v>-1.4002339565802018</v>
      </c>
      <c r="V369" s="385">
        <f t="shared" si="131"/>
        <v>15.82180025174363</v>
      </c>
      <c r="W369" s="58"/>
      <c r="X369" s="157">
        <f t="shared" si="132"/>
        <v>43820</v>
      </c>
      <c r="Y369" s="387">
        <f t="shared" si="133"/>
        <v>13.78</v>
      </c>
      <c r="Z369" s="387">
        <f t="shared" si="134"/>
        <v>13.943549969332716</v>
      </c>
      <c r="AA369" s="388">
        <f t="shared" si="135"/>
        <v>15.318281927264195</v>
      </c>
      <c r="AB369" s="199">
        <f t="shared" si="136"/>
        <v>43820</v>
      </c>
      <c r="AC369" s="426">
        <f>IF(OR(t&lt;Tnet,NoTnet),'2018'!Resal_s+('2018'!Salim-'2018'!Resal_s)*(1-EXP(('2018'!Tnet_s-t)/'2018'!Tau_j)),Resal_s+(Salim-Resal_s)*(1-EXP((Tnet_s-t)/Tau_j)))*Salcycl</f>
        <v>8.9744526472297526E-2</v>
      </c>
      <c r="AD369" s="233">
        <f>(INDEX(Models!$BJ369:$BT369,,AH369)*(1-AF369)+INDEX(Models!$BJ369:$BT369,,AH369+1)*AF369-ERP_i)*AE369*Ramure*Pc/MaxiM</f>
        <v>3.3835310443619419E-2</v>
      </c>
      <c r="AE369" s="307">
        <f t="shared" si="137"/>
        <v>1</v>
      </c>
      <c r="AF369" s="179">
        <f t="shared" si="138"/>
        <v>0.59976604341979822</v>
      </c>
      <c r="AG369" s="178">
        <f t="shared" si="139"/>
        <v>-2</v>
      </c>
      <c r="AH369" s="178">
        <f t="shared" si="140"/>
        <v>4</v>
      </c>
      <c r="AI369" s="227">
        <f t="shared" si="141"/>
        <v>-1.4002339565802018</v>
      </c>
      <c r="AJ369" s="267" t="b">
        <f t="shared" si="142"/>
        <v>0</v>
      </c>
      <c r="AK369" s="267" t="b">
        <f t="shared" si="143"/>
        <v>0</v>
      </c>
      <c r="AL369" s="267"/>
      <c r="AM369" s="267"/>
      <c r="AN369" s="267"/>
    </row>
    <row r="370" spans="1:40" s="18" customFormat="1" ht="11.25" customHeight="1" x14ac:dyDescent="0.2">
      <c r="A370" s="56">
        <f t="shared" si="144"/>
        <v>43821</v>
      </c>
      <c r="B370" s="618">
        <v>5.4459999999999997</v>
      </c>
      <c r="C370" s="392"/>
      <c r="D370" s="395">
        <f t="shared" si="123"/>
        <v>5.5107649005155439</v>
      </c>
      <c r="E370" s="387">
        <f t="shared" si="145"/>
        <v>6.0548597547444789</v>
      </c>
      <c r="F370" s="387">
        <f t="shared" si="124"/>
        <v>6.0677023965182313</v>
      </c>
      <c r="G370" s="110">
        <f t="shared" si="146"/>
        <v>0.33291280715953053</v>
      </c>
      <c r="H370" s="414" t="b">
        <f>Wh_hp&gt;='2018'!Maxi_hp</f>
        <v>0</v>
      </c>
      <c r="I370" s="392">
        <f>IF(H370,Wh_hp,'2018'!Maxi_hp)</f>
        <v>7.0981790217302638</v>
      </c>
      <c r="J370" s="85">
        <f>IF(H370,An,'2018'!An_max)</f>
        <v>2018</v>
      </c>
      <c r="K370" s="199">
        <f t="shared" si="125"/>
        <v>43821</v>
      </c>
      <c r="L370" s="147">
        <f>IF(t&lt;Tvie,1-EXP((T0-t)*PertePVj)+'2018'!Pspv,1-EXP((T0-t)*PertePVj)+Pspv)</f>
        <v>1.1752433951498387E-2</v>
      </c>
      <c r="M370" s="870"/>
      <c r="N370" s="870"/>
      <c r="O370" s="48">
        <f>IF(t&lt;Tnet,'2018'!Resal+('2018'!Salim-'2018'!Resal)*(1-EXP(('2018'!Tnet-t)/('2018'!Tau_j))),Resal+(Salim-Resal)*(1-EXP((Tnet-t)/(Tau_j))))*Salcycl</f>
        <v>8.9860851657644403E-2</v>
      </c>
      <c r="P370" s="171">
        <f>(INDEX(Models!$BJ370:$BT370,,T370)*(1-R370)+INDEX(Models!$BJ370:$BT370,,T370+1)*R370-ERP_i)*Q370*Ramure*Pc/MaxiM</f>
        <v>3.3802671216327171E-2</v>
      </c>
      <c r="Q370" s="307">
        <f t="shared" si="126"/>
        <v>1</v>
      </c>
      <c r="R370" s="179">
        <f t="shared" si="127"/>
        <v>0.5997757708981144</v>
      </c>
      <c r="S370" s="837">
        <f t="shared" si="128"/>
        <v>-2</v>
      </c>
      <c r="T370" s="178">
        <f t="shared" si="129"/>
        <v>4</v>
      </c>
      <c r="U370" s="253">
        <f t="shared" si="130"/>
        <v>-1.4002242291018856</v>
      </c>
      <c r="V370" s="385">
        <f t="shared" si="131"/>
        <v>15.839196626441472</v>
      </c>
      <c r="W370" s="58"/>
      <c r="X370" s="157">
        <f t="shared" si="132"/>
        <v>43821</v>
      </c>
      <c r="Y370" s="387">
        <f t="shared" si="133"/>
        <v>5.4459999999999997</v>
      </c>
      <c r="Z370" s="387">
        <f t="shared" si="134"/>
        <v>5.5107649005155439</v>
      </c>
      <c r="AA370" s="388">
        <f t="shared" si="135"/>
        <v>6.0548597547444789</v>
      </c>
      <c r="AB370" s="199">
        <f t="shared" si="136"/>
        <v>43821</v>
      </c>
      <c r="AC370" s="426">
        <f>IF(OR(t&lt;Tnet,NoTnet),'2018'!Resal_s+('2018'!Salim-'2018'!Resal_s)*(1-EXP(('2018'!Tnet_s-t)/'2018'!Tau_j)),Resal_s+(Salim-Resal_s)*(1-EXP((Tnet_s-t)/Tau_j)))*Salcycl</f>
        <v>8.9860851657644403E-2</v>
      </c>
      <c r="AD370" s="233">
        <f>(INDEX(Models!$BJ370:$BT370,,AH370)*(1-AF370)+INDEX(Models!$BJ370:$BT370,,AH370+1)*AF370-ERP_i)*AE370*Ramure*Pc/MaxiM</f>
        <v>3.3802671216327171E-2</v>
      </c>
      <c r="AE370" s="307">
        <f t="shared" si="137"/>
        <v>1</v>
      </c>
      <c r="AF370" s="179">
        <f t="shared" si="138"/>
        <v>0.5997757708981144</v>
      </c>
      <c r="AG370" s="178">
        <f t="shared" si="139"/>
        <v>-2</v>
      </c>
      <c r="AH370" s="178">
        <f t="shared" si="140"/>
        <v>4</v>
      </c>
      <c r="AI370" s="227">
        <f t="shared" si="141"/>
        <v>-1.4002242291018856</v>
      </c>
      <c r="AJ370" s="267" t="b">
        <f t="shared" si="142"/>
        <v>0</v>
      </c>
      <c r="AK370" s="267" t="b">
        <f t="shared" si="143"/>
        <v>0</v>
      </c>
      <c r="AL370" s="267"/>
      <c r="AM370" s="267"/>
      <c r="AN370" s="267"/>
    </row>
    <row r="371" spans="1:40" s="6" customFormat="1" ht="11.25" customHeight="1" x14ac:dyDescent="0.2">
      <c r="A371" s="56">
        <f t="shared" si="144"/>
        <v>43822</v>
      </c>
      <c r="B371" s="618">
        <v>6.7320000000000002</v>
      </c>
      <c r="C371" s="392"/>
      <c r="D371" s="395">
        <f t="shared" si="123"/>
        <v>6.812216795068017</v>
      </c>
      <c r="E371" s="387">
        <f t="shared" si="145"/>
        <v>7.4857732969930559</v>
      </c>
      <c r="F371" s="387">
        <f t="shared" si="124"/>
        <v>7.530888070666216</v>
      </c>
      <c r="G371" s="110">
        <f t="shared" si="146"/>
        <v>0.41245531616419423</v>
      </c>
      <c r="H371" s="414" t="b">
        <f>Wh_hp&gt;='2018'!Maxi_hp</f>
        <v>1</v>
      </c>
      <c r="I371" s="392">
        <f>IF(H371,Wh_hp,'2018'!Maxi_hp)</f>
        <v>7.530888070666216</v>
      </c>
      <c r="J371" s="85">
        <f>IF(H371,An,'2018'!An_max)</f>
        <v>2019</v>
      </c>
      <c r="K371" s="199">
        <f t="shared" si="125"/>
        <v>43822</v>
      </c>
      <c r="L371" s="147">
        <f>IF(t&lt;Tvie,1-EXP((T0-t)*PertePVj)+'2018'!Pspv,1-EXP((T0-t)*PertePVj)+Pspv)</f>
        <v>1.177543191609709E-2</v>
      </c>
      <c r="M371" s="870"/>
      <c r="N371" s="870"/>
      <c r="O371" s="48">
        <f>IF(t&lt;Tnet,'2018'!Resal+('2018'!Salim-'2018'!Resal)*(1-EXP(('2018'!Tnet-t)/('2018'!Tau_j))),Resal+(Salim-Resal)*(1-EXP((Tnet-t)/(Tau_j))))*Salcycl</f>
        <v>8.9978212697891607E-2</v>
      </c>
      <c r="P371" s="171">
        <f>(INDEX(Models!$BJ371:$BT371,,T371)*(1-R371)+INDEX(Models!$BJ371:$BT371,,T371+1)*R371-ERP_i)*Q371*Ramure*Pc/MaxiM</f>
        <v>3.3736753471789067E-2</v>
      </c>
      <c r="Q371" s="307">
        <f t="shared" si="126"/>
        <v>1</v>
      </c>
      <c r="R371" s="179">
        <f t="shared" si="127"/>
        <v>0.5997757708981144</v>
      </c>
      <c r="S371" s="837">
        <f t="shared" si="128"/>
        <v>-2</v>
      </c>
      <c r="T371" s="178">
        <f t="shared" si="129"/>
        <v>4</v>
      </c>
      <c r="U371" s="253">
        <f t="shared" si="130"/>
        <v>-1.4002242291018856</v>
      </c>
      <c r="V371" s="385">
        <f t="shared" si="131"/>
        <v>15.866172973919962</v>
      </c>
      <c r="W371" s="58"/>
      <c r="X371" s="157">
        <f t="shared" si="132"/>
        <v>43822</v>
      </c>
      <c r="Y371" s="387">
        <f t="shared" si="133"/>
        <v>6.7320000000000002</v>
      </c>
      <c r="Z371" s="387">
        <f t="shared" si="134"/>
        <v>6.812216795068017</v>
      </c>
      <c r="AA371" s="388">
        <f t="shared" si="135"/>
        <v>7.4857732969930559</v>
      </c>
      <c r="AB371" s="199">
        <f t="shared" si="136"/>
        <v>43822</v>
      </c>
      <c r="AC371" s="426">
        <f>IF(OR(t&lt;Tnet,NoTnet),'2018'!Resal_s+('2018'!Salim-'2018'!Resal_s)*(1-EXP(('2018'!Tnet_s-t)/'2018'!Tau_j)),Resal_s+(Salim-Resal_s)*(1-EXP((Tnet_s-t)/Tau_j)))*Salcycl</f>
        <v>8.9978212697891607E-2</v>
      </c>
      <c r="AD371" s="233">
        <f>(INDEX(Models!$BJ371:$BT371,,AH371)*(1-AF371)+INDEX(Models!$BJ371:$BT371,,AH371+1)*AF371-ERP_i)*AE371*Ramure*Pc/MaxiM</f>
        <v>3.3736753471789067E-2</v>
      </c>
      <c r="AE371" s="307">
        <f t="shared" si="137"/>
        <v>1</v>
      </c>
      <c r="AF371" s="179">
        <f t="shared" si="138"/>
        <v>0.5997757708981144</v>
      </c>
      <c r="AG371" s="178">
        <f t="shared" si="139"/>
        <v>-2</v>
      </c>
      <c r="AH371" s="178">
        <f t="shared" si="140"/>
        <v>4</v>
      </c>
      <c r="AI371" s="227">
        <f t="shared" si="141"/>
        <v>-1.4002242291018856</v>
      </c>
      <c r="AJ371" s="267" t="b">
        <f t="shared" si="142"/>
        <v>0</v>
      </c>
      <c r="AK371" s="267" t="b">
        <f t="shared" si="143"/>
        <v>0</v>
      </c>
      <c r="AL371" s="267"/>
      <c r="AM371" s="267"/>
      <c r="AN371" s="75"/>
    </row>
    <row r="372" spans="1:40" s="6" customFormat="1" ht="11.25" customHeight="1" x14ac:dyDescent="0.2">
      <c r="A372" s="56">
        <f t="shared" si="144"/>
        <v>43823</v>
      </c>
      <c r="B372" s="618">
        <v>12.176</v>
      </c>
      <c r="C372" s="392"/>
      <c r="D372" s="395">
        <f t="shared" si="123"/>
        <v>12.321372846974587</v>
      </c>
      <c r="E372" s="387">
        <f t="shared" si="145"/>
        <v>13.541406376318598</v>
      </c>
      <c r="F372" s="387">
        <f t="shared" si="124"/>
        <v>13.85135011242434</v>
      </c>
      <c r="G372" s="110">
        <f t="shared" si="146"/>
        <v>0.75682993535014798</v>
      </c>
      <c r="H372" s="414" t="b">
        <f>Wh_hp&gt;='2018'!Maxi_hp</f>
        <v>1</v>
      </c>
      <c r="I372" s="392">
        <f>IF(H372,Wh_hp,'2018'!Maxi_hp)</f>
        <v>13.85135011242434</v>
      </c>
      <c r="J372" s="85">
        <f>IF(H372,An,'2018'!An_max)</f>
        <v>2019</v>
      </c>
      <c r="K372" s="199">
        <f t="shared" si="125"/>
        <v>43823</v>
      </c>
      <c r="L372" s="147">
        <f>IF(t&lt;Tvie,1-EXP((T0-t)*PertePVj)+'2018'!Pspv,1-EXP((T0-t)*PertePVj)+Pspv)</f>
        <v>1.1798429345499573E-2</v>
      </c>
      <c r="M372" s="870"/>
      <c r="N372" s="870"/>
      <c r="O372" s="48">
        <f>IF(t&lt;Tnet,'2018'!Resal+('2018'!Salim-'2018'!Resal)*(1-EXP(('2018'!Tnet-t)/('2018'!Tau_j))),Resal+(Salim-Resal)*(1-EXP((Tnet-t)/(Tau_j))))*Salcycl</f>
        <v>9.0096515490268592E-2</v>
      </c>
      <c r="P372" s="171">
        <f>(INDEX(Models!$BJ372:$BT372,,T372)*(1-R372)+INDEX(Models!$BJ372:$BT372,,T372+1)*R372-ERP_i)*Q372*Ramure*Pc/MaxiM</f>
        <v>3.3637948281474983E-2</v>
      </c>
      <c r="Q372" s="307">
        <f t="shared" si="126"/>
        <v>1</v>
      </c>
      <c r="R372" s="179">
        <f t="shared" si="127"/>
        <v>0.5997757708981144</v>
      </c>
      <c r="S372" s="837">
        <f t="shared" si="128"/>
        <v>-2</v>
      </c>
      <c r="T372" s="178">
        <f t="shared" si="129"/>
        <v>4</v>
      </c>
      <c r="U372" s="253">
        <f t="shared" si="130"/>
        <v>-1.4002242291018856</v>
      </c>
      <c r="V372" s="385">
        <f t="shared" si="131"/>
        <v>15.902834540093847</v>
      </c>
      <c r="W372" s="58"/>
      <c r="X372" s="157">
        <f t="shared" si="132"/>
        <v>43823</v>
      </c>
      <c r="Y372" s="387">
        <f t="shared" si="133"/>
        <v>12.176</v>
      </c>
      <c r="Z372" s="387">
        <f t="shared" si="134"/>
        <v>12.321372846974587</v>
      </c>
      <c r="AA372" s="388">
        <f t="shared" si="135"/>
        <v>13.541406376318598</v>
      </c>
      <c r="AB372" s="199">
        <f t="shared" si="136"/>
        <v>43823</v>
      </c>
      <c r="AC372" s="426">
        <f>IF(OR(t&lt;Tnet,NoTnet),'2018'!Resal_s+('2018'!Salim-'2018'!Resal_s)*(1-EXP(('2018'!Tnet_s-t)/'2018'!Tau_j)),Resal_s+(Salim-Resal_s)*(1-EXP((Tnet_s-t)/Tau_j)))*Salcycl</f>
        <v>9.0096515490268592E-2</v>
      </c>
      <c r="AD372" s="233">
        <f>(INDEX(Models!$BJ372:$BT372,,AH372)*(1-AF372)+INDEX(Models!$BJ372:$BT372,,AH372+1)*AF372-ERP_i)*AE372*Ramure*Pc/MaxiM</f>
        <v>3.3637948281474983E-2</v>
      </c>
      <c r="AE372" s="307">
        <f t="shared" si="137"/>
        <v>1</v>
      </c>
      <c r="AF372" s="179">
        <f t="shared" si="138"/>
        <v>0.5997757708981144</v>
      </c>
      <c r="AG372" s="178">
        <f t="shared" si="139"/>
        <v>-2</v>
      </c>
      <c r="AH372" s="178">
        <f t="shared" si="140"/>
        <v>4</v>
      </c>
      <c r="AI372" s="227">
        <f t="shared" si="141"/>
        <v>-1.4002242291018856</v>
      </c>
      <c r="AJ372" s="267" t="b">
        <f t="shared" si="142"/>
        <v>0</v>
      </c>
      <c r="AK372" s="267" t="b">
        <f t="shared" si="143"/>
        <v>0</v>
      </c>
      <c r="AL372" s="267"/>
      <c r="AM372" s="267"/>
      <c r="AN372" s="75"/>
    </row>
    <row r="373" spans="1:40" s="6" customFormat="1" ht="11.25" customHeight="1" x14ac:dyDescent="0.2">
      <c r="A373" s="56">
        <f t="shared" si="144"/>
        <v>43824</v>
      </c>
      <c r="B373" s="618">
        <v>9.0990000000000002</v>
      </c>
      <c r="C373" s="392"/>
      <c r="D373" s="395">
        <f t="shared" si="123"/>
        <v>9.2078499186395959</v>
      </c>
      <c r="E373" s="387">
        <f t="shared" si="145"/>
        <v>10.12091504507339</v>
      </c>
      <c r="F373" s="387">
        <f t="shared" si="124"/>
        <v>10.253668334327108</v>
      </c>
      <c r="G373" s="110">
        <f t="shared" si="146"/>
        <v>0.55860338617895111</v>
      </c>
      <c r="H373" s="414" t="b">
        <f>Wh_hp&gt;='2018'!Maxi_hp</f>
        <v>0</v>
      </c>
      <c r="I373" s="392">
        <f>IF(H373,Wh_hp,'2018'!Maxi_hp)</f>
        <v>13.907050225818837</v>
      </c>
      <c r="J373" s="85">
        <f>IF(H373,An,'2018'!An_max)</f>
        <v>2018</v>
      </c>
      <c r="K373" s="199">
        <f t="shared" si="125"/>
        <v>43824</v>
      </c>
      <c r="L373" s="147">
        <f>IF(t&lt;Tvie,1-EXP((T0-t)*PertePVj)+'2018'!Pspv,1-EXP((T0-t)*PertePVj)+Pspv)</f>
        <v>1.182142623971838E-2</v>
      </c>
      <c r="M373" s="870"/>
      <c r="N373" s="870"/>
      <c r="O373" s="48">
        <f>IF(t&lt;Tnet,'2018'!Resal+('2018'!Salim-'2018'!Resal)*(1-EXP(('2018'!Tnet-t)/('2018'!Tau_j))),Resal+(Salim-Resal)*(1-EXP((Tnet-t)/(Tau_j))))*Salcycl</f>
        <v>9.021566946935812E-2</v>
      </c>
      <c r="P373" s="171">
        <f>(INDEX(Models!$BJ373:$BT373,,T373)*(1-R373)+INDEX(Models!$BJ373:$BT373,,T373+1)*R373-ERP_i)*Q373*Ramure*Pc/MaxiM</f>
        <v>3.3505773433828344E-2</v>
      </c>
      <c r="Q373" s="307">
        <f t="shared" si="126"/>
        <v>1</v>
      </c>
      <c r="R373" s="179">
        <f t="shared" si="127"/>
        <v>0.5997757708981144</v>
      </c>
      <c r="S373" s="837">
        <f t="shared" si="128"/>
        <v>-2</v>
      </c>
      <c r="T373" s="178">
        <f t="shared" si="129"/>
        <v>4</v>
      </c>
      <c r="U373" s="253">
        <f t="shared" si="130"/>
        <v>-1.4002242291018856</v>
      </c>
      <c r="V373" s="385">
        <f t="shared" si="131"/>
        <v>15.949565311319498</v>
      </c>
      <c r="W373" s="58"/>
      <c r="X373" s="157">
        <f t="shared" si="132"/>
        <v>43824</v>
      </c>
      <c r="Y373" s="387">
        <f t="shared" si="133"/>
        <v>9.0990000000000002</v>
      </c>
      <c r="Z373" s="387">
        <f t="shared" si="134"/>
        <v>9.2078499186395959</v>
      </c>
      <c r="AA373" s="388">
        <f t="shared" si="135"/>
        <v>10.12091504507339</v>
      </c>
      <c r="AB373" s="199">
        <f t="shared" si="136"/>
        <v>43824</v>
      </c>
      <c r="AC373" s="426">
        <f>IF(OR(t&lt;Tnet,NoTnet),'2018'!Resal_s+('2018'!Salim-'2018'!Resal_s)*(1-EXP(('2018'!Tnet_s-t)/'2018'!Tau_j)),Resal_s+(Salim-Resal_s)*(1-EXP((Tnet_s-t)/Tau_j)))*Salcycl</f>
        <v>9.021566946935812E-2</v>
      </c>
      <c r="AD373" s="233">
        <f>(INDEX(Models!$BJ373:$BT373,,AH373)*(1-AF373)+INDEX(Models!$BJ373:$BT373,,AH373+1)*AF373-ERP_i)*AE373*Ramure*Pc/MaxiM</f>
        <v>3.3505773433828344E-2</v>
      </c>
      <c r="AE373" s="307">
        <f t="shared" si="137"/>
        <v>1</v>
      </c>
      <c r="AF373" s="179">
        <f t="shared" si="138"/>
        <v>0.5997757708981144</v>
      </c>
      <c r="AG373" s="178">
        <f t="shared" si="139"/>
        <v>-2</v>
      </c>
      <c r="AH373" s="178">
        <f t="shared" si="140"/>
        <v>4</v>
      </c>
      <c r="AI373" s="227">
        <f t="shared" si="141"/>
        <v>-1.4002242291018856</v>
      </c>
      <c r="AJ373" s="267" t="b">
        <f t="shared" si="142"/>
        <v>0</v>
      </c>
      <c r="AK373" s="267" t="b">
        <f t="shared" si="143"/>
        <v>0</v>
      </c>
      <c r="AL373" s="267"/>
      <c r="AM373" s="267"/>
      <c r="AN373" s="75"/>
    </row>
    <row r="374" spans="1:40" s="6" customFormat="1" ht="11.25" customHeight="1" x14ac:dyDescent="0.2">
      <c r="A374" s="56">
        <f t="shared" si="144"/>
        <v>43825</v>
      </c>
      <c r="B374" s="618">
        <v>5.6849999999999996</v>
      </c>
      <c r="C374" s="392"/>
      <c r="D374" s="395">
        <f t="shared" si="123"/>
        <v>5.7531426528513556</v>
      </c>
      <c r="E374" s="387">
        <f t="shared" si="145"/>
        <v>6.3244671079699311</v>
      </c>
      <c r="F374" s="387">
        <f t="shared" si="124"/>
        <v>6.3411290301283385</v>
      </c>
      <c r="G374" s="110">
        <f t="shared" si="146"/>
        <v>0.34423096744522902</v>
      </c>
      <c r="H374" s="414" t="b">
        <f>Wh_hp&gt;='2018'!Maxi_hp</f>
        <v>0</v>
      </c>
      <c r="I374" s="392">
        <f>IF(H374,Wh_hp,'2018'!Maxi_hp)</f>
        <v>17.58318067946076</v>
      </c>
      <c r="J374" s="85">
        <f>IF(H374,An,'2018'!An_max)</f>
        <v>2018</v>
      </c>
      <c r="K374" s="199">
        <f t="shared" si="125"/>
        <v>43825</v>
      </c>
      <c r="L374" s="147">
        <f>IF(t&lt;Tvie,1-EXP((T0-t)*PertePVj)+'2018'!Pspv,1-EXP((T0-t)*PertePVj)+Pspv)</f>
        <v>1.1844422598765725E-2</v>
      </c>
      <c r="M374" s="870"/>
      <c r="N374" s="870"/>
      <c r="O374" s="48">
        <f>IF(t&lt;Tnet,'2018'!Resal+('2018'!Salim-'2018'!Resal)*(1-EXP(('2018'!Tnet-t)/('2018'!Tau_j))),Resal+(Salim-Resal)*(1-EXP((Tnet-t)/(Tau_j))))*Salcycl</f>
        <v>9.0335588021100935E-2</v>
      </c>
      <c r="P374" s="171">
        <f>(INDEX(Models!$BJ374:$BT374,,T374)*(1-R374)+INDEX(Models!$BJ374:$BT374,,T374+1)*R374-ERP_i)*Q374*Ramure*Pc/MaxiM</f>
        <v>3.3340351677965951E-2</v>
      </c>
      <c r="Q374" s="307">
        <f t="shared" si="126"/>
        <v>1</v>
      </c>
      <c r="R374" s="179">
        <f t="shared" si="127"/>
        <v>0.5997757708981144</v>
      </c>
      <c r="S374" s="837">
        <f t="shared" si="128"/>
        <v>-2</v>
      </c>
      <c r="T374" s="178">
        <f t="shared" si="129"/>
        <v>4</v>
      </c>
      <c r="U374" s="253">
        <f t="shared" si="130"/>
        <v>-1.4002242291018856</v>
      </c>
      <c r="V374" s="385">
        <f t="shared" si="131"/>
        <v>16.006514550145887</v>
      </c>
      <c r="W374" s="58"/>
      <c r="X374" s="157">
        <f t="shared" si="132"/>
        <v>43825</v>
      </c>
      <c r="Y374" s="387">
        <f t="shared" si="133"/>
        <v>5.6849999999999996</v>
      </c>
      <c r="Z374" s="387">
        <f t="shared" si="134"/>
        <v>5.7531426528513556</v>
      </c>
      <c r="AA374" s="388">
        <f t="shared" si="135"/>
        <v>6.3244671079699311</v>
      </c>
      <c r="AB374" s="199">
        <f t="shared" si="136"/>
        <v>43825</v>
      </c>
      <c r="AC374" s="426">
        <f>IF(OR(t&lt;Tnet,NoTnet),'2018'!Resal_s+('2018'!Salim-'2018'!Resal_s)*(1-EXP(('2018'!Tnet_s-t)/'2018'!Tau_j)),Resal_s+(Salim-Resal_s)*(1-EXP((Tnet_s-t)/Tau_j)))*Salcycl</f>
        <v>9.0335588021100935E-2</v>
      </c>
      <c r="AD374" s="233">
        <f>(INDEX(Models!$BJ374:$BT374,,AH374)*(1-AF374)+INDEX(Models!$BJ374:$BT374,,AH374+1)*AF374-ERP_i)*AE374*Ramure*Pc/MaxiM</f>
        <v>3.3340351677965951E-2</v>
      </c>
      <c r="AE374" s="307">
        <f t="shared" si="137"/>
        <v>1</v>
      </c>
      <c r="AF374" s="179">
        <f t="shared" si="138"/>
        <v>0.5997757708981144</v>
      </c>
      <c r="AG374" s="178">
        <f t="shared" si="139"/>
        <v>-2</v>
      </c>
      <c r="AH374" s="178">
        <f t="shared" si="140"/>
        <v>4</v>
      </c>
      <c r="AI374" s="227">
        <f t="shared" si="141"/>
        <v>-1.4002242291018856</v>
      </c>
      <c r="AJ374" s="267" t="b">
        <f t="shared" si="142"/>
        <v>0</v>
      </c>
      <c r="AK374" s="267" t="b">
        <f t="shared" si="143"/>
        <v>0</v>
      </c>
      <c r="AL374" s="267"/>
      <c r="AM374" s="267"/>
      <c r="AN374" s="75"/>
    </row>
    <row r="375" spans="1:40" s="6" customFormat="1" ht="11.25" customHeight="1" x14ac:dyDescent="0.2">
      <c r="A375" s="56">
        <f t="shared" si="144"/>
        <v>43826</v>
      </c>
      <c r="B375" s="618">
        <v>13.814</v>
      </c>
      <c r="C375" s="392"/>
      <c r="D375" s="395">
        <f t="shared" si="123"/>
        <v>13.979905386733485</v>
      </c>
      <c r="E375" s="387">
        <f t="shared" si="145"/>
        <v>15.370238591394994</v>
      </c>
      <c r="F375" s="387">
        <f t="shared" si="124"/>
        <v>15.788336508795686</v>
      </c>
      <c r="G375" s="110">
        <f t="shared" si="146"/>
        <v>0.85354946624484229</v>
      </c>
      <c r="H375" s="414" t="b">
        <f>Wh_hp&gt;='2018'!Maxi_hp</f>
        <v>0</v>
      </c>
      <c r="I375" s="392">
        <f>IF(H375,Wh_hp,'2018'!Maxi_hp)</f>
        <v>17.819544852558497</v>
      </c>
      <c r="J375" s="85">
        <f>IF(H375,An,'2018'!An_max)</f>
        <v>2018</v>
      </c>
      <c r="K375" s="199">
        <f t="shared" si="125"/>
        <v>43826</v>
      </c>
      <c r="L375" s="147">
        <f>IF(t&lt;Tvie,1-EXP((T0-t)*PertePVj)+'2018'!Pspv,1-EXP((T0-t)*PertePVj)+Pspv)</f>
        <v>1.1867418422654263E-2</v>
      </c>
      <c r="M375" s="870"/>
      <c r="N375" s="870"/>
      <c r="O375" s="48">
        <f>IF(t&lt;Tnet,'2018'!Resal+('2018'!Salim-'2018'!Resal)*(1-EXP(('2018'!Tnet-t)/('2018'!Tau_j))),Resal+(Salim-Resal)*(1-EXP((Tnet-t)/(Tau_j))))*Salcycl</f>
        <v>9.0456188847965205E-2</v>
      </c>
      <c r="P375" s="171">
        <f>(INDEX(Models!$BJ375:$BT375,,T375)*(1-R375)+INDEX(Models!$BJ375:$BT375,,T375+1)*R375-ERP_i)*Q375*Ramure*Pc/MaxiM</f>
        <v>3.3135883921302921E-2</v>
      </c>
      <c r="Q375" s="307">
        <f t="shared" si="126"/>
        <v>1</v>
      </c>
      <c r="R375" s="179">
        <f t="shared" si="127"/>
        <v>0.5997757708981144</v>
      </c>
      <c r="S375" s="837">
        <f t="shared" si="128"/>
        <v>-2</v>
      </c>
      <c r="T375" s="178">
        <f t="shared" si="129"/>
        <v>4</v>
      </c>
      <c r="U375" s="253">
        <f t="shared" si="130"/>
        <v>-1.4002242291018856</v>
      </c>
      <c r="V375" s="385">
        <f t="shared" si="131"/>
        <v>16.073555865684611</v>
      </c>
      <c r="W375" s="58"/>
      <c r="X375" s="157">
        <f t="shared" si="132"/>
        <v>43826</v>
      </c>
      <c r="Y375" s="387">
        <f t="shared" si="133"/>
        <v>13.814</v>
      </c>
      <c r="Z375" s="387">
        <f t="shared" si="134"/>
        <v>13.979905386733485</v>
      </c>
      <c r="AA375" s="388">
        <f t="shared" si="135"/>
        <v>15.370238591394994</v>
      </c>
      <c r="AB375" s="199">
        <f t="shared" si="136"/>
        <v>43826</v>
      </c>
      <c r="AC375" s="426">
        <f>IF(OR(t&lt;Tnet,NoTnet),'2018'!Resal_s+('2018'!Salim-'2018'!Resal_s)*(1-EXP(('2018'!Tnet_s-t)/'2018'!Tau_j)),Resal_s+(Salim-Resal_s)*(1-EXP((Tnet_s-t)/Tau_j)))*Salcycl</f>
        <v>9.0456188847965205E-2</v>
      </c>
      <c r="AD375" s="233">
        <f>(INDEX(Models!$BJ375:$BT375,,AH375)*(1-AF375)+INDEX(Models!$BJ375:$BT375,,AH375+1)*AF375-ERP_i)*AE375*Ramure*Pc/MaxiM</f>
        <v>3.3135883921302921E-2</v>
      </c>
      <c r="AE375" s="307">
        <f t="shared" si="137"/>
        <v>1</v>
      </c>
      <c r="AF375" s="179">
        <f t="shared" si="138"/>
        <v>0.5997757708981144</v>
      </c>
      <c r="AG375" s="178">
        <f t="shared" si="139"/>
        <v>-2</v>
      </c>
      <c r="AH375" s="178">
        <f t="shared" si="140"/>
        <v>4</v>
      </c>
      <c r="AI375" s="227">
        <f t="shared" si="141"/>
        <v>-1.4002242291018856</v>
      </c>
      <c r="AJ375" s="267" t="b">
        <f t="shared" si="142"/>
        <v>0</v>
      </c>
      <c r="AK375" s="267" t="b">
        <f t="shared" si="143"/>
        <v>0</v>
      </c>
      <c r="AL375" s="267"/>
      <c r="AM375" s="267"/>
      <c r="AN375" s="75"/>
    </row>
    <row r="376" spans="1:40" s="6" customFormat="1" ht="11.25" customHeight="1" x14ac:dyDescent="0.2">
      <c r="A376" s="56">
        <f t="shared" si="144"/>
        <v>43827</v>
      </c>
      <c r="B376" s="618">
        <v>3.395</v>
      </c>
      <c r="C376" s="392"/>
      <c r="D376" s="395">
        <f t="shared" si="123"/>
        <v>3.4358537222089049</v>
      </c>
      <c r="E376" s="387">
        <f t="shared" si="145"/>
        <v>3.7780606074797132</v>
      </c>
      <c r="F376" s="387">
        <f t="shared" si="124"/>
        <v>3.7780606074797132</v>
      </c>
      <c r="G376" s="110">
        <f t="shared" si="146"/>
        <v>0.20329628114424655</v>
      </c>
      <c r="H376" s="414" t="b">
        <f>Wh_hp&gt;='2018'!Maxi_hp</f>
        <v>1</v>
      </c>
      <c r="I376" s="392">
        <f>IF(H376,Wh_hp,'2018'!Maxi_hp)</f>
        <v>3.7780606074797132</v>
      </c>
      <c r="J376" s="85">
        <f>IF(H376,An,'2018'!An_max)</f>
        <v>2019</v>
      </c>
      <c r="K376" s="199">
        <f t="shared" si="125"/>
        <v>43827</v>
      </c>
      <c r="L376" s="147">
        <f>IF(t&lt;Tvie,1-EXP((T0-t)*PertePVj)+'2018'!Pspv,1-EXP((T0-t)*PertePVj)+Pspv)</f>
        <v>1.1890413711396319E-2</v>
      </c>
      <c r="M376" s="870"/>
      <c r="N376" s="870"/>
      <c r="O376" s="48">
        <f>IF(t&lt;Tnet,'2018'!Resal+('2018'!Salim-'2018'!Resal)*(1-EXP(('2018'!Tnet-t)/('2018'!Tau_j))),Resal+(Salim-Resal)*(1-EXP((Tnet-t)/(Tau_j))))*Salcycl</f>
        <v>9.0577394283542015E-2</v>
      </c>
      <c r="P376" s="171">
        <f>(INDEX(Models!$BJ376:$BT376,,T376)*(1-R376)+INDEX(Models!$BJ376:$BT376,,T376+1)*R376-ERP_i)*Q376*Ramure*Pc/MaxiM</f>
        <v>3.2900848405441017E-2</v>
      </c>
      <c r="Q376" s="307">
        <f t="shared" si="126"/>
        <v>1</v>
      </c>
      <c r="R376" s="179">
        <f t="shared" si="127"/>
        <v>0.5997757708981144</v>
      </c>
      <c r="S376" s="837">
        <f t="shared" si="128"/>
        <v>-2</v>
      </c>
      <c r="T376" s="178">
        <f t="shared" si="129"/>
        <v>4</v>
      </c>
      <c r="U376" s="253">
        <f t="shared" si="130"/>
        <v>-1.4002242291018856</v>
      </c>
      <c r="V376" s="385">
        <f t="shared" si="131"/>
        <v>16.150327990180489</v>
      </c>
      <c r="W376" s="58"/>
      <c r="X376" s="157">
        <f t="shared" si="132"/>
        <v>43827</v>
      </c>
      <c r="Y376" s="387">
        <f t="shared" si="133"/>
        <v>3.395</v>
      </c>
      <c r="Z376" s="387">
        <f t="shared" si="134"/>
        <v>3.4358537222089049</v>
      </c>
      <c r="AA376" s="388">
        <f t="shared" si="135"/>
        <v>3.7780606074797132</v>
      </c>
      <c r="AB376" s="199">
        <f t="shared" si="136"/>
        <v>43827</v>
      </c>
      <c r="AC376" s="426">
        <f>IF(OR(t&lt;Tnet,NoTnet),'2018'!Resal_s+('2018'!Salim-'2018'!Resal_s)*(1-EXP(('2018'!Tnet_s-t)/'2018'!Tau_j)),Resal_s+(Salim-Resal_s)*(1-EXP((Tnet_s-t)/Tau_j)))*Salcycl</f>
        <v>9.0577394283542015E-2</v>
      </c>
      <c r="AD376" s="233">
        <f>(INDEX(Models!$BJ376:$BT376,,AH376)*(1-AF376)+INDEX(Models!$BJ376:$BT376,,AH376+1)*AF376-ERP_i)*AE376*Ramure*Pc/MaxiM</f>
        <v>3.2900848405441017E-2</v>
      </c>
      <c r="AE376" s="307">
        <f t="shared" si="137"/>
        <v>1</v>
      </c>
      <c r="AF376" s="179">
        <f t="shared" si="138"/>
        <v>0.5997757708981144</v>
      </c>
      <c r="AG376" s="178">
        <f t="shared" si="139"/>
        <v>-2</v>
      </c>
      <c r="AH376" s="178">
        <f t="shared" si="140"/>
        <v>4</v>
      </c>
      <c r="AI376" s="227">
        <f t="shared" si="141"/>
        <v>-1.4002242291018856</v>
      </c>
      <c r="AJ376" s="267" t="b">
        <f t="shared" si="142"/>
        <v>0</v>
      </c>
      <c r="AK376" s="267" t="b">
        <f t="shared" si="143"/>
        <v>0</v>
      </c>
      <c r="AL376" s="267"/>
      <c r="AM376" s="267"/>
      <c r="AN376" s="75"/>
    </row>
    <row r="377" spans="1:40" s="6" customFormat="1" ht="11.25" x14ac:dyDescent="0.2">
      <c r="A377" s="56">
        <f t="shared" si="144"/>
        <v>43828</v>
      </c>
      <c r="B377" s="618">
        <v>16.550999999999998</v>
      </c>
      <c r="C377" s="392"/>
      <c r="D377" s="395">
        <f t="shared" si="123"/>
        <v>16.750556218243958</v>
      </c>
      <c r="E377" s="387">
        <f t="shared" si="145"/>
        <v>18.421357330159523</v>
      </c>
      <c r="F377" s="387">
        <f t="shared" si="124"/>
        <v>19.042847861253957</v>
      </c>
      <c r="G377" s="110">
        <f t="shared" si="146"/>
        <v>1.0193642065545574</v>
      </c>
      <c r="H377" s="414" t="b">
        <f>Wh_hp&gt;='2018'!Maxi_hp</f>
        <v>1</v>
      </c>
      <c r="I377" s="392">
        <f>IF(H377,Wh_hp,'2018'!Maxi_hp)</f>
        <v>19.042847861253957</v>
      </c>
      <c r="J377" s="85">
        <f>IF(H377,An,'2018'!An_max)</f>
        <v>2019</v>
      </c>
      <c r="K377" s="199">
        <f t="shared" si="125"/>
        <v>43828</v>
      </c>
      <c r="L377" s="147">
        <f>IF(t&lt;Tvie,1-EXP((T0-t)*PertePVj)+'2018'!Pspv,1-EXP((T0-t)*PertePVj)+Pspv)</f>
        <v>1.1913408465004438E-2</v>
      </c>
      <c r="M377" s="870"/>
      <c r="N377" s="870"/>
      <c r="O377" s="48">
        <f>IF(t&lt;Tnet,'2018'!Resal+('2018'!Salim-'2018'!Resal)*(1-EXP(('2018'!Tnet-t)/('2018'!Tau_j))),Resal+(Salim-Resal)*(1-EXP((Tnet-t)/(Tau_j))))*Salcycl</f>
        <v>9.0699131555312867E-2</v>
      </c>
      <c r="P377" s="171">
        <f>(INDEX(Models!$BJ377:$BT377,,T377)*(1-R377)+INDEX(Models!$BJ377:$BT377,,T377+1)*R377-ERP_i)*Q377*Ramure*Pc/MaxiM</f>
        <v>3.2636427892645536E-2</v>
      </c>
      <c r="Q377" s="307">
        <f t="shared" si="126"/>
        <v>1</v>
      </c>
      <c r="R377" s="179">
        <f t="shared" si="127"/>
        <v>0.5997757708981144</v>
      </c>
      <c r="S377" s="837">
        <f t="shared" si="128"/>
        <v>-2</v>
      </c>
      <c r="T377" s="178">
        <f t="shared" si="129"/>
        <v>4</v>
      </c>
      <c r="U377" s="253">
        <f t="shared" si="130"/>
        <v>-1.4002242291018856</v>
      </c>
      <c r="V377" s="385">
        <f t="shared" si="131"/>
        <v>16.236591292470667</v>
      </c>
      <c r="W377" s="58"/>
      <c r="X377" s="157">
        <f t="shared" si="132"/>
        <v>43828</v>
      </c>
      <c r="Y377" s="387">
        <f t="shared" si="133"/>
        <v>16.550999999999998</v>
      </c>
      <c r="Z377" s="387">
        <f t="shared" si="134"/>
        <v>16.750556218243958</v>
      </c>
      <c r="AA377" s="388">
        <f t="shared" si="135"/>
        <v>18.421357330159523</v>
      </c>
      <c r="AB377" s="199">
        <f t="shared" si="136"/>
        <v>43828</v>
      </c>
      <c r="AC377" s="426">
        <f>IF(OR(t&lt;Tnet,NoTnet),'2018'!Resal_s+('2018'!Salim-'2018'!Resal_s)*(1-EXP(('2018'!Tnet_s-t)/'2018'!Tau_j)),Resal_s+(Salim-Resal_s)*(1-EXP((Tnet_s-t)/Tau_j)))*Salcycl</f>
        <v>9.0699131555312867E-2</v>
      </c>
      <c r="AD377" s="233">
        <f>(INDEX(Models!$BJ377:$BT377,,AH377)*(1-AF377)+INDEX(Models!$BJ377:$BT377,,AH377+1)*AF377-ERP_i)*AE377*Ramure*Pc/MaxiM</f>
        <v>3.2636427892645536E-2</v>
      </c>
      <c r="AE377" s="307">
        <f t="shared" si="137"/>
        <v>1</v>
      </c>
      <c r="AF377" s="179">
        <f t="shared" si="138"/>
        <v>0.5997757708981144</v>
      </c>
      <c r="AG377" s="178">
        <f t="shared" si="139"/>
        <v>-2</v>
      </c>
      <c r="AH377" s="178">
        <f t="shared" si="140"/>
        <v>4</v>
      </c>
      <c r="AI377" s="227">
        <f t="shared" si="141"/>
        <v>-1.4002242291018856</v>
      </c>
      <c r="AJ377" s="267" t="b">
        <f t="shared" si="142"/>
        <v>0</v>
      </c>
      <c r="AK377" s="267" t="b">
        <f t="shared" si="143"/>
        <v>0</v>
      </c>
      <c r="AL377" s="267"/>
      <c r="AM377" s="267"/>
      <c r="AN377" s="75"/>
    </row>
    <row r="378" spans="1:40" s="6" customFormat="1" ht="11.25" customHeight="1" x14ac:dyDescent="0.2">
      <c r="A378" s="56">
        <f t="shared" si="144"/>
        <v>43829</v>
      </c>
      <c r="B378" s="618">
        <v>15.805</v>
      </c>
      <c r="C378" s="392"/>
      <c r="D378" s="395">
        <f t="shared" si="123"/>
        <v>15.995933908429523</v>
      </c>
      <c r="E378" s="387">
        <f t="shared" si="145"/>
        <v>17.593828901771207</v>
      </c>
      <c r="F378" s="387">
        <f t="shared" si="124"/>
        <v>18.153924992563482</v>
      </c>
      <c r="G378" s="110">
        <f t="shared" si="146"/>
        <v>0.96623670664391714</v>
      </c>
      <c r="H378" s="414" t="b">
        <f>Wh_hp&gt;='2018'!Maxi_hp</f>
        <v>1</v>
      </c>
      <c r="I378" s="392">
        <f>IF(H378,Wh_hp,'2018'!Maxi_hp)</f>
        <v>18.153924992563482</v>
      </c>
      <c r="J378" s="85">
        <f>IF(H378,An,'2018'!An_max)</f>
        <v>2019</v>
      </c>
      <c r="K378" s="199">
        <f t="shared" si="125"/>
        <v>43829</v>
      </c>
      <c r="L378" s="147">
        <f>IF(t&lt;Tvie,1-EXP((T0-t)*PertePVj)+'2018'!Pspv,1-EXP((T0-t)*PertePVj)+Pspv)</f>
        <v>1.1936402683491054E-2</v>
      </c>
      <c r="M378" s="870"/>
      <c r="N378" s="870"/>
      <c r="O378" s="48">
        <f>IF(t&lt;Tnet,'2018'!Resal+('2018'!Salim-'2018'!Resal)*(1-EXP(('2018'!Tnet-t)/('2018'!Tau_j))),Resal+(Salim-Resal)*(1-EXP((Tnet-t)/(Tau_j))))*Salcycl</f>
        <v>9.0821332994822007E-2</v>
      </c>
      <c r="P378" s="171">
        <f>(INDEX(Models!$BJ378:$BT378,,T378)*(1-R378)+INDEX(Models!$BJ378:$BT378,,T378+1)*R378-ERP_i)*Q378*Ramure*Pc/MaxiM</f>
        <v>3.234386452314357E-2</v>
      </c>
      <c r="Q378" s="307">
        <f t="shared" si="126"/>
        <v>1</v>
      </c>
      <c r="R378" s="179">
        <f t="shared" si="127"/>
        <v>0.5997757708981144</v>
      </c>
      <c r="S378" s="837">
        <f t="shared" si="128"/>
        <v>-2</v>
      </c>
      <c r="T378" s="178">
        <f t="shared" si="129"/>
        <v>4</v>
      </c>
      <c r="U378" s="253">
        <f t="shared" si="130"/>
        <v>-1.4002242291018856</v>
      </c>
      <c r="V378" s="385">
        <f t="shared" si="131"/>
        <v>16.332106202278769</v>
      </c>
      <c r="W378" s="58"/>
      <c r="X378" s="157">
        <f t="shared" si="132"/>
        <v>43829</v>
      </c>
      <c r="Y378" s="387">
        <f t="shared" si="133"/>
        <v>15.804999999999998</v>
      </c>
      <c r="Z378" s="387">
        <f t="shared" si="134"/>
        <v>15.995933908429521</v>
      </c>
      <c r="AA378" s="388">
        <f t="shared" si="135"/>
        <v>17.593828901771207</v>
      </c>
      <c r="AB378" s="199">
        <f t="shared" si="136"/>
        <v>43829</v>
      </c>
      <c r="AC378" s="426">
        <f>IF(OR(t&lt;Tnet,NoTnet),'2018'!Resal_s+('2018'!Salim-'2018'!Resal_s)*(1-EXP(('2018'!Tnet_s-t)/'2018'!Tau_j)),Resal_s+(Salim-Resal_s)*(1-EXP((Tnet_s-t)/Tau_j)))*Salcycl</f>
        <v>9.0821332994822007E-2</v>
      </c>
      <c r="AD378" s="233">
        <f>(INDEX(Models!$BJ378:$BT378,,AH378)*(1-AF378)+INDEX(Models!$BJ378:$BT378,,AH378+1)*AF378-ERP_i)*AE378*Ramure*Pc/MaxiM</f>
        <v>3.234386452314357E-2</v>
      </c>
      <c r="AE378" s="307">
        <f t="shared" si="137"/>
        <v>1</v>
      </c>
      <c r="AF378" s="179">
        <f t="shared" si="138"/>
        <v>0.5997757708981144</v>
      </c>
      <c r="AG378" s="178">
        <f t="shared" si="139"/>
        <v>-2</v>
      </c>
      <c r="AH378" s="178">
        <f t="shared" si="140"/>
        <v>4</v>
      </c>
      <c r="AI378" s="227">
        <f t="shared" si="141"/>
        <v>-1.4002242291018856</v>
      </c>
      <c r="AJ378" s="267" t="b">
        <f t="shared" si="142"/>
        <v>0</v>
      </c>
      <c r="AK378" s="267" t="b">
        <f t="shared" si="143"/>
        <v>0</v>
      </c>
      <c r="AL378" s="267"/>
      <c r="AM378" s="267"/>
      <c r="AN378" s="75"/>
    </row>
    <row r="379" spans="1:40" s="18" customFormat="1" ht="12.75" x14ac:dyDescent="0.2">
      <c r="A379" s="56">
        <f t="shared" si="144"/>
        <v>43830</v>
      </c>
      <c r="B379" s="618">
        <v>12.005000000000001</v>
      </c>
      <c r="C379" s="392"/>
      <c r="D379" s="395">
        <f t="shared" si="123"/>
        <v>12.15031037778845</v>
      </c>
      <c r="E379" s="387">
        <f t="shared" si="145"/>
        <v>13.365853726260919</v>
      </c>
      <c r="F379" s="387">
        <f t="shared" si="124"/>
        <v>13.63430749412905</v>
      </c>
      <c r="G379" s="110">
        <f t="shared" si="146"/>
        <v>0.72119062031950454</v>
      </c>
      <c r="H379" s="414" t="b">
        <f>Wh_hp&gt;='2018'!Maxi_hp</f>
        <v>1</v>
      </c>
      <c r="I379" s="392">
        <f>IF(H379,Wh_hp,'2018'!Maxi_hp)</f>
        <v>13.63430749412905</v>
      </c>
      <c r="J379" s="85">
        <f>IF(H379,An,'2018'!An_max)</f>
        <v>2019</v>
      </c>
      <c r="K379" s="199">
        <f t="shared" si="125"/>
        <v>43830</v>
      </c>
      <c r="L379" s="147">
        <f>IF(t&lt;Tvie,1-EXP((T0-t)*PertePVj)+'2018'!Pspv,1-EXP((T0-t)*PertePVj)+Pspv)</f>
        <v>1.1959396366868713E-2</v>
      </c>
      <c r="M379" s="870"/>
      <c r="N379" s="870"/>
      <c r="O379" s="48">
        <f>IF(t&lt;Tnet,'2018'!Resal+('2018'!Salim-'2018'!Resal)*(1-EXP(('2018'!Tnet-t)/('2018'!Tau_j))),Resal+(Salim-Resal)*(1-EXP((Tnet-t)/(Tau_j))))*Salcycl</f>
        <v>9.094393619497694E-2</v>
      </c>
      <c r="P379" s="171">
        <f>(INDEX(Models!$BJ379:$BT379,,T379)*(1-R379)+INDEX(Models!$BJ379:$BT379,,T379+1)*R379-ERP_i)*Q379*Ramure*Pc/MaxiM</f>
        <v>3.2024447909223271E-2</v>
      </c>
      <c r="Q379" s="308">
        <f t="shared" si="126"/>
        <v>1</v>
      </c>
      <c r="R379" s="179">
        <f t="shared" si="127"/>
        <v>0.5997757708981144</v>
      </c>
      <c r="S379" s="837">
        <f t="shared" si="128"/>
        <v>-2</v>
      </c>
      <c r="T379" s="178">
        <f t="shared" si="129"/>
        <v>4</v>
      </c>
      <c r="U379" s="309">
        <f t="shared" si="130"/>
        <v>-1.4002242291018856</v>
      </c>
      <c r="V379" s="385">
        <f t="shared" si="131"/>
        <v>16.436633205362437</v>
      </c>
      <c r="W379" s="58"/>
      <c r="X379" s="157">
        <f t="shared" si="132"/>
        <v>43830</v>
      </c>
      <c r="Y379" s="387">
        <f t="shared" si="133"/>
        <v>12.005000000000001</v>
      </c>
      <c r="Z379" s="387">
        <f t="shared" si="134"/>
        <v>12.15031037778845</v>
      </c>
      <c r="AA379" s="388">
        <f t="shared" si="135"/>
        <v>13.365853726260919</v>
      </c>
      <c r="AB379" s="199">
        <f t="shared" si="136"/>
        <v>43830</v>
      </c>
      <c r="AC379" s="426">
        <f>IF(OR(t&lt;Tnet,NoTnet),'2018'!Resal_s+('2018'!Salim-'2018'!Resal_s)*(1-EXP(('2018'!Tnet_s-t)/'2018'!Tau_j)),Resal_s+(Salim-Resal_s)*(1-EXP((Tnet_s-t)/Tau_j)))*Salcycl</f>
        <v>9.094393619497694E-2</v>
      </c>
      <c r="AD379" s="233">
        <f>(INDEX(Models!$BJ379:$BT379,,AH379)*(1-AF379)+INDEX(Models!$BJ379:$BT379,,AH379+1)*AF379-ERP_i)*AE379*Ramure*Pc/MaxiM</f>
        <v>3.2024447909223271E-2</v>
      </c>
      <c r="AE379" s="308">
        <f t="shared" si="137"/>
        <v>1</v>
      </c>
      <c r="AF379" s="179">
        <f t="shared" si="138"/>
        <v>0.5997757708981144</v>
      </c>
      <c r="AG379" s="178">
        <f t="shared" si="139"/>
        <v>-2</v>
      </c>
      <c r="AH379" s="178">
        <f t="shared" si="140"/>
        <v>4</v>
      </c>
      <c r="AI379" s="224">
        <f t="shared" si="141"/>
        <v>-1.4002242291018856</v>
      </c>
      <c r="AJ379" s="267" t="b">
        <f t="shared" si="142"/>
        <v>0</v>
      </c>
      <c r="AK379" s="267" t="b">
        <f t="shared" si="143"/>
        <v>0</v>
      </c>
      <c r="AL379" s="267"/>
      <c r="AM379" s="267"/>
      <c r="AN379" s="267"/>
    </row>
    <row r="380" spans="1:40" s="18" customFormat="1" ht="12" thickBot="1" x14ac:dyDescent="0.25">
      <c r="A380" s="103"/>
      <c r="B380" s="620"/>
      <c r="C380" s="878"/>
      <c r="D380" s="396"/>
      <c r="E380" s="397"/>
      <c r="F380" s="397"/>
      <c r="G380" s="97"/>
      <c r="H380" s="414" t="b">
        <f>Wh_hp&gt;='2018'!Maxi_hp</f>
        <v>1</v>
      </c>
      <c r="I380" s="392">
        <f>IF(H380,Wh_hp,'2018'!Maxi_hp)</f>
        <v>0</v>
      </c>
      <c r="J380" s="85">
        <f>IF(H380,An,'2018'!An_max)</f>
        <v>2019</v>
      </c>
      <c r="K380" s="201"/>
      <c r="L380" s="216"/>
      <c r="M380" s="875"/>
      <c r="N380" s="875"/>
      <c r="O380" s="217"/>
      <c r="P380" s="324"/>
      <c r="Q380" s="231"/>
      <c r="R380" s="231"/>
      <c r="S380" s="231"/>
      <c r="T380" s="231"/>
      <c r="U380" s="325"/>
      <c r="V380" s="385">
        <f>(V379+V15)/2</f>
        <v>17.296575816106682</v>
      </c>
      <c r="W380" s="58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2"/>
        <v>1</v>
      </c>
      <c r="AK380" s="267" t="b">
        <f t="shared" si="143"/>
        <v>1</v>
      </c>
      <c r="AL380" s="267"/>
      <c r="AM380" s="267"/>
      <c r="AN380" s="267"/>
    </row>
    <row r="381" spans="1:40" s="104" customFormat="1" ht="11.25" customHeight="1" x14ac:dyDescent="0.2">
      <c r="A381" s="111" t="s">
        <v>7</v>
      </c>
      <c r="B381" s="377">
        <f>MIN(B15:B380)</f>
        <v>1.768</v>
      </c>
      <c r="C381" s="377"/>
      <c r="D381" s="375">
        <f>MIN(D15:D380)</f>
        <v>1.7885674905869255</v>
      </c>
      <c r="E381" s="375">
        <f>MIN(E15:E380)</f>
        <v>1.9625697836134215</v>
      </c>
      <c r="F381" s="376">
        <f>MIN(F15:F380)</f>
        <v>1.9625697836134215</v>
      </c>
      <c r="G381" s="125">
        <f>+MIN(G15:G380)</f>
        <v>0.10592541688717021</v>
      </c>
      <c r="H381" s="339"/>
      <c r="I381" s="376">
        <f>MIN(I15:I380)</f>
        <v>0</v>
      </c>
      <c r="J381" s="57">
        <f>MIN(J15:J380)</f>
        <v>2018</v>
      </c>
      <c r="K381" s="202" t="s">
        <v>7</v>
      </c>
      <c r="L381" s="146">
        <f t="shared" ref="L381:T381" si="147">MIN(L15:L380)</f>
        <v>3.5542436183039205E-3</v>
      </c>
      <c r="M381" s="872"/>
      <c r="N381" s="872"/>
      <c r="O381" s="47">
        <f t="shared" si="147"/>
        <v>3.2454425016414525E-2</v>
      </c>
      <c r="P381" s="170">
        <f t="shared" si="147"/>
        <v>4.4542839421704321E-5</v>
      </c>
      <c r="Q381" s="312">
        <f t="shared" si="147"/>
        <v>1</v>
      </c>
      <c r="R381" s="313">
        <f t="shared" si="147"/>
        <v>1.1075429588793817E-3</v>
      </c>
      <c r="S381" s="837">
        <f t="shared" si="147"/>
        <v>-3</v>
      </c>
      <c r="T381" s="178">
        <f t="shared" si="147"/>
        <v>3</v>
      </c>
      <c r="U381" s="254">
        <f>+MIN(U15:U380)</f>
        <v>-2.1002224468512463</v>
      </c>
      <c r="V381" s="375">
        <f>MIN(V15:V380)</f>
        <v>15.813868749283232</v>
      </c>
      <c r="W381" s="58"/>
      <c r="X381" s="112" t="s">
        <v>7</v>
      </c>
      <c r="Y381" s="375">
        <f>MIN(Y15:Y380)</f>
        <v>1.768</v>
      </c>
      <c r="Z381" s="375">
        <f>MIN(Z15:Z380)</f>
        <v>1.7885674905869255</v>
      </c>
      <c r="AA381" s="375">
        <f>MIN(AA15:AA380)</f>
        <v>1.9625697836134215</v>
      </c>
      <c r="AB381" s="202" t="s">
        <v>7</v>
      </c>
      <c r="AC381" s="47">
        <f t="shared" ref="AC381:AH381" si="148">MIN(AC15:AC380)</f>
        <v>3.2454425016414525E-2</v>
      </c>
      <c r="AD381" s="170">
        <f t="shared" si="148"/>
        <v>4.4542839421704321E-5</v>
      </c>
      <c r="AE381" s="312">
        <f t="shared" si="148"/>
        <v>1</v>
      </c>
      <c r="AF381" s="313">
        <f t="shared" si="148"/>
        <v>1.1075429588793817E-3</v>
      </c>
      <c r="AG381" s="837">
        <f t="shared" si="148"/>
        <v>-3</v>
      </c>
      <c r="AH381" s="178">
        <f t="shared" si="148"/>
        <v>3</v>
      </c>
      <c r="AI381" s="228">
        <f>MIN(AI15:AI380)</f>
        <v>-2.1002224468512463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29.497515068493147</v>
      </c>
      <c r="C382" s="377"/>
      <c r="D382" s="377">
        <f>AVERAGE(D15:D380)</f>
        <v>29.722004639586473</v>
      </c>
      <c r="E382" s="377">
        <f>AVERAGE(E15:E380)</f>
        <v>31.839731990662926</v>
      </c>
      <c r="F382" s="378">
        <f>AVERAGE(F15:F380)</f>
        <v>31.901723598260038</v>
      </c>
      <c r="G382" s="126">
        <f>AVERAGE(G15:G380)</f>
        <v>0.69929411049068579</v>
      </c>
      <c r="H382" s="339"/>
      <c r="I382" s="378">
        <f>AVERAGE(I15:I380)</f>
        <v>32.775715295014336</v>
      </c>
      <c r="J382" s="59">
        <f>AVERAGE(J15:J380)</f>
        <v>2018.8715846994535</v>
      </c>
      <c r="K382" s="202" t="s">
        <v>8</v>
      </c>
      <c r="L382" s="147">
        <f t="shared" ref="L382:V382" si="149">AVERAGE(L15:L380)</f>
        <v>7.7627369599123216E-3</v>
      </c>
      <c r="M382" s="870"/>
      <c r="N382" s="870"/>
      <c r="O382" s="48">
        <f t="shared" si="149"/>
        <v>6.6637917967911381E-2</v>
      </c>
      <c r="P382" s="171">
        <f t="shared" si="149"/>
        <v>6.6137874523601731E-3</v>
      </c>
      <c r="Q382" s="314">
        <f t="shared" si="149"/>
        <v>1</v>
      </c>
      <c r="R382" s="179">
        <f t="shared" si="149"/>
        <v>0.61216253415303445</v>
      </c>
      <c r="S382" s="837">
        <f t="shared" si="149"/>
        <v>-2.3205479452054796</v>
      </c>
      <c r="T382" s="178">
        <f t="shared" si="149"/>
        <v>3.6794520547945204</v>
      </c>
      <c r="U382" s="253">
        <f t="shared" si="149"/>
        <v>-1.7083854110524463</v>
      </c>
      <c r="V382" s="377">
        <f t="shared" si="149"/>
        <v>40.424524996052618</v>
      </c>
      <c r="X382" s="112" t="s">
        <v>8</v>
      </c>
      <c r="Y382" s="377">
        <f>AVERAGE(Y15:Y380)</f>
        <v>29.497515068493147</v>
      </c>
      <c r="Z382" s="377">
        <f>AVERAGE(Z15:Z380)</f>
        <v>29.722004639586473</v>
      </c>
      <c r="AA382" s="377">
        <f>AVERAGE(AA15:AA380)</f>
        <v>31.839731990662926</v>
      </c>
      <c r="AB382" s="202" t="s">
        <v>8</v>
      </c>
      <c r="AC382" s="48">
        <f t="shared" ref="AC382:AH382" si="150">AVERAGE(AC15:AC380)</f>
        <v>6.6637917967911381E-2</v>
      </c>
      <c r="AD382" s="171">
        <f t="shared" si="150"/>
        <v>6.6137874523601731E-3</v>
      </c>
      <c r="AE382" s="314">
        <f t="shared" si="150"/>
        <v>1</v>
      </c>
      <c r="AF382" s="179">
        <f t="shared" si="150"/>
        <v>0.61216253415303445</v>
      </c>
      <c r="AG382" s="837">
        <f t="shared" si="150"/>
        <v>-2.3205479452054796</v>
      </c>
      <c r="AH382" s="178">
        <f t="shared" si="150"/>
        <v>3.6794520547945204</v>
      </c>
      <c r="AI382" s="227">
        <f>AVERAGE(AI15:AI380)</f>
        <v>-1.7083854110524463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61.329000000000001</v>
      </c>
      <c r="C383" s="379"/>
      <c r="D383" s="379">
        <f>MAX(D15:D380)</f>
        <v>61.774479297759896</v>
      </c>
      <c r="E383" s="379">
        <f>MAX(E15:E380)</f>
        <v>66.077314157415955</v>
      </c>
      <c r="F383" s="380">
        <f>MAX(F15:F380)</f>
        <v>66.080309605009333</v>
      </c>
      <c r="G383" s="127">
        <f>+MAX(G15:G380)</f>
        <v>1.0271080151658565</v>
      </c>
      <c r="H383" s="339"/>
      <c r="I383" s="380">
        <f>MAX(I15:I380)</f>
        <v>66.080309605009333</v>
      </c>
      <c r="J383" s="60">
        <f>MAX(J15:J380)</f>
        <v>2019</v>
      </c>
      <c r="K383" s="202" t="s">
        <v>9</v>
      </c>
      <c r="L383" s="148">
        <f t="shared" ref="L383:T383" si="151">MAX(L15:L380)</f>
        <v>1.1959396366868713E-2</v>
      </c>
      <c r="M383" s="873"/>
      <c r="N383" s="873"/>
      <c r="O383" s="49">
        <f t="shared" si="151"/>
        <v>9.094393619497694E-2</v>
      </c>
      <c r="P383" s="172">
        <f t="shared" si="151"/>
        <v>3.3835310443619419E-2</v>
      </c>
      <c r="Q383" s="315">
        <f t="shared" si="151"/>
        <v>1</v>
      </c>
      <c r="R383" s="316">
        <f t="shared" si="151"/>
        <v>0.99756858929885128</v>
      </c>
      <c r="S383" s="838">
        <f t="shared" si="151"/>
        <v>-2</v>
      </c>
      <c r="T383" s="235">
        <f t="shared" si="151"/>
        <v>4</v>
      </c>
      <c r="U383" s="255">
        <f>+MAX(U15:U380)</f>
        <v>-1.4002242291018856</v>
      </c>
      <c r="V383" s="379">
        <f>MAX(V15:V380)</f>
        <v>60.501038446106925</v>
      </c>
      <c r="X383" s="112" t="s">
        <v>9</v>
      </c>
      <c r="Y383" s="379">
        <f>MAX(Y15:Y380)</f>
        <v>61.329000000000008</v>
      </c>
      <c r="Z383" s="379">
        <f>MAX(Z15:Z380)</f>
        <v>61.774479297759903</v>
      </c>
      <c r="AA383" s="379">
        <f>MAX(AA15:AA380)</f>
        <v>66.077314157415955</v>
      </c>
      <c r="AB383" s="202" t="s">
        <v>9</v>
      </c>
      <c r="AC383" s="49">
        <f t="shared" ref="AC383:AH383" si="152">MAX(AC15:AC380)</f>
        <v>9.094393619497694E-2</v>
      </c>
      <c r="AD383" s="172">
        <f t="shared" si="152"/>
        <v>3.3835310443619419E-2</v>
      </c>
      <c r="AE383" s="315">
        <f t="shared" si="152"/>
        <v>1</v>
      </c>
      <c r="AF383" s="316">
        <f t="shared" si="152"/>
        <v>0.99756858929885128</v>
      </c>
      <c r="AG383" s="838">
        <f t="shared" si="152"/>
        <v>-2</v>
      </c>
      <c r="AH383" s="235">
        <f t="shared" si="152"/>
        <v>4</v>
      </c>
      <c r="AI383" s="229">
        <f>MAX(AI15:AI380)</f>
        <v>-1.4002242291018856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24" priority="3" stopIfTrue="1" operator="lessThan">
      <formula>0.01</formula>
    </cfRule>
    <cfRule type="cellIs" dxfId="23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7"/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B378" sqref="AB378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'2019'!An+1</f>
        <v>2020</v>
      </c>
      <c r="K1" s="1263"/>
      <c r="L1" s="113" t="str">
        <f>"Calcul pertes et enveloppes en "&amp;TEXT(An,0)</f>
        <v>Calcul pertes et enveloppes en 2020</v>
      </c>
      <c r="M1" s="245"/>
      <c r="N1" s="245"/>
      <c r="V1" s="458"/>
      <c r="W1" s="456"/>
      <c r="X1" s="487" t="str">
        <f>"Prévision sans nettoyage ni taille végétation en "&amp;TEXT(An,0)</f>
        <v>Prévision sans nettoyage ni taille végétation en 2020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54" t="s">
        <v>269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2">
        <f>Tmaj</f>
        <v>44947</v>
      </c>
      <c r="F3" s="1272"/>
      <c r="G3" s="472"/>
      <c r="H3" s="26"/>
      <c r="I3" s="6"/>
      <c r="J3" s="34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/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58">
        <f>AL11-AJ11</f>
        <v>0</v>
      </c>
      <c r="AK3" s="859">
        <f>AM11-AK11</f>
        <v>0</v>
      </c>
      <c r="AL3" s="858"/>
      <c r="AM3" s="859"/>
      <c r="AN3" s="857" t="s">
        <v>270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2" t="str">
        <f>Station</f>
        <v>Crèche Ayguesvives</v>
      </c>
      <c r="F4" s="1213"/>
      <c r="G4" s="1213"/>
      <c r="H4" s="1213"/>
      <c r="I4" s="1214"/>
      <c r="J4" s="158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58">
        <f>AL12-AJ12</f>
        <v>0</v>
      </c>
      <c r="AK4" s="859">
        <f>AM12-AK12</f>
        <v>0</v>
      </c>
      <c r="AL4" s="858"/>
      <c r="AM4" s="859"/>
      <c r="AN4" s="857" t="s">
        <v>271</v>
      </c>
    </row>
    <row r="5" spans="1:40" s="35" customFormat="1" ht="16.5" customHeight="1" x14ac:dyDescent="0.25">
      <c r="D5" s="161" t="s">
        <v>20</v>
      </c>
      <c r="E5" s="1273">
        <f>T0</f>
        <v>43313</v>
      </c>
      <c r="F5" s="1273"/>
      <c r="G5" s="34"/>
      <c r="H5" s="158"/>
      <c r="I5" s="158"/>
      <c r="K5" s="194"/>
      <c r="L5" s="506"/>
      <c r="M5" s="505"/>
      <c r="N5" s="505"/>
      <c r="O5" s="19"/>
      <c r="R5" s="39"/>
      <c r="S5" s="180"/>
      <c r="T5" s="180"/>
      <c r="U5" s="41"/>
      <c r="V5" s="507"/>
      <c r="W5" s="508"/>
      <c r="X5" s="509"/>
      <c r="Y5" s="510"/>
      <c r="Z5" s="238">
        <f>Wh_Psa_s-Wh_Psa</f>
        <v>0</v>
      </c>
      <c r="AA5" s="239">
        <f>Wh_Pvg_s-Wh_Pvg</f>
        <v>0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0</v>
      </c>
      <c r="AK5" s="516">
        <f>SUMIF(AK15:AK380,"VRAI",Wh)</f>
        <v>0</v>
      </c>
      <c r="AL5" s="516">
        <f>SUMIF(AJ15:AJ380,"VRAI",Wh_s)</f>
        <v>0</v>
      </c>
      <c r="AM5" s="516">
        <f>SUMIF(AK15:AK380,"VRAI",Wh_s)</f>
        <v>0</v>
      </c>
      <c r="AN5" s="857" t="s">
        <v>267</v>
      </c>
    </row>
    <row r="6" spans="1:40" s="6" customFormat="1" ht="16.5" customHeight="1" x14ac:dyDescent="0.2">
      <c r="B6" s="8"/>
      <c r="C6" s="8"/>
      <c r="D6" s="161" t="s">
        <v>11</v>
      </c>
      <c r="E6" s="1274">
        <f>Tservice</f>
        <v>43354</v>
      </c>
      <c r="F6" s="1274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9848.9630000000052</v>
      </c>
      <c r="AK6" s="516">
        <f>SUMIF(AK15:AK380,"FAUX",Wh)</f>
        <v>9848.9630000000052</v>
      </c>
      <c r="AL6" s="516">
        <f>SUMIF(AJ15:AJ380,"FAUX",Wh_s)</f>
        <v>9848.9630000000052</v>
      </c>
      <c r="AM6" s="516">
        <f>SUMIF(AK15:AK380,"FAUX",Wh_s)</f>
        <v>9848.9630000000052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AND(YEAR(Tnet)=An,Resal_2020="I")</f>
        <v>1</v>
      </c>
      <c r="F7" s="322" t="b">
        <f>YEAR(Tnet)=An</f>
        <v>1</v>
      </c>
      <c r="J7" s="180"/>
      <c r="K7" s="193"/>
      <c r="L7" s="191" t="s">
        <v>81</v>
      </c>
      <c r="M7" s="868"/>
      <c r="N7" s="868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50"/>
      <c r="Z7" s="518"/>
      <c r="AA7" s="518"/>
      <c r="AB7" s="518"/>
      <c r="AC7" s="518"/>
      <c r="AD7" s="250"/>
      <c r="AE7" s="250"/>
      <c r="AF7" s="493"/>
      <c r="AG7" s="493"/>
      <c r="AH7" s="493"/>
      <c r="AI7" s="518"/>
      <c r="AJ7" s="516">
        <f>SUMIF(AJ15:AJ380,"VRAI",Wh_pvt)</f>
        <v>0</v>
      </c>
      <c r="AK7" s="516">
        <f>SUMIF(AK15:AK380,"VRAI",Wh_sa)</f>
        <v>0</v>
      </c>
      <c r="AL7" s="516">
        <f>SUMIF(AJ15:AJ380,"VRAI",Wh_pvt_s)</f>
        <v>0</v>
      </c>
      <c r="AM7" s="516">
        <f>SUMIF(AK15:AK380,"VRAI",Wh_sa_s)</f>
        <v>0</v>
      </c>
      <c r="AN7" s="857" t="s">
        <v>259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AND(YEAR(Tnet)=An,Resal_2020&lt;&gt;"I")</f>
        <v>0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6"/>
      <c r="X8" s="1260" t="s">
        <v>102</v>
      </c>
      <c r="Y8" s="1261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10008.421430530121</v>
      </c>
      <c r="AK8" s="516">
        <f>SUMIF(AK15:AK380,"FAUX",Wh_sa)</f>
        <v>11307.391736681437</v>
      </c>
      <c r="AL8" s="516">
        <f>SUMIF(AJ15:AJ380,"FAUX",Wh_pvt_s)</f>
        <v>10008.421430530121</v>
      </c>
      <c r="AM8" s="516">
        <f>SUMIF(AK15:AK380,"FAUX",Wh_sa_s)</f>
        <v>11307.391736681437</v>
      </c>
      <c r="AN8" s="857" t="s">
        <v>260</v>
      </c>
    </row>
    <row r="9" spans="1:40" s="19" customFormat="1" ht="15" customHeight="1" x14ac:dyDescent="0.25">
      <c r="A9" s="34"/>
      <c r="B9" s="212"/>
      <c r="C9" s="212"/>
      <c r="D9" s="186">
        <f>SUM(D$15:D$380)</f>
        <v>10008.421430530121</v>
      </c>
      <c r="E9" s="186">
        <f>SUM(E$15:E$380)</f>
        <v>11307.391736681437</v>
      </c>
      <c r="F9" s="186">
        <f>SUM(F$15:F$380)</f>
        <v>11356.434113473997</v>
      </c>
      <c r="H9" s="1264">
        <f>+SUM(Wh)</f>
        <v>9848.9630000000052</v>
      </c>
      <c r="I9" s="1265"/>
      <c r="J9" s="1266"/>
      <c r="K9" s="193"/>
      <c r="L9" s="234"/>
      <c r="M9" s="234"/>
      <c r="N9" s="234"/>
      <c r="O9" s="225">
        <f>Tnet_2020</f>
        <v>43831</v>
      </c>
      <c r="P9" s="246" t="s">
        <v>91</v>
      </c>
      <c r="Q9" s="247"/>
      <c r="R9" s="247"/>
      <c r="S9" s="247"/>
      <c r="T9" s="247"/>
      <c r="U9" s="248"/>
      <c r="V9" s="462"/>
      <c r="W9" s="521"/>
      <c r="X9" s="1258">
        <f>+SUM(Wh_s)</f>
        <v>9848.9630000000052</v>
      </c>
      <c r="Y9" s="1259"/>
      <c r="Z9" s="516">
        <f>SUM(Z$15:Z$380)</f>
        <v>10008.421430530121</v>
      </c>
      <c r="AA9" s="516">
        <f>SUM(AA$15:AA$380)</f>
        <v>11307.391736681437</v>
      </c>
      <c r="AB9" s="516">
        <f>F9</f>
        <v>11356.434113473997</v>
      </c>
      <c r="AC9" s="327">
        <f>IF(An_Tnet,Tnet,'2019'!Tnet_s)</f>
        <v>43831</v>
      </c>
      <c r="AD9" s="318" t="s">
        <v>91</v>
      </c>
      <c r="AE9" s="318"/>
      <c r="AF9" s="318"/>
      <c r="AG9" s="318"/>
      <c r="AH9" s="318"/>
      <c r="AI9" s="319"/>
      <c r="AJ9" s="516">
        <f>SUMIF(AJ15:AJ380,"VRAI",Wh_sa)</f>
        <v>0</v>
      </c>
      <c r="AK9" s="516">
        <f>SUMIF(AK15:AK380,"VRAI",Wh_hp)</f>
        <v>0</v>
      </c>
      <c r="AL9" s="516">
        <f>SUMIF(AJ15:AJ380,"VRAI",Wh_sa_s)</f>
        <v>0</v>
      </c>
      <c r="AM9" s="516">
        <f>SUMIF(AK15:AK380,"VRAI",Wh_hp)</f>
        <v>0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IF(Inflex,'2019'!Resal+('2019'!Salim-'2019'!Resal)*(1-EXP(-(Tnet-'2019'!Tnet)/('2019'!Tau_j))),IF(An_Tnet,Resal_2020,'2019'!Resal))</f>
        <v>9.0962770414730373E-2</v>
      </c>
      <c r="P10" s="421" t="b">
        <f>NOT(Acti_tai)</f>
        <v>1</v>
      </c>
      <c r="Q10" s="259">
        <f>IF(Acti_tai,'2019'!PousD,Dens-Dd)</f>
        <v>0</v>
      </c>
      <c r="R10" s="276"/>
      <c r="S10" s="277"/>
      <c r="T10" s="278"/>
      <c r="U10" s="268">
        <f>IF(Acti_tai,'2019'!PousH,Hdtf-Hdd)</f>
        <v>0.70000000000000018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IF(OR(Inflex,GainD),'2019'!Resal_s+('2019'!Salim-'2019'!Resal_s)*(1-EXP(('2019'!Tnet_s-Tnet)/('2019'!Tau_j))),IF(Acti_net,'2019'!Resal+('2019'!Salim-'2019'!Resal)*(1-EXP(('2019'!Tnet-Tnet)/'2019'!Tau_j)),'2019'!Resal_s))</f>
        <v>9.0962770414730373E-2</v>
      </c>
      <c r="AD10" s="428"/>
      <c r="AE10" s="428"/>
      <c r="AF10" s="262"/>
      <c r="AG10" s="263"/>
      <c r="AH10" s="264"/>
      <c r="AI10" s="523"/>
      <c r="AJ10" s="516">
        <f>SUMIF(AJ15:AJ380,"FAUX",Wh_sa)</f>
        <v>11307.391736681437</v>
      </c>
      <c r="AK10" s="516">
        <f>SUMIF(AK15:AK380,"FAUX",Wh_hp)</f>
        <v>11356.434113473997</v>
      </c>
      <c r="AL10" s="516">
        <f>SUMIF(AJ15:AJ380,"FAUX",Wh_sa_s)</f>
        <v>11307.391736681437</v>
      </c>
      <c r="AM10" s="516">
        <f>SUMIF(AK15:AK380,"FAUX",Wh_hp)</f>
        <v>11356.434113473997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50">
        <f>D$9-Prod_an</f>
        <v>159.45843053011595</v>
      </c>
      <c r="E11" s="51">
        <f>(E$9-D$9)*Prod_an/D$9</f>
        <v>1278.2745582991847</v>
      </c>
      <c r="F11" s="188">
        <f>(F$9-E$9)*Prod_an/E$9</f>
        <v>42.716885176540714</v>
      </c>
      <c r="G11" s="187" t="s">
        <v>6</v>
      </c>
      <c r="K11" s="196"/>
      <c r="L11" s="213">
        <f>Tvie_2020</f>
        <v>43313</v>
      </c>
      <c r="M11" s="869"/>
      <c r="N11" s="869"/>
      <c r="O11" s="204">
        <f>IF(An_Tnet,Salim_2020,'2019'!Salim)</f>
        <v>0.14000000000000001</v>
      </c>
      <c r="P11" s="258">
        <f>Ttai_2020</f>
        <v>43101</v>
      </c>
      <c r="Q11" s="274">
        <f>Dens_2020</f>
        <v>1</v>
      </c>
      <c r="R11" s="279"/>
      <c r="S11" s="232"/>
      <c r="T11" s="232"/>
      <c r="U11" s="268">
        <f>Htf_2020</f>
        <v>-0.70022422910188542</v>
      </c>
      <c r="V11" s="428"/>
      <c r="W11" s="519"/>
      <c r="X11" s="526" t="s">
        <v>43</v>
      </c>
      <c r="Y11" s="50">
        <f>Z$9-Prod_an_s</f>
        <v>159.45843053011595</v>
      </c>
      <c r="Z11" s="51">
        <f>(AA$9-Z$9)*Prod_an_s/Z$9</f>
        <v>1278.2745582991847</v>
      </c>
      <c r="AA11" s="188">
        <f>(AB$9-AA$9)*Prod_an_s/AA$9</f>
        <v>42.716885176540714</v>
      </c>
      <c r="AB11" s="527" t="s">
        <v>6</v>
      </c>
      <c r="AC11" s="327"/>
      <c r="AD11" s="428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58">
        <f>IF($AJ7=0,0,($AJ9-$AJ7)*$AJ5/$AJ7)</f>
        <v>0</v>
      </c>
      <c r="AK11" s="859">
        <f>IF($AK7=0,0,($AK9-$AK7)*$AK5/$AK7)</f>
        <v>0</v>
      </c>
      <c r="AL11" s="858">
        <f>IF($AL7=0,0,($AL9-$AL7)*$AL5/$AL7)</f>
        <v>0</v>
      </c>
      <c r="AM11" s="859">
        <f>IF($AM7=0,0,($AM9-$AM7)*$AM5/$AM7)</f>
        <v>0</v>
      </c>
      <c r="AN11" s="857" t="s">
        <v>272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2.7874087522292701E-2</v>
      </c>
      <c r="K12" s="193"/>
      <c r="L12" s="214">
        <f>Pspv_2020</f>
        <v>0</v>
      </c>
      <c r="M12" s="214"/>
      <c r="N12" s="214"/>
      <c r="O12" s="207">
        <f>IF(An_Tnet,Tau_2020*365,'2019'!Tau_j)</f>
        <v>365</v>
      </c>
      <c r="P12" s="457">
        <f>INDEX(Croivg,MIN(MAX(Ttai-$A$15,0)+1,366))</f>
        <v>2.3909964587625958E-6</v>
      </c>
      <c r="Q12" s="282">
        <f>'2019'!Df</f>
        <v>1</v>
      </c>
      <c r="R12" s="280"/>
      <c r="S12" s="281"/>
      <c r="T12" s="281"/>
      <c r="U12" s="269">
        <f>'2019'!Hdf</f>
        <v>-1.4002242291018856</v>
      </c>
      <c r="V12" s="518"/>
      <c r="W12" s="505"/>
      <c r="X12" s="506"/>
      <c r="Y12" s="505"/>
      <c r="Z12" s="428"/>
      <c r="AA12" s="428"/>
      <c r="AB12" s="532" t="s">
        <v>106</v>
      </c>
      <c r="AC12" s="320" t="b">
        <f>NOT(An_Tnet)</f>
        <v>0</v>
      </c>
      <c r="AD12" s="428"/>
      <c r="AE12" s="298">
        <f>'2019'!Df_s</f>
        <v>1</v>
      </c>
      <c r="AF12" s="205"/>
      <c r="AG12" s="205"/>
      <c r="AH12" s="205"/>
      <c r="AI12" s="299">
        <f>'2019'!Hdf_s</f>
        <v>-1.4002242291018856</v>
      </c>
      <c r="AJ12" s="858">
        <f>IF($AJ8=0,0,($AJ10-$AJ8)*$AJ6/$AJ8)</f>
        <v>1278.2745582991847</v>
      </c>
      <c r="AK12" s="859">
        <f>IF($AK8=0,0,($AK10-$AK8)*$AK6/$AK8)</f>
        <v>42.716885176540714</v>
      </c>
      <c r="AL12" s="858">
        <f>IF($AL8=0,0,($AL10-$AL8)*$AL6/$AL8)</f>
        <v>1278.2745582991847</v>
      </c>
      <c r="AM12" s="859">
        <f>IF($AM8=0,0,($AM10-$AM8)*$AM6/$AM8)</f>
        <v>42.716885176540714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204</v>
      </c>
      <c r="V13" s="266" t="s">
        <v>41</v>
      </c>
      <c r="W13" s="877" t="s">
        <v>46</v>
      </c>
      <c r="X13" s="533"/>
      <c r="Y13" s="266" t="s">
        <v>100</v>
      </c>
      <c r="Z13" s="266" t="s">
        <v>101</v>
      </c>
      <c r="AA13" s="266" t="s">
        <v>74</v>
      </c>
      <c r="AB13" s="504"/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1278.2745582991847</v>
      </c>
      <c r="AK13" s="73">
        <f>+AK11+AK12</f>
        <v>42.716885176540714</v>
      </c>
      <c r="AL13" s="73">
        <f>+AL11+AL12</f>
        <v>1278.2745582991847</v>
      </c>
      <c r="AM13" s="73">
        <f>+AM11+AM12</f>
        <v>42.716885176540714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391" t="s">
        <v>189</v>
      </c>
      <c r="C14" s="391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203</v>
      </c>
      <c r="V14" s="45" t="str">
        <f>"Enveloppe "&amp; TEXT(An,0)</f>
        <v>Enveloppe 2020</v>
      </c>
      <c r="W14" s="863"/>
      <c r="X14" s="260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129">
        <f>DATE(An,1,1)</f>
        <v>43831</v>
      </c>
      <c r="B15" s="617">
        <v>12.096</v>
      </c>
      <c r="C15" s="392"/>
      <c r="D15" s="395">
        <f t="shared" ref="D15:D78" si="0">Wh/(1-Ppv)</f>
        <v>12.242696761309876</v>
      </c>
      <c r="E15" s="387">
        <f>Wh_pvt/(1-Psa)</f>
        <v>13.469304338620436</v>
      </c>
      <c r="F15" s="387">
        <f t="shared" ref="F15:F78" si="1">Wh_sa/(1-Pvg*MEDIAN((-Sdif+Wh/Env_an)/Csdif,0,1))</f>
        <v>13.737180555809637</v>
      </c>
      <c r="G15" s="110">
        <f>+Wh_hp/MaxiM</f>
        <v>0.72180038209004893</v>
      </c>
      <c r="H15" s="414" t="b">
        <f>Wh_hp&gt;='2019'!Maxi_hp</f>
        <v>1</v>
      </c>
      <c r="I15" s="381">
        <f>IF(H15,Wh_hp,'2019'!Maxi_hp)</f>
        <v>13.737180555809637</v>
      </c>
      <c r="J15" s="84">
        <f>IF(H15,An,'2019'!An_max)</f>
        <v>2020</v>
      </c>
      <c r="K15" s="199">
        <f>t</f>
        <v>43831</v>
      </c>
      <c r="L15" s="146">
        <f>IF(t&lt;Tvie,1-EXP((T0-t)*PertePVj)+'2019'!Pspv,1-EXP((T0-t)*PertePVj)+Pspv)</f>
        <v>1.1982389515149627E-2</v>
      </c>
      <c r="M15" s="872"/>
      <c r="N15" s="872"/>
      <c r="O15" s="47">
        <f>IF(t&lt;Tnet,'2019'!Resal+('2019'!Salim-'2019'!Resal)*(1-EXP(('2019'!Tnet-t)/('2019'!Tau_j))),Resal+(Salim-Resal)*(1-EXP((Tnet-t)/(Tau_j))))*Salcycl</f>
        <v>9.1066884114684096E-2</v>
      </c>
      <c r="P15" s="304">
        <f>(INDEX(Models!$BJ15:$BT15,,T15)*(1-R15)+INDEX(Models!$BJ15:$BT15,,T15+1)*R15-ERP_i)*Q15*Ramure*Pc/MaxiM</f>
        <v>3.1679558569720601E-2</v>
      </c>
      <c r="Q15" s="305">
        <f t="shared" ref="Q15:Q78" si="2">IF(OR(t&lt;Ttai,Notai),Dd+PousD*Croivg,Dens+PousD*(Croivg-Croi_tai))</f>
        <v>1</v>
      </c>
      <c r="R15" s="306">
        <f t="shared" ref="R15:R78" si="3">(Hp_vg-S15)/(INDEX(Echel_vg,T15+1)-S15)</f>
        <v>0.59977744459563564</v>
      </c>
      <c r="S15" s="836">
        <f t="shared" ref="S15:S78" si="4">INDEX(Echel_vg,T15)</f>
        <v>-2</v>
      </c>
      <c r="T15" s="251">
        <f t="shared" ref="T15:T78" si="5">MIN(MATCH(Hp_vg,Echel_vg),10)</f>
        <v>4</v>
      </c>
      <c r="U15" s="252">
        <f>IF(OR(t&lt;Ttai,Notai),Hdd+PousH*Croivg,Hdtf+PousH*(Croivg-Croi_tai))</f>
        <v>-1.4002225554043644</v>
      </c>
      <c r="V15" s="384">
        <f t="shared" ref="V15:V78" si="6">MaxiM*(1-Ppv)*(1-Pvg)*(1-Psa)</f>
        <v>16.549931900973782</v>
      </c>
      <c r="W15" s="404"/>
      <c r="X15" s="156">
        <f t="shared" ref="X15:X78" si="7">t</f>
        <v>43831</v>
      </c>
      <c r="Y15" s="387">
        <f t="shared" ref="Y15:Y78" si="8">Wh_pvt_s*(1-Ppv)</f>
        <v>12.096</v>
      </c>
      <c r="Z15" s="387">
        <f t="shared" ref="Z15:Z78" si="9">Wh_sa_s*(1-Psa_s)</f>
        <v>12.242696761309876</v>
      </c>
      <c r="AA15" s="388">
        <f t="shared" ref="AA15:AA78" si="10">Wh_hp*(1-Pvg_s*MEDIAN((-Sdif+Wh/Env_an)/Csdif,0,1))</f>
        <v>13.469304338620436</v>
      </c>
      <c r="AB15" s="199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9.1066884114684096E-2</v>
      </c>
      <c r="AD15" s="233">
        <f>(INDEX(Models!$BJ15:$BT15,,AH15)*(1-AF15)+INDEX(Models!$BJ15:$BT15,,AH15+1)*AF15-ERP_i)*AE15*Ramure*Pc/MaxiM</f>
        <v>3.1679558569720601E-2</v>
      </c>
      <c r="AE15" s="305">
        <f t="shared" ref="AE15:AE78" si="12">IF(OR(t&lt;Ttai,Notai),Dd_s+PousD*Croivg,Dens_s+PousD*(Croivg-Croi_tai))</f>
        <v>1</v>
      </c>
      <c r="AF15" s="306">
        <f>(Hp_vg_s-AG15)/(INDEX(Echel_vg,AH15+1)-AG15)</f>
        <v>0.59977744459563564</v>
      </c>
      <c r="AG15" s="836">
        <f>INDEX(Echel_vg,AH15)</f>
        <v>-2</v>
      </c>
      <c r="AH15" s="251">
        <f t="shared" ref="AH15:AH78" si="13">MIN(MATCH(Hp_vg_s,Echel_vg),10)</f>
        <v>4</v>
      </c>
      <c r="AI15" s="226">
        <f>IF(OR(t&lt;Ttai,Notai),Hdd_s+PousH*Croivg,Hdtai_s+PousH*(Croivg-Croi_tai))</f>
        <v>-1.4002225554043644</v>
      </c>
      <c r="AJ15" s="267" t="b">
        <f t="shared" ref="AJ15:AJ78" si="14">t&lt;Tnet</f>
        <v>0</v>
      </c>
      <c r="AK15" s="267" t="b">
        <f t="shared" ref="AK15:AK78" si="15">t&lt;Ttai</f>
        <v>0</v>
      </c>
      <c r="AL15" s="267"/>
      <c r="AM15" s="267"/>
      <c r="AN15" s="75"/>
    </row>
    <row r="16" spans="1:40" s="6" customFormat="1" ht="11.25" customHeight="1" x14ac:dyDescent="0.2">
      <c r="A16" s="56">
        <f t="shared" ref="A16:A79" si="16">A15+1</f>
        <v>43832</v>
      </c>
      <c r="B16" s="618">
        <v>15.554</v>
      </c>
      <c r="C16" s="392"/>
      <c r="D16" s="395">
        <f t="shared" si="0"/>
        <v>15.743000739727266</v>
      </c>
      <c r="E16" s="387">
        <f t="shared" ref="E16:E79" si="17">Wh_pvt/(1-Psa)</f>
        <v>17.322728109558437</v>
      </c>
      <c r="F16" s="387">
        <f t="shared" si="1"/>
        <v>17.82763006390077</v>
      </c>
      <c r="G16" s="110">
        <f t="shared" ref="G16:G79" si="18">+Wh_hp/MaxiM</f>
        <v>0.93008850449040026</v>
      </c>
      <c r="H16" s="414" t="b">
        <f>Wh_hp&gt;='2019'!Maxi_hp</f>
        <v>1</v>
      </c>
      <c r="I16" s="382">
        <f>IF(H16,Wh_hp,'2019'!Maxi_hp)</f>
        <v>17.82763006390077</v>
      </c>
      <c r="J16" s="85">
        <f>IF(H16,An,'2019'!An_max)</f>
        <v>2020</v>
      </c>
      <c r="K16" s="199">
        <f t="shared" ref="K16:K78" si="19">t</f>
        <v>43832</v>
      </c>
      <c r="L16" s="147">
        <f>IF(t&lt;Tvie,1-EXP((T0-t)*PertePVj)+'2019'!Pspv,1-EXP((T0-t)*PertePVj)+Pspv)</f>
        <v>1.2005382128346453E-2</v>
      </c>
      <c r="M16" s="870"/>
      <c r="N16" s="870"/>
      <c r="O16" s="48">
        <f>IF(t&lt;Tnet,'2019'!Resal+('2019'!Salim-'2019'!Resal)*(1-EXP(('2019'!Tnet-t)/('2019'!Tau_j))),Resal+(Salim-Resal)*(1-EXP((Tnet-t)/(Tau_j))))*Salcycl</f>
        <v>9.1193913559117754E-2</v>
      </c>
      <c r="P16" s="171">
        <f>(INDEX(Models!$BJ16:$BT16,,T16)*(1-R16)+INDEX(Models!$BJ16:$BT16,,T16+1)*R16-ERP_i)*Q16*Ramure*Pc/MaxiM</f>
        <v>3.132056174435377E-2</v>
      </c>
      <c r="Q16" s="307">
        <f t="shared" si="2"/>
        <v>1</v>
      </c>
      <c r="R16" s="179">
        <f t="shared" si="3"/>
        <v>0.59981834505522746</v>
      </c>
      <c r="S16" s="837">
        <f t="shared" si="4"/>
        <v>-2</v>
      </c>
      <c r="T16" s="178">
        <f t="shared" si="5"/>
        <v>4</v>
      </c>
      <c r="U16" s="253">
        <f t="shared" ref="U16:U78" si="20">IF(OR(t&lt;Ttai,Notai),Hdd+PousH*Croivg,Hdtf+PousH*(Croivg-Croi_tai))</f>
        <v>-1.4001816549447725</v>
      </c>
      <c r="V16" s="385">
        <f t="shared" si="6"/>
        <v>16.671521000349752</v>
      </c>
      <c r="W16" s="404"/>
      <c r="X16" s="157">
        <f t="shared" si="7"/>
        <v>43832</v>
      </c>
      <c r="Y16" s="387">
        <f t="shared" si="8"/>
        <v>15.553999999999998</v>
      </c>
      <c r="Z16" s="387">
        <f t="shared" si="9"/>
        <v>15.743000739727265</v>
      </c>
      <c r="AA16" s="388">
        <f t="shared" si="10"/>
        <v>17.322728109558437</v>
      </c>
      <c r="AB16" s="199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9.1193913559117754E-2</v>
      </c>
      <c r="AD16" s="233">
        <f>(INDEX(Models!$BJ16:$BT16,,AH16)*(1-AF16)+INDEX(Models!$BJ16:$BT16,,AH16+1)*AF16-ERP_i)*AE16*Ramure*Pc/MaxiM</f>
        <v>3.132056174435377E-2</v>
      </c>
      <c r="AE16" s="307">
        <f t="shared" si="12"/>
        <v>1</v>
      </c>
      <c r="AF16" s="179">
        <f t="shared" ref="AF16:AF78" si="21">(Hp_vg_s-AG16)/(INDEX(Echel_vg,AH16+1)-AG16)</f>
        <v>0.59981834505522746</v>
      </c>
      <c r="AG16" s="837">
        <f t="shared" ref="AG16:AG79" si="22">INDEX(Echel_vg,AH16)</f>
        <v>-2</v>
      </c>
      <c r="AH16" s="178">
        <f t="shared" si="13"/>
        <v>4</v>
      </c>
      <c r="AI16" s="227">
        <f t="shared" ref="AI16:AI78" si="23">IF(OR(t&lt;Ttai,Notai),Hdd_s+PousH*Croivg,Hdtai_s+PousH*(Croivg-Croi_tai))</f>
        <v>-1.4001816549447725</v>
      </c>
      <c r="AJ16" s="267" t="b">
        <f t="shared" si="14"/>
        <v>0</v>
      </c>
      <c r="AK16" s="267" t="b">
        <f t="shared" si="15"/>
        <v>0</v>
      </c>
      <c r="AL16" s="267"/>
      <c r="AM16" s="267"/>
      <c r="AN16" s="75"/>
    </row>
    <row r="17" spans="1:40" s="6" customFormat="1" ht="11.25" customHeight="1" x14ac:dyDescent="0.2">
      <c r="A17" s="56">
        <f t="shared" si="16"/>
        <v>43833</v>
      </c>
      <c r="B17" s="618">
        <v>8.1</v>
      </c>
      <c r="C17" s="392"/>
      <c r="D17" s="395">
        <f t="shared" si="0"/>
        <v>8.198616021481552</v>
      </c>
      <c r="E17" s="387">
        <f t="shared" si="17"/>
        <v>9.0225653990371057</v>
      </c>
      <c r="F17" s="387">
        <f t="shared" si="1"/>
        <v>9.0957960290550499</v>
      </c>
      <c r="G17" s="110">
        <f t="shared" si="18"/>
        <v>0.470978772650257</v>
      </c>
      <c r="H17" s="414" t="b">
        <f>Wh_hp&gt;='2019'!Maxi_hp</f>
        <v>0</v>
      </c>
      <c r="I17" s="382">
        <f>IF(H17,Wh_hp,'2019'!Maxi_hp)</f>
        <v>19.427917678346777</v>
      </c>
      <c r="J17" s="85">
        <f>IF(H17,An,'2019'!An_max)</f>
        <v>2019</v>
      </c>
      <c r="K17" s="199">
        <f t="shared" si="19"/>
        <v>43833</v>
      </c>
      <c r="L17" s="147">
        <f>IF(t&lt;Tvie,1-EXP((T0-t)*PertePVj)+'2019'!Pspv,1-EXP((T0-t)*PertePVj)+Pspv)</f>
        <v>1.2028374206471515E-2</v>
      </c>
      <c r="M17" s="870"/>
      <c r="N17" s="870"/>
      <c r="O17" s="48">
        <f>IF(t&lt;Tnet,'2019'!Resal+('2019'!Salim-'2019'!Resal)*(1-EXP(('2019'!Tnet-t)/('2019'!Tau_j))),Resal+(Salim-Resal)*(1-EXP((Tnet-t)/(Tau_j))))*Salcycl</f>
        <v>9.1320964838169649E-2</v>
      </c>
      <c r="P17" s="171">
        <f>(INDEX(Models!$BJ17:$BT17,,T17)*(1-R17)+INDEX(Models!$BJ17:$BT17,,T17+1)*R17-ERP_i)*Q17*Ramure*Pc/MaxiM</f>
        <v>3.0947375749124973E-2</v>
      </c>
      <c r="Q17" s="307">
        <f t="shared" si="2"/>
        <v>1</v>
      </c>
      <c r="R17" s="179">
        <f t="shared" si="3"/>
        <v>0.59986095628891278</v>
      </c>
      <c r="S17" s="837">
        <f t="shared" si="4"/>
        <v>-2</v>
      </c>
      <c r="T17" s="178">
        <f t="shared" si="5"/>
        <v>4</v>
      </c>
      <c r="U17" s="253">
        <f t="shared" si="20"/>
        <v>-1.4001390437110872</v>
      </c>
      <c r="V17" s="385">
        <f t="shared" si="6"/>
        <v>16.801254925613083</v>
      </c>
      <c r="W17" s="404"/>
      <c r="X17" s="157">
        <f t="shared" si="7"/>
        <v>43833</v>
      </c>
      <c r="Y17" s="387">
        <f t="shared" si="8"/>
        <v>8.1</v>
      </c>
      <c r="Z17" s="387">
        <f t="shared" si="9"/>
        <v>8.198616021481552</v>
      </c>
      <c r="AA17" s="388">
        <f t="shared" si="10"/>
        <v>9.0225653990371057</v>
      </c>
      <c r="AB17" s="199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9.1320964838169649E-2</v>
      </c>
      <c r="AD17" s="233">
        <f>(INDEX(Models!$BJ17:$BT17,,AH17)*(1-AF17)+INDEX(Models!$BJ17:$BT17,,AH17+1)*AF17-ERP_i)*AE17*Ramure*Pc/MaxiM</f>
        <v>3.0947375749124973E-2</v>
      </c>
      <c r="AE17" s="307">
        <f t="shared" si="12"/>
        <v>1</v>
      </c>
      <c r="AF17" s="179">
        <f>(Hp_vg_s-AG17)/(INDEX(Echel_vg,AH17+1)-AG17)</f>
        <v>0.59986095628891278</v>
      </c>
      <c r="AG17" s="837">
        <f>INDEX(Echel_vg,AH17)</f>
        <v>-2</v>
      </c>
      <c r="AH17" s="178">
        <f t="shared" si="13"/>
        <v>4</v>
      </c>
      <c r="AI17" s="227">
        <f t="shared" si="23"/>
        <v>-1.4001390437110872</v>
      </c>
      <c r="AJ17" s="267" t="b">
        <f t="shared" si="14"/>
        <v>0</v>
      </c>
      <c r="AK17" s="267" t="b">
        <f t="shared" si="15"/>
        <v>0</v>
      </c>
      <c r="AL17" s="267"/>
      <c r="AM17" s="267"/>
      <c r="AN17" s="75"/>
    </row>
    <row r="18" spans="1:40" s="6" customFormat="1" ht="11.25" customHeight="1" x14ac:dyDescent="0.2">
      <c r="A18" s="56">
        <f t="shared" si="16"/>
        <v>43834</v>
      </c>
      <c r="B18" s="618">
        <v>5.1870000000000003</v>
      </c>
      <c r="C18" s="392"/>
      <c r="D18" s="395">
        <f t="shared" si="0"/>
        <v>5.2502729597225226</v>
      </c>
      <c r="E18" s="387">
        <f t="shared" si="17"/>
        <v>5.778725872094757</v>
      </c>
      <c r="F18" s="387">
        <f t="shared" si="1"/>
        <v>5.780295136029113</v>
      </c>
      <c r="G18" s="110">
        <f t="shared" si="18"/>
        <v>0.29694056228212007</v>
      </c>
      <c r="H18" s="414" t="b">
        <f>Wh_hp&gt;='2019'!Maxi_hp</f>
        <v>0</v>
      </c>
      <c r="I18" s="382">
        <f>IF(H18,Wh_hp,'2019'!Maxi_hp)</f>
        <v>19.204055167696065</v>
      </c>
      <c r="J18" s="85">
        <f>IF(H18,An,'2019'!An_max)</f>
        <v>2019</v>
      </c>
      <c r="K18" s="199">
        <f t="shared" si="19"/>
        <v>43834</v>
      </c>
      <c r="L18" s="147">
        <f>IF(t&lt;Tvie,1-EXP((T0-t)*PertePVj)+'2019'!Pspv,1-EXP((T0-t)*PertePVj)+Pspv)</f>
        <v>1.2051365749537468E-2</v>
      </c>
      <c r="M18" s="870"/>
      <c r="N18" s="870"/>
      <c r="O18" s="48">
        <f>IF(t&lt;Tnet,'2019'!Resal+('2019'!Salim-'2019'!Resal)*(1-EXP(('2019'!Tnet-t)/('2019'!Tau_j))),Resal+(Salim-Resal)*(1-EXP((Tnet-t)/(Tau_j))))*Salcycl</f>
        <v>9.1447998065475378E-2</v>
      </c>
      <c r="P18" s="171">
        <f>(INDEX(Models!$BJ18:$BT18,,T18)*(1-R18)+INDEX(Models!$BJ18:$BT18,,T18+1)*R18-ERP_i)*Q18*Ramure*Pc/MaxiM</f>
        <v>3.056116218323434E-2</v>
      </c>
      <c r="Q18" s="307">
        <f t="shared" si="2"/>
        <v>1</v>
      </c>
      <c r="R18" s="179">
        <f t="shared" si="3"/>
        <v>0.59990534963272601</v>
      </c>
      <c r="S18" s="837">
        <f t="shared" si="4"/>
        <v>-2</v>
      </c>
      <c r="T18" s="178">
        <f t="shared" si="5"/>
        <v>4</v>
      </c>
      <c r="U18" s="253">
        <f t="shared" si="20"/>
        <v>-1.400094650367274</v>
      </c>
      <c r="V18" s="385">
        <f t="shared" si="6"/>
        <v>16.938894238470446</v>
      </c>
      <c r="W18" s="404"/>
      <c r="X18" s="157">
        <f t="shared" si="7"/>
        <v>43834</v>
      </c>
      <c r="Y18" s="387">
        <f t="shared" si="8"/>
        <v>5.1870000000000003</v>
      </c>
      <c r="Z18" s="387">
        <f>Wh_sa_s*(1-Psa_s)</f>
        <v>5.2502729597225226</v>
      </c>
      <c r="AA18" s="388">
        <f t="shared" si="10"/>
        <v>5.778725872094757</v>
      </c>
      <c r="AB18" s="199">
        <f>t</f>
        <v>43834</v>
      </c>
      <c r="AC18" s="119">
        <f>IF(OR(t&lt;Tnet,NoTnet),'2019'!Resal_s+('2019'!Salim-'2019'!Resal_s)*(1-EXP(('2019'!Tnet_s-t)/'2019'!Tau_j)),Resal_s+(Salim-Resal_s)*(1-EXP((Tnet_s-t)/Tau_j)))*Salcycl</f>
        <v>9.1447998065475378E-2</v>
      </c>
      <c r="AD18" s="233">
        <f>(INDEX(Models!$BJ18:$BT18,,AH18)*(1-AF18)+INDEX(Models!$BJ18:$BT18,,AH18+1)*AF18-ERP_i)*AE18*Ramure*Pc/MaxiM</f>
        <v>3.056116218323434E-2</v>
      </c>
      <c r="AE18" s="307">
        <f t="shared" si="12"/>
        <v>1</v>
      </c>
      <c r="AF18" s="179">
        <f t="shared" si="21"/>
        <v>0.59990534963272601</v>
      </c>
      <c r="AG18" s="837">
        <f t="shared" si="22"/>
        <v>-2</v>
      </c>
      <c r="AH18" s="178">
        <f t="shared" si="13"/>
        <v>4</v>
      </c>
      <c r="AI18" s="227">
        <f t="shared" si="23"/>
        <v>-1.400094650367274</v>
      </c>
      <c r="AJ18" s="267" t="b">
        <f t="shared" si="14"/>
        <v>0</v>
      </c>
      <c r="AK18" s="267" t="b">
        <f t="shared" si="15"/>
        <v>0</v>
      </c>
      <c r="AL18" s="267"/>
      <c r="AM18" s="267"/>
      <c r="AN18" s="75"/>
    </row>
    <row r="19" spans="1:40" s="6" customFormat="1" ht="11.25" customHeight="1" x14ac:dyDescent="0.2">
      <c r="A19" s="56">
        <f t="shared" si="16"/>
        <v>43835</v>
      </c>
      <c r="B19" s="618">
        <v>10.692</v>
      </c>
      <c r="C19" s="392"/>
      <c r="D19" s="395">
        <f t="shared" si="0"/>
        <v>10.822676861497472</v>
      </c>
      <c r="E19" s="387">
        <f t="shared" si="17"/>
        <v>11.913671031481666</v>
      </c>
      <c r="F19" s="387">
        <f t="shared" si="1"/>
        <v>12.083327435182756</v>
      </c>
      <c r="G19" s="110">
        <f t="shared" si="18"/>
        <v>0.61560760344084131</v>
      </c>
      <c r="H19" s="414" t="b">
        <f>Wh_hp&gt;='2019'!Maxi_hp</f>
        <v>0</v>
      </c>
      <c r="I19" s="382">
        <f>IF(H19,Wh_hp,'2019'!Maxi_hp)</f>
        <v>19.428700857508826</v>
      </c>
      <c r="J19" s="85">
        <f>IF(H19,An,'2019'!An_max)</f>
        <v>2019</v>
      </c>
      <c r="K19" s="199">
        <f t="shared" si="19"/>
        <v>43835</v>
      </c>
      <c r="L19" s="147">
        <f>IF(t&lt;Tvie,1-EXP((T0-t)*PertePVj)+'2019'!Pspv,1-EXP((T0-t)*PertePVj)+Pspv)</f>
        <v>1.2074356757556526E-2</v>
      </c>
      <c r="M19" s="870"/>
      <c r="N19" s="870"/>
      <c r="O19" s="48">
        <f>IF(t&lt;Tnet,'2019'!Resal+('2019'!Salim-'2019'!Resal)*(1-EXP(('2019'!Tnet-t)/('2019'!Tau_j))),Resal+(Salim-Resal)*(1-EXP((Tnet-t)/(Tau_j))))*Salcycl</f>
        <v>9.1574978619206659E-2</v>
      </c>
      <c r="P19" s="171">
        <f>(INDEX(Models!$BJ19:$BT19,,T19)*(1-R19)+INDEX(Models!$BJ19:$BT19,,T19+1)*R19-ERP_i)*Q19*Ramure*Pc/MaxiM</f>
        <v>3.0163062944788252E-2</v>
      </c>
      <c r="Q19" s="307">
        <f t="shared" si="2"/>
        <v>1</v>
      </c>
      <c r="R19" s="179">
        <f t="shared" si="3"/>
        <v>0.59995159937831244</v>
      </c>
      <c r="S19" s="837">
        <f t="shared" si="4"/>
        <v>-2</v>
      </c>
      <c r="T19" s="178">
        <f t="shared" si="5"/>
        <v>4</v>
      </c>
      <c r="U19" s="253">
        <f t="shared" si="20"/>
        <v>-1.4000484006216876</v>
      </c>
      <c r="V19" s="385">
        <f t="shared" si="6"/>
        <v>17.084199559215698</v>
      </c>
      <c r="W19" s="404"/>
      <c r="X19" s="157">
        <f t="shared" si="7"/>
        <v>43835</v>
      </c>
      <c r="Y19" s="387">
        <f t="shared" si="8"/>
        <v>10.692</v>
      </c>
      <c r="Z19" s="387">
        <f t="shared" si="9"/>
        <v>10.822676861497472</v>
      </c>
      <c r="AA19" s="388">
        <f t="shared" si="10"/>
        <v>11.913671031481666</v>
      </c>
      <c r="AB19" s="199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9.1574978619206659E-2</v>
      </c>
      <c r="AD19" s="233">
        <f>(INDEX(Models!$BJ19:$BT19,,AH19)*(1-AF19)+INDEX(Models!$BJ19:$BT19,,AH19+1)*AF19-ERP_i)*AE19*Ramure*Pc/MaxiM</f>
        <v>3.0163062944788252E-2</v>
      </c>
      <c r="AE19" s="307">
        <f t="shared" si="12"/>
        <v>1</v>
      </c>
      <c r="AF19" s="179">
        <f t="shared" si="21"/>
        <v>0.59995159937831244</v>
      </c>
      <c r="AG19" s="837">
        <f t="shared" si="22"/>
        <v>-2</v>
      </c>
      <c r="AH19" s="178">
        <f t="shared" si="13"/>
        <v>4</v>
      </c>
      <c r="AI19" s="227">
        <f t="shared" si="23"/>
        <v>-1.4000484006216876</v>
      </c>
      <c r="AJ19" s="267" t="b">
        <f t="shared" si="14"/>
        <v>0</v>
      </c>
      <c r="AK19" s="267" t="b">
        <f t="shared" si="15"/>
        <v>0</v>
      </c>
      <c r="AL19" s="267"/>
      <c r="AM19" s="267"/>
      <c r="AN19" s="75"/>
    </row>
    <row r="20" spans="1:40" s="6" customFormat="1" ht="11.25" customHeight="1" x14ac:dyDescent="0.2">
      <c r="A20" s="56">
        <f t="shared" si="16"/>
        <v>43836</v>
      </c>
      <c r="B20" s="618">
        <v>16.457000000000001</v>
      </c>
      <c r="C20" s="392"/>
      <c r="D20" s="395">
        <f t="shared" si="0"/>
        <v>16.658523948553945</v>
      </c>
      <c r="E20" s="387">
        <f t="shared" si="17"/>
        <v>18.340370333053105</v>
      </c>
      <c r="F20" s="387">
        <f t="shared" si="1"/>
        <v>18.86541164132089</v>
      </c>
      <c r="G20" s="110">
        <f t="shared" si="18"/>
        <v>0.95286345493605173</v>
      </c>
      <c r="H20" s="414" t="b">
        <f>Wh_hp&gt;='2019'!Maxi_hp</f>
        <v>1</v>
      </c>
      <c r="I20" s="382">
        <f>IF(H20,Wh_hp,'2019'!Maxi_hp)</f>
        <v>18.86541164132089</v>
      </c>
      <c r="J20" s="85">
        <f>IF(H20,An,'2019'!An_max)</f>
        <v>2020</v>
      </c>
      <c r="K20" s="199">
        <f t="shared" si="19"/>
        <v>43836</v>
      </c>
      <c r="L20" s="147">
        <f>IF(t&lt;Tvie,1-EXP((T0-t)*PertePVj)+'2019'!Pspv,1-EXP((T0-t)*PertePVj)+Pspv)</f>
        <v>1.2097347230541233E-2</v>
      </c>
      <c r="M20" s="870"/>
      <c r="N20" s="870"/>
      <c r="O20" s="48">
        <f>IF(t&lt;Tnet,'2019'!Resal+('2019'!Salim-'2019'!Resal)*(1-EXP(('2019'!Tnet-t)/('2019'!Tau_j))),Resal+(Salim-Resal)*(1-EXP((Tnet-t)/(Tau_j))))*Salcycl</f>
        <v>9.1701877004529656E-2</v>
      </c>
      <c r="P20" s="171">
        <f>(INDEX(Models!$BJ20:$BT20,,T20)*(1-R20)+INDEX(Models!$BJ20:$BT20,,T20+1)*R20-ERP_i)*Q20*Ramure*Pc/MaxiM</f>
        <v>2.9754194455748027E-2</v>
      </c>
      <c r="Q20" s="307">
        <f t="shared" si="2"/>
        <v>1</v>
      </c>
      <c r="R20" s="179">
        <f t="shared" si="3"/>
        <v>0.59999978289376332</v>
      </c>
      <c r="S20" s="837">
        <f t="shared" si="4"/>
        <v>-2</v>
      </c>
      <c r="T20" s="178">
        <f t="shared" si="5"/>
        <v>4</v>
      </c>
      <c r="U20" s="253">
        <f t="shared" si="20"/>
        <v>-1.4000002171062367</v>
      </c>
      <c r="V20" s="385">
        <f t="shared" si="6"/>
        <v>17.236931563981319</v>
      </c>
      <c r="W20" s="404"/>
      <c r="X20" s="157">
        <f t="shared" si="7"/>
        <v>43836</v>
      </c>
      <c r="Y20" s="387">
        <f t="shared" si="8"/>
        <v>16.457000000000001</v>
      </c>
      <c r="Z20" s="387">
        <f t="shared" si="9"/>
        <v>16.658523948553945</v>
      </c>
      <c r="AA20" s="388">
        <f t="shared" si="10"/>
        <v>18.340370333053105</v>
      </c>
      <c r="AB20" s="199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9.1701877004529656E-2</v>
      </c>
      <c r="AD20" s="233">
        <f>(INDEX(Models!$BJ20:$BT20,,AH20)*(1-AF20)+INDEX(Models!$BJ20:$BT20,,AH20+1)*AF20-ERP_i)*AE20*Ramure*Pc/MaxiM</f>
        <v>2.9754194455748027E-2</v>
      </c>
      <c r="AE20" s="307">
        <f t="shared" si="12"/>
        <v>1</v>
      </c>
      <c r="AF20" s="179">
        <f t="shared" si="21"/>
        <v>0.59999978289376332</v>
      </c>
      <c r="AG20" s="837">
        <f t="shared" si="22"/>
        <v>-2</v>
      </c>
      <c r="AH20" s="178">
        <f t="shared" si="13"/>
        <v>4</v>
      </c>
      <c r="AI20" s="227">
        <f t="shared" si="23"/>
        <v>-1.4000002171062367</v>
      </c>
      <c r="AJ20" s="267" t="b">
        <f t="shared" si="14"/>
        <v>0</v>
      </c>
      <c r="AK20" s="267" t="b">
        <f t="shared" si="15"/>
        <v>0</v>
      </c>
      <c r="AL20" s="267"/>
      <c r="AM20" s="267"/>
      <c r="AN20" s="75"/>
    </row>
    <row r="21" spans="1:40" s="6" customFormat="1" ht="11.25" customHeight="1" x14ac:dyDescent="0.2">
      <c r="A21" s="56">
        <f t="shared" si="16"/>
        <v>43837</v>
      </c>
      <c r="B21" s="618">
        <v>6.7</v>
      </c>
      <c r="C21" s="392"/>
      <c r="D21" s="395">
        <f t="shared" si="0"/>
        <v>6.7822025820394165</v>
      </c>
      <c r="E21" s="387">
        <f t="shared" si="17"/>
        <v>7.4679769643633858</v>
      </c>
      <c r="F21" s="387">
        <f t="shared" si="1"/>
        <v>7.4947144680281284</v>
      </c>
      <c r="G21" s="110">
        <f t="shared" si="18"/>
        <v>0.37516763366371281</v>
      </c>
      <c r="H21" s="414" t="b">
        <f>Wh_hp&gt;='2019'!Maxi_hp</f>
        <v>1</v>
      </c>
      <c r="I21" s="382">
        <f>IF(H21,Wh_hp,'2019'!Maxi_hp)</f>
        <v>7.4947144680281284</v>
      </c>
      <c r="J21" s="85">
        <f>IF(H21,An,'2019'!An_max)</f>
        <v>2020</v>
      </c>
      <c r="K21" s="199">
        <f t="shared" si="19"/>
        <v>43837</v>
      </c>
      <c r="L21" s="147">
        <f>IF(t&lt;Tvie,1-EXP((T0-t)*PertePVj)+'2019'!Pspv,1-EXP((T0-t)*PertePVj)+Pspv)</f>
        <v>1.2120337168504025E-2</v>
      </c>
      <c r="M21" s="870"/>
      <c r="N21" s="870"/>
      <c r="O21" s="48">
        <f>IF(t&lt;Tnet,'2019'!Resal+('2019'!Salim-'2019'!Resal)*(1-EXP(('2019'!Tnet-t)/('2019'!Tau_j))),Resal+(Salim-Resal)*(1-EXP((Tnet-t)/(Tau_j))))*Salcycl</f>
        <v>9.1828668673783087E-2</v>
      </c>
      <c r="P21" s="171">
        <f>(INDEX(Models!$BJ21:$BT21,,T21)*(1-R21)+INDEX(Models!$BJ21:$BT21,,T21+1)*R21-ERP_i)*Q21*Ramure*Pc/MaxiM</f>
        <v>2.9335642609814302E-2</v>
      </c>
      <c r="Q21" s="307">
        <f t="shared" si="2"/>
        <v>1</v>
      </c>
      <c r="R21" s="179">
        <f t="shared" si="3"/>
        <v>0.60004998074925187</v>
      </c>
      <c r="S21" s="837">
        <f t="shared" si="4"/>
        <v>-2</v>
      </c>
      <c r="T21" s="178">
        <f t="shared" si="5"/>
        <v>4</v>
      </c>
      <c r="U21" s="253">
        <f t="shared" si="20"/>
        <v>-1.3999500192507481</v>
      </c>
      <c r="V21" s="385">
        <f t="shared" si="6"/>
        <v>17.396850988989563</v>
      </c>
      <c r="W21" s="404"/>
      <c r="X21" s="157">
        <f t="shared" si="7"/>
        <v>43837</v>
      </c>
      <c r="Y21" s="387">
        <f t="shared" si="8"/>
        <v>6.7</v>
      </c>
      <c r="Z21" s="387">
        <f t="shared" si="9"/>
        <v>6.7822025820394165</v>
      </c>
      <c r="AA21" s="388">
        <f t="shared" si="10"/>
        <v>7.4679769643633858</v>
      </c>
      <c r="AB21" s="199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9.1828668673783087E-2</v>
      </c>
      <c r="AD21" s="233">
        <f>(INDEX(Models!$BJ21:$BT21,,AH21)*(1-AF21)+INDEX(Models!$BJ21:$BT21,,AH21+1)*AF21-ERP_i)*AE21*Ramure*Pc/MaxiM</f>
        <v>2.9335642609814302E-2</v>
      </c>
      <c r="AE21" s="307">
        <f t="shared" si="12"/>
        <v>1</v>
      </c>
      <c r="AF21" s="179">
        <f t="shared" si="21"/>
        <v>0.60004998074925187</v>
      </c>
      <c r="AG21" s="837">
        <f t="shared" si="22"/>
        <v>-2</v>
      </c>
      <c r="AH21" s="178">
        <f t="shared" si="13"/>
        <v>4</v>
      </c>
      <c r="AI21" s="227">
        <f t="shared" si="23"/>
        <v>-1.3999500192507481</v>
      </c>
      <c r="AJ21" s="267" t="b">
        <f t="shared" si="14"/>
        <v>0</v>
      </c>
      <c r="AK21" s="267" t="b">
        <f t="shared" si="15"/>
        <v>0</v>
      </c>
      <c r="AL21" s="267"/>
      <c r="AM21" s="267"/>
      <c r="AN21" s="75"/>
    </row>
    <row r="22" spans="1:40" s="6" customFormat="1" ht="11.25" customHeight="1" x14ac:dyDescent="0.2">
      <c r="A22" s="56">
        <f t="shared" si="16"/>
        <v>43838</v>
      </c>
      <c r="B22" s="618">
        <v>10.481</v>
      </c>
      <c r="C22" s="392"/>
      <c r="D22" s="395">
        <f t="shared" si="0"/>
        <v>10.609838736649635</v>
      </c>
      <c r="E22" s="387">
        <f t="shared" si="17"/>
        <v>11.684269652876752</v>
      </c>
      <c r="F22" s="387">
        <f t="shared" si="1"/>
        <v>11.829234208232721</v>
      </c>
      <c r="G22" s="110">
        <f t="shared" si="18"/>
        <v>0.58668026621228242</v>
      </c>
      <c r="H22" s="414" t="b">
        <f>Wh_hp&gt;='2019'!Maxi_hp</f>
        <v>1</v>
      </c>
      <c r="I22" s="382">
        <f>IF(H22,Wh_hp,'2019'!Maxi_hp)</f>
        <v>11.829234208232721</v>
      </c>
      <c r="J22" s="85">
        <f>IF(H22,An,'2019'!An_max)</f>
        <v>2020</v>
      </c>
      <c r="K22" s="199">
        <f t="shared" si="19"/>
        <v>43838</v>
      </c>
      <c r="L22" s="147">
        <f>IF(t&lt;Tvie,1-EXP((T0-t)*PertePVj)+'2019'!Pspv,1-EXP((T0-t)*PertePVj)+Pspv)</f>
        <v>1.2143326571457447E-2</v>
      </c>
      <c r="M22" s="870"/>
      <c r="N22" s="870"/>
      <c r="O22" s="48">
        <f>IF(t&lt;Tnet,'2019'!Resal+('2019'!Salim-'2019'!Resal)*(1-EXP(('2019'!Tnet-t)/('2019'!Tau_j))),Resal+(Salim-Resal)*(1-EXP((Tnet-t)/(Tau_j))))*Salcycl</f>
        <v>9.1955333807499429E-2</v>
      </c>
      <c r="P22" s="171">
        <f>(INDEX(Models!$BJ22:$BT22,,T22)*(1-R22)+INDEX(Models!$BJ22:$BT22,,T22+1)*R22-ERP_i)*Q22*Ramure*Pc/MaxiM</f>
        <v>2.890845844268803E-2</v>
      </c>
      <c r="Q22" s="307">
        <f t="shared" si="2"/>
        <v>1</v>
      </c>
      <c r="R22" s="179">
        <f t="shared" si="3"/>
        <v>0.60010227684764783</v>
      </c>
      <c r="S22" s="837">
        <f t="shared" si="4"/>
        <v>-2</v>
      </c>
      <c r="T22" s="178">
        <f t="shared" si="5"/>
        <v>4</v>
      </c>
      <c r="U22" s="253">
        <f t="shared" si="20"/>
        <v>-1.3998977231523522</v>
      </c>
      <c r="V22" s="385">
        <f t="shared" si="6"/>
        <v>17.563718636354952</v>
      </c>
      <c r="W22" s="404"/>
      <c r="X22" s="157">
        <f t="shared" si="7"/>
        <v>43838</v>
      </c>
      <c r="Y22" s="387">
        <f t="shared" si="8"/>
        <v>10.481</v>
      </c>
      <c r="Z22" s="387">
        <f t="shared" si="9"/>
        <v>10.609838736649635</v>
      </c>
      <c r="AA22" s="388">
        <f t="shared" si="10"/>
        <v>11.684269652876752</v>
      </c>
      <c r="AB22" s="199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9.1955333807499429E-2</v>
      </c>
      <c r="AD22" s="233">
        <f>(INDEX(Models!$BJ22:$BT22,,AH22)*(1-AF22)+INDEX(Models!$BJ22:$BT22,,AH22+1)*AF22-ERP_i)*AE22*Ramure*Pc/MaxiM</f>
        <v>2.890845844268803E-2</v>
      </c>
      <c r="AE22" s="307">
        <f t="shared" si="12"/>
        <v>1</v>
      </c>
      <c r="AF22" s="179">
        <f t="shared" si="21"/>
        <v>0.60010227684764783</v>
      </c>
      <c r="AG22" s="837">
        <f t="shared" si="22"/>
        <v>-2</v>
      </c>
      <c r="AH22" s="178">
        <f t="shared" si="13"/>
        <v>4</v>
      </c>
      <c r="AI22" s="227">
        <f t="shared" si="23"/>
        <v>-1.3998977231523522</v>
      </c>
      <c r="AJ22" s="267" t="b">
        <f t="shared" si="14"/>
        <v>0</v>
      </c>
      <c r="AK22" s="267" t="b">
        <f t="shared" si="15"/>
        <v>0</v>
      </c>
      <c r="AL22" s="267"/>
      <c r="AM22" s="267"/>
      <c r="AN22" s="75"/>
    </row>
    <row r="23" spans="1:40" s="6" customFormat="1" ht="11.25" customHeight="1" x14ac:dyDescent="0.2">
      <c r="A23" s="56">
        <f t="shared" si="16"/>
        <v>43839</v>
      </c>
      <c r="B23" s="618">
        <v>16.523</v>
      </c>
      <c r="C23" s="392"/>
      <c r="D23" s="395">
        <f t="shared" si="0"/>
        <v>16.726499873660266</v>
      </c>
      <c r="E23" s="387">
        <f t="shared" si="17"/>
        <v>18.422916210806576</v>
      </c>
      <c r="F23" s="387">
        <f t="shared" si="1"/>
        <v>18.908516116999923</v>
      </c>
      <c r="G23" s="110">
        <f t="shared" si="18"/>
        <v>0.92876441595253534</v>
      </c>
      <c r="H23" s="414" t="b">
        <f>Wh_hp&gt;='2019'!Maxi_hp</f>
        <v>1</v>
      </c>
      <c r="I23" s="382">
        <f>IF(H23,Wh_hp,'2019'!Maxi_hp)</f>
        <v>18.908516116999923</v>
      </c>
      <c r="J23" s="85">
        <f>IF(H23,An,'2019'!An_max)</f>
        <v>2020</v>
      </c>
      <c r="K23" s="199">
        <f t="shared" si="19"/>
        <v>43839</v>
      </c>
      <c r="L23" s="147">
        <f>IF(t&lt;Tvie,1-EXP((T0-t)*PertePVj)+'2019'!Pspv,1-EXP((T0-t)*PertePVj)+Pspv)</f>
        <v>1.2166315439413822E-2</v>
      </c>
      <c r="M23" s="870"/>
      <c r="N23" s="870"/>
      <c r="O23" s="48">
        <f>IF(t&lt;Tnet,'2019'!Resal+('2019'!Salim-'2019'!Resal)*(1-EXP(('2019'!Tnet-t)/('2019'!Tau_j))),Resal+(Salim-Resal)*(1-EXP((Tnet-t)/(Tau_j))))*Salcycl</f>
        <v>9.2081857059699415E-2</v>
      </c>
      <c r="P23" s="171">
        <f>(INDEX(Models!$BJ23:$BT23,,T23)*(1-R23)+INDEX(Models!$BJ23:$BT23,,T23+1)*R23-ERP_i)*Q23*Ramure*Pc/MaxiM</f>
        <v>2.8470403425062719E-2</v>
      </c>
      <c r="Q23" s="307">
        <f t="shared" si="2"/>
        <v>1</v>
      </c>
      <c r="R23" s="179">
        <f t="shared" si="3"/>
        <v>0.60015675856029693</v>
      </c>
      <c r="S23" s="837">
        <f t="shared" si="4"/>
        <v>-2</v>
      </c>
      <c r="T23" s="178">
        <f t="shared" si="5"/>
        <v>4</v>
      </c>
      <c r="U23" s="253">
        <f t="shared" si="20"/>
        <v>-1.3998432414397031</v>
      </c>
      <c r="V23" s="385">
        <f t="shared" si="6"/>
        <v>17.739380193276769</v>
      </c>
      <c r="W23" s="404"/>
      <c r="X23" s="157">
        <f t="shared" si="7"/>
        <v>43839</v>
      </c>
      <c r="Y23" s="387">
        <f t="shared" si="8"/>
        <v>16.523</v>
      </c>
      <c r="Z23" s="387">
        <f t="shared" si="9"/>
        <v>16.726499873660266</v>
      </c>
      <c r="AA23" s="388">
        <f t="shared" si="10"/>
        <v>18.422916210806576</v>
      </c>
      <c r="AB23" s="199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9.2081857059699415E-2</v>
      </c>
      <c r="AD23" s="233">
        <f>(INDEX(Models!$BJ23:$BT23,,AH23)*(1-AF23)+INDEX(Models!$BJ23:$BT23,,AH23+1)*AF23-ERP_i)*AE23*Ramure*Pc/MaxiM</f>
        <v>2.8470403425062719E-2</v>
      </c>
      <c r="AE23" s="307">
        <f t="shared" si="12"/>
        <v>1</v>
      </c>
      <c r="AF23" s="179">
        <f t="shared" si="21"/>
        <v>0.60015675856029693</v>
      </c>
      <c r="AG23" s="837">
        <f t="shared" si="22"/>
        <v>-2</v>
      </c>
      <c r="AH23" s="178">
        <f t="shared" si="13"/>
        <v>4</v>
      </c>
      <c r="AI23" s="227">
        <f t="shared" si="23"/>
        <v>-1.3998432414397031</v>
      </c>
      <c r="AJ23" s="267" t="b">
        <f t="shared" si="14"/>
        <v>0</v>
      </c>
      <c r="AK23" s="267" t="b">
        <f t="shared" si="15"/>
        <v>0</v>
      </c>
      <c r="AL23" s="267"/>
      <c r="AM23" s="267"/>
      <c r="AN23" s="75"/>
    </row>
    <row r="24" spans="1:40" s="6" customFormat="1" ht="11.25" customHeight="1" x14ac:dyDescent="0.2">
      <c r="A24" s="56">
        <f t="shared" si="16"/>
        <v>43840</v>
      </c>
      <c r="B24" s="618">
        <v>9.1379999999999999</v>
      </c>
      <c r="C24" s="392"/>
      <c r="D24" s="395">
        <f t="shared" si="0"/>
        <v>9.2507603277606076</v>
      </c>
      <c r="E24" s="387">
        <f t="shared" si="17"/>
        <v>10.190398950138759</v>
      </c>
      <c r="F24" s="387">
        <f t="shared" si="1"/>
        <v>10.276717741129762</v>
      </c>
      <c r="G24" s="110">
        <f t="shared" si="18"/>
        <v>0.49969278610441326</v>
      </c>
      <c r="H24" s="414" t="b">
        <f>Wh_hp&gt;='2019'!Maxi_hp</f>
        <v>0</v>
      </c>
      <c r="I24" s="382">
        <f>IF(H24,Wh_hp,'2019'!Maxi_hp)</f>
        <v>10.736237354588313</v>
      </c>
      <c r="J24" s="85">
        <f>IF(H24,An,'2019'!An_max)</f>
        <v>2019</v>
      </c>
      <c r="K24" s="199">
        <f t="shared" si="19"/>
        <v>43840</v>
      </c>
      <c r="L24" s="147">
        <f>IF(t&lt;Tvie,1-EXP((T0-t)*PertePVj)+'2019'!Pspv,1-EXP((T0-t)*PertePVj)+Pspv)</f>
        <v>1.2189303772385696E-2</v>
      </c>
      <c r="M24" s="870"/>
      <c r="N24" s="870"/>
      <c r="O24" s="48">
        <f>IF(t&lt;Tnet,'2019'!Resal+('2019'!Salim-'2019'!Resal)*(1-EXP(('2019'!Tnet-t)/('2019'!Tau_j))),Resal+(Salim-Resal)*(1-EXP((Tnet-t)/(Tau_j))))*Salcycl</f>
        <v>9.220822727115674E-2</v>
      </c>
      <c r="P24" s="171">
        <f>(INDEX(Models!$BJ24:$BT24,,T24)*(1-R24)+INDEX(Models!$BJ24:$BT24,,T24+1)*R24-ERP_i)*Q24*Ramure*Pc/MaxiM</f>
        <v>2.8027081686351603E-2</v>
      </c>
      <c r="Q24" s="307">
        <f t="shared" si="2"/>
        <v>1</v>
      </c>
      <c r="R24" s="179">
        <f t="shared" si="3"/>
        <v>0.60021351686815438</v>
      </c>
      <c r="S24" s="837">
        <f t="shared" si="4"/>
        <v>-2</v>
      </c>
      <c r="T24" s="178">
        <f t="shared" si="5"/>
        <v>4</v>
      </c>
      <c r="U24" s="253">
        <f t="shared" si="20"/>
        <v>-1.3997864831318456</v>
      </c>
      <c r="V24" s="385">
        <f t="shared" si="6"/>
        <v>17.925260679241497</v>
      </c>
      <c r="W24" s="404"/>
      <c r="X24" s="157">
        <f t="shared" si="7"/>
        <v>43840</v>
      </c>
      <c r="Y24" s="387">
        <f t="shared" si="8"/>
        <v>9.1379999999999999</v>
      </c>
      <c r="Z24" s="387">
        <f t="shared" si="9"/>
        <v>9.2507603277606076</v>
      </c>
      <c r="AA24" s="388">
        <f t="shared" si="10"/>
        <v>10.190398950138759</v>
      </c>
      <c r="AB24" s="199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9.220822727115674E-2</v>
      </c>
      <c r="AD24" s="233">
        <f>(INDEX(Models!$BJ24:$BT24,,AH24)*(1-AF24)+INDEX(Models!$BJ24:$BT24,,AH24+1)*AF24-ERP_i)*AE24*Ramure*Pc/MaxiM</f>
        <v>2.8027081686351603E-2</v>
      </c>
      <c r="AE24" s="307">
        <f t="shared" si="12"/>
        <v>1</v>
      </c>
      <c r="AF24" s="179">
        <f t="shared" si="21"/>
        <v>0.60021351686815438</v>
      </c>
      <c r="AG24" s="837">
        <f t="shared" si="22"/>
        <v>-2</v>
      </c>
      <c r="AH24" s="178">
        <f t="shared" si="13"/>
        <v>4</v>
      </c>
      <c r="AI24" s="227">
        <f t="shared" si="23"/>
        <v>-1.3997864831318456</v>
      </c>
      <c r="AJ24" s="267" t="b">
        <f t="shared" si="14"/>
        <v>0</v>
      </c>
      <c r="AK24" s="267" t="b">
        <f t="shared" si="15"/>
        <v>0</v>
      </c>
      <c r="AL24" s="267"/>
      <c r="AM24" s="267"/>
      <c r="AN24" s="75"/>
    </row>
    <row r="25" spans="1:40" s="6" customFormat="1" ht="11.25" customHeight="1" x14ac:dyDescent="0.2">
      <c r="A25" s="56">
        <f t="shared" si="16"/>
        <v>43841</v>
      </c>
      <c r="B25" s="618">
        <v>17.792000000000002</v>
      </c>
      <c r="C25" s="392"/>
      <c r="D25" s="395">
        <f t="shared" si="0"/>
        <v>18.011967397615965</v>
      </c>
      <c r="E25" s="387">
        <f t="shared" si="17"/>
        <v>19.844277600606794</v>
      </c>
      <c r="F25" s="387">
        <f t="shared" si="1"/>
        <v>20.39225511924532</v>
      </c>
      <c r="G25" s="110">
        <f t="shared" si="18"/>
        <v>0.98114640851292823</v>
      </c>
      <c r="H25" s="414" t="b">
        <f>Wh_hp&gt;='2019'!Maxi_hp</f>
        <v>1</v>
      </c>
      <c r="I25" s="382">
        <f>IF(H25,Wh_hp,'2019'!Maxi_hp)</f>
        <v>20.39225511924532</v>
      </c>
      <c r="J25" s="85">
        <f>IF(H25,An,'2019'!An_max)</f>
        <v>2020</v>
      </c>
      <c r="K25" s="199">
        <f t="shared" si="19"/>
        <v>43841</v>
      </c>
      <c r="L25" s="147">
        <f>IF(t&lt;Tvie,1-EXP((T0-t)*PertePVj)+'2019'!Pspv,1-EXP((T0-t)*PertePVj)+Pspv)</f>
        <v>1.2212291570385503E-2</v>
      </c>
      <c r="M25" s="870"/>
      <c r="N25" s="870"/>
      <c r="O25" s="48">
        <f>IF(t&lt;Tnet,'2019'!Resal+('2019'!Salim-'2019'!Resal)*(1-EXP(('2019'!Tnet-t)/('2019'!Tau_j))),Resal+(Salim-Resal)*(1-EXP((Tnet-t)/(Tau_j))))*Salcycl</f>
        <v>9.2334437154557955E-2</v>
      </c>
      <c r="P25" s="171">
        <f>(INDEX(Models!$BJ25:$BT25,,T25)*(1-R25)+INDEX(Models!$BJ25:$BT25,,T25+1)*R25-ERP_i)*Q25*Ramure*Pc/MaxiM</f>
        <v>2.7586435488608115E-2</v>
      </c>
      <c r="Q25" s="307">
        <f t="shared" si="2"/>
        <v>1</v>
      </c>
      <c r="R25" s="179">
        <f t="shared" si="3"/>
        <v>0.6002726465084669</v>
      </c>
      <c r="S25" s="837">
        <f t="shared" si="4"/>
        <v>-2</v>
      </c>
      <c r="T25" s="178">
        <f t="shared" si="5"/>
        <v>4</v>
      </c>
      <c r="U25" s="253">
        <f t="shared" si="20"/>
        <v>-1.3997273534915331</v>
      </c>
      <c r="V25" s="385">
        <f t="shared" si="6"/>
        <v>18.120572800286176</v>
      </c>
      <c r="W25" s="404"/>
      <c r="X25" s="157">
        <f t="shared" si="7"/>
        <v>43841</v>
      </c>
      <c r="Y25" s="387">
        <f t="shared" si="8"/>
        <v>17.792000000000002</v>
      </c>
      <c r="Z25" s="387">
        <f t="shared" si="9"/>
        <v>18.011967397615965</v>
      </c>
      <c r="AA25" s="388">
        <f t="shared" si="10"/>
        <v>19.844277600606794</v>
      </c>
      <c r="AB25" s="199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9.2334437154557955E-2</v>
      </c>
      <c r="AD25" s="233">
        <f>(INDEX(Models!$BJ25:$BT25,,AH25)*(1-AF25)+INDEX(Models!$BJ25:$BT25,,AH25+1)*AF25-ERP_i)*AE25*Ramure*Pc/MaxiM</f>
        <v>2.7586435488608115E-2</v>
      </c>
      <c r="AE25" s="307">
        <f t="shared" si="12"/>
        <v>1</v>
      </c>
      <c r="AF25" s="179">
        <f t="shared" si="21"/>
        <v>0.6002726465084669</v>
      </c>
      <c r="AG25" s="837">
        <f t="shared" si="22"/>
        <v>-2</v>
      </c>
      <c r="AH25" s="178">
        <f t="shared" si="13"/>
        <v>4</v>
      </c>
      <c r="AI25" s="227">
        <f t="shared" si="23"/>
        <v>-1.3997273534915331</v>
      </c>
      <c r="AJ25" s="267" t="b">
        <f t="shared" si="14"/>
        <v>0</v>
      </c>
      <c r="AK25" s="267" t="b">
        <f t="shared" si="15"/>
        <v>0</v>
      </c>
      <c r="AL25" s="267"/>
      <c r="AM25" s="267"/>
      <c r="AN25" s="75"/>
    </row>
    <row r="26" spans="1:40" s="6" customFormat="1" ht="11.25" customHeight="1" x14ac:dyDescent="0.2">
      <c r="A26" s="56">
        <f t="shared" si="16"/>
        <v>43842</v>
      </c>
      <c r="B26" s="618">
        <v>18.099</v>
      </c>
      <c r="C26" s="392"/>
      <c r="D26" s="395">
        <f t="shared" si="0"/>
        <v>18.323189330577261</v>
      </c>
      <c r="E26" s="387">
        <f t="shared" si="17"/>
        <v>20.189963066569387</v>
      </c>
      <c r="F26" s="387">
        <f t="shared" si="1"/>
        <v>20.743234517449725</v>
      </c>
      <c r="G26" s="110">
        <f t="shared" si="18"/>
        <v>0.98720169692351734</v>
      </c>
      <c r="H26" s="414" t="b">
        <f>Wh_hp&gt;='2019'!Maxi_hp</f>
        <v>1</v>
      </c>
      <c r="I26" s="382">
        <f>IF(H26,Wh_hp,'2019'!Maxi_hp)</f>
        <v>20.743234517449725</v>
      </c>
      <c r="J26" s="85">
        <f>IF(H26,An,'2019'!An_max)</f>
        <v>2020</v>
      </c>
      <c r="K26" s="199">
        <f t="shared" si="19"/>
        <v>43842</v>
      </c>
      <c r="L26" s="147">
        <f>IF(t&lt;Tvie,1-EXP((T0-t)*PertePVj)+'2019'!Pspv,1-EXP((T0-t)*PertePVj)+Pspv)</f>
        <v>1.2235278833425567E-2</v>
      </c>
      <c r="M26" s="870"/>
      <c r="N26" s="870"/>
      <c r="O26" s="48">
        <f>IF(t&lt;Tnet,'2019'!Resal+('2019'!Salim-'2019'!Resal)*(1-EXP(('2019'!Tnet-t)/('2019'!Tau_j))),Resal+(Salim-Resal)*(1-EXP((Tnet-t)/(Tau_j))))*Salcycl</f>
        <v>9.2460482955668999E-2</v>
      </c>
      <c r="P26" s="171">
        <f>(INDEX(Models!$BJ26:$BT26,,T26)*(1-R26)+INDEX(Models!$BJ26:$BT26,,T26+1)*R26-ERP_i)*Q26*Ramure*Pc/MaxiM</f>
        <v>2.714997463573042E-2</v>
      </c>
      <c r="Q26" s="307">
        <f t="shared" si="2"/>
        <v>1</v>
      </c>
      <c r="R26" s="179">
        <f t="shared" si="3"/>
        <v>0.60033424612720632</v>
      </c>
      <c r="S26" s="837">
        <f t="shared" si="4"/>
        <v>-2</v>
      </c>
      <c r="T26" s="178">
        <f t="shared" si="5"/>
        <v>4</v>
      </c>
      <c r="U26" s="253">
        <f t="shared" si="20"/>
        <v>-1.3996657538727937</v>
      </c>
      <c r="V26" s="385">
        <f t="shared" si="6"/>
        <v>18.324643497889522</v>
      </c>
      <c r="W26" s="404"/>
      <c r="X26" s="157">
        <f t="shared" si="7"/>
        <v>43842</v>
      </c>
      <c r="Y26" s="387">
        <f t="shared" si="8"/>
        <v>18.099</v>
      </c>
      <c r="Z26" s="387">
        <f t="shared" si="9"/>
        <v>18.323189330577261</v>
      </c>
      <c r="AA26" s="388">
        <f t="shared" si="10"/>
        <v>20.189963066569387</v>
      </c>
      <c r="AB26" s="199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9.2460482955668999E-2</v>
      </c>
      <c r="AD26" s="233">
        <f>(INDEX(Models!$BJ26:$BT26,,AH26)*(1-AF26)+INDEX(Models!$BJ26:$BT26,,AH26+1)*AF26-ERP_i)*AE26*Ramure*Pc/MaxiM</f>
        <v>2.714997463573042E-2</v>
      </c>
      <c r="AE26" s="307">
        <f t="shared" si="12"/>
        <v>1</v>
      </c>
      <c r="AF26" s="179">
        <f t="shared" si="21"/>
        <v>0.60033424612720632</v>
      </c>
      <c r="AG26" s="837">
        <f t="shared" si="22"/>
        <v>-2</v>
      </c>
      <c r="AH26" s="178">
        <f t="shared" si="13"/>
        <v>4</v>
      </c>
      <c r="AI26" s="227">
        <f t="shared" si="23"/>
        <v>-1.3996657538727937</v>
      </c>
      <c r="AJ26" s="267" t="b">
        <f t="shared" si="14"/>
        <v>0</v>
      </c>
      <c r="AK26" s="267" t="b">
        <f t="shared" si="15"/>
        <v>0</v>
      </c>
      <c r="AL26" s="267"/>
      <c r="AM26" s="267"/>
      <c r="AN26" s="75"/>
    </row>
    <row r="27" spans="1:40" s="6" customFormat="1" ht="11.25" customHeight="1" x14ac:dyDescent="0.2">
      <c r="A27" s="56">
        <f t="shared" si="16"/>
        <v>43843</v>
      </c>
      <c r="B27" s="618">
        <v>13.02</v>
      </c>
      <c r="C27" s="392"/>
      <c r="D27" s="395">
        <f t="shared" si="0"/>
        <v>13.18158334921598</v>
      </c>
      <c r="E27" s="387">
        <f t="shared" si="17"/>
        <v>14.526543163599262</v>
      </c>
      <c r="F27" s="387">
        <f t="shared" si="1"/>
        <v>14.753138664755877</v>
      </c>
      <c r="G27" s="110">
        <f t="shared" si="18"/>
        <v>0.69428307220242513</v>
      </c>
      <c r="H27" s="414" t="b">
        <f>Wh_hp&gt;='2019'!Maxi_hp</f>
        <v>1</v>
      </c>
      <c r="I27" s="382">
        <f>IF(H27,Wh_hp,'2019'!Maxi_hp)</f>
        <v>14.753138664755877</v>
      </c>
      <c r="J27" s="85">
        <f>IF(H27,An,'2019'!An_max)</f>
        <v>2020</v>
      </c>
      <c r="K27" s="199">
        <f t="shared" si="19"/>
        <v>43843</v>
      </c>
      <c r="L27" s="147">
        <f>IF(t&lt;Tvie,1-EXP((T0-t)*PertePVj)+'2019'!Pspv,1-EXP((T0-t)*PertePVj)+Pspv)</f>
        <v>1.2258265561518544E-2</v>
      </c>
      <c r="M27" s="870"/>
      <c r="N27" s="870"/>
      <c r="O27" s="48">
        <f>IF(t&lt;Tnet,'2019'!Resal+('2019'!Salim-'2019'!Resal)*(1-EXP(('2019'!Tnet-t)/('2019'!Tau_j))),Resal+(Salim-Resal)*(1-EXP((Tnet-t)/(Tau_j))))*Salcycl</f>
        <v>9.2586364094762286E-2</v>
      </c>
      <c r="P27" s="171">
        <f>(INDEX(Models!$BJ27:$BT27,,T27)*(1-R27)+INDEX(Models!$BJ27:$BT27,,T27+1)*R27-ERP_i)*Q27*Ramure*Pc/MaxiM</f>
        <v>2.671907307448556E-2</v>
      </c>
      <c r="Q27" s="307">
        <f t="shared" si="2"/>
        <v>1</v>
      </c>
      <c r="R27" s="179">
        <f t="shared" si="3"/>
        <v>0.60039841843746311</v>
      </c>
      <c r="S27" s="837">
        <f t="shared" si="4"/>
        <v>-2</v>
      </c>
      <c r="T27" s="178">
        <f t="shared" si="5"/>
        <v>4</v>
      </c>
      <c r="U27" s="253">
        <f t="shared" si="20"/>
        <v>-1.3996015815625369</v>
      </c>
      <c r="V27" s="385">
        <f t="shared" si="6"/>
        <v>18.536800072141656</v>
      </c>
      <c r="W27" s="404"/>
      <c r="X27" s="157">
        <f t="shared" si="7"/>
        <v>43843</v>
      </c>
      <c r="Y27" s="387">
        <f t="shared" si="8"/>
        <v>13.02</v>
      </c>
      <c r="Z27" s="387">
        <f t="shared" si="9"/>
        <v>13.18158334921598</v>
      </c>
      <c r="AA27" s="388">
        <f t="shared" si="10"/>
        <v>14.526543163599262</v>
      </c>
      <c r="AB27" s="199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9.2586364094762286E-2</v>
      </c>
      <c r="AD27" s="233">
        <f>(INDEX(Models!$BJ27:$BT27,,AH27)*(1-AF27)+INDEX(Models!$BJ27:$BT27,,AH27+1)*AF27-ERP_i)*AE27*Ramure*Pc/MaxiM</f>
        <v>2.671907307448556E-2</v>
      </c>
      <c r="AE27" s="307">
        <f t="shared" si="12"/>
        <v>1</v>
      </c>
      <c r="AF27" s="179">
        <f t="shared" si="21"/>
        <v>0.60039841843746311</v>
      </c>
      <c r="AG27" s="837">
        <f t="shared" si="22"/>
        <v>-2</v>
      </c>
      <c r="AH27" s="178">
        <f t="shared" si="13"/>
        <v>4</v>
      </c>
      <c r="AI27" s="227">
        <f t="shared" si="23"/>
        <v>-1.3996015815625369</v>
      </c>
      <c r="AJ27" s="267" t="b">
        <f t="shared" si="14"/>
        <v>0</v>
      </c>
      <c r="AK27" s="267" t="b">
        <f t="shared" si="15"/>
        <v>0</v>
      </c>
      <c r="AL27" s="267"/>
      <c r="AM27" s="267"/>
      <c r="AN27" s="75"/>
    </row>
    <row r="28" spans="1:40" s="6" customFormat="1" ht="11.25" customHeight="1" x14ac:dyDescent="0.2">
      <c r="A28" s="56">
        <f t="shared" si="16"/>
        <v>43844</v>
      </c>
      <c r="B28" s="618">
        <v>17.902999999999999</v>
      </c>
      <c r="C28" s="392"/>
      <c r="D28" s="395">
        <f t="shared" si="0"/>
        <v>18.125605119680653</v>
      </c>
      <c r="E28" s="387">
        <f t="shared" si="17"/>
        <v>19.977787399034028</v>
      </c>
      <c r="F28" s="387">
        <f t="shared" si="1"/>
        <v>20.481339306550513</v>
      </c>
      <c r="G28" s="110">
        <f t="shared" si="18"/>
        <v>0.95282993722720288</v>
      </c>
      <c r="H28" s="414" t="b">
        <f>Wh_hp&gt;='2019'!Maxi_hp</f>
        <v>1</v>
      </c>
      <c r="I28" s="382">
        <f>IF(H28,Wh_hp,'2019'!Maxi_hp)</f>
        <v>20.481339306550513</v>
      </c>
      <c r="J28" s="85">
        <f>IF(H28,An,'2019'!An_max)</f>
        <v>2020</v>
      </c>
      <c r="K28" s="199">
        <f t="shared" si="19"/>
        <v>43844</v>
      </c>
      <c r="L28" s="147">
        <f>IF(t&lt;Tvie,1-EXP((T0-t)*PertePVj)+'2019'!Pspv,1-EXP((T0-t)*PertePVj)+Pspv)</f>
        <v>1.2281251754676759E-2</v>
      </c>
      <c r="M28" s="870"/>
      <c r="N28" s="870"/>
      <c r="O28" s="48">
        <f>IF(t&lt;Tnet,'2019'!Resal+('2019'!Salim-'2019'!Resal)*(1-EXP(('2019'!Tnet-t)/('2019'!Tau_j))),Resal+(Salim-Resal)*(1-EXP((Tnet-t)/(Tau_j))))*Salcycl</f>
        <v>9.2712082792658634E-2</v>
      </c>
      <c r="P28" s="171">
        <f>(INDEX(Models!$BJ28:$BT28,,T28)*(1-R28)+INDEX(Models!$BJ28:$BT28,,T28+1)*R28-ERP_i)*Q28*Ramure*Pc/MaxiM</f>
        <v>2.6294971399896474E-2</v>
      </c>
      <c r="Q28" s="307">
        <f t="shared" si="2"/>
        <v>1</v>
      </c>
      <c r="R28" s="179">
        <f t="shared" si="3"/>
        <v>0.60046527038400832</v>
      </c>
      <c r="S28" s="837">
        <f t="shared" si="4"/>
        <v>-2</v>
      </c>
      <c r="T28" s="178">
        <f t="shared" si="5"/>
        <v>4</v>
      </c>
      <c r="U28" s="253">
        <f t="shared" si="20"/>
        <v>-1.3995347296159917</v>
      </c>
      <c r="V28" s="385">
        <f t="shared" si="6"/>
        <v>18.756370199981248</v>
      </c>
      <c r="W28" s="404"/>
      <c r="X28" s="157">
        <f t="shared" si="7"/>
        <v>43844</v>
      </c>
      <c r="Y28" s="387">
        <f t="shared" si="8"/>
        <v>17.902999999999999</v>
      </c>
      <c r="Z28" s="387">
        <f t="shared" si="9"/>
        <v>18.125605119680653</v>
      </c>
      <c r="AA28" s="388">
        <f t="shared" si="10"/>
        <v>19.977787399034028</v>
      </c>
      <c r="AB28" s="199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9.2712082792658634E-2</v>
      </c>
      <c r="AD28" s="233">
        <f>(INDEX(Models!$BJ28:$BT28,,AH28)*(1-AF28)+INDEX(Models!$BJ28:$BT28,,AH28+1)*AF28-ERP_i)*AE28*Ramure*Pc/MaxiM</f>
        <v>2.6294971399896474E-2</v>
      </c>
      <c r="AE28" s="307">
        <f t="shared" si="12"/>
        <v>1</v>
      </c>
      <c r="AF28" s="179">
        <f t="shared" si="21"/>
        <v>0.60046527038400832</v>
      </c>
      <c r="AG28" s="837">
        <f t="shared" si="22"/>
        <v>-2</v>
      </c>
      <c r="AH28" s="178">
        <f t="shared" si="13"/>
        <v>4</v>
      </c>
      <c r="AI28" s="227">
        <f t="shared" si="23"/>
        <v>-1.3995347296159917</v>
      </c>
      <c r="AJ28" s="267" t="b">
        <f t="shared" si="14"/>
        <v>0</v>
      </c>
      <c r="AK28" s="267" t="b">
        <f t="shared" si="15"/>
        <v>0</v>
      </c>
      <c r="AL28" s="267"/>
      <c r="AM28" s="267"/>
      <c r="AN28" s="75"/>
    </row>
    <row r="29" spans="1:40" s="6" customFormat="1" ht="11.25" customHeight="1" x14ac:dyDescent="0.2">
      <c r="A29" s="56">
        <f t="shared" si="16"/>
        <v>43845</v>
      </c>
      <c r="B29" s="618">
        <v>15.823</v>
      </c>
      <c r="C29" s="392"/>
      <c r="D29" s="395">
        <f t="shared" si="0"/>
        <v>16.020115302058766</v>
      </c>
      <c r="E29" s="387">
        <f t="shared" si="17"/>
        <v>17.659590028788621</v>
      </c>
      <c r="F29" s="387">
        <f t="shared" si="1"/>
        <v>18.014937338585895</v>
      </c>
      <c r="G29" s="110">
        <f t="shared" si="18"/>
        <v>0.82831666550239624</v>
      </c>
      <c r="H29" s="414" t="b">
        <f>Wh_hp&gt;='2019'!Maxi_hp</f>
        <v>0</v>
      </c>
      <c r="I29" s="382">
        <f>IF(H29,Wh_hp,'2019'!Maxi_hp)</f>
        <v>21.380269665454179</v>
      </c>
      <c r="J29" s="85">
        <f>IF(H29,An,'2019'!An_max)</f>
        <v>2019</v>
      </c>
      <c r="K29" s="199">
        <f t="shared" si="19"/>
        <v>43845</v>
      </c>
      <c r="L29" s="147">
        <f>IF(t&lt;Tvie,1-EXP((T0-t)*PertePVj)+'2019'!Pspv,1-EXP((T0-t)*PertePVj)+Pspv)</f>
        <v>1.2304237412912644E-2</v>
      </c>
      <c r="M29" s="870"/>
      <c r="N29" s="870"/>
      <c r="O29" s="48">
        <f>IF(t&lt;Tnet,'2019'!Resal+('2019'!Salim-'2019'!Resal)*(1-EXP(('2019'!Tnet-t)/('2019'!Tau_j))),Resal+(Salim-Resal)*(1-EXP((Tnet-t)/(Tau_j))))*Salcycl</f>
        <v>9.283764368579274E-2</v>
      </c>
      <c r="P29" s="171">
        <f>(INDEX(Models!$BJ29:$BT29,,T29)*(1-R29)+INDEX(Models!$BJ29:$BT29,,T29+1)*R29-ERP_i)*Q29*Ramure*Pc/MaxiM</f>
        <v>2.5878780971167543E-2</v>
      </c>
      <c r="Q29" s="307">
        <f t="shared" si="2"/>
        <v>1</v>
      </c>
      <c r="R29" s="179">
        <f t="shared" si="3"/>
        <v>0.60053491331424969</v>
      </c>
      <c r="S29" s="837">
        <f t="shared" si="4"/>
        <v>-2</v>
      </c>
      <c r="T29" s="178">
        <f t="shared" si="5"/>
        <v>4</v>
      </c>
      <c r="U29" s="253">
        <f t="shared" si="20"/>
        <v>-1.3994650866857503</v>
      </c>
      <c r="V29" s="385">
        <f t="shared" si="6"/>
        <v>18.982681939203328</v>
      </c>
      <c r="W29" s="404"/>
      <c r="X29" s="157">
        <f t="shared" si="7"/>
        <v>43845</v>
      </c>
      <c r="Y29" s="387">
        <f t="shared" si="8"/>
        <v>15.823</v>
      </c>
      <c r="Z29" s="387">
        <f t="shared" si="9"/>
        <v>16.020115302058766</v>
      </c>
      <c r="AA29" s="388">
        <f t="shared" si="10"/>
        <v>17.659590028788621</v>
      </c>
      <c r="AB29" s="199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9.283764368579274E-2</v>
      </c>
      <c r="AD29" s="233">
        <f>(INDEX(Models!$BJ29:$BT29,,AH29)*(1-AF29)+INDEX(Models!$BJ29:$BT29,,AH29+1)*AF29-ERP_i)*AE29*Ramure*Pc/MaxiM</f>
        <v>2.5878780971167543E-2</v>
      </c>
      <c r="AE29" s="307">
        <f t="shared" si="12"/>
        <v>1</v>
      </c>
      <c r="AF29" s="179">
        <f t="shared" si="21"/>
        <v>0.60053491331424969</v>
      </c>
      <c r="AG29" s="837">
        <f t="shared" si="22"/>
        <v>-2</v>
      </c>
      <c r="AH29" s="178">
        <f t="shared" si="13"/>
        <v>4</v>
      </c>
      <c r="AI29" s="227">
        <f t="shared" si="23"/>
        <v>-1.3994650866857503</v>
      </c>
      <c r="AJ29" s="267" t="b">
        <f t="shared" si="14"/>
        <v>0</v>
      </c>
      <c r="AK29" s="267" t="b">
        <f t="shared" si="15"/>
        <v>0</v>
      </c>
      <c r="AL29" s="267"/>
      <c r="AM29" s="267"/>
      <c r="AN29" s="75"/>
    </row>
    <row r="30" spans="1:40" s="6" customFormat="1" ht="11.25" customHeight="1" x14ac:dyDescent="0.2">
      <c r="A30" s="56">
        <f t="shared" si="16"/>
        <v>43846</v>
      </c>
      <c r="B30" s="618">
        <v>17.809999999999999</v>
      </c>
      <c r="C30" s="392"/>
      <c r="D30" s="395">
        <f t="shared" si="0"/>
        <v>18.032288027350702</v>
      </c>
      <c r="E30" s="387">
        <f t="shared" si="17"/>
        <v>19.880433862848118</v>
      </c>
      <c r="F30" s="387">
        <f t="shared" si="1"/>
        <v>20.344333720171992</v>
      </c>
      <c r="G30" s="110">
        <f t="shared" si="18"/>
        <v>0.92434533295239918</v>
      </c>
      <c r="H30" s="414" t="b">
        <f>Wh_hp&gt;='2019'!Maxi_hp</f>
        <v>0</v>
      </c>
      <c r="I30" s="382">
        <f>IF(H30,Wh_hp,'2019'!Maxi_hp)</f>
        <v>21.212678147474715</v>
      </c>
      <c r="J30" s="85">
        <f>IF(H30,An,'2019'!An_max)</f>
        <v>2019</v>
      </c>
      <c r="K30" s="199">
        <f t="shared" si="19"/>
        <v>43846</v>
      </c>
      <c r="L30" s="147">
        <f>IF(t&lt;Tvie,1-EXP((T0-t)*PertePVj)+'2019'!Pspv,1-EXP((T0-t)*PertePVj)+Pspv)</f>
        <v>1.2327222536238636E-2</v>
      </c>
      <c r="M30" s="870"/>
      <c r="N30" s="870"/>
      <c r="O30" s="48">
        <f>IF(t&lt;Tnet,'2019'!Resal+('2019'!Salim-'2019'!Resal)*(1-EXP(('2019'!Tnet-t)/('2019'!Tau_j))),Resal+(Salim-Resal)*(1-EXP((Tnet-t)/(Tau_j))))*Salcycl</f>
        <v>9.2963053434722498E-2</v>
      </c>
      <c r="P30" s="171">
        <f>(INDEX(Models!$BJ30:$BT30,,T30)*(1-R30)+INDEX(Models!$BJ30:$BT30,,T30+1)*R30-ERP_i)*Q30*Ramure*Pc/MaxiM</f>
        <v>2.5462577640225352E-2</v>
      </c>
      <c r="Q30" s="307">
        <f t="shared" si="2"/>
        <v>1</v>
      </c>
      <c r="R30" s="179">
        <f t="shared" si="3"/>
        <v>0.60060746315580027</v>
      </c>
      <c r="S30" s="837">
        <f t="shared" si="4"/>
        <v>-2</v>
      </c>
      <c r="T30" s="178">
        <f t="shared" si="5"/>
        <v>4</v>
      </c>
      <c r="U30" s="253">
        <f t="shared" si="20"/>
        <v>-1.3993925368441997</v>
      </c>
      <c r="V30" s="385">
        <f t="shared" si="6"/>
        <v>19.215239441239849</v>
      </c>
      <c r="W30" s="404"/>
      <c r="X30" s="157">
        <f t="shared" si="7"/>
        <v>43846</v>
      </c>
      <c r="Y30" s="387">
        <f t="shared" si="8"/>
        <v>17.809999999999999</v>
      </c>
      <c r="Z30" s="387">
        <f t="shared" si="9"/>
        <v>18.032288027350702</v>
      </c>
      <c r="AA30" s="388">
        <f t="shared" si="10"/>
        <v>19.880433862848118</v>
      </c>
      <c r="AB30" s="199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9.2963053434722498E-2</v>
      </c>
      <c r="AD30" s="233">
        <f>(INDEX(Models!$BJ30:$BT30,,AH30)*(1-AF30)+INDEX(Models!$BJ30:$BT30,,AH30+1)*AF30-ERP_i)*AE30*Ramure*Pc/MaxiM</f>
        <v>2.5462577640225352E-2</v>
      </c>
      <c r="AE30" s="307">
        <f t="shared" si="12"/>
        <v>1</v>
      </c>
      <c r="AF30" s="179">
        <f t="shared" si="21"/>
        <v>0.60060746315580027</v>
      </c>
      <c r="AG30" s="837">
        <f t="shared" si="22"/>
        <v>-2</v>
      </c>
      <c r="AH30" s="178">
        <f t="shared" si="13"/>
        <v>4</v>
      </c>
      <c r="AI30" s="227">
        <f t="shared" si="23"/>
        <v>-1.3993925368441997</v>
      </c>
      <c r="AJ30" s="267" t="b">
        <f t="shared" si="14"/>
        <v>0</v>
      </c>
      <c r="AK30" s="267" t="b">
        <f t="shared" si="15"/>
        <v>0</v>
      </c>
      <c r="AL30" s="267"/>
      <c r="AM30" s="267"/>
      <c r="AN30" s="75"/>
    </row>
    <row r="31" spans="1:40" s="6" customFormat="1" ht="11.25" x14ac:dyDescent="0.2">
      <c r="A31" s="56">
        <f t="shared" si="16"/>
        <v>43847</v>
      </c>
      <c r="B31" s="618">
        <v>3.9079999999999999</v>
      </c>
      <c r="C31" s="392"/>
      <c r="D31" s="395">
        <f t="shared" si="0"/>
        <v>3.9568681411076767</v>
      </c>
      <c r="E31" s="387">
        <f t="shared" si="17"/>
        <v>4.3630137639748137</v>
      </c>
      <c r="F31" s="387">
        <f t="shared" si="1"/>
        <v>4.3630137639748137</v>
      </c>
      <c r="G31" s="110">
        <f t="shared" si="18"/>
        <v>0.19585880914971515</v>
      </c>
      <c r="H31" s="414" t="b">
        <f>Wh_hp&gt;='2019'!Maxi_hp</f>
        <v>0</v>
      </c>
      <c r="I31" s="382">
        <f>IF(H31,Wh_hp,'2019'!Maxi_hp)</f>
        <v>9.8306421801745199</v>
      </c>
      <c r="J31" s="85">
        <f>IF(H31,An,'2019'!An_max)</f>
        <v>2019</v>
      </c>
      <c r="K31" s="199">
        <f t="shared" si="19"/>
        <v>43847</v>
      </c>
      <c r="L31" s="147">
        <f>IF(t&lt;Tvie,1-EXP((T0-t)*PertePVj)+'2019'!Pspv,1-EXP((T0-t)*PertePVj)+Pspv)</f>
        <v>1.2350207124667278E-2</v>
      </c>
      <c r="M31" s="870"/>
      <c r="N31" s="870"/>
      <c r="O31" s="48">
        <f>IF(t&lt;Tnet,'2019'!Resal+('2019'!Salim-'2019'!Resal)*(1-EXP(('2019'!Tnet-t)/('2019'!Tau_j))),Resal+(Salim-Resal)*(1-EXP((Tnet-t)/(Tau_j))))*Salcycl</f>
        <v>9.3088320330469931E-2</v>
      </c>
      <c r="P31" s="171">
        <f>(INDEX(Models!$BJ31:$BT31,,T31)*(1-R31)+INDEX(Models!$BJ31:$BT31,,T31+1)*R31-ERP_i)*Q31*Ramure*Pc/MaxiM</f>
        <v>2.5046057307364509E-2</v>
      </c>
      <c r="Q31" s="307">
        <f t="shared" si="2"/>
        <v>1</v>
      </c>
      <c r="R31" s="179">
        <f t="shared" si="3"/>
        <v>0.60068304060089606</v>
      </c>
      <c r="S31" s="837">
        <f t="shared" si="4"/>
        <v>-2</v>
      </c>
      <c r="T31" s="178">
        <f t="shared" si="5"/>
        <v>4</v>
      </c>
      <c r="U31" s="253">
        <f t="shared" si="20"/>
        <v>-1.3993169593991039</v>
      </c>
      <c r="V31" s="385">
        <f t="shared" si="6"/>
        <v>19.453401277092162</v>
      </c>
      <c r="W31" s="404"/>
      <c r="X31" s="157">
        <f t="shared" si="7"/>
        <v>43847</v>
      </c>
      <c r="Y31" s="387">
        <f t="shared" si="8"/>
        <v>3.9079999999999999</v>
      </c>
      <c r="Z31" s="387">
        <f t="shared" si="9"/>
        <v>3.9568681411076767</v>
      </c>
      <c r="AA31" s="388">
        <f t="shared" si="10"/>
        <v>4.3630137639748137</v>
      </c>
      <c r="AB31" s="199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9.3088320330469931E-2</v>
      </c>
      <c r="AD31" s="233">
        <f>(INDEX(Models!$BJ31:$BT31,,AH31)*(1-AF31)+INDEX(Models!$BJ31:$BT31,,AH31+1)*AF31-ERP_i)*AE31*Ramure*Pc/MaxiM</f>
        <v>2.5046057307364509E-2</v>
      </c>
      <c r="AE31" s="307">
        <f t="shared" si="12"/>
        <v>1</v>
      </c>
      <c r="AF31" s="179">
        <f t="shared" si="21"/>
        <v>0.60068304060089606</v>
      </c>
      <c r="AG31" s="837">
        <f t="shared" si="22"/>
        <v>-2</v>
      </c>
      <c r="AH31" s="178">
        <f t="shared" si="13"/>
        <v>4</v>
      </c>
      <c r="AI31" s="227">
        <f t="shared" si="23"/>
        <v>-1.3993169593991039</v>
      </c>
      <c r="AJ31" s="267" t="b">
        <f t="shared" si="14"/>
        <v>0</v>
      </c>
      <c r="AK31" s="267" t="b">
        <f t="shared" si="15"/>
        <v>0</v>
      </c>
      <c r="AL31" s="267"/>
      <c r="AM31" s="267"/>
      <c r="AN31" s="75"/>
    </row>
    <row r="32" spans="1:40" s="6" customFormat="1" ht="11.25" customHeight="1" x14ac:dyDescent="0.2">
      <c r="A32" s="56">
        <f t="shared" si="16"/>
        <v>43848</v>
      </c>
      <c r="B32" s="618">
        <v>16.012</v>
      </c>
      <c r="C32" s="392"/>
      <c r="D32" s="395">
        <f t="shared" si="0"/>
        <v>16.212601619332172</v>
      </c>
      <c r="E32" s="387">
        <f t="shared" si="17"/>
        <v>17.879181918958476</v>
      </c>
      <c r="F32" s="387">
        <f t="shared" si="1"/>
        <v>18.207801666844365</v>
      </c>
      <c r="G32" s="110">
        <f t="shared" si="18"/>
        <v>0.80748730648776479</v>
      </c>
      <c r="H32" s="414" t="b">
        <f>Wh_hp&gt;='2019'!Maxi_hp</f>
        <v>1</v>
      </c>
      <c r="I32" s="382">
        <f>IF(H32,Wh_hp,'2019'!Maxi_hp)</f>
        <v>18.207801666844365</v>
      </c>
      <c r="J32" s="85">
        <f>IF(H32,An,'2019'!An_max)</f>
        <v>2020</v>
      </c>
      <c r="K32" s="199">
        <f t="shared" si="19"/>
        <v>43848</v>
      </c>
      <c r="L32" s="147">
        <f>IF(t&lt;Tvie,1-EXP((T0-t)*PertePVj)+'2019'!Pspv,1-EXP((T0-t)*PertePVj)+Pspv)</f>
        <v>1.2373191178211007E-2</v>
      </c>
      <c r="M32" s="870"/>
      <c r="N32" s="870"/>
      <c r="O32" s="48">
        <f>IF(t&lt;Tnet,'2019'!Resal+('2019'!Salim-'2019'!Resal)*(1-EXP(('2019'!Tnet-t)/('2019'!Tau_j))),Resal+(Salim-Resal)*(1-EXP((Tnet-t)/(Tau_j))))*Salcycl</f>
        <v>9.3213453903006449E-2</v>
      </c>
      <c r="P32" s="171">
        <f>(INDEX(Models!$BJ32:$BT32,,T32)*(1-R32)+INDEX(Models!$BJ32:$BT32,,T32+1)*R32-ERP_i)*Q32*Ramure*Pc/MaxiM</f>
        <v>2.4630352229199303E-2</v>
      </c>
      <c r="Q32" s="307">
        <f t="shared" si="2"/>
        <v>1</v>
      </c>
      <c r="R32" s="179">
        <f t="shared" si="3"/>
        <v>0.60076177129789432</v>
      </c>
      <c r="S32" s="837">
        <f t="shared" si="4"/>
        <v>-2</v>
      </c>
      <c r="T32" s="178">
        <f t="shared" si="5"/>
        <v>4</v>
      </c>
      <c r="U32" s="253">
        <f t="shared" si="20"/>
        <v>-1.3992382287021057</v>
      </c>
      <c r="V32" s="385">
        <f t="shared" si="6"/>
        <v>19.696496578313059</v>
      </c>
      <c r="W32" s="404"/>
      <c r="X32" s="157">
        <f t="shared" si="7"/>
        <v>43848</v>
      </c>
      <c r="Y32" s="387">
        <f t="shared" si="8"/>
        <v>16.012</v>
      </c>
      <c r="Z32" s="387">
        <f t="shared" si="9"/>
        <v>16.212601619332172</v>
      </c>
      <c r="AA32" s="388">
        <f t="shared" si="10"/>
        <v>17.879181918958476</v>
      </c>
      <c r="AB32" s="199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9.3213453903006449E-2</v>
      </c>
      <c r="AD32" s="233">
        <f>(INDEX(Models!$BJ32:$BT32,,AH32)*(1-AF32)+INDEX(Models!$BJ32:$BT32,,AH32+1)*AF32-ERP_i)*AE32*Ramure*Pc/MaxiM</f>
        <v>2.4630352229199303E-2</v>
      </c>
      <c r="AE32" s="307">
        <f t="shared" si="12"/>
        <v>1</v>
      </c>
      <c r="AF32" s="179">
        <f t="shared" si="21"/>
        <v>0.60076177129789432</v>
      </c>
      <c r="AG32" s="837">
        <f t="shared" si="22"/>
        <v>-2</v>
      </c>
      <c r="AH32" s="178">
        <f t="shared" si="13"/>
        <v>4</v>
      </c>
      <c r="AI32" s="227">
        <f t="shared" si="23"/>
        <v>-1.3992382287021057</v>
      </c>
      <c r="AJ32" s="267" t="b">
        <f t="shared" si="14"/>
        <v>0</v>
      </c>
      <c r="AK32" s="267" t="b">
        <f t="shared" si="15"/>
        <v>0</v>
      </c>
      <c r="AL32" s="267"/>
      <c r="AM32" s="267"/>
      <c r="AN32" s="75"/>
    </row>
    <row r="33" spans="1:40" s="6" customFormat="1" ht="11.25" customHeight="1" x14ac:dyDescent="0.2">
      <c r="A33" s="56">
        <f t="shared" si="16"/>
        <v>43849</v>
      </c>
      <c r="B33" s="618">
        <v>17.690000000000001</v>
      </c>
      <c r="C33" s="392"/>
      <c r="D33" s="395">
        <f t="shared" si="0"/>
        <v>17.912040786770486</v>
      </c>
      <c r="E33" s="387">
        <f t="shared" si="17"/>
        <v>19.756039145969979</v>
      </c>
      <c r="F33" s="387">
        <f t="shared" si="1"/>
        <v>20.165538918703735</v>
      </c>
      <c r="G33" s="110">
        <f t="shared" si="18"/>
        <v>0.88345037393085901</v>
      </c>
      <c r="H33" s="414" t="b">
        <f>Wh_hp&gt;='2019'!Maxi_hp</f>
        <v>1</v>
      </c>
      <c r="I33" s="382">
        <f>IF(H33,Wh_hp,'2019'!Maxi_hp)</f>
        <v>20.165538918703735</v>
      </c>
      <c r="J33" s="85">
        <f>IF(H33,An,'2019'!An_max)</f>
        <v>2020</v>
      </c>
      <c r="K33" s="199">
        <f t="shared" si="19"/>
        <v>43849</v>
      </c>
      <c r="L33" s="147">
        <f>IF(t&lt;Tvie,1-EXP((T0-t)*PertePVj)+'2019'!Pspv,1-EXP((T0-t)*PertePVj)+Pspv)</f>
        <v>1.2396174696882145E-2</v>
      </c>
      <c r="M33" s="870"/>
      <c r="N33" s="870"/>
      <c r="O33" s="48">
        <f>IF(t&lt;Tnet,'2019'!Resal+('2019'!Salim-'2019'!Resal)*(1-EXP(('2019'!Tnet-t)/('2019'!Tau_j))),Resal+(Salim-Resal)*(1-EXP((Tnet-t)/(Tau_j))))*Salcycl</f>
        <v>9.3338464536078219E-2</v>
      </c>
      <c r="P33" s="171">
        <f>(INDEX(Models!$BJ33:$BT33,,T33)*(1-R33)+INDEX(Models!$BJ33:$BT33,,T33+1)*R33-ERP_i)*Q33*Ramure*Pc/MaxiM</f>
        <v>2.4216488123595611E-2</v>
      </c>
      <c r="Q33" s="307">
        <f t="shared" si="2"/>
        <v>1</v>
      </c>
      <c r="R33" s="179">
        <f t="shared" si="3"/>
        <v>0.60084378605009969</v>
      </c>
      <c r="S33" s="837">
        <f t="shared" si="4"/>
        <v>-2</v>
      </c>
      <c r="T33" s="178">
        <f t="shared" si="5"/>
        <v>4</v>
      </c>
      <c r="U33" s="253">
        <f t="shared" si="20"/>
        <v>-1.3991562139499003</v>
      </c>
      <c r="V33" s="385">
        <f t="shared" si="6"/>
        <v>19.943854830198394</v>
      </c>
      <c r="W33" s="404"/>
      <c r="X33" s="157">
        <f t="shared" si="7"/>
        <v>43849</v>
      </c>
      <c r="Y33" s="387">
        <f t="shared" si="8"/>
        <v>17.690000000000001</v>
      </c>
      <c r="Z33" s="387">
        <f t="shared" si="9"/>
        <v>17.912040786770486</v>
      </c>
      <c r="AA33" s="388">
        <f t="shared" si="10"/>
        <v>19.756039145969979</v>
      </c>
      <c r="AB33" s="199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9.3338464536078219E-2</v>
      </c>
      <c r="AD33" s="233">
        <f>(INDEX(Models!$BJ33:$BT33,,AH33)*(1-AF33)+INDEX(Models!$BJ33:$BT33,,AH33+1)*AF33-ERP_i)*AE33*Ramure*Pc/MaxiM</f>
        <v>2.4216488123595611E-2</v>
      </c>
      <c r="AE33" s="307">
        <f t="shared" si="12"/>
        <v>1</v>
      </c>
      <c r="AF33" s="179">
        <f t="shared" si="21"/>
        <v>0.60084378605009969</v>
      </c>
      <c r="AG33" s="837">
        <f t="shared" si="22"/>
        <v>-2</v>
      </c>
      <c r="AH33" s="178">
        <f t="shared" si="13"/>
        <v>4</v>
      </c>
      <c r="AI33" s="227">
        <f t="shared" si="23"/>
        <v>-1.3991562139499003</v>
      </c>
      <c r="AJ33" s="267" t="b">
        <f t="shared" si="14"/>
        <v>0</v>
      </c>
      <c r="AK33" s="267" t="b">
        <f t="shared" si="15"/>
        <v>0</v>
      </c>
      <c r="AL33" s="267"/>
      <c r="AM33" s="267"/>
      <c r="AN33" s="75"/>
    </row>
    <row r="34" spans="1:40" s="6" customFormat="1" ht="11.25" customHeight="1" x14ac:dyDescent="0.2">
      <c r="A34" s="56">
        <f t="shared" si="16"/>
        <v>43850</v>
      </c>
      <c r="B34" s="618">
        <v>8.7859999999999996</v>
      </c>
      <c r="C34" s="392"/>
      <c r="D34" s="395">
        <f t="shared" si="0"/>
        <v>8.8964868732835267</v>
      </c>
      <c r="E34" s="387">
        <f t="shared" si="17"/>
        <v>9.8137091332916899</v>
      </c>
      <c r="F34" s="387">
        <f t="shared" si="1"/>
        <v>9.8589933408516792</v>
      </c>
      <c r="G34" s="110">
        <f t="shared" si="18"/>
        <v>0.42666528986423979</v>
      </c>
      <c r="H34" s="414" t="b">
        <f>Wh_hp&gt;='2019'!Maxi_hp</f>
        <v>1</v>
      </c>
      <c r="I34" s="382">
        <f>IF(H34,Wh_hp,'2019'!Maxi_hp)</f>
        <v>9.8589933408516792</v>
      </c>
      <c r="J34" s="85">
        <f>IF(H34,An,'2019'!An_max)</f>
        <v>2020</v>
      </c>
      <c r="K34" s="199">
        <f t="shared" si="19"/>
        <v>43850</v>
      </c>
      <c r="L34" s="147">
        <f>IF(t&lt;Tvie,1-EXP((T0-t)*PertePVj)+'2019'!Pspv,1-EXP((T0-t)*PertePVj)+Pspv)</f>
        <v>1.2419157680693349E-2</v>
      </c>
      <c r="M34" s="870"/>
      <c r="N34" s="870"/>
      <c r="O34" s="48">
        <f>IF(t&lt;Tnet,'2019'!Resal+('2019'!Salim-'2019'!Resal)*(1-EXP(('2019'!Tnet-t)/('2019'!Tau_j))),Resal+(Salim-Resal)*(1-EXP((Tnet-t)/(Tau_j))))*Salcycl</f>
        <v>9.3463363092412197E-2</v>
      </c>
      <c r="P34" s="171">
        <f>(INDEX(Models!$BJ34:$BT34,,T34)*(1-R34)+INDEX(Models!$BJ34:$BT34,,T34+1)*R34-ERP_i)*Q34*Ramure*Pc/MaxiM</f>
        <v>2.3805521472325498E-2</v>
      </c>
      <c r="Q34" s="307">
        <f t="shared" si="2"/>
        <v>1</v>
      </c>
      <c r="R34" s="179">
        <f t="shared" si="3"/>
        <v>0.60092922102215929</v>
      </c>
      <c r="S34" s="837">
        <f t="shared" si="4"/>
        <v>-2</v>
      </c>
      <c r="T34" s="178">
        <f t="shared" si="5"/>
        <v>4</v>
      </c>
      <c r="U34" s="253">
        <f t="shared" si="20"/>
        <v>-1.3990707789778407</v>
      </c>
      <c r="V34" s="385">
        <f t="shared" si="6"/>
        <v>20.194803127791044</v>
      </c>
      <c r="W34" s="404"/>
      <c r="X34" s="157">
        <f t="shared" si="7"/>
        <v>43850</v>
      </c>
      <c r="Y34" s="387">
        <f t="shared" si="8"/>
        <v>8.7859999999999996</v>
      </c>
      <c r="Z34" s="387">
        <f t="shared" si="9"/>
        <v>8.8964868732835267</v>
      </c>
      <c r="AA34" s="388">
        <f t="shared" si="10"/>
        <v>9.8137091332916899</v>
      </c>
      <c r="AB34" s="199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9.3463363092412197E-2</v>
      </c>
      <c r="AD34" s="233">
        <f>(INDEX(Models!$BJ34:$BT34,,AH34)*(1-AF34)+INDEX(Models!$BJ34:$BT34,,AH34+1)*AF34-ERP_i)*AE34*Ramure*Pc/MaxiM</f>
        <v>2.3805521472325498E-2</v>
      </c>
      <c r="AE34" s="307">
        <f t="shared" si="12"/>
        <v>1</v>
      </c>
      <c r="AF34" s="179">
        <f t="shared" si="21"/>
        <v>0.60092922102215929</v>
      </c>
      <c r="AG34" s="837">
        <f t="shared" si="22"/>
        <v>-2</v>
      </c>
      <c r="AH34" s="178">
        <f t="shared" si="13"/>
        <v>4</v>
      </c>
      <c r="AI34" s="227">
        <f t="shared" si="23"/>
        <v>-1.3990707789778407</v>
      </c>
      <c r="AJ34" s="267" t="b">
        <f t="shared" si="14"/>
        <v>0</v>
      </c>
      <c r="AK34" s="267" t="b">
        <f t="shared" si="15"/>
        <v>0</v>
      </c>
      <c r="AL34" s="267"/>
      <c r="AM34" s="267"/>
      <c r="AN34" s="75"/>
    </row>
    <row r="35" spans="1:40" s="6" customFormat="1" ht="11.25" customHeight="1" x14ac:dyDescent="0.2">
      <c r="A35" s="56">
        <f t="shared" si="16"/>
        <v>43851</v>
      </c>
      <c r="B35" s="618">
        <v>3.5750000000000002</v>
      </c>
      <c r="C35" s="392"/>
      <c r="D35" s="395">
        <f t="shared" si="0"/>
        <v>3.6200410581202433</v>
      </c>
      <c r="E35" s="387">
        <f t="shared" si="17"/>
        <v>3.9938148428526912</v>
      </c>
      <c r="F35" s="387">
        <f t="shared" si="1"/>
        <v>3.9938148428526912</v>
      </c>
      <c r="G35" s="110">
        <f t="shared" si="18"/>
        <v>0.17073730873888249</v>
      </c>
      <c r="H35" s="414" t="b">
        <f>Wh_hp&gt;='2019'!Maxi_hp</f>
        <v>0</v>
      </c>
      <c r="I35" s="382">
        <f>IF(H35,Wh_hp,'2019'!Maxi_hp)</f>
        <v>10.202655134172327</v>
      </c>
      <c r="J35" s="85">
        <f>IF(H35,An,'2019'!An_max)</f>
        <v>2019</v>
      </c>
      <c r="K35" s="199">
        <f t="shared" si="19"/>
        <v>43851</v>
      </c>
      <c r="L35" s="147">
        <f>IF(t&lt;Tvie,1-EXP((T0-t)*PertePVj)+'2019'!Pspv,1-EXP((T0-t)*PertePVj)+Pspv)</f>
        <v>1.2442140129656831E-2</v>
      </c>
      <c r="M35" s="870"/>
      <c r="N35" s="870"/>
      <c r="O35" s="48">
        <f>IF(t&lt;Tnet,'2019'!Resal+('2019'!Salim-'2019'!Resal)*(1-EXP(('2019'!Tnet-t)/('2019'!Tau_j))),Resal+(Salim-Resal)*(1-EXP((Tnet-t)/(Tau_j))))*Salcycl</f>
        <v>9.35881605531491E-2</v>
      </c>
      <c r="P35" s="171">
        <f>(INDEX(Models!$BJ35:$BT35,,T35)*(1-R35)+INDEX(Models!$BJ35:$BT35,,T35+1)*R35-ERP_i)*Q35*Ramure*Pc/MaxiM</f>
        <v>2.3398461742196203E-2</v>
      </c>
      <c r="Q35" s="307">
        <f t="shared" si="2"/>
        <v>1</v>
      </c>
      <c r="R35" s="179">
        <f t="shared" si="3"/>
        <v>0.60101821795429</v>
      </c>
      <c r="S35" s="837">
        <f t="shared" si="4"/>
        <v>-2</v>
      </c>
      <c r="T35" s="178">
        <f t="shared" si="5"/>
        <v>4</v>
      </c>
      <c r="U35" s="253">
        <f t="shared" si="20"/>
        <v>-1.39898178204571</v>
      </c>
      <c r="V35" s="385">
        <f t="shared" si="6"/>
        <v>20.448667751997629</v>
      </c>
      <c r="W35" s="404"/>
      <c r="X35" s="157">
        <f t="shared" si="7"/>
        <v>43851</v>
      </c>
      <c r="Y35" s="387">
        <f t="shared" si="8"/>
        <v>3.5750000000000002</v>
      </c>
      <c r="Z35" s="387">
        <f t="shared" si="9"/>
        <v>3.6200410581202433</v>
      </c>
      <c r="AA35" s="388">
        <f t="shared" si="10"/>
        <v>3.9938148428526912</v>
      </c>
      <c r="AB35" s="199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9.35881605531491E-2</v>
      </c>
      <c r="AD35" s="233">
        <f>(INDEX(Models!$BJ35:$BT35,,AH35)*(1-AF35)+INDEX(Models!$BJ35:$BT35,,AH35+1)*AF35-ERP_i)*AE35*Ramure*Pc/MaxiM</f>
        <v>2.3398461742196203E-2</v>
      </c>
      <c r="AE35" s="307">
        <f t="shared" si="12"/>
        <v>1</v>
      </c>
      <c r="AF35" s="179">
        <f t="shared" si="21"/>
        <v>0.60101821795429</v>
      </c>
      <c r="AG35" s="837">
        <f t="shared" si="22"/>
        <v>-2</v>
      </c>
      <c r="AH35" s="178">
        <f t="shared" si="13"/>
        <v>4</v>
      </c>
      <c r="AI35" s="227">
        <f t="shared" si="23"/>
        <v>-1.39898178204571</v>
      </c>
      <c r="AJ35" s="267" t="b">
        <f t="shared" si="14"/>
        <v>0</v>
      </c>
      <c r="AK35" s="267" t="b">
        <f t="shared" si="15"/>
        <v>0</v>
      </c>
      <c r="AL35" s="267"/>
      <c r="AM35" s="267"/>
      <c r="AN35" s="75"/>
    </row>
    <row r="36" spans="1:40" s="6" customFormat="1" ht="11.25" customHeight="1" x14ac:dyDescent="0.2">
      <c r="A36" s="56">
        <f t="shared" si="16"/>
        <v>43852</v>
      </c>
      <c r="B36" s="618">
        <v>1.196</v>
      </c>
      <c r="C36" s="392"/>
      <c r="D36" s="395">
        <f t="shared" si="0"/>
        <v>1.2110964652460892</v>
      </c>
      <c r="E36" s="387">
        <f t="shared" si="17"/>
        <v>1.3363275523280242</v>
      </c>
      <c r="F36" s="387">
        <f t="shared" si="1"/>
        <v>1.3363275523280242</v>
      </c>
      <c r="G36" s="110">
        <f t="shared" si="18"/>
        <v>5.6436087960386953E-2</v>
      </c>
      <c r="H36" s="414" t="b">
        <f>Wh_hp&gt;='2019'!Maxi_hp</f>
        <v>0</v>
      </c>
      <c r="I36" s="382">
        <f>IF(H36,Wh_hp,'2019'!Maxi_hp)</f>
        <v>10.151207862884149</v>
      </c>
      <c r="J36" s="85">
        <f>IF(H36,An,'2019'!An_max)</f>
        <v>2019</v>
      </c>
      <c r="K36" s="199">
        <f t="shared" si="19"/>
        <v>43852</v>
      </c>
      <c r="L36" s="147">
        <f>IF(t&lt;Tvie,1-EXP((T0-t)*PertePVj)+'2019'!Pspv,1-EXP((T0-t)*PertePVj)+Pspv)</f>
        <v>1.2465122043785137E-2</v>
      </c>
      <c r="M36" s="870"/>
      <c r="N36" s="870"/>
      <c r="O36" s="48">
        <f>IF(t&lt;Tnet,'2019'!Resal+('2019'!Salim-'2019'!Resal)*(1-EXP(('2019'!Tnet-t)/('2019'!Tau_j))),Resal+(Salim-Resal)*(1-EXP((Tnet-t)/(Tau_j))))*Salcycl</f>
        <v>9.3712867675121478E-2</v>
      </c>
      <c r="P36" s="171">
        <f>(INDEX(Models!$BJ36:$BT36,,T36)*(1-R36)+INDEX(Models!$BJ36:$BT36,,T36+1)*R36-ERP_i)*Q36*Ramure*Pc/MaxiM</f>
        <v>2.2996114910114444E-2</v>
      </c>
      <c r="Q36" s="307">
        <f t="shared" si="2"/>
        <v>1</v>
      </c>
      <c r="R36" s="179">
        <f t="shared" si="3"/>
        <v>0.60111092438458491</v>
      </c>
      <c r="S36" s="837">
        <f t="shared" si="4"/>
        <v>-2</v>
      </c>
      <c r="T36" s="178">
        <f t="shared" si="5"/>
        <v>4</v>
      </c>
      <c r="U36" s="253">
        <f t="shared" si="20"/>
        <v>-1.3988890756154151</v>
      </c>
      <c r="V36" s="385">
        <f t="shared" si="6"/>
        <v>20.70477754212309</v>
      </c>
      <c r="W36" s="404"/>
      <c r="X36" s="157">
        <f t="shared" si="7"/>
        <v>43852</v>
      </c>
      <c r="Y36" s="387">
        <f t="shared" si="8"/>
        <v>1.196</v>
      </c>
      <c r="Z36" s="387">
        <f t="shared" si="9"/>
        <v>1.2110964652460892</v>
      </c>
      <c r="AA36" s="388">
        <f t="shared" si="10"/>
        <v>1.3363275523280242</v>
      </c>
      <c r="AB36" s="199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9.3712867675121478E-2</v>
      </c>
      <c r="AD36" s="233">
        <f>(INDEX(Models!$BJ36:$BT36,,AH36)*(1-AF36)+INDEX(Models!$BJ36:$BT36,,AH36+1)*AF36-ERP_i)*AE36*Ramure*Pc/MaxiM</f>
        <v>2.2996114910114444E-2</v>
      </c>
      <c r="AE36" s="307">
        <f t="shared" si="12"/>
        <v>1</v>
      </c>
      <c r="AF36" s="179">
        <f t="shared" si="21"/>
        <v>0.60111092438458491</v>
      </c>
      <c r="AG36" s="837">
        <f t="shared" si="22"/>
        <v>-2</v>
      </c>
      <c r="AH36" s="178">
        <f t="shared" si="13"/>
        <v>4</v>
      </c>
      <c r="AI36" s="227">
        <f t="shared" si="23"/>
        <v>-1.3988890756154151</v>
      </c>
      <c r="AJ36" s="267" t="b">
        <f t="shared" si="14"/>
        <v>0</v>
      </c>
      <c r="AK36" s="267" t="b">
        <f t="shared" si="15"/>
        <v>0</v>
      </c>
      <c r="AL36" s="267"/>
      <c r="AM36" s="267"/>
      <c r="AN36" s="75"/>
    </row>
    <row r="37" spans="1:40" s="6" customFormat="1" ht="11.25" customHeight="1" x14ac:dyDescent="0.2">
      <c r="A37" s="56">
        <f t="shared" si="16"/>
        <v>43853</v>
      </c>
      <c r="B37" s="618">
        <v>12.441000000000001</v>
      </c>
      <c r="C37" s="392"/>
      <c r="D37" s="395">
        <f t="shared" si="0"/>
        <v>12.598329238488393</v>
      </c>
      <c r="E37" s="387">
        <f t="shared" si="17"/>
        <v>13.902946948672492</v>
      </c>
      <c r="F37" s="387">
        <f t="shared" si="1"/>
        <v>14.035895274791049</v>
      </c>
      <c r="G37" s="110">
        <f t="shared" si="18"/>
        <v>0.58556054436493843</v>
      </c>
      <c r="H37" s="414" t="b">
        <f>Wh_hp&gt;='2019'!Maxi_hp</f>
        <v>1</v>
      </c>
      <c r="I37" s="382">
        <f>IF(H37,Wh_hp,'2019'!Maxi_hp)</f>
        <v>14.035895274791049</v>
      </c>
      <c r="J37" s="85">
        <f>IF(H37,An,'2019'!An_max)</f>
        <v>2020</v>
      </c>
      <c r="K37" s="199">
        <f t="shared" si="19"/>
        <v>43853</v>
      </c>
      <c r="L37" s="147">
        <f>IF(t&lt;Tvie,1-EXP((T0-t)*PertePVj)+'2019'!Pspv,1-EXP((T0-t)*PertePVj)+Pspv)</f>
        <v>1.2488103423090813E-2</v>
      </c>
      <c r="M37" s="870"/>
      <c r="N37" s="870"/>
      <c r="O37" s="48">
        <f>IF(t&lt;Tnet,'2019'!Resal+('2019'!Salim-'2019'!Resal)*(1-EXP(('2019'!Tnet-t)/('2019'!Tau_j))),Resal+(Salim-Resal)*(1-EXP((Tnet-t)/(Tau_j))))*Salcycl</f>
        <v>9.3837494669334817E-2</v>
      </c>
      <c r="P37" s="171">
        <f>(INDEX(Models!$BJ37:$BT37,,T37)*(1-R37)+INDEX(Models!$BJ37:$BT37,,T37+1)*R37-ERP_i)*Q37*Ramure*Pc/MaxiM</f>
        <v>2.2596742761672433E-2</v>
      </c>
      <c r="Q37" s="307">
        <f t="shared" si="2"/>
        <v>1</v>
      </c>
      <c r="R37" s="179">
        <f t="shared" si="3"/>
        <v>0.6012074938796732</v>
      </c>
      <c r="S37" s="837">
        <f t="shared" si="4"/>
        <v>-2</v>
      </c>
      <c r="T37" s="178">
        <f t="shared" si="5"/>
        <v>4</v>
      </c>
      <c r="U37" s="253">
        <f t="shared" si="20"/>
        <v>-1.3987925061203268</v>
      </c>
      <c r="V37" s="385">
        <f t="shared" si="6"/>
        <v>20.964790160027963</v>
      </c>
      <c r="W37" s="404"/>
      <c r="X37" s="157">
        <f t="shared" si="7"/>
        <v>43853</v>
      </c>
      <c r="Y37" s="387">
        <f t="shared" si="8"/>
        <v>12.441000000000001</v>
      </c>
      <c r="Z37" s="387">
        <f t="shared" si="9"/>
        <v>12.598329238488393</v>
      </c>
      <c r="AA37" s="388">
        <f t="shared" si="10"/>
        <v>13.902946948672492</v>
      </c>
      <c r="AB37" s="199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9.3837494669334817E-2</v>
      </c>
      <c r="AD37" s="233">
        <f>(INDEX(Models!$BJ37:$BT37,,AH37)*(1-AF37)+INDEX(Models!$BJ37:$BT37,,AH37+1)*AF37-ERP_i)*AE37*Ramure*Pc/MaxiM</f>
        <v>2.2596742761672433E-2</v>
      </c>
      <c r="AE37" s="307">
        <f t="shared" si="12"/>
        <v>1</v>
      </c>
      <c r="AF37" s="179">
        <f t="shared" si="21"/>
        <v>0.6012074938796732</v>
      </c>
      <c r="AG37" s="837">
        <f t="shared" si="22"/>
        <v>-2</v>
      </c>
      <c r="AH37" s="178">
        <f t="shared" si="13"/>
        <v>4</v>
      </c>
      <c r="AI37" s="227">
        <f t="shared" si="23"/>
        <v>-1.3987925061203268</v>
      </c>
      <c r="AJ37" s="267" t="b">
        <f t="shared" si="14"/>
        <v>0</v>
      </c>
      <c r="AK37" s="267" t="b">
        <f t="shared" si="15"/>
        <v>0</v>
      </c>
      <c r="AL37" s="267"/>
      <c r="AM37" s="267"/>
      <c r="AN37" s="75"/>
    </row>
    <row r="38" spans="1:40" s="6" customFormat="1" ht="11.25" customHeight="1" x14ac:dyDescent="0.2">
      <c r="A38" s="56">
        <f t="shared" si="16"/>
        <v>43854</v>
      </c>
      <c r="B38" s="618">
        <v>11.632999999999999</v>
      </c>
      <c r="C38" s="392"/>
      <c r="D38" s="395">
        <f t="shared" si="0"/>
        <v>11.780385394373649</v>
      </c>
      <c r="E38" s="387">
        <f t="shared" si="17"/>
        <v>13.002088274695209</v>
      </c>
      <c r="F38" s="387">
        <f t="shared" si="1"/>
        <v>13.105007720331585</v>
      </c>
      <c r="G38" s="110">
        <f t="shared" si="18"/>
        <v>0.54001297177549301</v>
      </c>
      <c r="H38" s="414" t="b">
        <f>Wh_hp&gt;='2019'!Maxi_hp</f>
        <v>1</v>
      </c>
      <c r="I38" s="382">
        <f>IF(H38,Wh_hp,'2019'!Maxi_hp)</f>
        <v>13.105007720331585</v>
      </c>
      <c r="J38" s="85">
        <f>IF(H38,An,'2019'!An_max)</f>
        <v>2020</v>
      </c>
      <c r="K38" s="199">
        <f t="shared" si="19"/>
        <v>43854</v>
      </c>
      <c r="L38" s="147">
        <f>IF(t&lt;Tvie,1-EXP((T0-t)*PertePVj)+'2019'!Pspv,1-EXP((T0-t)*PertePVj)+Pspv)</f>
        <v>1.2511084267586181E-2</v>
      </c>
      <c r="M38" s="870"/>
      <c r="N38" s="870"/>
      <c r="O38" s="48">
        <f>IF(t&lt;Tnet,'2019'!Resal+('2019'!Salim-'2019'!Resal)*(1-EXP(('2019'!Tnet-t)/('2019'!Tau_j))),Resal+(Salim-Resal)*(1-EXP((Tnet-t)/(Tau_j))))*Salcycl</f>
        <v>9.3962050903719105E-2</v>
      </c>
      <c r="P38" s="171">
        <f>(INDEX(Models!$BJ38:$BT38,,T38)*(1-R38)+INDEX(Models!$BJ38:$BT38,,T38+1)*R38-ERP_i)*Q38*Ramure*Pc/MaxiM</f>
        <v>2.2173987629669867E-2</v>
      </c>
      <c r="Q38" s="307">
        <f t="shared" si="2"/>
        <v>1</v>
      </c>
      <c r="R38" s="179">
        <f t="shared" si="3"/>
        <v>0.60130808627399435</v>
      </c>
      <c r="S38" s="837">
        <f t="shared" si="4"/>
        <v>-2</v>
      </c>
      <c r="T38" s="178">
        <f t="shared" si="5"/>
        <v>4</v>
      </c>
      <c r="U38" s="253">
        <f t="shared" si="20"/>
        <v>-1.3986919137260057</v>
      </c>
      <c r="V38" s="385">
        <f t="shared" si="6"/>
        <v>21.231138969154053</v>
      </c>
      <c r="W38" s="404"/>
      <c r="X38" s="157">
        <f t="shared" si="7"/>
        <v>43854</v>
      </c>
      <c r="Y38" s="387">
        <f t="shared" si="8"/>
        <v>11.632999999999999</v>
      </c>
      <c r="Z38" s="387">
        <f t="shared" si="9"/>
        <v>11.780385394373649</v>
      </c>
      <c r="AA38" s="388">
        <f t="shared" si="10"/>
        <v>13.002088274695209</v>
      </c>
      <c r="AB38" s="199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9.3962050903719105E-2</v>
      </c>
      <c r="AD38" s="233">
        <f>(INDEX(Models!$BJ38:$BT38,,AH38)*(1-AF38)+INDEX(Models!$BJ38:$BT38,,AH38+1)*AF38-ERP_i)*AE38*Ramure*Pc/MaxiM</f>
        <v>2.2173987629669867E-2</v>
      </c>
      <c r="AE38" s="307">
        <f t="shared" si="12"/>
        <v>1</v>
      </c>
      <c r="AF38" s="179">
        <f t="shared" si="21"/>
        <v>0.60130808627399435</v>
      </c>
      <c r="AG38" s="837">
        <f t="shared" si="22"/>
        <v>-2</v>
      </c>
      <c r="AH38" s="178">
        <f t="shared" si="13"/>
        <v>4</v>
      </c>
      <c r="AI38" s="227">
        <f t="shared" si="23"/>
        <v>-1.3986919137260057</v>
      </c>
      <c r="AJ38" s="267" t="b">
        <f t="shared" si="14"/>
        <v>0</v>
      </c>
      <c r="AK38" s="267" t="b">
        <f t="shared" si="15"/>
        <v>0</v>
      </c>
      <c r="AL38" s="267"/>
      <c r="AM38" s="267"/>
      <c r="AN38" s="75"/>
    </row>
    <row r="39" spans="1:40" s="6" customFormat="1" ht="11.25" customHeight="1" x14ac:dyDescent="0.2">
      <c r="A39" s="56">
        <f t="shared" si="16"/>
        <v>43855</v>
      </c>
      <c r="B39" s="618">
        <v>12.215999999999999</v>
      </c>
      <c r="C39" s="392"/>
      <c r="D39" s="395">
        <f t="shared" si="0"/>
        <v>12.371059660676346</v>
      </c>
      <c r="E39" s="387">
        <f t="shared" si="17"/>
        <v>13.655895701056041</v>
      </c>
      <c r="F39" s="387">
        <f t="shared" si="1"/>
        <v>13.770462251635117</v>
      </c>
      <c r="G39" s="110">
        <f t="shared" si="18"/>
        <v>0.56041129276984292</v>
      </c>
      <c r="H39" s="414" t="b">
        <f>Wh_hp&gt;='2019'!Maxi_hp</f>
        <v>1</v>
      </c>
      <c r="I39" s="382">
        <f>IF(H39,Wh_hp,'2019'!Maxi_hp)</f>
        <v>13.770462251635117</v>
      </c>
      <c r="J39" s="85">
        <f>IF(H39,An,'2019'!An_max)</f>
        <v>2020</v>
      </c>
      <c r="K39" s="199">
        <f t="shared" si="19"/>
        <v>43855</v>
      </c>
      <c r="L39" s="147">
        <f>IF(t&lt;Tvie,1-EXP((T0-t)*PertePVj)+'2019'!Pspv,1-EXP((T0-t)*PertePVj)+Pspv)</f>
        <v>1.2534064577283788E-2</v>
      </c>
      <c r="M39" s="870"/>
      <c r="N39" s="870"/>
      <c r="O39" s="48">
        <f>IF(t&lt;Tnet,'2019'!Resal+('2019'!Salim-'2019'!Resal)*(1-EXP(('2019'!Tnet-t)/('2019'!Tau_j))),Resal+(Salim-Resal)*(1-EXP((Tnet-t)/(Tau_j))))*Salcycl</f>
        <v>9.4086544632904195E-2</v>
      </c>
      <c r="P39" s="171">
        <f>(INDEX(Models!$BJ39:$BT39,,T39)*(1-R39)+INDEX(Models!$BJ39:$BT39,,T39+1)*R39-ERP_i)*Q39*Ramure*Pc/MaxiM</f>
        <v>2.1723375880846198E-2</v>
      </c>
      <c r="Q39" s="307">
        <f t="shared" si="2"/>
        <v>1</v>
      </c>
      <c r="R39" s="179">
        <f t="shared" si="3"/>
        <v>0.601412867917966</v>
      </c>
      <c r="S39" s="837">
        <f t="shared" si="4"/>
        <v>-2</v>
      </c>
      <c r="T39" s="178">
        <f t="shared" si="5"/>
        <v>4</v>
      </c>
      <c r="U39" s="253">
        <f t="shared" si="20"/>
        <v>-1.398587132082034</v>
      </c>
      <c r="V39" s="385">
        <f t="shared" si="6"/>
        <v>21.503648382704021</v>
      </c>
      <c r="W39" s="404"/>
      <c r="X39" s="157">
        <f t="shared" si="7"/>
        <v>43855</v>
      </c>
      <c r="Y39" s="387">
        <f t="shared" si="8"/>
        <v>12.215999999999999</v>
      </c>
      <c r="Z39" s="387">
        <f t="shared" si="9"/>
        <v>12.371059660676346</v>
      </c>
      <c r="AA39" s="388">
        <f t="shared" si="10"/>
        <v>13.655895701056041</v>
      </c>
      <c r="AB39" s="199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9.4086544632904195E-2</v>
      </c>
      <c r="AD39" s="233">
        <f>(INDEX(Models!$BJ39:$BT39,,AH39)*(1-AF39)+INDEX(Models!$BJ39:$BT39,,AH39+1)*AF39-ERP_i)*AE39*Ramure*Pc/MaxiM</f>
        <v>2.1723375880846198E-2</v>
      </c>
      <c r="AE39" s="307">
        <f t="shared" si="12"/>
        <v>1</v>
      </c>
      <c r="AF39" s="179">
        <f t="shared" si="21"/>
        <v>0.601412867917966</v>
      </c>
      <c r="AG39" s="837">
        <f t="shared" si="22"/>
        <v>-2</v>
      </c>
      <c r="AH39" s="178">
        <f t="shared" si="13"/>
        <v>4</v>
      </c>
      <c r="AI39" s="227">
        <f t="shared" si="23"/>
        <v>-1.398587132082034</v>
      </c>
      <c r="AJ39" s="267" t="b">
        <f t="shared" si="14"/>
        <v>0</v>
      </c>
      <c r="AK39" s="267" t="b">
        <f t="shared" si="15"/>
        <v>0</v>
      </c>
      <c r="AL39" s="267"/>
      <c r="AM39" s="267"/>
      <c r="AN39" s="75"/>
    </row>
    <row r="40" spans="1:40" s="6" customFormat="1" ht="11.25" x14ac:dyDescent="0.2">
      <c r="A40" s="56">
        <f t="shared" si="16"/>
        <v>43856</v>
      </c>
      <c r="B40" s="618">
        <v>5.9580000000000002</v>
      </c>
      <c r="C40" s="392"/>
      <c r="D40" s="395">
        <f t="shared" si="0"/>
        <v>6.0337662706716078</v>
      </c>
      <c r="E40" s="387">
        <f t="shared" si="17"/>
        <v>6.6613374150194549</v>
      </c>
      <c r="F40" s="387">
        <f t="shared" si="1"/>
        <v>6.6613374150194549</v>
      </c>
      <c r="G40" s="110">
        <f t="shared" si="18"/>
        <v>0.26771691438252776</v>
      </c>
      <c r="H40" s="414" t="b">
        <f>Wh_hp&gt;='2019'!Maxi_hp</f>
        <v>0</v>
      </c>
      <c r="I40" s="382">
        <f>IF(H40,Wh_hp,'2019'!Maxi_hp)</f>
        <v>13.721456238644981</v>
      </c>
      <c r="J40" s="85">
        <f>IF(H40,An,'2019'!An_max)</f>
        <v>2019</v>
      </c>
      <c r="K40" s="199">
        <f t="shared" si="19"/>
        <v>43856</v>
      </c>
      <c r="L40" s="147">
        <f>IF(t&lt;Tvie,1-EXP((T0-t)*PertePVj)+'2019'!Pspv,1-EXP((T0-t)*PertePVj)+Pspv)</f>
        <v>1.2557044352195956E-2</v>
      </c>
      <c r="M40" s="870"/>
      <c r="N40" s="870"/>
      <c r="O40" s="48">
        <f>IF(t&lt;Tnet,'2019'!Resal+('2019'!Salim-'2019'!Resal)*(1-EXP(('2019'!Tnet-t)/('2019'!Tau_j))),Resal+(Salim-Resal)*(1-EXP((Tnet-t)/(Tau_j))))*Salcycl</f>
        <v>9.4210982757433906E-2</v>
      </c>
      <c r="P40" s="171">
        <f>(INDEX(Models!$BJ40:$BT40,,T40)*(1-R40)+INDEX(Models!$BJ40:$BT40,,T40+1)*R40-ERP_i)*Q40*Ramure*Pc/MaxiM</f>
        <v>2.1246592135628899E-2</v>
      </c>
      <c r="Q40" s="307">
        <f t="shared" si="2"/>
        <v>1</v>
      </c>
      <c r="R40" s="179">
        <f t="shared" si="3"/>
        <v>0.60152201193531574</v>
      </c>
      <c r="S40" s="837">
        <f t="shared" si="4"/>
        <v>-2</v>
      </c>
      <c r="T40" s="178">
        <f t="shared" si="5"/>
        <v>4</v>
      </c>
      <c r="U40" s="253">
        <f t="shared" si="20"/>
        <v>-1.3984779880646843</v>
      </c>
      <c r="V40" s="385">
        <f t="shared" si="6"/>
        <v>21.782011112393516</v>
      </c>
      <c r="W40" s="404"/>
      <c r="X40" s="157">
        <f t="shared" si="7"/>
        <v>43856</v>
      </c>
      <c r="Y40" s="387">
        <f t="shared" si="8"/>
        <v>5.9580000000000002</v>
      </c>
      <c r="Z40" s="387">
        <f t="shared" si="9"/>
        <v>6.0337662706716078</v>
      </c>
      <c r="AA40" s="388">
        <f t="shared" si="10"/>
        <v>6.6613374150194549</v>
      </c>
      <c r="AB40" s="199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9.4210982757433906E-2</v>
      </c>
      <c r="AD40" s="233">
        <f>(INDEX(Models!$BJ40:$BT40,,AH40)*(1-AF40)+INDEX(Models!$BJ40:$BT40,,AH40+1)*AF40-ERP_i)*AE40*Ramure*Pc/MaxiM</f>
        <v>2.1246592135628899E-2</v>
      </c>
      <c r="AE40" s="307">
        <f t="shared" si="12"/>
        <v>1</v>
      </c>
      <c r="AF40" s="179">
        <f t="shared" si="21"/>
        <v>0.60152201193531574</v>
      </c>
      <c r="AG40" s="837">
        <f t="shared" si="22"/>
        <v>-2</v>
      </c>
      <c r="AH40" s="178">
        <f t="shared" si="13"/>
        <v>4</v>
      </c>
      <c r="AI40" s="227">
        <f t="shared" si="23"/>
        <v>-1.3984779880646843</v>
      </c>
      <c r="AJ40" s="267" t="b">
        <f t="shared" si="14"/>
        <v>0</v>
      </c>
      <c r="AK40" s="267" t="b">
        <f t="shared" si="15"/>
        <v>0</v>
      </c>
      <c r="AL40" s="267"/>
      <c r="AM40" s="267"/>
      <c r="AN40" s="75"/>
    </row>
    <row r="41" spans="1:40" s="6" customFormat="1" ht="11.25" customHeight="1" x14ac:dyDescent="0.2">
      <c r="A41" s="56">
        <f t="shared" si="16"/>
        <v>43857</v>
      </c>
      <c r="B41" s="618">
        <v>10.026</v>
      </c>
      <c r="C41" s="392"/>
      <c r="D41" s="395">
        <f t="shared" si="0"/>
        <v>10.153734215987422</v>
      </c>
      <c r="E41" s="387">
        <f t="shared" si="17"/>
        <v>11.211362226740121</v>
      </c>
      <c r="F41" s="387">
        <f t="shared" si="1"/>
        <v>11.262887656689502</v>
      </c>
      <c r="G41" s="110">
        <f t="shared" si="18"/>
        <v>0.44698475738494531</v>
      </c>
      <c r="H41" s="414" t="b">
        <f>Wh_hp&gt;='2019'!Maxi_hp</f>
        <v>0</v>
      </c>
      <c r="I41" s="382">
        <f>IF(H41,Wh_hp,'2019'!Maxi_hp)</f>
        <v>13.046939908687106</v>
      </c>
      <c r="J41" s="85">
        <f>IF(H41,An,'2019'!An_max)</f>
        <v>2019</v>
      </c>
      <c r="K41" s="199">
        <f t="shared" si="19"/>
        <v>43857</v>
      </c>
      <c r="L41" s="147">
        <f>IF(t&lt;Tvie,1-EXP((T0-t)*PertePVj)+'2019'!Pspv,1-EXP((T0-t)*PertePVj)+Pspv)</f>
        <v>1.2580023592335121E-2</v>
      </c>
      <c r="M41" s="870"/>
      <c r="N41" s="870"/>
      <c r="O41" s="48">
        <f>IF(t&lt;Tnet,'2019'!Resal+('2019'!Salim-'2019'!Resal)*(1-EXP(('2019'!Tnet-t)/('2019'!Tau_j))),Resal+(Salim-Resal)*(1-EXP((Tnet-t)/(Tau_j))))*Salcycl</f>
        <v>9.4335370614478983E-2</v>
      </c>
      <c r="P41" s="171">
        <f>(INDEX(Models!$BJ41:$BT41,,T41)*(1-R41)+INDEX(Models!$BJ41:$BT41,,T41+1)*R41-ERP_i)*Q41*Ramure*Pc/MaxiM</f>
        <v>2.0745253607200382E-2</v>
      </c>
      <c r="Q41" s="307">
        <f t="shared" si="2"/>
        <v>1</v>
      </c>
      <c r="R41" s="179">
        <f t="shared" si="3"/>
        <v>0.60163569848986609</v>
      </c>
      <c r="S41" s="837">
        <f t="shared" si="4"/>
        <v>-2</v>
      </c>
      <c r="T41" s="178">
        <f t="shared" si="5"/>
        <v>4</v>
      </c>
      <c r="U41" s="253">
        <f t="shared" si="20"/>
        <v>-1.3983643015101339</v>
      </c>
      <c r="V41" s="385">
        <f t="shared" si="6"/>
        <v>22.065920025518817</v>
      </c>
      <c r="W41" s="404"/>
      <c r="X41" s="157">
        <f t="shared" si="7"/>
        <v>43857</v>
      </c>
      <c r="Y41" s="387">
        <f t="shared" si="8"/>
        <v>10.026</v>
      </c>
      <c r="Z41" s="387">
        <f t="shared" si="9"/>
        <v>10.153734215987422</v>
      </c>
      <c r="AA41" s="388">
        <f t="shared" si="10"/>
        <v>11.211362226740121</v>
      </c>
      <c r="AB41" s="199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9.4335370614478983E-2</v>
      </c>
      <c r="AD41" s="233">
        <f>(INDEX(Models!$BJ41:$BT41,,AH41)*(1-AF41)+INDEX(Models!$BJ41:$BT41,,AH41+1)*AF41-ERP_i)*AE41*Ramure*Pc/MaxiM</f>
        <v>2.0745253607200382E-2</v>
      </c>
      <c r="AE41" s="307">
        <f t="shared" si="12"/>
        <v>1</v>
      </c>
      <c r="AF41" s="179">
        <f t="shared" si="21"/>
        <v>0.60163569848986609</v>
      </c>
      <c r="AG41" s="837">
        <f t="shared" si="22"/>
        <v>-2</v>
      </c>
      <c r="AH41" s="178">
        <f t="shared" si="13"/>
        <v>4</v>
      </c>
      <c r="AI41" s="227">
        <f t="shared" si="23"/>
        <v>-1.3983643015101339</v>
      </c>
      <c r="AJ41" s="267" t="b">
        <f t="shared" si="14"/>
        <v>0</v>
      </c>
      <c r="AK41" s="267" t="b">
        <f t="shared" si="15"/>
        <v>0</v>
      </c>
      <c r="AL41" s="267"/>
      <c r="AM41" s="267"/>
      <c r="AN41" s="75"/>
    </row>
    <row r="42" spans="1:40" s="6" customFormat="1" ht="11.25" x14ac:dyDescent="0.2">
      <c r="A42" s="56">
        <f t="shared" si="16"/>
        <v>43858</v>
      </c>
      <c r="B42" s="618">
        <v>15.209</v>
      </c>
      <c r="C42" s="392"/>
      <c r="D42" s="395">
        <f t="shared" si="0"/>
        <v>15.403125627677596</v>
      </c>
      <c r="E42" s="387">
        <f t="shared" si="17"/>
        <v>17.009873363365134</v>
      </c>
      <c r="F42" s="387">
        <f t="shared" si="1"/>
        <v>17.198833933173557</v>
      </c>
      <c r="G42" s="110">
        <f t="shared" si="18"/>
        <v>0.67398580902747673</v>
      </c>
      <c r="H42" s="414" t="b">
        <f>Wh_hp&gt;='2019'!Maxi_hp</f>
        <v>1</v>
      </c>
      <c r="I42" s="382">
        <f>IF(H42,Wh_hp,'2019'!Maxi_hp)</f>
        <v>17.198833933173557</v>
      </c>
      <c r="J42" s="85">
        <f>IF(H42,An,'2019'!An_max)</f>
        <v>2020</v>
      </c>
      <c r="K42" s="199">
        <f t="shared" si="19"/>
        <v>43858</v>
      </c>
      <c r="L42" s="147">
        <f>IF(t&lt;Tvie,1-EXP((T0-t)*PertePVj)+'2019'!Pspv,1-EXP((T0-t)*PertePVj)+Pspv)</f>
        <v>1.2603002297713939E-2</v>
      </c>
      <c r="M42" s="870"/>
      <c r="N42" s="870"/>
      <c r="O42" s="48">
        <f>IF(t&lt;Tnet,'2019'!Resal+('2019'!Salim-'2019'!Resal)*(1-EXP(('2019'!Tnet-t)/('2019'!Tau_j))),Resal+(Salim-Resal)*(1-EXP((Tnet-t)/(Tau_j))))*Salcycl</f>
        <v>9.4459711801738441E-2</v>
      </c>
      <c r="P42" s="171">
        <f>(INDEX(Models!$BJ42:$BT42,,T42)*(1-R42)+INDEX(Models!$BJ42:$BT42,,T42+1)*R42-ERP_i)*Q42*Ramure*Pc/MaxiM</f>
        <v>2.0220906866029016E-2</v>
      </c>
      <c r="Q42" s="307">
        <f t="shared" si="2"/>
        <v>1</v>
      </c>
      <c r="R42" s="179">
        <f t="shared" si="3"/>
        <v>0.60175411506205045</v>
      </c>
      <c r="S42" s="837">
        <f t="shared" si="4"/>
        <v>-2</v>
      </c>
      <c r="T42" s="178">
        <f t="shared" si="5"/>
        <v>4</v>
      </c>
      <c r="U42" s="253">
        <f t="shared" si="20"/>
        <v>-1.3982458849379495</v>
      </c>
      <c r="V42" s="385">
        <f t="shared" si="6"/>
        <v>22.355068157082098</v>
      </c>
      <c r="W42" s="404"/>
      <c r="X42" s="157">
        <f t="shared" si="7"/>
        <v>43858</v>
      </c>
      <c r="Y42" s="387">
        <f t="shared" si="8"/>
        <v>15.209</v>
      </c>
      <c r="Z42" s="387">
        <f t="shared" si="9"/>
        <v>15.403125627677596</v>
      </c>
      <c r="AA42" s="388">
        <f t="shared" si="10"/>
        <v>17.009873363365134</v>
      </c>
      <c r="AB42" s="199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9.4459711801738441E-2</v>
      </c>
      <c r="AD42" s="233">
        <f>(INDEX(Models!$BJ42:$BT42,,AH42)*(1-AF42)+INDEX(Models!$BJ42:$BT42,,AH42+1)*AF42-ERP_i)*AE42*Ramure*Pc/MaxiM</f>
        <v>2.0220906866029016E-2</v>
      </c>
      <c r="AE42" s="307">
        <f t="shared" si="12"/>
        <v>1</v>
      </c>
      <c r="AF42" s="179">
        <f t="shared" si="21"/>
        <v>0.60175411506205045</v>
      </c>
      <c r="AG42" s="837">
        <f t="shared" si="22"/>
        <v>-2</v>
      </c>
      <c r="AH42" s="178">
        <f t="shared" si="13"/>
        <v>4</v>
      </c>
      <c r="AI42" s="227">
        <f t="shared" si="23"/>
        <v>-1.3982458849379495</v>
      </c>
      <c r="AJ42" s="267" t="b">
        <f t="shared" si="14"/>
        <v>0</v>
      </c>
      <c r="AK42" s="267" t="b">
        <f t="shared" si="15"/>
        <v>0</v>
      </c>
      <c r="AL42" s="267"/>
      <c r="AM42" s="267"/>
      <c r="AN42" s="75"/>
    </row>
    <row r="43" spans="1:40" s="6" customFormat="1" ht="11.25" customHeight="1" x14ac:dyDescent="0.2">
      <c r="A43" s="56">
        <f t="shared" si="16"/>
        <v>43859</v>
      </c>
      <c r="B43" s="618">
        <v>17.646000000000001</v>
      </c>
      <c r="C43" s="392"/>
      <c r="D43" s="395">
        <f t="shared" si="0"/>
        <v>17.871647066802598</v>
      </c>
      <c r="E43" s="387">
        <f t="shared" si="17"/>
        <v>19.738603277851102</v>
      </c>
      <c r="F43" s="387">
        <f t="shared" si="1"/>
        <v>20.008035676598013</v>
      </c>
      <c r="G43" s="110">
        <f t="shared" si="18"/>
        <v>0.77419879829572036</v>
      </c>
      <c r="H43" s="414" t="b">
        <f>Wh_hp&gt;='2019'!Maxi_hp</f>
        <v>1</v>
      </c>
      <c r="I43" s="382">
        <f>IF(H43,Wh_hp,'2019'!Maxi_hp)</f>
        <v>20.008035676598013</v>
      </c>
      <c r="J43" s="85">
        <f>IF(H43,An,'2019'!An_max)</f>
        <v>2020</v>
      </c>
      <c r="K43" s="199">
        <f t="shared" si="19"/>
        <v>43859</v>
      </c>
      <c r="L43" s="147">
        <f>IF(t&lt;Tvie,1-EXP((T0-t)*PertePVj)+'2019'!Pspv,1-EXP((T0-t)*PertePVj)+Pspv)</f>
        <v>1.2625980468344622E-2</v>
      </c>
      <c r="M43" s="870"/>
      <c r="N43" s="870"/>
      <c r="O43" s="48">
        <f>IF(t&lt;Tnet,'2019'!Resal+('2019'!Salim-'2019'!Resal)*(1-EXP(('2019'!Tnet-t)/('2019'!Tau_j))),Resal+(Salim-Resal)*(1-EXP((Tnet-t)/(Tau_j))))*Salcycl</f>
        <v>9.4584008035838912E-2</v>
      </c>
      <c r="P43" s="171">
        <f>(INDEX(Models!$BJ43:$BT43,,T43)*(1-R43)+INDEX(Models!$BJ43:$BT43,,T43+1)*R43-ERP_i)*Q43*Ramure*Pc/MaxiM</f>
        <v>1.967502547872952E-2</v>
      </c>
      <c r="Q43" s="307">
        <f t="shared" si="2"/>
        <v>1</v>
      </c>
      <c r="R43" s="179">
        <f t="shared" si="3"/>
        <v>0.6018774567354499</v>
      </c>
      <c r="S43" s="837">
        <f t="shared" si="4"/>
        <v>-2</v>
      </c>
      <c r="T43" s="178">
        <f t="shared" si="5"/>
        <v>4</v>
      </c>
      <c r="U43" s="253">
        <f t="shared" si="20"/>
        <v>-1.3981225432645501</v>
      </c>
      <c r="V43" s="385">
        <f t="shared" si="6"/>
        <v>22.649148724570921</v>
      </c>
      <c r="W43" s="404"/>
      <c r="X43" s="157">
        <f t="shared" si="7"/>
        <v>43859</v>
      </c>
      <c r="Y43" s="387">
        <f t="shared" si="8"/>
        <v>17.646000000000001</v>
      </c>
      <c r="Z43" s="387">
        <f t="shared" si="9"/>
        <v>17.871647066802598</v>
      </c>
      <c r="AA43" s="388">
        <f t="shared" si="10"/>
        <v>19.738603277851102</v>
      </c>
      <c r="AB43" s="199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9.4584008035838912E-2</v>
      </c>
      <c r="AD43" s="233">
        <f>(INDEX(Models!$BJ43:$BT43,,AH43)*(1-AF43)+INDEX(Models!$BJ43:$BT43,,AH43+1)*AF43-ERP_i)*AE43*Ramure*Pc/MaxiM</f>
        <v>1.967502547872952E-2</v>
      </c>
      <c r="AE43" s="307">
        <f t="shared" si="12"/>
        <v>1</v>
      </c>
      <c r="AF43" s="179">
        <f t="shared" si="21"/>
        <v>0.6018774567354499</v>
      </c>
      <c r="AG43" s="837">
        <f t="shared" si="22"/>
        <v>-2</v>
      </c>
      <c r="AH43" s="178">
        <f t="shared" si="13"/>
        <v>4</v>
      </c>
      <c r="AI43" s="227">
        <f t="shared" si="23"/>
        <v>-1.3981225432645501</v>
      </c>
      <c r="AJ43" s="267" t="b">
        <f t="shared" si="14"/>
        <v>0</v>
      </c>
      <c r="AK43" s="267" t="b">
        <f t="shared" si="15"/>
        <v>0</v>
      </c>
      <c r="AL43" s="267"/>
      <c r="AM43" s="267"/>
      <c r="AN43" s="75"/>
    </row>
    <row r="44" spans="1:40" s="6" customFormat="1" ht="11.25" x14ac:dyDescent="0.2">
      <c r="A44" s="56">
        <f t="shared" si="16"/>
        <v>43860</v>
      </c>
      <c r="B44" s="618">
        <v>9.7620000000000005</v>
      </c>
      <c r="C44" s="392"/>
      <c r="D44" s="395">
        <f t="shared" si="0"/>
        <v>9.8870610206239338</v>
      </c>
      <c r="E44" s="387">
        <f t="shared" si="17"/>
        <v>10.921408617079171</v>
      </c>
      <c r="F44" s="387">
        <f t="shared" si="1"/>
        <v>10.958880369584882</v>
      </c>
      <c r="G44" s="110">
        <f t="shared" si="18"/>
        <v>0.41870194603032446</v>
      </c>
      <c r="H44" s="414" t="b">
        <f>Wh_hp&gt;='2019'!Maxi_hp</f>
        <v>1</v>
      </c>
      <c r="I44" s="382">
        <f>IF(H44,Wh_hp,'2019'!Maxi_hp)</f>
        <v>10.958880369584882</v>
      </c>
      <c r="J44" s="85">
        <f>IF(H44,An,'2019'!An_max)</f>
        <v>2020</v>
      </c>
      <c r="K44" s="199">
        <f t="shared" si="19"/>
        <v>43860</v>
      </c>
      <c r="L44" s="147">
        <f>IF(t&lt;Tvie,1-EXP((T0-t)*PertePVj)+'2019'!Pspv,1-EXP((T0-t)*PertePVj)+Pspv)</f>
        <v>1.2648958104239716E-2</v>
      </c>
      <c r="M44" s="870"/>
      <c r="N44" s="870"/>
      <c r="O44" s="48">
        <f>IF(t&lt;Tnet,'2019'!Resal+('2019'!Salim-'2019'!Resal)*(1-EXP(('2019'!Tnet-t)/('2019'!Tau_j))),Resal+(Salim-Resal)*(1-EXP((Tnet-t)/(Tau_j))))*Salcycl</f>
        <v>9.470825904615443E-2</v>
      </c>
      <c r="P44" s="171">
        <f>(INDEX(Models!$BJ44:$BT44,,T44)*(1-R44)+INDEX(Models!$BJ44:$BT44,,T44+1)*R44-ERP_i)*Q44*Ramure*Pc/MaxiM</f>
        <v>1.9088499043594869E-2</v>
      </c>
      <c r="Q44" s="307">
        <f t="shared" si="2"/>
        <v>1</v>
      </c>
      <c r="R44" s="179">
        <f t="shared" si="3"/>
        <v>0.6020059264936406</v>
      </c>
      <c r="S44" s="837">
        <f t="shared" si="4"/>
        <v>-2</v>
      </c>
      <c r="T44" s="178">
        <f t="shared" si="5"/>
        <v>4</v>
      </c>
      <c r="U44" s="253">
        <f t="shared" si="20"/>
        <v>-1.3979940735063594</v>
      </c>
      <c r="V44" s="385">
        <f t="shared" si="6"/>
        <v>22.948334959005219</v>
      </c>
      <c r="W44" s="404"/>
      <c r="X44" s="157">
        <f t="shared" si="7"/>
        <v>43860</v>
      </c>
      <c r="Y44" s="387">
        <f t="shared" si="8"/>
        <v>9.7620000000000005</v>
      </c>
      <c r="Z44" s="387">
        <f t="shared" si="9"/>
        <v>9.8870610206239338</v>
      </c>
      <c r="AA44" s="388">
        <f t="shared" si="10"/>
        <v>10.921408617079171</v>
      </c>
      <c r="AB44" s="199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9.470825904615443E-2</v>
      </c>
      <c r="AD44" s="233">
        <f>(INDEX(Models!$BJ44:$BT44,,AH44)*(1-AF44)+INDEX(Models!$BJ44:$BT44,,AH44+1)*AF44-ERP_i)*AE44*Ramure*Pc/MaxiM</f>
        <v>1.9088499043594869E-2</v>
      </c>
      <c r="AE44" s="307">
        <f t="shared" si="12"/>
        <v>1</v>
      </c>
      <c r="AF44" s="179">
        <f t="shared" si="21"/>
        <v>0.6020059264936406</v>
      </c>
      <c r="AG44" s="837">
        <f t="shared" si="22"/>
        <v>-2</v>
      </c>
      <c r="AH44" s="178">
        <f t="shared" si="13"/>
        <v>4</v>
      </c>
      <c r="AI44" s="227">
        <f t="shared" si="23"/>
        <v>-1.3979940735063594</v>
      </c>
      <c r="AJ44" s="267" t="b">
        <f t="shared" si="14"/>
        <v>0</v>
      </c>
      <c r="AK44" s="267" t="b">
        <f t="shared" si="15"/>
        <v>0</v>
      </c>
      <c r="AL44" s="267"/>
      <c r="AM44" s="267"/>
      <c r="AN44" s="75"/>
    </row>
    <row r="45" spans="1:40" s="6" customFormat="1" ht="11.25" x14ac:dyDescent="0.2">
      <c r="A45" s="56">
        <f t="shared" si="16"/>
        <v>43861</v>
      </c>
      <c r="B45" s="618">
        <v>17.120999999999999</v>
      </c>
      <c r="C45" s="392"/>
      <c r="D45" s="395">
        <f t="shared" si="0"/>
        <v>17.340740743110537</v>
      </c>
      <c r="E45" s="387">
        <f t="shared" si="17"/>
        <v>19.15749297758957</v>
      </c>
      <c r="F45" s="387">
        <f t="shared" si="1"/>
        <v>19.380623642476806</v>
      </c>
      <c r="G45" s="110">
        <f t="shared" si="18"/>
        <v>0.73113637463882053</v>
      </c>
      <c r="H45" s="414" t="b">
        <f>Wh_hp&gt;='2019'!Maxi_hp</f>
        <v>1</v>
      </c>
      <c r="I45" s="382">
        <f>IF(H45,Wh_hp,'2019'!Maxi_hp)</f>
        <v>19.380623642476806</v>
      </c>
      <c r="J45" s="85">
        <f>IF(H45,An,'2019'!An_max)</f>
        <v>2020</v>
      </c>
      <c r="K45" s="199">
        <f t="shared" si="19"/>
        <v>43861</v>
      </c>
      <c r="L45" s="147">
        <f>IF(t&lt;Tvie,1-EXP((T0-t)*PertePVj)+'2019'!Pspv,1-EXP((T0-t)*PertePVj)+Pspv)</f>
        <v>1.2671935205411655E-2</v>
      </c>
      <c r="M45" s="870"/>
      <c r="N45" s="870"/>
      <c r="O45" s="48">
        <f>IF(t&lt;Tnet,'2019'!Resal+('2019'!Salim-'2019'!Resal)*(1-EXP(('2019'!Tnet-t)/('2019'!Tau_j))),Resal+(Salim-Resal)*(1-EXP((Tnet-t)/(Tau_j))))*Salcycl</f>
        <v>9.48324625045808E-2</v>
      </c>
      <c r="P45" s="171">
        <f>(INDEX(Models!$BJ45:$BT45,,T45)*(1-R45)+INDEX(Models!$BJ45:$BT45,,T45+1)*R45-ERP_i)*Q45*Ramure*Pc/MaxiM</f>
        <v>1.8470782449653618E-2</v>
      </c>
      <c r="Q45" s="307">
        <f t="shared" si="2"/>
        <v>1</v>
      </c>
      <c r="R45" s="179">
        <f t="shared" si="3"/>
        <v>0.60213973552764277</v>
      </c>
      <c r="S45" s="837">
        <f t="shared" si="4"/>
        <v>-2</v>
      </c>
      <c r="T45" s="178">
        <f t="shared" si="5"/>
        <v>4</v>
      </c>
      <c r="U45" s="253">
        <f t="shared" si="20"/>
        <v>-1.3978602644723572</v>
      </c>
      <c r="V45" s="385">
        <f t="shared" si="6"/>
        <v>23.252145997343884</v>
      </c>
      <c r="W45" s="404"/>
      <c r="X45" s="157">
        <f t="shared" si="7"/>
        <v>43861</v>
      </c>
      <c r="Y45" s="387">
        <f t="shared" si="8"/>
        <v>17.120999999999999</v>
      </c>
      <c r="Z45" s="387">
        <f t="shared" si="9"/>
        <v>17.340740743110537</v>
      </c>
      <c r="AA45" s="388">
        <f t="shared" si="10"/>
        <v>19.15749297758957</v>
      </c>
      <c r="AB45" s="199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9.48324625045808E-2</v>
      </c>
      <c r="AD45" s="233">
        <f>(INDEX(Models!$BJ45:$BT45,,AH45)*(1-AF45)+INDEX(Models!$BJ45:$BT45,,AH45+1)*AF45-ERP_i)*AE45*Ramure*Pc/MaxiM</f>
        <v>1.8470782449653618E-2</v>
      </c>
      <c r="AE45" s="307">
        <f t="shared" si="12"/>
        <v>1</v>
      </c>
      <c r="AF45" s="179">
        <f t="shared" si="21"/>
        <v>0.60213973552764277</v>
      </c>
      <c r="AG45" s="837">
        <f t="shared" si="22"/>
        <v>-2</v>
      </c>
      <c r="AH45" s="178">
        <f t="shared" si="13"/>
        <v>4</v>
      </c>
      <c r="AI45" s="227">
        <f t="shared" si="23"/>
        <v>-1.3978602644723572</v>
      </c>
      <c r="AJ45" s="267" t="b">
        <f t="shared" si="14"/>
        <v>0</v>
      </c>
      <c r="AK45" s="267" t="b">
        <f t="shared" si="15"/>
        <v>0</v>
      </c>
      <c r="AL45" s="267"/>
      <c r="AM45" s="267"/>
      <c r="AN45" s="75"/>
    </row>
    <row r="46" spans="1:40" s="6" customFormat="1" ht="11.25" x14ac:dyDescent="0.2">
      <c r="A46" s="56">
        <f t="shared" si="16"/>
        <v>43862</v>
      </c>
      <c r="B46" s="618">
        <v>10.69</v>
      </c>
      <c r="C46" s="392"/>
      <c r="D46" s="395">
        <f t="shared" si="0"/>
        <v>10.827453567756722</v>
      </c>
      <c r="E46" s="387">
        <f t="shared" si="17"/>
        <v>11.963463558921539</v>
      </c>
      <c r="F46" s="387">
        <f t="shared" si="1"/>
        <v>12.010476237083296</v>
      </c>
      <c r="G46" s="110">
        <f t="shared" si="18"/>
        <v>0.44739397575765738</v>
      </c>
      <c r="H46" s="414" t="b">
        <f>Wh_hp&gt;='2019'!Maxi_hp</f>
        <v>0</v>
      </c>
      <c r="I46" s="382">
        <f>IF(H46,Wh_hp,'2019'!Maxi_hp)</f>
        <v>21.672609398761253</v>
      </c>
      <c r="J46" s="85">
        <f>IF(H46,An,'2019'!An_max)</f>
        <v>2019</v>
      </c>
      <c r="K46" s="199">
        <f t="shared" si="19"/>
        <v>43862</v>
      </c>
      <c r="L46" s="147">
        <f>IF(t&lt;Tvie,1-EXP((T0-t)*PertePVj)+'2019'!Pspv,1-EXP((T0-t)*PertePVj)+Pspv)</f>
        <v>1.2694911771872874E-2</v>
      </c>
      <c r="M46" s="870"/>
      <c r="N46" s="870"/>
      <c r="O46" s="48">
        <f>IF(t&lt;Tnet,'2019'!Resal+('2019'!Salim-'2019'!Resal)*(1-EXP(('2019'!Tnet-t)/('2019'!Tau_j))),Resal+(Salim-Resal)*(1-EXP((Tnet-t)/(Tau_j))))*Salcycl</f>
        <v>9.4956613991410393E-2</v>
      </c>
      <c r="P46" s="171">
        <f>(INDEX(Models!$BJ46:$BT46,,T46)*(1-R46)+INDEX(Models!$BJ46:$BT46,,T46+1)*R46-ERP_i)*Q46*Ramure*Pc/MaxiM</f>
        <v>1.782356912152655E-2</v>
      </c>
      <c r="Q46" s="307">
        <f t="shared" si="2"/>
        <v>1</v>
      </c>
      <c r="R46" s="179">
        <f t="shared" si="3"/>
        <v>0.6022791035542594</v>
      </c>
      <c r="S46" s="837">
        <f t="shared" si="4"/>
        <v>-2</v>
      </c>
      <c r="T46" s="178">
        <f t="shared" si="5"/>
        <v>4</v>
      </c>
      <c r="U46" s="253">
        <f t="shared" si="20"/>
        <v>-1.3977208964457406</v>
      </c>
      <c r="V46" s="385">
        <f t="shared" si="6"/>
        <v>23.560276271197331</v>
      </c>
      <c r="W46" s="404"/>
      <c r="X46" s="157">
        <f t="shared" si="7"/>
        <v>43862</v>
      </c>
      <c r="Y46" s="387">
        <f t="shared" si="8"/>
        <v>10.69</v>
      </c>
      <c r="Z46" s="387">
        <f t="shared" si="9"/>
        <v>10.827453567756722</v>
      </c>
      <c r="AA46" s="388">
        <f t="shared" si="10"/>
        <v>11.963463558921539</v>
      </c>
      <c r="AB46" s="199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9.4956613991410393E-2</v>
      </c>
      <c r="AD46" s="233">
        <f>(INDEX(Models!$BJ46:$BT46,,AH46)*(1-AF46)+INDEX(Models!$BJ46:$BT46,,AH46+1)*AF46-ERP_i)*AE46*Ramure*Pc/MaxiM</f>
        <v>1.782356912152655E-2</v>
      </c>
      <c r="AE46" s="307">
        <f t="shared" si="12"/>
        <v>1</v>
      </c>
      <c r="AF46" s="179">
        <f t="shared" si="21"/>
        <v>0.6022791035542594</v>
      </c>
      <c r="AG46" s="837">
        <f t="shared" si="22"/>
        <v>-2</v>
      </c>
      <c r="AH46" s="178">
        <f t="shared" si="13"/>
        <v>4</v>
      </c>
      <c r="AI46" s="227">
        <f t="shared" si="23"/>
        <v>-1.3977208964457406</v>
      </c>
      <c r="AJ46" s="267" t="b">
        <f t="shared" si="14"/>
        <v>0</v>
      </c>
      <c r="AK46" s="267" t="b">
        <f t="shared" si="15"/>
        <v>0</v>
      </c>
      <c r="AL46" s="267"/>
      <c r="AM46" s="267"/>
      <c r="AN46" s="75"/>
    </row>
    <row r="47" spans="1:40" s="6" customFormat="1" ht="11.25" x14ac:dyDescent="0.2">
      <c r="A47" s="56">
        <f t="shared" si="16"/>
        <v>43863</v>
      </c>
      <c r="B47" s="618">
        <v>20.349</v>
      </c>
      <c r="C47" s="392"/>
      <c r="D47" s="395">
        <f t="shared" si="0"/>
        <v>20.611130039346559</v>
      </c>
      <c r="E47" s="387">
        <f t="shared" si="17"/>
        <v>22.77676053402466</v>
      </c>
      <c r="F47" s="387">
        <f t="shared" si="1"/>
        <v>23.089220917287765</v>
      </c>
      <c r="G47" s="110">
        <f t="shared" si="18"/>
        <v>0.84928188639164537</v>
      </c>
      <c r="H47" s="414" t="b">
        <f>Wh_hp&gt;='2019'!Maxi_hp</f>
        <v>1</v>
      </c>
      <c r="I47" s="382">
        <f>IF(H47,Wh_hp,'2019'!Maxi_hp)</f>
        <v>23.089220917287765</v>
      </c>
      <c r="J47" s="85">
        <f>IF(H47,An,'2019'!An_max)</f>
        <v>2020</v>
      </c>
      <c r="K47" s="199">
        <f t="shared" si="19"/>
        <v>43863</v>
      </c>
      <c r="L47" s="147">
        <f>IF(t&lt;Tvie,1-EXP((T0-t)*PertePVj)+'2019'!Pspv,1-EXP((T0-t)*PertePVj)+Pspv)</f>
        <v>1.2717887803635919E-2</v>
      </c>
      <c r="M47" s="870"/>
      <c r="N47" s="870"/>
      <c r="O47" s="48">
        <f>IF(t&lt;Tnet,'2019'!Resal+('2019'!Salim-'2019'!Resal)*(1-EXP(('2019'!Tnet-t)/('2019'!Tau_j))),Resal+(Salim-Resal)*(1-EXP((Tnet-t)/(Tau_j))))*Salcycl</f>
        <v>9.50807069970733E-2</v>
      </c>
      <c r="P47" s="171">
        <f>(INDEX(Models!$BJ47:$BT47,,T47)*(1-R47)+INDEX(Models!$BJ47:$BT47,,T47+1)*R47-ERP_i)*Q47*Ramure*Pc/MaxiM</f>
        <v>1.7148461099192418E-2</v>
      </c>
      <c r="Q47" s="307">
        <f t="shared" si="2"/>
        <v>1</v>
      </c>
      <c r="R47" s="179">
        <f t="shared" si="3"/>
        <v>0.60242425914560216</v>
      </c>
      <c r="S47" s="837">
        <f t="shared" si="4"/>
        <v>-2</v>
      </c>
      <c r="T47" s="178">
        <f t="shared" si="5"/>
        <v>4</v>
      </c>
      <c r="U47" s="253">
        <f t="shared" si="20"/>
        <v>-1.3975757408543978</v>
      </c>
      <c r="V47" s="385">
        <f t="shared" si="6"/>
        <v>23.872420490909455</v>
      </c>
      <c r="W47" s="404"/>
      <c r="X47" s="157">
        <f t="shared" si="7"/>
        <v>43863</v>
      </c>
      <c r="Y47" s="387">
        <f t="shared" si="8"/>
        <v>20.349</v>
      </c>
      <c r="Z47" s="387">
        <f t="shared" si="9"/>
        <v>20.611130039346559</v>
      </c>
      <c r="AA47" s="388">
        <f t="shared" si="10"/>
        <v>22.77676053402466</v>
      </c>
      <c r="AB47" s="199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9.50807069970733E-2</v>
      </c>
      <c r="AD47" s="233">
        <f>(INDEX(Models!$BJ47:$BT47,,AH47)*(1-AF47)+INDEX(Models!$BJ47:$BT47,,AH47+1)*AF47-ERP_i)*AE47*Ramure*Pc/MaxiM</f>
        <v>1.7148461099192418E-2</v>
      </c>
      <c r="AE47" s="307">
        <f t="shared" si="12"/>
        <v>1</v>
      </c>
      <c r="AF47" s="179">
        <f t="shared" si="21"/>
        <v>0.60242425914560216</v>
      </c>
      <c r="AG47" s="837">
        <f t="shared" si="22"/>
        <v>-2</v>
      </c>
      <c r="AH47" s="178">
        <f t="shared" si="13"/>
        <v>4</v>
      </c>
      <c r="AI47" s="227">
        <f t="shared" si="23"/>
        <v>-1.3975757408543978</v>
      </c>
      <c r="AJ47" s="267" t="b">
        <f t="shared" si="14"/>
        <v>0</v>
      </c>
      <c r="AK47" s="267" t="b">
        <f t="shared" si="15"/>
        <v>0</v>
      </c>
      <c r="AL47" s="267"/>
      <c r="AM47" s="267"/>
      <c r="AN47" s="75"/>
    </row>
    <row r="48" spans="1:40" s="6" customFormat="1" ht="11.25" x14ac:dyDescent="0.2">
      <c r="A48" s="56">
        <f t="shared" si="16"/>
        <v>43864</v>
      </c>
      <c r="B48" s="618">
        <v>19.754000000000001</v>
      </c>
      <c r="C48" s="392"/>
      <c r="D48" s="395">
        <f t="shared" si="0"/>
        <v>20.00893105536986</v>
      </c>
      <c r="E48" s="387">
        <f t="shared" si="17"/>
        <v>22.114318878799153</v>
      </c>
      <c r="F48" s="387">
        <f t="shared" si="1"/>
        <v>22.38607837569748</v>
      </c>
      <c r="G48" s="110">
        <f t="shared" si="18"/>
        <v>0.81311581752025408</v>
      </c>
      <c r="H48" s="414" t="b">
        <f>Wh_hp&gt;='2019'!Maxi_hp</f>
        <v>1</v>
      </c>
      <c r="I48" s="382">
        <f>IF(H48,Wh_hp,'2019'!Maxi_hp)</f>
        <v>22.38607837569748</v>
      </c>
      <c r="J48" s="85">
        <f>IF(H48,An,'2019'!An_max)</f>
        <v>2020</v>
      </c>
      <c r="K48" s="199">
        <f t="shared" si="19"/>
        <v>43864</v>
      </c>
      <c r="L48" s="147">
        <f>IF(t&lt;Tvie,1-EXP((T0-t)*PertePVj)+'2019'!Pspv,1-EXP((T0-t)*PertePVj)+Pspv)</f>
        <v>1.2740863300713001E-2</v>
      </c>
      <c r="M48" s="870"/>
      <c r="N48" s="870"/>
      <c r="O48" s="48">
        <f>IF(t&lt;Tnet,'2019'!Resal+('2019'!Salim-'2019'!Resal)*(1-EXP(('2019'!Tnet-t)/('2019'!Tau_j))),Resal+(Salim-Resal)*(1-EXP((Tnet-t)/(Tau_j))))*Salcycl</f>
        <v>9.5204732959137756E-2</v>
      </c>
      <c r="P48" s="171">
        <f>(INDEX(Models!$BJ48:$BT48,,T48)*(1-R48)+INDEX(Models!$BJ48:$BT48,,T48+1)*R48-ERP_i)*Q48*Ramure*Pc/MaxiM</f>
        <v>1.6446968330356224E-2</v>
      </c>
      <c r="Q48" s="307">
        <f t="shared" si="2"/>
        <v>1</v>
      </c>
      <c r="R48" s="179">
        <f t="shared" si="3"/>
        <v>0.60257544007008845</v>
      </c>
      <c r="S48" s="837">
        <f t="shared" si="4"/>
        <v>-2</v>
      </c>
      <c r="T48" s="178">
        <f t="shared" si="5"/>
        <v>4</v>
      </c>
      <c r="U48" s="253">
        <f t="shared" si="20"/>
        <v>-1.3974245599299115</v>
      </c>
      <c r="V48" s="385">
        <f t="shared" si="6"/>
        <v>24.188273670001106</v>
      </c>
      <c r="W48" s="404"/>
      <c r="X48" s="157">
        <f t="shared" si="7"/>
        <v>43864</v>
      </c>
      <c r="Y48" s="387">
        <f t="shared" si="8"/>
        <v>19.754000000000001</v>
      </c>
      <c r="Z48" s="387">
        <f t="shared" si="9"/>
        <v>20.00893105536986</v>
      </c>
      <c r="AA48" s="388">
        <f t="shared" si="10"/>
        <v>22.114318878799153</v>
      </c>
      <c r="AB48" s="199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9.5204732959137756E-2</v>
      </c>
      <c r="AD48" s="233">
        <f>(INDEX(Models!$BJ48:$BT48,,AH48)*(1-AF48)+INDEX(Models!$BJ48:$BT48,,AH48+1)*AF48-ERP_i)*AE48*Ramure*Pc/MaxiM</f>
        <v>1.6446968330356224E-2</v>
      </c>
      <c r="AE48" s="307">
        <f t="shared" si="12"/>
        <v>1</v>
      </c>
      <c r="AF48" s="179">
        <f t="shared" si="21"/>
        <v>0.60257544007008845</v>
      </c>
      <c r="AG48" s="837">
        <f t="shared" si="22"/>
        <v>-2</v>
      </c>
      <c r="AH48" s="178">
        <f t="shared" si="13"/>
        <v>4</v>
      </c>
      <c r="AI48" s="227">
        <f t="shared" si="23"/>
        <v>-1.3974245599299115</v>
      </c>
      <c r="AJ48" s="267" t="b">
        <f t="shared" si="14"/>
        <v>0</v>
      </c>
      <c r="AK48" s="267" t="b">
        <f t="shared" si="15"/>
        <v>0</v>
      </c>
      <c r="AL48" s="267"/>
      <c r="AM48" s="267"/>
      <c r="AN48" s="75"/>
    </row>
    <row r="49" spans="1:40" s="6" customFormat="1" ht="11.25" x14ac:dyDescent="0.2">
      <c r="A49" s="56">
        <f t="shared" si="16"/>
        <v>43865</v>
      </c>
      <c r="B49" s="618">
        <v>14.896000000000001</v>
      </c>
      <c r="C49" s="392"/>
      <c r="D49" s="395">
        <f t="shared" si="0"/>
        <v>15.088588300688748</v>
      </c>
      <c r="E49" s="387">
        <f t="shared" si="17"/>
        <v>16.678530632463637</v>
      </c>
      <c r="F49" s="387">
        <f t="shared" si="1"/>
        <v>16.794629010639838</v>
      </c>
      <c r="G49" s="110">
        <f t="shared" si="18"/>
        <v>0.60242247308452046</v>
      </c>
      <c r="H49" s="414" t="b">
        <f>Wh_hp&gt;='2019'!Maxi_hp</f>
        <v>0</v>
      </c>
      <c r="I49" s="382">
        <f>IF(H49,Wh_hp,'2019'!Maxi_hp)</f>
        <v>23.379370808970474</v>
      </c>
      <c r="J49" s="85">
        <f>IF(H49,An,'2019'!An_max)</f>
        <v>2019</v>
      </c>
      <c r="K49" s="199">
        <f t="shared" si="19"/>
        <v>43865</v>
      </c>
      <c r="L49" s="147">
        <f>IF(t&lt;Tvie,1-EXP((T0-t)*PertePVj)+'2019'!Pspv,1-EXP((T0-t)*PertePVj)+Pspv)</f>
        <v>1.2763838263116778E-2</v>
      </c>
      <c r="M49" s="870"/>
      <c r="N49" s="870"/>
      <c r="O49" s="48">
        <f>IF(t&lt;Tnet,'2019'!Resal+('2019'!Salim-'2019'!Resal)*(1-EXP(('2019'!Tnet-t)/('2019'!Tau_j))),Resal+(Salim-Resal)*(1-EXP((Tnet-t)/(Tau_j))))*Salcycl</f>
        <v>9.5328681333604656E-2</v>
      </c>
      <c r="P49" s="171">
        <f>(INDEX(Models!$BJ49:$BT49,,T49)*(1-R49)+INDEX(Models!$BJ49:$BT49,,T49+1)*R49-ERP_i)*Q49*Ramure*Pc/MaxiM</f>
        <v>1.572050856479254E-2</v>
      </c>
      <c r="Q49" s="307">
        <f t="shared" si="2"/>
        <v>1</v>
      </c>
      <c r="R49" s="179">
        <f t="shared" si="3"/>
        <v>0.60273289364520077</v>
      </c>
      <c r="S49" s="837">
        <f t="shared" si="4"/>
        <v>-2</v>
      </c>
      <c r="T49" s="178">
        <f t="shared" si="5"/>
        <v>4</v>
      </c>
      <c r="U49" s="253">
        <f t="shared" si="20"/>
        <v>-1.3972671063547992</v>
      </c>
      <c r="V49" s="385">
        <f t="shared" si="6"/>
        <v>24.507531136349556</v>
      </c>
      <c r="W49" s="404"/>
      <c r="X49" s="157">
        <f t="shared" si="7"/>
        <v>43865</v>
      </c>
      <c r="Y49" s="387">
        <f t="shared" si="8"/>
        <v>14.896000000000001</v>
      </c>
      <c r="Z49" s="387">
        <f t="shared" si="9"/>
        <v>15.088588300688748</v>
      </c>
      <c r="AA49" s="388">
        <f t="shared" si="10"/>
        <v>16.678530632463637</v>
      </c>
      <c r="AB49" s="199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9.5328681333604656E-2</v>
      </c>
      <c r="AD49" s="233">
        <f>(INDEX(Models!$BJ49:$BT49,,AH49)*(1-AF49)+INDEX(Models!$BJ49:$BT49,,AH49+1)*AF49-ERP_i)*AE49*Ramure*Pc/MaxiM</f>
        <v>1.572050856479254E-2</v>
      </c>
      <c r="AE49" s="307">
        <f t="shared" si="12"/>
        <v>1</v>
      </c>
      <c r="AF49" s="179">
        <f t="shared" si="21"/>
        <v>0.60273289364520077</v>
      </c>
      <c r="AG49" s="837">
        <f t="shared" si="22"/>
        <v>-2</v>
      </c>
      <c r="AH49" s="178">
        <f t="shared" si="13"/>
        <v>4</v>
      </c>
      <c r="AI49" s="227">
        <f t="shared" si="23"/>
        <v>-1.3972671063547992</v>
      </c>
      <c r="AJ49" s="267" t="b">
        <f t="shared" si="14"/>
        <v>0</v>
      </c>
      <c r="AK49" s="267" t="b">
        <f t="shared" si="15"/>
        <v>0</v>
      </c>
      <c r="AL49" s="267"/>
      <c r="AM49" s="267"/>
      <c r="AN49" s="75"/>
    </row>
    <row r="50" spans="1:40" s="6" customFormat="1" ht="11.25" x14ac:dyDescent="0.2">
      <c r="A50" s="56">
        <f t="shared" si="16"/>
        <v>43866</v>
      </c>
      <c r="B50" s="618">
        <v>24.451000000000001</v>
      </c>
      <c r="C50" s="392"/>
      <c r="D50" s="395">
        <f t="shared" si="0"/>
        <v>24.767699939915111</v>
      </c>
      <c r="E50" s="387">
        <f t="shared" si="17"/>
        <v>27.381316102173933</v>
      </c>
      <c r="F50" s="387">
        <f t="shared" si="1"/>
        <v>27.78824906234189</v>
      </c>
      <c r="G50" s="110">
        <f t="shared" si="18"/>
        <v>0.98441448843918455</v>
      </c>
      <c r="H50" s="414" t="b">
        <f>Wh_hp&gt;='2019'!Maxi_hp</f>
        <v>1</v>
      </c>
      <c r="I50" s="382">
        <f>IF(H50,Wh_hp,'2019'!Maxi_hp)</f>
        <v>27.78824906234189</v>
      </c>
      <c r="J50" s="85">
        <f>IF(H50,An,'2019'!An_max)</f>
        <v>2020</v>
      </c>
      <c r="K50" s="199">
        <f t="shared" si="19"/>
        <v>43866</v>
      </c>
      <c r="L50" s="147">
        <f>IF(t&lt;Tvie,1-EXP((T0-t)*PertePVj)+'2019'!Pspv,1-EXP((T0-t)*PertePVj)+Pspv)</f>
        <v>1.2786812690859684E-2</v>
      </c>
      <c r="M50" s="870"/>
      <c r="N50" s="870"/>
      <c r="O50" s="48">
        <f>IF(t&lt;Tnet,'2019'!Resal+('2019'!Salim-'2019'!Resal)*(1-EXP(('2019'!Tnet-t)/('2019'!Tau_j))),Resal+(Salim-Resal)*(1-EXP((Tnet-t)/(Tau_j))))*Salcycl</f>
        <v>9.5452539699189806E-2</v>
      </c>
      <c r="P50" s="171">
        <f>(INDEX(Models!$BJ50:$BT50,,T50)*(1-R50)+INDEX(Models!$BJ50:$BT50,,T50+1)*R50-ERP_i)*Q50*Ramure*Pc/MaxiM</f>
        <v>1.497040774515707E-2</v>
      </c>
      <c r="Q50" s="307">
        <f t="shared" si="2"/>
        <v>1</v>
      </c>
      <c r="R50" s="179">
        <f t="shared" si="3"/>
        <v>0.602896877102294</v>
      </c>
      <c r="S50" s="837">
        <f t="shared" si="4"/>
        <v>-2</v>
      </c>
      <c r="T50" s="178">
        <f t="shared" si="5"/>
        <v>4</v>
      </c>
      <c r="U50" s="253">
        <f t="shared" si="20"/>
        <v>-1.397103122897706</v>
      </c>
      <c r="V50" s="385">
        <f t="shared" si="6"/>
        <v>24.829888552011617</v>
      </c>
      <c r="W50" s="404"/>
      <c r="X50" s="157">
        <f t="shared" si="7"/>
        <v>43866</v>
      </c>
      <c r="Y50" s="387">
        <f t="shared" si="8"/>
        <v>24.451000000000001</v>
      </c>
      <c r="Z50" s="387">
        <f t="shared" si="9"/>
        <v>24.767699939915111</v>
      </c>
      <c r="AA50" s="388">
        <f t="shared" si="10"/>
        <v>27.381316102173933</v>
      </c>
      <c r="AB50" s="199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9.5452539699189806E-2</v>
      </c>
      <c r="AD50" s="233">
        <f>(INDEX(Models!$BJ50:$BT50,,AH50)*(1-AF50)+INDEX(Models!$BJ50:$BT50,,AH50+1)*AF50-ERP_i)*AE50*Ramure*Pc/MaxiM</f>
        <v>1.497040774515707E-2</v>
      </c>
      <c r="AE50" s="307">
        <f t="shared" si="12"/>
        <v>1</v>
      </c>
      <c r="AF50" s="179">
        <f t="shared" si="21"/>
        <v>0.602896877102294</v>
      </c>
      <c r="AG50" s="837">
        <f t="shared" si="22"/>
        <v>-2</v>
      </c>
      <c r="AH50" s="178">
        <f t="shared" si="13"/>
        <v>4</v>
      </c>
      <c r="AI50" s="227">
        <f t="shared" si="23"/>
        <v>-1.397103122897706</v>
      </c>
      <c r="AJ50" s="267" t="b">
        <f t="shared" si="14"/>
        <v>0</v>
      </c>
      <c r="AK50" s="267" t="b">
        <f t="shared" si="15"/>
        <v>0</v>
      </c>
      <c r="AL50" s="267"/>
      <c r="AM50" s="267"/>
      <c r="AN50" s="75"/>
    </row>
    <row r="51" spans="1:40" s="6" customFormat="1" ht="11.25" x14ac:dyDescent="0.2">
      <c r="A51" s="56">
        <f t="shared" si="16"/>
        <v>43867</v>
      </c>
      <c r="B51" s="618">
        <v>25.385999999999999</v>
      </c>
      <c r="C51" s="392"/>
      <c r="D51" s="395">
        <f t="shared" si="0"/>
        <v>25.715408899927176</v>
      </c>
      <c r="E51" s="387">
        <f t="shared" si="17"/>
        <v>28.432922231346133</v>
      </c>
      <c r="F51" s="387">
        <f t="shared" si="1"/>
        <v>28.842415345268009</v>
      </c>
      <c r="G51" s="110">
        <f t="shared" si="18"/>
        <v>1.0091597871612568</v>
      </c>
      <c r="H51" s="414" t="b">
        <f>Wh_hp&gt;='2019'!Maxi_hp</f>
        <v>1</v>
      </c>
      <c r="I51" s="382">
        <f>IF(H51,Wh_hp,'2019'!Maxi_hp)</f>
        <v>28.842415345268009</v>
      </c>
      <c r="J51" s="85">
        <f>IF(H51,An,'2019'!An_max)</f>
        <v>2020</v>
      </c>
      <c r="K51" s="199">
        <f t="shared" si="19"/>
        <v>43867</v>
      </c>
      <c r="L51" s="147">
        <f>IF(t&lt;Tvie,1-EXP((T0-t)*PertePVj)+'2019'!Pspv,1-EXP((T0-t)*PertePVj)+Pspv)</f>
        <v>1.280978658395393E-2</v>
      </c>
      <c r="M51" s="870"/>
      <c r="N51" s="870"/>
      <c r="O51" s="48">
        <f>IF(t&lt;Tnet,'2019'!Resal+('2019'!Salim-'2019'!Resal)*(1-EXP(('2019'!Tnet-t)/('2019'!Tau_j))),Resal+(Salim-Resal)*(1-EXP((Tnet-t)/(Tau_j))))*Salcycl</f>
        <v>9.5576293892965014E-2</v>
      </c>
      <c r="P51" s="171">
        <f>(INDEX(Models!$BJ51:$BT51,,T51)*(1-R51)+INDEX(Models!$BJ51:$BT51,,T51+1)*R51-ERP_i)*Q51*Ramure*Pc/MaxiM</f>
        <v>1.4197601311121135E-2</v>
      </c>
      <c r="Q51" s="307">
        <f t="shared" si="2"/>
        <v>1</v>
      </c>
      <c r="R51" s="179">
        <f t="shared" si="3"/>
        <v>0.60306765796372575</v>
      </c>
      <c r="S51" s="837">
        <f t="shared" si="4"/>
        <v>-2</v>
      </c>
      <c r="T51" s="178">
        <f t="shared" si="5"/>
        <v>4</v>
      </c>
      <c r="U51" s="253">
        <f t="shared" si="20"/>
        <v>-1.3969323420362743</v>
      </c>
      <c r="V51" s="385">
        <f t="shared" si="6"/>
        <v>25.155580239092</v>
      </c>
      <c r="W51" s="404"/>
      <c r="X51" s="157">
        <f t="shared" si="7"/>
        <v>43867</v>
      </c>
      <c r="Y51" s="387">
        <f t="shared" si="8"/>
        <v>25.385999999999999</v>
      </c>
      <c r="Z51" s="387">
        <f t="shared" si="9"/>
        <v>25.715408899927176</v>
      </c>
      <c r="AA51" s="388">
        <f t="shared" si="10"/>
        <v>28.432922231346133</v>
      </c>
      <c r="AB51" s="199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9.5576293892965014E-2</v>
      </c>
      <c r="AD51" s="233">
        <f>(INDEX(Models!$BJ51:$BT51,,AH51)*(1-AF51)+INDEX(Models!$BJ51:$BT51,,AH51+1)*AF51-ERP_i)*AE51*Ramure*Pc/MaxiM</f>
        <v>1.4197601311121135E-2</v>
      </c>
      <c r="AE51" s="307">
        <f t="shared" si="12"/>
        <v>1</v>
      </c>
      <c r="AF51" s="179">
        <f t="shared" si="21"/>
        <v>0.60306765796372575</v>
      </c>
      <c r="AG51" s="837">
        <f t="shared" si="22"/>
        <v>-2</v>
      </c>
      <c r="AH51" s="178">
        <f t="shared" si="13"/>
        <v>4</v>
      </c>
      <c r="AI51" s="227">
        <f t="shared" si="23"/>
        <v>-1.3969323420362743</v>
      </c>
      <c r="AJ51" s="267" t="b">
        <f t="shared" si="14"/>
        <v>0</v>
      </c>
      <c r="AK51" s="267" t="b">
        <f t="shared" si="15"/>
        <v>0</v>
      </c>
      <c r="AL51" s="267"/>
      <c r="AM51" s="267"/>
      <c r="AN51" s="75"/>
    </row>
    <row r="52" spans="1:40" s="6" customFormat="1" ht="11.25" x14ac:dyDescent="0.2">
      <c r="A52" s="56">
        <f t="shared" si="16"/>
        <v>43868</v>
      </c>
      <c r="B52" s="618">
        <v>17.393000000000001</v>
      </c>
      <c r="C52" s="392"/>
      <c r="D52" s="395">
        <f t="shared" si="0"/>
        <v>17.619101702549766</v>
      </c>
      <c r="E52" s="387">
        <f t="shared" si="17"/>
        <v>19.483689376470405</v>
      </c>
      <c r="F52" s="387">
        <f t="shared" si="1"/>
        <v>19.62753181803452</v>
      </c>
      <c r="G52" s="110">
        <f t="shared" si="18"/>
        <v>0.67830079879898841</v>
      </c>
      <c r="H52" s="414" t="b">
        <f>Wh_hp&gt;='2019'!Maxi_hp</f>
        <v>1</v>
      </c>
      <c r="I52" s="382">
        <f>IF(H52,Wh_hp,'2019'!Maxi_hp)</f>
        <v>19.62753181803452</v>
      </c>
      <c r="J52" s="85">
        <f>IF(H52,An,'2019'!An_max)</f>
        <v>2020</v>
      </c>
      <c r="K52" s="199">
        <f t="shared" si="19"/>
        <v>43868</v>
      </c>
      <c r="L52" s="147">
        <f>IF(t&lt;Tvie,1-EXP((T0-t)*PertePVj)+'2019'!Pspv,1-EXP((T0-t)*PertePVj)+Pspv)</f>
        <v>1.2832759942412175E-2</v>
      </c>
      <c r="M52" s="870"/>
      <c r="N52" s="870"/>
      <c r="O52" s="48">
        <f>IF(t&lt;Tnet,'2019'!Resal+('2019'!Salim-'2019'!Resal)*(1-EXP(('2019'!Tnet-t)/('2019'!Tau_j))),Resal+(Salim-Resal)*(1-EXP((Tnet-t)/(Tau_j))))*Salcycl</f>
        <v>9.5699928175431617E-2</v>
      </c>
      <c r="P52" s="171">
        <f>(INDEX(Models!$BJ52:$BT52,,T52)*(1-R52)+INDEX(Models!$BJ52:$BT52,,T52+1)*R52-ERP_i)*Q52*Ramure*Pc/MaxiM</f>
        <v>1.341240442120629E-2</v>
      </c>
      <c r="Q52" s="307">
        <f t="shared" si="2"/>
        <v>1</v>
      </c>
      <c r="R52" s="179">
        <f t="shared" si="3"/>
        <v>0.60324551443258789</v>
      </c>
      <c r="S52" s="837">
        <f t="shared" si="4"/>
        <v>-2</v>
      </c>
      <c r="T52" s="178">
        <f t="shared" si="5"/>
        <v>4</v>
      </c>
      <c r="U52" s="253">
        <f t="shared" si="20"/>
        <v>-1.3967544855674121</v>
      </c>
      <c r="V52" s="385">
        <f t="shared" si="6"/>
        <v>25.484863520949297</v>
      </c>
      <c r="W52" s="404"/>
      <c r="X52" s="157">
        <f t="shared" si="7"/>
        <v>43868</v>
      </c>
      <c r="Y52" s="387">
        <f t="shared" si="8"/>
        <v>17.393000000000001</v>
      </c>
      <c r="Z52" s="387">
        <f t="shared" si="9"/>
        <v>17.619101702549766</v>
      </c>
      <c r="AA52" s="388">
        <f t="shared" si="10"/>
        <v>19.483689376470405</v>
      </c>
      <c r="AB52" s="199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9.5699928175431617E-2</v>
      </c>
      <c r="AD52" s="233">
        <f>(INDEX(Models!$BJ52:$BT52,,AH52)*(1-AF52)+INDEX(Models!$BJ52:$BT52,,AH52+1)*AF52-ERP_i)*AE52*Ramure*Pc/MaxiM</f>
        <v>1.341240442120629E-2</v>
      </c>
      <c r="AE52" s="307">
        <f t="shared" si="12"/>
        <v>1</v>
      </c>
      <c r="AF52" s="179">
        <f t="shared" si="21"/>
        <v>0.60324551443258789</v>
      </c>
      <c r="AG52" s="837">
        <f t="shared" si="22"/>
        <v>-2</v>
      </c>
      <c r="AH52" s="178">
        <f t="shared" si="13"/>
        <v>4</v>
      </c>
      <c r="AI52" s="227">
        <f t="shared" si="23"/>
        <v>-1.3967544855674121</v>
      </c>
      <c r="AJ52" s="267" t="b">
        <f t="shared" si="14"/>
        <v>0</v>
      </c>
      <c r="AK52" s="267" t="b">
        <f t="shared" si="15"/>
        <v>0</v>
      </c>
      <c r="AL52" s="267"/>
      <c r="AM52" s="267"/>
      <c r="AN52" s="75"/>
    </row>
    <row r="53" spans="1:40" s="6" customFormat="1" ht="11.25" x14ac:dyDescent="0.2">
      <c r="A53" s="56">
        <f t="shared" si="16"/>
        <v>43869</v>
      </c>
      <c r="B53" s="618">
        <v>22.145</v>
      </c>
      <c r="C53" s="392"/>
      <c r="D53" s="395">
        <f t="shared" si="0"/>
        <v>22.433397766727975</v>
      </c>
      <c r="E53" s="387">
        <f t="shared" si="17"/>
        <v>24.810859291746937</v>
      </c>
      <c r="F53" s="387">
        <f t="shared" si="1"/>
        <v>25.063200771288571</v>
      </c>
      <c r="G53" s="110">
        <f t="shared" si="18"/>
        <v>0.85553316684884673</v>
      </c>
      <c r="H53" s="414" t="b">
        <f>Wh_hp&gt;='2019'!Maxi_hp</f>
        <v>1</v>
      </c>
      <c r="I53" s="382">
        <f>IF(H53,Wh_hp,'2019'!Maxi_hp)</f>
        <v>25.063200771288571</v>
      </c>
      <c r="J53" s="85">
        <f>IF(H53,An,'2019'!An_max)</f>
        <v>2020</v>
      </c>
      <c r="K53" s="199">
        <f t="shared" si="19"/>
        <v>43869</v>
      </c>
      <c r="L53" s="147">
        <f>IF(t&lt;Tvie,1-EXP((T0-t)*PertePVj)+'2019'!Pspv,1-EXP((T0-t)*PertePVj)+Pspv)</f>
        <v>1.2855732766246852E-2</v>
      </c>
      <c r="M53" s="870"/>
      <c r="N53" s="870"/>
      <c r="O53" s="48">
        <f>IF(t&lt;Tnet,'2019'!Resal+('2019'!Salim-'2019'!Resal)*(1-EXP(('2019'!Tnet-t)/('2019'!Tau_j))),Resal+(Salim-Resal)*(1-EXP((Tnet-t)/(Tau_j))))*Salcycl</f>
        <v>9.5823425422826791E-2</v>
      </c>
      <c r="P53" s="171">
        <f>(INDEX(Models!$BJ53:$BT53,,T53)*(1-R53)+INDEX(Models!$BJ53:$BT53,,T53+1)*R53-ERP_i)*Q53*Ramure*Pc/MaxiM</f>
        <v>1.2635847003069765E-2</v>
      </c>
      <c r="Q53" s="307">
        <f t="shared" si="2"/>
        <v>1</v>
      </c>
      <c r="R53" s="179">
        <f t="shared" si="3"/>
        <v>0.6034307357953006</v>
      </c>
      <c r="S53" s="837">
        <f t="shared" si="4"/>
        <v>-2</v>
      </c>
      <c r="T53" s="178">
        <f t="shared" si="5"/>
        <v>4</v>
      </c>
      <c r="U53" s="253">
        <f t="shared" si="20"/>
        <v>-1.3965692642046994</v>
      </c>
      <c r="V53" s="385">
        <f t="shared" si="6"/>
        <v>25.81730568840527</v>
      </c>
      <c r="W53" s="404"/>
      <c r="X53" s="157">
        <f t="shared" si="7"/>
        <v>43869</v>
      </c>
      <c r="Y53" s="387">
        <f t="shared" si="8"/>
        <v>22.145</v>
      </c>
      <c r="Z53" s="387">
        <f t="shared" si="9"/>
        <v>22.433397766727975</v>
      </c>
      <c r="AA53" s="388">
        <f t="shared" si="10"/>
        <v>24.810859291746937</v>
      </c>
      <c r="AB53" s="199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9.5823425422826791E-2</v>
      </c>
      <c r="AD53" s="233">
        <f>(INDEX(Models!$BJ53:$BT53,,AH53)*(1-AF53)+INDEX(Models!$BJ53:$BT53,,AH53+1)*AF53-ERP_i)*AE53*Ramure*Pc/MaxiM</f>
        <v>1.2635847003069765E-2</v>
      </c>
      <c r="AE53" s="307">
        <f t="shared" si="12"/>
        <v>1</v>
      </c>
      <c r="AF53" s="179">
        <f t="shared" si="21"/>
        <v>0.6034307357953006</v>
      </c>
      <c r="AG53" s="837">
        <f t="shared" si="22"/>
        <v>-2</v>
      </c>
      <c r="AH53" s="178">
        <f t="shared" si="13"/>
        <v>4</v>
      </c>
      <c r="AI53" s="227">
        <f t="shared" si="23"/>
        <v>-1.3965692642046994</v>
      </c>
      <c r="AJ53" s="267" t="b">
        <f t="shared" si="14"/>
        <v>0</v>
      </c>
      <c r="AK53" s="267" t="b">
        <f t="shared" si="15"/>
        <v>0</v>
      </c>
      <c r="AL53" s="267"/>
      <c r="AM53" s="267"/>
      <c r="AN53" s="75"/>
    </row>
    <row r="54" spans="1:40" s="6" customFormat="1" ht="11.25" x14ac:dyDescent="0.2">
      <c r="A54" s="56">
        <f t="shared" si="16"/>
        <v>43870</v>
      </c>
      <c r="B54" s="618">
        <v>22.788</v>
      </c>
      <c r="C54" s="392"/>
      <c r="D54" s="395">
        <f t="shared" si="0"/>
        <v>23.085308884234486</v>
      </c>
      <c r="E54" s="387">
        <f t="shared" si="17"/>
        <v>25.535342444844979</v>
      </c>
      <c r="F54" s="387">
        <f t="shared" si="1"/>
        <v>25.785107577380387</v>
      </c>
      <c r="G54" s="110">
        <f t="shared" si="18"/>
        <v>0.86941450572718681</v>
      </c>
      <c r="H54" s="414" t="b">
        <f>Wh_hp&gt;='2019'!Maxi_hp</f>
        <v>0</v>
      </c>
      <c r="I54" s="382">
        <f>IF(H54,Wh_hp,'2019'!Maxi_hp)</f>
        <v>25.902040651021281</v>
      </c>
      <c r="J54" s="85">
        <f>IF(H54,An,'2019'!An_max)</f>
        <v>2019</v>
      </c>
      <c r="K54" s="199">
        <f t="shared" si="19"/>
        <v>43870</v>
      </c>
      <c r="L54" s="147">
        <f>IF(t&lt;Tvie,1-EXP((T0-t)*PertePVj)+'2019'!Pspv,1-EXP((T0-t)*PertePVj)+Pspv)</f>
        <v>1.2878705055470396E-2</v>
      </c>
      <c r="M54" s="870"/>
      <c r="N54" s="870"/>
      <c r="O54" s="48">
        <f>IF(t&lt;Tnet,'2019'!Resal+('2019'!Salim-'2019'!Resal)*(1-EXP(('2019'!Tnet-t)/('2019'!Tau_j))),Resal+(Salim-Resal)*(1-EXP((Tnet-t)/(Tau_j))))*Salcycl</f>
        <v>9.5946767344218697E-2</v>
      </c>
      <c r="P54" s="171">
        <f>(INDEX(Models!$BJ54:$BT54,,T54)*(1-R54)+INDEX(Models!$BJ54:$BT54,,T54+1)*R54-ERP_i)*Q54*Ramure*Pc/MaxiM</f>
        <v>1.1867820245488124E-2</v>
      </c>
      <c r="Q54" s="307">
        <f t="shared" si="2"/>
        <v>1</v>
      </c>
      <c r="R54" s="179">
        <f t="shared" si="3"/>
        <v>0.60362362283732818</v>
      </c>
      <c r="S54" s="837">
        <f t="shared" si="4"/>
        <v>-2</v>
      </c>
      <c r="T54" s="178">
        <f t="shared" si="5"/>
        <v>4</v>
      </c>
      <c r="U54" s="253">
        <f t="shared" si="20"/>
        <v>-1.3963763771626718</v>
      </c>
      <c r="V54" s="385">
        <f t="shared" si="6"/>
        <v>26.153007179304591</v>
      </c>
      <c r="W54" s="404"/>
      <c r="X54" s="157">
        <f t="shared" si="7"/>
        <v>43870</v>
      </c>
      <c r="Y54" s="387">
        <f t="shared" si="8"/>
        <v>22.788</v>
      </c>
      <c r="Z54" s="387">
        <f t="shared" si="9"/>
        <v>23.085308884234486</v>
      </c>
      <c r="AA54" s="388">
        <f t="shared" si="10"/>
        <v>25.535342444844979</v>
      </c>
      <c r="AB54" s="199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9.5946767344218697E-2</v>
      </c>
      <c r="AD54" s="233">
        <f>(INDEX(Models!$BJ54:$BT54,,AH54)*(1-AF54)+INDEX(Models!$BJ54:$BT54,,AH54+1)*AF54-ERP_i)*AE54*Ramure*Pc/MaxiM</f>
        <v>1.1867820245488124E-2</v>
      </c>
      <c r="AE54" s="307">
        <f t="shared" si="12"/>
        <v>1</v>
      </c>
      <c r="AF54" s="179">
        <f t="shared" si="21"/>
        <v>0.60362362283732818</v>
      </c>
      <c r="AG54" s="837">
        <f t="shared" si="22"/>
        <v>-2</v>
      </c>
      <c r="AH54" s="178">
        <f t="shared" si="13"/>
        <v>4</v>
      </c>
      <c r="AI54" s="227">
        <f t="shared" si="23"/>
        <v>-1.3963763771626718</v>
      </c>
      <c r="AJ54" s="267" t="b">
        <f t="shared" si="14"/>
        <v>0</v>
      </c>
      <c r="AK54" s="267" t="b">
        <f t="shared" si="15"/>
        <v>0</v>
      </c>
      <c r="AL54" s="267"/>
      <c r="AM54" s="267"/>
      <c r="AN54" s="75"/>
    </row>
    <row r="55" spans="1:40" s="6" customFormat="1" ht="11.25" customHeight="1" x14ac:dyDescent="0.2">
      <c r="A55" s="56">
        <f t="shared" si="16"/>
        <v>43871</v>
      </c>
      <c r="B55" s="618">
        <v>12.839</v>
      </c>
      <c r="C55" s="392"/>
      <c r="D55" s="395">
        <f t="shared" si="0"/>
        <v>13.00680965449269</v>
      </c>
      <c r="E55" s="387">
        <f t="shared" si="17"/>
        <v>14.389176944207804</v>
      </c>
      <c r="F55" s="387">
        <f t="shared" si="1"/>
        <v>14.431460568874146</v>
      </c>
      <c r="G55" s="110">
        <f t="shared" si="18"/>
        <v>0.4806604944780144</v>
      </c>
      <c r="H55" s="414" t="b">
        <f>Wh_hp&gt;='2019'!Maxi_hp</f>
        <v>1</v>
      </c>
      <c r="I55" s="382">
        <f>IF(H55,Wh_hp,'2019'!Maxi_hp)</f>
        <v>14.431460568874146</v>
      </c>
      <c r="J55" s="85">
        <f>IF(H55,An,'2019'!An_max)</f>
        <v>2020</v>
      </c>
      <c r="K55" s="199">
        <f t="shared" si="19"/>
        <v>43871</v>
      </c>
      <c r="L55" s="147">
        <f>IF(t&lt;Tvie,1-EXP((T0-t)*PertePVj)+'2019'!Pspv,1-EXP((T0-t)*PertePVj)+Pspv)</f>
        <v>1.2901676810095131E-2</v>
      </c>
      <c r="M55" s="870"/>
      <c r="N55" s="870"/>
      <c r="O55" s="48">
        <f>IF(t&lt;Tnet,'2019'!Resal+('2019'!Salim-'2019'!Resal)*(1-EXP(('2019'!Tnet-t)/('2019'!Tau_j))),Resal+(Salim-Resal)*(1-EXP((Tnet-t)/(Tau_j))))*Salcycl</f>
        <v>9.6069934720732567E-2</v>
      </c>
      <c r="P55" s="171">
        <f>(INDEX(Models!$BJ55:$BT55,,T55)*(1-R55)+INDEX(Models!$BJ55:$BT55,,T55+1)*R55-ERP_i)*Q55*Ramure*Pc/MaxiM</f>
        <v>1.1108220202749612E-2</v>
      </c>
      <c r="Q55" s="307">
        <f t="shared" si="2"/>
        <v>1</v>
      </c>
      <c r="R55" s="179">
        <f t="shared" si="3"/>
        <v>0.60382448827225566</v>
      </c>
      <c r="S55" s="837">
        <f t="shared" si="4"/>
        <v>-2</v>
      </c>
      <c r="T55" s="178">
        <f t="shared" si="5"/>
        <v>4</v>
      </c>
      <c r="U55" s="253">
        <f t="shared" si="20"/>
        <v>-1.3961755117277443</v>
      </c>
      <c r="V55" s="385">
        <f t="shared" si="6"/>
        <v>26.492068583906736</v>
      </c>
      <c r="W55" s="404"/>
      <c r="X55" s="157">
        <f t="shared" si="7"/>
        <v>43871</v>
      </c>
      <c r="Y55" s="387">
        <f t="shared" si="8"/>
        <v>12.839</v>
      </c>
      <c r="Z55" s="387">
        <f t="shared" si="9"/>
        <v>13.00680965449269</v>
      </c>
      <c r="AA55" s="388">
        <f t="shared" si="10"/>
        <v>14.389176944207804</v>
      </c>
      <c r="AB55" s="199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9.6069934720732567E-2</v>
      </c>
      <c r="AD55" s="233">
        <f>(INDEX(Models!$BJ55:$BT55,,AH55)*(1-AF55)+INDEX(Models!$BJ55:$BT55,,AH55+1)*AF55-ERP_i)*AE55*Ramure*Pc/MaxiM</f>
        <v>1.1108220202749612E-2</v>
      </c>
      <c r="AE55" s="307">
        <f t="shared" si="12"/>
        <v>1</v>
      </c>
      <c r="AF55" s="179">
        <f t="shared" si="21"/>
        <v>0.60382448827225566</v>
      </c>
      <c r="AG55" s="837">
        <f t="shared" si="22"/>
        <v>-2</v>
      </c>
      <c r="AH55" s="178">
        <f t="shared" si="13"/>
        <v>4</v>
      </c>
      <c r="AI55" s="227">
        <f t="shared" si="23"/>
        <v>-1.3961755117277443</v>
      </c>
      <c r="AJ55" s="267" t="b">
        <f t="shared" si="14"/>
        <v>0</v>
      </c>
      <c r="AK55" s="267" t="b">
        <f t="shared" si="15"/>
        <v>0</v>
      </c>
      <c r="AL55" s="267"/>
      <c r="AM55" s="267"/>
      <c r="AN55" s="75"/>
    </row>
    <row r="56" spans="1:40" s="6" customFormat="1" ht="11.25" customHeight="1" x14ac:dyDescent="0.2">
      <c r="A56" s="56">
        <f t="shared" si="16"/>
        <v>43872</v>
      </c>
      <c r="B56" s="618">
        <v>8.6460000000000008</v>
      </c>
      <c r="C56" s="392"/>
      <c r="D56" s="395">
        <f t="shared" si="0"/>
        <v>8.7592097024259878</v>
      </c>
      <c r="E56" s="387">
        <f t="shared" si="17"/>
        <v>9.6914593575354644</v>
      </c>
      <c r="F56" s="387">
        <f t="shared" si="1"/>
        <v>9.6946431289785586</v>
      </c>
      <c r="G56" s="110">
        <f t="shared" si="18"/>
        <v>0.31896386476916383</v>
      </c>
      <c r="H56" s="414" t="b">
        <f>Wh_hp&gt;='2019'!Maxi_hp</f>
        <v>0</v>
      </c>
      <c r="I56" s="382">
        <f>IF(H56,Wh_hp,'2019'!Maxi_hp)</f>
        <v>20.761317953322195</v>
      </c>
      <c r="J56" s="85">
        <f>IF(H56,An,'2019'!An_max)</f>
        <v>2019</v>
      </c>
      <c r="K56" s="199">
        <f t="shared" si="19"/>
        <v>43872</v>
      </c>
      <c r="L56" s="147">
        <f>IF(t&lt;Tvie,1-EXP((T0-t)*PertePVj)+'2019'!Pspv,1-EXP((T0-t)*PertePVj)+Pspv)</f>
        <v>1.2924648030133601E-2</v>
      </c>
      <c r="M56" s="870"/>
      <c r="N56" s="870"/>
      <c r="O56" s="48">
        <f>IF(t&lt;Tnet,'2019'!Resal+('2019'!Salim-'2019'!Resal)*(1-EXP(('2019'!Tnet-t)/('2019'!Tau_j))),Resal+(Salim-Resal)*(1-EXP((Tnet-t)/(Tau_j))))*Salcycl</f>
        <v>9.6192907664067934E-2</v>
      </c>
      <c r="P56" s="171">
        <f>(INDEX(Models!$BJ56:$BT56,,T56)*(1-R56)+INDEX(Models!$BJ56:$BT56,,T56+1)*R56-ERP_i)*Q56*Ramure*Pc/MaxiM</f>
        <v>1.0356946994950838E-2</v>
      </c>
      <c r="Q56" s="307">
        <f t="shared" si="2"/>
        <v>1</v>
      </c>
      <c r="R56" s="179">
        <f t="shared" si="3"/>
        <v>0.60403365718446134</v>
      </c>
      <c r="S56" s="837">
        <f t="shared" si="4"/>
        <v>-2</v>
      </c>
      <c r="T56" s="178">
        <f t="shared" si="5"/>
        <v>4</v>
      </c>
      <c r="U56" s="253">
        <f t="shared" si="20"/>
        <v>-1.3959663428155387</v>
      </c>
      <c r="V56" s="385">
        <f t="shared" si="6"/>
        <v>26.834590650971595</v>
      </c>
      <c r="W56" s="404"/>
      <c r="X56" s="157">
        <f t="shared" si="7"/>
        <v>43872</v>
      </c>
      <c r="Y56" s="387">
        <f t="shared" si="8"/>
        <v>8.6460000000000008</v>
      </c>
      <c r="Z56" s="387">
        <f t="shared" si="9"/>
        <v>8.7592097024259878</v>
      </c>
      <c r="AA56" s="388">
        <f t="shared" si="10"/>
        <v>9.6914593575354644</v>
      </c>
      <c r="AB56" s="199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9.6192907664067934E-2</v>
      </c>
      <c r="AD56" s="233">
        <f>(INDEX(Models!$BJ56:$BT56,,AH56)*(1-AF56)+INDEX(Models!$BJ56:$BT56,,AH56+1)*AF56-ERP_i)*AE56*Ramure*Pc/MaxiM</f>
        <v>1.0356946994950838E-2</v>
      </c>
      <c r="AE56" s="307">
        <f t="shared" si="12"/>
        <v>1</v>
      </c>
      <c r="AF56" s="179">
        <f t="shared" si="21"/>
        <v>0.60403365718446134</v>
      </c>
      <c r="AG56" s="837">
        <f t="shared" si="22"/>
        <v>-2</v>
      </c>
      <c r="AH56" s="178">
        <f t="shared" si="13"/>
        <v>4</v>
      </c>
      <c r="AI56" s="227">
        <f t="shared" si="23"/>
        <v>-1.3959663428155387</v>
      </c>
      <c r="AJ56" s="267" t="b">
        <f t="shared" si="14"/>
        <v>0</v>
      </c>
      <c r="AK56" s="267" t="b">
        <f t="shared" si="15"/>
        <v>0</v>
      </c>
      <c r="AL56" s="267"/>
      <c r="AM56" s="267"/>
      <c r="AN56" s="75"/>
    </row>
    <row r="57" spans="1:40" s="6" customFormat="1" ht="11.25" customHeight="1" x14ac:dyDescent="0.2">
      <c r="A57" s="56">
        <f t="shared" si="16"/>
        <v>43873</v>
      </c>
      <c r="B57" s="618">
        <v>17.713000000000001</v>
      </c>
      <c r="C57" s="392"/>
      <c r="D57" s="395">
        <f t="shared" si="0"/>
        <v>17.945349543608781</v>
      </c>
      <c r="E57" s="387">
        <f t="shared" si="17"/>
        <v>19.857984548673802</v>
      </c>
      <c r="F57" s="387">
        <f t="shared" si="1"/>
        <v>19.954363605000882</v>
      </c>
      <c r="G57" s="110">
        <f t="shared" si="18"/>
        <v>0.64854354932310831</v>
      </c>
      <c r="H57" s="414" t="b">
        <f>Wh_hp&gt;='2019'!Maxi_hp</f>
        <v>0</v>
      </c>
      <c r="I57" s="382">
        <f>IF(H57,Wh_hp,'2019'!Maxi_hp)</f>
        <v>30.634138699782948</v>
      </c>
      <c r="J57" s="85">
        <f>IF(H57,An,'2019'!An_max)</f>
        <v>2019</v>
      </c>
      <c r="K57" s="199">
        <f t="shared" si="19"/>
        <v>43873</v>
      </c>
      <c r="L57" s="147">
        <f>IF(t&lt;Tvie,1-EXP((T0-t)*PertePVj)+'2019'!Pspv,1-EXP((T0-t)*PertePVj)+Pspv)</f>
        <v>1.2947618715598241E-2</v>
      </c>
      <c r="M57" s="870"/>
      <c r="N57" s="870"/>
      <c r="O57" s="48">
        <f>IF(t&lt;Tnet,'2019'!Resal+('2019'!Salim-'2019'!Resal)*(1-EXP(('2019'!Tnet-t)/('2019'!Tau_j))),Resal+(Salim-Resal)*(1-EXP((Tnet-t)/(Tau_j))))*Salcycl</f>
        <v>9.6315665891317945E-2</v>
      </c>
      <c r="P57" s="171">
        <f>(INDEX(Models!$BJ57:$BT57,,T57)*(1-R57)+INDEX(Models!$BJ57:$BT57,,T57+1)*R57-ERP_i)*Q57*Ramure*Pc/MaxiM</f>
        <v>9.6139040533544801E-3</v>
      </c>
      <c r="Q57" s="307">
        <f t="shared" si="2"/>
        <v>1</v>
      </c>
      <c r="R57" s="179">
        <f t="shared" si="3"/>
        <v>0.60425146748559344</v>
      </c>
      <c r="S57" s="837">
        <f t="shared" si="4"/>
        <v>-2</v>
      </c>
      <c r="T57" s="178">
        <f t="shared" si="5"/>
        <v>4</v>
      </c>
      <c r="U57" s="253">
        <f t="shared" si="20"/>
        <v>-1.3957485325144066</v>
      </c>
      <c r="V57" s="385">
        <f t="shared" si="6"/>
        <v>27.180674292198962</v>
      </c>
      <c r="W57" s="404"/>
      <c r="X57" s="157">
        <f t="shared" si="7"/>
        <v>43873</v>
      </c>
      <c r="Y57" s="387">
        <f t="shared" si="8"/>
        <v>17.713000000000001</v>
      </c>
      <c r="Z57" s="387">
        <f t="shared" si="9"/>
        <v>17.945349543608781</v>
      </c>
      <c r="AA57" s="388">
        <f t="shared" si="10"/>
        <v>19.857984548673802</v>
      </c>
      <c r="AB57" s="199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9.6315665891317945E-2</v>
      </c>
      <c r="AD57" s="233">
        <f>(INDEX(Models!$BJ57:$BT57,,AH57)*(1-AF57)+INDEX(Models!$BJ57:$BT57,,AH57+1)*AF57-ERP_i)*AE57*Ramure*Pc/MaxiM</f>
        <v>9.6139040533544801E-3</v>
      </c>
      <c r="AE57" s="307">
        <f t="shared" si="12"/>
        <v>1</v>
      </c>
      <c r="AF57" s="179">
        <f t="shared" si="21"/>
        <v>0.60425146748559344</v>
      </c>
      <c r="AG57" s="837">
        <f t="shared" si="22"/>
        <v>-2</v>
      </c>
      <c r="AH57" s="178">
        <f t="shared" si="13"/>
        <v>4</v>
      </c>
      <c r="AI57" s="227">
        <f t="shared" si="23"/>
        <v>-1.3957485325144066</v>
      </c>
      <c r="AJ57" s="267" t="b">
        <f t="shared" si="14"/>
        <v>0</v>
      </c>
      <c r="AK57" s="267" t="b">
        <f t="shared" si="15"/>
        <v>0</v>
      </c>
      <c r="AL57" s="267"/>
      <c r="AM57" s="267"/>
      <c r="AN57" s="75"/>
    </row>
    <row r="58" spans="1:40" s="6" customFormat="1" ht="11.25" customHeight="1" x14ac:dyDescent="0.2">
      <c r="A58" s="56">
        <f t="shared" si="16"/>
        <v>43874</v>
      </c>
      <c r="B58" s="618">
        <v>16.271999999999998</v>
      </c>
      <c r="C58" s="392"/>
      <c r="D58" s="395">
        <f t="shared" si="0"/>
        <v>16.485830935182907</v>
      </c>
      <c r="E58" s="387">
        <f t="shared" si="17"/>
        <v>18.245382590012845</v>
      </c>
      <c r="F58" s="387">
        <f t="shared" si="1"/>
        <v>18.313211829691927</v>
      </c>
      <c r="G58" s="110">
        <f t="shared" si="18"/>
        <v>0.58798508947741446</v>
      </c>
      <c r="H58" s="414" t="b">
        <f>Wh_hp&gt;='2019'!Maxi_hp</f>
        <v>0</v>
      </c>
      <c r="I58" s="382">
        <f>IF(H58,Wh_hp,'2019'!Maxi_hp)</f>
        <v>31.578425450237262</v>
      </c>
      <c r="J58" s="85">
        <f>IF(H58,An,'2019'!An_max)</f>
        <v>2019</v>
      </c>
      <c r="K58" s="199">
        <f t="shared" si="19"/>
        <v>43874</v>
      </c>
      <c r="L58" s="147">
        <f>IF(t&lt;Tvie,1-EXP((T0-t)*PertePVj)+'2019'!Pspv,1-EXP((T0-t)*PertePVj)+Pspv)</f>
        <v>1.2970588866501487E-2</v>
      </c>
      <c r="M58" s="870"/>
      <c r="N58" s="870"/>
      <c r="O58" s="48">
        <f>IF(t&lt;Tnet,'2019'!Resal+('2019'!Salim-'2019'!Resal)*(1-EXP(('2019'!Tnet-t)/('2019'!Tau_j))),Resal+(Salim-Resal)*(1-EXP((Tnet-t)/(Tau_j))))*Salcycl</f>
        <v>9.6438189012987882E-2</v>
      </c>
      <c r="P58" s="171">
        <f>(INDEX(Models!$BJ58:$BT58,,T58)*(1-R58)+INDEX(Models!$BJ58:$BT58,,T58+1)*R58-ERP_i)*Q58*Ramure*Pc/MaxiM</f>
        <v>8.9073754837237958E-3</v>
      </c>
      <c r="Q58" s="307">
        <f t="shared" si="2"/>
        <v>1</v>
      </c>
      <c r="R58" s="179">
        <f t="shared" si="3"/>
        <v>0.6044782703850482</v>
      </c>
      <c r="S58" s="837">
        <f t="shared" si="4"/>
        <v>-2</v>
      </c>
      <c r="T58" s="178">
        <f t="shared" si="5"/>
        <v>4</v>
      </c>
      <c r="U58" s="253">
        <f t="shared" si="20"/>
        <v>-1.3955217296149518</v>
      </c>
      <c r="V58" s="385">
        <f t="shared" si="6"/>
        <v>27.529632319869314</v>
      </c>
      <c r="W58" s="404"/>
      <c r="X58" s="157">
        <f t="shared" si="7"/>
        <v>43874</v>
      </c>
      <c r="Y58" s="387">
        <f t="shared" si="8"/>
        <v>16.271999999999998</v>
      </c>
      <c r="Z58" s="387">
        <f t="shared" si="9"/>
        <v>16.485830935182907</v>
      </c>
      <c r="AA58" s="388">
        <f t="shared" si="10"/>
        <v>18.245382590012845</v>
      </c>
      <c r="AB58" s="199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9.6438189012987882E-2</v>
      </c>
      <c r="AD58" s="233">
        <f>(INDEX(Models!$BJ58:$BT58,,AH58)*(1-AF58)+INDEX(Models!$BJ58:$BT58,,AH58+1)*AF58-ERP_i)*AE58*Ramure*Pc/MaxiM</f>
        <v>8.9073754837237958E-3</v>
      </c>
      <c r="AE58" s="307">
        <f t="shared" si="12"/>
        <v>1</v>
      </c>
      <c r="AF58" s="179">
        <f t="shared" si="21"/>
        <v>0.6044782703850482</v>
      </c>
      <c r="AG58" s="837">
        <f t="shared" si="22"/>
        <v>-2</v>
      </c>
      <c r="AH58" s="178">
        <f t="shared" si="13"/>
        <v>4</v>
      </c>
      <c r="AI58" s="227">
        <f t="shared" si="23"/>
        <v>-1.3955217296149518</v>
      </c>
      <c r="AJ58" s="267" t="b">
        <f t="shared" si="14"/>
        <v>0</v>
      </c>
      <c r="AK58" s="267" t="b">
        <f t="shared" si="15"/>
        <v>0</v>
      </c>
      <c r="AL58" s="267"/>
      <c r="AM58" s="267"/>
      <c r="AN58" s="75"/>
    </row>
    <row r="59" spans="1:40" s="6" customFormat="1" ht="11.25" x14ac:dyDescent="0.2">
      <c r="A59" s="56">
        <f t="shared" si="16"/>
        <v>43875</v>
      </c>
      <c r="B59" s="618">
        <v>21.663</v>
      </c>
      <c r="C59" s="392"/>
      <c r="D59" s="395">
        <f t="shared" si="0"/>
        <v>21.948185025724285</v>
      </c>
      <c r="E59" s="387">
        <f t="shared" si="17"/>
        <v>24.294027410774227</v>
      </c>
      <c r="F59" s="387">
        <f t="shared" si="1"/>
        <v>24.431425819241404</v>
      </c>
      <c r="G59" s="110">
        <f t="shared" si="18"/>
        <v>0.77492373503267598</v>
      </c>
      <c r="H59" s="414" t="b">
        <f>Wh_hp&gt;='2019'!Maxi_hp</f>
        <v>0</v>
      </c>
      <c r="I59" s="382">
        <f>IF(H59,Wh_hp,'2019'!Maxi_hp)</f>
        <v>31.770566290205203</v>
      </c>
      <c r="J59" s="85">
        <f>IF(H59,An,'2019'!An_max)</f>
        <v>2019</v>
      </c>
      <c r="K59" s="199">
        <f t="shared" si="19"/>
        <v>43875</v>
      </c>
      <c r="L59" s="147">
        <f>IF(t&lt;Tvie,1-EXP((T0-t)*PertePVj)+'2019'!Pspv,1-EXP((T0-t)*PertePVj)+Pspv)</f>
        <v>1.2993558482855661E-2</v>
      </c>
      <c r="M59" s="870"/>
      <c r="N59" s="870"/>
      <c r="O59" s="48">
        <f>IF(t&lt;Tnet,'2019'!Resal+('2019'!Salim-'2019'!Resal)*(1-EXP(('2019'!Tnet-t)/('2019'!Tau_j))),Resal+(Salim-Resal)*(1-EXP((Tnet-t)/(Tau_j))))*Salcycl</f>
        <v>9.6560456831030719E-2</v>
      </c>
      <c r="P59" s="171">
        <f>(INDEX(Models!$BJ59:$BT59,,T59)*(1-R59)+INDEX(Models!$BJ59:$BT59,,T59+1)*R59-ERP_i)*Q59*Ramure*Pc/MaxiM</f>
        <v>8.2533872685021017E-3</v>
      </c>
      <c r="Q59" s="307">
        <f t="shared" si="2"/>
        <v>1</v>
      </c>
      <c r="R59" s="179">
        <f t="shared" si="3"/>
        <v>0.60471443087462262</v>
      </c>
      <c r="S59" s="837">
        <f t="shared" si="4"/>
        <v>-2</v>
      </c>
      <c r="T59" s="178">
        <f t="shared" si="5"/>
        <v>4</v>
      </c>
      <c r="U59" s="253">
        <f t="shared" si="20"/>
        <v>-1.3952855691253774</v>
      </c>
      <c r="V59" s="385">
        <f t="shared" si="6"/>
        <v>27.881084233505739</v>
      </c>
      <c r="W59" s="404"/>
      <c r="X59" s="157">
        <f t="shared" si="7"/>
        <v>43875</v>
      </c>
      <c r="Y59" s="387">
        <f t="shared" si="8"/>
        <v>21.663</v>
      </c>
      <c r="Z59" s="387">
        <f t="shared" si="9"/>
        <v>21.948185025724285</v>
      </c>
      <c r="AA59" s="388">
        <f t="shared" si="10"/>
        <v>24.294027410774227</v>
      </c>
      <c r="AB59" s="199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9.6560456831030719E-2</v>
      </c>
      <c r="AD59" s="233">
        <f>(INDEX(Models!$BJ59:$BT59,,AH59)*(1-AF59)+INDEX(Models!$BJ59:$BT59,,AH59+1)*AF59-ERP_i)*AE59*Ramure*Pc/MaxiM</f>
        <v>8.2533872685021017E-3</v>
      </c>
      <c r="AE59" s="307">
        <f t="shared" si="12"/>
        <v>1</v>
      </c>
      <c r="AF59" s="179">
        <f t="shared" si="21"/>
        <v>0.60471443087462262</v>
      </c>
      <c r="AG59" s="837">
        <f t="shared" si="22"/>
        <v>-2</v>
      </c>
      <c r="AH59" s="178">
        <f t="shared" si="13"/>
        <v>4</v>
      </c>
      <c r="AI59" s="227">
        <f t="shared" si="23"/>
        <v>-1.3952855691253774</v>
      </c>
      <c r="AJ59" s="267" t="b">
        <f t="shared" si="14"/>
        <v>0</v>
      </c>
      <c r="AK59" s="267" t="b">
        <f t="shared" si="15"/>
        <v>0</v>
      </c>
      <c r="AL59" s="267"/>
      <c r="AM59" s="267"/>
      <c r="AN59" s="75"/>
    </row>
    <row r="60" spans="1:40" s="6" customFormat="1" ht="11.25" x14ac:dyDescent="0.2">
      <c r="A60" s="56">
        <f t="shared" si="16"/>
        <v>43876</v>
      </c>
      <c r="B60" s="618">
        <v>28.164000000000001</v>
      </c>
      <c r="C60" s="392"/>
      <c r="D60" s="395">
        <f t="shared" si="0"/>
        <v>28.535432240326077</v>
      </c>
      <c r="E60" s="387">
        <f t="shared" si="17"/>
        <v>31.589591311571258</v>
      </c>
      <c r="F60" s="387">
        <f t="shared" si="1"/>
        <v>31.83224025574135</v>
      </c>
      <c r="G60" s="110">
        <f t="shared" si="18"/>
        <v>0.99745310317216851</v>
      </c>
      <c r="H60" s="414" t="b">
        <f>Wh_hp&gt;='2019'!Maxi_hp</f>
        <v>0</v>
      </c>
      <c r="I60" s="382">
        <f>IF(H60,Wh_hp,'2019'!Maxi_hp)</f>
        <v>31.929826724148288</v>
      </c>
      <c r="J60" s="85">
        <f>IF(H60,An,'2019'!An_max)</f>
        <v>2019</v>
      </c>
      <c r="K60" s="199">
        <f t="shared" si="19"/>
        <v>43876</v>
      </c>
      <c r="L60" s="147">
        <f>IF(t&lt;Tvie,1-EXP((T0-t)*PertePVj)+'2019'!Pspv,1-EXP((T0-t)*PertePVj)+Pspv)</f>
        <v>1.3016527564673419E-2</v>
      </c>
      <c r="M60" s="870"/>
      <c r="N60" s="870"/>
      <c r="O60" s="48">
        <f>IF(t&lt;Tnet,'2019'!Resal+('2019'!Salim-'2019'!Resal)*(1-EXP(('2019'!Tnet-t)/('2019'!Tau_j))),Resal+(Salim-Resal)*(1-EXP((Tnet-t)/(Tau_j))))*Salcycl</f>
        <v>9.6682449643672438E-2</v>
      </c>
      <c r="P60" s="171">
        <f>(INDEX(Models!$BJ60:$BT60,,T60)*(1-R60)+INDEX(Models!$BJ60:$BT60,,T60+1)*R60-ERP_i)*Q60*Ramure*Pc/MaxiM</f>
        <v>7.650274159956125E-3</v>
      </c>
      <c r="Q60" s="307">
        <f t="shared" si="2"/>
        <v>1</v>
      </c>
      <c r="R60" s="179">
        <f t="shared" si="3"/>
        <v>0.60496032822748513</v>
      </c>
      <c r="S60" s="837">
        <f t="shared" si="4"/>
        <v>-2</v>
      </c>
      <c r="T60" s="178">
        <f t="shared" si="5"/>
        <v>4</v>
      </c>
      <c r="U60" s="253">
        <f t="shared" si="20"/>
        <v>-1.3950396717725149</v>
      </c>
      <c r="V60" s="385">
        <f t="shared" si="6"/>
        <v>28.235130583132086</v>
      </c>
      <c r="W60" s="404"/>
      <c r="X60" s="157">
        <f t="shared" si="7"/>
        <v>43876</v>
      </c>
      <c r="Y60" s="387">
        <f t="shared" si="8"/>
        <v>28.164000000000001</v>
      </c>
      <c r="Z60" s="387">
        <f t="shared" si="9"/>
        <v>28.535432240326077</v>
      </c>
      <c r="AA60" s="388">
        <f t="shared" si="10"/>
        <v>31.589591311571258</v>
      </c>
      <c r="AB60" s="199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9.6682449643672438E-2</v>
      </c>
      <c r="AD60" s="233">
        <f>(INDEX(Models!$BJ60:$BT60,,AH60)*(1-AF60)+INDEX(Models!$BJ60:$BT60,,AH60+1)*AF60-ERP_i)*AE60*Ramure*Pc/MaxiM</f>
        <v>7.650274159956125E-3</v>
      </c>
      <c r="AE60" s="307">
        <f t="shared" si="12"/>
        <v>1</v>
      </c>
      <c r="AF60" s="179">
        <f t="shared" si="21"/>
        <v>0.60496032822748513</v>
      </c>
      <c r="AG60" s="837">
        <f t="shared" si="22"/>
        <v>-2</v>
      </c>
      <c r="AH60" s="178">
        <f t="shared" si="13"/>
        <v>4</v>
      </c>
      <c r="AI60" s="227">
        <f t="shared" si="23"/>
        <v>-1.3950396717725149</v>
      </c>
      <c r="AJ60" s="267" t="b">
        <f t="shared" si="14"/>
        <v>0</v>
      </c>
      <c r="AK60" s="267" t="b">
        <f t="shared" si="15"/>
        <v>0</v>
      </c>
      <c r="AL60" s="267"/>
      <c r="AM60" s="267"/>
      <c r="AN60" s="75"/>
    </row>
    <row r="61" spans="1:40" s="6" customFormat="1" ht="11.25" customHeight="1" x14ac:dyDescent="0.2">
      <c r="A61" s="56">
        <f t="shared" si="16"/>
        <v>43877</v>
      </c>
      <c r="B61" s="618">
        <v>19.600000000000001</v>
      </c>
      <c r="C61" s="392"/>
      <c r="D61" s="395">
        <f t="shared" si="0"/>
        <v>19.858950710578331</v>
      </c>
      <c r="E61" s="387">
        <f t="shared" si="17"/>
        <v>21.987424630859334</v>
      </c>
      <c r="F61" s="387">
        <f t="shared" si="1"/>
        <v>22.073692937388021</v>
      </c>
      <c r="G61" s="110">
        <f t="shared" si="18"/>
        <v>0.68331537468164127</v>
      </c>
      <c r="H61" s="414" t="b">
        <f>Wh_hp&gt;='2019'!Maxi_hp</f>
        <v>0</v>
      </c>
      <c r="I61" s="382">
        <f>IF(H61,Wh_hp,'2019'!Maxi_hp)</f>
        <v>32.591538912686424</v>
      </c>
      <c r="J61" s="85">
        <f>IF(H61,An,'2019'!An_max)</f>
        <v>2019</v>
      </c>
      <c r="K61" s="199">
        <f t="shared" si="19"/>
        <v>43877</v>
      </c>
      <c r="L61" s="147">
        <f>IF(t&lt;Tvie,1-EXP((T0-t)*PertePVj)+'2019'!Pspv,1-EXP((T0-t)*PertePVj)+Pspv)</f>
        <v>1.3039496111966975E-2</v>
      </c>
      <c r="M61" s="870"/>
      <c r="N61" s="870"/>
      <c r="O61" s="48">
        <f>IF(t&lt;Tnet,'2019'!Resal+('2019'!Salim-'2019'!Resal)*(1-EXP(('2019'!Tnet-t)/('2019'!Tau_j))),Resal+(Salim-Resal)*(1-EXP((Tnet-t)/(Tau_j))))*Salcycl</f>
        <v>9.6804148553791575E-2</v>
      </c>
      <c r="P61" s="171">
        <f>(INDEX(Models!$BJ61:$BT61,,T61)*(1-R61)+INDEX(Models!$BJ61:$BT61,,T61+1)*R61-ERP_i)*Q61*Ramure*Pc/MaxiM</f>
        <v>7.0964185637405362E-3</v>
      </c>
      <c r="Q61" s="307">
        <f t="shared" si="2"/>
        <v>1</v>
      </c>
      <c r="R61" s="179">
        <f t="shared" si="3"/>
        <v>0.60521635651158845</v>
      </c>
      <c r="S61" s="837">
        <f t="shared" si="4"/>
        <v>-2</v>
      </c>
      <c r="T61" s="178">
        <f t="shared" si="5"/>
        <v>4</v>
      </c>
      <c r="U61" s="253">
        <f t="shared" si="20"/>
        <v>-1.3947836434884116</v>
      </c>
      <c r="V61" s="385">
        <f t="shared" si="6"/>
        <v>28.591871883708734</v>
      </c>
      <c r="W61" s="404"/>
      <c r="X61" s="157">
        <f t="shared" si="7"/>
        <v>43877</v>
      </c>
      <c r="Y61" s="387">
        <f t="shared" si="8"/>
        <v>19.600000000000001</v>
      </c>
      <c r="Z61" s="387">
        <f t="shared" si="9"/>
        <v>19.858950710578331</v>
      </c>
      <c r="AA61" s="388">
        <f t="shared" si="10"/>
        <v>21.987424630859334</v>
      </c>
      <c r="AB61" s="199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9.6804148553791575E-2</v>
      </c>
      <c r="AD61" s="233">
        <f>(INDEX(Models!$BJ61:$BT61,,AH61)*(1-AF61)+INDEX(Models!$BJ61:$BT61,,AH61+1)*AF61-ERP_i)*AE61*Ramure*Pc/MaxiM</f>
        <v>7.0964185637405362E-3</v>
      </c>
      <c r="AE61" s="307">
        <f t="shared" si="12"/>
        <v>1</v>
      </c>
      <c r="AF61" s="179">
        <f t="shared" si="21"/>
        <v>0.60521635651158845</v>
      </c>
      <c r="AG61" s="837">
        <f t="shared" si="22"/>
        <v>-2</v>
      </c>
      <c r="AH61" s="178">
        <f t="shared" si="13"/>
        <v>4</v>
      </c>
      <c r="AI61" s="227">
        <f t="shared" si="23"/>
        <v>-1.3947836434884116</v>
      </c>
      <c r="AJ61" s="267" t="b">
        <f t="shared" si="14"/>
        <v>0</v>
      </c>
      <c r="AK61" s="267" t="b">
        <f t="shared" si="15"/>
        <v>0</v>
      </c>
      <c r="AL61" s="267"/>
      <c r="AM61" s="267"/>
      <c r="AN61" s="75"/>
    </row>
    <row r="62" spans="1:40" s="6" customFormat="1" ht="11.25" x14ac:dyDescent="0.2">
      <c r="A62" s="56">
        <f t="shared" si="16"/>
        <v>43878</v>
      </c>
      <c r="B62" s="618">
        <v>5.57</v>
      </c>
      <c r="C62" s="392"/>
      <c r="D62" s="395">
        <f t="shared" si="0"/>
        <v>5.6437209018099894</v>
      </c>
      <c r="E62" s="387">
        <f t="shared" si="17"/>
        <v>6.2494524265723994</v>
      </c>
      <c r="F62" s="387">
        <f t="shared" si="1"/>
        <v>6.2494524265723994</v>
      </c>
      <c r="G62" s="110">
        <f t="shared" si="18"/>
        <v>0.19112342310924829</v>
      </c>
      <c r="H62" s="414" t="b">
        <f>Wh_hp&gt;='2019'!Maxi_hp</f>
        <v>0</v>
      </c>
      <c r="I62" s="382">
        <f>IF(H62,Wh_hp,'2019'!Maxi_hp)</f>
        <v>33.211013673025583</v>
      </c>
      <c r="J62" s="85">
        <f>IF(H62,An,'2019'!An_max)</f>
        <v>2019</v>
      </c>
      <c r="K62" s="199">
        <f t="shared" si="19"/>
        <v>43878</v>
      </c>
      <c r="L62" s="147">
        <f>IF(t&lt;Tvie,1-EXP((T0-t)*PertePVj)+'2019'!Pspv,1-EXP((T0-t)*PertePVj)+Pspv)</f>
        <v>1.3062464124748985E-2</v>
      </c>
      <c r="M62" s="870"/>
      <c r="N62" s="870"/>
      <c r="O62" s="48">
        <f>IF(t&lt;Tnet,'2019'!Resal+('2019'!Salim-'2019'!Resal)*(1-EXP(('2019'!Tnet-t)/('2019'!Tau_j))),Resal+(Salim-Resal)*(1-EXP((Tnet-t)/(Tau_j))))*Salcycl</f>
        <v>9.6925535777641181E-2</v>
      </c>
      <c r="P62" s="171">
        <f>(INDEX(Models!$BJ62:$BT62,,T62)*(1-R62)+INDEX(Models!$BJ62:$BT62,,T62+1)*R62-ERP_i)*Q62*Ramure*Pc/MaxiM</f>
        <v>6.5902485881080041E-3</v>
      </c>
      <c r="Q62" s="307">
        <f t="shared" si="2"/>
        <v>1</v>
      </c>
      <c r="R62" s="179">
        <f t="shared" si="3"/>
        <v>0.60548292511760748</v>
      </c>
      <c r="S62" s="837">
        <f t="shared" si="4"/>
        <v>-2</v>
      </c>
      <c r="T62" s="178">
        <f t="shared" si="5"/>
        <v>4</v>
      </c>
      <c r="U62" s="253">
        <f t="shared" si="20"/>
        <v>-1.3945170748823925</v>
      </c>
      <c r="V62" s="385">
        <f t="shared" si="6"/>
        <v>28.951408599464798</v>
      </c>
      <c r="W62" s="404"/>
      <c r="X62" s="157">
        <f t="shared" si="7"/>
        <v>43878</v>
      </c>
      <c r="Y62" s="387">
        <f t="shared" si="8"/>
        <v>5.57</v>
      </c>
      <c r="Z62" s="387">
        <f t="shared" si="9"/>
        <v>5.6437209018099894</v>
      </c>
      <c r="AA62" s="388">
        <f t="shared" si="10"/>
        <v>6.2494524265723994</v>
      </c>
      <c r="AB62" s="199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9.6925535777641181E-2</v>
      </c>
      <c r="AD62" s="233">
        <f>(INDEX(Models!$BJ62:$BT62,,AH62)*(1-AF62)+INDEX(Models!$BJ62:$BT62,,AH62+1)*AF62-ERP_i)*AE62*Ramure*Pc/MaxiM</f>
        <v>6.5902485881080041E-3</v>
      </c>
      <c r="AE62" s="307">
        <f t="shared" si="12"/>
        <v>1</v>
      </c>
      <c r="AF62" s="179">
        <f t="shared" si="21"/>
        <v>0.60548292511760748</v>
      </c>
      <c r="AG62" s="837">
        <f t="shared" si="22"/>
        <v>-2</v>
      </c>
      <c r="AH62" s="178">
        <f t="shared" si="13"/>
        <v>4</v>
      </c>
      <c r="AI62" s="227">
        <f t="shared" si="23"/>
        <v>-1.3945170748823925</v>
      </c>
      <c r="AJ62" s="267" t="b">
        <f t="shared" si="14"/>
        <v>0</v>
      </c>
      <c r="AK62" s="267" t="b">
        <f t="shared" si="15"/>
        <v>0</v>
      </c>
      <c r="AL62" s="267"/>
      <c r="AM62" s="267"/>
      <c r="AN62" s="75"/>
    </row>
    <row r="63" spans="1:40" s="6" customFormat="1" ht="11.25" customHeight="1" x14ac:dyDescent="0.2">
      <c r="A63" s="56">
        <f t="shared" si="16"/>
        <v>43879</v>
      </c>
      <c r="B63" s="618">
        <v>24.835000000000001</v>
      </c>
      <c r="C63" s="392"/>
      <c r="D63" s="395">
        <f t="shared" si="0"/>
        <v>25.164285537236672</v>
      </c>
      <c r="E63" s="387">
        <f t="shared" si="17"/>
        <v>27.868863882145096</v>
      </c>
      <c r="F63" s="387">
        <f t="shared" si="1"/>
        <v>28.003059781438004</v>
      </c>
      <c r="G63" s="110">
        <f t="shared" si="18"/>
        <v>0.8460716369226593</v>
      </c>
      <c r="H63" s="414" t="b">
        <f>Wh_hp&gt;='2019'!Maxi_hp</f>
        <v>0</v>
      </c>
      <c r="I63" s="382">
        <f>IF(H63,Wh_hp,'2019'!Maxi_hp)</f>
        <v>33.126742104724151</v>
      </c>
      <c r="J63" s="85">
        <f>IF(H63,An,'2019'!An_max)</f>
        <v>2019</v>
      </c>
      <c r="K63" s="199">
        <f t="shared" si="19"/>
        <v>43879</v>
      </c>
      <c r="L63" s="147">
        <f>IF(t&lt;Tvie,1-EXP((T0-t)*PertePVj)+'2019'!Pspv,1-EXP((T0-t)*PertePVj)+Pspv)</f>
        <v>1.3085431603031772E-2</v>
      </c>
      <c r="M63" s="870"/>
      <c r="N63" s="870"/>
      <c r="O63" s="48">
        <f>IF(t&lt;Tnet,'2019'!Resal+('2019'!Salim-'2019'!Resal)*(1-EXP(('2019'!Tnet-t)/('2019'!Tau_j))),Resal+(Salim-Resal)*(1-EXP((Tnet-t)/(Tau_j))))*Salcycl</f>
        <v>9.7046594950760845E-2</v>
      </c>
      <c r="P63" s="171">
        <f>(INDEX(Models!$BJ63:$BT63,,T63)*(1-R63)+INDEX(Models!$BJ63:$BT63,,T63+1)*R63-ERP_i)*Q63*Ramure*Pc/MaxiM</f>
        <v>6.1302362587707313E-3</v>
      </c>
      <c r="Q63" s="307">
        <f t="shared" si="2"/>
        <v>1</v>
      </c>
      <c r="R63" s="179">
        <f t="shared" si="3"/>
        <v>0.60576045930145495</v>
      </c>
      <c r="S63" s="837">
        <f t="shared" si="4"/>
        <v>-2</v>
      </c>
      <c r="T63" s="178">
        <f t="shared" si="5"/>
        <v>4</v>
      </c>
      <c r="U63" s="253">
        <f t="shared" si="20"/>
        <v>-1.3942395406985451</v>
      </c>
      <c r="V63" s="385">
        <f t="shared" si="6"/>
        <v>29.313841111288671</v>
      </c>
      <c r="W63" s="404"/>
      <c r="X63" s="157">
        <f t="shared" si="7"/>
        <v>43879</v>
      </c>
      <c r="Y63" s="387">
        <f t="shared" si="8"/>
        <v>24.835000000000001</v>
      </c>
      <c r="Z63" s="387">
        <f t="shared" si="9"/>
        <v>25.164285537236672</v>
      </c>
      <c r="AA63" s="388">
        <f t="shared" si="10"/>
        <v>27.868863882145096</v>
      </c>
      <c r="AB63" s="199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9.7046594950760845E-2</v>
      </c>
      <c r="AD63" s="233">
        <f>(INDEX(Models!$BJ63:$BT63,,AH63)*(1-AF63)+INDEX(Models!$BJ63:$BT63,,AH63+1)*AF63-ERP_i)*AE63*Ramure*Pc/MaxiM</f>
        <v>6.1302362587707313E-3</v>
      </c>
      <c r="AE63" s="307">
        <f t="shared" si="12"/>
        <v>1</v>
      </c>
      <c r="AF63" s="179">
        <f t="shared" si="21"/>
        <v>0.60576045930145495</v>
      </c>
      <c r="AG63" s="837">
        <f t="shared" si="22"/>
        <v>-2</v>
      </c>
      <c r="AH63" s="178">
        <f t="shared" si="13"/>
        <v>4</v>
      </c>
      <c r="AI63" s="227">
        <f t="shared" si="23"/>
        <v>-1.3942395406985451</v>
      </c>
      <c r="AJ63" s="267" t="b">
        <f t="shared" si="14"/>
        <v>0</v>
      </c>
      <c r="AK63" s="267" t="b">
        <f t="shared" si="15"/>
        <v>0</v>
      </c>
      <c r="AL63" s="267"/>
      <c r="AM63" s="267"/>
      <c r="AN63" s="75"/>
    </row>
    <row r="64" spans="1:40" s="6" customFormat="1" ht="11.25" x14ac:dyDescent="0.2">
      <c r="A64" s="56">
        <f t="shared" si="16"/>
        <v>43880</v>
      </c>
      <c r="B64" s="618">
        <v>23.946000000000002</v>
      </c>
      <c r="C64" s="392"/>
      <c r="D64" s="395">
        <f t="shared" si="0"/>
        <v>24.264063008277848</v>
      </c>
      <c r="E64" s="387">
        <f t="shared" si="17"/>
        <v>26.875481266253729</v>
      </c>
      <c r="F64" s="387">
        <f t="shared" si="1"/>
        <v>26.987148557595052</v>
      </c>
      <c r="G64" s="110">
        <f t="shared" si="18"/>
        <v>0.80554805016428443</v>
      </c>
      <c r="H64" s="414" t="b">
        <f>Wh_hp&gt;='2019'!Maxi_hp</f>
        <v>1</v>
      </c>
      <c r="I64" s="382">
        <f>IF(H64,Wh_hp,'2019'!Maxi_hp)</f>
        <v>26.987148557595052</v>
      </c>
      <c r="J64" s="85">
        <f>IF(H64,An,'2019'!An_max)</f>
        <v>2020</v>
      </c>
      <c r="K64" s="199">
        <f t="shared" si="19"/>
        <v>43880</v>
      </c>
      <c r="L64" s="147">
        <f>IF(t&lt;Tvie,1-EXP((T0-t)*PertePVj)+'2019'!Pspv,1-EXP((T0-t)*PertePVj)+Pspv)</f>
        <v>1.3108398546827771E-2</v>
      </c>
      <c r="M64" s="870"/>
      <c r="N64" s="870"/>
      <c r="O64" s="48">
        <f>IF(t&lt;Tnet,'2019'!Resal+('2019'!Salim-'2019'!Resal)*(1-EXP(('2019'!Tnet-t)/('2019'!Tau_j))),Resal+(Salim-Resal)*(1-EXP((Tnet-t)/(Tau_j))))*Salcycl</f>
        <v>9.7167311428015879E-2</v>
      </c>
      <c r="P64" s="171">
        <f>(INDEX(Models!$BJ64:$BT64,,T64)*(1-R64)+INDEX(Models!$BJ64:$BT64,,T64+1)*R64-ERP_i)*Q64*Ramure*Pc/MaxiM</f>
        <v>5.7148958792526726E-3</v>
      </c>
      <c r="Q64" s="307">
        <f t="shared" si="2"/>
        <v>1</v>
      </c>
      <c r="R64" s="179">
        <f t="shared" si="3"/>
        <v>0.60604940074138747</v>
      </c>
      <c r="S64" s="837">
        <f t="shared" si="4"/>
        <v>-2</v>
      </c>
      <c r="T64" s="178">
        <f t="shared" si="5"/>
        <v>4</v>
      </c>
      <c r="U64" s="253">
        <f t="shared" si="20"/>
        <v>-1.3939505992586125</v>
      </c>
      <c r="V64" s="385">
        <f t="shared" si="6"/>
        <v>29.67926969215991</v>
      </c>
      <c r="W64" s="404"/>
      <c r="X64" s="157">
        <f t="shared" si="7"/>
        <v>43880</v>
      </c>
      <c r="Y64" s="387">
        <f t="shared" si="8"/>
        <v>23.946000000000002</v>
      </c>
      <c r="Z64" s="387">
        <f t="shared" si="9"/>
        <v>24.264063008277848</v>
      </c>
      <c r="AA64" s="388">
        <f t="shared" si="10"/>
        <v>26.875481266253729</v>
      </c>
      <c r="AB64" s="199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9.7167311428015879E-2</v>
      </c>
      <c r="AD64" s="233">
        <f>(INDEX(Models!$BJ64:$BT64,,AH64)*(1-AF64)+INDEX(Models!$BJ64:$BT64,,AH64+1)*AF64-ERP_i)*AE64*Ramure*Pc/MaxiM</f>
        <v>5.7148958792526726E-3</v>
      </c>
      <c r="AE64" s="307">
        <f t="shared" si="12"/>
        <v>1</v>
      </c>
      <c r="AF64" s="179">
        <f t="shared" si="21"/>
        <v>0.60604940074138747</v>
      </c>
      <c r="AG64" s="837">
        <f t="shared" si="22"/>
        <v>-2</v>
      </c>
      <c r="AH64" s="178">
        <f t="shared" si="13"/>
        <v>4</v>
      </c>
      <c r="AI64" s="227">
        <f t="shared" si="23"/>
        <v>-1.3939505992586125</v>
      </c>
      <c r="AJ64" s="267" t="b">
        <f t="shared" si="14"/>
        <v>0</v>
      </c>
      <c r="AK64" s="267" t="b">
        <f t="shared" si="15"/>
        <v>0</v>
      </c>
      <c r="AL64" s="267"/>
      <c r="AM64" s="267"/>
      <c r="AN64" s="75"/>
    </row>
    <row r="65" spans="1:40" s="6" customFormat="1" ht="11.25" customHeight="1" x14ac:dyDescent="0.2">
      <c r="A65" s="56">
        <f t="shared" si="16"/>
        <v>43881</v>
      </c>
      <c r="B65" s="618">
        <v>29.771000000000001</v>
      </c>
      <c r="C65" s="392"/>
      <c r="D65" s="395">
        <f t="shared" si="0"/>
        <v>30.16713566814002</v>
      </c>
      <c r="E65" s="387">
        <f t="shared" si="17"/>
        <v>33.418326915049754</v>
      </c>
      <c r="F65" s="387">
        <f t="shared" si="1"/>
        <v>33.595449120875671</v>
      </c>
      <c r="G65" s="110">
        <f t="shared" si="18"/>
        <v>0.99069753186336784</v>
      </c>
      <c r="H65" s="414" t="b">
        <f>Wh_hp&gt;='2019'!Maxi_hp</f>
        <v>1</v>
      </c>
      <c r="I65" s="382">
        <f>IF(H65,Wh_hp,'2019'!Maxi_hp)</f>
        <v>33.595449120875671</v>
      </c>
      <c r="J65" s="85">
        <f>IF(H65,An,'2019'!An_max)</f>
        <v>2020</v>
      </c>
      <c r="K65" s="199">
        <f t="shared" si="19"/>
        <v>43881</v>
      </c>
      <c r="L65" s="147">
        <f>IF(t&lt;Tvie,1-EXP((T0-t)*PertePVj)+'2019'!Pspv,1-EXP((T0-t)*PertePVj)+Pspv)</f>
        <v>1.3131364956149416E-2</v>
      </c>
      <c r="M65" s="870"/>
      <c r="N65" s="870"/>
      <c r="O65" s="48">
        <f>IF(t&lt;Tnet,'2019'!Resal+('2019'!Salim-'2019'!Resal)*(1-EXP(('2019'!Tnet-t)/('2019'!Tau_j))),Resal+(Salim-Resal)*(1-EXP((Tnet-t)/(Tau_j))))*Salcycl</f>
        <v>9.728767257482239E-2</v>
      </c>
      <c r="P65" s="171">
        <f>(INDEX(Models!$BJ65:$BT65,,T65)*(1-R65)+INDEX(Models!$BJ65:$BT65,,T65+1)*R65-ERP_i)*Q65*Ramure*Pc/MaxiM</f>
        <v>5.3426726939297137E-3</v>
      </c>
      <c r="Q65" s="307">
        <f t="shared" si="2"/>
        <v>1</v>
      </c>
      <c r="R65" s="179">
        <f t="shared" si="3"/>
        <v>0.60635020810966189</v>
      </c>
      <c r="S65" s="837">
        <f t="shared" si="4"/>
        <v>-2</v>
      </c>
      <c r="T65" s="178">
        <f t="shared" si="5"/>
        <v>4</v>
      </c>
      <c r="U65" s="253">
        <f t="shared" si="20"/>
        <v>-1.3936497918903381</v>
      </c>
      <c r="V65" s="385">
        <f t="shared" si="6"/>
        <v>30.048415513882599</v>
      </c>
      <c r="W65" s="404"/>
      <c r="X65" s="157">
        <f t="shared" si="7"/>
        <v>43881</v>
      </c>
      <c r="Y65" s="387">
        <f t="shared" si="8"/>
        <v>29.771000000000001</v>
      </c>
      <c r="Z65" s="387">
        <f t="shared" si="9"/>
        <v>30.16713566814002</v>
      </c>
      <c r="AA65" s="388">
        <f t="shared" si="10"/>
        <v>33.418326915049754</v>
      </c>
      <c r="AB65" s="199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9.728767257482239E-2</v>
      </c>
      <c r="AD65" s="233">
        <f>(INDEX(Models!$BJ65:$BT65,,AH65)*(1-AF65)+INDEX(Models!$BJ65:$BT65,,AH65+1)*AF65-ERP_i)*AE65*Ramure*Pc/MaxiM</f>
        <v>5.3426726939297137E-3</v>
      </c>
      <c r="AE65" s="307">
        <f t="shared" si="12"/>
        <v>1</v>
      </c>
      <c r="AF65" s="179">
        <f t="shared" si="21"/>
        <v>0.60635020810966189</v>
      </c>
      <c r="AG65" s="837">
        <f t="shared" si="22"/>
        <v>-2</v>
      </c>
      <c r="AH65" s="178">
        <f t="shared" si="13"/>
        <v>4</v>
      </c>
      <c r="AI65" s="227">
        <f t="shared" si="23"/>
        <v>-1.3936497918903381</v>
      </c>
      <c r="AJ65" s="267" t="b">
        <f t="shared" si="14"/>
        <v>0</v>
      </c>
      <c r="AK65" s="267" t="b">
        <f t="shared" si="15"/>
        <v>0</v>
      </c>
      <c r="AL65" s="267"/>
      <c r="AM65" s="267"/>
      <c r="AN65" s="75"/>
    </row>
    <row r="66" spans="1:40" s="6" customFormat="1" ht="11.25" customHeight="1" x14ac:dyDescent="0.2">
      <c r="A66" s="56">
        <f t="shared" si="16"/>
        <v>43882</v>
      </c>
      <c r="B66" s="618">
        <v>14.137</v>
      </c>
      <c r="C66" s="392"/>
      <c r="D66" s="395">
        <f t="shared" si="0"/>
        <v>14.325441598081465</v>
      </c>
      <c r="E66" s="387">
        <f t="shared" si="17"/>
        <v>15.871441725059665</v>
      </c>
      <c r="F66" s="387">
        <f t="shared" si="1"/>
        <v>15.890228640131083</v>
      </c>
      <c r="G66" s="110">
        <f t="shared" si="18"/>
        <v>0.46291989807521428</v>
      </c>
      <c r="H66" s="414" t="b">
        <f>Wh_hp&gt;='2019'!Maxi_hp</f>
        <v>0</v>
      </c>
      <c r="I66" s="382">
        <f>IF(H66,Wh_hp,'2019'!Maxi_hp)</f>
        <v>33.354248852750764</v>
      </c>
      <c r="J66" s="85">
        <f>IF(H66,An,'2019'!An_max)</f>
        <v>2019</v>
      </c>
      <c r="K66" s="199">
        <f t="shared" si="19"/>
        <v>43882</v>
      </c>
      <c r="L66" s="147">
        <f>IF(t&lt;Tvie,1-EXP((T0-t)*PertePVj)+'2019'!Pspv,1-EXP((T0-t)*PertePVj)+Pspv)</f>
        <v>1.3154330831009142E-2</v>
      </c>
      <c r="M66" s="870"/>
      <c r="N66" s="870"/>
      <c r="O66" s="48">
        <f>IF(t&lt;Tnet,'2019'!Resal+('2019'!Salim-'2019'!Resal)*(1-EXP(('2019'!Tnet-t)/('2019'!Tau_j))),Resal+(Salim-Resal)*(1-EXP((Tnet-t)/(Tau_j))))*Salcycl</f>
        <v>9.7407668046765802E-2</v>
      </c>
      <c r="P66" s="171">
        <f>(INDEX(Models!$BJ66:$BT66,,T66)*(1-R66)+INDEX(Models!$BJ66:$BT66,,T66+1)*R66-ERP_i)*Q66*Ramure*Pc/MaxiM</f>
        <v>5.0246951028499092E-3</v>
      </c>
      <c r="Q66" s="307">
        <f t="shared" si="2"/>
        <v>1</v>
      </c>
      <c r="R66" s="179">
        <f t="shared" si="3"/>
        <v>0.6066633576586633</v>
      </c>
      <c r="S66" s="837">
        <f t="shared" si="4"/>
        <v>-2</v>
      </c>
      <c r="T66" s="178">
        <f t="shared" si="5"/>
        <v>4</v>
      </c>
      <c r="U66" s="253">
        <f t="shared" si="20"/>
        <v>-1.3933366423413367</v>
      </c>
      <c r="V66" s="385">
        <f t="shared" si="6"/>
        <v>30.421279642061808</v>
      </c>
      <c r="W66" s="404"/>
      <c r="X66" s="157">
        <f t="shared" si="7"/>
        <v>43882</v>
      </c>
      <c r="Y66" s="387">
        <f t="shared" si="8"/>
        <v>14.137</v>
      </c>
      <c r="Z66" s="387">
        <f t="shared" si="9"/>
        <v>14.325441598081465</v>
      </c>
      <c r="AA66" s="388">
        <f t="shared" si="10"/>
        <v>15.871441725059665</v>
      </c>
      <c r="AB66" s="199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9.7407668046765802E-2</v>
      </c>
      <c r="AD66" s="233">
        <f>(INDEX(Models!$BJ66:$BT66,,AH66)*(1-AF66)+INDEX(Models!$BJ66:$BT66,,AH66+1)*AF66-ERP_i)*AE66*Ramure*Pc/MaxiM</f>
        <v>5.0246951028499092E-3</v>
      </c>
      <c r="AE66" s="307">
        <f t="shared" si="12"/>
        <v>1</v>
      </c>
      <c r="AF66" s="179">
        <f t="shared" si="21"/>
        <v>0.6066633576586633</v>
      </c>
      <c r="AG66" s="837">
        <f t="shared" si="22"/>
        <v>-2</v>
      </c>
      <c r="AH66" s="178">
        <f t="shared" si="13"/>
        <v>4</v>
      </c>
      <c r="AI66" s="227">
        <f t="shared" si="23"/>
        <v>-1.3933366423413367</v>
      </c>
      <c r="AJ66" s="267" t="b">
        <f t="shared" si="14"/>
        <v>0</v>
      </c>
      <c r="AK66" s="267" t="b">
        <f t="shared" si="15"/>
        <v>0</v>
      </c>
      <c r="AL66" s="267"/>
      <c r="AM66" s="267"/>
      <c r="AN66" s="75"/>
    </row>
    <row r="67" spans="1:40" s="6" customFormat="1" ht="11.25" customHeight="1" x14ac:dyDescent="0.2">
      <c r="A67" s="56">
        <f t="shared" si="16"/>
        <v>43883</v>
      </c>
      <c r="B67" s="618">
        <v>29.655999999999999</v>
      </c>
      <c r="C67" s="392"/>
      <c r="D67" s="395">
        <f t="shared" si="0"/>
        <v>30.052004159352514</v>
      </c>
      <c r="E67" s="387">
        <f t="shared" si="17"/>
        <v>33.299626490848546</v>
      </c>
      <c r="F67" s="387">
        <f t="shared" si="1"/>
        <v>33.45014285747294</v>
      </c>
      <c r="G67" s="110">
        <f t="shared" si="18"/>
        <v>0.96268557668794319</v>
      </c>
      <c r="H67" s="414" t="b">
        <f>Wh_hp&gt;='2019'!Maxi_hp</f>
        <v>1</v>
      </c>
      <c r="I67" s="382">
        <f>IF(H67,Wh_hp,'2019'!Maxi_hp)</f>
        <v>33.45014285747294</v>
      </c>
      <c r="J67" s="85">
        <f>IF(H67,An,'2019'!An_max)</f>
        <v>2020</v>
      </c>
      <c r="K67" s="199">
        <f t="shared" si="19"/>
        <v>43883</v>
      </c>
      <c r="L67" s="147">
        <f>IF(t&lt;Tvie,1-EXP((T0-t)*PertePVj)+'2019'!Pspv,1-EXP((T0-t)*PertePVj)+Pspv)</f>
        <v>1.3177296171419384E-2</v>
      </c>
      <c r="M67" s="870"/>
      <c r="N67" s="870"/>
      <c r="O67" s="48">
        <f>IF(t&lt;Tnet,'2019'!Resal+('2019'!Salim-'2019'!Resal)*(1-EXP(('2019'!Tnet-t)/('2019'!Tau_j))),Resal+(Salim-Resal)*(1-EXP((Tnet-t)/(Tau_j))))*Salcycl</f>
        <v>9.7527290054996454E-2</v>
      </c>
      <c r="P67" s="171">
        <f>(INDEX(Models!$BJ67:$BT67,,T67)*(1-R67)+INDEX(Models!$BJ67:$BT67,,T67+1)*R67-ERP_i)*Q67*Ramure*Pc/MaxiM</f>
        <v>4.7513474718141489E-3</v>
      </c>
      <c r="Q67" s="307">
        <f t="shared" si="2"/>
        <v>1</v>
      </c>
      <c r="R67" s="179">
        <f t="shared" si="3"/>
        <v>0.60698934382136027</v>
      </c>
      <c r="S67" s="837">
        <f t="shared" si="4"/>
        <v>-2</v>
      </c>
      <c r="T67" s="178">
        <f t="shared" si="5"/>
        <v>4</v>
      </c>
      <c r="U67" s="253">
        <f t="shared" si="20"/>
        <v>-1.3930106561786397</v>
      </c>
      <c r="V67" s="385">
        <f t="shared" si="6"/>
        <v>30.797702597543577</v>
      </c>
      <c r="W67" s="404"/>
      <c r="X67" s="157">
        <f t="shared" si="7"/>
        <v>43883</v>
      </c>
      <c r="Y67" s="387">
        <f t="shared" si="8"/>
        <v>29.655999999999999</v>
      </c>
      <c r="Z67" s="387">
        <f t="shared" si="9"/>
        <v>30.052004159352514</v>
      </c>
      <c r="AA67" s="388">
        <f t="shared" si="10"/>
        <v>33.299626490848546</v>
      </c>
      <c r="AB67" s="199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9.7527290054996454E-2</v>
      </c>
      <c r="AD67" s="233">
        <f>(INDEX(Models!$BJ67:$BT67,,AH67)*(1-AF67)+INDEX(Models!$BJ67:$BT67,,AH67+1)*AF67-ERP_i)*AE67*Ramure*Pc/MaxiM</f>
        <v>4.7513474718141489E-3</v>
      </c>
      <c r="AE67" s="307">
        <f t="shared" si="12"/>
        <v>1</v>
      </c>
      <c r="AF67" s="179">
        <f t="shared" si="21"/>
        <v>0.60698934382136027</v>
      </c>
      <c r="AG67" s="837">
        <f t="shared" si="22"/>
        <v>-2</v>
      </c>
      <c r="AH67" s="178">
        <f t="shared" si="13"/>
        <v>4</v>
      </c>
      <c r="AI67" s="227">
        <f t="shared" si="23"/>
        <v>-1.3930106561786397</v>
      </c>
      <c r="AJ67" s="267" t="b">
        <f t="shared" si="14"/>
        <v>0</v>
      </c>
      <c r="AK67" s="267" t="b">
        <f t="shared" si="15"/>
        <v>0</v>
      </c>
      <c r="AL67" s="267"/>
      <c r="AM67" s="267"/>
      <c r="AN67" s="75"/>
    </row>
    <row r="68" spans="1:40" s="6" customFormat="1" ht="11.25" customHeight="1" x14ac:dyDescent="0.2">
      <c r="A68" s="56">
        <f t="shared" si="16"/>
        <v>43884</v>
      </c>
      <c r="B68" s="618">
        <v>30.271999999999998</v>
      </c>
      <c r="C68" s="392"/>
      <c r="D68" s="395">
        <f t="shared" si="0"/>
        <v>30.676943662331549</v>
      </c>
      <c r="E68" s="387">
        <f t="shared" si="17"/>
        <v>33.996593136865457</v>
      </c>
      <c r="F68" s="387">
        <f t="shared" si="1"/>
        <v>34.144564730860488</v>
      </c>
      <c r="G68" s="110">
        <f t="shared" si="18"/>
        <v>0.97078056855871819</v>
      </c>
      <c r="H68" s="414" t="b">
        <f>Wh_hp&gt;='2019'!Maxi_hp</f>
        <v>1</v>
      </c>
      <c r="I68" s="382">
        <f>IF(H68,Wh_hp,'2019'!Maxi_hp)</f>
        <v>34.144564730860488</v>
      </c>
      <c r="J68" s="85">
        <f>IF(H68,An,'2019'!An_max)</f>
        <v>2020</v>
      </c>
      <c r="K68" s="199">
        <f t="shared" si="19"/>
        <v>43884</v>
      </c>
      <c r="L68" s="147">
        <f>IF(t&lt;Tvie,1-EXP((T0-t)*PertePVj)+'2019'!Pspv,1-EXP((T0-t)*PertePVj)+Pspv)</f>
        <v>1.3200260977392686E-2</v>
      </c>
      <c r="M68" s="870"/>
      <c r="N68" s="870"/>
      <c r="O68" s="48">
        <f>IF(t&lt;Tnet,'2019'!Resal+('2019'!Salim-'2019'!Resal)*(1-EXP(('2019'!Tnet-t)/('2019'!Tau_j))),Resal+(Salim-Resal)*(1-EXP((Tnet-t)/(Tau_j))))*Salcycl</f>
        <v>9.7646533614985098E-2</v>
      </c>
      <c r="P68" s="171">
        <f>(INDEX(Models!$BJ68:$BT68,,T68)*(1-R68)+INDEX(Models!$BJ68:$BT68,,T68+1)*R68-ERP_i)*Q68*Ramure*Pc/MaxiM</f>
        <v>4.5212231460429958E-3</v>
      </c>
      <c r="Q68" s="307">
        <f t="shared" si="2"/>
        <v>1</v>
      </c>
      <c r="R68" s="179">
        <f t="shared" si="3"/>
        <v>0.60732867982588923</v>
      </c>
      <c r="S68" s="837">
        <f t="shared" si="4"/>
        <v>-2</v>
      </c>
      <c r="T68" s="178">
        <f t="shared" si="5"/>
        <v>4</v>
      </c>
      <c r="U68" s="253">
        <f t="shared" si="20"/>
        <v>-1.3926713201741108</v>
      </c>
      <c r="V68" s="385">
        <f t="shared" si="6"/>
        <v>31.177280368692788</v>
      </c>
      <c r="W68" s="404"/>
      <c r="X68" s="157">
        <f t="shared" si="7"/>
        <v>43884</v>
      </c>
      <c r="Y68" s="387">
        <f t="shared" si="8"/>
        <v>30.272000000000002</v>
      </c>
      <c r="Z68" s="387">
        <f t="shared" si="9"/>
        <v>30.676943662331553</v>
      </c>
      <c r="AA68" s="388">
        <f t="shared" si="10"/>
        <v>33.996593136865457</v>
      </c>
      <c r="AB68" s="199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9.7646533614985098E-2</v>
      </c>
      <c r="AD68" s="233">
        <f>(INDEX(Models!$BJ68:$BT68,,AH68)*(1-AF68)+INDEX(Models!$BJ68:$BT68,,AH68+1)*AF68-ERP_i)*AE68*Ramure*Pc/MaxiM</f>
        <v>4.5212231460429958E-3</v>
      </c>
      <c r="AE68" s="307">
        <f t="shared" si="12"/>
        <v>1</v>
      </c>
      <c r="AF68" s="179">
        <f t="shared" si="21"/>
        <v>0.60732867982588923</v>
      </c>
      <c r="AG68" s="837">
        <f t="shared" si="22"/>
        <v>-2</v>
      </c>
      <c r="AH68" s="178">
        <f t="shared" si="13"/>
        <v>4</v>
      </c>
      <c r="AI68" s="227">
        <f t="shared" si="23"/>
        <v>-1.3926713201741108</v>
      </c>
      <c r="AJ68" s="267" t="b">
        <f t="shared" si="14"/>
        <v>0</v>
      </c>
      <c r="AK68" s="267" t="b">
        <f t="shared" si="15"/>
        <v>0</v>
      </c>
      <c r="AL68" s="267"/>
      <c r="AM68" s="267"/>
      <c r="AN68" s="75"/>
    </row>
    <row r="69" spans="1:40" s="6" customFormat="1" ht="11.25" customHeight="1" x14ac:dyDescent="0.2">
      <c r="A69" s="56">
        <f t="shared" si="16"/>
        <v>43885</v>
      </c>
      <c r="B69" s="618">
        <v>31.338000000000001</v>
      </c>
      <c r="C69" s="392"/>
      <c r="D69" s="395">
        <f t="shared" si="0"/>
        <v>31.757942426143813</v>
      </c>
      <c r="E69" s="387">
        <f t="shared" si="17"/>
        <v>35.199206850055539</v>
      </c>
      <c r="F69" s="387">
        <f t="shared" si="1"/>
        <v>35.350844224345899</v>
      </c>
      <c r="G69" s="110">
        <f t="shared" si="18"/>
        <v>0.99293476228647792</v>
      </c>
      <c r="H69" s="414" t="b">
        <f>Wh_hp&gt;='2019'!Maxi_hp</f>
        <v>1</v>
      </c>
      <c r="I69" s="382">
        <f>IF(H69,Wh_hp,'2019'!Maxi_hp)</f>
        <v>35.350844224345899</v>
      </c>
      <c r="J69" s="85">
        <f>IF(H69,An,'2019'!An_max)</f>
        <v>2020</v>
      </c>
      <c r="K69" s="199">
        <f t="shared" si="19"/>
        <v>43885</v>
      </c>
      <c r="L69" s="147">
        <f>IF(t&lt;Tvie,1-EXP((T0-t)*PertePVj)+'2019'!Pspv,1-EXP((T0-t)*PertePVj)+Pspv)</f>
        <v>1.3223225248941373E-2</v>
      </c>
      <c r="M69" s="870"/>
      <c r="N69" s="870"/>
      <c r="O69" s="48">
        <f>IF(t&lt;Tnet,'2019'!Resal+('2019'!Salim-'2019'!Resal)*(1-EXP(('2019'!Tnet-t)/('2019'!Tau_j))),Resal+(Salim-Resal)*(1-EXP((Tnet-t)/(Tau_j))))*Salcycl</f>
        <v>9.7765396776441665E-2</v>
      </c>
      <c r="P69" s="171">
        <f>(INDEX(Models!$BJ69:$BT69,,T69)*(1-R69)+INDEX(Models!$BJ69:$BT69,,T69+1)*R69-ERP_i)*Q69*Ramure*Pc/MaxiM</f>
        <v>4.332963103414608E-3</v>
      </c>
      <c r="Q69" s="307">
        <f t="shared" si="2"/>
        <v>1</v>
      </c>
      <c r="R69" s="179">
        <f t="shared" si="3"/>
        <v>0.60768189832399488</v>
      </c>
      <c r="S69" s="837">
        <f t="shared" si="4"/>
        <v>-2</v>
      </c>
      <c r="T69" s="178">
        <f t="shared" si="5"/>
        <v>4</v>
      </c>
      <c r="U69" s="253">
        <f t="shared" si="20"/>
        <v>-1.3923181016760051</v>
      </c>
      <c r="V69" s="385">
        <f t="shared" si="6"/>
        <v>31.559608155250842</v>
      </c>
      <c r="W69" s="404"/>
      <c r="X69" s="157">
        <f t="shared" si="7"/>
        <v>43885</v>
      </c>
      <c r="Y69" s="387">
        <f t="shared" si="8"/>
        <v>31.338000000000001</v>
      </c>
      <c r="Z69" s="387">
        <f t="shared" si="9"/>
        <v>31.757942426143813</v>
      </c>
      <c r="AA69" s="388">
        <f t="shared" si="10"/>
        <v>35.199206850055539</v>
      </c>
      <c r="AB69" s="199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9.7765396776441665E-2</v>
      </c>
      <c r="AD69" s="233">
        <f>(INDEX(Models!$BJ69:$BT69,,AH69)*(1-AF69)+INDEX(Models!$BJ69:$BT69,,AH69+1)*AF69-ERP_i)*AE69*Ramure*Pc/MaxiM</f>
        <v>4.332963103414608E-3</v>
      </c>
      <c r="AE69" s="307">
        <f t="shared" si="12"/>
        <v>1</v>
      </c>
      <c r="AF69" s="179">
        <f t="shared" si="21"/>
        <v>0.60768189832399488</v>
      </c>
      <c r="AG69" s="837">
        <f t="shared" si="22"/>
        <v>-2</v>
      </c>
      <c r="AH69" s="178">
        <f t="shared" si="13"/>
        <v>4</v>
      </c>
      <c r="AI69" s="227">
        <f t="shared" si="23"/>
        <v>-1.3923181016760051</v>
      </c>
      <c r="AJ69" s="267" t="b">
        <f t="shared" si="14"/>
        <v>0</v>
      </c>
      <c r="AK69" s="267" t="b">
        <f t="shared" si="15"/>
        <v>0</v>
      </c>
      <c r="AL69" s="267"/>
      <c r="AM69" s="267"/>
      <c r="AN69" s="75"/>
    </row>
    <row r="70" spans="1:40" s="6" customFormat="1" ht="11.25" customHeight="1" x14ac:dyDescent="0.2">
      <c r="A70" s="56">
        <f t="shared" si="16"/>
        <v>43886</v>
      </c>
      <c r="B70" s="618">
        <v>17.584</v>
      </c>
      <c r="C70" s="392"/>
      <c r="D70" s="395">
        <f t="shared" si="0"/>
        <v>17.820047719837902</v>
      </c>
      <c r="E70" s="387">
        <f t="shared" si="17"/>
        <v>19.753607480466695</v>
      </c>
      <c r="F70" s="387">
        <f t="shared" si="1"/>
        <v>19.783232239241507</v>
      </c>
      <c r="G70" s="110">
        <f t="shared" si="18"/>
        <v>0.5489767427194262</v>
      </c>
      <c r="H70" s="414" t="b">
        <f>Wh_hp&gt;='2019'!Maxi_hp</f>
        <v>0</v>
      </c>
      <c r="I70" s="382">
        <f>IF(H70,Wh_hp,'2019'!Maxi_hp)</f>
        <v>35.147494250668068</v>
      </c>
      <c r="J70" s="85">
        <f>IF(H70,An,'2019'!An_max)</f>
        <v>2019</v>
      </c>
      <c r="K70" s="199">
        <f t="shared" si="19"/>
        <v>43886</v>
      </c>
      <c r="L70" s="147">
        <f>IF(t&lt;Tvie,1-EXP((T0-t)*PertePVj)+'2019'!Pspv,1-EXP((T0-t)*PertePVj)+Pspv)</f>
        <v>1.3246188986077989E-2</v>
      </c>
      <c r="M70" s="870"/>
      <c r="N70" s="870"/>
      <c r="O70" s="48">
        <f>IF(t&lt;Tnet,'2019'!Resal+('2019'!Salim-'2019'!Resal)*(1-EXP(('2019'!Tnet-t)/('2019'!Tau_j))),Resal+(Salim-Resal)*(1-EXP((Tnet-t)/(Tau_j))))*Salcycl</f>
        <v>9.7883880832439749E-2</v>
      </c>
      <c r="P70" s="171">
        <f>(INDEX(Models!$BJ70:$BT70,,T70)*(1-R70)+INDEX(Models!$BJ70:$BT70,,T70+1)*R70-ERP_i)*Q70*Ramure*Pc/MaxiM</f>
        <v>4.1852354703478083E-3</v>
      </c>
      <c r="Q70" s="307">
        <f t="shared" si="2"/>
        <v>1</v>
      </c>
      <c r="R70" s="179">
        <f t="shared" si="3"/>
        <v>0.60804955203298539</v>
      </c>
      <c r="S70" s="837">
        <f t="shared" si="4"/>
        <v>-2</v>
      </c>
      <c r="T70" s="178">
        <f t="shared" si="5"/>
        <v>4</v>
      </c>
      <c r="U70" s="253">
        <f t="shared" si="20"/>
        <v>-1.3919504479670146</v>
      </c>
      <c r="V70" s="385">
        <f t="shared" si="6"/>
        <v>31.944281158959406</v>
      </c>
      <c r="W70" s="404"/>
      <c r="X70" s="157">
        <f t="shared" si="7"/>
        <v>43886</v>
      </c>
      <c r="Y70" s="387">
        <f t="shared" si="8"/>
        <v>17.584</v>
      </c>
      <c r="Z70" s="387">
        <f t="shared" si="9"/>
        <v>17.820047719837902</v>
      </c>
      <c r="AA70" s="388">
        <f t="shared" si="10"/>
        <v>19.753607480466695</v>
      </c>
      <c r="AB70" s="199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9.7883880832439749E-2</v>
      </c>
      <c r="AD70" s="233">
        <f>(INDEX(Models!$BJ70:$BT70,,AH70)*(1-AF70)+INDEX(Models!$BJ70:$BT70,,AH70+1)*AF70-ERP_i)*AE70*Ramure*Pc/MaxiM</f>
        <v>4.1852354703478083E-3</v>
      </c>
      <c r="AE70" s="307">
        <f t="shared" si="12"/>
        <v>1</v>
      </c>
      <c r="AF70" s="179">
        <f t="shared" si="21"/>
        <v>0.60804955203298539</v>
      </c>
      <c r="AG70" s="837">
        <f t="shared" si="22"/>
        <v>-2</v>
      </c>
      <c r="AH70" s="178">
        <f t="shared" si="13"/>
        <v>4</v>
      </c>
      <c r="AI70" s="227">
        <f t="shared" si="23"/>
        <v>-1.3919504479670146</v>
      </c>
      <c r="AJ70" s="267" t="b">
        <f t="shared" si="14"/>
        <v>0</v>
      </c>
      <c r="AK70" s="267" t="b">
        <f t="shared" si="15"/>
        <v>0</v>
      </c>
      <c r="AL70" s="267"/>
      <c r="AM70" s="267"/>
      <c r="AN70" s="75"/>
    </row>
    <row r="71" spans="1:40" s="6" customFormat="1" ht="11.25" x14ac:dyDescent="0.2">
      <c r="A71" s="56">
        <f t="shared" si="16"/>
        <v>43887</v>
      </c>
      <c r="B71" s="618">
        <v>16.673999999999999</v>
      </c>
      <c r="C71" s="392"/>
      <c r="D71" s="395">
        <f t="shared" si="0"/>
        <v>16.898225120849403</v>
      </c>
      <c r="E71" s="387">
        <f t="shared" si="17"/>
        <v>18.734215533723525</v>
      </c>
      <c r="F71" s="387">
        <f t="shared" si="1"/>
        <v>18.757782643902566</v>
      </c>
      <c r="G71" s="110">
        <f t="shared" si="18"/>
        <v>0.51427325350568975</v>
      </c>
      <c r="H71" s="414" t="b">
        <f>Wh_hp&gt;='2019'!Maxi_hp</f>
        <v>0</v>
      </c>
      <c r="I71" s="382">
        <f>IF(H71,Wh_hp,'2019'!Maxi_hp)</f>
        <v>33.529392075098649</v>
      </c>
      <c r="J71" s="85">
        <f>IF(H71,An,'2019'!An_max)</f>
        <v>2019</v>
      </c>
      <c r="K71" s="199">
        <f t="shared" si="19"/>
        <v>43887</v>
      </c>
      <c r="L71" s="147">
        <f>IF(t&lt;Tvie,1-EXP((T0-t)*PertePVj)+'2019'!Pspv,1-EXP((T0-t)*PertePVj)+Pspv)</f>
        <v>1.3269152188814748E-2</v>
      </c>
      <c r="M71" s="870"/>
      <c r="N71" s="870"/>
      <c r="O71" s="48">
        <f>IF(t&lt;Tnet,'2019'!Resal+('2019'!Salim-'2019'!Resal)*(1-EXP(('2019'!Tnet-t)/('2019'!Tau_j))),Resal+(Salim-Resal)*(1-EXP((Tnet-t)/(Tau_j))))*Salcycl</f>
        <v>9.8001990506042233E-2</v>
      </c>
      <c r="P71" s="171">
        <f>(INDEX(Models!$BJ71:$BT71,,T71)*(1-R71)+INDEX(Models!$BJ71:$BT71,,T71+1)*R71-ERP_i)*Q71*Ramure*Pc/MaxiM</f>
        <v>4.0767407292747289E-3</v>
      </c>
      <c r="Q71" s="307">
        <f t="shared" si="2"/>
        <v>1</v>
      </c>
      <c r="R71" s="179">
        <f t="shared" si="3"/>
        <v>0.60843221439077677</v>
      </c>
      <c r="S71" s="837">
        <f t="shared" si="4"/>
        <v>-2</v>
      </c>
      <c r="T71" s="178">
        <f t="shared" si="5"/>
        <v>4</v>
      </c>
      <c r="U71" s="253">
        <f t="shared" si="20"/>
        <v>-1.3915677856092232</v>
      </c>
      <c r="V71" s="385">
        <f t="shared" si="6"/>
        <v>32.330894554687482</v>
      </c>
      <c r="W71" s="404"/>
      <c r="X71" s="157">
        <f t="shared" si="7"/>
        <v>43887</v>
      </c>
      <c r="Y71" s="387">
        <f t="shared" si="8"/>
        <v>16.673999999999999</v>
      </c>
      <c r="Z71" s="387">
        <f t="shared" si="9"/>
        <v>16.898225120849403</v>
      </c>
      <c r="AA71" s="388">
        <f t="shared" si="10"/>
        <v>18.734215533723525</v>
      </c>
      <c r="AB71" s="199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9.8001990506042233E-2</v>
      </c>
      <c r="AD71" s="233">
        <f>(INDEX(Models!$BJ71:$BT71,,AH71)*(1-AF71)+INDEX(Models!$BJ71:$BT71,,AH71+1)*AF71-ERP_i)*AE71*Ramure*Pc/MaxiM</f>
        <v>4.0767407292747289E-3</v>
      </c>
      <c r="AE71" s="307">
        <f t="shared" si="12"/>
        <v>1</v>
      </c>
      <c r="AF71" s="179">
        <f t="shared" si="21"/>
        <v>0.60843221439077677</v>
      </c>
      <c r="AG71" s="837">
        <f t="shared" si="22"/>
        <v>-2</v>
      </c>
      <c r="AH71" s="178">
        <f t="shared" si="13"/>
        <v>4</v>
      </c>
      <c r="AI71" s="227">
        <f t="shared" si="23"/>
        <v>-1.3915677856092232</v>
      </c>
      <c r="AJ71" s="267" t="b">
        <f t="shared" si="14"/>
        <v>0</v>
      </c>
      <c r="AK71" s="267" t="b">
        <f t="shared" si="15"/>
        <v>0</v>
      </c>
      <c r="AL71" s="267"/>
      <c r="AM71" s="267"/>
      <c r="AN71" s="75"/>
    </row>
    <row r="72" spans="1:40" s="6" customFormat="1" ht="11.25" customHeight="1" x14ac:dyDescent="0.2">
      <c r="A72" s="56">
        <f t="shared" si="16"/>
        <v>43888</v>
      </c>
      <c r="B72" s="618">
        <v>8.4190000000000005</v>
      </c>
      <c r="C72" s="392"/>
      <c r="D72" s="395">
        <f t="shared" si="0"/>
        <v>8.5324138245649745</v>
      </c>
      <c r="E72" s="387">
        <f t="shared" si="17"/>
        <v>9.4606946701214785</v>
      </c>
      <c r="F72" s="387">
        <f t="shared" si="1"/>
        <v>9.4606946701214785</v>
      </c>
      <c r="G72" s="110">
        <f t="shared" si="18"/>
        <v>0.25628107592677352</v>
      </c>
      <c r="H72" s="414" t="b">
        <f>Wh_hp&gt;='2019'!Maxi_hp</f>
        <v>0</v>
      </c>
      <c r="I72" s="382">
        <f>IF(H72,Wh_hp,'2019'!Maxi_hp)</f>
        <v>35.744529564271296</v>
      </c>
      <c r="J72" s="85">
        <f>IF(H72,An,'2019'!An_max)</f>
        <v>2019</v>
      </c>
      <c r="K72" s="199">
        <f t="shared" si="19"/>
        <v>43888</v>
      </c>
      <c r="L72" s="147">
        <f>IF(t&lt;Tvie,1-EXP((T0-t)*PertePVj)+'2019'!Pspv,1-EXP((T0-t)*PertePVj)+Pspv)</f>
        <v>1.3292114857164306E-2</v>
      </c>
      <c r="M72" s="870"/>
      <c r="N72" s="870"/>
      <c r="O72" s="48">
        <f>IF(t&lt;Tnet,'2019'!Resal+('2019'!Salim-'2019'!Resal)*(1-EXP(('2019'!Tnet-t)/('2019'!Tau_j))),Resal+(Salim-Resal)*(1-EXP((Tnet-t)/(Tau_j))))*Salcycl</f>
        <v>9.8119734112990284E-2</v>
      </c>
      <c r="P72" s="171">
        <f>(INDEX(Models!$BJ72:$BT72,,T72)*(1-R72)+INDEX(Models!$BJ72:$BT72,,T72+1)*R72-ERP_i)*Q72*Ramure*Pc/MaxiM</f>
        <v>4.0055808932783149E-3</v>
      </c>
      <c r="Q72" s="307">
        <f t="shared" si="2"/>
        <v>1</v>
      </c>
      <c r="R72" s="179">
        <f t="shared" si="3"/>
        <v>0.60883048022351094</v>
      </c>
      <c r="S72" s="837">
        <f t="shared" si="4"/>
        <v>-2</v>
      </c>
      <c r="T72" s="178">
        <f t="shared" si="5"/>
        <v>4</v>
      </c>
      <c r="U72" s="253">
        <f t="shared" si="20"/>
        <v>-1.3911695197764891</v>
      </c>
      <c r="V72" s="385">
        <f t="shared" si="6"/>
        <v>32.719064348143256</v>
      </c>
      <c r="W72" s="404"/>
      <c r="X72" s="157">
        <f t="shared" si="7"/>
        <v>43888</v>
      </c>
      <c r="Y72" s="387">
        <f t="shared" si="8"/>
        <v>8.4190000000000005</v>
      </c>
      <c r="Z72" s="387">
        <f t="shared" si="9"/>
        <v>8.5324138245649745</v>
      </c>
      <c r="AA72" s="388">
        <f t="shared" si="10"/>
        <v>9.4606946701214785</v>
      </c>
      <c r="AB72" s="199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9.8119734112990284E-2</v>
      </c>
      <c r="AD72" s="233">
        <f>(INDEX(Models!$BJ72:$BT72,,AH72)*(1-AF72)+INDEX(Models!$BJ72:$BT72,,AH72+1)*AF72-ERP_i)*AE72*Ramure*Pc/MaxiM</f>
        <v>4.0055808932783149E-3</v>
      </c>
      <c r="AE72" s="307">
        <f t="shared" si="12"/>
        <v>1</v>
      </c>
      <c r="AF72" s="179">
        <f t="shared" si="21"/>
        <v>0.60883048022351094</v>
      </c>
      <c r="AG72" s="837">
        <f t="shared" si="22"/>
        <v>-2</v>
      </c>
      <c r="AH72" s="178">
        <f t="shared" si="13"/>
        <v>4</v>
      </c>
      <c r="AI72" s="227">
        <f t="shared" si="23"/>
        <v>-1.3911695197764891</v>
      </c>
      <c r="AJ72" s="267" t="b">
        <f t="shared" si="14"/>
        <v>0</v>
      </c>
      <c r="AK72" s="267" t="b">
        <f t="shared" si="15"/>
        <v>0</v>
      </c>
      <c r="AL72" s="267"/>
      <c r="AM72" s="267"/>
      <c r="AN72" s="75"/>
    </row>
    <row r="73" spans="1:40" s="6" customFormat="1" ht="11.25" customHeight="1" x14ac:dyDescent="0.2">
      <c r="A73" s="56">
        <f t="shared" si="16"/>
        <v>43889</v>
      </c>
      <c r="B73" s="618">
        <v>16.963000000000001</v>
      </c>
      <c r="C73" s="392"/>
      <c r="D73" s="395">
        <f t="shared" si="0"/>
        <v>17.191911626937532</v>
      </c>
      <c r="E73" s="387">
        <f t="shared" si="17"/>
        <v>19.064780862862428</v>
      </c>
      <c r="F73" s="387">
        <f t="shared" si="1"/>
        <v>19.087632465831646</v>
      </c>
      <c r="G73" s="110">
        <f t="shared" si="18"/>
        <v>0.5109249139737132</v>
      </c>
      <c r="H73" s="414" t="b">
        <f>Wh_hp&gt;='2019'!Maxi_hp</f>
        <v>0</v>
      </c>
      <c r="I73" s="382">
        <f>IF(H73,Wh_hp,'2019'!Maxi_hp)</f>
        <v>31.141884828687509</v>
      </c>
      <c r="J73" s="85">
        <f>IF(H73,An,'2019'!An_max)</f>
        <v>2019</v>
      </c>
      <c r="K73" s="199">
        <f t="shared" si="19"/>
        <v>43889</v>
      </c>
      <c r="L73" s="147">
        <f>IF(t&lt;Tvie,1-EXP((T0-t)*PertePVj)+'2019'!Pspv,1-EXP((T0-t)*PertePVj)+Pspv)</f>
        <v>1.3315076991139096E-2</v>
      </c>
      <c r="M73" s="870"/>
      <c r="N73" s="870"/>
      <c r="O73" s="48">
        <f>IF(t&lt;Tnet,'2019'!Resal+('2019'!Salim-'2019'!Resal)*(1-EXP(('2019'!Tnet-t)/('2019'!Tau_j))),Resal+(Salim-Resal)*(1-EXP((Tnet-t)/(Tau_j))))*Salcycl</f>
        <v>9.8237123699291176E-2</v>
      </c>
      <c r="P73" s="171">
        <f>(INDEX(Models!$BJ73:$BT73,,T73)*(1-R73)+INDEX(Models!$BJ73:$BT73,,T73+1)*R73-ERP_i)*Q73*Ramure*Pc/MaxiM</f>
        <v>3.9467575105307023E-3</v>
      </c>
      <c r="Q73" s="307">
        <f t="shared" si="2"/>
        <v>1</v>
      </c>
      <c r="R73" s="179">
        <f t="shared" si="3"/>
        <v>0.60924496642513359</v>
      </c>
      <c r="S73" s="837">
        <f t="shared" si="4"/>
        <v>-2</v>
      </c>
      <c r="T73" s="178">
        <f t="shared" si="5"/>
        <v>4</v>
      </c>
      <c r="U73" s="253">
        <f t="shared" si="20"/>
        <v>-1.3907550335748664</v>
      </c>
      <c r="V73" s="385">
        <f t="shared" si="6"/>
        <v>33.109176690956673</v>
      </c>
      <c r="W73" s="404"/>
      <c r="X73" s="157">
        <f t="shared" si="7"/>
        <v>43889</v>
      </c>
      <c r="Y73" s="387">
        <f t="shared" si="8"/>
        <v>16.963000000000001</v>
      </c>
      <c r="Z73" s="387">
        <f t="shared" si="9"/>
        <v>17.191911626937532</v>
      </c>
      <c r="AA73" s="388">
        <f t="shared" si="10"/>
        <v>19.064780862862428</v>
      </c>
      <c r="AB73" s="199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9.8237123699291176E-2</v>
      </c>
      <c r="AD73" s="233">
        <f>(INDEX(Models!$BJ73:$BT73,,AH73)*(1-AF73)+INDEX(Models!$BJ73:$BT73,,AH73+1)*AF73-ERP_i)*AE73*Ramure*Pc/MaxiM</f>
        <v>3.9467575105307023E-3</v>
      </c>
      <c r="AE73" s="307">
        <f t="shared" si="12"/>
        <v>1</v>
      </c>
      <c r="AF73" s="179">
        <f t="shared" si="21"/>
        <v>0.60924496642513359</v>
      </c>
      <c r="AG73" s="837">
        <f t="shared" si="22"/>
        <v>-2</v>
      </c>
      <c r="AH73" s="178">
        <f t="shared" si="13"/>
        <v>4</v>
      </c>
      <c r="AI73" s="227">
        <f t="shared" si="23"/>
        <v>-1.3907550335748664</v>
      </c>
      <c r="AJ73" s="267" t="b">
        <f t="shared" si="14"/>
        <v>0</v>
      </c>
      <c r="AK73" s="267" t="b">
        <f t="shared" si="15"/>
        <v>0</v>
      </c>
      <c r="AL73" s="267"/>
      <c r="AM73" s="267"/>
      <c r="AN73" s="75"/>
    </row>
    <row r="74" spans="1:40" s="6" customFormat="1" ht="11.25" customHeight="1" x14ac:dyDescent="0.2">
      <c r="A74" s="56">
        <f t="shared" si="16"/>
        <v>43890</v>
      </c>
      <c r="B74" s="618">
        <v>13.920999999999999</v>
      </c>
      <c r="C74" s="392"/>
      <c r="D74" s="395">
        <f t="shared" si="0"/>
        <v>14.109188906113948</v>
      </c>
      <c r="E74" s="387">
        <f t="shared" si="17"/>
        <v>15.648260677639502</v>
      </c>
      <c r="F74" s="387">
        <f t="shared" si="1"/>
        <v>15.658340261721888</v>
      </c>
      <c r="G74" s="110">
        <f t="shared" si="18"/>
        <v>0.41418801579853853</v>
      </c>
      <c r="H74" s="414" t="b">
        <f>Wh_hp&gt;='2019'!Maxi_hp</f>
        <v>0</v>
      </c>
      <c r="I74" s="382">
        <f>IF(H74,Wh_hp,'2019'!Maxi_hp)</f>
        <v>15.754688764628643</v>
      </c>
      <c r="J74" s="85">
        <f>IF(H74,An,'2019'!An_max)</f>
        <v>2019</v>
      </c>
      <c r="K74" s="199">
        <f t="shared" si="19"/>
        <v>43890</v>
      </c>
      <c r="L74" s="147">
        <f>IF(t&lt;Tvie,1-EXP((T0-t)*PertePVj)+'2019'!Pspv,1-EXP((T0-t)*PertePVj)+Pspv)</f>
        <v>1.3338038590751333E-2</v>
      </c>
      <c r="M74" s="870"/>
      <c r="N74" s="870"/>
      <c r="O74" s="48">
        <f>IF(t&lt;Tnet,'2019'!Resal+('2019'!Salim-'2019'!Resal)*(1-EXP(('2019'!Tnet-t)/('2019'!Tau_j))),Resal+(Salim-Resal)*(1-EXP((Tnet-t)/(Tau_j))))*Salcycl</f>
        <v>9.8354175152820814E-2</v>
      </c>
      <c r="P74" s="171">
        <f>(INDEX(Models!$BJ74:$BT74,,T74)*(1-R74)+INDEX(Models!$BJ74:$BT74,,T74+1)*R74-ERP_i)*Q74*Ramure*Pc/MaxiM</f>
        <v>3.8999150397065183E-3</v>
      </c>
      <c r="Q74" s="307">
        <f t="shared" si="2"/>
        <v>1</v>
      </c>
      <c r="R74" s="179">
        <f t="shared" si="3"/>
        <v>0.60967631264821587</v>
      </c>
      <c r="S74" s="837">
        <f t="shared" si="4"/>
        <v>-2</v>
      </c>
      <c r="T74" s="178">
        <f t="shared" si="5"/>
        <v>4</v>
      </c>
      <c r="U74" s="253">
        <f t="shared" si="20"/>
        <v>-1.3903236873517841</v>
      </c>
      <c r="V74" s="385">
        <f t="shared" si="6"/>
        <v>33.500827592515378</v>
      </c>
      <c r="W74" s="404"/>
      <c r="X74" s="157">
        <f t="shared" si="7"/>
        <v>43890</v>
      </c>
      <c r="Y74" s="387">
        <f t="shared" si="8"/>
        <v>13.920999999999999</v>
      </c>
      <c r="Z74" s="387">
        <f t="shared" si="9"/>
        <v>14.109188906113948</v>
      </c>
      <c r="AA74" s="388">
        <f t="shared" si="10"/>
        <v>15.648260677639502</v>
      </c>
      <c r="AB74" s="199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9.8354175152820814E-2</v>
      </c>
      <c r="AD74" s="233">
        <f>(INDEX(Models!$BJ74:$BT74,,AH74)*(1-AF74)+INDEX(Models!$BJ74:$BT74,,AH74+1)*AF74-ERP_i)*AE74*Ramure*Pc/MaxiM</f>
        <v>3.8999150397065183E-3</v>
      </c>
      <c r="AE74" s="307">
        <f t="shared" si="12"/>
        <v>1</v>
      </c>
      <c r="AF74" s="179">
        <f t="shared" si="21"/>
        <v>0.60967631264821587</v>
      </c>
      <c r="AG74" s="837">
        <f t="shared" si="22"/>
        <v>-2</v>
      </c>
      <c r="AH74" s="178">
        <f t="shared" si="13"/>
        <v>4</v>
      </c>
      <c r="AI74" s="227">
        <f t="shared" si="23"/>
        <v>-1.3903236873517841</v>
      </c>
      <c r="AJ74" s="267" t="b">
        <f t="shared" si="14"/>
        <v>0</v>
      </c>
      <c r="AK74" s="267" t="b">
        <f t="shared" si="15"/>
        <v>0</v>
      </c>
      <c r="AL74" s="267"/>
      <c r="AM74" s="267"/>
      <c r="AN74" s="75"/>
    </row>
    <row r="75" spans="1:40" s="6" customFormat="1" ht="11.25" customHeight="1" x14ac:dyDescent="0.2">
      <c r="A75" s="56">
        <f t="shared" si="16"/>
        <v>43891</v>
      </c>
      <c r="B75" s="618">
        <v>23.280999999999999</v>
      </c>
      <c r="C75" s="392"/>
      <c r="D75" s="395">
        <f t="shared" si="0"/>
        <v>23.596269752040214</v>
      </c>
      <c r="E75" s="387">
        <f t="shared" si="17"/>
        <v>26.17360878198599</v>
      </c>
      <c r="F75" s="387">
        <f t="shared" si="1"/>
        <v>26.22963515117911</v>
      </c>
      <c r="G75" s="110">
        <f t="shared" si="18"/>
        <v>0.68569460549682515</v>
      </c>
      <c r="H75" s="414" t="b">
        <f>Wh_hp&gt;='2019'!Maxi_hp</f>
        <v>1</v>
      </c>
      <c r="I75" s="382">
        <f>IF(H75,Wh_hp,'2019'!Maxi_hp)</f>
        <v>26.22963515117911</v>
      </c>
      <c r="J75" s="85">
        <f>IF(H75,An,'2019'!An_max)</f>
        <v>2020</v>
      </c>
      <c r="K75" s="199">
        <f t="shared" si="19"/>
        <v>43891</v>
      </c>
      <c r="L75" s="147">
        <f>IF(t&lt;Tvie,1-EXP((T0-t)*PertePVj)+'2019'!Pspv,1-EXP((T0-t)*PertePVj)+Pspv)</f>
        <v>1.3360999656013672E-2</v>
      </c>
      <c r="M75" s="870"/>
      <c r="N75" s="870"/>
      <c r="O75" s="48">
        <f>IF(t&lt;Tnet,'2019'!Resal+('2019'!Salim-'2019'!Resal)*(1-EXP(('2019'!Tnet-t)/('2019'!Tau_j))),Resal+(Salim-Resal)*(1-EXP((Tnet-t)/(Tau_j))))*Salcycl</f>
        <v>9.8470908288337863E-2</v>
      </c>
      <c r="P75" s="171">
        <f>(INDEX(Models!$BJ75:$BT75,,T75)*(1-R75)+INDEX(Models!$BJ75:$BT75,,T75+1)*R75-ERP_i)*Q75*Ramure*Pc/MaxiM</f>
        <v>3.8647095000811974E-3</v>
      </c>
      <c r="Q75" s="307">
        <f t="shared" si="2"/>
        <v>1</v>
      </c>
      <c r="R75" s="179">
        <f t="shared" si="3"/>
        <v>0.61012518200518207</v>
      </c>
      <c r="S75" s="837">
        <f t="shared" si="4"/>
        <v>-2</v>
      </c>
      <c r="T75" s="178">
        <f t="shared" si="5"/>
        <v>4</v>
      </c>
      <c r="U75" s="253">
        <f t="shared" si="20"/>
        <v>-1.3898748179948179</v>
      </c>
      <c r="V75" s="385">
        <f t="shared" si="6"/>
        <v>33.893613077032896</v>
      </c>
      <c r="W75" s="404"/>
      <c r="X75" s="157">
        <f t="shared" si="7"/>
        <v>43891</v>
      </c>
      <c r="Y75" s="387">
        <f t="shared" si="8"/>
        <v>23.280999999999999</v>
      </c>
      <c r="Z75" s="387">
        <f t="shared" si="9"/>
        <v>23.596269752040214</v>
      </c>
      <c r="AA75" s="388">
        <f t="shared" si="10"/>
        <v>26.17360878198599</v>
      </c>
      <c r="AB75" s="199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9.8470908288337863E-2</v>
      </c>
      <c r="AD75" s="233">
        <f>(INDEX(Models!$BJ75:$BT75,,AH75)*(1-AF75)+INDEX(Models!$BJ75:$BT75,,AH75+1)*AF75-ERP_i)*AE75*Ramure*Pc/MaxiM</f>
        <v>3.8647095000811974E-3</v>
      </c>
      <c r="AE75" s="307">
        <f t="shared" si="12"/>
        <v>1</v>
      </c>
      <c r="AF75" s="179">
        <f t="shared" si="21"/>
        <v>0.61012518200518207</v>
      </c>
      <c r="AG75" s="837">
        <f t="shared" si="22"/>
        <v>-2</v>
      </c>
      <c r="AH75" s="178">
        <f t="shared" si="13"/>
        <v>4</v>
      </c>
      <c r="AI75" s="227">
        <f t="shared" si="23"/>
        <v>-1.3898748179948179</v>
      </c>
      <c r="AJ75" s="267" t="b">
        <f t="shared" si="14"/>
        <v>0</v>
      </c>
      <c r="AK75" s="267" t="b">
        <f t="shared" si="15"/>
        <v>0</v>
      </c>
      <c r="AL75" s="267"/>
      <c r="AM75" s="267"/>
      <c r="AN75" s="75"/>
    </row>
    <row r="76" spans="1:40" s="6" customFormat="1" ht="11.25" customHeight="1" x14ac:dyDescent="0.2">
      <c r="A76" s="56">
        <f t="shared" si="16"/>
        <v>43892</v>
      </c>
      <c r="B76" s="618">
        <v>19.745999999999999</v>
      </c>
      <c r="C76" s="392"/>
      <c r="D76" s="395">
        <f t="shared" si="0"/>
        <v>20.013864769258525</v>
      </c>
      <c r="E76" s="387">
        <f t="shared" si="17"/>
        <v>22.202777718455554</v>
      </c>
      <c r="F76" s="387">
        <f t="shared" si="1"/>
        <v>22.236440005772504</v>
      </c>
      <c r="G76" s="110">
        <f t="shared" si="18"/>
        <v>0.57455909448181708</v>
      </c>
      <c r="H76" s="414" t="b">
        <f>Wh_hp&gt;='2019'!Maxi_hp</f>
        <v>0</v>
      </c>
      <c r="I76" s="382">
        <f>IF(H76,Wh_hp,'2019'!Maxi_hp)</f>
        <v>33.306817170948804</v>
      </c>
      <c r="J76" s="85">
        <f>IF(H76,An,'2019'!An_max)</f>
        <v>2019</v>
      </c>
      <c r="K76" s="199">
        <f t="shared" si="19"/>
        <v>43892</v>
      </c>
      <c r="L76" s="147">
        <f>IF(t&lt;Tvie,1-EXP((T0-t)*PertePVj)+'2019'!Pspv,1-EXP((T0-t)*PertePVj)+Pspv)</f>
        <v>1.3383960186938548E-2</v>
      </c>
      <c r="M76" s="870"/>
      <c r="N76" s="870"/>
      <c r="O76" s="48">
        <f>IF(t&lt;Tnet,'2019'!Resal+('2019'!Salim-'2019'!Resal)*(1-EXP(('2019'!Tnet-t)/('2019'!Tau_j))),Resal+(Salim-Resal)*(1-EXP((Tnet-t)/(Tau_j))))*Salcycl</f>
        <v>9.8587346905587583E-2</v>
      </c>
      <c r="P76" s="171">
        <f>(INDEX(Models!$BJ76:$BT76,,T76)*(1-R76)+INDEX(Models!$BJ76:$BT76,,T76+1)*R76-ERP_i)*Q76*Ramure*Pc/MaxiM</f>
        <v>3.8408094400890084E-3</v>
      </c>
      <c r="Q76" s="307">
        <f t="shared" si="2"/>
        <v>1</v>
      </c>
      <c r="R76" s="179">
        <f t="shared" si="3"/>
        <v>0.61059226177898318</v>
      </c>
      <c r="S76" s="837">
        <f t="shared" si="4"/>
        <v>-2</v>
      </c>
      <c r="T76" s="178">
        <f t="shared" si="5"/>
        <v>4</v>
      </c>
      <c r="U76" s="253">
        <f t="shared" si="20"/>
        <v>-1.3894077382210168</v>
      </c>
      <c r="V76" s="385">
        <f t="shared" si="6"/>
        <v>34.287129167073317</v>
      </c>
      <c r="W76" s="404"/>
      <c r="X76" s="157">
        <f t="shared" si="7"/>
        <v>43892</v>
      </c>
      <c r="Y76" s="387">
        <f t="shared" si="8"/>
        <v>19.745999999999999</v>
      </c>
      <c r="Z76" s="387">
        <f t="shared" si="9"/>
        <v>20.013864769258525</v>
      </c>
      <c r="AA76" s="388">
        <f t="shared" si="10"/>
        <v>22.202777718455554</v>
      </c>
      <c r="AB76" s="199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9.8587346905587583E-2</v>
      </c>
      <c r="AD76" s="233">
        <f>(INDEX(Models!$BJ76:$BT76,,AH76)*(1-AF76)+INDEX(Models!$BJ76:$BT76,,AH76+1)*AF76-ERP_i)*AE76*Ramure*Pc/MaxiM</f>
        <v>3.8408094400890084E-3</v>
      </c>
      <c r="AE76" s="307">
        <f t="shared" si="12"/>
        <v>1</v>
      </c>
      <c r="AF76" s="179">
        <f t="shared" si="21"/>
        <v>0.61059226177898318</v>
      </c>
      <c r="AG76" s="837">
        <f t="shared" si="22"/>
        <v>-2</v>
      </c>
      <c r="AH76" s="178">
        <f t="shared" si="13"/>
        <v>4</v>
      </c>
      <c r="AI76" s="227">
        <f t="shared" si="23"/>
        <v>-1.3894077382210168</v>
      </c>
      <c r="AJ76" s="267" t="b">
        <f t="shared" si="14"/>
        <v>0</v>
      </c>
      <c r="AK76" s="267" t="b">
        <f t="shared" si="15"/>
        <v>0</v>
      </c>
      <c r="AL76" s="267"/>
      <c r="AM76" s="267"/>
      <c r="AN76" s="75"/>
    </row>
    <row r="77" spans="1:40" s="6" customFormat="1" ht="11.25" x14ac:dyDescent="0.2">
      <c r="A77" s="56">
        <f t="shared" si="16"/>
        <v>43893</v>
      </c>
      <c r="B77" s="618">
        <v>4.9800000000000004</v>
      </c>
      <c r="C77" s="392"/>
      <c r="D77" s="395">
        <f t="shared" si="0"/>
        <v>5.0476737592021648</v>
      </c>
      <c r="E77" s="387">
        <f t="shared" si="17"/>
        <v>5.6004587442703988</v>
      </c>
      <c r="F77" s="387">
        <f t="shared" si="1"/>
        <v>5.6004587442703988</v>
      </c>
      <c r="G77" s="110">
        <f t="shared" si="18"/>
        <v>0.1430449265487807</v>
      </c>
      <c r="H77" s="414" t="b">
        <f>Wh_hp&gt;='2019'!Maxi_hp</f>
        <v>0</v>
      </c>
      <c r="I77" s="382">
        <f>IF(H77,Wh_hp,'2019'!Maxi_hp)</f>
        <v>9.9504684636046576</v>
      </c>
      <c r="J77" s="85">
        <f>IF(H77,An,'2019'!An_max)</f>
        <v>2019</v>
      </c>
      <c r="K77" s="199">
        <f t="shared" si="19"/>
        <v>43893</v>
      </c>
      <c r="L77" s="147">
        <f>IF(t&lt;Tvie,1-EXP((T0-t)*PertePVj)+'2019'!Pspv,1-EXP((T0-t)*PertePVj)+Pspv)</f>
        <v>1.3406920183538285E-2</v>
      </c>
      <c r="M77" s="870"/>
      <c r="N77" s="870"/>
      <c r="O77" s="48">
        <f>IF(t&lt;Tnet,'2019'!Resal+('2019'!Salim-'2019'!Resal)*(1-EXP(('2019'!Tnet-t)/('2019'!Tau_j))),Resal+(Salim-Resal)*(1-EXP((Tnet-t)/(Tau_j))))*Salcycl</f>
        <v>9.8703518820447741E-2</v>
      </c>
      <c r="P77" s="171">
        <f>(INDEX(Models!$BJ77:$BT77,,T77)*(1-R77)+INDEX(Models!$BJ77:$BT77,,T77+1)*R77-ERP_i)*Q77*Ramure*Pc/MaxiM</f>
        <v>3.8278967584087905E-3</v>
      </c>
      <c r="Q77" s="307">
        <f t="shared" si="2"/>
        <v>1</v>
      </c>
      <c r="R77" s="179">
        <f t="shared" si="3"/>
        <v>0.61107826414212063</v>
      </c>
      <c r="S77" s="837">
        <f t="shared" si="4"/>
        <v>-2</v>
      </c>
      <c r="T77" s="178">
        <f t="shared" si="5"/>
        <v>4</v>
      </c>
      <c r="U77" s="253">
        <f t="shared" si="20"/>
        <v>-1.3889217358578794</v>
      </c>
      <c r="V77" s="385">
        <f t="shared" si="6"/>
        <v>34.680971872507214</v>
      </c>
      <c r="W77" s="404"/>
      <c r="X77" s="157">
        <f t="shared" si="7"/>
        <v>43893</v>
      </c>
      <c r="Y77" s="387">
        <f t="shared" si="8"/>
        <v>4.9800000000000004</v>
      </c>
      <c r="Z77" s="387">
        <f t="shared" si="9"/>
        <v>5.0476737592021648</v>
      </c>
      <c r="AA77" s="388">
        <f t="shared" si="10"/>
        <v>5.6004587442703988</v>
      </c>
      <c r="AB77" s="199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9.8703518820447741E-2</v>
      </c>
      <c r="AD77" s="233">
        <f>(INDEX(Models!$BJ77:$BT77,,AH77)*(1-AF77)+INDEX(Models!$BJ77:$BT77,,AH77+1)*AF77-ERP_i)*AE77*Ramure*Pc/MaxiM</f>
        <v>3.8278967584087905E-3</v>
      </c>
      <c r="AE77" s="307">
        <f t="shared" si="12"/>
        <v>1</v>
      </c>
      <c r="AF77" s="179">
        <f t="shared" si="21"/>
        <v>0.61107826414212063</v>
      </c>
      <c r="AG77" s="837">
        <f t="shared" si="22"/>
        <v>-2</v>
      </c>
      <c r="AH77" s="178">
        <f t="shared" si="13"/>
        <v>4</v>
      </c>
      <c r="AI77" s="227">
        <f t="shared" si="23"/>
        <v>-1.3889217358578794</v>
      </c>
      <c r="AJ77" s="267" t="b">
        <f t="shared" si="14"/>
        <v>0</v>
      </c>
      <c r="AK77" s="267" t="b">
        <f t="shared" si="15"/>
        <v>0</v>
      </c>
      <c r="AL77" s="267"/>
      <c r="AM77" s="267"/>
      <c r="AN77" s="75"/>
    </row>
    <row r="78" spans="1:40" s="6" customFormat="1" ht="11.25" customHeight="1" x14ac:dyDescent="0.2">
      <c r="A78" s="56">
        <f t="shared" si="16"/>
        <v>43894</v>
      </c>
      <c r="B78" s="618">
        <v>7.944</v>
      </c>
      <c r="C78" s="392"/>
      <c r="D78" s="395">
        <f t="shared" si="0"/>
        <v>8.0521392611689233</v>
      </c>
      <c r="E78" s="387">
        <f t="shared" si="17"/>
        <v>8.9351010889128286</v>
      </c>
      <c r="F78" s="387">
        <f t="shared" si="1"/>
        <v>8.9351010889128286</v>
      </c>
      <c r="G78" s="110">
        <f t="shared" si="18"/>
        <v>0.22562133136329593</v>
      </c>
      <c r="H78" s="414" t="b">
        <f>Wh_hp&gt;='2019'!Maxi_hp</f>
        <v>0</v>
      </c>
      <c r="I78" s="382">
        <f>IF(H78,Wh_hp,'2019'!Maxi_hp)</f>
        <v>38.596496043622651</v>
      </c>
      <c r="J78" s="85">
        <f>IF(H78,An,'2019'!An_max)</f>
        <v>2019</v>
      </c>
      <c r="K78" s="199">
        <f t="shared" si="19"/>
        <v>43894</v>
      </c>
      <c r="L78" s="147">
        <f>IF(t&lt;Tvie,1-EXP((T0-t)*PertePVj)+'2019'!Pspv,1-EXP((T0-t)*PertePVj)+Pspv)</f>
        <v>1.3429879645825316E-2</v>
      </c>
      <c r="M78" s="870"/>
      <c r="N78" s="870"/>
      <c r="O78" s="48">
        <f>IF(t&lt;Tnet,'2019'!Resal+('2019'!Salim-'2019'!Resal)*(1-EXP(('2019'!Tnet-t)/('2019'!Tau_j))),Resal+(Salim-Resal)*(1-EXP((Tnet-t)/(Tau_j))))*Salcycl</f>
        <v>9.8819455869339101E-2</v>
      </c>
      <c r="P78" s="171">
        <f>(INDEX(Models!$BJ78:$BT78,,T78)*(1-R78)+INDEX(Models!$BJ78:$BT78,,T78+1)*R78-ERP_i)*Q78*Ramure*Pc/MaxiM</f>
        <v>3.8256673952613406E-3</v>
      </c>
      <c r="Q78" s="307">
        <f t="shared" si="2"/>
        <v>1</v>
      </c>
      <c r="R78" s="179">
        <f t="shared" si="3"/>
        <v>0.61158392688277452</v>
      </c>
      <c r="S78" s="837">
        <f t="shared" si="4"/>
        <v>-2</v>
      </c>
      <c r="T78" s="178">
        <f t="shared" si="5"/>
        <v>4</v>
      </c>
      <c r="U78" s="253">
        <f t="shared" si="20"/>
        <v>-1.3884160731172255</v>
      </c>
      <c r="V78" s="385">
        <f t="shared" si="6"/>
        <v>35.074737173097944</v>
      </c>
      <c r="W78" s="404"/>
      <c r="X78" s="157">
        <f t="shared" si="7"/>
        <v>43894</v>
      </c>
      <c r="Y78" s="387">
        <f t="shared" si="8"/>
        <v>7.944</v>
      </c>
      <c r="Z78" s="387">
        <f t="shared" si="9"/>
        <v>8.0521392611689233</v>
      </c>
      <c r="AA78" s="388">
        <f t="shared" si="10"/>
        <v>8.9351010889128286</v>
      </c>
      <c r="AB78" s="199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9.8819455869339101E-2</v>
      </c>
      <c r="AD78" s="233">
        <f>(INDEX(Models!$BJ78:$BT78,,AH78)*(1-AF78)+INDEX(Models!$BJ78:$BT78,,AH78+1)*AF78-ERP_i)*AE78*Ramure*Pc/MaxiM</f>
        <v>3.8256673952613406E-3</v>
      </c>
      <c r="AE78" s="307">
        <f t="shared" si="12"/>
        <v>1</v>
      </c>
      <c r="AF78" s="179">
        <f t="shared" si="21"/>
        <v>0.61158392688277452</v>
      </c>
      <c r="AG78" s="837">
        <f t="shared" si="22"/>
        <v>-2</v>
      </c>
      <c r="AH78" s="178">
        <f t="shared" si="13"/>
        <v>4</v>
      </c>
      <c r="AI78" s="227">
        <f t="shared" si="23"/>
        <v>-1.3884160731172255</v>
      </c>
      <c r="AJ78" s="267" t="b">
        <f t="shared" si="14"/>
        <v>0</v>
      </c>
      <c r="AK78" s="267" t="b">
        <f t="shared" si="15"/>
        <v>0</v>
      </c>
      <c r="AL78" s="267"/>
      <c r="AM78" s="267"/>
      <c r="AN78" s="75"/>
    </row>
    <row r="79" spans="1:40" s="6" customFormat="1" ht="11.25" x14ac:dyDescent="0.2">
      <c r="A79" s="56">
        <f t="shared" si="16"/>
        <v>43895</v>
      </c>
      <c r="B79" s="618">
        <v>10.907</v>
      </c>
      <c r="C79" s="392"/>
      <c r="D79" s="395">
        <f t="shared" ref="D79:D142" si="24">Wh/(1-Ppv)</f>
        <v>11.055730963973836</v>
      </c>
      <c r="E79" s="387">
        <f t="shared" si="17"/>
        <v>12.269629097678919</v>
      </c>
      <c r="F79" s="387">
        <f t="shared" ref="F79:F142" si="25">Wh_sa/(1-Pvg*MEDIAN((-Sdif+Wh/Env_an)/Csdif,0,1))</f>
        <v>12.270132841432156</v>
      </c>
      <c r="G79" s="110">
        <f t="shared" si="18"/>
        <v>0.30633017736051793</v>
      </c>
      <c r="H79" s="414" t="b">
        <f>Wh_hp&gt;='2019'!Maxi_hp</f>
        <v>0</v>
      </c>
      <c r="I79" s="382">
        <f>IF(H79,Wh_hp,'2019'!Maxi_hp)</f>
        <v>24.169421383322462</v>
      </c>
      <c r="J79" s="85">
        <f>IF(H79,An,'2019'!An_max)</f>
        <v>2019</v>
      </c>
      <c r="K79" s="199">
        <f t="shared" ref="K79:K142" si="26">t</f>
        <v>43895</v>
      </c>
      <c r="L79" s="147">
        <f>IF(t&lt;Tvie,1-EXP((T0-t)*PertePVj)+'2019'!Pspv,1-EXP((T0-t)*PertePVj)+Pspv)</f>
        <v>1.3452838573812187E-2</v>
      </c>
      <c r="M79" s="870"/>
      <c r="N79" s="870"/>
      <c r="O79" s="48">
        <f>IF(t&lt;Tnet,'2019'!Resal+('2019'!Salim-'2019'!Resal)*(1-EXP(('2019'!Tnet-t)/('2019'!Tau_j))),Resal+(Salim-Resal)*(1-EXP((Tnet-t)/(Tau_j))))*Salcycl</f>
        <v>9.8935193887378328E-2</v>
      </c>
      <c r="P79" s="171">
        <f>(INDEX(Models!$BJ79:$BT79,,T79)*(1-R79)+INDEX(Models!$BJ79:$BT79,,T79+1)*R79-ERP_i)*Q79*Ramure*Pc/MaxiM</f>
        <v>3.8335830453824862E-3</v>
      </c>
      <c r="Q79" s="307">
        <f t="shared" ref="Q79:Q142" si="27">IF(OR(t&lt;Ttai,Notai),Dd+PousD*Croivg,Dens+PousD*(Croivg-Croi_tai))</f>
        <v>1</v>
      </c>
      <c r="R79" s="179">
        <f t="shared" ref="R79:R142" si="28">(Hp_vg-S79)/(INDEX(Echel_vg,T79+1)-S79)</f>
        <v>0.61211001413663202</v>
      </c>
      <c r="S79" s="837">
        <f t="shared" ref="S79:S142" si="29">INDEX(Echel_vg,T79)</f>
        <v>-2</v>
      </c>
      <c r="T79" s="178">
        <f t="shared" ref="T79:T142" si="30">MIN(MATCH(Hp_vg,Echel_vg),10)</f>
        <v>4</v>
      </c>
      <c r="U79" s="253">
        <f t="shared" ref="U79:U142" si="31">IF(OR(t&lt;Ttai,Notai),Hdd+PousH*Croivg,Hdtf+PousH*(Croivg-Croi_tai))</f>
        <v>-1.387889985863368</v>
      </c>
      <c r="V79" s="385">
        <f t="shared" ref="V79:V142" si="32">MaxiM*(1-Ppv)*(1-Pvg)*(1-Psa)</f>
        <v>35.470332326110594</v>
      </c>
      <c r="W79" s="404"/>
      <c r="X79" s="157">
        <f t="shared" ref="X79:X142" si="33">t</f>
        <v>43895</v>
      </c>
      <c r="Y79" s="387">
        <f t="shared" ref="Y79:Y142" si="34">Wh_pvt_s*(1-Ppv)</f>
        <v>10.907</v>
      </c>
      <c r="Z79" s="387">
        <f t="shared" ref="Z79:Z142" si="35">Wh_sa_s*(1-Psa_s)</f>
        <v>11.055730963973836</v>
      </c>
      <c r="AA79" s="388">
        <f t="shared" ref="AA79:AA142" si="36">Wh_hp*(1-Pvg_s*MEDIAN((-Sdif+Wh/Env_an)/Csdif,0,1))</f>
        <v>12.269629097678919</v>
      </c>
      <c r="AB79" s="199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9.8935193887378328E-2</v>
      </c>
      <c r="AD79" s="233">
        <f>(INDEX(Models!$BJ79:$BT79,,AH79)*(1-AF79)+INDEX(Models!$BJ79:$BT79,,AH79+1)*AF79-ERP_i)*AE79*Ramure*Pc/MaxiM</f>
        <v>3.8335830453824862E-3</v>
      </c>
      <c r="AE79" s="307">
        <f t="shared" ref="AE79:AE142" si="38">IF(OR(t&lt;Ttai,Notai),Dd_s+PousD*Croivg,Dens_s+PousD*(Croivg-Croi_tai))</f>
        <v>1</v>
      </c>
      <c r="AF79" s="179">
        <f t="shared" ref="AF79:AF142" si="39">(Hp_vg_s-AG79)/(INDEX(Echel_vg,AH79+1)-AG79)</f>
        <v>0.61211001413663202</v>
      </c>
      <c r="AG79" s="837">
        <f t="shared" si="22"/>
        <v>-2</v>
      </c>
      <c r="AH79" s="178">
        <f t="shared" ref="AH79:AH142" si="40">MIN(MATCH(Hp_vg_s,Echel_vg),10)</f>
        <v>4</v>
      </c>
      <c r="AI79" s="227">
        <f t="shared" ref="AI79:AI142" si="41">IF(OR(t&lt;Ttai,Notai),Hdd_s+PousH*Croivg,Hdtai_s+PousH*(Croivg-Croi_tai))</f>
        <v>-1.387889985863368</v>
      </c>
      <c r="AJ79" s="267" t="b">
        <f t="shared" ref="AJ79:AJ142" si="42">t&lt;Tnet</f>
        <v>0</v>
      </c>
      <c r="AK79" s="267" t="b">
        <f t="shared" ref="AK79:AK142" si="43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4">A79+1</f>
        <v>43896</v>
      </c>
      <c r="B80" s="618">
        <v>20.673999999999999</v>
      </c>
      <c r="C80" s="392"/>
      <c r="D80" s="395">
        <f t="shared" si="24"/>
        <v>20.956404248826271</v>
      </c>
      <c r="E80" s="387">
        <f t="shared" ref="E80:E143" si="45">Wh_pvt/(1-Psa)</f>
        <v>23.260360975858788</v>
      </c>
      <c r="F80" s="387">
        <f t="shared" si="25"/>
        <v>23.295764112264752</v>
      </c>
      <c r="G80" s="110">
        <f t="shared" ref="G80:G143" si="46">+Wh_hp/MaxiM</f>
        <v>0.57502084355665495</v>
      </c>
      <c r="H80" s="414" t="b">
        <f>Wh_hp&gt;='2019'!Maxi_hp</f>
        <v>0</v>
      </c>
      <c r="I80" s="382">
        <f>IF(H80,Wh_hp,'2019'!Maxi_hp)</f>
        <v>36.408784591497884</v>
      </c>
      <c r="J80" s="85">
        <f>IF(H80,An,'2019'!An_max)</f>
        <v>2019</v>
      </c>
      <c r="K80" s="199">
        <f t="shared" si="26"/>
        <v>43896</v>
      </c>
      <c r="L80" s="147">
        <f>IF(t&lt;Tvie,1-EXP((T0-t)*PertePVj)+'2019'!Pspv,1-EXP((T0-t)*PertePVj)+Pspv)</f>
        <v>1.3475796967511111E-2</v>
      </c>
      <c r="M80" s="870"/>
      <c r="N80" s="870"/>
      <c r="O80" s="48">
        <f>IF(t&lt;Tnet,'2019'!Resal+('2019'!Salim-'2019'!Resal)*(1-EXP(('2019'!Tnet-t)/('2019'!Tau_j))),Resal+(Salim-Resal)*(1-EXP((Tnet-t)/(Tau_j))))*Salcycl</f>
        <v>9.9050772660997197E-2</v>
      </c>
      <c r="P80" s="171">
        <f>(INDEX(Models!$BJ80:$BT80,,T80)*(1-R80)+INDEX(Models!$BJ80:$BT80,,T80+1)*R80-ERP_i)*Q80*Ramure*Pc/MaxiM</f>
        <v>3.8492746295975913E-3</v>
      </c>
      <c r="Q80" s="307">
        <f t="shared" si="27"/>
        <v>1</v>
      </c>
      <c r="R80" s="179">
        <f t="shared" si="28"/>
        <v>0.61265731712284177</v>
      </c>
      <c r="S80" s="837">
        <f t="shared" si="29"/>
        <v>-2</v>
      </c>
      <c r="T80" s="178">
        <f t="shared" si="30"/>
        <v>4</v>
      </c>
      <c r="U80" s="253">
        <f t="shared" si="31"/>
        <v>-1.3873426828771582</v>
      </c>
      <c r="V80" s="385">
        <f t="shared" si="32"/>
        <v>35.869596384975573</v>
      </c>
      <c r="W80" s="404"/>
      <c r="X80" s="157">
        <f t="shared" si="33"/>
        <v>43896</v>
      </c>
      <c r="Y80" s="387">
        <f t="shared" si="34"/>
        <v>20.673999999999999</v>
      </c>
      <c r="Z80" s="387">
        <f t="shared" si="35"/>
        <v>20.956404248826271</v>
      </c>
      <c r="AA80" s="388">
        <f t="shared" si="36"/>
        <v>23.260360975858788</v>
      </c>
      <c r="AB80" s="199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9.9050772660997197E-2</v>
      </c>
      <c r="AD80" s="233">
        <f>(INDEX(Models!$BJ80:$BT80,,AH80)*(1-AF80)+INDEX(Models!$BJ80:$BT80,,AH80+1)*AF80-ERP_i)*AE80*Ramure*Pc/MaxiM</f>
        <v>3.8492746295975913E-3</v>
      </c>
      <c r="AE80" s="307">
        <f t="shared" si="38"/>
        <v>1</v>
      </c>
      <c r="AF80" s="179">
        <f t="shared" si="39"/>
        <v>0.61265731712284177</v>
      </c>
      <c r="AG80" s="837">
        <f t="shared" ref="AG80:AG143" si="47">INDEX(Echel_vg,AH80)</f>
        <v>-2</v>
      </c>
      <c r="AH80" s="178">
        <f t="shared" si="40"/>
        <v>4</v>
      </c>
      <c r="AI80" s="227">
        <f t="shared" si="41"/>
        <v>-1.3873426828771582</v>
      </c>
      <c r="AJ80" s="267" t="b">
        <f t="shared" si="42"/>
        <v>0</v>
      </c>
      <c r="AK80" s="267" t="b">
        <f t="shared" si="43"/>
        <v>0</v>
      </c>
      <c r="AL80" s="267"/>
      <c r="AM80" s="267"/>
      <c r="AN80" s="75"/>
    </row>
    <row r="81" spans="1:40" s="6" customFormat="1" ht="11.25" x14ac:dyDescent="0.2">
      <c r="A81" s="56">
        <f t="shared" si="44"/>
        <v>43897</v>
      </c>
      <c r="B81" s="618">
        <v>26.672000000000001</v>
      </c>
      <c r="C81" s="392"/>
      <c r="D81" s="395">
        <f t="shared" si="24"/>
        <v>27.036965366750088</v>
      </c>
      <c r="E81" s="387">
        <f t="shared" si="45"/>
        <v>30.013268199866829</v>
      </c>
      <c r="F81" s="387">
        <f t="shared" si="25"/>
        <v>30.085525253445283</v>
      </c>
      <c r="G81" s="110">
        <f t="shared" si="46"/>
        <v>0.73425044586161936</v>
      </c>
      <c r="H81" s="414" t="b">
        <f>Wh_hp&gt;='2019'!Maxi_hp</f>
        <v>1</v>
      </c>
      <c r="I81" s="382">
        <f>IF(H81,Wh_hp,'2019'!Maxi_hp)</f>
        <v>30.085525253445283</v>
      </c>
      <c r="J81" s="85">
        <f>IF(H81,An,'2019'!An_max)</f>
        <v>2020</v>
      </c>
      <c r="K81" s="199">
        <f t="shared" si="26"/>
        <v>43897</v>
      </c>
      <c r="L81" s="147">
        <f>IF(t&lt;Tvie,1-EXP((T0-t)*PertePVj)+'2019'!Pspv,1-EXP((T0-t)*PertePVj)+Pspv)</f>
        <v>1.3498754826934856E-2</v>
      </c>
      <c r="M81" s="870"/>
      <c r="N81" s="870"/>
      <c r="O81" s="48">
        <f>IF(t&lt;Tnet,'2019'!Resal+('2019'!Salim-'2019'!Resal)*(1-EXP(('2019'!Tnet-t)/('2019'!Tau_j))),Resal+(Salim-Resal)*(1-EXP((Tnet-t)/(Tau_j))))*Salcycl</f>
        <v>9.9166235855978696E-2</v>
      </c>
      <c r="P81" s="171">
        <f>(INDEX(Models!$BJ81:$BT81,,T81)*(1-R81)+INDEX(Models!$BJ81:$BT81,,T81+1)*R81-ERP_i)*Q81*Ramure*Pc/MaxiM</f>
        <v>3.8619381887912215E-3</v>
      </c>
      <c r="Q81" s="307">
        <f t="shared" si="27"/>
        <v>1</v>
      </c>
      <c r="R81" s="179">
        <f t="shared" si="28"/>
        <v>0.61322665488233596</v>
      </c>
      <c r="S81" s="837">
        <f t="shared" si="29"/>
        <v>-2</v>
      </c>
      <c r="T81" s="178">
        <f t="shared" si="30"/>
        <v>4</v>
      </c>
      <c r="U81" s="253">
        <f t="shared" si="31"/>
        <v>-1.386773345117664</v>
      </c>
      <c r="V81" s="385">
        <f t="shared" si="32"/>
        <v>36.272309382224535</v>
      </c>
      <c r="W81" s="404"/>
      <c r="X81" s="157">
        <f t="shared" si="33"/>
        <v>43897</v>
      </c>
      <c r="Y81" s="387">
        <f t="shared" si="34"/>
        <v>26.672000000000001</v>
      </c>
      <c r="Z81" s="387">
        <f t="shared" si="35"/>
        <v>27.036965366750088</v>
      </c>
      <c r="AA81" s="388">
        <f t="shared" si="36"/>
        <v>30.013268199866829</v>
      </c>
      <c r="AB81" s="199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9.9166235855978696E-2</v>
      </c>
      <c r="AD81" s="233">
        <f>(INDEX(Models!$BJ81:$BT81,,AH81)*(1-AF81)+INDEX(Models!$BJ81:$BT81,,AH81+1)*AF81-ERP_i)*AE81*Ramure*Pc/MaxiM</f>
        <v>3.8619381887912215E-3</v>
      </c>
      <c r="AE81" s="307">
        <f t="shared" si="38"/>
        <v>1</v>
      </c>
      <c r="AF81" s="179">
        <f t="shared" si="39"/>
        <v>0.61322665488233596</v>
      </c>
      <c r="AG81" s="837">
        <f t="shared" si="47"/>
        <v>-2</v>
      </c>
      <c r="AH81" s="178">
        <f t="shared" si="40"/>
        <v>4</v>
      </c>
      <c r="AI81" s="227">
        <f t="shared" si="41"/>
        <v>-1.386773345117664</v>
      </c>
      <c r="AJ81" s="267" t="b">
        <f t="shared" si="42"/>
        <v>0</v>
      </c>
      <c r="AK81" s="267" t="b">
        <f t="shared" si="43"/>
        <v>0</v>
      </c>
      <c r="AL81" s="267"/>
      <c r="AM81" s="267"/>
      <c r="AN81" s="75"/>
    </row>
    <row r="82" spans="1:40" s="6" customFormat="1" ht="11.25" x14ac:dyDescent="0.2">
      <c r="A82" s="56">
        <f t="shared" si="44"/>
        <v>43898</v>
      </c>
      <c r="B82" s="618">
        <v>29.3</v>
      </c>
      <c r="C82" s="392"/>
      <c r="D82" s="395">
        <f t="shared" si="24"/>
        <v>29.701616711626485</v>
      </c>
      <c r="E82" s="387">
        <f t="shared" si="45"/>
        <v>32.975475721708897</v>
      </c>
      <c r="F82" s="387">
        <f t="shared" si="25"/>
        <v>33.066711662102904</v>
      </c>
      <c r="G82" s="110">
        <f t="shared" si="46"/>
        <v>0.79795568270832684</v>
      </c>
      <c r="H82" s="414" t="b">
        <f>Wh_hp&gt;='2019'!Maxi_hp</f>
        <v>1</v>
      </c>
      <c r="I82" s="382">
        <f>IF(H82,Wh_hp,'2019'!Maxi_hp)</f>
        <v>33.066711662102904</v>
      </c>
      <c r="J82" s="85">
        <f>IF(H82,An,'2019'!An_max)</f>
        <v>2020</v>
      </c>
      <c r="K82" s="199">
        <f t="shared" si="26"/>
        <v>43898</v>
      </c>
      <c r="L82" s="147">
        <f>IF(t&lt;Tvie,1-EXP((T0-t)*PertePVj)+'2019'!Pspv,1-EXP((T0-t)*PertePVj)+Pspv)</f>
        <v>1.3521712152095522E-2</v>
      </c>
      <c r="M82" s="870"/>
      <c r="N82" s="870"/>
      <c r="O82" s="48">
        <f>IF(t&lt;Tnet,'2019'!Resal+('2019'!Salim-'2019'!Resal)*(1-EXP(('2019'!Tnet-t)/('2019'!Tau_j))),Resal+(Salim-Resal)*(1-EXP((Tnet-t)/(Tau_j))))*Salcycl</f>
        <v>9.9281630922070888E-2</v>
      </c>
      <c r="P82" s="171">
        <f>(INDEX(Models!$BJ82:$BT82,,T82)*(1-R82)+INDEX(Models!$BJ82:$BT82,,T82+1)*R82-ERP_i)*Q82*Ramure*Pc/MaxiM</f>
        <v>3.8717355067509388E-3</v>
      </c>
      <c r="Q82" s="307">
        <f t="shared" si="27"/>
        <v>1</v>
      </c>
      <c r="R82" s="179">
        <f t="shared" si="28"/>
        <v>0.61381887501655763</v>
      </c>
      <c r="S82" s="837">
        <f t="shared" si="29"/>
        <v>-2</v>
      </c>
      <c r="T82" s="178">
        <f t="shared" si="30"/>
        <v>4</v>
      </c>
      <c r="U82" s="253">
        <f t="shared" si="31"/>
        <v>-1.3861811249834424</v>
      </c>
      <c r="V82" s="385">
        <f t="shared" si="32"/>
        <v>36.677865220763934</v>
      </c>
      <c r="W82" s="404"/>
      <c r="X82" s="157">
        <f t="shared" si="33"/>
        <v>43898</v>
      </c>
      <c r="Y82" s="387">
        <f t="shared" si="34"/>
        <v>29.3</v>
      </c>
      <c r="Z82" s="387">
        <f t="shared" si="35"/>
        <v>29.701616711626485</v>
      </c>
      <c r="AA82" s="388">
        <f t="shared" si="36"/>
        <v>32.975475721708897</v>
      </c>
      <c r="AB82" s="199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9.9281630922070888E-2</v>
      </c>
      <c r="AD82" s="233">
        <f>(INDEX(Models!$BJ82:$BT82,,AH82)*(1-AF82)+INDEX(Models!$BJ82:$BT82,,AH82+1)*AF82-ERP_i)*AE82*Ramure*Pc/MaxiM</f>
        <v>3.8717355067509388E-3</v>
      </c>
      <c r="AE82" s="307">
        <f t="shared" si="38"/>
        <v>1</v>
      </c>
      <c r="AF82" s="179">
        <f t="shared" si="39"/>
        <v>0.61381887501655763</v>
      </c>
      <c r="AG82" s="837">
        <f t="shared" si="47"/>
        <v>-2</v>
      </c>
      <c r="AH82" s="178">
        <f t="shared" si="40"/>
        <v>4</v>
      </c>
      <c r="AI82" s="227">
        <f t="shared" si="41"/>
        <v>-1.3861811249834424</v>
      </c>
      <c r="AJ82" s="267" t="b">
        <f t="shared" si="42"/>
        <v>0</v>
      </c>
      <c r="AK82" s="267" t="b">
        <f t="shared" si="43"/>
        <v>0</v>
      </c>
      <c r="AL82" s="267"/>
      <c r="AM82" s="267"/>
      <c r="AN82" s="75"/>
    </row>
    <row r="83" spans="1:40" s="6" customFormat="1" ht="11.25" customHeight="1" x14ac:dyDescent="0.2">
      <c r="A83" s="56">
        <f t="shared" si="44"/>
        <v>43899</v>
      </c>
      <c r="B83" s="618">
        <v>26.603999999999999</v>
      </c>
      <c r="C83" s="392"/>
      <c r="D83" s="395">
        <f t="shared" si="24"/>
        <v>26.96929010611521</v>
      </c>
      <c r="E83" s="387">
        <f t="shared" si="45"/>
        <v>29.945814498613395</v>
      </c>
      <c r="F83" s="387">
        <f t="shared" si="25"/>
        <v>30.015230721377716</v>
      </c>
      <c r="G83" s="110">
        <f t="shared" si="46"/>
        <v>0.71624017888947145</v>
      </c>
      <c r="H83" s="414" t="b">
        <f>Wh_hp&gt;='2019'!Maxi_hp</f>
        <v>1</v>
      </c>
      <c r="I83" s="382">
        <f>IF(H83,Wh_hp,'2019'!Maxi_hp)</f>
        <v>30.015230721377716</v>
      </c>
      <c r="J83" s="85">
        <f>IF(H83,An,'2019'!An_max)</f>
        <v>2020</v>
      </c>
      <c r="K83" s="199">
        <f t="shared" si="26"/>
        <v>43899</v>
      </c>
      <c r="L83" s="147">
        <f>IF(t&lt;Tvie,1-EXP((T0-t)*PertePVj)+'2019'!Pspv,1-EXP((T0-t)*PertePVj)+Pspv)</f>
        <v>1.3544668943005767E-2</v>
      </c>
      <c r="M83" s="870"/>
      <c r="N83" s="870"/>
      <c r="O83" s="48">
        <f>IF(t&lt;Tnet,'2019'!Resal+('2019'!Salim-'2019'!Resal)*(1-EXP(('2019'!Tnet-t)/('2019'!Tau_j))),Resal+(Salim-Resal)*(1-EXP((Tnet-t)/(Tau_j))))*Salcycl</f>
        <v>9.9397008975528417E-2</v>
      </c>
      <c r="P83" s="171">
        <f>(INDEX(Models!$BJ83:$BT83,,T83)*(1-R83)+INDEX(Models!$BJ83:$BT83,,T83+1)*R83-ERP_i)*Q83*Ramure*Pc/MaxiM</f>
        <v>3.8788232215774096E-3</v>
      </c>
      <c r="Q83" s="307">
        <f t="shared" si="27"/>
        <v>1</v>
      </c>
      <c r="R83" s="179">
        <f t="shared" si="28"/>
        <v>0.61443485442442913</v>
      </c>
      <c r="S83" s="837">
        <f t="shared" si="29"/>
        <v>-2</v>
      </c>
      <c r="T83" s="178">
        <f t="shared" si="30"/>
        <v>4</v>
      </c>
      <c r="U83" s="253">
        <f t="shared" si="31"/>
        <v>-1.3855651455755709</v>
      </c>
      <c r="V83" s="385">
        <f t="shared" si="32"/>
        <v>37.085657935976485</v>
      </c>
      <c r="W83" s="404"/>
      <c r="X83" s="157">
        <f t="shared" si="33"/>
        <v>43899</v>
      </c>
      <c r="Y83" s="387">
        <f t="shared" si="34"/>
        <v>26.603999999999999</v>
      </c>
      <c r="Z83" s="387">
        <f t="shared" si="35"/>
        <v>26.96929010611521</v>
      </c>
      <c r="AA83" s="388">
        <f t="shared" si="36"/>
        <v>29.945814498613395</v>
      </c>
      <c r="AB83" s="199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9.9397008975528417E-2</v>
      </c>
      <c r="AD83" s="233">
        <f>(INDEX(Models!$BJ83:$BT83,,AH83)*(1-AF83)+INDEX(Models!$BJ83:$BT83,,AH83+1)*AF83-ERP_i)*AE83*Ramure*Pc/MaxiM</f>
        <v>3.8788232215774096E-3</v>
      </c>
      <c r="AE83" s="307">
        <f t="shared" si="38"/>
        <v>1</v>
      </c>
      <c r="AF83" s="179">
        <f t="shared" si="39"/>
        <v>0.61443485442442913</v>
      </c>
      <c r="AG83" s="837">
        <f t="shared" si="47"/>
        <v>-2</v>
      </c>
      <c r="AH83" s="178">
        <f t="shared" si="40"/>
        <v>4</v>
      </c>
      <c r="AI83" s="227">
        <f t="shared" si="41"/>
        <v>-1.3855651455755709</v>
      </c>
      <c r="AJ83" s="267" t="b">
        <f t="shared" si="42"/>
        <v>0</v>
      </c>
      <c r="AK83" s="267" t="b">
        <f t="shared" si="43"/>
        <v>0</v>
      </c>
      <c r="AL83" s="267"/>
      <c r="AM83" s="267"/>
      <c r="AN83" s="75"/>
    </row>
    <row r="84" spans="1:40" s="6" customFormat="1" ht="11.25" customHeight="1" x14ac:dyDescent="0.2">
      <c r="A84" s="56">
        <f t="shared" si="44"/>
        <v>43900</v>
      </c>
      <c r="B84" s="618">
        <v>28.751000000000001</v>
      </c>
      <c r="C84" s="392"/>
      <c r="D84" s="395">
        <f t="shared" si="24"/>
        <v>29.146448083498786</v>
      </c>
      <c r="E84" s="387">
        <f t="shared" si="45"/>
        <v>32.367407259927404</v>
      </c>
      <c r="F84" s="387">
        <f t="shared" si="25"/>
        <v>32.451443764073097</v>
      </c>
      <c r="G84" s="110">
        <f t="shared" si="46"/>
        <v>0.76579929072078545</v>
      </c>
      <c r="H84" s="414" t="b">
        <f>Wh_hp&gt;='2019'!Maxi_hp</f>
        <v>0</v>
      </c>
      <c r="I84" s="382">
        <f>IF(H84,Wh_hp,'2019'!Maxi_hp)</f>
        <v>33.082890956820819</v>
      </c>
      <c r="J84" s="85">
        <f>IF(H84,An,'2019'!An_max)</f>
        <v>2019</v>
      </c>
      <c r="K84" s="199">
        <f t="shared" si="26"/>
        <v>43900</v>
      </c>
      <c r="L84" s="147">
        <f>IF(t&lt;Tvie,1-EXP((T0-t)*PertePVj)+'2019'!Pspv,1-EXP((T0-t)*PertePVj)+Pspv)</f>
        <v>1.3567625199678024E-2</v>
      </c>
      <c r="M84" s="870"/>
      <c r="N84" s="870"/>
      <c r="O84" s="48">
        <f>IF(t&lt;Tnet,'2019'!Resal+('2019'!Salim-'2019'!Resal)*(1-EXP(('2019'!Tnet-t)/('2019'!Tau_j))),Resal+(Salim-Resal)*(1-EXP((Tnet-t)/(Tau_j))))*Salcycl</f>
        <v>9.9512424661098553E-2</v>
      </c>
      <c r="P84" s="171">
        <f>(INDEX(Models!$BJ84:$BT84,,T84)*(1-R84)+INDEX(Models!$BJ84:$BT84,,T84+1)*R84-ERP_i)*Q84*Ramure*Pc/MaxiM</f>
        <v>3.8833525557107505E-3</v>
      </c>
      <c r="Q84" s="307">
        <f t="shared" si="27"/>
        <v>1</v>
      </c>
      <c r="R84" s="179">
        <f t="shared" si="28"/>
        <v>0.61507550003515976</v>
      </c>
      <c r="S84" s="837">
        <f t="shared" si="29"/>
        <v>-2</v>
      </c>
      <c r="T84" s="178">
        <f t="shared" si="30"/>
        <v>4</v>
      </c>
      <c r="U84" s="253">
        <f t="shared" si="31"/>
        <v>-1.3849244999648402</v>
      </c>
      <c r="V84" s="385">
        <f t="shared" si="32"/>
        <v>37.495081689497653</v>
      </c>
      <c r="W84" s="404"/>
      <c r="X84" s="157">
        <f t="shared" si="33"/>
        <v>43900</v>
      </c>
      <c r="Y84" s="387">
        <f t="shared" si="34"/>
        <v>28.750999999999998</v>
      </c>
      <c r="Z84" s="387">
        <f t="shared" si="35"/>
        <v>29.146448083498782</v>
      </c>
      <c r="AA84" s="388">
        <f t="shared" si="36"/>
        <v>32.367407259927404</v>
      </c>
      <c r="AB84" s="199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9.9512424661098553E-2</v>
      </c>
      <c r="AD84" s="233">
        <f>(INDEX(Models!$BJ84:$BT84,,AH84)*(1-AF84)+INDEX(Models!$BJ84:$BT84,,AH84+1)*AF84-ERP_i)*AE84*Ramure*Pc/MaxiM</f>
        <v>3.8833525557107505E-3</v>
      </c>
      <c r="AE84" s="307">
        <f t="shared" si="38"/>
        <v>1</v>
      </c>
      <c r="AF84" s="179">
        <f t="shared" si="39"/>
        <v>0.61507550003515976</v>
      </c>
      <c r="AG84" s="837">
        <f t="shared" si="47"/>
        <v>-2</v>
      </c>
      <c r="AH84" s="178">
        <f t="shared" si="40"/>
        <v>4</v>
      </c>
      <c r="AI84" s="227">
        <f t="shared" si="41"/>
        <v>-1.3849244999648402</v>
      </c>
      <c r="AJ84" s="267" t="b">
        <f t="shared" si="42"/>
        <v>0</v>
      </c>
      <c r="AK84" s="267" t="b">
        <f t="shared" si="43"/>
        <v>0</v>
      </c>
      <c r="AL84" s="267"/>
      <c r="AM84" s="267"/>
      <c r="AN84" s="75"/>
    </row>
    <row r="85" spans="1:40" s="6" customFormat="1" ht="11.25" customHeight="1" x14ac:dyDescent="0.2">
      <c r="A85" s="56">
        <f t="shared" si="44"/>
        <v>43901</v>
      </c>
      <c r="B85" s="618">
        <v>35.399000000000001</v>
      </c>
      <c r="C85" s="392"/>
      <c r="D85" s="395">
        <f t="shared" si="24"/>
        <v>35.886721391095421</v>
      </c>
      <c r="E85" s="387">
        <f t="shared" si="45"/>
        <v>39.857657546003772</v>
      </c>
      <c r="F85" s="387">
        <f t="shared" si="25"/>
        <v>39.998388958381668</v>
      </c>
      <c r="G85" s="110">
        <f t="shared" si="46"/>
        <v>0.93353029184782221</v>
      </c>
      <c r="H85" s="414" t="b">
        <f>Wh_hp&gt;='2019'!Maxi_hp</f>
        <v>1</v>
      </c>
      <c r="I85" s="382">
        <f>IF(H85,Wh_hp,'2019'!Maxi_hp)</f>
        <v>39.998388958381668</v>
      </c>
      <c r="J85" s="85">
        <f>IF(H85,An,'2019'!An_max)</f>
        <v>2020</v>
      </c>
      <c r="K85" s="199">
        <f t="shared" si="26"/>
        <v>43901</v>
      </c>
      <c r="L85" s="147">
        <f>IF(t&lt;Tvie,1-EXP((T0-t)*PertePVj)+'2019'!Pspv,1-EXP((T0-t)*PertePVj)+Pspv)</f>
        <v>1.3590580922124507E-2</v>
      </c>
      <c r="M85" s="870"/>
      <c r="N85" s="870"/>
      <c r="O85" s="48">
        <f>IF(t&lt;Tnet,'2019'!Resal+('2019'!Salim-'2019'!Resal)*(1-EXP(('2019'!Tnet-t)/('2019'!Tau_j))),Resal+(Salim-Resal)*(1-EXP((Tnet-t)/(Tau_j))))*Salcycl</f>
        <v>9.9627935995111841E-2</v>
      </c>
      <c r="P85" s="171">
        <f>(INDEX(Models!$BJ85:$BT85,,T85)*(1-R85)+INDEX(Models!$BJ85:$BT85,,T85+1)*R85-ERP_i)*Q85*Ramure*Pc/MaxiM</f>
        <v>3.8854691161848212E-3</v>
      </c>
      <c r="Q85" s="307">
        <f t="shared" si="27"/>
        <v>1</v>
      </c>
      <c r="R85" s="179">
        <f t="shared" si="28"/>
        <v>0.6157417495342572</v>
      </c>
      <c r="S85" s="837">
        <f t="shared" si="29"/>
        <v>-2</v>
      </c>
      <c r="T85" s="178">
        <f t="shared" si="30"/>
        <v>4</v>
      </c>
      <c r="U85" s="253">
        <f t="shared" si="31"/>
        <v>-1.3842582504657428</v>
      </c>
      <c r="V85" s="385">
        <f t="shared" si="32"/>
        <v>37.905530768210305</v>
      </c>
      <c r="W85" s="404"/>
      <c r="X85" s="157">
        <f t="shared" si="33"/>
        <v>43901</v>
      </c>
      <c r="Y85" s="387">
        <f t="shared" si="34"/>
        <v>35.399000000000001</v>
      </c>
      <c r="Z85" s="387">
        <f t="shared" si="35"/>
        <v>35.886721391095421</v>
      </c>
      <c r="AA85" s="388">
        <f t="shared" si="36"/>
        <v>39.857657546003772</v>
      </c>
      <c r="AB85" s="199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9.9627935995111841E-2</v>
      </c>
      <c r="AD85" s="233">
        <f>(INDEX(Models!$BJ85:$BT85,,AH85)*(1-AF85)+INDEX(Models!$BJ85:$BT85,,AH85+1)*AF85-ERP_i)*AE85*Ramure*Pc/MaxiM</f>
        <v>3.8854691161848212E-3</v>
      </c>
      <c r="AE85" s="307">
        <f t="shared" si="38"/>
        <v>1</v>
      </c>
      <c r="AF85" s="179">
        <f t="shared" si="39"/>
        <v>0.6157417495342572</v>
      </c>
      <c r="AG85" s="837">
        <f t="shared" si="47"/>
        <v>-2</v>
      </c>
      <c r="AH85" s="178">
        <f t="shared" si="40"/>
        <v>4</v>
      </c>
      <c r="AI85" s="227">
        <f t="shared" si="41"/>
        <v>-1.3842582504657428</v>
      </c>
      <c r="AJ85" s="267" t="b">
        <f t="shared" si="42"/>
        <v>0</v>
      </c>
      <c r="AK85" s="267" t="b">
        <f t="shared" si="43"/>
        <v>0</v>
      </c>
      <c r="AL85" s="267"/>
      <c r="AM85" s="267"/>
      <c r="AN85" s="75"/>
    </row>
    <row r="86" spans="1:40" s="6" customFormat="1" ht="11.25" customHeight="1" x14ac:dyDescent="0.2">
      <c r="A86" s="56">
        <f t="shared" si="44"/>
        <v>43902</v>
      </c>
      <c r="B86" s="618">
        <v>15.085000000000001</v>
      </c>
      <c r="C86" s="392"/>
      <c r="D86" s="395">
        <f t="shared" si="24"/>
        <v>15.293194454955259</v>
      </c>
      <c r="E86" s="387">
        <f t="shared" si="45"/>
        <v>16.987598784255255</v>
      </c>
      <c r="F86" s="387">
        <f t="shared" si="25"/>
        <v>16.996431104688778</v>
      </c>
      <c r="G86" s="110">
        <f t="shared" si="46"/>
        <v>0.39236992136937671</v>
      </c>
      <c r="H86" s="414" t="b">
        <f>Wh_hp&gt;='2019'!Maxi_hp</f>
        <v>0</v>
      </c>
      <c r="I86" s="382">
        <f>IF(H86,Wh_hp,'2019'!Maxi_hp)</f>
        <v>21.480461309408415</v>
      </c>
      <c r="J86" s="85">
        <f>IF(H86,An,'2019'!An_max)</f>
        <v>2019</v>
      </c>
      <c r="K86" s="199">
        <f t="shared" si="26"/>
        <v>43902</v>
      </c>
      <c r="L86" s="147">
        <f>IF(t&lt;Tvie,1-EXP((T0-t)*PertePVj)+'2019'!Pspv,1-EXP((T0-t)*PertePVj)+Pspv)</f>
        <v>1.3613536110357871E-2</v>
      </c>
      <c r="M86" s="870"/>
      <c r="N86" s="870"/>
      <c r="O86" s="48">
        <f>IF(t&lt;Tnet,'2019'!Resal+('2019'!Salim-'2019'!Resal)*(1-EXP(('2019'!Tnet-t)/('2019'!Tau_j))),Resal+(Salim-Resal)*(1-EXP((Tnet-t)/(Tau_j))))*Salcycl</f>
        <v>9.9743604191454935E-2</v>
      </c>
      <c r="P86" s="171">
        <f>(INDEX(Models!$BJ86:$BT86,,T86)*(1-R86)+INDEX(Models!$BJ86:$BT86,,T86+1)*R86-ERP_i)*Q86*Ramure*Pc/MaxiM</f>
        <v>3.8824064070137458E-3</v>
      </c>
      <c r="Q86" s="307">
        <f t="shared" si="27"/>
        <v>1</v>
      </c>
      <c r="R86" s="179">
        <f t="shared" si="28"/>
        <v>0.6164345720798412</v>
      </c>
      <c r="S86" s="837">
        <f t="shared" si="29"/>
        <v>-2</v>
      </c>
      <c r="T86" s="178">
        <f t="shared" si="30"/>
        <v>4</v>
      </c>
      <c r="U86" s="253">
        <f t="shared" si="31"/>
        <v>-1.3835654279201588</v>
      </c>
      <c r="V86" s="385">
        <f t="shared" si="32"/>
        <v>38.316511377022287</v>
      </c>
      <c r="W86" s="404"/>
      <c r="X86" s="157">
        <f t="shared" si="33"/>
        <v>43902</v>
      </c>
      <c r="Y86" s="387">
        <f t="shared" si="34"/>
        <v>15.085000000000001</v>
      </c>
      <c r="Z86" s="387">
        <f t="shared" si="35"/>
        <v>15.293194454955259</v>
      </c>
      <c r="AA86" s="388">
        <f t="shared" si="36"/>
        <v>16.987598784255255</v>
      </c>
      <c r="AB86" s="199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9.9743604191454935E-2</v>
      </c>
      <c r="AD86" s="233">
        <f>(INDEX(Models!$BJ86:$BT86,,AH86)*(1-AF86)+INDEX(Models!$BJ86:$BT86,,AH86+1)*AF86-ERP_i)*AE86*Ramure*Pc/MaxiM</f>
        <v>3.8824064070137458E-3</v>
      </c>
      <c r="AE86" s="307">
        <f t="shared" si="38"/>
        <v>1</v>
      </c>
      <c r="AF86" s="179">
        <f t="shared" si="39"/>
        <v>0.6164345720798412</v>
      </c>
      <c r="AG86" s="837">
        <f t="shared" si="47"/>
        <v>-2</v>
      </c>
      <c r="AH86" s="178">
        <f t="shared" si="40"/>
        <v>4</v>
      </c>
      <c r="AI86" s="227">
        <f t="shared" si="41"/>
        <v>-1.3835654279201588</v>
      </c>
      <c r="AJ86" s="267" t="b">
        <f t="shared" si="42"/>
        <v>0</v>
      </c>
      <c r="AK86" s="267" t="b">
        <f t="shared" si="43"/>
        <v>0</v>
      </c>
      <c r="AL86" s="267"/>
      <c r="AM86" s="267"/>
      <c r="AN86" s="75"/>
    </row>
    <row r="87" spans="1:40" s="6" customFormat="1" ht="11.25" customHeight="1" x14ac:dyDescent="0.2">
      <c r="A87" s="56">
        <f t="shared" si="44"/>
        <v>43903</v>
      </c>
      <c r="B87" s="618">
        <v>33.51</v>
      </c>
      <c r="C87" s="392"/>
      <c r="D87" s="395">
        <f t="shared" si="24"/>
        <v>33.973276268065561</v>
      </c>
      <c r="E87" s="387">
        <f t="shared" si="45"/>
        <v>37.742192492944945</v>
      </c>
      <c r="F87" s="387">
        <f t="shared" si="25"/>
        <v>37.860664680473128</v>
      </c>
      <c r="G87" s="110">
        <f t="shared" si="46"/>
        <v>0.86463158937956552</v>
      </c>
      <c r="H87" s="414" t="b">
        <f>Wh_hp&gt;='2019'!Maxi_hp</f>
        <v>1</v>
      </c>
      <c r="I87" s="382">
        <f>IF(H87,Wh_hp,'2019'!Maxi_hp)</f>
        <v>37.860664680473128</v>
      </c>
      <c r="J87" s="85">
        <f>IF(H87,An,'2019'!An_max)</f>
        <v>2020</v>
      </c>
      <c r="K87" s="199">
        <f t="shared" si="26"/>
        <v>43903</v>
      </c>
      <c r="L87" s="147">
        <f>IF(t&lt;Tvie,1-EXP((T0-t)*PertePVj)+'2019'!Pspv,1-EXP((T0-t)*PertePVj)+Pspv)</f>
        <v>1.3636490764390552E-2</v>
      </c>
      <c r="M87" s="870"/>
      <c r="N87" s="870"/>
      <c r="O87" s="48">
        <f>IF(t&lt;Tnet,'2019'!Resal+('2019'!Salim-'2019'!Resal)*(1-EXP(('2019'!Tnet-t)/('2019'!Tau_j))),Resal+(Salim-Resal)*(1-EXP((Tnet-t)/(Tau_j))))*Salcycl</f>
        <v>9.985949347229621E-2</v>
      </c>
      <c r="P87" s="171">
        <f>(INDEX(Models!$BJ87:$BT87,,T87)*(1-R87)+INDEX(Models!$BJ87:$BT87,,T87+1)*R87-ERP_i)*Q87*Ramure*Pc/MaxiM</f>
        <v>3.8749261697205977E-3</v>
      </c>
      <c r="Q87" s="307">
        <f t="shared" si="27"/>
        <v>1</v>
      </c>
      <c r="R87" s="179">
        <f t="shared" si="28"/>
        <v>0.61715496900609401</v>
      </c>
      <c r="S87" s="837">
        <f t="shared" si="29"/>
        <v>-2</v>
      </c>
      <c r="T87" s="178">
        <f t="shared" si="30"/>
        <v>4</v>
      </c>
      <c r="U87" s="253">
        <f t="shared" si="31"/>
        <v>-1.382845030993906</v>
      </c>
      <c r="V87" s="385">
        <f t="shared" si="32"/>
        <v>38.727397239991774</v>
      </c>
      <c r="W87" s="404"/>
      <c r="X87" s="157">
        <f t="shared" si="33"/>
        <v>43903</v>
      </c>
      <c r="Y87" s="387">
        <f t="shared" si="34"/>
        <v>33.51</v>
      </c>
      <c r="Z87" s="387">
        <f t="shared" si="35"/>
        <v>33.973276268065561</v>
      </c>
      <c r="AA87" s="388">
        <f t="shared" si="36"/>
        <v>37.742192492944945</v>
      </c>
      <c r="AB87" s="199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9.985949347229621E-2</v>
      </c>
      <c r="AD87" s="233">
        <f>(INDEX(Models!$BJ87:$BT87,,AH87)*(1-AF87)+INDEX(Models!$BJ87:$BT87,,AH87+1)*AF87-ERP_i)*AE87*Ramure*Pc/MaxiM</f>
        <v>3.8749261697205977E-3</v>
      </c>
      <c r="AE87" s="307">
        <f t="shared" si="38"/>
        <v>1</v>
      </c>
      <c r="AF87" s="179">
        <f t="shared" si="39"/>
        <v>0.61715496900609401</v>
      </c>
      <c r="AG87" s="837">
        <f t="shared" si="47"/>
        <v>-2</v>
      </c>
      <c r="AH87" s="178">
        <f t="shared" si="40"/>
        <v>4</v>
      </c>
      <c r="AI87" s="227">
        <f t="shared" si="41"/>
        <v>-1.382845030993906</v>
      </c>
      <c r="AJ87" s="267" t="b">
        <f t="shared" si="42"/>
        <v>0</v>
      </c>
      <c r="AK87" s="267" t="b">
        <f t="shared" si="43"/>
        <v>0</v>
      </c>
      <c r="AL87" s="267"/>
      <c r="AM87" s="267"/>
      <c r="AN87" s="75"/>
    </row>
    <row r="88" spans="1:40" s="6" customFormat="1" ht="11.25" x14ac:dyDescent="0.2">
      <c r="A88" s="56">
        <f t="shared" si="44"/>
        <v>43904</v>
      </c>
      <c r="B88" s="618">
        <v>28.385999999999999</v>
      </c>
      <c r="C88" s="392"/>
      <c r="D88" s="395">
        <f t="shared" si="24"/>
        <v>28.779106620703008</v>
      </c>
      <c r="E88" s="387">
        <f t="shared" si="45"/>
        <v>31.975920749140368</v>
      </c>
      <c r="F88" s="387">
        <f t="shared" si="25"/>
        <v>32.051148513928005</v>
      </c>
      <c r="G88" s="110">
        <f t="shared" si="46"/>
        <v>0.7241853025458741</v>
      </c>
      <c r="H88" s="414" t="b">
        <f>Wh_hp&gt;='2019'!Maxi_hp</f>
        <v>1</v>
      </c>
      <c r="I88" s="382">
        <f>IF(H88,Wh_hp,'2019'!Maxi_hp)</f>
        <v>32.051148513928005</v>
      </c>
      <c r="J88" s="85">
        <f>IF(H88,An,'2019'!An_max)</f>
        <v>2020</v>
      </c>
      <c r="K88" s="199">
        <f t="shared" si="26"/>
        <v>43904</v>
      </c>
      <c r="L88" s="147">
        <f>IF(t&lt;Tvie,1-EXP((T0-t)*PertePVj)+'2019'!Pspv,1-EXP((T0-t)*PertePVj)+Pspv)</f>
        <v>1.3659444884234762E-2</v>
      </c>
      <c r="M88" s="870"/>
      <c r="N88" s="870"/>
      <c r="O88" s="48">
        <f>IF(t&lt;Tnet,'2019'!Resal+('2019'!Salim-'2019'!Resal)*(1-EXP(('2019'!Tnet-t)/('2019'!Tau_j))),Resal+(Salim-Resal)*(1-EXP((Tnet-t)/(Tau_j))))*Salcycl</f>
        <v>9.9975670865499758E-2</v>
      </c>
      <c r="P88" s="171">
        <f>(INDEX(Models!$BJ88:$BT88,,T88)*(1-R88)+INDEX(Models!$BJ88:$BT88,,T88+1)*R88-ERP_i)*Q88*Ramure*Pc/MaxiM</f>
        <v>3.8632247872892179E-3</v>
      </c>
      <c r="Q88" s="307">
        <f t="shared" si="27"/>
        <v>1</v>
      </c>
      <c r="R88" s="179">
        <f t="shared" si="28"/>
        <v>0.61790397451037826</v>
      </c>
      <c r="S88" s="837">
        <f t="shared" si="29"/>
        <v>-2</v>
      </c>
      <c r="T88" s="178">
        <f t="shared" si="30"/>
        <v>4</v>
      </c>
      <c r="U88" s="253">
        <f t="shared" si="31"/>
        <v>-1.3820960254896217</v>
      </c>
      <c r="V88" s="385">
        <f t="shared" si="32"/>
        <v>39.137583141667747</v>
      </c>
      <c r="W88" s="404"/>
      <c r="X88" s="157">
        <f t="shared" si="33"/>
        <v>43904</v>
      </c>
      <c r="Y88" s="387">
        <f t="shared" si="34"/>
        <v>28.385999999999999</v>
      </c>
      <c r="Z88" s="387">
        <f t="shared" si="35"/>
        <v>28.779106620703008</v>
      </c>
      <c r="AA88" s="388">
        <f t="shared" si="36"/>
        <v>31.975920749140368</v>
      </c>
      <c r="AB88" s="199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9.9975670865499758E-2</v>
      </c>
      <c r="AD88" s="233">
        <f>(INDEX(Models!$BJ88:$BT88,,AH88)*(1-AF88)+INDEX(Models!$BJ88:$BT88,,AH88+1)*AF88-ERP_i)*AE88*Ramure*Pc/MaxiM</f>
        <v>3.8632247872892179E-3</v>
      </c>
      <c r="AE88" s="307">
        <f t="shared" si="38"/>
        <v>1</v>
      </c>
      <c r="AF88" s="179">
        <f t="shared" si="39"/>
        <v>0.61790397451037826</v>
      </c>
      <c r="AG88" s="837">
        <f t="shared" si="47"/>
        <v>-2</v>
      </c>
      <c r="AH88" s="178">
        <f t="shared" si="40"/>
        <v>4</v>
      </c>
      <c r="AI88" s="227">
        <f t="shared" si="41"/>
        <v>-1.3820960254896217</v>
      </c>
      <c r="AJ88" s="267" t="b">
        <f t="shared" si="42"/>
        <v>0</v>
      </c>
      <c r="AK88" s="267" t="b">
        <f t="shared" si="43"/>
        <v>0</v>
      </c>
      <c r="AL88" s="267"/>
      <c r="AM88" s="267"/>
      <c r="AN88" s="75"/>
    </row>
    <row r="89" spans="1:40" s="6" customFormat="1" ht="11.25" customHeight="1" x14ac:dyDescent="0.2">
      <c r="A89" s="56">
        <f t="shared" si="44"/>
        <v>43905</v>
      </c>
      <c r="B89" s="618">
        <v>40.573</v>
      </c>
      <c r="C89" s="392"/>
      <c r="D89" s="395">
        <f t="shared" si="24"/>
        <v>41.135836912023251</v>
      </c>
      <c r="E89" s="387">
        <f t="shared" si="45"/>
        <v>45.711168617346431</v>
      </c>
      <c r="F89" s="387">
        <f t="shared" si="25"/>
        <v>45.887721120206436</v>
      </c>
      <c r="G89" s="110">
        <f t="shared" si="46"/>
        <v>1.0259577187364197</v>
      </c>
      <c r="H89" s="414" t="b">
        <f>Wh_hp&gt;='2019'!Maxi_hp</f>
        <v>1</v>
      </c>
      <c r="I89" s="382">
        <f>IF(H89,Wh_hp,'2019'!Maxi_hp)</f>
        <v>45.887721120206436</v>
      </c>
      <c r="J89" s="85">
        <f>IF(H89,An,'2019'!An_max)</f>
        <v>2020</v>
      </c>
      <c r="K89" s="199">
        <f t="shared" si="26"/>
        <v>43905</v>
      </c>
      <c r="L89" s="147">
        <f>IF(t&lt;Tvie,1-EXP((T0-t)*PertePVj)+'2019'!Pspv,1-EXP((T0-t)*PertePVj)+Pspv)</f>
        <v>1.3682398469903156E-2</v>
      </c>
      <c r="M89" s="870"/>
      <c r="N89" s="870"/>
      <c r="O89" s="48">
        <f>IF(t&lt;Tnet,'2019'!Resal+('2019'!Salim-'2019'!Resal)*(1-EXP(('2019'!Tnet-t)/('2019'!Tau_j))),Resal+(Salim-Resal)*(1-EXP((Tnet-t)/(Tau_j))))*Salcycl</f>
        <v>0.10009220599070258</v>
      </c>
      <c r="P89" s="171">
        <f>(INDEX(Models!$BJ89:$BT89,,T89)*(1-R89)+INDEX(Models!$BJ89:$BT89,,T89+1)*R89-ERP_i)*Q89*Ramure*Pc/MaxiM</f>
        <v>3.8474890134010788E-3</v>
      </c>
      <c r="Q89" s="307">
        <f t="shared" si="27"/>
        <v>1</v>
      </c>
      <c r="R89" s="179">
        <f t="shared" si="28"/>
        <v>0.61868265632025898</v>
      </c>
      <c r="S89" s="837">
        <f t="shared" si="29"/>
        <v>-2</v>
      </c>
      <c r="T89" s="178">
        <f t="shared" si="30"/>
        <v>4</v>
      </c>
      <c r="U89" s="253">
        <f t="shared" si="31"/>
        <v>-1.381317343679741</v>
      </c>
      <c r="V89" s="385">
        <f t="shared" si="32"/>
        <v>39.546464010203209</v>
      </c>
      <c r="W89" s="404"/>
      <c r="X89" s="157">
        <f t="shared" si="33"/>
        <v>43905</v>
      </c>
      <c r="Y89" s="387">
        <f t="shared" si="34"/>
        <v>40.573</v>
      </c>
      <c r="Z89" s="387">
        <f t="shared" si="35"/>
        <v>41.135836912023251</v>
      </c>
      <c r="AA89" s="388">
        <f t="shared" si="36"/>
        <v>45.711168617346431</v>
      </c>
      <c r="AB89" s="199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0.10009220599070258</v>
      </c>
      <c r="AD89" s="233">
        <f>(INDEX(Models!$BJ89:$BT89,,AH89)*(1-AF89)+INDEX(Models!$BJ89:$BT89,,AH89+1)*AF89-ERP_i)*AE89*Ramure*Pc/MaxiM</f>
        <v>3.8474890134010788E-3</v>
      </c>
      <c r="AE89" s="307">
        <f t="shared" si="38"/>
        <v>1</v>
      </c>
      <c r="AF89" s="179">
        <f t="shared" si="39"/>
        <v>0.61868265632025898</v>
      </c>
      <c r="AG89" s="837">
        <f t="shared" si="47"/>
        <v>-2</v>
      </c>
      <c r="AH89" s="178">
        <f t="shared" si="40"/>
        <v>4</v>
      </c>
      <c r="AI89" s="227">
        <f t="shared" si="41"/>
        <v>-1.381317343679741</v>
      </c>
      <c r="AJ89" s="267" t="b">
        <f t="shared" si="42"/>
        <v>0</v>
      </c>
      <c r="AK89" s="267" t="b">
        <f t="shared" si="43"/>
        <v>0</v>
      </c>
      <c r="AL89" s="267"/>
      <c r="AM89" s="267"/>
      <c r="AN89" s="75"/>
    </row>
    <row r="90" spans="1:40" s="6" customFormat="1" ht="11.25" customHeight="1" x14ac:dyDescent="0.2">
      <c r="A90" s="56">
        <f t="shared" si="44"/>
        <v>43906</v>
      </c>
      <c r="B90" s="618">
        <v>8.57</v>
      </c>
      <c r="C90" s="392"/>
      <c r="D90" s="395">
        <f t="shared" si="24"/>
        <v>8.6890869916202487</v>
      </c>
      <c r="E90" s="387">
        <f t="shared" si="45"/>
        <v>9.6567854550081762</v>
      </c>
      <c r="F90" s="387">
        <f t="shared" si="25"/>
        <v>9.6567854550081762</v>
      </c>
      <c r="G90" s="110">
        <f t="shared" si="46"/>
        <v>0.21367862233999063</v>
      </c>
      <c r="H90" s="414" t="b">
        <f>Wh_hp&gt;='2019'!Maxi_hp</f>
        <v>0</v>
      </c>
      <c r="I90" s="382">
        <f>IF(H90,Wh_hp,'2019'!Maxi_hp)</f>
        <v>16.462958077872468</v>
      </c>
      <c r="J90" s="85">
        <f>IF(H90,An,'2019'!An_max)</f>
        <v>2019</v>
      </c>
      <c r="K90" s="199">
        <f t="shared" si="26"/>
        <v>43906</v>
      </c>
      <c r="L90" s="147">
        <f>IF(t&lt;Tvie,1-EXP((T0-t)*PertePVj)+'2019'!Pspv,1-EXP((T0-t)*PertePVj)+Pspv)</f>
        <v>1.3705351521407949E-2</v>
      </c>
      <c r="M90" s="870"/>
      <c r="N90" s="870"/>
      <c r="O90" s="48">
        <f>IF(t&lt;Tnet,'2019'!Resal+('2019'!Salim-'2019'!Resal)*(1-EXP(('2019'!Tnet-t)/('2019'!Tau_j))),Resal+(Salim-Resal)*(1-EXP((Tnet-t)/(Tau_j))))*Salcycl</f>
        <v>0.10020917083604287</v>
      </c>
      <c r="P90" s="171">
        <f>(INDEX(Models!$BJ90:$BT90,,T90)*(1-R90)+INDEX(Models!$BJ90:$BT90,,T90+1)*R90-ERP_i)*Q90*Ramure*Pc/MaxiM</f>
        <v>3.8278958869503174E-3</v>
      </c>
      <c r="Q90" s="307">
        <f t="shared" si="27"/>
        <v>1</v>
      </c>
      <c r="R90" s="179">
        <f t="shared" si="28"/>
        <v>0.61949211633632895</v>
      </c>
      <c r="S90" s="837">
        <f t="shared" si="29"/>
        <v>-2</v>
      </c>
      <c r="T90" s="178">
        <f t="shared" si="30"/>
        <v>4</v>
      </c>
      <c r="U90" s="253">
        <f t="shared" si="31"/>
        <v>-1.3805078836636711</v>
      </c>
      <c r="V90" s="385">
        <f t="shared" si="32"/>
        <v>39.953434923710063</v>
      </c>
      <c r="W90" s="404"/>
      <c r="X90" s="157">
        <f t="shared" si="33"/>
        <v>43906</v>
      </c>
      <c r="Y90" s="387">
        <f t="shared" si="34"/>
        <v>8.57</v>
      </c>
      <c r="Z90" s="387">
        <f t="shared" si="35"/>
        <v>8.6890869916202487</v>
      </c>
      <c r="AA90" s="388">
        <f t="shared" si="36"/>
        <v>9.6567854550081762</v>
      </c>
      <c r="AB90" s="199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0.10020917083604287</v>
      </c>
      <c r="AD90" s="233">
        <f>(INDEX(Models!$BJ90:$BT90,,AH90)*(1-AF90)+INDEX(Models!$BJ90:$BT90,,AH90+1)*AF90-ERP_i)*AE90*Ramure*Pc/MaxiM</f>
        <v>3.8278958869503174E-3</v>
      </c>
      <c r="AE90" s="307">
        <f t="shared" si="38"/>
        <v>1</v>
      </c>
      <c r="AF90" s="179">
        <f t="shared" si="39"/>
        <v>0.61949211633632895</v>
      </c>
      <c r="AG90" s="837">
        <f t="shared" si="47"/>
        <v>-2</v>
      </c>
      <c r="AH90" s="178">
        <f t="shared" si="40"/>
        <v>4</v>
      </c>
      <c r="AI90" s="227">
        <f t="shared" si="41"/>
        <v>-1.3805078836636711</v>
      </c>
      <c r="AJ90" s="267" t="b">
        <f t="shared" si="42"/>
        <v>0</v>
      </c>
      <c r="AK90" s="267" t="b">
        <f t="shared" si="43"/>
        <v>0</v>
      </c>
      <c r="AL90" s="267"/>
      <c r="AM90" s="267"/>
      <c r="AN90" s="75"/>
    </row>
    <row r="91" spans="1:40" s="6" customFormat="1" ht="11.25" customHeight="1" x14ac:dyDescent="0.2">
      <c r="A91" s="56">
        <f t="shared" si="44"/>
        <v>43907</v>
      </c>
      <c r="B91" s="618">
        <v>9.9510000000000005</v>
      </c>
      <c r="C91" s="392"/>
      <c r="D91" s="395">
        <f t="shared" si="24"/>
        <v>10.089511886784479</v>
      </c>
      <c r="E91" s="387">
        <f t="shared" si="45"/>
        <v>11.214638923492974</v>
      </c>
      <c r="F91" s="387">
        <f t="shared" si="25"/>
        <v>11.214638923492974</v>
      </c>
      <c r="G91" s="110">
        <f t="shared" si="46"/>
        <v>0.24563078059765964</v>
      </c>
      <c r="H91" s="414" t="b">
        <f>Wh_hp&gt;='2019'!Maxi_hp</f>
        <v>0</v>
      </c>
      <c r="I91" s="382">
        <f>IF(H91,Wh_hp,'2019'!Maxi_hp)</f>
        <v>30.158532920094469</v>
      </c>
      <c r="J91" s="85">
        <f>IF(H91,An,'2019'!An_max)</f>
        <v>2019</v>
      </c>
      <c r="K91" s="199">
        <f t="shared" si="26"/>
        <v>43907</v>
      </c>
      <c r="L91" s="147">
        <f>IF(t&lt;Tvie,1-EXP((T0-t)*PertePVj)+'2019'!Pspv,1-EXP((T0-t)*PertePVj)+Pspv)</f>
        <v>1.3728304038761796E-2</v>
      </c>
      <c r="M91" s="870"/>
      <c r="N91" s="870"/>
      <c r="O91" s="48">
        <f>IF(t&lt;Tnet,'2019'!Resal+('2019'!Salim-'2019'!Resal)*(1-EXP(('2019'!Tnet-t)/('2019'!Tau_j))),Resal+(Salim-Resal)*(1-EXP((Tnet-t)/(Tau_j))))*Salcycl</f>
        <v>0.10032663952751301</v>
      </c>
      <c r="P91" s="171">
        <f>(INDEX(Models!$BJ91:$BT91,,T91)*(1-R91)+INDEX(Models!$BJ91:$BT91,,T91+1)*R91-ERP_i)*Q91*Ramure*Pc/MaxiM</f>
        <v>3.8046126992495009E-3</v>
      </c>
      <c r="Q91" s="307">
        <f t="shared" si="27"/>
        <v>1</v>
      </c>
      <c r="R91" s="179">
        <f t="shared" si="28"/>
        <v>0.62033349124640447</v>
      </c>
      <c r="S91" s="837">
        <f t="shared" si="29"/>
        <v>-2</v>
      </c>
      <c r="T91" s="178">
        <f t="shared" si="30"/>
        <v>4</v>
      </c>
      <c r="U91" s="253">
        <f t="shared" si="31"/>
        <v>-1.3796665087535955</v>
      </c>
      <c r="V91" s="385">
        <f t="shared" si="32"/>
        <v>40.357891119791603</v>
      </c>
      <c r="W91" s="404"/>
      <c r="X91" s="157">
        <f t="shared" si="33"/>
        <v>43907</v>
      </c>
      <c r="Y91" s="387">
        <f t="shared" si="34"/>
        <v>9.9510000000000005</v>
      </c>
      <c r="Z91" s="387">
        <f t="shared" si="35"/>
        <v>10.089511886784479</v>
      </c>
      <c r="AA91" s="388">
        <f t="shared" si="36"/>
        <v>11.214638923492974</v>
      </c>
      <c r="AB91" s="199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0.10032663952751301</v>
      </c>
      <c r="AD91" s="233">
        <f>(INDEX(Models!$BJ91:$BT91,,AH91)*(1-AF91)+INDEX(Models!$BJ91:$BT91,,AH91+1)*AF91-ERP_i)*AE91*Ramure*Pc/MaxiM</f>
        <v>3.8046126992495009E-3</v>
      </c>
      <c r="AE91" s="307">
        <f t="shared" si="38"/>
        <v>1</v>
      </c>
      <c r="AF91" s="179">
        <f t="shared" si="39"/>
        <v>0.62033349124640447</v>
      </c>
      <c r="AG91" s="837">
        <f t="shared" si="47"/>
        <v>-2</v>
      </c>
      <c r="AH91" s="178">
        <f t="shared" si="40"/>
        <v>4</v>
      </c>
      <c r="AI91" s="227">
        <f t="shared" si="41"/>
        <v>-1.3796665087535955</v>
      </c>
      <c r="AJ91" s="267" t="b">
        <f t="shared" si="42"/>
        <v>0</v>
      </c>
      <c r="AK91" s="267" t="b">
        <f t="shared" si="43"/>
        <v>0</v>
      </c>
      <c r="AL91" s="267"/>
      <c r="AM91" s="267"/>
      <c r="AN91" s="75"/>
    </row>
    <row r="92" spans="1:40" s="6" customFormat="1" ht="11.25" customHeight="1" x14ac:dyDescent="0.2">
      <c r="A92" s="56">
        <f t="shared" si="44"/>
        <v>43908</v>
      </c>
      <c r="B92" s="618">
        <v>37.679000000000002</v>
      </c>
      <c r="C92" s="392"/>
      <c r="D92" s="395">
        <f t="shared" si="24"/>
        <v>38.204357906730699</v>
      </c>
      <c r="E92" s="387">
        <f t="shared" si="45"/>
        <v>42.470271033956202</v>
      </c>
      <c r="F92" s="387">
        <f t="shared" si="25"/>
        <v>42.613877662343725</v>
      </c>
      <c r="G92" s="110">
        <f t="shared" si="46"/>
        <v>0.92405039557010893</v>
      </c>
      <c r="H92" s="414" t="b">
        <f>Wh_hp&gt;='2019'!Maxi_hp</f>
        <v>1</v>
      </c>
      <c r="I92" s="382">
        <f>IF(H92,Wh_hp,'2019'!Maxi_hp)</f>
        <v>42.613877662343725</v>
      </c>
      <c r="J92" s="85">
        <f>IF(H92,An,'2019'!An_max)</f>
        <v>2020</v>
      </c>
      <c r="K92" s="199">
        <f t="shared" si="26"/>
        <v>43908</v>
      </c>
      <c r="L92" s="147">
        <f>IF(t&lt;Tvie,1-EXP((T0-t)*PertePVj)+'2019'!Pspv,1-EXP((T0-t)*PertePVj)+Pspv)</f>
        <v>1.3751256021977132E-2</v>
      </c>
      <c r="M92" s="870"/>
      <c r="N92" s="870"/>
      <c r="O92" s="48">
        <f>IF(t&lt;Tnet,'2019'!Resal+('2019'!Salim-'2019'!Resal)*(1-EXP(('2019'!Tnet-t)/('2019'!Tau_j))),Resal+(Salim-Resal)*(1-EXP((Tnet-t)/(Tau_j))))*Salcycl</f>
        <v>0.10044468809287287</v>
      </c>
      <c r="P92" s="171">
        <f>(INDEX(Models!$BJ92:$BT92,,T92)*(1-R92)+INDEX(Models!$BJ92:$BT92,,T92+1)*R92-ERP_i)*Q92*Ramure*Pc/MaxiM</f>
        <v>3.7777970052421182E-3</v>
      </c>
      <c r="Q92" s="307">
        <f t="shared" si="27"/>
        <v>1</v>
      </c>
      <c r="R92" s="179">
        <f t="shared" si="28"/>
        <v>0.62120795310629373</v>
      </c>
      <c r="S92" s="837">
        <f t="shared" si="29"/>
        <v>-2</v>
      </c>
      <c r="T92" s="178">
        <f t="shared" si="30"/>
        <v>4</v>
      </c>
      <c r="U92" s="253">
        <f t="shared" si="31"/>
        <v>-1.3787920468937063</v>
      </c>
      <c r="V92" s="385">
        <f t="shared" si="32"/>
        <v>40.759228006993709</v>
      </c>
      <c r="W92" s="404"/>
      <c r="X92" s="157">
        <f t="shared" si="33"/>
        <v>43908</v>
      </c>
      <c r="Y92" s="387">
        <f t="shared" si="34"/>
        <v>37.679000000000002</v>
      </c>
      <c r="Z92" s="387">
        <f t="shared" si="35"/>
        <v>38.204357906730699</v>
      </c>
      <c r="AA92" s="388">
        <f t="shared" si="36"/>
        <v>42.470271033956202</v>
      </c>
      <c r="AB92" s="199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0.10044468809287287</v>
      </c>
      <c r="AD92" s="233">
        <f>(INDEX(Models!$BJ92:$BT92,,AH92)*(1-AF92)+INDEX(Models!$BJ92:$BT92,,AH92+1)*AF92-ERP_i)*AE92*Ramure*Pc/MaxiM</f>
        <v>3.7777970052421182E-3</v>
      </c>
      <c r="AE92" s="307">
        <f t="shared" si="38"/>
        <v>1</v>
      </c>
      <c r="AF92" s="179">
        <f t="shared" si="39"/>
        <v>0.62120795310629373</v>
      </c>
      <c r="AG92" s="837">
        <f t="shared" si="47"/>
        <v>-2</v>
      </c>
      <c r="AH92" s="178">
        <f t="shared" si="40"/>
        <v>4</v>
      </c>
      <c r="AI92" s="227">
        <f t="shared" si="41"/>
        <v>-1.3787920468937063</v>
      </c>
      <c r="AJ92" s="267" t="b">
        <f t="shared" si="42"/>
        <v>0</v>
      </c>
      <c r="AK92" s="267" t="b">
        <f t="shared" si="43"/>
        <v>0</v>
      </c>
      <c r="AL92" s="267"/>
      <c r="AM92" s="267"/>
      <c r="AN92" s="75"/>
    </row>
    <row r="93" spans="1:40" s="6" customFormat="1" ht="11.25" x14ac:dyDescent="0.2">
      <c r="A93" s="56">
        <f t="shared" si="44"/>
        <v>43909</v>
      </c>
      <c r="B93" s="618">
        <v>39.304000000000002</v>
      </c>
      <c r="C93" s="392"/>
      <c r="D93" s="395">
        <f t="shared" si="24"/>
        <v>39.852942701097433</v>
      </c>
      <c r="E93" s="387">
        <f t="shared" si="45"/>
        <v>44.308784460273316</v>
      </c>
      <c r="F93" s="387">
        <f t="shared" si="25"/>
        <v>44.46467316068464</v>
      </c>
      <c r="G93" s="110">
        <f t="shared" si="46"/>
        <v>0.954674412733578</v>
      </c>
      <c r="H93" s="414" t="b">
        <f>Wh_hp&gt;='2019'!Maxi_hp</f>
        <v>0</v>
      </c>
      <c r="I93" s="382">
        <f>IF(H93,Wh_hp,'2019'!Maxi_hp)</f>
        <v>46.721665369048949</v>
      </c>
      <c r="J93" s="85">
        <f>IF(H93,An,'2019'!An_max)</f>
        <v>2019</v>
      </c>
      <c r="K93" s="199">
        <f t="shared" si="26"/>
        <v>43909</v>
      </c>
      <c r="L93" s="147">
        <f>IF(t&lt;Tvie,1-EXP((T0-t)*PertePVj)+'2019'!Pspv,1-EXP((T0-t)*PertePVj)+Pspv)</f>
        <v>1.3774207471066169E-2</v>
      </c>
      <c r="M93" s="870"/>
      <c r="N93" s="870"/>
      <c r="O93" s="48">
        <f>IF(t&lt;Tnet,'2019'!Resal+('2019'!Salim-'2019'!Resal)*(1-EXP(('2019'!Tnet-t)/('2019'!Tau_j))),Resal+(Salim-Resal)*(1-EXP((Tnet-t)/(Tau_j))))*Salcycl</f>
        <v>0.10056339422199527</v>
      </c>
      <c r="P93" s="171">
        <f>(INDEX(Models!$BJ93:$BT93,,T93)*(1-R93)+INDEX(Models!$BJ93:$BT93,,T93+1)*R93-ERP_i)*Q93*Ramure*Pc/MaxiM</f>
        <v>3.74730269098492E-3</v>
      </c>
      <c r="Q93" s="307">
        <f t="shared" si="27"/>
        <v>1</v>
      </c>
      <c r="R93" s="179">
        <f t="shared" si="28"/>
        <v>0.62211670988196377</v>
      </c>
      <c r="S93" s="837">
        <f t="shared" si="29"/>
        <v>-2</v>
      </c>
      <c r="T93" s="178">
        <f t="shared" si="30"/>
        <v>4</v>
      </c>
      <c r="U93" s="253">
        <f t="shared" si="31"/>
        <v>-1.3778832901180362</v>
      </c>
      <c r="V93" s="385">
        <f t="shared" si="32"/>
        <v>41.160083485689213</v>
      </c>
      <c r="W93" s="404"/>
      <c r="X93" s="157">
        <f t="shared" si="33"/>
        <v>43909</v>
      </c>
      <c r="Y93" s="387">
        <f t="shared" si="34"/>
        <v>39.304000000000002</v>
      </c>
      <c r="Z93" s="387">
        <f t="shared" si="35"/>
        <v>39.852942701097433</v>
      </c>
      <c r="AA93" s="388">
        <f t="shared" si="36"/>
        <v>44.308784460273316</v>
      </c>
      <c r="AB93" s="199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0.10056339422199527</v>
      </c>
      <c r="AD93" s="233">
        <f>(INDEX(Models!$BJ93:$BT93,,AH93)*(1-AF93)+INDEX(Models!$BJ93:$BT93,,AH93+1)*AF93-ERP_i)*AE93*Ramure*Pc/MaxiM</f>
        <v>3.74730269098492E-3</v>
      </c>
      <c r="AE93" s="307">
        <f t="shared" si="38"/>
        <v>1</v>
      </c>
      <c r="AF93" s="179">
        <f t="shared" si="39"/>
        <v>0.62211670988196377</v>
      </c>
      <c r="AG93" s="837">
        <f t="shared" si="47"/>
        <v>-2</v>
      </c>
      <c r="AH93" s="178">
        <f t="shared" si="40"/>
        <v>4</v>
      </c>
      <c r="AI93" s="227">
        <f t="shared" si="41"/>
        <v>-1.3778832901180362</v>
      </c>
      <c r="AJ93" s="267" t="b">
        <f t="shared" si="42"/>
        <v>0</v>
      </c>
      <c r="AK93" s="267" t="b">
        <f t="shared" si="43"/>
        <v>0</v>
      </c>
      <c r="AL93" s="267"/>
      <c r="AM93" s="267"/>
      <c r="AN93" s="75"/>
    </row>
    <row r="94" spans="1:40" s="6" customFormat="1" ht="11.25" customHeight="1" x14ac:dyDescent="0.2">
      <c r="A94" s="56">
        <f t="shared" si="44"/>
        <v>43910</v>
      </c>
      <c r="B94" s="618">
        <v>41.612000000000002</v>
      </c>
      <c r="C94" s="392"/>
      <c r="D94" s="395">
        <f t="shared" si="24"/>
        <v>42.194159501609604</v>
      </c>
      <c r="E94" s="387">
        <f t="shared" si="45"/>
        <v>46.917996496418233</v>
      </c>
      <c r="F94" s="387">
        <f t="shared" si="25"/>
        <v>47.092775229679972</v>
      </c>
      <c r="G94" s="110">
        <f t="shared" si="46"/>
        <v>1.0011782524527049</v>
      </c>
      <c r="H94" s="414" t="b">
        <f>Wh_hp&gt;='2019'!Maxi_hp</f>
        <v>1</v>
      </c>
      <c r="I94" s="382">
        <f>IF(H94,Wh_hp,'2019'!Maxi_hp)</f>
        <v>47.092775229679972</v>
      </c>
      <c r="J94" s="85">
        <f>IF(H94,An,'2019'!An_max)</f>
        <v>2020</v>
      </c>
      <c r="K94" s="199">
        <f t="shared" si="26"/>
        <v>43910</v>
      </c>
      <c r="L94" s="147">
        <f>IF(t&lt;Tvie,1-EXP((T0-t)*PertePVj)+'2019'!Pspv,1-EXP((T0-t)*PertePVj)+Pspv)</f>
        <v>1.3797158386041453E-2</v>
      </c>
      <c r="M94" s="870"/>
      <c r="N94" s="870"/>
      <c r="O94" s="48">
        <f>IF(t&lt;Tnet,'2019'!Resal+('2019'!Salim-'2019'!Resal)*(1-EXP(('2019'!Tnet-t)/('2019'!Tau_j))),Resal+(Salim-Resal)*(1-EXP((Tnet-t)/(Tau_j))))*Salcycl</f>
        <v>0.10068283702543115</v>
      </c>
      <c r="P94" s="171">
        <f>(INDEX(Models!$BJ94:$BT94,,T94)*(1-R94)+INDEX(Models!$BJ94:$BT94,,T94+1)*R94-ERP_i)*Q94*Ramure*Pc/MaxiM</f>
        <v>3.7113704259159855E-3</v>
      </c>
      <c r="Q94" s="307">
        <f t="shared" si="27"/>
        <v>1</v>
      </c>
      <c r="R94" s="179">
        <f t="shared" si="28"/>
        <v>0.6230610059475441</v>
      </c>
      <c r="S94" s="837">
        <f t="shared" si="29"/>
        <v>-2</v>
      </c>
      <c r="T94" s="178">
        <f t="shared" si="30"/>
        <v>4</v>
      </c>
      <c r="U94" s="253">
        <f t="shared" si="31"/>
        <v>-1.3769389940524559</v>
      </c>
      <c r="V94" s="385">
        <f t="shared" si="32"/>
        <v>41.563028260010803</v>
      </c>
      <c r="W94" s="404"/>
      <c r="X94" s="157">
        <f t="shared" si="33"/>
        <v>43910</v>
      </c>
      <c r="Y94" s="387">
        <f t="shared" si="34"/>
        <v>41.612000000000002</v>
      </c>
      <c r="Z94" s="387">
        <f t="shared" si="35"/>
        <v>42.194159501609604</v>
      </c>
      <c r="AA94" s="388">
        <f t="shared" si="36"/>
        <v>46.917996496418233</v>
      </c>
      <c r="AB94" s="199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0.10068283702543115</v>
      </c>
      <c r="AD94" s="233">
        <f>(INDEX(Models!$BJ94:$BT94,,AH94)*(1-AF94)+INDEX(Models!$BJ94:$BT94,,AH94+1)*AF94-ERP_i)*AE94*Ramure*Pc/MaxiM</f>
        <v>3.7113704259159855E-3</v>
      </c>
      <c r="AE94" s="307">
        <f t="shared" si="38"/>
        <v>1</v>
      </c>
      <c r="AF94" s="179">
        <f t="shared" si="39"/>
        <v>0.6230610059475441</v>
      </c>
      <c r="AG94" s="837">
        <f t="shared" si="47"/>
        <v>-2</v>
      </c>
      <c r="AH94" s="178">
        <f t="shared" si="40"/>
        <v>4</v>
      </c>
      <c r="AI94" s="227">
        <f t="shared" si="41"/>
        <v>-1.3769389940524559</v>
      </c>
      <c r="AJ94" s="267" t="b">
        <f t="shared" si="42"/>
        <v>0</v>
      </c>
      <c r="AK94" s="267" t="b">
        <f t="shared" si="43"/>
        <v>0</v>
      </c>
      <c r="AL94" s="267"/>
      <c r="AM94" s="267"/>
      <c r="AN94" s="75"/>
    </row>
    <row r="95" spans="1:40" s="6" customFormat="1" ht="11.25" customHeight="1" x14ac:dyDescent="0.2">
      <c r="A95" s="56">
        <f t="shared" si="44"/>
        <v>43911</v>
      </c>
      <c r="B95" s="618">
        <v>41.134</v>
      </c>
      <c r="C95" s="392"/>
      <c r="D95" s="395">
        <f t="shared" si="24"/>
        <v>41.710442856999947</v>
      </c>
      <c r="E95" s="387">
        <f t="shared" si="45"/>
        <v>46.386328409532034</v>
      </c>
      <c r="F95" s="387">
        <f t="shared" si="25"/>
        <v>46.552413422501928</v>
      </c>
      <c r="G95" s="110">
        <f t="shared" si="46"/>
        <v>0.98004426724414984</v>
      </c>
      <c r="H95" s="414" t="b">
        <f>Wh_hp&gt;='2019'!Maxi_hp</f>
        <v>1</v>
      </c>
      <c r="I95" s="382">
        <f>IF(H95,Wh_hp,'2019'!Maxi_hp)</f>
        <v>46.552413422501928</v>
      </c>
      <c r="J95" s="85">
        <f>IF(H95,An,'2019'!An_max)</f>
        <v>2020</v>
      </c>
      <c r="K95" s="199">
        <f t="shared" si="26"/>
        <v>43911</v>
      </c>
      <c r="L95" s="147">
        <f>IF(t&lt;Tvie,1-EXP((T0-t)*PertePVj)+'2019'!Pspv,1-EXP((T0-t)*PertePVj)+Pspv)</f>
        <v>1.3820108766915418E-2</v>
      </c>
      <c r="M95" s="870"/>
      <c r="N95" s="870"/>
      <c r="O95" s="48">
        <f>IF(t&lt;Tnet,'2019'!Resal+('2019'!Salim-'2019'!Resal)*(1-EXP(('2019'!Tnet-t)/('2019'!Tau_j))),Resal+(Salim-Resal)*(1-EXP((Tnet-t)/(Tau_j))))*Salcycl</f>
        <v>0.10080309679287364</v>
      </c>
      <c r="P95" s="171">
        <f>(INDEX(Models!$BJ95:$BT95,,T95)*(1-R95)+INDEX(Models!$BJ95:$BT95,,T95+1)*R95-ERP_i)*Q95*Ramure*Pc/MaxiM</f>
        <v>3.6718394623043633E-3</v>
      </c>
      <c r="Q95" s="307">
        <f t="shared" si="27"/>
        <v>1</v>
      </c>
      <c r="R95" s="179">
        <f t="shared" si="28"/>
        <v>0.62404212253318869</v>
      </c>
      <c r="S95" s="837">
        <f t="shared" si="29"/>
        <v>-2</v>
      </c>
      <c r="T95" s="178">
        <f t="shared" si="30"/>
        <v>4</v>
      </c>
      <c r="U95" s="253">
        <f t="shared" si="31"/>
        <v>-1.3759578774668113</v>
      </c>
      <c r="V95" s="385">
        <f t="shared" si="32"/>
        <v>41.967186927900613</v>
      </c>
      <c r="W95" s="404"/>
      <c r="X95" s="157">
        <f t="shared" si="33"/>
        <v>43911</v>
      </c>
      <c r="Y95" s="387">
        <f t="shared" si="34"/>
        <v>41.134</v>
      </c>
      <c r="Z95" s="387">
        <f t="shared" si="35"/>
        <v>41.710442856999947</v>
      </c>
      <c r="AA95" s="388">
        <f t="shared" si="36"/>
        <v>46.386328409532034</v>
      </c>
      <c r="AB95" s="199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0.10080309679287364</v>
      </c>
      <c r="AD95" s="233">
        <f>(INDEX(Models!$BJ95:$BT95,,AH95)*(1-AF95)+INDEX(Models!$BJ95:$BT95,,AH95+1)*AF95-ERP_i)*AE95*Ramure*Pc/MaxiM</f>
        <v>3.6718394623043633E-3</v>
      </c>
      <c r="AE95" s="307">
        <f t="shared" si="38"/>
        <v>1</v>
      </c>
      <c r="AF95" s="179">
        <f t="shared" si="39"/>
        <v>0.62404212253318869</v>
      </c>
      <c r="AG95" s="837">
        <f t="shared" si="47"/>
        <v>-2</v>
      </c>
      <c r="AH95" s="178">
        <f t="shared" si="40"/>
        <v>4</v>
      </c>
      <c r="AI95" s="227">
        <f t="shared" si="41"/>
        <v>-1.3759578774668113</v>
      </c>
      <c r="AJ95" s="267" t="b">
        <f t="shared" si="42"/>
        <v>0</v>
      </c>
      <c r="AK95" s="267" t="b">
        <f t="shared" si="43"/>
        <v>0</v>
      </c>
      <c r="AL95" s="267"/>
      <c r="AM95" s="267"/>
      <c r="AN95" s="75"/>
    </row>
    <row r="96" spans="1:40" s="6" customFormat="1" ht="11.25" x14ac:dyDescent="0.2">
      <c r="A96" s="56">
        <f t="shared" si="44"/>
        <v>43912</v>
      </c>
      <c r="B96" s="618">
        <v>38.982999999999997</v>
      </c>
      <c r="C96" s="392"/>
      <c r="D96" s="395">
        <f t="shared" si="24"/>
        <v>39.530219140575404</v>
      </c>
      <c r="E96" s="387">
        <f t="shared" si="45"/>
        <v>43.967618245244431</v>
      </c>
      <c r="F96" s="387">
        <f t="shared" si="25"/>
        <v>44.10939781067912</v>
      </c>
      <c r="G96" s="110">
        <f t="shared" si="46"/>
        <v>0.91964063476632274</v>
      </c>
      <c r="H96" s="414" t="b">
        <f>Wh_hp&gt;='2019'!Maxi_hp</f>
        <v>1</v>
      </c>
      <c r="I96" s="382">
        <f>IF(H96,Wh_hp,'2019'!Maxi_hp)</f>
        <v>44.10939781067912</v>
      </c>
      <c r="J96" s="85">
        <f>IF(H96,An,'2019'!An_max)</f>
        <v>2020</v>
      </c>
      <c r="K96" s="199">
        <f t="shared" si="26"/>
        <v>43912</v>
      </c>
      <c r="L96" s="147">
        <f>IF(t&lt;Tvie,1-EXP((T0-t)*PertePVj)+'2019'!Pspv,1-EXP((T0-t)*PertePVj)+Pspv)</f>
        <v>1.3843058613700499E-2</v>
      </c>
      <c r="M96" s="870"/>
      <c r="N96" s="870"/>
      <c r="O96" s="48">
        <f>IF(t&lt;Tnet,'2019'!Resal+('2019'!Salim-'2019'!Resal)*(1-EXP(('2019'!Tnet-t)/('2019'!Tau_j))),Resal+(Salim-Resal)*(1-EXP((Tnet-t)/(Tau_j))))*Salcycl</f>
        <v>0.10092425475307569</v>
      </c>
      <c r="P96" s="171">
        <f>(INDEX(Models!$BJ96:$BT96,,T96)*(1-R96)+INDEX(Models!$BJ96:$BT96,,T96+1)*R96-ERP_i)*Q96*Ramure*Pc/MaxiM</f>
        <v>3.6288793723938525E-3</v>
      </c>
      <c r="Q96" s="307">
        <f t="shared" si="27"/>
        <v>1</v>
      </c>
      <c r="R96" s="179">
        <f t="shared" si="28"/>
        <v>0.62506137811640117</v>
      </c>
      <c r="S96" s="837">
        <f t="shared" si="29"/>
        <v>-2</v>
      </c>
      <c r="T96" s="178">
        <f t="shared" si="30"/>
        <v>4</v>
      </c>
      <c r="U96" s="253">
        <f t="shared" si="31"/>
        <v>-1.3749386218835988</v>
      </c>
      <c r="V96" s="385">
        <f t="shared" si="32"/>
        <v>42.371752330595299</v>
      </c>
      <c r="W96" s="404"/>
      <c r="X96" s="157">
        <f t="shared" si="33"/>
        <v>43912</v>
      </c>
      <c r="Y96" s="387">
        <f t="shared" si="34"/>
        <v>38.982999999999997</v>
      </c>
      <c r="Z96" s="387">
        <f t="shared" si="35"/>
        <v>39.530219140575404</v>
      </c>
      <c r="AA96" s="388">
        <f t="shared" si="36"/>
        <v>43.967618245244431</v>
      </c>
      <c r="AB96" s="199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0.10092425475307569</v>
      </c>
      <c r="AD96" s="233">
        <f>(INDEX(Models!$BJ96:$BT96,,AH96)*(1-AF96)+INDEX(Models!$BJ96:$BT96,,AH96+1)*AF96-ERP_i)*AE96*Ramure*Pc/MaxiM</f>
        <v>3.6288793723938525E-3</v>
      </c>
      <c r="AE96" s="307">
        <f t="shared" si="38"/>
        <v>1</v>
      </c>
      <c r="AF96" s="179">
        <f t="shared" si="39"/>
        <v>0.62506137811640117</v>
      </c>
      <c r="AG96" s="837">
        <f t="shared" si="47"/>
        <v>-2</v>
      </c>
      <c r="AH96" s="178">
        <f t="shared" si="40"/>
        <v>4</v>
      </c>
      <c r="AI96" s="227">
        <f t="shared" si="41"/>
        <v>-1.3749386218835988</v>
      </c>
      <c r="AJ96" s="267" t="b">
        <f t="shared" si="42"/>
        <v>0</v>
      </c>
      <c r="AK96" s="267" t="b">
        <f t="shared" si="43"/>
        <v>0</v>
      </c>
      <c r="AL96" s="267"/>
      <c r="AM96" s="267"/>
      <c r="AN96" s="75"/>
    </row>
    <row r="97" spans="1:40" s="6" customFormat="1" ht="11.25" customHeight="1" x14ac:dyDescent="0.2">
      <c r="A97" s="56">
        <f t="shared" si="44"/>
        <v>43913</v>
      </c>
      <c r="B97" s="618">
        <v>35.676000000000002</v>
      </c>
      <c r="C97" s="392"/>
      <c r="D97" s="395">
        <f t="shared" si="24"/>
        <v>36.177639435166796</v>
      </c>
      <c r="E97" s="387">
        <f t="shared" si="45"/>
        <v>40.244167381812609</v>
      </c>
      <c r="F97" s="387">
        <f t="shared" si="25"/>
        <v>40.35446241449948</v>
      </c>
      <c r="G97" s="110">
        <f t="shared" si="46"/>
        <v>0.83331024431841416</v>
      </c>
      <c r="H97" s="414" t="b">
        <f>Wh_hp&gt;='2019'!Maxi_hp</f>
        <v>0</v>
      </c>
      <c r="I97" s="382">
        <f>IF(H97,Wh_hp,'2019'!Maxi_hp)</f>
        <v>46.468912763668122</v>
      </c>
      <c r="J97" s="85">
        <f>IF(H97,An,'2019'!An_max)</f>
        <v>2019</v>
      </c>
      <c r="K97" s="199">
        <f t="shared" si="26"/>
        <v>43913</v>
      </c>
      <c r="L97" s="147">
        <f>IF(t&lt;Tvie,1-EXP((T0-t)*PertePVj)+'2019'!Pspv,1-EXP((T0-t)*PertePVj)+Pspv)</f>
        <v>1.386600792640913E-2</v>
      </c>
      <c r="M97" s="870"/>
      <c r="N97" s="870"/>
      <c r="O97" s="48">
        <f>IF(t&lt;Tnet,'2019'!Resal+('2019'!Salim-'2019'!Resal)*(1-EXP(('2019'!Tnet-t)/('2019'!Tau_j))),Resal+(Salim-Resal)*(1-EXP((Tnet-t)/(Tau_j))))*Salcycl</f>
        <v>0.10104639283663208</v>
      </c>
      <c r="P97" s="171">
        <f>(INDEX(Models!$BJ97:$BT97,,T97)*(1-R97)+INDEX(Models!$BJ97:$BT97,,T97+1)*R97-ERP_i)*Q97*Ramure*Pc/MaxiM</f>
        <v>3.5826497372004455E-3</v>
      </c>
      <c r="Q97" s="307">
        <f t="shared" si="27"/>
        <v>1</v>
      </c>
      <c r="R97" s="179">
        <f t="shared" si="28"/>
        <v>0.62612012874998491</v>
      </c>
      <c r="S97" s="837">
        <f t="shared" si="29"/>
        <v>-2</v>
      </c>
      <c r="T97" s="178">
        <f t="shared" si="30"/>
        <v>4</v>
      </c>
      <c r="U97" s="253">
        <f t="shared" si="31"/>
        <v>-1.3738798712500151</v>
      </c>
      <c r="V97" s="385">
        <f t="shared" si="32"/>
        <v>42.77591765794881</v>
      </c>
      <c r="W97" s="404"/>
      <c r="X97" s="157">
        <f t="shared" si="33"/>
        <v>43913</v>
      </c>
      <c r="Y97" s="387">
        <f t="shared" si="34"/>
        <v>35.676000000000002</v>
      </c>
      <c r="Z97" s="387">
        <f t="shared" si="35"/>
        <v>36.177639435166796</v>
      </c>
      <c r="AA97" s="388">
        <f t="shared" si="36"/>
        <v>40.244167381812609</v>
      </c>
      <c r="AB97" s="199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0.10104639283663208</v>
      </c>
      <c r="AD97" s="233">
        <f>(INDEX(Models!$BJ97:$BT97,,AH97)*(1-AF97)+INDEX(Models!$BJ97:$BT97,,AH97+1)*AF97-ERP_i)*AE97*Ramure*Pc/MaxiM</f>
        <v>3.5826497372004455E-3</v>
      </c>
      <c r="AE97" s="307">
        <f t="shared" si="38"/>
        <v>1</v>
      </c>
      <c r="AF97" s="179">
        <f t="shared" si="39"/>
        <v>0.62612012874998491</v>
      </c>
      <c r="AG97" s="837">
        <f t="shared" si="47"/>
        <v>-2</v>
      </c>
      <c r="AH97" s="178">
        <f t="shared" si="40"/>
        <v>4</v>
      </c>
      <c r="AI97" s="227">
        <f t="shared" si="41"/>
        <v>-1.3738798712500151</v>
      </c>
      <c r="AJ97" s="267" t="b">
        <f t="shared" si="42"/>
        <v>0</v>
      </c>
      <c r="AK97" s="267" t="b">
        <f t="shared" si="43"/>
        <v>0</v>
      </c>
      <c r="AL97" s="267"/>
      <c r="AM97" s="267"/>
      <c r="AN97" s="75"/>
    </row>
    <row r="98" spans="1:40" s="6" customFormat="1" ht="11.25" x14ac:dyDescent="0.2">
      <c r="A98" s="56">
        <f t="shared" si="44"/>
        <v>43914</v>
      </c>
      <c r="B98" s="618">
        <v>41.228999999999999</v>
      </c>
      <c r="C98" s="392"/>
      <c r="D98" s="395">
        <f t="shared" si="24"/>
        <v>41.809693016152934</v>
      </c>
      <c r="E98" s="387">
        <f t="shared" si="45"/>
        <v>46.515663812821792</v>
      </c>
      <c r="F98" s="387">
        <f t="shared" si="25"/>
        <v>46.669924770661282</v>
      </c>
      <c r="G98" s="110">
        <f t="shared" si="46"/>
        <v>0.95462352244414328</v>
      </c>
      <c r="H98" s="414" t="b">
        <f>Wh_hp&gt;='2019'!Maxi_hp</f>
        <v>1</v>
      </c>
      <c r="I98" s="382">
        <f>IF(H98,Wh_hp,'2019'!Maxi_hp)</f>
        <v>46.669924770661282</v>
      </c>
      <c r="J98" s="85">
        <f>IF(H98,An,'2019'!An_max)</f>
        <v>2020</v>
      </c>
      <c r="K98" s="199">
        <f t="shared" si="26"/>
        <v>43914</v>
      </c>
      <c r="L98" s="147">
        <f>IF(t&lt;Tvie,1-EXP((T0-t)*PertePVj)+'2019'!Pspv,1-EXP((T0-t)*PertePVj)+Pspv)</f>
        <v>1.3888956705053745E-2</v>
      </c>
      <c r="M98" s="870"/>
      <c r="N98" s="870"/>
      <c r="O98" s="48">
        <f>IF(t&lt;Tnet,'2019'!Resal+('2019'!Salim-'2019'!Resal)*(1-EXP(('2019'!Tnet-t)/('2019'!Tau_j))),Resal+(Salim-Resal)*(1-EXP((Tnet-t)/(Tau_j))))*Salcycl</f>
        <v>0.10116959344287975</v>
      </c>
      <c r="P98" s="171">
        <f>(INDEX(Models!$BJ98:$BT98,,T98)*(1-R98)+INDEX(Models!$BJ98:$BT98,,T98+1)*R98-ERP_i)*Q98*Ramure*Pc/MaxiM</f>
        <v>3.5332999701630967E-3</v>
      </c>
      <c r="Q98" s="307">
        <f t="shared" si="27"/>
        <v>1</v>
      </c>
      <c r="R98" s="179">
        <f t="shared" si="28"/>
        <v>0.62721976831933102</v>
      </c>
      <c r="S98" s="837">
        <f t="shared" si="29"/>
        <v>-2</v>
      </c>
      <c r="T98" s="178">
        <f t="shared" si="30"/>
        <v>4</v>
      </c>
      <c r="U98" s="253">
        <f t="shared" si="31"/>
        <v>-1.372780231680669</v>
      </c>
      <c r="V98" s="385">
        <f t="shared" si="32"/>
        <v>43.178876464849189</v>
      </c>
      <c r="W98" s="404"/>
      <c r="X98" s="157">
        <f t="shared" si="33"/>
        <v>43914</v>
      </c>
      <c r="Y98" s="387">
        <f t="shared" si="34"/>
        <v>41.228999999999999</v>
      </c>
      <c r="Z98" s="387">
        <f t="shared" si="35"/>
        <v>41.809693016152934</v>
      </c>
      <c r="AA98" s="388">
        <f t="shared" si="36"/>
        <v>46.515663812821792</v>
      </c>
      <c r="AB98" s="199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0.10116959344287975</v>
      </c>
      <c r="AD98" s="233">
        <f>(INDEX(Models!$BJ98:$BT98,,AH98)*(1-AF98)+INDEX(Models!$BJ98:$BT98,,AH98+1)*AF98-ERP_i)*AE98*Ramure*Pc/MaxiM</f>
        <v>3.5332999701630967E-3</v>
      </c>
      <c r="AE98" s="307">
        <f t="shared" si="38"/>
        <v>1</v>
      </c>
      <c r="AF98" s="179">
        <f t="shared" si="39"/>
        <v>0.62721976831933102</v>
      </c>
      <c r="AG98" s="837">
        <f t="shared" si="47"/>
        <v>-2</v>
      </c>
      <c r="AH98" s="178">
        <f t="shared" si="40"/>
        <v>4</v>
      </c>
      <c r="AI98" s="227">
        <f t="shared" si="41"/>
        <v>-1.372780231680669</v>
      </c>
      <c r="AJ98" s="267" t="b">
        <f t="shared" si="42"/>
        <v>0</v>
      </c>
      <c r="AK98" s="267" t="b">
        <f t="shared" si="43"/>
        <v>0</v>
      </c>
      <c r="AL98" s="267"/>
      <c r="AM98" s="267"/>
      <c r="AN98" s="75"/>
    </row>
    <row r="99" spans="1:40" s="6" customFormat="1" ht="11.25" x14ac:dyDescent="0.2">
      <c r="A99" s="56">
        <f t="shared" si="44"/>
        <v>43915</v>
      </c>
      <c r="B99" s="618">
        <v>43.838999999999999</v>
      </c>
      <c r="C99" s="392"/>
      <c r="D99" s="395">
        <f t="shared" si="24"/>
        <v>44.457488352256618</v>
      </c>
      <c r="E99" s="387">
        <f t="shared" si="45"/>
        <v>49.468330405244608</v>
      </c>
      <c r="F99" s="387">
        <f t="shared" si="25"/>
        <v>49.641129648791612</v>
      </c>
      <c r="G99" s="110">
        <f t="shared" si="46"/>
        <v>1.005947185908765</v>
      </c>
      <c r="H99" s="414" t="b">
        <f>Wh_hp&gt;='2019'!Maxi_hp</f>
        <v>0</v>
      </c>
      <c r="I99" s="382">
        <f>IF(H99,Wh_hp,'2019'!Maxi_hp)</f>
        <v>49.897175948996292</v>
      </c>
      <c r="J99" s="85">
        <f>IF(H99,An,'2019'!An_max)</f>
        <v>2019</v>
      </c>
      <c r="K99" s="199">
        <f t="shared" si="26"/>
        <v>43915</v>
      </c>
      <c r="L99" s="147">
        <f>IF(t&lt;Tvie,1-EXP((T0-t)*PertePVj)+'2019'!Pspv,1-EXP((T0-t)*PertePVj)+Pspv)</f>
        <v>1.391190494964667E-2</v>
      </c>
      <c r="M99" s="870"/>
      <c r="N99" s="870"/>
      <c r="O99" s="48">
        <f>IF(t&lt;Tnet,'2019'!Resal+('2019'!Salim-'2019'!Resal)*(1-EXP(('2019'!Tnet-t)/('2019'!Tau_j))),Resal+(Salim-Resal)*(1-EXP((Tnet-t)/(Tau_j))))*Salcycl</f>
        <v>0.10129393921200025</v>
      </c>
      <c r="P99" s="171">
        <f>(INDEX(Models!$BJ99:$BT99,,T99)*(1-R99)+INDEX(Models!$BJ99:$BT99,,T99+1)*R99-ERP_i)*Q99*Ramure*Pc/MaxiM</f>
        <v>3.4809692037539651E-3</v>
      </c>
      <c r="Q99" s="307">
        <f t="shared" si="27"/>
        <v>1</v>
      </c>
      <c r="R99" s="179">
        <f t="shared" si="28"/>
        <v>0.62836172872129614</v>
      </c>
      <c r="S99" s="837">
        <f t="shared" si="29"/>
        <v>-2</v>
      </c>
      <c r="T99" s="178">
        <f t="shared" si="30"/>
        <v>4</v>
      </c>
      <c r="U99" s="253">
        <f t="shared" si="31"/>
        <v>-1.3716382712787039</v>
      </c>
      <c r="V99" s="385">
        <f t="shared" si="32"/>
        <v>43.579822692576229</v>
      </c>
      <c r="W99" s="404"/>
      <c r="X99" s="157">
        <f t="shared" si="33"/>
        <v>43915</v>
      </c>
      <c r="Y99" s="387">
        <f t="shared" si="34"/>
        <v>43.838999999999999</v>
      </c>
      <c r="Z99" s="387">
        <f t="shared" si="35"/>
        <v>44.457488352256618</v>
      </c>
      <c r="AA99" s="388">
        <f t="shared" si="36"/>
        <v>49.468330405244608</v>
      </c>
      <c r="AB99" s="199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0.10129393921200025</v>
      </c>
      <c r="AD99" s="233">
        <f>(INDEX(Models!$BJ99:$BT99,,AH99)*(1-AF99)+INDEX(Models!$BJ99:$BT99,,AH99+1)*AF99-ERP_i)*AE99*Ramure*Pc/MaxiM</f>
        <v>3.4809692037539651E-3</v>
      </c>
      <c r="AE99" s="307">
        <f t="shared" si="38"/>
        <v>1</v>
      </c>
      <c r="AF99" s="179">
        <f t="shared" si="39"/>
        <v>0.62836172872129614</v>
      </c>
      <c r="AG99" s="837">
        <f t="shared" si="47"/>
        <v>-2</v>
      </c>
      <c r="AH99" s="178">
        <f t="shared" si="40"/>
        <v>4</v>
      </c>
      <c r="AI99" s="227">
        <f t="shared" si="41"/>
        <v>-1.3716382712787039</v>
      </c>
      <c r="AJ99" s="267" t="b">
        <f t="shared" si="42"/>
        <v>0</v>
      </c>
      <c r="AK99" s="267" t="b">
        <f t="shared" si="43"/>
        <v>0</v>
      </c>
      <c r="AL99" s="267"/>
      <c r="AM99" s="267"/>
      <c r="AN99" s="75"/>
    </row>
    <row r="100" spans="1:40" s="6" customFormat="1" ht="11.25" x14ac:dyDescent="0.2">
      <c r="A100" s="56">
        <f t="shared" si="44"/>
        <v>43916</v>
      </c>
      <c r="B100" s="618">
        <v>26.766999999999999</v>
      </c>
      <c r="C100" s="392"/>
      <c r="D100" s="395">
        <f t="shared" si="24"/>
        <v>27.145265271987199</v>
      </c>
      <c r="E100" s="387">
        <f t="shared" si="45"/>
        <v>30.209052676705795</v>
      </c>
      <c r="F100" s="387">
        <f t="shared" si="25"/>
        <v>30.254741873419729</v>
      </c>
      <c r="G100" s="110">
        <f t="shared" si="46"/>
        <v>0.60747820648104545</v>
      </c>
      <c r="H100" s="414" t="b">
        <f>Wh_hp&gt;='2019'!Maxi_hp</f>
        <v>0</v>
      </c>
      <c r="I100" s="382">
        <f>IF(H100,Wh_hp,'2019'!Maxi_hp)</f>
        <v>49.221953168491268</v>
      </c>
      <c r="J100" s="85">
        <f>IF(H100,An,'2019'!An_max)</f>
        <v>2019</v>
      </c>
      <c r="K100" s="199">
        <f t="shared" si="26"/>
        <v>43916</v>
      </c>
      <c r="L100" s="147">
        <f>IF(t&lt;Tvie,1-EXP((T0-t)*PertePVj)+'2019'!Pspv,1-EXP((T0-t)*PertePVj)+Pspv)</f>
        <v>1.3934852660200558E-2</v>
      </c>
      <c r="M100" s="870"/>
      <c r="N100" s="870"/>
      <c r="O100" s="48">
        <f>IF(t&lt;Tnet,'2019'!Resal+('2019'!Salim-'2019'!Resal)*(1-EXP(('2019'!Tnet-t)/('2019'!Tau_j))),Resal+(Salim-Resal)*(1-EXP((Tnet-t)/(Tau_j))))*Salcycl</f>
        <v>0.10141951280322946</v>
      </c>
      <c r="P100" s="171">
        <f>(INDEX(Models!$BJ100:$BT100,,T100)*(1-R100)+INDEX(Models!$BJ100:$BT100,,T100+1)*R100-ERP_i)*Q100*Ramure*Pc/MaxiM</f>
        <v>3.4249818139173048E-3</v>
      </c>
      <c r="Q100" s="307">
        <f t="shared" si="27"/>
        <v>1</v>
      </c>
      <c r="R100" s="179">
        <f t="shared" si="28"/>
        <v>0.62954747995644644</v>
      </c>
      <c r="S100" s="837">
        <f t="shared" si="29"/>
        <v>-2</v>
      </c>
      <c r="T100" s="178">
        <f t="shared" si="30"/>
        <v>4</v>
      </c>
      <c r="U100" s="253">
        <f t="shared" si="31"/>
        <v>-1.3704525200435536</v>
      </c>
      <c r="V100" s="385">
        <f t="shared" si="32"/>
        <v>43.977986191991896</v>
      </c>
      <c r="W100" s="404"/>
      <c r="X100" s="157">
        <f t="shared" si="33"/>
        <v>43916</v>
      </c>
      <c r="Y100" s="387">
        <f t="shared" si="34"/>
        <v>26.766999999999999</v>
      </c>
      <c r="Z100" s="387">
        <f t="shared" si="35"/>
        <v>27.145265271987199</v>
      </c>
      <c r="AA100" s="388">
        <f t="shared" si="36"/>
        <v>30.209052676705795</v>
      </c>
      <c r="AB100" s="199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0.10141951280322946</v>
      </c>
      <c r="AD100" s="233">
        <f>(INDEX(Models!$BJ100:$BT100,,AH100)*(1-AF100)+INDEX(Models!$BJ100:$BT100,,AH100+1)*AF100-ERP_i)*AE100*Ramure*Pc/MaxiM</f>
        <v>3.4249818139173048E-3</v>
      </c>
      <c r="AE100" s="307">
        <f t="shared" si="38"/>
        <v>1</v>
      </c>
      <c r="AF100" s="179">
        <f t="shared" si="39"/>
        <v>0.62954747995644644</v>
      </c>
      <c r="AG100" s="837">
        <f t="shared" si="47"/>
        <v>-2</v>
      </c>
      <c r="AH100" s="178">
        <f t="shared" si="40"/>
        <v>4</v>
      </c>
      <c r="AI100" s="227">
        <f t="shared" si="41"/>
        <v>-1.3704525200435536</v>
      </c>
      <c r="AJ100" s="267" t="b">
        <f t="shared" si="42"/>
        <v>0</v>
      </c>
      <c r="AK100" s="267" t="b">
        <f t="shared" si="43"/>
        <v>0</v>
      </c>
      <c r="AL100" s="267"/>
      <c r="AM100" s="267"/>
      <c r="AN100" s="75"/>
    </row>
    <row r="101" spans="1:40" s="6" customFormat="1" ht="11.25" x14ac:dyDescent="0.2">
      <c r="A101" s="56">
        <f t="shared" si="44"/>
        <v>43917</v>
      </c>
      <c r="B101" s="618">
        <v>41.347999999999999</v>
      </c>
      <c r="C101" s="392"/>
      <c r="D101" s="395">
        <f t="shared" si="24"/>
        <v>41.933296559876901</v>
      </c>
      <c r="E101" s="387">
        <f t="shared" si="45"/>
        <v>46.672745709871272</v>
      </c>
      <c r="F101" s="387">
        <f t="shared" si="25"/>
        <v>46.815066245636864</v>
      </c>
      <c r="G101" s="110">
        <f t="shared" si="46"/>
        <v>0.93153295437685635</v>
      </c>
      <c r="H101" s="414" t="b">
        <f>Wh_hp&gt;='2019'!Maxi_hp</f>
        <v>0</v>
      </c>
      <c r="I101" s="382">
        <f>IF(H101,Wh_hp,'2019'!Maxi_hp)</f>
        <v>48.322720467668368</v>
      </c>
      <c r="J101" s="85">
        <f>IF(H101,An,'2019'!An_max)</f>
        <v>2019</v>
      </c>
      <c r="K101" s="199">
        <f t="shared" si="26"/>
        <v>43917</v>
      </c>
      <c r="L101" s="147">
        <f>IF(t&lt;Tvie,1-EXP((T0-t)*PertePVj)+'2019'!Pspv,1-EXP((T0-t)*PertePVj)+Pspv)</f>
        <v>1.3957799836727625E-2</v>
      </c>
      <c r="M101" s="870"/>
      <c r="N101" s="870"/>
      <c r="O101" s="48">
        <f>IF(t&lt;Tnet,'2019'!Resal+('2019'!Salim-'2019'!Resal)*(1-EXP(('2019'!Tnet-t)/('2019'!Tau_j))),Resal+(Salim-Resal)*(1-EXP((Tnet-t)/(Tau_j))))*Salcycl</f>
        <v>0.10154639667989322</v>
      </c>
      <c r="P101" s="171">
        <f>(INDEX(Models!$BJ101:$BT101,,T101)*(1-R101)+INDEX(Models!$BJ101:$BT101,,T101+1)*R101-ERP_i)*Q101*Ramure*Pc/MaxiM</f>
        <v>3.3680087141724248E-3</v>
      </c>
      <c r="Q101" s="307">
        <f t="shared" si="27"/>
        <v>1</v>
      </c>
      <c r="R101" s="179">
        <f t="shared" si="28"/>
        <v>0.63077853012597651</v>
      </c>
      <c r="S101" s="837">
        <f t="shared" si="29"/>
        <v>-2</v>
      </c>
      <c r="T101" s="178">
        <f t="shared" si="30"/>
        <v>4</v>
      </c>
      <c r="U101" s="253">
        <f t="shared" si="31"/>
        <v>-1.3692214698740235</v>
      </c>
      <c r="V101" s="385">
        <f t="shared" si="32"/>
        <v>44.372449055468472</v>
      </c>
      <c r="W101" s="404"/>
      <c r="X101" s="157">
        <f t="shared" si="33"/>
        <v>43917</v>
      </c>
      <c r="Y101" s="387">
        <f t="shared" si="34"/>
        <v>41.347999999999999</v>
      </c>
      <c r="Z101" s="387">
        <f t="shared" si="35"/>
        <v>41.933296559876901</v>
      </c>
      <c r="AA101" s="388">
        <f t="shared" si="36"/>
        <v>46.672745709871272</v>
      </c>
      <c r="AB101" s="199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0.10154639667989322</v>
      </c>
      <c r="AD101" s="233">
        <f>(INDEX(Models!$BJ101:$BT101,,AH101)*(1-AF101)+INDEX(Models!$BJ101:$BT101,,AH101+1)*AF101-ERP_i)*AE101*Ramure*Pc/MaxiM</f>
        <v>3.3680087141724248E-3</v>
      </c>
      <c r="AE101" s="307">
        <f t="shared" si="38"/>
        <v>1</v>
      </c>
      <c r="AF101" s="179">
        <f t="shared" si="39"/>
        <v>0.63077853012597651</v>
      </c>
      <c r="AG101" s="837">
        <f t="shared" si="47"/>
        <v>-2</v>
      </c>
      <c r="AH101" s="178">
        <f t="shared" si="40"/>
        <v>4</v>
      </c>
      <c r="AI101" s="227">
        <f t="shared" si="41"/>
        <v>-1.3692214698740235</v>
      </c>
      <c r="AJ101" s="267" t="b">
        <f t="shared" si="42"/>
        <v>0</v>
      </c>
      <c r="AK101" s="267" t="b">
        <f t="shared" si="43"/>
        <v>0</v>
      </c>
      <c r="AL101" s="267"/>
      <c r="AM101" s="267"/>
      <c r="AN101" s="75"/>
    </row>
    <row r="102" spans="1:40" s="6" customFormat="1" ht="11.25" x14ac:dyDescent="0.2">
      <c r="A102" s="56">
        <f t="shared" si="44"/>
        <v>43918</v>
      </c>
      <c r="B102" s="618">
        <v>40.4</v>
      </c>
      <c r="C102" s="392"/>
      <c r="D102" s="395">
        <f t="shared" si="24"/>
        <v>40.972830759383761</v>
      </c>
      <c r="E102" s="387">
        <f t="shared" si="45"/>
        <v>45.610236651943772</v>
      </c>
      <c r="F102" s="387">
        <f t="shared" si="25"/>
        <v>45.740563830019063</v>
      </c>
      <c r="G102" s="110">
        <f t="shared" si="46"/>
        <v>0.90212595491307834</v>
      </c>
      <c r="H102" s="414" t="b">
        <f>Wh_hp&gt;='2019'!Maxi_hp</f>
        <v>0</v>
      </c>
      <c r="I102" s="382">
        <f>IF(H102,Wh_hp,'2019'!Maxi_hp)</f>
        <v>49.322009651301471</v>
      </c>
      <c r="J102" s="85">
        <f>IF(H102,An,'2019'!An_max)</f>
        <v>2019</v>
      </c>
      <c r="K102" s="199">
        <f t="shared" si="26"/>
        <v>43918</v>
      </c>
      <c r="L102" s="147">
        <f>IF(t&lt;Tvie,1-EXP((T0-t)*PertePVj)+'2019'!Pspv,1-EXP((T0-t)*PertePVj)+Pspv)</f>
        <v>1.3980746479240302E-2</v>
      </c>
      <c r="M102" s="870"/>
      <c r="N102" s="870"/>
      <c r="O102" s="48">
        <f>IF(t&lt;Tnet,'2019'!Resal+('2019'!Salim-'2019'!Resal)*(1-EXP(('2019'!Tnet-t)/('2019'!Tau_j))),Resal+(Salim-Resal)*(1-EXP((Tnet-t)/(Tau_j))))*Salcycl</f>
        <v>0.10167467290179866</v>
      </c>
      <c r="P102" s="171">
        <f>(INDEX(Models!$BJ102:$BT102,,T102)*(1-R102)+INDEX(Models!$BJ102:$BT102,,T102+1)*R102-ERP_i)*Q102*Ramure*Pc/MaxiM</f>
        <v>3.3101175413361079E-3</v>
      </c>
      <c r="Q102" s="307">
        <f t="shared" si="27"/>
        <v>1</v>
      </c>
      <c r="R102" s="179">
        <f t="shared" si="28"/>
        <v>0.63205642532411743</v>
      </c>
      <c r="S102" s="837">
        <f t="shared" si="29"/>
        <v>-2</v>
      </c>
      <c r="T102" s="178">
        <f t="shared" si="30"/>
        <v>4</v>
      </c>
      <c r="U102" s="253">
        <f t="shared" si="31"/>
        <v>-1.3679435746758826</v>
      </c>
      <c r="V102" s="385">
        <f t="shared" si="32"/>
        <v>44.762406297687278</v>
      </c>
      <c r="W102" s="404"/>
      <c r="X102" s="157">
        <f t="shared" si="33"/>
        <v>43918</v>
      </c>
      <c r="Y102" s="387">
        <f t="shared" si="34"/>
        <v>40.4</v>
      </c>
      <c r="Z102" s="387">
        <f t="shared" si="35"/>
        <v>40.972830759383761</v>
      </c>
      <c r="AA102" s="388">
        <f t="shared" si="36"/>
        <v>45.610236651943772</v>
      </c>
      <c r="AB102" s="199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0.10167467290179866</v>
      </c>
      <c r="AD102" s="233">
        <f>(INDEX(Models!$BJ102:$BT102,,AH102)*(1-AF102)+INDEX(Models!$BJ102:$BT102,,AH102+1)*AF102-ERP_i)*AE102*Ramure*Pc/MaxiM</f>
        <v>3.3101175413361079E-3</v>
      </c>
      <c r="AE102" s="307">
        <f t="shared" si="38"/>
        <v>1</v>
      </c>
      <c r="AF102" s="179">
        <f t="shared" si="39"/>
        <v>0.63205642532411743</v>
      </c>
      <c r="AG102" s="837">
        <f t="shared" si="47"/>
        <v>-2</v>
      </c>
      <c r="AH102" s="178">
        <f t="shared" si="40"/>
        <v>4</v>
      </c>
      <c r="AI102" s="227">
        <f t="shared" si="41"/>
        <v>-1.3679435746758826</v>
      </c>
      <c r="AJ102" s="267" t="b">
        <f t="shared" si="42"/>
        <v>0</v>
      </c>
      <c r="AK102" s="267" t="b">
        <f t="shared" si="43"/>
        <v>0</v>
      </c>
      <c r="AL102" s="267"/>
      <c r="AM102" s="267"/>
      <c r="AN102" s="75"/>
    </row>
    <row r="103" spans="1:40" s="6" customFormat="1" ht="11.25" x14ac:dyDescent="0.2">
      <c r="A103" s="56">
        <f t="shared" si="44"/>
        <v>43919</v>
      </c>
      <c r="B103" s="618">
        <v>25.625</v>
      </c>
      <c r="C103" s="392"/>
      <c r="D103" s="395">
        <f t="shared" si="24"/>
        <v>25.988941142439884</v>
      </c>
      <c r="E103" s="387">
        <f t="shared" si="45"/>
        <v>28.934612689903101</v>
      </c>
      <c r="F103" s="387">
        <f t="shared" si="25"/>
        <v>28.970620380502663</v>
      </c>
      <c r="G103" s="110">
        <f t="shared" si="46"/>
        <v>0.56644824210864531</v>
      </c>
      <c r="H103" s="414" t="b">
        <f>Wh_hp&gt;='2019'!Maxi_hp</f>
        <v>0</v>
      </c>
      <c r="I103" s="382">
        <f>IF(H103,Wh_hp,'2019'!Maxi_hp)</f>
        <v>50.454310720909646</v>
      </c>
      <c r="J103" s="85">
        <f>IF(H103,An,'2019'!An_max)</f>
        <v>2019</v>
      </c>
      <c r="K103" s="199">
        <f t="shared" si="26"/>
        <v>43919</v>
      </c>
      <c r="L103" s="147">
        <f>IF(t&lt;Tvie,1-EXP((T0-t)*PertePVj)+'2019'!Pspv,1-EXP((T0-t)*PertePVj)+Pspv)</f>
        <v>1.4003692587751138E-2</v>
      </c>
      <c r="M103" s="870"/>
      <c r="N103" s="870"/>
      <c r="O103" s="48">
        <f>IF(t&lt;Tnet,'2019'!Resal+('2019'!Salim-'2019'!Resal)*(1-EXP(('2019'!Tnet-t)/('2019'!Tau_j))),Resal+(Salim-Resal)*(1-EXP((Tnet-t)/(Tau_j))))*Salcycl</f>
        <v>0.10180442292531966</v>
      </c>
      <c r="P103" s="171">
        <f>(INDEX(Models!$BJ103:$BT103,,T103)*(1-R103)+INDEX(Models!$BJ103:$BT103,,T103+1)*R103-ERP_i)*Q103*Ramure*Pc/MaxiM</f>
        <v>3.2513686210639209E-3</v>
      </c>
      <c r="Q103" s="307">
        <f t="shared" si="27"/>
        <v>1</v>
      </c>
      <c r="R103" s="179">
        <f t="shared" si="28"/>
        <v>0.63338274941638306</v>
      </c>
      <c r="S103" s="837">
        <f t="shared" si="29"/>
        <v>-2</v>
      </c>
      <c r="T103" s="178">
        <f t="shared" si="30"/>
        <v>4</v>
      </c>
      <c r="U103" s="253">
        <f t="shared" si="31"/>
        <v>-1.3666172505836169</v>
      </c>
      <c r="V103" s="385">
        <f t="shared" si="32"/>
        <v>45.14705340525034</v>
      </c>
      <c r="W103" s="404"/>
      <c r="X103" s="157">
        <f t="shared" si="33"/>
        <v>43919</v>
      </c>
      <c r="Y103" s="387">
        <f t="shared" si="34"/>
        <v>25.625</v>
      </c>
      <c r="Z103" s="387">
        <f t="shared" si="35"/>
        <v>25.988941142439884</v>
      </c>
      <c r="AA103" s="388">
        <f t="shared" si="36"/>
        <v>28.934612689903101</v>
      </c>
      <c r="AB103" s="199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0.10180442292531966</v>
      </c>
      <c r="AD103" s="233">
        <f>(INDEX(Models!$BJ103:$BT103,,AH103)*(1-AF103)+INDEX(Models!$BJ103:$BT103,,AH103+1)*AF103-ERP_i)*AE103*Ramure*Pc/MaxiM</f>
        <v>3.2513686210639209E-3</v>
      </c>
      <c r="AE103" s="307">
        <f t="shared" si="38"/>
        <v>1</v>
      </c>
      <c r="AF103" s="179">
        <f t="shared" si="39"/>
        <v>0.63338274941638306</v>
      </c>
      <c r="AG103" s="837">
        <f t="shared" si="47"/>
        <v>-2</v>
      </c>
      <c r="AH103" s="178">
        <f t="shared" si="40"/>
        <v>4</v>
      </c>
      <c r="AI103" s="227">
        <f t="shared" si="41"/>
        <v>-1.3666172505836169</v>
      </c>
      <c r="AJ103" s="267" t="b">
        <f t="shared" si="42"/>
        <v>0</v>
      </c>
      <c r="AK103" s="267" t="b">
        <f t="shared" si="43"/>
        <v>0</v>
      </c>
      <c r="AL103" s="267"/>
      <c r="AM103" s="267"/>
      <c r="AN103" s="75"/>
    </row>
    <row r="104" spans="1:40" s="6" customFormat="1" ht="11.25" x14ac:dyDescent="0.2">
      <c r="A104" s="56">
        <f t="shared" si="44"/>
        <v>43920</v>
      </c>
      <c r="B104" s="618">
        <v>21.478999999999999</v>
      </c>
      <c r="C104" s="392"/>
      <c r="D104" s="395">
        <f t="shared" si="24"/>
        <v>21.784564199549884</v>
      </c>
      <c r="E104" s="387">
        <f t="shared" si="45"/>
        <v>24.257244013010116</v>
      </c>
      <c r="F104" s="387">
        <f t="shared" si="25"/>
        <v>24.276261197978943</v>
      </c>
      <c r="G104" s="110">
        <f t="shared" si="46"/>
        <v>0.47066342395611283</v>
      </c>
      <c r="H104" s="414" t="b">
        <f>Wh_hp&gt;='2019'!Maxi_hp</f>
        <v>0</v>
      </c>
      <c r="I104" s="382">
        <f>IF(H104,Wh_hp,'2019'!Maxi_hp)</f>
        <v>42.869038257647006</v>
      </c>
      <c r="J104" s="85">
        <f>IF(H104,An,'2019'!An_max)</f>
        <v>2019</v>
      </c>
      <c r="K104" s="199">
        <f t="shared" si="26"/>
        <v>43920</v>
      </c>
      <c r="L104" s="147">
        <f>IF(t&lt;Tvie,1-EXP((T0-t)*PertePVj)+'2019'!Pspv,1-EXP((T0-t)*PertePVj)+Pspv)</f>
        <v>1.4026638162272564E-2</v>
      </c>
      <c r="M104" s="870"/>
      <c r="N104" s="870"/>
      <c r="O104" s="48">
        <f>IF(t&lt;Tnet,'2019'!Resal+('2019'!Salim-'2019'!Resal)*(1-EXP(('2019'!Tnet-t)/('2019'!Tau_j))),Resal+(Salim-Resal)*(1-EXP((Tnet-t)/(Tau_j))))*Salcycl</f>
        <v>0.10193572741132646</v>
      </c>
      <c r="P104" s="171">
        <f>(INDEX(Models!$BJ104:$BT104,,T104)*(1-R104)+INDEX(Models!$BJ104:$BT104,,T104+1)*R104-ERP_i)*Q104*Ramure*Pc/MaxiM</f>
        <v>3.1918151738049294E-3</v>
      </c>
      <c r="Q104" s="307">
        <f t="shared" si="27"/>
        <v>1</v>
      </c>
      <c r="R104" s="179">
        <f t="shared" si="28"/>
        <v>0.63475912369351306</v>
      </c>
      <c r="S104" s="837">
        <f t="shared" si="29"/>
        <v>-2</v>
      </c>
      <c r="T104" s="178">
        <f t="shared" si="30"/>
        <v>4</v>
      </c>
      <c r="U104" s="253">
        <f t="shared" si="31"/>
        <v>-1.3652408763064869</v>
      </c>
      <c r="V104" s="385">
        <f t="shared" si="32"/>
        <v>45.525586358014472</v>
      </c>
      <c r="W104" s="404"/>
      <c r="X104" s="157">
        <f t="shared" si="33"/>
        <v>43920</v>
      </c>
      <c r="Y104" s="387">
        <f t="shared" si="34"/>
        <v>21.478999999999999</v>
      </c>
      <c r="Z104" s="387">
        <f t="shared" si="35"/>
        <v>21.784564199549884</v>
      </c>
      <c r="AA104" s="388">
        <f t="shared" si="36"/>
        <v>24.257244013010116</v>
      </c>
      <c r="AB104" s="199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0.10193572741132646</v>
      </c>
      <c r="AD104" s="233">
        <f>(INDEX(Models!$BJ104:$BT104,,AH104)*(1-AF104)+INDEX(Models!$BJ104:$BT104,,AH104+1)*AF104-ERP_i)*AE104*Ramure*Pc/MaxiM</f>
        <v>3.1918151738049294E-3</v>
      </c>
      <c r="AE104" s="307">
        <f t="shared" si="38"/>
        <v>1</v>
      </c>
      <c r="AF104" s="179">
        <f t="shared" si="39"/>
        <v>0.63475912369351306</v>
      </c>
      <c r="AG104" s="837">
        <f t="shared" si="47"/>
        <v>-2</v>
      </c>
      <c r="AH104" s="178">
        <f t="shared" si="40"/>
        <v>4</v>
      </c>
      <c r="AI104" s="227">
        <f t="shared" si="41"/>
        <v>-1.3652408763064869</v>
      </c>
      <c r="AJ104" s="267" t="b">
        <f t="shared" si="42"/>
        <v>0</v>
      </c>
      <c r="AK104" s="267" t="b">
        <f t="shared" si="43"/>
        <v>0</v>
      </c>
      <c r="AL104" s="267"/>
      <c r="AM104" s="267"/>
      <c r="AN104" s="75"/>
    </row>
    <row r="105" spans="1:40" s="6" customFormat="1" ht="11.25" customHeight="1" x14ac:dyDescent="0.2">
      <c r="A105" s="56">
        <f t="shared" si="44"/>
        <v>43921</v>
      </c>
      <c r="B105" s="618">
        <v>42.192</v>
      </c>
      <c r="C105" s="392"/>
      <c r="D105" s="395">
        <f t="shared" si="24"/>
        <v>42.79322700329989</v>
      </c>
      <c r="E105" s="387">
        <f t="shared" si="45"/>
        <v>47.657571781819875</v>
      </c>
      <c r="F105" s="387">
        <f t="shared" si="25"/>
        <v>47.789967168011586</v>
      </c>
      <c r="G105" s="110">
        <f t="shared" si="46"/>
        <v>0.91893881855797865</v>
      </c>
      <c r="H105" s="414" t="b">
        <f>Wh_hp&gt;='2019'!Maxi_hp</f>
        <v>1</v>
      </c>
      <c r="I105" s="382">
        <f>IF(H105,Wh_hp,'2019'!Maxi_hp)</f>
        <v>47.789967168011586</v>
      </c>
      <c r="J105" s="85">
        <f>IF(H105,An,'2019'!An_max)</f>
        <v>2020</v>
      </c>
      <c r="K105" s="199">
        <f t="shared" si="26"/>
        <v>43921</v>
      </c>
      <c r="L105" s="147">
        <f>IF(t&lt;Tvie,1-EXP((T0-t)*PertePVj)+'2019'!Pspv,1-EXP((T0-t)*PertePVj)+Pspv)</f>
        <v>1.4049583202816907E-2</v>
      </c>
      <c r="M105" s="870"/>
      <c r="N105" s="870"/>
      <c r="O105" s="48">
        <f>IF(t&lt;Tnet,'2019'!Resal+('2019'!Salim-'2019'!Resal)*(1-EXP(('2019'!Tnet-t)/('2019'!Tau_j))),Resal+(Salim-Resal)*(1-EXP((Tnet-t)/(Tau_j))))*Salcycl</f>
        <v>0.10206866604092506</v>
      </c>
      <c r="P105" s="171">
        <f>(INDEX(Models!$BJ105:$BT105,,T105)*(1-R105)+INDEX(Models!$BJ105:$BT105,,T105+1)*R105-ERP_i)*Q105*Ramure*Pc/MaxiM</f>
        <v>3.1315035155931184E-3</v>
      </c>
      <c r="Q105" s="307">
        <f t="shared" si="27"/>
        <v>1</v>
      </c>
      <c r="R105" s="179">
        <f t="shared" si="28"/>
        <v>0.63618720639051229</v>
      </c>
      <c r="S105" s="837">
        <f t="shared" si="29"/>
        <v>-2</v>
      </c>
      <c r="T105" s="178">
        <f t="shared" si="30"/>
        <v>4</v>
      </c>
      <c r="U105" s="253">
        <f t="shared" si="31"/>
        <v>-1.3638127936094877</v>
      </c>
      <c r="V105" s="385">
        <f t="shared" si="32"/>
        <v>45.897201670720996</v>
      </c>
      <c r="W105" s="404"/>
      <c r="X105" s="157">
        <f t="shared" si="33"/>
        <v>43921</v>
      </c>
      <c r="Y105" s="387">
        <f t="shared" si="34"/>
        <v>42.192</v>
      </c>
      <c r="Z105" s="387">
        <f t="shared" si="35"/>
        <v>42.79322700329989</v>
      </c>
      <c r="AA105" s="388">
        <f t="shared" si="36"/>
        <v>47.657571781819875</v>
      </c>
      <c r="AB105" s="199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0.10206866604092506</v>
      </c>
      <c r="AD105" s="233">
        <f>(INDEX(Models!$BJ105:$BT105,,AH105)*(1-AF105)+INDEX(Models!$BJ105:$BT105,,AH105+1)*AF105-ERP_i)*AE105*Ramure*Pc/MaxiM</f>
        <v>3.1315035155931184E-3</v>
      </c>
      <c r="AE105" s="307">
        <f t="shared" si="38"/>
        <v>1</v>
      </c>
      <c r="AF105" s="179">
        <f t="shared" si="39"/>
        <v>0.63618720639051229</v>
      </c>
      <c r="AG105" s="837">
        <f t="shared" si="47"/>
        <v>-2</v>
      </c>
      <c r="AH105" s="178">
        <f t="shared" si="40"/>
        <v>4</v>
      </c>
      <c r="AI105" s="227">
        <f t="shared" si="41"/>
        <v>-1.3638127936094877</v>
      </c>
      <c r="AJ105" s="267" t="b">
        <f t="shared" si="42"/>
        <v>0</v>
      </c>
      <c r="AK105" s="267" t="b">
        <f t="shared" si="43"/>
        <v>0</v>
      </c>
      <c r="AL105" s="267"/>
      <c r="AM105" s="267"/>
      <c r="AN105" s="75"/>
    </row>
    <row r="106" spans="1:40" s="6" customFormat="1" ht="11.25" customHeight="1" x14ac:dyDescent="0.2">
      <c r="A106" s="56">
        <f t="shared" si="44"/>
        <v>43922</v>
      </c>
      <c r="B106" s="618">
        <v>37.417000000000002</v>
      </c>
      <c r="C106" s="392"/>
      <c r="D106" s="395">
        <f t="shared" si="24"/>
        <v>37.951067448266919</v>
      </c>
      <c r="E106" s="387">
        <f t="shared" si="45"/>
        <v>42.271338468052967</v>
      </c>
      <c r="F106" s="387">
        <f t="shared" si="25"/>
        <v>42.365894595773121</v>
      </c>
      <c r="G106" s="110">
        <f t="shared" si="46"/>
        <v>0.80814238181764919</v>
      </c>
      <c r="H106" s="414" t="b">
        <f>Wh_hp&gt;='2019'!Maxi_hp</f>
        <v>1</v>
      </c>
      <c r="I106" s="382">
        <f>IF(H106,Wh_hp,'2019'!Maxi_hp)</f>
        <v>42.365894595773121</v>
      </c>
      <c r="J106" s="85">
        <f>IF(H106,An,'2019'!An_max)</f>
        <v>2020</v>
      </c>
      <c r="K106" s="199">
        <f t="shared" si="26"/>
        <v>43922</v>
      </c>
      <c r="L106" s="147">
        <f>IF(t&lt;Tvie,1-EXP((T0-t)*PertePVj)+'2019'!Pspv,1-EXP((T0-t)*PertePVj)+Pspv)</f>
        <v>1.4072527709396598E-2</v>
      </c>
      <c r="M106" s="870"/>
      <c r="N106" s="870"/>
      <c r="O106" s="48">
        <f>IF(t&lt;Tnet,'2019'!Resal+('2019'!Salim-'2019'!Resal)*(1-EXP(('2019'!Tnet-t)/('2019'!Tau_j))),Resal+(Salim-Resal)*(1-EXP((Tnet-t)/(Tau_j))))*Salcycl</f>
        <v>0.10220331733879549</v>
      </c>
      <c r="P106" s="171">
        <f>(INDEX(Models!$BJ106:$BT106,,T106)*(1-R106)+INDEX(Models!$BJ106:$BT106,,T106+1)*R106-ERP_i)*Q106*Ramure*Pc/MaxiM</f>
        <v>3.0704732531597937E-3</v>
      </c>
      <c r="Q106" s="307">
        <f t="shared" si="27"/>
        <v>1</v>
      </c>
      <c r="R106" s="179">
        <f t="shared" si="28"/>
        <v>0.63766869205972743</v>
      </c>
      <c r="S106" s="837">
        <f t="shared" si="29"/>
        <v>-2</v>
      </c>
      <c r="T106" s="178">
        <f t="shared" si="30"/>
        <v>4</v>
      </c>
      <c r="U106" s="253">
        <f t="shared" si="31"/>
        <v>-1.3623313079402726</v>
      </c>
      <c r="V106" s="385">
        <f t="shared" si="32"/>
        <v>46.261096414025687</v>
      </c>
      <c r="W106" s="404"/>
      <c r="X106" s="157">
        <f t="shared" si="33"/>
        <v>43922</v>
      </c>
      <c r="Y106" s="387">
        <f t="shared" si="34"/>
        <v>37.417000000000002</v>
      </c>
      <c r="Z106" s="387">
        <f t="shared" si="35"/>
        <v>37.951067448266919</v>
      </c>
      <c r="AA106" s="388">
        <f t="shared" si="36"/>
        <v>42.271338468052967</v>
      </c>
      <c r="AB106" s="199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0.10220331733879549</v>
      </c>
      <c r="AD106" s="233">
        <f>(INDEX(Models!$BJ106:$BT106,,AH106)*(1-AF106)+INDEX(Models!$BJ106:$BT106,,AH106+1)*AF106-ERP_i)*AE106*Ramure*Pc/MaxiM</f>
        <v>3.0704732531597937E-3</v>
      </c>
      <c r="AE106" s="307">
        <f t="shared" si="38"/>
        <v>1</v>
      </c>
      <c r="AF106" s="179">
        <f t="shared" si="39"/>
        <v>0.63766869205972743</v>
      </c>
      <c r="AG106" s="837">
        <f t="shared" si="47"/>
        <v>-2</v>
      </c>
      <c r="AH106" s="178">
        <f t="shared" si="40"/>
        <v>4</v>
      </c>
      <c r="AI106" s="227">
        <f t="shared" si="41"/>
        <v>-1.3623313079402726</v>
      </c>
      <c r="AJ106" s="267" t="b">
        <f t="shared" si="42"/>
        <v>0</v>
      </c>
      <c r="AK106" s="267" t="b">
        <f t="shared" si="43"/>
        <v>0</v>
      </c>
      <c r="AL106" s="267"/>
      <c r="AM106" s="267"/>
      <c r="AN106" s="75"/>
    </row>
    <row r="107" spans="1:40" s="6" customFormat="1" ht="11.25" x14ac:dyDescent="0.2">
      <c r="A107" s="56">
        <f t="shared" si="44"/>
        <v>43923</v>
      </c>
      <c r="B107" s="618">
        <v>23.757000000000001</v>
      </c>
      <c r="C107" s="392"/>
      <c r="D107" s="395">
        <f t="shared" si="24"/>
        <v>24.096653699857892</v>
      </c>
      <c r="E107" s="387">
        <f t="shared" si="45"/>
        <v>26.843846464329108</v>
      </c>
      <c r="F107" s="387">
        <f t="shared" si="25"/>
        <v>26.86805047628404</v>
      </c>
      <c r="G107" s="110">
        <f t="shared" si="46"/>
        <v>0.50852271629410639</v>
      </c>
      <c r="H107" s="414" t="b">
        <f>Wh_hp&gt;='2019'!Maxi_hp</f>
        <v>1</v>
      </c>
      <c r="I107" s="382">
        <f>IF(H107,Wh_hp,'2019'!Maxi_hp)</f>
        <v>26.86805047628404</v>
      </c>
      <c r="J107" s="85">
        <f>IF(H107,An,'2019'!An_max)</f>
        <v>2020</v>
      </c>
      <c r="K107" s="199">
        <f t="shared" si="26"/>
        <v>43923</v>
      </c>
      <c r="L107" s="147">
        <f>IF(t&lt;Tvie,1-EXP((T0-t)*PertePVj)+'2019'!Pspv,1-EXP((T0-t)*PertePVj)+Pspv)</f>
        <v>1.4095471682024185E-2</v>
      </c>
      <c r="M107" s="870"/>
      <c r="N107" s="870"/>
      <c r="O107" s="48">
        <f>IF(t&lt;Tnet,'2019'!Resal+('2019'!Salim-'2019'!Resal)*(1-EXP(('2019'!Tnet-t)/('2019'!Tau_j))),Resal+(Salim-Resal)*(1-EXP((Tnet-t)/(Tau_j))))*Salcycl</f>
        <v>0.10233975850375117</v>
      </c>
      <c r="P107" s="171">
        <f>(INDEX(Models!$BJ107:$BT107,,T107)*(1-R107)+INDEX(Models!$BJ107:$BT107,,T107+1)*R107-ERP_i)*Q107*Ramure*Pc/MaxiM</f>
        <v>3.0085868727156807E-3</v>
      </c>
      <c r="Q107" s="307">
        <f t="shared" si="27"/>
        <v>1</v>
      </c>
      <c r="R107" s="179">
        <f t="shared" si="28"/>
        <v>0.63920531078646636</v>
      </c>
      <c r="S107" s="837">
        <f t="shared" si="29"/>
        <v>-2</v>
      </c>
      <c r="T107" s="178">
        <f t="shared" si="30"/>
        <v>4</v>
      </c>
      <c r="U107" s="253">
        <f t="shared" si="31"/>
        <v>-1.3607946892135336</v>
      </c>
      <c r="V107" s="385">
        <f t="shared" si="32"/>
        <v>46.619119506613394</v>
      </c>
      <c r="W107" s="404"/>
      <c r="X107" s="157">
        <f t="shared" si="33"/>
        <v>43923</v>
      </c>
      <c r="Y107" s="387">
        <f t="shared" si="34"/>
        <v>23.757000000000001</v>
      </c>
      <c r="Z107" s="387">
        <f t="shared" si="35"/>
        <v>24.096653699857892</v>
      </c>
      <c r="AA107" s="388">
        <f t="shared" si="36"/>
        <v>26.843846464329108</v>
      </c>
      <c r="AB107" s="199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0.10233975850375117</v>
      </c>
      <c r="AD107" s="233">
        <f>(INDEX(Models!$BJ107:$BT107,,AH107)*(1-AF107)+INDEX(Models!$BJ107:$BT107,,AH107+1)*AF107-ERP_i)*AE107*Ramure*Pc/MaxiM</f>
        <v>3.0085868727156807E-3</v>
      </c>
      <c r="AE107" s="307">
        <f t="shared" si="38"/>
        <v>1</v>
      </c>
      <c r="AF107" s="179">
        <f t="shared" si="39"/>
        <v>0.63920531078646636</v>
      </c>
      <c r="AG107" s="837">
        <f t="shared" si="47"/>
        <v>-2</v>
      </c>
      <c r="AH107" s="178">
        <f t="shared" si="40"/>
        <v>4</v>
      </c>
      <c r="AI107" s="227">
        <f t="shared" si="41"/>
        <v>-1.3607946892135336</v>
      </c>
      <c r="AJ107" s="267" t="b">
        <f t="shared" si="42"/>
        <v>0</v>
      </c>
      <c r="AK107" s="267" t="b">
        <f t="shared" si="43"/>
        <v>0</v>
      </c>
      <c r="AL107" s="267"/>
      <c r="AM107" s="267"/>
      <c r="AN107" s="75"/>
    </row>
    <row r="108" spans="1:40" s="6" customFormat="1" ht="11.25" x14ac:dyDescent="0.2">
      <c r="A108" s="56">
        <f t="shared" si="44"/>
        <v>43924</v>
      </c>
      <c r="B108" s="618">
        <v>46.972999999999999</v>
      </c>
      <c r="C108" s="392"/>
      <c r="D108" s="395">
        <f t="shared" si="24"/>
        <v>47.645681510271238</v>
      </c>
      <c r="E108" s="387">
        <f t="shared" si="45"/>
        <v>53.08581290921844</v>
      </c>
      <c r="F108" s="387">
        <f t="shared" si="25"/>
        <v>53.242583375883534</v>
      </c>
      <c r="G108" s="110">
        <f t="shared" si="46"/>
        <v>0.99998913055339</v>
      </c>
      <c r="H108" s="414" t="b">
        <f>Wh_hp&gt;='2019'!Maxi_hp</f>
        <v>1</v>
      </c>
      <c r="I108" s="382">
        <f>IF(H108,Wh_hp,'2019'!Maxi_hp)</f>
        <v>53.242583375883534</v>
      </c>
      <c r="J108" s="85">
        <f>IF(H108,An,'2019'!An_max)</f>
        <v>2020</v>
      </c>
      <c r="K108" s="199">
        <f t="shared" si="26"/>
        <v>43924</v>
      </c>
      <c r="L108" s="147">
        <f>IF(t&lt;Tvie,1-EXP((T0-t)*PertePVj)+'2019'!Pspv,1-EXP((T0-t)*PertePVj)+Pspv)</f>
        <v>1.4118415120711991E-2</v>
      </c>
      <c r="M108" s="870"/>
      <c r="N108" s="870"/>
      <c r="O108" s="48">
        <f>IF(t&lt;Tnet,'2019'!Resal+('2019'!Salim-'2019'!Resal)*(1-EXP(('2019'!Tnet-t)/('2019'!Tau_j))),Resal+(Salim-Resal)*(1-EXP((Tnet-t)/(Tau_j))))*Salcycl</f>
        <v>0.10247806524598799</v>
      </c>
      <c r="P108" s="171">
        <f>(INDEX(Models!$BJ108:$BT108,,T108)*(1-R108)+INDEX(Models!$BJ108:$BT108,,T108+1)*R108-ERP_i)*Q108*Ramure*Pc/MaxiM</f>
        <v>2.944501953756673E-3</v>
      </c>
      <c r="Q108" s="307">
        <f t="shared" si="27"/>
        <v>1</v>
      </c>
      <c r="R108" s="179">
        <f t="shared" si="28"/>
        <v>0.64079882723526027</v>
      </c>
      <c r="S108" s="837">
        <f t="shared" si="29"/>
        <v>-2</v>
      </c>
      <c r="T108" s="178">
        <f t="shared" si="30"/>
        <v>4</v>
      </c>
      <c r="U108" s="253">
        <f t="shared" si="31"/>
        <v>-1.3592011727647397</v>
      </c>
      <c r="V108" s="385">
        <f t="shared" si="32"/>
        <v>46.97350843106895</v>
      </c>
      <c r="W108" s="404"/>
      <c r="X108" s="157">
        <f t="shared" si="33"/>
        <v>43924</v>
      </c>
      <c r="Y108" s="387">
        <f t="shared" si="34"/>
        <v>46.972999999999999</v>
      </c>
      <c r="Z108" s="387">
        <f t="shared" si="35"/>
        <v>47.645681510271238</v>
      </c>
      <c r="AA108" s="388">
        <f t="shared" si="36"/>
        <v>53.08581290921844</v>
      </c>
      <c r="AB108" s="199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0.10247806524598799</v>
      </c>
      <c r="AD108" s="233">
        <f>(INDEX(Models!$BJ108:$BT108,,AH108)*(1-AF108)+INDEX(Models!$BJ108:$BT108,,AH108+1)*AF108-ERP_i)*AE108*Ramure*Pc/MaxiM</f>
        <v>2.944501953756673E-3</v>
      </c>
      <c r="AE108" s="307">
        <f t="shared" si="38"/>
        <v>1</v>
      </c>
      <c r="AF108" s="179">
        <f t="shared" si="39"/>
        <v>0.64079882723526027</v>
      </c>
      <c r="AG108" s="837">
        <f t="shared" si="47"/>
        <v>-2</v>
      </c>
      <c r="AH108" s="178">
        <f t="shared" si="40"/>
        <v>4</v>
      </c>
      <c r="AI108" s="227">
        <f t="shared" si="41"/>
        <v>-1.3592011727647397</v>
      </c>
      <c r="AJ108" s="267" t="b">
        <f t="shared" si="42"/>
        <v>0</v>
      </c>
      <c r="AK108" s="267" t="b">
        <f t="shared" si="43"/>
        <v>0</v>
      </c>
      <c r="AL108" s="267"/>
      <c r="AM108" s="267"/>
      <c r="AN108" s="75"/>
    </row>
    <row r="109" spans="1:40" s="6" customFormat="1" ht="11.25" x14ac:dyDescent="0.2">
      <c r="A109" s="56">
        <f t="shared" si="44"/>
        <v>43925</v>
      </c>
      <c r="B109" s="618">
        <v>48.643000000000001</v>
      </c>
      <c r="C109" s="392"/>
      <c r="D109" s="395">
        <f t="shared" si="24"/>
        <v>49.340745142300861</v>
      </c>
      <c r="E109" s="387">
        <f t="shared" si="45"/>
        <v>54.983008659272393</v>
      </c>
      <c r="F109" s="387">
        <f t="shared" si="25"/>
        <v>55.141802022819732</v>
      </c>
      <c r="G109" s="110">
        <f t="shared" si="46"/>
        <v>1.0278740875222927</v>
      </c>
      <c r="H109" s="414" t="b">
        <f>Wh_hp&gt;='2019'!Maxi_hp</f>
        <v>1</v>
      </c>
      <c r="I109" s="382">
        <f>IF(H109,Wh_hp,'2019'!Maxi_hp)</f>
        <v>55.141802022819732</v>
      </c>
      <c r="J109" s="85">
        <f>IF(H109,An,'2019'!An_max)</f>
        <v>2020</v>
      </c>
      <c r="K109" s="199">
        <f t="shared" si="26"/>
        <v>43925</v>
      </c>
      <c r="L109" s="147">
        <f>IF(t&lt;Tvie,1-EXP((T0-t)*PertePVj)+'2019'!Pspv,1-EXP((T0-t)*PertePVj)+Pspv)</f>
        <v>1.4141358025472339E-2</v>
      </c>
      <c r="M109" s="870"/>
      <c r="N109" s="870"/>
      <c r="O109" s="48">
        <f>IF(t&lt;Tnet,'2019'!Resal+('2019'!Salim-'2019'!Resal)*(1-EXP(('2019'!Tnet-t)/('2019'!Tau_j))),Resal+(Salim-Resal)*(1-EXP((Tnet-t)/(Tau_j))))*Salcycl</f>
        <v>0.10261831163035148</v>
      </c>
      <c r="P109" s="171">
        <f>(INDEX(Models!$BJ109:$BT109,,T109)*(1-R109)+INDEX(Models!$BJ109:$BT109,,T109+1)*R109-ERP_i)*Q109*Ramure*Pc/MaxiM</f>
        <v>2.8797274975095196E-3</v>
      </c>
      <c r="Q109" s="307">
        <f t="shared" si="27"/>
        <v>1</v>
      </c>
      <c r="R109" s="179">
        <f t="shared" si="28"/>
        <v>0.64245103951448645</v>
      </c>
      <c r="S109" s="837">
        <f t="shared" si="29"/>
        <v>-2</v>
      </c>
      <c r="T109" s="178">
        <f t="shared" si="30"/>
        <v>4</v>
      </c>
      <c r="U109" s="253">
        <f t="shared" si="31"/>
        <v>-1.3575489604855135</v>
      </c>
      <c r="V109" s="385">
        <f t="shared" si="32"/>
        <v>47.323889755071797</v>
      </c>
      <c r="W109" s="404"/>
      <c r="X109" s="157">
        <f t="shared" si="33"/>
        <v>43925</v>
      </c>
      <c r="Y109" s="387">
        <f t="shared" si="34"/>
        <v>48.643000000000001</v>
      </c>
      <c r="Z109" s="387">
        <f t="shared" si="35"/>
        <v>49.340745142300861</v>
      </c>
      <c r="AA109" s="388">
        <f t="shared" si="36"/>
        <v>54.983008659272393</v>
      </c>
      <c r="AB109" s="199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0.10261831163035148</v>
      </c>
      <c r="AD109" s="233">
        <f>(INDEX(Models!$BJ109:$BT109,,AH109)*(1-AF109)+INDEX(Models!$BJ109:$BT109,,AH109+1)*AF109-ERP_i)*AE109*Ramure*Pc/MaxiM</f>
        <v>2.8797274975095196E-3</v>
      </c>
      <c r="AE109" s="307">
        <f t="shared" si="38"/>
        <v>1</v>
      </c>
      <c r="AF109" s="179">
        <f t="shared" si="39"/>
        <v>0.64245103951448645</v>
      </c>
      <c r="AG109" s="837">
        <f t="shared" si="47"/>
        <v>-2</v>
      </c>
      <c r="AH109" s="178">
        <f t="shared" si="40"/>
        <v>4</v>
      </c>
      <c r="AI109" s="227">
        <f t="shared" si="41"/>
        <v>-1.3575489604855135</v>
      </c>
      <c r="AJ109" s="267" t="b">
        <f t="shared" si="42"/>
        <v>0</v>
      </c>
      <c r="AK109" s="267" t="b">
        <f t="shared" si="43"/>
        <v>0</v>
      </c>
      <c r="AL109" s="267"/>
      <c r="AM109" s="267"/>
      <c r="AN109" s="75"/>
    </row>
    <row r="110" spans="1:40" s="6" customFormat="1" ht="11.25" customHeight="1" x14ac:dyDescent="0.2">
      <c r="A110" s="56">
        <f t="shared" si="44"/>
        <v>43926</v>
      </c>
      <c r="B110" s="618">
        <v>48.781999999999996</v>
      </c>
      <c r="C110" s="392"/>
      <c r="D110" s="395">
        <f t="shared" si="24"/>
        <v>49.482890525886766</v>
      </c>
      <c r="E110" s="387">
        <f t="shared" si="45"/>
        <v>55.150151528384228</v>
      </c>
      <c r="F110" s="387">
        <f t="shared" si="25"/>
        <v>55.305797154452193</v>
      </c>
      <c r="G110" s="110">
        <f t="shared" si="46"/>
        <v>1.0233279041416943</v>
      </c>
      <c r="H110" s="414" t="b">
        <f>Wh_hp&gt;='2019'!Maxi_hp</f>
        <v>1</v>
      </c>
      <c r="I110" s="382">
        <f>IF(H110,Wh_hp,'2019'!Maxi_hp)</f>
        <v>55.305797154452193</v>
      </c>
      <c r="J110" s="85">
        <f>IF(H110,An,'2019'!An_max)</f>
        <v>2020</v>
      </c>
      <c r="K110" s="199">
        <f t="shared" si="26"/>
        <v>43926</v>
      </c>
      <c r="L110" s="147">
        <f>IF(t&lt;Tvie,1-EXP((T0-t)*PertePVj)+'2019'!Pspv,1-EXP((T0-t)*PertePVj)+Pspv)</f>
        <v>1.4164300396317886E-2</v>
      </c>
      <c r="M110" s="870"/>
      <c r="N110" s="870"/>
      <c r="O110" s="48">
        <f>IF(t&lt;Tnet,'2019'!Resal+('2019'!Salim-'2019'!Resal)*(1-EXP(('2019'!Tnet-t)/('2019'!Tau_j))),Resal+(Salim-Resal)*(1-EXP((Tnet-t)/(Tau_j))))*Salcycl</f>
        <v>0.10276056992482926</v>
      </c>
      <c r="P110" s="171">
        <f>(INDEX(Models!$BJ110:$BT110,,T110)*(1-R110)+INDEX(Models!$BJ110:$BT110,,T110+1)*R110-ERP_i)*Q110*Ramure*Pc/MaxiM</f>
        <v>2.814273260238784E-3</v>
      </c>
      <c r="Q110" s="307">
        <f t="shared" si="27"/>
        <v>1</v>
      </c>
      <c r="R110" s="179">
        <f t="shared" si="28"/>
        <v>0.64416377784674261</v>
      </c>
      <c r="S110" s="837">
        <f t="shared" si="29"/>
        <v>-2</v>
      </c>
      <c r="T110" s="178">
        <f t="shared" si="30"/>
        <v>4</v>
      </c>
      <c r="U110" s="253">
        <f t="shared" si="31"/>
        <v>-1.3558362221532574</v>
      </c>
      <c r="V110" s="385">
        <f t="shared" si="32"/>
        <v>47.669959748547463</v>
      </c>
      <c r="W110" s="404"/>
      <c r="X110" s="157">
        <f t="shared" si="33"/>
        <v>43926</v>
      </c>
      <c r="Y110" s="387">
        <f t="shared" si="34"/>
        <v>48.781999999999996</v>
      </c>
      <c r="Z110" s="387">
        <f t="shared" si="35"/>
        <v>49.482890525886766</v>
      </c>
      <c r="AA110" s="388">
        <f t="shared" si="36"/>
        <v>55.150151528384228</v>
      </c>
      <c r="AB110" s="199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0.10276056992482926</v>
      </c>
      <c r="AD110" s="233">
        <f>(INDEX(Models!$BJ110:$BT110,,AH110)*(1-AF110)+INDEX(Models!$BJ110:$BT110,,AH110+1)*AF110-ERP_i)*AE110*Ramure*Pc/MaxiM</f>
        <v>2.814273260238784E-3</v>
      </c>
      <c r="AE110" s="307">
        <f t="shared" si="38"/>
        <v>1</v>
      </c>
      <c r="AF110" s="179">
        <f t="shared" si="39"/>
        <v>0.64416377784674261</v>
      </c>
      <c r="AG110" s="837">
        <f t="shared" si="47"/>
        <v>-2</v>
      </c>
      <c r="AH110" s="178">
        <f t="shared" si="40"/>
        <v>4</v>
      </c>
      <c r="AI110" s="227">
        <f t="shared" si="41"/>
        <v>-1.3558362221532574</v>
      </c>
      <c r="AJ110" s="267" t="b">
        <f t="shared" si="42"/>
        <v>0</v>
      </c>
      <c r="AK110" s="267" t="b">
        <f t="shared" si="43"/>
        <v>0</v>
      </c>
      <c r="AL110" s="267"/>
      <c r="AM110" s="267"/>
      <c r="AN110" s="75"/>
    </row>
    <row r="111" spans="1:40" s="6" customFormat="1" ht="11.25" x14ac:dyDescent="0.2">
      <c r="A111" s="56">
        <f t="shared" si="44"/>
        <v>43927</v>
      </c>
      <c r="B111" s="618">
        <v>28.818000000000001</v>
      </c>
      <c r="C111" s="392"/>
      <c r="D111" s="395">
        <f t="shared" si="24"/>
        <v>29.232731847865633</v>
      </c>
      <c r="E111" s="387">
        <f t="shared" si="45"/>
        <v>32.5859902573307</v>
      </c>
      <c r="F111" s="387">
        <f t="shared" si="25"/>
        <v>32.624444323496213</v>
      </c>
      <c r="G111" s="110">
        <f t="shared" si="46"/>
        <v>0.5992891070480636</v>
      </c>
      <c r="H111" s="414" t="b">
        <f>Wh_hp&gt;='2019'!Maxi_hp</f>
        <v>0</v>
      </c>
      <c r="I111" s="382">
        <f>IF(H111,Wh_hp,'2019'!Maxi_hp)</f>
        <v>35.991001701168912</v>
      </c>
      <c r="J111" s="85">
        <f>IF(H111,An,'2019'!An_max)</f>
        <v>2019</v>
      </c>
      <c r="K111" s="199">
        <f t="shared" si="26"/>
        <v>43927</v>
      </c>
      <c r="L111" s="147">
        <f>IF(t&lt;Tvie,1-EXP((T0-t)*PertePVj)+'2019'!Pspv,1-EXP((T0-t)*PertePVj)+Pspv)</f>
        <v>1.4187242233260955E-2</v>
      </c>
      <c r="M111" s="870"/>
      <c r="N111" s="870"/>
      <c r="O111" s="48">
        <f>IF(t&lt;Tnet,'2019'!Resal+('2019'!Salim-'2019'!Resal)*(1-EXP(('2019'!Tnet-t)/('2019'!Tau_j))),Resal+(Salim-Resal)*(1-EXP((Tnet-t)/(Tau_j))))*Salcycl</f>
        <v>0.10290491045337188</v>
      </c>
      <c r="P111" s="171">
        <f>(INDEX(Models!$BJ111:$BT111,,T111)*(1-R111)+INDEX(Models!$BJ111:$BT111,,T111+1)*R111-ERP_i)*Q111*Ramure*Pc/MaxiM</f>
        <v>2.748146203868923E-3</v>
      </c>
      <c r="Q111" s="307">
        <f t="shared" si="27"/>
        <v>1</v>
      </c>
      <c r="R111" s="179">
        <f t="shared" si="28"/>
        <v>0.64593890303207124</v>
      </c>
      <c r="S111" s="837">
        <f t="shared" si="29"/>
        <v>-2</v>
      </c>
      <c r="T111" s="178">
        <f t="shared" si="30"/>
        <v>4</v>
      </c>
      <c r="U111" s="253">
        <f t="shared" si="31"/>
        <v>-1.3540610969679288</v>
      </c>
      <c r="V111" s="385">
        <f t="shared" si="32"/>
        <v>48.011414964686274</v>
      </c>
      <c r="W111" s="404"/>
      <c r="X111" s="157">
        <f t="shared" si="33"/>
        <v>43927</v>
      </c>
      <c r="Y111" s="387">
        <f t="shared" si="34"/>
        <v>28.818000000000001</v>
      </c>
      <c r="Z111" s="387">
        <f t="shared" si="35"/>
        <v>29.232731847865633</v>
      </c>
      <c r="AA111" s="388">
        <f t="shared" si="36"/>
        <v>32.5859902573307</v>
      </c>
      <c r="AB111" s="199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0.10290491045337188</v>
      </c>
      <c r="AD111" s="233">
        <f>(INDEX(Models!$BJ111:$BT111,,AH111)*(1-AF111)+INDEX(Models!$BJ111:$BT111,,AH111+1)*AF111-ERP_i)*AE111*Ramure*Pc/MaxiM</f>
        <v>2.748146203868923E-3</v>
      </c>
      <c r="AE111" s="307">
        <f t="shared" si="38"/>
        <v>1</v>
      </c>
      <c r="AF111" s="179">
        <f t="shared" si="39"/>
        <v>0.64593890303207124</v>
      </c>
      <c r="AG111" s="837">
        <f t="shared" si="47"/>
        <v>-2</v>
      </c>
      <c r="AH111" s="178">
        <f t="shared" si="40"/>
        <v>4</v>
      </c>
      <c r="AI111" s="227">
        <f t="shared" si="41"/>
        <v>-1.3540610969679288</v>
      </c>
      <c r="AJ111" s="267" t="b">
        <f t="shared" si="42"/>
        <v>0</v>
      </c>
      <c r="AK111" s="267" t="b">
        <f t="shared" si="43"/>
        <v>0</v>
      </c>
      <c r="AL111" s="267"/>
      <c r="AM111" s="267"/>
      <c r="AN111" s="75"/>
    </row>
    <row r="112" spans="1:40" s="6" customFormat="1" ht="11.25" customHeight="1" x14ac:dyDescent="0.2">
      <c r="A112" s="56">
        <f t="shared" si="44"/>
        <v>43928</v>
      </c>
      <c r="B112" s="618">
        <v>29.382000000000001</v>
      </c>
      <c r="C112" s="392"/>
      <c r="D112" s="395">
        <f t="shared" si="24"/>
        <v>29.805542225422613</v>
      </c>
      <c r="E112" s="387">
        <f t="shared" si="45"/>
        <v>33.229933436179664</v>
      </c>
      <c r="F112" s="387">
        <f t="shared" si="25"/>
        <v>33.269148456970221</v>
      </c>
      <c r="G112" s="110">
        <f t="shared" si="46"/>
        <v>0.60680538138392592</v>
      </c>
      <c r="H112" s="414" t="b">
        <f>Wh_hp&gt;='2019'!Maxi_hp</f>
        <v>0</v>
      </c>
      <c r="I112" s="382">
        <f>IF(H112,Wh_hp,'2019'!Maxi_hp)</f>
        <v>35.383954345013038</v>
      </c>
      <c r="J112" s="85">
        <f>IF(H112,An,'2019'!An_max)</f>
        <v>2019</v>
      </c>
      <c r="K112" s="199">
        <f t="shared" si="26"/>
        <v>43928</v>
      </c>
      <c r="L112" s="147">
        <f>IF(t&lt;Tvie,1-EXP((T0-t)*PertePVj)+'2019'!Pspv,1-EXP((T0-t)*PertePVj)+Pspv)</f>
        <v>1.4210183536313981E-2</v>
      </c>
      <c r="M112" s="870"/>
      <c r="N112" s="870"/>
      <c r="O112" s="48">
        <f>IF(t&lt;Tnet,'2019'!Resal+('2019'!Salim-'2019'!Resal)*(1-EXP(('2019'!Tnet-t)/('2019'!Tau_j))),Resal+(Salim-Resal)*(1-EXP((Tnet-t)/(Tau_j))))*Salcycl</f>
        <v>0.10305140145206203</v>
      </c>
      <c r="P112" s="171">
        <f>(INDEX(Models!$BJ112:$BT112,,T112)*(1-R112)+INDEX(Models!$BJ112:$BT112,,T112+1)*R112-ERP_i)*Q112*Ramure*Pc/MaxiM</f>
        <v>2.68135053447029E-3</v>
      </c>
      <c r="Q112" s="307">
        <f t="shared" si="27"/>
        <v>1</v>
      </c>
      <c r="R112" s="179">
        <f t="shared" si="28"/>
        <v>0.64777830469091224</v>
      </c>
      <c r="S112" s="837">
        <f t="shared" si="29"/>
        <v>-2</v>
      </c>
      <c r="T112" s="178">
        <f t="shared" si="30"/>
        <v>4</v>
      </c>
      <c r="U112" s="253">
        <f t="shared" si="31"/>
        <v>-1.3522216953090878</v>
      </c>
      <c r="V112" s="385">
        <f t="shared" si="32"/>
        <v>48.347952269997776</v>
      </c>
      <c r="W112" s="404"/>
      <c r="X112" s="157">
        <f t="shared" si="33"/>
        <v>43928</v>
      </c>
      <c r="Y112" s="387">
        <f t="shared" si="34"/>
        <v>29.382000000000001</v>
      </c>
      <c r="Z112" s="387">
        <f t="shared" si="35"/>
        <v>29.805542225422613</v>
      </c>
      <c r="AA112" s="388">
        <f t="shared" si="36"/>
        <v>33.229933436179664</v>
      </c>
      <c r="AB112" s="199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0.10305140145206203</v>
      </c>
      <c r="AD112" s="233">
        <f>(INDEX(Models!$BJ112:$BT112,,AH112)*(1-AF112)+INDEX(Models!$BJ112:$BT112,,AH112+1)*AF112-ERP_i)*AE112*Ramure*Pc/MaxiM</f>
        <v>2.68135053447029E-3</v>
      </c>
      <c r="AE112" s="307">
        <f t="shared" si="38"/>
        <v>1</v>
      </c>
      <c r="AF112" s="179">
        <f t="shared" si="39"/>
        <v>0.64777830469091224</v>
      </c>
      <c r="AG112" s="837">
        <f t="shared" si="47"/>
        <v>-2</v>
      </c>
      <c r="AH112" s="178">
        <f t="shared" si="40"/>
        <v>4</v>
      </c>
      <c r="AI112" s="227">
        <f t="shared" si="41"/>
        <v>-1.3522216953090878</v>
      </c>
      <c r="AJ112" s="267" t="b">
        <f t="shared" si="42"/>
        <v>0</v>
      </c>
      <c r="AK112" s="267" t="b">
        <f t="shared" si="43"/>
        <v>0</v>
      </c>
      <c r="AL112" s="267"/>
      <c r="AM112" s="267"/>
      <c r="AN112" s="75"/>
    </row>
    <row r="113" spans="1:40" s="6" customFormat="1" ht="11.25" x14ac:dyDescent="0.2">
      <c r="A113" s="56">
        <f t="shared" si="44"/>
        <v>43929</v>
      </c>
      <c r="B113" s="618">
        <v>45.326999999999998</v>
      </c>
      <c r="C113" s="392"/>
      <c r="D113" s="395">
        <f t="shared" si="24"/>
        <v>45.981459833558908</v>
      </c>
      <c r="E113" s="387">
        <f t="shared" si="45"/>
        <v>51.272820493514452</v>
      </c>
      <c r="F113" s="387">
        <f t="shared" si="25"/>
        <v>51.39394262397834</v>
      </c>
      <c r="G113" s="110">
        <f t="shared" si="46"/>
        <v>0.9308955899601401</v>
      </c>
      <c r="H113" s="414" t="b">
        <f>Wh_hp&gt;='2019'!Maxi_hp</f>
        <v>1</v>
      </c>
      <c r="I113" s="382">
        <f>IF(H113,Wh_hp,'2019'!Maxi_hp)</f>
        <v>51.39394262397834</v>
      </c>
      <c r="J113" s="85">
        <f>IF(H113,An,'2019'!An_max)</f>
        <v>2020</v>
      </c>
      <c r="K113" s="199">
        <f t="shared" si="26"/>
        <v>43929</v>
      </c>
      <c r="L113" s="147">
        <f>IF(t&lt;Tvie,1-EXP((T0-t)*PertePVj)+'2019'!Pspv,1-EXP((T0-t)*PertePVj)+Pspv)</f>
        <v>1.4233124305489286E-2</v>
      </c>
      <c r="M113" s="870"/>
      <c r="N113" s="870"/>
      <c r="O113" s="48">
        <f>IF(t&lt;Tnet,'2019'!Resal+('2019'!Salim-'2019'!Resal)*(1-EXP(('2019'!Tnet-t)/('2019'!Tau_j))),Resal+(Salim-Resal)*(1-EXP((Tnet-t)/(Tau_j))))*Salcycl</f>
        <v>0.10320010892759157</v>
      </c>
      <c r="P113" s="171">
        <f>(INDEX(Models!$BJ113:$BT113,,T113)*(1-R113)+INDEX(Models!$BJ113:$BT113,,T113+1)*R113-ERP_i)*Q113*Ramure*Pc/MaxiM</f>
        <v>2.6138877362252488E-3</v>
      </c>
      <c r="Q113" s="307">
        <f t="shared" si="27"/>
        <v>1</v>
      </c>
      <c r="R113" s="179">
        <f t="shared" si="28"/>
        <v>0.64968389927350478</v>
      </c>
      <c r="S113" s="837">
        <f t="shared" si="29"/>
        <v>-2</v>
      </c>
      <c r="T113" s="178">
        <f t="shared" si="30"/>
        <v>4</v>
      </c>
      <c r="U113" s="253">
        <f t="shared" si="31"/>
        <v>-1.3503161007264952</v>
      </c>
      <c r="V113" s="385">
        <f t="shared" si="32"/>
        <v>48.679268859428824</v>
      </c>
      <c r="W113" s="404"/>
      <c r="X113" s="157">
        <f t="shared" si="33"/>
        <v>43929</v>
      </c>
      <c r="Y113" s="387">
        <f t="shared" si="34"/>
        <v>45.326999999999998</v>
      </c>
      <c r="Z113" s="387">
        <f t="shared" si="35"/>
        <v>45.981459833558908</v>
      </c>
      <c r="AA113" s="388">
        <f t="shared" si="36"/>
        <v>51.272820493514452</v>
      </c>
      <c r="AB113" s="199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0.10320010892759157</v>
      </c>
      <c r="AD113" s="233">
        <f>(INDEX(Models!$BJ113:$BT113,,AH113)*(1-AF113)+INDEX(Models!$BJ113:$BT113,,AH113+1)*AF113-ERP_i)*AE113*Ramure*Pc/MaxiM</f>
        <v>2.6138877362252488E-3</v>
      </c>
      <c r="AE113" s="307">
        <f t="shared" si="38"/>
        <v>1</v>
      </c>
      <c r="AF113" s="179">
        <f t="shared" si="39"/>
        <v>0.64968389927350478</v>
      </c>
      <c r="AG113" s="837">
        <f t="shared" si="47"/>
        <v>-2</v>
      </c>
      <c r="AH113" s="178">
        <f t="shared" si="40"/>
        <v>4</v>
      </c>
      <c r="AI113" s="227">
        <f t="shared" si="41"/>
        <v>-1.3503161007264952</v>
      </c>
      <c r="AJ113" s="267" t="b">
        <f t="shared" si="42"/>
        <v>0</v>
      </c>
      <c r="AK113" s="267" t="b">
        <f t="shared" si="43"/>
        <v>0</v>
      </c>
      <c r="AL113" s="267"/>
      <c r="AM113" s="267"/>
      <c r="AN113" s="75"/>
    </row>
    <row r="114" spans="1:40" s="6" customFormat="1" ht="11.25" x14ac:dyDescent="0.2">
      <c r="A114" s="56">
        <f t="shared" si="44"/>
        <v>43930</v>
      </c>
      <c r="B114" s="618">
        <v>47.77</v>
      </c>
      <c r="C114" s="392"/>
      <c r="D114" s="395">
        <f t="shared" si="24"/>
        <v>48.46086116446331</v>
      </c>
      <c r="E114" s="387">
        <f t="shared" si="45"/>
        <v>54.046640748923082</v>
      </c>
      <c r="F114" s="387">
        <f t="shared" si="25"/>
        <v>54.179561850522894</v>
      </c>
      <c r="G114" s="110">
        <f t="shared" si="46"/>
        <v>0.97470694576073036</v>
      </c>
      <c r="H114" s="414" t="b">
        <f>Wh_hp&gt;='2019'!Maxi_hp</f>
        <v>1</v>
      </c>
      <c r="I114" s="382">
        <f>IF(H114,Wh_hp,'2019'!Maxi_hp)</f>
        <v>54.179561850522894</v>
      </c>
      <c r="J114" s="85">
        <f>IF(H114,An,'2019'!An_max)</f>
        <v>2020</v>
      </c>
      <c r="K114" s="199">
        <f t="shared" si="26"/>
        <v>43930</v>
      </c>
      <c r="L114" s="147">
        <f>IF(t&lt;Tvie,1-EXP((T0-t)*PertePVj)+'2019'!Pspv,1-EXP((T0-t)*PertePVj)+Pspv)</f>
        <v>1.4256064540799418E-2</v>
      </c>
      <c r="M114" s="870"/>
      <c r="N114" s="870"/>
      <c r="O114" s="48">
        <f>IF(t&lt;Tnet,'2019'!Resal+('2019'!Salim-'2019'!Resal)*(1-EXP(('2019'!Tnet-t)/('2019'!Tau_j))),Resal+(Salim-Resal)*(1-EXP((Tnet-t)/(Tau_j))))*Salcycl</f>
        <v>0.10335109651696667</v>
      </c>
      <c r="P114" s="171">
        <f>(INDEX(Models!$BJ114:$BT114,,T114)*(1-R114)+INDEX(Models!$BJ114:$BT114,,T114+1)*R114-ERP_i)*Q114*Ramure*Pc/MaxiM</f>
        <v>2.5449758747542496E-3</v>
      </c>
      <c r="Q114" s="307">
        <f t="shared" si="27"/>
        <v>1</v>
      </c>
      <c r="R114" s="179">
        <f t="shared" si="28"/>
        <v>0.65165762782238423</v>
      </c>
      <c r="S114" s="837">
        <f t="shared" si="29"/>
        <v>-2</v>
      </c>
      <c r="T114" s="178">
        <f t="shared" si="30"/>
        <v>4</v>
      </c>
      <c r="U114" s="253">
        <f t="shared" si="31"/>
        <v>-1.3483423721776158</v>
      </c>
      <c r="V114" s="385">
        <f t="shared" si="32"/>
        <v>49.005100647470449</v>
      </c>
      <c r="W114" s="404"/>
      <c r="X114" s="157">
        <f t="shared" si="33"/>
        <v>43930</v>
      </c>
      <c r="Y114" s="387">
        <f t="shared" si="34"/>
        <v>47.77</v>
      </c>
      <c r="Z114" s="387">
        <f t="shared" si="35"/>
        <v>48.46086116446331</v>
      </c>
      <c r="AA114" s="388">
        <f t="shared" si="36"/>
        <v>54.046640748923082</v>
      </c>
      <c r="AB114" s="199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0.10335109651696667</v>
      </c>
      <c r="AD114" s="233">
        <f>(INDEX(Models!$BJ114:$BT114,,AH114)*(1-AF114)+INDEX(Models!$BJ114:$BT114,,AH114+1)*AF114-ERP_i)*AE114*Ramure*Pc/MaxiM</f>
        <v>2.5449758747542496E-3</v>
      </c>
      <c r="AE114" s="307">
        <f t="shared" si="38"/>
        <v>1</v>
      </c>
      <c r="AF114" s="179">
        <f t="shared" si="39"/>
        <v>0.65165762782238423</v>
      </c>
      <c r="AG114" s="837">
        <f t="shared" si="47"/>
        <v>-2</v>
      </c>
      <c r="AH114" s="178">
        <f t="shared" si="40"/>
        <v>4</v>
      </c>
      <c r="AI114" s="227">
        <f t="shared" si="41"/>
        <v>-1.3483423721776158</v>
      </c>
      <c r="AJ114" s="267" t="b">
        <f t="shared" si="42"/>
        <v>0</v>
      </c>
      <c r="AK114" s="267" t="b">
        <f t="shared" si="43"/>
        <v>0</v>
      </c>
      <c r="AL114" s="267"/>
      <c r="AM114" s="267"/>
      <c r="AN114" s="75"/>
    </row>
    <row r="115" spans="1:40" s="6" customFormat="1" ht="11.25" x14ac:dyDescent="0.2">
      <c r="A115" s="56">
        <f t="shared" si="44"/>
        <v>43931</v>
      </c>
      <c r="B115" s="618">
        <v>48.581000000000003</v>
      </c>
      <c r="C115" s="392"/>
      <c r="D115" s="395">
        <f t="shared" si="24"/>
        <v>49.284736968248126</v>
      </c>
      <c r="E115" s="387">
        <f t="shared" si="45"/>
        <v>54.974880369424589</v>
      </c>
      <c r="F115" s="387">
        <f t="shared" si="25"/>
        <v>55.108352473035232</v>
      </c>
      <c r="G115" s="110">
        <f t="shared" si="46"/>
        <v>0.98486150042991649</v>
      </c>
      <c r="H115" s="414" t="b">
        <f>Wh_hp&gt;='2019'!Maxi_hp</f>
        <v>1</v>
      </c>
      <c r="I115" s="382">
        <f>IF(H115,Wh_hp,'2019'!Maxi_hp)</f>
        <v>55.108352473035232</v>
      </c>
      <c r="J115" s="85">
        <f>IF(H115,An,'2019'!An_max)</f>
        <v>2020</v>
      </c>
      <c r="K115" s="199">
        <f t="shared" si="26"/>
        <v>43931</v>
      </c>
      <c r="L115" s="147">
        <f>IF(t&lt;Tvie,1-EXP((T0-t)*PertePVj)+'2019'!Pspv,1-EXP((T0-t)*PertePVj)+Pspv)</f>
        <v>1.4279004242256699E-2</v>
      </c>
      <c r="M115" s="870"/>
      <c r="N115" s="870"/>
      <c r="O115" s="48">
        <f>IF(t&lt;Tnet,'2019'!Resal+('2019'!Salim-'2019'!Resal)*(1-EXP(('2019'!Tnet-t)/('2019'!Tau_j))),Resal+(Salim-Resal)*(1-EXP((Tnet-t)/(Tau_j))))*Salcycl</f>
        <v>0.10350442534734745</v>
      </c>
      <c r="P115" s="171">
        <f>(INDEX(Models!$BJ115:$BT115,,T115)*(1-R115)+INDEX(Models!$BJ115:$BT115,,T115+1)*R115-ERP_i)*Q115*Ramure*Pc/MaxiM</f>
        <v>2.4753406090228538E-3</v>
      </c>
      <c r="Q115" s="307">
        <f t="shared" si="27"/>
        <v>1</v>
      </c>
      <c r="R115" s="179">
        <f t="shared" si="28"/>
        <v>0.65370145347464015</v>
      </c>
      <c r="S115" s="837">
        <f t="shared" si="29"/>
        <v>-2</v>
      </c>
      <c r="T115" s="178">
        <f t="shared" si="30"/>
        <v>4</v>
      </c>
      <c r="U115" s="253">
        <f t="shared" si="31"/>
        <v>-1.3462985465253599</v>
      </c>
      <c r="V115" s="385">
        <f t="shared" si="32"/>
        <v>49.325110240439713</v>
      </c>
      <c r="W115" s="404"/>
      <c r="X115" s="157">
        <f t="shared" si="33"/>
        <v>43931</v>
      </c>
      <c r="Y115" s="387">
        <f t="shared" si="34"/>
        <v>48.581000000000003</v>
      </c>
      <c r="Z115" s="387">
        <f t="shared" si="35"/>
        <v>49.284736968248126</v>
      </c>
      <c r="AA115" s="388">
        <f t="shared" si="36"/>
        <v>54.974880369424589</v>
      </c>
      <c r="AB115" s="199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0.10350442534734745</v>
      </c>
      <c r="AD115" s="233">
        <f>(INDEX(Models!$BJ115:$BT115,,AH115)*(1-AF115)+INDEX(Models!$BJ115:$BT115,,AH115+1)*AF115-ERP_i)*AE115*Ramure*Pc/MaxiM</f>
        <v>2.4753406090228538E-3</v>
      </c>
      <c r="AE115" s="307">
        <f t="shared" si="38"/>
        <v>1</v>
      </c>
      <c r="AF115" s="179">
        <f t="shared" si="39"/>
        <v>0.65370145347464015</v>
      </c>
      <c r="AG115" s="837">
        <f t="shared" si="47"/>
        <v>-2</v>
      </c>
      <c r="AH115" s="178">
        <f t="shared" si="40"/>
        <v>4</v>
      </c>
      <c r="AI115" s="227">
        <f t="shared" si="41"/>
        <v>-1.3462985465253599</v>
      </c>
      <c r="AJ115" s="267" t="b">
        <f t="shared" si="42"/>
        <v>0</v>
      </c>
      <c r="AK115" s="267" t="b">
        <f t="shared" si="43"/>
        <v>0</v>
      </c>
      <c r="AL115" s="267"/>
      <c r="AM115" s="267"/>
      <c r="AN115" s="75"/>
    </row>
    <row r="116" spans="1:40" s="6" customFormat="1" ht="11.25" x14ac:dyDescent="0.2">
      <c r="A116" s="56">
        <f t="shared" si="44"/>
        <v>43932</v>
      </c>
      <c r="B116" s="618">
        <v>47.975000000000001</v>
      </c>
      <c r="C116" s="392"/>
      <c r="D116" s="395">
        <f t="shared" si="24"/>
        <v>48.671091191923693</v>
      </c>
      <c r="E116" s="387">
        <f t="shared" si="45"/>
        <v>54.299818761174187</v>
      </c>
      <c r="F116" s="387">
        <f t="shared" si="25"/>
        <v>54.424439808357519</v>
      </c>
      <c r="G116" s="110">
        <f t="shared" si="46"/>
        <v>0.96636647797990716</v>
      </c>
      <c r="H116" s="414" t="b">
        <f>Wh_hp&gt;='2019'!Maxi_hp</f>
        <v>0</v>
      </c>
      <c r="I116" s="382">
        <f>IF(H116,Wh_hp,'2019'!Maxi_hp)</f>
        <v>55.432889188888424</v>
      </c>
      <c r="J116" s="85">
        <f>IF(H116,An,'2019'!An_max)</f>
        <v>2019</v>
      </c>
      <c r="K116" s="199">
        <f t="shared" si="26"/>
        <v>43932</v>
      </c>
      <c r="L116" s="147">
        <f>IF(t&lt;Tvie,1-EXP((T0-t)*PertePVj)+'2019'!Pspv,1-EXP((T0-t)*PertePVj)+Pspv)</f>
        <v>1.4301943409873674E-2</v>
      </c>
      <c r="M116" s="870"/>
      <c r="N116" s="870"/>
      <c r="O116" s="48">
        <f>IF(t&lt;Tnet,'2019'!Resal+('2019'!Salim-'2019'!Resal)*(1-EXP(('2019'!Tnet-t)/('2019'!Tau_j))),Resal+(Salim-Resal)*(1-EXP((Tnet-t)/(Tau_j))))*Salcycl</f>
        <v>0.1036601538949368</v>
      </c>
      <c r="P116" s="171">
        <f>(INDEX(Models!$BJ116:$BT116,,T116)*(1-R116)+INDEX(Models!$BJ116:$BT116,,T116+1)*R116-ERP_i)*Q116*Ramure*Pc/MaxiM</f>
        <v>2.4049697739019606E-3</v>
      </c>
      <c r="Q116" s="307">
        <f t="shared" si="27"/>
        <v>1</v>
      </c>
      <c r="R116" s="179">
        <f t="shared" si="28"/>
        <v>0.65581735869071989</v>
      </c>
      <c r="S116" s="837">
        <f t="shared" si="29"/>
        <v>-2</v>
      </c>
      <c r="T116" s="178">
        <f t="shared" si="30"/>
        <v>4</v>
      </c>
      <c r="U116" s="253">
        <f t="shared" si="31"/>
        <v>-1.3441826413092801</v>
      </c>
      <c r="V116" s="385">
        <f t="shared" si="32"/>
        <v>49.638996293180512</v>
      </c>
      <c r="W116" s="404"/>
      <c r="X116" s="157">
        <f t="shared" si="33"/>
        <v>43932</v>
      </c>
      <c r="Y116" s="387">
        <f t="shared" si="34"/>
        <v>47.975000000000001</v>
      </c>
      <c r="Z116" s="387">
        <f t="shared" si="35"/>
        <v>48.671091191923693</v>
      </c>
      <c r="AA116" s="388">
        <f t="shared" si="36"/>
        <v>54.299818761174187</v>
      </c>
      <c r="AB116" s="199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0.1036601538949368</v>
      </c>
      <c r="AD116" s="233">
        <f>(INDEX(Models!$BJ116:$BT116,,AH116)*(1-AF116)+INDEX(Models!$BJ116:$BT116,,AH116+1)*AF116-ERP_i)*AE116*Ramure*Pc/MaxiM</f>
        <v>2.4049697739019606E-3</v>
      </c>
      <c r="AE116" s="307">
        <f t="shared" si="38"/>
        <v>1</v>
      </c>
      <c r="AF116" s="179">
        <f t="shared" si="39"/>
        <v>0.65581735869071989</v>
      </c>
      <c r="AG116" s="837">
        <f t="shared" si="47"/>
        <v>-2</v>
      </c>
      <c r="AH116" s="178">
        <f t="shared" si="40"/>
        <v>4</v>
      </c>
      <c r="AI116" s="227">
        <f t="shared" si="41"/>
        <v>-1.3441826413092801</v>
      </c>
      <c r="AJ116" s="267" t="b">
        <f t="shared" si="42"/>
        <v>0</v>
      </c>
      <c r="AK116" s="267" t="b">
        <f t="shared" si="43"/>
        <v>0</v>
      </c>
      <c r="AL116" s="267"/>
      <c r="AM116" s="267"/>
      <c r="AN116" s="75"/>
    </row>
    <row r="117" spans="1:40" s="6" customFormat="1" ht="11.25" x14ac:dyDescent="0.2">
      <c r="A117" s="56">
        <f t="shared" si="44"/>
        <v>43933</v>
      </c>
      <c r="B117" s="618">
        <v>39.351999999999997</v>
      </c>
      <c r="C117" s="392"/>
      <c r="D117" s="395">
        <f t="shared" si="24"/>
        <v>39.923905233187782</v>
      </c>
      <c r="E117" s="387">
        <f t="shared" si="45"/>
        <v>44.548897750312527</v>
      </c>
      <c r="F117" s="387">
        <f t="shared" si="25"/>
        <v>44.621480740080365</v>
      </c>
      <c r="G117" s="110">
        <f t="shared" si="46"/>
        <v>0.78732559128812596</v>
      </c>
      <c r="H117" s="414" t="b">
        <f>Wh_hp&gt;='2019'!Maxi_hp</f>
        <v>0</v>
      </c>
      <c r="I117" s="382">
        <f>IF(H117,Wh_hp,'2019'!Maxi_hp)</f>
        <v>56.418752922877168</v>
      </c>
      <c r="J117" s="85">
        <f>IF(H117,An,'2019'!An_max)</f>
        <v>2019</v>
      </c>
      <c r="K117" s="199">
        <f t="shared" si="26"/>
        <v>43933</v>
      </c>
      <c r="L117" s="147">
        <f>IF(t&lt;Tvie,1-EXP((T0-t)*PertePVj)+'2019'!Pspv,1-EXP((T0-t)*PertePVj)+Pspv)</f>
        <v>1.4324882043662779E-2</v>
      </c>
      <c r="M117" s="870"/>
      <c r="N117" s="870"/>
      <c r="O117" s="48">
        <f>IF(t&lt;Tnet,'2019'!Resal+('2019'!Salim-'2019'!Resal)*(1-EXP(('2019'!Tnet-t)/('2019'!Tau_j))),Resal+(Salim-Resal)*(1-EXP((Tnet-t)/(Tau_j))))*Salcycl</f>
        <v>0.1038183378418672</v>
      </c>
      <c r="P117" s="171">
        <f>(INDEX(Models!$BJ117:$BT117,,T117)*(1-R117)+INDEX(Models!$BJ117:$BT117,,T117+1)*R117-ERP_i)*Q117*Ramure*Pc/MaxiM</f>
        <v>2.3338482151712965E-3</v>
      </c>
      <c r="Q117" s="307">
        <f t="shared" si="27"/>
        <v>1</v>
      </c>
      <c r="R117" s="179">
        <f t="shared" si="28"/>
        <v>0.65800734219681001</v>
      </c>
      <c r="S117" s="837">
        <f t="shared" si="29"/>
        <v>-2</v>
      </c>
      <c r="T117" s="178">
        <f t="shared" si="30"/>
        <v>4</v>
      </c>
      <c r="U117" s="253">
        <f t="shared" si="31"/>
        <v>-1.34199265780319</v>
      </c>
      <c r="V117" s="385">
        <f t="shared" si="32"/>
        <v>49.946457920024464</v>
      </c>
      <c r="W117" s="404"/>
      <c r="X117" s="157">
        <f t="shared" si="33"/>
        <v>43933</v>
      </c>
      <c r="Y117" s="387">
        <f t="shared" si="34"/>
        <v>39.351999999999997</v>
      </c>
      <c r="Z117" s="387">
        <f t="shared" si="35"/>
        <v>39.923905233187782</v>
      </c>
      <c r="AA117" s="388">
        <f t="shared" si="36"/>
        <v>44.548897750312527</v>
      </c>
      <c r="AB117" s="199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0.1038183378418672</v>
      </c>
      <c r="AD117" s="233">
        <f>(INDEX(Models!$BJ117:$BT117,,AH117)*(1-AF117)+INDEX(Models!$BJ117:$BT117,,AH117+1)*AF117-ERP_i)*AE117*Ramure*Pc/MaxiM</f>
        <v>2.3338482151712965E-3</v>
      </c>
      <c r="AE117" s="307">
        <f t="shared" si="38"/>
        <v>1</v>
      </c>
      <c r="AF117" s="179">
        <f t="shared" si="39"/>
        <v>0.65800734219681001</v>
      </c>
      <c r="AG117" s="837">
        <f t="shared" si="47"/>
        <v>-2</v>
      </c>
      <c r="AH117" s="178">
        <f t="shared" si="40"/>
        <v>4</v>
      </c>
      <c r="AI117" s="227">
        <f t="shared" si="41"/>
        <v>-1.34199265780319</v>
      </c>
      <c r="AJ117" s="267" t="b">
        <f t="shared" si="42"/>
        <v>0</v>
      </c>
      <c r="AK117" s="267" t="b">
        <f t="shared" si="43"/>
        <v>0</v>
      </c>
      <c r="AL117" s="267"/>
      <c r="AM117" s="267"/>
      <c r="AN117" s="75"/>
    </row>
    <row r="118" spans="1:40" s="6" customFormat="1" ht="11.25" x14ac:dyDescent="0.2">
      <c r="A118" s="56">
        <f t="shared" si="44"/>
        <v>43934</v>
      </c>
      <c r="B118" s="618">
        <v>14.061</v>
      </c>
      <c r="C118" s="392"/>
      <c r="D118" s="395">
        <f t="shared" si="24"/>
        <v>14.265681431404198</v>
      </c>
      <c r="E118" s="387">
        <f t="shared" si="45"/>
        <v>15.921146834645146</v>
      </c>
      <c r="F118" s="387">
        <f t="shared" si="25"/>
        <v>15.921146834645146</v>
      </c>
      <c r="G118" s="110">
        <f t="shared" si="46"/>
        <v>0.27920353947551524</v>
      </c>
      <c r="H118" s="414" t="b">
        <f>Wh_hp&gt;='2019'!Maxi_hp</f>
        <v>0</v>
      </c>
      <c r="I118" s="382">
        <f>IF(H118,Wh_hp,'2019'!Maxi_hp)</f>
        <v>28.109829545854364</v>
      </c>
      <c r="J118" s="85">
        <f>IF(H118,An,'2019'!An_max)</f>
        <v>2019</v>
      </c>
      <c r="K118" s="199">
        <f t="shared" si="26"/>
        <v>43934</v>
      </c>
      <c r="L118" s="147">
        <f>IF(t&lt;Tvie,1-EXP((T0-t)*PertePVj)+'2019'!Pspv,1-EXP((T0-t)*PertePVj)+Pspv)</f>
        <v>1.4347820143636225E-2</v>
      </c>
      <c r="M118" s="870"/>
      <c r="N118" s="870"/>
      <c r="O118" s="48">
        <f>IF(t&lt;Tnet,'2019'!Resal+('2019'!Salim-'2019'!Resal)*(1-EXP(('2019'!Tnet-t)/('2019'!Tau_j))),Resal+(Salim-Resal)*(1-EXP((Tnet-t)/(Tau_j))))*Salcycl</f>
        <v>0.10397902993009146</v>
      </c>
      <c r="P118" s="171">
        <f>(INDEX(Models!$BJ118:$BT118,,T118)*(1-R118)+INDEX(Models!$BJ118:$BT118,,T118+1)*R118-ERP_i)*Q118*Ramure*Pc/MaxiM</f>
        <v>2.261957776363125E-3</v>
      </c>
      <c r="Q118" s="307">
        <f t="shared" si="27"/>
        <v>1</v>
      </c>
      <c r="R118" s="179">
        <f t="shared" si="28"/>
        <v>0.66027341562819908</v>
      </c>
      <c r="S118" s="837">
        <f t="shared" si="29"/>
        <v>-2</v>
      </c>
      <c r="T118" s="178">
        <f t="shared" si="30"/>
        <v>4</v>
      </c>
      <c r="U118" s="253">
        <f t="shared" si="31"/>
        <v>-1.3397265843718009</v>
      </c>
      <c r="V118" s="385">
        <f t="shared" si="32"/>
        <v>50.247194709853765</v>
      </c>
      <c r="W118" s="404"/>
      <c r="X118" s="157">
        <f t="shared" si="33"/>
        <v>43934</v>
      </c>
      <c r="Y118" s="387">
        <f t="shared" si="34"/>
        <v>14.061</v>
      </c>
      <c r="Z118" s="387">
        <f t="shared" si="35"/>
        <v>14.265681431404198</v>
      </c>
      <c r="AA118" s="388">
        <f t="shared" si="36"/>
        <v>15.921146834645146</v>
      </c>
      <c r="AB118" s="199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0.10397902993009146</v>
      </c>
      <c r="AD118" s="233">
        <f>(INDEX(Models!$BJ118:$BT118,,AH118)*(1-AF118)+INDEX(Models!$BJ118:$BT118,,AH118+1)*AF118-ERP_i)*AE118*Ramure*Pc/MaxiM</f>
        <v>2.261957776363125E-3</v>
      </c>
      <c r="AE118" s="307">
        <f t="shared" si="38"/>
        <v>1</v>
      </c>
      <c r="AF118" s="179">
        <f t="shared" si="39"/>
        <v>0.66027341562819908</v>
      </c>
      <c r="AG118" s="837">
        <f t="shared" si="47"/>
        <v>-2</v>
      </c>
      <c r="AH118" s="178">
        <f t="shared" si="40"/>
        <v>4</v>
      </c>
      <c r="AI118" s="227">
        <f t="shared" si="41"/>
        <v>-1.3397265843718009</v>
      </c>
      <c r="AJ118" s="267" t="b">
        <f t="shared" si="42"/>
        <v>0</v>
      </c>
      <c r="AK118" s="267" t="b">
        <f t="shared" si="43"/>
        <v>0</v>
      </c>
      <c r="AL118" s="267"/>
      <c r="AM118" s="267"/>
      <c r="AN118" s="75"/>
    </row>
    <row r="119" spans="1:40" s="6" customFormat="1" ht="11.25" x14ac:dyDescent="0.2">
      <c r="A119" s="56">
        <f t="shared" si="44"/>
        <v>43935</v>
      </c>
      <c r="B119" s="618">
        <v>48.55</v>
      </c>
      <c r="C119" s="392"/>
      <c r="D119" s="395">
        <f t="shared" si="24"/>
        <v>49.257872957573724</v>
      </c>
      <c r="E119" s="387">
        <f t="shared" si="45"/>
        <v>54.984035798900869</v>
      </c>
      <c r="F119" s="387">
        <f t="shared" si="25"/>
        <v>55.097872262152841</v>
      </c>
      <c r="G119" s="110">
        <f t="shared" si="46"/>
        <v>0.96048942061176568</v>
      </c>
      <c r="H119" s="414" t="b">
        <f>Wh_hp&gt;='2019'!Maxi_hp</f>
        <v>1</v>
      </c>
      <c r="I119" s="382">
        <f>IF(H119,Wh_hp,'2019'!Maxi_hp)</f>
        <v>55.097872262152841</v>
      </c>
      <c r="J119" s="85">
        <f>IF(H119,An,'2019'!An_max)</f>
        <v>2020</v>
      </c>
      <c r="K119" s="199">
        <f t="shared" si="26"/>
        <v>43935</v>
      </c>
      <c r="L119" s="147">
        <f>IF(t&lt;Tvie,1-EXP((T0-t)*PertePVj)+'2019'!Pspv,1-EXP((T0-t)*PertePVj)+Pspv)</f>
        <v>1.437075770980667E-2</v>
      </c>
      <c r="M119" s="870"/>
      <c r="N119" s="870"/>
      <c r="O119" s="48">
        <f>IF(t&lt;Tnet,'2019'!Resal+('2019'!Salim-'2019'!Resal)*(1-EXP(('2019'!Tnet-t)/('2019'!Tau_j))),Resal+(Salim-Resal)*(1-EXP((Tnet-t)/(Tau_j))))*Salcycl</f>
        <v>0.10414227981136316</v>
      </c>
      <c r="P119" s="171">
        <f>(INDEX(Models!$BJ119:$BT119,,T119)*(1-R119)+INDEX(Models!$BJ119:$BT119,,T119+1)*R119-ERP_i)*Q119*Ramure*Pc/MaxiM</f>
        <v>2.1892772775669888E-3</v>
      </c>
      <c r="Q119" s="307">
        <f t="shared" si="27"/>
        <v>1</v>
      </c>
      <c r="R119" s="179">
        <f t="shared" si="28"/>
        <v>0.66261759986154312</v>
      </c>
      <c r="S119" s="837">
        <f t="shared" si="29"/>
        <v>-2</v>
      </c>
      <c r="T119" s="178">
        <f t="shared" si="30"/>
        <v>4</v>
      </c>
      <c r="U119" s="253">
        <f t="shared" si="31"/>
        <v>-1.3373824001384569</v>
      </c>
      <c r="V119" s="385">
        <f t="shared" si="32"/>
        <v>50.540906766798827</v>
      </c>
      <c r="W119" s="404"/>
      <c r="X119" s="157">
        <f t="shared" si="33"/>
        <v>43935</v>
      </c>
      <c r="Y119" s="387">
        <f t="shared" si="34"/>
        <v>48.55</v>
      </c>
      <c r="Z119" s="387">
        <f t="shared" si="35"/>
        <v>49.257872957573724</v>
      </c>
      <c r="AA119" s="388">
        <f t="shared" si="36"/>
        <v>54.984035798900869</v>
      </c>
      <c r="AB119" s="199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0.10414227981136316</v>
      </c>
      <c r="AD119" s="233">
        <f>(INDEX(Models!$BJ119:$BT119,,AH119)*(1-AF119)+INDEX(Models!$BJ119:$BT119,,AH119+1)*AF119-ERP_i)*AE119*Ramure*Pc/MaxiM</f>
        <v>2.1892772775669888E-3</v>
      </c>
      <c r="AE119" s="307">
        <f t="shared" si="38"/>
        <v>1</v>
      </c>
      <c r="AF119" s="179">
        <f t="shared" si="39"/>
        <v>0.66261759986154312</v>
      </c>
      <c r="AG119" s="837">
        <f t="shared" si="47"/>
        <v>-2</v>
      </c>
      <c r="AH119" s="178">
        <f t="shared" si="40"/>
        <v>4</v>
      </c>
      <c r="AI119" s="227">
        <f t="shared" si="41"/>
        <v>-1.3373824001384569</v>
      </c>
      <c r="AJ119" s="267" t="b">
        <f t="shared" si="42"/>
        <v>0</v>
      </c>
      <c r="AK119" s="267" t="b">
        <f t="shared" si="43"/>
        <v>0</v>
      </c>
      <c r="AL119" s="267"/>
      <c r="AM119" s="267"/>
      <c r="AN119" s="75"/>
    </row>
    <row r="120" spans="1:40" s="6" customFormat="1" ht="11.25" x14ac:dyDescent="0.2">
      <c r="A120" s="56">
        <f t="shared" si="44"/>
        <v>43936</v>
      </c>
      <c r="B120" s="618">
        <v>42.822000000000003</v>
      </c>
      <c r="C120" s="392"/>
      <c r="D120" s="395">
        <f t="shared" si="24"/>
        <v>43.447368154568252</v>
      </c>
      <c r="E120" s="387">
        <f t="shared" si="45"/>
        <v>48.50704779019793</v>
      </c>
      <c r="F120" s="387">
        <f t="shared" si="25"/>
        <v>48.586716969121234</v>
      </c>
      <c r="G120" s="110">
        <f t="shared" si="46"/>
        <v>0.84209835086464724</v>
      </c>
      <c r="H120" s="414" t="b">
        <f>Wh_hp&gt;='2019'!Maxi_hp</f>
        <v>1</v>
      </c>
      <c r="I120" s="382">
        <f>IF(H120,Wh_hp,'2019'!Maxi_hp)</f>
        <v>48.586716969121234</v>
      </c>
      <c r="J120" s="85">
        <f>IF(H120,An,'2019'!An_max)</f>
        <v>2020</v>
      </c>
      <c r="K120" s="199">
        <f t="shared" si="26"/>
        <v>43936</v>
      </c>
      <c r="L120" s="147">
        <f>IF(t&lt;Tvie,1-EXP((T0-t)*PertePVj)+'2019'!Pspv,1-EXP((T0-t)*PertePVj)+Pspv)</f>
        <v>1.4393694742186436E-2</v>
      </c>
      <c r="M120" s="870"/>
      <c r="N120" s="870"/>
      <c r="O120" s="48">
        <f>IF(t&lt;Tnet,'2019'!Resal+('2019'!Salim-'2019'!Resal)*(1-EXP(('2019'!Tnet-t)/('2019'!Tau_j))),Resal+(Salim-Resal)*(1-EXP((Tnet-t)/(Tau_j))))*Salcycl</f>
        <v>0.10430813389249621</v>
      </c>
      <c r="P120" s="171">
        <f>(INDEX(Models!$BJ120:$BT120,,T120)*(1-R120)+INDEX(Models!$BJ120:$BT120,,T120+1)*R120-ERP_i)*Q120*Ramure*Pc/MaxiM</f>
        <v>2.1157824882292622E-3</v>
      </c>
      <c r="Q120" s="307">
        <f t="shared" si="27"/>
        <v>1</v>
      </c>
      <c r="R120" s="179">
        <f t="shared" si="28"/>
        <v>0.66504192102464255</v>
      </c>
      <c r="S120" s="837">
        <f t="shared" si="29"/>
        <v>-2</v>
      </c>
      <c r="T120" s="178">
        <f t="shared" si="30"/>
        <v>4</v>
      </c>
      <c r="U120" s="253">
        <f t="shared" si="31"/>
        <v>-1.3349580789753575</v>
      </c>
      <c r="V120" s="385">
        <f t="shared" si="32"/>
        <v>50.827294729496693</v>
      </c>
      <c r="W120" s="404"/>
      <c r="X120" s="157">
        <f t="shared" si="33"/>
        <v>43936</v>
      </c>
      <c r="Y120" s="387">
        <f t="shared" si="34"/>
        <v>42.822000000000003</v>
      </c>
      <c r="Z120" s="387">
        <f t="shared" si="35"/>
        <v>43.447368154568252</v>
      </c>
      <c r="AA120" s="388">
        <f t="shared" si="36"/>
        <v>48.50704779019793</v>
      </c>
      <c r="AB120" s="199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0.10430813389249621</v>
      </c>
      <c r="AD120" s="233">
        <f>(INDEX(Models!$BJ120:$BT120,,AH120)*(1-AF120)+INDEX(Models!$BJ120:$BT120,,AH120+1)*AF120-ERP_i)*AE120*Ramure*Pc/MaxiM</f>
        <v>2.1157824882292622E-3</v>
      </c>
      <c r="AE120" s="307">
        <f t="shared" si="38"/>
        <v>1</v>
      </c>
      <c r="AF120" s="179">
        <f t="shared" si="39"/>
        <v>0.66504192102464255</v>
      </c>
      <c r="AG120" s="837">
        <f t="shared" si="47"/>
        <v>-2</v>
      </c>
      <c r="AH120" s="178">
        <f t="shared" si="40"/>
        <v>4</v>
      </c>
      <c r="AI120" s="227">
        <f t="shared" si="41"/>
        <v>-1.3349580789753575</v>
      </c>
      <c r="AJ120" s="267" t="b">
        <f t="shared" si="42"/>
        <v>0</v>
      </c>
      <c r="AK120" s="267" t="b">
        <f t="shared" si="43"/>
        <v>0</v>
      </c>
      <c r="AL120" s="267"/>
      <c r="AM120" s="267"/>
      <c r="AN120" s="75"/>
    </row>
    <row r="121" spans="1:40" s="6" customFormat="1" ht="11.25" x14ac:dyDescent="0.2">
      <c r="A121" s="56">
        <f t="shared" si="44"/>
        <v>43937</v>
      </c>
      <c r="B121" s="618">
        <v>37.445999999999998</v>
      </c>
      <c r="C121" s="392"/>
      <c r="D121" s="395">
        <f t="shared" si="24"/>
        <v>37.993741764476177</v>
      </c>
      <c r="E121" s="387">
        <f t="shared" si="45"/>
        <v>42.426298695076461</v>
      </c>
      <c r="F121" s="387">
        <f t="shared" si="25"/>
        <v>42.479901796188024</v>
      </c>
      <c r="G121" s="110">
        <f t="shared" si="46"/>
        <v>0.73211963066655783</v>
      </c>
      <c r="H121" s="414" t="b">
        <f>Wh_hp&gt;='2019'!Maxi_hp</f>
        <v>1</v>
      </c>
      <c r="I121" s="382">
        <f>IF(H121,Wh_hp,'2019'!Maxi_hp)</f>
        <v>42.479901796188024</v>
      </c>
      <c r="J121" s="85">
        <f>IF(H121,An,'2019'!An_max)</f>
        <v>2020</v>
      </c>
      <c r="K121" s="199">
        <f t="shared" si="26"/>
        <v>43937</v>
      </c>
      <c r="L121" s="147">
        <f>IF(t&lt;Tvie,1-EXP((T0-t)*PertePVj)+'2019'!Pspv,1-EXP((T0-t)*PertePVj)+Pspv)</f>
        <v>1.4416631240787958E-2</v>
      </c>
      <c r="M121" s="870"/>
      <c r="N121" s="870"/>
      <c r="O121" s="48">
        <f>IF(t&lt;Tnet,'2019'!Resal+('2019'!Salim-'2019'!Resal)*(1-EXP(('2019'!Tnet-t)/('2019'!Tau_j))),Resal+(Salim-Resal)*(1-EXP((Tnet-t)/(Tau_j))))*Salcycl</f>
        <v>0.10447663517521689</v>
      </c>
      <c r="P121" s="171">
        <f>(INDEX(Models!$BJ121:$BT121,,T121)*(1-R121)+INDEX(Models!$BJ121:$BT121,,T121+1)*R121-ERP_i)*Q121*Ramure*Pc/MaxiM</f>
        <v>2.0413904092657278E-3</v>
      </c>
      <c r="Q121" s="307">
        <f t="shared" si="27"/>
        <v>1</v>
      </c>
      <c r="R121" s="179">
        <f t="shared" si="28"/>
        <v>0.66754840617319</v>
      </c>
      <c r="S121" s="837">
        <f t="shared" si="29"/>
        <v>-2</v>
      </c>
      <c r="T121" s="178">
        <f t="shared" si="30"/>
        <v>4</v>
      </c>
      <c r="U121" s="253">
        <f t="shared" si="31"/>
        <v>-1.33245159382681</v>
      </c>
      <c r="V121" s="385">
        <f t="shared" si="32"/>
        <v>51.107456675156037</v>
      </c>
      <c r="W121" s="404"/>
      <c r="X121" s="157">
        <f t="shared" si="33"/>
        <v>43937</v>
      </c>
      <c r="Y121" s="387">
        <f t="shared" si="34"/>
        <v>37.445999999999998</v>
      </c>
      <c r="Z121" s="387">
        <f t="shared" si="35"/>
        <v>37.993741764476177</v>
      </c>
      <c r="AA121" s="388">
        <f t="shared" si="36"/>
        <v>42.426298695076461</v>
      </c>
      <c r="AB121" s="199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0.10447663517521689</v>
      </c>
      <c r="AD121" s="233">
        <f>(INDEX(Models!$BJ121:$BT121,,AH121)*(1-AF121)+INDEX(Models!$BJ121:$BT121,,AH121+1)*AF121-ERP_i)*AE121*Ramure*Pc/MaxiM</f>
        <v>2.0413904092657278E-3</v>
      </c>
      <c r="AE121" s="307">
        <f t="shared" si="38"/>
        <v>1</v>
      </c>
      <c r="AF121" s="179">
        <f t="shared" si="39"/>
        <v>0.66754840617319</v>
      </c>
      <c r="AG121" s="837">
        <f t="shared" si="47"/>
        <v>-2</v>
      </c>
      <c r="AH121" s="178">
        <f t="shared" si="40"/>
        <v>4</v>
      </c>
      <c r="AI121" s="227">
        <f t="shared" si="41"/>
        <v>-1.33245159382681</v>
      </c>
      <c r="AJ121" s="267" t="b">
        <f t="shared" si="42"/>
        <v>0</v>
      </c>
      <c r="AK121" s="267" t="b">
        <f t="shared" si="43"/>
        <v>0</v>
      </c>
      <c r="AL121" s="267"/>
      <c r="AM121" s="267"/>
      <c r="AN121" s="75"/>
    </row>
    <row r="122" spans="1:40" s="18" customFormat="1" ht="11.25" x14ac:dyDescent="0.2">
      <c r="A122" s="56">
        <f t="shared" si="44"/>
        <v>43938</v>
      </c>
      <c r="B122" s="618">
        <v>28.231999999999999</v>
      </c>
      <c r="C122" s="392"/>
      <c r="D122" s="395">
        <f t="shared" si="24"/>
        <v>28.645630506851138</v>
      </c>
      <c r="E122" s="387">
        <f t="shared" si="45"/>
        <v>31.993701747298768</v>
      </c>
      <c r="F122" s="387">
        <f t="shared" si="25"/>
        <v>32.016126151745077</v>
      </c>
      <c r="G122" s="110">
        <f t="shared" si="46"/>
        <v>0.54875199864401347</v>
      </c>
      <c r="H122" s="414" t="b">
        <f>Wh_hp&gt;='2019'!Maxi_hp</f>
        <v>1</v>
      </c>
      <c r="I122" s="382">
        <f>IF(H122,Wh_hp,'2019'!Maxi_hp)</f>
        <v>32.016126151745077</v>
      </c>
      <c r="J122" s="85">
        <f>IF(H122,An,'2019'!An_max)</f>
        <v>2020</v>
      </c>
      <c r="K122" s="199">
        <f t="shared" si="26"/>
        <v>43938</v>
      </c>
      <c r="L122" s="147">
        <f>IF(t&lt;Tvie,1-EXP((T0-t)*PertePVj)+'2019'!Pspv,1-EXP((T0-t)*PertePVj)+Pspv)</f>
        <v>1.443956720562356E-2</v>
      </c>
      <c r="M122" s="870"/>
      <c r="N122" s="870"/>
      <c r="O122" s="48">
        <f>IF(t&lt;Tnet,'2019'!Resal+('2019'!Salim-'2019'!Resal)*(1-EXP(('2019'!Tnet-t)/('2019'!Tau_j))),Resal+(Salim-Resal)*(1-EXP((Tnet-t)/(Tau_j))))*Salcycl</f>
        <v>0.10464782309006514</v>
      </c>
      <c r="P122" s="171">
        <f>(INDEX(Models!$BJ122:$BT122,,T122)*(1-R122)+INDEX(Models!$BJ122:$BT122,,T122+1)*R122-ERP_i)*Q122*Ramure*Pc/MaxiM</f>
        <v>1.9654901786191775E-3</v>
      </c>
      <c r="Q122" s="307">
        <f t="shared" si="27"/>
        <v>1</v>
      </c>
      <c r="R122" s="179">
        <f t="shared" si="28"/>
        <v>0.6701390786250021</v>
      </c>
      <c r="S122" s="837">
        <f t="shared" si="29"/>
        <v>-2</v>
      </c>
      <c r="T122" s="178">
        <f t="shared" si="30"/>
        <v>4</v>
      </c>
      <c r="U122" s="253">
        <f t="shared" si="31"/>
        <v>-1.3298609213749979</v>
      </c>
      <c r="V122" s="385">
        <f t="shared" si="32"/>
        <v>51.382517573776546</v>
      </c>
      <c r="W122" s="404"/>
      <c r="X122" s="157">
        <f t="shared" si="33"/>
        <v>43938</v>
      </c>
      <c r="Y122" s="387">
        <f t="shared" si="34"/>
        <v>28.231999999999999</v>
      </c>
      <c r="Z122" s="387">
        <f t="shared" si="35"/>
        <v>28.645630506851138</v>
      </c>
      <c r="AA122" s="388">
        <f t="shared" si="36"/>
        <v>31.993701747298768</v>
      </c>
      <c r="AB122" s="199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0.10464782309006514</v>
      </c>
      <c r="AD122" s="233">
        <f>(INDEX(Models!$BJ122:$BT122,,AH122)*(1-AF122)+INDEX(Models!$BJ122:$BT122,,AH122+1)*AF122-ERP_i)*AE122*Ramure*Pc/MaxiM</f>
        <v>1.9654901786191775E-3</v>
      </c>
      <c r="AE122" s="307">
        <f t="shared" si="38"/>
        <v>1</v>
      </c>
      <c r="AF122" s="179">
        <f t="shared" si="39"/>
        <v>0.6701390786250021</v>
      </c>
      <c r="AG122" s="837">
        <f t="shared" si="47"/>
        <v>-2</v>
      </c>
      <c r="AH122" s="178">
        <f t="shared" si="40"/>
        <v>4</v>
      </c>
      <c r="AI122" s="227">
        <f t="shared" si="41"/>
        <v>-1.3298609213749979</v>
      </c>
      <c r="AJ122" s="267" t="b">
        <f t="shared" si="42"/>
        <v>0</v>
      </c>
      <c r="AK122" s="267" t="b">
        <f t="shared" si="43"/>
        <v>0</v>
      </c>
      <c r="AL122" s="267"/>
      <c r="AM122" s="267"/>
      <c r="AN122" s="267"/>
    </row>
    <row r="123" spans="1:40" s="18" customFormat="1" ht="11.25" x14ac:dyDescent="0.2">
      <c r="A123" s="56">
        <f t="shared" si="44"/>
        <v>43939</v>
      </c>
      <c r="B123" s="618">
        <v>39.762</v>
      </c>
      <c r="C123" s="392"/>
      <c r="D123" s="395">
        <f t="shared" si="24"/>
        <v>40.345496854639428</v>
      </c>
      <c r="E123" s="387">
        <f t="shared" si="45"/>
        <v>45.069790405490735</v>
      </c>
      <c r="F123" s="387">
        <f t="shared" si="25"/>
        <v>45.127007959412403</v>
      </c>
      <c r="G123" s="110">
        <f t="shared" si="46"/>
        <v>0.76932497141611855</v>
      </c>
      <c r="H123" s="414" t="b">
        <f>Wh_hp&gt;='2019'!Maxi_hp</f>
        <v>0</v>
      </c>
      <c r="I123" s="382">
        <f>IF(H123,Wh_hp,'2019'!Maxi_hp)</f>
        <v>52.100106255540659</v>
      </c>
      <c r="J123" s="85">
        <f>IF(H123,An,'2019'!An_max)</f>
        <v>2019</v>
      </c>
      <c r="K123" s="199">
        <f t="shared" si="26"/>
        <v>43939</v>
      </c>
      <c r="L123" s="147">
        <f>IF(t&lt;Tvie,1-EXP((T0-t)*PertePVj)+'2019'!Pspv,1-EXP((T0-t)*PertePVj)+Pspv)</f>
        <v>1.4462502636705787E-2</v>
      </c>
      <c r="M123" s="870"/>
      <c r="N123" s="870"/>
      <c r="O123" s="48">
        <f>IF(t&lt;Tnet,'2019'!Resal+('2019'!Salim-'2019'!Resal)*(1-EXP(('2019'!Tnet-t)/('2019'!Tau_j))),Resal+(Salim-Resal)*(1-EXP((Tnet-t)/(Tau_j))))*Salcycl</f>
        <v>0.10482173332396412</v>
      </c>
      <c r="P123" s="171">
        <f>(INDEX(Models!$BJ123:$BT123,,T123)*(1-R123)+INDEX(Models!$BJ123:$BT123,,T123+1)*R123-ERP_i)*Q123*Ramure*Pc/MaxiM</f>
        <v>1.889183905162121E-3</v>
      </c>
      <c r="Q123" s="307">
        <f t="shared" si="27"/>
        <v>1</v>
      </c>
      <c r="R123" s="179">
        <f t="shared" si="28"/>
        <v>0.67281595294349361</v>
      </c>
      <c r="S123" s="837">
        <f t="shared" si="29"/>
        <v>-2</v>
      </c>
      <c r="T123" s="178">
        <f t="shared" si="30"/>
        <v>4</v>
      </c>
      <c r="U123" s="253">
        <f t="shared" si="31"/>
        <v>-1.3271840470565064</v>
      </c>
      <c r="V123" s="385">
        <f t="shared" si="32"/>
        <v>51.652120396771267</v>
      </c>
      <c r="W123" s="404"/>
      <c r="X123" s="157">
        <f t="shared" si="33"/>
        <v>43939</v>
      </c>
      <c r="Y123" s="387">
        <f t="shared" si="34"/>
        <v>39.762</v>
      </c>
      <c r="Z123" s="387">
        <f t="shared" si="35"/>
        <v>40.345496854639428</v>
      </c>
      <c r="AA123" s="388">
        <f t="shared" si="36"/>
        <v>45.069790405490735</v>
      </c>
      <c r="AB123" s="199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0.10482173332396412</v>
      </c>
      <c r="AD123" s="233">
        <f>(INDEX(Models!$BJ123:$BT123,,AH123)*(1-AF123)+INDEX(Models!$BJ123:$BT123,,AH123+1)*AF123-ERP_i)*AE123*Ramure*Pc/MaxiM</f>
        <v>1.889183905162121E-3</v>
      </c>
      <c r="AE123" s="307">
        <f t="shared" si="38"/>
        <v>1</v>
      </c>
      <c r="AF123" s="179">
        <f t="shared" si="39"/>
        <v>0.67281595294349361</v>
      </c>
      <c r="AG123" s="837">
        <f t="shared" si="47"/>
        <v>-2</v>
      </c>
      <c r="AH123" s="178">
        <f t="shared" si="40"/>
        <v>4</v>
      </c>
      <c r="AI123" s="227">
        <f t="shared" si="41"/>
        <v>-1.3271840470565064</v>
      </c>
      <c r="AJ123" s="267" t="b">
        <f t="shared" si="42"/>
        <v>0</v>
      </c>
      <c r="AK123" s="267" t="b">
        <f t="shared" si="43"/>
        <v>0</v>
      </c>
      <c r="AL123" s="267"/>
      <c r="AM123" s="267"/>
      <c r="AN123" s="267"/>
    </row>
    <row r="124" spans="1:40" s="6" customFormat="1" ht="11.25" customHeight="1" x14ac:dyDescent="0.2">
      <c r="A124" s="56">
        <f t="shared" si="44"/>
        <v>43940</v>
      </c>
      <c r="B124" s="618">
        <v>18.486000000000001</v>
      </c>
      <c r="C124" s="392"/>
      <c r="D124" s="395">
        <f t="shared" si="24"/>
        <v>18.757713689937123</v>
      </c>
      <c r="E124" s="387">
        <f t="shared" si="45"/>
        <v>20.958301795775359</v>
      </c>
      <c r="F124" s="387">
        <f t="shared" si="25"/>
        <v>20.961345189292544</v>
      </c>
      <c r="G124" s="110">
        <f t="shared" si="46"/>
        <v>0.35548167664804414</v>
      </c>
      <c r="H124" s="414" t="b">
        <f>Wh_hp&gt;='2019'!Maxi_hp</f>
        <v>0</v>
      </c>
      <c r="I124" s="382">
        <f>IF(H124,Wh_hp,'2019'!Maxi_hp)</f>
        <v>48.602789768147602</v>
      </c>
      <c r="J124" s="85">
        <f>IF(H124,An,'2019'!An_max)</f>
        <v>2019</v>
      </c>
      <c r="K124" s="199">
        <f t="shared" si="26"/>
        <v>43940</v>
      </c>
      <c r="L124" s="147">
        <f>IF(t&lt;Tvie,1-EXP((T0-t)*PertePVj)+'2019'!Pspv,1-EXP((T0-t)*PertePVj)+Pspv)</f>
        <v>1.4485437534047074E-2</v>
      </c>
      <c r="M124" s="870"/>
      <c r="N124" s="870"/>
      <c r="O124" s="48">
        <f>IF(t&lt;Tnet,'2019'!Resal+('2019'!Salim-'2019'!Resal)*(1-EXP(('2019'!Tnet-t)/('2019'!Tau_j))),Resal+(Salim-Resal)*(1-EXP((Tnet-t)/(Tau_j))))*Salcycl</f>
        <v>0.10499839764125433</v>
      </c>
      <c r="P124" s="171">
        <f>(INDEX(Models!$BJ124:$BT124,,T124)*(1-R124)+INDEX(Models!$BJ124:$BT124,,T124+1)*R124-ERP_i)*Q124*Ramure*Pc/MaxiM</f>
        <v>1.8124431165835019E-3</v>
      </c>
      <c r="Q124" s="307">
        <f t="shared" si="27"/>
        <v>1</v>
      </c>
      <c r="R124" s="179">
        <f t="shared" si="28"/>
        <v>0.67558102956363064</v>
      </c>
      <c r="S124" s="837">
        <f t="shared" si="29"/>
        <v>-2</v>
      </c>
      <c r="T124" s="178">
        <f t="shared" si="30"/>
        <v>4</v>
      </c>
      <c r="U124" s="253">
        <f t="shared" si="31"/>
        <v>-1.3244189704363694</v>
      </c>
      <c r="V124" s="385">
        <f t="shared" si="32"/>
        <v>51.915966165401684</v>
      </c>
      <c r="W124" s="404"/>
      <c r="X124" s="157">
        <f t="shared" si="33"/>
        <v>43940</v>
      </c>
      <c r="Y124" s="387">
        <f t="shared" si="34"/>
        <v>18.486000000000001</v>
      </c>
      <c r="Z124" s="387">
        <f t="shared" si="35"/>
        <v>18.757713689937123</v>
      </c>
      <c r="AA124" s="388">
        <f t="shared" si="36"/>
        <v>20.958301795775359</v>
      </c>
      <c r="AB124" s="199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0.10499839764125433</v>
      </c>
      <c r="AD124" s="233">
        <f>(INDEX(Models!$BJ124:$BT124,,AH124)*(1-AF124)+INDEX(Models!$BJ124:$BT124,,AH124+1)*AF124-ERP_i)*AE124*Ramure*Pc/MaxiM</f>
        <v>1.8124431165835019E-3</v>
      </c>
      <c r="AE124" s="307">
        <f t="shared" si="38"/>
        <v>1</v>
      </c>
      <c r="AF124" s="179">
        <f t="shared" si="39"/>
        <v>0.67558102956363064</v>
      </c>
      <c r="AG124" s="837">
        <f t="shared" si="47"/>
        <v>-2</v>
      </c>
      <c r="AH124" s="178">
        <f t="shared" si="40"/>
        <v>4</v>
      </c>
      <c r="AI124" s="227">
        <f t="shared" si="41"/>
        <v>-1.3244189704363694</v>
      </c>
      <c r="AJ124" s="267" t="b">
        <f t="shared" si="42"/>
        <v>0</v>
      </c>
      <c r="AK124" s="267" t="b">
        <f t="shared" si="43"/>
        <v>0</v>
      </c>
      <c r="AL124" s="267"/>
      <c r="AM124" s="267"/>
      <c r="AN124" s="75"/>
    </row>
    <row r="125" spans="1:40" s="6" customFormat="1" ht="11.25" x14ac:dyDescent="0.2">
      <c r="A125" s="56">
        <f t="shared" si="44"/>
        <v>43941</v>
      </c>
      <c r="B125" s="618">
        <v>11.686999999999999</v>
      </c>
      <c r="C125" s="392"/>
      <c r="D125" s="395">
        <f t="shared" si="24"/>
        <v>11.859055588837879</v>
      </c>
      <c r="E125" s="387">
        <f t="shared" si="45"/>
        <v>13.252974912746648</v>
      </c>
      <c r="F125" s="387">
        <f t="shared" si="25"/>
        <v>13.252974912746648</v>
      </c>
      <c r="G125" s="110">
        <f t="shared" si="46"/>
        <v>0.22361280970425396</v>
      </c>
      <c r="H125" s="414" t="b">
        <f>Wh_hp&gt;='2019'!Maxi_hp</f>
        <v>0</v>
      </c>
      <c r="I125" s="382">
        <f>IF(H125,Wh_hp,'2019'!Maxi_hp)</f>
        <v>20.590849982008685</v>
      </c>
      <c r="J125" s="85">
        <f>IF(H125,An,'2019'!An_max)</f>
        <v>2019</v>
      </c>
      <c r="K125" s="199">
        <f t="shared" si="26"/>
        <v>43941</v>
      </c>
      <c r="L125" s="147">
        <f>IF(t&lt;Tvie,1-EXP((T0-t)*PertePVj)+'2019'!Pspv,1-EXP((T0-t)*PertePVj)+Pspv)</f>
        <v>1.4508371897659744E-2</v>
      </c>
      <c r="M125" s="870"/>
      <c r="N125" s="870"/>
      <c r="O125" s="48">
        <f>IF(t&lt;Tnet,'2019'!Resal+('2019'!Salim-'2019'!Resal)*(1-EXP(('2019'!Tnet-t)/('2019'!Tau_j))),Resal+(Salim-Resal)*(1-EXP((Tnet-t)/(Tau_j))))*Salcycl</f>
        <v>0.1051778436981801</v>
      </c>
      <c r="P125" s="171">
        <f>(INDEX(Models!$BJ125:$BT125,,T125)*(1-R125)+INDEX(Models!$BJ125:$BT125,,T125+1)*R125-ERP_i)*Q125*Ramure*Pc/MaxiM</f>
        <v>1.7352416968855998E-3</v>
      </c>
      <c r="Q125" s="307">
        <f t="shared" si="27"/>
        <v>1</v>
      </c>
      <c r="R125" s="179">
        <f t="shared" si="28"/>
        <v>0.67843628905529285</v>
      </c>
      <c r="S125" s="837">
        <f t="shared" si="29"/>
        <v>-2</v>
      </c>
      <c r="T125" s="178">
        <f t="shared" si="30"/>
        <v>4</v>
      </c>
      <c r="U125" s="253">
        <f t="shared" si="31"/>
        <v>-1.3215637109447071</v>
      </c>
      <c r="V125" s="385">
        <f t="shared" si="32"/>
        <v>52.173756260737832</v>
      </c>
      <c r="W125" s="404"/>
      <c r="X125" s="157">
        <f t="shared" si="33"/>
        <v>43941</v>
      </c>
      <c r="Y125" s="387">
        <f t="shared" si="34"/>
        <v>11.686999999999999</v>
      </c>
      <c r="Z125" s="387">
        <f t="shared" si="35"/>
        <v>11.859055588837879</v>
      </c>
      <c r="AA125" s="388">
        <f t="shared" si="36"/>
        <v>13.252974912746648</v>
      </c>
      <c r="AB125" s="199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0.1051778436981801</v>
      </c>
      <c r="AD125" s="233">
        <f>(INDEX(Models!$BJ125:$BT125,,AH125)*(1-AF125)+INDEX(Models!$BJ125:$BT125,,AH125+1)*AF125-ERP_i)*AE125*Ramure*Pc/MaxiM</f>
        <v>1.7352416968855998E-3</v>
      </c>
      <c r="AE125" s="307">
        <f t="shared" si="38"/>
        <v>1</v>
      </c>
      <c r="AF125" s="179">
        <f t="shared" si="39"/>
        <v>0.67843628905529285</v>
      </c>
      <c r="AG125" s="837">
        <f t="shared" si="47"/>
        <v>-2</v>
      </c>
      <c r="AH125" s="178">
        <f t="shared" si="40"/>
        <v>4</v>
      </c>
      <c r="AI125" s="227">
        <f t="shared" si="41"/>
        <v>-1.3215637109447071</v>
      </c>
      <c r="AJ125" s="267" t="b">
        <f t="shared" si="42"/>
        <v>0</v>
      </c>
      <c r="AK125" s="267" t="b">
        <f t="shared" si="43"/>
        <v>0</v>
      </c>
      <c r="AL125" s="267"/>
      <c r="AM125" s="267"/>
      <c r="AN125" s="75"/>
    </row>
    <row r="126" spans="1:40" s="6" customFormat="1" ht="11.25" customHeight="1" x14ac:dyDescent="0.2">
      <c r="A126" s="56">
        <f t="shared" si="44"/>
        <v>43942</v>
      </c>
      <c r="B126" s="618">
        <v>16.736999999999998</v>
      </c>
      <c r="C126" s="392"/>
      <c r="D126" s="395">
        <f t="shared" si="24"/>
        <v>16.983796742885545</v>
      </c>
      <c r="E126" s="387">
        <f t="shared" si="45"/>
        <v>18.983947222941364</v>
      </c>
      <c r="F126" s="387">
        <f t="shared" si="25"/>
        <v>18.98481282118674</v>
      </c>
      <c r="G126" s="110">
        <f t="shared" si="46"/>
        <v>0.31874025797795424</v>
      </c>
      <c r="H126" s="414" t="b">
        <f>Wh_hp&gt;='2019'!Maxi_hp</f>
        <v>0</v>
      </c>
      <c r="I126" s="382">
        <f>IF(H126,Wh_hp,'2019'!Maxi_hp)</f>
        <v>34.853235634939274</v>
      </c>
      <c r="J126" s="85">
        <f>IF(H126,An,'2019'!An_max)</f>
        <v>2019</v>
      </c>
      <c r="K126" s="199">
        <f t="shared" si="26"/>
        <v>43942</v>
      </c>
      <c r="L126" s="147">
        <f>IF(t&lt;Tvie,1-EXP((T0-t)*PertePVj)+'2019'!Pspv,1-EXP((T0-t)*PertePVj)+Pspv)</f>
        <v>1.4531305727556343E-2</v>
      </c>
      <c r="M126" s="870"/>
      <c r="N126" s="870"/>
      <c r="O126" s="48">
        <f>IF(t&lt;Tnet,'2019'!Resal+('2019'!Salim-'2019'!Resal)*(1-EXP(('2019'!Tnet-t)/('2019'!Tau_j))),Resal+(Salim-Resal)*(1-EXP((Tnet-t)/(Tau_j))))*Salcycl</f>
        <v>0.10536009485101785</v>
      </c>
      <c r="P126" s="171">
        <f>(INDEX(Models!$BJ126:$BT126,,T126)*(1-R126)+INDEX(Models!$BJ126:$BT126,,T126+1)*R126-ERP_i)*Q126*Ramure*Pc/MaxiM</f>
        <v>1.6575501566239669E-3</v>
      </c>
      <c r="Q126" s="307">
        <f t="shared" si="27"/>
        <v>1</v>
      </c>
      <c r="R126" s="179">
        <f t="shared" si="28"/>
        <v>0.68138368602092836</v>
      </c>
      <c r="S126" s="837">
        <f t="shared" si="29"/>
        <v>-2</v>
      </c>
      <c r="T126" s="178">
        <f t="shared" si="30"/>
        <v>4</v>
      </c>
      <c r="U126" s="253">
        <f t="shared" si="31"/>
        <v>-1.3186163139790716</v>
      </c>
      <c r="V126" s="385">
        <f t="shared" si="32"/>
        <v>52.425192756603273</v>
      </c>
      <c r="W126" s="404"/>
      <c r="X126" s="157">
        <f t="shared" si="33"/>
        <v>43942</v>
      </c>
      <c r="Y126" s="387">
        <f t="shared" si="34"/>
        <v>16.736999999999998</v>
      </c>
      <c r="Z126" s="387">
        <f t="shared" si="35"/>
        <v>16.983796742885545</v>
      </c>
      <c r="AA126" s="388">
        <f t="shared" si="36"/>
        <v>18.983947222941364</v>
      </c>
      <c r="AB126" s="199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0.10536009485101785</v>
      </c>
      <c r="AD126" s="233">
        <f>(INDEX(Models!$BJ126:$BT126,,AH126)*(1-AF126)+INDEX(Models!$BJ126:$BT126,,AH126+1)*AF126-ERP_i)*AE126*Ramure*Pc/MaxiM</f>
        <v>1.6575501566239669E-3</v>
      </c>
      <c r="AE126" s="307">
        <f t="shared" si="38"/>
        <v>1</v>
      </c>
      <c r="AF126" s="179">
        <f t="shared" si="39"/>
        <v>0.68138368602092836</v>
      </c>
      <c r="AG126" s="837">
        <f t="shared" si="47"/>
        <v>-2</v>
      </c>
      <c r="AH126" s="178">
        <f t="shared" si="40"/>
        <v>4</v>
      </c>
      <c r="AI126" s="227">
        <f t="shared" si="41"/>
        <v>-1.3186163139790716</v>
      </c>
      <c r="AJ126" s="267" t="b">
        <f t="shared" si="42"/>
        <v>0</v>
      </c>
      <c r="AK126" s="267" t="b">
        <f t="shared" si="43"/>
        <v>0</v>
      </c>
      <c r="AL126" s="267"/>
      <c r="AM126" s="267"/>
      <c r="AN126" s="75"/>
    </row>
    <row r="127" spans="1:40" s="6" customFormat="1" ht="11.25" customHeight="1" x14ac:dyDescent="0.2">
      <c r="A127" s="56">
        <f t="shared" si="44"/>
        <v>43943</v>
      </c>
      <c r="B127" s="618">
        <v>8.6890000000000001</v>
      </c>
      <c r="C127" s="392"/>
      <c r="D127" s="395">
        <f t="shared" si="24"/>
        <v>8.8173295214056981</v>
      </c>
      <c r="E127" s="387">
        <f t="shared" si="45"/>
        <v>9.8577694761781416</v>
      </c>
      <c r="F127" s="387">
        <f t="shared" si="25"/>
        <v>9.8577694761781416</v>
      </c>
      <c r="G127" s="110">
        <f t="shared" si="46"/>
        <v>0.16471009499253694</v>
      </c>
      <c r="H127" s="414" t="b">
        <f>Wh_hp&gt;='2019'!Maxi_hp</f>
        <v>0</v>
      </c>
      <c r="I127" s="382">
        <f>IF(H127,Wh_hp,'2019'!Maxi_hp)</f>
        <v>38.471508502303521</v>
      </c>
      <c r="J127" s="85">
        <f>IF(H127,An,'2019'!An_max)</f>
        <v>2019</v>
      </c>
      <c r="K127" s="199">
        <f t="shared" si="26"/>
        <v>43943</v>
      </c>
      <c r="L127" s="147">
        <f>IF(t&lt;Tvie,1-EXP((T0-t)*PertePVj)+'2019'!Pspv,1-EXP((T0-t)*PertePVj)+Pspv)</f>
        <v>1.4554239023749194E-2</v>
      </c>
      <c r="M127" s="870"/>
      <c r="N127" s="870"/>
      <c r="O127" s="48">
        <f>IF(t&lt;Tnet,'2019'!Resal+('2019'!Salim-'2019'!Resal)*(1-EXP(('2019'!Tnet-t)/('2019'!Tau_j))),Resal+(Salim-Resal)*(1-EXP((Tnet-t)/(Tau_j))))*Salcycl</f>
        <v>0.10554516995824718</v>
      </c>
      <c r="P127" s="171">
        <f>(INDEX(Models!$BJ127:$BT127,,T127)*(1-R127)+INDEX(Models!$BJ127:$BT127,,T127+1)*R127-ERP_i)*Q127*Ramure*Pc/MaxiM</f>
        <v>1.579331012219194E-3</v>
      </c>
      <c r="Q127" s="307">
        <f t="shared" si="27"/>
        <v>1</v>
      </c>
      <c r="R127" s="179">
        <f t="shared" si="28"/>
        <v>0.68442514262657506</v>
      </c>
      <c r="S127" s="837">
        <f t="shared" si="29"/>
        <v>-2</v>
      </c>
      <c r="T127" s="178">
        <f t="shared" si="30"/>
        <v>4</v>
      </c>
      <c r="U127" s="253">
        <f t="shared" si="31"/>
        <v>-1.3155748573734249</v>
      </c>
      <c r="V127" s="385">
        <f t="shared" si="32"/>
        <v>52.669978687268113</v>
      </c>
      <c r="W127" s="404"/>
      <c r="X127" s="157">
        <f t="shared" si="33"/>
        <v>43943</v>
      </c>
      <c r="Y127" s="387">
        <f t="shared" si="34"/>
        <v>8.6890000000000001</v>
      </c>
      <c r="Z127" s="387">
        <f t="shared" si="35"/>
        <v>8.8173295214056981</v>
      </c>
      <c r="AA127" s="388">
        <f t="shared" si="36"/>
        <v>9.8577694761781416</v>
      </c>
      <c r="AB127" s="199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0.10554516995824718</v>
      </c>
      <c r="AD127" s="233">
        <f>(INDEX(Models!$BJ127:$BT127,,AH127)*(1-AF127)+INDEX(Models!$BJ127:$BT127,,AH127+1)*AF127-ERP_i)*AE127*Ramure*Pc/MaxiM</f>
        <v>1.579331012219194E-3</v>
      </c>
      <c r="AE127" s="307">
        <f t="shared" si="38"/>
        <v>1</v>
      </c>
      <c r="AF127" s="179">
        <f t="shared" si="39"/>
        <v>0.68442514262657506</v>
      </c>
      <c r="AG127" s="837">
        <f t="shared" si="47"/>
        <v>-2</v>
      </c>
      <c r="AH127" s="178">
        <f t="shared" si="40"/>
        <v>4</v>
      </c>
      <c r="AI127" s="227">
        <f t="shared" si="41"/>
        <v>-1.3155748573734249</v>
      </c>
      <c r="AJ127" s="267" t="b">
        <f t="shared" si="42"/>
        <v>0</v>
      </c>
      <c r="AK127" s="267" t="b">
        <f t="shared" si="43"/>
        <v>0</v>
      </c>
      <c r="AL127" s="267"/>
      <c r="AM127" s="267"/>
      <c r="AN127" s="75"/>
    </row>
    <row r="128" spans="1:40" s="6" customFormat="1" ht="11.25" customHeight="1" x14ac:dyDescent="0.2">
      <c r="A128" s="56">
        <f t="shared" si="44"/>
        <v>43944</v>
      </c>
      <c r="B128" s="618">
        <v>15.19</v>
      </c>
      <c r="C128" s="392"/>
      <c r="D128" s="395">
        <f t="shared" si="24"/>
        <v>15.414702770316902</v>
      </c>
      <c r="E128" s="387">
        <f t="shared" si="45"/>
        <v>17.237250400681503</v>
      </c>
      <c r="F128" s="387">
        <f t="shared" si="25"/>
        <v>17.237250400681503</v>
      </c>
      <c r="G128" s="110">
        <f t="shared" si="46"/>
        <v>0.28667231736063176</v>
      </c>
      <c r="H128" s="414" t="b">
        <f>Wh_hp&gt;='2019'!Maxi_hp</f>
        <v>0</v>
      </c>
      <c r="I128" s="382">
        <f>IF(H128,Wh_hp,'2019'!Maxi_hp)</f>
        <v>53.741111182306867</v>
      </c>
      <c r="J128" s="85">
        <f>IF(H128,An,'2019'!An_max)</f>
        <v>2019</v>
      </c>
      <c r="K128" s="199">
        <f t="shared" si="26"/>
        <v>43944</v>
      </c>
      <c r="L128" s="147">
        <f>IF(t&lt;Tvie,1-EXP((T0-t)*PertePVj)+'2019'!Pspv,1-EXP((T0-t)*PertePVj)+Pspv)</f>
        <v>1.457717178625062E-2</v>
      </c>
      <c r="M128" s="870"/>
      <c r="N128" s="870"/>
      <c r="O128" s="48">
        <f>IF(t&lt;Tnet,'2019'!Resal+('2019'!Salim-'2019'!Resal)*(1-EXP(('2019'!Tnet-t)/('2019'!Tau_j))),Resal+(Salim-Resal)*(1-EXP((Tnet-t)/(Tau_j))))*Salcycl</f>
        <v>0.10573308317738098</v>
      </c>
      <c r="P128" s="171">
        <f>(INDEX(Models!$BJ128:$BT128,,T128)*(1-R128)+INDEX(Models!$BJ128:$BT128,,T128+1)*R128-ERP_i)*Q128*Ramure*Pc/MaxiM</f>
        <v>1.5016115778189729E-3</v>
      </c>
      <c r="Q128" s="307">
        <f t="shared" si="27"/>
        <v>1</v>
      </c>
      <c r="R128" s="179">
        <f t="shared" si="28"/>
        <v>0.68756254176778908</v>
      </c>
      <c r="S128" s="837">
        <f t="shared" si="29"/>
        <v>-2</v>
      </c>
      <c r="T128" s="178">
        <f t="shared" si="30"/>
        <v>4</v>
      </c>
      <c r="U128" s="253">
        <f t="shared" si="31"/>
        <v>-1.3124374582322109</v>
      </c>
      <c r="V128" s="385">
        <f t="shared" si="32"/>
        <v>52.907761236857453</v>
      </c>
      <c r="W128" s="404"/>
      <c r="X128" s="157">
        <f t="shared" si="33"/>
        <v>43944</v>
      </c>
      <c r="Y128" s="387">
        <f t="shared" si="34"/>
        <v>15.190000000000001</v>
      </c>
      <c r="Z128" s="387">
        <f t="shared" si="35"/>
        <v>15.414702770316904</v>
      </c>
      <c r="AA128" s="388">
        <f t="shared" si="36"/>
        <v>17.237250400681503</v>
      </c>
      <c r="AB128" s="199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0.10573308317738098</v>
      </c>
      <c r="AD128" s="233">
        <f>(INDEX(Models!$BJ128:$BT128,,AH128)*(1-AF128)+INDEX(Models!$BJ128:$BT128,,AH128+1)*AF128-ERP_i)*AE128*Ramure*Pc/MaxiM</f>
        <v>1.5016115778189729E-3</v>
      </c>
      <c r="AE128" s="307">
        <f t="shared" si="38"/>
        <v>1</v>
      </c>
      <c r="AF128" s="179">
        <f t="shared" si="39"/>
        <v>0.68756254176778908</v>
      </c>
      <c r="AG128" s="837">
        <f t="shared" si="47"/>
        <v>-2</v>
      </c>
      <c r="AH128" s="178">
        <f t="shared" si="40"/>
        <v>4</v>
      </c>
      <c r="AI128" s="227">
        <f t="shared" si="41"/>
        <v>-1.3124374582322109</v>
      </c>
      <c r="AJ128" s="267" t="b">
        <f t="shared" si="42"/>
        <v>0</v>
      </c>
      <c r="AK128" s="267" t="b">
        <f t="shared" si="43"/>
        <v>0</v>
      </c>
      <c r="AL128" s="267"/>
      <c r="AM128" s="267"/>
      <c r="AN128" s="75"/>
    </row>
    <row r="129" spans="1:40" s="6" customFormat="1" ht="11.25" customHeight="1" x14ac:dyDescent="0.2">
      <c r="A129" s="56">
        <f t="shared" si="44"/>
        <v>43945</v>
      </c>
      <c r="B129" s="618">
        <v>49.570999999999998</v>
      </c>
      <c r="C129" s="392"/>
      <c r="D129" s="395">
        <f t="shared" si="24"/>
        <v>50.305465021845571</v>
      </c>
      <c r="E129" s="387">
        <f t="shared" si="45"/>
        <v>56.265302089310438</v>
      </c>
      <c r="F129" s="387">
        <f t="shared" si="25"/>
        <v>56.337889785916616</v>
      </c>
      <c r="G129" s="110">
        <f t="shared" si="46"/>
        <v>0.93274165662822461</v>
      </c>
      <c r="H129" s="414" t="b">
        <f>Wh_hp&gt;='2019'!Maxi_hp</f>
        <v>1</v>
      </c>
      <c r="I129" s="382">
        <f>IF(H129,Wh_hp,'2019'!Maxi_hp)</f>
        <v>56.337889785916616</v>
      </c>
      <c r="J129" s="85">
        <f>IF(H129,An,'2019'!An_max)</f>
        <v>2020</v>
      </c>
      <c r="K129" s="199">
        <f t="shared" si="26"/>
        <v>43945</v>
      </c>
      <c r="L129" s="147">
        <f>IF(t&lt;Tvie,1-EXP((T0-t)*PertePVj)+'2019'!Pspv,1-EXP((T0-t)*PertePVj)+Pspv)</f>
        <v>1.4600104015073279E-2</v>
      </c>
      <c r="M129" s="870"/>
      <c r="N129" s="870"/>
      <c r="O129" s="48">
        <f>IF(t&lt;Tnet,'2019'!Resal+('2019'!Salim-'2019'!Resal)*(1-EXP(('2019'!Tnet-t)/('2019'!Tau_j))),Resal+(Salim-Resal)*(1-EXP((Tnet-t)/(Tau_j))))*Salcycl</f>
        <v>0.1059238437572905</v>
      </c>
      <c r="P129" s="171">
        <f>(INDEX(Models!$BJ129:$BT129,,T129)*(1-R129)+INDEX(Models!$BJ129:$BT129,,T129+1)*R129-ERP_i)*Q129*Ramure*Pc/MaxiM</f>
        <v>1.4251036097399812E-3</v>
      </c>
      <c r="Q129" s="307">
        <f t="shared" si="27"/>
        <v>1</v>
      </c>
      <c r="R129" s="179">
        <f t="shared" si="28"/>
        <v>0.69079771987474148</v>
      </c>
      <c r="S129" s="837">
        <f t="shared" si="29"/>
        <v>-2</v>
      </c>
      <c r="T129" s="178">
        <f t="shared" si="30"/>
        <v>4</v>
      </c>
      <c r="U129" s="253">
        <f t="shared" si="31"/>
        <v>-1.3092022801252585</v>
      </c>
      <c r="V129" s="385">
        <f t="shared" si="32"/>
        <v>53.138204021492541</v>
      </c>
      <c r="W129" s="404"/>
      <c r="X129" s="157">
        <f t="shared" si="33"/>
        <v>43945</v>
      </c>
      <c r="Y129" s="387">
        <f t="shared" si="34"/>
        <v>49.570999999999998</v>
      </c>
      <c r="Z129" s="387">
        <f t="shared" si="35"/>
        <v>50.305465021845571</v>
      </c>
      <c r="AA129" s="388">
        <f t="shared" si="36"/>
        <v>56.265302089310438</v>
      </c>
      <c r="AB129" s="199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0.1059238437572905</v>
      </c>
      <c r="AD129" s="233">
        <f>(INDEX(Models!$BJ129:$BT129,,AH129)*(1-AF129)+INDEX(Models!$BJ129:$BT129,,AH129+1)*AF129-ERP_i)*AE129*Ramure*Pc/MaxiM</f>
        <v>1.4251036097399812E-3</v>
      </c>
      <c r="AE129" s="307">
        <f t="shared" si="38"/>
        <v>1</v>
      </c>
      <c r="AF129" s="179">
        <f t="shared" si="39"/>
        <v>0.69079771987474148</v>
      </c>
      <c r="AG129" s="837">
        <f t="shared" si="47"/>
        <v>-2</v>
      </c>
      <c r="AH129" s="178">
        <f t="shared" si="40"/>
        <v>4</v>
      </c>
      <c r="AI129" s="227">
        <f t="shared" si="41"/>
        <v>-1.3092022801252585</v>
      </c>
      <c r="AJ129" s="267" t="b">
        <f t="shared" si="42"/>
        <v>0</v>
      </c>
      <c r="AK129" s="267" t="b">
        <f t="shared" si="43"/>
        <v>0</v>
      </c>
      <c r="AL129" s="267"/>
      <c r="AM129" s="267"/>
      <c r="AN129" s="75"/>
    </row>
    <row r="130" spans="1:40" s="6" customFormat="1" ht="11.25" customHeight="1" x14ac:dyDescent="0.2">
      <c r="A130" s="56">
        <f t="shared" si="44"/>
        <v>43946</v>
      </c>
      <c r="B130" s="618">
        <v>38.216999999999999</v>
      </c>
      <c r="C130" s="392"/>
      <c r="D130" s="395">
        <f t="shared" si="24"/>
        <v>38.7841418918755</v>
      </c>
      <c r="E130" s="387">
        <f t="shared" si="45"/>
        <v>43.388409522820623</v>
      </c>
      <c r="F130" s="387">
        <f t="shared" si="25"/>
        <v>43.423257623255026</v>
      </c>
      <c r="G130" s="110">
        <f t="shared" si="46"/>
        <v>0.71580482681521918</v>
      </c>
      <c r="H130" s="414" t="b">
        <f>Wh_hp&gt;='2019'!Maxi_hp</f>
        <v>1</v>
      </c>
      <c r="I130" s="382">
        <f>IF(H130,Wh_hp,'2019'!Maxi_hp)</f>
        <v>43.423257623255026</v>
      </c>
      <c r="J130" s="85">
        <f>IF(H130,An,'2019'!An_max)</f>
        <v>2020</v>
      </c>
      <c r="K130" s="199">
        <f t="shared" si="26"/>
        <v>43946</v>
      </c>
      <c r="L130" s="147">
        <f>IF(t&lt;Tvie,1-EXP((T0-t)*PertePVj)+'2019'!Pspv,1-EXP((T0-t)*PertePVj)+Pspv)</f>
        <v>1.4623035710229493E-2</v>
      </c>
      <c r="M130" s="870"/>
      <c r="N130" s="870"/>
      <c r="O130" s="48">
        <f>IF(t&lt;Tnet,'2019'!Resal+('2019'!Salim-'2019'!Resal)*(1-EXP(('2019'!Tnet-t)/('2019'!Tau_j))),Resal+(Salim-Resal)*(1-EXP((Tnet-t)/(Tau_j))))*Salcycl</f>
        <v>0.10611745582707892</v>
      </c>
      <c r="P130" s="171">
        <f>(INDEX(Models!$BJ130:$BT130,,T130)*(1-R130)+INDEX(Models!$BJ130:$BT130,,T130+1)*R130-ERP_i)*Q130*Ramure*Pc/MaxiM</f>
        <v>1.3497574390185893E-3</v>
      </c>
      <c r="Q130" s="307">
        <f t="shared" si="27"/>
        <v>1</v>
      </c>
      <c r="R130" s="179">
        <f t="shared" si="28"/>
        <v>0.6941324593637439</v>
      </c>
      <c r="S130" s="837">
        <f t="shared" si="29"/>
        <v>-2</v>
      </c>
      <c r="T130" s="178">
        <f t="shared" si="30"/>
        <v>4</v>
      </c>
      <c r="U130" s="253">
        <f t="shared" si="31"/>
        <v>-1.3058675406362561</v>
      </c>
      <c r="V130" s="385">
        <f t="shared" si="32"/>
        <v>53.361011351594897</v>
      </c>
      <c r="W130" s="404"/>
      <c r="X130" s="157">
        <f t="shared" si="33"/>
        <v>43946</v>
      </c>
      <c r="Y130" s="387">
        <f t="shared" si="34"/>
        <v>38.216999999999999</v>
      </c>
      <c r="Z130" s="387">
        <f t="shared" si="35"/>
        <v>38.7841418918755</v>
      </c>
      <c r="AA130" s="388">
        <f t="shared" si="36"/>
        <v>43.388409522820623</v>
      </c>
      <c r="AB130" s="199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0.10611745582707892</v>
      </c>
      <c r="AD130" s="233">
        <f>(INDEX(Models!$BJ130:$BT130,,AH130)*(1-AF130)+INDEX(Models!$BJ130:$BT130,,AH130+1)*AF130-ERP_i)*AE130*Ramure*Pc/MaxiM</f>
        <v>1.3497574390185893E-3</v>
      </c>
      <c r="AE130" s="307">
        <f t="shared" si="38"/>
        <v>1</v>
      </c>
      <c r="AF130" s="179">
        <f t="shared" si="39"/>
        <v>0.6941324593637439</v>
      </c>
      <c r="AG130" s="837">
        <f t="shared" si="47"/>
        <v>-2</v>
      </c>
      <c r="AH130" s="178">
        <f t="shared" si="40"/>
        <v>4</v>
      </c>
      <c r="AI130" s="227">
        <f t="shared" si="41"/>
        <v>-1.3058675406362561</v>
      </c>
      <c r="AJ130" s="267" t="b">
        <f t="shared" si="42"/>
        <v>0</v>
      </c>
      <c r="AK130" s="267" t="b">
        <f t="shared" si="43"/>
        <v>0</v>
      </c>
      <c r="AL130" s="267"/>
      <c r="AM130" s="267"/>
      <c r="AN130" s="75"/>
    </row>
    <row r="131" spans="1:40" s="6" customFormat="1" ht="11.25" customHeight="1" x14ac:dyDescent="0.2">
      <c r="A131" s="56">
        <f t="shared" si="44"/>
        <v>43947</v>
      </c>
      <c r="B131" s="618">
        <v>24.212</v>
      </c>
      <c r="C131" s="392"/>
      <c r="D131" s="395">
        <f t="shared" si="24"/>
        <v>24.571878924707466</v>
      </c>
      <c r="E131" s="387">
        <f t="shared" si="45"/>
        <v>27.494977738427821</v>
      </c>
      <c r="F131" s="387">
        <f t="shared" si="25"/>
        <v>27.502591129104626</v>
      </c>
      <c r="G131" s="110">
        <f t="shared" si="46"/>
        <v>0.45146825517860167</v>
      </c>
      <c r="H131" s="414" t="b">
        <f>Wh_hp&gt;='2019'!Maxi_hp</f>
        <v>0</v>
      </c>
      <c r="I131" s="382">
        <f>IF(H131,Wh_hp,'2019'!Maxi_hp)</f>
        <v>33.882501850948501</v>
      </c>
      <c r="J131" s="85">
        <f>IF(H131,An,'2019'!An_max)</f>
        <v>2019</v>
      </c>
      <c r="K131" s="199">
        <f t="shared" si="26"/>
        <v>43947</v>
      </c>
      <c r="L131" s="147">
        <f>IF(t&lt;Tvie,1-EXP((T0-t)*PertePVj)+'2019'!Pspv,1-EXP((T0-t)*PertePVj)+Pspv)</f>
        <v>1.4645966871731586E-2</v>
      </c>
      <c r="M131" s="870"/>
      <c r="N131" s="870"/>
      <c r="O131" s="48">
        <f>IF(t&lt;Tnet,'2019'!Resal+('2019'!Salim-'2019'!Resal)*(1-EXP(('2019'!Tnet-t)/('2019'!Tau_j))),Resal+(Salim-Resal)*(1-EXP((Tnet-t)/(Tau_j))))*Salcycl</f>
        <v>0.10631391818277203</v>
      </c>
      <c r="P131" s="171">
        <f>(INDEX(Models!$BJ131:$BT131,,T131)*(1-R131)+INDEX(Models!$BJ131:$BT131,,T131+1)*R131-ERP_i)*Q131*Ramure*Pc/MaxiM</f>
        <v>1.2755233566201811E-3</v>
      </c>
      <c r="Q131" s="307">
        <f t="shared" si="27"/>
        <v>1</v>
      </c>
      <c r="R131" s="179">
        <f t="shared" si="28"/>
        <v>0.69756848074573274</v>
      </c>
      <c r="S131" s="837">
        <f t="shared" si="29"/>
        <v>-2</v>
      </c>
      <c r="T131" s="178">
        <f t="shared" si="30"/>
        <v>4</v>
      </c>
      <c r="U131" s="253">
        <f t="shared" si="31"/>
        <v>-1.3024315192542673</v>
      </c>
      <c r="V131" s="385">
        <f t="shared" si="32"/>
        <v>53.575888293163793</v>
      </c>
      <c r="W131" s="404"/>
      <c r="X131" s="157">
        <f t="shared" si="33"/>
        <v>43947</v>
      </c>
      <c r="Y131" s="387">
        <f t="shared" si="34"/>
        <v>24.212</v>
      </c>
      <c r="Z131" s="387">
        <f t="shared" si="35"/>
        <v>24.571878924707466</v>
      </c>
      <c r="AA131" s="388">
        <f t="shared" si="36"/>
        <v>27.494977738427821</v>
      </c>
      <c r="AB131" s="199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0.10631391818277203</v>
      </c>
      <c r="AD131" s="233">
        <f>(INDEX(Models!$BJ131:$BT131,,AH131)*(1-AF131)+INDEX(Models!$BJ131:$BT131,,AH131+1)*AF131-ERP_i)*AE131*Ramure*Pc/MaxiM</f>
        <v>1.2755233566201811E-3</v>
      </c>
      <c r="AE131" s="307">
        <f t="shared" si="38"/>
        <v>1</v>
      </c>
      <c r="AF131" s="179">
        <f t="shared" si="39"/>
        <v>0.69756848074573274</v>
      </c>
      <c r="AG131" s="837">
        <f t="shared" si="47"/>
        <v>-2</v>
      </c>
      <c r="AH131" s="178">
        <f t="shared" si="40"/>
        <v>4</v>
      </c>
      <c r="AI131" s="227">
        <f t="shared" si="41"/>
        <v>-1.3024315192542673</v>
      </c>
      <c r="AJ131" s="267" t="b">
        <f t="shared" si="42"/>
        <v>0</v>
      </c>
      <c r="AK131" s="267" t="b">
        <f t="shared" si="43"/>
        <v>0</v>
      </c>
      <c r="AL131" s="267"/>
      <c r="AM131" s="267"/>
      <c r="AN131" s="75"/>
    </row>
    <row r="132" spans="1:40" s="6" customFormat="1" ht="11.25" customHeight="1" x14ac:dyDescent="0.2">
      <c r="A132" s="56">
        <f t="shared" si="44"/>
        <v>43948</v>
      </c>
      <c r="B132" s="618">
        <v>20.178000000000001</v>
      </c>
      <c r="C132" s="392"/>
      <c r="D132" s="395">
        <f t="shared" si="24"/>
        <v>20.478395484315534</v>
      </c>
      <c r="E132" s="387">
        <f t="shared" si="45"/>
        <v>22.91964026336705</v>
      </c>
      <c r="F132" s="387">
        <f t="shared" si="25"/>
        <v>22.922600219705085</v>
      </c>
      <c r="G132" s="110">
        <f t="shared" si="46"/>
        <v>0.37477481439401111</v>
      </c>
      <c r="H132" s="414" t="b">
        <f>Wh_hp&gt;='2019'!Maxi_hp</f>
        <v>0</v>
      </c>
      <c r="I132" s="382">
        <f>IF(H132,Wh_hp,'2019'!Maxi_hp)</f>
        <v>48.071799484183821</v>
      </c>
      <c r="J132" s="85">
        <f>IF(H132,An,'2019'!An_max)</f>
        <v>2019</v>
      </c>
      <c r="K132" s="199">
        <f t="shared" si="26"/>
        <v>43948</v>
      </c>
      <c r="L132" s="147">
        <f>IF(t&lt;Tvie,1-EXP((T0-t)*PertePVj)+'2019'!Pspv,1-EXP((T0-t)*PertePVj)+Pspv)</f>
        <v>1.4668897499592104E-2</v>
      </c>
      <c r="M132" s="870"/>
      <c r="N132" s="870"/>
      <c r="O132" s="48">
        <f>IF(t&lt;Tnet,'2019'!Resal+('2019'!Salim-'2019'!Resal)*(1-EXP(('2019'!Tnet-t)/('2019'!Tau_j))),Resal+(Salim-Resal)*(1-EXP((Tnet-t)/(Tau_j))))*Salcycl</f>
        <v>0.10651322407330321</v>
      </c>
      <c r="P132" s="171">
        <f>(INDEX(Models!$BJ132:$BT132,,T132)*(1-R132)+INDEX(Models!$BJ132:$BT132,,T132+1)*R132-ERP_i)*Q132*Ramure*Pc/MaxiM</f>
        <v>1.2023516257660821E-3</v>
      </c>
      <c r="Q132" s="307">
        <f t="shared" si="27"/>
        <v>1</v>
      </c>
      <c r="R132" s="179">
        <f t="shared" si="28"/>
        <v>0.70110743440576107</v>
      </c>
      <c r="S132" s="837">
        <f t="shared" si="29"/>
        <v>-2</v>
      </c>
      <c r="T132" s="178">
        <f t="shared" si="30"/>
        <v>4</v>
      </c>
      <c r="U132" s="253">
        <f t="shared" si="31"/>
        <v>-1.2988925655942389</v>
      </c>
      <c r="V132" s="385">
        <f t="shared" si="32"/>
        <v>53.782540685324733</v>
      </c>
      <c r="W132" s="404"/>
      <c r="X132" s="157">
        <f t="shared" si="33"/>
        <v>43948</v>
      </c>
      <c r="Y132" s="387">
        <f t="shared" si="34"/>
        <v>20.178000000000001</v>
      </c>
      <c r="Z132" s="387">
        <f t="shared" si="35"/>
        <v>20.478395484315534</v>
      </c>
      <c r="AA132" s="388">
        <f t="shared" si="36"/>
        <v>22.91964026336705</v>
      </c>
      <c r="AB132" s="199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0.10651322407330321</v>
      </c>
      <c r="AD132" s="233">
        <f>(INDEX(Models!$BJ132:$BT132,,AH132)*(1-AF132)+INDEX(Models!$BJ132:$BT132,,AH132+1)*AF132-ERP_i)*AE132*Ramure*Pc/MaxiM</f>
        <v>1.2023516257660821E-3</v>
      </c>
      <c r="AE132" s="307">
        <f t="shared" si="38"/>
        <v>1</v>
      </c>
      <c r="AF132" s="179">
        <f t="shared" si="39"/>
        <v>0.70110743440576107</v>
      </c>
      <c r="AG132" s="837">
        <f t="shared" si="47"/>
        <v>-2</v>
      </c>
      <c r="AH132" s="178">
        <f t="shared" si="40"/>
        <v>4</v>
      </c>
      <c r="AI132" s="227">
        <f t="shared" si="41"/>
        <v>-1.2988925655942389</v>
      </c>
      <c r="AJ132" s="267" t="b">
        <f t="shared" si="42"/>
        <v>0</v>
      </c>
      <c r="AK132" s="267" t="b">
        <f t="shared" si="43"/>
        <v>0</v>
      </c>
      <c r="AL132" s="267"/>
      <c r="AM132" s="267"/>
      <c r="AN132" s="75"/>
    </row>
    <row r="133" spans="1:40" s="6" customFormat="1" ht="11.25" customHeight="1" x14ac:dyDescent="0.2">
      <c r="A133" s="56">
        <f t="shared" si="44"/>
        <v>43949</v>
      </c>
      <c r="B133" s="618">
        <v>31.747</v>
      </c>
      <c r="C133" s="392"/>
      <c r="D133" s="395">
        <f t="shared" si="24"/>
        <v>32.220376212319529</v>
      </c>
      <c r="E133" s="387">
        <f t="shared" si="45"/>
        <v>36.069551411896043</v>
      </c>
      <c r="F133" s="387">
        <f t="shared" si="25"/>
        <v>36.086338191777166</v>
      </c>
      <c r="G133" s="110">
        <f t="shared" si="46"/>
        <v>0.58772658993205429</v>
      </c>
      <c r="H133" s="414" t="b">
        <f>Wh_hp&gt;='2019'!Maxi_hp</f>
        <v>0</v>
      </c>
      <c r="I133" s="382">
        <f>IF(H133,Wh_hp,'2019'!Maxi_hp)</f>
        <v>54.803359565450826</v>
      </c>
      <c r="J133" s="85">
        <f>IF(H133,An,'2019'!An_max)</f>
        <v>2019</v>
      </c>
      <c r="K133" s="199">
        <f t="shared" si="26"/>
        <v>43949</v>
      </c>
      <c r="L133" s="147">
        <f>IF(t&lt;Tvie,1-EXP((T0-t)*PertePVj)+'2019'!Pspv,1-EXP((T0-t)*PertePVj)+Pspv)</f>
        <v>1.469182759382337E-2</v>
      </c>
      <c r="M133" s="870"/>
      <c r="N133" s="870"/>
      <c r="O133" s="48">
        <f>IF(t&lt;Tnet,'2019'!Resal+('2019'!Salim-'2019'!Resal)*(1-EXP(('2019'!Tnet-t)/('2019'!Tau_j))),Resal+(Salim-Resal)*(1-EXP((Tnet-t)/(Tau_j))))*Salcycl</f>
        <v>0.10671536098746766</v>
      </c>
      <c r="P133" s="171">
        <f>(INDEX(Models!$BJ133:$BT133,,T133)*(1-R133)+INDEX(Models!$BJ133:$BT133,,T133+1)*R133-ERP_i)*Q133*Ramure*Pc/MaxiM</f>
        <v>1.1301924900664862E-3</v>
      </c>
      <c r="Q133" s="307">
        <f t="shared" si="27"/>
        <v>1</v>
      </c>
      <c r="R133" s="179">
        <f t="shared" si="28"/>
        <v>0.70475089207134589</v>
      </c>
      <c r="S133" s="837">
        <f t="shared" si="29"/>
        <v>-2</v>
      </c>
      <c r="T133" s="178">
        <f t="shared" si="30"/>
        <v>4</v>
      </c>
      <c r="U133" s="253">
        <f t="shared" si="31"/>
        <v>-1.2952491079286541</v>
      </c>
      <c r="V133" s="385">
        <f t="shared" si="32"/>
        <v>53.980675176185976</v>
      </c>
      <c r="W133" s="404"/>
      <c r="X133" s="157">
        <f t="shared" si="33"/>
        <v>43949</v>
      </c>
      <c r="Y133" s="387">
        <f t="shared" si="34"/>
        <v>31.747000000000003</v>
      </c>
      <c r="Z133" s="387">
        <f t="shared" si="35"/>
        <v>32.220376212319529</v>
      </c>
      <c r="AA133" s="388">
        <f t="shared" si="36"/>
        <v>36.069551411896043</v>
      </c>
      <c r="AB133" s="199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0.10671536098746766</v>
      </c>
      <c r="AD133" s="233">
        <f>(INDEX(Models!$BJ133:$BT133,,AH133)*(1-AF133)+INDEX(Models!$BJ133:$BT133,,AH133+1)*AF133-ERP_i)*AE133*Ramure*Pc/MaxiM</f>
        <v>1.1301924900664862E-3</v>
      </c>
      <c r="AE133" s="307">
        <f t="shared" si="38"/>
        <v>1</v>
      </c>
      <c r="AF133" s="179">
        <f t="shared" si="39"/>
        <v>0.70475089207134589</v>
      </c>
      <c r="AG133" s="837">
        <f t="shared" si="47"/>
        <v>-2</v>
      </c>
      <c r="AH133" s="178">
        <f t="shared" si="40"/>
        <v>4</v>
      </c>
      <c r="AI133" s="227">
        <f t="shared" si="41"/>
        <v>-1.2952491079286541</v>
      </c>
      <c r="AJ133" s="267" t="b">
        <f t="shared" si="42"/>
        <v>0</v>
      </c>
      <c r="AK133" s="267" t="b">
        <f t="shared" si="43"/>
        <v>0</v>
      </c>
      <c r="AL133" s="267"/>
      <c r="AM133" s="267"/>
      <c r="AN133" s="75"/>
    </row>
    <row r="134" spans="1:40" s="6" customFormat="1" ht="11.25" customHeight="1" x14ac:dyDescent="0.2">
      <c r="A134" s="56">
        <f t="shared" si="44"/>
        <v>43950</v>
      </c>
      <c r="B134" s="618">
        <v>47.56</v>
      </c>
      <c r="C134" s="392"/>
      <c r="D134" s="395">
        <f t="shared" si="24"/>
        <v>48.27028552933961</v>
      </c>
      <c r="E134" s="387">
        <f t="shared" si="45"/>
        <v>54.049247893344919</v>
      </c>
      <c r="F134" s="387">
        <f t="shared" si="25"/>
        <v>54.096549543142388</v>
      </c>
      <c r="G134" s="110">
        <f t="shared" si="46"/>
        <v>0.87781453313151514</v>
      </c>
      <c r="H134" s="414" t="b">
        <f>Wh_hp&gt;='2019'!Maxi_hp</f>
        <v>0</v>
      </c>
      <c r="I134" s="382">
        <f>IF(H134,Wh_hp,'2019'!Maxi_hp)</f>
        <v>60.871126204254288</v>
      </c>
      <c r="J134" s="85">
        <f>IF(H134,An,'2019'!An_max)</f>
        <v>2019</v>
      </c>
      <c r="K134" s="199">
        <f t="shared" si="26"/>
        <v>43950</v>
      </c>
      <c r="L134" s="147">
        <f>IF(t&lt;Tvie,1-EXP((T0-t)*PertePVj)+'2019'!Pspv,1-EXP((T0-t)*PertePVj)+Pspv)</f>
        <v>1.4714757154437819E-2</v>
      </c>
      <c r="M134" s="870"/>
      <c r="N134" s="870"/>
      <c r="O134" s="48">
        <f>IF(t&lt;Tnet,'2019'!Resal+('2019'!Salim-'2019'!Resal)*(1-EXP(('2019'!Tnet-t)/('2019'!Tau_j))),Resal+(Salim-Resal)*(1-EXP((Tnet-t)/(Tau_j))))*Salcycl</f>
        <v>0.10692031044370687</v>
      </c>
      <c r="P134" s="171">
        <f>(INDEX(Models!$BJ134:$BT134,,T134)*(1-R134)+INDEX(Models!$BJ134:$BT134,,T134+1)*R134-ERP_i)*Q134*Ramure*Pc/MaxiM</f>
        <v>1.0589961785478969E-3</v>
      </c>
      <c r="Q134" s="307">
        <f t="shared" si="27"/>
        <v>1</v>
      </c>
      <c r="R134" s="179">
        <f t="shared" si="28"/>
        <v>0.70850033799153689</v>
      </c>
      <c r="S134" s="837">
        <f t="shared" si="29"/>
        <v>-2</v>
      </c>
      <c r="T134" s="178">
        <f t="shared" si="30"/>
        <v>4</v>
      </c>
      <c r="U134" s="253">
        <f t="shared" si="31"/>
        <v>-1.2914996620084631</v>
      </c>
      <c r="V134" s="385">
        <f t="shared" si="32"/>
        <v>54.169999241672151</v>
      </c>
      <c r="W134" s="404"/>
      <c r="X134" s="157">
        <f t="shared" si="33"/>
        <v>43950</v>
      </c>
      <c r="Y134" s="387">
        <f t="shared" si="34"/>
        <v>47.56</v>
      </c>
      <c r="Z134" s="387">
        <f t="shared" si="35"/>
        <v>48.27028552933961</v>
      </c>
      <c r="AA134" s="388">
        <f t="shared" si="36"/>
        <v>54.049247893344919</v>
      </c>
      <c r="AB134" s="199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0.10692031044370687</v>
      </c>
      <c r="AD134" s="233">
        <f>(INDEX(Models!$BJ134:$BT134,,AH134)*(1-AF134)+INDEX(Models!$BJ134:$BT134,,AH134+1)*AF134-ERP_i)*AE134*Ramure*Pc/MaxiM</f>
        <v>1.0589961785478969E-3</v>
      </c>
      <c r="AE134" s="307">
        <f t="shared" si="38"/>
        <v>1</v>
      </c>
      <c r="AF134" s="179">
        <f t="shared" si="39"/>
        <v>0.70850033799153689</v>
      </c>
      <c r="AG134" s="837">
        <f t="shared" si="47"/>
        <v>-2</v>
      </c>
      <c r="AH134" s="178">
        <f t="shared" si="40"/>
        <v>4</v>
      </c>
      <c r="AI134" s="227">
        <f t="shared" si="41"/>
        <v>-1.2914996620084631</v>
      </c>
      <c r="AJ134" s="267" t="b">
        <f t="shared" si="42"/>
        <v>0</v>
      </c>
      <c r="AK134" s="267" t="b">
        <f t="shared" si="43"/>
        <v>0</v>
      </c>
      <c r="AL134" s="267"/>
      <c r="AM134" s="267"/>
      <c r="AN134" s="75"/>
    </row>
    <row r="135" spans="1:40" s="6" customFormat="1" ht="11.25" customHeight="1" x14ac:dyDescent="0.2">
      <c r="A135" s="56">
        <f t="shared" si="44"/>
        <v>43951</v>
      </c>
      <c r="B135" s="618">
        <v>40.942</v>
      </c>
      <c r="C135" s="392"/>
      <c r="D135" s="395">
        <f t="shared" si="24"/>
        <v>41.554415941600674</v>
      </c>
      <c r="E135" s="387">
        <f t="shared" si="45"/>
        <v>46.540173916878871</v>
      </c>
      <c r="F135" s="387">
        <f t="shared" si="25"/>
        <v>46.56999106636119</v>
      </c>
      <c r="G135" s="110">
        <f t="shared" si="46"/>
        <v>0.75303855408111253</v>
      </c>
      <c r="H135" s="414" t="b">
        <f>Wh_hp&gt;='2019'!Maxi_hp</f>
        <v>0</v>
      </c>
      <c r="I135" s="382">
        <f>IF(H135,Wh_hp,'2019'!Maxi_hp)</f>
        <v>56.86994403885685</v>
      </c>
      <c r="J135" s="85">
        <f>IF(H135,An,'2019'!An_max)</f>
        <v>2019</v>
      </c>
      <c r="K135" s="199">
        <f t="shared" si="26"/>
        <v>43951</v>
      </c>
      <c r="L135" s="147">
        <f>IF(t&lt;Tvie,1-EXP((T0-t)*PertePVj)+'2019'!Pspv,1-EXP((T0-t)*PertePVj)+Pspv)</f>
        <v>1.4737686181447995E-2</v>
      </c>
      <c r="M135" s="870"/>
      <c r="N135" s="870"/>
      <c r="O135" s="48">
        <f>IF(t&lt;Tnet,'2019'!Resal+('2019'!Salim-'2019'!Resal)*(1-EXP(('2019'!Tnet-t)/('2019'!Tau_j))),Resal+(Salim-Resal)*(1-EXP((Tnet-t)/(Tau_j))))*Salcycl</f>
        <v>0.10712804778475483</v>
      </c>
      <c r="P135" s="171">
        <f>(INDEX(Models!$BJ135:$BT135,,T135)*(1-R135)+INDEX(Models!$BJ135:$BT135,,T135+1)*R135-ERP_i)*Q135*Ramure*Pc/MaxiM</f>
        <v>9.8871501552421541E-4</v>
      </c>
      <c r="Q135" s="307">
        <f t="shared" si="27"/>
        <v>1</v>
      </c>
      <c r="R135" s="179">
        <f t="shared" si="28"/>
        <v>0.71235715985282066</v>
      </c>
      <c r="S135" s="837">
        <f t="shared" si="29"/>
        <v>-2</v>
      </c>
      <c r="T135" s="178">
        <f t="shared" si="30"/>
        <v>4</v>
      </c>
      <c r="U135" s="253">
        <f t="shared" si="31"/>
        <v>-1.2876428401471793</v>
      </c>
      <c r="V135" s="385">
        <f t="shared" si="32"/>
        <v>54.350105197236623</v>
      </c>
      <c r="W135" s="404"/>
      <c r="X135" s="157">
        <f t="shared" si="33"/>
        <v>43951</v>
      </c>
      <c r="Y135" s="387">
        <f t="shared" si="34"/>
        <v>40.942</v>
      </c>
      <c r="Z135" s="387">
        <f t="shared" si="35"/>
        <v>41.554415941600674</v>
      </c>
      <c r="AA135" s="388">
        <f t="shared" si="36"/>
        <v>46.540173916878871</v>
      </c>
      <c r="AB135" s="199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0.10712804778475483</v>
      </c>
      <c r="AD135" s="233">
        <f>(INDEX(Models!$BJ135:$BT135,,AH135)*(1-AF135)+INDEX(Models!$BJ135:$BT135,,AH135+1)*AF135-ERP_i)*AE135*Ramure*Pc/MaxiM</f>
        <v>9.8871501552421541E-4</v>
      </c>
      <c r="AE135" s="307">
        <f t="shared" si="38"/>
        <v>1</v>
      </c>
      <c r="AF135" s="179">
        <f t="shared" si="39"/>
        <v>0.71235715985282066</v>
      </c>
      <c r="AG135" s="837">
        <f t="shared" si="47"/>
        <v>-2</v>
      </c>
      <c r="AH135" s="178">
        <f t="shared" si="40"/>
        <v>4</v>
      </c>
      <c r="AI135" s="227">
        <f t="shared" si="41"/>
        <v>-1.2876428401471793</v>
      </c>
      <c r="AJ135" s="267" t="b">
        <f t="shared" si="42"/>
        <v>0</v>
      </c>
      <c r="AK135" s="267" t="b">
        <f t="shared" si="43"/>
        <v>0</v>
      </c>
      <c r="AL135" s="267"/>
      <c r="AM135" s="267"/>
      <c r="AN135" s="75"/>
    </row>
    <row r="136" spans="1:40" s="6" customFormat="1" ht="11.25" customHeight="1" x14ac:dyDescent="0.2">
      <c r="A136" s="56">
        <f t="shared" si="44"/>
        <v>43952</v>
      </c>
      <c r="B136" s="618">
        <v>22.507000000000001</v>
      </c>
      <c r="C136" s="392"/>
      <c r="D136" s="395">
        <f t="shared" si="24"/>
        <v>22.84419435036347</v>
      </c>
      <c r="E136" s="387">
        <f t="shared" si="45"/>
        <v>25.591106398854361</v>
      </c>
      <c r="F136" s="387">
        <f t="shared" si="25"/>
        <v>25.594907594723363</v>
      </c>
      <c r="G136" s="110">
        <f t="shared" si="46"/>
        <v>0.4124947953288024</v>
      </c>
      <c r="H136" s="414" t="b">
        <f>Wh_hp&gt;='2019'!Maxi_hp</f>
        <v>0</v>
      </c>
      <c r="I136" s="382">
        <f>IF(H136,Wh_hp,'2019'!Maxi_hp)</f>
        <v>37.054257819282789</v>
      </c>
      <c r="J136" s="85">
        <f>IF(H136,An,'2019'!An_max)</f>
        <v>2019</v>
      </c>
      <c r="K136" s="199">
        <f t="shared" si="26"/>
        <v>43952</v>
      </c>
      <c r="L136" s="147">
        <f>IF(t&lt;Tvie,1-EXP((T0-t)*PertePVj)+'2019'!Pspv,1-EXP((T0-t)*PertePVj)+Pspv)</f>
        <v>1.4760614674866113E-2</v>
      </c>
      <c r="M136" s="870"/>
      <c r="N136" s="870"/>
      <c r="O136" s="48">
        <f>IF(t&lt;Tnet,'2019'!Resal+('2019'!Salim-'2019'!Resal)*(1-EXP(('2019'!Tnet-t)/('2019'!Tau_j))),Resal+(Salim-Resal)*(1-EXP((Tnet-t)/(Tau_j))))*Salcycl</f>
        <v>0.10733854197932854</v>
      </c>
      <c r="P136" s="171">
        <f>(INDEX(Models!$BJ136:$BT136,,T136)*(1-R136)+INDEX(Models!$BJ136:$BT136,,T136+1)*R136-ERP_i)*Q136*Ramure*Pc/MaxiM</f>
        <v>9.2151397281329075E-4</v>
      </c>
      <c r="Q136" s="307">
        <f t="shared" si="27"/>
        <v>1</v>
      </c>
      <c r="R136" s="179">
        <f t="shared" si="28"/>
        <v>0.7163226394624298</v>
      </c>
      <c r="S136" s="837">
        <f t="shared" si="29"/>
        <v>-2</v>
      </c>
      <c r="T136" s="178">
        <f t="shared" si="30"/>
        <v>4</v>
      </c>
      <c r="U136" s="253">
        <f t="shared" si="31"/>
        <v>-1.2836773605375702</v>
      </c>
      <c r="V136" s="385">
        <f t="shared" si="32"/>
        <v>54.520929123449079</v>
      </c>
      <c r="W136" s="404"/>
      <c r="X136" s="157">
        <f t="shared" si="33"/>
        <v>43952</v>
      </c>
      <c r="Y136" s="387">
        <f t="shared" si="34"/>
        <v>22.507000000000001</v>
      </c>
      <c r="Z136" s="387">
        <f t="shared" si="35"/>
        <v>22.84419435036347</v>
      </c>
      <c r="AA136" s="388">
        <f t="shared" si="36"/>
        <v>25.591106398854361</v>
      </c>
      <c r="AB136" s="199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0.10733854197932854</v>
      </c>
      <c r="AD136" s="233">
        <f>(INDEX(Models!$BJ136:$BT136,,AH136)*(1-AF136)+INDEX(Models!$BJ136:$BT136,,AH136+1)*AF136-ERP_i)*AE136*Ramure*Pc/MaxiM</f>
        <v>9.2151397281329075E-4</v>
      </c>
      <c r="AE136" s="307">
        <f t="shared" si="38"/>
        <v>1</v>
      </c>
      <c r="AF136" s="179">
        <f t="shared" si="39"/>
        <v>0.7163226394624298</v>
      </c>
      <c r="AG136" s="837">
        <f t="shared" si="47"/>
        <v>-2</v>
      </c>
      <c r="AH136" s="178">
        <f t="shared" si="40"/>
        <v>4</v>
      </c>
      <c r="AI136" s="227">
        <f t="shared" si="41"/>
        <v>-1.2836773605375702</v>
      </c>
      <c r="AJ136" s="267" t="b">
        <f t="shared" si="42"/>
        <v>0</v>
      </c>
      <c r="AK136" s="267" t="b">
        <f t="shared" si="43"/>
        <v>0</v>
      </c>
      <c r="AL136" s="267"/>
      <c r="AM136" s="267"/>
      <c r="AN136" s="75"/>
    </row>
    <row r="137" spans="1:40" s="6" customFormat="1" ht="11.25" customHeight="1" x14ac:dyDescent="0.2">
      <c r="A137" s="56">
        <f t="shared" si="44"/>
        <v>43953</v>
      </c>
      <c r="B137" s="618">
        <v>35.35</v>
      </c>
      <c r="C137" s="392"/>
      <c r="D137" s="395">
        <f t="shared" si="24"/>
        <v>35.880440014709421</v>
      </c>
      <c r="E137" s="387">
        <f t="shared" si="45"/>
        <v>40.204505116288374</v>
      </c>
      <c r="F137" s="387">
        <f t="shared" si="25"/>
        <v>40.22158248979062</v>
      </c>
      <c r="G137" s="110">
        <f t="shared" si="46"/>
        <v>0.64617479081606155</v>
      </c>
      <c r="H137" s="414" t="b">
        <f>Wh_hp&gt;='2019'!Maxi_hp</f>
        <v>1</v>
      </c>
      <c r="I137" s="382">
        <f>IF(H137,Wh_hp,'2019'!Maxi_hp)</f>
        <v>40.22158248979062</v>
      </c>
      <c r="J137" s="85">
        <f>IF(H137,An,'2019'!An_max)</f>
        <v>2020</v>
      </c>
      <c r="K137" s="199">
        <f t="shared" si="26"/>
        <v>43953</v>
      </c>
      <c r="L137" s="147">
        <f>IF(t&lt;Tvie,1-EXP((T0-t)*PertePVj)+'2019'!Pspv,1-EXP((T0-t)*PertePVj)+Pspv)</f>
        <v>1.4783542634704716E-2</v>
      </c>
      <c r="M137" s="870"/>
      <c r="N137" s="870"/>
      <c r="O137" s="48">
        <f>IF(t&lt;Tnet,'2019'!Resal+('2019'!Salim-'2019'!Resal)*(1-EXP(('2019'!Tnet-t)/('2019'!Tau_j))),Resal+(Salim-Resal)*(1-EXP((Tnet-t)/(Tau_j))))*Salcycl</f>
        <v>0.10755175543317673</v>
      </c>
      <c r="P137" s="171">
        <f>(INDEX(Models!$BJ137:$BT137,,T137)*(1-R137)+INDEX(Models!$BJ137:$BT137,,T137+1)*R137-ERP_i)*Q137*Ramure*Pc/MaxiM</f>
        <v>8.5785350479365805E-4</v>
      </c>
      <c r="Q137" s="307">
        <f t="shared" si="27"/>
        <v>1</v>
      </c>
      <c r="R137" s="179">
        <f t="shared" si="28"/>
        <v>0.72039794323421913</v>
      </c>
      <c r="S137" s="837">
        <f t="shared" si="29"/>
        <v>-2</v>
      </c>
      <c r="T137" s="178">
        <f t="shared" si="30"/>
        <v>4</v>
      </c>
      <c r="U137" s="253">
        <f t="shared" si="31"/>
        <v>-1.2796020567657809</v>
      </c>
      <c r="V137" s="385">
        <f t="shared" si="32"/>
        <v>54.682847212099631</v>
      </c>
      <c r="W137" s="404"/>
      <c r="X137" s="157">
        <f t="shared" si="33"/>
        <v>43953</v>
      </c>
      <c r="Y137" s="387">
        <f t="shared" si="34"/>
        <v>35.35</v>
      </c>
      <c r="Z137" s="387">
        <f t="shared" si="35"/>
        <v>35.880440014709421</v>
      </c>
      <c r="AA137" s="388">
        <f t="shared" si="36"/>
        <v>40.204505116288374</v>
      </c>
      <c r="AB137" s="199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0.10755175543317673</v>
      </c>
      <c r="AD137" s="233">
        <f>(INDEX(Models!$BJ137:$BT137,,AH137)*(1-AF137)+INDEX(Models!$BJ137:$BT137,,AH137+1)*AF137-ERP_i)*AE137*Ramure*Pc/MaxiM</f>
        <v>8.5785350479365805E-4</v>
      </c>
      <c r="AE137" s="307">
        <f t="shared" si="38"/>
        <v>1</v>
      </c>
      <c r="AF137" s="179">
        <f t="shared" si="39"/>
        <v>0.72039794323421913</v>
      </c>
      <c r="AG137" s="837">
        <f t="shared" si="47"/>
        <v>-2</v>
      </c>
      <c r="AH137" s="178">
        <f t="shared" si="40"/>
        <v>4</v>
      </c>
      <c r="AI137" s="227">
        <f t="shared" si="41"/>
        <v>-1.2796020567657809</v>
      </c>
      <c r="AJ137" s="267" t="b">
        <f t="shared" si="42"/>
        <v>0</v>
      </c>
      <c r="AK137" s="267" t="b">
        <f t="shared" si="43"/>
        <v>0</v>
      </c>
      <c r="AL137" s="267"/>
      <c r="AM137" s="267"/>
      <c r="AN137" s="75"/>
    </row>
    <row r="138" spans="1:40" s="6" customFormat="1" ht="11.25" customHeight="1" x14ac:dyDescent="0.2">
      <c r="A138" s="56">
        <f t="shared" si="44"/>
        <v>43954</v>
      </c>
      <c r="B138" s="618">
        <v>49.81</v>
      </c>
      <c r="C138" s="392"/>
      <c r="D138" s="395">
        <f t="shared" si="24"/>
        <v>50.558594313020791</v>
      </c>
      <c r="E138" s="387">
        <f t="shared" si="45"/>
        <v>56.665277785961052</v>
      </c>
      <c r="F138" s="387">
        <f t="shared" si="25"/>
        <v>56.704587051571465</v>
      </c>
      <c r="G138" s="110">
        <f t="shared" si="46"/>
        <v>0.9082455661739649</v>
      </c>
      <c r="H138" s="414" t="b">
        <f>Wh_hp&gt;='2019'!Maxi_hp</f>
        <v>1</v>
      </c>
      <c r="I138" s="382">
        <f>IF(H138,Wh_hp,'2019'!Maxi_hp)</f>
        <v>56.704587051571465</v>
      </c>
      <c r="J138" s="85">
        <f>IF(H138,An,'2019'!An_max)</f>
        <v>2020</v>
      </c>
      <c r="K138" s="199">
        <f t="shared" si="26"/>
        <v>43954</v>
      </c>
      <c r="L138" s="147">
        <f>IF(t&lt;Tvie,1-EXP((T0-t)*PertePVj)+'2019'!Pspv,1-EXP((T0-t)*PertePVj)+Pspv)</f>
        <v>1.480647006097624E-2</v>
      </c>
      <c r="M138" s="870"/>
      <c r="N138" s="870"/>
      <c r="O138" s="48">
        <f>IF(t&lt;Tnet,'2019'!Resal+('2019'!Salim-'2019'!Resal)*(1-EXP(('2019'!Tnet-t)/('2019'!Tau_j))),Resal+(Salim-Resal)*(1-EXP((Tnet-t)/(Tau_j))))*Salcycl</f>
        <v>0.10776764381190788</v>
      </c>
      <c r="P138" s="171">
        <f>(INDEX(Models!$BJ138:$BT138,,T138)*(1-R138)+INDEX(Models!$BJ138:$BT138,,T138+1)*R138-ERP_i)*Q138*Ramure*Pc/MaxiM</f>
        <v>7.9767878574624022E-4</v>
      </c>
      <c r="Q138" s="307">
        <f t="shared" si="27"/>
        <v>1</v>
      </c>
      <c r="R138" s="179">
        <f t="shared" si="28"/>
        <v>0.72458411251702581</v>
      </c>
      <c r="S138" s="837">
        <f t="shared" si="29"/>
        <v>-2</v>
      </c>
      <c r="T138" s="178">
        <f t="shared" si="30"/>
        <v>4</v>
      </c>
      <c r="U138" s="253">
        <f t="shared" si="31"/>
        <v>-1.2754158874829742</v>
      </c>
      <c r="V138" s="385">
        <f t="shared" si="32"/>
        <v>54.836264115344534</v>
      </c>
      <c r="W138" s="404"/>
      <c r="X138" s="157">
        <f t="shared" si="33"/>
        <v>43954</v>
      </c>
      <c r="Y138" s="387">
        <f t="shared" si="34"/>
        <v>49.81</v>
      </c>
      <c r="Z138" s="387">
        <f t="shared" si="35"/>
        <v>50.558594313020791</v>
      </c>
      <c r="AA138" s="388">
        <f t="shared" si="36"/>
        <v>56.665277785961052</v>
      </c>
      <c r="AB138" s="199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0.10776764381190788</v>
      </c>
      <c r="AD138" s="233">
        <f>(INDEX(Models!$BJ138:$BT138,,AH138)*(1-AF138)+INDEX(Models!$BJ138:$BT138,,AH138+1)*AF138-ERP_i)*AE138*Ramure*Pc/MaxiM</f>
        <v>7.9767878574624022E-4</v>
      </c>
      <c r="AE138" s="307">
        <f t="shared" si="38"/>
        <v>1</v>
      </c>
      <c r="AF138" s="179">
        <f t="shared" si="39"/>
        <v>0.72458411251702581</v>
      </c>
      <c r="AG138" s="837">
        <f t="shared" si="47"/>
        <v>-2</v>
      </c>
      <c r="AH138" s="178">
        <f t="shared" si="40"/>
        <v>4</v>
      </c>
      <c r="AI138" s="227">
        <f t="shared" si="41"/>
        <v>-1.2754158874829742</v>
      </c>
      <c r="AJ138" s="267" t="b">
        <f t="shared" si="42"/>
        <v>0</v>
      </c>
      <c r="AK138" s="267" t="b">
        <f t="shared" si="43"/>
        <v>0</v>
      </c>
      <c r="AL138" s="267"/>
      <c r="AM138" s="267"/>
      <c r="AN138" s="75"/>
    </row>
    <row r="139" spans="1:40" s="6" customFormat="1" ht="11.25" customHeight="1" x14ac:dyDescent="0.2">
      <c r="A139" s="56">
        <f t="shared" si="44"/>
        <v>43955</v>
      </c>
      <c r="B139" s="618">
        <v>51.856999999999999</v>
      </c>
      <c r="C139" s="392"/>
      <c r="D139" s="395">
        <f t="shared" si="24"/>
        <v>52.637583622217065</v>
      </c>
      <c r="E139" s="387">
        <f t="shared" si="45"/>
        <v>59.009828119914047</v>
      </c>
      <c r="F139" s="387">
        <f t="shared" si="25"/>
        <v>59.050028688885625</v>
      </c>
      <c r="G139" s="110">
        <f t="shared" si="46"/>
        <v>0.94311356926532519</v>
      </c>
      <c r="H139" s="414" t="b">
        <f>Wh_hp&gt;='2019'!Maxi_hp</f>
        <v>1</v>
      </c>
      <c r="I139" s="382">
        <f>IF(H139,Wh_hp,'2019'!Maxi_hp)</f>
        <v>59.050028688885625</v>
      </c>
      <c r="J139" s="85">
        <f>IF(H139,An,'2019'!An_max)</f>
        <v>2020</v>
      </c>
      <c r="K139" s="199">
        <f t="shared" si="26"/>
        <v>43955</v>
      </c>
      <c r="L139" s="147">
        <f>IF(t&lt;Tvie,1-EXP((T0-t)*PertePVj)+'2019'!Pspv,1-EXP((T0-t)*PertePVj)+Pspv)</f>
        <v>1.4829396953693008E-2</v>
      </c>
      <c r="M139" s="870"/>
      <c r="N139" s="870"/>
      <c r="O139" s="48">
        <f>IF(t&lt;Tnet,'2019'!Resal+('2019'!Salim-'2019'!Resal)*(1-EXP(('2019'!Tnet-t)/('2019'!Tau_j))),Resal+(Salim-Resal)*(1-EXP((Tnet-t)/(Tau_j))))*Salcycl</f>
        <v>0.10798615587810091</v>
      </c>
      <c r="P139" s="171">
        <f>(INDEX(Models!$BJ139:$BT139,,T139)*(1-R139)+INDEX(Models!$BJ139:$BT139,,T139+1)*R139-ERP_i)*Q139*Ramure*Pc/MaxiM</f>
        <v>7.4094183459996906E-4</v>
      </c>
      <c r="Q139" s="307">
        <f t="shared" si="27"/>
        <v>1</v>
      </c>
      <c r="R139" s="179">
        <f t="shared" si="28"/>
        <v>0.72888205381023274</v>
      </c>
      <c r="S139" s="837">
        <f t="shared" si="29"/>
        <v>-2</v>
      </c>
      <c r="T139" s="178">
        <f t="shared" si="30"/>
        <v>4</v>
      </c>
      <c r="U139" s="253">
        <f t="shared" si="31"/>
        <v>-1.2711179461897673</v>
      </c>
      <c r="V139" s="385">
        <f t="shared" si="32"/>
        <v>54.981584597229883</v>
      </c>
      <c r="W139" s="404"/>
      <c r="X139" s="157">
        <f t="shared" si="33"/>
        <v>43955</v>
      </c>
      <c r="Y139" s="387">
        <f t="shared" si="34"/>
        <v>51.856999999999999</v>
      </c>
      <c r="Z139" s="387">
        <f t="shared" si="35"/>
        <v>52.637583622217065</v>
      </c>
      <c r="AA139" s="388">
        <f t="shared" si="36"/>
        <v>59.009828119914047</v>
      </c>
      <c r="AB139" s="199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0.10798615587810091</v>
      </c>
      <c r="AD139" s="233">
        <f>(INDEX(Models!$BJ139:$BT139,,AH139)*(1-AF139)+INDEX(Models!$BJ139:$BT139,,AH139+1)*AF139-ERP_i)*AE139*Ramure*Pc/MaxiM</f>
        <v>7.4094183459996906E-4</v>
      </c>
      <c r="AE139" s="307">
        <f t="shared" si="38"/>
        <v>1</v>
      </c>
      <c r="AF139" s="179">
        <f t="shared" si="39"/>
        <v>0.72888205381023274</v>
      </c>
      <c r="AG139" s="837">
        <f t="shared" si="47"/>
        <v>-2</v>
      </c>
      <c r="AH139" s="178">
        <f t="shared" si="40"/>
        <v>4</v>
      </c>
      <c r="AI139" s="227">
        <f t="shared" si="41"/>
        <v>-1.2711179461897673</v>
      </c>
      <c r="AJ139" s="267" t="b">
        <f t="shared" si="42"/>
        <v>0</v>
      </c>
      <c r="AK139" s="267" t="b">
        <f t="shared" si="43"/>
        <v>0</v>
      </c>
      <c r="AL139" s="267"/>
      <c r="AM139" s="267"/>
      <c r="AN139" s="75"/>
    </row>
    <row r="140" spans="1:40" s="6" customFormat="1" ht="11.25" customHeight="1" x14ac:dyDescent="0.2">
      <c r="A140" s="56">
        <f t="shared" si="44"/>
        <v>43956</v>
      </c>
      <c r="B140" s="618">
        <v>47.206000000000003</v>
      </c>
      <c r="C140" s="392"/>
      <c r="D140" s="395">
        <f t="shared" si="24"/>
        <v>47.91768900957566</v>
      </c>
      <c r="E140" s="387">
        <f t="shared" si="45"/>
        <v>53.73186551997108</v>
      </c>
      <c r="F140" s="387">
        <f t="shared" si="25"/>
        <v>53.761250270579694</v>
      </c>
      <c r="G140" s="110">
        <f t="shared" si="46"/>
        <v>0.85631372837075359</v>
      </c>
      <c r="H140" s="414" t="b">
        <f>Wh_hp&gt;='2019'!Maxi_hp</f>
        <v>0</v>
      </c>
      <c r="I140" s="382">
        <f>IF(H140,Wh_hp,'2019'!Maxi_hp)</f>
        <v>64.356840251433624</v>
      </c>
      <c r="J140" s="85">
        <f>IF(H140,An,'2019'!An_max)</f>
        <v>2019</v>
      </c>
      <c r="K140" s="199">
        <f t="shared" si="26"/>
        <v>43956</v>
      </c>
      <c r="L140" s="147">
        <f>IF(t&lt;Tvie,1-EXP((T0-t)*PertePVj)+'2019'!Pspv,1-EXP((T0-t)*PertePVj)+Pspv)</f>
        <v>1.4852323312867566E-2</v>
      </c>
      <c r="M140" s="870"/>
      <c r="N140" s="870"/>
      <c r="O140" s="48">
        <f>IF(t&lt;Tnet,'2019'!Resal+('2019'!Salim-'2019'!Resal)*(1-EXP(('2019'!Tnet-t)/('2019'!Tau_j))),Resal+(Salim-Resal)*(1-EXP((Tnet-t)/(Tau_j))))*Salcycl</f>
        <v>0.10820723334525581</v>
      </c>
      <c r="P140" s="171">
        <f>(INDEX(Models!$BJ140:$BT140,,T140)*(1-R140)+INDEX(Models!$BJ140:$BT140,,T140+1)*R140-ERP_i)*Q140*Ramure*Pc/MaxiM</f>
        <v>6.8760113428783338E-4</v>
      </c>
      <c r="Q140" s="307">
        <f t="shared" si="27"/>
        <v>1</v>
      </c>
      <c r="R140" s="179">
        <f t="shared" si="28"/>
        <v>0.73329252891611052</v>
      </c>
      <c r="S140" s="837">
        <f t="shared" si="29"/>
        <v>-2</v>
      </c>
      <c r="T140" s="178">
        <f t="shared" si="30"/>
        <v>4</v>
      </c>
      <c r="U140" s="253">
        <f t="shared" si="31"/>
        <v>-1.2667074710838895</v>
      </c>
      <c r="V140" s="385">
        <f t="shared" si="32"/>
        <v>55.119213539785456</v>
      </c>
      <c r="W140" s="404"/>
      <c r="X140" s="157">
        <f t="shared" si="33"/>
        <v>43956</v>
      </c>
      <c r="Y140" s="387">
        <f t="shared" si="34"/>
        <v>47.206000000000003</v>
      </c>
      <c r="Z140" s="387">
        <f t="shared" si="35"/>
        <v>47.91768900957566</v>
      </c>
      <c r="AA140" s="388">
        <f t="shared" si="36"/>
        <v>53.73186551997108</v>
      </c>
      <c r="AB140" s="199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0.10820723334525581</v>
      </c>
      <c r="AD140" s="233">
        <f>(INDEX(Models!$BJ140:$BT140,,AH140)*(1-AF140)+INDEX(Models!$BJ140:$BT140,,AH140+1)*AF140-ERP_i)*AE140*Ramure*Pc/MaxiM</f>
        <v>6.8760113428783338E-4</v>
      </c>
      <c r="AE140" s="307">
        <f t="shared" si="38"/>
        <v>1</v>
      </c>
      <c r="AF140" s="179">
        <f t="shared" si="39"/>
        <v>0.73329252891611052</v>
      </c>
      <c r="AG140" s="837">
        <f t="shared" si="47"/>
        <v>-2</v>
      </c>
      <c r="AH140" s="178">
        <f t="shared" si="40"/>
        <v>4</v>
      </c>
      <c r="AI140" s="227">
        <f t="shared" si="41"/>
        <v>-1.2667074710838895</v>
      </c>
      <c r="AJ140" s="267" t="b">
        <f t="shared" si="42"/>
        <v>0</v>
      </c>
      <c r="AK140" s="267" t="b">
        <f t="shared" si="43"/>
        <v>0</v>
      </c>
      <c r="AL140" s="267"/>
      <c r="AM140" s="267"/>
      <c r="AN140" s="75"/>
    </row>
    <row r="141" spans="1:40" s="6" customFormat="1" ht="11.25" customHeight="1" x14ac:dyDescent="0.2">
      <c r="A141" s="56">
        <f t="shared" si="44"/>
        <v>43957</v>
      </c>
      <c r="B141" s="618">
        <v>52.371000000000002</v>
      </c>
      <c r="C141" s="392"/>
      <c r="D141" s="395">
        <f t="shared" si="24"/>
        <v>53.161794944449184</v>
      </c>
      <c r="E141" s="387">
        <f t="shared" si="45"/>
        <v>59.627223086566353</v>
      </c>
      <c r="F141" s="387">
        <f t="shared" si="25"/>
        <v>59.662433655928183</v>
      </c>
      <c r="G141" s="110">
        <f t="shared" si="46"/>
        <v>0.94785400937857611</v>
      </c>
      <c r="H141" s="414" t="b">
        <f>Wh_hp&gt;='2019'!Maxi_hp</f>
        <v>1</v>
      </c>
      <c r="I141" s="382">
        <f>IF(H141,Wh_hp,'2019'!Maxi_hp)</f>
        <v>59.662433655928183</v>
      </c>
      <c r="J141" s="85">
        <f>IF(H141,An,'2019'!An_max)</f>
        <v>2020</v>
      </c>
      <c r="K141" s="199">
        <f t="shared" si="26"/>
        <v>43957</v>
      </c>
      <c r="L141" s="147">
        <f>IF(t&lt;Tvie,1-EXP((T0-t)*PertePVj)+'2019'!Pspv,1-EXP((T0-t)*PertePVj)+Pspv)</f>
        <v>1.4875249138512237E-2</v>
      </c>
      <c r="M141" s="870"/>
      <c r="N141" s="870"/>
      <c r="O141" s="48">
        <f>IF(t&lt;Tnet,'2019'!Resal+('2019'!Salim-'2019'!Resal)*(1-EXP(('2019'!Tnet-t)/('2019'!Tau_j))),Resal+(Salim-Resal)*(1-EXP((Tnet-t)/(Tau_j))))*Salcycl</f>
        <v>0.10843081075116838</v>
      </c>
      <c r="P141" s="171">
        <f>(INDEX(Models!$BJ141:$BT141,,T141)*(1-R141)+INDEX(Models!$BJ141:$BT141,,T141+1)*R141-ERP_i)*Q141*Ramure*Pc/MaxiM</f>
        <v>6.3762127488196799E-4</v>
      </c>
      <c r="Q141" s="307">
        <f t="shared" si="27"/>
        <v>1</v>
      </c>
      <c r="R141" s="179">
        <f t="shared" si="28"/>
        <v>0.73781614508332383</v>
      </c>
      <c r="S141" s="837">
        <f t="shared" si="29"/>
        <v>-2</v>
      </c>
      <c r="T141" s="178">
        <f t="shared" si="30"/>
        <v>4</v>
      </c>
      <c r="U141" s="253">
        <f t="shared" si="31"/>
        <v>-1.2621838549166762</v>
      </c>
      <c r="V141" s="385">
        <f t="shared" si="32"/>
        <v>55.249555927742726</v>
      </c>
      <c r="W141" s="404"/>
      <c r="X141" s="157">
        <f t="shared" si="33"/>
        <v>43957</v>
      </c>
      <c r="Y141" s="387">
        <f t="shared" si="34"/>
        <v>52.371000000000002</v>
      </c>
      <c r="Z141" s="387">
        <f t="shared" si="35"/>
        <v>53.161794944449184</v>
      </c>
      <c r="AA141" s="388">
        <f t="shared" si="36"/>
        <v>59.627223086566353</v>
      </c>
      <c r="AB141" s="199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0.10843081075116838</v>
      </c>
      <c r="AD141" s="233">
        <f>(INDEX(Models!$BJ141:$BT141,,AH141)*(1-AF141)+INDEX(Models!$BJ141:$BT141,,AH141+1)*AF141-ERP_i)*AE141*Ramure*Pc/MaxiM</f>
        <v>6.3762127488196799E-4</v>
      </c>
      <c r="AE141" s="307">
        <f t="shared" si="38"/>
        <v>1</v>
      </c>
      <c r="AF141" s="179">
        <f t="shared" si="39"/>
        <v>0.73781614508332383</v>
      </c>
      <c r="AG141" s="837">
        <f t="shared" si="47"/>
        <v>-2</v>
      </c>
      <c r="AH141" s="178">
        <f t="shared" si="40"/>
        <v>4</v>
      </c>
      <c r="AI141" s="227">
        <f t="shared" si="41"/>
        <v>-1.2621838549166762</v>
      </c>
      <c r="AJ141" s="267" t="b">
        <f t="shared" si="42"/>
        <v>0</v>
      </c>
      <c r="AK141" s="267" t="b">
        <f t="shared" si="43"/>
        <v>0</v>
      </c>
      <c r="AL141" s="267"/>
      <c r="AM141" s="267"/>
      <c r="AN141" s="75"/>
    </row>
    <row r="142" spans="1:40" s="6" customFormat="1" ht="11.25" customHeight="1" x14ac:dyDescent="0.2">
      <c r="A142" s="56">
        <f t="shared" si="44"/>
        <v>43958</v>
      </c>
      <c r="B142" s="618">
        <v>44.311999999999998</v>
      </c>
      <c r="C142" s="392"/>
      <c r="D142" s="395">
        <f t="shared" si="24"/>
        <v>44.982151945956382</v>
      </c>
      <c r="E142" s="387">
        <f t="shared" si="45"/>
        <v>50.465581294354372</v>
      </c>
      <c r="F142" s="387">
        <f t="shared" si="25"/>
        <v>50.486935467473494</v>
      </c>
      <c r="G142" s="110">
        <f t="shared" si="46"/>
        <v>0.8001108587102268</v>
      </c>
      <c r="H142" s="414" t="b">
        <f>Wh_hp&gt;='2019'!Maxi_hp</f>
        <v>1</v>
      </c>
      <c r="I142" s="382">
        <f>IF(H142,Wh_hp,'2019'!Maxi_hp)</f>
        <v>50.486935467473494</v>
      </c>
      <c r="J142" s="85">
        <f>IF(H142,An,'2019'!An_max)</f>
        <v>2020</v>
      </c>
      <c r="K142" s="199">
        <f t="shared" si="26"/>
        <v>43958</v>
      </c>
      <c r="L142" s="147">
        <f>IF(t&lt;Tvie,1-EXP((T0-t)*PertePVj)+'2019'!Pspv,1-EXP((T0-t)*PertePVj)+Pspv)</f>
        <v>1.4898174430639344E-2</v>
      </c>
      <c r="M142" s="870"/>
      <c r="N142" s="870"/>
      <c r="O142" s="48">
        <f>IF(t&lt;Tnet,'2019'!Resal+('2019'!Salim-'2019'!Resal)*(1-EXP(('2019'!Tnet-t)/('2019'!Tau_j))),Resal+(Salim-Resal)*(1-EXP((Tnet-t)/(Tau_j))))*Salcycl</f>
        <v>0.10865681535330747</v>
      </c>
      <c r="P142" s="171">
        <f>(INDEX(Models!$BJ142:$BT142,,T142)*(1-R142)+INDEX(Models!$BJ142:$BT142,,T142+1)*R142-ERP_i)*Q142*Ramure*Pc/MaxiM</f>
        <v>5.9185878894923646E-4</v>
      </c>
      <c r="Q142" s="307">
        <f t="shared" si="27"/>
        <v>1</v>
      </c>
      <c r="R142" s="179">
        <f t="shared" si="28"/>
        <v>0.74245334520071005</v>
      </c>
      <c r="S142" s="837">
        <f t="shared" si="29"/>
        <v>-2</v>
      </c>
      <c r="T142" s="178">
        <f t="shared" si="30"/>
        <v>4</v>
      </c>
      <c r="U142" s="253">
        <f t="shared" si="31"/>
        <v>-1.25754665479929</v>
      </c>
      <c r="V142" s="385">
        <f t="shared" si="32"/>
        <v>55.372967757965391</v>
      </c>
      <c r="W142" s="404"/>
      <c r="X142" s="157">
        <f t="shared" si="33"/>
        <v>43958</v>
      </c>
      <c r="Y142" s="387">
        <f t="shared" si="34"/>
        <v>44.311999999999998</v>
      </c>
      <c r="Z142" s="387">
        <f t="shared" si="35"/>
        <v>44.982151945956382</v>
      </c>
      <c r="AA142" s="388">
        <f t="shared" si="36"/>
        <v>50.465581294354372</v>
      </c>
      <c r="AB142" s="199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0.10865681535330747</v>
      </c>
      <c r="AD142" s="233">
        <f>(INDEX(Models!$BJ142:$BT142,,AH142)*(1-AF142)+INDEX(Models!$BJ142:$BT142,,AH142+1)*AF142-ERP_i)*AE142*Ramure*Pc/MaxiM</f>
        <v>5.9185878894923646E-4</v>
      </c>
      <c r="AE142" s="307">
        <f t="shared" si="38"/>
        <v>1</v>
      </c>
      <c r="AF142" s="179">
        <f t="shared" si="39"/>
        <v>0.74245334520071005</v>
      </c>
      <c r="AG142" s="837">
        <f t="shared" si="47"/>
        <v>-2</v>
      </c>
      <c r="AH142" s="178">
        <f t="shared" si="40"/>
        <v>4</v>
      </c>
      <c r="AI142" s="227">
        <f t="shared" si="41"/>
        <v>-1.25754665479929</v>
      </c>
      <c r="AJ142" s="267" t="b">
        <f t="shared" si="42"/>
        <v>0</v>
      </c>
      <c r="AK142" s="267" t="b">
        <f t="shared" si="43"/>
        <v>0</v>
      </c>
      <c r="AL142" s="267"/>
      <c r="AM142" s="267"/>
      <c r="AN142" s="75"/>
    </row>
    <row r="143" spans="1:40" s="6" customFormat="1" ht="11.25" x14ac:dyDescent="0.2">
      <c r="A143" s="56">
        <f t="shared" si="44"/>
        <v>43959</v>
      </c>
      <c r="B143" s="618">
        <v>47.652000000000001</v>
      </c>
      <c r="C143" s="392"/>
      <c r="D143" s="395">
        <f t="shared" ref="D143:D206" si="48">Wh/(1-Ppv)</f>
        <v>48.373790120549238</v>
      </c>
      <c r="E143" s="387">
        <f t="shared" si="45"/>
        <v>54.284575154406618</v>
      </c>
      <c r="F143" s="387">
        <f t="shared" ref="F143:F206" si="49">Wh_sa/(1-Pvg*MEDIAN((-Sdif+Wh/Env_an)/Csdif,0,1))</f>
        <v>54.308384162872983</v>
      </c>
      <c r="G143" s="110">
        <f t="shared" si="46"/>
        <v>0.85865546096435996</v>
      </c>
      <c r="H143" s="414" t="b">
        <f>Wh_hp&gt;='2019'!Maxi_hp</f>
        <v>1</v>
      </c>
      <c r="I143" s="382">
        <f>IF(H143,Wh_hp,'2019'!Maxi_hp)</f>
        <v>54.308384162872983</v>
      </c>
      <c r="J143" s="85">
        <f>IF(H143,An,'2019'!An_max)</f>
        <v>2020</v>
      </c>
      <c r="K143" s="199">
        <f t="shared" ref="K143:K206" si="50">t</f>
        <v>43959</v>
      </c>
      <c r="L143" s="147">
        <f>IF(t&lt;Tvie,1-EXP((T0-t)*PertePVj)+'2019'!Pspv,1-EXP((T0-t)*PertePVj)+Pspv)</f>
        <v>1.4921099189261544E-2</v>
      </c>
      <c r="M143" s="870"/>
      <c r="N143" s="870"/>
      <c r="O143" s="48">
        <f>IF(t&lt;Tnet,'2019'!Resal+('2019'!Salim-'2019'!Resal)*(1-EXP(('2019'!Tnet-t)/('2019'!Tau_j))),Resal+(Salim-Resal)*(1-EXP((Tnet-t)/(Tau_j))))*Salcycl</f>
        <v>0.1088851670487387</v>
      </c>
      <c r="P143" s="171">
        <f>(INDEX(Models!$BJ143:$BT143,,T143)*(1-R143)+INDEX(Models!$BJ143:$BT143,,T143+1)*R143-ERP_i)*Q143*Ramure*Pc/MaxiM</f>
        <v>5.4923019748392022E-4</v>
      </c>
      <c r="Q143" s="307">
        <f t="shared" ref="Q143:Q206" si="51">IF(OR(t&lt;Ttai,Notai),Dd+PousD*Croivg,Dens+PousD*(Croivg-Croi_tai))</f>
        <v>1</v>
      </c>
      <c r="R143" s="179">
        <f t="shared" ref="R143:R206" si="52">(Hp_vg-S143)/(INDEX(Echel_vg,T143+1)-S143)</f>
        <v>0.74720439810499362</v>
      </c>
      <c r="S143" s="837">
        <f t="shared" ref="S143:S206" si="53">INDEX(Echel_vg,T143)</f>
        <v>-2</v>
      </c>
      <c r="T143" s="178">
        <f t="shared" ref="T143:T206" si="54">MIN(MATCH(Hp_vg,Echel_vg),10)</f>
        <v>4</v>
      </c>
      <c r="U143" s="253">
        <f t="shared" ref="U143:U206" si="55">IF(OR(t&lt;Ttai,Notai),Hdd+PousH*Croivg,Hdtf+PousH*(Croivg-Croi_tai))</f>
        <v>-1.2527956018950064</v>
      </c>
      <c r="V143" s="385">
        <f t="shared" ref="V143:V206" si="56">MaxiM*(1-Ppv)*(1-Pvg)*(1-Psa)</f>
        <v>55.489912725193342</v>
      </c>
      <c r="W143" s="404"/>
      <c r="X143" s="157">
        <f t="shared" ref="X143:X206" si="57">t</f>
        <v>43959</v>
      </c>
      <c r="Y143" s="387">
        <f t="shared" ref="Y143:Y206" si="58">Wh_pvt_s*(1-Ppv)</f>
        <v>47.652000000000001</v>
      </c>
      <c r="Z143" s="387">
        <f t="shared" ref="Z143:Z206" si="59">Wh_sa_s*(1-Psa_s)</f>
        <v>48.373790120549238</v>
      </c>
      <c r="AA143" s="388">
        <f t="shared" ref="AA143:AA206" si="60">Wh_hp*(1-Pvg_s*MEDIAN((-Sdif+Wh/Env_an)/Csdif,0,1))</f>
        <v>54.284575154406618</v>
      </c>
      <c r="AB143" s="199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0.1088851670487387</v>
      </c>
      <c r="AD143" s="233">
        <f>(INDEX(Models!$BJ143:$BT143,,AH143)*(1-AF143)+INDEX(Models!$BJ143:$BT143,,AH143+1)*AF143-ERP_i)*AE143*Ramure*Pc/MaxiM</f>
        <v>5.4923019748392022E-4</v>
      </c>
      <c r="AE143" s="307">
        <f t="shared" ref="AE143:AE206" si="62">IF(OR(t&lt;Ttai,Notai),Dd_s+PousD*Croivg,Dens_s+PousD*(Croivg-Croi_tai))</f>
        <v>1</v>
      </c>
      <c r="AF143" s="179">
        <f t="shared" ref="AF143:AF206" si="63">(Hp_vg_s-AG143)/(INDEX(Echel_vg,AH143+1)-AG143)</f>
        <v>0.74720439810499362</v>
      </c>
      <c r="AG143" s="837">
        <f t="shared" si="47"/>
        <v>-2</v>
      </c>
      <c r="AH143" s="178">
        <f t="shared" ref="AH143:AH206" si="64">MIN(MATCH(Hp_vg_s,Echel_vg),10)</f>
        <v>4</v>
      </c>
      <c r="AI143" s="227">
        <f t="shared" ref="AI143:AI206" si="65">IF(OR(t&lt;Ttai,Notai),Hdd_s+PousH*Croivg,Hdtai_s+PousH*(Croivg-Croi_tai))</f>
        <v>-1.2527956018950064</v>
      </c>
      <c r="AJ143" s="267" t="b">
        <f t="shared" ref="AJ143:AJ206" si="66">t&lt;Tnet</f>
        <v>0</v>
      </c>
      <c r="AK143" s="267" t="b">
        <f t="shared" ref="AK143:AK206" si="67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68">A143+1</f>
        <v>43960</v>
      </c>
      <c r="B144" s="618">
        <v>39.076999999999998</v>
      </c>
      <c r="C144" s="392"/>
      <c r="D144" s="395">
        <f t="shared" si="48"/>
        <v>39.669826820855704</v>
      </c>
      <c r="E144" s="387">
        <f t="shared" ref="E144:E169" si="69">Wh_pvt/(1-Psa)</f>
        <v>44.528599626666768</v>
      </c>
      <c r="F144" s="387">
        <f t="shared" si="49"/>
        <v>44.541664371339031</v>
      </c>
      <c r="G144" s="110">
        <f t="shared" ref="G144:G169" si="70">+Wh_hp/MaxiM</f>
        <v>0.70266154245342805</v>
      </c>
      <c r="H144" s="414" t="b">
        <f>Wh_hp&gt;='2019'!Maxi_hp</f>
        <v>1</v>
      </c>
      <c r="I144" s="382">
        <f>IF(H144,Wh_hp,'2019'!Maxi_hp)</f>
        <v>44.541664371339031</v>
      </c>
      <c r="J144" s="85">
        <f>IF(H144,An,'2019'!An_max)</f>
        <v>2020</v>
      </c>
      <c r="K144" s="199">
        <f t="shared" si="50"/>
        <v>43960</v>
      </c>
      <c r="L144" s="147">
        <f>IF(t&lt;Tvie,1-EXP((T0-t)*PertePVj)+'2019'!Pspv,1-EXP((T0-t)*PertePVj)+Pspv)</f>
        <v>1.494402341439105E-2</v>
      </c>
      <c r="M144" s="870"/>
      <c r="N144" s="870"/>
      <c r="O144" s="48">
        <f>IF(t&lt;Tnet,'2019'!Resal+('2019'!Salim-'2019'!Resal)*(1-EXP(('2019'!Tnet-t)/('2019'!Tau_j))),Resal+(Salim-Resal)*(1-EXP((Tnet-t)/(Tau_j))))*Salcycl</f>
        <v>0.10911577832107021</v>
      </c>
      <c r="P144" s="171">
        <f>(INDEX(Models!$BJ144:$BT144,,T144)*(1-R144)+INDEX(Models!$BJ144:$BT144,,T144+1)*R144-ERP_i)*Q144*Ramure*Pc/MaxiM</f>
        <v>5.0971606056455371E-4</v>
      </c>
      <c r="Q144" s="307">
        <f t="shared" si="51"/>
        <v>1</v>
      </c>
      <c r="R144" s="179">
        <f t="shared" si="52"/>
        <v>0.75206938907039911</v>
      </c>
      <c r="S144" s="837">
        <f t="shared" si="53"/>
        <v>-2</v>
      </c>
      <c r="T144" s="178">
        <f t="shared" si="54"/>
        <v>4</v>
      </c>
      <c r="U144" s="253">
        <f t="shared" si="55"/>
        <v>-1.2479306109296009</v>
      </c>
      <c r="V144" s="385">
        <f t="shared" si="56"/>
        <v>55.60079620105455</v>
      </c>
      <c r="W144" s="404"/>
      <c r="X144" s="157">
        <f t="shared" si="57"/>
        <v>43960</v>
      </c>
      <c r="Y144" s="387">
        <f t="shared" si="58"/>
        <v>39.076999999999998</v>
      </c>
      <c r="Z144" s="387">
        <f t="shared" si="59"/>
        <v>39.669826820855704</v>
      </c>
      <c r="AA144" s="388">
        <f t="shared" si="60"/>
        <v>44.528599626666768</v>
      </c>
      <c r="AB144" s="199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0.10911577832107021</v>
      </c>
      <c r="AD144" s="233">
        <f>(INDEX(Models!$BJ144:$BT144,,AH144)*(1-AF144)+INDEX(Models!$BJ144:$BT144,,AH144+1)*AF144-ERP_i)*AE144*Ramure*Pc/MaxiM</f>
        <v>5.0971606056455371E-4</v>
      </c>
      <c r="AE144" s="307">
        <f t="shared" si="62"/>
        <v>1</v>
      </c>
      <c r="AF144" s="179">
        <f t="shared" si="63"/>
        <v>0.75206938907039911</v>
      </c>
      <c r="AG144" s="837">
        <f t="shared" ref="AG144:AG207" si="71">INDEX(Echel_vg,AH144)</f>
        <v>-2</v>
      </c>
      <c r="AH144" s="178">
        <f t="shared" si="64"/>
        <v>4</v>
      </c>
      <c r="AI144" s="227">
        <f t="shared" si="65"/>
        <v>-1.2479306109296009</v>
      </c>
      <c r="AJ144" s="267" t="b">
        <f t="shared" si="66"/>
        <v>0</v>
      </c>
      <c r="AK144" s="267" t="b">
        <f t="shared" si="67"/>
        <v>0</v>
      </c>
      <c r="AL144" s="267"/>
      <c r="AM144" s="267"/>
      <c r="AN144" s="75"/>
    </row>
    <row r="145" spans="1:40" s="6" customFormat="1" ht="11.25" customHeight="1" x14ac:dyDescent="0.2">
      <c r="A145" s="56">
        <f t="shared" si="68"/>
        <v>43961</v>
      </c>
      <c r="B145" s="618">
        <v>12.641</v>
      </c>
      <c r="C145" s="392"/>
      <c r="D145" s="395">
        <f t="shared" si="48"/>
        <v>12.833071908461962</v>
      </c>
      <c r="E145" s="387">
        <f t="shared" si="69"/>
        <v>14.408635352494253</v>
      </c>
      <c r="F145" s="387">
        <f t="shared" si="49"/>
        <v>14.408635352494253</v>
      </c>
      <c r="G145" s="110">
        <f t="shared" si="70"/>
        <v>0.22681599169096248</v>
      </c>
      <c r="H145" s="414" t="b">
        <f>Wh_hp&gt;='2019'!Maxi_hp</f>
        <v>0</v>
      </c>
      <c r="I145" s="382">
        <f>IF(H145,Wh_hp,'2019'!Maxi_hp)</f>
        <v>40.380383427680968</v>
      </c>
      <c r="J145" s="85">
        <f>IF(H145,An,'2019'!An_max)</f>
        <v>2019</v>
      </c>
      <c r="K145" s="199">
        <f t="shared" si="50"/>
        <v>43961</v>
      </c>
      <c r="L145" s="147">
        <f>IF(t&lt;Tvie,1-EXP((T0-t)*PertePVj)+'2019'!Pspv,1-EXP((T0-t)*PertePVj)+Pspv)</f>
        <v>1.4966947106040296E-2</v>
      </c>
      <c r="M145" s="870"/>
      <c r="N145" s="870"/>
      <c r="O145" s="48">
        <f>IF(t&lt;Tnet,'2019'!Resal+('2019'!Salim-'2019'!Resal)*(1-EXP(('2019'!Tnet-t)/('2019'!Tau_j))),Resal+(Salim-Resal)*(1-EXP((Tnet-t)/(Tau_j))))*Salcycl</f>
        <v>0.10934855421679804</v>
      </c>
      <c r="P145" s="171">
        <f>(INDEX(Models!$BJ145:$BT145,,T145)*(1-R145)+INDEX(Models!$BJ145:$BT145,,T145+1)*R145-ERP_i)*Q145*Ramure*Pc/MaxiM</f>
        <v>4.733015717577667E-4</v>
      </c>
      <c r="Q145" s="307">
        <f t="shared" si="51"/>
        <v>1</v>
      </c>
      <c r="R145" s="179">
        <f t="shared" si="52"/>
        <v>0.75704821055210902</v>
      </c>
      <c r="S145" s="837">
        <f t="shared" si="53"/>
        <v>-2</v>
      </c>
      <c r="T145" s="178">
        <f t="shared" si="54"/>
        <v>4</v>
      </c>
      <c r="U145" s="253">
        <f t="shared" si="55"/>
        <v>-1.242951789447891</v>
      </c>
      <c r="V145" s="385">
        <f t="shared" si="56"/>
        <v>55.706023638962208</v>
      </c>
      <c r="W145" s="404"/>
      <c r="X145" s="157">
        <f t="shared" si="57"/>
        <v>43961</v>
      </c>
      <c r="Y145" s="387">
        <f t="shared" si="58"/>
        <v>12.641</v>
      </c>
      <c r="Z145" s="387">
        <f t="shared" si="59"/>
        <v>12.833071908461962</v>
      </c>
      <c r="AA145" s="388">
        <f t="shared" si="60"/>
        <v>14.408635352494253</v>
      </c>
      <c r="AB145" s="199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0.10934855421679804</v>
      </c>
      <c r="AD145" s="233">
        <f>(INDEX(Models!$BJ145:$BT145,,AH145)*(1-AF145)+INDEX(Models!$BJ145:$BT145,,AH145+1)*AF145-ERP_i)*AE145*Ramure*Pc/MaxiM</f>
        <v>4.733015717577667E-4</v>
      </c>
      <c r="AE145" s="307">
        <f t="shared" si="62"/>
        <v>1</v>
      </c>
      <c r="AF145" s="179">
        <f t="shared" si="63"/>
        <v>0.75704821055210902</v>
      </c>
      <c r="AG145" s="837">
        <f t="shared" si="71"/>
        <v>-2</v>
      </c>
      <c r="AH145" s="178">
        <f t="shared" si="64"/>
        <v>4</v>
      </c>
      <c r="AI145" s="227">
        <f t="shared" si="65"/>
        <v>-1.242951789447891</v>
      </c>
      <c r="AJ145" s="267" t="b">
        <f t="shared" si="66"/>
        <v>0</v>
      </c>
      <c r="AK145" s="267" t="b">
        <f t="shared" si="67"/>
        <v>0</v>
      </c>
      <c r="AL145" s="267"/>
      <c r="AM145" s="267"/>
      <c r="AN145" s="75"/>
    </row>
    <row r="146" spans="1:40" s="6" customFormat="1" ht="11.25" customHeight="1" x14ac:dyDescent="0.2">
      <c r="A146" s="56">
        <f t="shared" si="68"/>
        <v>43962</v>
      </c>
      <c r="B146" s="618">
        <v>10.058</v>
      </c>
      <c r="C146" s="392"/>
      <c r="D146" s="395">
        <f t="shared" si="48"/>
        <v>10.21106250216735</v>
      </c>
      <c r="E146" s="387">
        <f t="shared" si="69"/>
        <v>11.467735905279593</v>
      </c>
      <c r="F146" s="387">
        <f t="shared" si="49"/>
        <v>11.467735905279593</v>
      </c>
      <c r="G146" s="110">
        <f t="shared" si="70"/>
        <v>0.18015221691097763</v>
      </c>
      <c r="H146" s="414" t="b">
        <f>Wh_hp&gt;='2019'!Maxi_hp</f>
        <v>0</v>
      </c>
      <c r="I146" s="382">
        <f>IF(H146,Wh_hp,'2019'!Maxi_hp)</f>
        <v>58.723826865317584</v>
      </c>
      <c r="J146" s="85">
        <f>IF(H146,An,'2019'!An_max)</f>
        <v>2019</v>
      </c>
      <c r="K146" s="199">
        <f t="shared" si="50"/>
        <v>43962</v>
      </c>
      <c r="L146" s="147">
        <f>IF(t&lt;Tvie,1-EXP((T0-t)*PertePVj)+'2019'!Pspv,1-EXP((T0-t)*PertePVj)+Pspv)</f>
        <v>1.4989870264221827E-2</v>
      </c>
      <c r="M146" s="870"/>
      <c r="N146" s="870"/>
      <c r="O146" s="48">
        <f>IF(t&lt;Tnet,'2019'!Resal+('2019'!Salim-'2019'!Resal)*(1-EXP(('2019'!Tnet-t)/('2019'!Tau_j))),Resal+(Salim-Resal)*(1-EXP((Tnet-t)/(Tau_j))))*Salcycl</f>
        <v>0.1095833923532968</v>
      </c>
      <c r="P146" s="171">
        <f>(INDEX(Models!$BJ146:$BT146,,T146)*(1-R146)+INDEX(Models!$BJ146:$BT146,,T146+1)*R146-ERP_i)*Q146*Ramure*Pc/MaxiM</f>
        <v>4.399762849988358E-4</v>
      </c>
      <c r="Q146" s="307">
        <f t="shared" si="51"/>
        <v>1</v>
      </c>
      <c r="R146" s="179">
        <f t="shared" si="52"/>
        <v>0.76214055325906926</v>
      </c>
      <c r="S146" s="837">
        <f t="shared" si="53"/>
        <v>-2</v>
      </c>
      <c r="T146" s="178">
        <f t="shared" si="54"/>
        <v>4</v>
      </c>
      <c r="U146" s="253">
        <f t="shared" si="55"/>
        <v>-1.2378594467409307</v>
      </c>
      <c r="V146" s="385">
        <f t="shared" si="56"/>
        <v>55.806000563920151</v>
      </c>
      <c r="W146" s="404"/>
      <c r="X146" s="157">
        <f t="shared" si="57"/>
        <v>43962</v>
      </c>
      <c r="Y146" s="387">
        <f t="shared" si="58"/>
        <v>10.058</v>
      </c>
      <c r="Z146" s="387">
        <f t="shared" si="59"/>
        <v>10.21106250216735</v>
      </c>
      <c r="AA146" s="388">
        <f t="shared" si="60"/>
        <v>11.467735905279593</v>
      </c>
      <c r="AB146" s="199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0.1095833923532968</v>
      </c>
      <c r="AD146" s="233">
        <f>(INDEX(Models!$BJ146:$BT146,,AH146)*(1-AF146)+INDEX(Models!$BJ146:$BT146,,AH146+1)*AF146-ERP_i)*AE146*Ramure*Pc/MaxiM</f>
        <v>4.399762849988358E-4</v>
      </c>
      <c r="AE146" s="307">
        <f t="shared" si="62"/>
        <v>1</v>
      </c>
      <c r="AF146" s="179">
        <f t="shared" si="63"/>
        <v>0.76214055325906926</v>
      </c>
      <c r="AG146" s="837">
        <f t="shared" si="71"/>
        <v>-2</v>
      </c>
      <c r="AH146" s="178">
        <f t="shared" si="64"/>
        <v>4</v>
      </c>
      <c r="AI146" s="227">
        <f t="shared" si="65"/>
        <v>-1.2378594467409307</v>
      </c>
      <c r="AJ146" s="267" t="b">
        <f t="shared" si="66"/>
        <v>0</v>
      </c>
      <c r="AK146" s="267" t="b">
        <f t="shared" si="67"/>
        <v>0</v>
      </c>
      <c r="AL146" s="267"/>
      <c r="AM146" s="267"/>
      <c r="AN146" s="75"/>
    </row>
    <row r="147" spans="1:40" s="6" customFormat="1" ht="11.25" customHeight="1" x14ac:dyDescent="0.2">
      <c r="A147" s="56">
        <f t="shared" si="68"/>
        <v>43963</v>
      </c>
      <c r="B147" s="618">
        <v>19.585999999999999</v>
      </c>
      <c r="C147" s="392"/>
      <c r="D147" s="395">
        <f t="shared" si="48"/>
        <v>19.884522213689809</v>
      </c>
      <c r="E147" s="387">
        <f t="shared" si="69"/>
        <v>22.337646656403987</v>
      </c>
      <c r="F147" s="387">
        <f t="shared" si="49"/>
        <v>22.338305244176293</v>
      </c>
      <c r="G147" s="110">
        <f t="shared" si="70"/>
        <v>0.35023534015071622</v>
      </c>
      <c r="H147" s="414" t="b">
        <f>Wh_hp&gt;='2019'!Maxi_hp</f>
        <v>0</v>
      </c>
      <c r="I147" s="382">
        <f>IF(H147,Wh_hp,'2019'!Maxi_hp)</f>
        <v>65.24369285904416</v>
      </c>
      <c r="J147" s="85">
        <f>IF(H147,An,'2019'!An_max)</f>
        <v>2019</v>
      </c>
      <c r="K147" s="199">
        <f t="shared" si="50"/>
        <v>43963</v>
      </c>
      <c r="L147" s="147">
        <f>IF(t&lt;Tvie,1-EXP((T0-t)*PertePVj)+'2019'!Pspv,1-EXP((T0-t)*PertePVj)+Pspv)</f>
        <v>1.5012792888947968E-2</v>
      </c>
      <c r="M147" s="870"/>
      <c r="N147" s="870"/>
      <c r="O147" s="48">
        <f>IF(t&lt;Tnet,'2019'!Resal+('2019'!Salim-'2019'!Resal)*(1-EXP(('2019'!Tnet-t)/('2019'!Tau_j))),Resal+(Salim-Resal)*(1-EXP((Tnet-t)/(Tau_j))))*Salcycl</f>
        <v>0.10982018296053984</v>
      </c>
      <c r="P147" s="171">
        <f>(INDEX(Models!$BJ147:$BT147,,T147)*(1-R147)+INDEX(Models!$BJ147:$BT147,,T147+1)*R147-ERP_i)*Q147*Ramure*Pc/MaxiM</f>
        <v>4.0973384741680862E-4</v>
      </c>
      <c r="Q147" s="307">
        <f t="shared" si="51"/>
        <v>1</v>
      </c>
      <c r="R147" s="179">
        <f t="shared" si="52"/>
        <v>0.76734589763470229</v>
      </c>
      <c r="S147" s="837">
        <f t="shared" si="53"/>
        <v>-2</v>
      </c>
      <c r="T147" s="178">
        <f t="shared" si="54"/>
        <v>4</v>
      </c>
      <c r="U147" s="253">
        <f t="shared" si="55"/>
        <v>-1.2326541023652977</v>
      </c>
      <c r="V147" s="385">
        <f t="shared" si="56"/>
        <v>55.901132558335966</v>
      </c>
      <c r="W147" s="404"/>
      <c r="X147" s="157">
        <f t="shared" si="57"/>
        <v>43963</v>
      </c>
      <c r="Y147" s="387">
        <f t="shared" si="58"/>
        <v>19.585999999999999</v>
      </c>
      <c r="Z147" s="387">
        <f t="shared" si="59"/>
        <v>19.884522213689809</v>
      </c>
      <c r="AA147" s="388">
        <f t="shared" si="60"/>
        <v>22.337646656403987</v>
      </c>
      <c r="AB147" s="199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0.10982018296053984</v>
      </c>
      <c r="AD147" s="233">
        <f>(INDEX(Models!$BJ147:$BT147,,AH147)*(1-AF147)+INDEX(Models!$BJ147:$BT147,,AH147+1)*AF147-ERP_i)*AE147*Ramure*Pc/MaxiM</f>
        <v>4.0973384741680862E-4</v>
      </c>
      <c r="AE147" s="307">
        <f t="shared" si="62"/>
        <v>1</v>
      </c>
      <c r="AF147" s="179">
        <f t="shared" si="63"/>
        <v>0.76734589763470229</v>
      </c>
      <c r="AG147" s="837">
        <f t="shared" si="71"/>
        <v>-2</v>
      </c>
      <c r="AH147" s="178">
        <f t="shared" si="64"/>
        <v>4</v>
      </c>
      <c r="AI147" s="227">
        <f t="shared" si="65"/>
        <v>-1.2326541023652977</v>
      </c>
      <c r="AJ147" s="267" t="b">
        <f t="shared" si="66"/>
        <v>0</v>
      </c>
      <c r="AK147" s="267" t="b">
        <f t="shared" si="67"/>
        <v>0</v>
      </c>
      <c r="AL147" s="267"/>
      <c r="AM147" s="267"/>
      <c r="AN147" s="75"/>
    </row>
    <row r="148" spans="1:40" s="6" customFormat="1" ht="11.25" customHeight="1" x14ac:dyDescent="0.2">
      <c r="A148" s="56">
        <f t="shared" si="68"/>
        <v>43964</v>
      </c>
      <c r="B148" s="618">
        <v>33.831000000000003</v>
      </c>
      <c r="C148" s="392"/>
      <c r="D148" s="395">
        <f t="shared" si="48"/>
        <v>34.347438292466606</v>
      </c>
      <c r="E148" s="387">
        <f t="shared" si="69"/>
        <v>38.595177567033886</v>
      </c>
      <c r="F148" s="387">
        <f t="shared" si="49"/>
        <v>38.601595544004532</v>
      </c>
      <c r="G148" s="110">
        <f t="shared" si="70"/>
        <v>0.60408248271293485</v>
      </c>
      <c r="H148" s="414" t="b">
        <f>Wh_hp&gt;='2019'!Maxi_hp</f>
        <v>0</v>
      </c>
      <c r="I148" s="382">
        <f>IF(H148,Wh_hp,'2019'!Maxi_hp)</f>
        <v>63.602775441610461</v>
      </c>
      <c r="J148" s="85">
        <f>IF(H148,An,'2019'!An_max)</f>
        <v>2019</v>
      </c>
      <c r="K148" s="199">
        <f t="shared" si="50"/>
        <v>43964</v>
      </c>
      <c r="L148" s="147">
        <f>IF(t&lt;Tvie,1-EXP((T0-t)*PertePVj)+'2019'!Pspv,1-EXP((T0-t)*PertePVj)+Pspv)</f>
        <v>1.5035714980231152E-2</v>
      </c>
      <c r="M148" s="870"/>
      <c r="N148" s="870"/>
      <c r="O148" s="48">
        <f>IF(t&lt;Tnet,'2019'!Resal+('2019'!Salim-'2019'!Resal)*(1-EXP(('2019'!Tnet-t)/('2019'!Tau_j))),Resal+(Salim-Resal)*(1-EXP((Tnet-t)/(Tau_j))))*Salcycl</f>
        <v>0.11005880895844071</v>
      </c>
      <c r="P148" s="171">
        <f>(INDEX(Models!$BJ148:$BT148,,T148)*(1-R148)+INDEX(Models!$BJ148:$BT148,,T148+1)*R148-ERP_i)*Q148*Ramure*Pc/MaxiM</f>
        <v>3.8257173594502812E-4</v>
      </c>
      <c r="Q148" s="307">
        <f t="shared" si="51"/>
        <v>1</v>
      </c>
      <c r="R148" s="179">
        <f t="shared" si="52"/>
        <v>0.77266350582654564</v>
      </c>
      <c r="S148" s="837">
        <f t="shared" si="53"/>
        <v>-2</v>
      </c>
      <c r="T148" s="178">
        <f t="shared" si="54"/>
        <v>4</v>
      </c>
      <c r="U148" s="253">
        <f t="shared" si="55"/>
        <v>-1.2273364941734544</v>
      </c>
      <c r="V148" s="385">
        <f t="shared" si="56"/>
        <v>55.991825247433667</v>
      </c>
      <c r="W148" s="404"/>
      <c r="X148" s="157">
        <f t="shared" si="57"/>
        <v>43964</v>
      </c>
      <c r="Y148" s="387">
        <f t="shared" si="58"/>
        <v>33.831000000000003</v>
      </c>
      <c r="Z148" s="387">
        <f t="shared" si="59"/>
        <v>34.347438292466606</v>
      </c>
      <c r="AA148" s="388">
        <f t="shared" si="60"/>
        <v>38.595177567033886</v>
      </c>
      <c r="AB148" s="199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0.11005880895844071</v>
      </c>
      <c r="AD148" s="233">
        <f>(INDEX(Models!$BJ148:$BT148,,AH148)*(1-AF148)+INDEX(Models!$BJ148:$BT148,,AH148+1)*AF148-ERP_i)*AE148*Ramure*Pc/MaxiM</f>
        <v>3.8257173594502812E-4</v>
      </c>
      <c r="AE148" s="307">
        <f t="shared" si="62"/>
        <v>1</v>
      </c>
      <c r="AF148" s="179">
        <f t="shared" si="63"/>
        <v>0.77266350582654564</v>
      </c>
      <c r="AG148" s="837">
        <f t="shared" si="71"/>
        <v>-2</v>
      </c>
      <c r="AH148" s="178">
        <f t="shared" si="64"/>
        <v>4</v>
      </c>
      <c r="AI148" s="227">
        <f t="shared" si="65"/>
        <v>-1.2273364941734544</v>
      </c>
      <c r="AJ148" s="267" t="b">
        <f t="shared" si="66"/>
        <v>0</v>
      </c>
      <c r="AK148" s="267" t="b">
        <f t="shared" si="67"/>
        <v>0</v>
      </c>
      <c r="AL148" s="267"/>
      <c r="AM148" s="267"/>
      <c r="AN148" s="75"/>
    </row>
    <row r="149" spans="1:40" s="6" customFormat="1" ht="11.25" customHeight="1" x14ac:dyDescent="0.2">
      <c r="A149" s="56">
        <f t="shared" si="68"/>
        <v>43965</v>
      </c>
      <c r="B149" s="618">
        <v>14.372</v>
      </c>
      <c r="C149" s="392"/>
      <c r="D149" s="395">
        <f t="shared" si="48"/>
        <v>14.591731582360039</v>
      </c>
      <c r="E149" s="387">
        <f t="shared" si="69"/>
        <v>16.400716620569249</v>
      </c>
      <c r="F149" s="387">
        <f t="shared" si="49"/>
        <v>16.400716620569249</v>
      </c>
      <c r="G149" s="110">
        <f t="shared" si="70"/>
        <v>0.25619926374729723</v>
      </c>
      <c r="H149" s="414" t="b">
        <f>Wh_hp&gt;='2019'!Maxi_hp</f>
        <v>0</v>
      </c>
      <c r="I149" s="382">
        <f>IF(H149,Wh_hp,'2019'!Maxi_hp)</f>
        <v>64.554726690936292</v>
      </c>
      <c r="J149" s="85">
        <f>IF(H149,An,'2019'!An_max)</f>
        <v>2019</v>
      </c>
      <c r="K149" s="199">
        <f t="shared" si="50"/>
        <v>43965</v>
      </c>
      <c r="L149" s="147">
        <f>IF(t&lt;Tvie,1-EXP((T0-t)*PertePVj)+'2019'!Pspv,1-EXP((T0-t)*PertePVj)+Pspv)</f>
        <v>1.5058636538083814E-2</v>
      </c>
      <c r="M149" s="870"/>
      <c r="N149" s="870"/>
      <c r="O149" s="48">
        <f>IF(t&lt;Tnet,'2019'!Resal+('2019'!Salim-'2019'!Resal)*(1-EXP(('2019'!Tnet-t)/('2019'!Tau_j))),Resal+(Salim-Resal)*(1-EXP((Tnet-t)/(Tau_j))))*Salcycl</f>
        <v>0.11029914607148561</v>
      </c>
      <c r="P149" s="171">
        <f>(INDEX(Models!$BJ149:$BT149,,T149)*(1-R149)+INDEX(Models!$BJ149:$BT149,,T149+1)*R149-ERP_i)*Q149*Ramure*Pc/MaxiM</f>
        <v>3.5850144140013547E-4</v>
      </c>
      <c r="Q149" s="307">
        <f t="shared" si="51"/>
        <v>1</v>
      </c>
      <c r="R149" s="179">
        <f t="shared" si="52"/>
        <v>0.77809241422760111</v>
      </c>
      <c r="S149" s="837">
        <f t="shared" si="53"/>
        <v>-2</v>
      </c>
      <c r="T149" s="178">
        <f t="shared" si="54"/>
        <v>4</v>
      </c>
      <c r="U149" s="253">
        <f t="shared" si="55"/>
        <v>-1.2219075857723989</v>
      </c>
      <c r="V149" s="385">
        <f t="shared" si="56"/>
        <v>56.076849742452701</v>
      </c>
      <c r="W149" s="404"/>
      <c r="X149" s="157">
        <f t="shared" si="57"/>
        <v>43965</v>
      </c>
      <c r="Y149" s="387">
        <f t="shared" si="58"/>
        <v>14.372</v>
      </c>
      <c r="Z149" s="387">
        <f t="shared" si="59"/>
        <v>14.591731582360039</v>
      </c>
      <c r="AA149" s="388">
        <f t="shared" si="60"/>
        <v>16.400716620569249</v>
      </c>
      <c r="AB149" s="199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0.11029914607148561</v>
      </c>
      <c r="AD149" s="233">
        <f>(INDEX(Models!$BJ149:$BT149,,AH149)*(1-AF149)+INDEX(Models!$BJ149:$BT149,,AH149+1)*AF149-ERP_i)*AE149*Ramure*Pc/MaxiM</f>
        <v>3.5850144140013547E-4</v>
      </c>
      <c r="AE149" s="307">
        <f t="shared" si="62"/>
        <v>1</v>
      </c>
      <c r="AF149" s="179">
        <f t="shared" si="63"/>
        <v>0.77809241422760111</v>
      </c>
      <c r="AG149" s="837">
        <f t="shared" si="71"/>
        <v>-2</v>
      </c>
      <c r="AH149" s="178">
        <f t="shared" si="64"/>
        <v>4</v>
      </c>
      <c r="AI149" s="227">
        <f t="shared" si="65"/>
        <v>-1.2219075857723989</v>
      </c>
      <c r="AJ149" s="267" t="b">
        <f t="shared" si="66"/>
        <v>0</v>
      </c>
      <c r="AK149" s="267" t="b">
        <f t="shared" si="67"/>
        <v>0</v>
      </c>
      <c r="AL149" s="267"/>
      <c r="AM149" s="267"/>
      <c r="AN149" s="75"/>
    </row>
    <row r="150" spans="1:40" s="6" customFormat="1" ht="11.25" customHeight="1" x14ac:dyDescent="0.2">
      <c r="A150" s="56">
        <f t="shared" si="68"/>
        <v>43966</v>
      </c>
      <c r="B150" s="618">
        <v>19.161999999999999</v>
      </c>
      <c r="C150" s="392"/>
      <c r="D150" s="395">
        <f t="shared" si="48"/>
        <v>19.455418006568923</v>
      </c>
      <c r="E150" s="387">
        <f t="shared" si="69"/>
        <v>21.873317808011343</v>
      </c>
      <c r="F150" s="387">
        <f t="shared" si="49"/>
        <v>21.873752873669211</v>
      </c>
      <c r="G150" s="110">
        <f t="shared" si="70"/>
        <v>0.34112621860810216</v>
      </c>
      <c r="H150" s="414" t="b">
        <f>Wh_hp&gt;='2019'!Maxi_hp</f>
        <v>0</v>
      </c>
      <c r="I150" s="382">
        <f>IF(H150,Wh_hp,'2019'!Maxi_hp)</f>
        <v>53.452739777573882</v>
      </c>
      <c r="J150" s="85">
        <f>IF(H150,An,'2019'!An_max)</f>
        <v>2019</v>
      </c>
      <c r="K150" s="199">
        <f t="shared" si="50"/>
        <v>43966</v>
      </c>
      <c r="L150" s="147">
        <f>IF(t&lt;Tvie,1-EXP((T0-t)*PertePVj)+'2019'!Pspv,1-EXP((T0-t)*PertePVj)+Pspv)</f>
        <v>1.5081557562518277E-2</v>
      </c>
      <c r="M150" s="870"/>
      <c r="N150" s="870"/>
      <c r="O150" s="48">
        <f>IF(t&lt;Tnet,'2019'!Resal+('2019'!Salim-'2019'!Resal)*(1-EXP(('2019'!Tnet-t)/('2019'!Tau_j))),Resal+(Salim-Resal)*(1-EXP((Tnet-t)/(Tau_j))))*Salcycl</f>
        <v>0.11054106298207939</v>
      </c>
      <c r="P150" s="171">
        <f>(INDEX(Models!$BJ150:$BT150,,T150)*(1-R150)+INDEX(Models!$BJ150:$BT150,,T150+1)*R150-ERP_i)*Q150*Ramure*Pc/MaxiM</f>
        <v>3.3765035609854881E-4</v>
      </c>
      <c r="Q150" s="307">
        <f t="shared" si="51"/>
        <v>1</v>
      </c>
      <c r="R150" s="179">
        <f t="shared" si="52"/>
        <v>0.78363142667317764</v>
      </c>
      <c r="S150" s="837">
        <f t="shared" si="53"/>
        <v>-2</v>
      </c>
      <c r="T150" s="178">
        <f t="shared" si="54"/>
        <v>4</v>
      </c>
      <c r="U150" s="253">
        <f t="shared" si="55"/>
        <v>-1.2163685733268224</v>
      </c>
      <c r="V150" s="385">
        <f t="shared" si="56"/>
        <v>56.154906621451644</v>
      </c>
      <c r="W150" s="404"/>
      <c r="X150" s="157">
        <f t="shared" si="57"/>
        <v>43966</v>
      </c>
      <c r="Y150" s="387">
        <f t="shared" si="58"/>
        <v>19.161999999999999</v>
      </c>
      <c r="Z150" s="387">
        <f t="shared" si="59"/>
        <v>19.455418006568923</v>
      </c>
      <c r="AA150" s="388">
        <f t="shared" si="60"/>
        <v>21.873317808011343</v>
      </c>
      <c r="AB150" s="199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0.11054106298207939</v>
      </c>
      <c r="AD150" s="233">
        <f>(INDEX(Models!$BJ150:$BT150,,AH150)*(1-AF150)+INDEX(Models!$BJ150:$BT150,,AH150+1)*AF150-ERP_i)*AE150*Ramure*Pc/MaxiM</f>
        <v>3.3765035609854881E-4</v>
      </c>
      <c r="AE150" s="307">
        <f t="shared" si="62"/>
        <v>1</v>
      </c>
      <c r="AF150" s="179">
        <f t="shared" si="63"/>
        <v>0.78363142667317764</v>
      </c>
      <c r="AG150" s="837">
        <f t="shared" si="71"/>
        <v>-2</v>
      </c>
      <c r="AH150" s="178">
        <f t="shared" si="64"/>
        <v>4</v>
      </c>
      <c r="AI150" s="227">
        <f t="shared" si="65"/>
        <v>-1.2163685733268224</v>
      </c>
      <c r="AJ150" s="267" t="b">
        <f t="shared" si="66"/>
        <v>0</v>
      </c>
      <c r="AK150" s="267" t="b">
        <f t="shared" si="67"/>
        <v>0</v>
      </c>
      <c r="AL150" s="267"/>
      <c r="AM150" s="267"/>
      <c r="AN150" s="75"/>
    </row>
    <row r="151" spans="1:40" s="6" customFormat="1" ht="11.25" customHeight="1" x14ac:dyDescent="0.2">
      <c r="A151" s="56">
        <f t="shared" si="68"/>
        <v>43967</v>
      </c>
      <c r="B151" s="618">
        <v>29.581</v>
      </c>
      <c r="C151" s="392"/>
      <c r="D151" s="395">
        <f t="shared" si="48"/>
        <v>30.034657830039627</v>
      </c>
      <c r="E151" s="387">
        <f t="shared" si="69"/>
        <v>33.776576296050422</v>
      </c>
      <c r="F151" s="387">
        <f t="shared" si="49"/>
        <v>33.780043533422337</v>
      </c>
      <c r="G151" s="110">
        <f t="shared" si="70"/>
        <v>0.52599168152073905</v>
      </c>
      <c r="H151" s="414" t="b">
        <f>Wh_hp&gt;='2019'!Maxi_hp</f>
        <v>1</v>
      </c>
      <c r="I151" s="382">
        <f>IF(H151,Wh_hp,'2019'!Maxi_hp)</f>
        <v>33.780043533422337</v>
      </c>
      <c r="J151" s="85">
        <f>IF(H151,An,'2019'!An_max)</f>
        <v>2020</v>
      </c>
      <c r="K151" s="199">
        <f t="shared" si="50"/>
        <v>43967</v>
      </c>
      <c r="L151" s="147">
        <f>IF(t&lt;Tvie,1-EXP((T0-t)*PertePVj)+'2019'!Pspv,1-EXP((T0-t)*PertePVj)+Pspv)</f>
        <v>1.5104478053546977E-2</v>
      </c>
      <c r="M151" s="870"/>
      <c r="N151" s="870"/>
      <c r="O151" s="48">
        <f>IF(t&lt;Tnet,'2019'!Resal+('2019'!Salim-'2019'!Resal)*(1-EXP(('2019'!Tnet-t)/('2019'!Tau_j))),Resal+(Salim-Resal)*(1-EXP((Tnet-t)/(Tau_j))))*Salcycl</f>
        <v>0.11078442152375118</v>
      </c>
      <c r="P151" s="171">
        <f>(INDEX(Models!$BJ151:$BT151,,T151)*(1-R151)+INDEX(Models!$BJ151:$BT151,,T151+1)*R151-ERP_i)*Q151*Ramure*Pc/MaxiM</f>
        <v>3.1776897155687267E-4</v>
      </c>
      <c r="Q151" s="307">
        <f t="shared" si="51"/>
        <v>1</v>
      </c>
      <c r="R151" s="179">
        <f t="shared" si="52"/>
        <v>0.78927910837714088</v>
      </c>
      <c r="S151" s="837">
        <f t="shared" si="53"/>
        <v>-2</v>
      </c>
      <c r="T151" s="178">
        <f t="shared" si="54"/>
        <v>4</v>
      </c>
      <c r="U151" s="253">
        <f t="shared" si="55"/>
        <v>-1.2107208916228591</v>
      </c>
      <c r="V151" s="385">
        <f t="shared" si="56"/>
        <v>56.226432285333935</v>
      </c>
      <c r="W151" s="404"/>
      <c r="X151" s="157">
        <f t="shared" si="57"/>
        <v>43967</v>
      </c>
      <c r="Y151" s="387">
        <f t="shared" si="58"/>
        <v>29.581</v>
      </c>
      <c r="Z151" s="387">
        <f t="shared" si="59"/>
        <v>30.034657830039627</v>
      </c>
      <c r="AA151" s="388">
        <f t="shared" si="60"/>
        <v>33.776576296050422</v>
      </c>
      <c r="AB151" s="199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0.11078442152375118</v>
      </c>
      <c r="AD151" s="233">
        <f>(INDEX(Models!$BJ151:$BT151,,AH151)*(1-AF151)+INDEX(Models!$BJ151:$BT151,,AH151+1)*AF151-ERP_i)*AE151*Ramure*Pc/MaxiM</f>
        <v>3.1776897155687267E-4</v>
      </c>
      <c r="AE151" s="307">
        <f t="shared" si="62"/>
        <v>1</v>
      </c>
      <c r="AF151" s="179">
        <f t="shared" si="63"/>
        <v>0.78927910837714088</v>
      </c>
      <c r="AG151" s="837">
        <f t="shared" si="71"/>
        <v>-2</v>
      </c>
      <c r="AH151" s="178">
        <f t="shared" si="64"/>
        <v>4</v>
      </c>
      <c r="AI151" s="227">
        <f t="shared" si="65"/>
        <v>-1.2107208916228591</v>
      </c>
      <c r="AJ151" s="267" t="b">
        <f t="shared" si="66"/>
        <v>0</v>
      </c>
      <c r="AK151" s="267" t="b">
        <f t="shared" si="67"/>
        <v>0</v>
      </c>
      <c r="AL151" s="267"/>
      <c r="AM151" s="267"/>
      <c r="AN151" s="75"/>
    </row>
    <row r="152" spans="1:40" s="6" customFormat="1" ht="11.25" customHeight="1" x14ac:dyDescent="0.2">
      <c r="A152" s="56">
        <f t="shared" si="68"/>
        <v>43968</v>
      </c>
      <c r="B152" s="618">
        <v>56.746000000000002</v>
      </c>
      <c r="C152" s="392"/>
      <c r="D152" s="395">
        <f t="shared" si="48"/>
        <v>57.617604434735114</v>
      </c>
      <c r="E152" s="387">
        <f t="shared" si="69"/>
        <v>64.813823420443327</v>
      </c>
      <c r="F152" s="387">
        <f t="shared" si="49"/>
        <v>64.833198802654493</v>
      </c>
      <c r="G152" s="110">
        <f t="shared" si="70"/>
        <v>1.0080697846129463</v>
      </c>
      <c r="H152" s="414" t="b">
        <f>Wh_hp&gt;='2019'!Maxi_hp</f>
        <v>1</v>
      </c>
      <c r="I152" s="382">
        <f>IF(H152,Wh_hp,'2019'!Maxi_hp)</f>
        <v>64.833198802654493</v>
      </c>
      <c r="J152" s="85">
        <f>IF(H152,An,'2019'!An_max)</f>
        <v>2020</v>
      </c>
      <c r="K152" s="199">
        <f t="shared" si="50"/>
        <v>43968</v>
      </c>
      <c r="L152" s="147">
        <f>IF(t&lt;Tvie,1-EXP((T0-t)*PertePVj)+'2019'!Pspv,1-EXP((T0-t)*PertePVj)+Pspv)</f>
        <v>1.5127398011182458E-2</v>
      </c>
      <c r="M152" s="870"/>
      <c r="N152" s="870"/>
      <c r="O152" s="48">
        <f>IF(t&lt;Tnet,'2019'!Resal+('2019'!Salim-'2019'!Resal)*(1-EXP(('2019'!Tnet-t)/('2019'!Tau_j))),Resal+(Salim-Resal)*(1-EXP((Tnet-t)/(Tau_j))))*Salcycl</f>
        <v>0.11102907691507084</v>
      </c>
      <c r="P152" s="171">
        <f>(INDEX(Models!$BJ152:$BT152,,T152)*(1-R152)+INDEX(Models!$BJ152:$BT152,,T152+1)*R152-ERP_i)*Q152*Ramure*Pc/MaxiM</f>
        <v>2.9884970306869832E-4</v>
      </c>
      <c r="Q152" s="307">
        <f t="shared" si="51"/>
        <v>1</v>
      </c>
      <c r="R152" s="179">
        <f t="shared" si="52"/>
        <v>0.79503378069068087</v>
      </c>
      <c r="S152" s="837">
        <f t="shared" si="53"/>
        <v>-2</v>
      </c>
      <c r="T152" s="178">
        <f t="shared" si="54"/>
        <v>4</v>
      </c>
      <c r="U152" s="253">
        <f t="shared" si="55"/>
        <v>-1.2049662193093191</v>
      </c>
      <c r="V152" s="385">
        <f t="shared" si="56"/>
        <v>56.291737800461831</v>
      </c>
      <c r="W152" s="404"/>
      <c r="X152" s="157">
        <f t="shared" si="57"/>
        <v>43968</v>
      </c>
      <c r="Y152" s="387">
        <f t="shared" si="58"/>
        <v>56.745999999999995</v>
      </c>
      <c r="Z152" s="387">
        <f t="shared" si="59"/>
        <v>57.617604434735107</v>
      </c>
      <c r="AA152" s="388">
        <f t="shared" si="60"/>
        <v>64.813823420443327</v>
      </c>
      <c r="AB152" s="199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0.11102907691507084</v>
      </c>
      <c r="AD152" s="233">
        <f>(INDEX(Models!$BJ152:$BT152,,AH152)*(1-AF152)+INDEX(Models!$BJ152:$BT152,,AH152+1)*AF152-ERP_i)*AE152*Ramure*Pc/MaxiM</f>
        <v>2.9884970306869832E-4</v>
      </c>
      <c r="AE152" s="307">
        <f t="shared" si="62"/>
        <v>1</v>
      </c>
      <c r="AF152" s="179">
        <f t="shared" si="63"/>
        <v>0.79503378069068087</v>
      </c>
      <c r="AG152" s="837">
        <f t="shared" si="71"/>
        <v>-2</v>
      </c>
      <c r="AH152" s="178">
        <f t="shared" si="64"/>
        <v>4</v>
      </c>
      <c r="AI152" s="227">
        <f t="shared" si="65"/>
        <v>-1.2049662193093191</v>
      </c>
      <c r="AJ152" s="267" t="b">
        <f t="shared" si="66"/>
        <v>0</v>
      </c>
      <c r="AK152" s="267" t="b">
        <f t="shared" si="67"/>
        <v>0</v>
      </c>
      <c r="AL152" s="267"/>
      <c r="AM152" s="267"/>
      <c r="AN152" s="75"/>
    </row>
    <row r="153" spans="1:40" s="6" customFormat="1" ht="11.25" customHeight="1" x14ac:dyDescent="0.2">
      <c r="A153" s="56">
        <f t="shared" si="68"/>
        <v>43969</v>
      </c>
      <c r="B153" s="618">
        <v>55.786000000000001</v>
      </c>
      <c r="C153" s="392"/>
      <c r="D153" s="395">
        <f t="shared" si="48"/>
        <v>56.644177266455976</v>
      </c>
      <c r="E153" s="387">
        <f t="shared" si="69"/>
        <v>63.736442085941754</v>
      </c>
      <c r="F153" s="387">
        <f t="shared" si="49"/>
        <v>63.754093188120109</v>
      </c>
      <c r="G153" s="110">
        <f t="shared" si="70"/>
        <v>0.98996721303927293</v>
      </c>
      <c r="H153" s="414" t="b">
        <f>Wh_hp&gt;='2019'!Maxi_hp</f>
        <v>1</v>
      </c>
      <c r="I153" s="382">
        <f>IF(H153,Wh_hp,'2019'!Maxi_hp)</f>
        <v>63.754093188120109</v>
      </c>
      <c r="J153" s="85">
        <f>IF(H153,An,'2019'!An_max)</f>
        <v>2020</v>
      </c>
      <c r="K153" s="199">
        <f t="shared" si="50"/>
        <v>43969</v>
      </c>
      <c r="L153" s="147">
        <f>IF(t&lt;Tvie,1-EXP((T0-t)*PertePVj)+'2019'!Pspv,1-EXP((T0-t)*PertePVj)+Pspv)</f>
        <v>1.5150317435437044E-2</v>
      </c>
      <c r="M153" s="870"/>
      <c r="N153" s="870"/>
      <c r="O153" s="48">
        <f>IF(t&lt;Tnet,'2019'!Resal+('2019'!Salim-'2019'!Resal)*(1-EXP(('2019'!Tnet-t)/('2019'!Tau_j))),Resal+(Salim-Resal)*(1-EXP((Tnet-t)/(Tau_j))))*Salcycl</f>
        <v>0.11127487803480805</v>
      </c>
      <c r="P153" s="171">
        <f>(INDEX(Models!$BJ153:$BT153,,T153)*(1-R153)+INDEX(Models!$BJ153:$BT153,,T153+1)*R153-ERP_i)*Q153*Ramure*Pc/MaxiM</f>
        <v>2.808864789683983E-4</v>
      </c>
      <c r="Q153" s="307">
        <f t="shared" si="51"/>
        <v>1</v>
      </c>
      <c r="R153" s="179">
        <f t="shared" si="52"/>
        <v>0.80089351676489606</v>
      </c>
      <c r="S153" s="837">
        <f t="shared" si="53"/>
        <v>-2</v>
      </c>
      <c r="T153" s="178">
        <f t="shared" si="54"/>
        <v>4</v>
      </c>
      <c r="U153" s="253">
        <f t="shared" si="55"/>
        <v>-1.1991064832351039</v>
      </c>
      <c r="V153" s="385">
        <f t="shared" si="56"/>
        <v>56.351134368738308</v>
      </c>
      <c r="W153" s="404"/>
      <c r="X153" s="157">
        <f t="shared" si="57"/>
        <v>43969</v>
      </c>
      <c r="Y153" s="387">
        <f t="shared" si="58"/>
        <v>55.786000000000001</v>
      </c>
      <c r="Z153" s="387">
        <f t="shared" si="59"/>
        <v>56.644177266455976</v>
      </c>
      <c r="AA153" s="388">
        <f t="shared" si="60"/>
        <v>63.736442085941754</v>
      </c>
      <c r="AB153" s="199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0.11127487803480805</v>
      </c>
      <c r="AD153" s="233">
        <f>(INDEX(Models!$BJ153:$BT153,,AH153)*(1-AF153)+INDEX(Models!$BJ153:$BT153,,AH153+1)*AF153-ERP_i)*AE153*Ramure*Pc/MaxiM</f>
        <v>2.808864789683983E-4</v>
      </c>
      <c r="AE153" s="307">
        <f t="shared" si="62"/>
        <v>1</v>
      </c>
      <c r="AF153" s="179">
        <f t="shared" si="63"/>
        <v>0.80089351676489606</v>
      </c>
      <c r="AG153" s="837">
        <f t="shared" si="71"/>
        <v>-2</v>
      </c>
      <c r="AH153" s="178">
        <f t="shared" si="64"/>
        <v>4</v>
      </c>
      <c r="AI153" s="227">
        <f t="shared" si="65"/>
        <v>-1.1991064832351039</v>
      </c>
      <c r="AJ153" s="267" t="b">
        <f t="shared" si="66"/>
        <v>0</v>
      </c>
      <c r="AK153" s="267" t="b">
        <f t="shared" si="67"/>
        <v>0</v>
      </c>
      <c r="AL153" s="267"/>
      <c r="AM153" s="267"/>
      <c r="AN153" s="75"/>
    </row>
    <row r="154" spans="1:40" s="6" customFormat="1" ht="11.25" customHeight="1" x14ac:dyDescent="0.2">
      <c r="A154" s="56">
        <f t="shared" si="68"/>
        <v>43970</v>
      </c>
      <c r="B154" s="618">
        <v>54.524999999999999</v>
      </c>
      <c r="C154" s="392"/>
      <c r="D154" s="395">
        <f t="shared" si="48"/>
        <v>55.365067249600962</v>
      </c>
      <c r="E154" s="387">
        <f t="shared" si="69"/>
        <v>62.314482232423956</v>
      </c>
      <c r="F154" s="387">
        <f t="shared" si="49"/>
        <v>62.330146468873863</v>
      </c>
      <c r="G154" s="110">
        <f t="shared" si="70"/>
        <v>0.96665861654720375</v>
      </c>
      <c r="H154" s="414" t="b">
        <f>Wh_hp&gt;='2019'!Maxi_hp</f>
        <v>1</v>
      </c>
      <c r="I154" s="382">
        <f>IF(H154,Wh_hp,'2019'!Maxi_hp)</f>
        <v>62.330146468873863</v>
      </c>
      <c r="J154" s="85">
        <f>IF(H154,An,'2019'!An_max)</f>
        <v>2020</v>
      </c>
      <c r="K154" s="199">
        <f t="shared" si="50"/>
        <v>43970</v>
      </c>
      <c r="L154" s="147">
        <f>IF(t&lt;Tvie,1-EXP((T0-t)*PertePVj)+'2019'!Pspv,1-EXP((T0-t)*PertePVj)+Pspv)</f>
        <v>1.5173236326323059E-2</v>
      </c>
      <c r="M154" s="870"/>
      <c r="N154" s="870"/>
      <c r="O154" s="48">
        <f>IF(t&lt;Tnet,'2019'!Resal+('2019'!Salim-'2019'!Resal)*(1-EXP(('2019'!Tnet-t)/('2019'!Tau_j))),Resal+(Salim-Resal)*(1-EXP((Tnet-t)/(Tau_j))))*Salcycl</f>
        <v>0.11152166773853123</v>
      </c>
      <c r="P154" s="171">
        <f>(INDEX(Models!$BJ154:$BT154,,T154)*(1-R154)+INDEX(Models!$BJ154:$BT154,,T154+1)*R154-ERP_i)*Q154*Ramure*Pc/MaxiM</f>
        <v>2.6387467541431837E-4</v>
      </c>
      <c r="Q154" s="307">
        <f t="shared" si="51"/>
        <v>1</v>
      </c>
      <c r="R154" s="179">
        <f t="shared" si="52"/>
        <v>0.80685613819562096</v>
      </c>
      <c r="S154" s="837">
        <f t="shared" si="53"/>
        <v>-2</v>
      </c>
      <c r="T154" s="178">
        <f t="shared" si="54"/>
        <v>4</v>
      </c>
      <c r="U154" s="253">
        <f t="shared" si="55"/>
        <v>-1.193143861804379</v>
      </c>
      <c r="V154" s="385">
        <f t="shared" si="56"/>
        <v>56.404933289724724</v>
      </c>
      <c r="W154" s="404"/>
      <c r="X154" s="157">
        <f t="shared" si="57"/>
        <v>43970</v>
      </c>
      <c r="Y154" s="387">
        <f t="shared" si="58"/>
        <v>54.524999999999999</v>
      </c>
      <c r="Z154" s="387">
        <f t="shared" si="59"/>
        <v>55.365067249600962</v>
      </c>
      <c r="AA154" s="388">
        <f t="shared" si="60"/>
        <v>62.314482232423956</v>
      </c>
      <c r="AB154" s="199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0.11152166773853123</v>
      </c>
      <c r="AD154" s="233">
        <f>(INDEX(Models!$BJ154:$BT154,,AH154)*(1-AF154)+INDEX(Models!$BJ154:$BT154,,AH154+1)*AF154-ERP_i)*AE154*Ramure*Pc/MaxiM</f>
        <v>2.6387467541431837E-4</v>
      </c>
      <c r="AE154" s="307">
        <f t="shared" si="62"/>
        <v>1</v>
      </c>
      <c r="AF154" s="179">
        <f t="shared" si="63"/>
        <v>0.80685613819562096</v>
      </c>
      <c r="AG154" s="837">
        <f t="shared" si="71"/>
        <v>-2</v>
      </c>
      <c r="AH154" s="178">
        <f t="shared" si="64"/>
        <v>4</v>
      </c>
      <c r="AI154" s="227">
        <f t="shared" si="65"/>
        <v>-1.193143861804379</v>
      </c>
      <c r="AJ154" s="267" t="b">
        <f t="shared" si="66"/>
        <v>0</v>
      </c>
      <c r="AK154" s="267" t="b">
        <f t="shared" si="67"/>
        <v>0</v>
      </c>
      <c r="AL154" s="267"/>
      <c r="AM154" s="267"/>
      <c r="AN154" s="75"/>
    </row>
    <row r="155" spans="1:40" s="6" customFormat="1" ht="11.25" x14ac:dyDescent="0.2">
      <c r="A155" s="56">
        <f t="shared" si="68"/>
        <v>43971</v>
      </c>
      <c r="B155" s="618">
        <v>54.377000000000002</v>
      </c>
      <c r="C155" s="392"/>
      <c r="D155" s="395">
        <f t="shared" si="48"/>
        <v>55.216071970701549</v>
      </c>
      <c r="E155" s="387">
        <f t="shared" si="69"/>
        <v>62.164109985581227</v>
      </c>
      <c r="F155" s="387">
        <f t="shared" si="49"/>
        <v>62.178708912121074</v>
      </c>
      <c r="G155" s="110">
        <f t="shared" si="70"/>
        <v>0.96320589262253875</v>
      </c>
      <c r="H155" s="414" t="b">
        <f>Wh_hp&gt;='2019'!Maxi_hp</f>
        <v>1</v>
      </c>
      <c r="I155" s="382">
        <f>IF(H155,Wh_hp,'2019'!Maxi_hp)</f>
        <v>62.178708912121074</v>
      </c>
      <c r="J155" s="85">
        <f>IF(H155,An,'2019'!An_max)</f>
        <v>2020</v>
      </c>
      <c r="K155" s="199">
        <f t="shared" si="50"/>
        <v>43971</v>
      </c>
      <c r="L155" s="147">
        <f>IF(t&lt;Tvie,1-EXP((T0-t)*PertePVj)+'2019'!Pspv,1-EXP((T0-t)*PertePVj)+Pspv)</f>
        <v>1.5196154683853047E-2</v>
      </c>
      <c r="M155" s="870"/>
      <c r="N155" s="870"/>
      <c r="O155" s="48">
        <f>IF(t&lt;Tnet,'2019'!Resal+('2019'!Salim-'2019'!Resal)*(1-EXP(('2019'!Tnet-t)/('2019'!Tau_j))),Resal+(Salim-Resal)*(1-EXP((Tnet-t)/(Tau_j))))*Salcycl</f>
        <v>0.1117692832164935</v>
      </c>
      <c r="P155" s="171">
        <f>(INDEX(Models!$BJ155:$BT155,,T155)*(1-R155)+INDEX(Models!$BJ155:$BT155,,T155+1)*R155-ERP_i)*Q155*Ramure*Pc/MaxiM</f>
        <v>2.4781105228843266E-4</v>
      </c>
      <c r="Q155" s="307">
        <f t="shared" si="51"/>
        <v>1</v>
      </c>
      <c r="R155" s="179">
        <f t="shared" si="52"/>
        <v>0.81291921272494094</v>
      </c>
      <c r="S155" s="837">
        <f t="shared" si="53"/>
        <v>-2</v>
      </c>
      <c r="T155" s="178">
        <f t="shared" si="54"/>
        <v>4</v>
      </c>
      <c r="U155" s="253">
        <f t="shared" si="55"/>
        <v>-1.1870807872750591</v>
      </c>
      <c r="V155" s="385">
        <f t="shared" si="56"/>
        <v>56.453445928316349</v>
      </c>
      <c r="W155" s="404"/>
      <c r="X155" s="157">
        <f t="shared" si="57"/>
        <v>43971</v>
      </c>
      <c r="Y155" s="387">
        <f t="shared" si="58"/>
        <v>54.377000000000002</v>
      </c>
      <c r="Z155" s="387">
        <f t="shared" si="59"/>
        <v>55.216071970701549</v>
      </c>
      <c r="AA155" s="388">
        <f t="shared" si="60"/>
        <v>62.164109985581227</v>
      </c>
      <c r="AB155" s="199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0.1117692832164935</v>
      </c>
      <c r="AD155" s="233">
        <f>(INDEX(Models!$BJ155:$BT155,,AH155)*(1-AF155)+INDEX(Models!$BJ155:$BT155,,AH155+1)*AF155-ERP_i)*AE155*Ramure*Pc/MaxiM</f>
        <v>2.4781105228843266E-4</v>
      </c>
      <c r="AE155" s="307">
        <f t="shared" si="62"/>
        <v>1</v>
      </c>
      <c r="AF155" s="179">
        <f t="shared" si="63"/>
        <v>0.81291921272494094</v>
      </c>
      <c r="AG155" s="837">
        <f t="shared" si="71"/>
        <v>-2</v>
      </c>
      <c r="AH155" s="178">
        <f t="shared" si="64"/>
        <v>4</v>
      </c>
      <c r="AI155" s="227">
        <f t="shared" si="65"/>
        <v>-1.1870807872750591</v>
      </c>
      <c r="AJ155" s="267" t="b">
        <f t="shared" si="66"/>
        <v>0</v>
      </c>
      <c r="AK155" s="267" t="b">
        <f t="shared" si="67"/>
        <v>0</v>
      </c>
      <c r="AL155" s="267"/>
      <c r="AM155" s="267"/>
      <c r="AN155" s="75"/>
    </row>
    <row r="156" spans="1:40" s="18" customFormat="1" ht="11.25" customHeight="1" x14ac:dyDescent="0.2">
      <c r="A156" s="56">
        <f t="shared" si="68"/>
        <v>43972</v>
      </c>
      <c r="B156" s="618">
        <v>51.463000000000001</v>
      </c>
      <c r="C156" s="392"/>
      <c r="D156" s="395">
        <f t="shared" si="48"/>
        <v>52.258323210082814</v>
      </c>
      <c r="E156" s="387">
        <f t="shared" si="69"/>
        <v>58.850626593209391</v>
      </c>
      <c r="F156" s="387">
        <f t="shared" si="49"/>
        <v>58.862606496565384</v>
      </c>
      <c r="G156" s="110">
        <f t="shared" si="70"/>
        <v>0.91087161004827499</v>
      </c>
      <c r="H156" s="414" t="b">
        <f>Wh_hp&gt;='2019'!Maxi_hp</f>
        <v>0</v>
      </c>
      <c r="I156" s="382">
        <f>IF(H156,Wh_hp,'2019'!Maxi_hp)</f>
        <v>63.08837322256813</v>
      </c>
      <c r="J156" s="85">
        <f>IF(H156,An,'2019'!An_max)</f>
        <v>2019</v>
      </c>
      <c r="K156" s="199">
        <f t="shared" si="50"/>
        <v>43972</v>
      </c>
      <c r="L156" s="147">
        <f>IF(t&lt;Tvie,1-EXP((T0-t)*PertePVj)+'2019'!Pspv,1-EXP((T0-t)*PertePVj)+Pspv)</f>
        <v>1.5219072508039444E-2</v>
      </c>
      <c r="M156" s="870"/>
      <c r="N156" s="870"/>
      <c r="O156" s="48">
        <f>IF(t&lt;Tnet,'2019'!Resal+('2019'!Salim-'2019'!Resal)*(1-EXP(('2019'!Tnet-t)/('2019'!Tau_j))),Resal+(Salim-Resal)*(1-EXP((Tnet-t)/(Tau_j))))*Salcycl</f>
        <v>0.11201755639229243</v>
      </c>
      <c r="P156" s="171">
        <f>(INDEX(Models!$BJ156:$BT156,,T156)*(1-R156)+INDEX(Models!$BJ156:$BT156,,T156+1)*R156-ERP_i)*Q156*Ramure*Pc/MaxiM</f>
        <v>2.3320759828768391E-4</v>
      </c>
      <c r="Q156" s="307">
        <f t="shared" si="51"/>
        <v>1</v>
      </c>
      <c r="R156" s="179">
        <f t="shared" si="52"/>
        <v>0.81908005306871878</v>
      </c>
      <c r="S156" s="837">
        <f t="shared" si="53"/>
        <v>-2</v>
      </c>
      <c r="T156" s="178">
        <f t="shared" si="54"/>
        <v>4</v>
      </c>
      <c r="U156" s="253">
        <f t="shared" si="55"/>
        <v>-1.1809199469312812</v>
      </c>
      <c r="V156" s="385">
        <f t="shared" si="56"/>
        <v>56.496954642999775</v>
      </c>
      <c r="W156" s="404"/>
      <c r="X156" s="157">
        <f t="shared" si="57"/>
        <v>43972</v>
      </c>
      <c r="Y156" s="387">
        <f t="shared" si="58"/>
        <v>51.463000000000001</v>
      </c>
      <c r="Z156" s="387">
        <f t="shared" si="59"/>
        <v>52.258323210082814</v>
      </c>
      <c r="AA156" s="388">
        <f t="shared" si="60"/>
        <v>58.850626593209391</v>
      </c>
      <c r="AB156" s="199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0.11201755639229243</v>
      </c>
      <c r="AD156" s="233">
        <f>(INDEX(Models!$BJ156:$BT156,,AH156)*(1-AF156)+INDEX(Models!$BJ156:$BT156,,AH156+1)*AF156-ERP_i)*AE156*Ramure*Pc/MaxiM</f>
        <v>2.3320759828768391E-4</v>
      </c>
      <c r="AE156" s="307">
        <f t="shared" si="62"/>
        <v>1</v>
      </c>
      <c r="AF156" s="179">
        <f t="shared" si="63"/>
        <v>0.81908005306871878</v>
      </c>
      <c r="AG156" s="837">
        <f t="shared" si="71"/>
        <v>-2</v>
      </c>
      <c r="AH156" s="178">
        <f t="shared" si="64"/>
        <v>4</v>
      </c>
      <c r="AI156" s="227">
        <f t="shared" si="65"/>
        <v>-1.1809199469312812</v>
      </c>
      <c r="AJ156" s="267" t="b">
        <f t="shared" si="66"/>
        <v>0</v>
      </c>
      <c r="AK156" s="267" t="b">
        <f t="shared" si="67"/>
        <v>0</v>
      </c>
      <c r="AL156" s="267"/>
      <c r="AM156" s="267"/>
      <c r="AN156" s="267"/>
    </row>
    <row r="157" spans="1:40" s="18" customFormat="1" ht="11.25" customHeight="1" x14ac:dyDescent="0.2">
      <c r="A157" s="56">
        <f t="shared" si="68"/>
        <v>43973</v>
      </c>
      <c r="B157" s="618">
        <v>49.975000000000001</v>
      </c>
      <c r="C157" s="392"/>
      <c r="D157" s="395">
        <f t="shared" si="48"/>
        <v>50.748508244979085</v>
      </c>
      <c r="E157" s="387">
        <f t="shared" si="69"/>
        <v>57.166365393100804</v>
      </c>
      <c r="F157" s="387">
        <f t="shared" si="49"/>
        <v>57.176818430303342</v>
      </c>
      <c r="G157" s="110">
        <f t="shared" si="70"/>
        <v>0.88392070557965863</v>
      </c>
      <c r="H157" s="414" t="b">
        <f>Wh_hp&gt;='2019'!Maxi_hp</f>
        <v>1</v>
      </c>
      <c r="I157" s="382">
        <f>IF(H157,Wh_hp,'2019'!Maxi_hp)</f>
        <v>57.176818430303342</v>
      </c>
      <c r="J157" s="85">
        <f>IF(H157,An,'2019'!An_max)</f>
        <v>2020</v>
      </c>
      <c r="K157" s="199">
        <f t="shared" si="50"/>
        <v>43973</v>
      </c>
      <c r="L157" s="147">
        <f>IF(t&lt;Tvie,1-EXP((T0-t)*PertePVj)+'2019'!Pspv,1-EXP((T0-t)*PertePVj)+Pspv)</f>
        <v>1.5241989798894462E-2</v>
      </c>
      <c r="M157" s="870"/>
      <c r="N157" s="870"/>
      <c r="O157" s="48">
        <f>IF(t&lt;Tnet,'2019'!Resal+('2019'!Salim-'2019'!Resal)*(1-EXP(('2019'!Tnet-t)/('2019'!Tau_j))),Resal+(Salim-Resal)*(1-EXP((Tnet-t)/(Tau_j))))*Salcycl</f>
        <v>0.11226631436142115</v>
      </c>
      <c r="P157" s="171">
        <f>(INDEX(Models!$BJ157:$BT157,,T157)*(1-R157)+INDEX(Models!$BJ157:$BT157,,T157+1)*R157-ERP_i)*Q157*Ramure*Pc/MaxiM</f>
        <v>2.1915066132749679E-4</v>
      </c>
      <c r="Q157" s="307">
        <f t="shared" si="51"/>
        <v>1</v>
      </c>
      <c r="R157" s="179">
        <f t="shared" si="52"/>
        <v>0.82533571693320007</v>
      </c>
      <c r="S157" s="837">
        <f t="shared" si="53"/>
        <v>-2</v>
      </c>
      <c r="T157" s="178">
        <f t="shared" si="54"/>
        <v>4</v>
      </c>
      <c r="U157" s="253">
        <f t="shared" si="55"/>
        <v>-1.1746642830667999</v>
      </c>
      <c r="V157" s="385">
        <f t="shared" si="56"/>
        <v>56.535822390662588</v>
      </c>
      <c r="W157" s="404"/>
      <c r="X157" s="157">
        <f t="shared" si="57"/>
        <v>43973</v>
      </c>
      <c r="Y157" s="387">
        <f t="shared" si="58"/>
        <v>49.975000000000001</v>
      </c>
      <c r="Z157" s="387">
        <f t="shared" si="59"/>
        <v>50.748508244979085</v>
      </c>
      <c r="AA157" s="388">
        <f t="shared" si="60"/>
        <v>57.166365393100804</v>
      </c>
      <c r="AB157" s="199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0.11226631436142115</v>
      </c>
      <c r="AD157" s="233">
        <f>(INDEX(Models!$BJ157:$BT157,,AH157)*(1-AF157)+INDEX(Models!$BJ157:$BT157,,AH157+1)*AF157-ERP_i)*AE157*Ramure*Pc/MaxiM</f>
        <v>2.1915066132749679E-4</v>
      </c>
      <c r="AE157" s="307">
        <f t="shared" si="62"/>
        <v>1</v>
      </c>
      <c r="AF157" s="179">
        <f t="shared" si="63"/>
        <v>0.82533571693320007</v>
      </c>
      <c r="AG157" s="837">
        <f t="shared" si="71"/>
        <v>-2</v>
      </c>
      <c r="AH157" s="178">
        <f t="shared" si="64"/>
        <v>4</v>
      </c>
      <c r="AI157" s="227">
        <f t="shared" si="65"/>
        <v>-1.1746642830667999</v>
      </c>
      <c r="AJ157" s="267" t="b">
        <f t="shared" si="66"/>
        <v>0</v>
      </c>
      <c r="AK157" s="267" t="b">
        <f t="shared" si="67"/>
        <v>0</v>
      </c>
      <c r="AL157" s="267"/>
      <c r="AM157" s="267"/>
      <c r="AN157" s="267"/>
    </row>
    <row r="158" spans="1:40" s="6" customFormat="1" ht="11.25" customHeight="1" x14ac:dyDescent="0.2">
      <c r="A158" s="56">
        <f t="shared" si="68"/>
        <v>43974</v>
      </c>
      <c r="B158" s="618">
        <v>16.146999999999998</v>
      </c>
      <c r="C158" s="392"/>
      <c r="D158" s="395">
        <f t="shared" si="48"/>
        <v>16.397303302693061</v>
      </c>
      <c r="E158" s="387">
        <f t="shared" si="69"/>
        <v>18.476154888478696</v>
      </c>
      <c r="F158" s="387">
        <f t="shared" si="49"/>
        <v>18.476154888478696</v>
      </c>
      <c r="G158" s="110">
        <f t="shared" si="70"/>
        <v>0.28537345985224982</v>
      </c>
      <c r="H158" s="414" t="b">
        <f>Wh_hp&gt;='2019'!Maxi_hp</f>
        <v>1</v>
      </c>
      <c r="I158" s="382">
        <f>IF(H158,Wh_hp,'2019'!Maxi_hp)</f>
        <v>18.476154888478696</v>
      </c>
      <c r="J158" s="85">
        <f>IF(H158,An,'2019'!An_max)</f>
        <v>2020</v>
      </c>
      <c r="K158" s="199">
        <f t="shared" si="50"/>
        <v>43974</v>
      </c>
      <c r="L158" s="147">
        <f>IF(t&lt;Tvie,1-EXP((T0-t)*PertePVj)+'2019'!Pspv,1-EXP((T0-t)*PertePVj)+Pspv)</f>
        <v>1.5264906556430757E-2</v>
      </c>
      <c r="M158" s="870"/>
      <c r="N158" s="870"/>
      <c r="O158" s="48">
        <f>IF(t&lt;Tnet,'2019'!Resal+('2019'!Salim-'2019'!Resal)*(1-EXP(('2019'!Tnet-t)/('2019'!Tau_j))),Resal+(Salim-Resal)*(1-EXP((Tnet-t)/(Tau_j))))*Salcycl</f>
        <v>0.11251537986845735</v>
      </c>
      <c r="P158" s="171">
        <f>(INDEX(Models!$BJ158:$BT158,,T158)*(1-R158)+INDEX(Models!$BJ158:$BT158,,T158+1)*R158-ERP_i)*Q158*Ramure*Pc/MaxiM</f>
        <v>2.0563618584620345E-4</v>
      </c>
      <c r="Q158" s="307">
        <f t="shared" si="51"/>
        <v>1</v>
      </c>
      <c r="R158" s="179">
        <f t="shared" si="52"/>
        <v>0.83168300827636132</v>
      </c>
      <c r="S158" s="837">
        <f t="shared" si="53"/>
        <v>-2</v>
      </c>
      <c r="T158" s="178">
        <f t="shared" si="54"/>
        <v>4</v>
      </c>
      <c r="U158" s="253">
        <f t="shared" si="55"/>
        <v>-1.1683169917236387</v>
      </c>
      <c r="V158" s="385">
        <f t="shared" si="56"/>
        <v>56.570360820748427</v>
      </c>
      <c r="W158" s="404"/>
      <c r="X158" s="157">
        <f t="shared" si="57"/>
        <v>43974</v>
      </c>
      <c r="Y158" s="387">
        <f t="shared" si="58"/>
        <v>16.146999999999998</v>
      </c>
      <c r="Z158" s="387">
        <f t="shared" si="59"/>
        <v>16.397303302693061</v>
      </c>
      <c r="AA158" s="388">
        <f t="shared" si="60"/>
        <v>18.476154888478696</v>
      </c>
      <c r="AB158" s="199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0.11251537986845735</v>
      </c>
      <c r="AD158" s="233">
        <f>(INDEX(Models!$BJ158:$BT158,,AH158)*(1-AF158)+INDEX(Models!$BJ158:$BT158,,AH158+1)*AF158-ERP_i)*AE158*Ramure*Pc/MaxiM</f>
        <v>2.0563618584620345E-4</v>
      </c>
      <c r="AE158" s="307">
        <f t="shared" si="62"/>
        <v>1</v>
      </c>
      <c r="AF158" s="179">
        <f t="shared" si="63"/>
        <v>0.83168300827636132</v>
      </c>
      <c r="AG158" s="837">
        <f t="shared" si="71"/>
        <v>-2</v>
      </c>
      <c r="AH158" s="178">
        <f t="shared" si="64"/>
        <v>4</v>
      </c>
      <c r="AI158" s="227">
        <f t="shared" si="65"/>
        <v>-1.1683169917236387</v>
      </c>
      <c r="AJ158" s="267" t="b">
        <f t="shared" si="66"/>
        <v>0</v>
      </c>
      <c r="AK158" s="267" t="b">
        <f t="shared" si="67"/>
        <v>0</v>
      </c>
      <c r="AL158" s="267"/>
      <c r="AM158" s="267"/>
      <c r="AN158" s="75"/>
    </row>
    <row r="159" spans="1:40" s="6" customFormat="1" ht="11.25" customHeight="1" x14ac:dyDescent="0.2">
      <c r="A159" s="56">
        <f t="shared" si="68"/>
        <v>43975</v>
      </c>
      <c r="B159" s="618">
        <v>51.878</v>
      </c>
      <c r="C159" s="392"/>
      <c r="D159" s="395">
        <f t="shared" si="48"/>
        <v>52.683414707528748</v>
      </c>
      <c r="E159" s="387">
        <f t="shared" si="69"/>
        <v>59.379295544671905</v>
      </c>
      <c r="F159" s="387">
        <f t="shared" si="49"/>
        <v>59.3893737120083</v>
      </c>
      <c r="G159" s="110">
        <f t="shared" si="70"/>
        <v>0.91653711160042439</v>
      </c>
      <c r="H159" s="414" t="b">
        <f>Wh_hp&gt;='2019'!Maxi_hp</f>
        <v>1</v>
      </c>
      <c r="I159" s="382">
        <f>IF(H159,Wh_hp,'2019'!Maxi_hp)</f>
        <v>59.3893737120083</v>
      </c>
      <c r="J159" s="85">
        <f>IF(H159,An,'2019'!An_max)</f>
        <v>2020</v>
      </c>
      <c r="K159" s="199">
        <f t="shared" si="50"/>
        <v>43975</v>
      </c>
      <c r="L159" s="147">
        <f>IF(t&lt;Tvie,1-EXP((T0-t)*PertePVj)+'2019'!Pspv,1-EXP((T0-t)*PertePVj)+Pspv)</f>
        <v>1.5287822780660543E-2</v>
      </c>
      <c r="M159" s="870"/>
      <c r="N159" s="870"/>
      <c r="O159" s="48">
        <f>IF(t&lt;Tnet,'2019'!Resal+('2019'!Salim-'2019'!Resal)*(1-EXP(('2019'!Tnet-t)/('2019'!Tau_j))),Resal+(Salim-Resal)*(1-EXP((Tnet-t)/(Tau_j))))*Salcycl</f>
        <v>0.11276457182126297</v>
      </c>
      <c r="P159" s="171">
        <f>(INDEX(Models!$BJ159:$BT159,,T159)*(1-R159)+INDEX(Models!$BJ159:$BT159,,T159+1)*R159-ERP_i)*Q159*Ramure*Pc/MaxiM</f>
        <v>1.9266232917788573E-4</v>
      </c>
      <c r="Q159" s="307">
        <f t="shared" si="51"/>
        <v>1</v>
      </c>
      <c r="R159" s="179">
        <f t="shared" si="52"/>
        <v>0.83811847986116517</v>
      </c>
      <c r="S159" s="837">
        <f t="shared" si="53"/>
        <v>-2</v>
      </c>
      <c r="T159" s="178">
        <f t="shared" si="54"/>
        <v>4</v>
      </c>
      <c r="U159" s="253">
        <f t="shared" si="55"/>
        <v>-1.1618815201388348</v>
      </c>
      <c r="V159" s="385">
        <f t="shared" si="56"/>
        <v>56.600881424851899</v>
      </c>
      <c r="W159" s="404"/>
      <c r="X159" s="157">
        <f t="shared" si="57"/>
        <v>43975</v>
      </c>
      <c r="Y159" s="387">
        <f t="shared" si="58"/>
        <v>51.878</v>
      </c>
      <c r="Z159" s="387">
        <f t="shared" si="59"/>
        <v>52.683414707528748</v>
      </c>
      <c r="AA159" s="388">
        <f t="shared" si="60"/>
        <v>59.379295544671905</v>
      </c>
      <c r="AB159" s="199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0.11276457182126297</v>
      </c>
      <c r="AD159" s="233">
        <f>(INDEX(Models!$BJ159:$BT159,,AH159)*(1-AF159)+INDEX(Models!$BJ159:$BT159,,AH159+1)*AF159-ERP_i)*AE159*Ramure*Pc/MaxiM</f>
        <v>1.9266232917788573E-4</v>
      </c>
      <c r="AE159" s="307">
        <f t="shared" si="62"/>
        <v>1</v>
      </c>
      <c r="AF159" s="179">
        <f t="shared" si="63"/>
        <v>0.83811847986116517</v>
      </c>
      <c r="AG159" s="837">
        <f t="shared" si="71"/>
        <v>-2</v>
      </c>
      <c r="AH159" s="178">
        <f t="shared" si="64"/>
        <v>4</v>
      </c>
      <c r="AI159" s="227">
        <f t="shared" si="65"/>
        <v>-1.1618815201388348</v>
      </c>
      <c r="AJ159" s="267" t="b">
        <f t="shared" si="66"/>
        <v>0</v>
      </c>
      <c r="AK159" s="267" t="b">
        <f t="shared" si="67"/>
        <v>0</v>
      </c>
      <c r="AL159" s="267"/>
      <c r="AM159" s="267"/>
      <c r="AN159" s="75"/>
    </row>
    <row r="160" spans="1:40" s="6" customFormat="1" ht="11.25" customHeight="1" x14ac:dyDescent="0.2">
      <c r="A160" s="56">
        <f t="shared" si="68"/>
        <v>43976</v>
      </c>
      <c r="B160" s="618">
        <v>55.326000000000001</v>
      </c>
      <c r="C160" s="392"/>
      <c r="D160" s="395">
        <f t="shared" si="48"/>
        <v>56.186253025776608</v>
      </c>
      <c r="E160" s="387">
        <f t="shared" si="69"/>
        <v>63.34511975633086</v>
      </c>
      <c r="F160" s="387">
        <f t="shared" si="49"/>
        <v>63.356163340026761</v>
      </c>
      <c r="G160" s="110">
        <f t="shared" si="70"/>
        <v>0.97700730957869208</v>
      </c>
      <c r="H160" s="414" t="b">
        <f>Wh_hp&gt;='2019'!Maxi_hp</f>
        <v>1</v>
      </c>
      <c r="I160" s="382">
        <f>IF(H160,Wh_hp,'2019'!Maxi_hp)</f>
        <v>63.356163340026761</v>
      </c>
      <c r="J160" s="85">
        <f>IF(H160,An,'2019'!An_max)</f>
        <v>2020</v>
      </c>
      <c r="K160" s="199">
        <f t="shared" si="50"/>
        <v>43976</v>
      </c>
      <c r="L160" s="147">
        <f>IF(t&lt;Tvie,1-EXP((T0-t)*PertePVj)+'2019'!Pspv,1-EXP((T0-t)*PertePVj)+Pspv)</f>
        <v>1.5310738471596363E-2</v>
      </c>
      <c r="M160" s="870"/>
      <c r="N160" s="870"/>
      <c r="O160" s="48">
        <f>IF(t&lt;Tnet,'2019'!Resal+('2019'!Salim-'2019'!Resal)*(1-EXP(('2019'!Tnet-t)/('2019'!Tau_j))),Resal+(Salim-Resal)*(1-EXP((Tnet-t)/(Tau_j))))*Salcycl</f>
        <v>0.11301370584020048</v>
      </c>
      <c r="P160" s="171">
        <f>(INDEX(Models!$BJ160:$BT160,,T160)*(1-R160)+INDEX(Models!$BJ160:$BT160,,T160+1)*R160-ERP_i)*Q160*Ramure*Pc/MaxiM</f>
        <v>1.802279444211823E-4</v>
      </c>
      <c r="Q160" s="307">
        <f t="shared" si="51"/>
        <v>1</v>
      </c>
      <c r="R160" s="179">
        <f t="shared" si="52"/>
        <v>0.84463843713833042</v>
      </c>
      <c r="S160" s="837">
        <f t="shared" si="53"/>
        <v>-2</v>
      </c>
      <c r="T160" s="178">
        <f t="shared" si="54"/>
        <v>4</v>
      </c>
      <c r="U160" s="253">
        <f t="shared" si="55"/>
        <v>-1.1553615628616696</v>
      </c>
      <c r="V160" s="385">
        <f t="shared" si="56"/>
        <v>56.627695574903605</v>
      </c>
      <c r="W160" s="404"/>
      <c r="X160" s="157">
        <f t="shared" si="57"/>
        <v>43976</v>
      </c>
      <c r="Y160" s="387">
        <f t="shared" si="58"/>
        <v>55.326000000000001</v>
      </c>
      <c r="Z160" s="387">
        <f t="shared" si="59"/>
        <v>56.186253025776608</v>
      </c>
      <c r="AA160" s="388">
        <f t="shared" si="60"/>
        <v>63.34511975633086</v>
      </c>
      <c r="AB160" s="199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0.11301370584020048</v>
      </c>
      <c r="AD160" s="233">
        <f>(INDEX(Models!$BJ160:$BT160,,AH160)*(1-AF160)+INDEX(Models!$BJ160:$BT160,,AH160+1)*AF160-ERP_i)*AE160*Ramure*Pc/MaxiM</f>
        <v>1.802279444211823E-4</v>
      </c>
      <c r="AE160" s="307">
        <f t="shared" si="62"/>
        <v>1</v>
      </c>
      <c r="AF160" s="179">
        <f t="shared" si="63"/>
        <v>0.84463843713833042</v>
      </c>
      <c r="AG160" s="837">
        <f t="shared" si="71"/>
        <v>-2</v>
      </c>
      <c r="AH160" s="178">
        <f t="shared" si="64"/>
        <v>4</v>
      </c>
      <c r="AI160" s="227">
        <f t="shared" si="65"/>
        <v>-1.1553615628616696</v>
      </c>
      <c r="AJ160" s="267" t="b">
        <f t="shared" si="66"/>
        <v>0</v>
      </c>
      <c r="AK160" s="267" t="b">
        <f t="shared" si="67"/>
        <v>0</v>
      </c>
      <c r="AL160" s="267"/>
      <c r="AM160" s="267"/>
      <c r="AN160" s="75"/>
    </row>
    <row r="161" spans="1:40" s="6" customFormat="1" ht="11.25" customHeight="1" x14ac:dyDescent="0.2">
      <c r="A161" s="56">
        <f t="shared" si="68"/>
        <v>43977</v>
      </c>
      <c r="B161" s="618">
        <v>54.904000000000003</v>
      </c>
      <c r="C161" s="392"/>
      <c r="D161" s="395">
        <f t="shared" si="48"/>
        <v>55.758989024417609</v>
      </c>
      <c r="E161" s="387">
        <f t="shared" si="69"/>
        <v>62.881061179952454</v>
      </c>
      <c r="F161" s="387">
        <f t="shared" si="49"/>
        <v>62.89118139796021</v>
      </c>
      <c r="G161" s="110">
        <f t="shared" si="70"/>
        <v>0.96915291530480208</v>
      </c>
      <c r="H161" s="414" t="b">
        <f>Wh_hp&gt;='2019'!Maxi_hp</f>
        <v>1</v>
      </c>
      <c r="I161" s="382">
        <f>IF(H161,Wh_hp,'2019'!Maxi_hp)</f>
        <v>62.89118139796021</v>
      </c>
      <c r="J161" s="85">
        <f>IF(H161,An,'2019'!An_max)</f>
        <v>2020</v>
      </c>
      <c r="K161" s="199">
        <f t="shared" si="50"/>
        <v>43977</v>
      </c>
      <c r="L161" s="147">
        <f>IF(t&lt;Tvie,1-EXP((T0-t)*PertePVj)+'2019'!Pspv,1-EXP((T0-t)*PertePVj)+Pspv)</f>
        <v>1.5333653629250543E-2</v>
      </c>
      <c r="M161" s="870"/>
      <c r="N161" s="870"/>
      <c r="O161" s="48">
        <f>IF(t&lt;Tnet,'2019'!Resal+('2019'!Salim-'2019'!Resal)*(1-EXP(('2019'!Tnet-t)/('2019'!Tau_j))),Resal+(Salim-Resal)*(1-EXP((Tnet-t)/(Tau_j))))*Salcycl</f>
        <v>0.1132625948400101</v>
      </c>
      <c r="P161" s="171">
        <f>(INDEX(Models!$BJ161:$BT161,,T161)*(1-R161)+INDEX(Models!$BJ161:$BT161,,T161+1)*R161-ERP_i)*Q161*Ramure*Pc/MaxiM</f>
        <v>1.6833255495283218E-4</v>
      </c>
      <c r="Q161" s="307">
        <f t="shared" si="51"/>
        <v>1</v>
      </c>
      <c r="R161" s="179">
        <f t="shared" si="52"/>
        <v>0.85123894348569662</v>
      </c>
      <c r="S161" s="837">
        <f t="shared" si="53"/>
        <v>-2</v>
      </c>
      <c r="T161" s="178">
        <f t="shared" si="54"/>
        <v>4</v>
      </c>
      <c r="U161" s="253">
        <f t="shared" si="55"/>
        <v>-1.1487610565143034</v>
      </c>
      <c r="V161" s="385">
        <f t="shared" si="56"/>
        <v>56.651114480427303</v>
      </c>
      <c r="W161" s="404"/>
      <c r="X161" s="157">
        <f t="shared" si="57"/>
        <v>43977</v>
      </c>
      <c r="Y161" s="387">
        <f t="shared" si="58"/>
        <v>54.904000000000003</v>
      </c>
      <c r="Z161" s="387">
        <f t="shared" si="59"/>
        <v>55.758989024417609</v>
      </c>
      <c r="AA161" s="388">
        <f t="shared" si="60"/>
        <v>62.881061179952454</v>
      </c>
      <c r="AB161" s="199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0.1132625948400101</v>
      </c>
      <c r="AD161" s="233">
        <f>(INDEX(Models!$BJ161:$BT161,,AH161)*(1-AF161)+INDEX(Models!$BJ161:$BT161,,AH161+1)*AF161-ERP_i)*AE161*Ramure*Pc/MaxiM</f>
        <v>1.6833255495283218E-4</v>
      </c>
      <c r="AE161" s="307">
        <f t="shared" si="62"/>
        <v>1</v>
      </c>
      <c r="AF161" s="179">
        <f t="shared" si="63"/>
        <v>0.85123894348569662</v>
      </c>
      <c r="AG161" s="837">
        <f t="shared" si="71"/>
        <v>-2</v>
      </c>
      <c r="AH161" s="178">
        <f t="shared" si="64"/>
        <v>4</v>
      </c>
      <c r="AI161" s="227">
        <f t="shared" si="65"/>
        <v>-1.1487610565143034</v>
      </c>
      <c r="AJ161" s="267" t="b">
        <f t="shared" si="66"/>
        <v>0</v>
      </c>
      <c r="AK161" s="267" t="b">
        <f t="shared" si="67"/>
        <v>0</v>
      </c>
      <c r="AL161" s="267"/>
      <c r="AM161" s="267"/>
      <c r="AN161" s="75"/>
    </row>
    <row r="162" spans="1:40" s="6" customFormat="1" ht="11.25" customHeight="1" x14ac:dyDescent="0.2">
      <c r="A162" s="56">
        <f t="shared" si="68"/>
        <v>43978</v>
      </c>
      <c r="B162" s="618">
        <v>54.180999999999997</v>
      </c>
      <c r="C162" s="392"/>
      <c r="D162" s="395">
        <f t="shared" si="48"/>
        <v>55.026010688868887</v>
      </c>
      <c r="E162" s="387">
        <f t="shared" si="69"/>
        <v>62.071851732190254</v>
      </c>
      <c r="F162" s="387">
        <f t="shared" si="49"/>
        <v>62.080985179253567</v>
      </c>
      <c r="G162" s="110">
        <f t="shared" si="70"/>
        <v>0.95604518317836262</v>
      </c>
      <c r="H162" s="414" t="b">
        <f>Wh_hp&gt;='2019'!Maxi_hp</f>
        <v>1</v>
      </c>
      <c r="I162" s="382">
        <f>IF(H162,Wh_hp,'2019'!Maxi_hp)</f>
        <v>62.080985179253567</v>
      </c>
      <c r="J162" s="85">
        <f>IF(H162,An,'2019'!An_max)</f>
        <v>2020</v>
      </c>
      <c r="K162" s="199">
        <f t="shared" si="50"/>
        <v>43978</v>
      </c>
      <c r="L162" s="147">
        <f>IF(t&lt;Tvie,1-EXP((T0-t)*PertePVj)+'2019'!Pspv,1-EXP((T0-t)*PertePVj)+Pspv)</f>
        <v>1.5356568253635516E-2</v>
      </c>
      <c r="M162" s="870"/>
      <c r="N162" s="870"/>
      <c r="O162" s="48">
        <f>IF(t&lt;Tnet,'2019'!Resal+('2019'!Salim-'2019'!Resal)*(1-EXP(('2019'!Tnet-t)/('2019'!Tau_j))),Resal+(Salim-Resal)*(1-EXP((Tnet-t)/(Tau_j))))*Salcycl</f>
        <v>0.11351104964164331</v>
      </c>
      <c r="P162" s="171">
        <f>(INDEX(Models!$BJ162:$BT162,,T162)*(1-R162)+INDEX(Models!$BJ162:$BT162,,T162+1)*R162-ERP_i)*Q162*Ramure*Pc/MaxiM</f>
        <v>1.5697632829158467E-4</v>
      </c>
      <c r="Q162" s="307">
        <f t="shared" si="51"/>
        <v>1</v>
      </c>
      <c r="R162" s="179">
        <f t="shared" si="52"/>
        <v>0.8579158268198559</v>
      </c>
      <c r="S162" s="837">
        <f t="shared" si="53"/>
        <v>-2</v>
      </c>
      <c r="T162" s="178">
        <f t="shared" si="54"/>
        <v>4</v>
      </c>
      <c r="U162" s="253">
        <f t="shared" si="55"/>
        <v>-1.1420841731801441</v>
      </c>
      <c r="V162" s="385">
        <f t="shared" si="56"/>
        <v>56.671449142537277</v>
      </c>
      <c r="W162" s="404"/>
      <c r="X162" s="157">
        <f t="shared" si="57"/>
        <v>43978</v>
      </c>
      <c r="Y162" s="387">
        <f t="shared" si="58"/>
        <v>54.180999999999997</v>
      </c>
      <c r="Z162" s="387">
        <f t="shared" si="59"/>
        <v>55.026010688868887</v>
      </c>
      <c r="AA162" s="388">
        <f t="shared" si="60"/>
        <v>62.071851732190254</v>
      </c>
      <c r="AB162" s="199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0.11351104964164331</v>
      </c>
      <c r="AD162" s="233">
        <f>(INDEX(Models!$BJ162:$BT162,,AH162)*(1-AF162)+INDEX(Models!$BJ162:$BT162,,AH162+1)*AF162-ERP_i)*AE162*Ramure*Pc/MaxiM</f>
        <v>1.5697632829158467E-4</v>
      </c>
      <c r="AE162" s="307">
        <f t="shared" si="62"/>
        <v>1</v>
      </c>
      <c r="AF162" s="179">
        <f t="shared" si="63"/>
        <v>0.8579158268198559</v>
      </c>
      <c r="AG162" s="837">
        <f t="shared" si="71"/>
        <v>-2</v>
      </c>
      <c r="AH162" s="178">
        <f t="shared" si="64"/>
        <v>4</v>
      </c>
      <c r="AI162" s="227">
        <f t="shared" si="65"/>
        <v>-1.1420841731801441</v>
      </c>
      <c r="AJ162" s="267" t="b">
        <f t="shared" si="66"/>
        <v>0</v>
      </c>
      <c r="AK162" s="267" t="b">
        <f t="shared" si="67"/>
        <v>0</v>
      </c>
      <c r="AL162" s="267"/>
      <c r="AM162" s="267"/>
      <c r="AN162" s="75"/>
    </row>
    <row r="163" spans="1:40" s="6" customFormat="1" ht="11.25" x14ac:dyDescent="0.2">
      <c r="A163" s="56">
        <f t="shared" si="68"/>
        <v>43979</v>
      </c>
      <c r="B163" s="618">
        <v>54.652999999999999</v>
      </c>
      <c r="C163" s="392"/>
      <c r="D163" s="395">
        <f t="shared" si="48"/>
        <v>55.506663755240453</v>
      </c>
      <c r="E163" s="387">
        <f t="shared" si="69"/>
        <v>62.631559829764747</v>
      </c>
      <c r="F163" s="387">
        <f t="shared" si="49"/>
        <v>62.640246021414882</v>
      </c>
      <c r="G163" s="110">
        <f t="shared" si="70"/>
        <v>0.96409719295396323</v>
      </c>
      <c r="H163" s="414" t="b">
        <f>Wh_hp&gt;='2019'!Maxi_hp</f>
        <v>1</v>
      </c>
      <c r="I163" s="382">
        <f>IF(H163,Wh_hp,'2019'!Maxi_hp)</f>
        <v>62.640246021414882</v>
      </c>
      <c r="J163" s="85">
        <f>IF(H163,An,'2019'!An_max)</f>
        <v>2020</v>
      </c>
      <c r="K163" s="199">
        <f t="shared" si="50"/>
        <v>43979</v>
      </c>
      <c r="L163" s="147">
        <f>IF(t&lt;Tvie,1-EXP((T0-t)*PertePVj)+'2019'!Pspv,1-EXP((T0-t)*PertePVj)+Pspv)</f>
        <v>1.5379482344763717E-2</v>
      </c>
      <c r="M163" s="870"/>
      <c r="N163" s="870"/>
      <c r="O163" s="48">
        <f>IF(t&lt;Tnet,'2019'!Resal+('2019'!Salim-'2019'!Resal)*(1-EXP(('2019'!Tnet-t)/('2019'!Tau_j))),Resal+(Salim-Resal)*(1-EXP((Tnet-t)/(Tau_j))))*Salcycl</f>
        <v>0.11375887961101504</v>
      </c>
      <c r="P163" s="171">
        <f>(INDEX(Models!$BJ163:$BT163,,T163)*(1-R163)+INDEX(Models!$BJ163:$BT163,,T163+1)*R163-ERP_i)*Q163*Ramure*Pc/MaxiM</f>
        <v>1.4616305837334453E-4</v>
      </c>
      <c r="Q163" s="307">
        <f t="shared" si="51"/>
        <v>1</v>
      </c>
      <c r="R163" s="179">
        <f t="shared" si="52"/>
        <v>0.86466468758356685</v>
      </c>
      <c r="S163" s="837">
        <f t="shared" si="53"/>
        <v>-2</v>
      </c>
      <c r="T163" s="178">
        <f t="shared" si="54"/>
        <v>4</v>
      </c>
      <c r="U163" s="253">
        <f t="shared" si="55"/>
        <v>-1.1353353124164332</v>
      </c>
      <c r="V163" s="385">
        <f t="shared" si="56"/>
        <v>56.687842999613075</v>
      </c>
      <c r="W163" s="404"/>
      <c r="X163" s="157">
        <f t="shared" si="57"/>
        <v>43979</v>
      </c>
      <c r="Y163" s="387">
        <f t="shared" si="58"/>
        <v>54.652999999999999</v>
      </c>
      <c r="Z163" s="387">
        <f t="shared" si="59"/>
        <v>55.506663755240453</v>
      </c>
      <c r="AA163" s="388">
        <f t="shared" si="60"/>
        <v>62.631559829764747</v>
      </c>
      <c r="AB163" s="199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0.11375887961101504</v>
      </c>
      <c r="AD163" s="233">
        <f>(INDEX(Models!$BJ163:$BT163,,AH163)*(1-AF163)+INDEX(Models!$BJ163:$BT163,,AH163+1)*AF163-ERP_i)*AE163*Ramure*Pc/MaxiM</f>
        <v>1.4616305837334453E-4</v>
      </c>
      <c r="AE163" s="307">
        <f t="shared" si="62"/>
        <v>1</v>
      </c>
      <c r="AF163" s="179">
        <f t="shared" si="63"/>
        <v>0.86466468758356685</v>
      </c>
      <c r="AG163" s="837">
        <f t="shared" si="71"/>
        <v>-2</v>
      </c>
      <c r="AH163" s="178">
        <f t="shared" si="64"/>
        <v>4</v>
      </c>
      <c r="AI163" s="227">
        <f t="shared" si="65"/>
        <v>-1.1353353124164332</v>
      </c>
      <c r="AJ163" s="267" t="b">
        <f t="shared" si="66"/>
        <v>0</v>
      </c>
      <c r="AK163" s="267" t="b">
        <f t="shared" si="67"/>
        <v>0</v>
      </c>
      <c r="AL163" s="267"/>
      <c r="AM163" s="267"/>
      <c r="AN163" s="75"/>
    </row>
    <row r="164" spans="1:40" s="6" customFormat="1" ht="11.25" x14ac:dyDescent="0.2">
      <c r="A164" s="56">
        <f t="shared" si="68"/>
        <v>43980</v>
      </c>
      <c r="B164" s="618">
        <v>51.429000000000002</v>
      </c>
      <c r="C164" s="392"/>
      <c r="D164" s="395">
        <f t="shared" si="48"/>
        <v>52.233521375616654</v>
      </c>
      <c r="E164" s="387">
        <f t="shared" si="69"/>
        <v>58.95470520839492</v>
      </c>
      <c r="F164" s="387">
        <f t="shared" si="49"/>
        <v>58.961675903187128</v>
      </c>
      <c r="G164" s="110">
        <f t="shared" si="70"/>
        <v>0.90703100619921662</v>
      </c>
      <c r="H164" s="414" t="b">
        <f>Wh_hp&gt;='2019'!Maxi_hp</f>
        <v>0</v>
      </c>
      <c r="I164" s="382">
        <f>IF(H164,Wh_hp,'2019'!Maxi_hp)</f>
        <v>63.686724886206711</v>
      </c>
      <c r="J164" s="85">
        <f>IF(H164,An,'2019'!An_max)</f>
        <v>2019</v>
      </c>
      <c r="K164" s="199">
        <f t="shared" si="50"/>
        <v>43980</v>
      </c>
      <c r="L164" s="147">
        <f>IF(t&lt;Tvie,1-EXP((T0-t)*PertePVj)+'2019'!Pspv,1-EXP((T0-t)*PertePVj)+Pspv)</f>
        <v>1.5402395902647581E-2</v>
      </c>
      <c r="M164" s="870"/>
      <c r="N164" s="870"/>
      <c r="O164" s="48">
        <f>IF(t&lt;Tnet,'2019'!Resal+('2019'!Salim-'2019'!Resal)*(1-EXP(('2019'!Tnet-t)/('2019'!Tau_j))),Resal+(Salim-Resal)*(1-EXP((Tnet-t)/(Tau_j))))*Salcycl</f>
        <v>0.11400589332132217</v>
      </c>
      <c r="P164" s="171">
        <f>(INDEX(Models!$BJ164:$BT164,,T164)*(1-R164)+INDEX(Models!$BJ164:$BT164,,T164+1)*R164-ERP_i)*Q164*Ramure*Pc/MaxiM</f>
        <v>1.3632693322882712E-4</v>
      </c>
      <c r="Q164" s="307">
        <f t="shared" si="51"/>
        <v>1</v>
      </c>
      <c r="R164" s="179">
        <f t="shared" si="52"/>
        <v>0.87148090809968926</v>
      </c>
      <c r="S164" s="837">
        <f t="shared" si="53"/>
        <v>-2</v>
      </c>
      <c r="T164" s="178">
        <f t="shared" si="54"/>
        <v>4</v>
      </c>
      <c r="U164" s="253">
        <f t="shared" si="55"/>
        <v>-1.1285190919003107</v>
      </c>
      <c r="V164" s="385">
        <f t="shared" si="56"/>
        <v>56.699350442339934</v>
      </c>
      <c r="W164" s="404"/>
      <c r="X164" s="157">
        <f t="shared" si="57"/>
        <v>43980</v>
      </c>
      <c r="Y164" s="387">
        <f t="shared" si="58"/>
        <v>51.429000000000002</v>
      </c>
      <c r="Z164" s="387">
        <f t="shared" si="59"/>
        <v>52.233521375616654</v>
      </c>
      <c r="AA164" s="388">
        <f t="shared" si="60"/>
        <v>58.95470520839492</v>
      </c>
      <c r="AB164" s="199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0.11400589332132217</v>
      </c>
      <c r="AD164" s="233">
        <f>(INDEX(Models!$BJ164:$BT164,,AH164)*(1-AF164)+INDEX(Models!$BJ164:$BT164,,AH164+1)*AF164-ERP_i)*AE164*Ramure*Pc/MaxiM</f>
        <v>1.3632693322882712E-4</v>
      </c>
      <c r="AE164" s="307">
        <f t="shared" si="62"/>
        <v>1</v>
      </c>
      <c r="AF164" s="179">
        <f t="shared" si="63"/>
        <v>0.87148090809968926</v>
      </c>
      <c r="AG164" s="837">
        <f t="shared" si="71"/>
        <v>-2</v>
      </c>
      <c r="AH164" s="178">
        <f t="shared" si="64"/>
        <v>4</v>
      </c>
      <c r="AI164" s="227">
        <f t="shared" si="65"/>
        <v>-1.1285190919003107</v>
      </c>
      <c r="AJ164" s="267" t="b">
        <f t="shared" si="66"/>
        <v>0</v>
      </c>
      <c r="AK164" s="267" t="b">
        <f t="shared" si="67"/>
        <v>0</v>
      </c>
      <c r="AL164" s="267"/>
      <c r="AM164" s="267"/>
      <c r="AN164" s="75"/>
    </row>
    <row r="165" spans="1:40" s="6" customFormat="1" ht="11.25" x14ac:dyDescent="0.2">
      <c r="A165" s="56">
        <f t="shared" si="68"/>
        <v>43981</v>
      </c>
      <c r="B165" s="618">
        <v>55.183999999999997</v>
      </c>
      <c r="C165" s="392"/>
      <c r="D165" s="395">
        <f t="shared" si="48"/>
        <v>56.048566452461486</v>
      </c>
      <c r="E165" s="387">
        <f t="shared" si="69"/>
        <v>63.278223689186163</v>
      </c>
      <c r="F165" s="387">
        <f t="shared" si="49"/>
        <v>63.285975007585137</v>
      </c>
      <c r="G165" s="110">
        <f t="shared" si="70"/>
        <v>0.97315177476066395</v>
      </c>
      <c r="H165" s="414" t="b">
        <f>Wh_hp&gt;='2019'!Maxi_hp</f>
        <v>0</v>
      </c>
      <c r="I165" s="382">
        <f>IF(H165,Wh_hp,'2019'!Maxi_hp)</f>
        <v>64.708611084195553</v>
      </c>
      <c r="J165" s="85">
        <f>IF(H165,An,'2019'!An_max)</f>
        <v>2019</v>
      </c>
      <c r="K165" s="199">
        <f t="shared" si="50"/>
        <v>43981</v>
      </c>
      <c r="L165" s="147">
        <f>IF(t&lt;Tvie,1-EXP((T0-t)*PertePVj)+'2019'!Pspv,1-EXP((T0-t)*PertePVj)+Pspv)</f>
        <v>1.542530892729943E-2</v>
      </c>
      <c r="M165" s="870"/>
      <c r="N165" s="870"/>
      <c r="O165" s="48">
        <f>IF(t&lt;Tnet,'2019'!Resal+('2019'!Salim-'2019'!Resal)*(1-EXP(('2019'!Tnet-t)/('2019'!Tau_j))),Resal+(Salim-Resal)*(1-EXP((Tnet-t)/(Tau_j))))*Salcycl</f>
        <v>0.11425189923528439</v>
      </c>
      <c r="P165" s="171">
        <f>(INDEX(Models!$BJ165:$BT165,,T165)*(1-R165)+INDEX(Models!$BJ165:$BT165,,T165+1)*R165-ERP_i)*Q165*Ramure*Pc/MaxiM</f>
        <v>1.2736499393627192E-4</v>
      </c>
      <c r="Q165" s="307">
        <f t="shared" si="51"/>
        <v>1</v>
      </c>
      <c r="R165" s="179">
        <f t="shared" si="52"/>
        <v>0.87835966326916681</v>
      </c>
      <c r="S165" s="837">
        <f t="shared" si="53"/>
        <v>-2</v>
      </c>
      <c r="T165" s="178">
        <f t="shared" si="54"/>
        <v>4</v>
      </c>
      <c r="U165" s="253">
        <f t="shared" si="55"/>
        <v>-1.1216403367308332</v>
      </c>
      <c r="V165" s="385">
        <f t="shared" si="56"/>
        <v>56.706191028167495</v>
      </c>
      <c r="W165" s="404"/>
      <c r="X165" s="157">
        <f t="shared" si="57"/>
        <v>43981</v>
      </c>
      <c r="Y165" s="387">
        <f t="shared" si="58"/>
        <v>55.183999999999997</v>
      </c>
      <c r="Z165" s="387">
        <f t="shared" si="59"/>
        <v>56.048566452461486</v>
      </c>
      <c r="AA165" s="388">
        <f t="shared" si="60"/>
        <v>63.278223689186163</v>
      </c>
      <c r="AB165" s="199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0.11425189923528439</v>
      </c>
      <c r="AD165" s="233">
        <f>(INDEX(Models!$BJ165:$BT165,,AH165)*(1-AF165)+INDEX(Models!$BJ165:$BT165,,AH165+1)*AF165-ERP_i)*AE165*Ramure*Pc/MaxiM</f>
        <v>1.2736499393627192E-4</v>
      </c>
      <c r="AE165" s="307">
        <f t="shared" si="62"/>
        <v>1</v>
      </c>
      <c r="AF165" s="179">
        <f t="shared" si="63"/>
        <v>0.87835966326916681</v>
      </c>
      <c r="AG165" s="837">
        <f t="shared" si="71"/>
        <v>-2</v>
      </c>
      <c r="AH165" s="178">
        <f t="shared" si="64"/>
        <v>4</v>
      </c>
      <c r="AI165" s="227">
        <f t="shared" si="65"/>
        <v>-1.1216403367308332</v>
      </c>
      <c r="AJ165" s="267" t="b">
        <f t="shared" si="66"/>
        <v>0</v>
      </c>
      <c r="AK165" s="267" t="b">
        <f t="shared" si="67"/>
        <v>0</v>
      </c>
      <c r="AL165" s="267"/>
      <c r="AM165" s="267"/>
      <c r="AN165" s="75"/>
    </row>
    <row r="166" spans="1:40" s="6" customFormat="1" ht="11.25" customHeight="1" x14ac:dyDescent="0.2">
      <c r="A166" s="56">
        <f t="shared" si="68"/>
        <v>43982</v>
      </c>
      <c r="B166" s="618">
        <v>54.225999999999999</v>
      </c>
      <c r="C166" s="392"/>
      <c r="D166" s="395">
        <f t="shared" si="48"/>
        <v>55.076839207115398</v>
      </c>
      <c r="E166" s="387">
        <f t="shared" si="69"/>
        <v>62.198344834396643</v>
      </c>
      <c r="F166" s="387">
        <f t="shared" si="49"/>
        <v>62.205301026451266</v>
      </c>
      <c r="G166" s="110">
        <f t="shared" si="70"/>
        <v>0.95621504930323498</v>
      </c>
      <c r="H166" s="414" t="b">
        <f>Wh_hp&gt;='2019'!Maxi_hp</f>
        <v>0</v>
      </c>
      <c r="I166" s="382">
        <f>IF(H166,Wh_hp,'2019'!Maxi_hp)</f>
        <v>65.140726705313512</v>
      </c>
      <c r="J166" s="85">
        <f>IF(H166,An,'2019'!An_max)</f>
        <v>2019</v>
      </c>
      <c r="K166" s="199">
        <f t="shared" si="50"/>
        <v>43982</v>
      </c>
      <c r="L166" s="147">
        <f>IF(t&lt;Tvie,1-EXP((T0-t)*PertePVj)+'2019'!Pspv,1-EXP((T0-t)*PertePVj)+Pspv)</f>
        <v>1.54482214187317E-2</v>
      </c>
      <c r="M166" s="870"/>
      <c r="N166" s="870"/>
      <c r="O166" s="48">
        <f>IF(t&lt;Tnet,'2019'!Resal+('2019'!Salim-'2019'!Resal)*(1-EXP(('2019'!Tnet-t)/('2019'!Tau_j))),Resal+(Salim-Resal)*(1-EXP((Tnet-t)/(Tau_j))))*Salcycl</f>
        <v>0.11449670640339843</v>
      </c>
      <c r="P166" s="171">
        <f>(INDEX(Models!$BJ166:$BT166,,T166)*(1-R166)+INDEX(Models!$BJ166:$BT166,,T166+1)*R166-ERP_i)*Q166*Ramure*Pc/MaxiM</f>
        <v>1.1928650114965634E-4</v>
      </c>
      <c r="Q166" s="307">
        <f t="shared" si="51"/>
        <v>1</v>
      </c>
      <c r="R166" s="179">
        <f t="shared" si="52"/>
        <v>0.88529593257708195</v>
      </c>
      <c r="S166" s="837">
        <f t="shared" si="53"/>
        <v>-2</v>
      </c>
      <c r="T166" s="178">
        <f t="shared" si="54"/>
        <v>4</v>
      </c>
      <c r="U166" s="253">
        <f t="shared" si="55"/>
        <v>-1.1147040674229181</v>
      </c>
      <c r="V166" s="385">
        <f t="shared" si="56"/>
        <v>56.708577699510855</v>
      </c>
      <c r="W166" s="404"/>
      <c r="X166" s="157">
        <f t="shared" si="57"/>
        <v>43982</v>
      </c>
      <c r="Y166" s="387">
        <f t="shared" si="58"/>
        <v>54.225999999999999</v>
      </c>
      <c r="Z166" s="387">
        <f t="shared" si="59"/>
        <v>55.076839207115398</v>
      </c>
      <c r="AA166" s="388">
        <f t="shared" si="60"/>
        <v>62.198344834396643</v>
      </c>
      <c r="AB166" s="199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0.11449670640339843</v>
      </c>
      <c r="AD166" s="233">
        <f>(INDEX(Models!$BJ166:$BT166,,AH166)*(1-AF166)+INDEX(Models!$BJ166:$BT166,,AH166+1)*AF166-ERP_i)*AE166*Ramure*Pc/MaxiM</f>
        <v>1.1928650114965634E-4</v>
      </c>
      <c r="AE166" s="307">
        <f t="shared" si="62"/>
        <v>1</v>
      </c>
      <c r="AF166" s="179">
        <f t="shared" si="63"/>
        <v>0.88529593257708195</v>
      </c>
      <c r="AG166" s="837">
        <f t="shared" si="71"/>
        <v>-2</v>
      </c>
      <c r="AH166" s="178">
        <f t="shared" si="64"/>
        <v>4</v>
      </c>
      <c r="AI166" s="227">
        <f t="shared" si="65"/>
        <v>-1.1147040674229181</v>
      </c>
      <c r="AJ166" s="267" t="b">
        <f t="shared" si="66"/>
        <v>0</v>
      </c>
      <c r="AK166" s="267" t="b">
        <f t="shared" si="67"/>
        <v>0</v>
      </c>
      <c r="AL166" s="267"/>
      <c r="AM166" s="267"/>
      <c r="AN166" s="75"/>
    </row>
    <row r="167" spans="1:40" s="6" customFormat="1" ht="11.25" customHeight="1" x14ac:dyDescent="0.2">
      <c r="A167" s="56">
        <f t="shared" si="68"/>
        <v>43983</v>
      </c>
      <c r="B167" s="618">
        <v>26.446999999999999</v>
      </c>
      <c r="C167" s="392"/>
      <c r="D167" s="395">
        <f t="shared" si="48"/>
        <v>26.862594786797693</v>
      </c>
      <c r="E167" s="387">
        <f t="shared" si="69"/>
        <v>30.344304029457387</v>
      </c>
      <c r="F167" s="387">
        <f t="shared" si="49"/>
        <v>30.345112582996119</v>
      </c>
      <c r="G167" s="110">
        <f t="shared" si="70"/>
        <v>0.46634223348435561</v>
      </c>
      <c r="H167" s="414" t="b">
        <f>Wh_hp&gt;='2019'!Maxi_hp</f>
        <v>0</v>
      </c>
      <c r="I167" s="382">
        <f>IF(H167,Wh_hp,'2019'!Maxi_hp)</f>
        <v>63.901540527508928</v>
      </c>
      <c r="J167" s="85">
        <f>IF(H167,An,'2019'!An_max)</f>
        <v>2019</v>
      </c>
      <c r="K167" s="199">
        <f t="shared" si="50"/>
        <v>43983</v>
      </c>
      <c r="L167" s="147">
        <f>IF(t&lt;Tvie,1-EXP((T0-t)*PertePVj)+'2019'!Pspv,1-EXP((T0-t)*PertePVj)+Pspv)</f>
        <v>1.5471133376956936E-2</v>
      </c>
      <c r="M167" s="870"/>
      <c r="N167" s="870"/>
      <c r="O167" s="48">
        <f>IF(t&lt;Tnet,'2019'!Resal+('2019'!Salim-'2019'!Resal)*(1-EXP(('2019'!Tnet-t)/('2019'!Tau_j))),Resal+(Salim-Resal)*(1-EXP((Tnet-t)/(Tau_j))))*Salcycl</f>
        <v>0.11474012517406065</v>
      </c>
      <c r="P167" s="171">
        <f>(INDEX(Models!$BJ167:$BT167,,T167)*(1-R167)+INDEX(Models!$BJ167:$BT167,,T167+1)*R167-ERP_i)*Q167*Ramure*Pc/MaxiM</f>
        <v>1.1210151817848527E-4</v>
      </c>
      <c r="Q167" s="307">
        <f t="shared" si="51"/>
        <v>1</v>
      </c>
      <c r="R167" s="179">
        <f t="shared" si="52"/>
        <v>0.89228451335725967</v>
      </c>
      <c r="S167" s="837">
        <f t="shared" si="53"/>
        <v>-2</v>
      </c>
      <c r="T167" s="178">
        <f t="shared" si="54"/>
        <v>4</v>
      </c>
      <c r="U167" s="253">
        <f t="shared" si="55"/>
        <v>-1.1077154866427403</v>
      </c>
      <c r="V167" s="385">
        <f t="shared" si="56"/>
        <v>56.706723044662496</v>
      </c>
      <c r="W167" s="404"/>
      <c r="X167" s="157">
        <f t="shared" si="57"/>
        <v>43983</v>
      </c>
      <c r="Y167" s="387">
        <f t="shared" si="58"/>
        <v>26.446999999999999</v>
      </c>
      <c r="Z167" s="387">
        <f t="shared" si="59"/>
        <v>26.862594786797693</v>
      </c>
      <c r="AA167" s="388">
        <f t="shared" si="60"/>
        <v>30.344304029457387</v>
      </c>
      <c r="AB167" s="199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0.11474012517406065</v>
      </c>
      <c r="AD167" s="233">
        <f>(INDEX(Models!$BJ167:$BT167,,AH167)*(1-AF167)+INDEX(Models!$BJ167:$BT167,,AH167+1)*AF167-ERP_i)*AE167*Ramure*Pc/MaxiM</f>
        <v>1.1210151817848527E-4</v>
      </c>
      <c r="AE167" s="307">
        <f t="shared" si="62"/>
        <v>1</v>
      </c>
      <c r="AF167" s="179">
        <f t="shared" si="63"/>
        <v>0.89228451335725967</v>
      </c>
      <c r="AG167" s="837">
        <f t="shared" si="71"/>
        <v>-2</v>
      </c>
      <c r="AH167" s="178">
        <f t="shared" si="64"/>
        <v>4</v>
      </c>
      <c r="AI167" s="227">
        <f t="shared" si="65"/>
        <v>-1.1077154866427403</v>
      </c>
      <c r="AJ167" s="267" t="b">
        <f t="shared" si="66"/>
        <v>0</v>
      </c>
      <c r="AK167" s="267" t="b">
        <f t="shared" si="67"/>
        <v>0</v>
      </c>
      <c r="AL167" s="267"/>
      <c r="AM167" s="267"/>
      <c r="AN167" s="75"/>
    </row>
    <row r="168" spans="1:40" s="6" customFormat="1" ht="11.25" customHeight="1" x14ac:dyDescent="0.2">
      <c r="A168" s="56">
        <f t="shared" si="68"/>
        <v>43984</v>
      </c>
      <c r="B168" s="618">
        <v>52.222999999999999</v>
      </c>
      <c r="C168" s="392"/>
      <c r="D168" s="395">
        <f t="shared" si="48"/>
        <v>53.044879743258072</v>
      </c>
      <c r="E168" s="387">
        <f t="shared" si="69"/>
        <v>59.936496003435394</v>
      </c>
      <c r="F168" s="387">
        <f t="shared" si="49"/>
        <v>59.942123507520741</v>
      </c>
      <c r="G168" s="110">
        <f t="shared" si="70"/>
        <v>0.921015935017655</v>
      </c>
      <c r="H168" s="414" t="b">
        <f>Wh_hp&gt;='2019'!Maxi_hp</f>
        <v>1</v>
      </c>
      <c r="I168" s="382">
        <f>IF(H168,Wh_hp,'2019'!Maxi_hp)</f>
        <v>59.942123507520741</v>
      </c>
      <c r="J168" s="85">
        <f>IF(H168,An,'2019'!An_max)</f>
        <v>2020</v>
      </c>
      <c r="K168" s="199">
        <f t="shared" si="50"/>
        <v>43984</v>
      </c>
      <c r="L168" s="147">
        <f>IF(t&lt;Tvie,1-EXP((T0-t)*PertePVj)+'2019'!Pspv,1-EXP((T0-t)*PertePVj)+Pspv)</f>
        <v>1.549404480198735E-2</v>
      </c>
      <c r="M168" s="870"/>
      <c r="N168" s="870"/>
      <c r="O168" s="48">
        <f>IF(t&lt;Tnet,'2019'!Resal+('2019'!Salim-'2019'!Resal)*(1-EXP(('2019'!Tnet-t)/('2019'!Tau_j))),Resal+(Salim-Resal)*(1-EXP((Tnet-t)/(Tau_j))))*Salcycl</f>
        <v>0.11498196791120907</v>
      </c>
      <c r="P168" s="171">
        <f>(INDEX(Models!$BJ168:$BT168,,T168)*(1-R168)+INDEX(Models!$BJ168:$BT168,,T168+1)*R168-ERP_i)*Q168*Ramure*Pc/MaxiM</f>
        <v>1.0582086332627368E-4</v>
      </c>
      <c r="Q168" s="307">
        <f t="shared" si="51"/>
        <v>1</v>
      </c>
      <c r="R168" s="179">
        <f t="shared" si="52"/>
        <v>0.8993200352524402</v>
      </c>
      <c r="S168" s="837">
        <f t="shared" si="53"/>
        <v>-2</v>
      </c>
      <c r="T168" s="178">
        <f t="shared" si="54"/>
        <v>4</v>
      </c>
      <c r="U168" s="253">
        <f t="shared" si="55"/>
        <v>-1.1006799647475598</v>
      </c>
      <c r="V168" s="385">
        <f t="shared" si="56"/>
        <v>56.700839245061673</v>
      </c>
      <c r="W168" s="404"/>
      <c r="X168" s="157">
        <f t="shared" si="57"/>
        <v>43984</v>
      </c>
      <c r="Y168" s="387">
        <f t="shared" si="58"/>
        <v>52.222999999999999</v>
      </c>
      <c r="Z168" s="387">
        <f t="shared" si="59"/>
        <v>53.044879743258072</v>
      </c>
      <c r="AA168" s="388">
        <f t="shared" si="60"/>
        <v>59.936496003435394</v>
      </c>
      <c r="AB168" s="199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0.11498196791120907</v>
      </c>
      <c r="AD168" s="233">
        <f>(INDEX(Models!$BJ168:$BT168,,AH168)*(1-AF168)+INDEX(Models!$BJ168:$BT168,,AH168+1)*AF168-ERP_i)*AE168*Ramure*Pc/MaxiM</f>
        <v>1.0582086332627368E-4</v>
      </c>
      <c r="AE168" s="307">
        <f t="shared" si="62"/>
        <v>1</v>
      </c>
      <c r="AF168" s="179">
        <f t="shared" si="63"/>
        <v>0.8993200352524402</v>
      </c>
      <c r="AG168" s="837">
        <f t="shared" si="71"/>
        <v>-2</v>
      </c>
      <c r="AH168" s="178">
        <f t="shared" si="64"/>
        <v>4</v>
      </c>
      <c r="AI168" s="227">
        <f t="shared" si="65"/>
        <v>-1.1006799647475598</v>
      </c>
      <c r="AJ168" s="267" t="b">
        <f t="shared" si="66"/>
        <v>0</v>
      </c>
      <c r="AK168" s="267" t="b">
        <f t="shared" si="67"/>
        <v>0</v>
      </c>
      <c r="AL168" s="267"/>
      <c r="AM168" s="267"/>
      <c r="AN168" s="75"/>
    </row>
    <row r="169" spans="1:40" s="18" customFormat="1" ht="11.25" customHeight="1" x14ac:dyDescent="0.2">
      <c r="A169" s="56">
        <f t="shared" si="68"/>
        <v>43985</v>
      </c>
      <c r="B169" s="618">
        <v>24.579000000000001</v>
      </c>
      <c r="C169" s="392"/>
      <c r="D169" s="395">
        <f t="shared" si="48"/>
        <v>24.966402562395142</v>
      </c>
      <c r="E169" s="387">
        <f t="shared" si="69"/>
        <v>28.217704288801709</v>
      </c>
      <c r="F169" s="387">
        <f t="shared" si="49"/>
        <v>28.21824514766686</v>
      </c>
      <c r="G169" s="110">
        <f t="shared" si="70"/>
        <v>0.43352458273551342</v>
      </c>
      <c r="H169" s="414" t="b">
        <f>Wh_hp&gt;='2019'!Maxi_hp</f>
        <v>0</v>
      </c>
      <c r="I169" s="382">
        <f>IF(H169,Wh_hp,'2019'!Maxi_hp)</f>
        <v>57.961791725127831</v>
      </c>
      <c r="J169" s="85">
        <f>IF(H169,An,'2019'!An_max)</f>
        <v>2019</v>
      </c>
      <c r="K169" s="199">
        <f t="shared" si="50"/>
        <v>43985</v>
      </c>
      <c r="L169" s="147">
        <f>IF(t&lt;Tvie,1-EXP((T0-t)*PertePVj)+'2019'!Pspv,1-EXP((T0-t)*PertePVj)+Pspv)</f>
        <v>1.5516955693835377E-2</v>
      </c>
      <c r="M169" s="870"/>
      <c r="N169" s="870"/>
      <c r="O169" s="48">
        <f>IF(t&lt;Tnet,'2019'!Resal+('2019'!Salim-'2019'!Resal)*(1-EXP(('2019'!Tnet-t)/('2019'!Tau_j))),Resal+(Salim-Resal)*(1-EXP((Tnet-t)/(Tau_j))))*Salcycl</f>
        <v>0.11522204971496759</v>
      </c>
      <c r="P169" s="171">
        <f>(INDEX(Models!$BJ169:$BT169,,T169)*(1-R169)+INDEX(Models!$BJ169:$BT169,,T169+1)*R169-ERP_i)*Q169*Ramure*Pc/MaxiM</f>
        <v>1.0045606039818706E-4</v>
      </c>
      <c r="Q169" s="307">
        <f t="shared" si="51"/>
        <v>1</v>
      </c>
      <c r="R169" s="179">
        <f t="shared" si="52"/>
        <v>0.90639697579396405</v>
      </c>
      <c r="S169" s="837">
        <f t="shared" si="53"/>
        <v>-2</v>
      </c>
      <c r="T169" s="178">
        <f t="shared" si="54"/>
        <v>4</v>
      </c>
      <c r="U169" s="253">
        <f t="shared" si="55"/>
        <v>-1.0936030242060359</v>
      </c>
      <c r="V169" s="385">
        <f t="shared" si="56"/>
        <v>56.69113802636047</v>
      </c>
      <c r="W169" s="404"/>
      <c r="X169" s="157">
        <f t="shared" si="57"/>
        <v>43985</v>
      </c>
      <c r="Y169" s="387">
        <f t="shared" si="58"/>
        <v>24.579000000000001</v>
      </c>
      <c r="Z169" s="387">
        <f t="shared" si="59"/>
        <v>24.966402562395142</v>
      </c>
      <c r="AA169" s="388">
        <f t="shared" si="60"/>
        <v>28.217704288801709</v>
      </c>
      <c r="AB169" s="199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0.11522204971496759</v>
      </c>
      <c r="AD169" s="233">
        <f>(INDEX(Models!$BJ169:$BT169,,AH169)*(1-AF169)+INDEX(Models!$BJ169:$BT169,,AH169+1)*AF169-ERP_i)*AE169*Ramure*Pc/MaxiM</f>
        <v>1.0045606039818706E-4</v>
      </c>
      <c r="AE169" s="307">
        <f t="shared" si="62"/>
        <v>1</v>
      </c>
      <c r="AF169" s="179">
        <f t="shared" si="63"/>
        <v>0.90639697579396405</v>
      </c>
      <c r="AG169" s="837">
        <f t="shared" si="71"/>
        <v>-2</v>
      </c>
      <c r="AH169" s="178">
        <f t="shared" si="64"/>
        <v>4</v>
      </c>
      <c r="AI169" s="227">
        <f t="shared" si="65"/>
        <v>-1.0936030242060359</v>
      </c>
      <c r="AJ169" s="267" t="b">
        <f t="shared" si="66"/>
        <v>0</v>
      </c>
      <c r="AK169" s="267" t="b">
        <f t="shared" si="67"/>
        <v>0</v>
      </c>
      <c r="AL169" s="267"/>
      <c r="AM169" s="267"/>
      <c r="AN169" s="267"/>
    </row>
    <row r="170" spans="1:40" s="18" customFormat="1" ht="11.25" customHeight="1" x14ac:dyDescent="0.2">
      <c r="A170" s="56">
        <f t="shared" si="68"/>
        <v>43986</v>
      </c>
      <c r="B170" s="618">
        <v>32.994999999999997</v>
      </c>
      <c r="C170" s="392"/>
      <c r="D170" s="395">
        <f t="shared" si="48"/>
        <v>33.515831532656087</v>
      </c>
      <c r="E170" s="387">
        <f t="shared" ref="E170:E232" si="72">Wh_pvt/(1-Psa)</f>
        <v>37.890698780526861</v>
      </c>
      <c r="F170" s="387">
        <f t="shared" si="49"/>
        <v>37.892166741145118</v>
      </c>
      <c r="G170" s="110">
        <f t="shared" ref="G170:G232" si="73">+Wh_hp/MaxiM</f>
        <v>0.58211666991599353</v>
      </c>
      <c r="H170" s="414" t="b">
        <f>Wh_hp&gt;='2019'!Maxi_hp</f>
        <v>1</v>
      </c>
      <c r="I170" s="382">
        <f>IF(H170,Wh_hp,'2019'!Maxi_hp)</f>
        <v>37.892166741145118</v>
      </c>
      <c r="J170" s="85">
        <f>IF(H170,An,'2019'!An_max)</f>
        <v>2020</v>
      </c>
      <c r="K170" s="199">
        <f t="shared" si="50"/>
        <v>43986</v>
      </c>
      <c r="L170" s="147">
        <f>IF(t&lt;Tvie,1-EXP((T0-t)*PertePVj)+'2019'!Pspv,1-EXP((T0-t)*PertePVj)+Pspv)</f>
        <v>1.5539866052513562E-2</v>
      </c>
      <c r="M170" s="870"/>
      <c r="N170" s="870"/>
      <c r="O170" s="48">
        <f>IF(t&lt;Tnet,'2019'!Resal+('2019'!Salim-'2019'!Resal)*(1-EXP(('2019'!Tnet-t)/('2019'!Tau_j))),Resal+(Salim-Resal)*(1-EXP((Tnet-t)/(Tau_j))))*Salcycl</f>
        <v>0.11546018914064328</v>
      </c>
      <c r="P170" s="171">
        <f>(INDEX(Models!$BJ170:$BT170,,T170)*(1-R170)+INDEX(Models!$BJ170:$BT170,,T170+1)*R170-ERP_i)*Q170*Ramure*Pc/MaxiM</f>
        <v>9.611315675842851E-5</v>
      </c>
      <c r="Q170" s="307">
        <f t="shared" si="51"/>
        <v>1</v>
      </c>
      <c r="R170" s="179">
        <f t="shared" si="52"/>
        <v>0.91350967701234476</v>
      </c>
      <c r="S170" s="837">
        <f t="shared" si="53"/>
        <v>-2</v>
      </c>
      <c r="T170" s="178">
        <f t="shared" si="54"/>
        <v>4</v>
      </c>
      <c r="U170" s="253">
        <f t="shared" si="55"/>
        <v>-1.0864903229876552</v>
      </c>
      <c r="V170" s="385">
        <f t="shared" si="56"/>
        <v>56.677825288626892</v>
      </c>
      <c r="W170" s="404"/>
      <c r="X170" s="157">
        <f t="shared" si="57"/>
        <v>43986</v>
      </c>
      <c r="Y170" s="387">
        <f t="shared" si="58"/>
        <v>32.994999999999997</v>
      </c>
      <c r="Z170" s="387">
        <f t="shared" si="59"/>
        <v>33.515831532656087</v>
      </c>
      <c r="AA170" s="388">
        <f t="shared" si="60"/>
        <v>37.890698780526861</v>
      </c>
      <c r="AB170" s="199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0.11546018914064328</v>
      </c>
      <c r="AD170" s="233">
        <f>(INDEX(Models!$BJ170:$BT170,,AH170)*(1-AF170)+INDEX(Models!$BJ170:$BT170,,AH170+1)*AF170-ERP_i)*AE170*Ramure*Pc/MaxiM</f>
        <v>9.611315675842851E-5</v>
      </c>
      <c r="AE170" s="307">
        <f t="shared" si="62"/>
        <v>1</v>
      </c>
      <c r="AF170" s="179">
        <f t="shared" si="63"/>
        <v>0.91350967701234476</v>
      </c>
      <c r="AG170" s="837">
        <f t="shared" si="71"/>
        <v>-2</v>
      </c>
      <c r="AH170" s="178">
        <f t="shared" si="64"/>
        <v>4</v>
      </c>
      <c r="AI170" s="227">
        <f t="shared" si="65"/>
        <v>-1.0864903229876552</v>
      </c>
      <c r="AJ170" s="267" t="b">
        <f t="shared" si="66"/>
        <v>0</v>
      </c>
      <c r="AK170" s="267" t="b">
        <f t="shared" si="67"/>
        <v>0</v>
      </c>
      <c r="AL170" s="267"/>
      <c r="AM170" s="267"/>
      <c r="AN170" s="267"/>
    </row>
    <row r="171" spans="1:40" s="6" customFormat="1" ht="11.25" customHeight="1" x14ac:dyDescent="0.2">
      <c r="A171" s="56">
        <f t="shared" si="68"/>
        <v>43987</v>
      </c>
      <c r="B171" s="618">
        <v>24.263999999999999</v>
      </c>
      <c r="C171" s="392"/>
      <c r="D171" s="395">
        <f t="shared" si="48"/>
        <v>24.64758483878078</v>
      </c>
      <c r="E171" s="387">
        <f t="shared" si="72"/>
        <v>27.872304842702533</v>
      </c>
      <c r="F171" s="387">
        <f t="shared" si="49"/>
        <v>27.872775918334607</v>
      </c>
      <c r="G171" s="110">
        <f t="shared" si="73"/>
        <v>0.42819770924525397</v>
      </c>
      <c r="H171" s="414" t="b">
        <f>Wh_hp&gt;='2019'!Maxi_hp</f>
        <v>0</v>
      </c>
      <c r="I171" s="382">
        <f>IF(H171,Wh_hp,'2019'!Maxi_hp)</f>
        <v>63.713317790939129</v>
      </c>
      <c r="J171" s="85">
        <f>IF(H171,An,'2019'!An_max)</f>
        <v>2019</v>
      </c>
      <c r="K171" s="199">
        <f t="shared" si="50"/>
        <v>43987</v>
      </c>
      <c r="L171" s="147">
        <f>IF(t&lt;Tvie,1-EXP((T0-t)*PertePVj)+'2019'!Pspv,1-EXP((T0-t)*PertePVj)+Pspv)</f>
        <v>1.556277587803423E-2</v>
      </c>
      <c r="M171" s="870"/>
      <c r="N171" s="870"/>
      <c r="O171" s="48">
        <f>IF(t&lt;Tnet,'2019'!Resal+('2019'!Salim-'2019'!Resal)*(1-EXP(('2019'!Tnet-t)/('2019'!Tau_j))),Resal+(Salim-Resal)*(1-EXP((Tnet-t)/(Tau_j))))*Salcycl</f>
        <v>0.11569620891133589</v>
      </c>
      <c r="P171" s="171">
        <f>(INDEX(Models!$BJ171:$BT171,,T171)*(1-R171)+INDEX(Models!$BJ171:$BT171,,T171+1)*R171-ERP_i)*Q171*Ramure*Pc/MaxiM</f>
        <v>9.2261152900866125E-5</v>
      </c>
      <c r="Q171" s="307">
        <f t="shared" si="51"/>
        <v>1</v>
      </c>
      <c r="R171" s="179">
        <f t="shared" si="52"/>
        <v>0.92065236297834074</v>
      </c>
      <c r="S171" s="837">
        <f t="shared" si="53"/>
        <v>-2</v>
      </c>
      <c r="T171" s="178">
        <f t="shared" si="54"/>
        <v>4</v>
      </c>
      <c r="U171" s="253">
        <f t="shared" si="55"/>
        <v>-1.0793476370216593</v>
      </c>
      <c r="V171" s="385">
        <f t="shared" si="56"/>
        <v>56.661142515767708</v>
      </c>
      <c r="W171" s="404"/>
      <c r="X171" s="157">
        <f t="shared" si="57"/>
        <v>43987</v>
      </c>
      <c r="Y171" s="387">
        <f t="shared" si="58"/>
        <v>24.263999999999999</v>
      </c>
      <c r="Z171" s="387">
        <f t="shared" si="59"/>
        <v>24.64758483878078</v>
      </c>
      <c r="AA171" s="388">
        <f t="shared" si="60"/>
        <v>27.872304842702533</v>
      </c>
      <c r="AB171" s="199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0.11569620891133589</v>
      </c>
      <c r="AD171" s="233">
        <f>(INDEX(Models!$BJ171:$BT171,,AH171)*(1-AF171)+INDEX(Models!$BJ171:$BT171,,AH171+1)*AF171-ERP_i)*AE171*Ramure*Pc/MaxiM</f>
        <v>9.2261152900866125E-5</v>
      </c>
      <c r="AE171" s="307">
        <f t="shared" si="62"/>
        <v>1</v>
      </c>
      <c r="AF171" s="179">
        <f t="shared" si="63"/>
        <v>0.92065236297834074</v>
      </c>
      <c r="AG171" s="837">
        <f t="shared" si="71"/>
        <v>-2</v>
      </c>
      <c r="AH171" s="178">
        <f t="shared" si="64"/>
        <v>4</v>
      </c>
      <c r="AI171" s="227">
        <f t="shared" si="65"/>
        <v>-1.0793476370216593</v>
      </c>
      <c r="AJ171" s="267" t="b">
        <f t="shared" si="66"/>
        <v>0</v>
      </c>
      <c r="AK171" s="267" t="b">
        <f t="shared" si="67"/>
        <v>0</v>
      </c>
      <c r="AL171" s="267"/>
      <c r="AM171" s="267"/>
      <c r="AN171" s="75"/>
    </row>
    <row r="172" spans="1:40" s="6" customFormat="1" ht="11.25" customHeight="1" x14ac:dyDescent="0.2">
      <c r="A172" s="56">
        <f t="shared" si="68"/>
        <v>43988</v>
      </c>
      <c r="B172" s="618">
        <v>25.183</v>
      </c>
      <c r="C172" s="392"/>
      <c r="D172" s="395">
        <f t="shared" si="48"/>
        <v>25.581708454086606</v>
      </c>
      <c r="E172" s="387">
        <f t="shared" si="72"/>
        <v>28.93629081417328</v>
      </c>
      <c r="F172" s="387">
        <f t="shared" si="49"/>
        <v>28.936822277659818</v>
      </c>
      <c r="G172" s="110">
        <f t="shared" si="73"/>
        <v>0.44457354426296014</v>
      </c>
      <c r="H172" s="414" t="b">
        <f>Wh_hp&gt;='2019'!Maxi_hp</f>
        <v>1</v>
      </c>
      <c r="I172" s="382">
        <f>IF(H172,Wh_hp,'2019'!Maxi_hp)</f>
        <v>28.936822277659818</v>
      </c>
      <c r="J172" s="85">
        <f>IF(H172,An,'2019'!An_max)</f>
        <v>2020</v>
      </c>
      <c r="K172" s="199">
        <f t="shared" si="50"/>
        <v>43988</v>
      </c>
      <c r="L172" s="147">
        <f>IF(t&lt;Tvie,1-EXP((T0-t)*PertePVj)+'2019'!Pspv,1-EXP((T0-t)*PertePVj)+Pspv)</f>
        <v>1.5585685170409813E-2</v>
      </c>
      <c r="M172" s="870"/>
      <c r="N172" s="870"/>
      <c r="O172" s="48">
        <f>IF(t&lt;Tnet,'2019'!Resal+('2019'!Salim-'2019'!Resal)*(1-EXP(('2019'!Tnet-t)/('2019'!Tau_j))),Resal+(Salim-Resal)*(1-EXP((Tnet-t)/(Tau_j))))*Salcycl</f>
        <v>0.11592993661936675</v>
      </c>
      <c r="P172" s="171">
        <f>(INDEX(Models!$BJ172:$BT172,,T172)*(1-R172)+INDEX(Models!$BJ172:$BT172,,T172+1)*R172-ERP_i)*Q172*Ramure*Pc/MaxiM</f>
        <v>8.890733709709894E-5</v>
      </c>
      <c r="Q172" s="307">
        <f t="shared" si="51"/>
        <v>1</v>
      </c>
      <c r="R172" s="179">
        <f t="shared" si="52"/>
        <v>0.92781915816329708</v>
      </c>
      <c r="S172" s="837">
        <f t="shared" si="53"/>
        <v>-2</v>
      </c>
      <c r="T172" s="178">
        <f t="shared" si="54"/>
        <v>4</v>
      </c>
      <c r="U172" s="253">
        <f t="shared" si="55"/>
        <v>-1.0721808418367029</v>
      </c>
      <c r="V172" s="385">
        <f t="shared" si="56"/>
        <v>56.641300091672719</v>
      </c>
      <c r="W172" s="404"/>
      <c r="X172" s="157">
        <f t="shared" si="57"/>
        <v>43988</v>
      </c>
      <c r="Y172" s="387">
        <f t="shared" si="58"/>
        <v>25.183</v>
      </c>
      <c r="Z172" s="387">
        <f t="shared" si="59"/>
        <v>25.581708454086606</v>
      </c>
      <c r="AA172" s="388">
        <f t="shared" si="60"/>
        <v>28.93629081417328</v>
      </c>
      <c r="AB172" s="199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0.11592993661936675</v>
      </c>
      <c r="AD172" s="233">
        <f>(INDEX(Models!$BJ172:$BT172,,AH172)*(1-AF172)+INDEX(Models!$BJ172:$BT172,,AH172+1)*AF172-ERP_i)*AE172*Ramure*Pc/MaxiM</f>
        <v>8.890733709709894E-5</v>
      </c>
      <c r="AE172" s="307">
        <f t="shared" si="62"/>
        <v>1</v>
      </c>
      <c r="AF172" s="179">
        <f t="shared" si="63"/>
        <v>0.92781915816329708</v>
      </c>
      <c r="AG172" s="837">
        <f t="shared" si="71"/>
        <v>-2</v>
      </c>
      <c r="AH172" s="178">
        <f t="shared" si="64"/>
        <v>4</v>
      </c>
      <c r="AI172" s="227">
        <f t="shared" si="65"/>
        <v>-1.0721808418367029</v>
      </c>
      <c r="AJ172" s="267" t="b">
        <f t="shared" si="66"/>
        <v>0</v>
      </c>
      <c r="AK172" s="267" t="b">
        <f t="shared" si="67"/>
        <v>0</v>
      </c>
      <c r="AL172" s="267"/>
      <c r="AM172" s="267"/>
      <c r="AN172" s="75"/>
    </row>
    <row r="173" spans="1:40" s="6" customFormat="1" ht="11.25" customHeight="1" x14ac:dyDescent="0.2">
      <c r="A173" s="56">
        <f t="shared" si="68"/>
        <v>43989</v>
      </c>
      <c r="B173" s="618">
        <v>35.579000000000001</v>
      </c>
      <c r="C173" s="392"/>
      <c r="D173" s="395">
        <f t="shared" si="48"/>
        <v>36.143143652614768</v>
      </c>
      <c r="E173" s="387">
        <f t="shared" si="72"/>
        <v>40.893366385271172</v>
      </c>
      <c r="F173" s="387">
        <f t="shared" si="49"/>
        <v>40.895017479225537</v>
      </c>
      <c r="G173" s="110">
        <f t="shared" si="73"/>
        <v>0.6283700490396823</v>
      </c>
      <c r="H173" s="414" t="b">
        <f>Wh_hp&gt;='2019'!Maxi_hp</f>
        <v>0</v>
      </c>
      <c r="I173" s="382">
        <f>IF(H173,Wh_hp,'2019'!Maxi_hp)</f>
        <v>66.080309605009333</v>
      </c>
      <c r="J173" s="85">
        <f>IF(H173,An,'2019'!An_max)</f>
        <v>2019</v>
      </c>
      <c r="K173" s="199">
        <f t="shared" si="50"/>
        <v>43989</v>
      </c>
      <c r="L173" s="147">
        <f>IF(t&lt;Tvie,1-EXP((T0-t)*PertePVj)+'2019'!Pspv,1-EXP((T0-t)*PertePVj)+Pspv)</f>
        <v>1.5608593929652637E-2</v>
      </c>
      <c r="M173" s="870"/>
      <c r="N173" s="870"/>
      <c r="O173" s="48">
        <f>IF(t&lt;Tnet,'2019'!Resal+('2019'!Salim-'2019'!Resal)*(1-EXP(('2019'!Tnet-t)/('2019'!Tau_j))),Resal+(Salim-Resal)*(1-EXP((Tnet-t)/(Tau_j))))*Salcycl</f>
        <v>0.11616120541172475</v>
      </c>
      <c r="P173" s="171">
        <f>(INDEX(Models!$BJ173:$BT173,,T173)*(1-R173)+INDEX(Models!$BJ173:$BT173,,T173+1)*R173-ERP_i)*Q173*Ramure*Pc/MaxiM</f>
        <v>8.6059322347414857E-5</v>
      </c>
      <c r="Q173" s="307">
        <f t="shared" si="51"/>
        <v>1</v>
      </c>
      <c r="R173" s="179">
        <f t="shared" si="52"/>
        <v>0.93500410649787025</v>
      </c>
      <c r="S173" s="837">
        <f t="shared" si="53"/>
        <v>-2</v>
      </c>
      <c r="T173" s="178">
        <f t="shared" si="54"/>
        <v>4</v>
      </c>
      <c r="U173" s="253">
        <f t="shared" si="55"/>
        <v>-1.0649958935021298</v>
      </c>
      <c r="V173" s="385">
        <f t="shared" si="56"/>
        <v>56.618507755694431</v>
      </c>
      <c r="W173" s="404"/>
      <c r="X173" s="157">
        <f t="shared" si="57"/>
        <v>43989</v>
      </c>
      <c r="Y173" s="387">
        <f t="shared" si="58"/>
        <v>35.579000000000001</v>
      </c>
      <c r="Z173" s="387">
        <f t="shared" si="59"/>
        <v>36.143143652614768</v>
      </c>
      <c r="AA173" s="388">
        <f t="shared" si="60"/>
        <v>40.893366385271172</v>
      </c>
      <c r="AB173" s="199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0.11616120541172475</v>
      </c>
      <c r="AD173" s="233">
        <f>(INDEX(Models!$BJ173:$BT173,,AH173)*(1-AF173)+INDEX(Models!$BJ173:$BT173,,AH173+1)*AF173-ERP_i)*AE173*Ramure*Pc/MaxiM</f>
        <v>8.6059322347414857E-5</v>
      </c>
      <c r="AE173" s="307">
        <f t="shared" si="62"/>
        <v>1</v>
      </c>
      <c r="AF173" s="179">
        <f t="shared" si="63"/>
        <v>0.93500410649787025</v>
      </c>
      <c r="AG173" s="837">
        <f t="shared" si="71"/>
        <v>-2</v>
      </c>
      <c r="AH173" s="178">
        <f t="shared" si="64"/>
        <v>4</v>
      </c>
      <c r="AI173" s="227">
        <f t="shared" si="65"/>
        <v>-1.0649958935021298</v>
      </c>
      <c r="AJ173" s="267" t="b">
        <f t="shared" si="66"/>
        <v>0</v>
      </c>
      <c r="AK173" s="267" t="b">
        <f t="shared" si="67"/>
        <v>0</v>
      </c>
      <c r="AL173" s="267"/>
      <c r="AM173" s="267"/>
      <c r="AN173" s="75"/>
    </row>
    <row r="174" spans="1:40" s="6" customFormat="1" ht="11.25" customHeight="1" x14ac:dyDescent="0.2">
      <c r="A174" s="56">
        <f t="shared" si="68"/>
        <v>43990</v>
      </c>
      <c r="B174" s="618">
        <v>42.241999999999997</v>
      </c>
      <c r="C174" s="392"/>
      <c r="D174" s="395">
        <f t="shared" si="48"/>
        <v>42.912791391140942</v>
      </c>
      <c r="E174" s="387">
        <f t="shared" si="72"/>
        <v>48.565299546639196</v>
      </c>
      <c r="F174" s="387">
        <f t="shared" si="49"/>
        <v>48.56789281759341</v>
      </c>
      <c r="G174" s="110">
        <f t="shared" si="73"/>
        <v>0.74639509667094273</v>
      </c>
      <c r="H174" s="414" t="b">
        <f>Wh_hp&gt;='2019'!Maxi_hp</f>
        <v>0</v>
      </c>
      <c r="I174" s="382">
        <f>IF(H174,Wh_hp,'2019'!Maxi_hp)</f>
        <v>53.139667425016256</v>
      </c>
      <c r="J174" s="85">
        <f>IF(H174,An,'2019'!An_max)</f>
        <v>2019</v>
      </c>
      <c r="K174" s="199">
        <f t="shared" si="50"/>
        <v>43990</v>
      </c>
      <c r="L174" s="147">
        <f>IF(t&lt;Tvie,1-EXP((T0-t)*PertePVj)+'2019'!Pspv,1-EXP((T0-t)*PertePVj)+Pspv)</f>
        <v>1.5631502155775134E-2</v>
      </c>
      <c r="M174" s="870"/>
      <c r="N174" s="870"/>
      <c r="O174" s="48">
        <f>IF(t&lt;Tnet,'2019'!Resal+('2019'!Salim-'2019'!Resal)*(1-EXP(('2019'!Tnet-t)/('2019'!Tau_j))),Resal+(Salim-Resal)*(1-EXP((Tnet-t)/(Tau_j))))*Salcycl</f>
        <v>0.11638985465476066</v>
      </c>
      <c r="P174" s="171">
        <f>(INDEX(Models!$BJ174:$BT174,,T174)*(1-R174)+INDEX(Models!$BJ174:$BT174,,T174+1)*R174-ERP_i)*Q174*Ramure*Pc/MaxiM</f>
        <v>8.3725014772270079E-5</v>
      </c>
      <c r="Q174" s="307">
        <f t="shared" si="51"/>
        <v>1</v>
      </c>
      <c r="R174" s="179">
        <f t="shared" si="52"/>
        <v>0.94220119099989841</v>
      </c>
      <c r="S174" s="837">
        <f t="shared" si="53"/>
        <v>-2</v>
      </c>
      <c r="T174" s="178">
        <f t="shared" si="54"/>
        <v>4</v>
      </c>
      <c r="U174" s="253">
        <f t="shared" si="55"/>
        <v>-1.0577988090001016</v>
      </c>
      <c r="V174" s="385">
        <f t="shared" si="56"/>
        <v>56.59297456446663</v>
      </c>
      <c r="W174" s="404"/>
      <c r="X174" s="157">
        <f t="shared" si="57"/>
        <v>43990</v>
      </c>
      <c r="Y174" s="387">
        <f t="shared" si="58"/>
        <v>42.241999999999997</v>
      </c>
      <c r="Z174" s="387">
        <f t="shared" si="59"/>
        <v>42.912791391140942</v>
      </c>
      <c r="AA174" s="388">
        <f t="shared" si="60"/>
        <v>48.565299546639196</v>
      </c>
      <c r="AB174" s="199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0.11638985465476066</v>
      </c>
      <c r="AD174" s="233">
        <f>(INDEX(Models!$BJ174:$BT174,,AH174)*(1-AF174)+INDEX(Models!$BJ174:$BT174,,AH174+1)*AF174-ERP_i)*AE174*Ramure*Pc/MaxiM</f>
        <v>8.3725014772270079E-5</v>
      </c>
      <c r="AE174" s="307">
        <f t="shared" si="62"/>
        <v>1</v>
      </c>
      <c r="AF174" s="179">
        <f t="shared" si="63"/>
        <v>0.94220119099989841</v>
      </c>
      <c r="AG174" s="837">
        <f t="shared" si="71"/>
        <v>-2</v>
      </c>
      <c r="AH174" s="178">
        <f t="shared" si="64"/>
        <v>4</v>
      </c>
      <c r="AI174" s="227">
        <f t="shared" si="65"/>
        <v>-1.0577988090001016</v>
      </c>
      <c r="AJ174" s="267" t="b">
        <f t="shared" si="66"/>
        <v>0</v>
      </c>
      <c r="AK174" s="267" t="b">
        <f t="shared" si="67"/>
        <v>0</v>
      </c>
      <c r="AL174" s="267"/>
      <c r="AM174" s="267"/>
      <c r="AN174" s="75"/>
    </row>
    <row r="175" spans="1:40" s="6" customFormat="1" ht="11.25" customHeight="1" x14ac:dyDescent="0.2">
      <c r="A175" s="56">
        <f t="shared" si="68"/>
        <v>43991</v>
      </c>
      <c r="B175" s="618">
        <v>21.745000000000001</v>
      </c>
      <c r="C175" s="392"/>
      <c r="D175" s="395">
        <f t="shared" si="48"/>
        <v>22.090818730299432</v>
      </c>
      <c r="E175" s="387">
        <f t="shared" si="72"/>
        <v>25.007032041264878</v>
      </c>
      <c r="F175" s="387">
        <f t="shared" si="49"/>
        <v>25.007279096042904</v>
      </c>
      <c r="G175" s="110">
        <f t="shared" si="73"/>
        <v>0.38439792556672286</v>
      </c>
      <c r="H175" s="414" t="b">
        <f>Wh_hp&gt;='2019'!Maxi_hp</f>
        <v>0</v>
      </c>
      <c r="I175" s="382">
        <f>IF(H175,Wh_hp,'2019'!Maxi_hp)</f>
        <v>26.334841225304466</v>
      </c>
      <c r="J175" s="85">
        <f>IF(H175,An,'2019'!An_max)</f>
        <v>2019</v>
      </c>
      <c r="K175" s="199">
        <f t="shared" si="50"/>
        <v>43991</v>
      </c>
      <c r="L175" s="147">
        <f>IF(t&lt;Tvie,1-EXP((T0-t)*PertePVj)+'2019'!Pspv,1-EXP((T0-t)*PertePVj)+Pspv)</f>
        <v>1.5654409848789852E-2</v>
      </c>
      <c r="M175" s="870"/>
      <c r="N175" s="870"/>
      <c r="O175" s="48">
        <f>IF(t&lt;Tnet,'2019'!Resal+('2019'!Salim-'2019'!Resal)*(1-EXP(('2019'!Tnet-t)/('2019'!Tau_j))),Resal+(Salim-Resal)*(1-EXP((Tnet-t)/(Tau_j))))*Salcycl</f>
        <v>0.11661573057343681</v>
      </c>
      <c r="P175" s="171">
        <f>(INDEX(Models!$BJ175:$BT175,,T175)*(1-R175)+INDEX(Models!$BJ175:$BT175,,T175+1)*R175-ERP_i)*Q175*Ramure*Pc/MaxiM</f>
        <v>8.1912581259173874E-5</v>
      </c>
      <c r="Q175" s="307">
        <f t="shared" si="51"/>
        <v>1</v>
      </c>
      <c r="R175" s="179">
        <f t="shared" si="52"/>
        <v>0.94940435383531452</v>
      </c>
      <c r="S175" s="837">
        <f t="shared" si="53"/>
        <v>-2</v>
      </c>
      <c r="T175" s="178">
        <f t="shared" si="54"/>
        <v>4</v>
      </c>
      <c r="U175" s="253">
        <f t="shared" si="55"/>
        <v>-1.0505956461646855</v>
      </c>
      <c r="V175" s="385">
        <f t="shared" si="56"/>
        <v>56.564908848260799</v>
      </c>
      <c r="W175" s="404"/>
      <c r="X175" s="157">
        <f t="shared" si="57"/>
        <v>43991</v>
      </c>
      <c r="Y175" s="387">
        <f t="shared" si="58"/>
        <v>21.745000000000001</v>
      </c>
      <c r="Z175" s="387">
        <f t="shared" si="59"/>
        <v>22.090818730299432</v>
      </c>
      <c r="AA175" s="388">
        <f t="shared" si="60"/>
        <v>25.007032041264878</v>
      </c>
      <c r="AB175" s="199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0.11661573057343681</v>
      </c>
      <c r="AD175" s="233">
        <f>(INDEX(Models!$BJ175:$BT175,,AH175)*(1-AF175)+INDEX(Models!$BJ175:$BT175,,AH175+1)*AF175-ERP_i)*AE175*Ramure*Pc/MaxiM</f>
        <v>8.1912581259173874E-5</v>
      </c>
      <c r="AE175" s="307">
        <f t="shared" si="62"/>
        <v>1</v>
      </c>
      <c r="AF175" s="179">
        <f t="shared" si="63"/>
        <v>0.94940435383531452</v>
      </c>
      <c r="AG175" s="837">
        <f t="shared" si="71"/>
        <v>-2</v>
      </c>
      <c r="AH175" s="178">
        <f t="shared" si="64"/>
        <v>4</v>
      </c>
      <c r="AI175" s="227">
        <f t="shared" si="65"/>
        <v>-1.0505956461646855</v>
      </c>
      <c r="AJ175" s="267" t="b">
        <f t="shared" si="66"/>
        <v>0</v>
      </c>
      <c r="AK175" s="267" t="b">
        <f t="shared" si="67"/>
        <v>0</v>
      </c>
      <c r="AL175" s="267"/>
      <c r="AM175" s="267"/>
      <c r="AN175" s="75"/>
    </row>
    <row r="176" spans="1:40" s="6" customFormat="1" ht="11.25" customHeight="1" x14ac:dyDescent="0.2">
      <c r="A176" s="56">
        <f t="shared" si="68"/>
        <v>43992</v>
      </c>
      <c r="B176" s="618">
        <v>42.213000000000001</v>
      </c>
      <c r="C176" s="392"/>
      <c r="D176" s="395">
        <f t="shared" si="48"/>
        <v>42.885326864273317</v>
      </c>
      <c r="E176" s="387">
        <f t="shared" si="72"/>
        <v>48.558882988007632</v>
      </c>
      <c r="F176" s="387">
        <f t="shared" si="49"/>
        <v>48.561381520875166</v>
      </c>
      <c r="G176" s="110">
        <f t="shared" si="73"/>
        <v>0.74665477917543766</v>
      </c>
      <c r="H176" s="414" t="b">
        <f>Wh_hp&gt;='2019'!Maxi_hp</f>
        <v>1</v>
      </c>
      <c r="I176" s="382">
        <f>IF(H176,Wh_hp,'2019'!Maxi_hp)</f>
        <v>48.561381520875166</v>
      </c>
      <c r="J176" s="85">
        <f>IF(H176,An,'2019'!An_max)</f>
        <v>2020</v>
      </c>
      <c r="K176" s="199">
        <f t="shared" si="50"/>
        <v>43992</v>
      </c>
      <c r="L176" s="147">
        <f>IF(t&lt;Tvie,1-EXP((T0-t)*PertePVj)+'2019'!Pspv,1-EXP((T0-t)*PertePVj)+Pspv)</f>
        <v>1.5677317008709002E-2</v>
      </c>
      <c r="M176" s="870"/>
      <c r="N176" s="870"/>
      <c r="O176" s="48">
        <f>IF(t&lt;Tnet,'2019'!Resal+('2019'!Salim-'2019'!Resal)*(1-EXP(('2019'!Tnet-t)/('2019'!Tau_j))),Resal+(Salim-Resal)*(1-EXP((Tnet-t)/(Tau_j))))*Salcycl</f>
        <v>0.11683868686055833</v>
      </c>
      <c r="P176" s="171">
        <f>(INDEX(Models!$BJ176:$BT176,,T176)*(1-R176)+INDEX(Models!$BJ176:$BT176,,T176+1)*R176-ERP_i)*Q176*Ramure*Pc/MaxiM</f>
        <v>8.063041645019916E-5</v>
      </c>
      <c r="Q176" s="307">
        <f t="shared" si="51"/>
        <v>1</v>
      </c>
      <c r="R176" s="179">
        <f t="shared" si="52"/>
        <v>0.95660751667073063</v>
      </c>
      <c r="S176" s="837">
        <f t="shared" si="53"/>
        <v>-2</v>
      </c>
      <c r="T176" s="178">
        <f t="shared" si="54"/>
        <v>4</v>
      </c>
      <c r="U176" s="253">
        <f t="shared" si="55"/>
        <v>-1.0433924833292694</v>
      </c>
      <c r="V176" s="385">
        <f t="shared" si="56"/>
        <v>56.53451817933594</v>
      </c>
      <c r="W176" s="404"/>
      <c r="X176" s="157">
        <f t="shared" si="57"/>
        <v>43992</v>
      </c>
      <c r="Y176" s="387">
        <f t="shared" si="58"/>
        <v>42.213000000000001</v>
      </c>
      <c r="Z176" s="387">
        <f t="shared" si="59"/>
        <v>42.885326864273317</v>
      </c>
      <c r="AA176" s="388">
        <f t="shared" si="60"/>
        <v>48.558882988007632</v>
      </c>
      <c r="AB176" s="199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0.11683868686055833</v>
      </c>
      <c r="AD176" s="233">
        <f>(INDEX(Models!$BJ176:$BT176,,AH176)*(1-AF176)+INDEX(Models!$BJ176:$BT176,,AH176+1)*AF176-ERP_i)*AE176*Ramure*Pc/MaxiM</f>
        <v>8.063041645019916E-5</v>
      </c>
      <c r="AE176" s="307">
        <f t="shared" si="62"/>
        <v>1</v>
      </c>
      <c r="AF176" s="179">
        <f t="shared" si="63"/>
        <v>0.95660751667073063</v>
      </c>
      <c r="AG176" s="837">
        <f t="shared" si="71"/>
        <v>-2</v>
      </c>
      <c r="AH176" s="178">
        <f t="shared" si="64"/>
        <v>4</v>
      </c>
      <c r="AI176" s="227">
        <f t="shared" si="65"/>
        <v>-1.0433924833292694</v>
      </c>
      <c r="AJ176" s="267" t="b">
        <f t="shared" si="66"/>
        <v>0</v>
      </c>
      <c r="AK176" s="267" t="b">
        <f t="shared" si="67"/>
        <v>0</v>
      </c>
      <c r="AL176" s="267"/>
      <c r="AM176" s="267"/>
      <c r="AN176" s="75"/>
    </row>
    <row r="177" spans="1:40" s="6" customFormat="1" ht="11.25" customHeight="1" x14ac:dyDescent="0.2">
      <c r="A177" s="56">
        <f t="shared" si="68"/>
        <v>43993</v>
      </c>
      <c r="B177" s="618">
        <v>28.158000000000001</v>
      </c>
      <c r="C177" s="392"/>
      <c r="D177" s="395">
        <f t="shared" si="48"/>
        <v>28.607138471576764</v>
      </c>
      <c r="E177" s="387">
        <f t="shared" si="72"/>
        <v>32.399814974958119</v>
      </c>
      <c r="F177" s="387">
        <f t="shared" si="49"/>
        <v>32.400548469109189</v>
      </c>
      <c r="G177" s="110">
        <f t="shared" si="73"/>
        <v>0.49833351420572075</v>
      </c>
      <c r="H177" s="414" t="b">
        <f>Wh_hp&gt;='2019'!Maxi_hp</f>
        <v>0</v>
      </c>
      <c r="I177" s="382">
        <f>IF(H177,Wh_hp,'2019'!Maxi_hp)</f>
        <v>60.932539305572888</v>
      </c>
      <c r="J177" s="85">
        <f>IF(H177,An,'2019'!An_max)</f>
        <v>2019</v>
      </c>
      <c r="K177" s="199">
        <f t="shared" si="50"/>
        <v>43993</v>
      </c>
      <c r="L177" s="147">
        <f>IF(t&lt;Tvie,1-EXP((T0-t)*PertePVj)+'2019'!Pspv,1-EXP((T0-t)*PertePVj)+Pspv)</f>
        <v>1.570022363554513E-2</v>
      </c>
      <c r="M177" s="870"/>
      <c r="N177" s="870"/>
      <c r="O177" s="48">
        <f>IF(t&lt;Tnet,'2019'!Resal+('2019'!Salim-'2019'!Resal)*(1-EXP(('2019'!Tnet-t)/('2019'!Tau_j))),Resal+(Salim-Resal)*(1-EXP((Tnet-t)/(Tau_j))))*Salcycl</f>
        <v>0.11705858525157385</v>
      </c>
      <c r="P177" s="171">
        <f>(INDEX(Models!$BJ177:$BT177,,T177)*(1-R177)+INDEX(Models!$BJ177:$BT177,,T177+1)*R177-ERP_i)*Q177*Ramure*Pc/MaxiM</f>
        <v>7.9888405622200045E-5</v>
      </c>
      <c r="Q177" s="307">
        <f t="shared" si="51"/>
        <v>1</v>
      </c>
      <c r="R177" s="179">
        <f t="shared" si="52"/>
        <v>0.96380460117275879</v>
      </c>
      <c r="S177" s="837">
        <f t="shared" si="53"/>
        <v>-2</v>
      </c>
      <c r="T177" s="178">
        <f t="shared" si="54"/>
        <v>4</v>
      </c>
      <c r="U177" s="253">
        <f t="shared" si="55"/>
        <v>-1.0361953988272412</v>
      </c>
      <c r="V177" s="385">
        <f t="shared" si="56"/>
        <v>56.501092367059911</v>
      </c>
      <c r="W177" s="404"/>
      <c r="X177" s="157">
        <f t="shared" si="57"/>
        <v>43993</v>
      </c>
      <c r="Y177" s="387">
        <f t="shared" si="58"/>
        <v>28.158000000000001</v>
      </c>
      <c r="Z177" s="387">
        <f t="shared" si="59"/>
        <v>28.607138471576764</v>
      </c>
      <c r="AA177" s="388">
        <f t="shared" si="60"/>
        <v>32.399814974958119</v>
      </c>
      <c r="AB177" s="199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0.11705858525157385</v>
      </c>
      <c r="AD177" s="233">
        <f>(INDEX(Models!$BJ177:$BT177,,AH177)*(1-AF177)+INDEX(Models!$BJ177:$BT177,,AH177+1)*AF177-ERP_i)*AE177*Ramure*Pc/MaxiM</f>
        <v>7.9888405622200045E-5</v>
      </c>
      <c r="AE177" s="307">
        <f t="shared" si="62"/>
        <v>1</v>
      </c>
      <c r="AF177" s="179">
        <f t="shared" si="63"/>
        <v>0.96380460117275879</v>
      </c>
      <c r="AG177" s="837">
        <f t="shared" si="71"/>
        <v>-2</v>
      </c>
      <c r="AH177" s="178">
        <f t="shared" si="64"/>
        <v>4</v>
      </c>
      <c r="AI177" s="227">
        <f t="shared" si="65"/>
        <v>-1.0361953988272412</v>
      </c>
      <c r="AJ177" s="267" t="b">
        <f t="shared" si="66"/>
        <v>0</v>
      </c>
      <c r="AK177" s="267" t="b">
        <f t="shared" si="67"/>
        <v>0</v>
      </c>
      <c r="AL177" s="267"/>
      <c r="AM177" s="267"/>
      <c r="AN177" s="75"/>
    </row>
    <row r="178" spans="1:40" s="6" customFormat="1" ht="11.25" customHeight="1" x14ac:dyDescent="0.2">
      <c r="A178" s="56">
        <f t="shared" si="68"/>
        <v>43994</v>
      </c>
      <c r="B178" s="618">
        <v>45.753999999999998</v>
      </c>
      <c r="C178" s="392"/>
      <c r="D178" s="395">
        <f t="shared" si="48"/>
        <v>46.484887923270037</v>
      </c>
      <c r="E178" s="387">
        <f t="shared" si="72"/>
        <v>52.660685393561252</v>
      </c>
      <c r="F178" s="387">
        <f t="shared" si="49"/>
        <v>52.663745102139984</v>
      </c>
      <c r="G178" s="110">
        <f t="shared" si="73"/>
        <v>0.8103052469875941</v>
      </c>
      <c r="H178" s="414" t="b">
        <f>Wh_hp&gt;='2019'!Maxi_hp</f>
        <v>0</v>
      </c>
      <c r="I178" s="382">
        <f>IF(H178,Wh_hp,'2019'!Maxi_hp)</f>
        <v>63.578698622220735</v>
      </c>
      <c r="J178" s="85">
        <f>IF(H178,An,'2019'!An_max)</f>
        <v>2019</v>
      </c>
      <c r="K178" s="199">
        <f t="shared" si="50"/>
        <v>43994</v>
      </c>
      <c r="L178" s="147">
        <f>IF(t&lt;Tvie,1-EXP((T0-t)*PertePVj)+'2019'!Pspv,1-EXP((T0-t)*PertePVj)+Pspv)</f>
        <v>1.5723129729310559E-2</v>
      </c>
      <c r="M178" s="870"/>
      <c r="N178" s="870"/>
      <c r="O178" s="48">
        <f>IF(t&lt;Tnet,'2019'!Resal+('2019'!Salim-'2019'!Resal)*(1-EXP(('2019'!Tnet-t)/('2019'!Tau_j))),Resal+(Salim-Resal)*(1-EXP((Tnet-t)/(Tau_j))))*Salcycl</f>
        <v>0.11727529606073681</v>
      </c>
      <c r="P178" s="171">
        <f>(INDEX(Models!$BJ178:$BT178,,T178)*(1-R178)+INDEX(Models!$BJ178:$BT178,,T178+1)*R178-ERP_i)*Q178*Ramure*Pc/MaxiM</f>
        <v>7.9693231554258675E-5</v>
      </c>
      <c r="Q178" s="307">
        <f t="shared" si="51"/>
        <v>1</v>
      </c>
      <c r="R178" s="179">
        <f t="shared" si="52"/>
        <v>0.97098954950733196</v>
      </c>
      <c r="S178" s="837">
        <f t="shared" si="53"/>
        <v>-2</v>
      </c>
      <c r="T178" s="178">
        <f t="shared" si="54"/>
        <v>4</v>
      </c>
      <c r="U178" s="253">
        <f t="shared" si="55"/>
        <v>-1.029010450492668</v>
      </c>
      <c r="V178" s="385">
        <f t="shared" si="56"/>
        <v>56.463921575449874</v>
      </c>
      <c r="W178" s="404"/>
      <c r="X178" s="157">
        <f t="shared" si="57"/>
        <v>43994</v>
      </c>
      <c r="Y178" s="387">
        <f t="shared" si="58"/>
        <v>45.753999999999998</v>
      </c>
      <c r="Z178" s="387">
        <f t="shared" si="59"/>
        <v>46.484887923270037</v>
      </c>
      <c r="AA178" s="388">
        <f t="shared" si="60"/>
        <v>52.660685393561252</v>
      </c>
      <c r="AB178" s="199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0.11727529606073681</v>
      </c>
      <c r="AD178" s="233">
        <f>(INDEX(Models!$BJ178:$BT178,,AH178)*(1-AF178)+INDEX(Models!$BJ178:$BT178,,AH178+1)*AF178-ERP_i)*AE178*Ramure*Pc/MaxiM</f>
        <v>7.9693231554258675E-5</v>
      </c>
      <c r="AE178" s="307">
        <f t="shared" si="62"/>
        <v>1</v>
      </c>
      <c r="AF178" s="179">
        <f t="shared" si="63"/>
        <v>0.97098954950733196</v>
      </c>
      <c r="AG178" s="837">
        <f t="shared" si="71"/>
        <v>-2</v>
      </c>
      <c r="AH178" s="178">
        <f t="shared" si="64"/>
        <v>4</v>
      </c>
      <c r="AI178" s="227">
        <f t="shared" si="65"/>
        <v>-1.029010450492668</v>
      </c>
      <c r="AJ178" s="267" t="b">
        <f t="shared" si="66"/>
        <v>0</v>
      </c>
      <c r="AK178" s="267" t="b">
        <f t="shared" si="67"/>
        <v>0</v>
      </c>
      <c r="AL178" s="267"/>
      <c r="AM178" s="267"/>
      <c r="AN178" s="75"/>
    </row>
    <row r="179" spans="1:40" s="6" customFormat="1" ht="11.25" x14ac:dyDescent="0.2">
      <c r="A179" s="56">
        <f t="shared" si="68"/>
        <v>43995</v>
      </c>
      <c r="B179" s="618">
        <v>38.180999999999997</v>
      </c>
      <c r="C179" s="392"/>
      <c r="D179" s="395">
        <f t="shared" si="48"/>
        <v>38.791817324556384</v>
      </c>
      <c r="E179" s="387">
        <f t="shared" si="72"/>
        <v>43.956170608013196</v>
      </c>
      <c r="F179" s="387">
        <f t="shared" si="49"/>
        <v>43.95805322701591</v>
      </c>
      <c r="G179" s="110">
        <f t="shared" si="73"/>
        <v>0.6766643906290023</v>
      </c>
      <c r="H179" s="414" t="b">
        <f>Wh_hp&gt;='2019'!Maxi_hp</f>
        <v>1</v>
      </c>
      <c r="I179" s="382">
        <f>IF(H179,Wh_hp,'2019'!Maxi_hp)</f>
        <v>43.95805322701591</v>
      </c>
      <c r="J179" s="85">
        <f>IF(H179,An,'2019'!An_max)</f>
        <v>2020</v>
      </c>
      <c r="K179" s="199">
        <f t="shared" si="50"/>
        <v>43995</v>
      </c>
      <c r="L179" s="147">
        <f>IF(t&lt;Tvie,1-EXP((T0-t)*PertePVj)+'2019'!Pspv,1-EXP((T0-t)*PertePVj)+Pspv)</f>
        <v>1.5746035290017724E-2</v>
      </c>
      <c r="M179" s="870"/>
      <c r="N179" s="870"/>
      <c r="O179" s="48">
        <f>IF(t&lt;Tnet,'2019'!Resal+('2019'!Salim-'2019'!Resal)*(1-EXP(('2019'!Tnet-t)/('2019'!Tau_j))),Resal+(Salim-Resal)*(1-EXP((Tnet-t)/(Tau_j))))*Salcycl</f>
        <v>0.11748869867466004</v>
      </c>
      <c r="P179" s="171">
        <f>(INDEX(Models!$BJ179:$BT179,,T179)*(1-R179)+INDEX(Models!$BJ179:$BT179,,T179+1)*R179-ERP_i)*Q179*Ramure*Pc/MaxiM</f>
        <v>7.958638576943054E-5</v>
      </c>
      <c r="Q179" s="307">
        <f t="shared" si="51"/>
        <v>1</v>
      </c>
      <c r="R179" s="179">
        <f t="shared" si="52"/>
        <v>0.97815634469228829</v>
      </c>
      <c r="S179" s="837">
        <f t="shared" si="53"/>
        <v>-2</v>
      </c>
      <c r="T179" s="178">
        <f t="shared" si="54"/>
        <v>4</v>
      </c>
      <c r="U179" s="253">
        <f t="shared" si="55"/>
        <v>-1.0218436553077117</v>
      </c>
      <c r="V179" s="385">
        <f t="shared" si="56"/>
        <v>56.423238731595916</v>
      </c>
      <c r="W179" s="404"/>
      <c r="X179" s="157">
        <f t="shared" si="57"/>
        <v>43995</v>
      </c>
      <c r="Y179" s="387">
        <f t="shared" si="58"/>
        <v>38.180999999999997</v>
      </c>
      <c r="Z179" s="387">
        <f t="shared" si="59"/>
        <v>38.791817324556384</v>
      </c>
      <c r="AA179" s="388">
        <f t="shared" si="60"/>
        <v>43.956170608013196</v>
      </c>
      <c r="AB179" s="199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0.11748869867466004</v>
      </c>
      <c r="AD179" s="233">
        <f>(INDEX(Models!$BJ179:$BT179,,AH179)*(1-AF179)+INDEX(Models!$BJ179:$BT179,,AH179+1)*AF179-ERP_i)*AE179*Ramure*Pc/MaxiM</f>
        <v>7.958638576943054E-5</v>
      </c>
      <c r="AE179" s="307">
        <f t="shared" si="62"/>
        <v>1</v>
      </c>
      <c r="AF179" s="179">
        <f t="shared" si="63"/>
        <v>0.97815634469228829</v>
      </c>
      <c r="AG179" s="837">
        <f t="shared" si="71"/>
        <v>-2</v>
      </c>
      <c r="AH179" s="178">
        <f t="shared" si="64"/>
        <v>4</v>
      </c>
      <c r="AI179" s="227">
        <f t="shared" si="65"/>
        <v>-1.0218436553077117</v>
      </c>
      <c r="AJ179" s="267" t="b">
        <f t="shared" si="66"/>
        <v>0</v>
      </c>
      <c r="AK179" s="267" t="b">
        <f t="shared" si="67"/>
        <v>0</v>
      </c>
      <c r="AL179" s="267"/>
      <c r="AM179" s="267"/>
      <c r="AN179" s="75"/>
    </row>
    <row r="180" spans="1:40" s="6" customFormat="1" ht="11.25" x14ac:dyDescent="0.2">
      <c r="A180" s="56">
        <f t="shared" si="68"/>
        <v>43996</v>
      </c>
      <c r="B180" s="618">
        <v>43.698999999999998</v>
      </c>
      <c r="C180" s="392"/>
      <c r="D180" s="395">
        <f t="shared" si="48"/>
        <v>44.399127186765135</v>
      </c>
      <c r="E180" s="387">
        <f t="shared" si="72"/>
        <v>50.321954961359332</v>
      </c>
      <c r="F180" s="387">
        <f t="shared" si="49"/>
        <v>50.324672684734409</v>
      </c>
      <c r="G180" s="110">
        <f t="shared" si="73"/>
        <v>0.77507031167897311</v>
      </c>
      <c r="H180" s="414" t="b">
        <f>Wh_hp&gt;='2019'!Maxi_hp</f>
        <v>1</v>
      </c>
      <c r="I180" s="382">
        <f>IF(H180,Wh_hp,'2019'!Maxi_hp)</f>
        <v>50.324672684734409</v>
      </c>
      <c r="J180" s="85">
        <f>IF(H180,An,'2019'!An_max)</f>
        <v>2020</v>
      </c>
      <c r="K180" s="199">
        <f t="shared" si="50"/>
        <v>43996</v>
      </c>
      <c r="L180" s="147">
        <f>IF(t&lt;Tvie,1-EXP((T0-t)*PertePVj)+'2019'!Pspv,1-EXP((T0-t)*PertePVj)+Pspv)</f>
        <v>1.5768940317678948E-2</v>
      </c>
      <c r="M180" s="870"/>
      <c r="N180" s="870"/>
      <c r="O180" s="48">
        <f>IF(t&lt;Tnet,'2019'!Resal+('2019'!Salim-'2019'!Resal)*(1-EXP(('2019'!Tnet-t)/('2019'!Tau_j))),Resal+(Salim-Resal)*(1-EXP((Tnet-t)/(Tau_j))))*Salcycl</f>
        <v>0.11769868199957956</v>
      </c>
      <c r="P180" s="171">
        <f>(INDEX(Models!$BJ180:$BT180,,T180)*(1-R180)+INDEX(Models!$BJ180:$BT180,,T180+1)*R180-ERP_i)*Q180*Ramure*Pc/MaxiM</f>
        <v>7.9569444160596699E-5</v>
      </c>
      <c r="Q180" s="307">
        <f t="shared" si="51"/>
        <v>1</v>
      </c>
      <c r="R180" s="179">
        <f t="shared" si="52"/>
        <v>0.98529903065828428</v>
      </c>
      <c r="S180" s="837">
        <f t="shared" si="53"/>
        <v>-2</v>
      </c>
      <c r="T180" s="178">
        <f t="shared" si="54"/>
        <v>4</v>
      </c>
      <c r="U180" s="253">
        <f t="shared" si="55"/>
        <v>-1.0147009693417157</v>
      </c>
      <c r="V180" s="385">
        <f t="shared" si="56"/>
        <v>56.379249840909495</v>
      </c>
      <c r="W180" s="404"/>
      <c r="X180" s="157">
        <f t="shared" si="57"/>
        <v>43996</v>
      </c>
      <c r="Y180" s="387">
        <f t="shared" si="58"/>
        <v>43.698999999999998</v>
      </c>
      <c r="Z180" s="387">
        <f t="shared" si="59"/>
        <v>44.399127186765135</v>
      </c>
      <c r="AA180" s="388">
        <f t="shared" si="60"/>
        <v>50.321954961359332</v>
      </c>
      <c r="AB180" s="199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0.11769868199957956</v>
      </c>
      <c r="AD180" s="233">
        <f>(INDEX(Models!$BJ180:$BT180,,AH180)*(1-AF180)+INDEX(Models!$BJ180:$BT180,,AH180+1)*AF180-ERP_i)*AE180*Ramure*Pc/MaxiM</f>
        <v>7.9569444160596699E-5</v>
      </c>
      <c r="AE180" s="307">
        <f t="shared" si="62"/>
        <v>1</v>
      </c>
      <c r="AF180" s="179">
        <f t="shared" si="63"/>
        <v>0.98529903065828428</v>
      </c>
      <c r="AG180" s="837">
        <f t="shared" si="71"/>
        <v>-2</v>
      </c>
      <c r="AH180" s="178">
        <f t="shared" si="64"/>
        <v>4</v>
      </c>
      <c r="AI180" s="227">
        <f t="shared" si="65"/>
        <v>-1.0147009693417157</v>
      </c>
      <c r="AJ180" s="267" t="b">
        <f t="shared" si="66"/>
        <v>0</v>
      </c>
      <c r="AK180" s="267" t="b">
        <f t="shared" si="67"/>
        <v>0</v>
      </c>
      <c r="AL180" s="267"/>
      <c r="AM180" s="267"/>
      <c r="AN180" s="75"/>
    </row>
    <row r="181" spans="1:40" s="6" customFormat="1" ht="11.25" x14ac:dyDescent="0.2">
      <c r="A181" s="56">
        <f t="shared" si="68"/>
        <v>43997</v>
      </c>
      <c r="B181" s="618">
        <v>39.088000000000001</v>
      </c>
      <c r="C181" s="392"/>
      <c r="D181" s="395">
        <f t="shared" si="48"/>
        <v>39.715175894418117</v>
      </c>
      <c r="E181" s="387">
        <f t="shared" si="72"/>
        <v>45.023702000923578</v>
      </c>
      <c r="F181" s="387">
        <f t="shared" si="49"/>
        <v>45.025719830440281</v>
      </c>
      <c r="G181" s="110">
        <f t="shared" si="73"/>
        <v>0.69386010702380874</v>
      </c>
      <c r="H181" s="414" t="b">
        <f>Wh_hp&gt;='2019'!Maxi_hp</f>
        <v>0</v>
      </c>
      <c r="I181" s="382">
        <f>IF(H181,Wh_hp,'2019'!Maxi_hp)</f>
        <v>65.146942528286331</v>
      </c>
      <c r="J181" s="85">
        <f>IF(H181,An,'2019'!An_max)</f>
        <v>2019</v>
      </c>
      <c r="K181" s="199">
        <f t="shared" si="50"/>
        <v>43997</v>
      </c>
      <c r="L181" s="147">
        <f>IF(t&lt;Tvie,1-EXP((T0-t)*PertePVj)+'2019'!Pspv,1-EXP((T0-t)*PertePVj)+Pspv)</f>
        <v>1.5791844812306777E-2</v>
      </c>
      <c r="M181" s="870"/>
      <c r="N181" s="870"/>
      <c r="O181" s="48">
        <f>IF(t&lt;Tnet,'2019'!Resal+('2019'!Salim-'2019'!Resal)*(1-EXP(('2019'!Tnet-t)/('2019'!Tau_j))),Resal+(Salim-Resal)*(1-EXP((Tnet-t)/(Tau_j))))*Salcycl</f>
        <v>0.11790514485895817</v>
      </c>
      <c r="P181" s="171">
        <f>(INDEX(Models!$BJ181:$BT181,,T181)*(1-R181)+INDEX(Models!$BJ181:$BT181,,T181+1)*R181-ERP_i)*Q181*Ramure*Pc/MaxiM</f>
        <v>7.9644025482939244E-5</v>
      </c>
      <c r="Q181" s="307">
        <f t="shared" si="51"/>
        <v>1</v>
      </c>
      <c r="R181" s="179">
        <f t="shared" si="52"/>
        <v>0.99241173187666498</v>
      </c>
      <c r="S181" s="837">
        <f t="shared" si="53"/>
        <v>-2</v>
      </c>
      <c r="T181" s="178">
        <f t="shared" si="54"/>
        <v>4</v>
      </c>
      <c r="U181" s="253">
        <f t="shared" si="55"/>
        <v>-1.007588268123335</v>
      </c>
      <c r="V181" s="385">
        <f t="shared" si="56"/>
        <v>56.332159967126131</v>
      </c>
      <c r="W181" s="404"/>
      <c r="X181" s="157">
        <f t="shared" si="57"/>
        <v>43997</v>
      </c>
      <c r="Y181" s="387">
        <f t="shared" si="58"/>
        <v>39.088000000000001</v>
      </c>
      <c r="Z181" s="387">
        <f t="shared" si="59"/>
        <v>39.715175894418117</v>
      </c>
      <c r="AA181" s="388">
        <f t="shared" si="60"/>
        <v>45.023702000923578</v>
      </c>
      <c r="AB181" s="199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0.11790514485895817</v>
      </c>
      <c r="AD181" s="233">
        <f>(INDEX(Models!$BJ181:$BT181,,AH181)*(1-AF181)+INDEX(Models!$BJ181:$BT181,,AH181+1)*AF181-ERP_i)*AE181*Ramure*Pc/MaxiM</f>
        <v>7.9644025482939244E-5</v>
      </c>
      <c r="AE181" s="307">
        <f t="shared" si="62"/>
        <v>1</v>
      </c>
      <c r="AF181" s="179">
        <f t="shared" si="63"/>
        <v>0.99241173187666498</v>
      </c>
      <c r="AG181" s="837">
        <f t="shared" si="71"/>
        <v>-2</v>
      </c>
      <c r="AH181" s="178">
        <f t="shared" si="64"/>
        <v>4</v>
      </c>
      <c r="AI181" s="227">
        <f t="shared" si="65"/>
        <v>-1.007588268123335</v>
      </c>
      <c r="AJ181" s="267" t="b">
        <f t="shared" si="66"/>
        <v>0</v>
      </c>
      <c r="AK181" s="267" t="b">
        <f t="shared" si="67"/>
        <v>0</v>
      </c>
      <c r="AL181" s="267"/>
      <c r="AM181" s="267"/>
      <c r="AN181" s="75"/>
    </row>
    <row r="182" spans="1:40" s="6" customFormat="1" ht="11.25" x14ac:dyDescent="0.2">
      <c r="A182" s="56">
        <f t="shared" si="68"/>
        <v>43998</v>
      </c>
      <c r="B182" s="618">
        <v>28.890999999999998</v>
      </c>
      <c r="C182" s="392"/>
      <c r="D182" s="395">
        <f t="shared" si="48"/>
        <v>29.355245838126443</v>
      </c>
      <c r="E182" s="387">
        <f t="shared" si="72"/>
        <v>33.286667433477525</v>
      </c>
      <c r="F182" s="387">
        <f t="shared" si="49"/>
        <v>33.287477069714129</v>
      </c>
      <c r="G182" s="110">
        <f t="shared" si="73"/>
        <v>0.51329568789525903</v>
      </c>
      <c r="H182" s="414" t="b">
        <f>Wh_hp&gt;='2019'!Maxi_hp</f>
        <v>0</v>
      </c>
      <c r="I182" s="382">
        <f>IF(H182,Wh_hp,'2019'!Maxi_hp)</f>
        <v>64.280395132327001</v>
      </c>
      <c r="J182" s="85">
        <f>IF(H182,An,'2019'!An_max)</f>
        <v>2019</v>
      </c>
      <c r="K182" s="199">
        <f t="shared" si="50"/>
        <v>43998</v>
      </c>
      <c r="L182" s="147">
        <f>IF(t&lt;Tvie,1-EXP((T0-t)*PertePVj)+'2019'!Pspv,1-EXP((T0-t)*PertePVj)+Pspv)</f>
        <v>1.5814748773913645E-2</v>
      </c>
      <c r="M182" s="870"/>
      <c r="N182" s="870"/>
      <c r="O182" s="48">
        <f>IF(t&lt;Tnet,'2019'!Resal+('2019'!Salim-'2019'!Resal)*(1-EXP(('2019'!Tnet-t)/('2019'!Tau_j))),Resal+(Salim-Resal)*(1-EXP((Tnet-t)/(Tau_j))))*Salcycl</f>
        <v>0.11810799633841139</v>
      </c>
      <c r="P182" s="171">
        <f>(INDEX(Models!$BJ182:$BT182,,T182)*(1-R182)+INDEX(Models!$BJ182:$BT182,,T182+1)*R182-ERP_i)*Q182*Ramure*Pc/MaxiM</f>
        <v>7.9811785644116887E-5</v>
      </c>
      <c r="Q182" s="307">
        <f t="shared" si="51"/>
        <v>1</v>
      </c>
      <c r="R182" s="179">
        <f t="shared" si="52"/>
        <v>0.99948867241818862</v>
      </c>
      <c r="S182" s="837">
        <f t="shared" si="53"/>
        <v>-2</v>
      </c>
      <c r="T182" s="178">
        <f t="shared" si="54"/>
        <v>4</v>
      </c>
      <c r="U182" s="253">
        <f t="shared" si="55"/>
        <v>-1.0005113275818114</v>
      </c>
      <c r="V182" s="385">
        <f t="shared" si="56"/>
        <v>56.282173224329902</v>
      </c>
      <c r="W182" s="404"/>
      <c r="X182" s="157">
        <f t="shared" si="57"/>
        <v>43998</v>
      </c>
      <c r="Y182" s="387">
        <f t="shared" si="58"/>
        <v>28.890999999999998</v>
      </c>
      <c r="Z182" s="387">
        <f t="shared" si="59"/>
        <v>29.355245838126443</v>
      </c>
      <c r="AA182" s="388">
        <f t="shared" si="60"/>
        <v>33.286667433477525</v>
      </c>
      <c r="AB182" s="199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0.11810799633841139</v>
      </c>
      <c r="AD182" s="233">
        <f>(INDEX(Models!$BJ182:$BT182,,AH182)*(1-AF182)+INDEX(Models!$BJ182:$BT182,,AH182+1)*AF182-ERP_i)*AE182*Ramure*Pc/MaxiM</f>
        <v>7.9811785644116887E-5</v>
      </c>
      <c r="AE182" s="307">
        <f t="shared" si="62"/>
        <v>1</v>
      </c>
      <c r="AF182" s="179">
        <f t="shared" si="63"/>
        <v>0.99948867241818862</v>
      </c>
      <c r="AG182" s="837">
        <f t="shared" si="71"/>
        <v>-2</v>
      </c>
      <c r="AH182" s="178">
        <f t="shared" si="64"/>
        <v>4</v>
      </c>
      <c r="AI182" s="227">
        <f t="shared" si="65"/>
        <v>-1.0005113275818114</v>
      </c>
      <c r="AJ182" s="267" t="b">
        <f t="shared" si="66"/>
        <v>0</v>
      </c>
      <c r="AK182" s="267" t="b">
        <f t="shared" si="67"/>
        <v>0</v>
      </c>
      <c r="AL182" s="267"/>
      <c r="AM182" s="267"/>
      <c r="AN182" s="75"/>
    </row>
    <row r="183" spans="1:40" s="6" customFormat="1" ht="11.25" x14ac:dyDescent="0.2">
      <c r="A183" s="56">
        <f t="shared" si="68"/>
        <v>43999</v>
      </c>
      <c r="B183" s="618">
        <v>45.661000000000001</v>
      </c>
      <c r="C183" s="392"/>
      <c r="D183" s="395">
        <f t="shared" si="48"/>
        <v>46.395800552812553</v>
      </c>
      <c r="E183" s="387">
        <f t="shared" si="72"/>
        <v>52.621273805842399</v>
      </c>
      <c r="F183" s="387">
        <f t="shared" si="49"/>
        <v>52.624359310135148</v>
      </c>
      <c r="G183" s="110">
        <f t="shared" si="73"/>
        <v>0.8120297489709869</v>
      </c>
      <c r="H183" s="414" t="b">
        <f>Wh_hp&gt;='2019'!Maxi_hp</f>
        <v>0</v>
      </c>
      <c r="I183" s="382">
        <f>IF(H183,Wh_hp,'2019'!Maxi_hp)</f>
        <v>62.624362697411456</v>
      </c>
      <c r="J183" s="85">
        <f>IF(H183,An,'2019'!An_max)</f>
        <v>2019</v>
      </c>
      <c r="K183" s="199">
        <f t="shared" si="50"/>
        <v>43999</v>
      </c>
      <c r="L183" s="147">
        <f>IF(t&lt;Tvie,1-EXP((T0-t)*PertePVj)+'2019'!Pspv,1-EXP((T0-t)*PertePVj)+Pspv)</f>
        <v>1.5837652202511765E-2</v>
      </c>
      <c r="M183" s="870"/>
      <c r="N183" s="870"/>
      <c r="O183" s="48">
        <f>IF(t&lt;Tnet,'2019'!Resal+('2019'!Salim-'2019'!Resal)*(1-EXP(('2019'!Tnet-t)/('2019'!Tau_j))),Resal+(Salim-Resal)*(1-EXP((Tnet-t)/(Tau_j))))*Salcycl</f>
        <v>0.11830715607531817</v>
      </c>
      <c r="P183" s="171">
        <f>(INDEX(Models!$BJ183:$BT183,,T183)*(1-R183)+INDEX(Models!$BJ183:$BT183,,T183+1)*R183-ERP_i)*Q183*Ramure*Pc/MaxiM</f>
        <v>8.0154397734264528E-5</v>
      </c>
      <c r="Q183" s="307">
        <f t="shared" si="51"/>
        <v>1</v>
      </c>
      <c r="R183" s="179">
        <f t="shared" si="52"/>
        <v>6.5241943133694802E-3</v>
      </c>
      <c r="S183" s="837">
        <f t="shared" si="53"/>
        <v>-1</v>
      </c>
      <c r="T183" s="178">
        <f t="shared" si="54"/>
        <v>5</v>
      </c>
      <c r="U183" s="253">
        <f t="shared" si="55"/>
        <v>-0.99347580568663052</v>
      </c>
      <c r="V183" s="385">
        <f t="shared" si="56"/>
        <v>56.229488260184837</v>
      </c>
      <c r="W183" s="404"/>
      <c r="X183" s="157">
        <f t="shared" si="57"/>
        <v>43999</v>
      </c>
      <c r="Y183" s="387">
        <f t="shared" si="58"/>
        <v>45.661000000000001</v>
      </c>
      <c r="Z183" s="387">
        <f t="shared" si="59"/>
        <v>46.395800552812553</v>
      </c>
      <c r="AA183" s="388">
        <f t="shared" si="60"/>
        <v>52.621273805842399</v>
      </c>
      <c r="AB183" s="199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0.11830715607531817</v>
      </c>
      <c r="AD183" s="233">
        <f>(INDEX(Models!$BJ183:$BT183,,AH183)*(1-AF183)+INDEX(Models!$BJ183:$BT183,,AH183+1)*AF183-ERP_i)*AE183*Ramure*Pc/MaxiM</f>
        <v>8.0154397734264528E-5</v>
      </c>
      <c r="AE183" s="307">
        <f t="shared" si="62"/>
        <v>1</v>
      </c>
      <c r="AF183" s="179">
        <f t="shared" si="63"/>
        <v>6.5241943133694802E-3</v>
      </c>
      <c r="AG183" s="837">
        <f t="shared" si="71"/>
        <v>-1</v>
      </c>
      <c r="AH183" s="178">
        <f t="shared" si="64"/>
        <v>5</v>
      </c>
      <c r="AI183" s="227">
        <f t="shared" si="65"/>
        <v>-0.99347580568663052</v>
      </c>
      <c r="AJ183" s="267" t="b">
        <f t="shared" si="66"/>
        <v>0</v>
      </c>
      <c r="AK183" s="267" t="b">
        <f t="shared" si="67"/>
        <v>0</v>
      </c>
      <c r="AL183" s="267"/>
      <c r="AM183" s="267"/>
      <c r="AN183" s="75"/>
    </row>
    <row r="184" spans="1:40" s="6" customFormat="1" ht="11.25" x14ac:dyDescent="0.2">
      <c r="A184" s="56">
        <f t="shared" si="68"/>
        <v>44000</v>
      </c>
      <c r="B184" s="618">
        <v>40.003</v>
      </c>
      <c r="C184" s="392"/>
      <c r="D184" s="395">
        <f t="shared" si="48"/>
        <v>40.647695006258076</v>
      </c>
      <c r="E184" s="387">
        <f t="shared" si="72"/>
        <v>46.11209619873798</v>
      </c>
      <c r="F184" s="387">
        <f t="shared" si="49"/>
        <v>46.114284163653579</v>
      </c>
      <c r="G184" s="110">
        <f t="shared" si="73"/>
        <v>0.71209904856224226</v>
      </c>
      <c r="H184" s="414" t="b">
        <f>Wh_hp&gt;='2019'!Maxi_hp</f>
        <v>0</v>
      </c>
      <c r="I184" s="382">
        <f>IF(H184,Wh_hp,'2019'!Maxi_hp)</f>
        <v>50.833809957277296</v>
      </c>
      <c r="J184" s="85">
        <f>IF(H184,An,'2019'!An_max)</f>
        <v>2019</v>
      </c>
      <c r="K184" s="199">
        <f t="shared" si="50"/>
        <v>44000</v>
      </c>
      <c r="L184" s="147">
        <f>IF(t&lt;Tvie,1-EXP((T0-t)*PertePVj)+'2019'!Pspv,1-EXP((T0-t)*PertePVj)+Pspv)</f>
        <v>1.5860555098113682E-2</v>
      </c>
      <c r="M184" s="870"/>
      <c r="N184" s="870"/>
      <c r="O184" s="48">
        <f>IF(t&lt;Tnet,'2019'!Resal+('2019'!Salim-'2019'!Resal)*(1-EXP(('2019'!Tnet-t)/('2019'!Tau_j))),Resal+(Salim-Resal)*(1-EXP((Tnet-t)/(Tau_j))))*Salcycl</f>
        <v>0.11850255449088551</v>
      </c>
      <c r="P184" s="171">
        <f>(INDEX(Models!$BJ184:$BT184,,T184)*(1-R184)+INDEX(Models!$BJ184:$BT184,,T184+1)*R184-ERP_i)*Q184*Ramure*Pc/MaxiM</f>
        <v>8.0589124414954342E-5</v>
      </c>
      <c r="Q184" s="307">
        <f t="shared" si="51"/>
        <v>1</v>
      </c>
      <c r="R184" s="179">
        <f t="shared" si="52"/>
        <v>1.351277509354698E-2</v>
      </c>
      <c r="S184" s="837">
        <f t="shared" si="53"/>
        <v>-1</v>
      </c>
      <c r="T184" s="178">
        <f t="shared" si="54"/>
        <v>5</v>
      </c>
      <c r="U184" s="253">
        <f t="shared" si="55"/>
        <v>-0.98648722490645302</v>
      </c>
      <c r="V184" s="385">
        <f t="shared" si="56"/>
        <v>56.17431200970821</v>
      </c>
      <c r="W184" s="404"/>
      <c r="X184" s="157">
        <f t="shared" si="57"/>
        <v>44000</v>
      </c>
      <c r="Y184" s="387">
        <f t="shared" si="58"/>
        <v>40.003</v>
      </c>
      <c r="Z184" s="387">
        <f t="shared" si="59"/>
        <v>40.647695006258076</v>
      </c>
      <c r="AA184" s="388">
        <f t="shared" si="60"/>
        <v>46.11209619873798</v>
      </c>
      <c r="AB184" s="199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0.11850255449088551</v>
      </c>
      <c r="AD184" s="233">
        <f>(INDEX(Models!$BJ184:$BT184,,AH184)*(1-AF184)+INDEX(Models!$BJ184:$BT184,,AH184+1)*AF184-ERP_i)*AE184*Ramure*Pc/MaxiM</f>
        <v>8.0589124414954342E-5</v>
      </c>
      <c r="AE184" s="307">
        <f t="shared" si="62"/>
        <v>1</v>
      </c>
      <c r="AF184" s="179">
        <f t="shared" si="63"/>
        <v>1.351277509354698E-2</v>
      </c>
      <c r="AG184" s="837">
        <f t="shared" si="71"/>
        <v>-1</v>
      </c>
      <c r="AH184" s="178">
        <f t="shared" si="64"/>
        <v>5</v>
      </c>
      <c r="AI184" s="227">
        <f t="shared" si="65"/>
        <v>-0.98648722490645302</v>
      </c>
      <c r="AJ184" s="267" t="b">
        <f t="shared" si="66"/>
        <v>0</v>
      </c>
      <c r="AK184" s="267" t="b">
        <f t="shared" si="67"/>
        <v>0</v>
      </c>
      <c r="AL184" s="267"/>
      <c r="AM184" s="267"/>
      <c r="AN184" s="75"/>
    </row>
    <row r="185" spans="1:40" s="6" customFormat="1" ht="11.25" x14ac:dyDescent="0.2">
      <c r="A185" s="56">
        <f t="shared" si="68"/>
        <v>44001</v>
      </c>
      <c r="B185" s="618">
        <v>53.75</v>
      </c>
      <c r="C185" s="392"/>
      <c r="D185" s="395">
        <f t="shared" si="48"/>
        <v>54.61751497572785</v>
      </c>
      <c r="E185" s="387">
        <f t="shared" si="72"/>
        <v>61.973393141415102</v>
      </c>
      <c r="F185" s="387">
        <f t="shared" si="49"/>
        <v>61.978111723562009</v>
      </c>
      <c r="G185" s="110">
        <f t="shared" si="73"/>
        <v>0.95781812773124442</v>
      </c>
      <c r="H185" s="414" t="b">
        <f>Wh_hp&gt;='2019'!Maxi_hp</f>
        <v>1</v>
      </c>
      <c r="I185" s="382">
        <f>IF(H185,Wh_hp,'2019'!Maxi_hp)</f>
        <v>61.978111723562009</v>
      </c>
      <c r="J185" s="85">
        <f>IF(H185,An,'2019'!An_max)</f>
        <v>2020</v>
      </c>
      <c r="K185" s="199">
        <f t="shared" si="50"/>
        <v>44001</v>
      </c>
      <c r="L185" s="147">
        <f>IF(t&lt;Tvie,1-EXP((T0-t)*PertePVj)+'2019'!Pspv,1-EXP((T0-t)*PertePVj)+Pspv)</f>
        <v>1.588345746073172E-2</v>
      </c>
      <c r="M185" s="870"/>
      <c r="N185" s="870"/>
      <c r="O185" s="48">
        <f>IF(t&lt;Tnet,'2019'!Resal+('2019'!Salim-'2019'!Resal)*(1-EXP(('2019'!Tnet-t)/('2019'!Tau_j))),Resal+(Salim-Resal)*(1-EXP((Tnet-t)/(Tau_j))))*Salcycl</f>
        <v>0.11869413296286857</v>
      </c>
      <c r="P185" s="171">
        <f>(INDEX(Models!$BJ185:$BT185,,T185)*(1-R185)+INDEX(Models!$BJ185:$BT185,,T185+1)*R185-ERP_i)*Q185*Ramure*Pc/MaxiM</f>
        <v>8.1014414069075909E-5</v>
      </c>
      <c r="Q185" s="307">
        <f t="shared" si="51"/>
        <v>1</v>
      </c>
      <c r="R185" s="179">
        <f t="shared" si="52"/>
        <v>2.0449044401462224E-2</v>
      </c>
      <c r="S185" s="837">
        <f t="shared" si="53"/>
        <v>-1</v>
      </c>
      <c r="T185" s="178">
        <f t="shared" si="54"/>
        <v>5</v>
      </c>
      <c r="U185" s="253">
        <f t="shared" si="55"/>
        <v>-0.97955095559853778</v>
      </c>
      <c r="V185" s="385">
        <f t="shared" si="56"/>
        <v>56.116851466946692</v>
      </c>
      <c r="W185" s="404"/>
      <c r="X185" s="157">
        <f t="shared" si="57"/>
        <v>44001</v>
      </c>
      <c r="Y185" s="387">
        <f t="shared" si="58"/>
        <v>53.75</v>
      </c>
      <c r="Z185" s="387">
        <f t="shared" si="59"/>
        <v>54.61751497572785</v>
      </c>
      <c r="AA185" s="388">
        <f t="shared" si="60"/>
        <v>61.973393141415102</v>
      </c>
      <c r="AB185" s="199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0.11869413296286857</v>
      </c>
      <c r="AD185" s="233">
        <f>(INDEX(Models!$BJ185:$BT185,,AH185)*(1-AF185)+INDEX(Models!$BJ185:$BT185,,AH185+1)*AF185-ERP_i)*AE185*Ramure*Pc/MaxiM</f>
        <v>8.1014414069075909E-5</v>
      </c>
      <c r="AE185" s="307">
        <f t="shared" si="62"/>
        <v>1</v>
      </c>
      <c r="AF185" s="179">
        <f t="shared" si="63"/>
        <v>2.0449044401462224E-2</v>
      </c>
      <c r="AG185" s="837">
        <f t="shared" si="71"/>
        <v>-1</v>
      </c>
      <c r="AH185" s="178">
        <f t="shared" si="64"/>
        <v>5</v>
      </c>
      <c r="AI185" s="227">
        <f t="shared" si="65"/>
        <v>-0.97955095559853778</v>
      </c>
      <c r="AJ185" s="267" t="b">
        <f t="shared" si="66"/>
        <v>0</v>
      </c>
      <c r="AK185" s="267" t="b">
        <f t="shared" si="67"/>
        <v>0</v>
      </c>
      <c r="AL185" s="267"/>
      <c r="AM185" s="267"/>
      <c r="AN185" s="75"/>
    </row>
    <row r="186" spans="1:40" s="6" customFormat="1" ht="11.25" x14ac:dyDescent="0.2">
      <c r="A186" s="56">
        <f t="shared" si="68"/>
        <v>44002</v>
      </c>
      <c r="B186" s="618">
        <v>48.165999999999997</v>
      </c>
      <c r="C186" s="392"/>
      <c r="D186" s="395">
        <f t="shared" si="48"/>
        <v>48.944529267832579</v>
      </c>
      <c r="E186" s="387">
        <f t="shared" si="72"/>
        <v>55.548201942131101</v>
      </c>
      <c r="F186" s="387">
        <f t="shared" si="49"/>
        <v>55.551816026089647</v>
      </c>
      <c r="G186" s="110">
        <f t="shared" si="73"/>
        <v>0.85921379360791761</v>
      </c>
      <c r="H186" s="414" t="b">
        <f>Wh_hp&gt;='2019'!Maxi_hp</f>
        <v>1</v>
      </c>
      <c r="I186" s="382">
        <f>IF(H186,Wh_hp,'2019'!Maxi_hp)</f>
        <v>55.551816026089647</v>
      </c>
      <c r="J186" s="85">
        <f>IF(H186,An,'2019'!An_max)</f>
        <v>2020</v>
      </c>
      <c r="K186" s="199">
        <f t="shared" si="50"/>
        <v>44002</v>
      </c>
      <c r="L186" s="147">
        <f>IF(t&lt;Tvie,1-EXP((T0-t)*PertePVj)+'2019'!Pspv,1-EXP((T0-t)*PertePVj)+Pspv)</f>
        <v>1.5906359290378314E-2</v>
      </c>
      <c r="M186" s="870"/>
      <c r="N186" s="870"/>
      <c r="O186" s="48">
        <f>IF(t&lt;Tnet,'2019'!Resal+('2019'!Salim-'2019'!Resal)*(1-EXP(('2019'!Tnet-t)/('2019'!Tau_j))),Resal+(Salim-Resal)*(1-EXP((Tnet-t)/(Tau_j))))*Salcycl</f>
        <v>0.11888184393759652</v>
      </c>
      <c r="P186" s="171">
        <f>(INDEX(Models!$BJ186:$BT186,,T186)*(1-R186)+INDEX(Models!$BJ186:$BT186,,T186+1)*R186-ERP_i)*Q186*Ramure*Pc/MaxiM</f>
        <v>8.1434645978675234E-5</v>
      </c>
      <c r="Q186" s="307">
        <f t="shared" si="51"/>
        <v>1</v>
      </c>
      <c r="R186" s="179">
        <f t="shared" si="52"/>
        <v>2.7327799570939559E-2</v>
      </c>
      <c r="S186" s="837">
        <f t="shared" si="53"/>
        <v>-1</v>
      </c>
      <c r="T186" s="178">
        <f t="shared" si="54"/>
        <v>5</v>
      </c>
      <c r="U186" s="253">
        <f t="shared" si="55"/>
        <v>-0.97267220042906044</v>
      </c>
      <c r="V186" s="385">
        <f t="shared" si="56"/>
        <v>56.057306696182643</v>
      </c>
      <c r="W186" s="404"/>
      <c r="X186" s="157">
        <f t="shared" si="57"/>
        <v>44002</v>
      </c>
      <c r="Y186" s="387">
        <f t="shared" si="58"/>
        <v>48.165999999999997</v>
      </c>
      <c r="Z186" s="387">
        <f t="shared" si="59"/>
        <v>48.944529267832579</v>
      </c>
      <c r="AA186" s="388">
        <f t="shared" si="60"/>
        <v>55.548201942131101</v>
      </c>
      <c r="AB186" s="199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0.11888184393759652</v>
      </c>
      <c r="AD186" s="233">
        <f>(INDEX(Models!$BJ186:$BT186,,AH186)*(1-AF186)+INDEX(Models!$BJ186:$BT186,,AH186+1)*AF186-ERP_i)*AE186*Ramure*Pc/MaxiM</f>
        <v>8.1434645978675234E-5</v>
      </c>
      <c r="AE186" s="307">
        <f t="shared" si="62"/>
        <v>1</v>
      </c>
      <c r="AF186" s="179">
        <f t="shared" si="63"/>
        <v>2.7327799570939559E-2</v>
      </c>
      <c r="AG186" s="837">
        <f t="shared" si="71"/>
        <v>-1</v>
      </c>
      <c r="AH186" s="178">
        <f t="shared" si="64"/>
        <v>5</v>
      </c>
      <c r="AI186" s="227">
        <f t="shared" si="65"/>
        <v>-0.97267220042906044</v>
      </c>
      <c r="AJ186" s="267" t="b">
        <f t="shared" si="66"/>
        <v>0</v>
      </c>
      <c r="AK186" s="267" t="b">
        <f t="shared" si="67"/>
        <v>0</v>
      </c>
      <c r="AL186" s="267"/>
      <c r="AM186" s="267"/>
      <c r="AN186" s="75"/>
    </row>
    <row r="187" spans="1:40" s="6" customFormat="1" ht="11.25" x14ac:dyDescent="0.2">
      <c r="A187" s="56">
        <f t="shared" si="68"/>
        <v>44003</v>
      </c>
      <c r="B187" s="618">
        <v>55.353000000000002</v>
      </c>
      <c r="C187" s="392"/>
      <c r="D187" s="395">
        <f t="shared" si="48"/>
        <v>56.249005059353635</v>
      </c>
      <c r="E187" s="387">
        <f t="shared" si="72"/>
        <v>63.851528915809652</v>
      </c>
      <c r="F187" s="387">
        <f t="shared" si="49"/>
        <v>63.856670121040153</v>
      </c>
      <c r="G187" s="110">
        <f t="shared" si="73"/>
        <v>0.98851788470375901</v>
      </c>
      <c r="H187" s="414" t="b">
        <f>Wh_hp&gt;='2019'!Maxi_hp</f>
        <v>1</v>
      </c>
      <c r="I187" s="382">
        <f>IF(H187,Wh_hp,'2019'!Maxi_hp)</f>
        <v>63.856670121040153</v>
      </c>
      <c r="J187" s="85">
        <f>IF(H187,An,'2019'!An_max)</f>
        <v>2020</v>
      </c>
      <c r="K187" s="199">
        <f t="shared" si="50"/>
        <v>44003</v>
      </c>
      <c r="L187" s="147">
        <f>IF(t&lt;Tvie,1-EXP((T0-t)*PertePVj)+'2019'!Pspv,1-EXP((T0-t)*PertePVj)+Pspv)</f>
        <v>1.5929260587065897E-2</v>
      </c>
      <c r="M187" s="870"/>
      <c r="N187" s="870"/>
      <c r="O187" s="48">
        <f>IF(t&lt;Tnet,'2019'!Resal+('2019'!Salim-'2019'!Resal)*(1-EXP(('2019'!Tnet-t)/('2019'!Tau_j))),Resal+(Salim-Resal)*(1-EXP((Tnet-t)/(Tau_j))))*Salcycl</f>
        <v>0.11906565098042046</v>
      </c>
      <c r="P187" s="171">
        <f>(INDEX(Models!$BJ187:$BT187,,T187)*(1-R187)+INDEX(Models!$BJ187:$BT187,,T187+1)*R187-ERP_i)*Q187*Ramure*Pc/MaxiM</f>
        <v>8.1854139959531912E-5</v>
      </c>
      <c r="Q187" s="307">
        <f t="shared" si="51"/>
        <v>1</v>
      </c>
      <c r="R187" s="179">
        <f t="shared" si="52"/>
        <v>3.4144020087062188E-2</v>
      </c>
      <c r="S187" s="837">
        <f t="shared" si="53"/>
        <v>-1</v>
      </c>
      <c r="T187" s="178">
        <f t="shared" si="54"/>
        <v>5</v>
      </c>
      <c r="U187" s="253">
        <f t="shared" si="55"/>
        <v>-0.96585597991293781</v>
      </c>
      <c r="V187" s="385">
        <f t="shared" si="56"/>
        <v>55.995876796098131</v>
      </c>
      <c r="W187" s="404"/>
      <c r="X187" s="157">
        <f t="shared" si="57"/>
        <v>44003</v>
      </c>
      <c r="Y187" s="387">
        <f t="shared" si="58"/>
        <v>55.353000000000002</v>
      </c>
      <c r="Z187" s="387">
        <f t="shared" si="59"/>
        <v>56.249005059353635</v>
      </c>
      <c r="AA187" s="388">
        <f t="shared" si="60"/>
        <v>63.851528915809652</v>
      </c>
      <c r="AB187" s="199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0.11906565098042046</v>
      </c>
      <c r="AD187" s="233">
        <f>(INDEX(Models!$BJ187:$BT187,,AH187)*(1-AF187)+INDEX(Models!$BJ187:$BT187,,AH187+1)*AF187-ERP_i)*AE187*Ramure*Pc/MaxiM</f>
        <v>8.1854139959531912E-5</v>
      </c>
      <c r="AE187" s="307">
        <f t="shared" si="62"/>
        <v>1</v>
      </c>
      <c r="AF187" s="179">
        <f t="shared" si="63"/>
        <v>3.4144020087062188E-2</v>
      </c>
      <c r="AG187" s="837">
        <f t="shared" si="71"/>
        <v>-1</v>
      </c>
      <c r="AH187" s="178">
        <f t="shared" si="64"/>
        <v>5</v>
      </c>
      <c r="AI187" s="227">
        <f t="shared" si="65"/>
        <v>-0.96585597991293781</v>
      </c>
      <c r="AJ187" s="267" t="b">
        <f t="shared" si="66"/>
        <v>0</v>
      </c>
      <c r="AK187" s="267" t="b">
        <f t="shared" si="67"/>
        <v>0</v>
      </c>
      <c r="AL187" s="267"/>
      <c r="AM187" s="267"/>
      <c r="AN187" s="75"/>
    </row>
    <row r="188" spans="1:40" s="6" customFormat="1" ht="11.25" customHeight="1" x14ac:dyDescent="0.2">
      <c r="A188" s="56">
        <f t="shared" si="68"/>
        <v>44004</v>
      </c>
      <c r="B188" s="618">
        <v>49.335000000000001</v>
      </c>
      <c r="C188" s="392"/>
      <c r="D188" s="395">
        <f t="shared" si="48"/>
        <v>50.13475774482913</v>
      </c>
      <c r="E188" s="387">
        <f t="shared" si="72"/>
        <v>56.922512893386681</v>
      </c>
      <c r="F188" s="387">
        <f t="shared" si="49"/>
        <v>56.926407326668489</v>
      </c>
      <c r="G188" s="110">
        <f t="shared" si="73"/>
        <v>0.88202899292991821</v>
      </c>
      <c r="H188" s="414" t="b">
        <f>Wh_hp&gt;='2019'!Maxi_hp</f>
        <v>1</v>
      </c>
      <c r="I188" s="382">
        <f>IF(H188,Wh_hp,'2019'!Maxi_hp)</f>
        <v>56.926407326668489</v>
      </c>
      <c r="J188" s="85">
        <f>IF(H188,An,'2019'!An_max)</f>
        <v>2020</v>
      </c>
      <c r="K188" s="199">
        <f t="shared" si="50"/>
        <v>44004</v>
      </c>
      <c r="L188" s="147">
        <f>IF(t&lt;Tvie,1-EXP((T0-t)*PertePVj)+'2019'!Pspv,1-EXP((T0-t)*PertePVj)+Pspv)</f>
        <v>1.5952161350806904E-2</v>
      </c>
      <c r="M188" s="870"/>
      <c r="N188" s="870"/>
      <c r="O188" s="48">
        <f>IF(t&lt;Tnet,'2019'!Resal+('2019'!Salim-'2019'!Resal)*(1-EXP(('2019'!Tnet-t)/('2019'!Tau_j))),Resal+(Salim-Resal)*(1-EXP((Tnet-t)/(Tau_j))))*Salcycl</f>
        <v>0.11924552876417653</v>
      </c>
      <c r="P188" s="171">
        <f>(INDEX(Models!$BJ188:$BT188,,T188)*(1-R188)+INDEX(Models!$BJ188:$BT188,,T188+1)*R188-ERP_i)*Q188*Ramure*Pc/MaxiM</f>
        <v>8.2276306534467754E-5</v>
      </c>
      <c r="Q188" s="307">
        <f t="shared" si="51"/>
        <v>1</v>
      </c>
      <c r="R188" s="179">
        <f t="shared" si="52"/>
        <v>4.0892880850772917E-2</v>
      </c>
      <c r="S188" s="837">
        <f t="shared" si="53"/>
        <v>-1</v>
      </c>
      <c r="T188" s="178">
        <f t="shared" si="54"/>
        <v>5</v>
      </c>
      <c r="U188" s="253">
        <f t="shared" si="55"/>
        <v>-0.95910711914922708</v>
      </c>
      <c r="V188" s="385">
        <f t="shared" si="56"/>
        <v>55.932759964966152</v>
      </c>
      <c r="W188" s="404"/>
      <c r="X188" s="157">
        <f t="shared" si="57"/>
        <v>44004</v>
      </c>
      <c r="Y188" s="387">
        <f t="shared" si="58"/>
        <v>49.335000000000001</v>
      </c>
      <c r="Z188" s="387">
        <f t="shared" si="59"/>
        <v>50.13475774482913</v>
      </c>
      <c r="AA188" s="388">
        <f t="shared" si="60"/>
        <v>56.922512893386681</v>
      </c>
      <c r="AB188" s="199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0.11924552876417653</v>
      </c>
      <c r="AD188" s="233">
        <f>(INDEX(Models!$BJ188:$BT188,,AH188)*(1-AF188)+INDEX(Models!$BJ188:$BT188,,AH188+1)*AF188-ERP_i)*AE188*Ramure*Pc/MaxiM</f>
        <v>8.2276306534467754E-5</v>
      </c>
      <c r="AE188" s="307">
        <f t="shared" si="62"/>
        <v>1</v>
      </c>
      <c r="AF188" s="179">
        <f t="shared" si="63"/>
        <v>4.0892880850772917E-2</v>
      </c>
      <c r="AG188" s="837">
        <f t="shared" si="71"/>
        <v>-1</v>
      </c>
      <c r="AH188" s="178">
        <f t="shared" si="64"/>
        <v>5</v>
      </c>
      <c r="AI188" s="227">
        <f t="shared" si="65"/>
        <v>-0.95910711914922708</v>
      </c>
      <c r="AJ188" s="267" t="b">
        <f t="shared" si="66"/>
        <v>0</v>
      </c>
      <c r="AK188" s="267" t="b">
        <f t="shared" si="67"/>
        <v>0</v>
      </c>
      <c r="AL188" s="267"/>
      <c r="AM188" s="267"/>
      <c r="AN188" s="75"/>
    </row>
    <row r="189" spans="1:40" s="6" customFormat="1" ht="11.25" x14ac:dyDescent="0.2">
      <c r="A189" s="56">
        <f t="shared" si="68"/>
        <v>44005</v>
      </c>
      <c r="B189" s="618">
        <v>54.668999999999997</v>
      </c>
      <c r="C189" s="392"/>
      <c r="D189" s="395">
        <f t="shared" si="48"/>
        <v>55.556518809237645</v>
      </c>
      <c r="E189" s="387">
        <f t="shared" si="72"/>
        <v>63.090929967747861</v>
      </c>
      <c r="F189" s="387">
        <f t="shared" si="49"/>
        <v>63.0959882762929</v>
      </c>
      <c r="G189" s="110">
        <f t="shared" si="73"/>
        <v>0.97853352859413523</v>
      </c>
      <c r="H189" s="414" t="b">
        <f>Wh_hp&gt;='2019'!Maxi_hp</f>
        <v>1</v>
      </c>
      <c r="I189" s="382">
        <f>IF(H189,Wh_hp,'2019'!Maxi_hp)</f>
        <v>63.0959882762929</v>
      </c>
      <c r="J189" s="85">
        <f>IF(H189,An,'2019'!An_max)</f>
        <v>2020</v>
      </c>
      <c r="K189" s="199">
        <f t="shared" si="50"/>
        <v>44005</v>
      </c>
      <c r="L189" s="147">
        <f>IF(t&lt;Tvie,1-EXP((T0-t)*PertePVj)+'2019'!Pspv,1-EXP((T0-t)*PertePVj)+Pspv)</f>
        <v>1.5975061581613659E-2</v>
      </c>
      <c r="M189" s="870"/>
      <c r="N189" s="870"/>
      <c r="O189" s="48">
        <f>IF(t&lt;Tnet,'2019'!Resal+('2019'!Salim-'2019'!Resal)*(1-EXP(('2019'!Tnet-t)/('2019'!Tau_j))),Resal+(Salim-Resal)*(1-EXP((Tnet-t)/(Tau_j))))*Salcycl</f>
        <v>0.11942146299573982</v>
      </c>
      <c r="P189" s="171">
        <f>(INDEX(Models!$BJ189:$BT189,,T189)*(1-R189)+INDEX(Models!$BJ189:$BT189,,T189+1)*R189-ERP_i)*Q189*Ramure*Pc/MaxiM</f>
        <v>8.2704417803340928E-5</v>
      </c>
      <c r="Q189" s="307">
        <f t="shared" si="51"/>
        <v>1</v>
      </c>
      <c r="R189" s="179">
        <f t="shared" si="52"/>
        <v>4.7569764184932306E-2</v>
      </c>
      <c r="S189" s="837">
        <f t="shared" si="53"/>
        <v>-1</v>
      </c>
      <c r="T189" s="178">
        <f t="shared" si="54"/>
        <v>5</v>
      </c>
      <c r="U189" s="253">
        <f t="shared" si="55"/>
        <v>-0.95243023581506769</v>
      </c>
      <c r="V189" s="385">
        <f t="shared" si="56"/>
        <v>55.868153469854974</v>
      </c>
      <c r="W189" s="404"/>
      <c r="X189" s="157">
        <f t="shared" si="57"/>
        <v>44005</v>
      </c>
      <c r="Y189" s="387">
        <f t="shared" si="58"/>
        <v>54.668999999999997</v>
      </c>
      <c r="Z189" s="387">
        <f t="shared" si="59"/>
        <v>55.556518809237645</v>
      </c>
      <c r="AA189" s="388">
        <f t="shared" si="60"/>
        <v>63.090929967747861</v>
      </c>
      <c r="AB189" s="199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0.11942146299573982</v>
      </c>
      <c r="AD189" s="233">
        <f>(INDEX(Models!$BJ189:$BT189,,AH189)*(1-AF189)+INDEX(Models!$BJ189:$BT189,,AH189+1)*AF189-ERP_i)*AE189*Ramure*Pc/MaxiM</f>
        <v>8.2704417803340928E-5</v>
      </c>
      <c r="AE189" s="307">
        <f t="shared" si="62"/>
        <v>1</v>
      </c>
      <c r="AF189" s="179">
        <f t="shared" si="63"/>
        <v>4.7569764184932306E-2</v>
      </c>
      <c r="AG189" s="837">
        <f t="shared" si="71"/>
        <v>-1</v>
      </c>
      <c r="AH189" s="178">
        <f t="shared" si="64"/>
        <v>5</v>
      </c>
      <c r="AI189" s="227">
        <f t="shared" si="65"/>
        <v>-0.95243023581506769</v>
      </c>
      <c r="AJ189" s="267" t="b">
        <f t="shared" si="66"/>
        <v>0</v>
      </c>
      <c r="AK189" s="267" t="b">
        <f t="shared" si="67"/>
        <v>0</v>
      </c>
      <c r="AL189" s="267"/>
      <c r="AM189" s="267"/>
      <c r="AN189" s="75"/>
    </row>
    <row r="190" spans="1:40" s="6" customFormat="1" ht="11.25" x14ac:dyDescent="0.2">
      <c r="A190" s="56">
        <f t="shared" si="68"/>
        <v>44006</v>
      </c>
      <c r="B190" s="618">
        <v>49.01</v>
      </c>
      <c r="C190" s="392"/>
      <c r="D190" s="395">
        <f t="shared" si="48"/>
        <v>49.806807375854362</v>
      </c>
      <c r="E190" s="387">
        <f t="shared" si="72"/>
        <v>56.572508907122774</v>
      </c>
      <c r="F190" s="387">
        <f t="shared" si="49"/>
        <v>56.576394866722161</v>
      </c>
      <c r="G190" s="110">
        <f t="shared" si="73"/>
        <v>0.87826724227105346</v>
      </c>
      <c r="H190" s="414" t="b">
        <f>Wh_hp&gt;='2019'!Maxi_hp</f>
        <v>0</v>
      </c>
      <c r="I190" s="382">
        <f>IF(H190,Wh_hp,'2019'!Maxi_hp)</f>
        <v>56.601577457265549</v>
      </c>
      <c r="J190" s="85">
        <f>IF(H190,An,'2019'!An_max)</f>
        <v>2019</v>
      </c>
      <c r="K190" s="199">
        <f t="shared" si="50"/>
        <v>44006</v>
      </c>
      <c r="L190" s="147">
        <f>IF(t&lt;Tvie,1-EXP((T0-t)*PertePVj)+'2019'!Pspv,1-EXP((T0-t)*PertePVj)+Pspv)</f>
        <v>1.5997961279498596E-2</v>
      </c>
      <c r="M190" s="870"/>
      <c r="N190" s="870"/>
      <c r="O190" s="48">
        <f>IF(t&lt;Tnet,'2019'!Resal+('2019'!Salim-'2019'!Resal)*(1-EXP(('2019'!Tnet-t)/('2019'!Tau_j))),Resal+(Salim-Resal)*(1-EXP((Tnet-t)/(Tau_j))))*Salcycl</f>
        <v>0.11959345028122964</v>
      </c>
      <c r="P190" s="171">
        <f>(INDEX(Models!$BJ190:$BT190,,T190)*(1-R190)+INDEX(Models!$BJ190:$BT190,,T190+1)*R190-ERP_i)*Q190*Ramure*Pc/MaxiM</f>
        <v>8.3142470156784609E-5</v>
      </c>
      <c r="Q190" s="307">
        <f t="shared" si="51"/>
        <v>1</v>
      </c>
      <c r="R190" s="179">
        <f t="shared" si="52"/>
        <v>5.4170270532298503E-2</v>
      </c>
      <c r="S190" s="837">
        <f t="shared" si="53"/>
        <v>-1</v>
      </c>
      <c r="T190" s="178">
        <f t="shared" si="54"/>
        <v>5</v>
      </c>
      <c r="U190" s="253">
        <f t="shared" si="55"/>
        <v>-0.9458297294677015</v>
      </c>
      <c r="V190" s="385">
        <f t="shared" si="56"/>
        <v>55.802253619956161</v>
      </c>
      <c r="W190" s="404"/>
      <c r="X190" s="157">
        <f t="shared" si="57"/>
        <v>44006</v>
      </c>
      <c r="Y190" s="387">
        <f t="shared" si="58"/>
        <v>49.01</v>
      </c>
      <c r="Z190" s="387">
        <f t="shared" si="59"/>
        <v>49.806807375854362</v>
      </c>
      <c r="AA190" s="388">
        <f t="shared" si="60"/>
        <v>56.572508907122774</v>
      </c>
      <c r="AB190" s="199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0.11959345028122964</v>
      </c>
      <c r="AD190" s="233">
        <f>(INDEX(Models!$BJ190:$BT190,,AH190)*(1-AF190)+INDEX(Models!$BJ190:$BT190,,AH190+1)*AF190-ERP_i)*AE190*Ramure*Pc/MaxiM</f>
        <v>8.3142470156784609E-5</v>
      </c>
      <c r="AE190" s="307">
        <f t="shared" si="62"/>
        <v>1</v>
      </c>
      <c r="AF190" s="179">
        <f t="shared" si="63"/>
        <v>5.4170270532298503E-2</v>
      </c>
      <c r="AG190" s="837">
        <f t="shared" si="71"/>
        <v>-1</v>
      </c>
      <c r="AH190" s="178">
        <f t="shared" si="64"/>
        <v>5</v>
      </c>
      <c r="AI190" s="227">
        <f t="shared" si="65"/>
        <v>-0.9458297294677015</v>
      </c>
      <c r="AJ190" s="267" t="b">
        <f t="shared" si="66"/>
        <v>0</v>
      </c>
      <c r="AK190" s="267" t="b">
        <f t="shared" si="67"/>
        <v>0</v>
      </c>
      <c r="AL190" s="267"/>
      <c r="AM190" s="267"/>
      <c r="AN190" s="75"/>
    </row>
    <row r="191" spans="1:40" s="6" customFormat="1" ht="11.25" x14ac:dyDescent="0.2">
      <c r="A191" s="56">
        <f t="shared" si="68"/>
        <v>44007</v>
      </c>
      <c r="B191" s="618">
        <v>43.97</v>
      </c>
      <c r="C191" s="392"/>
      <c r="D191" s="395">
        <f t="shared" si="48"/>
        <v>44.685906674669674</v>
      </c>
      <c r="E191" s="387">
        <f t="shared" si="72"/>
        <v>50.765680630455165</v>
      </c>
      <c r="F191" s="387">
        <f t="shared" si="49"/>
        <v>50.768644800953524</v>
      </c>
      <c r="G191" s="110">
        <f t="shared" si="73"/>
        <v>0.7888892290592765</v>
      </c>
      <c r="H191" s="414" t="b">
        <f>Wh_hp&gt;='2019'!Maxi_hp</f>
        <v>0</v>
      </c>
      <c r="I191" s="382">
        <f>IF(H191,Wh_hp,'2019'!Maxi_hp)</f>
        <v>61.173275923851143</v>
      </c>
      <c r="J191" s="85">
        <f>IF(H191,An,'2019'!An_max)</f>
        <v>2019</v>
      </c>
      <c r="K191" s="199">
        <f t="shared" si="50"/>
        <v>44007</v>
      </c>
      <c r="L191" s="147">
        <f>IF(t&lt;Tvie,1-EXP((T0-t)*PertePVj)+'2019'!Pspv,1-EXP((T0-t)*PertePVj)+Pspv)</f>
        <v>1.6020860444474039E-2</v>
      </c>
      <c r="M191" s="870"/>
      <c r="N191" s="870"/>
      <c r="O191" s="48">
        <f>IF(t&lt;Tnet,'2019'!Resal+('2019'!Salim-'2019'!Resal)*(1-EXP(('2019'!Tnet-t)/('2019'!Tau_j))),Resal+(Salim-Resal)*(1-EXP((Tnet-t)/(Tau_j))))*Salcycl</f>
        <v>0.11976149793090998</v>
      </c>
      <c r="P191" s="171">
        <f>(INDEX(Models!$BJ191:$BT191,,T191)*(1-R191)+INDEX(Models!$BJ191:$BT191,,T191+1)*R191-ERP_i)*Q191*Ramure*Pc/MaxiM</f>
        <v>8.3594463239643367E-5</v>
      </c>
      <c r="Q191" s="307">
        <f t="shared" si="51"/>
        <v>1</v>
      </c>
      <c r="R191" s="179">
        <f t="shared" si="52"/>
        <v>6.0690227809463648E-2</v>
      </c>
      <c r="S191" s="837">
        <f t="shared" si="53"/>
        <v>-1</v>
      </c>
      <c r="T191" s="178">
        <f t="shared" si="54"/>
        <v>5</v>
      </c>
      <c r="U191" s="253">
        <f t="shared" si="55"/>
        <v>-0.93930977219053635</v>
      </c>
      <c r="V191" s="385">
        <f t="shared" si="56"/>
        <v>55.735190560280721</v>
      </c>
      <c r="W191" s="404"/>
      <c r="X191" s="157">
        <f t="shared" si="57"/>
        <v>44007</v>
      </c>
      <c r="Y191" s="387">
        <f t="shared" si="58"/>
        <v>43.97</v>
      </c>
      <c r="Z191" s="387">
        <f t="shared" si="59"/>
        <v>44.685906674669674</v>
      </c>
      <c r="AA191" s="388">
        <f t="shared" si="60"/>
        <v>50.765680630455165</v>
      </c>
      <c r="AB191" s="199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0.11976149793090998</v>
      </c>
      <c r="AD191" s="233">
        <f>(INDEX(Models!$BJ191:$BT191,,AH191)*(1-AF191)+INDEX(Models!$BJ191:$BT191,,AH191+1)*AF191-ERP_i)*AE191*Ramure*Pc/MaxiM</f>
        <v>8.3594463239643367E-5</v>
      </c>
      <c r="AE191" s="307">
        <f t="shared" si="62"/>
        <v>1</v>
      </c>
      <c r="AF191" s="179">
        <f t="shared" si="63"/>
        <v>6.0690227809463648E-2</v>
      </c>
      <c r="AG191" s="837">
        <f t="shared" si="71"/>
        <v>-1</v>
      </c>
      <c r="AH191" s="178">
        <f t="shared" si="64"/>
        <v>5</v>
      </c>
      <c r="AI191" s="227">
        <f t="shared" si="65"/>
        <v>-0.93930977219053635</v>
      </c>
      <c r="AJ191" s="267" t="b">
        <f t="shared" si="66"/>
        <v>0</v>
      </c>
      <c r="AK191" s="267" t="b">
        <f t="shared" si="67"/>
        <v>0</v>
      </c>
      <c r="AL191" s="267"/>
      <c r="AM191" s="267"/>
      <c r="AN191" s="75"/>
    </row>
    <row r="192" spans="1:40" s="6" customFormat="1" ht="11.25" customHeight="1" x14ac:dyDescent="0.2">
      <c r="A192" s="56">
        <f t="shared" si="68"/>
        <v>44008</v>
      </c>
      <c r="B192" s="618">
        <v>44.976999999999997</v>
      </c>
      <c r="C192" s="392"/>
      <c r="D192" s="395">
        <f t="shared" si="48"/>
        <v>45.710366101025869</v>
      </c>
      <c r="E192" s="387">
        <f t="shared" si="72"/>
        <v>51.939208017254572</v>
      </c>
      <c r="F192" s="387">
        <f t="shared" si="49"/>
        <v>51.942380806796578</v>
      </c>
      <c r="G192" s="110">
        <f t="shared" si="73"/>
        <v>0.80794908199021687</v>
      </c>
      <c r="H192" s="414" t="b">
        <f>Wh_hp&gt;='2019'!Maxi_hp</f>
        <v>0</v>
      </c>
      <c r="I192" s="382">
        <f>IF(H192,Wh_hp,'2019'!Maxi_hp)</f>
        <v>60.985394415911713</v>
      </c>
      <c r="J192" s="85">
        <f>IF(H192,An,'2019'!An_max)</f>
        <v>2019</v>
      </c>
      <c r="K192" s="199">
        <f t="shared" si="50"/>
        <v>44008</v>
      </c>
      <c r="L192" s="147">
        <f>IF(t&lt;Tvie,1-EXP((T0-t)*PertePVj)+'2019'!Pspv,1-EXP((T0-t)*PertePVj)+Pspv)</f>
        <v>1.6043759076552533E-2</v>
      </c>
      <c r="M192" s="870"/>
      <c r="N192" s="870"/>
      <c r="O192" s="48">
        <f>IF(t&lt;Tnet,'2019'!Resal+('2019'!Salim-'2019'!Resal)*(1-EXP(('2019'!Tnet-t)/('2019'!Tau_j))),Resal+(Salim-Resal)*(1-EXP((Tnet-t)/(Tau_j))))*Salcycl</f>
        <v>0.11992562370530249</v>
      </c>
      <c r="P192" s="171">
        <f>(INDEX(Models!$BJ192:$BT192,,T192)*(1-R192)+INDEX(Models!$BJ192:$BT192,,T192+1)*R192-ERP_i)*Q192*Ramure*Pc/MaxiM</f>
        <v>8.4174650345987076E-5</v>
      </c>
      <c r="Q192" s="307">
        <f t="shared" si="51"/>
        <v>1</v>
      </c>
      <c r="R192" s="179">
        <f t="shared" si="52"/>
        <v>6.7125699394267713E-2</v>
      </c>
      <c r="S192" s="837">
        <f t="shared" si="53"/>
        <v>-1</v>
      </c>
      <c r="T192" s="178">
        <f t="shared" si="54"/>
        <v>5</v>
      </c>
      <c r="U192" s="253">
        <f t="shared" si="55"/>
        <v>-0.93287430060573229</v>
      </c>
      <c r="V192" s="385">
        <f t="shared" si="56"/>
        <v>55.66682646217005</v>
      </c>
      <c r="W192" s="404"/>
      <c r="X192" s="157">
        <f t="shared" si="57"/>
        <v>44008</v>
      </c>
      <c r="Y192" s="387">
        <f t="shared" si="58"/>
        <v>44.976999999999997</v>
      </c>
      <c r="Z192" s="387">
        <f t="shared" si="59"/>
        <v>45.710366101025869</v>
      </c>
      <c r="AA192" s="388">
        <f t="shared" si="60"/>
        <v>51.939208017254572</v>
      </c>
      <c r="AB192" s="199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0.11992562370530249</v>
      </c>
      <c r="AD192" s="233">
        <f>(INDEX(Models!$BJ192:$BT192,,AH192)*(1-AF192)+INDEX(Models!$BJ192:$BT192,,AH192+1)*AF192-ERP_i)*AE192*Ramure*Pc/MaxiM</f>
        <v>8.4174650345987076E-5</v>
      </c>
      <c r="AE192" s="307">
        <f t="shared" si="62"/>
        <v>1</v>
      </c>
      <c r="AF192" s="179">
        <f t="shared" si="63"/>
        <v>6.7125699394267713E-2</v>
      </c>
      <c r="AG192" s="837">
        <f t="shared" si="71"/>
        <v>-1</v>
      </c>
      <c r="AH192" s="178">
        <f t="shared" si="64"/>
        <v>5</v>
      </c>
      <c r="AI192" s="227">
        <f t="shared" si="65"/>
        <v>-0.93287430060573229</v>
      </c>
      <c r="AJ192" s="267" t="b">
        <f t="shared" si="66"/>
        <v>0</v>
      </c>
      <c r="AK192" s="267" t="b">
        <f t="shared" si="67"/>
        <v>0</v>
      </c>
      <c r="AL192" s="267"/>
      <c r="AM192" s="267"/>
      <c r="AN192" s="75"/>
    </row>
    <row r="193" spans="1:40" s="6" customFormat="1" ht="11.25" x14ac:dyDescent="0.2">
      <c r="A193" s="56">
        <f t="shared" si="68"/>
        <v>44009</v>
      </c>
      <c r="B193" s="618">
        <v>39.634</v>
      </c>
      <c r="C193" s="392"/>
      <c r="D193" s="395">
        <f t="shared" si="48"/>
        <v>40.281183973535967</v>
      </c>
      <c r="E193" s="387">
        <f t="shared" si="72"/>
        <v>45.778538992154715</v>
      </c>
      <c r="F193" s="387">
        <f t="shared" si="49"/>
        <v>45.780831123377844</v>
      </c>
      <c r="G193" s="110">
        <f t="shared" si="73"/>
        <v>0.71285583149124088</v>
      </c>
      <c r="H193" s="414" t="b">
        <f>Wh_hp&gt;='2019'!Maxi_hp</f>
        <v>0</v>
      </c>
      <c r="I193" s="382">
        <f>IF(H193,Wh_hp,'2019'!Maxi_hp)</f>
        <v>60.915377399741978</v>
      </c>
      <c r="J193" s="85">
        <f>IF(H193,An,'2019'!An_max)</f>
        <v>2019</v>
      </c>
      <c r="K193" s="199">
        <f t="shared" si="50"/>
        <v>44009</v>
      </c>
      <c r="L193" s="147">
        <f>IF(t&lt;Tvie,1-EXP((T0-t)*PertePVj)+'2019'!Pspv,1-EXP((T0-t)*PertePVj)+Pspv)</f>
        <v>1.6066657175746291E-2</v>
      </c>
      <c r="M193" s="870"/>
      <c r="N193" s="870"/>
      <c r="O193" s="48">
        <f>IF(t&lt;Tnet,'2019'!Resal+('2019'!Salim-'2019'!Resal)*(1-EXP(('2019'!Tnet-t)/('2019'!Tau_j))),Resal+(Salim-Resal)*(1-EXP((Tnet-t)/(Tau_j))))*Salcycl</f>
        <v>0.12008585550449428</v>
      </c>
      <c r="P193" s="171">
        <f>(INDEX(Models!$BJ193:$BT193,,T193)*(1-R193)+INDEX(Models!$BJ193:$BT193,,T193+1)*R193-ERP_i)*Q193*Ramure*Pc/MaxiM</f>
        <v>8.4884679099758031E-5</v>
      </c>
      <c r="Q193" s="307">
        <f t="shared" si="51"/>
        <v>1</v>
      </c>
      <c r="R193" s="179">
        <f t="shared" si="52"/>
        <v>7.3472990737428967E-2</v>
      </c>
      <c r="S193" s="837">
        <f t="shared" si="53"/>
        <v>-1</v>
      </c>
      <c r="T193" s="178">
        <f t="shared" si="54"/>
        <v>5</v>
      </c>
      <c r="U193" s="253">
        <f t="shared" si="55"/>
        <v>-0.92652700926257103</v>
      </c>
      <c r="V193" s="385">
        <f t="shared" si="56"/>
        <v>55.59696398001617</v>
      </c>
      <c r="W193" s="404"/>
      <c r="X193" s="157">
        <f t="shared" si="57"/>
        <v>44009</v>
      </c>
      <c r="Y193" s="387">
        <f t="shared" si="58"/>
        <v>39.634</v>
      </c>
      <c r="Z193" s="387">
        <f t="shared" si="59"/>
        <v>40.281183973535967</v>
      </c>
      <c r="AA193" s="388">
        <f t="shared" si="60"/>
        <v>45.778538992154715</v>
      </c>
      <c r="AB193" s="199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0.12008585550449428</v>
      </c>
      <c r="AD193" s="233">
        <f>(INDEX(Models!$BJ193:$BT193,,AH193)*(1-AF193)+INDEX(Models!$BJ193:$BT193,,AH193+1)*AF193-ERP_i)*AE193*Ramure*Pc/MaxiM</f>
        <v>8.4884679099758031E-5</v>
      </c>
      <c r="AE193" s="307">
        <f t="shared" si="62"/>
        <v>1</v>
      </c>
      <c r="AF193" s="179">
        <f t="shared" si="63"/>
        <v>7.3472990737428967E-2</v>
      </c>
      <c r="AG193" s="837">
        <f t="shared" si="71"/>
        <v>-1</v>
      </c>
      <c r="AH193" s="178">
        <f t="shared" si="64"/>
        <v>5</v>
      </c>
      <c r="AI193" s="227">
        <f t="shared" si="65"/>
        <v>-0.92652700926257103</v>
      </c>
      <c r="AJ193" s="267" t="b">
        <f t="shared" si="66"/>
        <v>0</v>
      </c>
      <c r="AK193" s="267" t="b">
        <f t="shared" si="67"/>
        <v>0</v>
      </c>
      <c r="AL193" s="267"/>
      <c r="AM193" s="267"/>
      <c r="AN193" s="75"/>
    </row>
    <row r="194" spans="1:40" s="6" customFormat="1" ht="11.25" customHeight="1" x14ac:dyDescent="0.2">
      <c r="A194" s="56">
        <f t="shared" si="68"/>
        <v>44010</v>
      </c>
      <c r="B194" s="618">
        <v>44.844000000000001</v>
      </c>
      <c r="C194" s="392"/>
      <c r="D194" s="395">
        <f t="shared" si="48"/>
        <v>45.577318765270505</v>
      </c>
      <c r="E194" s="387">
        <f t="shared" si="72"/>
        <v>51.806668120971679</v>
      </c>
      <c r="F194" s="387">
        <f t="shared" si="49"/>
        <v>51.809889139782541</v>
      </c>
      <c r="G194" s="110">
        <f t="shared" si="73"/>
        <v>0.80761127913693143</v>
      </c>
      <c r="H194" s="414" t="b">
        <f>Wh_hp&gt;='2019'!Maxi_hp</f>
        <v>0</v>
      </c>
      <c r="I194" s="382">
        <f>IF(H194,Wh_hp,'2019'!Maxi_hp)</f>
        <v>58.681985586481595</v>
      </c>
      <c r="J194" s="85">
        <f>IF(H194,An,'2019'!An_max)</f>
        <v>2019</v>
      </c>
      <c r="K194" s="199">
        <f t="shared" si="50"/>
        <v>44010</v>
      </c>
      <c r="L194" s="147">
        <f>IF(t&lt;Tvie,1-EXP((T0-t)*PertePVj)+'2019'!Pspv,1-EXP((T0-t)*PertePVj)+Pspv)</f>
        <v>1.6089554742067969E-2</v>
      </c>
      <c r="M194" s="870"/>
      <c r="N194" s="870"/>
      <c r="O194" s="48">
        <f>IF(t&lt;Tnet,'2019'!Resal+('2019'!Salim-'2019'!Resal)*(1-EXP(('2019'!Tnet-t)/('2019'!Tau_j))),Resal+(Salim-Resal)*(1-EXP((Tnet-t)/(Tau_j))))*Salcycl</f>
        <v>0.12024223100306838</v>
      </c>
      <c r="P194" s="171">
        <f>(INDEX(Models!$BJ194:$BT194,,T194)*(1-R194)+INDEX(Models!$BJ194:$BT194,,T194+1)*R194-ERP_i)*Q194*Ramure*Pc/MaxiM</f>
        <v>8.572965866422492E-5</v>
      </c>
      <c r="Q194" s="307">
        <f t="shared" si="51"/>
        <v>1</v>
      </c>
      <c r="R194" s="179">
        <f t="shared" si="52"/>
        <v>7.9728654601910254E-2</v>
      </c>
      <c r="S194" s="837">
        <f t="shared" si="53"/>
        <v>-1</v>
      </c>
      <c r="T194" s="178">
        <f t="shared" si="54"/>
        <v>5</v>
      </c>
      <c r="U194" s="253">
        <f t="shared" si="55"/>
        <v>-0.92027134539808975</v>
      </c>
      <c r="V194" s="385">
        <f t="shared" si="56"/>
        <v>55.52540508247148</v>
      </c>
      <c r="W194" s="404"/>
      <c r="X194" s="157">
        <f t="shared" si="57"/>
        <v>44010</v>
      </c>
      <c r="Y194" s="387">
        <f t="shared" si="58"/>
        <v>44.844000000000001</v>
      </c>
      <c r="Z194" s="387">
        <f t="shared" si="59"/>
        <v>45.577318765270505</v>
      </c>
      <c r="AA194" s="388">
        <f t="shared" si="60"/>
        <v>51.806668120971679</v>
      </c>
      <c r="AB194" s="199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0.12024223100306838</v>
      </c>
      <c r="AD194" s="233">
        <f>(INDEX(Models!$BJ194:$BT194,,AH194)*(1-AF194)+INDEX(Models!$BJ194:$BT194,,AH194+1)*AF194-ERP_i)*AE194*Ramure*Pc/MaxiM</f>
        <v>8.572965866422492E-5</v>
      </c>
      <c r="AE194" s="307">
        <f t="shared" si="62"/>
        <v>1</v>
      </c>
      <c r="AF194" s="179">
        <f t="shared" si="63"/>
        <v>7.9728654601910254E-2</v>
      </c>
      <c r="AG194" s="837">
        <f t="shared" si="71"/>
        <v>-1</v>
      </c>
      <c r="AH194" s="178">
        <f t="shared" si="64"/>
        <v>5</v>
      </c>
      <c r="AI194" s="227">
        <f t="shared" si="65"/>
        <v>-0.92027134539808975</v>
      </c>
      <c r="AJ194" s="267" t="b">
        <f t="shared" si="66"/>
        <v>0</v>
      </c>
      <c r="AK194" s="267" t="b">
        <f t="shared" si="67"/>
        <v>0</v>
      </c>
      <c r="AL194" s="267"/>
      <c r="AM194" s="267"/>
      <c r="AN194" s="75"/>
    </row>
    <row r="195" spans="1:40" s="6" customFormat="1" ht="11.25" customHeight="1" x14ac:dyDescent="0.2">
      <c r="A195" s="56">
        <f t="shared" si="68"/>
        <v>44011</v>
      </c>
      <c r="B195" s="618">
        <v>22.062999999999999</v>
      </c>
      <c r="C195" s="392"/>
      <c r="D195" s="395">
        <f t="shared" si="48"/>
        <v>22.424310623520981</v>
      </c>
      <c r="E195" s="387">
        <f t="shared" si="72"/>
        <v>25.493608442734566</v>
      </c>
      <c r="F195" s="387">
        <f t="shared" si="49"/>
        <v>25.493917548385173</v>
      </c>
      <c r="G195" s="110">
        <f t="shared" si="73"/>
        <v>0.39784631189048658</v>
      </c>
      <c r="H195" s="414" t="b">
        <f>Wh_hp&gt;='2019'!Maxi_hp</f>
        <v>0</v>
      </c>
      <c r="I195" s="382">
        <f>IF(H195,Wh_hp,'2019'!Maxi_hp)</f>
        <v>57.491267700625883</v>
      </c>
      <c r="J195" s="85">
        <f>IF(H195,An,'2019'!An_max)</f>
        <v>2019</v>
      </c>
      <c r="K195" s="199">
        <f t="shared" si="50"/>
        <v>44011</v>
      </c>
      <c r="L195" s="147">
        <f>IF(t&lt;Tvie,1-EXP((T0-t)*PertePVj)+'2019'!Pspv,1-EXP((T0-t)*PertePVj)+Pspv)</f>
        <v>1.6112451775529779E-2</v>
      </c>
      <c r="M195" s="870"/>
      <c r="N195" s="870"/>
      <c r="O195" s="48">
        <f>IF(t&lt;Tnet,'2019'!Resal+('2019'!Salim-'2019'!Resal)*(1-EXP(('2019'!Tnet-t)/('2019'!Tau_j))),Resal+(Salim-Resal)*(1-EXP((Tnet-t)/(Tau_j))))*Salcycl</f>
        <v>0.12039479723351232</v>
      </c>
      <c r="P195" s="171">
        <f>(INDEX(Models!$BJ195:$BT195,,T195)*(1-R195)+INDEX(Models!$BJ195:$BT195,,T195+1)*R195-ERP_i)*Q195*Ramure*Pc/MaxiM</f>
        <v>8.6714603055174845E-5</v>
      </c>
      <c r="Q195" s="307">
        <f t="shared" si="51"/>
        <v>1</v>
      </c>
      <c r="R195" s="179">
        <f t="shared" si="52"/>
        <v>8.5889494945688094E-2</v>
      </c>
      <c r="S195" s="837">
        <f t="shared" si="53"/>
        <v>-1</v>
      </c>
      <c r="T195" s="178">
        <f t="shared" si="54"/>
        <v>5</v>
      </c>
      <c r="U195" s="253">
        <f t="shared" si="55"/>
        <v>-0.91411050505431191</v>
      </c>
      <c r="V195" s="385">
        <f t="shared" si="56"/>
        <v>55.451951276847161</v>
      </c>
      <c r="W195" s="404"/>
      <c r="X195" s="157">
        <f t="shared" si="57"/>
        <v>44011</v>
      </c>
      <c r="Y195" s="387">
        <f t="shared" si="58"/>
        <v>22.062999999999999</v>
      </c>
      <c r="Z195" s="387">
        <f t="shared" si="59"/>
        <v>22.424310623520981</v>
      </c>
      <c r="AA195" s="388">
        <f t="shared" si="60"/>
        <v>25.493608442734566</v>
      </c>
      <c r="AB195" s="199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0.12039479723351232</v>
      </c>
      <c r="AD195" s="233">
        <f>(INDEX(Models!$BJ195:$BT195,,AH195)*(1-AF195)+INDEX(Models!$BJ195:$BT195,,AH195+1)*AF195-ERP_i)*AE195*Ramure*Pc/MaxiM</f>
        <v>8.6714603055174845E-5</v>
      </c>
      <c r="AE195" s="307">
        <f t="shared" si="62"/>
        <v>1</v>
      </c>
      <c r="AF195" s="179">
        <f t="shared" si="63"/>
        <v>8.5889494945688094E-2</v>
      </c>
      <c r="AG195" s="837">
        <f t="shared" si="71"/>
        <v>-1</v>
      </c>
      <c r="AH195" s="178">
        <f t="shared" si="64"/>
        <v>5</v>
      </c>
      <c r="AI195" s="227">
        <f t="shared" si="65"/>
        <v>-0.91411050505431191</v>
      </c>
      <c r="AJ195" s="267" t="b">
        <f t="shared" si="66"/>
        <v>0</v>
      </c>
      <c r="AK195" s="267" t="b">
        <f t="shared" si="67"/>
        <v>0</v>
      </c>
      <c r="AL195" s="267"/>
      <c r="AM195" s="267"/>
      <c r="AN195" s="75"/>
    </row>
    <row r="196" spans="1:40" s="6" customFormat="1" ht="11.25" customHeight="1" x14ac:dyDescent="0.2">
      <c r="A196" s="56">
        <f t="shared" si="68"/>
        <v>44012</v>
      </c>
      <c r="B196" s="618">
        <v>51.622</v>
      </c>
      <c r="C196" s="392"/>
      <c r="D196" s="395">
        <f t="shared" si="48"/>
        <v>52.468599120368538</v>
      </c>
      <c r="E196" s="387">
        <f t="shared" si="72"/>
        <v>59.660262548787607</v>
      </c>
      <c r="F196" s="387">
        <f t="shared" si="49"/>
        <v>59.664996150956185</v>
      </c>
      <c r="G196" s="110">
        <f t="shared" si="73"/>
        <v>0.93219417249955505</v>
      </c>
      <c r="H196" s="414" t="b">
        <f>Wh_hp&gt;='2019'!Maxi_hp</f>
        <v>1</v>
      </c>
      <c r="I196" s="382">
        <f>IF(H196,Wh_hp,'2019'!Maxi_hp)</f>
        <v>59.664996150956185</v>
      </c>
      <c r="J196" s="85">
        <f>IF(H196,An,'2019'!An_max)</f>
        <v>2020</v>
      </c>
      <c r="K196" s="199">
        <f t="shared" si="50"/>
        <v>44012</v>
      </c>
      <c r="L196" s="147">
        <f>IF(t&lt;Tvie,1-EXP((T0-t)*PertePVj)+'2019'!Pspv,1-EXP((T0-t)*PertePVj)+Pspv)</f>
        <v>1.6135348276144157E-2</v>
      </c>
      <c r="M196" s="870"/>
      <c r="N196" s="870"/>
      <c r="O196" s="48">
        <f>IF(t&lt;Tnet,'2019'!Resal+('2019'!Salim-'2019'!Resal)*(1-EXP(('2019'!Tnet-t)/('2019'!Tau_j))),Resal+(Salim-Resal)*(1-EXP((Tnet-t)/(Tau_j))))*Salcycl</f>
        <v>0.12054361012136071</v>
      </c>
      <c r="P196" s="171">
        <f>(INDEX(Models!$BJ196:$BT196,,T196)*(1-R196)+INDEX(Models!$BJ196:$BT196,,T196+1)*R196-ERP_i)*Q196*Ramure*Pc/MaxiM</f>
        <v>8.7844432430129974E-5</v>
      </c>
      <c r="Q196" s="307">
        <f t="shared" si="51"/>
        <v>1</v>
      </c>
      <c r="R196" s="179">
        <f t="shared" si="52"/>
        <v>9.1952569475008072E-2</v>
      </c>
      <c r="S196" s="837">
        <f t="shared" si="53"/>
        <v>-1</v>
      </c>
      <c r="T196" s="178">
        <f t="shared" si="54"/>
        <v>5</v>
      </c>
      <c r="U196" s="253">
        <f t="shared" si="55"/>
        <v>-0.90804743052499193</v>
      </c>
      <c r="V196" s="385">
        <f t="shared" si="56"/>
        <v>55.376403632486088</v>
      </c>
      <c r="W196" s="404"/>
      <c r="X196" s="157">
        <f t="shared" si="57"/>
        <v>44012</v>
      </c>
      <c r="Y196" s="387">
        <f t="shared" si="58"/>
        <v>51.622</v>
      </c>
      <c r="Z196" s="387">
        <f t="shared" si="59"/>
        <v>52.468599120368538</v>
      </c>
      <c r="AA196" s="388">
        <f t="shared" si="60"/>
        <v>59.660262548787607</v>
      </c>
      <c r="AB196" s="199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0.12054361012136071</v>
      </c>
      <c r="AD196" s="233">
        <f>(INDEX(Models!$BJ196:$BT196,,AH196)*(1-AF196)+INDEX(Models!$BJ196:$BT196,,AH196+1)*AF196-ERP_i)*AE196*Ramure*Pc/MaxiM</f>
        <v>8.7844432430129974E-5</v>
      </c>
      <c r="AE196" s="307">
        <f t="shared" si="62"/>
        <v>1</v>
      </c>
      <c r="AF196" s="179">
        <f t="shared" si="63"/>
        <v>9.1952569475008072E-2</v>
      </c>
      <c r="AG196" s="837">
        <f t="shared" si="71"/>
        <v>-1</v>
      </c>
      <c r="AH196" s="178">
        <f t="shared" si="64"/>
        <v>5</v>
      </c>
      <c r="AI196" s="227">
        <f t="shared" si="65"/>
        <v>-0.90804743052499193</v>
      </c>
      <c r="AJ196" s="267" t="b">
        <f t="shared" si="66"/>
        <v>0</v>
      </c>
      <c r="AK196" s="267" t="b">
        <f t="shared" si="67"/>
        <v>0</v>
      </c>
      <c r="AL196" s="267"/>
      <c r="AM196" s="267"/>
      <c r="AN196" s="75"/>
    </row>
    <row r="197" spans="1:40" s="6" customFormat="1" ht="11.25" customHeight="1" x14ac:dyDescent="0.2">
      <c r="A197" s="56">
        <f t="shared" si="68"/>
        <v>44013</v>
      </c>
      <c r="B197" s="618">
        <v>42.13</v>
      </c>
      <c r="C197" s="392"/>
      <c r="D197" s="395">
        <f t="shared" si="48"/>
        <v>42.821927158014709</v>
      </c>
      <c r="E197" s="387">
        <f t="shared" si="72"/>
        <v>48.699395552645385</v>
      </c>
      <c r="F197" s="387">
        <f t="shared" si="49"/>
        <v>48.702259466838917</v>
      </c>
      <c r="G197" s="110">
        <f t="shared" si="73"/>
        <v>0.76184118407419188</v>
      </c>
      <c r="H197" s="414" t="b">
        <f>Wh_hp&gt;='2019'!Maxi_hp</f>
        <v>1</v>
      </c>
      <c r="I197" s="382">
        <f>IF(H197,Wh_hp,'2019'!Maxi_hp)</f>
        <v>48.702259466838917</v>
      </c>
      <c r="J197" s="85">
        <f>IF(H197,An,'2019'!An_max)</f>
        <v>2020</v>
      </c>
      <c r="K197" s="199">
        <f t="shared" si="50"/>
        <v>44013</v>
      </c>
      <c r="L197" s="147">
        <f>IF(t&lt;Tvie,1-EXP((T0-t)*PertePVj)+'2019'!Pspv,1-EXP((T0-t)*PertePVj)+Pspv)</f>
        <v>1.6158244243923536E-2</v>
      </c>
      <c r="M197" s="870"/>
      <c r="N197" s="870"/>
      <c r="O197" s="48">
        <f>IF(t&lt;Tnet,'2019'!Resal+('2019'!Salim-'2019'!Resal)*(1-EXP(('2019'!Tnet-t)/('2019'!Tau_j))),Resal+(Salim-Resal)*(1-EXP((Tnet-t)/(Tau_j))))*Salcycl</f>
        <v>0.12068873397570141</v>
      </c>
      <c r="P197" s="171">
        <f>(INDEX(Models!$BJ197:$BT197,,T197)*(1-R197)+INDEX(Models!$BJ197:$BT197,,T197+1)*R197-ERP_i)*Q197*Ramure*Pc/MaxiM</f>
        <v>8.912397569475495E-5</v>
      </c>
      <c r="Q197" s="307">
        <f t="shared" si="51"/>
        <v>1</v>
      </c>
      <c r="R197" s="179">
        <f t="shared" si="52"/>
        <v>9.7915190905732974E-2</v>
      </c>
      <c r="S197" s="837">
        <f t="shared" si="53"/>
        <v>-1</v>
      </c>
      <c r="T197" s="178">
        <f t="shared" si="54"/>
        <v>5</v>
      </c>
      <c r="U197" s="253">
        <f t="shared" si="55"/>
        <v>-0.90208480909426703</v>
      </c>
      <c r="V197" s="385">
        <f t="shared" si="56"/>
        <v>55.298562808006984</v>
      </c>
      <c r="W197" s="404"/>
      <c r="X197" s="157">
        <f t="shared" si="57"/>
        <v>44013</v>
      </c>
      <c r="Y197" s="387">
        <f t="shared" si="58"/>
        <v>42.13</v>
      </c>
      <c r="Z197" s="387">
        <f t="shared" si="59"/>
        <v>42.821927158014709</v>
      </c>
      <c r="AA197" s="388">
        <f t="shared" si="60"/>
        <v>48.699395552645385</v>
      </c>
      <c r="AB197" s="199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0.12068873397570141</v>
      </c>
      <c r="AD197" s="233">
        <f>(INDEX(Models!$BJ197:$BT197,,AH197)*(1-AF197)+INDEX(Models!$BJ197:$BT197,,AH197+1)*AF197-ERP_i)*AE197*Ramure*Pc/MaxiM</f>
        <v>8.912397569475495E-5</v>
      </c>
      <c r="AE197" s="307">
        <f t="shared" si="62"/>
        <v>1</v>
      </c>
      <c r="AF197" s="179">
        <f t="shared" si="63"/>
        <v>9.7915190905732974E-2</v>
      </c>
      <c r="AG197" s="837">
        <f t="shared" si="71"/>
        <v>-1</v>
      </c>
      <c r="AH197" s="178">
        <f t="shared" si="64"/>
        <v>5</v>
      </c>
      <c r="AI197" s="227">
        <f t="shared" si="65"/>
        <v>-0.90208480909426703</v>
      </c>
      <c r="AJ197" s="267" t="b">
        <f t="shared" si="66"/>
        <v>0</v>
      </c>
      <c r="AK197" s="267" t="b">
        <f t="shared" si="67"/>
        <v>0</v>
      </c>
      <c r="AL197" s="267"/>
      <c r="AM197" s="267"/>
      <c r="AN197" s="75"/>
    </row>
    <row r="198" spans="1:40" s="6" customFormat="1" ht="11.25" customHeight="1" x14ac:dyDescent="0.2">
      <c r="A198" s="56">
        <f t="shared" si="68"/>
        <v>44014</v>
      </c>
      <c r="B198" s="618">
        <v>18.800999999999998</v>
      </c>
      <c r="C198" s="392"/>
      <c r="D198" s="395">
        <f t="shared" si="48"/>
        <v>19.110225223638555</v>
      </c>
      <c r="E198" s="387">
        <f t="shared" si="72"/>
        <v>21.736672612635836</v>
      </c>
      <c r="F198" s="387">
        <f t="shared" si="49"/>
        <v>21.736787139206257</v>
      </c>
      <c r="G198" s="110">
        <f t="shared" si="73"/>
        <v>0.34045634532377073</v>
      </c>
      <c r="H198" s="414" t="b">
        <f>Wh_hp&gt;='2019'!Maxi_hp</f>
        <v>0</v>
      </c>
      <c r="I198" s="382">
        <f>IF(H198,Wh_hp,'2019'!Maxi_hp)</f>
        <v>51.612823612045531</v>
      </c>
      <c r="J198" s="85">
        <f>IF(H198,An,'2019'!An_max)</f>
        <v>2019</v>
      </c>
      <c r="K198" s="199">
        <f t="shared" si="50"/>
        <v>44014</v>
      </c>
      <c r="L198" s="147">
        <f>IF(t&lt;Tvie,1-EXP((T0-t)*PertePVj)+'2019'!Pspv,1-EXP((T0-t)*PertePVj)+Pspv)</f>
        <v>1.6181139678880241E-2</v>
      </c>
      <c r="M198" s="870"/>
      <c r="N198" s="870"/>
      <c r="O198" s="48">
        <f>IF(t&lt;Tnet,'2019'!Resal+('2019'!Salim-'2019'!Resal)*(1-EXP(('2019'!Tnet-t)/('2019'!Tau_j))),Resal+(Salim-Resal)*(1-EXP((Tnet-t)/(Tau_j))))*Salcycl</f>
        <v>0.12083024093901512</v>
      </c>
      <c r="P198" s="171">
        <f>(INDEX(Models!$BJ198:$BT198,,T198)*(1-R198)+INDEX(Models!$BJ198:$BT198,,T198+1)*R198-ERP_i)*Q198*Ramure*Pc/MaxiM</f>
        <v>9.1097969073675416E-5</v>
      </c>
      <c r="Q198" s="307">
        <f t="shared" si="51"/>
        <v>1</v>
      </c>
      <c r="R198" s="179">
        <f t="shared" si="52"/>
        <v>0.10377492697994806</v>
      </c>
      <c r="S198" s="837">
        <f t="shared" si="53"/>
        <v>-1</v>
      </c>
      <c r="T198" s="178">
        <f t="shared" si="54"/>
        <v>5</v>
      </c>
      <c r="U198" s="253">
        <f t="shared" si="55"/>
        <v>-0.89622507302005194</v>
      </c>
      <c r="V198" s="385">
        <f t="shared" si="56"/>
        <v>55.218199264952027</v>
      </c>
      <c r="W198" s="404"/>
      <c r="X198" s="157">
        <f t="shared" si="57"/>
        <v>44014</v>
      </c>
      <c r="Y198" s="387">
        <f t="shared" si="58"/>
        <v>18.800999999999998</v>
      </c>
      <c r="Z198" s="387">
        <f t="shared" si="59"/>
        <v>19.110225223638555</v>
      </c>
      <c r="AA198" s="388">
        <f t="shared" si="60"/>
        <v>21.736672612635836</v>
      </c>
      <c r="AB198" s="199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0.12083024093901512</v>
      </c>
      <c r="AD198" s="233">
        <f>(INDEX(Models!$BJ198:$BT198,,AH198)*(1-AF198)+INDEX(Models!$BJ198:$BT198,,AH198+1)*AF198-ERP_i)*AE198*Ramure*Pc/MaxiM</f>
        <v>9.1097969073675416E-5</v>
      </c>
      <c r="AE198" s="307">
        <f t="shared" si="62"/>
        <v>1</v>
      </c>
      <c r="AF198" s="179">
        <f t="shared" si="63"/>
        <v>0.10377492697994806</v>
      </c>
      <c r="AG198" s="837">
        <f t="shared" si="71"/>
        <v>-1</v>
      </c>
      <c r="AH198" s="178">
        <f t="shared" si="64"/>
        <v>5</v>
      </c>
      <c r="AI198" s="227">
        <f t="shared" si="65"/>
        <v>-0.89622507302005194</v>
      </c>
      <c r="AJ198" s="267" t="b">
        <f t="shared" si="66"/>
        <v>0</v>
      </c>
      <c r="AK198" s="267" t="b">
        <f t="shared" si="67"/>
        <v>0</v>
      </c>
      <c r="AL198" s="267"/>
      <c r="AM198" s="267"/>
      <c r="AN198" s="75"/>
    </row>
    <row r="199" spans="1:40" s="6" customFormat="1" ht="11.25" customHeight="1" x14ac:dyDescent="0.2">
      <c r="A199" s="56">
        <f t="shared" si="68"/>
        <v>44015</v>
      </c>
      <c r="B199" s="618">
        <v>44.259</v>
      </c>
      <c r="C199" s="392"/>
      <c r="D199" s="395">
        <f t="shared" si="48"/>
        <v>44.987986895383578</v>
      </c>
      <c r="E199" s="387">
        <f t="shared" si="72"/>
        <v>51.179021541288101</v>
      </c>
      <c r="F199" s="387">
        <f t="shared" si="49"/>
        <v>51.182468530679515</v>
      </c>
      <c r="G199" s="110">
        <f t="shared" si="73"/>
        <v>0.80271587292736823</v>
      </c>
      <c r="H199" s="414" t="b">
        <f>Wh_hp&gt;='2019'!Maxi_hp</f>
        <v>0</v>
      </c>
      <c r="I199" s="382">
        <f>IF(H199,Wh_hp,'2019'!Maxi_hp)</f>
        <v>59.307857255602293</v>
      </c>
      <c r="J199" s="85">
        <f>IF(H199,An,'2019'!An_max)</f>
        <v>2019</v>
      </c>
      <c r="K199" s="199">
        <f t="shared" si="50"/>
        <v>44015</v>
      </c>
      <c r="L199" s="147">
        <f>IF(t&lt;Tvie,1-EXP((T0-t)*PertePVj)+'2019'!Pspv,1-EXP((T0-t)*PertePVj)+Pspv)</f>
        <v>1.6204034581026816E-2</v>
      </c>
      <c r="M199" s="870"/>
      <c r="N199" s="870"/>
      <c r="O199" s="48">
        <f>IF(t&lt;Tnet,'2019'!Resal+('2019'!Salim-'2019'!Resal)*(1-EXP(('2019'!Tnet-t)/('2019'!Tau_j))),Resal+(Salim-Resal)*(1-EXP((Tnet-t)/(Tau_j))))*Salcycl</f>
        <v>0.12096821040062231</v>
      </c>
      <c r="P199" s="171">
        <f>(INDEX(Models!$BJ199:$BT199,,T199)*(1-R199)+INDEX(Models!$BJ199:$BT199,,T199+1)*R199-ERP_i)*Q199*Ramure*Pc/MaxiM</f>
        <v>9.3772573350032364E-5</v>
      </c>
      <c r="Q199" s="307">
        <f t="shared" si="51"/>
        <v>1</v>
      </c>
      <c r="R199" s="179">
        <f t="shared" si="52"/>
        <v>0.10952959929348804</v>
      </c>
      <c r="S199" s="837">
        <f t="shared" si="53"/>
        <v>-1</v>
      </c>
      <c r="T199" s="178">
        <f t="shared" si="54"/>
        <v>5</v>
      </c>
      <c r="U199" s="253">
        <f t="shared" si="55"/>
        <v>-0.89047040070651196</v>
      </c>
      <c r="V199" s="385">
        <f t="shared" si="56"/>
        <v>55.135112992796813</v>
      </c>
      <c r="W199" s="404"/>
      <c r="X199" s="157">
        <f t="shared" si="57"/>
        <v>44015</v>
      </c>
      <c r="Y199" s="387">
        <f t="shared" si="58"/>
        <v>44.259</v>
      </c>
      <c r="Z199" s="387">
        <f t="shared" si="59"/>
        <v>44.987986895383578</v>
      </c>
      <c r="AA199" s="388">
        <f t="shared" si="60"/>
        <v>51.179021541288101</v>
      </c>
      <c r="AB199" s="199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0.12096821040062231</v>
      </c>
      <c r="AD199" s="233">
        <f>(INDEX(Models!$BJ199:$BT199,,AH199)*(1-AF199)+INDEX(Models!$BJ199:$BT199,,AH199+1)*AF199-ERP_i)*AE199*Ramure*Pc/MaxiM</f>
        <v>9.3772573350032364E-5</v>
      </c>
      <c r="AE199" s="307">
        <f t="shared" si="62"/>
        <v>1</v>
      </c>
      <c r="AF199" s="179">
        <f t="shared" si="63"/>
        <v>0.10952959929348804</v>
      </c>
      <c r="AG199" s="837">
        <f t="shared" si="71"/>
        <v>-1</v>
      </c>
      <c r="AH199" s="178">
        <f t="shared" si="64"/>
        <v>5</v>
      </c>
      <c r="AI199" s="227">
        <f t="shared" si="65"/>
        <v>-0.89047040070651196</v>
      </c>
      <c r="AJ199" s="267" t="b">
        <f t="shared" si="66"/>
        <v>0</v>
      </c>
      <c r="AK199" s="267" t="b">
        <f t="shared" si="67"/>
        <v>0</v>
      </c>
      <c r="AL199" s="267"/>
      <c r="AM199" s="267"/>
      <c r="AN199" s="75"/>
    </row>
    <row r="200" spans="1:40" s="6" customFormat="1" ht="11.25" customHeight="1" x14ac:dyDescent="0.2">
      <c r="A200" s="56">
        <f t="shared" si="68"/>
        <v>44016</v>
      </c>
      <c r="B200" s="618">
        <v>52.395000000000003</v>
      </c>
      <c r="C200" s="392"/>
      <c r="D200" s="395">
        <f t="shared" si="48"/>
        <v>53.259233802870618</v>
      </c>
      <c r="E200" s="387">
        <f t="shared" si="72"/>
        <v>60.597791713015454</v>
      </c>
      <c r="F200" s="387">
        <f t="shared" si="49"/>
        <v>60.603274462468661</v>
      </c>
      <c r="G200" s="110">
        <f t="shared" si="73"/>
        <v>0.95178025142248401</v>
      </c>
      <c r="H200" s="414" t="b">
        <f>Wh_hp&gt;='2019'!Maxi_hp</f>
        <v>1</v>
      </c>
      <c r="I200" s="382">
        <f>IF(H200,Wh_hp,'2019'!Maxi_hp)</f>
        <v>60.603274462468661</v>
      </c>
      <c r="J200" s="85">
        <f>IF(H200,An,'2019'!An_max)</f>
        <v>2020</v>
      </c>
      <c r="K200" s="199">
        <f t="shared" si="50"/>
        <v>44016</v>
      </c>
      <c r="L200" s="147">
        <f>IF(t&lt;Tvie,1-EXP((T0-t)*PertePVj)+'2019'!Pspv,1-EXP((T0-t)*PertePVj)+Pspv)</f>
        <v>1.6226928950375474E-2</v>
      </c>
      <c r="M200" s="870"/>
      <c r="N200" s="870"/>
      <c r="O200" s="48">
        <f>IF(t&lt;Tnet,'2019'!Resal+('2019'!Salim-'2019'!Resal)*(1-EXP(('2019'!Tnet-t)/('2019'!Tau_j))),Resal+(Salim-Resal)*(1-EXP((Tnet-t)/(Tau_j))))*Salcycl</f>
        <v>0.12110272837827898</v>
      </c>
      <c r="P200" s="171">
        <f>(INDEX(Models!$BJ200:$BT200,,T200)*(1-R200)+INDEX(Models!$BJ200:$BT200,,T200+1)*R200-ERP_i)*Q200*Ramure*Pc/MaxiM</f>
        <v>9.7161655982449702E-5</v>
      </c>
      <c r="Q200" s="307">
        <f t="shared" si="51"/>
        <v>1</v>
      </c>
      <c r="R200" s="179">
        <f t="shared" si="52"/>
        <v>0.11517728099745139</v>
      </c>
      <c r="S200" s="837">
        <f t="shared" si="53"/>
        <v>-1</v>
      </c>
      <c r="T200" s="178">
        <f t="shared" si="54"/>
        <v>5</v>
      </c>
      <c r="U200" s="253">
        <f t="shared" si="55"/>
        <v>-0.88482271900254861</v>
      </c>
      <c r="V200" s="385">
        <f t="shared" si="56"/>
        <v>55.049103252316257</v>
      </c>
      <c r="W200" s="404"/>
      <c r="X200" s="157">
        <f t="shared" si="57"/>
        <v>44016</v>
      </c>
      <c r="Y200" s="387">
        <f t="shared" si="58"/>
        <v>52.395000000000003</v>
      </c>
      <c r="Z200" s="387">
        <f t="shared" si="59"/>
        <v>53.259233802870618</v>
      </c>
      <c r="AA200" s="388">
        <f t="shared" si="60"/>
        <v>60.597791713015454</v>
      </c>
      <c r="AB200" s="199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0.12110272837827898</v>
      </c>
      <c r="AD200" s="233">
        <f>(INDEX(Models!$BJ200:$BT200,,AH200)*(1-AF200)+INDEX(Models!$BJ200:$BT200,,AH200+1)*AF200-ERP_i)*AE200*Ramure*Pc/MaxiM</f>
        <v>9.7161655982449702E-5</v>
      </c>
      <c r="AE200" s="307">
        <f t="shared" si="62"/>
        <v>1</v>
      </c>
      <c r="AF200" s="179">
        <f t="shared" si="63"/>
        <v>0.11517728099745139</v>
      </c>
      <c r="AG200" s="837">
        <f t="shared" si="71"/>
        <v>-1</v>
      </c>
      <c r="AH200" s="178">
        <f t="shared" si="64"/>
        <v>5</v>
      </c>
      <c r="AI200" s="227">
        <f t="shared" si="65"/>
        <v>-0.88482271900254861</v>
      </c>
      <c r="AJ200" s="267" t="b">
        <f t="shared" si="66"/>
        <v>0</v>
      </c>
      <c r="AK200" s="267" t="b">
        <f t="shared" si="67"/>
        <v>0</v>
      </c>
      <c r="AL200" s="267"/>
      <c r="AM200" s="267"/>
      <c r="AN200" s="75"/>
    </row>
    <row r="201" spans="1:40" s="6" customFormat="1" ht="11.25" customHeight="1" x14ac:dyDescent="0.2">
      <c r="A201" s="56">
        <f t="shared" si="68"/>
        <v>44017</v>
      </c>
      <c r="B201" s="618">
        <v>53.2</v>
      </c>
      <c r="C201" s="392"/>
      <c r="D201" s="395">
        <f t="shared" si="48"/>
        <v>54.078770436122539</v>
      </c>
      <c r="E201" s="387">
        <f t="shared" si="72"/>
        <v>61.539435383630554</v>
      </c>
      <c r="F201" s="387">
        <f t="shared" si="49"/>
        <v>61.545383485754634</v>
      </c>
      <c r="G201" s="110">
        <f t="shared" si="73"/>
        <v>0.96797277009881655</v>
      </c>
      <c r="H201" s="414" t="b">
        <f>Wh_hp&gt;='2019'!Maxi_hp</f>
        <v>1</v>
      </c>
      <c r="I201" s="382">
        <f>IF(H201,Wh_hp,'2019'!Maxi_hp)</f>
        <v>61.545383485754634</v>
      </c>
      <c r="J201" s="85">
        <f>IF(H201,An,'2019'!An_max)</f>
        <v>2020</v>
      </c>
      <c r="K201" s="199">
        <f t="shared" si="50"/>
        <v>44017</v>
      </c>
      <c r="L201" s="147">
        <f>IF(t&lt;Tvie,1-EXP((T0-t)*PertePVj)+'2019'!Pspv,1-EXP((T0-t)*PertePVj)+Pspv)</f>
        <v>1.6249822786938761E-2</v>
      </c>
      <c r="M201" s="870"/>
      <c r="N201" s="870"/>
      <c r="O201" s="48">
        <f>IF(t&lt;Tnet,'2019'!Resal+('2019'!Salim-'2019'!Resal)*(1-EXP(('2019'!Tnet-t)/('2019'!Tau_j))),Resal+(Salim-Resal)*(1-EXP((Tnet-t)/(Tau_j))))*Salcycl</f>
        <v>0.12123388687268567</v>
      </c>
      <c r="P201" s="171">
        <f>(INDEX(Models!$BJ201:$BT201,,T201)*(1-R201)+INDEX(Models!$BJ201:$BT201,,T201+1)*R201-ERP_i)*Q201*Ramure*Pc/MaxiM</f>
        <v>1.0127897545221405E-4</v>
      </c>
      <c r="Q201" s="307">
        <f t="shared" si="51"/>
        <v>1</v>
      </c>
      <c r="R201" s="179">
        <f t="shared" si="52"/>
        <v>0.12071629344302792</v>
      </c>
      <c r="S201" s="837">
        <f t="shared" si="53"/>
        <v>-1</v>
      </c>
      <c r="T201" s="178">
        <f t="shared" si="54"/>
        <v>5</v>
      </c>
      <c r="U201" s="253">
        <f t="shared" si="55"/>
        <v>-0.87928370655697208</v>
      </c>
      <c r="V201" s="385">
        <f t="shared" si="56"/>
        <v>54.959969054921352</v>
      </c>
      <c r="W201" s="404"/>
      <c r="X201" s="157">
        <f t="shared" si="57"/>
        <v>44017</v>
      </c>
      <c r="Y201" s="387">
        <f t="shared" si="58"/>
        <v>53.2</v>
      </c>
      <c r="Z201" s="387">
        <f t="shared" si="59"/>
        <v>54.078770436122539</v>
      </c>
      <c r="AA201" s="388">
        <f t="shared" si="60"/>
        <v>61.539435383630554</v>
      </c>
      <c r="AB201" s="199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0.12123388687268567</v>
      </c>
      <c r="AD201" s="233">
        <f>(INDEX(Models!$BJ201:$BT201,,AH201)*(1-AF201)+INDEX(Models!$BJ201:$BT201,,AH201+1)*AF201-ERP_i)*AE201*Ramure*Pc/MaxiM</f>
        <v>1.0127897545221405E-4</v>
      </c>
      <c r="AE201" s="307">
        <f t="shared" si="62"/>
        <v>1</v>
      </c>
      <c r="AF201" s="179">
        <f t="shared" si="63"/>
        <v>0.12071629344302792</v>
      </c>
      <c r="AG201" s="837">
        <f t="shared" si="71"/>
        <v>-1</v>
      </c>
      <c r="AH201" s="178">
        <f t="shared" si="64"/>
        <v>5</v>
      </c>
      <c r="AI201" s="227">
        <f t="shared" si="65"/>
        <v>-0.87928370655697208</v>
      </c>
      <c r="AJ201" s="267" t="b">
        <f t="shared" si="66"/>
        <v>0</v>
      </c>
      <c r="AK201" s="267" t="b">
        <f t="shared" si="67"/>
        <v>0</v>
      </c>
      <c r="AL201" s="267"/>
      <c r="AM201" s="267"/>
      <c r="AN201" s="75"/>
    </row>
    <row r="202" spans="1:40" s="6" customFormat="1" ht="11.25" customHeight="1" x14ac:dyDescent="0.2">
      <c r="A202" s="56">
        <f t="shared" si="68"/>
        <v>44018</v>
      </c>
      <c r="B202" s="618">
        <v>37.133000000000003</v>
      </c>
      <c r="C202" s="392"/>
      <c r="D202" s="395">
        <f t="shared" si="48"/>
        <v>37.747250287128125</v>
      </c>
      <c r="E202" s="387">
        <f t="shared" si="72"/>
        <v>42.961084056413384</v>
      </c>
      <c r="F202" s="387">
        <f t="shared" si="49"/>
        <v>42.963538520751278</v>
      </c>
      <c r="G202" s="110">
        <f t="shared" si="73"/>
        <v>0.67674258557271516</v>
      </c>
      <c r="H202" s="414" t="b">
        <f>Wh_hp&gt;='2019'!Maxi_hp</f>
        <v>0</v>
      </c>
      <c r="I202" s="382">
        <f>IF(H202,Wh_hp,'2019'!Maxi_hp)</f>
        <v>53.108795063091954</v>
      </c>
      <c r="J202" s="85">
        <f>IF(H202,An,'2019'!An_max)</f>
        <v>2019</v>
      </c>
      <c r="K202" s="199">
        <f t="shared" si="50"/>
        <v>44018</v>
      </c>
      <c r="L202" s="147">
        <f>IF(t&lt;Tvie,1-EXP((T0-t)*PertePVj)+'2019'!Pspv,1-EXP((T0-t)*PertePVj)+Pspv)</f>
        <v>1.6272716090729E-2</v>
      </c>
      <c r="M202" s="870"/>
      <c r="N202" s="870"/>
      <c r="O202" s="48">
        <f>IF(t&lt;Tnet,'2019'!Resal+('2019'!Salim-'2019'!Resal)*(1-EXP(('2019'!Tnet-t)/('2019'!Tau_j))),Resal+(Salim-Resal)*(1-EXP((Tnet-t)/(Tau_j))))*Salcycl</f>
        <v>0.12136178319985658</v>
      </c>
      <c r="P202" s="171">
        <f>(INDEX(Models!$BJ202:$BT202,,T202)*(1-R202)+INDEX(Models!$BJ202:$BT202,,T202+1)*R202-ERP_i)*Q202*Ramure*Pc/MaxiM</f>
        <v>1.0613821358495812E-4</v>
      </c>
      <c r="Q202" s="307">
        <f t="shared" si="51"/>
        <v>1</v>
      </c>
      <c r="R202" s="179">
        <f t="shared" si="52"/>
        <v>0.1261452018440834</v>
      </c>
      <c r="S202" s="837">
        <f t="shared" si="53"/>
        <v>-1</v>
      </c>
      <c r="T202" s="178">
        <f t="shared" si="54"/>
        <v>5</v>
      </c>
      <c r="U202" s="253">
        <f t="shared" si="55"/>
        <v>-0.8738547981559166</v>
      </c>
      <c r="V202" s="385">
        <f t="shared" si="56"/>
        <v>54.867509195944351</v>
      </c>
      <c r="W202" s="404"/>
      <c r="X202" s="157">
        <f t="shared" si="57"/>
        <v>44018</v>
      </c>
      <c r="Y202" s="387">
        <f t="shared" si="58"/>
        <v>37.133000000000003</v>
      </c>
      <c r="Z202" s="387">
        <f t="shared" si="59"/>
        <v>37.747250287128125</v>
      </c>
      <c r="AA202" s="388">
        <f t="shared" si="60"/>
        <v>42.961084056413384</v>
      </c>
      <c r="AB202" s="199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0.12136178319985658</v>
      </c>
      <c r="AD202" s="233">
        <f>(INDEX(Models!$BJ202:$BT202,,AH202)*(1-AF202)+INDEX(Models!$BJ202:$BT202,,AH202+1)*AF202-ERP_i)*AE202*Ramure*Pc/MaxiM</f>
        <v>1.0613821358495812E-4</v>
      </c>
      <c r="AE202" s="307">
        <f t="shared" si="62"/>
        <v>1</v>
      </c>
      <c r="AF202" s="179">
        <f t="shared" si="63"/>
        <v>0.1261452018440834</v>
      </c>
      <c r="AG202" s="837">
        <f t="shared" si="71"/>
        <v>-1</v>
      </c>
      <c r="AH202" s="178">
        <f t="shared" si="64"/>
        <v>5</v>
      </c>
      <c r="AI202" s="227">
        <f t="shared" si="65"/>
        <v>-0.8738547981559166</v>
      </c>
      <c r="AJ202" s="267" t="b">
        <f t="shared" si="66"/>
        <v>0</v>
      </c>
      <c r="AK202" s="267" t="b">
        <f t="shared" si="67"/>
        <v>0</v>
      </c>
      <c r="AL202" s="267"/>
      <c r="AM202" s="267"/>
      <c r="AN202" s="75"/>
    </row>
    <row r="203" spans="1:40" s="6" customFormat="1" ht="11.25" customHeight="1" x14ac:dyDescent="0.2">
      <c r="A203" s="56">
        <f t="shared" si="68"/>
        <v>44019</v>
      </c>
      <c r="B203" s="618">
        <v>54.408000000000001</v>
      </c>
      <c r="C203" s="392"/>
      <c r="D203" s="395">
        <f t="shared" si="48"/>
        <v>55.309298698000795</v>
      </c>
      <c r="E203" s="387">
        <f t="shared" si="72"/>
        <v>62.957825819969429</v>
      </c>
      <c r="F203" s="387">
        <f t="shared" si="49"/>
        <v>62.964795608698509</v>
      </c>
      <c r="G203" s="110">
        <f t="shared" si="73"/>
        <v>0.99336187967210032</v>
      </c>
      <c r="H203" s="414" t="b">
        <f>Wh_hp&gt;='2019'!Maxi_hp</f>
        <v>1</v>
      </c>
      <c r="I203" s="382">
        <f>IF(H203,Wh_hp,'2019'!Maxi_hp)</f>
        <v>62.964795608698509</v>
      </c>
      <c r="J203" s="85">
        <f>IF(H203,An,'2019'!An_max)</f>
        <v>2020</v>
      </c>
      <c r="K203" s="199">
        <f t="shared" si="50"/>
        <v>44019</v>
      </c>
      <c r="L203" s="147">
        <f>IF(t&lt;Tvie,1-EXP((T0-t)*PertePVj)+'2019'!Pspv,1-EXP((T0-t)*PertePVj)+Pspv)</f>
        <v>1.6295608861758626E-2</v>
      </c>
      <c r="M203" s="870"/>
      <c r="N203" s="870"/>
      <c r="O203" s="48">
        <f>IF(t&lt;Tnet,'2019'!Resal+('2019'!Salim-'2019'!Resal)*(1-EXP(('2019'!Tnet-t)/('2019'!Tau_j))),Resal+(Salim-Resal)*(1-EXP((Tnet-t)/(Tau_j))))*Salcycl</f>
        <v>0.1214865193064309</v>
      </c>
      <c r="P203" s="171">
        <f>(INDEX(Models!$BJ203:$BT203,,T203)*(1-R203)+INDEX(Models!$BJ203:$BT203,,T203+1)*R203-ERP_i)*Q203*Ramure*Pc/MaxiM</f>
        <v>1.1175301159548725E-4</v>
      </c>
      <c r="Q203" s="307">
        <f t="shared" si="51"/>
        <v>1</v>
      </c>
      <c r="R203" s="179">
        <f t="shared" si="52"/>
        <v>0.13146281003592675</v>
      </c>
      <c r="S203" s="837">
        <f t="shared" si="53"/>
        <v>-1</v>
      </c>
      <c r="T203" s="178">
        <f t="shared" si="54"/>
        <v>5</v>
      </c>
      <c r="U203" s="253">
        <f t="shared" si="55"/>
        <v>-0.86853718996407325</v>
      </c>
      <c r="V203" s="385">
        <f t="shared" si="56"/>
        <v>54.771522299063022</v>
      </c>
      <c r="W203" s="404"/>
      <c r="X203" s="157">
        <f t="shared" si="57"/>
        <v>44019</v>
      </c>
      <c r="Y203" s="387">
        <f t="shared" si="58"/>
        <v>54.408000000000001</v>
      </c>
      <c r="Z203" s="387">
        <f t="shared" si="59"/>
        <v>55.309298698000795</v>
      </c>
      <c r="AA203" s="388">
        <f t="shared" si="60"/>
        <v>62.957825819969429</v>
      </c>
      <c r="AB203" s="199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0.1214865193064309</v>
      </c>
      <c r="AD203" s="233">
        <f>(INDEX(Models!$BJ203:$BT203,,AH203)*(1-AF203)+INDEX(Models!$BJ203:$BT203,,AH203+1)*AF203-ERP_i)*AE203*Ramure*Pc/MaxiM</f>
        <v>1.1175301159548725E-4</v>
      </c>
      <c r="AE203" s="307">
        <f t="shared" si="62"/>
        <v>1</v>
      </c>
      <c r="AF203" s="179">
        <f t="shared" si="63"/>
        <v>0.13146281003592675</v>
      </c>
      <c r="AG203" s="837">
        <f t="shared" si="71"/>
        <v>-1</v>
      </c>
      <c r="AH203" s="178">
        <f t="shared" si="64"/>
        <v>5</v>
      </c>
      <c r="AI203" s="227">
        <f t="shared" si="65"/>
        <v>-0.86853718996407325</v>
      </c>
      <c r="AJ203" s="267" t="b">
        <f t="shared" si="66"/>
        <v>0</v>
      </c>
      <c r="AK203" s="267" t="b">
        <f t="shared" si="67"/>
        <v>0</v>
      </c>
      <c r="AL203" s="267"/>
      <c r="AM203" s="267"/>
      <c r="AN203" s="75"/>
    </row>
    <row r="204" spans="1:40" s="6" customFormat="1" ht="11.25" customHeight="1" x14ac:dyDescent="0.2">
      <c r="A204" s="56">
        <f t="shared" si="68"/>
        <v>44020</v>
      </c>
      <c r="B204" s="618">
        <v>52.906999999999996</v>
      </c>
      <c r="C204" s="392"/>
      <c r="D204" s="395">
        <f t="shared" si="48"/>
        <v>53.784685448659253</v>
      </c>
      <c r="E204" s="387">
        <f t="shared" si="72"/>
        <v>61.230860208811066</v>
      </c>
      <c r="F204" s="387">
        <f t="shared" si="49"/>
        <v>61.237761043303095</v>
      </c>
      <c r="G204" s="110">
        <f t="shared" si="73"/>
        <v>0.967714710339038</v>
      </c>
      <c r="H204" s="414" t="b">
        <f>Wh_hp&gt;='2019'!Maxi_hp</f>
        <v>1</v>
      </c>
      <c r="I204" s="382">
        <f>IF(H204,Wh_hp,'2019'!Maxi_hp)</f>
        <v>61.237761043303095</v>
      </c>
      <c r="J204" s="85">
        <f>IF(H204,An,'2019'!An_max)</f>
        <v>2020</v>
      </c>
      <c r="K204" s="199">
        <f t="shared" si="50"/>
        <v>44020</v>
      </c>
      <c r="L204" s="147">
        <f>IF(t&lt;Tvie,1-EXP((T0-t)*PertePVj)+'2019'!Pspv,1-EXP((T0-t)*PertePVj)+Pspv)</f>
        <v>1.6318501100040073E-2</v>
      </c>
      <c r="M204" s="870"/>
      <c r="N204" s="870"/>
      <c r="O204" s="48">
        <f>IF(t&lt;Tnet,'2019'!Resal+('2019'!Salim-'2019'!Resal)*(1-EXP(('2019'!Tnet-t)/('2019'!Tau_j))),Resal+(Salim-Resal)*(1-EXP((Tnet-t)/(Tau_j))))*Salcycl</f>
        <v>0.12160820107309736</v>
      </c>
      <c r="P204" s="171">
        <f>(INDEX(Models!$BJ204:$BT204,,T204)*(1-R204)+INDEX(Models!$BJ204:$BT204,,T204+1)*R204-ERP_i)*Q204*Ramure*Pc/MaxiM</f>
        <v>1.181370098197829E-4</v>
      </c>
      <c r="Q204" s="307">
        <f t="shared" si="51"/>
        <v>1</v>
      </c>
      <c r="R204" s="179">
        <f t="shared" si="52"/>
        <v>0.13666815441155966</v>
      </c>
      <c r="S204" s="837">
        <f t="shared" si="53"/>
        <v>-1</v>
      </c>
      <c r="T204" s="178">
        <f t="shared" si="54"/>
        <v>5</v>
      </c>
      <c r="U204" s="253">
        <f t="shared" si="55"/>
        <v>-0.86333184558844034</v>
      </c>
      <c r="V204" s="385">
        <f t="shared" si="56"/>
        <v>54.6718068612088</v>
      </c>
      <c r="W204" s="404"/>
      <c r="X204" s="157">
        <f t="shared" si="57"/>
        <v>44020</v>
      </c>
      <c r="Y204" s="387">
        <f t="shared" si="58"/>
        <v>52.906999999999996</v>
      </c>
      <c r="Z204" s="387">
        <f t="shared" si="59"/>
        <v>53.784685448659253</v>
      </c>
      <c r="AA204" s="388">
        <f t="shared" si="60"/>
        <v>61.230860208811066</v>
      </c>
      <c r="AB204" s="199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0.12160820107309736</v>
      </c>
      <c r="AD204" s="233">
        <f>(INDEX(Models!$BJ204:$BT204,,AH204)*(1-AF204)+INDEX(Models!$BJ204:$BT204,,AH204+1)*AF204-ERP_i)*AE204*Ramure*Pc/MaxiM</f>
        <v>1.181370098197829E-4</v>
      </c>
      <c r="AE204" s="307">
        <f t="shared" si="62"/>
        <v>1</v>
      </c>
      <c r="AF204" s="179">
        <f t="shared" si="63"/>
        <v>0.13666815441155966</v>
      </c>
      <c r="AG204" s="837">
        <f t="shared" si="71"/>
        <v>-1</v>
      </c>
      <c r="AH204" s="178">
        <f t="shared" si="64"/>
        <v>5</v>
      </c>
      <c r="AI204" s="227">
        <f t="shared" si="65"/>
        <v>-0.86333184558844034</v>
      </c>
      <c r="AJ204" s="267" t="b">
        <f t="shared" si="66"/>
        <v>0</v>
      </c>
      <c r="AK204" s="267" t="b">
        <f t="shared" si="67"/>
        <v>0</v>
      </c>
      <c r="AL204" s="267"/>
      <c r="AM204" s="267"/>
      <c r="AN204" s="75"/>
    </row>
    <row r="205" spans="1:40" s="6" customFormat="1" ht="11.25" customHeight="1" x14ac:dyDescent="0.2">
      <c r="A205" s="56">
        <f t="shared" si="68"/>
        <v>44021</v>
      </c>
      <c r="B205" s="618">
        <v>47.774000000000001</v>
      </c>
      <c r="C205" s="392"/>
      <c r="D205" s="395">
        <f t="shared" si="48"/>
        <v>48.567663263030596</v>
      </c>
      <c r="E205" s="387">
        <f t="shared" si="72"/>
        <v>55.299046894299927</v>
      </c>
      <c r="F205" s="387">
        <f t="shared" si="49"/>
        <v>55.304744167510343</v>
      </c>
      <c r="G205" s="110">
        <f t="shared" si="73"/>
        <v>0.87547164841861869</v>
      </c>
      <c r="H205" s="414" t="b">
        <f>Wh_hp&gt;='2019'!Maxi_hp</f>
        <v>0</v>
      </c>
      <c r="I205" s="382">
        <f>IF(H205,Wh_hp,'2019'!Maxi_hp)</f>
        <v>63.097862001735528</v>
      </c>
      <c r="J205" s="85">
        <f>IF(H205,An,'2019'!An_max)</f>
        <v>2019</v>
      </c>
      <c r="K205" s="199">
        <f t="shared" si="50"/>
        <v>44021</v>
      </c>
      <c r="L205" s="147">
        <f>IF(t&lt;Tvie,1-EXP((T0-t)*PertePVj)+'2019'!Pspv,1-EXP((T0-t)*PertePVj)+Pspv)</f>
        <v>1.6341392805585664E-2</v>
      </c>
      <c r="M205" s="870"/>
      <c r="N205" s="870"/>
      <c r="O205" s="48">
        <f>IF(t&lt;Tnet,'2019'!Resal+('2019'!Salim-'2019'!Resal)*(1-EXP(('2019'!Tnet-t)/('2019'!Tau_j))),Resal+(Salim-Resal)*(1-EXP((Tnet-t)/(Tau_j))))*Salcycl</f>
        <v>0.12172693761134575</v>
      </c>
      <c r="P205" s="171">
        <f>(INDEX(Models!$BJ205:$BT205,,T205)*(1-R205)+INDEX(Models!$BJ205:$BT205,,T205+1)*R205-ERP_i)*Q205*Ramure*Pc/MaxiM</f>
        <v>1.2530374162636048E-4</v>
      </c>
      <c r="Q205" s="307">
        <f t="shared" si="51"/>
        <v>1</v>
      </c>
      <c r="R205" s="179">
        <f t="shared" si="52"/>
        <v>0.1417604971185199</v>
      </c>
      <c r="S205" s="837">
        <f t="shared" si="53"/>
        <v>-1</v>
      </c>
      <c r="T205" s="178">
        <f t="shared" si="54"/>
        <v>5</v>
      </c>
      <c r="U205" s="253">
        <f t="shared" si="55"/>
        <v>-0.8582395028814801</v>
      </c>
      <c r="V205" s="385">
        <f t="shared" si="56"/>
        <v>54.568226397454097</v>
      </c>
      <c r="W205" s="404"/>
      <c r="X205" s="157">
        <f t="shared" si="57"/>
        <v>44021</v>
      </c>
      <c r="Y205" s="387">
        <f t="shared" si="58"/>
        <v>47.774000000000001</v>
      </c>
      <c r="Z205" s="387">
        <f t="shared" si="59"/>
        <v>48.567663263030596</v>
      </c>
      <c r="AA205" s="388">
        <f t="shared" si="60"/>
        <v>55.299046894299927</v>
      </c>
      <c r="AB205" s="199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0.12172693761134575</v>
      </c>
      <c r="AD205" s="233">
        <f>(INDEX(Models!$BJ205:$BT205,,AH205)*(1-AF205)+INDEX(Models!$BJ205:$BT205,,AH205+1)*AF205-ERP_i)*AE205*Ramure*Pc/MaxiM</f>
        <v>1.2530374162636048E-4</v>
      </c>
      <c r="AE205" s="307">
        <f t="shared" si="62"/>
        <v>1</v>
      </c>
      <c r="AF205" s="179">
        <f t="shared" si="63"/>
        <v>0.1417604971185199</v>
      </c>
      <c r="AG205" s="837">
        <f t="shared" si="71"/>
        <v>-1</v>
      </c>
      <c r="AH205" s="178">
        <f t="shared" si="64"/>
        <v>5</v>
      </c>
      <c r="AI205" s="227">
        <f t="shared" si="65"/>
        <v>-0.8582395028814801</v>
      </c>
      <c r="AJ205" s="267" t="b">
        <f t="shared" si="66"/>
        <v>0</v>
      </c>
      <c r="AK205" s="267" t="b">
        <f t="shared" si="67"/>
        <v>0</v>
      </c>
      <c r="AL205" s="267"/>
      <c r="AM205" s="267"/>
      <c r="AN205" s="75"/>
    </row>
    <row r="206" spans="1:40" s="6" customFormat="1" ht="11.25" customHeight="1" x14ac:dyDescent="0.2">
      <c r="A206" s="56">
        <f t="shared" si="68"/>
        <v>44022</v>
      </c>
      <c r="B206" s="618">
        <v>42.365000000000002</v>
      </c>
      <c r="C206" s="392"/>
      <c r="D206" s="395">
        <f t="shared" si="48"/>
        <v>43.069806545200755</v>
      </c>
      <c r="E206" s="387">
        <f t="shared" si="72"/>
        <v>49.04567033605359</v>
      </c>
      <c r="F206" s="387">
        <f t="shared" si="49"/>
        <v>49.05015433992704</v>
      </c>
      <c r="G206" s="110">
        <f t="shared" si="73"/>
        <v>0.77786491225701349</v>
      </c>
      <c r="H206" s="414" t="b">
        <f>Wh_hp&gt;='2019'!Maxi_hp</f>
        <v>0</v>
      </c>
      <c r="I206" s="382">
        <f>IF(H206,Wh_hp,'2019'!Maxi_hp)</f>
        <v>62.66471285413887</v>
      </c>
      <c r="J206" s="85">
        <f>IF(H206,An,'2019'!An_max)</f>
        <v>2019</v>
      </c>
      <c r="K206" s="199">
        <f t="shared" si="50"/>
        <v>44022</v>
      </c>
      <c r="L206" s="147">
        <f>IF(t&lt;Tvie,1-EXP((T0-t)*PertePVj)+'2019'!Pspv,1-EXP((T0-t)*PertePVj)+Pspv)</f>
        <v>1.6364283978407834E-2</v>
      </c>
      <c r="M206" s="870"/>
      <c r="N206" s="870"/>
      <c r="O206" s="48">
        <f>IF(t&lt;Tnet,'2019'!Resal+('2019'!Salim-'2019'!Resal)*(1-EXP(('2019'!Tnet-t)/('2019'!Tau_j))),Resal+(Salim-Resal)*(1-EXP((Tnet-t)/(Tau_j))))*Salcycl</f>
        <v>0.12184284055875087</v>
      </c>
      <c r="P206" s="171">
        <f>(INDEX(Models!$BJ206:$BT206,,T206)*(1-R206)+INDEX(Models!$BJ206:$BT206,,T206+1)*R206-ERP_i)*Q206*Ramure*Pc/MaxiM</f>
        <v>1.3390243041102253E-4</v>
      </c>
      <c r="Q206" s="307">
        <f t="shared" si="51"/>
        <v>1</v>
      </c>
      <c r="R206" s="179">
        <f t="shared" si="52"/>
        <v>0.14673931860022993</v>
      </c>
      <c r="S206" s="837">
        <f t="shared" si="53"/>
        <v>-1</v>
      </c>
      <c r="T206" s="178">
        <f t="shared" si="54"/>
        <v>5</v>
      </c>
      <c r="U206" s="253">
        <f t="shared" si="55"/>
        <v>-0.85326068139977007</v>
      </c>
      <c r="V206" s="385">
        <f t="shared" si="56"/>
        <v>54.460870082311601</v>
      </c>
      <c r="W206" s="404"/>
      <c r="X206" s="157">
        <f t="shared" si="57"/>
        <v>44022</v>
      </c>
      <c r="Y206" s="387">
        <f t="shared" si="58"/>
        <v>42.365000000000002</v>
      </c>
      <c r="Z206" s="387">
        <f t="shared" si="59"/>
        <v>43.069806545200755</v>
      </c>
      <c r="AA206" s="388">
        <f t="shared" si="60"/>
        <v>49.04567033605359</v>
      </c>
      <c r="AB206" s="199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0.12184284055875087</v>
      </c>
      <c r="AD206" s="233">
        <f>(INDEX(Models!$BJ206:$BT206,,AH206)*(1-AF206)+INDEX(Models!$BJ206:$BT206,,AH206+1)*AF206-ERP_i)*AE206*Ramure*Pc/MaxiM</f>
        <v>1.3390243041102253E-4</v>
      </c>
      <c r="AE206" s="307">
        <f t="shared" si="62"/>
        <v>1</v>
      </c>
      <c r="AF206" s="179">
        <f t="shared" si="63"/>
        <v>0.14673931860022993</v>
      </c>
      <c r="AG206" s="837">
        <f t="shared" si="71"/>
        <v>-1</v>
      </c>
      <c r="AH206" s="178">
        <f t="shared" si="64"/>
        <v>5</v>
      </c>
      <c r="AI206" s="227">
        <f t="shared" si="65"/>
        <v>-0.85326068139977007</v>
      </c>
      <c r="AJ206" s="267" t="b">
        <f t="shared" si="66"/>
        <v>0</v>
      </c>
      <c r="AK206" s="267" t="b">
        <f t="shared" si="67"/>
        <v>0</v>
      </c>
      <c r="AL206" s="267"/>
      <c r="AM206" s="267"/>
      <c r="AN206" s="75"/>
    </row>
    <row r="207" spans="1:40" s="6" customFormat="1" ht="11.25" customHeight="1" x14ac:dyDescent="0.2">
      <c r="A207" s="56">
        <f t="shared" si="68"/>
        <v>44023</v>
      </c>
      <c r="B207" s="618">
        <v>41.645000000000003</v>
      </c>
      <c r="C207" s="392"/>
      <c r="D207" s="395">
        <f t="shared" ref="D207:D270" si="74">Wh/(1-Ppv)</f>
        <v>42.338813530464641</v>
      </c>
      <c r="E207" s="387">
        <f t="shared" si="72"/>
        <v>48.219468110637486</v>
      </c>
      <c r="F207" s="387">
        <f t="shared" ref="F207:F270" si="75">Wh_sa/(1-Pvg*MEDIAN((-Sdif+Wh/Env_an)/Csdif,0,1))</f>
        <v>48.224087888031818</v>
      </c>
      <c r="G207" s="110">
        <f t="shared" si="73"/>
        <v>0.7662014857191829</v>
      </c>
      <c r="H207" s="414" t="b">
        <f>Wh_hp&gt;='2019'!Maxi_hp</f>
        <v>0</v>
      </c>
      <c r="I207" s="382">
        <f>IF(H207,Wh_hp,'2019'!Maxi_hp)</f>
        <v>63.499999412795624</v>
      </c>
      <c r="J207" s="85">
        <f>IF(H207,An,'2019'!An_max)</f>
        <v>2019</v>
      </c>
      <c r="K207" s="199">
        <f t="shared" ref="K207:K270" si="76">t</f>
        <v>44023</v>
      </c>
      <c r="L207" s="147">
        <f>IF(t&lt;Tvie,1-EXP((T0-t)*PertePVj)+'2019'!Pspv,1-EXP((T0-t)*PertePVj)+Pspv)</f>
        <v>1.6387174618518907E-2</v>
      </c>
      <c r="M207" s="870"/>
      <c r="N207" s="870"/>
      <c r="O207" s="48">
        <f>IF(t&lt;Tnet,'2019'!Resal+('2019'!Salim-'2019'!Resal)*(1-EXP(('2019'!Tnet-t)/('2019'!Tau_j))),Resal+(Salim-Resal)*(1-EXP((Tnet-t)/(Tau_j))))*Salcycl</f>
        <v>0.12195602337794224</v>
      </c>
      <c r="P207" s="171">
        <f>(INDEX(Models!$BJ207:$BT207,,T207)*(1-R207)+INDEX(Models!$BJ207:$BT207,,T207+1)*R207-ERP_i)*Q207*Ramure*Pc/MaxiM</f>
        <v>1.4382922082045474E-4</v>
      </c>
      <c r="Q207" s="307">
        <f t="shared" ref="Q207:Q270" si="77">IF(OR(t&lt;Ttai,Notai),Dd+PousD*Croivg,Dens+PousD*(Croivg-Croi_tai))</f>
        <v>1</v>
      </c>
      <c r="R207" s="179">
        <f t="shared" ref="R207:R270" si="78">(Hp_vg-S207)/(INDEX(Echel_vg,T207+1)-S207)</f>
        <v>0.15160430956563542</v>
      </c>
      <c r="S207" s="837">
        <f t="shared" ref="S207:S270" si="79">INDEX(Echel_vg,T207)</f>
        <v>-1</v>
      </c>
      <c r="T207" s="178">
        <f t="shared" ref="T207:T270" si="80">MIN(MATCH(Hp_vg,Echel_vg),10)</f>
        <v>5</v>
      </c>
      <c r="U207" s="253">
        <f t="shared" ref="U207:U270" si="81">IF(OR(t&lt;Ttai,Notai),Hdd+PousH*Croivg,Hdtf+PousH*(Croivg-Croi_tai))</f>
        <v>-0.84839569043436458</v>
      </c>
      <c r="V207" s="385">
        <f t="shared" ref="V207:V270" si="82">MaxiM*(1-Ppv)*(1-Pvg)*(1-Psa)</f>
        <v>54.349933182988075</v>
      </c>
      <c r="W207" s="404"/>
      <c r="X207" s="157">
        <f t="shared" ref="X207:X270" si="83">t</f>
        <v>44023</v>
      </c>
      <c r="Y207" s="387">
        <f t="shared" ref="Y207:Y270" si="84">Wh_pvt_s*(1-Ppv)</f>
        <v>41.645000000000003</v>
      </c>
      <c r="Z207" s="387">
        <f t="shared" ref="Z207:Z270" si="85">Wh_sa_s*(1-Psa_s)</f>
        <v>42.338813530464641</v>
      </c>
      <c r="AA207" s="388">
        <f t="shared" ref="AA207:AA270" si="86">Wh_hp*(1-Pvg_s*MEDIAN((-Sdif+Wh/Env_an)/Csdif,0,1))</f>
        <v>48.219468110637486</v>
      </c>
      <c r="AB207" s="199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0.12195602337794224</v>
      </c>
      <c r="AD207" s="233">
        <f>(INDEX(Models!$BJ207:$BT207,,AH207)*(1-AF207)+INDEX(Models!$BJ207:$BT207,,AH207+1)*AF207-ERP_i)*AE207*Ramure*Pc/MaxiM</f>
        <v>1.4382922082045474E-4</v>
      </c>
      <c r="AE207" s="307">
        <f t="shared" ref="AE207:AE270" si="88">IF(OR(t&lt;Ttai,Notai),Dd_s+PousD*Croivg,Dens_s+PousD*(Croivg-Croi_tai))</f>
        <v>1</v>
      </c>
      <c r="AF207" s="179">
        <f t="shared" ref="AF207:AF270" si="89">(Hp_vg_s-AG207)/(INDEX(Echel_vg,AH207+1)-AG207)</f>
        <v>0.15160430956563542</v>
      </c>
      <c r="AG207" s="837">
        <f t="shared" si="71"/>
        <v>-1</v>
      </c>
      <c r="AH207" s="178">
        <f t="shared" ref="AH207:AH270" si="90">MIN(MATCH(Hp_vg_s,Echel_vg),10)</f>
        <v>5</v>
      </c>
      <c r="AI207" s="227">
        <f t="shared" ref="AI207:AI270" si="91">IF(OR(t&lt;Ttai,Notai),Hdd_s+PousH*Croivg,Hdtai_s+PousH*(Croivg-Croi_tai))</f>
        <v>-0.84839569043436458</v>
      </c>
      <c r="AJ207" s="267" t="b">
        <f t="shared" ref="AJ207:AJ270" si="92">t&lt;Tnet</f>
        <v>0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8">
        <v>32.497</v>
      </c>
      <c r="C208" s="392"/>
      <c r="D208" s="395">
        <f t="shared" si="74"/>
        <v>33.0391750002454</v>
      </c>
      <c r="E208" s="387">
        <f t="shared" si="72"/>
        <v>37.63289450571687</v>
      </c>
      <c r="F208" s="387">
        <f t="shared" si="75"/>
        <v>37.6353893961493</v>
      </c>
      <c r="G208" s="110">
        <f t="shared" si="73"/>
        <v>0.59912882396576583</v>
      </c>
      <c r="H208" s="414" t="b">
        <f>Wh_hp&gt;='2019'!Maxi_hp</f>
        <v>0</v>
      </c>
      <c r="I208" s="382">
        <f>IF(H208,Wh_hp,'2019'!Maxi_hp)</f>
        <v>54.781416262344493</v>
      </c>
      <c r="J208" s="85">
        <f>IF(H208,An,'2019'!An_max)</f>
        <v>2019</v>
      </c>
      <c r="K208" s="199">
        <f t="shared" si="76"/>
        <v>44024</v>
      </c>
      <c r="L208" s="147">
        <f>IF(t&lt;Tvie,1-EXP((T0-t)*PertePVj)+'2019'!Pspv,1-EXP((T0-t)*PertePVj)+Pspv)</f>
        <v>1.6410064725931428E-2</v>
      </c>
      <c r="M208" s="870"/>
      <c r="N208" s="870"/>
      <c r="O208" s="48">
        <f>IF(t&lt;Tnet,'2019'!Resal+('2019'!Salim-'2019'!Resal)*(1-EXP(('2019'!Tnet-t)/('2019'!Tau_j))),Resal+(Salim-Resal)*(1-EXP((Tnet-t)/(Tau_j))))*Salcycl</f>
        <v>0.12206660066431065</v>
      </c>
      <c r="P208" s="171">
        <f>(INDEX(Models!$BJ208:$BT208,,T208)*(1-R208)+INDEX(Models!$BJ208:$BT208,,T208+1)*R208-ERP_i)*Q208*Ramure*Pc/MaxiM</f>
        <v>1.5510206590782345E-4</v>
      </c>
      <c r="Q208" s="307">
        <f t="shared" si="77"/>
        <v>1</v>
      </c>
      <c r="R208" s="179">
        <f t="shared" si="78"/>
        <v>0.15635536246991899</v>
      </c>
      <c r="S208" s="837">
        <f t="shared" si="79"/>
        <v>-1</v>
      </c>
      <c r="T208" s="178">
        <f t="shared" si="80"/>
        <v>5</v>
      </c>
      <c r="U208" s="253">
        <f t="shared" si="81"/>
        <v>-0.84364463753008101</v>
      </c>
      <c r="V208" s="385">
        <f t="shared" si="82"/>
        <v>54.235604127369115</v>
      </c>
      <c r="W208" s="404"/>
      <c r="X208" s="157">
        <f t="shared" si="83"/>
        <v>44024</v>
      </c>
      <c r="Y208" s="387">
        <f t="shared" si="84"/>
        <v>32.497</v>
      </c>
      <c r="Z208" s="387">
        <f t="shared" si="85"/>
        <v>33.0391750002454</v>
      </c>
      <c r="AA208" s="388">
        <f t="shared" si="86"/>
        <v>37.63289450571687</v>
      </c>
      <c r="AB208" s="199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0.12206660066431065</v>
      </c>
      <c r="AD208" s="233">
        <f>(INDEX(Models!$BJ208:$BT208,,AH208)*(1-AF208)+INDEX(Models!$BJ208:$BT208,,AH208+1)*AF208-ERP_i)*AE208*Ramure*Pc/MaxiM</f>
        <v>1.5510206590782345E-4</v>
      </c>
      <c r="AE208" s="307">
        <f t="shared" si="88"/>
        <v>1</v>
      </c>
      <c r="AF208" s="179">
        <f t="shared" si="89"/>
        <v>0.15635536246991899</v>
      </c>
      <c r="AG208" s="837">
        <f t="shared" ref="AG208:AG271" si="95">INDEX(Echel_vg,AH208)</f>
        <v>-1</v>
      </c>
      <c r="AH208" s="178">
        <f t="shared" si="90"/>
        <v>5</v>
      </c>
      <c r="AI208" s="227">
        <f t="shared" si="91"/>
        <v>-0.84364463753008101</v>
      </c>
      <c r="AJ208" s="267" t="b">
        <f t="shared" si="92"/>
        <v>0</v>
      </c>
      <c r="AK208" s="267" t="b">
        <f t="shared" si="93"/>
        <v>0</v>
      </c>
      <c r="AL208" s="267"/>
      <c r="AM208" s="267"/>
      <c r="AN208" s="75"/>
    </row>
    <row r="209" spans="1:40" s="6" customFormat="1" ht="11.25" customHeight="1" x14ac:dyDescent="0.2">
      <c r="A209" s="56">
        <f t="shared" si="94"/>
        <v>44025</v>
      </c>
      <c r="B209" s="618">
        <v>52.823</v>
      </c>
      <c r="C209" s="392"/>
      <c r="D209" s="395">
        <f t="shared" si="74"/>
        <v>53.705540695948635</v>
      </c>
      <c r="E209" s="387">
        <f t="shared" si="72"/>
        <v>61.180214251285193</v>
      </c>
      <c r="F209" s="387">
        <f t="shared" si="75"/>
        <v>61.190127327973819</v>
      </c>
      <c r="G209" s="110">
        <f t="shared" si="73"/>
        <v>0.97606392563686017</v>
      </c>
      <c r="H209" s="414" t="b">
        <f>Wh_hp&gt;='2019'!Maxi_hp</f>
        <v>0</v>
      </c>
      <c r="I209" s="382">
        <f>IF(H209,Wh_hp,'2019'!Maxi_hp)</f>
        <v>62.42092802890074</v>
      </c>
      <c r="J209" s="85">
        <f>IF(H209,An,'2019'!An_max)</f>
        <v>2019</v>
      </c>
      <c r="K209" s="199">
        <f t="shared" si="76"/>
        <v>44025</v>
      </c>
      <c r="L209" s="147">
        <f>IF(t&lt;Tvie,1-EXP((T0-t)*PertePVj)+'2019'!Pspv,1-EXP((T0-t)*PertePVj)+Pspv)</f>
        <v>1.643295430065761E-2</v>
      </c>
      <c r="M209" s="870"/>
      <c r="N209" s="870"/>
      <c r="O209" s="48">
        <f>IF(t&lt;Tnet,'2019'!Resal+('2019'!Salim-'2019'!Resal)*(1-EXP(('2019'!Tnet-t)/('2019'!Tau_j))),Resal+(Salim-Resal)*(1-EXP((Tnet-t)/(Tau_j))))*Salcycl</f>
        <v>0.12217468746735449</v>
      </c>
      <c r="P209" s="171">
        <f>(INDEX(Models!$BJ209:$BT209,,T209)*(1-R209)+INDEX(Models!$BJ209:$BT209,,T209+1)*R209-ERP_i)*Q209*Ramure*Pc/MaxiM</f>
        <v>1.6773889977172852E-4</v>
      </c>
      <c r="Q209" s="307">
        <f t="shared" si="77"/>
        <v>1</v>
      </c>
      <c r="R209" s="179">
        <f t="shared" si="78"/>
        <v>0.1609925625873051</v>
      </c>
      <c r="S209" s="837">
        <f t="shared" si="79"/>
        <v>-1</v>
      </c>
      <c r="T209" s="178">
        <f t="shared" si="80"/>
        <v>5</v>
      </c>
      <c r="U209" s="253">
        <f t="shared" si="81"/>
        <v>-0.8390074374126949</v>
      </c>
      <c r="V209" s="385">
        <f t="shared" si="82"/>
        <v>54.118071220452357</v>
      </c>
      <c r="W209" s="404"/>
      <c r="X209" s="157">
        <f t="shared" si="83"/>
        <v>44025</v>
      </c>
      <c r="Y209" s="387">
        <f t="shared" si="84"/>
        <v>52.823</v>
      </c>
      <c r="Z209" s="387">
        <f t="shared" si="85"/>
        <v>53.705540695948635</v>
      </c>
      <c r="AA209" s="388">
        <f t="shared" si="86"/>
        <v>61.180214251285193</v>
      </c>
      <c r="AB209" s="199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0.12217468746735449</v>
      </c>
      <c r="AD209" s="233">
        <f>(INDEX(Models!$BJ209:$BT209,,AH209)*(1-AF209)+INDEX(Models!$BJ209:$BT209,,AH209+1)*AF209-ERP_i)*AE209*Ramure*Pc/MaxiM</f>
        <v>1.6773889977172852E-4</v>
      </c>
      <c r="AE209" s="307">
        <f t="shared" si="88"/>
        <v>1</v>
      </c>
      <c r="AF209" s="179">
        <f t="shared" si="89"/>
        <v>0.1609925625873051</v>
      </c>
      <c r="AG209" s="837">
        <f t="shared" si="95"/>
        <v>-1</v>
      </c>
      <c r="AH209" s="178">
        <f t="shared" si="90"/>
        <v>5</v>
      </c>
      <c r="AI209" s="227">
        <f t="shared" si="91"/>
        <v>-0.8390074374126949</v>
      </c>
      <c r="AJ209" s="267" t="b">
        <f t="shared" si="92"/>
        <v>0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4"/>
        <v>44026</v>
      </c>
      <c r="B210" s="618">
        <v>44.569000000000003</v>
      </c>
      <c r="C210" s="392"/>
      <c r="D210" s="395">
        <f t="shared" si="74"/>
        <v>45.314691463852398</v>
      </c>
      <c r="E210" s="387">
        <f t="shared" si="72"/>
        <v>51.627753775968912</v>
      </c>
      <c r="F210" s="387">
        <f t="shared" si="75"/>
        <v>51.634797764448827</v>
      </c>
      <c r="G210" s="110">
        <f t="shared" si="73"/>
        <v>0.8253522906944355</v>
      </c>
      <c r="H210" s="414" t="b">
        <f>Wh_hp&gt;='2019'!Maxi_hp</f>
        <v>0</v>
      </c>
      <c r="I210" s="382">
        <f>IF(H210,Wh_hp,'2019'!Maxi_hp)</f>
        <v>64.059383068495961</v>
      </c>
      <c r="J210" s="85">
        <f>IF(H210,An,'2019'!An_max)</f>
        <v>2019</v>
      </c>
      <c r="K210" s="199">
        <f t="shared" si="76"/>
        <v>44026</v>
      </c>
      <c r="L210" s="147">
        <f>IF(t&lt;Tvie,1-EXP((T0-t)*PertePVj)+'2019'!Pspv,1-EXP((T0-t)*PertePVj)+Pspv)</f>
        <v>1.6455843342709997E-2</v>
      </c>
      <c r="M210" s="870"/>
      <c r="N210" s="870"/>
      <c r="O210" s="48">
        <f>IF(t&lt;Tnet,'2019'!Resal+('2019'!Salim-'2019'!Resal)*(1-EXP(('2019'!Tnet-t)/('2019'!Tau_j))),Resal+(Salim-Resal)*(1-EXP((Tnet-t)/(Tau_j))))*Salcycl</f>
        <v>0.1222803986303786</v>
      </c>
      <c r="P210" s="171">
        <f>(INDEX(Models!$BJ210:$BT210,,T210)*(1-R210)+INDEX(Models!$BJ210:$BT210,,T210+1)*R210-ERP_i)*Q210*Ramure*Pc/MaxiM</f>
        <v>1.8175762022325793E-4</v>
      </c>
      <c r="Q210" s="307">
        <f t="shared" si="77"/>
        <v>1</v>
      </c>
      <c r="R210" s="179">
        <f t="shared" si="78"/>
        <v>0.16551617875451841</v>
      </c>
      <c r="S210" s="837">
        <f t="shared" si="79"/>
        <v>-1</v>
      </c>
      <c r="T210" s="178">
        <f t="shared" si="80"/>
        <v>5</v>
      </c>
      <c r="U210" s="253">
        <f t="shared" si="81"/>
        <v>-0.83448382124548159</v>
      </c>
      <c r="V210" s="385">
        <f t="shared" si="82"/>
        <v>53.997522691758164</v>
      </c>
      <c r="W210" s="404"/>
      <c r="X210" s="157">
        <f t="shared" si="83"/>
        <v>44026</v>
      </c>
      <c r="Y210" s="387">
        <f t="shared" si="84"/>
        <v>44.569000000000003</v>
      </c>
      <c r="Z210" s="387">
        <f t="shared" si="85"/>
        <v>45.314691463852398</v>
      </c>
      <c r="AA210" s="388">
        <f t="shared" si="86"/>
        <v>51.627753775968912</v>
      </c>
      <c r="AB210" s="199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0.1222803986303786</v>
      </c>
      <c r="AD210" s="233">
        <f>(INDEX(Models!$BJ210:$BT210,,AH210)*(1-AF210)+INDEX(Models!$BJ210:$BT210,,AH210+1)*AF210-ERP_i)*AE210*Ramure*Pc/MaxiM</f>
        <v>1.8175762022325793E-4</v>
      </c>
      <c r="AE210" s="307">
        <f t="shared" si="88"/>
        <v>1</v>
      </c>
      <c r="AF210" s="179">
        <f t="shared" si="89"/>
        <v>0.16551617875451841</v>
      </c>
      <c r="AG210" s="837">
        <f t="shared" si="95"/>
        <v>-1</v>
      </c>
      <c r="AH210" s="178">
        <f t="shared" si="90"/>
        <v>5</v>
      </c>
      <c r="AI210" s="227">
        <f t="shared" si="91"/>
        <v>-0.83448382124548159</v>
      </c>
      <c r="AJ210" s="267" t="b">
        <f t="shared" si="92"/>
        <v>0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4"/>
        <v>44027</v>
      </c>
      <c r="B211" s="618">
        <v>22.428000000000001</v>
      </c>
      <c r="C211" s="392"/>
      <c r="D211" s="395">
        <f t="shared" si="74"/>
        <v>22.803777331866854</v>
      </c>
      <c r="E211" s="387">
        <f t="shared" si="72"/>
        <v>25.983771246547125</v>
      </c>
      <c r="F211" s="387">
        <f t="shared" si="75"/>
        <v>25.984622513266086</v>
      </c>
      <c r="G211" s="110">
        <f t="shared" si="73"/>
        <v>0.41623512801786433</v>
      </c>
      <c r="H211" s="414" t="b">
        <f>Wh_hp&gt;='2019'!Maxi_hp</f>
        <v>0</v>
      </c>
      <c r="I211" s="382">
        <f>IF(H211,Wh_hp,'2019'!Maxi_hp)</f>
        <v>61.939106503544039</v>
      </c>
      <c r="J211" s="85">
        <f>IF(H211,An,'2019'!An_max)</f>
        <v>2019</v>
      </c>
      <c r="K211" s="199">
        <f t="shared" si="76"/>
        <v>44027</v>
      </c>
      <c r="L211" s="147">
        <f>IF(t&lt;Tvie,1-EXP((T0-t)*PertePVj)+'2019'!Pspv,1-EXP((T0-t)*PertePVj)+Pspv)</f>
        <v>1.6478731852101025E-2</v>
      </c>
      <c r="M211" s="870"/>
      <c r="N211" s="870"/>
      <c r="O211" s="48">
        <f>IF(t&lt;Tnet,'2019'!Resal+('2019'!Salim-'2019'!Resal)*(1-EXP(('2019'!Tnet-t)/('2019'!Tau_j))),Resal+(Salim-Resal)*(1-EXP((Tnet-t)/(Tau_j))))*Salcycl</f>
        <v>0.1223838481530215</v>
      </c>
      <c r="P211" s="171">
        <f>(INDEX(Models!$BJ211:$BT211,,T211)*(1-R211)+INDEX(Models!$BJ211:$BT211,,T211+1)*R211-ERP_i)*Q211*Ramure*Pc/MaxiM</f>
        <v>1.9717607179917061E-4</v>
      </c>
      <c r="Q211" s="307">
        <f t="shared" si="77"/>
        <v>1</v>
      </c>
      <c r="R211" s="179">
        <f t="shared" si="78"/>
        <v>0.1699266538603964</v>
      </c>
      <c r="S211" s="837">
        <f t="shared" si="79"/>
        <v>-1</v>
      </c>
      <c r="T211" s="178">
        <f t="shared" si="80"/>
        <v>5</v>
      </c>
      <c r="U211" s="253">
        <f t="shared" si="81"/>
        <v>-0.8300733461396036</v>
      </c>
      <c r="V211" s="385">
        <f t="shared" si="82"/>
        <v>53.874146738573884</v>
      </c>
      <c r="W211" s="404"/>
      <c r="X211" s="157">
        <f t="shared" si="83"/>
        <v>44027</v>
      </c>
      <c r="Y211" s="387">
        <f t="shared" si="84"/>
        <v>22.428000000000001</v>
      </c>
      <c r="Z211" s="387">
        <f t="shared" si="85"/>
        <v>22.803777331866854</v>
      </c>
      <c r="AA211" s="388">
        <f t="shared" si="86"/>
        <v>25.983771246547125</v>
      </c>
      <c r="AB211" s="199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0.1223838481530215</v>
      </c>
      <c r="AD211" s="233">
        <f>(INDEX(Models!$BJ211:$BT211,,AH211)*(1-AF211)+INDEX(Models!$BJ211:$BT211,,AH211+1)*AF211-ERP_i)*AE211*Ramure*Pc/MaxiM</f>
        <v>1.9717607179917061E-4</v>
      </c>
      <c r="AE211" s="307">
        <f t="shared" si="88"/>
        <v>1</v>
      </c>
      <c r="AF211" s="179">
        <f t="shared" si="89"/>
        <v>0.1699266538603964</v>
      </c>
      <c r="AG211" s="837">
        <f t="shared" si="95"/>
        <v>-1</v>
      </c>
      <c r="AH211" s="178">
        <f t="shared" si="90"/>
        <v>5</v>
      </c>
      <c r="AI211" s="227">
        <f t="shared" si="91"/>
        <v>-0.8300733461396036</v>
      </c>
      <c r="AJ211" s="267" t="b">
        <f t="shared" si="92"/>
        <v>0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4"/>
        <v>44028</v>
      </c>
      <c r="B212" s="618">
        <v>22.645</v>
      </c>
      <c r="C212" s="392"/>
      <c r="D212" s="395">
        <f t="shared" si="74"/>
        <v>23.02494895422107</v>
      </c>
      <c r="E212" s="387">
        <f t="shared" si="72"/>
        <v>26.238813983584787</v>
      </c>
      <c r="F212" s="387">
        <f t="shared" si="75"/>
        <v>26.239788274487292</v>
      </c>
      <c r="G212" s="110">
        <f t="shared" si="73"/>
        <v>0.42124244506552483</v>
      </c>
      <c r="H212" s="414" t="b">
        <f>Wh_hp&gt;='2019'!Maxi_hp</f>
        <v>0</v>
      </c>
      <c r="I212" s="382">
        <f>IF(H212,Wh_hp,'2019'!Maxi_hp)</f>
        <v>54.330603638083716</v>
      </c>
      <c r="J212" s="85">
        <f>IF(H212,An,'2019'!An_max)</f>
        <v>2019</v>
      </c>
      <c r="K212" s="199">
        <f t="shared" si="76"/>
        <v>44028</v>
      </c>
      <c r="L212" s="147">
        <f>IF(t&lt;Tvie,1-EXP((T0-t)*PertePVj)+'2019'!Pspv,1-EXP((T0-t)*PertePVj)+Pspv)</f>
        <v>1.6501619828842906E-2</v>
      </c>
      <c r="M212" s="870"/>
      <c r="N212" s="870"/>
      <c r="O212" s="48">
        <f>IF(t&lt;Tnet,'2019'!Resal+('2019'!Salim-'2019'!Resal)*(1-EXP(('2019'!Tnet-t)/('2019'!Tau_j))),Resal+(Salim-Resal)*(1-EXP((Tnet-t)/(Tau_j))))*Salcycl</f>
        <v>0.1224851485808138</v>
      </c>
      <c r="P212" s="171">
        <f>(INDEX(Models!$BJ212:$BT212,,T212)*(1-R212)+INDEX(Models!$BJ212:$BT212,,T212+1)*R212-ERP_i)*Q212*Ramure*Pc/MaxiM</f>
        <v>2.1424192170415069E-4</v>
      </c>
      <c r="Q212" s="307">
        <f t="shared" si="77"/>
        <v>1</v>
      </c>
      <c r="R212" s="179">
        <f t="shared" si="78"/>
        <v>0.17422459515360333</v>
      </c>
      <c r="S212" s="837">
        <f t="shared" si="79"/>
        <v>-1</v>
      </c>
      <c r="T212" s="178">
        <f t="shared" si="80"/>
        <v>5</v>
      </c>
      <c r="U212" s="253">
        <f t="shared" si="81"/>
        <v>-0.82577540484639667</v>
      </c>
      <c r="V212" s="385">
        <f t="shared" si="82"/>
        <v>53.74811922054792</v>
      </c>
      <c r="W212" s="404"/>
      <c r="X212" s="157">
        <f t="shared" si="83"/>
        <v>44028</v>
      </c>
      <c r="Y212" s="387">
        <f t="shared" si="84"/>
        <v>22.645</v>
      </c>
      <c r="Z212" s="387">
        <f t="shared" si="85"/>
        <v>23.02494895422107</v>
      </c>
      <c r="AA212" s="388">
        <f t="shared" si="86"/>
        <v>26.238813983584787</v>
      </c>
      <c r="AB212" s="199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0.1224851485808138</v>
      </c>
      <c r="AD212" s="233">
        <f>(INDEX(Models!$BJ212:$BT212,,AH212)*(1-AF212)+INDEX(Models!$BJ212:$BT212,,AH212+1)*AF212-ERP_i)*AE212*Ramure*Pc/MaxiM</f>
        <v>2.1424192170415069E-4</v>
      </c>
      <c r="AE212" s="307">
        <f t="shared" si="88"/>
        <v>1</v>
      </c>
      <c r="AF212" s="179">
        <f t="shared" si="89"/>
        <v>0.17422459515360333</v>
      </c>
      <c r="AG212" s="837">
        <f t="shared" si="95"/>
        <v>-1</v>
      </c>
      <c r="AH212" s="178">
        <f t="shared" si="90"/>
        <v>5</v>
      </c>
      <c r="AI212" s="227">
        <f t="shared" si="91"/>
        <v>-0.82577540484639667</v>
      </c>
      <c r="AJ212" s="267" t="b">
        <f t="shared" si="92"/>
        <v>0</v>
      </c>
      <c r="AK212" s="267" t="b">
        <f t="shared" si="93"/>
        <v>0</v>
      </c>
      <c r="AL212" s="267"/>
      <c r="AM212" s="267"/>
      <c r="AN212" s="75"/>
    </row>
    <row r="213" spans="1:40" s="6" customFormat="1" ht="11.25" customHeight="1" x14ac:dyDescent="0.2">
      <c r="A213" s="56">
        <f t="shared" si="94"/>
        <v>44029</v>
      </c>
      <c r="B213" s="618">
        <v>23.763999999999999</v>
      </c>
      <c r="C213" s="392"/>
      <c r="D213" s="395">
        <f t="shared" si="74"/>
        <v>24.163286401886296</v>
      </c>
      <c r="E213" s="387">
        <f t="shared" si="72"/>
        <v>27.539157827829964</v>
      </c>
      <c r="F213" s="387">
        <f t="shared" si="75"/>
        <v>27.540467057507552</v>
      </c>
      <c r="G213" s="110">
        <f t="shared" si="73"/>
        <v>0.44311372142530081</v>
      </c>
      <c r="H213" s="414" t="b">
        <f>Wh_hp&gt;='2019'!Maxi_hp</f>
        <v>0</v>
      </c>
      <c r="I213" s="382">
        <f>IF(H213,Wh_hp,'2019'!Maxi_hp)</f>
        <v>44.223521683195017</v>
      </c>
      <c r="J213" s="85">
        <f>IF(H213,An,'2019'!An_max)</f>
        <v>2019</v>
      </c>
      <c r="K213" s="199">
        <f t="shared" si="76"/>
        <v>44029</v>
      </c>
      <c r="L213" s="147">
        <f>IF(t&lt;Tvie,1-EXP((T0-t)*PertePVj)+'2019'!Pspv,1-EXP((T0-t)*PertePVj)+Pspv)</f>
        <v>1.6524507272948075E-2</v>
      </c>
      <c r="M213" s="870"/>
      <c r="N213" s="870"/>
      <c r="O213" s="48">
        <f>IF(t&lt;Tnet,'2019'!Resal+('2019'!Salim-'2019'!Resal)*(1-EXP(('2019'!Tnet-t)/('2019'!Tau_j))),Resal+(Salim-Resal)*(1-EXP((Tnet-t)/(Tau_j))))*Salcycl</f>
        <v>0.1225844104256576</v>
      </c>
      <c r="P213" s="171">
        <f>(INDEX(Models!$BJ213:$BT213,,T213)*(1-R213)+INDEX(Models!$BJ213:$BT213,,T213+1)*R213-ERP_i)*Q213*Ramure*Pc/MaxiM</f>
        <v>2.323874958451702E-4</v>
      </c>
      <c r="Q213" s="307">
        <f t="shared" si="77"/>
        <v>1</v>
      </c>
      <c r="R213" s="179">
        <f t="shared" si="78"/>
        <v>0.17841076443640991</v>
      </c>
      <c r="S213" s="837">
        <f t="shared" si="79"/>
        <v>-1</v>
      </c>
      <c r="T213" s="178">
        <f t="shared" si="80"/>
        <v>5</v>
      </c>
      <c r="U213" s="253">
        <f t="shared" si="81"/>
        <v>-0.82158923556359009</v>
      </c>
      <c r="V213" s="385">
        <f t="shared" si="82"/>
        <v>53.619659894021432</v>
      </c>
      <c r="W213" s="404"/>
      <c r="X213" s="157">
        <f t="shared" si="83"/>
        <v>44029</v>
      </c>
      <c r="Y213" s="387">
        <f t="shared" si="84"/>
        <v>23.763999999999999</v>
      </c>
      <c r="Z213" s="387">
        <f t="shared" si="85"/>
        <v>24.163286401886296</v>
      </c>
      <c r="AA213" s="388">
        <f t="shared" si="86"/>
        <v>27.539157827829964</v>
      </c>
      <c r="AB213" s="199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0.1225844104256576</v>
      </c>
      <c r="AD213" s="233">
        <f>(INDEX(Models!$BJ213:$BT213,,AH213)*(1-AF213)+INDEX(Models!$BJ213:$BT213,,AH213+1)*AF213-ERP_i)*AE213*Ramure*Pc/MaxiM</f>
        <v>2.323874958451702E-4</v>
      </c>
      <c r="AE213" s="307">
        <f t="shared" si="88"/>
        <v>1</v>
      </c>
      <c r="AF213" s="179">
        <f t="shared" si="89"/>
        <v>0.17841076443640991</v>
      </c>
      <c r="AG213" s="837">
        <f t="shared" si="95"/>
        <v>-1</v>
      </c>
      <c r="AH213" s="178">
        <f t="shared" si="90"/>
        <v>5</v>
      </c>
      <c r="AI213" s="227">
        <f t="shared" si="91"/>
        <v>-0.82158923556359009</v>
      </c>
      <c r="AJ213" s="267" t="b">
        <f t="shared" si="92"/>
        <v>0</v>
      </c>
      <c r="AK213" s="267" t="b">
        <f t="shared" si="93"/>
        <v>0</v>
      </c>
      <c r="AL213" s="267"/>
      <c r="AM213" s="267"/>
      <c r="AN213" s="75"/>
    </row>
    <row r="214" spans="1:40" s="6" customFormat="1" ht="11.25" customHeight="1" x14ac:dyDescent="0.2">
      <c r="A214" s="56">
        <f t="shared" si="94"/>
        <v>44030</v>
      </c>
      <c r="B214" s="618">
        <v>52.531999999999996</v>
      </c>
      <c r="C214" s="392"/>
      <c r="D214" s="395">
        <f t="shared" si="74"/>
        <v>53.415893851270596</v>
      </c>
      <c r="E214" s="387">
        <f t="shared" si="72"/>
        <v>60.885423665924733</v>
      </c>
      <c r="F214" s="387">
        <f t="shared" si="75"/>
        <v>60.900356316381583</v>
      </c>
      <c r="G214" s="110">
        <f t="shared" si="73"/>
        <v>0.9821029417516276</v>
      </c>
      <c r="H214" s="414" t="b">
        <f>Wh_hp&gt;='2019'!Maxi_hp</f>
        <v>1</v>
      </c>
      <c r="I214" s="382">
        <f>IF(H214,Wh_hp,'2019'!Maxi_hp)</f>
        <v>60.900356316381583</v>
      </c>
      <c r="J214" s="85">
        <f>IF(H214,An,'2019'!An_max)</f>
        <v>2020</v>
      </c>
      <c r="K214" s="199">
        <f t="shared" si="76"/>
        <v>44030</v>
      </c>
      <c r="L214" s="147">
        <f>IF(t&lt;Tvie,1-EXP((T0-t)*PertePVj)+'2019'!Pspv,1-EXP((T0-t)*PertePVj)+Pspv)</f>
        <v>1.6547394184429076E-2</v>
      </c>
      <c r="M214" s="870"/>
      <c r="N214" s="870"/>
      <c r="O214" s="48">
        <f>IF(t&lt;Tnet,'2019'!Resal+('2019'!Salim-'2019'!Resal)*(1-EXP(('2019'!Tnet-t)/('2019'!Tau_j))),Resal+(Salim-Resal)*(1-EXP((Tnet-t)/(Tau_j))))*Salcycl</f>
        <v>0.12268174162077075</v>
      </c>
      <c r="P214" s="171">
        <f>(INDEX(Models!$BJ214:$BT214,,T214)*(1-R214)+INDEX(Models!$BJ214:$BT214,,T214+1)*R214-ERP_i)*Q214*Ramure*Pc/MaxiM</f>
        <v>2.5162927173154402E-4</v>
      </c>
      <c r="Q214" s="307">
        <f t="shared" si="77"/>
        <v>1</v>
      </c>
      <c r="R214" s="179">
        <f t="shared" si="78"/>
        <v>0.18248606820819913</v>
      </c>
      <c r="S214" s="837">
        <f t="shared" si="79"/>
        <v>-1</v>
      </c>
      <c r="T214" s="178">
        <f t="shared" si="80"/>
        <v>5</v>
      </c>
      <c r="U214" s="253">
        <f t="shared" si="81"/>
        <v>-0.81751393179180087</v>
      </c>
      <c r="V214" s="385">
        <f t="shared" si="82"/>
        <v>53.488957053828621</v>
      </c>
      <c r="W214" s="404"/>
      <c r="X214" s="157">
        <f t="shared" si="83"/>
        <v>44030</v>
      </c>
      <c r="Y214" s="387">
        <f t="shared" si="84"/>
        <v>52.531999999999996</v>
      </c>
      <c r="Z214" s="387">
        <f t="shared" si="85"/>
        <v>53.415893851270596</v>
      </c>
      <c r="AA214" s="388">
        <f t="shared" si="86"/>
        <v>60.885423665924733</v>
      </c>
      <c r="AB214" s="199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0.12268174162077075</v>
      </c>
      <c r="AD214" s="233">
        <f>(INDEX(Models!$BJ214:$BT214,,AH214)*(1-AF214)+INDEX(Models!$BJ214:$BT214,,AH214+1)*AF214-ERP_i)*AE214*Ramure*Pc/MaxiM</f>
        <v>2.5162927173154402E-4</v>
      </c>
      <c r="AE214" s="307">
        <f t="shared" si="88"/>
        <v>1</v>
      </c>
      <c r="AF214" s="179">
        <f t="shared" si="89"/>
        <v>0.18248606820819913</v>
      </c>
      <c r="AG214" s="837">
        <f t="shared" si="95"/>
        <v>-1</v>
      </c>
      <c r="AH214" s="178">
        <f t="shared" si="90"/>
        <v>5</v>
      </c>
      <c r="AI214" s="227">
        <f t="shared" si="91"/>
        <v>-0.81751393179180087</v>
      </c>
      <c r="AJ214" s="267" t="b">
        <f t="shared" si="92"/>
        <v>0</v>
      </c>
      <c r="AK214" s="267" t="b">
        <f t="shared" si="93"/>
        <v>0</v>
      </c>
      <c r="AL214" s="267"/>
      <c r="AM214" s="267"/>
      <c r="AN214" s="75"/>
    </row>
    <row r="215" spans="1:40" s="6" customFormat="1" ht="11.25" customHeight="1" x14ac:dyDescent="0.2">
      <c r="A215" s="56">
        <f t="shared" si="94"/>
        <v>44031</v>
      </c>
      <c r="B215" s="618">
        <v>51.276000000000003</v>
      </c>
      <c r="C215" s="392"/>
      <c r="D215" s="395">
        <f t="shared" si="74"/>
        <v>52.139973997705049</v>
      </c>
      <c r="E215" s="387">
        <f t="shared" si="72"/>
        <v>59.437553141640187</v>
      </c>
      <c r="F215" s="387">
        <f t="shared" si="75"/>
        <v>59.452822712934505</v>
      </c>
      <c r="G215" s="110">
        <f t="shared" si="73"/>
        <v>0.96099841986398826</v>
      </c>
      <c r="H215" s="414" t="b">
        <f>Wh_hp&gt;='2019'!Maxi_hp</f>
        <v>1</v>
      </c>
      <c r="I215" s="382">
        <f>IF(H215,Wh_hp,'2019'!Maxi_hp)</f>
        <v>59.452822712934505</v>
      </c>
      <c r="J215" s="85">
        <f>IF(H215,An,'2019'!An_max)</f>
        <v>2020</v>
      </c>
      <c r="K215" s="199">
        <f t="shared" si="76"/>
        <v>44031</v>
      </c>
      <c r="L215" s="147">
        <f>IF(t&lt;Tvie,1-EXP((T0-t)*PertePVj)+'2019'!Pspv,1-EXP((T0-t)*PertePVj)+Pspv)</f>
        <v>1.6570280563298234E-2</v>
      </c>
      <c r="M215" s="870"/>
      <c r="N215" s="870"/>
      <c r="O215" s="48">
        <f>IF(t&lt;Tnet,'2019'!Resal+('2019'!Salim-'2019'!Resal)*(1-EXP(('2019'!Tnet-t)/('2019'!Tau_j))),Resal+(Salim-Resal)*(1-EXP((Tnet-t)/(Tau_j))))*Salcycl</f>
        <v>0.12277724701326354</v>
      </c>
      <c r="P215" s="171">
        <f>(INDEX(Models!$BJ215:$BT215,,T215)*(1-R215)+INDEX(Models!$BJ215:$BT215,,T215+1)*R215-ERP_i)*Q215*Ramure*Pc/MaxiM</f>
        <v>2.7198341135762922E-4</v>
      </c>
      <c r="Q215" s="307">
        <f t="shared" si="77"/>
        <v>1</v>
      </c>
      <c r="R215" s="179">
        <f t="shared" si="78"/>
        <v>0.18645154781780826</v>
      </c>
      <c r="S215" s="837">
        <f t="shared" si="79"/>
        <v>-1</v>
      </c>
      <c r="T215" s="178">
        <f t="shared" si="80"/>
        <v>5</v>
      </c>
      <c r="U215" s="253">
        <f t="shared" si="81"/>
        <v>-0.81354845218219174</v>
      </c>
      <c r="V215" s="385">
        <f t="shared" si="82"/>
        <v>53.356199131499125</v>
      </c>
      <c r="W215" s="404"/>
      <c r="X215" s="157">
        <f t="shared" si="83"/>
        <v>44031</v>
      </c>
      <c r="Y215" s="387">
        <f t="shared" si="84"/>
        <v>51.276000000000003</v>
      </c>
      <c r="Z215" s="387">
        <f t="shared" si="85"/>
        <v>52.139973997705049</v>
      </c>
      <c r="AA215" s="388">
        <f t="shared" si="86"/>
        <v>59.437553141640187</v>
      </c>
      <c r="AB215" s="199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0.12277724701326354</v>
      </c>
      <c r="AD215" s="233">
        <f>(INDEX(Models!$BJ215:$BT215,,AH215)*(1-AF215)+INDEX(Models!$BJ215:$BT215,,AH215+1)*AF215-ERP_i)*AE215*Ramure*Pc/MaxiM</f>
        <v>2.7198341135762922E-4</v>
      </c>
      <c r="AE215" s="307">
        <f t="shared" si="88"/>
        <v>1</v>
      </c>
      <c r="AF215" s="179">
        <f t="shared" si="89"/>
        <v>0.18645154781780826</v>
      </c>
      <c r="AG215" s="837">
        <f t="shared" si="95"/>
        <v>-1</v>
      </c>
      <c r="AH215" s="178">
        <f t="shared" si="90"/>
        <v>5</v>
      </c>
      <c r="AI215" s="227">
        <f t="shared" si="91"/>
        <v>-0.81354845218219174</v>
      </c>
      <c r="AJ215" s="267" t="b">
        <f t="shared" si="92"/>
        <v>0</v>
      </c>
      <c r="AK215" s="267" t="b">
        <f t="shared" si="93"/>
        <v>0</v>
      </c>
      <c r="AL215" s="267"/>
      <c r="AM215" s="267"/>
      <c r="AN215" s="75"/>
    </row>
    <row r="216" spans="1:40" s="6" customFormat="1" ht="11.25" customHeight="1" x14ac:dyDescent="0.2">
      <c r="A216" s="56">
        <f t="shared" si="94"/>
        <v>44032</v>
      </c>
      <c r="B216" s="618">
        <v>41.167000000000002</v>
      </c>
      <c r="C216" s="392"/>
      <c r="D216" s="395">
        <f t="shared" si="74"/>
        <v>41.861616773292809</v>
      </c>
      <c r="E216" s="387">
        <f t="shared" si="72"/>
        <v>47.725725753797569</v>
      </c>
      <c r="F216" s="387">
        <f t="shared" si="75"/>
        <v>47.735201644888178</v>
      </c>
      <c r="G216" s="110">
        <f t="shared" si="73"/>
        <v>0.77342864001265343</v>
      </c>
      <c r="H216" s="414" t="b">
        <f>Wh_hp&gt;='2019'!Maxi_hp</f>
        <v>1</v>
      </c>
      <c r="I216" s="382">
        <f>IF(H216,Wh_hp,'2019'!Maxi_hp)</f>
        <v>47.735201644888178</v>
      </c>
      <c r="J216" s="85">
        <f>IF(H216,An,'2019'!An_max)</f>
        <v>2020</v>
      </c>
      <c r="K216" s="199">
        <f t="shared" si="76"/>
        <v>44032</v>
      </c>
      <c r="L216" s="147">
        <f>IF(t&lt;Tvie,1-EXP((T0-t)*PertePVj)+'2019'!Pspv,1-EXP((T0-t)*PertePVj)+Pspv)</f>
        <v>1.6593166409567872E-2</v>
      </c>
      <c r="M216" s="870"/>
      <c r="N216" s="870"/>
      <c r="O216" s="48">
        <f>IF(t&lt;Tnet,'2019'!Resal+('2019'!Salim-'2019'!Resal)*(1-EXP(('2019'!Tnet-t)/('2019'!Tau_j))),Resal+(Salim-Resal)*(1-EXP((Tnet-t)/(Tau_j))))*Salcycl</f>
        <v>0.12287102789711157</v>
      </c>
      <c r="P216" s="171">
        <f>(INDEX(Models!$BJ216:$BT216,,T216)*(1-R216)+INDEX(Models!$BJ216:$BT216,,T216+1)*R216-ERP_i)*Q216*Ramure*Pc/MaxiM</f>
        <v>2.9346575264274698E-4</v>
      </c>
      <c r="Q216" s="307">
        <f t="shared" si="77"/>
        <v>1</v>
      </c>
      <c r="R216" s="179">
        <f t="shared" si="78"/>
        <v>0.19030836967909226</v>
      </c>
      <c r="S216" s="837">
        <f t="shared" si="79"/>
        <v>-1</v>
      </c>
      <c r="T216" s="178">
        <f t="shared" si="80"/>
        <v>5</v>
      </c>
      <c r="U216" s="253">
        <f t="shared" si="81"/>
        <v>-0.80969163032090774</v>
      </c>
      <c r="V216" s="385">
        <f t="shared" si="82"/>
        <v>53.221574726276401</v>
      </c>
      <c r="W216" s="404"/>
      <c r="X216" s="157">
        <f t="shared" si="83"/>
        <v>44032</v>
      </c>
      <c r="Y216" s="387">
        <f t="shared" si="84"/>
        <v>41.167000000000002</v>
      </c>
      <c r="Z216" s="387">
        <f t="shared" si="85"/>
        <v>41.861616773292809</v>
      </c>
      <c r="AA216" s="388">
        <f t="shared" si="86"/>
        <v>47.725725753797569</v>
      </c>
      <c r="AB216" s="199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0.12287102789711157</v>
      </c>
      <c r="AD216" s="233">
        <f>(INDEX(Models!$BJ216:$BT216,,AH216)*(1-AF216)+INDEX(Models!$BJ216:$BT216,,AH216+1)*AF216-ERP_i)*AE216*Ramure*Pc/MaxiM</f>
        <v>2.9346575264274698E-4</v>
      </c>
      <c r="AE216" s="307">
        <f t="shared" si="88"/>
        <v>1</v>
      </c>
      <c r="AF216" s="179">
        <f t="shared" si="89"/>
        <v>0.19030836967909226</v>
      </c>
      <c r="AG216" s="837">
        <f t="shared" si="95"/>
        <v>-1</v>
      </c>
      <c r="AH216" s="178">
        <f t="shared" si="90"/>
        <v>5</v>
      </c>
      <c r="AI216" s="227">
        <f t="shared" si="91"/>
        <v>-0.80969163032090774</v>
      </c>
      <c r="AJ216" s="267" t="b">
        <f t="shared" si="92"/>
        <v>0</v>
      </c>
      <c r="AK216" s="267" t="b">
        <f t="shared" si="93"/>
        <v>0</v>
      </c>
      <c r="AL216" s="267"/>
      <c r="AM216" s="267"/>
      <c r="AN216" s="75"/>
    </row>
    <row r="217" spans="1:40" s="6" customFormat="1" ht="11.25" customHeight="1" x14ac:dyDescent="0.2">
      <c r="A217" s="56">
        <f t="shared" si="94"/>
        <v>44033</v>
      </c>
      <c r="B217" s="618">
        <v>47.185000000000002</v>
      </c>
      <c r="C217" s="392"/>
      <c r="D217" s="395">
        <f t="shared" si="74"/>
        <v>47.982275979474224</v>
      </c>
      <c r="E217" s="387">
        <f t="shared" si="72"/>
        <v>54.709534391498238</v>
      </c>
      <c r="F217" s="387">
        <f t="shared" si="75"/>
        <v>54.72408564954668</v>
      </c>
      <c r="G217" s="110">
        <f t="shared" si="73"/>
        <v>0.88880830473717343</v>
      </c>
      <c r="H217" s="414" t="b">
        <f>Wh_hp&gt;='2019'!Maxi_hp</f>
        <v>1</v>
      </c>
      <c r="I217" s="382">
        <f>IF(H217,Wh_hp,'2019'!Maxi_hp)</f>
        <v>54.72408564954668</v>
      </c>
      <c r="J217" s="85">
        <f>IF(H217,An,'2019'!An_max)</f>
        <v>2020</v>
      </c>
      <c r="K217" s="199">
        <f t="shared" si="76"/>
        <v>44033</v>
      </c>
      <c r="L217" s="147">
        <f>IF(t&lt;Tvie,1-EXP((T0-t)*PertePVj)+'2019'!Pspv,1-EXP((T0-t)*PertePVj)+Pspv)</f>
        <v>1.6616051723250425E-2</v>
      </c>
      <c r="M217" s="870"/>
      <c r="N217" s="870"/>
      <c r="O217" s="48">
        <f>IF(t&lt;Tnet,'2019'!Resal+('2019'!Salim-'2019'!Resal)*(1-EXP(('2019'!Tnet-t)/('2019'!Tau_j))),Resal+(Salim-Resal)*(1-EXP((Tnet-t)/(Tau_j))))*Salcycl</f>
        <v>0.12296318158886432</v>
      </c>
      <c r="P217" s="171">
        <f>(INDEX(Models!$BJ217:$BT217,,T217)*(1-R217)+INDEX(Models!$BJ217:$BT217,,T217+1)*R217-ERP_i)*Q217*Ramure*Pc/MaxiM</f>
        <v>3.1609180019147342E-4</v>
      </c>
      <c r="Q217" s="307">
        <f t="shared" si="77"/>
        <v>1</v>
      </c>
      <c r="R217" s="179">
        <f t="shared" si="78"/>
        <v>0.19405781559928303</v>
      </c>
      <c r="S217" s="837">
        <f t="shared" si="79"/>
        <v>-1</v>
      </c>
      <c r="T217" s="178">
        <f t="shared" si="80"/>
        <v>5</v>
      </c>
      <c r="U217" s="253">
        <f t="shared" si="81"/>
        <v>-0.80594218440071697</v>
      </c>
      <c r="V217" s="385">
        <f t="shared" si="82"/>
        <v>53.085272634374085</v>
      </c>
      <c r="W217" s="404"/>
      <c r="X217" s="157">
        <f t="shared" si="83"/>
        <v>44033</v>
      </c>
      <c r="Y217" s="387">
        <f t="shared" si="84"/>
        <v>47.185000000000002</v>
      </c>
      <c r="Z217" s="387">
        <f t="shared" si="85"/>
        <v>47.982275979474224</v>
      </c>
      <c r="AA217" s="388">
        <f t="shared" si="86"/>
        <v>54.709534391498238</v>
      </c>
      <c r="AB217" s="199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0.12296318158886432</v>
      </c>
      <c r="AD217" s="233">
        <f>(INDEX(Models!$BJ217:$BT217,,AH217)*(1-AF217)+INDEX(Models!$BJ217:$BT217,,AH217+1)*AF217-ERP_i)*AE217*Ramure*Pc/MaxiM</f>
        <v>3.1609180019147342E-4</v>
      </c>
      <c r="AE217" s="307">
        <f t="shared" si="88"/>
        <v>1</v>
      </c>
      <c r="AF217" s="179">
        <f t="shared" si="89"/>
        <v>0.19405781559928303</v>
      </c>
      <c r="AG217" s="837">
        <f t="shared" si="95"/>
        <v>-1</v>
      </c>
      <c r="AH217" s="178">
        <f t="shared" si="90"/>
        <v>5</v>
      </c>
      <c r="AI217" s="227">
        <f t="shared" si="91"/>
        <v>-0.80594218440071697</v>
      </c>
      <c r="AJ217" s="267" t="b">
        <f t="shared" si="92"/>
        <v>0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4"/>
        <v>44034</v>
      </c>
      <c r="B218" s="618">
        <v>42.890999999999998</v>
      </c>
      <c r="C218" s="392"/>
      <c r="D218" s="395">
        <f t="shared" si="74"/>
        <v>43.616736102537473</v>
      </c>
      <c r="E218" s="387">
        <f t="shared" si="72"/>
        <v>49.737071846210334</v>
      </c>
      <c r="F218" s="387">
        <f t="shared" si="75"/>
        <v>49.749392627734096</v>
      </c>
      <c r="G218" s="110">
        <f t="shared" si="73"/>
        <v>0.80999213000653369</v>
      </c>
      <c r="H218" s="414" t="b">
        <f>Wh_hp&gt;='2019'!Maxi_hp</f>
        <v>0</v>
      </c>
      <c r="I218" s="382">
        <f>IF(H218,Wh_hp,'2019'!Maxi_hp)</f>
        <v>56.993648476218958</v>
      </c>
      <c r="J218" s="85">
        <f>IF(H218,An,'2019'!An_max)</f>
        <v>2019</v>
      </c>
      <c r="K218" s="199">
        <f t="shared" si="76"/>
        <v>44034</v>
      </c>
      <c r="L218" s="147">
        <f>IF(t&lt;Tvie,1-EXP((T0-t)*PertePVj)+'2019'!Pspv,1-EXP((T0-t)*PertePVj)+Pspv)</f>
        <v>1.6638936504358326E-2</v>
      </c>
      <c r="M218" s="870"/>
      <c r="N218" s="870"/>
      <c r="O218" s="48">
        <f>IF(t&lt;Tnet,'2019'!Resal+('2019'!Salim-'2019'!Resal)*(1-EXP(('2019'!Tnet-t)/('2019'!Tau_j))),Resal+(Salim-Resal)*(1-EXP((Tnet-t)/(Tau_j))))*Salcycl</f>
        <v>0.12305380104798416</v>
      </c>
      <c r="P218" s="171">
        <f>(INDEX(Models!$BJ218:$BT218,,T218)*(1-R218)+INDEX(Models!$BJ218:$BT218,,T218+1)*R218-ERP_i)*Q218*Ramure*Pc/MaxiM</f>
        <v>3.398767152257917E-4</v>
      </c>
      <c r="Q218" s="307">
        <f t="shared" si="77"/>
        <v>1</v>
      </c>
      <c r="R218" s="179">
        <f t="shared" si="78"/>
        <v>0.19770127326486797</v>
      </c>
      <c r="S218" s="837">
        <f t="shared" si="79"/>
        <v>-1</v>
      </c>
      <c r="T218" s="178">
        <f t="shared" si="80"/>
        <v>5</v>
      </c>
      <c r="U218" s="253">
        <f t="shared" si="81"/>
        <v>-0.80229872673513203</v>
      </c>
      <c r="V218" s="385">
        <f t="shared" si="82"/>
        <v>52.947481873363579</v>
      </c>
      <c r="W218" s="404"/>
      <c r="X218" s="157">
        <f t="shared" si="83"/>
        <v>44034</v>
      </c>
      <c r="Y218" s="387">
        <f t="shared" si="84"/>
        <v>42.890999999999998</v>
      </c>
      <c r="Z218" s="387">
        <f t="shared" si="85"/>
        <v>43.616736102537473</v>
      </c>
      <c r="AA218" s="388">
        <f t="shared" si="86"/>
        <v>49.737071846210334</v>
      </c>
      <c r="AB218" s="199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0.12305380104798416</v>
      </c>
      <c r="AD218" s="233">
        <f>(INDEX(Models!$BJ218:$BT218,,AH218)*(1-AF218)+INDEX(Models!$BJ218:$BT218,,AH218+1)*AF218-ERP_i)*AE218*Ramure*Pc/MaxiM</f>
        <v>3.398767152257917E-4</v>
      </c>
      <c r="AE218" s="307">
        <f t="shared" si="88"/>
        <v>1</v>
      </c>
      <c r="AF218" s="179">
        <f t="shared" si="89"/>
        <v>0.19770127326486797</v>
      </c>
      <c r="AG218" s="837">
        <f t="shared" si="95"/>
        <v>-1</v>
      </c>
      <c r="AH218" s="178">
        <f t="shared" si="90"/>
        <v>5</v>
      </c>
      <c r="AI218" s="227">
        <f t="shared" si="91"/>
        <v>-0.80229872673513203</v>
      </c>
      <c r="AJ218" s="267" t="b">
        <f t="shared" si="92"/>
        <v>0</v>
      </c>
      <c r="AK218" s="267" t="b">
        <f t="shared" si="93"/>
        <v>0</v>
      </c>
      <c r="AL218" s="267"/>
      <c r="AM218" s="267"/>
      <c r="AN218" s="75"/>
    </row>
    <row r="219" spans="1:40" s="6" customFormat="1" ht="11.25" customHeight="1" x14ac:dyDescent="0.2">
      <c r="A219" s="56">
        <f t="shared" si="94"/>
        <v>44035</v>
      </c>
      <c r="B219" s="618">
        <v>43.054000000000002</v>
      </c>
      <c r="C219" s="392"/>
      <c r="D219" s="395">
        <f t="shared" si="74"/>
        <v>43.783513046310048</v>
      </c>
      <c r="E219" s="387">
        <f t="shared" si="72"/>
        <v>49.932328504186529</v>
      </c>
      <c r="F219" s="387">
        <f t="shared" si="75"/>
        <v>49.945742162160656</v>
      </c>
      <c r="G219" s="110">
        <f t="shared" si="73"/>
        <v>0.81520958345860495</v>
      </c>
      <c r="H219" s="414" t="b">
        <f>Wh_hp&gt;='2019'!Maxi_hp</f>
        <v>0</v>
      </c>
      <c r="I219" s="382">
        <f>IF(H219,Wh_hp,'2019'!Maxi_hp)</f>
        <v>57.250617661501515</v>
      </c>
      <c r="J219" s="85">
        <f>IF(H219,An,'2019'!An_max)</f>
        <v>2019</v>
      </c>
      <c r="K219" s="199">
        <f t="shared" si="76"/>
        <v>44035</v>
      </c>
      <c r="L219" s="147">
        <f>IF(t&lt;Tvie,1-EXP((T0-t)*PertePVj)+'2019'!Pspv,1-EXP((T0-t)*PertePVj)+Pspv)</f>
        <v>1.66618207529039E-2</v>
      </c>
      <c r="M219" s="870"/>
      <c r="N219" s="870"/>
      <c r="O219" s="48">
        <f>IF(t&lt;Tnet,'2019'!Resal+('2019'!Salim-'2019'!Resal)*(1-EXP(('2019'!Tnet-t)/('2019'!Tau_j))),Resal+(Salim-Resal)*(1-EXP((Tnet-t)/(Tau_j))))*Salcycl</f>
        <v>0.12314297454325485</v>
      </c>
      <c r="P219" s="171">
        <f>(INDEX(Models!$BJ219:$BT219,,T219)*(1-R219)+INDEX(Models!$BJ219:$BT219,,T219+1)*R219-ERP_i)*Q219*Ramure*Pc/MaxiM</f>
        <v>3.6483516414588215E-4</v>
      </c>
      <c r="Q219" s="307">
        <f t="shared" si="77"/>
        <v>1</v>
      </c>
      <c r="R219" s="179">
        <f t="shared" si="78"/>
        <v>0.20124022692489618</v>
      </c>
      <c r="S219" s="837">
        <f t="shared" si="79"/>
        <v>-1</v>
      </c>
      <c r="T219" s="178">
        <f t="shared" si="80"/>
        <v>5</v>
      </c>
      <c r="U219" s="253">
        <f t="shared" si="81"/>
        <v>-0.79875977307510382</v>
      </c>
      <c r="V219" s="385">
        <f t="shared" si="82"/>
        <v>52.808326750505692</v>
      </c>
      <c r="W219" s="404"/>
      <c r="X219" s="157">
        <f t="shared" si="83"/>
        <v>44035</v>
      </c>
      <c r="Y219" s="387">
        <f t="shared" si="84"/>
        <v>43.054000000000002</v>
      </c>
      <c r="Z219" s="387">
        <f t="shared" si="85"/>
        <v>43.783513046310048</v>
      </c>
      <c r="AA219" s="388">
        <f t="shared" si="86"/>
        <v>49.932328504186529</v>
      </c>
      <c r="AB219" s="199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0.12314297454325485</v>
      </c>
      <c r="AD219" s="233">
        <f>(INDEX(Models!$BJ219:$BT219,,AH219)*(1-AF219)+INDEX(Models!$BJ219:$BT219,,AH219+1)*AF219-ERP_i)*AE219*Ramure*Pc/MaxiM</f>
        <v>3.6483516414588215E-4</v>
      </c>
      <c r="AE219" s="307">
        <f t="shared" si="88"/>
        <v>1</v>
      </c>
      <c r="AF219" s="179">
        <f t="shared" si="89"/>
        <v>0.20124022692489618</v>
      </c>
      <c r="AG219" s="837">
        <f t="shared" si="95"/>
        <v>-1</v>
      </c>
      <c r="AH219" s="178">
        <f t="shared" si="90"/>
        <v>5</v>
      </c>
      <c r="AI219" s="227">
        <f t="shared" si="91"/>
        <v>-0.79875977307510382</v>
      </c>
      <c r="AJ219" s="267" t="b">
        <f t="shared" si="92"/>
        <v>0</v>
      </c>
      <c r="AK219" s="267" t="b">
        <f t="shared" si="93"/>
        <v>0</v>
      </c>
      <c r="AL219" s="267"/>
      <c r="AM219" s="267"/>
      <c r="AN219" s="75"/>
    </row>
    <row r="220" spans="1:40" s="6" customFormat="1" ht="11.25" customHeight="1" x14ac:dyDescent="0.2">
      <c r="A220" s="56">
        <f t="shared" si="94"/>
        <v>44036</v>
      </c>
      <c r="B220" s="618">
        <v>50.792000000000002</v>
      </c>
      <c r="C220" s="392"/>
      <c r="D220" s="395">
        <f t="shared" si="74"/>
        <v>51.653828869372596</v>
      </c>
      <c r="E220" s="387">
        <f t="shared" si="72"/>
        <v>58.913825904515605</v>
      </c>
      <c r="F220" s="387">
        <f t="shared" si="75"/>
        <v>58.935772550617891</v>
      </c>
      <c r="G220" s="110">
        <f t="shared" si="73"/>
        <v>0.9643687098518352</v>
      </c>
      <c r="H220" s="414" t="b">
        <f>Wh_hp&gt;='2019'!Maxi_hp</f>
        <v>1</v>
      </c>
      <c r="I220" s="382">
        <f>IF(H220,Wh_hp,'2019'!Maxi_hp)</f>
        <v>58.935772550617891</v>
      </c>
      <c r="J220" s="85">
        <f>IF(H220,An,'2019'!An_max)</f>
        <v>2020</v>
      </c>
      <c r="K220" s="199">
        <f t="shared" si="76"/>
        <v>44036</v>
      </c>
      <c r="L220" s="147">
        <f>IF(t&lt;Tvie,1-EXP((T0-t)*PertePVj)+'2019'!Pspv,1-EXP((T0-t)*PertePVj)+Pspv)</f>
        <v>1.668470446889958E-2</v>
      </c>
      <c r="M220" s="870"/>
      <c r="N220" s="870"/>
      <c r="O220" s="48">
        <f>IF(t&lt;Tnet,'2019'!Resal+('2019'!Salim-'2019'!Resal)*(1-EXP(('2019'!Tnet-t)/('2019'!Tau_j))),Resal+(Salim-Resal)*(1-EXP((Tnet-t)/(Tau_j))))*Salcycl</f>
        <v>0.12323078536623346</v>
      </c>
      <c r="P220" s="171">
        <f>(INDEX(Models!$BJ220:$BT220,,T220)*(1-R220)+INDEX(Models!$BJ220:$BT220,,T220+1)*R220-ERP_i)*Q220*Ramure*Pc/MaxiM</f>
        <v>3.9234259661232346E-4</v>
      </c>
      <c r="Q220" s="307">
        <f t="shared" si="77"/>
        <v>1</v>
      </c>
      <c r="R220" s="179">
        <f t="shared" si="78"/>
        <v>0.20467624830688513</v>
      </c>
      <c r="S220" s="837">
        <f t="shared" si="79"/>
        <v>-1</v>
      </c>
      <c r="T220" s="178">
        <f t="shared" si="80"/>
        <v>5</v>
      </c>
      <c r="U220" s="253">
        <f t="shared" si="81"/>
        <v>-0.79532375169311487</v>
      </c>
      <c r="V220" s="385">
        <f t="shared" si="82"/>
        <v>52.667600355129359</v>
      </c>
      <c r="W220" s="404"/>
      <c r="X220" s="157">
        <f t="shared" si="83"/>
        <v>44036</v>
      </c>
      <c r="Y220" s="387">
        <f t="shared" si="84"/>
        <v>50.792000000000002</v>
      </c>
      <c r="Z220" s="387">
        <f t="shared" si="85"/>
        <v>51.653828869372596</v>
      </c>
      <c r="AA220" s="388">
        <f t="shared" si="86"/>
        <v>58.913825904515605</v>
      </c>
      <c r="AB220" s="199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0.12323078536623346</v>
      </c>
      <c r="AD220" s="233">
        <f>(INDEX(Models!$BJ220:$BT220,,AH220)*(1-AF220)+INDEX(Models!$BJ220:$BT220,,AH220+1)*AF220-ERP_i)*AE220*Ramure*Pc/MaxiM</f>
        <v>3.9234259661232346E-4</v>
      </c>
      <c r="AE220" s="307">
        <f t="shared" si="88"/>
        <v>1</v>
      </c>
      <c r="AF220" s="179">
        <f t="shared" si="89"/>
        <v>0.20467624830688513</v>
      </c>
      <c r="AG220" s="837">
        <f t="shared" si="95"/>
        <v>-1</v>
      </c>
      <c r="AH220" s="178">
        <f t="shared" si="90"/>
        <v>5</v>
      </c>
      <c r="AI220" s="227">
        <f t="shared" si="91"/>
        <v>-0.79532375169311487</v>
      </c>
      <c r="AJ220" s="267" t="b">
        <f t="shared" si="92"/>
        <v>0</v>
      </c>
      <c r="AK220" s="267" t="b">
        <f t="shared" si="93"/>
        <v>0</v>
      </c>
      <c r="AL220" s="267"/>
      <c r="AM220" s="267"/>
      <c r="AN220" s="75"/>
    </row>
    <row r="221" spans="1:40" s="6" customFormat="1" ht="11.25" customHeight="1" x14ac:dyDescent="0.2">
      <c r="A221" s="56">
        <f t="shared" si="94"/>
        <v>44037</v>
      </c>
      <c r="B221" s="618">
        <v>50.203000000000003</v>
      </c>
      <c r="C221" s="392"/>
      <c r="D221" s="395">
        <f t="shared" si="74"/>
        <v>51.056022979104178</v>
      </c>
      <c r="E221" s="387">
        <f t="shared" si="72"/>
        <v>58.237745143380458</v>
      </c>
      <c r="F221" s="387">
        <f t="shared" si="75"/>
        <v>58.260765425485459</v>
      </c>
      <c r="G221" s="110">
        <f t="shared" si="73"/>
        <v>0.95576450275556191</v>
      </c>
      <c r="H221" s="414" t="b">
        <f>Wh_hp&gt;='2019'!Maxi_hp</f>
        <v>1</v>
      </c>
      <c r="I221" s="382">
        <f>IF(H221,Wh_hp,'2019'!Maxi_hp)</f>
        <v>58.260765425485459</v>
      </c>
      <c r="J221" s="85">
        <f>IF(H221,An,'2019'!An_max)</f>
        <v>2020</v>
      </c>
      <c r="K221" s="199">
        <f t="shared" si="76"/>
        <v>44037</v>
      </c>
      <c r="L221" s="147">
        <f>IF(t&lt;Tvie,1-EXP((T0-t)*PertePVj)+'2019'!Pspv,1-EXP((T0-t)*PertePVj)+Pspv)</f>
        <v>1.6707587652357803E-2</v>
      </c>
      <c r="M221" s="870"/>
      <c r="N221" s="870"/>
      <c r="O221" s="48">
        <f>IF(t&lt;Tnet,'2019'!Resal+('2019'!Salim-'2019'!Resal)*(1-EXP(('2019'!Tnet-t)/('2019'!Tau_j))),Resal+(Salim-Resal)*(1-EXP((Tnet-t)/(Tau_j))))*Salcycl</f>
        <v>0.1233173115922498</v>
      </c>
      <c r="P221" s="171">
        <f>(INDEX(Models!$BJ221:$BT221,,T221)*(1-R221)+INDEX(Models!$BJ221:$BT221,,T221+1)*R221-ERP_i)*Q221*Ramure*Pc/MaxiM</f>
        <v>4.2176226772524633E-4</v>
      </c>
      <c r="Q221" s="307">
        <f t="shared" si="77"/>
        <v>1</v>
      </c>
      <c r="R221" s="179">
        <f t="shared" si="78"/>
        <v>0.20801098779588756</v>
      </c>
      <c r="S221" s="837">
        <f t="shared" si="79"/>
        <v>-1</v>
      </c>
      <c r="T221" s="178">
        <f t="shared" si="80"/>
        <v>5</v>
      </c>
      <c r="U221" s="253">
        <f t="shared" si="81"/>
        <v>-0.79198901220411244</v>
      </c>
      <c r="V221" s="385">
        <f t="shared" si="82"/>
        <v>52.525137786004223</v>
      </c>
      <c r="W221" s="404"/>
      <c r="X221" s="157">
        <f t="shared" si="83"/>
        <v>44037</v>
      </c>
      <c r="Y221" s="387">
        <f t="shared" si="84"/>
        <v>50.203000000000003</v>
      </c>
      <c r="Z221" s="387">
        <f t="shared" si="85"/>
        <v>51.056022979104178</v>
      </c>
      <c r="AA221" s="388">
        <f t="shared" si="86"/>
        <v>58.237745143380458</v>
      </c>
      <c r="AB221" s="199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0.1233173115922498</v>
      </c>
      <c r="AD221" s="233">
        <f>(INDEX(Models!$BJ221:$BT221,,AH221)*(1-AF221)+INDEX(Models!$BJ221:$BT221,,AH221+1)*AF221-ERP_i)*AE221*Ramure*Pc/MaxiM</f>
        <v>4.2176226772524633E-4</v>
      </c>
      <c r="AE221" s="307">
        <f t="shared" si="88"/>
        <v>1</v>
      </c>
      <c r="AF221" s="179">
        <f t="shared" si="89"/>
        <v>0.20801098779588756</v>
      </c>
      <c r="AG221" s="837">
        <f t="shared" si="95"/>
        <v>-1</v>
      </c>
      <c r="AH221" s="178">
        <f t="shared" si="90"/>
        <v>5</v>
      </c>
      <c r="AI221" s="227">
        <f t="shared" si="91"/>
        <v>-0.79198901220411244</v>
      </c>
      <c r="AJ221" s="267" t="b">
        <f t="shared" si="92"/>
        <v>0</v>
      </c>
      <c r="AK221" s="267" t="b">
        <f t="shared" si="93"/>
        <v>0</v>
      </c>
      <c r="AL221" s="267"/>
      <c r="AM221" s="267"/>
      <c r="AN221" s="75"/>
    </row>
    <row r="222" spans="1:40" s="6" customFormat="1" ht="11.25" customHeight="1" x14ac:dyDescent="0.2">
      <c r="A222" s="56">
        <f t="shared" si="94"/>
        <v>44038</v>
      </c>
      <c r="B222" s="618">
        <v>41.140999999999998</v>
      </c>
      <c r="C222" s="392"/>
      <c r="D222" s="395">
        <f t="shared" si="74"/>
        <v>41.841019941592208</v>
      </c>
      <c r="E222" s="387">
        <f t="shared" si="72"/>
        <v>47.731171889517434</v>
      </c>
      <c r="F222" s="387">
        <f t="shared" si="75"/>
        <v>47.746174961195265</v>
      </c>
      <c r="G222" s="110">
        <f t="shared" si="73"/>
        <v>0.78531315708132454</v>
      </c>
      <c r="H222" s="414" t="b">
        <f>Wh_hp&gt;='2019'!Maxi_hp</f>
        <v>1</v>
      </c>
      <c r="I222" s="382">
        <f>IF(H222,Wh_hp,'2019'!Maxi_hp)</f>
        <v>47.746174961195265</v>
      </c>
      <c r="J222" s="85">
        <f>IF(H222,An,'2019'!An_max)</f>
        <v>2020</v>
      </c>
      <c r="K222" s="199">
        <f t="shared" si="76"/>
        <v>44038</v>
      </c>
      <c r="L222" s="147">
        <f>IF(t&lt;Tvie,1-EXP((T0-t)*PertePVj)+'2019'!Pspv,1-EXP((T0-t)*PertePVj)+Pspv)</f>
        <v>1.673047030329089E-2</v>
      </c>
      <c r="M222" s="870"/>
      <c r="N222" s="870"/>
      <c r="O222" s="48">
        <f>IF(t&lt;Tnet,'2019'!Resal+('2019'!Salim-'2019'!Resal)*(1-EXP(('2019'!Tnet-t)/('2019'!Tau_j))),Resal+(Salim-Resal)*(1-EXP((Tnet-t)/(Tau_j))))*Salcycl</f>
        <v>0.12340262588899066</v>
      </c>
      <c r="P222" s="171">
        <f>(INDEX(Models!$BJ222:$BT222,,T222)*(1-R222)+INDEX(Models!$BJ222:$BT222,,T222+1)*R222-ERP_i)*Q222*Ramure*Pc/MaxiM</f>
        <v>4.5312698501175498E-4</v>
      </c>
      <c r="Q222" s="307">
        <f t="shared" si="77"/>
        <v>1</v>
      </c>
      <c r="R222" s="179">
        <f t="shared" si="78"/>
        <v>0.21124616590283984</v>
      </c>
      <c r="S222" s="837">
        <f t="shared" si="79"/>
        <v>-1</v>
      </c>
      <c r="T222" s="178">
        <f t="shared" si="80"/>
        <v>5</v>
      </c>
      <c r="U222" s="253">
        <f t="shared" si="81"/>
        <v>-0.78875383409716016</v>
      </c>
      <c r="V222" s="385">
        <f t="shared" si="82"/>
        <v>52.380739189215362</v>
      </c>
      <c r="W222" s="404"/>
      <c r="X222" s="157">
        <f t="shared" si="83"/>
        <v>44038</v>
      </c>
      <c r="Y222" s="387">
        <f t="shared" si="84"/>
        <v>41.140999999999998</v>
      </c>
      <c r="Z222" s="387">
        <f t="shared" si="85"/>
        <v>41.841019941592208</v>
      </c>
      <c r="AA222" s="388">
        <f t="shared" si="86"/>
        <v>47.731171889517434</v>
      </c>
      <c r="AB222" s="199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0.12340262588899066</v>
      </c>
      <c r="AD222" s="233">
        <f>(INDEX(Models!$BJ222:$BT222,,AH222)*(1-AF222)+INDEX(Models!$BJ222:$BT222,,AH222+1)*AF222-ERP_i)*AE222*Ramure*Pc/MaxiM</f>
        <v>4.5312698501175498E-4</v>
      </c>
      <c r="AE222" s="307">
        <f t="shared" si="88"/>
        <v>1</v>
      </c>
      <c r="AF222" s="179">
        <f t="shared" si="89"/>
        <v>0.21124616590283984</v>
      </c>
      <c r="AG222" s="837">
        <f t="shared" si="95"/>
        <v>-1</v>
      </c>
      <c r="AH222" s="178">
        <f t="shared" si="90"/>
        <v>5</v>
      </c>
      <c r="AI222" s="227">
        <f t="shared" si="91"/>
        <v>-0.78875383409716016</v>
      </c>
      <c r="AJ222" s="267" t="b">
        <f t="shared" si="92"/>
        <v>0</v>
      </c>
      <c r="AK222" s="267" t="b">
        <f t="shared" si="93"/>
        <v>0</v>
      </c>
      <c r="AL222" s="267"/>
      <c r="AM222" s="267"/>
      <c r="AN222" s="75"/>
    </row>
    <row r="223" spans="1:40" s="6" customFormat="1" ht="11.25" customHeight="1" x14ac:dyDescent="0.2">
      <c r="A223" s="56">
        <f t="shared" si="94"/>
        <v>44039</v>
      </c>
      <c r="B223" s="618">
        <v>47.302999999999997</v>
      </c>
      <c r="C223" s="392"/>
      <c r="D223" s="395">
        <f t="shared" si="74"/>
        <v>48.108986810690965</v>
      </c>
      <c r="E223" s="387">
        <f t="shared" si="72"/>
        <v>54.886779294012165</v>
      </c>
      <c r="F223" s="387">
        <f t="shared" si="75"/>
        <v>54.909888777390748</v>
      </c>
      <c r="G223" s="110">
        <f t="shared" si="73"/>
        <v>0.90553488942172755</v>
      </c>
      <c r="H223" s="414" t="b">
        <f>Wh_hp&gt;='2019'!Maxi_hp</f>
        <v>0</v>
      </c>
      <c r="I223" s="382">
        <f>IF(H223,Wh_hp,'2019'!Maxi_hp)</f>
        <v>61.483978261170357</v>
      </c>
      <c r="J223" s="85">
        <f>IF(H223,An,'2019'!An_max)</f>
        <v>2019</v>
      </c>
      <c r="K223" s="199">
        <f t="shared" si="76"/>
        <v>44039</v>
      </c>
      <c r="L223" s="147">
        <f>IF(t&lt;Tvie,1-EXP((T0-t)*PertePVj)+'2019'!Pspv,1-EXP((T0-t)*PertePVj)+Pspv)</f>
        <v>1.6753352421711276E-2</v>
      </c>
      <c r="M223" s="870"/>
      <c r="N223" s="870"/>
      <c r="O223" s="48">
        <f>IF(t&lt;Tnet,'2019'!Resal+('2019'!Salim-'2019'!Resal)*(1-EXP(('2019'!Tnet-t)/('2019'!Tau_j))),Resal+(Salim-Resal)*(1-EXP((Tnet-t)/(Tau_j))))*Salcycl</f>
        <v>0.12348679537224401</v>
      </c>
      <c r="P223" s="171">
        <f>(INDEX(Models!$BJ223:$BT223,,T223)*(1-R223)+INDEX(Models!$BJ223:$BT223,,T223+1)*R223-ERP_i)*Q223*Ramure*Pc/MaxiM</f>
        <v>4.8646983245101942E-4</v>
      </c>
      <c r="Q223" s="307">
        <f t="shared" si="77"/>
        <v>1</v>
      </c>
      <c r="R223" s="179">
        <f t="shared" si="78"/>
        <v>0.21438356504405398</v>
      </c>
      <c r="S223" s="837">
        <f t="shared" si="79"/>
        <v>-1</v>
      </c>
      <c r="T223" s="178">
        <f t="shared" si="80"/>
        <v>5</v>
      </c>
      <c r="U223" s="253">
        <f t="shared" si="81"/>
        <v>-0.78561643495594602</v>
      </c>
      <c r="V223" s="385">
        <f t="shared" si="82"/>
        <v>52.234205215782119</v>
      </c>
      <c r="W223" s="404"/>
      <c r="X223" s="157">
        <f t="shared" si="83"/>
        <v>44039</v>
      </c>
      <c r="Y223" s="387">
        <f t="shared" si="84"/>
        <v>47.302999999999997</v>
      </c>
      <c r="Z223" s="387">
        <f t="shared" si="85"/>
        <v>48.108986810690965</v>
      </c>
      <c r="AA223" s="388">
        <f t="shared" si="86"/>
        <v>54.886779294012165</v>
      </c>
      <c r="AB223" s="199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0.12348679537224401</v>
      </c>
      <c r="AD223" s="233">
        <f>(INDEX(Models!$BJ223:$BT223,,AH223)*(1-AF223)+INDEX(Models!$BJ223:$BT223,,AH223+1)*AF223-ERP_i)*AE223*Ramure*Pc/MaxiM</f>
        <v>4.8646983245101942E-4</v>
      </c>
      <c r="AE223" s="307">
        <f t="shared" si="88"/>
        <v>1</v>
      </c>
      <c r="AF223" s="179">
        <f t="shared" si="89"/>
        <v>0.21438356504405398</v>
      </c>
      <c r="AG223" s="837">
        <f t="shared" si="95"/>
        <v>-1</v>
      </c>
      <c r="AH223" s="178">
        <f t="shared" si="90"/>
        <v>5</v>
      </c>
      <c r="AI223" s="227">
        <f t="shared" si="91"/>
        <v>-0.78561643495594602</v>
      </c>
      <c r="AJ223" s="267" t="b">
        <f t="shared" si="92"/>
        <v>0</v>
      </c>
      <c r="AK223" s="267" t="b">
        <f t="shared" si="93"/>
        <v>0</v>
      </c>
      <c r="AL223" s="267"/>
      <c r="AM223" s="267"/>
      <c r="AN223" s="75"/>
    </row>
    <row r="224" spans="1:40" s="6" customFormat="1" ht="11.25" customHeight="1" x14ac:dyDescent="0.2">
      <c r="A224" s="56">
        <f t="shared" si="94"/>
        <v>44040</v>
      </c>
      <c r="B224" s="618">
        <v>30.643999999999998</v>
      </c>
      <c r="C224" s="392"/>
      <c r="D224" s="395">
        <f t="shared" si="74"/>
        <v>31.166862579924498</v>
      </c>
      <c r="E224" s="387">
        <f t="shared" si="72"/>
        <v>35.561149625423795</v>
      </c>
      <c r="F224" s="387">
        <f t="shared" si="75"/>
        <v>35.568795084543353</v>
      </c>
      <c r="G224" s="110">
        <f t="shared" si="73"/>
        <v>0.58816157921772116</v>
      </c>
      <c r="H224" s="414" t="b">
        <f>Wh_hp&gt;='2019'!Maxi_hp</f>
        <v>0</v>
      </c>
      <c r="I224" s="382">
        <f>IF(H224,Wh_hp,'2019'!Maxi_hp)</f>
        <v>60.214404913663586</v>
      </c>
      <c r="J224" s="85">
        <f>IF(H224,An,'2019'!An_max)</f>
        <v>2019</v>
      </c>
      <c r="K224" s="199">
        <f t="shared" si="76"/>
        <v>44040</v>
      </c>
      <c r="L224" s="147">
        <f>IF(t&lt;Tvie,1-EXP((T0-t)*PertePVj)+'2019'!Pspv,1-EXP((T0-t)*PertePVj)+Pspv)</f>
        <v>1.6776234007631285E-2</v>
      </c>
      <c r="M224" s="870"/>
      <c r="N224" s="870"/>
      <c r="O224" s="48">
        <f>IF(t&lt;Tnet,'2019'!Resal+('2019'!Salim-'2019'!Resal)*(1-EXP(('2019'!Tnet-t)/('2019'!Tau_j))),Resal+(Salim-Resal)*(1-EXP((Tnet-t)/(Tau_j))))*Salcycl</f>
        <v>0.12356988150792746</v>
      </c>
      <c r="P224" s="171">
        <f>(INDEX(Models!$BJ224:$BT224,,T224)*(1-R224)+INDEX(Models!$BJ224:$BT224,,T224+1)*R224-ERP_i)*Q224*Ramure*Pc/MaxiM</f>
        <v>5.2182430158935499E-4</v>
      </c>
      <c r="Q224" s="307">
        <f t="shared" si="77"/>
        <v>1</v>
      </c>
      <c r="R224" s="179">
        <f t="shared" si="78"/>
        <v>0.21742502164970068</v>
      </c>
      <c r="S224" s="837">
        <f t="shared" si="79"/>
        <v>-1</v>
      </c>
      <c r="T224" s="178">
        <f t="shared" si="80"/>
        <v>5</v>
      </c>
      <c r="U224" s="253">
        <f t="shared" si="81"/>
        <v>-0.78257497835029932</v>
      </c>
      <c r="V224" s="385">
        <f t="shared" si="82"/>
        <v>52.085337020595091</v>
      </c>
      <c r="W224" s="404"/>
      <c r="X224" s="157">
        <f t="shared" si="83"/>
        <v>44040</v>
      </c>
      <c r="Y224" s="387">
        <f t="shared" si="84"/>
        <v>30.643999999999998</v>
      </c>
      <c r="Z224" s="387">
        <f t="shared" si="85"/>
        <v>31.166862579924498</v>
      </c>
      <c r="AA224" s="388">
        <f t="shared" si="86"/>
        <v>35.561149625423795</v>
      </c>
      <c r="AB224" s="199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0.12356988150792746</v>
      </c>
      <c r="AD224" s="233">
        <f>(INDEX(Models!$BJ224:$BT224,,AH224)*(1-AF224)+INDEX(Models!$BJ224:$BT224,,AH224+1)*AF224-ERP_i)*AE224*Ramure*Pc/MaxiM</f>
        <v>5.2182430158935499E-4</v>
      </c>
      <c r="AE224" s="307">
        <f t="shared" si="88"/>
        <v>1</v>
      </c>
      <c r="AF224" s="179">
        <f t="shared" si="89"/>
        <v>0.21742502164970068</v>
      </c>
      <c r="AG224" s="837">
        <f t="shared" si="95"/>
        <v>-1</v>
      </c>
      <c r="AH224" s="178">
        <f t="shared" si="90"/>
        <v>5</v>
      </c>
      <c r="AI224" s="227">
        <f t="shared" si="91"/>
        <v>-0.78257497835029932</v>
      </c>
      <c r="AJ224" s="267" t="b">
        <f t="shared" si="92"/>
        <v>0</v>
      </c>
      <c r="AK224" s="267" t="b">
        <f t="shared" si="93"/>
        <v>0</v>
      </c>
      <c r="AL224" s="267"/>
      <c r="AM224" s="267"/>
      <c r="AN224" s="75"/>
    </row>
    <row r="225" spans="1:40" s="6" customFormat="1" ht="11.25" customHeight="1" x14ac:dyDescent="0.2">
      <c r="A225" s="56">
        <f t="shared" si="94"/>
        <v>44041</v>
      </c>
      <c r="B225" s="618">
        <v>44.935000000000002</v>
      </c>
      <c r="C225" s="392"/>
      <c r="D225" s="395">
        <f t="shared" si="74"/>
        <v>45.702766025063916</v>
      </c>
      <c r="E225" s="387">
        <f t="shared" si="72"/>
        <v>52.151386092125939</v>
      </c>
      <c r="F225" s="387">
        <f t="shared" si="75"/>
        <v>52.174946254120343</v>
      </c>
      <c r="G225" s="110">
        <f t="shared" si="73"/>
        <v>0.86514066122495048</v>
      </c>
      <c r="H225" s="414" t="b">
        <f>Wh_hp&gt;='2019'!Maxi_hp</f>
        <v>1</v>
      </c>
      <c r="I225" s="382">
        <f>IF(H225,Wh_hp,'2019'!Maxi_hp)</f>
        <v>52.174946254120343</v>
      </c>
      <c r="J225" s="85">
        <f>IF(H225,An,'2019'!An_max)</f>
        <v>2020</v>
      </c>
      <c r="K225" s="199">
        <f t="shared" si="76"/>
        <v>44041</v>
      </c>
      <c r="L225" s="147">
        <f>IF(t&lt;Tvie,1-EXP((T0-t)*PertePVj)+'2019'!Pspv,1-EXP((T0-t)*PertePVj)+Pspv)</f>
        <v>1.6799115061063463E-2</v>
      </c>
      <c r="M225" s="870"/>
      <c r="N225" s="870"/>
      <c r="O225" s="48">
        <f>IF(t&lt;Tnet,'2019'!Resal+('2019'!Salim-'2019'!Resal)*(1-EXP(('2019'!Tnet-t)/('2019'!Tau_j))),Resal+(Salim-Resal)*(1-EXP((Tnet-t)/(Tau_j))))*Salcycl</f>
        <v>0.12365194005909015</v>
      </c>
      <c r="P225" s="171">
        <f>(INDEX(Models!$BJ225:$BT225,,T225)*(1-R225)+INDEX(Models!$BJ225:$BT225,,T225+1)*R225-ERP_i)*Q225*Ramure*Pc/MaxiM</f>
        <v>5.5922442764511538E-4</v>
      </c>
      <c r="Q225" s="307">
        <f t="shared" si="77"/>
        <v>1</v>
      </c>
      <c r="R225" s="179">
        <f t="shared" si="78"/>
        <v>0.22037241861533607</v>
      </c>
      <c r="S225" s="837">
        <f t="shared" si="79"/>
        <v>-1</v>
      </c>
      <c r="T225" s="178">
        <f t="shared" si="80"/>
        <v>5</v>
      </c>
      <c r="U225" s="253">
        <f t="shared" si="81"/>
        <v>-0.77962758138466393</v>
      </c>
      <c r="V225" s="385">
        <f t="shared" si="82"/>
        <v>51.93393625380066</v>
      </c>
      <c r="W225" s="404"/>
      <c r="X225" s="157">
        <f t="shared" si="83"/>
        <v>44041</v>
      </c>
      <c r="Y225" s="387">
        <f t="shared" si="84"/>
        <v>44.935000000000002</v>
      </c>
      <c r="Z225" s="387">
        <f t="shared" si="85"/>
        <v>45.702766025063916</v>
      </c>
      <c r="AA225" s="388">
        <f t="shared" si="86"/>
        <v>52.151386092125939</v>
      </c>
      <c r="AB225" s="199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0.12365194005909015</v>
      </c>
      <c r="AD225" s="233">
        <f>(INDEX(Models!$BJ225:$BT225,,AH225)*(1-AF225)+INDEX(Models!$BJ225:$BT225,,AH225+1)*AF225-ERP_i)*AE225*Ramure*Pc/MaxiM</f>
        <v>5.5922442764511538E-4</v>
      </c>
      <c r="AE225" s="307">
        <f t="shared" si="88"/>
        <v>1</v>
      </c>
      <c r="AF225" s="179">
        <f t="shared" si="89"/>
        <v>0.22037241861533607</v>
      </c>
      <c r="AG225" s="837">
        <f t="shared" si="95"/>
        <v>-1</v>
      </c>
      <c r="AH225" s="178">
        <f t="shared" si="90"/>
        <v>5</v>
      </c>
      <c r="AI225" s="227">
        <f t="shared" si="91"/>
        <v>-0.77962758138466393</v>
      </c>
      <c r="AJ225" s="267" t="b">
        <f t="shared" si="92"/>
        <v>0</v>
      </c>
      <c r="AK225" s="267" t="b">
        <f t="shared" si="93"/>
        <v>0</v>
      </c>
      <c r="AL225" s="267"/>
      <c r="AM225" s="267"/>
      <c r="AN225" s="75"/>
    </row>
    <row r="226" spans="1:40" s="6" customFormat="1" ht="11.25" customHeight="1" x14ac:dyDescent="0.2">
      <c r="A226" s="56">
        <f t="shared" si="94"/>
        <v>44042</v>
      </c>
      <c r="B226" s="618">
        <v>46.981999999999999</v>
      </c>
      <c r="C226" s="392"/>
      <c r="D226" s="395">
        <f t="shared" si="74"/>
        <v>47.785853415030701</v>
      </c>
      <c r="E226" s="387">
        <f t="shared" si="72"/>
        <v>54.533440794171533</v>
      </c>
      <c r="F226" s="387">
        <f t="shared" si="75"/>
        <v>54.561919851101358</v>
      </c>
      <c r="G226" s="110">
        <f t="shared" si="73"/>
        <v>0.90727248512055203</v>
      </c>
      <c r="H226" s="414" t="b">
        <f>Wh_hp&gt;='2019'!Maxi_hp</f>
        <v>0</v>
      </c>
      <c r="I226" s="382">
        <f>IF(H226,Wh_hp,'2019'!Maxi_hp)</f>
        <v>54.744789701316236</v>
      </c>
      <c r="J226" s="85">
        <f>IF(H226,An,'2019'!An_max)</f>
        <v>2019</v>
      </c>
      <c r="K226" s="199">
        <f t="shared" si="76"/>
        <v>44042</v>
      </c>
      <c r="L226" s="147">
        <f>IF(t&lt;Tvie,1-EXP((T0-t)*PertePVj)+'2019'!Pspv,1-EXP((T0-t)*PertePVj)+Pspv)</f>
        <v>1.6821995582020022E-2</v>
      </c>
      <c r="M226" s="870"/>
      <c r="N226" s="870"/>
      <c r="O226" s="48">
        <f>IF(t&lt;Tnet,'2019'!Resal+('2019'!Salim-'2019'!Resal)*(1-EXP(('2019'!Tnet-t)/('2019'!Tau_j))),Resal+(Salim-Resal)*(1-EXP((Tnet-t)/(Tau_j))))*Salcycl</f>
        <v>0.12373302107616142</v>
      </c>
      <c r="P226" s="171">
        <f>(INDEX(Models!$BJ226:$BT226,,T226)*(1-R226)+INDEX(Models!$BJ226:$BT226,,T226+1)*R226-ERP_i)*Q226*Ramure*Pc/MaxiM</f>
        <v>6.015873588011058E-4</v>
      </c>
      <c r="Q226" s="307">
        <f t="shared" si="77"/>
        <v>1</v>
      </c>
      <c r="R226" s="179">
        <f t="shared" si="78"/>
        <v>0.2232276781069984</v>
      </c>
      <c r="S226" s="837">
        <f t="shared" si="79"/>
        <v>-1</v>
      </c>
      <c r="T226" s="178">
        <f t="shared" si="80"/>
        <v>5</v>
      </c>
      <c r="U226" s="253">
        <f t="shared" si="81"/>
        <v>-0.7767723218930016</v>
      </c>
      <c r="V226" s="385">
        <f t="shared" si="82"/>
        <v>51.779655718531579</v>
      </c>
      <c r="W226" s="404"/>
      <c r="X226" s="157">
        <f t="shared" si="83"/>
        <v>44042</v>
      </c>
      <c r="Y226" s="387">
        <f t="shared" si="84"/>
        <v>46.981999999999999</v>
      </c>
      <c r="Z226" s="387">
        <f t="shared" si="85"/>
        <v>47.785853415030701</v>
      </c>
      <c r="AA226" s="388">
        <f t="shared" si="86"/>
        <v>54.533440794171533</v>
      </c>
      <c r="AB226" s="199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0.12373302107616142</v>
      </c>
      <c r="AD226" s="233">
        <f>(INDEX(Models!$BJ226:$BT226,,AH226)*(1-AF226)+INDEX(Models!$BJ226:$BT226,,AH226+1)*AF226-ERP_i)*AE226*Ramure*Pc/MaxiM</f>
        <v>6.015873588011058E-4</v>
      </c>
      <c r="AE226" s="307">
        <f t="shared" si="88"/>
        <v>1</v>
      </c>
      <c r="AF226" s="179">
        <f t="shared" si="89"/>
        <v>0.2232276781069984</v>
      </c>
      <c r="AG226" s="837">
        <f t="shared" si="95"/>
        <v>-1</v>
      </c>
      <c r="AH226" s="178">
        <f t="shared" si="90"/>
        <v>5</v>
      </c>
      <c r="AI226" s="227">
        <f t="shared" si="91"/>
        <v>-0.7767723218930016</v>
      </c>
      <c r="AJ226" s="267" t="b">
        <f t="shared" si="92"/>
        <v>0</v>
      </c>
      <c r="AK226" s="267" t="b">
        <f t="shared" si="93"/>
        <v>0</v>
      </c>
      <c r="AL226" s="267"/>
      <c r="AM226" s="267"/>
      <c r="AN226" s="75"/>
    </row>
    <row r="227" spans="1:40" s="6" customFormat="1" ht="11.25" customHeight="1" x14ac:dyDescent="0.2">
      <c r="A227" s="56">
        <f t="shared" si="94"/>
        <v>44043</v>
      </c>
      <c r="B227" s="618">
        <v>45.482999999999997</v>
      </c>
      <c r="C227" s="392"/>
      <c r="D227" s="395">
        <f t="shared" si="74"/>
        <v>46.262282390475512</v>
      </c>
      <c r="E227" s="387">
        <f t="shared" si="72"/>
        <v>52.799563688821678</v>
      </c>
      <c r="F227" s="387">
        <f t="shared" si="75"/>
        <v>52.828011188286666</v>
      </c>
      <c r="G227" s="110">
        <f t="shared" si="73"/>
        <v>0.88097535314546549</v>
      </c>
      <c r="H227" s="414" t="b">
        <f>Wh_hp&gt;='2019'!Maxi_hp</f>
        <v>1</v>
      </c>
      <c r="I227" s="382">
        <f>IF(H227,Wh_hp,'2019'!Maxi_hp)</f>
        <v>52.828011188286666</v>
      </c>
      <c r="J227" s="85">
        <f>IF(H227,An,'2019'!An_max)</f>
        <v>2020</v>
      </c>
      <c r="K227" s="199">
        <f t="shared" si="76"/>
        <v>44043</v>
      </c>
      <c r="L227" s="147">
        <f>IF(t&lt;Tvie,1-EXP((T0-t)*PertePVj)+'2019'!Pspv,1-EXP((T0-t)*PertePVj)+Pspv)</f>
        <v>1.6844875570513507E-2</v>
      </c>
      <c r="M227" s="870"/>
      <c r="N227" s="870"/>
      <c r="O227" s="48">
        <f>IF(t&lt;Tnet,'2019'!Resal+('2019'!Salim-'2019'!Resal)*(1-EXP(('2019'!Tnet-t)/('2019'!Tau_j))),Resal+(Salim-Resal)*(1-EXP((Tnet-t)/(Tau_j))))*Salcycl</f>
        <v>0.12381316892832941</v>
      </c>
      <c r="P227" s="171">
        <f>(INDEX(Models!$BJ227:$BT227,,T227)*(1-R227)+INDEX(Models!$BJ227:$BT227,,T227+1)*R227-ERP_i)*Q227*Ramure*Pc/MaxiM</f>
        <v>6.4870544952622892E-4</v>
      </c>
      <c r="Q227" s="307">
        <f t="shared" si="77"/>
        <v>1</v>
      </c>
      <c r="R227" s="179">
        <f t="shared" si="78"/>
        <v>0.22599275472713531</v>
      </c>
      <c r="S227" s="837">
        <f t="shared" si="79"/>
        <v>-1</v>
      </c>
      <c r="T227" s="178">
        <f t="shared" si="80"/>
        <v>5</v>
      </c>
      <c r="U227" s="253">
        <f t="shared" si="81"/>
        <v>-0.77400724527286469</v>
      </c>
      <c r="V227" s="385">
        <f t="shared" si="82"/>
        <v>51.622311942391129</v>
      </c>
      <c r="W227" s="404"/>
      <c r="X227" s="157">
        <f t="shared" si="83"/>
        <v>44043</v>
      </c>
      <c r="Y227" s="387">
        <f t="shared" si="84"/>
        <v>45.482999999999997</v>
      </c>
      <c r="Z227" s="387">
        <f t="shared" si="85"/>
        <v>46.262282390475512</v>
      </c>
      <c r="AA227" s="388">
        <f t="shared" si="86"/>
        <v>52.799563688821678</v>
      </c>
      <c r="AB227" s="199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0.12381316892832941</v>
      </c>
      <c r="AD227" s="233">
        <f>(INDEX(Models!$BJ227:$BT227,,AH227)*(1-AF227)+INDEX(Models!$BJ227:$BT227,,AH227+1)*AF227-ERP_i)*AE227*Ramure*Pc/MaxiM</f>
        <v>6.4870544952622892E-4</v>
      </c>
      <c r="AE227" s="307">
        <f t="shared" si="88"/>
        <v>1</v>
      </c>
      <c r="AF227" s="179">
        <f t="shared" si="89"/>
        <v>0.22599275472713531</v>
      </c>
      <c r="AG227" s="837">
        <f t="shared" si="95"/>
        <v>-1</v>
      </c>
      <c r="AH227" s="178">
        <f t="shared" si="90"/>
        <v>5</v>
      </c>
      <c r="AI227" s="227">
        <f t="shared" si="91"/>
        <v>-0.77400724527286469</v>
      </c>
      <c r="AJ227" s="267" t="b">
        <f t="shared" si="92"/>
        <v>0</v>
      </c>
      <c r="AK227" s="267" t="b">
        <f t="shared" si="93"/>
        <v>0</v>
      </c>
      <c r="AL227" s="267"/>
      <c r="AM227" s="267"/>
      <c r="AN227" s="75"/>
    </row>
    <row r="228" spans="1:40" s="6" customFormat="1" ht="11.25" customHeight="1" x14ac:dyDescent="0.2">
      <c r="A228" s="56">
        <f t="shared" si="94"/>
        <v>44044</v>
      </c>
      <c r="B228" s="618">
        <v>36.383000000000003</v>
      </c>
      <c r="C228" s="392"/>
      <c r="D228" s="395">
        <f t="shared" si="74"/>
        <v>37.007228870804425</v>
      </c>
      <c r="E228" s="387">
        <f t="shared" si="72"/>
        <v>42.240507690922165</v>
      </c>
      <c r="F228" s="387">
        <f t="shared" si="75"/>
        <v>42.257721951949414</v>
      </c>
      <c r="G228" s="110">
        <f t="shared" si="73"/>
        <v>0.70678426302788155</v>
      </c>
      <c r="H228" s="414" t="b">
        <f>Wh_hp&gt;='2019'!Maxi_hp</f>
        <v>0</v>
      </c>
      <c r="I228" s="382">
        <f>IF(H228,Wh_hp,'2019'!Maxi_hp)</f>
        <v>57.146708679264712</v>
      </c>
      <c r="J228" s="85">
        <f>IF(H228,An,'2019'!An_max)</f>
        <v>2019</v>
      </c>
      <c r="K228" s="199">
        <f t="shared" si="76"/>
        <v>44044</v>
      </c>
      <c r="L228" s="147">
        <f>IF(t&lt;Tvie,1-EXP((T0-t)*PertePVj)+'2019'!Pspv,1-EXP((T0-t)*PertePVj)+Pspv)</f>
        <v>1.686775502655613E-2</v>
      </c>
      <c r="M228" s="870"/>
      <c r="N228" s="870"/>
      <c r="O228" s="48">
        <f>IF(t&lt;Tnet,'2019'!Resal+('2019'!Salim-'2019'!Resal)*(1-EXP(('2019'!Tnet-t)/('2019'!Tau_j))),Resal+(Salim-Resal)*(1-EXP((Tnet-t)/(Tau_j))))*Salcycl</f>
        <v>0.12389242237356941</v>
      </c>
      <c r="P228" s="171">
        <f>(INDEX(Models!$BJ228:$BT228,,T228)*(1-R228)+INDEX(Models!$BJ228:$BT228,,T228+1)*R228-ERP_i)*Q228*Ramure*Pc/MaxiM</f>
        <v>7.0063979317247624E-4</v>
      </c>
      <c r="Q228" s="307">
        <f t="shared" si="77"/>
        <v>1</v>
      </c>
      <c r="R228" s="179">
        <f t="shared" si="78"/>
        <v>0.22866962904562682</v>
      </c>
      <c r="S228" s="837">
        <f t="shared" si="79"/>
        <v>-1</v>
      </c>
      <c r="T228" s="178">
        <f t="shared" si="80"/>
        <v>5</v>
      </c>
      <c r="U228" s="253">
        <f t="shared" si="81"/>
        <v>-0.77133037095437318</v>
      </c>
      <c r="V228" s="385">
        <f t="shared" si="82"/>
        <v>51.461708033541235</v>
      </c>
      <c r="W228" s="404"/>
      <c r="X228" s="157">
        <f t="shared" si="83"/>
        <v>44044</v>
      </c>
      <c r="Y228" s="387">
        <f t="shared" si="84"/>
        <v>36.383000000000003</v>
      </c>
      <c r="Z228" s="387">
        <f t="shared" si="85"/>
        <v>37.007228870804425</v>
      </c>
      <c r="AA228" s="388">
        <f t="shared" si="86"/>
        <v>42.240507690922165</v>
      </c>
      <c r="AB228" s="199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0.12389242237356941</v>
      </c>
      <c r="AD228" s="233">
        <f>(INDEX(Models!$BJ228:$BT228,,AH228)*(1-AF228)+INDEX(Models!$BJ228:$BT228,,AH228+1)*AF228-ERP_i)*AE228*Ramure*Pc/MaxiM</f>
        <v>7.0063979317247624E-4</v>
      </c>
      <c r="AE228" s="307">
        <f t="shared" si="88"/>
        <v>1</v>
      </c>
      <c r="AF228" s="179">
        <f t="shared" si="89"/>
        <v>0.22866962904562682</v>
      </c>
      <c r="AG228" s="837">
        <f t="shared" si="95"/>
        <v>-1</v>
      </c>
      <c r="AH228" s="178">
        <f t="shared" si="90"/>
        <v>5</v>
      </c>
      <c r="AI228" s="227">
        <f t="shared" si="91"/>
        <v>-0.77133037095437318</v>
      </c>
      <c r="AJ228" s="267" t="b">
        <f t="shared" si="92"/>
        <v>0</v>
      </c>
      <c r="AK228" s="267" t="b">
        <f t="shared" si="93"/>
        <v>0</v>
      </c>
      <c r="AL228" s="267"/>
      <c r="AM228" s="267"/>
      <c r="AN228" s="75"/>
    </row>
    <row r="229" spans="1:40" s="6" customFormat="1" ht="11.25" customHeight="1" x14ac:dyDescent="0.2">
      <c r="A229" s="56">
        <f t="shared" si="94"/>
        <v>44045</v>
      </c>
      <c r="B229" s="618">
        <v>29.792999999999999</v>
      </c>
      <c r="C229" s="392"/>
      <c r="D229" s="395">
        <f t="shared" si="74"/>
        <v>30.304868439723133</v>
      </c>
      <c r="E229" s="387">
        <f t="shared" si="72"/>
        <v>34.593446139716733</v>
      </c>
      <c r="F229" s="387">
        <f t="shared" si="75"/>
        <v>34.603959967184636</v>
      </c>
      <c r="G229" s="110">
        <f t="shared" si="73"/>
        <v>0.58052332972892728</v>
      </c>
      <c r="H229" s="414" t="b">
        <f>Wh_hp&gt;='2019'!Maxi_hp</f>
        <v>0</v>
      </c>
      <c r="I229" s="382">
        <f>IF(H229,Wh_hp,'2019'!Maxi_hp)</f>
        <v>57.449799256977776</v>
      </c>
      <c r="J229" s="85">
        <f>IF(H229,An,'2019'!An_max)</f>
        <v>2019</v>
      </c>
      <c r="K229" s="199">
        <f t="shared" si="76"/>
        <v>44045</v>
      </c>
      <c r="L229" s="147">
        <f>IF(t&lt;Tvie,1-EXP((T0-t)*PertePVj)+'2019'!Pspv,1-EXP((T0-t)*PertePVj)+Pspv)</f>
        <v>1.6890633950160439E-2</v>
      </c>
      <c r="M229" s="870"/>
      <c r="N229" s="870"/>
      <c r="O229" s="48">
        <f>IF(t&lt;Tnet,'2019'!Resal+('2019'!Salim-'2019'!Resal)*(1-EXP(('2019'!Tnet-t)/('2019'!Tau_j))),Resal+(Salim-Resal)*(1-EXP((Tnet-t)/(Tau_j))))*Salcycl</f>
        <v>0.12397081466451193</v>
      </c>
      <c r="P229" s="171">
        <f>(INDEX(Models!$BJ229:$BT229,,T229)*(1-R229)+INDEX(Models!$BJ229:$BT229,,T229+1)*R229-ERP_i)*Q229*Ramure*Pc/MaxiM</f>
        <v>7.5745405366485139E-4</v>
      </c>
      <c r="Q229" s="307">
        <f t="shared" si="77"/>
        <v>1</v>
      </c>
      <c r="R229" s="179">
        <f t="shared" si="78"/>
        <v>0.23126030149743904</v>
      </c>
      <c r="S229" s="837">
        <f t="shared" si="79"/>
        <v>-1</v>
      </c>
      <c r="T229" s="178">
        <f t="shared" si="80"/>
        <v>5</v>
      </c>
      <c r="U229" s="253">
        <f t="shared" si="81"/>
        <v>-0.76873969850256096</v>
      </c>
      <c r="V229" s="385">
        <f t="shared" si="82"/>
        <v>51.297647549385132</v>
      </c>
      <c r="W229" s="404"/>
      <c r="X229" s="157">
        <f t="shared" si="83"/>
        <v>44045</v>
      </c>
      <c r="Y229" s="387">
        <f t="shared" si="84"/>
        <v>29.792999999999999</v>
      </c>
      <c r="Z229" s="387">
        <f t="shared" si="85"/>
        <v>30.304868439723133</v>
      </c>
      <c r="AA229" s="388">
        <f t="shared" si="86"/>
        <v>34.593446139716733</v>
      </c>
      <c r="AB229" s="199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0.12397081466451193</v>
      </c>
      <c r="AD229" s="233">
        <f>(INDEX(Models!$BJ229:$BT229,,AH229)*(1-AF229)+INDEX(Models!$BJ229:$BT229,,AH229+1)*AF229-ERP_i)*AE229*Ramure*Pc/MaxiM</f>
        <v>7.5745405366485139E-4</v>
      </c>
      <c r="AE229" s="307">
        <f t="shared" si="88"/>
        <v>1</v>
      </c>
      <c r="AF229" s="179">
        <f t="shared" si="89"/>
        <v>0.23126030149743904</v>
      </c>
      <c r="AG229" s="837">
        <f t="shared" si="95"/>
        <v>-1</v>
      </c>
      <c r="AH229" s="178">
        <f t="shared" si="90"/>
        <v>5</v>
      </c>
      <c r="AI229" s="227">
        <f t="shared" si="91"/>
        <v>-0.76873969850256096</v>
      </c>
      <c r="AJ229" s="267" t="b">
        <f t="shared" si="92"/>
        <v>0</v>
      </c>
      <c r="AK229" s="267" t="b">
        <f t="shared" si="93"/>
        <v>0</v>
      </c>
      <c r="AL229" s="267"/>
      <c r="AM229" s="267"/>
      <c r="AN229" s="75"/>
    </row>
    <row r="230" spans="1:40" s="6" customFormat="1" ht="11.25" customHeight="1" x14ac:dyDescent="0.2">
      <c r="A230" s="56">
        <f t="shared" si="94"/>
        <v>44046</v>
      </c>
      <c r="B230" s="618">
        <v>43.661000000000001</v>
      </c>
      <c r="C230" s="392"/>
      <c r="D230" s="395">
        <f t="shared" si="74"/>
        <v>44.412165712890555</v>
      </c>
      <c r="E230" s="387">
        <f t="shared" si="72"/>
        <v>50.701619106330924</v>
      </c>
      <c r="F230" s="387">
        <f t="shared" si="75"/>
        <v>50.734508219956368</v>
      </c>
      <c r="G230" s="110">
        <f t="shared" si="73"/>
        <v>0.8537763935652003</v>
      </c>
      <c r="H230" s="414" t="b">
        <f>Wh_hp&gt;='2019'!Maxi_hp</f>
        <v>0</v>
      </c>
      <c r="I230" s="382">
        <f>IF(H230,Wh_hp,'2019'!Maxi_hp)</f>
        <v>53.047340954372693</v>
      </c>
      <c r="J230" s="85">
        <f>IF(H230,An,'2019'!An_max)</f>
        <v>2019</v>
      </c>
      <c r="K230" s="199">
        <f t="shared" si="76"/>
        <v>44046</v>
      </c>
      <c r="L230" s="147">
        <f>IF(t&lt;Tvie,1-EXP((T0-t)*PertePVj)+'2019'!Pspv,1-EXP((T0-t)*PertePVj)+Pspv)</f>
        <v>1.6913512341338754E-2</v>
      </c>
      <c r="M230" s="870"/>
      <c r="N230" s="870"/>
      <c r="O230" s="48">
        <f>IF(t&lt;Tnet,'2019'!Resal+('2019'!Salim-'2019'!Resal)*(1-EXP(('2019'!Tnet-t)/('2019'!Tau_j))),Resal+(Salim-Resal)*(1-EXP((Tnet-t)/(Tau_j))))*Salcycl</f>
        <v>0.1240483736870452</v>
      </c>
      <c r="P230" s="171">
        <f>(INDEX(Models!$BJ230:$BT230,,T230)*(1-R230)+INDEX(Models!$BJ230:$BT230,,T230+1)*R230-ERP_i)*Q230*Ramure*Pc/MaxiM</f>
        <v>8.1921476406662363E-4</v>
      </c>
      <c r="Q230" s="307">
        <f t="shared" si="77"/>
        <v>1</v>
      </c>
      <c r="R230" s="179">
        <f t="shared" si="78"/>
        <v>0.23376678664598649</v>
      </c>
      <c r="S230" s="837">
        <f t="shared" si="79"/>
        <v>-1</v>
      </c>
      <c r="T230" s="178">
        <f t="shared" si="80"/>
        <v>5</v>
      </c>
      <c r="U230" s="253">
        <f t="shared" si="81"/>
        <v>-0.76623321335401351</v>
      </c>
      <c r="V230" s="385">
        <f t="shared" si="82"/>
        <v>51.129934486326981</v>
      </c>
      <c r="W230" s="404"/>
      <c r="X230" s="157">
        <f t="shared" si="83"/>
        <v>44046</v>
      </c>
      <c r="Y230" s="387">
        <f t="shared" si="84"/>
        <v>43.661000000000001</v>
      </c>
      <c r="Z230" s="387">
        <f t="shared" si="85"/>
        <v>44.412165712890555</v>
      </c>
      <c r="AA230" s="388">
        <f t="shared" si="86"/>
        <v>50.701619106330924</v>
      </c>
      <c r="AB230" s="199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0.1240483736870452</v>
      </c>
      <c r="AD230" s="233">
        <f>(INDEX(Models!$BJ230:$BT230,,AH230)*(1-AF230)+INDEX(Models!$BJ230:$BT230,,AH230+1)*AF230-ERP_i)*AE230*Ramure*Pc/MaxiM</f>
        <v>8.1921476406662363E-4</v>
      </c>
      <c r="AE230" s="307">
        <f t="shared" si="88"/>
        <v>1</v>
      </c>
      <c r="AF230" s="179">
        <f t="shared" si="89"/>
        <v>0.23376678664598649</v>
      </c>
      <c r="AG230" s="837">
        <f t="shared" si="95"/>
        <v>-1</v>
      </c>
      <c r="AH230" s="178">
        <f t="shared" si="90"/>
        <v>5</v>
      </c>
      <c r="AI230" s="227">
        <f t="shared" si="91"/>
        <v>-0.76623321335401351</v>
      </c>
      <c r="AJ230" s="267" t="b">
        <f t="shared" si="92"/>
        <v>0</v>
      </c>
      <c r="AK230" s="267" t="b">
        <f t="shared" si="93"/>
        <v>0</v>
      </c>
      <c r="AL230" s="267"/>
      <c r="AM230" s="267"/>
      <c r="AN230" s="75"/>
    </row>
    <row r="231" spans="1:40" s="6" customFormat="1" ht="11.25" customHeight="1" x14ac:dyDescent="0.2">
      <c r="A231" s="56">
        <f t="shared" si="94"/>
        <v>44047</v>
      </c>
      <c r="B231" s="618">
        <v>49.9</v>
      </c>
      <c r="C231" s="392"/>
      <c r="D231" s="395">
        <f t="shared" si="74"/>
        <v>50.75968584592119</v>
      </c>
      <c r="E231" s="387">
        <f t="shared" si="72"/>
        <v>57.953124502511457</v>
      </c>
      <c r="F231" s="387">
        <f t="shared" si="75"/>
        <v>58.00298989323845</v>
      </c>
      <c r="G231" s="110">
        <f t="shared" si="73"/>
        <v>0.97920486693501996</v>
      </c>
      <c r="H231" s="414" t="b">
        <f>Wh_hp&gt;='2019'!Maxi_hp</f>
        <v>1</v>
      </c>
      <c r="I231" s="382">
        <f>IF(H231,Wh_hp,'2019'!Maxi_hp)</f>
        <v>58.00298989323845</v>
      </c>
      <c r="J231" s="85">
        <f>IF(H231,An,'2019'!An_max)</f>
        <v>2020</v>
      </c>
      <c r="K231" s="199">
        <f t="shared" si="76"/>
        <v>44047</v>
      </c>
      <c r="L231" s="147">
        <f>IF(t&lt;Tvie,1-EXP((T0-t)*PertePVj)+'2019'!Pspv,1-EXP((T0-t)*PertePVj)+Pspv)</f>
        <v>1.6936390200103513E-2</v>
      </c>
      <c r="M231" s="870"/>
      <c r="N231" s="870"/>
      <c r="O231" s="48">
        <f>IF(t&lt;Tnet,'2019'!Resal+('2019'!Salim-'2019'!Resal)*(1-EXP(('2019'!Tnet-t)/('2019'!Tau_j))),Resal+(Salim-Resal)*(1-EXP((Tnet-t)/(Tau_j))))*Salcycl</f>
        <v>0.1241251221282906</v>
      </c>
      <c r="P231" s="171">
        <f>(INDEX(Models!$BJ231:$BT231,,T231)*(1-R231)+INDEX(Models!$BJ231:$BT231,,T231+1)*R231-ERP_i)*Q231*Ramure*Pc/MaxiM</f>
        <v>8.8599163735038529E-4</v>
      </c>
      <c r="Q231" s="307">
        <f t="shared" si="77"/>
        <v>1</v>
      </c>
      <c r="R231" s="179">
        <f t="shared" si="78"/>
        <v>0.23619110780908581</v>
      </c>
      <c r="S231" s="837">
        <f t="shared" si="79"/>
        <v>-1</v>
      </c>
      <c r="T231" s="178">
        <f t="shared" si="80"/>
        <v>5</v>
      </c>
      <c r="U231" s="253">
        <f t="shared" si="81"/>
        <v>-0.76380889219091419</v>
      </c>
      <c r="V231" s="385">
        <f t="shared" si="82"/>
        <v>50.958373260870587</v>
      </c>
      <c r="W231" s="404"/>
      <c r="X231" s="157">
        <f t="shared" si="83"/>
        <v>44047</v>
      </c>
      <c r="Y231" s="387">
        <f t="shared" si="84"/>
        <v>49.9</v>
      </c>
      <c r="Z231" s="387">
        <f t="shared" si="85"/>
        <v>50.75968584592119</v>
      </c>
      <c r="AA231" s="388">
        <f t="shared" si="86"/>
        <v>57.953124502511457</v>
      </c>
      <c r="AB231" s="199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0.1241251221282906</v>
      </c>
      <c r="AD231" s="233">
        <f>(INDEX(Models!$BJ231:$BT231,,AH231)*(1-AF231)+INDEX(Models!$BJ231:$BT231,,AH231+1)*AF231-ERP_i)*AE231*Ramure*Pc/MaxiM</f>
        <v>8.8599163735038529E-4</v>
      </c>
      <c r="AE231" s="307">
        <f t="shared" si="88"/>
        <v>1</v>
      </c>
      <c r="AF231" s="179">
        <f t="shared" si="89"/>
        <v>0.23619110780908581</v>
      </c>
      <c r="AG231" s="837">
        <f t="shared" si="95"/>
        <v>-1</v>
      </c>
      <c r="AH231" s="178">
        <f t="shared" si="90"/>
        <v>5</v>
      </c>
      <c r="AI231" s="227">
        <f t="shared" si="91"/>
        <v>-0.76380889219091419</v>
      </c>
      <c r="AJ231" s="267" t="b">
        <f t="shared" si="92"/>
        <v>0</v>
      </c>
      <c r="AK231" s="267" t="b">
        <f t="shared" si="93"/>
        <v>0</v>
      </c>
      <c r="AL231" s="267"/>
      <c r="AM231" s="267"/>
      <c r="AN231" s="75"/>
    </row>
    <row r="232" spans="1:40" s="6" customFormat="1" ht="11.25" customHeight="1" x14ac:dyDescent="0.2">
      <c r="A232" s="56">
        <f t="shared" si="94"/>
        <v>44048</v>
      </c>
      <c r="B232" s="618">
        <v>49.09</v>
      </c>
      <c r="C232" s="392"/>
      <c r="D232" s="395">
        <f t="shared" si="74"/>
        <v>49.936893130032821</v>
      </c>
      <c r="E232" s="387">
        <f t="shared" si="72"/>
        <v>57.01867387230925</v>
      </c>
      <c r="F232" s="387">
        <f t="shared" si="75"/>
        <v>57.070736386069342</v>
      </c>
      <c r="G232" s="110">
        <f t="shared" si="73"/>
        <v>0.96662234272275838</v>
      </c>
      <c r="H232" s="414" t="b">
        <f>Wh_hp&gt;='2019'!Maxi_hp</f>
        <v>1</v>
      </c>
      <c r="I232" s="382">
        <f>IF(H232,Wh_hp,'2019'!Maxi_hp)</f>
        <v>57.070736386069342</v>
      </c>
      <c r="J232" s="85">
        <f>IF(H232,An,'2019'!An_max)</f>
        <v>2020</v>
      </c>
      <c r="K232" s="199">
        <f t="shared" si="76"/>
        <v>44048</v>
      </c>
      <c r="L232" s="147">
        <f>IF(t&lt;Tvie,1-EXP((T0-t)*PertePVj)+'2019'!Pspv,1-EXP((T0-t)*PertePVj)+Pspv)</f>
        <v>1.6959267526467037E-2</v>
      </c>
      <c r="M232" s="870"/>
      <c r="N232" s="870"/>
      <c r="O232" s="48">
        <f>IF(t&lt;Tnet,'2019'!Resal+('2019'!Salim-'2019'!Resal)*(1-EXP(('2019'!Tnet-t)/('2019'!Tau_j))),Resal+(Salim-Resal)*(1-EXP((Tnet-t)/(Tau_j))))*Salcycl</f>
        <v>0.12420107767037436</v>
      </c>
      <c r="P232" s="171">
        <f>(INDEX(Models!$BJ232:$BT232,,T232)*(1-R232)+INDEX(Models!$BJ232:$BT232,,T232+1)*R232-ERP_i)*Q232*Ramure*Pc/MaxiM</f>
        <v>9.5785789036656281E-4</v>
      </c>
      <c r="Q232" s="307">
        <f t="shared" si="77"/>
        <v>1</v>
      </c>
      <c r="R232" s="179">
        <f t="shared" si="78"/>
        <v>0.23853529204242996</v>
      </c>
      <c r="S232" s="837">
        <f t="shared" si="79"/>
        <v>-1</v>
      </c>
      <c r="T232" s="178">
        <f t="shared" si="80"/>
        <v>5</v>
      </c>
      <c r="U232" s="253">
        <f t="shared" si="81"/>
        <v>-0.76146470795757004</v>
      </c>
      <c r="V232" s="385">
        <f t="shared" si="82"/>
        <v>50.782768684532442</v>
      </c>
      <c r="W232" s="404"/>
      <c r="X232" s="157">
        <f t="shared" si="83"/>
        <v>44048</v>
      </c>
      <c r="Y232" s="387">
        <f t="shared" si="84"/>
        <v>49.09</v>
      </c>
      <c r="Z232" s="387">
        <f t="shared" si="85"/>
        <v>49.936893130032821</v>
      </c>
      <c r="AA232" s="388">
        <f t="shared" si="86"/>
        <v>57.01867387230925</v>
      </c>
      <c r="AB232" s="199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0.12420107767037436</v>
      </c>
      <c r="AD232" s="233">
        <f>(INDEX(Models!$BJ232:$BT232,,AH232)*(1-AF232)+INDEX(Models!$BJ232:$BT232,,AH232+1)*AF232-ERP_i)*AE232*Ramure*Pc/MaxiM</f>
        <v>9.5785789036656281E-4</v>
      </c>
      <c r="AE232" s="307">
        <f t="shared" si="88"/>
        <v>1</v>
      </c>
      <c r="AF232" s="179">
        <f t="shared" si="89"/>
        <v>0.23853529204242996</v>
      </c>
      <c r="AG232" s="837">
        <f t="shared" si="95"/>
        <v>-1</v>
      </c>
      <c r="AH232" s="178">
        <f t="shared" si="90"/>
        <v>5</v>
      </c>
      <c r="AI232" s="227">
        <f t="shared" si="91"/>
        <v>-0.76146470795757004</v>
      </c>
      <c r="AJ232" s="267" t="b">
        <f t="shared" si="92"/>
        <v>0</v>
      </c>
      <c r="AK232" s="267" t="b">
        <f t="shared" si="93"/>
        <v>0</v>
      </c>
      <c r="AL232" s="267"/>
      <c r="AM232" s="267"/>
      <c r="AN232" s="75"/>
    </row>
    <row r="233" spans="1:40" s="6" customFormat="1" ht="11.25" customHeight="1" x14ac:dyDescent="0.2">
      <c r="A233" s="56">
        <f t="shared" si="94"/>
        <v>44049</v>
      </c>
      <c r="B233" s="618">
        <v>47.406999999999996</v>
      </c>
      <c r="C233" s="392"/>
      <c r="D233" s="395">
        <f t="shared" si="74"/>
        <v>48.225980561896947</v>
      </c>
      <c r="E233" s="387">
        <f t="shared" ref="E233:E296" si="96">Wh_pvt/(1-Psa)</f>
        <v>55.069855920276794</v>
      </c>
      <c r="F233" s="387">
        <f t="shared" si="75"/>
        <v>55.121750694107661</v>
      </c>
      <c r="G233" s="110">
        <f t="shared" ref="G233:G296" si="97">+Wh_hp/MaxiM</f>
        <v>0.93673085073690654</v>
      </c>
      <c r="H233" s="414" t="b">
        <f>Wh_hp&gt;='2019'!Maxi_hp</f>
        <v>1</v>
      </c>
      <c r="I233" s="382">
        <f>IF(H233,Wh_hp,'2019'!Maxi_hp)</f>
        <v>55.121750694107661</v>
      </c>
      <c r="J233" s="85">
        <f>IF(H233,An,'2019'!An_max)</f>
        <v>2020</v>
      </c>
      <c r="K233" s="199">
        <f t="shared" si="76"/>
        <v>44049</v>
      </c>
      <c r="L233" s="147">
        <f>IF(t&lt;Tvie,1-EXP((T0-t)*PertePVj)+'2019'!Pspv,1-EXP((T0-t)*PertePVj)+Pspv)</f>
        <v>1.6982144320441761E-2</v>
      </c>
      <c r="M233" s="870"/>
      <c r="N233" s="870"/>
      <c r="O233" s="48">
        <f>IF(t&lt;Tnet,'2019'!Resal+('2019'!Salim-'2019'!Resal)*(1-EXP(('2019'!Tnet-t)/('2019'!Tau_j))),Resal+(Salim-Resal)*(1-EXP((Tnet-t)/(Tau_j))))*Salcycl</f>
        <v>0.12427625320624683</v>
      </c>
      <c r="P233" s="171">
        <f>(INDEX(Models!$BJ233:$BT233,,T233)*(1-R233)+INDEX(Models!$BJ233:$BT233,,T233+1)*R233-ERP_i)*Q233*Ramure*Pc/MaxiM</f>
        <v>1.0348634106631498E-3</v>
      </c>
      <c r="Q233" s="307">
        <f t="shared" si="77"/>
        <v>1</v>
      </c>
      <c r="R233" s="179">
        <f t="shared" si="78"/>
        <v>0.24080136547381892</v>
      </c>
      <c r="S233" s="837">
        <f t="shared" si="79"/>
        <v>-1</v>
      </c>
      <c r="T233" s="178">
        <f t="shared" si="80"/>
        <v>5</v>
      </c>
      <c r="U233" s="253">
        <f t="shared" si="81"/>
        <v>-0.75919863452618108</v>
      </c>
      <c r="V233" s="385">
        <f t="shared" si="82"/>
        <v>50.604255945854348</v>
      </c>
      <c r="W233" s="404"/>
      <c r="X233" s="157">
        <f t="shared" si="83"/>
        <v>44049</v>
      </c>
      <c r="Y233" s="387">
        <f t="shared" si="84"/>
        <v>47.406999999999996</v>
      </c>
      <c r="Z233" s="387">
        <f t="shared" si="85"/>
        <v>48.225980561896947</v>
      </c>
      <c r="AA233" s="388">
        <f t="shared" si="86"/>
        <v>55.069855920276794</v>
      </c>
      <c r="AB233" s="199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0.12427625320624683</v>
      </c>
      <c r="AD233" s="233">
        <f>(INDEX(Models!$BJ233:$BT233,,AH233)*(1-AF233)+INDEX(Models!$BJ233:$BT233,,AH233+1)*AF233-ERP_i)*AE233*Ramure*Pc/MaxiM</f>
        <v>1.0348634106631498E-3</v>
      </c>
      <c r="AE233" s="307">
        <f t="shared" si="88"/>
        <v>1</v>
      </c>
      <c r="AF233" s="179">
        <f t="shared" si="89"/>
        <v>0.24080136547381892</v>
      </c>
      <c r="AG233" s="837">
        <f t="shared" si="95"/>
        <v>-1</v>
      </c>
      <c r="AH233" s="178">
        <f t="shared" si="90"/>
        <v>5</v>
      </c>
      <c r="AI233" s="227">
        <f t="shared" si="91"/>
        <v>-0.75919863452618108</v>
      </c>
      <c r="AJ233" s="267" t="b">
        <f t="shared" si="92"/>
        <v>0</v>
      </c>
      <c r="AK233" s="267" t="b">
        <f t="shared" si="93"/>
        <v>0</v>
      </c>
      <c r="AL233" s="267"/>
      <c r="AM233" s="267"/>
      <c r="AN233" s="75"/>
    </row>
    <row r="234" spans="1:40" s="6" customFormat="1" ht="11.25" customHeight="1" x14ac:dyDescent="0.2">
      <c r="A234" s="56">
        <f t="shared" si="94"/>
        <v>44050</v>
      </c>
      <c r="B234" s="618">
        <v>45.250999999999998</v>
      </c>
      <c r="C234" s="392"/>
      <c r="D234" s="395">
        <f t="shared" si="74"/>
        <v>46.033805815359827</v>
      </c>
      <c r="E234" s="387">
        <f t="shared" si="96"/>
        <v>52.57105048639653</v>
      </c>
      <c r="F234" s="387">
        <f t="shared" si="75"/>
        <v>52.6212846284431</v>
      </c>
      <c r="G234" s="110">
        <f t="shared" si="97"/>
        <v>0.89726690850061497</v>
      </c>
      <c r="H234" s="414" t="b">
        <f>Wh_hp&gt;='2019'!Maxi_hp</f>
        <v>0</v>
      </c>
      <c r="I234" s="382">
        <f>IF(H234,Wh_hp,'2019'!Maxi_hp)</f>
        <v>54.584859154150735</v>
      </c>
      <c r="J234" s="85">
        <f>IF(H234,An,'2019'!An_max)</f>
        <v>2019</v>
      </c>
      <c r="K234" s="199">
        <f t="shared" si="76"/>
        <v>44050</v>
      </c>
      <c r="L234" s="147">
        <f>IF(t&lt;Tvie,1-EXP((T0-t)*PertePVj)+'2019'!Pspv,1-EXP((T0-t)*PertePVj)+Pspv)</f>
        <v>1.700502058204012E-2</v>
      </c>
      <c r="M234" s="870"/>
      <c r="N234" s="870"/>
      <c r="O234" s="48">
        <f>IF(t&lt;Tnet,'2019'!Resal+('2019'!Salim-'2019'!Resal)*(1-EXP(('2019'!Tnet-t)/('2019'!Tau_j))),Resal+(Salim-Resal)*(1-EXP((Tnet-t)/(Tau_j))))*Salcycl</f>
        <v>0.12435065707367408</v>
      </c>
      <c r="P234" s="171">
        <f>(INDEX(Models!$BJ234:$BT234,,T234)*(1-R234)+INDEX(Models!$BJ234:$BT234,,T234+1)*R234-ERP_i)*Q234*Ramure*Pc/MaxiM</f>
        <v>1.118562026662916E-3</v>
      </c>
      <c r="Q234" s="307">
        <f t="shared" si="77"/>
        <v>1</v>
      </c>
      <c r="R234" s="179">
        <f t="shared" si="78"/>
        <v>0.24299134897990904</v>
      </c>
      <c r="S234" s="837">
        <f t="shared" si="79"/>
        <v>-1</v>
      </c>
      <c r="T234" s="178">
        <f t="shared" si="80"/>
        <v>5</v>
      </c>
      <c r="U234" s="253">
        <f t="shared" si="81"/>
        <v>-0.75700865102009096</v>
      </c>
      <c r="V234" s="385">
        <f t="shared" si="82"/>
        <v>50.423764255982093</v>
      </c>
      <c r="W234" s="404"/>
      <c r="X234" s="157">
        <f t="shared" si="83"/>
        <v>44050</v>
      </c>
      <c r="Y234" s="387">
        <f t="shared" si="84"/>
        <v>45.250999999999998</v>
      </c>
      <c r="Z234" s="387">
        <f t="shared" si="85"/>
        <v>46.033805815359827</v>
      </c>
      <c r="AA234" s="388">
        <f t="shared" si="86"/>
        <v>52.57105048639653</v>
      </c>
      <c r="AB234" s="199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0.12435065707367408</v>
      </c>
      <c r="AD234" s="233">
        <f>(INDEX(Models!$BJ234:$BT234,,AH234)*(1-AF234)+INDEX(Models!$BJ234:$BT234,,AH234+1)*AF234-ERP_i)*AE234*Ramure*Pc/MaxiM</f>
        <v>1.118562026662916E-3</v>
      </c>
      <c r="AE234" s="307">
        <f t="shared" si="88"/>
        <v>1</v>
      </c>
      <c r="AF234" s="179">
        <f t="shared" si="89"/>
        <v>0.24299134897990904</v>
      </c>
      <c r="AG234" s="837">
        <f t="shared" si="95"/>
        <v>-1</v>
      </c>
      <c r="AH234" s="178">
        <f t="shared" si="90"/>
        <v>5</v>
      </c>
      <c r="AI234" s="227">
        <f t="shared" si="91"/>
        <v>-0.75700865102009096</v>
      </c>
      <c r="AJ234" s="267" t="b">
        <f t="shared" si="92"/>
        <v>0</v>
      </c>
      <c r="AK234" s="267" t="b">
        <f t="shared" si="93"/>
        <v>0</v>
      </c>
      <c r="AL234" s="267"/>
      <c r="AM234" s="267"/>
      <c r="AN234" s="75"/>
    </row>
    <row r="235" spans="1:40" s="6" customFormat="1" ht="11.25" customHeight="1" x14ac:dyDescent="0.2">
      <c r="A235" s="56">
        <f t="shared" si="94"/>
        <v>44051</v>
      </c>
      <c r="B235" s="618">
        <v>44.332000000000001</v>
      </c>
      <c r="C235" s="392"/>
      <c r="D235" s="395">
        <f t="shared" si="74"/>
        <v>45.099957398219779</v>
      </c>
      <c r="E235" s="387">
        <f t="shared" si="96"/>
        <v>51.508918136133147</v>
      </c>
      <c r="F235" s="387">
        <f t="shared" si="75"/>
        <v>51.560719982738057</v>
      </c>
      <c r="G235" s="110">
        <f t="shared" si="97"/>
        <v>0.88220806475195501</v>
      </c>
      <c r="H235" s="414" t="b">
        <f>Wh_hp&gt;='2019'!Maxi_hp</f>
        <v>1</v>
      </c>
      <c r="I235" s="382">
        <f>IF(H235,Wh_hp,'2019'!Maxi_hp)</f>
        <v>51.560719982738057</v>
      </c>
      <c r="J235" s="85">
        <f>IF(H235,An,'2019'!An_max)</f>
        <v>2020</v>
      </c>
      <c r="K235" s="199">
        <f t="shared" si="76"/>
        <v>44051</v>
      </c>
      <c r="L235" s="147">
        <f>IF(t&lt;Tvie,1-EXP((T0-t)*PertePVj)+'2019'!Pspv,1-EXP((T0-t)*PertePVj)+Pspv)</f>
        <v>1.7027896311274437E-2</v>
      </c>
      <c r="M235" s="870"/>
      <c r="N235" s="870"/>
      <c r="O235" s="48">
        <f>IF(t&lt;Tnet,'2019'!Resal+('2019'!Salim-'2019'!Resal)*(1-EXP(('2019'!Tnet-t)/('2019'!Tau_j))),Resal+(Salim-Resal)*(1-EXP((Tnet-t)/(Tau_j))))*Salcycl</f>
        <v>0.12442429330344498</v>
      </c>
      <c r="P235" s="171">
        <f>(INDEX(Models!$BJ235:$BT235,,T235)*(1-R235)+INDEX(Models!$BJ235:$BT235,,T235+1)*R235-ERP_i)*Q235*Ramure*Pc/MaxiM</f>
        <v>1.2075703212423149E-3</v>
      </c>
      <c r="Q235" s="307">
        <f t="shared" si="77"/>
        <v>1</v>
      </c>
      <c r="R235" s="179">
        <f t="shared" si="78"/>
        <v>0.24510725419598867</v>
      </c>
      <c r="S235" s="837">
        <f t="shared" si="79"/>
        <v>-1</v>
      </c>
      <c r="T235" s="178">
        <f t="shared" si="80"/>
        <v>5</v>
      </c>
      <c r="U235" s="253">
        <f t="shared" si="81"/>
        <v>-0.75489274580401133</v>
      </c>
      <c r="V235" s="385">
        <f t="shared" si="82"/>
        <v>50.240978334568389</v>
      </c>
      <c r="W235" s="404"/>
      <c r="X235" s="157">
        <f t="shared" si="83"/>
        <v>44051</v>
      </c>
      <c r="Y235" s="387">
        <f t="shared" si="84"/>
        <v>44.332000000000001</v>
      </c>
      <c r="Z235" s="387">
        <f t="shared" si="85"/>
        <v>45.099957398219779</v>
      </c>
      <c r="AA235" s="388">
        <f t="shared" si="86"/>
        <v>51.508918136133147</v>
      </c>
      <c r="AB235" s="199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0.12442429330344498</v>
      </c>
      <c r="AD235" s="233">
        <f>(INDEX(Models!$BJ235:$BT235,,AH235)*(1-AF235)+INDEX(Models!$BJ235:$BT235,,AH235+1)*AF235-ERP_i)*AE235*Ramure*Pc/MaxiM</f>
        <v>1.2075703212423149E-3</v>
      </c>
      <c r="AE235" s="307">
        <f t="shared" si="88"/>
        <v>1</v>
      </c>
      <c r="AF235" s="179">
        <f t="shared" si="89"/>
        <v>0.24510725419598867</v>
      </c>
      <c r="AG235" s="837">
        <f t="shared" si="95"/>
        <v>-1</v>
      </c>
      <c r="AH235" s="178">
        <f t="shared" si="90"/>
        <v>5</v>
      </c>
      <c r="AI235" s="227">
        <f t="shared" si="91"/>
        <v>-0.75489274580401133</v>
      </c>
      <c r="AJ235" s="267" t="b">
        <f t="shared" si="92"/>
        <v>0</v>
      </c>
      <c r="AK235" s="267" t="b">
        <f t="shared" si="93"/>
        <v>0</v>
      </c>
      <c r="AL235" s="267"/>
      <c r="AM235" s="267"/>
      <c r="AN235" s="75"/>
    </row>
    <row r="236" spans="1:40" s="6" customFormat="1" ht="11.25" customHeight="1" x14ac:dyDescent="0.2">
      <c r="A236" s="56">
        <f t="shared" si="94"/>
        <v>44052</v>
      </c>
      <c r="B236" s="618">
        <v>35.76</v>
      </c>
      <c r="C236" s="392"/>
      <c r="D236" s="395">
        <f t="shared" si="74"/>
        <v>36.380312394025907</v>
      </c>
      <c r="E236" s="387">
        <f t="shared" si="96"/>
        <v>41.553620171072765</v>
      </c>
      <c r="F236" s="387">
        <f t="shared" si="75"/>
        <v>41.585673411413126</v>
      </c>
      <c r="G236" s="110">
        <f t="shared" si="97"/>
        <v>0.71402709736443437</v>
      </c>
      <c r="H236" s="414" t="b">
        <f>Wh_hp&gt;='2019'!Maxi_hp</f>
        <v>0</v>
      </c>
      <c r="I236" s="382">
        <f>IF(H236,Wh_hp,'2019'!Maxi_hp)</f>
        <v>43.355123681467212</v>
      </c>
      <c r="J236" s="85">
        <f>IF(H236,An,'2019'!An_max)</f>
        <v>2019</v>
      </c>
      <c r="K236" s="199">
        <f t="shared" si="76"/>
        <v>44052</v>
      </c>
      <c r="L236" s="147">
        <f>IF(t&lt;Tvie,1-EXP((T0-t)*PertePVj)+'2019'!Pspv,1-EXP((T0-t)*PertePVj)+Pspv)</f>
        <v>1.7050771508157037E-2</v>
      </c>
      <c r="M236" s="870"/>
      <c r="N236" s="870"/>
      <c r="O236" s="48">
        <f>IF(t&lt;Tnet,'2019'!Resal+('2019'!Salim-'2019'!Resal)*(1-EXP(('2019'!Tnet-t)/('2019'!Tau_j))),Resal+(Salim-Resal)*(1-EXP((Tnet-t)/(Tau_j))))*Salcycl</f>
        <v>0.1244971618778047</v>
      </c>
      <c r="P236" s="171">
        <f>(INDEX(Models!$BJ236:$BT236,,T236)*(1-R236)+INDEX(Models!$BJ236:$BT236,,T236+1)*R236-ERP_i)*Q236*Ramure*Pc/MaxiM</f>
        <v>1.3019649403242083E-3</v>
      </c>
      <c r="Q236" s="307">
        <f t="shared" si="77"/>
        <v>1</v>
      </c>
      <c r="R236" s="179">
        <f t="shared" si="78"/>
        <v>0.24715107984824469</v>
      </c>
      <c r="S236" s="837">
        <f t="shared" si="79"/>
        <v>-1</v>
      </c>
      <c r="T236" s="178">
        <f t="shared" si="80"/>
        <v>5</v>
      </c>
      <c r="U236" s="253">
        <f t="shared" si="81"/>
        <v>-0.75284892015175531</v>
      </c>
      <c r="V236" s="385">
        <f t="shared" si="82"/>
        <v>50.055509327496942</v>
      </c>
      <c r="W236" s="404"/>
      <c r="X236" s="157">
        <f t="shared" si="83"/>
        <v>44052</v>
      </c>
      <c r="Y236" s="387">
        <f t="shared" si="84"/>
        <v>35.76</v>
      </c>
      <c r="Z236" s="387">
        <f t="shared" si="85"/>
        <v>36.380312394025907</v>
      </c>
      <c r="AA236" s="388">
        <f t="shared" si="86"/>
        <v>41.553620171072765</v>
      </c>
      <c r="AB236" s="199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0.1244971618778047</v>
      </c>
      <c r="AD236" s="233">
        <f>(INDEX(Models!$BJ236:$BT236,,AH236)*(1-AF236)+INDEX(Models!$BJ236:$BT236,,AH236+1)*AF236-ERP_i)*AE236*Ramure*Pc/MaxiM</f>
        <v>1.3019649403242083E-3</v>
      </c>
      <c r="AE236" s="307">
        <f t="shared" si="88"/>
        <v>1</v>
      </c>
      <c r="AF236" s="179">
        <f t="shared" si="89"/>
        <v>0.24715107984824469</v>
      </c>
      <c r="AG236" s="837">
        <f t="shared" si="95"/>
        <v>-1</v>
      </c>
      <c r="AH236" s="178">
        <f t="shared" si="90"/>
        <v>5</v>
      </c>
      <c r="AI236" s="227">
        <f t="shared" si="91"/>
        <v>-0.75284892015175531</v>
      </c>
      <c r="AJ236" s="267" t="b">
        <f t="shared" si="92"/>
        <v>0</v>
      </c>
      <c r="AK236" s="267" t="b">
        <f t="shared" si="93"/>
        <v>0</v>
      </c>
      <c r="AL236" s="267"/>
      <c r="AM236" s="267"/>
      <c r="AN236" s="75"/>
    </row>
    <row r="237" spans="1:40" s="6" customFormat="1" ht="11.25" customHeight="1" x14ac:dyDescent="0.2">
      <c r="A237" s="56">
        <f t="shared" si="94"/>
        <v>44053</v>
      </c>
      <c r="B237" s="618">
        <v>32.679000000000002</v>
      </c>
      <c r="C237" s="392"/>
      <c r="D237" s="395">
        <f t="shared" si="74"/>
        <v>33.246641391549986</v>
      </c>
      <c r="E237" s="387">
        <f t="shared" si="96"/>
        <v>37.977466216673896</v>
      </c>
      <c r="F237" s="387">
        <f t="shared" si="75"/>
        <v>38.00450927733727</v>
      </c>
      <c r="G237" s="110">
        <f t="shared" si="97"/>
        <v>0.65487090908499668</v>
      </c>
      <c r="H237" s="414" t="b">
        <f>Wh_hp&gt;='2019'!Maxi_hp</f>
        <v>1</v>
      </c>
      <c r="I237" s="382">
        <f>IF(H237,Wh_hp,'2019'!Maxi_hp)</f>
        <v>38.00450927733727</v>
      </c>
      <c r="J237" s="85">
        <f>IF(H237,An,'2019'!An_max)</f>
        <v>2020</v>
      </c>
      <c r="K237" s="199">
        <f t="shared" si="76"/>
        <v>44053</v>
      </c>
      <c r="L237" s="147">
        <f>IF(t&lt;Tvie,1-EXP((T0-t)*PertePVj)+'2019'!Pspv,1-EXP((T0-t)*PertePVj)+Pspv)</f>
        <v>1.7073646172700463E-2</v>
      </c>
      <c r="M237" s="870"/>
      <c r="N237" s="870"/>
      <c r="O237" s="48">
        <f>IF(t&lt;Tnet,'2019'!Resal+('2019'!Salim-'2019'!Resal)*(1-EXP(('2019'!Tnet-t)/('2019'!Tau_j))),Resal+(Salim-Resal)*(1-EXP((Tnet-t)/(Tau_j))))*Salcycl</f>
        <v>0.12456925899513684</v>
      </c>
      <c r="P237" s="171">
        <f>(INDEX(Models!$BJ237:$BT237,,T237)*(1-R237)+INDEX(Models!$BJ237:$BT237,,T237+1)*R237-ERP_i)*Q237*Ramure*Pc/MaxiM</f>
        <v>1.4018280184702598E-3</v>
      </c>
      <c r="Q237" s="307">
        <f t="shared" si="77"/>
        <v>1</v>
      </c>
      <c r="R237" s="179">
        <f t="shared" si="78"/>
        <v>0.24912480839712425</v>
      </c>
      <c r="S237" s="837">
        <f t="shared" si="79"/>
        <v>-1</v>
      </c>
      <c r="T237" s="178">
        <f t="shared" si="80"/>
        <v>5</v>
      </c>
      <c r="U237" s="253">
        <f t="shared" si="81"/>
        <v>-0.75087519160287575</v>
      </c>
      <c r="V237" s="385">
        <f t="shared" si="82"/>
        <v>49.866968753683821</v>
      </c>
      <c r="W237" s="404"/>
      <c r="X237" s="157">
        <f t="shared" si="83"/>
        <v>44053</v>
      </c>
      <c r="Y237" s="387">
        <f t="shared" si="84"/>
        <v>32.679000000000002</v>
      </c>
      <c r="Z237" s="387">
        <f t="shared" si="85"/>
        <v>33.246641391549986</v>
      </c>
      <c r="AA237" s="388">
        <f t="shared" si="86"/>
        <v>37.977466216673896</v>
      </c>
      <c r="AB237" s="199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0.12456925899513684</v>
      </c>
      <c r="AD237" s="233">
        <f>(INDEX(Models!$BJ237:$BT237,,AH237)*(1-AF237)+INDEX(Models!$BJ237:$BT237,,AH237+1)*AF237-ERP_i)*AE237*Ramure*Pc/MaxiM</f>
        <v>1.4018280184702598E-3</v>
      </c>
      <c r="AE237" s="307">
        <f t="shared" si="88"/>
        <v>1</v>
      </c>
      <c r="AF237" s="179">
        <f t="shared" si="89"/>
        <v>0.24912480839712425</v>
      </c>
      <c r="AG237" s="837">
        <f t="shared" si="95"/>
        <v>-1</v>
      </c>
      <c r="AH237" s="178">
        <f t="shared" si="90"/>
        <v>5</v>
      </c>
      <c r="AI237" s="227">
        <f t="shared" si="91"/>
        <v>-0.75087519160287575</v>
      </c>
      <c r="AJ237" s="267" t="b">
        <f t="shared" si="92"/>
        <v>0</v>
      </c>
      <c r="AK237" s="267" t="b">
        <f t="shared" si="93"/>
        <v>0</v>
      </c>
      <c r="AL237" s="267"/>
      <c r="AM237" s="267"/>
      <c r="AN237" s="75"/>
    </row>
    <row r="238" spans="1:40" s="6" customFormat="1" ht="11.25" customHeight="1" x14ac:dyDescent="0.2">
      <c r="A238" s="56">
        <f t="shared" si="94"/>
        <v>44054</v>
      </c>
      <c r="B238" s="618">
        <v>37.731999999999999</v>
      </c>
      <c r="C238" s="392"/>
      <c r="D238" s="395">
        <f t="shared" si="74"/>
        <v>38.388306460879811</v>
      </c>
      <c r="E238" s="387">
        <f t="shared" si="96"/>
        <v>43.854336249782705</v>
      </c>
      <c r="F238" s="387">
        <f t="shared" si="75"/>
        <v>43.8977760784853</v>
      </c>
      <c r="G238" s="110">
        <f t="shared" si="97"/>
        <v>0.75918412646022537</v>
      </c>
      <c r="H238" s="414" t="b">
        <f>Wh_hp&gt;='2019'!Maxi_hp</f>
        <v>1</v>
      </c>
      <c r="I238" s="382">
        <f>IF(H238,Wh_hp,'2019'!Maxi_hp)</f>
        <v>43.8977760784853</v>
      </c>
      <c r="J238" s="85">
        <f>IF(H238,An,'2019'!An_max)</f>
        <v>2020</v>
      </c>
      <c r="K238" s="199">
        <f t="shared" si="76"/>
        <v>44054</v>
      </c>
      <c r="L238" s="147">
        <f>IF(t&lt;Tvie,1-EXP((T0-t)*PertePVj)+'2019'!Pspv,1-EXP((T0-t)*PertePVj)+Pspv)</f>
        <v>1.709652030491704E-2</v>
      </c>
      <c r="M238" s="870"/>
      <c r="N238" s="870"/>
      <c r="O238" s="48">
        <f>IF(t&lt;Tnet,'2019'!Resal+('2019'!Salim-'2019'!Resal)*(1-EXP(('2019'!Tnet-t)/('2019'!Tau_j))),Resal+(Salim-Resal)*(1-EXP((Tnet-t)/(Tau_j))))*Salcycl</f>
        <v>0.12464057733697834</v>
      </c>
      <c r="P238" s="171">
        <f>(INDEX(Models!$BJ238:$BT238,,T238)*(1-R238)+INDEX(Models!$BJ238:$BT238,,T238+1)*R238-ERP_i)*Q238*Ramure*Pc/MaxiM</f>
        <v>1.5072477549181967E-3</v>
      </c>
      <c r="Q238" s="307">
        <f t="shared" si="77"/>
        <v>1</v>
      </c>
      <c r="R238" s="179">
        <f t="shared" si="78"/>
        <v>0.25103040297971668</v>
      </c>
      <c r="S238" s="837">
        <f t="shared" si="79"/>
        <v>-1</v>
      </c>
      <c r="T238" s="178">
        <f t="shared" si="80"/>
        <v>5</v>
      </c>
      <c r="U238" s="253">
        <f t="shared" si="81"/>
        <v>-0.74896959702028332</v>
      </c>
      <c r="V238" s="385">
        <f t="shared" si="82"/>
        <v>49.674968482137238</v>
      </c>
      <c r="W238" s="404"/>
      <c r="X238" s="157">
        <f t="shared" si="83"/>
        <v>44054</v>
      </c>
      <c r="Y238" s="387">
        <f t="shared" si="84"/>
        <v>37.731999999999999</v>
      </c>
      <c r="Z238" s="387">
        <f t="shared" si="85"/>
        <v>38.388306460879811</v>
      </c>
      <c r="AA238" s="388">
        <f t="shared" si="86"/>
        <v>43.854336249782705</v>
      </c>
      <c r="AB238" s="199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0.12464057733697834</v>
      </c>
      <c r="AD238" s="233">
        <f>(INDEX(Models!$BJ238:$BT238,,AH238)*(1-AF238)+INDEX(Models!$BJ238:$BT238,,AH238+1)*AF238-ERP_i)*AE238*Ramure*Pc/MaxiM</f>
        <v>1.5072477549181967E-3</v>
      </c>
      <c r="AE238" s="307">
        <f t="shared" si="88"/>
        <v>1</v>
      </c>
      <c r="AF238" s="179">
        <f t="shared" si="89"/>
        <v>0.25103040297971668</v>
      </c>
      <c r="AG238" s="837">
        <f t="shared" si="95"/>
        <v>-1</v>
      </c>
      <c r="AH238" s="178">
        <f t="shared" si="90"/>
        <v>5</v>
      </c>
      <c r="AI238" s="227">
        <f t="shared" si="91"/>
        <v>-0.74896959702028332</v>
      </c>
      <c r="AJ238" s="267" t="b">
        <f t="shared" si="92"/>
        <v>0</v>
      </c>
      <c r="AK238" s="267" t="b">
        <f t="shared" si="93"/>
        <v>0</v>
      </c>
      <c r="AL238" s="267"/>
      <c r="AM238" s="267"/>
      <c r="AN238" s="75"/>
    </row>
    <row r="239" spans="1:40" s="6" customFormat="1" ht="11.25" customHeight="1" x14ac:dyDescent="0.2">
      <c r="A239" s="56">
        <f t="shared" si="94"/>
        <v>44055</v>
      </c>
      <c r="B239" s="618">
        <v>23.056000000000001</v>
      </c>
      <c r="C239" s="392"/>
      <c r="D239" s="395">
        <f t="shared" si="74"/>
        <v>23.457579544272022</v>
      </c>
      <c r="E239" s="387">
        <f t="shared" si="96"/>
        <v>26.799813997424323</v>
      </c>
      <c r="F239" s="387">
        <f t="shared" si="75"/>
        <v>26.810101393775994</v>
      </c>
      <c r="G239" s="110">
        <f t="shared" si="97"/>
        <v>0.465398812265432</v>
      </c>
      <c r="H239" s="414" t="b">
        <f>Wh_hp&gt;='2019'!Maxi_hp</f>
        <v>0</v>
      </c>
      <c r="I239" s="382">
        <f>IF(H239,Wh_hp,'2019'!Maxi_hp)</f>
        <v>52.158181392668176</v>
      </c>
      <c r="J239" s="85">
        <f>IF(H239,An,'2019'!An_max)</f>
        <v>2019</v>
      </c>
      <c r="K239" s="199">
        <f t="shared" si="76"/>
        <v>44055</v>
      </c>
      <c r="L239" s="147">
        <f>IF(t&lt;Tvie,1-EXP((T0-t)*PertePVj)+'2019'!Pspv,1-EXP((T0-t)*PertePVj)+Pspv)</f>
        <v>1.7119393904819091E-2</v>
      </c>
      <c r="M239" s="870"/>
      <c r="N239" s="870"/>
      <c r="O239" s="48">
        <f>IF(t&lt;Tnet,'2019'!Resal+('2019'!Salim-'2019'!Resal)*(1-EXP(('2019'!Tnet-t)/('2019'!Tau_j))),Resal+(Salim-Resal)*(1-EXP((Tnet-t)/(Tau_j))))*Salcycl</f>
        <v>0.12471110633355575</v>
      </c>
      <c r="P239" s="171">
        <f>(INDEX(Models!$BJ239:$BT239,,T239)*(1-R239)+INDEX(Models!$BJ239:$BT239,,T239+1)*R239-ERP_i)*Q239*Ramure*Pc/MaxiM</f>
        <v>1.6183190195269768E-3</v>
      </c>
      <c r="Q239" s="307">
        <f t="shared" si="77"/>
        <v>1</v>
      </c>
      <c r="R239" s="179">
        <f t="shared" si="78"/>
        <v>0.25286980463855779</v>
      </c>
      <c r="S239" s="837">
        <f t="shared" si="79"/>
        <v>-1</v>
      </c>
      <c r="T239" s="178">
        <f t="shared" si="80"/>
        <v>5</v>
      </c>
      <c r="U239" s="253">
        <f t="shared" si="81"/>
        <v>-0.74713019536144221</v>
      </c>
      <c r="V239" s="385">
        <f t="shared" si="82"/>
        <v>49.479120703269558</v>
      </c>
      <c r="W239" s="404"/>
      <c r="X239" s="157">
        <f t="shared" si="83"/>
        <v>44055</v>
      </c>
      <c r="Y239" s="387">
        <f t="shared" si="84"/>
        <v>23.056000000000001</v>
      </c>
      <c r="Z239" s="387">
        <f t="shared" si="85"/>
        <v>23.457579544272022</v>
      </c>
      <c r="AA239" s="388">
        <f t="shared" si="86"/>
        <v>26.799813997424323</v>
      </c>
      <c r="AB239" s="199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0.12471110633355575</v>
      </c>
      <c r="AD239" s="233">
        <f>(INDEX(Models!$BJ239:$BT239,,AH239)*(1-AF239)+INDEX(Models!$BJ239:$BT239,,AH239+1)*AF239-ERP_i)*AE239*Ramure*Pc/MaxiM</f>
        <v>1.6183190195269768E-3</v>
      </c>
      <c r="AE239" s="307">
        <f t="shared" si="88"/>
        <v>1</v>
      </c>
      <c r="AF239" s="179">
        <f t="shared" si="89"/>
        <v>0.25286980463855779</v>
      </c>
      <c r="AG239" s="837">
        <f t="shared" si="95"/>
        <v>-1</v>
      </c>
      <c r="AH239" s="178">
        <f t="shared" si="90"/>
        <v>5</v>
      </c>
      <c r="AI239" s="227">
        <f t="shared" si="91"/>
        <v>-0.74713019536144221</v>
      </c>
      <c r="AJ239" s="267" t="b">
        <f t="shared" si="92"/>
        <v>0</v>
      </c>
      <c r="AK239" s="267" t="b">
        <f t="shared" si="93"/>
        <v>0</v>
      </c>
      <c r="AL239" s="267"/>
      <c r="AM239" s="267"/>
      <c r="AN239" s="75"/>
    </row>
    <row r="240" spans="1:40" s="6" customFormat="1" ht="11.25" customHeight="1" x14ac:dyDescent="0.2">
      <c r="A240" s="56">
        <f t="shared" si="94"/>
        <v>44056</v>
      </c>
      <c r="B240" s="618">
        <v>15.352</v>
      </c>
      <c r="C240" s="392"/>
      <c r="D240" s="395">
        <f t="shared" si="74"/>
        <v>15.619758062756365</v>
      </c>
      <c r="E240" s="387">
        <f t="shared" si="96"/>
        <v>17.846681884287324</v>
      </c>
      <c r="F240" s="387">
        <f t="shared" si="75"/>
        <v>17.847191791259142</v>
      </c>
      <c r="G240" s="110">
        <f t="shared" si="97"/>
        <v>0.31100038856042583</v>
      </c>
      <c r="H240" s="414" t="b">
        <f>Wh_hp&gt;='2019'!Maxi_hp</f>
        <v>0</v>
      </c>
      <c r="I240" s="382">
        <f>IF(H240,Wh_hp,'2019'!Maxi_hp)</f>
        <v>56.516623137013951</v>
      </c>
      <c r="J240" s="85">
        <f>IF(H240,An,'2019'!An_max)</f>
        <v>2019</v>
      </c>
      <c r="K240" s="199">
        <f t="shared" si="76"/>
        <v>44056</v>
      </c>
      <c r="L240" s="147">
        <f>IF(t&lt;Tvie,1-EXP((T0-t)*PertePVj)+'2019'!Pspv,1-EXP((T0-t)*PertePVj)+Pspv)</f>
        <v>1.7142266972419051E-2</v>
      </c>
      <c r="M240" s="870"/>
      <c r="N240" s="870"/>
      <c r="O240" s="48">
        <f>IF(t&lt;Tnet,'2019'!Resal+('2019'!Salim-'2019'!Resal)*(1-EXP(('2019'!Tnet-t)/('2019'!Tau_j))),Resal+(Salim-Resal)*(1-EXP((Tnet-t)/(Tau_j))))*Salcycl</f>
        <v>0.12478083242418307</v>
      </c>
      <c r="P240" s="171">
        <f>(INDEX(Models!$BJ240:$BT240,,T240)*(1-R240)+INDEX(Models!$BJ240:$BT240,,T240+1)*R240-ERP_i)*Q240*Ramure*Pc/MaxiM</f>
        <v>1.7342925638769396E-3</v>
      </c>
      <c r="Q240" s="307">
        <f t="shared" si="77"/>
        <v>1</v>
      </c>
      <c r="R240" s="179">
        <f t="shared" si="78"/>
        <v>0.25464492982388631</v>
      </c>
      <c r="S240" s="837">
        <f t="shared" si="79"/>
        <v>-1</v>
      </c>
      <c r="T240" s="178">
        <f t="shared" si="80"/>
        <v>5</v>
      </c>
      <c r="U240" s="253">
        <f t="shared" si="81"/>
        <v>-0.74535507017611369</v>
      </c>
      <c r="V240" s="385">
        <f t="shared" si="82"/>
        <v>49.279079942265518</v>
      </c>
      <c r="W240" s="404"/>
      <c r="X240" s="157">
        <f t="shared" si="83"/>
        <v>44056</v>
      </c>
      <c r="Y240" s="387">
        <f t="shared" si="84"/>
        <v>15.352</v>
      </c>
      <c r="Z240" s="387">
        <f t="shared" si="85"/>
        <v>15.619758062756365</v>
      </c>
      <c r="AA240" s="388">
        <f t="shared" si="86"/>
        <v>17.846681884287324</v>
      </c>
      <c r="AB240" s="199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0.12478083242418307</v>
      </c>
      <c r="AD240" s="233">
        <f>(INDEX(Models!$BJ240:$BT240,,AH240)*(1-AF240)+INDEX(Models!$BJ240:$BT240,,AH240+1)*AF240-ERP_i)*AE240*Ramure*Pc/MaxiM</f>
        <v>1.7342925638769396E-3</v>
      </c>
      <c r="AE240" s="307">
        <f t="shared" si="88"/>
        <v>1</v>
      </c>
      <c r="AF240" s="179">
        <f t="shared" si="89"/>
        <v>0.25464492982388631</v>
      </c>
      <c r="AG240" s="837">
        <f t="shared" si="95"/>
        <v>-1</v>
      </c>
      <c r="AH240" s="178">
        <f t="shared" si="90"/>
        <v>5</v>
      </c>
      <c r="AI240" s="227">
        <f t="shared" si="91"/>
        <v>-0.74535507017611369</v>
      </c>
      <c r="AJ240" s="267" t="b">
        <f t="shared" si="92"/>
        <v>0</v>
      </c>
      <c r="AK240" s="267" t="b">
        <f t="shared" si="93"/>
        <v>0</v>
      </c>
      <c r="AL240" s="267"/>
      <c r="AM240" s="267"/>
      <c r="AN240" s="75"/>
    </row>
    <row r="241" spans="1:40" s="6" customFormat="1" ht="11.25" customHeight="1" x14ac:dyDescent="0.2">
      <c r="A241" s="56">
        <f t="shared" si="94"/>
        <v>44057</v>
      </c>
      <c r="B241" s="618">
        <v>44.298000000000002</v>
      </c>
      <c r="C241" s="392"/>
      <c r="D241" s="395">
        <f t="shared" si="74"/>
        <v>45.071661355003776</v>
      </c>
      <c r="E241" s="387">
        <f t="shared" si="96"/>
        <v>51.501625925836919</v>
      </c>
      <c r="F241" s="387">
        <f t="shared" si="75"/>
        <v>51.583884574540299</v>
      </c>
      <c r="G241" s="110">
        <f t="shared" si="97"/>
        <v>0.90243352586567849</v>
      </c>
      <c r="H241" s="414" t="b">
        <f>Wh_hp&gt;='2019'!Maxi_hp</f>
        <v>1</v>
      </c>
      <c r="I241" s="382">
        <f>IF(H241,Wh_hp,'2019'!Maxi_hp)</f>
        <v>51.583884574540299</v>
      </c>
      <c r="J241" s="85">
        <f>IF(H241,An,'2019'!An_max)</f>
        <v>2020</v>
      </c>
      <c r="K241" s="199">
        <f t="shared" si="76"/>
        <v>44057</v>
      </c>
      <c r="L241" s="147">
        <f>IF(t&lt;Tvie,1-EXP((T0-t)*PertePVj)+'2019'!Pspv,1-EXP((T0-t)*PertePVj)+Pspv)</f>
        <v>1.7165139507729354E-2</v>
      </c>
      <c r="M241" s="870"/>
      <c r="N241" s="870"/>
      <c r="O241" s="48">
        <f>IF(t&lt;Tnet,'2019'!Resal+('2019'!Salim-'2019'!Resal)*(1-EXP(('2019'!Tnet-t)/('2019'!Tau_j))),Resal+(Salim-Resal)*(1-EXP((Tnet-t)/(Tau_j))))*Salcycl</f>
        <v>0.12484973930905377</v>
      </c>
      <c r="P241" s="171">
        <f>(INDEX(Models!$BJ241:$BT241,,T241)*(1-R241)+INDEX(Models!$BJ241:$BT241,,T241+1)*R241-ERP_i)*Q241*Ramure*Pc/MaxiM</f>
        <v>1.8522030967646329E-3</v>
      </c>
      <c r="Q241" s="307">
        <f t="shared" si="77"/>
        <v>1</v>
      </c>
      <c r="R241" s="179">
        <f t="shared" si="78"/>
        <v>0.25635766815614258</v>
      </c>
      <c r="S241" s="837">
        <f t="shared" si="79"/>
        <v>-1</v>
      </c>
      <c r="T241" s="178">
        <f t="shared" si="80"/>
        <v>5</v>
      </c>
      <c r="U241" s="253">
        <f t="shared" si="81"/>
        <v>-0.74364233184385742</v>
      </c>
      <c r="V241" s="385">
        <f t="shared" si="82"/>
        <v>49.074609676100508</v>
      </c>
      <c r="W241" s="404"/>
      <c r="X241" s="157">
        <f t="shared" si="83"/>
        <v>44057</v>
      </c>
      <c r="Y241" s="387">
        <f t="shared" si="84"/>
        <v>44.298000000000002</v>
      </c>
      <c r="Z241" s="387">
        <f t="shared" si="85"/>
        <v>45.071661355003776</v>
      </c>
      <c r="AA241" s="388">
        <f t="shared" si="86"/>
        <v>51.501625925836919</v>
      </c>
      <c r="AB241" s="199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0.12484973930905377</v>
      </c>
      <c r="AD241" s="233">
        <f>(INDEX(Models!$BJ241:$BT241,,AH241)*(1-AF241)+INDEX(Models!$BJ241:$BT241,,AH241+1)*AF241-ERP_i)*AE241*Ramure*Pc/MaxiM</f>
        <v>1.8522030967646329E-3</v>
      </c>
      <c r="AE241" s="307">
        <f t="shared" si="88"/>
        <v>1</v>
      </c>
      <c r="AF241" s="179">
        <f t="shared" si="89"/>
        <v>0.25635766815614258</v>
      </c>
      <c r="AG241" s="837">
        <f t="shared" si="95"/>
        <v>-1</v>
      </c>
      <c r="AH241" s="178">
        <f t="shared" si="90"/>
        <v>5</v>
      </c>
      <c r="AI241" s="227">
        <f t="shared" si="91"/>
        <v>-0.74364233184385742</v>
      </c>
      <c r="AJ241" s="267" t="b">
        <f t="shared" si="92"/>
        <v>0</v>
      </c>
      <c r="AK241" s="267" t="b">
        <f t="shared" si="93"/>
        <v>0</v>
      </c>
      <c r="AL241" s="267"/>
      <c r="AM241" s="267"/>
      <c r="AN241" s="75"/>
    </row>
    <row r="242" spans="1:40" s="6" customFormat="1" ht="11.25" customHeight="1" x14ac:dyDescent="0.2">
      <c r="A242" s="56">
        <f t="shared" si="94"/>
        <v>44058</v>
      </c>
      <c r="B242" s="618">
        <v>38.506</v>
      </c>
      <c r="C242" s="392"/>
      <c r="D242" s="395">
        <f t="shared" si="74"/>
        <v>39.179416257620936</v>
      </c>
      <c r="E242" s="387">
        <f t="shared" si="96"/>
        <v>44.772270107047952</v>
      </c>
      <c r="F242" s="387">
        <f t="shared" si="75"/>
        <v>44.833910092135156</v>
      </c>
      <c r="G242" s="110">
        <f t="shared" si="97"/>
        <v>0.78753127185234217</v>
      </c>
      <c r="H242" s="414" t="b">
        <f>Wh_hp&gt;='2019'!Maxi_hp</f>
        <v>0</v>
      </c>
      <c r="I242" s="382">
        <f>IF(H242,Wh_hp,'2019'!Maxi_hp)</f>
        <v>55.530808319610884</v>
      </c>
      <c r="J242" s="85">
        <f>IF(H242,An,'2019'!An_max)</f>
        <v>2019</v>
      </c>
      <c r="K242" s="199">
        <f t="shared" si="76"/>
        <v>44058</v>
      </c>
      <c r="L242" s="147">
        <f>IF(t&lt;Tvie,1-EXP((T0-t)*PertePVj)+'2019'!Pspv,1-EXP((T0-t)*PertePVj)+Pspv)</f>
        <v>1.7188011510762324E-2</v>
      </c>
      <c r="M242" s="870"/>
      <c r="N242" s="870"/>
      <c r="O242" s="48">
        <f>IF(t&lt;Tnet,'2019'!Resal+('2019'!Salim-'2019'!Resal)*(1-EXP(('2019'!Tnet-t)/('2019'!Tau_j))),Resal+(Salim-Resal)*(1-EXP((Tnet-t)/(Tau_j))))*Salcycl</f>
        <v>0.12491780818919425</v>
      </c>
      <c r="P242" s="171">
        <f>(INDEX(Models!$BJ242:$BT242,,T242)*(1-R242)+INDEX(Models!$BJ242:$BT242,,T242+1)*R242-ERP_i)*Q242*Ramure*Pc/MaxiM</f>
        <v>1.9721132238658006E-3</v>
      </c>
      <c r="Q242" s="307">
        <f t="shared" si="77"/>
        <v>1</v>
      </c>
      <c r="R242" s="179">
        <f t="shared" si="78"/>
        <v>0.25800988043536888</v>
      </c>
      <c r="S242" s="837">
        <f t="shared" si="79"/>
        <v>-1</v>
      </c>
      <c r="T242" s="178">
        <f t="shared" si="80"/>
        <v>5</v>
      </c>
      <c r="U242" s="253">
        <f t="shared" si="81"/>
        <v>-0.74199011956463112</v>
      </c>
      <c r="V242" s="385">
        <f t="shared" si="82"/>
        <v>48.865323279393529</v>
      </c>
      <c r="W242" s="404"/>
      <c r="X242" s="157">
        <f t="shared" si="83"/>
        <v>44058</v>
      </c>
      <c r="Y242" s="387">
        <f t="shared" si="84"/>
        <v>38.506</v>
      </c>
      <c r="Z242" s="387">
        <f t="shared" si="85"/>
        <v>39.179416257620936</v>
      </c>
      <c r="AA242" s="388">
        <f t="shared" si="86"/>
        <v>44.772270107047952</v>
      </c>
      <c r="AB242" s="199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0.12491780818919425</v>
      </c>
      <c r="AD242" s="233">
        <f>(INDEX(Models!$BJ242:$BT242,,AH242)*(1-AF242)+INDEX(Models!$BJ242:$BT242,,AH242+1)*AF242-ERP_i)*AE242*Ramure*Pc/MaxiM</f>
        <v>1.9721132238658006E-3</v>
      </c>
      <c r="AE242" s="307">
        <f t="shared" si="88"/>
        <v>1</v>
      </c>
      <c r="AF242" s="179">
        <f t="shared" si="89"/>
        <v>0.25800988043536888</v>
      </c>
      <c r="AG242" s="837">
        <f t="shared" si="95"/>
        <v>-1</v>
      </c>
      <c r="AH242" s="178">
        <f t="shared" si="90"/>
        <v>5</v>
      </c>
      <c r="AI242" s="227">
        <f t="shared" si="91"/>
        <v>-0.74199011956463112</v>
      </c>
      <c r="AJ242" s="267" t="b">
        <f t="shared" si="92"/>
        <v>0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4"/>
        <v>44059</v>
      </c>
      <c r="B243" s="618">
        <v>15.673</v>
      </c>
      <c r="C243" s="392"/>
      <c r="D243" s="395">
        <f t="shared" si="74"/>
        <v>15.947470040722333</v>
      </c>
      <c r="E243" s="387">
        <f t="shared" si="96"/>
        <v>18.225367986407274</v>
      </c>
      <c r="F243" s="387">
        <f t="shared" si="75"/>
        <v>18.226575884803975</v>
      </c>
      <c r="G243" s="110">
        <f t="shared" si="97"/>
        <v>0.32149943713324702</v>
      </c>
      <c r="H243" s="414" t="b">
        <f>Wh_hp&gt;='2019'!Maxi_hp</f>
        <v>0</v>
      </c>
      <c r="I243" s="382">
        <f>IF(H243,Wh_hp,'2019'!Maxi_hp)</f>
        <v>54.275394990879882</v>
      </c>
      <c r="J243" s="85">
        <f>IF(H243,An,'2019'!An_max)</f>
        <v>2019</v>
      </c>
      <c r="K243" s="199">
        <f t="shared" si="76"/>
        <v>44059</v>
      </c>
      <c r="L243" s="147">
        <f>IF(t&lt;Tvie,1-EXP((T0-t)*PertePVj)+'2019'!Pspv,1-EXP((T0-t)*PertePVj)+Pspv)</f>
        <v>1.7210882981530395E-2</v>
      </c>
      <c r="M243" s="870"/>
      <c r="N243" s="870"/>
      <c r="O243" s="48">
        <f>IF(t&lt;Tnet,'2019'!Resal+('2019'!Salim-'2019'!Resal)*(1-EXP(('2019'!Tnet-t)/('2019'!Tau_j))),Resal+(Salim-Resal)*(1-EXP((Tnet-t)/(Tau_j))))*Salcycl</f>
        <v>0.12498501799161627</v>
      </c>
      <c r="P243" s="171">
        <f>(INDEX(Models!$BJ243:$BT243,,T243)*(1-R243)+INDEX(Models!$BJ243:$BT243,,T243+1)*R243-ERP_i)*Q243*Ramure*Pc/MaxiM</f>
        <v>2.0940919208380215E-3</v>
      </c>
      <c r="Q243" s="307">
        <f t="shared" si="77"/>
        <v>1</v>
      </c>
      <c r="R243" s="179">
        <f t="shared" si="78"/>
        <v>0.25960339688416256</v>
      </c>
      <c r="S243" s="837">
        <f t="shared" si="79"/>
        <v>-1</v>
      </c>
      <c r="T243" s="178">
        <f t="shared" si="80"/>
        <v>5</v>
      </c>
      <c r="U243" s="253">
        <f t="shared" si="81"/>
        <v>-0.74039660311583744</v>
      </c>
      <c r="V243" s="385">
        <f t="shared" si="82"/>
        <v>48.650834353210357</v>
      </c>
      <c r="W243" s="404"/>
      <c r="X243" s="157">
        <f t="shared" si="83"/>
        <v>44059</v>
      </c>
      <c r="Y243" s="387">
        <f t="shared" si="84"/>
        <v>15.673</v>
      </c>
      <c r="Z243" s="387">
        <f t="shared" si="85"/>
        <v>15.947470040722333</v>
      </c>
      <c r="AA243" s="388">
        <f t="shared" si="86"/>
        <v>18.225367986407274</v>
      </c>
      <c r="AB243" s="199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0.12498501799161627</v>
      </c>
      <c r="AD243" s="233">
        <f>(INDEX(Models!$BJ243:$BT243,,AH243)*(1-AF243)+INDEX(Models!$BJ243:$BT243,,AH243+1)*AF243-ERP_i)*AE243*Ramure*Pc/MaxiM</f>
        <v>2.0940919208380215E-3</v>
      </c>
      <c r="AE243" s="307">
        <f t="shared" si="88"/>
        <v>1</v>
      </c>
      <c r="AF243" s="179">
        <f t="shared" si="89"/>
        <v>0.25960339688416256</v>
      </c>
      <c r="AG243" s="837">
        <f t="shared" si="95"/>
        <v>-1</v>
      </c>
      <c r="AH243" s="178">
        <f t="shared" si="90"/>
        <v>5</v>
      </c>
      <c r="AI243" s="227">
        <f t="shared" si="91"/>
        <v>-0.74039660311583744</v>
      </c>
      <c r="AJ243" s="267" t="b">
        <f t="shared" si="92"/>
        <v>0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4"/>
        <v>44060</v>
      </c>
      <c r="B244" s="618">
        <v>38.018000000000001</v>
      </c>
      <c r="C244" s="392"/>
      <c r="D244" s="395">
        <f t="shared" si="74"/>
        <v>38.68468229514977</v>
      </c>
      <c r="E244" s="387">
        <f t="shared" si="96"/>
        <v>44.213659966894419</v>
      </c>
      <c r="F244" s="387">
        <f t="shared" si="75"/>
        <v>44.281716386411688</v>
      </c>
      <c r="G244" s="110">
        <f t="shared" si="97"/>
        <v>0.78446137048572639</v>
      </c>
      <c r="H244" s="414" t="b">
        <f>Wh_hp&gt;='2019'!Maxi_hp</f>
        <v>1</v>
      </c>
      <c r="I244" s="382">
        <f>IF(H244,Wh_hp,'2019'!Maxi_hp)</f>
        <v>44.281716386411688</v>
      </c>
      <c r="J244" s="85">
        <f>IF(H244,An,'2019'!An_max)</f>
        <v>2020</v>
      </c>
      <c r="K244" s="199">
        <f t="shared" si="76"/>
        <v>44060</v>
      </c>
      <c r="L244" s="147">
        <f>IF(t&lt;Tvie,1-EXP((T0-t)*PertePVj)+'2019'!Pspv,1-EXP((T0-t)*PertePVj)+Pspv)</f>
        <v>1.7233753920045891E-2</v>
      </c>
      <c r="M244" s="870"/>
      <c r="N244" s="870"/>
      <c r="O244" s="48">
        <f>IF(t&lt;Tnet,'2019'!Resal+('2019'!Salim-'2019'!Resal)*(1-EXP(('2019'!Tnet-t)/('2019'!Tau_j))),Resal+(Salim-Resal)*(1-EXP((Tnet-t)/(Tau_j))))*Salcycl</f>
        <v>0.12505134557701283</v>
      </c>
      <c r="P244" s="171">
        <f>(INDEX(Models!$BJ244:$BT244,,T244)*(1-R244)+INDEX(Models!$BJ244:$BT244,,T244+1)*R244-ERP_i)*Q244*Ramure*Pc/MaxiM</f>
        <v>2.218214883046295E-3</v>
      </c>
      <c r="Q244" s="307">
        <f t="shared" si="77"/>
        <v>1</v>
      </c>
      <c r="R244" s="179">
        <f t="shared" si="78"/>
        <v>0.26114001561090161</v>
      </c>
      <c r="S244" s="837">
        <f t="shared" si="79"/>
        <v>-1</v>
      </c>
      <c r="T244" s="178">
        <f t="shared" si="80"/>
        <v>5</v>
      </c>
      <c r="U244" s="253">
        <f t="shared" si="81"/>
        <v>-0.73885998438909839</v>
      </c>
      <c r="V244" s="385">
        <f t="shared" si="82"/>
        <v>48.430756695649258</v>
      </c>
      <c r="W244" s="404"/>
      <c r="X244" s="157">
        <f t="shared" si="83"/>
        <v>44060</v>
      </c>
      <c r="Y244" s="387">
        <f t="shared" si="84"/>
        <v>38.018000000000001</v>
      </c>
      <c r="Z244" s="387">
        <f t="shared" si="85"/>
        <v>38.68468229514977</v>
      </c>
      <c r="AA244" s="388">
        <f t="shared" si="86"/>
        <v>44.213659966894419</v>
      </c>
      <c r="AB244" s="199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0.12505134557701283</v>
      </c>
      <c r="AD244" s="233">
        <f>(INDEX(Models!$BJ244:$BT244,,AH244)*(1-AF244)+INDEX(Models!$BJ244:$BT244,,AH244+1)*AF244-ERP_i)*AE244*Ramure*Pc/MaxiM</f>
        <v>2.218214883046295E-3</v>
      </c>
      <c r="AE244" s="307">
        <f t="shared" si="88"/>
        <v>1</v>
      </c>
      <c r="AF244" s="179">
        <f t="shared" si="89"/>
        <v>0.26114001561090161</v>
      </c>
      <c r="AG244" s="837">
        <f t="shared" si="95"/>
        <v>-1</v>
      </c>
      <c r="AH244" s="178">
        <f t="shared" si="90"/>
        <v>5</v>
      </c>
      <c r="AI244" s="227">
        <f t="shared" si="91"/>
        <v>-0.73885998438909839</v>
      </c>
      <c r="AJ244" s="267" t="b">
        <f t="shared" si="92"/>
        <v>0</v>
      </c>
      <c r="AK244" s="267" t="b">
        <f t="shared" si="93"/>
        <v>0</v>
      </c>
      <c r="AL244" s="267"/>
      <c r="AM244" s="267"/>
      <c r="AN244" s="75"/>
    </row>
    <row r="245" spans="1:40" s="6" customFormat="1" ht="11.25" customHeight="1" x14ac:dyDescent="0.2">
      <c r="A245" s="56">
        <f t="shared" si="94"/>
        <v>44061</v>
      </c>
      <c r="B245" s="618">
        <v>32.707000000000001</v>
      </c>
      <c r="C245" s="392"/>
      <c r="D245" s="395">
        <f t="shared" si="74"/>
        <v>33.281323293152781</v>
      </c>
      <c r="E245" s="387">
        <f t="shared" si="96"/>
        <v>38.040874481315754</v>
      </c>
      <c r="F245" s="387">
        <f t="shared" si="75"/>
        <v>38.089161911662934</v>
      </c>
      <c r="G245" s="110">
        <f t="shared" si="97"/>
        <v>0.67777069270693813</v>
      </c>
      <c r="H245" s="414" t="b">
        <f>Wh_hp&gt;='2019'!Maxi_hp</f>
        <v>1</v>
      </c>
      <c r="I245" s="382">
        <f>IF(H245,Wh_hp,'2019'!Maxi_hp)</f>
        <v>38.089161911662934</v>
      </c>
      <c r="J245" s="85">
        <f>IF(H245,An,'2019'!An_max)</f>
        <v>2020</v>
      </c>
      <c r="K245" s="199">
        <f t="shared" si="76"/>
        <v>44061</v>
      </c>
      <c r="L245" s="147">
        <f>IF(t&lt;Tvie,1-EXP((T0-t)*PertePVj)+'2019'!Pspv,1-EXP((T0-t)*PertePVj)+Pspv)</f>
        <v>1.7256624326321246E-2</v>
      </c>
      <c r="M245" s="870"/>
      <c r="N245" s="870"/>
      <c r="O245" s="48">
        <f>IF(t&lt;Tnet,'2019'!Resal+('2019'!Salim-'2019'!Resal)*(1-EXP(('2019'!Tnet-t)/('2019'!Tau_j))),Resal+(Salim-Resal)*(1-EXP((Tnet-t)/(Tau_j))))*Salcycl</f>
        <v>0.12511676592767826</v>
      </c>
      <c r="P245" s="171">
        <f>(INDEX(Models!$BJ245:$BT245,,T245)*(1-R245)+INDEX(Models!$BJ245:$BT245,,T245+1)*R245-ERP_i)*Q245*Ramure*Pc/MaxiM</f>
        <v>2.3445649057742758E-3</v>
      </c>
      <c r="Q245" s="307">
        <f t="shared" si="77"/>
        <v>1</v>
      </c>
      <c r="R245" s="179">
        <f t="shared" si="78"/>
        <v>0.26262150128011663</v>
      </c>
      <c r="S245" s="837">
        <f t="shared" si="79"/>
        <v>-1</v>
      </c>
      <c r="T245" s="178">
        <f t="shared" si="80"/>
        <v>5</v>
      </c>
      <c r="U245" s="253">
        <f t="shared" si="81"/>
        <v>-0.73737849871988337</v>
      </c>
      <c r="V245" s="385">
        <f t="shared" si="82"/>
        <v>48.204704290833988</v>
      </c>
      <c r="W245" s="404"/>
      <c r="X245" s="157">
        <f t="shared" si="83"/>
        <v>44061</v>
      </c>
      <c r="Y245" s="387">
        <f t="shared" si="84"/>
        <v>32.707000000000001</v>
      </c>
      <c r="Z245" s="387">
        <f t="shared" si="85"/>
        <v>33.281323293152781</v>
      </c>
      <c r="AA245" s="388">
        <f t="shared" si="86"/>
        <v>38.040874481315754</v>
      </c>
      <c r="AB245" s="199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0.12511676592767826</v>
      </c>
      <c r="AD245" s="233">
        <f>(INDEX(Models!$BJ245:$BT245,,AH245)*(1-AF245)+INDEX(Models!$BJ245:$BT245,,AH245+1)*AF245-ERP_i)*AE245*Ramure*Pc/MaxiM</f>
        <v>2.3445649057742758E-3</v>
      </c>
      <c r="AE245" s="307">
        <f t="shared" si="88"/>
        <v>1</v>
      </c>
      <c r="AF245" s="179">
        <f t="shared" si="89"/>
        <v>0.26262150128011663</v>
      </c>
      <c r="AG245" s="837">
        <f t="shared" si="95"/>
        <v>-1</v>
      </c>
      <c r="AH245" s="178">
        <f t="shared" si="90"/>
        <v>5</v>
      </c>
      <c r="AI245" s="227">
        <f t="shared" si="91"/>
        <v>-0.73737849871988337</v>
      </c>
      <c r="AJ245" s="267" t="b">
        <f t="shared" si="92"/>
        <v>0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4"/>
        <v>44062</v>
      </c>
      <c r="B246" s="618">
        <v>44.223999999999997</v>
      </c>
      <c r="C246" s="392"/>
      <c r="D246" s="395">
        <f t="shared" si="74"/>
        <v>45.00160497212309</v>
      </c>
      <c r="E246" s="387">
        <f t="shared" si="96"/>
        <v>51.441061466894837</v>
      </c>
      <c r="F246" s="387">
        <f t="shared" si="75"/>
        <v>51.554335018640266</v>
      </c>
      <c r="G246" s="110">
        <f t="shared" si="97"/>
        <v>0.92161043949723376</v>
      </c>
      <c r="H246" s="414" t="b">
        <f>Wh_hp&gt;='2019'!Maxi_hp</f>
        <v>1</v>
      </c>
      <c r="I246" s="382">
        <f>IF(H246,Wh_hp,'2019'!Maxi_hp)</f>
        <v>51.554335018640266</v>
      </c>
      <c r="J246" s="85">
        <f>IF(H246,An,'2019'!An_max)</f>
        <v>2020</v>
      </c>
      <c r="K246" s="199">
        <f t="shared" si="76"/>
        <v>44062</v>
      </c>
      <c r="L246" s="147">
        <f>IF(t&lt;Tvie,1-EXP((T0-t)*PertePVj)+'2019'!Pspv,1-EXP((T0-t)*PertePVj)+Pspv)</f>
        <v>1.7279494200368894E-2</v>
      </c>
      <c r="M246" s="870"/>
      <c r="N246" s="870"/>
      <c r="O246" s="48">
        <f>IF(t&lt;Tnet,'2019'!Resal+('2019'!Salim-'2019'!Resal)*(1-EXP(('2019'!Tnet-t)/('2019'!Tau_j))),Resal+(Salim-Resal)*(1-EXP((Tnet-t)/(Tau_j))))*Salcycl</f>
        <v>0.12518125231369678</v>
      </c>
      <c r="P246" s="171">
        <f>(INDEX(Models!$BJ246:$BT246,,T246)*(1-R246)+INDEX(Models!$BJ246:$BT246,,T246+1)*R246-ERP_i)*Q246*Ramure*Pc/MaxiM</f>
        <v>2.4732322995830638E-3</v>
      </c>
      <c r="Q246" s="307">
        <f t="shared" si="77"/>
        <v>1</v>
      </c>
      <c r="R246" s="179">
        <f t="shared" si="78"/>
        <v>0.26404958397711598</v>
      </c>
      <c r="S246" s="837">
        <f t="shared" si="79"/>
        <v>-1</v>
      </c>
      <c r="T246" s="178">
        <f t="shared" si="80"/>
        <v>5</v>
      </c>
      <c r="U246" s="253">
        <f t="shared" si="81"/>
        <v>-0.73595041602288402</v>
      </c>
      <c r="V246" s="385">
        <f t="shared" si="82"/>
        <v>47.972291293947997</v>
      </c>
      <c r="W246" s="404"/>
      <c r="X246" s="157">
        <f t="shared" si="83"/>
        <v>44062</v>
      </c>
      <c r="Y246" s="387">
        <f t="shared" si="84"/>
        <v>44.223999999999997</v>
      </c>
      <c r="Z246" s="387">
        <f t="shared" si="85"/>
        <v>45.00160497212309</v>
      </c>
      <c r="AA246" s="388">
        <f t="shared" si="86"/>
        <v>51.441061466894837</v>
      </c>
      <c r="AB246" s="199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0.12518125231369678</v>
      </c>
      <c r="AD246" s="233">
        <f>(INDEX(Models!$BJ246:$BT246,,AH246)*(1-AF246)+INDEX(Models!$BJ246:$BT246,,AH246+1)*AF246-ERP_i)*AE246*Ramure*Pc/MaxiM</f>
        <v>2.4732322995830638E-3</v>
      </c>
      <c r="AE246" s="307">
        <f t="shared" si="88"/>
        <v>1</v>
      </c>
      <c r="AF246" s="179">
        <f t="shared" si="89"/>
        <v>0.26404958397711598</v>
      </c>
      <c r="AG246" s="837">
        <f t="shared" si="95"/>
        <v>-1</v>
      </c>
      <c r="AH246" s="178">
        <f t="shared" si="90"/>
        <v>5</v>
      </c>
      <c r="AI246" s="227">
        <f t="shared" si="91"/>
        <v>-0.73595041602288402</v>
      </c>
      <c r="AJ246" s="267" t="b">
        <f t="shared" si="92"/>
        <v>0</v>
      </c>
      <c r="AK246" s="267" t="b">
        <f t="shared" si="93"/>
        <v>0</v>
      </c>
      <c r="AL246" s="267"/>
      <c r="AM246" s="267"/>
      <c r="AN246" s="75"/>
    </row>
    <row r="247" spans="1:40" s="6" customFormat="1" ht="11.25" customHeight="1" x14ac:dyDescent="0.2">
      <c r="A247" s="56">
        <f t="shared" si="94"/>
        <v>44063</v>
      </c>
      <c r="B247" s="618">
        <v>44.098999999999997</v>
      </c>
      <c r="C247" s="392"/>
      <c r="D247" s="395">
        <f t="shared" si="74"/>
        <v>44.875451373789673</v>
      </c>
      <c r="E247" s="387">
        <f t="shared" si="96"/>
        <v>51.300581196812729</v>
      </c>
      <c r="F247" s="387">
        <f t="shared" si="75"/>
        <v>51.419921349849517</v>
      </c>
      <c r="G247" s="110">
        <f t="shared" si="97"/>
        <v>0.92357629525599805</v>
      </c>
      <c r="H247" s="414" t="b">
        <f>Wh_hp&gt;='2019'!Maxi_hp</f>
        <v>1</v>
      </c>
      <c r="I247" s="382">
        <f>IF(H247,Wh_hp,'2019'!Maxi_hp)</f>
        <v>51.419921349849517</v>
      </c>
      <c r="J247" s="85">
        <f>IF(H247,An,'2019'!An_max)</f>
        <v>2020</v>
      </c>
      <c r="K247" s="199">
        <f t="shared" si="76"/>
        <v>44063</v>
      </c>
      <c r="L247" s="147">
        <f>IF(t&lt;Tvie,1-EXP((T0-t)*PertePVj)+'2019'!Pspv,1-EXP((T0-t)*PertePVj)+Pspv)</f>
        <v>1.7302363542201049E-2</v>
      </c>
      <c r="M247" s="870"/>
      <c r="N247" s="870"/>
      <c r="O247" s="48">
        <f>IF(t&lt;Tnet,'2019'!Resal+('2019'!Salim-'2019'!Resal)*(1-EXP(('2019'!Tnet-t)/('2019'!Tau_j))),Resal+(Salim-Resal)*(1-EXP((Tnet-t)/(Tau_j))))*Salcycl</f>
        <v>0.12524477643583196</v>
      </c>
      <c r="P247" s="171">
        <f>(INDEX(Models!$BJ247:$BT247,,T247)*(1-R247)+INDEX(Models!$BJ247:$BT247,,T247+1)*R247-ERP_i)*Q247*Ramure*Pc/MaxiM</f>
        <v>2.6042395503274164E-3</v>
      </c>
      <c r="Q247" s="307">
        <f t="shared" si="77"/>
        <v>1</v>
      </c>
      <c r="R247" s="179">
        <f t="shared" si="78"/>
        <v>0.26542595825424597</v>
      </c>
      <c r="S247" s="837">
        <f t="shared" si="79"/>
        <v>-1</v>
      </c>
      <c r="T247" s="178">
        <f t="shared" si="80"/>
        <v>5</v>
      </c>
      <c r="U247" s="253">
        <f t="shared" si="81"/>
        <v>-0.73457404174575403</v>
      </c>
      <c r="V247" s="385">
        <f t="shared" si="82"/>
        <v>47.734524883613645</v>
      </c>
      <c r="W247" s="404"/>
      <c r="X247" s="157">
        <f t="shared" si="83"/>
        <v>44063</v>
      </c>
      <c r="Y247" s="387">
        <f t="shared" si="84"/>
        <v>44.098999999999997</v>
      </c>
      <c r="Z247" s="387">
        <f t="shared" si="85"/>
        <v>44.875451373789673</v>
      </c>
      <c r="AA247" s="388">
        <f t="shared" si="86"/>
        <v>51.300581196812729</v>
      </c>
      <c r="AB247" s="199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0.12524477643583196</v>
      </c>
      <c r="AD247" s="233">
        <f>(INDEX(Models!$BJ247:$BT247,,AH247)*(1-AF247)+INDEX(Models!$BJ247:$BT247,,AH247+1)*AF247-ERP_i)*AE247*Ramure*Pc/MaxiM</f>
        <v>2.6042395503274164E-3</v>
      </c>
      <c r="AE247" s="307">
        <f t="shared" si="88"/>
        <v>1</v>
      </c>
      <c r="AF247" s="179">
        <f t="shared" si="89"/>
        <v>0.26542595825424597</v>
      </c>
      <c r="AG247" s="837">
        <f t="shared" si="95"/>
        <v>-1</v>
      </c>
      <c r="AH247" s="178">
        <f t="shared" si="90"/>
        <v>5</v>
      </c>
      <c r="AI247" s="227">
        <f t="shared" si="91"/>
        <v>-0.73457404174575403</v>
      </c>
      <c r="AJ247" s="267" t="b">
        <f t="shared" si="92"/>
        <v>0</v>
      </c>
      <c r="AK247" s="267" t="b">
        <f t="shared" si="93"/>
        <v>0</v>
      </c>
      <c r="AL247" s="267"/>
      <c r="AM247" s="267"/>
      <c r="AN247" s="75"/>
    </row>
    <row r="248" spans="1:40" s="6" customFormat="1" ht="11.25" customHeight="1" x14ac:dyDescent="0.2">
      <c r="A248" s="56">
        <f t="shared" si="94"/>
        <v>44064</v>
      </c>
      <c r="B248" s="618">
        <v>38.954000000000001</v>
      </c>
      <c r="C248" s="392"/>
      <c r="D248" s="395">
        <f t="shared" si="74"/>
        <v>39.640785825027749</v>
      </c>
      <c r="E248" s="387">
        <f t="shared" si="96"/>
        <v>45.319671939913114</v>
      </c>
      <c r="F248" s="387">
        <f t="shared" si="75"/>
        <v>45.41200718025847</v>
      </c>
      <c r="G248" s="110">
        <f t="shared" si="97"/>
        <v>0.81963413760151083</v>
      </c>
      <c r="H248" s="414" t="b">
        <f>Wh_hp&gt;='2019'!Maxi_hp</f>
        <v>0</v>
      </c>
      <c r="I248" s="382">
        <f>IF(H248,Wh_hp,'2019'!Maxi_hp)</f>
        <v>55.310874432474641</v>
      </c>
      <c r="J248" s="85">
        <f>IF(H248,An,'2019'!An_max)</f>
        <v>2019</v>
      </c>
      <c r="K248" s="199">
        <f t="shared" si="76"/>
        <v>44064</v>
      </c>
      <c r="L248" s="147">
        <f>IF(t&lt;Tvie,1-EXP((T0-t)*PertePVj)+'2019'!Pspv,1-EXP((T0-t)*PertePVj)+Pspv)</f>
        <v>1.7325232351830255E-2</v>
      </c>
      <c r="M248" s="870"/>
      <c r="N248" s="870"/>
      <c r="O248" s="48">
        <f>IF(t&lt;Tnet,'2019'!Resal+('2019'!Salim-'2019'!Resal)*(1-EXP(('2019'!Tnet-t)/('2019'!Tau_j))),Resal+(Salim-Resal)*(1-EXP((Tnet-t)/(Tau_j))))*Salcycl</f>
        <v>0.12530730854395181</v>
      </c>
      <c r="P248" s="171">
        <f>(INDEX(Models!$BJ248:$BT248,,T248)*(1-R248)+INDEX(Models!$BJ248:$BT248,,T248+1)*R248-ERP_i)*Q248*Ramure*Pc/MaxiM</f>
        <v>2.7359913663541945E-3</v>
      </c>
      <c r="Q248" s="307">
        <f t="shared" si="77"/>
        <v>1</v>
      </c>
      <c r="R248" s="179">
        <f t="shared" si="78"/>
        <v>0.26675228234651172</v>
      </c>
      <c r="S248" s="837">
        <f t="shared" si="79"/>
        <v>-1</v>
      </c>
      <c r="T248" s="178">
        <f t="shared" si="80"/>
        <v>5</v>
      </c>
      <c r="U248" s="253">
        <f t="shared" si="81"/>
        <v>-0.73324771765348828</v>
      </c>
      <c r="V248" s="385">
        <f t="shared" si="82"/>
        <v>47.492617682550105</v>
      </c>
      <c r="W248" s="404"/>
      <c r="X248" s="157">
        <f t="shared" si="83"/>
        <v>44064</v>
      </c>
      <c r="Y248" s="387">
        <f t="shared" si="84"/>
        <v>38.954000000000001</v>
      </c>
      <c r="Z248" s="387">
        <f t="shared" si="85"/>
        <v>39.640785825027749</v>
      </c>
      <c r="AA248" s="388">
        <f t="shared" si="86"/>
        <v>45.319671939913114</v>
      </c>
      <c r="AB248" s="199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0.12530730854395181</v>
      </c>
      <c r="AD248" s="233">
        <f>(INDEX(Models!$BJ248:$BT248,,AH248)*(1-AF248)+INDEX(Models!$BJ248:$BT248,,AH248+1)*AF248-ERP_i)*AE248*Ramure*Pc/MaxiM</f>
        <v>2.7359913663541945E-3</v>
      </c>
      <c r="AE248" s="307">
        <f t="shared" si="88"/>
        <v>1</v>
      </c>
      <c r="AF248" s="179">
        <f t="shared" si="89"/>
        <v>0.26675228234651172</v>
      </c>
      <c r="AG248" s="837">
        <f t="shared" si="95"/>
        <v>-1</v>
      </c>
      <c r="AH248" s="178">
        <f t="shared" si="90"/>
        <v>5</v>
      </c>
      <c r="AI248" s="227">
        <f t="shared" si="91"/>
        <v>-0.73324771765348828</v>
      </c>
      <c r="AJ248" s="267" t="b">
        <f t="shared" si="92"/>
        <v>0</v>
      </c>
      <c r="AK248" s="267" t="b">
        <f t="shared" si="93"/>
        <v>0</v>
      </c>
      <c r="AL248" s="267"/>
      <c r="AM248" s="267"/>
      <c r="AN248" s="75"/>
    </row>
    <row r="249" spans="1:40" s="6" customFormat="1" ht="11.25" customHeight="1" x14ac:dyDescent="0.2">
      <c r="A249" s="56">
        <f t="shared" si="94"/>
        <v>44065</v>
      </c>
      <c r="B249" s="618">
        <v>32.741999999999997</v>
      </c>
      <c r="C249" s="392"/>
      <c r="D249" s="395">
        <f t="shared" si="74"/>
        <v>33.320039396420306</v>
      </c>
      <c r="E249" s="387">
        <f t="shared" si="96"/>
        <v>38.096102750798671</v>
      </c>
      <c r="F249" s="387">
        <f t="shared" si="75"/>
        <v>38.157520488426428</v>
      </c>
      <c r="G249" s="110">
        <f t="shared" si="97"/>
        <v>0.69213163797639365</v>
      </c>
      <c r="H249" s="414" t="b">
        <f>Wh_hp&gt;='2019'!Maxi_hp</f>
        <v>0</v>
      </c>
      <c r="I249" s="382">
        <f>IF(H249,Wh_hp,'2019'!Maxi_hp)</f>
        <v>52.494512682759208</v>
      </c>
      <c r="J249" s="85">
        <f>IF(H249,An,'2019'!An_max)</f>
        <v>2019</v>
      </c>
      <c r="K249" s="199">
        <f t="shared" si="76"/>
        <v>44065</v>
      </c>
      <c r="L249" s="147">
        <f>IF(t&lt;Tvie,1-EXP((T0-t)*PertePVj)+'2019'!Pspv,1-EXP((T0-t)*PertePVj)+Pspv)</f>
        <v>1.7348100629268948E-2</v>
      </c>
      <c r="M249" s="870"/>
      <c r="N249" s="870"/>
      <c r="O249" s="48">
        <f>IF(t&lt;Tnet,'2019'!Resal+('2019'!Salim-'2019'!Resal)*(1-EXP(('2019'!Tnet-t)/('2019'!Tau_j))),Resal+(Salim-Resal)*(1-EXP((Tnet-t)/(Tau_j))))*Salcycl</f>
        <v>0.12536881753024559</v>
      </c>
      <c r="P249" s="171">
        <f>(INDEX(Models!$BJ249:$BT249,,T249)*(1-R249)+INDEX(Models!$BJ249:$BT249,,T249+1)*R249-ERP_i)*Q249*Ramure*Pc/MaxiM</f>
        <v>2.866911734665E-3</v>
      </c>
      <c r="Q249" s="307">
        <f t="shared" si="77"/>
        <v>1</v>
      </c>
      <c r="R249" s="179">
        <f t="shared" si="78"/>
        <v>0.26803017754465253</v>
      </c>
      <c r="S249" s="837">
        <f t="shared" si="79"/>
        <v>-1</v>
      </c>
      <c r="T249" s="178">
        <f t="shared" si="80"/>
        <v>5</v>
      </c>
      <c r="U249" s="253">
        <f t="shared" si="81"/>
        <v>-0.73196982245534747</v>
      </c>
      <c r="V249" s="385">
        <f t="shared" si="82"/>
        <v>47.246454885931541</v>
      </c>
      <c r="W249" s="404"/>
      <c r="X249" s="157">
        <f t="shared" si="83"/>
        <v>44065</v>
      </c>
      <c r="Y249" s="387">
        <f t="shared" si="84"/>
        <v>32.741999999999997</v>
      </c>
      <c r="Z249" s="387">
        <f t="shared" si="85"/>
        <v>33.320039396420306</v>
      </c>
      <c r="AA249" s="388">
        <f t="shared" si="86"/>
        <v>38.096102750798671</v>
      </c>
      <c r="AB249" s="199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0.12536881753024559</v>
      </c>
      <c r="AD249" s="233">
        <f>(INDEX(Models!$BJ249:$BT249,,AH249)*(1-AF249)+INDEX(Models!$BJ249:$BT249,,AH249+1)*AF249-ERP_i)*AE249*Ramure*Pc/MaxiM</f>
        <v>2.866911734665E-3</v>
      </c>
      <c r="AE249" s="307">
        <f t="shared" si="88"/>
        <v>1</v>
      </c>
      <c r="AF249" s="179">
        <f t="shared" si="89"/>
        <v>0.26803017754465253</v>
      </c>
      <c r="AG249" s="837">
        <f t="shared" si="95"/>
        <v>-1</v>
      </c>
      <c r="AH249" s="178">
        <f t="shared" si="90"/>
        <v>5</v>
      </c>
      <c r="AI249" s="227">
        <f t="shared" si="91"/>
        <v>-0.73196982245534747</v>
      </c>
      <c r="AJ249" s="267" t="b">
        <f t="shared" si="92"/>
        <v>0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4"/>
        <v>44066</v>
      </c>
      <c r="B250" s="618">
        <v>38.634</v>
      </c>
      <c r="C250" s="392"/>
      <c r="D250" s="395">
        <f t="shared" si="74"/>
        <v>39.316973910379396</v>
      </c>
      <c r="E250" s="387">
        <f t="shared" si="96"/>
        <v>44.955739549157315</v>
      </c>
      <c r="F250" s="387">
        <f t="shared" si="75"/>
        <v>45.05645131933165</v>
      </c>
      <c r="G250" s="110">
        <f t="shared" si="97"/>
        <v>0.821445026957908</v>
      </c>
      <c r="H250" s="414" t="b">
        <f>Wh_hp&gt;='2019'!Maxi_hp</f>
        <v>0</v>
      </c>
      <c r="I250" s="382">
        <f>IF(H250,Wh_hp,'2019'!Maxi_hp)</f>
        <v>52.36810981673333</v>
      </c>
      <c r="J250" s="85">
        <f>IF(H250,An,'2019'!An_max)</f>
        <v>2019</v>
      </c>
      <c r="K250" s="199">
        <f t="shared" si="76"/>
        <v>44066</v>
      </c>
      <c r="L250" s="147">
        <f>IF(t&lt;Tvie,1-EXP((T0-t)*PertePVj)+'2019'!Pspv,1-EXP((T0-t)*PertePVj)+Pspv)</f>
        <v>1.7370968374529339E-2</v>
      </c>
      <c r="M250" s="870"/>
      <c r="N250" s="870"/>
      <c r="O250" s="48">
        <f>IF(t&lt;Tnet,'2019'!Resal+('2019'!Salim-'2019'!Resal)*(1-EXP(('2019'!Tnet-t)/('2019'!Tau_j))),Resal+(Salim-Resal)*(1-EXP((Tnet-t)/(Tau_j))))*Salcycl</f>
        <v>0.12542927099691364</v>
      </c>
      <c r="P250" s="171">
        <f>(INDEX(Models!$BJ250:$BT250,,T250)*(1-R250)+INDEX(Models!$BJ250:$BT250,,T250+1)*R250-ERP_i)*Q250*Ramure*Pc/MaxiM</f>
        <v>2.9970246992076783E-3</v>
      </c>
      <c r="Q250" s="307">
        <f t="shared" si="77"/>
        <v>1</v>
      </c>
      <c r="R250" s="179">
        <f t="shared" si="78"/>
        <v>0.26926122771418248</v>
      </c>
      <c r="S250" s="837">
        <f t="shared" si="79"/>
        <v>-1</v>
      </c>
      <c r="T250" s="178">
        <f t="shared" si="80"/>
        <v>5</v>
      </c>
      <c r="U250" s="253">
        <f t="shared" si="81"/>
        <v>-0.73073877228581752</v>
      </c>
      <c r="V250" s="385">
        <f t="shared" si="82"/>
        <v>46.995844917987164</v>
      </c>
      <c r="W250" s="404"/>
      <c r="X250" s="157">
        <f t="shared" si="83"/>
        <v>44066</v>
      </c>
      <c r="Y250" s="387">
        <f t="shared" si="84"/>
        <v>38.634</v>
      </c>
      <c r="Z250" s="387">
        <f t="shared" si="85"/>
        <v>39.316973910379396</v>
      </c>
      <c r="AA250" s="388">
        <f t="shared" si="86"/>
        <v>44.955739549157315</v>
      </c>
      <c r="AB250" s="199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0.12542927099691364</v>
      </c>
      <c r="AD250" s="233">
        <f>(INDEX(Models!$BJ250:$BT250,,AH250)*(1-AF250)+INDEX(Models!$BJ250:$BT250,,AH250+1)*AF250-ERP_i)*AE250*Ramure*Pc/MaxiM</f>
        <v>2.9970246992076783E-3</v>
      </c>
      <c r="AE250" s="307">
        <f t="shared" si="88"/>
        <v>1</v>
      </c>
      <c r="AF250" s="179">
        <f t="shared" si="89"/>
        <v>0.26926122771418248</v>
      </c>
      <c r="AG250" s="837">
        <f t="shared" si="95"/>
        <v>-1</v>
      </c>
      <c r="AH250" s="178">
        <f t="shared" si="90"/>
        <v>5</v>
      </c>
      <c r="AI250" s="227">
        <f t="shared" si="91"/>
        <v>-0.73073877228581752</v>
      </c>
      <c r="AJ250" s="267" t="b">
        <f t="shared" si="92"/>
        <v>0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4"/>
        <v>44067</v>
      </c>
      <c r="B251" s="618">
        <v>41.436999999999998</v>
      </c>
      <c r="C251" s="392"/>
      <c r="D251" s="395">
        <f t="shared" si="74"/>
        <v>42.170506863022169</v>
      </c>
      <c r="E251" s="387">
        <f t="shared" si="96"/>
        <v>48.221793981389396</v>
      </c>
      <c r="F251" s="387">
        <f t="shared" si="75"/>
        <v>48.348446682456718</v>
      </c>
      <c r="G251" s="110">
        <f t="shared" si="97"/>
        <v>0.8860808145026543</v>
      </c>
      <c r="H251" s="414" t="b">
        <f>Wh_hp&gt;='2019'!Maxi_hp</f>
        <v>1</v>
      </c>
      <c r="I251" s="382">
        <f>IF(H251,Wh_hp,'2019'!Maxi_hp)</f>
        <v>48.348446682456718</v>
      </c>
      <c r="J251" s="85">
        <f>IF(H251,An,'2019'!An_max)</f>
        <v>2020</v>
      </c>
      <c r="K251" s="199">
        <f t="shared" si="76"/>
        <v>44067</v>
      </c>
      <c r="L251" s="147">
        <f>IF(t&lt;Tvie,1-EXP((T0-t)*PertePVj)+'2019'!Pspv,1-EXP((T0-t)*PertePVj)+Pspv)</f>
        <v>1.7393835587623863E-2</v>
      </c>
      <c r="M251" s="870"/>
      <c r="N251" s="870"/>
      <c r="O251" s="48">
        <f>IF(t&lt;Tnet,'2019'!Resal+('2019'!Salim-'2019'!Resal)*(1-EXP(('2019'!Tnet-t)/('2019'!Tau_j))),Resal+(Salim-Resal)*(1-EXP((Tnet-t)/(Tau_j))))*Salcycl</f>
        <v>0.12548863529844301</v>
      </c>
      <c r="P251" s="171">
        <f>(INDEX(Models!$BJ251:$BT251,,T251)*(1-R251)+INDEX(Models!$BJ251:$BT251,,T251+1)*R251-ERP_i)*Q251*Ramure*Pc/MaxiM</f>
        <v>3.1263586712330306E-3</v>
      </c>
      <c r="Q251" s="307">
        <f t="shared" si="77"/>
        <v>1</v>
      </c>
      <c r="R251" s="179">
        <f t="shared" si="78"/>
        <v>0.27044697894933289</v>
      </c>
      <c r="S251" s="837">
        <f t="shared" si="79"/>
        <v>-1</v>
      </c>
      <c r="T251" s="178">
        <f t="shared" si="80"/>
        <v>5</v>
      </c>
      <c r="U251" s="253">
        <f t="shared" si="81"/>
        <v>-0.72955302105066711</v>
      </c>
      <c r="V251" s="385">
        <f t="shared" si="82"/>
        <v>46.740596169677708</v>
      </c>
      <c r="W251" s="404"/>
      <c r="X251" s="157">
        <f t="shared" si="83"/>
        <v>44067</v>
      </c>
      <c r="Y251" s="387">
        <f t="shared" si="84"/>
        <v>41.436999999999998</v>
      </c>
      <c r="Z251" s="387">
        <f t="shared" si="85"/>
        <v>42.170506863022169</v>
      </c>
      <c r="AA251" s="388">
        <f t="shared" si="86"/>
        <v>48.221793981389396</v>
      </c>
      <c r="AB251" s="199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0.12548863529844301</v>
      </c>
      <c r="AD251" s="233">
        <f>(INDEX(Models!$BJ251:$BT251,,AH251)*(1-AF251)+INDEX(Models!$BJ251:$BT251,,AH251+1)*AF251-ERP_i)*AE251*Ramure*Pc/MaxiM</f>
        <v>3.1263586712330306E-3</v>
      </c>
      <c r="AE251" s="307">
        <f t="shared" si="88"/>
        <v>1</v>
      </c>
      <c r="AF251" s="179">
        <f t="shared" si="89"/>
        <v>0.27044697894933289</v>
      </c>
      <c r="AG251" s="837">
        <f t="shared" si="95"/>
        <v>-1</v>
      </c>
      <c r="AH251" s="178">
        <f t="shared" si="90"/>
        <v>5</v>
      </c>
      <c r="AI251" s="227">
        <f t="shared" si="91"/>
        <v>-0.72955302105066711</v>
      </c>
      <c r="AJ251" s="267" t="b">
        <f t="shared" si="92"/>
        <v>0</v>
      </c>
      <c r="AK251" s="267" t="b">
        <f t="shared" si="93"/>
        <v>0</v>
      </c>
      <c r="AL251" s="267"/>
      <c r="AM251" s="267"/>
      <c r="AN251" s="75"/>
    </row>
    <row r="252" spans="1:40" s="6" customFormat="1" ht="11.25" customHeight="1" x14ac:dyDescent="0.2">
      <c r="A252" s="56">
        <f t="shared" si="94"/>
        <v>44068</v>
      </c>
      <c r="B252" s="618">
        <v>43.241</v>
      </c>
      <c r="C252" s="392"/>
      <c r="D252" s="395">
        <f t="shared" si="74"/>
        <v>44.007464914001481</v>
      </c>
      <c r="E252" s="387">
        <f t="shared" si="96"/>
        <v>50.325699210159662</v>
      </c>
      <c r="F252" s="387">
        <f t="shared" si="75"/>
        <v>50.473630436639333</v>
      </c>
      <c r="G252" s="110">
        <f t="shared" si="97"/>
        <v>0.9300013822673493</v>
      </c>
      <c r="H252" s="414" t="b">
        <f>Wh_hp&gt;='2019'!Maxi_hp</f>
        <v>1</v>
      </c>
      <c r="I252" s="382">
        <f>IF(H252,Wh_hp,'2019'!Maxi_hp)</f>
        <v>50.473630436639333</v>
      </c>
      <c r="J252" s="85">
        <f>IF(H252,An,'2019'!An_max)</f>
        <v>2020</v>
      </c>
      <c r="K252" s="199">
        <f t="shared" si="76"/>
        <v>44068</v>
      </c>
      <c r="L252" s="147">
        <f>IF(t&lt;Tvie,1-EXP((T0-t)*PertePVj)+'2019'!Pspv,1-EXP((T0-t)*PertePVj)+Pspv)</f>
        <v>1.7416702268564954E-2</v>
      </c>
      <c r="M252" s="870"/>
      <c r="N252" s="870"/>
      <c r="O252" s="48">
        <f>IF(t&lt;Tnet,'2019'!Resal+('2019'!Salim-'2019'!Resal)*(1-EXP(('2019'!Tnet-t)/('2019'!Tau_j))),Resal+(Salim-Resal)*(1-EXP((Tnet-t)/(Tau_j))))*Salcycl</f>
        <v>0.12554687555901187</v>
      </c>
      <c r="P252" s="171">
        <f>(INDEX(Models!$BJ252:$BT252,,T252)*(1-R252)+INDEX(Models!$BJ252:$BT252,,T252+1)*R252-ERP_i)*Q252*Ramure*Pc/MaxiM</f>
        <v>3.2549435003495818E-3</v>
      </c>
      <c r="Q252" s="307">
        <f t="shared" si="77"/>
        <v>1</v>
      </c>
      <c r="R252" s="179">
        <f t="shared" si="78"/>
        <v>0.27158893935129802</v>
      </c>
      <c r="S252" s="837">
        <f t="shared" si="79"/>
        <v>-1</v>
      </c>
      <c r="T252" s="178">
        <f t="shared" si="80"/>
        <v>5</v>
      </c>
      <c r="U252" s="253">
        <f t="shared" si="81"/>
        <v>-0.72841106064870198</v>
      </c>
      <c r="V252" s="385">
        <f t="shared" si="82"/>
        <v>46.480517133728036</v>
      </c>
      <c r="W252" s="404"/>
      <c r="X252" s="157">
        <f t="shared" si="83"/>
        <v>44068</v>
      </c>
      <c r="Y252" s="387">
        <f t="shared" si="84"/>
        <v>43.241</v>
      </c>
      <c r="Z252" s="387">
        <f t="shared" si="85"/>
        <v>44.007464914001481</v>
      </c>
      <c r="AA252" s="388">
        <f t="shared" si="86"/>
        <v>50.325699210159662</v>
      </c>
      <c r="AB252" s="199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0.12554687555901187</v>
      </c>
      <c r="AD252" s="233">
        <f>(INDEX(Models!$BJ252:$BT252,,AH252)*(1-AF252)+INDEX(Models!$BJ252:$BT252,,AH252+1)*AF252-ERP_i)*AE252*Ramure*Pc/MaxiM</f>
        <v>3.2549435003495818E-3</v>
      </c>
      <c r="AE252" s="307">
        <f t="shared" si="88"/>
        <v>1</v>
      </c>
      <c r="AF252" s="179">
        <f t="shared" si="89"/>
        <v>0.27158893935129802</v>
      </c>
      <c r="AG252" s="837">
        <f t="shared" si="95"/>
        <v>-1</v>
      </c>
      <c r="AH252" s="178">
        <f t="shared" si="90"/>
        <v>5</v>
      </c>
      <c r="AI252" s="227">
        <f t="shared" si="91"/>
        <v>-0.72841106064870198</v>
      </c>
      <c r="AJ252" s="267" t="b">
        <f t="shared" si="92"/>
        <v>0</v>
      </c>
      <c r="AK252" s="267" t="b">
        <f t="shared" si="93"/>
        <v>0</v>
      </c>
      <c r="AL252" s="267"/>
      <c r="AM252" s="267"/>
      <c r="AN252" s="75"/>
    </row>
    <row r="253" spans="1:40" s="6" customFormat="1" ht="11.25" customHeight="1" x14ac:dyDescent="0.2">
      <c r="A253" s="56">
        <f t="shared" si="94"/>
        <v>44069</v>
      </c>
      <c r="B253" s="618">
        <v>24.187000000000001</v>
      </c>
      <c r="C253" s="392"/>
      <c r="D253" s="395">
        <f t="shared" si="74"/>
        <v>24.616297606287063</v>
      </c>
      <c r="E253" s="387">
        <f t="shared" si="96"/>
        <v>28.152343284027737</v>
      </c>
      <c r="F253" s="387">
        <f t="shared" si="75"/>
        <v>28.18276307278278</v>
      </c>
      <c r="G253" s="110">
        <f t="shared" si="97"/>
        <v>0.52214668832121469</v>
      </c>
      <c r="H253" s="414" t="b">
        <f>Wh_hp&gt;='2019'!Maxi_hp</f>
        <v>0</v>
      </c>
      <c r="I253" s="382">
        <f>IF(H253,Wh_hp,'2019'!Maxi_hp)</f>
        <v>36.174573808522233</v>
      </c>
      <c r="J253" s="85">
        <f>IF(H253,An,'2019'!An_max)</f>
        <v>2019</v>
      </c>
      <c r="K253" s="199">
        <f t="shared" si="76"/>
        <v>44069</v>
      </c>
      <c r="L253" s="147">
        <f>IF(t&lt;Tvie,1-EXP((T0-t)*PertePVj)+'2019'!Pspv,1-EXP((T0-t)*PertePVj)+Pspv)</f>
        <v>1.7439568417364937E-2</v>
      </c>
      <c r="M253" s="870"/>
      <c r="N253" s="870"/>
      <c r="O253" s="48">
        <f>IF(t&lt;Tnet,'2019'!Resal+('2019'!Salim-'2019'!Resal)*(1-EXP(('2019'!Tnet-t)/('2019'!Tau_j))),Resal+(Salim-Resal)*(1-EXP((Tnet-t)/(Tau_j))))*Salcycl</f>
        <v>0.12560395566598725</v>
      </c>
      <c r="P253" s="171">
        <f>(INDEX(Models!$BJ253:$BT253,,T253)*(1-R253)+INDEX(Models!$BJ253:$BT253,,T253+1)*R253-ERP_i)*Q253*Ramure*Pc/MaxiM</f>
        <v>3.382812268161848E-3</v>
      </c>
      <c r="Q253" s="307">
        <f t="shared" si="77"/>
        <v>1</v>
      </c>
      <c r="R253" s="179">
        <f t="shared" si="78"/>
        <v>0.27268857892064413</v>
      </c>
      <c r="S253" s="837">
        <f t="shared" si="79"/>
        <v>-1</v>
      </c>
      <c r="T253" s="178">
        <f t="shared" si="80"/>
        <v>5</v>
      </c>
      <c r="U253" s="253">
        <f t="shared" si="81"/>
        <v>-0.72731142107935587</v>
      </c>
      <c r="V253" s="385">
        <f t="shared" si="82"/>
        <v>46.215416315471593</v>
      </c>
      <c r="W253" s="404"/>
      <c r="X253" s="157">
        <f t="shared" si="83"/>
        <v>44069</v>
      </c>
      <c r="Y253" s="387">
        <f t="shared" si="84"/>
        <v>24.187000000000001</v>
      </c>
      <c r="Z253" s="387">
        <f t="shared" si="85"/>
        <v>24.616297606287063</v>
      </c>
      <c r="AA253" s="388">
        <f t="shared" si="86"/>
        <v>28.152343284027737</v>
      </c>
      <c r="AB253" s="199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0.12560395566598725</v>
      </c>
      <c r="AD253" s="233">
        <f>(INDEX(Models!$BJ253:$BT253,,AH253)*(1-AF253)+INDEX(Models!$BJ253:$BT253,,AH253+1)*AF253-ERP_i)*AE253*Ramure*Pc/MaxiM</f>
        <v>3.382812268161848E-3</v>
      </c>
      <c r="AE253" s="307">
        <f t="shared" si="88"/>
        <v>1</v>
      </c>
      <c r="AF253" s="179">
        <f t="shared" si="89"/>
        <v>0.27268857892064413</v>
      </c>
      <c r="AG253" s="837">
        <f t="shared" si="95"/>
        <v>-1</v>
      </c>
      <c r="AH253" s="178">
        <f t="shared" si="90"/>
        <v>5</v>
      </c>
      <c r="AI253" s="227">
        <f t="shared" si="91"/>
        <v>-0.72731142107935587</v>
      </c>
      <c r="AJ253" s="267" t="b">
        <f t="shared" si="92"/>
        <v>0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4"/>
        <v>44070</v>
      </c>
      <c r="B254" s="618">
        <v>41.442</v>
      </c>
      <c r="C254" s="392"/>
      <c r="D254" s="395">
        <f t="shared" si="74"/>
        <v>42.178539971911462</v>
      </c>
      <c r="E254" s="387">
        <f t="shared" si="96"/>
        <v>48.240423826639123</v>
      </c>
      <c r="F254" s="387">
        <f t="shared" si="75"/>
        <v>48.386398649355534</v>
      </c>
      <c r="G254" s="110">
        <f t="shared" si="97"/>
        <v>0.9015433470981471</v>
      </c>
      <c r="H254" s="414" t="b">
        <f>Wh_hp&gt;='2019'!Maxi_hp</f>
        <v>1</v>
      </c>
      <c r="I254" s="382">
        <f>IF(H254,Wh_hp,'2019'!Maxi_hp)</f>
        <v>48.386398649355534</v>
      </c>
      <c r="J254" s="85">
        <f>IF(H254,An,'2019'!An_max)</f>
        <v>2020</v>
      </c>
      <c r="K254" s="199">
        <f t="shared" si="76"/>
        <v>44070</v>
      </c>
      <c r="L254" s="147">
        <f>IF(t&lt;Tvie,1-EXP((T0-t)*PertePVj)+'2019'!Pspv,1-EXP((T0-t)*PertePVj)+Pspv)</f>
        <v>1.7462434034036245E-2</v>
      </c>
      <c r="M254" s="870"/>
      <c r="N254" s="870"/>
      <c r="O254" s="48">
        <f>IF(t&lt;Tnet,'2019'!Resal+('2019'!Salim-'2019'!Resal)*(1-EXP(('2019'!Tnet-t)/('2019'!Tau_j))),Resal+(Salim-Resal)*(1-EXP((Tnet-t)/(Tau_j))))*Salcycl</f>
        <v>0.12565983824089449</v>
      </c>
      <c r="P254" s="171">
        <f>(INDEX(Models!$BJ254:$BT254,,T254)*(1-R254)+INDEX(Models!$BJ254:$BT254,,T254+1)*R254-ERP_i)*Q254*Ramure*Pc/MaxiM</f>
        <v>3.5080441927360013E-3</v>
      </c>
      <c r="Q254" s="307">
        <f t="shared" si="77"/>
        <v>1</v>
      </c>
      <c r="R254" s="179">
        <f t="shared" si="78"/>
        <v>0.27374732955422787</v>
      </c>
      <c r="S254" s="837">
        <f t="shared" si="79"/>
        <v>-1</v>
      </c>
      <c r="T254" s="178">
        <f t="shared" si="80"/>
        <v>5</v>
      </c>
      <c r="U254" s="253">
        <f t="shared" si="81"/>
        <v>-0.72625267044577213</v>
      </c>
      <c r="V254" s="385">
        <f t="shared" si="82"/>
        <v>45.945192472268644</v>
      </c>
      <c r="W254" s="404"/>
      <c r="X254" s="157">
        <f t="shared" si="83"/>
        <v>44070</v>
      </c>
      <c r="Y254" s="387">
        <f t="shared" si="84"/>
        <v>41.442</v>
      </c>
      <c r="Z254" s="387">
        <f t="shared" si="85"/>
        <v>42.178539971911462</v>
      </c>
      <c r="AA254" s="388">
        <f t="shared" si="86"/>
        <v>48.240423826639123</v>
      </c>
      <c r="AB254" s="199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0.12565983824089449</v>
      </c>
      <c r="AD254" s="233">
        <f>(INDEX(Models!$BJ254:$BT254,,AH254)*(1-AF254)+INDEX(Models!$BJ254:$BT254,,AH254+1)*AF254-ERP_i)*AE254*Ramure*Pc/MaxiM</f>
        <v>3.5080441927360013E-3</v>
      </c>
      <c r="AE254" s="307">
        <f t="shared" si="88"/>
        <v>1</v>
      </c>
      <c r="AF254" s="179">
        <f t="shared" si="89"/>
        <v>0.27374732955422787</v>
      </c>
      <c r="AG254" s="837">
        <f t="shared" si="95"/>
        <v>-1</v>
      </c>
      <c r="AH254" s="178">
        <f t="shared" si="90"/>
        <v>5</v>
      </c>
      <c r="AI254" s="227">
        <f t="shared" si="91"/>
        <v>-0.72625267044577213</v>
      </c>
      <c r="AJ254" s="267" t="b">
        <f t="shared" si="92"/>
        <v>0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4"/>
        <v>44071</v>
      </c>
      <c r="B255" s="618">
        <v>7.4189999999999996</v>
      </c>
      <c r="C255" s="392"/>
      <c r="D255" s="395">
        <f t="shared" si="74"/>
        <v>7.5510320541203653</v>
      </c>
      <c r="E255" s="387">
        <f t="shared" si="96"/>
        <v>8.6368033337211081</v>
      </c>
      <c r="F255" s="387">
        <f t="shared" si="75"/>
        <v>8.6368033337211081</v>
      </c>
      <c r="G255" s="110">
        <f t="shared" si="97"/>
        <v>0.16185943141184345</v>
      </c>
      <c r="H255" s="414" t="b">
        <f>Wh_hp&gt;='2019'!Maxi_hp</f>
        <v>0</v>
      </c>
      <c r="I255" s="382">
        <f>IF(H255,Wh_hp,'2019'!Maxi_hp)</f>
        <v>49.073644341617516</v>
      </c>
      <c r="J255" s="85">
        <f>IF(H255,An,'2019'!An_max)</f>
        <v>2019</v>
      </c>
      <c r="K255" s="199">
        <f t="shared" si="76"/>
        <v>44071</v>
      </c>
      <c r="L255" s="147">
        <f>IF(t&lt;Tvie,1-EXP((T0-t)*PertePVj)+'2019'!Pspv,1-EXP((T0-t)*PertePVj)+Pspv)</f>
        <v>1.7485299118591313E-2</v>
      </c>
      <c r="M255" s="870"/>
      <c r="N255" s="870"/>
      <c r="O255" s="48">
        <f>IF(t&lt;Tnet,'2019'!Resal+('2019'!Salim-'2019'!Resal)*(1-EXP(('2019'!Tnet-t)/('2019'!Tau_j))),Resal+(Salim-Resal)*(1-EXP((Tnet-t)/(Tau_j))))*Salcycl</f>
        <v>0.12571448458962936</v>
      </c>
      <c r="P255" s="171">
        <f>(INDEX(Models!$BJ255:$BT255,,T255)*(1-R255)+INDEX(Models!$BJ255:$BT255,,T255+1)*R255-ERP_i)*Q255*Ramure*Pc/MaxiM</f>
        <v>3.6315700687332294E-3</v>
      </c>
      <c r="Q255" s="307">
        <f t="shared" si="77"/>
        <v>1</v>
      </c>
      <c r="R255" s="179">
        <f t="shared" si="78"/>
        <v>0.27476658513744034</v>
      </c>
      <c r="S255" s="837">
        <f t="shared" si="79"/>
        <v>-1</v>
      </c>
      <c r="T255" s="178">
        <f t="shared" si="80"/>
        <v>5</v>
      </c>
      <c r="U255" s="253">
        <f t="shared" si="81"/>
        <v>-0.72523341486255966</v>
      </c>
      <c r="V255" s="385">
        <f t="shared" si="82"/>
        <v>45.669611694429705</v>
      </c>
      <c r="W255" s="404"/>
      <c r="X255" s="157">
        <f t="shared" si="83"/>
        <v>44071</v>
      </c>
      <c r="Y255" s="387">
        <f t="shared" si="84"/>
        <v>7.4190000000000005</v>
      </c>
      <c r="Z255" s="387">
        <f t="shared" si="85"/>
        <v>7.5510320541203662</v>
      </c>
      <c r="AA255" s="388">
        <f t="shared" si="86"/>
        <v>8.6368033337211081</v>
      </c>
      <c r="AB255" s="199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0.12571448458962936</v>
      </c>
      <c r="AD255" s="233">
        <f>(INDEX(Models!$BJ255:$BT255,,AH255)*(1-AF255)+INDEX(Models!$BJ255:$BT255,,AH255+1)*AF255-ERP_i)*AE255*Ramure*Pc/MaxiM</f>
        <v>3.6315700687332294E-3</v>
      </c>
      <c r="AE255" s="307">
        <f t="shared" si="88"/>
        <v>1</v>
      </c>
      <c r="AF255" s="179">
        <f t="shared" si="89"/>
        <v>0.27476658513744034</v>
      </c>
      <c r="AG255" s="837">
        <f t="shared" si="95"/>
        <v>-1</v>
      </c>
      <c r="AH255" s="178">
        <f t="shared" si="90"/>
        <v>5</v>
      </c>
      <c r="AI255" s="227">
        <f t="shared" si="91"/>
        <v>-0.72523341486255966</v>
      </c>
      <c r="AJ255" s="267" t="b">
        <f t="shared" si="92"/>
        <v>0</v>
      </c>
      <c r="AK255" s="267" t="b">
        <f t="shared" si="93"/>
        <v>0</v>
      </c>
      <c r="AL255" s="267"/>
      <c r="AM255" s="267"/>
      <c r="AN255" s="75"/>
    </row>
    <row r="256" spans="1:40" s="6" customFormat="1" ht="11.25" customHeight="1" x14ac:dyDescent="0.2">
      <c r="A256" s="56">
        <f t="shared" si="94"/>
        <v>44072</v>
      </c>
      <c r="B256" s="618">
        <v>17.791</v>
      </c>
      <c r="C256" s="392"/>
      <c r="D256" s="395">
        <f t="shared" si="74"/>
        <v>18.108038501851961</v>
      </c>
      <c r="E256" s="387">
        <f t="shared" si="96"/>
        <v>20.713077868204266</v>
      </c>
      <c r="F256" s="387">
        <f t="shared" si="75"/>
        <v>20.723297635352711</v>
      </c>
      <c r="G256" s="110">
        <f t="shared" si="97"/>
        <v>0.39069312573403364</v>
      </c>
      <c r="H256" s="414" t="b">
        <f>Wh_hp&gt;='2019'!Maxi_hp</f>
        <v>0</v>
      </c>
      <c r="I256" s="382">
        <f>IF(H256,Wh_hp,'2019'!Maxi_hp)</f>
        <v>48.617005126682457</v>
      </c>
      <c r="J256" s="85">
        <f>IF(H256,An,'2019'!An_max)</f>
        <v>2019</v>
      </c>
      <c r="K256" s="199">
        <f t="shared" si="76"/>
        <v>44072</v>
      </c>
      <c r="L256" s="147">
        <f>IF(t&lt;Tvie,1-EXP((T0-t)*PertePVj)+'2019'!Pspv,1-EXP((T0-t)*PertePVj)+Pspv)</f>
        <v>1.7508163671042465E-2</v>
      </c>
      <c r="M256" s="870"/>
      <c r="N256" s="870"/>
      <c r="O256" s="48">
        <f>IF(t&lt;Tnet,'2019'!Resal+('2019'!Salim-'2019'!Resal)*(1-EXP(('2019'!Tnet-t)/('2019'!Tau_j))),Resal+(Salim-Resal)*(1-EXP((Tnet-t)/(Tau_j))))*Salcycl</f>
        <v>0.12576785463406112</v>
      </c>
      <c r="P256" s="171">
        <f>(INDEX(Models!$BJ256:$BT256,,T256)*(1-R256)+INDEX(Models!$BJ256:$BT256,,T256+1)*R256-ERP_i)*Q256*Ramure*Pc/MaxiM</f>
        <v>3.7534102444739185E-3</v>
      </c>
      <c r="Q256" s="307">
        <f t="shared" si="77"/>
        <v>1</v>
      </c>
      <c r="R256" s="179">
        <f t="shared" si="78"/>
        <v>0.27574770172308494</v>
      </c>
      <c r="S256" s="837">
        <f t="shared" si="79"/>
        <v>-1</v>
      </c>
      <c r="T256" s="178">
        <f t="shared" si="80"/>
        <v>5</v>
      </c>
      <c r="U256" s="253">
        <f t="shared" si="81"/>
        <v>-0.72425229827691506</v>
      </c>
      <c r="V256" s="385">
        <f t="shared" si="82"/>
        <v>45.388482637534139</v>
      </c>
      <c r="W256" s="404"/>
      <c r="X256" s="157">
        <f t="shared" si="83"/>
        <v>44072</v>
      </c>
      <c r="Y256" s="387">
        <f t="shared" si="84"/>
        <v>17.791</v>
      </c>
      <c r="Z256" s="387">
        <f t="shared" si="85"/>
        <v>18.108038501851961</v>
      </c>
      <c r="AA256" s="388">
        <f t="shared" si="86"/>
        <v>20.713077868204266</v>
      </c>
      <c r="AB256" s="199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0.12576785463406112</v>
      </c>
      <c r="AD256" s="233">
        <f>(INDEX(Models!$BJ256:$BT256,,AH256)*(1-AF256)+INDEX(Models!$BJ256:$BT256,,AH256+1)*AF256-ERP_i)*AE256*Ramure*Pc/MaxiM</f>
        <v>3.7534102444739185E-3</v>
      </c>
      <c r="AE256" s="307">
        <f t="shared" si="88"/>
        <v>1</v>
      </c>
      <c r="AF256" s="179">
        <f t="shared" si="89"/>
        <v>0.27574770172308494</v>
      </c>
      <c r="AG256" s="837">
        <f t="shared" si="95"/>
        <v>-1</v>
      </c>
      <c r="AH256" s="178">
        <f t="shared" si="90"/>
        <v>5</v>
      </c>
      <c r="AI256" s="227">
        <f t="shared" si="91"/>
        <v>-0.72425229827691506</v>
      </c>
      <c r="AJ256" s="267" t="b">
        <f t="shared" si="92"/>
        <v>0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4"/>
        <v>44073</v>
      </c>
      <c r="B257" s="618">
        <v>24.821999999999999</v>
      </c>
      <c r="C257" s="392"/>
      <c r="D257" s="395">
        <f t="shared" si="74"/>
        <v>25.264920012357699</v>
      </c>
      <c r="E257" s="387">
        <f t="shared" si="96"/>
        <v>28.901275846569543</v>
      </c>
      <c r="F257" s="387">
        <f t="shared" si="75"/>
        <v>28.94137124826069</v>
      </c>
      <c r="G257" s="110">
        <f t="shared" si="97"/>
        <v>0.54898595378859272</v>
      </c>
      <c r="H257" s="414" t="b">
        <f>Wh_hp&gt;='2019'!Maxi_hp</f>
        <v>0</v>
      </c>
      <c r="I257" s="382">
        <f>IF(H257,Wh_hp,'2019'!Maxi_hp)</f>
        <v>47.041209046242066</v>
      </c>
      <c r="J257" s="85">
        <f>IF(H257,An,'2019'!An_max)</f>
        <v>2019</v>
      </c>
      <c r="K257" s="199">
        <f t="shared" si="76"/>
        <v>44073</v>
      </c>
      <c r="L257" s="147">
        <f>IF(t&lt;Tvie,1-EXP((T0-t)*PertePVj)+'2019'!Pspv,1-EXP((T0-t)*PertePVj)+Pspv)</f>
        <v>1.7531027691402024E-2</v>
      </c>
      <c r="M257" s="870"/>
      <c r="N257" s="870"/>
      <c r="O257" s="48">
        <f>IF(t&lt;Tnet,'2019'!Resal+('2019'!Salim-'2019'!Resal)*(1-EXP(('2019'!Tnet-t)/('2019'!Tau_j))),Resal+(Salim-Resal)*(1-EXP((Tnet-t)/(Tau_j))))*Salcycl</f>
        <v>0.12581990682752034</v>
      </c>
      <c r="P257" s="171">
        <f>(INDEX(Models!$BJ257:$BT257,,T257)*(1-R257)+INDEX(Models!$BJ257:$BT257,,T257+1)*R257-ERP_i)*Q257*Ramure*Pc/MaxiM</f>
        <v>3.8735872339575096E-3</v>
      </c>
      <c r="Q257" s="307">
        <f t="shared" si="77"/>
        <v>1</v>
      </c>
      <c r="R257" s="179">
        <f t="shared" si="78"/>
        <v>0.27669199778866527</v>
      </c>
      <c r="S257" s="837">
        <f t="shared" si="79"/>
        <v>-1</v>
      </c>
      <c r="T257" s="178">
        <f t="shared" si="80"/>
        <v>5</v>
      </c>
      <c r="U257" s="253">
        <f t="shared" si="81"/>
        <v>-0.72330800221133473</v>
      </c>
      <c r="V257" s="385">
        <f t="shared" si="82"/>
        <v>45.101613956367842</v>
      </c>
      <c r="W257" s="404"/>
      <c r="X257" s="157">
        <f t="shared" si="83"/>
        <v>44073</v>
      </c>
      <c r="Y257" s="387">
        <f t="shared" si="84"/>
        <v>24.821999999999999</v>
      </c>
      <c r="Z257" s="387">
        <f t="shared" si="85"/>
        <v>25.264920012357699</v>
      </c>
      <c r="AA257" s="388">
        <f t="shared" si="86"/>
        <v>28.901275846569543</v>
      </c>
      <c r="AB257" s="199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0.12581990682752034</v>
      </c>
      <c r="AD257" s="233">
        <f>(INDEX(Models!$BJ257:$BT257,,AH257)*(1-AF257)+INDEX(Models!$BJ257:$BT257,,AH257+1)*AF257-ERP_i)*AE257*Ramure*Pc/MaxiM</f>
        <v>3.8735872339575096E-3</v>
      </c>
      <c r="AE257" s="307">
        <f t="shared" si="88"/>
        <v>1</v>
      </c>
      <c r="AF257" s="179">
        <f t="shared" si="89"/>
        <v>0.27669199778866527</v>
      </c>
      <c r="AG257" s="837">
        <f t="shared" si="95"/>
        <v>-1</v>
      </c>
      <c r="AH257" s="178">
        <f t="shared" si="90"/>
        <v>5</v>
      </c>
      <c r="AI257" s="227">
        <f t="shared" si="91"/>
        <v>-0.72330800221133473</v>
      </c>
      <c r="AJ257" s="267" t="b">
        <f t="shared" si="92"/>
        <v>0</v>
      </c>
      <c r="AK257" s="267" t="b">
        <f t="shared" si="93"/>
        <v>0</v>
      </c>
      <c r="AL257" s="267"/>
      <c r="AM257" s="267"/>
      <c r="AN257" s="75"/>
    </row>
    <row r="258" spans="1:40" s="6" customFormat="1" ht="11.25" customHeight="1" x14ac:dyDescent="0.2">
      <c r="A258" s="56">
        <f t="shared" si="94"/>
        <v>44074</v>
      </c>
      <c r="B258" s="618">
        <v>36.655999999999999</v>
      </c>
      <c r="C258" s="392"/>
      <c r="D258" s="395">
        <f t="shared" si="74"/>
        <v>37.310952398208464</v>
      </c>
      <c r="E258" s="387">
        <f t="shared" si="96"/>
        <v>42.683557280276482</v>
      </c>
      <c r="F258" s="387">
        <f t="shared" si="75"/>
        <v>42.810038562102854</v>
      </c>
      <c r="G258" s="110">
        <f t="shared" si="97"/>
        <v>0.81720196824518643</v>
      </c>
      <c r="H258" s="414" t="b">
        <f>Wh_hp&gt;='2019'!Maxi_hp</f>
        <v>1</v>
      </c>
      <c r="I258" s="382">
        <f>IF(H258,Wh_hp,'2019'!Maxi_hp)</f>
        <v>42.810038562102854</v>
      </c>
      <c r="J258" s="85">
        <f>IF(H258,An,'2019'!An_max)</f>
        <v>2020</v>
      </c>
      <c r="K258" s="199">
        <f t="shared" si="76"/>
        <v>44074</v>
      </c>
      <c r="L258" s="147">
        <f>IF(t&lt;Tvie,1-EXP((T0-t)*PertePVj)+'2019'!Pspv,1-EXP((T0-t)*PertePVj)+Pspv)</f>
        <v>1.7553891179682424E-2</v>
      </c>
      <c r="M258" s="870"/>
      <c r="N258" s="870"/>
      <c r="O258" s="48">
        <f>IF(t&lt;Tnet,'2019'!Resal+('2019'!Salim-'2019'!Resal)*(1-EXP(('2019'!Tnet-t)/('2019'!Tau_j))),Resal+(Salim-Resal)*(1-EXP((Tnet-t)/(Tau_j))))*Salcycl</f>
        <v>0.125870598056986</v>
      </c>
      <c r="P258" s="171">
        <f>(INDEX(Models!$BJ258:$BT258,,T258)*(1-R258)+INDEX(Models!$BJ258:$BT258,,T258+1)*R258-ERP_i)*Q258*Ramure*Pc/MaxiM</f>
        <v>3.9921256783746056E-3</v>
      </c>
      <c r="Q258" s="307">
        <f t="shared" si="77"/>
        <v>1</v>
      </c>
      <c r="R258" s="179">
        <f t="shared" si="78"/>
        <v>0.27760075456433531</v>
      </c>
      <c r="S258" s="837">
        <f t="shared" si="79"/>
        <v>-1</v>
      </c>
      <c r="T258" s="178">
        <f t="shared" si="80"/>
        <v>5</v>
      </c>
      <c r="U258" s="253">
        <f t="shared" si="81"/>
        <v>-0.72239924543566469</v>
      </c>
      <c r="V258" s="385">
        <f t="shared" si="82"/>
        <v>44.808814307557185</v>
      </c>
      <c r="W258" s="404"/>
      <c r="X258" s="157">
        <f t="shared" si="83"/>
        <v>44074</v>
      </c>
      <c r="Y258" s="387">
        <f t="shared" si="84"/>
        <v>36.655999999999999</v>
      </c>
      <c r="Z258" s="387">
        <f t="shared" si="85"/>
        <v>37.310952398208464</v>
      </c>
      <c r="AA258" s="388">
        <f t="shared" si="86"/>
        <v>42.683557280276482</v>
      </c>
      <c r="AB258" s="199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0.125870598056986</v>
      </c>
      <c r="AD258" s="233">
        <f>(INDEX(Models!$BJ258:$BT258,,AH258)*(1-AF258)+INDEX(Models!$BJ258:$BT258,,AH258+1)*AF258-ERP_i)*AE258*Ramure*Pc/MaxiM</f>
        <v>3.9921256783746056E-3</v>
      </c>
      <c r="AE258" s="307">
        <f t="shared" si="88"/>
        <v>1</v>
      </c>
      <c r="AF258" s="179">
        <f t="shared" si="89"/>
        <v>0.27760075456433531</v>
      </c>
      <c r="AG258" s="837">
        <f t="shared" si="95"/>
        <v>-1</v>
      </c>
      <c r="AH258" s="178">
        <f t="shared" si="90"/>
        <v>5</v>
      </c>
      <c r="AI258" s="227">
        <f t="shared" si="91"/>
        <v>-0.72239924543566469</v>
      </c>
      <c r="AJ258" s="267" t="b">
        <f t="shared" si="92"/>
        <v>0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4"/>
        <v>44075</v>
      </c>
      <c r="B259" s="618">
        <v>39.055999999999997</v>
      </c>
      <c r="C259" s="392"/>
      <c r="D259" s="395">
        <f t="shared" si="74"/>
        <v>39.754759635850995</v>
      </c>
      <c r="E259" s="387">
        <f t="shared" si="96"/>
        <v>45.481825849823039</v>
      </c>
      <c r="F259" s="387">
        <f t="shared" si="75"/>
        <v>45.636523601837162</v>
      </c>
      <c r="G259" s="110">
        <f t="shared" si="97"/>
        <v>0.87683457474933868</v>
      </c>
      <c r="H259" s="414" t="b">
        <f>Wh_hp&gt;='2019'!Maxi_hp</f>
        <v>0</v>
      </c>
      <c r="I259" s="382">
        <f>IF(H259,Wh_hp,'2019'!Maxi_hp)</f>
        <v>49.191044286339199</v>
      </c>
      <c r="J259" s="85">
        <f>IF(H259,An,'2019'!An_max)</f>
        <v>2019</v>
      </c>
      <c r="K259" s="199">
        <f t="shared" si="76"/>
        <v>44075</v>
      </c>
      <c r="L259" s="147">
        <f>IF(t&lt;Tvie,1-EXP((T0-t)*PertePVj)+'2019'!Pspv,1-EXP((T0-t)*PertePVj)+Pspv)</f>
        <v>1.75767541358961E-2</v>
      </c>
      <c r="M259" s="870"/>
      <c r="N259" s="870"/>
      <c r="O259" s="48">
        <f>IF(t&lt;Tnet,'2019'!Resal+('2019'!Salim-'2019'!Resal)*(1-EXP(('2019'!Tnet-t)/('2019'!Tau_j))),Resal+(Salim-Resal)*(1-EXP((Tnet-t)/(Tau_j))))*Salcycl</f>
        <v>0.1259198835350698</v>
      </c>
      <c r="P259" s="171">
        <f>(INDEX(Models!$BJ259:$BT259,,T259)*(1-R259)+INDEX(Models!$BJ259:$BT259,,T259+1)*R259-ERP_i)*Q259*Ramure*Pc/MaxiM</f>
        <v>4.1090523148339031E-3</v>
      </c>
      <c r="Q259" s="307">
        <f t="shared" si="77"/>
        <v>1</v>
      </c>
      <c r="R259" s="179">
        <f t="shared" si="78"/>
        <v>0.27847521642422457</v>
      </c>
      <c r="S259" s="837">
        <f t="shared" si="79"/>
        <v>-1</v>
      </c>
      <c r="T259" s="178">
        <f t="shared" si="80"/>
        <v>5</v>
      </c>
      <c r="U259" s="253">
        <f t="shared" si="81"/>
        <v>-0.72152478357577543</v>
      </c>
      <c r="V259" s="385">
        <f t="shared" si="82"/>
        <v>44.509892350761767</v>
      </c>
      <c r="W259" s="404"/>
      <c r="X259" s="157">
        <f t="shared" si="83"/>
        <v>44075</v>
      </c>
      <c r="Y259" s="387">
        <f t="shared" si="84"/>
        <v>39.055999999999997</v>
      </c>
      <c r="Z259" s="387">
        <f t="shared" si="85"/>
        <v>39.754759635850995</v>
      </c>
      <c r="AA259" s="388">
        <f t="shared" si="86"/>
        <v>45.481825849823039</v>
      </c>
      <c r="AB259" s="199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0.1259198835350698</v>
      </c>
      <c r="AD259" s="233">
        <f>(INDEX(Models!$BJ259:$BT259,,AH259)*(1-AF259)+INDEX(Models!$BJ259:$BT259,,AH259+1)*AF259-ERP_i)*AE259*Ramure*Pc/MaxiM</f>
        <v>4.1090523148339031E-3</v>
      </c>
      <c r="AE259" s="307">
        <f t="shared" si="88"/>
        <v>1</v>
      </c>
      <c r="AF259" s="179">
        <f t="shared" si="89"/>
        <v>0.27847521642422457</v>
      </c>
      <c r="AG259" s="837">
        <f t="shared" si="95"/>
        <v>-1</v>
      </c>
      <c r="AH259" s="178">
        <f t="shared" si="90"/>
        <v>5</v>
      </c>
      <c r="AI259" s="227">
        <f t="shared" si="91"/>
        <v>-0.72152478357577543</v>
      </c>
      <c r="AJ259" s="267" t="b">
        <f t="shared" si="92"/>
        <v>0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4"/>
        <v>44076</v>
      </c>
      <c r="B260" s="618">
        <v>43.323</v>
      </c>
      <c r="C260" s="392"/>
      <c r="D260" s="395">
        <f t="shared" si="74"/>
        <v>44.099127738836415</v>
      </c>
      <c r="E260" s="387">
        <f t="shared" si="96"/>
        <v>50.454804222546528</v>
      </c>
      <c r="F260" s="387">
        <f t="shared" si="75"/>
        <v>50.662725646688564</v>
      </c>
      <c r="G260" s="110">
        <f t="shared" si="97"/>
        <v>0.97993666626612097</v>
      </c>
      <c r="H260" s="414" t="b">
        <f>Wh_hp&gt;='2019'!Maxi_hp</f>
        <v>0</v>
      </c>
      <c r="I260" s="382">
        <f>IF(H260,Wh_hp,'2019'!Maxi_hp)</f>
        <v>51.164853972749853</v>
      </c>
      <c r="J260" s="85">
        <f>IF(H260,An,'2019'!An_max)</f>
        <v>2019</v>
      </c>
      <c r="K260" s="199">
        <f t="shared" si="76"/>
        <v>44076</v>
      </c>
      <c r="L260" s="147">
        <f>IF(t&lt;Tvie,1-EXP((T0-t)*PertePVj)+'2019'!Pspv,1-EXP((T0-t)*PertePVj)+Pspv)</f>
        <v>1.7599616560055265E-2</v>
      </c>
      <c r="M260" s="870"/>
      <c r="N260" s="870"/>
      <c r="O260" s="48">
        <f>IF(t&lt;Tnet,'2019'!Resal+('2019'!Salim-'2019'!Resal)*(1-EXP(('2019'!Tnet-t)/('2019'!Tau_j))),Resal+(Salim-Resal)*(1-EXP((Tnet-t)/(Tau_j))))*Salcycl</f>
        <v>0.12596771668514326</v>
      </c>
      <c r="P260" s="171">
        <f>(INDEX(Models!$BJ260:$BT260,,T260)*(1-R260)+INDEX(Models!$BJ260:$BT260,,T260+1)*R260-ERP_i)*Q260*Ramure*Pc/MaxiM</f>
        <v>4.2243959531642816E-3</v>
      </c>
      <c r="Q260" s="307">
        <f t="shared" si="77"/>
        <v>1</v>
      </c>
      <c r="R260" s="179">
        <f t="shared" si="78"/>
        <v>0.2793165913343002</v>
      </c>
      <c r="S260" s="837">
        <f t="shared" si="79"/>
        <v>-1</v>
      </c>
      <c r="T260" s="178">
        <f t="shared" si="80"/>
        <v>5</v>
      </c>
      <c r="U260" s="253">
        <f t="shared" si="81"/>
        <v>-0.7206834086656998</v>
      </c>
      <c r="V260" s="385">
        <f t="shared" si="82"/>
        <v>44.204656744689913</v>
      </c>
      <c r="W260" s="404"/>
      <c r="X260" s="157">
        <f t="shared" si="83"/>
        <v>44076</v>
      </c>
      <c r="Y260" s="387">
        <f t="shared" si="84"/>
        <v>43.323</v>
      </c>
      <c r="Z260" s="387">
        <f t="shared" si="85"/>
        <v>44.099127738836415</v>
      </c>
      <c r="AA260" s="388">
        <f t="shared" si="86"/>
        <v>50.454804222546528</v>
      </c>
      <c r="AB260" s="199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0.12596771668514326</v>
      </c>
      <c r="AD260" s="233">
        <f>(INDEX(Models!$BJ260:$BT260,,AH260)*(1-AF260)+INDEX(Models!$BJ260:$BT260,,AH260+1)*AF260-ERP_i)*AE260*Ramure*Pc/MaxiM</f>
        <v>4.2243959531642816E-3</v>
      </c>
      <c r="AE260" s="307">
        <f t="shared" si="88"/>
        <v>1</v>
      </c>
      <c r="AF260" s="179">
        <f t="shared" si="89"/>
        <v>0.2793165913343002</v>
      </c>
      <c r="AG260" s="837">
        <f t="shared" si="95"/>
        <v>-1</v>
      </c>
      <c r="AH260" s="178">
        <f t="shared" si="90"/>
        <v>5</v>
      </c>
      <c r="AI260" s="227">
        <f t="shared" si="91"/>
        <v>-0.7206834086656998</v>
      </c>
      <c r="AJ260" s="267" t="b">
        <f t="shared" si="92"/>
        <v>0</v>
      </c>
      <c r="AK260" s="267" t="b">
        <f t="shared" si="93"/>
        <v>0</v>
      </c>
      <c r="AL260" s="267"/>
      <c r="AM260" s="267"/>
      <c r="AN260" s="75"/>
    </row>
    <row r="261" spans="1:40" s="6" customFormat="1" ht="11.25" x14ac:dyDescent="0.2">
      <c r="A261" s="56">
        <f t="shared" si="94"/>
        <v>44077</v>
      </c>
      <c r="B261" s="618">
        <v>41.865000000000002</v>
      </c>
      <c r="C261" s="392"/>
      <c r="D261" s="395">
        <f t="shared" si="74"/>
        <v>42.615999533496847</v>
      </c>
      <c r="E261" s="387">
        <f t="shared" si="96"/>
        <v>48.760508662485456</v>
      </c>
      <c r="F261" s="387">
        <f t="shared" si="75"/>
        <v>48.958889417710587</v>
      </c>
      <c r="G261" s="110">
        <f t="shared" si="97"/>
        <v>0.95353671286170139</v>
      </c>
      <c r="H261" s="414" t="b">
        <f>Wh_hp&gt;='2019'!Maxi_hp</f>
        <v>0</v>
      </c>
      <c r="I261" s="382">
        <f>IF(H261,Wh_hp,'2019'!Maxi_hp)</f>
        <v>50.630743838713244</v>
      </c>
      <c r="J261" s="85">
        <f>IF(H261,An,'2019'!An_max)</f>
        <v>2019</v>
      </c>
      <c r="K261" s="199">
        <f t="shared" si="76"/>
        <v>44077</v>
      </c>
      <c r="L261" s="147">
        <f>IF(t&lt;Tvie,1-EXP((T0-t)*PertePVj)+'2019'!Pspv,1-EXP((T0-t)*PertePVj)+Pspv)</f>
        <v>1.7622478452172574E-2</v>
      </c>
      <c r="M261" s="870"/>
      <c r="N261" s="870"/>
      <c r="O261" s="48">
        <f>IF(t&lt;Tnet,'2019'!Resal+('2019'!Salim-'2019'!Resal)*(1-EXP(('2019'!Tnet-t)/('2019'!Tau_j))),Resal+(Salim-Resal)*(1-EXP((Tnet-t)/(Tau_j))))*Salcycl</f>
        <v>0.12601404902315894</v>
      </c>
      <c r="P261" s="171">
        <f>(INDEX(Models!$BJ261:$BT261,,T261)*(1-R261)+INDEX(Models!$BJ261:$BT261,,T261+1)*R261-ERP_i)*Q261*Ramure*Pc/MaxiM</f>
        <v>4.3382431776972097E-3</v>
      </c>
      <c r="Q261" s="307">
        <f t="shared" si="77"/>
        <v>1</v>
      </c>
      <c r="R261" s="179">
        <f t="shared" si="78"/>
        <v>0.28012605135037016</v>
      </c>
      <c r="S261" s="837">
        <f t="shared" si="79"/>
        <v>-1</v>
      </c>
      <c r="T261" s="178">
        <f t="shared" si="80"/>
        <v>5</v>
      </c>
      <c r="U261" s="253">
        <f t="shared" si="81"/>
        <v>-0.71987394864962984</v>
      </c>
      <c r="V261" s="385">
        <f t="shared" si="82"/>
        <v>43.892349963372219</v>
      </c>
      <c r="W261" s="404"/>
      <c r="X261" s="157">
        <f t="shared" si="83"/>
        <v>44077</v>
      </c>
      <c r="Y261" s="387">
        <f t="shared" si="84"/>
        <v>41.865000000000002</v>
      </c>
      <c r="Z261" s="387">
        <f t="shared" si="85"/>
        <v>42.615999533496847</v>
      </c>
      <c r="AA261" s="388">
        <f t="shared" si="86"/>
        <v>48.760508662485456</v>
      </c>
      <c r="AB261" s="199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0.12601404902315894</v>
      </c>
      <c r="AD261" s="233">
        <f>(INDEX(Models!$BJ261:$BT261,,AH261)*(1-AF261)+INDEX(Models!$BJ261:$BT261,,AH261+1)*AF261-ERP_i)*AE261*Ramure*Pc/MaxiM</f>
        <v>4.3382431776972097E-3</v>
      </c>
      <c r="AE261" s="307">
        <f t="shared" si="88"/>
        <v>1</v>
      </c>
      <c r="AF261" s="179">
        <f t="shared" si="89"/>
        <v>0.28012605135037016</v>
      </c>
      <c r="AG261" s="837">
        <f t="shared" si="95"/>
        <v>-1</v>
      </c>
      <c r="AH261" s="178">
        <f t="shared" si="90"/>
        <v>5</v>
      </c>
      <c r="AI261" s="227">
        <f t="shared" si="91"/>
        <v>-0.71987394864962984</v>
      </c>
      <c r="AJ261" s="267" t="b">
        <f t="shared" si="92"/>
        <v>0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4"/>
        <v>44078</v>
      </c>
      <c r="B262" s="618">
        <v>41.555</v>
      </c>
      <c r="C262" s="392"/>
      <c r="D262" s="395">
        <f t="shared" si="74"/>
        <v>42.301422983078574</v>
      </c>
      <c r="E262" s="387">
        <f t="shared" si="96"/>
        <v>48.403055534057188</v>
      </c>
      <c r="F262" s="387">
        <f t="shared" si="75"/>
        <v>48.60501068816032</v>
      </c>
      <c r="G262" s="110">
        <f t="shared" si="97"/>
        <v>0.95341108825167398</v>
      </c>
      <c r="H262" s="414" t="b">
        <f>Wh_hp&gt;='2019'!Maxi_hp</f>
        <v>1</v>
      </c>
      <c r="I262" s="382">
        <f>IF(H262,Wh_hp,'2019'!Maxi_hp)</f>
        <v>48.60501068816032</v>
      </c>
      <c r="J262" s="85">
        <f>IF(H262,An,'2019'!An_max)</f>
        <v>2020</v>
      </c>
      <c r="K262" s="199">
        <f t="shared" si="76"/>
        <v>44078</v>
      </c>
      <c r="L262" s="147">
        <f>IF(t&lt;Tvie,1-EXP((T0-t)*PertePVj)+'2019'!Pspv,1-EXP((T0-t)*PertePVj)+Pspv)</f>
        <v>1.764533981226013E-2</v>
      </c>
      <c r="M262" s="870"/>
      <c r="N262" s="870"/>
      <c r="O262" s="48">
        <f>IF(t&lt;Tnet,'2019'!Resal+('2019'!Salim-'2019'!Resal)*(1-EXP(('2019'!Tnet-t)/('2019'!Tau_j))),Resal+(Salim-Resal)*(1-EXP((Tnet-t)/(Tau_j))))*Salcycl</f>
        <v>0.12605883003988047</v>
      </c>
      <c r="P262" s="171">
        <f>(INDEX(Models!$BJ262:$BT262,,T262)*(1-R262)+INDEX(Models!$BJ262:$BT262,,T262+1)*R262-ERP_i)*Q262*Ramure*Pc/MaxiM</f>
        <v>4.4493659322932724E-3</v>
      </c>
      <c r="Q262" s="307">
        <f t="shared" si="77"/>
        <v>1</v>
      </c>
      <c r="R262" s="179">
        <f t="shared" si="78"/>
        <v>0.28090473316025077</v>
      </c>
      <c r="S262" s="837">
        <f t="shared" si="79"/>
        <v>-1</v>
      </c>
      <c r="T262" s="178">
        <f t="shared" si="80"/>
        <v>5</v>
      </c>
      <c r="U262" s="253">
        <f t="shared" si="81"/>
        <v>-0.71909526683974923</v>
      </c>
      <c r="V262" s="385">
        <f t="shared" si="82"/>
        <v>43.57272350146566</v>
      </c>
      <c r="W262" s="404"/>
      <c r="X262" s="157">
        <f t="shared" si="83"/>
        <v>44078</v>
      </c>
      <c r="Y262" s="387">
        <f t="shared" si="84"/>
        <v>41.555</v>
      </c>
      <c r="Z262" s="387">
        <f t="shared" si="85"/>
        <v>42.301422983078574</v>
      </c>
      <c r="AA262" s="388">
        <f t="shared" si="86"/>
        <v>48.403055534057188</v>
      </c>
      <c r="AB262" s="199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0.12605883003988047</v>
      </c>
      <c r="AD262" s="233">
        <f>(INDEX(Models!$BJ262:$BT262,,AH262)*(1-AF262)+INDEX(Models!$BJ262:$BT262,,AH262+1)*AF262-ERP_i)*AE262*Ramure*Pc/MaxiM</f>
        <v>4.4493659322932724E-3</v>
      </c>
      <c r="AE262" s="307">
        <f t="shared" si="88"/>
        <v>1</v>
      </c>
      <c r="AF262" s="179">
        <f t="shared" si="89"/>
        <v>0.28090473316025077</v>
      </c>
      <c r="AG262" s="837">
        <f t="shared" si="95"/>
        <v>-1</v>
      </c>
      <c r="AH262" s="178">
        <f t="shared" si="90"/>
        <v>5</v>
      </c>
      <c r="AI262" s="227">
        <f t="shared" si="91"/>
        <v>-0.71909526683974923</v>
      </c>
      <c r="AJ262" s="267" t="b">
        <f t="shared" si="92"/>
        <v>0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4"/>
        <v>44079</v>
      </c>
      <c r="B263" s="618">
        <v>38.890999999999998</v>
      </c>
      <c r="C263" s="392"/>
      <c r="D263" s="395">
        <f t="shared" si="74"/>
        <v>39.590492769704696</v>
      </c>
      <c r="E263" s="387">
        <f t="shared" si="96"/>
        <v>45.303334131426467</v>
      </c>
      <c r="F263" s="387">
        <f t="shared" si="75"/>
        <v>45.480869897963956</v>
      </c>
      <c r="G263" s="110">
        <f t="shared" si="97"/>
        <v>0.89870092044706351</v>
      </c>
      <c r="H263" s="414" t="b">
        <f>Wh_hp&gt;='2019'!Maxi_hp</f>
        <v>0</v>
      </c>
      <c r="I263" s="382">
        <f>IF(H263,Wh_hp,'2019'!Maxi_hp)</f>
        <v>51.979212378770349</v>
      </c>
      <c r="J263" s="85">
        <f>IF(H263,An,'2019'!An_max)</f>
        <v>2019</v>
      </c>
      <c r="K263" s="199">
        <f t="shared" si="76"/>
        <v>44079</v>
      </c>
      <c r="L263" s="147">
        <f>IF(t&lt;Tvie,1-EXP((T0-t)*PertePVj)+'2019'!Pspv,1-EXP((T0-t)*PertePVj)+Pspv)</f>
        <v>1.7668200640330478E-2</v>
      </c>
      <c r="M263" s="870"/>
      <c r="N263" s="870"/>
      <c r="O263" s="48">
        <f>IF(t&lt;Tnet,'2019'!Resal+('2019'!Salim-'2019'!Resal)*(1-EXP(('2019'!Tnet-t)/('2019'!Tau_j))),Resal+(Salim-Resal)*(1-EXP((Tnet-t)/(Tau_j))))*Salcycl</f>
        <v>0.12610200708735106</v>
      </c>
      <c r="P263" s="171">
        <f>(INDEX(Models!$BJ263:$BT263,,T263)*(1-R263)+INDEX(Models!$BJ263:$BT263,,T263+1)*R263-ERP_i)*Q263*Ramure*Pc/MaxiM</f>
        <v>4.5594854736586117E-3</v>
      </c>
      <c r="Q263" s="307">
        <f t="shared" si="77"/>
        <v>1</v>
      </c>
      <c r="R263" s="179">
        <f t="shared" si="78"/>
        <v>0.28165373866453502</v>
      </c>
      <c r="S263" s="837">
        <f t="shared" si="79"/>
        <v>-1</v>
      </c>
      <c r="T263" s="178">
        <f t="shared" si="80"/>
        <v>5</v>
      </c>
      <c r="U263" s="253">
        <f t="shared" si="81"/>
        <v>-0.71834626133546498</v>
      </c>
      <c r="V263" s="385">
        <f t="shared" si="82"/>
        <v>43.246188170350216</v>
      </c>
      <c r="W263" s="404"/>
      <c r="X263" s="157">
        <f t="shared" si="83"/>
        <v>44079</v>
      </c>
      <c r="Y263" s="387">
        <f t="shared" si="84"/>
        <v>38.890999999999998</v>
      </c>
      <c r="Z263" s="387">
        <f t="shared" si="85"/>
        <v>39.590492769704696</v>
      </c>
      <c r="AA263" s="388">
        <f t="shared" si="86"/>
        <v>45.303334131426467</v>
      </c>
      <c r="AB263" s="199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0.12610200708735106</v>
      </c>
      <c r="AD263" s="233">
        <f>(INDEX(Models!$BJ263:$BT263,,AH263)*(1-AF263)+INDEX(Models!$BJ263:$BT263,,AH263+1)*AF263-ERP_i)*AE263*Ramure*Pc/MaxiM</f>
        <v>4.5594854736586117E-3</v>
      </c>
      <c r="AE263" s="307">
        <f t="shared" si="88"/>
        <v>1</v>
      </c>
      <c r="AF263" s="179">
        <f t="shared" si="89"/>
        <v>0.28165373866453502</v>
      </c>
      <c r="AG263" s="837">
        <f t="shared" si="95"/>
        <v>-1</v>
      </c>
      <c r="AH263" s="178">
        <f t="shared" si="90"/>
        <v>5</v>
      </c>
      <c r="AI263" s="227">
        <f t="shared" si="91"/>
        <v>-0.71834626133546498</v>
      </c>
      <c r="AJ263" s="267" t="b">
        <f t="shared" si="92"/>
        <v>0</v>
      </c>
      <c r="AK263" s="267" t="b">
        <f t="shared" si="93"/>
        <v>0</v>
      </c>
      <c r="AL263" s="267"/>
      <c r="AM263" s="267"/>
      <c r="AN263" s="75"/>
    </row>
    <row r="264" spans="1:40" s="6" customFormat="1" ht="11.25" customHeight="1" x14ac:dyDescent="0.2">
      <c r="A264" s="56">
        <f t="shared" si="94"/>
        <v>44080</v>
      </c>
      <c r="B264" s="618">
        <v>25.268999999999998</v>
      </c>
      <c r="C264" s="392"/>
      <c r="D264" s="395">
        <f t="shared" si="74"/>
        <v>25.72408637967596</v>
      </c>
      <c r="E264" s="387">
        <f t="shared" si="96"/>
        <v>29.43742722479357</v>
      </c>
      <c r="F264" s="387">
        <f t="shared" si="75"/>
        <v>29.494244458888957</v>
      </c>
      <c r="G264" s="110">
        <f t="shared" si="97"/>
        <v>0.58722153307622715</v>
      </c>
      <c r="H264" s="414" t="b">
        <f>Wh_hp&gt;='2019'!Maxi_hp</f>
        <v>0</v>
      </c>
      <c r="I264" s="382">
        <f>IF(H264,Wh_hp,'2019'!Maxi_hp)</f>
        <v>50.735283993858943</v>
      </c>
      <c r="J264" s="85">
        <f>IF(H264,An,'2019'!An_max)</f>
        <v>2019</v>
      </c>
      <c r="K264" s="199">
        <f t="shared" si="76"/>
        <v>44080</v>
      </c>
      <c r="L264" s="147">
        <f>IF(t&lt;Tvie,1-EXP((T0-t)*PertePVj)+'2019'!Pspv,1-EXP((T0-t)*PertePVj)+Pspv)</f>
        <v>1.7691060936396052E-2</v>
      </c>
      <c r="M264" s="870"/>
      <c r="N264" s="870"/>
      <c r="O264" s="48">
        <f>IF(t&lt;Tnet,'2019'!Resal+('2019'!Salim-'2019'!Resal)*(1-EXP(('2019'!Tnet-t)/('2019'!Tau_j))),Resal+(Salim-Resal)*(1-EXP((Tnet-t)/(Tau_j))))*Salcycl</f>
        <v>0.12614352527350159</v>
      </c>
      <c r="P264" s="171">
        <f>(INDEX(Models!$BJ264:$BT264,,T264)*(1-R264)+INDEX(Models!$BJ264:$BT264,,T264+1)*R264-ERP_i)*Q264*Ramure*Pc/MaxiM</f>
        <v>4.6685764788633524E-3</v>
      </c>
      <c r="Q264" s="307">
        <f t="shared" si="77"/>
        <v>1</v>
      </c>
      <c r="R264" s="179">
        <f t="shared" si="78"/>
        <v>0.28237413559078772</v>
      </c>
      <c r="S264" s="837">
        <f t="shared" si="79"/>
        <v>-1</v>
      </c>
      <c r="T264" s="178">
        <f t="shared" si="80"/>
        <v>5</v>
      </c>
      <c r="U264" s="253">
        <f t="shared" si="81"/>
        <v>-0.71762586440921228</v>
      </c>
      <c r="V264" s="385">
        <f t="shared" si="82"/>
        <v>42.913231841363569</v>
      </c>
      <c r="W264" s="404"/>
      <c r="X264" s="157">
        <f t="shared" si="83"/>
        <v>44080</v>
      </c>
      <c r="Y264" s="387">
        <f t="shared" si="84"/>
        <v>25.268999999999998</v>
      </c>
      <c r="Z264" s="387">
        <f t="shared" si="85"/>
        <v>25.72408637967596</v>
      </c>
      <c r="AA264" s="388">
        <f t="shared" si="86"/>
        <v>29.43742722479357</v>
      </c>
      <c r="AB264" s="199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0.12614352527350159</v>
      </c>
      <c r="AD264" s="233">
        <f>(INDEX(Models!$BJ264:$BT264,,AH264)*(1-AF264)+INDEX(Models!$BJ264:$BT264,,AH264+1)*AF264-ERP_i)*AE264*Ramure*Pc/MaxiM</f>
        <v>4.6685764788633524E-3</v>
      </c>
      <c r="AE264" s="307">
        <f t="shared" si="88"/>
        <v>1</v>
      </c>
      <c r="AF264" s="179">
        <f t="shared" si="89"/>
        <v>0.28237413559078772</v>
      </c>
      <c r="AG264" s="837">
        <f t="shared" si="95"/>
        <v>-1</v>
      </c>
      <c r="AH264" s="178">
        <f t="shared" si="90"/>
        <v>5</v>
      </c>
      <c r="AI264" s="227">
        <f t="shared" si="91"/>
        <v>-0.71762586440921228</v>
      </c>
      <c r="AJ264" s="267" t="b">
        <f t="shared" si="92"/>
        <v>0</v>
      </c>
      <c r="AK264" s="267" t="b">
        <f t="shared" si="93"/>
        <v>0</v>
      </c>
      <c r="AL264" s="267"/>
      <c r="AM264" s="267"/>
      <c r="AN264" s="75"/>
    </row>
    <row r="265" spans="1:40" s="6" customFormat="1" ht="11.25" customHeight="1" x14ac:dyDescent="0.2">
      <c r="A265" s="56">
        <f t="shared" si="94"/>
        <v>44081</v>
      </c>
      <c r="B265" s="618">
        <v>34.646000000000001</v>
      </c>
      <c r="C265" s="392"/>
      <c r="D265" s="395">
        <f t="shared" si="74"/>
        <v>35.270783868489815</v>
      </c>
      <c r="E265" s="387">
        <f t="shared" si="96"/>
        <v>40.364054581705986</v>
      </c>
      <c r="F265" s="387">
        <f t="shared" si="75"/>
        <v>40.506063557931739</v>
      </c>
      <c r="G265" s="110">
        <f t="shared" si="97"/>
        <v>0.81273878467596627</v>
      </c>
      <c r="H265" s="414" t="b">
        <f>Wh_hp&gt;='2019'!Maxi_hp</f>
        <v>0</v>
      </c>
      <c r="I265" s="382">
        <f>IF(H265,Wh_hp,'2019'!Maxi_hp)</f>
        <v>44.572005255446598</v>
      </c>
      <c r="J265" s="85">
        <f>IF(H265,An,'2019'!An_max)</f>
        <v>2019</v>
      </c>
      <c r="K265" s="199">
        <f t="shared" si="76"/>
        <v>44081</v>
      </c>
      <c r="L265" s="147">
        <f>IF(t&lt;Tvie,1-EXP((T0-t)*PertePVj)+'2019'!Pspv,1-EXP((T0-t)*PertePVj)+Pspv)</f>
        <v>1.7713920700469066E-2</v>
      </c>
      <c r="M265" s="870"/>
      <c r="N265" s="870"/>
      <c r="O265" s="48">
        <f>IF(t&lt;Tnet,'2019'!Resal+('2019'!Salim-'2019'!Resal)*(1-EXP(('2019'!Tnet-t)/('2019'!Tau_j))),Resal+(Salim-Resal)*(1-EXP((Tnet-t)/(Tau_j))))*Salcycl</f>
        <v>0.12618332736881627</v>
      </c>
      <c r="P265" s="171">
        <f>(INDEX(Models!$BJ265:$BT265,,T265)*(1-R265)+INDEX(Models!$BJ265:$BT265,,T265+1)*R265-ERP_i)*Q265*Ramure*Pc/MaxiM</f>
        <v>4.7766073703408565E-3</v>
      </c>
      <c r="Q265" s="307">
        <f t="shared" si="77"/>
        <v>1</v>
      </c>
      <c r="R265" s="179">
        <f t="shared" si="78"/>
        <v>0.28306695813637184</v>
      </c>
      <c r="S265" s="837">
        <f t="shared" si="79"/>
        <v>-1</v>
      </c>
      <c r="T265" s="178">
        <f t="shared" si="80"/>
        <v>5</v>
      </c>
      <c r="U265" s="253">
        <f t="shared" si="81"/>
        <v>-0.71693304186362816</v>
      </c>
      <c r="V265" s="385">
        <f t="shared" si="82"/>
        <v>42.574342185594908</v>
      </c>
      <c r="W265" s="404"/>
      <c r="X265" s="157">
        <f t="shared" si="83"/>
        <v>44081</v>
      </c>
      <c r="Y265" s="387">
        <f t="shared" si="84"/>
        <v>34.646000000000001</v>
      </c>
      <c r="Z265" s="387">
        <f t="shared" si="85"/>
        <v>35.270783868489815</v>
      </c>
      <c r="AA265" s="388">
        <f t="shared" si="86"/>
        <v>40.364054581705986</v>
      </c>
      <c r="AB265" s="199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0.12618332736881627</v>
      </c>
      <c r="AD265" s="233">
        <f>(INDEX(Models!$BJ265:$BT265,,AH265)*(1-AF265)+INDEX(Models!$BJ265:$BT265,,AH265+1)*AF265-ERP_i)*AE265*Ramure*Pc/MaxiM</f>
        <v>4.7766073703408565E-3</v>
      </c>
      <c r="AE265" s="307">
        <f t="shared" si="88"/>
        <v>1</v>
      </c>
      <c r="AF265" s="179">
        <f t="shared" si="89"/>
        <v>0.28306695813637184</v>
      </c>
      <c r="AG265" s="837">
        <f t="shared" si="95"/>
        <v>-1</v>
      </c>
      <c r="AH265" s="178">
        <f t="shared" si="90"/>
        <v>5</v>
      </c>
      <c r="AI265" s="227">
        <f t="shared" si="91"/>
        <v>-0.71693304186362816</v>
      </c>
      <c r="AJ265" s="267" t="b">
        <f t="shared" si="92"/>
        <v>0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4"/>
        <v>44082</v>
      </c>
      <c r="B266" s="618">
        <v>39.231000000000002</v>
      </c>
      <c r="C266" s="392"/>
      <c r="D266" s="395">
        <f t="shared" si="74"/>
        <v>39.939396282502123</v>
      </c>
      <c r="E266" s="387">
        <f t="shared" si="96"/>
        <v>45.708826203235624</v>
      </c>
      <c r="F266" s="387">
        <f t="shared" si="75"/>
        <v>45.910285028445344</v>
      </c>
      <c r="G266" s="110">
        <f t="shared" si="97"/>
        <v>0.92852170117108568</v>
      </c>
      <c r="H266" s="414" t="b">
        <f>Wh_hp&gt;='2019'!Maxi_hp</f>
        <v>1</v>
      </c>
      <c r="I266" s="382">
        <f>IF(H266,Wh_hp,'2019'!Maxi_hp)</f>
        <v>45.910285028445344</v>
      </c>
      <c r="J266" s="85">
        <f>IF(H266,An,'2019'!An_max)</f>
        <v>2020</v>
      </c>
      <c r="K266" s="199">
        <f t="shared" si="76"/>
        <v>44082</v>
      </c>
      <c r="L266" s="147">
        <f>IF(t&lt;Tvie,1-EXP((T0-t)*PertePVj)+'2019'!Pspv,1-EXP((T0-t)*PertePVj)+Pspv)</f>
        <v>1.7736779932561952E-2</v>
      </c>
      <c r="M266" s="870"/>
      <c r="N266" s="870"/>
      <c r="O266" s="48">
        <f>IF(t&lt;Tnet,'2019'!Resal+('2019'!Salim-'2019'!Resal)*(1-EXP(('2019'!Tnet-t)/('2019'!Tau_j))),Resal+(Salim-Resal)*(1-EXP((Tnet-t)/(Tau_j))))*Salcycl</f>
        <v>0.12622135372894555</v>
      </c>
      <c r="P266" s="171">
        <f>(INDEX(Models!$BJ266:$BT266,,T266)*(1-R266)+INDEX(Models!$BJ266:$BT266,,T266+1)*R266-ERP_i)*Q266*Ramure*Pc/MaxiM</f>
        <v>4.8835401040719095E-3</v>
      </c>
      <c r="Q266" s="307">
        <f t="shared" si="77"/>
        <v>1</v>
      </c>
      <c r="R266" s="179">
        <f t="shared" si="78"/>
        <v>0.28373320763546916</v>
      </c>
      <c r="S266" s="837">
        <f t="shared" si="79"/>
        <v>-1</v>
      </c>
      <c r="T266" s="178">
        <f t="shared" si="80"/>
        <v>5</v>
      </c>
      <c r="U266" s="253">
        <f t="shared" si="81"/>
        <v>-0.71626679236453084</v>
      </c>
      <c r="V266" s="385">
        <f t="shared" si="82"/>
        <v>42.230006677623052</v>
      </c>
      <c r="W266" s="404"/>
      <c r="X266" s="157">
        <f t="shared" si="83"/>
        <v>44082</v>
      </c>
      <c r="Y266" s="387">
        <f t="shared" si="84"/>
        <v>39.231000000000002</v>
      </c>
      <c r="Z266" s="387">
        <f t="shared" si="85"/>
        <v>39.939396282502123</v>
      </c>
      <c r="AA266" s="388">
        <f t="shared" si="86"/>
        <v>45.708826203235624</v>
      </c>
      <c r="AB266" s="199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0.12622135372894555</v>
      </c>
      <c r="AD266" s="233">
        <f>(INDEX(Models!$BJ266:$BT266,,AH266)*(1-AF266)+INDEX(Models!$BJ266:$BT266,,AH266+1)*AF266-ERP_i)*AE266*Ramure*Pc/MaxiM</f>
        <v>4.8835401040719095E-3</v>
      </c>
      <c r="AE266" s="307">
        <f t="shared" si="88"/>
        <v>1</v>
      </c>
      <c r="AF266" s="179">
        <f t="shared" si="89"/>
        <v>0.28373320763546916</v>
      </c>
      <c r="AG266" s="837">
        <f t="shared" si="95"/>
        <v>-1</v>
      </c>
      <c r="AH266" s="178">
        <f t="shared" si="90"/>
        <v>5</v>
      </c>
      <c r="AI266" s="227">
        <f t="shared" si="91"/>
        <v>-0.71626679236453084</v>
      </c>
      <c r="AJ266" s="267" t="b">
        <f t="shared" si="92"/>
        <v>0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4"/>
        <v>44083</v>
      </c>
      <c r="B267" s="618">
        <v>20.495999999999999</v>
      </c>
      <c r="C267" s="392"/>
      <c r="D267" s="395">
        <f t="shared" si="74"/>
        <v>20.866582973101259</v>
      </c>
      <c r="E267" s="387">
        <f t="shared" si="96"/>
        <v>23.88184617527541</v>
      </c>
      <c r="F267" s="387">
        <f t="shared" si="75"/>
        <v>23.91412782112458</v>
      </c>
      <c r="G267" s="110">
        <f t="shared" si="97"/>
        <v>0.48760644495630684</v>
      </c>
      <c r="H267" s="414" t="b">
        <f>Wh_hp&gt;='2019'!Maxi_hp</f>
        <v>1</v>
      </c>
      <c r="I267" s="382">
        <f>IF(H267,Wh_hp,'2019'!Maxi_hp)</f>
        <v>23.91412782112458</v>
      </c>
      <c r="J267" s="85">
        <f>IF(H267,An,'2019'!An_max)</f>
        <v>2020</v>
      </c>
      <c r="K267" s="199">
        <f t="shared" si="76"/>
        <v>44083</v>
      </c>
      <c r="L267" s="147">
        <f>IF(t&lt;Tvie,1-EXP((T0-t)*PertePVj)+'2019'!Pspv,1-EXP((T0-t)*PertePVj)+Pspv)</f>
        <v>1.7759638632687147E-2</v>
      </c>
      <c r="M267" s="870"/>
      <c r="N267" s="870"/>
      <c r="O267" s="48">
        <f>IF(t&lt;Tnet,'2019'!Resal+('2019'!Salim-'2019'!Resal)*(1-EXP(('2019'!Tnet-t)/('2019'!Tau_j))),Resal+(Salim-Resal)*(1-EXP((Tnet-t)/(Tau_j))))*Salcycl</f>
        <v>0.12625754223707455</v>
      </c>
      <c r="P267" s="171">
        <f>(INDEX(Models!$BJ267:$BT267,,T267)*(1-R267)+INDEX(Models!$BJ267:$BT267,,T267+1)*R267-ERP_i)*Q267*Ramure*Pc/MaxiM</f>
        <v>4.9893299429624519E-3</v>
      </c>
      <c r="Q267" s="307">
        <f t="shared" si="77"/>
        <v>1</v>
      </c>
      <c r="R267" s="179">
        <f t="shared" si="78"/>
        <v>0.28437385324620001</v>
      </c>
      <c r="S267" s="837">
        <f t="shared" si="79"/>
        <v>-1</v>
      </c>
      <c r="T267" s="178">
        <f t="shared" si="80"/>
        <v>5</v>
      </c>
      <c r="U267" s="253">
        <f t="shared" si="81"/>
        <v>-0.71562614675379999</v>
      </c>
      <c r="V267" s="385">
        <f t="shared" si="82"/>
        <v>41.88071260074269</v>
      </c>
      <c r="W267" s="404"/>
      <c r="X267" s="157">
        <f t="shared" si="83"/>
        <v>44083</v>
      </c>
      <c r="Y267" s="387">
        <f t="shared" si="84"/>
        <v>20.495999999999999</v>
      </c>
      <c r="Z267" s="387">
        <f t="shared" si="85"/>
        <v>20.866582973101259</v>
      </c>
      <c r="AA267" s="388">
        <f t="shared" si="86"/>
        <v>23.88184617527541</v>
      </c>
      <c r="AB267" s="199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0.12625754223707455</v>
      </c>
      <c r="AD267" s="233">
        <f>(INDEX(Models!$BJ267:$BT267,,AH267)*(1-AF267)+INDEX(Models!$BJ267:$BT267,,AH267+1)*AF267-ERP_i)*AE267*Ramure*Pc/MaxiM</f>
        <v>4.9893299429624519E-3</v>
      </c>
      <c r="AE267" s="307">
        <f t="shared" si="88"/>
        <v>1</v>
      </c>
      <c r="AF267" s="179">
        <f t="shared" si="89"/>
        <v>0.28437385324620001</v>
      </c>
      <c r="AG267" s="837">
        <f t="shared" si="95"/>
        <v>-1</v>
      </c>
      <c r="AH267" s="178">
        <f t="shared" si="90"/>
        <v>5</v>
      </c>
      <c r="AI267" s="227">
        <f t="shared" si="91"/>
        <v>-0.71562614675379999</v>
      </c>
      <c r="AJ267" s="267" t="b">
        <f t="shared" si="92"/>
        <v>0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4"/>
        <v>44084</v>
      </c>
      <c r="B268" s="618">
        <v>32.802</v>
      </c>
      <c r="C268" s="392"/>
      <c r="D268" s="395">
        <f t="shared" si="74"/>
        <v>33.395861805722113</v>
      </c>
      <c r="E268" s="387">
        <f t="shared" si="96"/>
        <v>38.223130887726036</v>
      </c>
      <c r="F268" s="387">
        <f t="shared" si="75"/>
        <v>38.359826841420997</v>
      </c>
      <c r="G268" s="110">
        <f t="shared" si="97"/>
        <v>0.788683551053313</v>
      </c>
      <c r="H268" s="414" t="b">
        <f>Wh_hp&gt;='2019'!Maxi_hp</f>
        <v>0</v>
      </c>
      <c r="I268" s="382">
        <f>IF(H268,Wh_hp,'2019'!Maxi_hp)</f>
        <v>41.604525510884223</v>
      </c>
      <c r="J268" s="85">
        <f>IF(H268,An,'2019'!An_max)</f>
        <v>2019</v>
      </c>
      <c r="K268" s="199">
        <f t="shared" si="76"/>
        <v>44084</v>
      </c>
      <c r="L268" s="147">
        <f>IF(t&lt;Tvie,1-EXP((T0-t)*PertePVj)+'2019'!Pspv,1-EXP((T0-t)*PertePVj)+Pspv)</f>
        <v>1.7782496800856973E-2</v>
      </c>
      <c r="M268" s="870"/>
      <c r="N268" s="870"/>
      <c r="O268" s="48">
        <f>IF(t&lt;Tnet,'2019'!Resal+('2019'!Salim-'2019'!Resal)*(1-EXP(('2019'!Tnet-t)/('2019'!Tau_j))),Resal+(Salim-Resal)*(1-EXP((Tnet-t)/(Tau_j))))*Salcycl</f>
        <v>0.12629182826972507</v>
      </c>
      <c r="P268" s="171">
        <f>(INDEX(Models!$BJ268:$BT268,,T268)*(1-R268)+INDEX(Models!$BJ268:$BT268,,T268+1)*R268-ERP_i)*Q268*Ramure*Pc/MaxiM</f>
        <v>5.0918310831608365E-3</v>
      </c>
      <c r="Q268" s="307">
        <f t="shared" si="77"/>
        <v>1</v>
      </c>
      <c r="R268" s="179">
        <f t="shared" si="78"/>
        <v>0.28498983265407141</v>
      </c>
      <c r="S268" s="837">
        <f t="shared" si="79"/>
        <v>-1</v>
      </c>
      <c r="T268" s="178">
        <f t="shared" si="80"/>
        <v>5</v>
      </c>
      <c r="U268" s="253">
        <f t="shared" si="81"/>
        <v>-0.71501016734592859</v>
      </c>
      <c r="V268" s="385">
        <f t="shared" si="82"/>
        <v>41.527034466083364</v>
      </c>
      <c r="W268" s="404"/>
      <c r="X268" s="157">
        <f t="shared" si="83"/>
        <v>44084</v>
      </c>
      <c r="Y268" s="387">
        <f t="shared" si="84"/>
        <v>32.802</v>
      </c>
      <c r="Z268" s="387">
        <f t="shared" si="85"/>
        <v>33.395861805722113</v>
      </c>
      <c r="AA268" s="388">
        <f t="shared" si="86"/>
        <v>38.223130887726036</v>
      </c>
      <c r="AB268" s="199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0.12629182826972507</v>
      </c>
      <c r="AD268" s="233">
        <f>(INDEX(Models!$BJ268:$BT268,,AH268)*(1-AF268)+INDEX(Models!$BJ268:$BT268,,AH268+1)*AF268-ERP_i)*AE268*Ramure*Pc/MaxiM</f>
        <v>5.0918310831608365E-3</v>
      </c>
      <c r="AE268" s="307">
        <f t="shared" si="88"/>
        <v>1</v>
      </c>
      <c r="AF268" s="179">
        <f t="shared" si="89"/>
        <v>0.28498983265407141</v>
      </c>
      <c r="AG268" s="837">
        <f t="shared" si="95"/>
        <v>-1</v>
      </c>
      <c r="AH268" s="178">
        <f t="shared" si="90"/>
        <v>5</v>
      </c>
      <c r="AI268" s="227">
        <f t="shared" si="91"/>
        <v>-0.71501016734592859</v>
      </c>
      <c r="AJ268" s="267" t="b">
        <f t="shared" si="92"/>
        <v>0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4"/>
        <v>44085</v>
      </c>
      <c r="B269" s="618">
        <v>37.933</v>
      </c>
      <c r="C269" s="392"/>
      <c r="D269" s="395">
        <f t="shared" si="74"/>
        <v>38.620654440912581</v>
      </c>
      <c r="E269" s="387">
        <f t="shared" si="96"/>
        <v>44.204786255866658</v>
      </c>
      <c r="F269" s="387">
        <f t="shared" si="75"/>
        <v>44.409511267545632</v>
      </c>
      <c r="G269" s="110">
        <f t="shared" si="97"/>
        <v>0.9208490907448641</v>
      </c>
      <c r="H269" s="414" t="b">
        <f>Wh_hp&gt;='2019'!Maxi_hp</f>
        <v>0</v>
      </c>
      <c r="I269" s="382">
        <f>IF(H269,Wh_hp,'2019'!Maxi_hp)</f>
        <v>47.332460641090549</v>
      </c>
      <c r="J269" s="85">
        <f>IF(H269,An,'2019'!An_max)</f>
        <v>2019</v>
      </c>
      <c r="K269" s="199">
        <f t="shared" si="76"/>
        <v>44085</v>
      </c>
      <c r="L269" s="147">
        <f>IF(t&lt;Tvie,1-EXP((T0-t)*PertePVj)+'2019'!Pspv,1-EXP((T0-t)*PertePVj)+Pspv)</f>
        <v>1.7805354437083754E-2</v>
      </c>
      <c r="M269" s="870"/>
      <c r="N269" s="870"/>
      <c r="O269" s="48">
        <f>IF(t&lt;Tnet,'2019'!Resal+('2019'!Salim-'2019'!Resal)*(1-EXP(('2019'!Tnet-t)/('2019'!Tau_j))),Resal+(Salim-Resal)*(1-EXP((Tnet-t)/(Tau_j))))*Salcycl</f>
        <v>0.12632414468948994</v>
      </c>
      <c r="P269" s="171">
        <f>(INDEX(Models!$BJ269:$BT269,,T269)*(1-R269)+INDEX(Models!$BJ269:$BT269,,T269+1)*R269-ERP_i)*Q269*Ramure*Pc/MaxiM</f>
        <v>5.1931329180914844E-3</v>
      </c>
      <c r="Q269" s="307">
        <f t="shared" si="77"/>
        <v>1</v>
      </c>
      <c r="R269" s="179">
        <f t="shared" si="78"/>
        <v>0.28558205278829318</v>
      </c>
      <c r="S269" s="837">
        <f t="shared" si="79"/>
        <v>-1</v>
      </c>
      <c r="T269" s="178">
        <f t="shared" si="80"/>
        <v>5</v>
      </c>
      <c r="U269" s="253">
        <f t="shared" si="81"/>
        <v>-0.71441794721170682</v>
      </c>
      <c r="V269" s="385">
        <f t="shared" si="82"/>
        <v>41.169368057252292</v>
      </c>
      <c r="W269" s="404"/>
      <c r="X269" s="157">
        <f t="shared" si="83"/>
        <v>44085</v>
      </c>
      <c r="Y269" s="387">
        <f t="shared" si="84"/>
        <v>37.933</v>
      </c>
      <c r="Z269" s="387">
        <f t="shared" si="85"/>
        <v>38.620654440912581</v>
      </c>
      <c r="AA269" s="388">
        <f t="shared" si="86"/>
        <v>44.204786255866658</v>
      </c>
      <c r="AB269" s="199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0.12632414468948994</v>
      </c>
      <c r="AD269" s="233">
        <f>(INDEX(Models!$BJ269:$BT269,,AH269)*(1-AF269)+INDEX(Models!$BJ269:$BT269,,AH269+1)*AF269-ERP_i)*AE269*Ramure*Pc/MaxiM</f>
        <v>5.1931329180914844E-3</v>
      </c>
      <c r="AE269" s="307">
        <f t="shared" si="88"/>
        <v>1</v>
      </c>
      <c r="AF269" s="179">
        <f t="shared" si="89"/>
        <v>0.28558205278829318</v>
      </c>
      <c r="AG269" s="837">
        <f t="shared" si="95"/>
        <v>-1</v>
      </c>
      <c r="AH269" s="178">
        <f t="shared" si="90"/>
        <v>5</v>
      </c>
      <c r="AI269" s="227">
        <f t="shared" si="91"/>
        <v>-0.71441794721170682</v>
      </c>
      <c r="AJ269" s="267" t="b">
        <f t="shared" si="92"/>
        <v>0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4"/>
        <v>44086</v>
      </c>
      <c r="B270" s="618">
        <v>37.86</v>
      </c>
      <c r="C270" s="392"/>
      <c r="D270" s="395">
        <f t="shared" si="74"/>
        <v>38.547228137570443</v>
      </c>
      <c r="E270" s="387">
        <f t="shared" si="96"/>
        <v>44.12227235212427</v>
      </c>
      <c r="F270" s="387">
        <f t="shared" si="75"/>
        <v>44.332714285498227</v>
      </c>
      <c r="G270" s="110">
        <f t="shared" si="97"/>
        <v>0.92724546989419765</v>
      </c>
      <c r="H270" s="414" t="b">
        <f>Wh_hp&gt;='2019'!Maxi_hp</f>
        <v>1</v>
      </c>
      <c r="I270" s="382">
        <f>IF(H270,Wh_hp,'2019'!Maxi_hp)</f>
        <v>44.332714285498227</v>
      </c>
      <c r="J270" s="85">
        <f>IF(H270,An,'2019'!An_max)</f>
        <v>2020</v>
      </c>
      <c r="K270" s="199">
        <f t="shared" si="76"/>
        <v>44086</v>
      </c>
      <c r="L270" s="147">
        <f>IF(t&lt;Tvie,1-EXP((T0-t)*PertePVj)+'2019'!Pspv,1-EXP((T0-t)*PertePVj)+Pspv)</f>
        <v>1.7828211541380035E-2</v>
      </c>
      <c r="M270" s="870"/>
      <c r="N270" s="870"/>
      <c r="O270" s="48">
        <f>IF(t&lt;Tnet,'2019'!Resal+('2019'!Salim-'2019'!Resal)*(1-EXP(('2019'!Tnet-t)/('2019'!Tau_j))),Resal+(Salim-Resal)*(1-EXP((Tnet-t)/(Tau_j))))*Salcycl</f>
        <v>0.12635442186797111</v>
      </c>
      <c r="P270" s="171">
        <f>(INDEX(Models!$BJ270:$BT270,,T270)*(1-R270)+INDEX(Models!$BJ270:$BT270,,T270+1)*R270-ERP_i)*Q270*Ramure*Pc/MaxiM</f>
        <v>5.2931721359049059E-3</v>
      </c>
      <c r="Q270" s="307">
        <f t="shared" si="77"/>
        <v>1</v>
      </c>
      <c r="R270" s="179">
        <f t="shared" si="78"/>
        <v>0.28615139054778727</v>
      </c>
      <c r="S270" s="837">
        <f t="shared" si="79"/>
        <v>-1</v>
      </c>
      <c r="T270" s="178">
        <f t="shared" si="80"/>
        <v>5</v>
      </c>
      <c r="U270" s="253">
        <f t="shared" si="81"/>
        <v>-0.71384860945221273</v>
      </c>
      <c r="V270" s="385">
        <f t="shared" si="82"/>
        <v>40.808200029920918</v>
      </c>
      <c r="W270" s="404"/>
      <c r="X270" s="157">
        <f t="shared" si="83"/>
        <v>44086</v>
      </c>
      <c r="Y270" s="387">
        <f t="shared" si="84"/>
        <v>37.86</v>
      </c>
      <c r="Z270" s="387">
        <f t="shared" si="85"/>
        <v>38.547228137570443</v>
      </c>
      <c r="AA270" s="388">
        <f t="shared" si="86"/>
        <v>44.12227235212427</v>
      </c>
      <c r="AB270" s="199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0.12635442186797111</v>
      </c>
      <c r="AD270" s="233">
        <f>(INDEX(Models!$BJ270:$BT270,,AH270)*(1-AF270)+INDEX(Models!$BJ270:$BT270,,AH270+1)*AF270-ERP_i)*AE270*Ramure*Pc/MaxiM</f>
        <v>5.2931721359049059E-3</v>
      </c>
      <c r="AE270" s="307">
        <f t="shared" si="88"/>
        <v>1</v>
      </c>
      <c r="AF270" s="179">
        <f t="shared" si="89"/>
        <v>0.28615139054778727</v>
      </c>
      <c r="AG270" s="837">
        <f t="shared" si="95"/>
        <v>-1</v>
      </c>
      <c r="AH270" s="178">
        <f t="shared" si="90"/>
        <v>5</v>
      </c>
      <c r="AI270" s="227">
        <f t="shared" si="91"/>
        <v>-0.71384860945221273</v>
      </c>
      <c r="AJ270" s="267" t="b">
        <f t="shared" si="92"/>
        <v>0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4"/>
        <v>44087</v>
      </c>
      <c r="B271" s="618">
        <v>37.360999999999997</v>
      </c>
      <c r="C271" s="392"/>
      <c r="D271" s="395">
        <f t="shared" ref="D271:D334" si="98">Wh/(1-Ppv)</f>
        <v>38.04005562399508</v>
      </c>
      <c r="E271" s="387">
        <f t="shared" si="96"/>
        <v>43.543151830812498</v>
      </c>
      <c r="F271" s="387">
        <f t="shared" ref="F271:F334" si="99">Wh_sa/(1-Pvg*MEDIAN((-Sdif+Wh/Env_an)/Csdif,0,1))</f>
        <v>43.753374021516187</v>
      </c>
      <c r="G271" s="110">
        <f t="shared" si="97"/>
        <v>0.92322572617852738</v>
      </c>
      <c r="H271" s="414" t="b">
        <f>Wh_hp&gt;='2019'!Maxi_hp</f>
        <v>1</v>
      </c>
      <c r="I271" s="382">
        <f>IF(H271,Wh_hp,'2019'!Maxi_hp)</f>
        <v>43.753374021516187</v>
      </c>
      <c r="J271" s="85">
        <f>IF(H271,An,'2019'!An_max)</f>
        <v>2020</v>
      </c>
      <c r="K271" s="199">
        <f t="shared" ref="K271:K334" si="100">t</f>
        <v>44087</v>
      </c>
      <c r="L271" s="147">
        <f>IF(t&lt;Tvie,1-EXP((T0-t)*PertePVj)+'2019'!Pspv,1-EXP((T0-t)*PertePVj)+Pspv)</f>
        <v>1.785106811375814E-2</v>
      </c>
      <c r="M271" s="870"/>
      <c r="N271" s="870"/>
      <c r="O271" s="48">
        <f>IF(t&lt;Tnet,'2019'!Resal+('2019'!Salim-'2019'!Resal)*(1-EXP(('2019'!Tnet-t)/('2019'!Tau_j))),Resal+(Salim-Resal)*(1-EXP((Tnet-t)/(Tau_j))))*Salcycl</f>
        <v>0.12638258774192029</v>
      </c>
      <c r="P271" s="171">
        <f>(INDEX(Models!$BJ271:$BT271,,T271)*(1-R271)+INDEX(Models!$BJ271:$BT271,,T271+1)*R271-ERP_i)*Q271*Ramure*Pc/MaxiM</f>
        <v>5.3918777771800727E-3</v>
      </c>
      <c r="Q271" s="307">
        <f t="shared" ref="Q271:Q334" si="101">IF(OR(t&lt;Ttai,Notai),Dd+PousD*Croivg,Dens+PousD*(Croivg-Croi_tai))</f>
        <v>1</v>
      </c>
      <c r="R271" s="179">
        <f t="shared" ref="R271:R334" si="102">(Hp_vg-S271)/(INDEX(Echel_vg,T271+1)-S271)</f>
        <v>0.28669869353399713</v>
      </c>
      <c r="S271" s="837">
        <f t="shared" ref="S271:S334" si="103">INDEX(Echel_vg,T271)</f>
        <v>-1</v>
      </c>
      <c r="T271" s="178">
        <f t="shared" ref="T271:T334" si="104">MIN(MATCH(Hp_vg,Echel_vg),10)</f>
        <v>5</v>
      </c>
      <c r="U271" s="253">
        <f t="shared" ref="U271:U334" si="105">IF(OR(t&lt;Ttai,Notai),Hdd+PousH*Croivg,Hdtf+PousH*(Croivg-Croi_tai))</f>
        <v>-0.71330130646600287</v>
      </c>
      <c r="V271" s="385">
        <f t="shared" ref="V271:V334" si="106">MaxiM*(1-Ppv)*(1-Pvg)*(1-Psa)</f>
        <v>40.444016868367193</v>
      </c>
      <c r="W271" s="404"/>
      <c r="X271" s="157">
        <f t="shared" ref="X271:X334" si="107">t</f>
        <v>44087</v>
      </c>
      <c r="Y271" s="387">
        <f t="shared" ref="Y271:Y334" si="108">Wh_pvt_s*(1-Ppv)</f>
        <v>37.360999999999997</v>
      </c>
      <c r="Z271" s="387">
        <f t="shared" ref="Z271:Z334" si="109">Wh_sa_s*(1-Psa_s)</f>
        <v>38.04005562399508</v>
      </c>
      <c r="AA271" s="388">
        <f t="shared" ref="AA271:AA334" si="110">Wh_hp*(1-Pvg_s*MEDIAN((-Sdif+Wh/Env_an)/Csdif,0,1))</f>
        <v>43.543151830812498</v>
      </c>
      <c r="AB271" s="199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0.12638258774192029</v>
      </c>
      <c r="AD271" s="233">
        <f>(INDEX(Models!$BJ271:$BT271,,AH271)*(1-AF271)+INDEX(Models!$BJ271:$BT271,,AH271+1)*AF271-ERP_i)*AE271*Ramure*Pc/MaxiM</f>
        <v>5.3918777771800727E-3</v>
      </c>
      <c r="AE271" s="307">
        <f t="shared" ref="AE271:AE334" si="112">IF(OR(t&lt;Ttai,Notai),Dd_s+PousD*Croivg,Dens_s+PousD*(Croivg-Croi_tai))</f>
        <v>1</v>
      </c>
      <c r="AF271" s="179">
        <f t="shared" ref="AF271:AF334" si="113">(Hp_vg_s-AG271)/(INDEX(Echel_vg,AH271+1)-AG271)</f>
        <v>0.28669869353399713</v>
      </c>
      <c r="AG271" s="837">
        <f t="shared" si="95"/>
        <v>-1</v>
      </c>
      <c r="AH271" s="178">
        <f t="shared" ref="AH271:AH334" si="114">MIN(MATCH(Hp_vg_s,Echel_vg),10)</f>
        <v>5</v>
      </c>
      <c r="AI271" s="227">
        <f t="shared" ref="AI271:AI334" si="115">IF(OR(t&lt;Ttai,Notai),Hdd_s+PousH*Croivg,Hdtai_s+PousH*(Croivg-Croi_tai))</f>
        <v>-0.71330130646600287</v>
      </c>
      <c r="AJ271" s="267" t="b">
        <f t="shared" ref="AJ271:AJ334" si="116">t&lt;Tnet</f>
        <v>0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18">A271+1</f>
        <v>44088</v>
      </c>
      <c r="B272" s="618">
        <v>37.814999999999998</v>
      </c>
      <c r="C272" s="392"/>
      <c r="D272" s="395">
        <f t="shared" si="98"/>
        <v>38.503203336124805</v>
      </c>
      <c r="E272" s="387">
        <f t="shared" si="96"/>
        <v>44.074611908452617</v>
      </c>
      <c r="F272" s="387">
        <f t="shared" si="99"/>
        <v>44.298163479728281</v>
      </c>
      <c r="G272" s="110">
        <f t="shared" si="97"/>
        <v>0.94313168910527312</v>
      </c>
      <c r="H272" s="414" t="b">
        <f>Wh_hp&gt;='2019'!Maxi_hp</f>
        <v>1</v>
      </c>
      <c r="I272" s="382">
        <f>IF(H272,Wh_hp,'2019'!Maxi_hp)</f>
        <v>44.298163479728281</v>
      </c>
      <c r="J272" s="85">
        <f>IF(H272,An,'2019'!An_max)</f>
        <v>2020</v>
      </c>
      <c r="K272" s="199">
        <f t="shared" si="100"/>
        <v>44088</v>
      </c>
      <c r="L272" s="147">
        <f>IF(t&lt;Tvie,1-EXP((T0-t)*PertePVj)+'2019'!Pspv,1-EXP((T0-t)*PertePVj)+Pspv)</f>
        <v>1.7873924154230392E-2</v>
      </c>
      <c r="M272" s="870"/>
      <c r="N272" s="870"/>
      <c r="O272" s="48">
        <f>IF(t&lt;Tnet,'2019'!Resal+('2019'!Salim-'2019'!Resal)*(1-EXP(('2019'!Tnet-t)/('2019'!Tau_j))),Resal+(Salim-Resal)*(1-EXP((Tnet-t)/(Tau_j))))*Salcycl</f>
        <v>0.12640856790526456</v>
      </c>
      <c r="P272" s="171">
        <f>(INDEX(Models!$BJ272:$BT272,,T272)*(1-R272)+INDEX(Models!$BJ272:$BT272,,T272+1)*R272-ERP_i)*Q272*Ramure*Pc/MaxiM</f>
        <v>5.4891709662353259E-3</v>
      </c>
      <c r="Q272" s="307">
        <f t="shared" si="101"/>
        <v>1</v>
      </c>
      <c r="R272" s="179">
        <f t="shared" si="102"/>
        <v>0.28722478078785441</v>
      </c>
      <c r="S272" s="837">
        <f t="shared" si="103"/>
        <v>-1</v>
      </c>
      <c r="T272" s="178">
        <f t="shared" si="104"/>
        <v>5</v>
      </c>
      <c r="U272" s="253">
        <f t="shared" si="105"/>
        <v>-0.71277521921214559</v>
      </c>
      <c r="V272" s="385">
        <f t="shared" si="106"/>
        <v>40.077304889448982</v>
      </c>
      <c r="W272" s="404"/>
      <c r="X272" s="157">
        <f t="shared" si="107"/>
        <v>44088</v>
      </c>
      <c r="Y272" s="387">
        <f t="shared" si="108"/>
        <v>37.814999999999998</v>
      </c>
      <c r="Z272" s="387">
        <f t="shared" si="109"/>
        <v>38.503203336124805</v>
      </c>
      <c r="AA272" s="388">
        <f t="shared" si="110"/>
        <v>44.074611908452617</v>
      </c>
      <c r="AB272" s="199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0.12640856790526456</v>
      </c>
      <c r="AD272" s="233">
        <f>(INDEX(Models!$BJ272:$BT272,,AH272)*(1-AF272)+INDEX(Models!$BJ272:$BT272,,AH272+1)*AF272-ERP_i)*AE272*Ramure*Pc/MaxiM</f>
        <v>5.4891709662353259E-3</v>
      </c>
      <c r="AE272" s="307">
        <f t="shared" si="112"/>
        <v>1</v>
      </c>
      <c r="AF272" s="179">
        <f t="shared" si="113"/>
        <v>0.28722478078785441</v>
      </c>
      <c r="AG272" s="837">
        <f t="shared" ref="AG272:AG335" si="119">INDEX(Echel_vg,AH272)</f>
        <v>-1</v>
      </c>
      <c r="AH272" s="178">
        <f t="shared" si="114"/>
        <v>5</v>
      </c>
      <c r="AI272" s="227">
        <f t="shared" si="115"/>
        <v>-0.71277521921214559</v>
      </c>
      <c r="AJ272" s="267" t="b">
        <f t="shared" si="116"/>
        <v>0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si="118"/>
        <v>44089</v>
      </c>
      <c r="B273" s="618">
        <v>34.566000000000003</v>
      </c>
      <c r="C273" s="392"/>
      <c r="D273" s="395">
        <f t="shared" si="98"/>
        <v>35.195893144645495</v>
      </c>
      <c r="E273" s="387">
        <f t="shared" si="96"/>
        <v>40.289828218335082</v>
      </c>
      <c r="F273" s="387">
        <f t="shared" si="99"/>
        <v>40.474053453895131</v>
      </c>
      <c r="G273" s="110">
        <f t="shared" si="97"/>
        <v>0.86958904856753627</v>
      </c>
      <c r="H273" s="414" t="b">
        <f>Wh_hp&gt;='2019'!Maxi_hp</f>
        <v>0</v>
      </c>
      <c r="I273" s="382">
        <f>IF(H273,Wh_hp,'2019'!Maxi_hp)</f>
        <v>41.309842416196986</v>
      </c>
      <c r="J273" s="85">
        <f>IF(H273,An,'2019'!An_max)</f>
        <v>2019</v>
      </c>
      <c r="K273" s="199">
        <f t="shared" si="100"/>
        <v>44089</v>
      </c>
      <c r="L273" s="147">
        <f>IF(t&lt;Tvie,1-EXP((T0-t)*PertePVj)+'2019'!Pspv,1-EXP((T0-t)*PertePVj)+Pspv)</f>
        <v>1.7896779662809115E-2</v>
      </c>
      <c r="M273" s="870"/>
      <c r="N273" s="870"/>
      <c r="O273" s="48">
        <f>IF(t&lt;Tnet,'2019'!Resal+('2019'!Salim-'2019'!Resal)*(1-EXP(('2019'!Tnet-t)/('2019'!Tau_j))),Resal+(Salim-Resal)*(1-EXP((Tnet-t)/(Tau_j))))*Salcycl</f>
        <v>0.12643228573934295</v>
      </c>
      <c r="P273" s="171">
        <f>(INDEX(Models!$BJ273:$BT273,,T273)*(1-R273)+INDEX(Models!$BJ273:$BT273,,T273+1)*R273-ERP_i)*Q273*Ramure*Pc/MaxiM</f>
        <v>5.5849646382012353E-3</v>
      </c>
      <c r="Q273" s="307">
        <f t="shared" si="101"/>
        <v>1</v>
      </c>
      <c r="R273" s="179">
        <f t="shared" si="102"/>
        <v>0.2877304435285083</v>
      </c>
      <c r="S273" s="837">
        <f t="shared" si="103"/>
        <v>-1</v>
      </c>
      <c r="T273" s="178">
        <f t="shared" si="104"/>
        <v>5</v>
      </c>
      <c r="U273" s="253">
        <f t="shared" si="105"/>
        <v>-0.7122695564714917</v>
      </c>
      <c r="V273" s="385">
        <f t="shared" si="106"/>
        <v>39.708550240139353</v>
      </c>
      <c r="W273" s="404"/>
      <c r="X273" s="157">
        <f t="shared" si="107"/>
        <v>44089</v>
      </c>
      <c r="Y273" s="387">
        <f t="shared" si="108"/>
        <v>34.566000000000003</v>
      </c>
      <c r="Z273" s="387">
        <f t="shared" si="109"/>
        <v>35.195893144645495</v>
      </c>
      <c r="AA273" s="388">
        <f t="shared" si="110"/>
        <v>40.289828218335082</v>
      </c>
      <c r="AB273" s="199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0.12643228573934295</v>
      </c>
      <c r="AD273" s="233">
        <f>(INDEX(Models!$BJ273:$BT273,,AH273)*(1-AF273)+INDEX(Models!$BJ273:$BT273,,AH273+1)*AF273-ERP_i)*AE273*Ramure*Pc/MaxiM</f>
        <v>5.5849646382012353E-3</v>
      </c>
      <c r="AE273" s="307">
        <f t="shared" si="112"/>
        <v>1</v>
      </c>
      <c r="AF273" s="179">
        <f t="shared" si="113"/>
        <v>0.2877304435285083</v>
      </c>
      <c r="AG273" s="837">
        <f t="shared" si="119"/>
        <v>-1</v>
      </c>
      <c r="AH273" s="178">
        <f t="shared" si="114"/>
        <v>5</v>
      </c>
      <c r="AI273" s="227">
        <f t="shared" si="115"/>
        <v>-0.7122695564714917</v>
      </c>
      <c r="AJ273" s="267" t="b">
        <f t="shared" si="116"/>
        <v>0</v>
      </c>
      <c r="AK273" s="267" t="b">
        <f t="shared" si="117"/>
        <v>0</v>
      </c>
      <c r="AL273" s="267"/>
      <c r="AM273" s="267"/>
      <c r="AN273" s="75"/>
    </row>
    <row r="274" spans="1:40" s="6" customFormat="1" ht="11.25" customHeight="1" x14ac:dyDescent="0.2">
      <c r="A274" s="56">
        <f t="shared" si="118"/>
        <v>44090</v>
      </c>
      <c r="B274" s="618">
        <v>33.566000000000003</v>
      </c>
      <c r="C274" s="392"/>
      <c r="D274" s="395">
        <f t="shared" si="98"/>
        <v>34.178465616384564</v>
      </c>
      <c r="E274" s="387">
        <f t="shared" si="96"/>
        <v>39.126104881234504</v>
      </c>
      <c r="F274" s="387">
        <f t="shared" si="99"/>
        <v>39.302522144760381</v>
      </c>
      <c r="G274" s="110">
        <f t="shared" si="97"/>
        <v>0.85224610211853802</v>
      </c>
      <c r="H274" s="414" t="b">
        <f>Wh_hp&gt;='2019'!Maxi_hp</f>
        <v>0</v>
      </c>
      <c r="I274" s="382">
        <f>IF(H274,Wh_hp,'2019'!Maxi_hp)</f>
        <v>40.064723286618566</v>
      </c>
      <c r="J274" s="85">
        <f>IF(H274,An,'2019'!An_max)</f>
        <v>2019</v>
      </c>
      <c r="K274" s="199">
        <f t="shared" si="100"/>
        <v>44090</v>
      </c>
      <c r="L274" s="147">
        <f>IF(t&lt;Tvie,1-EXP((T0-t)*PertePVj)+'2019'!Pspv,1-EXP((T0-t)*PertePVj)+Pspv)</f>
        <v>1.7919634639506854E-2</v>
      </c>
      <c r="M274" s="870"/>
      <c r="N274" s="870"/>
      <c r="O274" s="48">
        <f>IF(t&lt;Tnet,'2019'!Resal+('2019'!Salim-'2019'!Resal)*(1-EXP(('2019'!Tnet-t)/('2019'!Tau_j))),Resal+(Salim-Resal)*(1-EXP((Tnet-t)/(Tau_j))))*Salcycl</f>
        <v>0.1264536625832873</v>
      </c>
      <c r="P274" s="171">
        <f>(INDEX(Models!$BJ274:$BT274,,T274)*(1-R274)+INDEX(Models!$BJ274:$BT274,,T274+1)*R274-ERP_i)*Q274*Ramure*Pc/MaxiM</f>
        <v>5.6791632633926298E-3</v>
      </c>
      <c r="Q274" s="307">
        <f t="shared" si="101"/>
        <v>1</v>
      </c>
      <c r="R274" s="179">
        <f t="shared" si="102"/>
        <v>0.28821644589164597</v>
      </c>
      <c r="S274" s="837">
        <f t="shared" si="103"/>
        <v>-1</v>
      </c>
      <c r="T274" s="178">
        <f t="shared" si="104"/>
        <v>5</v>
      </c>
      <c r="U274" s="253">
        <f t="shared" si="105"/>
        <v>-0.71178355410835403</v>
      </c>
      <c r="V274" s="385">
        <f t="shared" si="106"/>
        <v>39.338238897652147</v>
      </c>
      <c r="W274" s="404"/>
      <c r="X274" s="157">
        <f t="shared" si="107"/>
        <v>44090</v>
      </c>
      <c r="Y274" s="387">
        <f t="shared" si="108"/>
        <v>33.566000000000003</v>
      </c>
      <c r="Z274" s="387">
        <f t="shared" si="109"/>
        <v>34.178465616384564</v>
      </c>
      <c r="AA274" s="388">
        <f t="shared" si="110"/>
        <v>39.126104881234504</v>
      </c>
      <c r="AB274" s="199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0.1264536625832873</v>
      </c>
      <c r="AD274" s="233">
        <f>(INDEX(Models!$BJ274:$BT274,,AH274)*(1-AF274)+INDEX(Models!$BJ274:$BT274,,AH274+1)*AF274-ERP_i)*AE274*Ramure*Pc/MaxiM</f>
        <v>5.6791632633926298E-3</v>
      </c>
      <c r="AE274" s="307">
        <f t="shared" si="112"/>
        <v>1</v>
      </c>
      <c r="AF274" s="179">
        <f t="shared" si="113"/>
        <v>0.28821644589164597</v>
      </c>
      <c r="AG274" s="837">
        <f t="shared" si="119"/>
        <v>-1</v>
      </c>
      <c r="AH274" s="178">
        <f t="shared" si="114"/>
        <v>5</v>
      </c>
      <c r="AI274" s="227">
        <f t="shared" si="115"/>
        <v>-0.71178355410835403</v>
      </c>
      <c r="AJ274" s="267" t="b">
        <f t="shared" si="116"/>
        <v>0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8"/>
        <v>44091</v>
      </c>
      <c r="B275" s="618">
        <v>34.101999999999997</v>
      </c>
      <c r="C275" s="392"/>
      <c r="D275" s="395">
        <f t="shared" si="98"/>
        <v>34.725053900563836</v>
      </c>
      <c r="E275" s="387">
        <f t="shared" si="96"/>
        <v>39.752679325190634</v>
      </c>
      <c r="F275" s="387">
        <f t="shared" si="99"/>
        <v>39.942133992731698</v>
      </c>
      <c r="G275" s="110">
        <f t="shared" si="97"/>
        <v>0.87431888810171166</v>
      </c>
      <c r="H275" s="414" t="b">
        <f>Wh_hp&gt;='2019'!Maxi_hp</f>
        <v>1</v>
      </c>
      <c r="I275" s="382">
        <f>IF(H275,Wh_hp,'2019'!Maxi_hp)</f>
        <v>39.942133992731698</v>
      </c>
      <c r="J275" s="85">
        <f>IF(H275,An,'2019'!An_max)</f>
        <v>2020</v>
      </c>
      <c r="K275" s="199">
        <f t="shared" si="100"/>
        <v>44091</v>
      </c>
      <c r="L275" s="147">
        <f>IF(t&lt;Tvie,1-EXP((T0-t)*PertePVj)+'2019'!Pspv,1-EXP((T0-t)*PertePVj)+Pspv)</f>
        <v>1.7942489084335822E-2</v>
      </c>
      <c r="M275" s="870"/>
      <c r="N275" s="870"/>
      <c r="O275" s="48">
        <f>IF(t&lt;Tnet,'2019'!Resal+('2019'!Salim-'2019'!Resal)*(1-EXP(('2019'!Tnet-t)/('2019'!Tau_j))),Resal+(Salim-Resal)*(1-EXP((Tnet-t)/(Tau_j))))*Salcycl</f>
        <v>0.12647261794605313</v>
      </c>
      <c r="P275" s="171">
        <f>(INDEX(Models!$BJ275:$BT275,,T275)*(1-R275)+INDEX(Models!$BJ275:$BT275,,T275+1)*R275-ERP_i)*Q275*Ramure*Pc/MaxiM</f>
        <v>5.7721196053703476E-3</v>
      </c>
      <c r="Q275" s="307">
        <f t="shared" si="101"/>
        <v>1</v>
      </c>
      <c r="R275" s="179">
        <f t="shared" si="102"/>
        <v>0.28868352566544686</v>
      </c>
      <c r="S275" s="837">
        <f t="shared" si="103"/>
        <v>-1</v>
      </c>
      <c r="T275" s="178">
        <f t="shared" si="104"/>
        <v>5</v>
      </c>
      <c r="U275" s="253">
        <f t="shared" si="105"/>
        <v>-0.71131647433455314</v>
      </c>
      <c r="V275" s="385">
        <f t="shared" si="106"/>
        <v>38.963753383909776</v>
      </c>
      <c r="W275" s="404"/>
      <c r="X275" s="157">
        <f t="shared" si="107"/>
        <v>44091</v>
      </c>
      <c r="Y275" s="387">
        <f t="shared" si="108"/>
        <v>34.101999999999997</v>
      </c>
      <c r="Z275" s="387">
        <f t="shared" si="109"/>
        <v>34.725053900563836</v>
      </c>
      <c r="AA275" s="388">
        <f t="shared" si="110"/>
        <v>39.752679325190634</v>
      </c>
      <c r="AB275" s="199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0.12647261794605313</v>
      </c>
      <c r="AD275" s="233">
        <f>(INDEX(Models!$BJ275:$BT275,,AH275)*(1-AF275)+INDEX(Models!$BJ275:$BT275,,AH275+1)*AF275-ERP_i)*AE275*Ramure*Pc/MaxiM</f>
        <v>5.7721196053703476E-3</v>
      </c>
      <c r="AE275" s="307">
        <f t="shared" si="112"/>
        <v>1</v>
      </c>
      <c r="AF275" s="179">
        <f t="shared" si="113"/>
        <v>0.28868352566544686</v>
      </c>
      <c r="AG275" s="837">
        <f t="shared" si="119"/>
        <v>-1</v>
      </c>
      <c r="AH275" s="178">
        <f t="shared" si="114"/>
        <v>5</v>
      </c>
      <c r="AI275" s="227">
        <f t="shared" si="115"/>
        <v>-0.71131647433455314</v>
      </c>
      <c r="AJ275" s="267" t="b">
        <f t="shared" si="116"/>
        <v>0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8"/>
        <v>44092</v>
      </c>
      <c r="B276" s="618">
        <v>15.95</v>
      </c>
      <c r="C276" s="392"/>
      <c r="D276" s="395">
        <f t="shared" si="98"/>
        <v>16.241789315951081</v>
      </c>
      <c r="E276" s="387">
        <f t="shared" si="96"/>
        <v>18.593687558677729</v>
      </c>
      <c r="F276" s="387">
        <f t="shared" si="99"/>
        <v>18.611356213945186</v>
      </c>
      <c r="G276" s="110">
        <f t="shared" si="97"/>
        <v>0.41136362645774305</v>
      </c>
      <c r="H276" s="414" t="b">
        <f>Wh_hp&gt;='2019'!Maxi_hp</f>
        <v>0</v>
      </c>
      <c r="I276" s="382">
        <f>IF(H276,Wh_hp,'2019'!Maxi_hp)</f>
        <v>40.768684466734584</v>
      </c>
      <c r="J276" s="85">
        <f>IF(H276,An,'2019'!An_max)</f>
        <v>2019</v>
      </c>
      <c r="K276" s="199">
        <f t="shared" si="100"/>
        <v>44092</v>
      </c>
      <c r="L276" s="147">
        <f>IF(t&lt;Tvie,1-EXP((T0-t)*PertePVj)+'2019'!Pspv,1-EXP((T0-t)*PertePVj)+Pspv)</f>
        <v>1.7965342997308564E-2</v>
      </c>
      <c r="M276" s="870"/>
      <c r="N276" s="870"/>
      <c r="O276" s="48">
        <f>IF(t&lt;Tnet,'2019'!Resal+('2019'!Salim-'2019'!Resal)*(1-EXP(('2019'!Tnet-t)/('2019'!Tau_j))),Resal+(Salim-Resal)*(1-EXP((Tnet-t)/(Tau_j))))*Salcycl</f>
        <v>0.12648906976115185</v>
      </c>
      <c r="P276" s="171">
        <f>(INDEX(Models!$BJ276:$BT276,,T276)*(1-R276)+INDEX(Models!$BJ276:$BT276,,T276+1)*R276-ERP_i)*Q276*Ramure*Pc/MaxiM</f>
        <v>5.8603924158628718E-3</v>
      </c>
      <c r="Q276" s="307">
        <f t="shared" si="101"/>
        <v>1</v>
      </c>
      <c r="R276" s="179">
        <f t="shared" si="102"/>
        <v>0.28913239502241317</v>
      </c>
      <c r="S276" s="837">
        <f t="shared" si="103"/>
        <v>-1</v>
      </c>
      <c r="T276" s="178">
        <f t="shared" si="104"/>
        <v>5</v>
      </c>
      <c r="U276" s="253">
        <f t="shared" si="105"/>
        <v>-0.71086760497758683</v>
      </c>
      <c r="V276" s="385">
        <f t="shared" si="106"/>
        <v>38.582882364438497</v>
      </c>
      <c r="W276" s="404"/>
      <c r="X276" s="157">
        <f t="shared" si="107"/>
        <v>44092</v>
      </c>
      <c r="Y276" s="387">
        <f t="shared" si="108"/>
        <v>15.949999999999998</v>
      </c>
      <c r="Z276" s="387">
        <f t="shared" si="109"/>
        <v>16.241789315951081</v>
      </c>
      <c r="AA276" s="388">
        <f t="shared" si="110"/>
        <v>18.593687558677729</v>
      </c>
      <c r="AB276" s="199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0.12648906976115185</v>
      </c>
      <c r="AD276" s="233">
        <f>(INDEX(Models!$BJ276:$BT276,,AH276)*(1-AF276)+INDEX(Models!$BJ276:$BT276,,AH276+1)*AF276-ERP_i)*AE276*Ramure*Pc/MaxiM</f>
        <v>5.8603924158628718E-3</v>
      </c>
      <c r="AE276" s="307">
        <f t="shared" si="112"/>
        <v>1</v>
      </c>
      <c r="AF276" s="179">
        <f t="shared" si="113"/>
        <v>0.28913239502241317</v>
      </c>
      <c r="AG276" s="837">
        <f t="shared" si="119"/>
        <v>-1</v>
      </c>
      <c r="AH276" s="178">
        <f t="shared" si="114"/>
        <v>5</v>
      </c>
      <c r="AI276" s="227">
        <f t="shared" si="115"/>
        <v>-0.71086760497758683</v>
      </c>
      <c r="AJ276" s="267" t="b">
        <f t="shared" si="116"/>
        <v>0</v>
      </c>
      <c r="AK276" s="267" t="b">
        <f t="shared" si="117"/>
        <v>0</v>
      </c>
      <c r="AL276" s="267"/>
      <c r="AM276" s="267"/>
      <c r="AN276" s="75"/>
    </row>
    <row r="277" spans="1:40" s="6" customFormat="1" ht="11.25" customHeight="1" x14ac:dyDescent="0.2">
      <c r="A277" s="56">
        <f t="shared" si="118"/>
        <v>44093</v>
      </c>
      <c r="B277" s="618">
        <v>25.986999999999998</v>
      </c>
      <c r="C277" s="392"/>
      <c r="D277" s="395">
        <f t="shared" si="98"/>
        <v>26.463022037171555</v>
      </c>
      <c r="E277" s="387">
        <f t="shared" si="96"/>
        <v>30.295490492138139</v>
      </c>
      <c r="F277" s="387">
        <f t="shared" si="99"/>
        <v>30.393673933973286</v>
      </c>
      <c r="G277" s="110">
        <f t="shared" si="97"/>
        <v>0.67849827677832708</v>
      </c>
      <c r="H277" s="414" t="b">
        <f>Wh_hp&gt;='2019'!Maxi_hp</f>
        <v>0</v>
      </c>
      <c r="I277" s="382">
        <f>IF(H277,Wh_hp,'2019'!Maxi_hp)</f>
        <v>41.687468761411431</v>
      </c>
      <c r="J277" s="85">
        <f>IF(H277,An,'2019'!An_max)</f>
        <v>2019</v>
      </c>
      <c r="K277" s="199">
        <f t="shared" si="100"/>
        <v>44093</v>
      </c>
      <c r="L277" s="147">
        <f>IF(t&lt;Tvie,1-EXP((T0-t)*PertePVj)+'2019'!Pspv,1-EXP((T0-t)*PertePVj)+Pspv)</f>
        <v>1.7988196378437293E-2</v>
      </c>
      <c r="M277" s="870"/>
      <c r="N277" s="870"/>
      <c r="O277" s="48">
        <f>IF(t&lt;Tnet,'2019'!Resal+('2019'!Salim-'2019'!Resal)*(1-EXP(('2019'!Tnet-t)/('2019'!Tau_j))),Resal+(Salim-Resal)*(1-EXP((Tnet-t)/(Tau_j))))*Salcycl</f>
        <v>0.12650293468465659</v>
      </c>
      <c r="P277" s="171">
        <f>(INDEX(Models!$BJ277:$BT277,,T277)*(1-R277)+INDEX(Models!$BJ277:$BT277,,T277+1)*R277-ERP_i)*Q277*Ramure*Pc/MaxiM</f>
        <v>5.945223477582048E-3</v>
      </c>
      <c r="Q277" s="307">
        <f t="shared" si="101"/>
        <v>1</v>
      </c>
      <c r="R277" s="179">
        <f t="shared" si="102"/>
        <v>0.28956374124549544</v>
      </c>
      <c r="S277" s="837">
        <f t="shared" si="103"/>
        <v>-1</v>
      </c>
      <c r="T277" s="178">
        <f t="shared" si="104"/>
        <v>5</v>
      </c>
      <c r="U277" s="253">
        <f t="shared" si="105"/>
        <v>-0.71043625875450456</v>
      </c>
      <c r="V277" s="385">
        <f t="shared" si="106"/>
        <v>38.196443357262226</v>
      </c>
      <c r="W277" s="404"/>
      <c r="X277" s="157">
        <f t="shared" si="107"/>
        <v>44093</v>
      </c>
      <c r="Y277" s="387">
        <f t="shared" si="108"/>
        <v>25.986999999999998</v>
      </c>
      <c r="Z277" s="387">
        <f t="shared" si="109"/>
        <v>26.463022037171555</v>
      </c>
      <c r="AA277" s="388">
        <f t="shared" si="110"/>
        <v>30.295490492138139</v>
      </c>
      <c r="AB277" s="199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0.12650293468465659</v>
      </c>
      <c r="AD277" s="233">
        <f>(INDEX(Models!$BJ277:$BT277,,AH277)*(1-AF277)+INDEX(Models!$BJ277:$BT277,,AH277+1)*AF277-ERP_i)*AE277*Ramure*Pc/MaxiM</f>
        <v>5.945223477582048E-3</v>
      </c>
      <c r="AE277" s="307">
        <f t="shared" si="112"/>
        <v>1</v>
      </c>
      <c r="AF277" s="179">
        <f t="shared" si="113"/>
        <v>0.28956374124549544</v>
      </c>
      <c r="AG277" s="837">
        <f t="shared" si="119"/>
        <v>-1</v>
      </c>
      <c r="AH277" s="178">
        <f t="shared" si="114"/>
        <v>5</v>
      </c>
      <c r="AI277" s="227">
        <f t="shared" si="115"/>
        <v>-0.71043625875450456</v>
      </c>
      <c r="AJ277" s="267" t="b">
        <f t="shared" si="116"/>
        <v>0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8"/>
        <v>44094</v>
      </c>
      <c r="B278" s="618">
        <v>30.16</v>
      </c>
      <c r="C278" s="392"/>
      <c r="D278" s="395">
        <f t="shared" si="98"/>
        <v>30.713176534503035</v>
      </c>
      <c r="E278" s="387">
        <f t="shared" si="96"/>
        <v>35.161617988771532</v>
      </c>
      <c r="F278" s="387">
        <f t="shared" si="99"/>
        <v>35.312947782879434</v>
      </c>
      <c r="G278" s="110">
        <f t="shared" si="97"/>
        <v>0.79637661796967452</v>
      </c>
      <c r="H278" s="414" t="b">
        <f>Wh_hp&gt;='2019'!Maxi_hp</f>
        <v>1</v>
      </c>
      <c r="I278" s="382">
        <f>IF(H278,Wh_hp,'2019'!Maxi_hp)</f>
        <v>35.312947782879434</v>
      </c>
      <c r="J278" s="85">
        <f>IF(H278,An,'2019'!An_max)</f>
        <v>2020</v>
      </c>
      <c r="K278" s="199">
        <f t="shared" si="100"/>
        <v>44094</v>
      </c>
      <c r="L278" s="147">
        <f>IF(t&lt;Tvie,1-EXP((T0-t)*PertePVj)+'2019'!Pspv,1-EXP((T0-t)*PertePVj)+Pspv)</f>
        <v>1.8011049227734555E-2</v>
      </c>
      <c r="M278" s="870"/>
      <c r="N278" s="870"/>
      <c r="O278" s="48">
        <f>IF(t&lt;Tnet,'2019'!Resal+('2019'!Salim-'2019'!Resal)*(1-EXP(('2019'!Tnet-t)/('2019'!Tau_j))),Resal+(Salim-Resal)*(1-EXP((Tnet-t)/(Tau_j))))*Salcycl</f>
        <v>0.12651412843655416</v>
      </c>
      <c r="P278" s="171">
        <f>(INDEX(Models!$BJ278:$BT278,,T278)*(1-R278)+INDEX(Models!$BJ278:$BT278,,T278+1)*R278-ERP_i)*Q278*Ramure*Pc/MaxiM</f>
        <v>6.026406969582984E-3</v>
      </c>
      <c r="Q278" s="307">
        <f t="shared" si="101"/>
        <v>1</v>
      </c>
      <c r="R278" s="179">
        <f t="shared" si="102"/>
        <v>0.2899782274471181</v>
      </c>
      <c r="S278" s="837">
        <f t="shared" si="103"/>
        <v>-1</v>
      </c>
      <c r="T278" s="178">
        <f t="shared" si="104"/>
        <v>5</v>
      </c>
      <c r="U278" s="253">
        <f t="shared" si="105"/>
        <v>-0.7100217725528819</v>
      </c>
      <c r="V278" s="385">
        <f t="shared" si="106"/>
        <v>37.805310067476846</v>
      </c>
      <c r="W278" s="404"/>
      <c r="X278" s="157">
        <f t="shared" si="107"/>
        <v>44094</v>
      </c>
      <c r="Y278" s="387">
        <f t="shared" si="108"/>
        <v>30.16</v>
      </c>
      <c r="Z278" s="387">
        <f t="shared" si="109"/>
        <v>30.713176534503035</v>
      </c>
      <c r="AA278" s="388">
        <f t="shared" si="110"/>
        <v>35.161617988771532</v>
      </c>
      <c r="AB278" s="199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0.12651412843655416</v>
      </c>
      <c r="AD278" s="233">
        <f>(INDEX(Models!$BJ278:$BT278,,AH278)*(1-AF278)+INDEX(Models!$BJ278:$BT278,,AH278+1)*AF278-ERP_i)*AE278*Ramure*Pc/MaxiM</f>
        <v>6.026406969582984E-3</v>
      </c>
      <c r="AE278" s="307">
        <f t="shared" si="112"/>
        <v>1</v>
      </c>
      <c r="AF278" s="179">
        <f t="shared" si="113"/>
        <v>0.2899782274471181</v>
      </c>
      <c r="AG278" s="837">
        <f t="shared" si="119"/>
        <v>-1</v>
      </c>
      <c r="AH278" s="178">
        <f t="shared" si="114"/>
        <v>5</v>
      </c>
      <c r="AI278" s="227">
        <f t="shared" si="115"/>
        <v>-0.7100217725528819</v>
      </c>
      <c r="AJ278" s="267" t="b">
        <f t="shared" si="116"/>
        <v>0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8"/>
        <v>44095</v>
      </c>
      <c r="B279" s="618">
        <v>23.867999999999999</v>
      </c>
      <c r="C279" s="392"/>
      <c r="D279" s="395">
        <f t="shared" si="98"/>
        <v>24.306338108371008</v>
      </c>
      <c r="E279" s="387">
        <f t="shared" si="96"/>
        <v>27.827093371159876</v>
      </c>
      <c r="F279" s="387">
        <f t="shared" si="99"/>
        <v>27.909349726256586</v>
      </c>
      <c r="G279" s="110">
        <f t="shared" si="97"/>
        <v>0.63598537441515923</v>
      </c>
      <c r="H279" s="414" t="b">
        <f>Wh_hp&gt;='2019'!Maxi_hp</f>
        <v>1</v>
      </c>
      <c r="I279" s="382">
        <f>IF(H279,Wh_hp,'2019'!Maxi_hp)</f>
        <v>27.909349726256586</v>
      </c>
      <c r="J279" s="85">
        <f>IF(H279,An,'2019'!An_max)</f>
        <v>2020</v>
      </c>
      <c r="K279" s="199">
        <f t="shared" si="100"/>
        <v>44095</v>
      </c>
      <c r="L279" s="147">
        <f>IF(t&lt;Tvie,1-EXP((T0-t)*PertePVj)+'2019'!Pspv,1-EXP((T0-t)*PertePVj)+Pspv)</f>
        <v>1.803390154521245E-2</v>
      </c>
      <c r="M279" s="870"/>
      <c r="N279" s="870"/>
      <c r="O279" s="48">
        <f>IF(t&lt;Tnet,'2019'!Resal+('2019'!Salim-'2019'!Resal)*(1-EXP(('2019'!Tnet-t)/('2019'!Tau_j))),Resal+(Salim-Resal)*(1-EXP((Tnet-t)/(Tau_j))))*Salcycl</f>
        <v>0.12652256618500421</v>
      </c>
      <c r="P279" s="171">
        <f>(INDEX(Models!$BJ279:$BT279,,T279)*(1-R279)+INDEX(Models!$BJ279:$BT279,,T279+1)*R279-ERP_i)*Q279*Ramure*Pc/MaxiM</f>
        <v>6.1037179344773452E-3</v>
      </c>
      <c r="Q279" s="307">
        <f t="shared" si="101"/>
        <v>1</v>
      </c>
      <c r="R279" s="179">
        <f t="shared" si="102"/>
        <v>0.29037649327985238</v>
      </c>
      <c r="S279" s="837">
        <f t="shared" si="103"/>
        <v>-1</v>
      </c>
      <c r="T279" s="178">
        <f t="shared" si="104"/>
        <v>5</v>
      </c>
      <c r="U279" s="253">
        <f t="shared" si="105"/>
        <v>-0.70962350672014762</v>
      </c>
      <c r="V279" s="385">
        <f t="shared" si="106"/>
        <v>37.410355851935577</v>
      </c>
      <c r="W279" s="404"/>
      <c r="X279" s="157">
        <f t="shared" si="107"/>
        <v>44095</v>
      </c>
      <c r="Y279" s="387">
        <f t="shared" si="108"/>
        <v>23.867999999999999</v>
      </c>
      <c r="Z279" s="387">
        <f t="shared" si="109"/>
        <v>24.306338108371008</v>
      </c>
      <c r="AA279" s="388">
        <f t="shared" si="110"/>
        <v>27.827093371159876</v>
      </c>
      <c r="AB279" s="199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0.12652256618500421</v>
      </c>
      <c r="AD279" s="233">
        <f>(INDEX(Models!$BJ279:$BT279,,AH279)*(1-AF279)+INDEX(Models!$BJ279:$BT279,,AH279+1)*AF279-ERP_i)*AE279*Ramure*Pc/MaxiM</f>
        <v>6.1037179344773452E-3</v>
      </c>
      <c r="AE279" s="307">
        <f t="shared" si="112"/>
        <v>1</v>
      </c>
      <c r="AF279" s="179">
        <f t="shared" si="113"/>
        <v>0.29037649327985238</v>
      </c>
      <c r="AG279" s="837">
        <f t="shared" si="119"/>
        <v>-1</v>
      </c>
      <c r="AH279" s="178">
        <f t="shared" si="114"/>
        <v>5</v>
      </c>
      <c r="AI279" s="227">
        <f t="shared" si="115"/>
        <v>-0.70962350672014762</v>
      </c>
      <c r="AJ279" s="267" t="b">
        <f t="shared" si="116"/>
        <v>0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8"/>
        <v>44096</v>
      </c>
      <c r="B280" s="618">
        <v>18.170000000000002</v>
      </c>
      <c r="C280" s="392"/>
      <c r="D280" s="395">
        <f t="shared" si="98"/>
        <v>18.504124410076741</v>
      </c>
      <c r="E280" s="387">
        <f t="shared" si="96"/>
        <v>21.184569010317283</v>
      </c>
      <c r="F280" s="387">
        <f t="shared" si="99"/>
        <v>21.220318478004721</v>
      </c>
      <c r="G280" s="110">
        <f t="shared" si="97"/>
        <v>0.4887068162401817</v>
      </c>
      <c r="H280" s="414" t="b">
        <f>Wh_hp&gt;='2019'!Maxi_hp</f>
        <v>0</v>
      </c>
      <c r="I280" s="382">
        <f>IF(H280,Wh_hp,'2019'!Maxi_hp)</f>
        <v>39.136561933282216</v>
      </c>
      <c r="J280" s="85">
        <f>IF(H280,An,'2019'!An_max)</f>
        <v>2019</v>
      </c>
      <c r="K280" s="199">
        <f t="shared" si="100"/>
        <v>44096</v>
      </c>
      <c r="L280" s="147">
        <f>IF(t&lt;Tvie,1-EXP((T0-t)*PertePVj)+'2019'!Pspv,1-EXP((T0-t)*PertePVj)+Pspv)</f>
        <v>1.8056753330883635E-2</v>
      </c>
      <c r="M280" s="870"/>
      <c r="N280" s="870"/>
      <c r="O280" s="48">
        <f>IF(t&lt;Tnet,'2019'!Resal+('2019'!Salim-'2019'!Resal)*(1-EXP(('2019'!Tnet-t)/('2019'!Tau_j))),Resal+(Salim-Resal)*(1-EXP((Tnet-t)/(Tau_j))))*Salcycl</f>
        <v>0.12652816297254452</v>
      </c>
      <c r="P280" s="171">
        <f>(INDEX(Models!$BJ280:$BT280,,T280)*(1-R280)+INDEX(Models!$BJ280:$BT280,,T280+1)*R280-ERP_i)*Q280*Ramure*Pc/MaxiM</f>
        <v>6.1769446668710412E-3</v>
      </c>
      <c r="Q280" s="307">
        <f t="shared" si="101"/>
        <v>1</v>
      </c>
      <c r="R280" s="179">
        <f t="shared" si="102"/>
        <v>0.29075915563764365</v>
      </c>
      <c r="S280" s="837">
        <f t="shared" si="103"/>
        <v>-1</v>
      </c>
      <c r="T280" s="178">
        <f t="shared" si="104"/>
        <v>5</v>
      </c>
      <c r="U280" s="253">
        <f t="shared" si="105"/>
        <v>-0.70924084436235635</v>
      </c>
      <c r="V280" s="385">
        <f t="shared" si="106"/>
        <v>37.01245250769535</v>
      </c>
      <c r="W280" s="404"/>
      <c r="X280" s="157">
        <f t="shared" si="107"/>
        <v>44096</v>
      </c>
      <c r="Y280" s="387">
        <f t="shared" si="108"/>
        <v>18.170000000000002</v>
      </c>
      <c r="Z280" s="387">
        <f t="shared" si="109"/>
        <v>18.504124410076741</v>
      </c>
      <c r="AA280" s="388">
        <f t="shared" si="110"/>
        <v>21.184569010317283</v>
      </c>
      <c r="AB280" s="199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0.12652816297254452</v>
      </c>
      <c r="AD280" s="233">
        <f>(INDEX(Models!$BJ280:$BT280,,AH280)*(1-AF280)+INDEX(Models!$BJ280:$BT280,,AH280+1)*AF280-ERP_i)*AE280*Ramure*Pc/MaxiM</f>
        <v>6.1769446668710412E-3</v>
      </c>
      <c r="AE280" s="307">
        <f t="shared" si="112"/>
        <v>1</v>
      </c>
      <c r="AF280" s="179">
        <f t="shared" si="113"/>
        <v>0.29075915563764365</v>
      </c>
      <c r="AG280" s="837">
        <f t="shared" si="119"/>
        <v>-1</v>
      </c>
      <c r="AH280" s="178">
        <f t="shared" si="114"/>
        <v>5</v>
      </c>
      <c r="AI280" s="227">
        <f t="shared" si="115"/>
        <v>-0.70924084436235635</v>
      </c>
      <c r="AJ280" s="267" t="b">
        <f t="shared" si="116"/>
        <v>0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8"/>
        <v>44097</v>
      </c>
      <c r="B281" s="618">
        <v>28.106999999999999</v>
      </c>
      <c r="C281" s="392"/>
      <c r="D281" s="395">
        <f t="shared" si="98"/>
        <v>28.624520003084328</v>
      </c>
      <c r="E281" s="387">
        <f t="shared" si="96"/>
        <v>32.771070947080759</v>
      </c>
      <c r="F281" s="387">
        <f t="shared" si="99"/>
        <v>32.90839826379726</v>
      </c>
      <c r="G281" s="110">
        <f t="shared" si="97"/>
        <v>0.76609126355038237</v>
      </c>
      <c r="H281" s="414" t="b">
        <f>Wh_hp&gt;='2019'!Maxi_hp</f>
        <v>1</v>
      </c>
      <c r="I281" s="382">
        <f>IF(H281,Wh_hp,'2019'!Maxi_hp)</f>
        <v>32.90839826379726</v>
      </c>
      <c r="J281" s="85">
        <f>IF(H281,An,'2019'!An_max)</f>
        <v>2020</v>
      </c>
      <c r="K281" s="199">
        <f t="shared" si="100"/>
        <v>44097</v>
      </c>
      <c r="L281" s="147">
        <f>IF(t&lt;Tvie,1-EXP((T0-t)*PertePVj)+'2019'!Pspv,1-EXP((T0-t)*PertePVj)+Pspv)</f>
        <v>1.8079604584760434E-2</v>
      </c>
      <c r="M281" s="870"/>
      <c r="N281" s="870"/>
      <c r="O281" s="48">
        <f>IF(t&lt;Tnet,'2019'!Resal+('2019'!Salim-'2019'!Resal)*(1-EXP(('2019'!Tnet-t)/('2019'!Tau_j))),Resal+(Salim-Resal)*(1-EXP((Tnet-t)/(Tau_j))))*Salcycl</f>
        <v>0.12653083418275671</v>
      </c>
      <c r="P281" s="171">
        <f>(INDEX(Models!$BJ281:$BT281,,T281)*(1-R281)+INDEX(Models!$BJ281:$BT281,,T281+1)*R281-ERP_i)*Q281*Ramure*Pc/MaxiM</f>
        <v>6.2458402782265277E-3</v>
      </c>
      <c r="Q281" s="307">
        <f t="shared" si="101"/>
        <v>1</v>
      </c>
      <c r="R281" s="179">
        <f t="shared" si="102"/>
        <v>0.29112680934663415</v>
      </c>
      <c r="S281" s="837">
        <f t="shared" si="103"/>
        <v>-1</v>
      </c>
      <c r="T281" s="178">
        <f t="shared" si="104"/>
        <v>5</v>
      </c>
      <c r="U281" s="253">
        <f t="shared" si="105"/>
        <v>-0.70887319065336585</v>
      </c>
      <c r="V281" s="385">
        <f t="shared" si="106"/>
        <v>36.612472113983451</v>
      </c>
      <c r="W281" s="404"/>
      <c r="X281" s="157">
        <f t="shared" si="107"/>
        <v>44097</v>
      </c>
      <c r="Y281" s="387">
        <f t="shared" si="108"/>
        <v>28.106999999999999</v>
      </c>
      <c r="Z281" s="387">
        <f t="shared" si="109"/>
        <v>28.624520003084328</v>
      </c>
      <c r="AA281" s="388">
        <f t="shared" si="110"/>
        <v>32.771070947080759</v>
      </c>
      <c r="AB281" s="199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0.12653083418275671</v>
      </c>
      <c r="AD281" s="233">
        <f>(INDEX(Models!$BJ281:$BT281,,AH281)*(1-AF281)+INDEX(Models!$BJ281:$BT281,,AH281+1)*AF281-ERP_i)*AE281*Ramure*Pc/MaxiM</f>
        <v>6.2458402782265277E-3</v>
      </c>
      <c r="AE281" s="307">
        <f t="shared" si="112"/>
        <v>1</v>
      </c>
      <c r="AF281" s="179">
        <f t="shared" si="113"/>
        <v>0.29112680934663415</v>
      </c>
      <c r="AG281" s="837">
        <f t="shared" si="119"/>
        <v>-1</v>
      </c>
      <c r="AH281" s="178">
        <f t="shared" si="114"/>
        <v>5</v>
      </c>
      <c r="AI281" s="227">
        <f t="shared" si="115"/>
        <v>-0.70887319065336585</v>
      </c>
      <c r="AJ281" s="267" t="b">
        <f t="shared" si="116"/>
        <v>0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8"/>
        <v>44098</v>
      </c>
      <c r="B282" s="618">
        <v>17.52</v>
      </c>
      <c r="C282" s="392"/>
      <c r="D282" s="395">
        <f t="shared" si="98"/>
        <v>17.843002148941331</v>
      </c>
      <c r="E282" s="387">
        <f t="shared" si="96"/>
        <v>20.427733387551051</v>
      </c>
      <c r="F282" s="387">
        <f t="shared" si="99"/>
        <v>20.461645774283394</v>
      </c>
      <c r="G282" s="110">
        <f t="shared" si="97"/>
        <v>0.4815721776545695</v>
      </c>
      <c r="H282" s="414" t="b">
        <f>Wh_hp&gt;='2019'!Maxi_hp</f>
        <v>0</v>
      </c>
      <c r="I282" s="382">
        <f>IF(H282,Wh_hp,'2019'!Maxi_hp)</f>
        <v>29.377936040078989</v>
      </c>
      <c r="J282" s="85">
        <f>IF(H282,An,'2019'!An_max)</f>
        <v>2019</v>
      </c>
      <c r="K282" s="199">
        <f t="shared" si="100"/>
        <v>44098</v>
      </c>
      <c r="L282" s="147">
        <f>IF(t&lt;Tvie,1-EXP((T0-t)*PertePVj)+'2019'!Pspv,1-EXP((T0-t)*PertePVj)+Pspv)</f>
        <v>1.810245530685517E-2</v>
      </c>
      <c r="M282" s="870"/>
      <c r="N282" s="870"/>
      <c r="O282" s="48">
        <f>IF(t&lt;Tnet,'2019'!Resal+('2019'!Salim-'2019'!Resal)*(1-EXP(('2019'!Tnet-t)/('2019'!Tau_j))),Resal+(Salim-Resal)*(1-EXP((Tnet-t)/(Tau_j))))*Salcycl</f>
        <v>0.1265304960453856</v>
      </c>
      <c r="P282" s="171">
        <f>(INDEX(Models!$BJ282:$BT282,,T282)*(1-R282)+INDEX(Models!$BJ282:$BT282,,T282+1)*R282-ERP_i)*Q282*Ramure*Pc/MaxiM</f>
        <v>6.3111034473664184E-3</v>
      </c>
      <c r="Q282" s="307">
        <f t="shared" si="101"/>
        <v>1</v>
      </c>
      <c r="R282" s="179">
        <f t="shared" si="102"/>
        <v>0.2914800278447397</v>
      </c>
      <c r="S282" s="837">
        <f t="shared" si="103"/>
        <v>-1</v>
      </c>
      <c r="T282" s="178">
        <f t="shared" si="104"/>
        <v>5</v>
      </c>
      <c r="U282" s="253">
        <f t="shared" si="105"/>
        <v>-0.7085199721552603</v>
      </c>
      <c r="V282" s="385">
        <f t="shared" si="106"/>
        <v>36.211251255493437</v>
      </c>
      <c r="W282" s="404"/>
      <c r="X282" s="157">
        <f t="shared" si="107"/>
        <v>44098</v>
      </c>
      <c r="Y282" s="387">
        <f t="shared" si="108"/>
        <v>17.52</v>
      </c>
      <c r="Z282" s="387">
        <f t="shared" si="109"/>
        <v>17.843002148941331</v>
      </c>
      <c r="AA282" s="388">
        <f t="shared" si="110"/>
        <v>20.427733387551051</v>
      </c>
      <c r="AB282" s="199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0.1265304960453856</v>
      </c>
      <c r="AD282" s="233">
        <f>(INDEX(Models!$BJ282:$BT282,,AH282)*(1-AF282)+INDEX(Models!$BJ282:$BT282,,AH282+1)*AF282-ERP_i)*AE282*Ramure*Pc/MaxiM</f>
        <v>6.3111034473664184E-3</v>
      </c>
      <c r="AE282" s="307">
        <f t="shared" si="112"/>
        <v>1</v>
      </c>
      <c r="AF282" s="179">
        <f t="shared" si="113"/>
        <v>0.2914800278447397</v>
      </c>
      <c r="AG282" s="837">
        <f t="shared" si="119"/>
        <v>-1</v>
      </c>
      <c r="AH282" s="178">
        <f t="shared" si="114"/>
        <v>5</v>
      </c>
      <c r="AI282" s="227">
        <f t="shared" si="115"/>
        <v>-0.7085199721552603</v>
      </c>
      <c r="AJ282" s="267" t="b">
        <f t="shared" si="116"/>
        <v>0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8"/>
        <v>44099</v>
      </c>
      <c r="B283" s="618">
        <v>16.507999999999999</v>
      </c>
      <c r="C283" s="392"/>
      <c r="D283" s="395">
        <f t="shared" si="98"/>
        <v>16.812735975804895</v>
      </c>
      <c r="E283" s="387">
        <f t="shared" si="96"/>
        <v>19.248147624021666</v>
      </c>
      <c r="F283" s="387">
        <f t="shared" si="99"/>
        <v>19.276410190701586</v>
      </c>
      <c r="G283" s="110">
        <f t="shared" si="97"/>
        <v>0.4587278164031291</v>
      </c>
      <c r="H283" s="414" t="b">
        <f>Wh_hp&gt;='2019'!Maxi_hp</f>
        <v>0</v>
      </c>
      <c r="I283" s="382">
        <f>IF(H283,Wh_hp,'2019'!Maxi_hp)</f>
        <v>30.985466027101729</v>
      </c>
      <c r="J283" s="85">
        <f>IF(H283,An,'2019'!An_max)</f>
        <v>2019</v>
      </c>
      <c r="K283" s="199">
        <f t="shared" si="100"/>
        <v>44099</v>
      </c>
      <c r="L283" s="147">
        <f>IF(t&lt;Tvie,1-EXP((T0-t)*PertePVj)+'2019'!Pspv,1-EXP((T0-t)*PertePVj)+Pspv)</f>
        <v>1.8125305497180166E-2</v>
      </c>
      <c r="M283" s="870"/>
      <c r="N283" s="870"/>
      <c r="O283" s="48">
        <f>IF(t&lt;Tnet,'2019'!Resal+('2019'!Salim-'2019'!Resal)*(1-EXP(('2019'!Tnet-t)/('2019'!Tau_j))),Resal+(Salim-Resal)*(1-EXP((Tnet-t)/(Tau_j))))*Salcycl</f>
        <v>0.12652706617739048</v>
      </c>
      <c r="P283" s="171">
        <f>(INDEX(Models!$BJ283:$BT283,,T283)*(1-R283)+INDEX(Models!$BJ283:$BT283,,T283+1)*R283-ERP_i)*Q283*Ramure*Pc/MaxiM</f>
        <v>6.3749046907202005E-3</v>
      </c>
      <c r="Q283" s="307">
        <f t="shared" si="101"/>
        <v>1</v>
      </c>
      <c r="R283" s="179">
        <f t="shared" si="102"/>
        <v>0.29181936384926888</v>
      </c>
      <c r="S283" s="837">
        <f t="shared" si="103"/>
        <v>-1</v>
      </c>
      <c r="T283" s="178">
        <f t="shared" si="104"/>
        <v>5</v>
      </c>
      <c r="U283" s="253">
        <f t="shared" si="105"/>
        <v>-0.70818063615073112</v>
      </c>
      <c r="V283" s="385">
        <f t="shared" si="106"/>
        <v>35.809573997704135</v>
      </c>
      <c r="W283" s="404"/>
      <c r="X283" s="157">
        <f t="shared" si="107"/>
        <v>44099</v>
      </c>
      <c r="Y283" s="387">
        <f t="shared" si="108"/>
        <v>16.507999999999999</v>
      </c>
      <c r="Z283" s="387">
        <f t="shared" si="109"/>
        <v>16.812735975804895</v>
      </c>
      <c r="AA283" s="388">
        <f t="shared" si="110"/>
        <v>19.248147624021666</v>
      </c>
      <c r="AB283" s="199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0.12652706617739048</v>
      </c>
      <c r="AD283" s="233">
        <f>(INDEX(Models!$BJ283:$BT283,,AH283)*(1-AF283)+INDEX(Models!$BJ283:$BT283,,AH283+1)*AF283-ERP_i)*AE283*Ramure*Pc/MaxiM</f>
        <v>6.3749046907202005E-3</v>
      </c>
      <c r="AE283" s="307">
        <f t="shared" si="112"/>
        <v>1</v>
      </c>
      <c r="AF283" s="179">
        <f t="shared" si="113"/>
        <v>0.29181936384926888</v>
      </c>
      <c r="AG283" s="837">
        <f t="shared" si="119"/>
        <v>-1</v>
      </c>
      <c r="AH283" s="178">
        <f t="shared" si="114"/>
        <v>5</v>
      </c>
      <c r="AI283" s="227">
        <f t="shared" si="115"/>
        <v>-0.70818063615073112</v>
      </c>
      <c r="AJ283" s="267" t="b">
        <f t="shared" si="116"/>
        <v>0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8"/>
        <v>44100</v>
      </c>
      <c r="B284" s="618">
        <v>15.798</v>
      </c>
      <c r="C284" s="392"/>
      <c r="D284" s="395">
        <f t="shared" si="98"/>
        <v>16.090003886997824</v>
      </c>
      <c r="E284" s="387">
        <f t="shared" si="96"/>
        <v>18.42058482969216</v>
      </c>
      <c r="F284" s="387">
        <f t="shared" si="99"/>
        <v>18.445377508322405</v>
      </c>
      <c r="G284" s="110">
        <f t="shared" si="97"/>
        <v>0.44389107478175643</v>
      </c>
      <c r="H284" s="414" t="b">
        <f>Wh_hp&gt;='2019'!Maxi_hp</f>
        <v>0</v>
      </c>
      <c r="I284" s="382">
        <f>IF(H284,Wh_hp,'2019'!Maxi_hp)</f>
        <v>32.510091909422549</v>
      </c>
      <c r="J284" s="85">
        <f>IF(H284,An,'2019'!An_max)</f>
        <v>2019</v>
      </c>
      <c r="K284" s="199">
        <f t="shared" si="100"/>
        <v>44100</v>
      </c>
      <c r="L284" s="147">
        <f>IF(t&lt;Tvie,1-EXP((T0-t)*PertePVj)+'2019'!Pspv,1-EXP((T0-t)*PertePVj)+Pspv)</f>
        <v>1.8148155155747858E-2</v>
      </c>
      <c r="M284" s="870"/>
      <c r="N284" s="870"/>
      <c r="O284" s="48">
        <f>IF(t&lt;Tnet,'2019'!Resal+('2019'!Salim-'2019'!Resal)*(1-EXP(('2019'!Tnet-t)/('2019'!Tau_j))),Resal+(Salim-Resal)*(1-EXP((Tnet-t)/(Tau_j))))*Salcycl</f>
        <v>0.12652046415690721</v>
      </c>
      <c r="P284" s="171">
        <f>(INDEX(Models!$BJ284:$BT284,,T284)*(1-R284)+INDEX(Models!$BJ284:$BT284,,T284+1)*R284-ERP_i)*Q284*Ramure*Pc/MaxiM</f>
        <v>6.4370415587740636E-3</v>
      </c>
      <c r="Q284" s="307">
        <f t="shared" si="101"/>
        <v>1</v>
      </c>
      <c r="R284" s="179">
        <f t="shared" si="102"/>
        <v>0.29214535001196573</v>
      </c>
      <c r="S284" s="837">
        <f t="shared" si="103"/>
        <v>-1</v>
      </c>
      <c r="T284" s="178">
        <f t="shared" si="104"/>
        <v>5</v>
      </c>
      <c r="U284" s="253">
        <f t="shared" si="105"/>
        <v>-0.70785464998803427</v>
      </c>
      <c r="V284" s="385">
        <f t="shared" si="106"/>
        <v>35.408311910658369</v>
      </c>
      <c r="W284" s="404"/>
      <c r="X284" s="157">
        <f t="shared" si="107"/>
        <v>44100</v>
      </c>
      <c r="Y284" s="387">
        <f t="shared" si="108"/>
        <v>15.798000000000002</v>
      </c>
      <c r="Z284" s="387">
        <f t="shared" si="109"/>
        <v>16.090003886997824</v>
      </c>
      <c r="AA284" s="388">
        <f t="shared" si="110"/>
        <v>18.42058482969216</v>
      </c>
      <c r="AB284" s="199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0.12652046415690721</v>
      </c>
      <c r="AD284" s="233">
        <f>(INDEX(Models!$BJ284:$BT284,,AH284)*(1-AF284)+INDEX(Models!$BJ284:$BT284,,AH284+1)*AF284-ERP_i)*AE284*Ramure*Pc/MaxiM</f>
        <v>6.4370415587740636E-3</v>
      </c>
      <c r="AE284" s="307">
        <f t="shared" si="112"/>
        <v>1</v>
      </c>
      <c r="AF284" s="179">
        <f t="shared" si="113"/>
        <v>0.29214535001196573</v>
      </c>
      <c r="AG284" s="837">
        <f t="shared" si="119"/>
        <v>-1</v>
      </c>
      <c r="AH284" s="178">
        <f t="shared" si="114"/>
        <v>5</v>
      </c>
      <c r="AI284" s="227">
        <f t="shared" si="115"/>
        <v>-0.70785464998803427</v>
      </c>
      <c r="AJ284" s="267" t="b">
        <f t="shared" si="116"/>
        <v>0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8"/>
        <v>44101</v>
      </c>
      <c r="B285" s="618">
        <v>11.212</v>
      </c>
      <c r="C285" s="392"/>
      <c r="D285" s="395">
        <f t="shared" si="98"/>
        <v>11.419503853425423</v>
      </c>
      <c r="E285" s="387">
        <f t="shared" si="96"/>
        <v>13.073431700444164</v>
      </c>
      <c r="F285" s="387">
        <f t="shared" si="99"/>
        <v>13.075891423660707</v>
      </c>
      <c r="G285" s="110">
        <f t="shared" si="97"/>
        <v>0.31824557521683133</v>
      </c>
      <c r="H285" s="414" t="b">
        <f>Wh_hp&gt;='2019'!Maxi_hp</f>
        <v>0</v>
      </c>
      <c r="I285" s="382">
        <f>IF(H285,Wh_hp,'2019'!Maxi_hp)</f>
        <v>28.599911688914776</v>
      </c>
      <c r="J285" s="85">
        <f>IF(H285,An,'2019'!An_max)</f>
        <v>2019</v>
      </c>
      <c r="K285" s="199">
        <f t="shared" si="100"/>
        <v>44101</v>
      </c>
      <c r="L285" s="147">
        <f>IF(t&lt;Tvie,1-EXP((T0-t)*PertePVj)+'2019'!Pspv,1-EXP((T0-t)*PertePVj)+Pspv)</f>
        <v>1.8171004282570569E-2</v>
      </c>
      <c r="M285" s="870"/>
      <c r="N285" s="870"/>
      <c r="O285" s="48">
        <f>IF(t&lt;Tnet,'2019'!Resal+('2019'!Salim-'2019'!Resal)*(1-EXP(('2019'!Tnet-t)/('2019'!Tau_j))),Resal+(Salim-Resal)*(1-EXP((Tnet-t)/(Tau_j))))*Salcycl</f>
        <v>0.12651061212661932</v>
      </c>
      <c r="P285" s="171">
        <f>(INDEX(Models!$BJ285:$BT285,,T285)*(1-R285)+INDEX(Models!$BJ285:$BT285,,T285+1)*R285-ERP_i)*Q285*Ramure*Pc/MaxiM</f>
        <v>6.4972950852549578E-3</v>
      </c>
      <c r="Q285" s="307">
        <f t="shared" si="101"/>
        <v>1</v>
      </c>
      <c r="R285" s="179">
        <f t="shared" si="102"/>
        <v>0.29245849956096714</v>
      </c>
      <c r="S285" s="837">
        <f t="shared" si="103"/>
        <v>-1</v>
      </c>
      <c r="T285" s="178">
        <f t="shared" si="104"/>
        <v>5</v>
      </c>
      <c r="U285" s="253">
        <f t="shared" si="105"/>
        <v>-0.70754150043903286</v>
      </c>
      <c r="V285" s="385">
        <f t="shared" si="106"/>
        <v>35.008336297595257</v>
      </c>
      <c r="W285" s="404"/>
      <c r="X285" s="157">
        <f t="shared" si="107"/>
        <v>44101</v>
      </c>
      <c r="Y285" s="387">
        <f t="shared" si="108"/>
        <v>11.212</v>
      </c>
      <c r="Z285" s="387">
        <f t="shared" si="109"/>
        <v>11.419503853425423</v>
      </c>
      <c r="AA285" s="388">
        <f t="shared" si="110"/>
        <v>13.073431700444164</v>
      </c>
      <c r="AB285" s="199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0.12651061212661932</v>
      </c>
      <c r="AD285" s="233">
        <f>(INDEX(Models!$BJ285:$BT285,,AH285)*(1-AF285)+INDEX(Models!$BJ285:$BT285,,AH285+1)*AF285-ERP_i)*AE285*Ramure*Pc/MaxiM</f>
        <v>6.4972950852549578E-3</v>
      </c>
      <c r="AE285" s="307">
        <f t="shared" si="112"/>
        <v>1</v>
      </c>
      <c r="AF285" s="179">
        <f t="shared" si="113"/>
        <v>0.29245849956096714</v>
      </c>
      <c r="AG285" s="837">
        <f t="shared" si="119"/>
        <v>-1</v>
      </c>
      <c r="AH285" s="178">
        <f t="shared" si="114"/>
        <v>5</v>
      </c>
      <c r="AI285" s="227">
        <f t="shared" si="115"/>
        <v>-0.70754150043903286</v>
      </c>
      <c r="AJ285" s="267" t="b">
        <f t="shared" si="116"/>
        <v>0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8"/>
        <v>44102</v>
      </c>
      <c r="B286" s="618">
        <v>27.027999999999999</v>
      </c>
      <c r="C286" s="392"/>
      <c r="D286" s="395">
        <f t="shared" si="98"/>
        <v>27.528855955138095</v>
      </c>
      <c r="E286" s="387">
        <f t="shared" si="96"/>
        <v>31.515483836565409</v>
      </c>
      <c r="F286" s="387">
        <f t="shared" si="99"/>
        <v>31.658063997053169</v>
      </c>
      <c r="G286" s="110">
        <f t="shared" si="97"/>
        <v>0.77930923499095051</v>
      </c>
      <c r="H286" s="414" t="b">
        <f>Wh_hp&gt;='2019'!Maxi_hp</f>
        <v>0</v>
      </c>
      <c r="I286" s="382">
        <f>IF(H286,Wh_hp,'2019'!Maxi_hp)</f>
        <v>39.642846116741424</v>
      </c>
      <c r="J286" s="85">
        <f>IF(H286,An,'2019'!An_max)</f>
        <v>2019</v>
      </c>
      <c r="K286" s="199">
        <f t="shared" si="100"/>
        <v>44102</v>
      </c>
      <c r="L286" s="147">
        <f>IF(t&lt;Tvie,1-EXP((T0-t)*PertePVj)+'2019'!Pspv,1-EXP((T0-t)*PertePVj)+Pspv)</f>
        <v>1.8193852877660732E-2</v>
      </c>
      <c r="M286" s="870"/>
      <c r="N286" s="870"/>
      <c r="O286" s="48">
        <f>IF(t&lt;Tnet,'2019'!Resal+('2019'!Salim-'2019'!Resal)*(1-EXP(('2019'!Tnet-t)/('2019'!Tau_j))),Resal+(Salim-Resal)*(1-EXP((Tnet-t)/(Tau_j))))*Salcycl</f>
        <v>0.12649743542258052</v>
      </c>
      <c r="P286" s="171">
        <f>(INDEX(Models!$BJ286:$BT286,,T286)*(1-R286)+INDEX(Models!$BJ286:$BT286,,T286+1)*R286-ERP_i)*Q286*Ramure*Pc/MaxiM</f>
        <v>6.5554294091616869E-3</v>
      </c>
      <c r="Q286" s="307">
        <f t="shared" si="101"/>
        <v>1</v>
      </c>
      <c r="R286" s="179">
        <f t="shared" si="102"/>
        <v>0.29275930692924146</v>
      </c>
      <c r="S286" s="837">
        <f t="shared" si="103"/>
        <v>-1</v>
      </c>
      <c r="T286" s="178">
        <f t="shared" si="104"/>
        <v>5</v>
      </c>
      <c r="U286" s="253">
        <f t="shared" si="105"/>
        <v>-0.70724069307075854</v>
      </c>
      <c r="V286" s="385">
        <f t="shared" si="106"/>
        <v>34.610518206300569</v>
      </c>
      <c r="W286" s="404"/>
      <c r="X286" s="157">
        <f t="shared" si="107"/>
        <v>44102</v>
      </c>
      <c r="Y286" s="387">
        <f t="shared" si="108"/>
        <v>27.027999999999999</v>
      </c>
      <c r="Z286" s="387">
        <f t="shared" si="109"/>
        <v>27.528855955138095</v>
      </c>
      <c r="AA286" s="388">
        <f t="shared" si="110"/>
        <v>31.515483836565409</v>
      </c>
      <c r="AB286" s="199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0.12649743542258052</v>
      </c>
      <c r="AD286" s="233">
        <f>(INDEX(Models!$BJ286:$BT286,,AH286)*(1-AF286)+INDEX(Models!$BJ286:$BT286,,AH286+1)*AF286-ERP_i)*AE286*Ramure*Pc/MaxiM</f>
        <v>6.5554294091616869E-3</v>
      </c>
      <c r="AE286" s="307">
        <f t="shared" si="112"/>
        <v>1</v>
      </c>
      <c r="AF286" s="179">
        <f t="shared" si="113"/>
        <v>0.29275930692924146</v>
      </c>
      <c r="AG286" s="837">
        <f t="shared" si="119"/>
        <v>-1</v>
      </c>
      <c r="AH286" s="178">
        <f t="shared" si="114"/>
        <v>5</v>
      </c>
      <c r="AI286" s="227">
        <f t="shared" si="115"/>
        <v>-0.70724069307075854</v>
      </c>
      <c r="AJ286" s="267" t="b">
        <f t="shared" si="116"/>
        <v>0</v>
      </c>
      <c r="AK286" s="267" t="b">
        <f t="shared" si="117"/>
        <v>0</v>
      </c>
      <c r="AL286" s="267"/>
      <c r="AM286" s="267"/>
      <c r="AN286" s="75"/>
    </row>
    <row r="287" spans="1:40" s="6" customFormat="1" ht="11.25" customHeight="1" x14ac:dyDescent="0.2">
      <c r="A287" s="56">
        <f t="shared" si="118"/>
        <v>44103</v>
      </c>
      <c r="B287" s="618">
        <v>27.367000000000001</v>
      </c>
      <c r="C287" s="392"/>
      <c r="D287" s="395">
        <f t="shared" si="98"/>
        <v>27.874786652238875</v>
      </c>
      <c r="E287" s="387">
        <f t="shared" si="96"/>
        <v>31.910905529926904</v>
      </c>
      <c r="F287" s="387">
        <f t="shared" si="99"/>
        <v>32.062263093878606</v>
      </c>
      <c r="G287" s="110">
        <f t="shared" si="97"/>
        <v>0.79831761092795694</v>
      </c>
      <c r="H287" s="414" t="b">
        <f>Wh_hp&gt;='2019'!Maxi_hp</f>
        <v>1</v>
      </c>
      <c r="I287" s="382">
        <f>IF(H287,Wh_hp,'2019'!Maxi_hp)</f>
        <v>32.062263093878606</v>
      </c>
      <c r="J287" s="85">
        <f>IF(H287,An,'2019'!An_max)</f>
        <v>2020</v>
      </c>
      <c r="K287" s="199">
        <f t="shared" si="100"/>
        <v>44103</v>
      </c>
      <c r="L287" s="147">
        <f>IF(t&lt;Tvie,1-EXP((T0-t)*PertePVj)+'2019'!Pspv,1-EXP((T0-t)*PertePVj)+Pspv)</f>
        <v>1.8216700941030783E-2</v>
      </c>
      <c r="M287" s="870"/>
      <c r="N287" s="870"/>
      <c r="O287" s="48">
        <f>IF(t&lt;Tnet,'2019'!Resal+('2019'!Salim-'2019'!Resal)*(1-EXP(('2019'!Tnet-t)/('2019'!Tau_j))),Resal+(Salim-Resal)*(1-EXP((Tnet-t)/(Tau_j))))*Salcycl</f>
        <v>0.12648086322410518</v>
      </c>
      <c r="P287" s="171">
        <f>(INDEX(Models!$BJ287:$BT287,,T287)*(1-R287)+INDEX(Models!$BJ287:$BT287,,T287+1)*R287-ERP_i)*Q287*Ramure*Pc/MaxiM</f>
        <v>6.6111914905160859E-3</v>
      </c>
      <c r="Q287" s="307">
        <f t="shared" si="101"/>
        <v>1</v>
      </c>
      <c r="R287" s="179">
        <f t="shared" si="102"/>
        <v>0.29304824836917398</v>
      </c>
      <c r="S287" s="837">
        <f t="shared" si="103"/>
        <v>-1</v>
      </c>
      <c r="T287" s="178">
        <f t="shared" si="104"/>
        <v>5</v>
      </c>
      <c r="U287" s="253">
        <f t="shared" si="105"/>
        <v>-0.70695175163082602</v>
      </c>
      <c r="V287" s="385">
        <f t="shared" si="106"/>
        <v>34.215728441898278</v>
      </c>
      <c r="W287" s="404"/>
      <c r="X287" s="157">
        <f t="shared" si="107"/>
        <v>44103</v>
      </c>
      <c r="Y287" s="387">
        <f t="shared" si="108"/>
        <v>27.367000000000001</v>
      </c>
      <c r="Z287" s="387">
        <f t="shared" si="109"/>
        <v>27.874786652238875</v>
      </c>
      <c r="AA287" s="388">
        <f t="shared" si="110"/>
        <v>31.910905529926904</v>
      </c>
      <c r="AB287" s="199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0.12648086322410518</v>
      </c>
      <c r="AD287" s="233">
        <f>(INDEX(Models!$BJ287:$BT287,,AH287)*(1-AF287)+INDEX(Models!$BJ287:$BT287,,AH287+1)*AF287-ERP_i)*AE287*Ramure*Pc/MaxiM</f>
        <v>6.6111914905160859E-3</v>
      </c>
      <c r="AE287" s="307">
        <f t="shared" si="112"/>
        <v>1</v>
      </c>
      <c r="AF287" s="179">
        <f t="shared" si="113"/>
        <v>0.29304824836917398</v>
      </c>
      <c r="AG287" s="837">
        <f t="shared" si="119"/>
        <v>-1</v>
      </c>
      <c r="AH287" s="178">
        <f t="shared" si="114"/>
        <v>5</v>
      </c>
      <c r="AI287" s="227">
        <f t="shared" si="115"/>
        <v>-0.70695175163082602</v>
      </c>
      <c r="AJ287" s="267" t="b">
        <f t="shared" si="116"/>
        <v>0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8"/>
        <v>44104</v>
      </c>
      <c r="B288" s="618">
        <v>32.470999999999997</v>
      </c>
      <c r="C288" s="392"/>
      <c r="D288" s="395">
        <f t="shared" si="98"/>
        <v>33.074259560451274</v>
      </c>
      <c r="E288" s="387">
        <f t="shared" si="96"/>
        <v>37.862365726446875</v>
      </c>
      <c r="F288" s="387">
        <f t="shared" si="99"/>
        <v>38.101768879016269</v>
      </c>
      <c r="G288" s="110">
        <f t="shared" si="97"/>
        <v>0.95960692897071875</v>
      </c>
      <c r="H288" s="414" t="b">
        <f>Wh_hp&gt;='2019'!Maxi_hp</f>
        <v>1</v>
      </c>
      <c r="I288" s="382">
        <f>IF(H288,Wh_hp,'2019'!Maxi_hp)</f>
        <v>38.101768879016269</v>
      </c>
      <c r="J288" s="85">
        <f>IF(H288,An,'2019'!An_max)</f>
        <v>2020</v>
      </c>
      <c r="K288" s="199">
        <f t="shared" si="100"/>
        <v>44104</v>
      </c>
      <c r="L288" s="147">
        <f>IF(t&lt;Tvie,1-EXP((T0-t)*PertePVj)+'2019'!Pspv,1-EXP((T0-t)*PertePVj)+Pspv)</f>
        <v>1.8239548472692935E-2</v>
      </c>
      <c r="M288" s="870"/>
      <c r="N288" s="870"/>
      <c r="O288" s="48">
        <f>IF(t&lt;Tnet,'2019'!Resal+('2019'!Salim-'2019'!Resal)*(1-EXP(('2019'!Tnet-t)/('2019'!Tau_j))),Resal+(Salim-Resal)*(1-EXP((Tnet-t)/(Tau_j))))*Salcycl</f>
        <v>0.12646082921995294</v>
      </c>
      <c r="P288" s="171">
        <f>(INDEX(Models!$BJ288:$BT288,,T288)*(1-R288)+INDEX(Models!$BJ288:$BT288,,T288+1)*R288-ERP_i)*Q288*Ramure*Pc/MaxiM</f>
        <v>6.6643109425872848E-3</v>
      </c>
      <c r="Q288" s="307">
        <f t="shared" si="101"/>
        <v>1</v>
      </c>
      <c r="R288" s="179">
        <f t="shared" si="102"/>
        <v>0.29332578255302155</v>
      </c>
      <c r="S288" s="837">
        <f t="shared" si="103"/>
        <v>-1</v>
      </c>
      <c r="T288" s="178">
        <f t="shared" si="104"/>
        <v>5</v>
      </c>
      <c r="U288" s="253">
        <f t="shared" si="105"/>
        <v>-0.70667421744697845</v>
      </c>
      <c r="V288" s="385">
        <f t="shared" si="106"/>
        <v>33.824837583067811</v>
      </c>
      <c r="W288" s="404"/>
      <c r="X288" s="157">
        <f t="shared" si="107"/>
        <v>44104</v>
      </c>
      <c r="Y288" s="387">
        <f t="shared" si="108"/>
        <v>32.470999999999997</v>
      </c>
      <c r="Z288" s="387">
        <f t="shared" si="109"/>
        <v>33.074259560451274</v>
      </c>
      <c r="AA288" s="388">
        <f t="shared" si="110"/>
        <v>37.862365726446875</v>
      </c>
      <c r="AB288" s="199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0.12646082921995294</v>
      </c>
      <c r="AD288" s="233">
        <f>(INDEX(Models!$BJ288:$BT288,,AH288)*(1-AF288)+INDEX(Models!$BJ288:$BT288,,AH288+1)*AF288-ERP_i)*AE288*Ramure*Pc/MaxiM</f>
        <v>6.6643109425872848E-3</v>
      </c>
      <c r="AE288" s="307">
        <f t="shared" si="112"/>
        <v>1</v>
      </c>
      <c r="AF288" s="179">
        <f t="shared" si="113"/>
        <v>0.29332578255302155</v>
      </c>
      <c r="AG288" s="837">
        <f t="shared" si="119"/>
        <v>-1</v>
      </c>
      <c r="AH288" s="178">
        <f t="shared" si="114"/>
        <v>5</v>
      </c>
      <c r="AI288" s="227">
        <f t="shared" si="115"/>
        <v>-0.70667421744697845</v>
      </c>
      <c r="AJ288" s="267" t="b">
        <f t="shared" si="116"/>
        <v>0</v>
      </c>
      <c r="AK288" s="267" t="b">
        <f t="shared" si="117"/>
        <v>0</v>
      </c>
      <c r="AL288" s="267"/>
      <c r="AM288" s="267"/>
      <c r="AN288" s="75"/>
    </row>
    <row r="289" spans="1:40" s="6" customFormat="1" ht="11.25" customHeight="1" x14ac:dyDescent="0.2">
      <c r="A289" s="56">
        <f t="shared" si="118"/>
        <v>44105</v>
      </c>
      <c r="B289" s="618">
        <v>8.1359999999999992</v>
      </c>
      <c r="C289" s="392"/>
      <c r="D289" s="395">
        <f t="shared" si="98"/>
        <v>8.2873468047677505</v>
      </c>
      <c r="E289" s="387">
        <f t="shared" si="96"/>
        <v>9.48683653943392</v>
      </c>
      <c r="F289" s="387">
        <f t="shared" si="99"/>
        <v>9.48683653943392</v>
      </c>
      <c r="G289" s="110">
        <f t="shared" si="97"/>
        <v>0.24170781138740155</v>
      </c>
      <c r="H289" s="414" t="b">
        <f>Wh_hp&gt;='2019'!Maxi_hp</f>
        <v>0</v>
      </c>
      <c r="I289" s="382">
        <f>IF(H289,Wh_hp,'2019'!Maxi_hp)</f>
        <v>36.187282079507987</v>
      </c>
      <c r="J289" s="85">
        <f>IF(H289,An,'2019'!An_max)</f>
        <v>2018</v>
      </c>
      <c r="K289" s="199">
        <f t="shared" si="100"/>
        <v>44105</v>
      </c>
      <c r="L289" s="147">
        <f>IF(t&lt;Tvie,1-EXP((T0-t)*PertePVj)+'2019'!Pspv,1-EXP((T0-t)*PertePVj)+Pspv)</f>
        <v>1.8262395472659732E-2</v>
      </c>
      <c r="M289" s="870"/>
      <c r="N289" s="870"/>
      <c r="O289" s="48">
        <f>IF(t&lt;Tnet,'2019'!Resal+('2019'!Salim-'2019'!Resal)*(1-EXP(('2019'!Tnet-t)/('2019'!Tau_j))),Resal+(Salim-Resal)*(1-EXP((Tnet-t)/(Tau_j))))*Salcycl</f>
        <v>0.12643727228568266</v>
      </c>
      <c r="P289" s="171">
        <f>(INDEX(Models!$BJ289:$BT289,,T289)*(1-R289)+INDEX(Models!$BJ289:$BT289,,T289+1)*R289-ERP_i)*Q289*Ramure*Pc/MaxiM</f>
        <v>6.7153541590102631E-3</v>
      </c>
      <c r="Q289" s="307">
        <f t="shared" si="101"/>
        <v>1</v>
      </c>
      <c r="R289" s="179">
        <f t="shared" si="102"/>
        <v>0.29359235115904048</v>
      </c>
      <c r="S289" s="837">
        <f t="shared" si="103"/>
        <v>-1</v>
      </c>
      <c r="T289" s="178">
        <f t="shared" si="104"/>
        <v>5</v>
      </c>
      <c r="U289" s="253">
        <f t="shared" si="105"/>
        <v>-0.70640764884095952</v>
      </c>
      <c r="V289" s="385">
        <f t="shared" si="106"/>
        <v>33.434434047353719</v>
      </c>
      <c r="W289" s="404"/>
      <c r="X289" s="157">
        <f t="shared" si="107"/>
        <v>44105</v>
      </c>
      <c r="Y289" s="387">
        <f t="shared" si="108"/>
        <v>8.1359999999999992</v>
      </c>
      <c r="Z289" s="387">
        <f t="shared" si="109"/>
        <v>8.2873468047677505</v>
      </c>
      <c r="AA289" s="388">
        <f t="shared" si="110"/>
        <v>9.48683653943392</v>
      </c>
      <c r="AB289" s="199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0.12643727228568266</v>
      </c>
      <c r="AD289" s="233">
        <f>(INDEX(Models!$BJ289:$BT289,,AH289)*(1-AF289)+INDEX(Models!$BJ289:$BT289,,AH289+1)*AF289-ERP_i)*AE289*Ramure*Pc/MaxiM</f>
        <v>6.7153541590102631E-3</v>
      </c>
      <c r="AE289" s="307">
        <f t="shared" si="112"/>
        <v>1</v>
      </c>
      <c r="AF289" s="179">
        <f t="shared" si="113"/>
        <v>0.29359235115904048</v>
      </c>
      <c r="AG289" s="837">
        <f t="shared" si="119"/>
        <v>-1</v>
      </c>
      <c r="AH289" s="178">
        <f t="shared" si="114"/>
        <v>5</v>
      </c>
      <c r="AI289" s="227">
        <f t="shared" si="115"/>
        <v>-0.70640764884095952</v>
      </c>
      <c r="AJ289" s="267" t="b">
        <f t="shared" si="116"/>
        <v>0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8"/>
        <v>44106</v>
      </c>
      <c r="B290" s="618">
        <v>4.5880000000000001</v>
      </c>
      <c r="C290" s="392"/>
      <c r="D290" s="395">
        <f t="shared" si="98"/>
        <v>4.6734552601316821</v>
      </c>
      <c r="E290" s="387">
        <f t="shared" si="96"/>
        <v>5.3497132452688616</v>
      </c>
      <c r="F290" s="387">
        <f t="shared" si="99"/>
        <v>5.3497132452688616</v>
      </c>
      <c r="G290" s="110">
        <f t="shared" si="97"/>
        <v>0.1379177087398907</v>
      </c>
      <c r="H290" s="414" t="b">
        <f>Wh_hp&gt;='2019'!Maxi_hp</f>
        <v>0</v>
      </c>
      <c r="I290" s="382">
        <f>IF(H290,Wh_hp,'2019'!Maxi_hp)</f>
        <v>36.052378620144729</v>
      </c>
      <c r="J290" s="85">
        <f>IF(H290,An,'2019'!An_max)</f>
        <v>2018</v>
      </c>
      <c r="K290" s="199">
        <f t="shared" si="100"/>
        <v>44106</v>
      </c>
      <c r="L290" s="147">
        <f>IF(t&lt;Tvie,1-EXP((T0-t)*PertePVj)+'2019'!Pspv,1-EXP((T0-t)*PertePVj)+Pspv)</f>
        <v>1.8285241940943386E-2</v>
      </c>
      <c r="M290" s="870"/>
      <c r="N290" s="870"/>
      <c r="O290" s="48">
        <f>IF(t&lt;Tnet,'2019'!Resal+('2019'!Salim-'2019'!Resal)*(1-EXP(('2019'!Tnet-t)/('2019'!Tau_j))),Resal+(Salim-Resal)*(1-EXP((Tnet-t)/(Tau_j))))*Salcycl</f>
        <v>0.12641013716674324</v>
      </c>
      <c r="P290" s="171">
        <f>(INDEX(Models!$BJ290:$BT290,,T290)*(1-R290)+INDEX(Models!$BJ290:$BT290,,T290+1)*R290-ERP_i)*Q290*Ramure*Pc/MaxiM</f>
        <v>6.7726781209352478E-3</v>
      </c>
      <c r="Q290" s="307">
        <f t="shared" si="101"/>
        <v>1</v>
      </c>
      <c r="R290" s="179">
        <f t="shared" si="102"/>
        <v>0.29384837944314379</v>
      </c>
      <c r="S290" s="837">
        <f t="shared" si="103"/>
        <v>-1</v>
      </c>
      <c r="T290" s="178">
        <f t="shared" si="104"/>
        <v>5</v>
      </c>
      <c r="U290" s="253">
        <f t="shared" si="105"/>
        <v>-0.70615162055685621</v>
      </c>
      <c r="V290" s="385">
        <f t="shared" si="106"/>
        <v>33.040912544272295</v>
      </c>
      <c r="W290" s="404"/>
      <c r="X290" s="157">
        <f t="shared" si="107"/>
        <v>44106</v>
      </c>
      <c r="Y290" s="387">
        <f t="shared" si="108"/>
        <v>4.5880000000000001</v>
      </c>
      <c r="Z290" s="387">
        <f t="shared" si="109"/>
        <v>4.6734552601316821</v>
      </c>
      <c r="AA290" s="388">
        <f t="shared" si="110"/>
        <v>5.3497132452688616</v>
      </c>
      <c r="AB290" s="199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0.12641013716674324</v>
      </c>
      <c r="AD290" s="233">
        <f>(INDEX(Models!$BJ290:$BT290,,AH290)*(1-AF290)+INDEX(Models!$BJ290:$BT290,,AH290+1)*AF290-ERP_i)*AE290*Ramure*Pc/MaxiM</f>
        <v>6.7726781209352478E-3</v>
      </c>
      <c r="AE290" s="307">
        <f t="shared" si="112"/>
        <v>1</v>
      </c>
      <c r="AF290" s="179">
        <f t="shared" si="113"/>
        <v>0.29384837944314379</v>
      </c>
      <c r="AG290" s="837">
        <f t="shared" si="119"/>
        <v>-1</v>
      </c>
      <c r="AH290" s="178">
        <f t="shared" si="114"/>
        <v>5</v>
      </c>
      <c r="AI290" s="227">
        <f t="shared" si="115"/>
        <v>-0.70615162055685621</v>
      </c>
      <c r="AJ290" s="267" t="b">
        <f t="shared" si="116"/>
        <v>0</v>
      </c>
      <c r="AK290" s="267" t="b">
        <f t="shared" si="117"/>
        <v>0</v>
      </c>
      <c r="AL290" s="267"/>
      <c r="AM290" s="267"/>
      <c r="AN290" s="75"/>
    </row>
    <row r="291" spans="1:40" s="6" customFormat="1" ht="11.25" customHeight="1" x14ac:dyDescent="0.2">
      <c r="A291" s="56">
        <f t="shared" si="118"/>
        <v>44107</v>
      </c>
      <c r="B291" s="618">
        <v>14.42</v>
      </c>
      <c r="C291" s="392"/>
      <c r="D291" s="395">
        <f t="shared" si="98"/>
        <v>14.688926150795703</v>
      </c>
      <c r="E291" s="387">
        <f t="shared" si="96"/>
        <v>16.813850008993342</v>
      </c>
      <c r="F291" s="387">
        <f t="shared" si="99"/>
        <v>16.837169227817647</v>
      </c>
      <c r="G291" s="110">
        <f t="shared" si="97"/>
        <v>0.43930701362927538</v>
      </c>
      <c r="H291" s="414" t="b">
        <f>Wh_hp&gt;='2019'!Maxi_hp</f>
        <v>0</v>
      </c>
      <c r="I291" s="382">
        <f>IF(H291,Wh_hp,'2019'!Maxi_hp)</f>
        <v>35.933691414169608</v>
      </c>
      <c r="J291" s="85">
        <f>IF(H291,An,'2019'!An_max)</f>
        <v>2018</v>
      </c>
      <c r="K291" s="199">
        <f t="shared" si="100"/>
        <v>44107</v>
      </c>
      <c r="L291" s="147">
        <f>IF(t&lt;Tvie,1-EXP((T0-t)*PertePVj)+'2019'!Pspv,1-EXP((T0-t)*PertePVj)+Pspv)</f>
        <v>1.8308087877556334E-2</v>
      </c>
      <c r="M291" s="870"/>
      <c r="N291" s="870"/>
      <c r="O291" s="48">
        <f>IF(t&lt;Tnet,'2019'!Resal+('2019'!Salim-'2019'!Resal)*(1-EXP(('2019'!Tnet-t)/('2019'!Tau_j))),Resal+(Salim-Resal)*(1-EXP((Tnet-t)/(Tau_j))))*Salcycl</f>
        <v>0.12637937516161174</v>
      </c>
      <c r="P291" s="171">
        <f>(INDEX(Models!$BJ291:$BT291,,T291)*(1-R291)+INDEX(Models!$BJ291:$BT291,,T291+1)*R291-ERP_i)*Q291*Ramure*Pc/MaxiM</f>
        <v>6.8408617297355603E-3</v>
      </c>
      <c r="Q291" s="307">
        <f t="shared" si="101"/>
        <v>1</v>
      </c>
      <c r="R291" s="179">
        <f t="shared" si="102"/>
        <v>0.29409427679600642</v>
      </c>
      <c r="S291" s="837">
        <f t="shared" si="103"/>
        <v>-1</v>
      </c>
      <c r="T291" s="178">
        <f t="shared" si="104"/>
        <v>5</v>
      </c>
      <c r="U291" s="253">
        <f t="shared" si="105"/>
        <v>-0.70590572320399358</v>
      </c>
      <c r="V291" s="385">
        <f t="shared" si="106"/>
        <v>32.64509031891761</v>
      </c>
      <c r="W291" s="404"/>
      <c r="X291" s="157">
        <f t="shared" si="107"/>
        <v>44107</v>
      </c>
      <c r="Y291" s="387">
        <f t="shared" si="108"/>
        <v>14.419999999999998</v>
      </c>
      <c r="Z291" s="387">
        <f t="shared" si="109"/>
        <v>14.688926150795702</v>
      </c>
      <c r="AA291" s="388">
        <f t="shared" si="110"/>
        <v>16.813850008993342</v>
      </c>
      <c r="AB291" s="199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0.12637937516161174</v>
      </c>
      <c r="AD291" s="233">
        <f>(INDEX(Models!$BJ291:$BT291,,AH291)*(1-AF291)+INDEX(Models!$BJ291:$BT291,,AH291+1)*AF291-ERP_i)*AE291*Ramure*Pc/MaxiM</f>
        <v>6.8408617297355603E-3</v>
      </c>
      <c r="AE291" s="307">
        <f t="shared" si="112"/>
        <v>1</v>
      </c>
      <c r="AF291" s="179">
        <f t="shared" si="113"/>
        <v>0.29409427679600642</v>
      </c>
      <c r="AG291" s="837">
        <f t="shared" si="119"/>
        <v>-1</v>
      </c>
      <c r="AH291" s="178">
        <f t="shared" si="114"/>
        <v>5</v>
      </c>
      <c r="AI291" s="227">
        <f t="shared" si="115"/>
        <v>-0.70590572320399358</v>
      </c>
      <c r="AJ291" s="267" t="b">
        <f t="shared" si="116"/>
        <v>0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8"/>
        <v>44108</v>
      </c>
      <c r="B292" s="618">
        <v>16.401</v>
      </c>
      <c r="C292" s="392"/>
      <c r="D292" s="395">
        <f t="shared" si="98"/>
        <v>16.707259662201402</v>
      </c>
      <c r="E292" s="387">
        <f t="shared" si="96"/>
        <v>19.123405241853842</v>
      </c>
      <c r="F292" s="387">
        <f t="shared" si="99"/>
        <v>19.162921318050891</v>
      </c>
      <c r="G292" s="110">
        <f t="shared" si="97"/>
        <v>0.50611489179842417</v>
      </c>
      <c r="H292" s="414" t="b">
        <f>Wh_hp&gt;='2019'!Maxi_hp</f>
        <v>0</v>
      </c>
      <c r="I292" s="382">
        <f>IF(H292,Wh_hp,'2019'!Maxi_hp)</f>
        <v>35.379752101796598</v>
      </c>
      <c r="J292" s="85">
        <f>IF(H292,An,'2019'!An_max)</f>
        <v>2018</v>
      </c>
      <c r="K292" s="199">
        <f t="shared" si="100"/>
        <v>44108</v>
      </c>
      <c r="L292" s="147">
        <f>IF(t&lt;Tvie,1-EXP((T0-t)*PertePVj)+'2019'!Pspv,1-EXP((T0-t)*PertePVj)+Pspv)</f>
        <v>1.8330933282511008E-2</v>
      </c>
      <c r="M292" s="870"/>
      <c r="N292" s="870"/>
      <c r="O292" s="48">
        <f>IF(t&lt;Tnet,'2019'!Resal+('2019'!Salim-'2019'!Resal)*(1-EXP(('2019'!Tnet-t)/('2019'!Tau_j))),Resal+(Salim-Resal)*(1-EXP((Tnet-t)/(Tau_j))))*Salcycl</f>
        <v>0.12634494479907887</v>
      </c>
      <c r="P292" s="171">
        <f>(INDEX(Models!$BJ292:$BT292,,T292)*(1-R292)+INDEX(Models!$BJ292:$BT292,,T292+1)*R292-ERP_i)*Q292*Ramure*Pc/MaxiM</f>
        <v>6.9201434526319928E-3</v>
      </c>
      <c r="Q292" s="307">
        <f t="shared" si="101"/>
        <v>1</v>
      </c>
      <c r="R292" s="179">
        <f t="shared" si="102"/>
        <v>0.29433043728558084</v>
      </c>
      <c r="S292" s="837">
        <f t="shared" si="103"/>
        <v>-1</v>
      </c>
      <c r="T292" s="178">
        <f t="shared" si="104"/>
        <v>5</v>
      </c>
      <c r="U292" s="253">
        <f t="shared" si="105"/>
        <v>-0.70566956271441916</v>
      </c>
      <c r="V292" s="385">
        <f t="shared" si="106"/>
        <v>32.247932312042778</v>
      </c>
      <c r="W292" s="404"/>
      <c r="X292" s="157">
        <f t="shared" si="107"/>
        <v>44108</v>
      </c>
      <c r="Y292" s="387">
        <f t="shared" si="108"/>
        <v>16.401</v>
      </c>
      <c r="Z292" s="387">
        <f t="shared" si="109"/>
        <v>16.707259662201402</v>
      </c>
      <c r="AA292" s="388">
        <f t="shared" si="110"/>
        <v>19.123405241853842</v>
      </c>
      <c r="AB292" s="199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0.12634494479907887</v>
      </c>
      <c r="AD292" s="233">
        <f>(INDEX(Models!$BJ292:$BT292,,AH292)*(1-AF292)+INDEX(Models!$BJ292:$BT292,,AH292+1)*AF292-ERP_i)*AE292*Ramure*Pc/MaxiM</f>
        <v>6.9201434526319928E-3</v>
      </c>
      <c r="AE292" s="307">
        <f t="shared" si="112"/>
        <v>1</v>
      </c>
      <c r="AF292" s="179">
        <f t="shared" si="113"/>
        <v>0.29433043728558084</v>
      </c>
      <c r="AG292" s="837">
        <f t="shared" si="119"/>
        <v>-1</v>
      </c>
      <c r="AH292" s="178">
        <f t="shared" si="114"/>
        <v>5</v>
      </c>
      <c r="AI292" s="227">
        <f t="shared" si="115"/>
        <v>-0.70566956271441916</v>
      </c>
      <c r="AJ292" s="267" t="b">
        <f t="shared" si="116"/>
        <v>0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8"/>
        <v>44109</v>
      </c>
      <c r="B293" s="618">
        <v>21.974</v>
      </c>
      <c r="C293" s="392"/>
      <c r="D293" s="395">
        <f t="shared" si="98"/>
        <v>22.384846506838592</v>
      </c>
      <c r="E293" s="387">
        <f t="shared" si="96"/>
        <v>25.620946605963589</v>
      </c>
      <c r="F293" s="387">
        <f t="shared" si="99"/>
        <v>25.72139183622464</v>
      </c>
      <c r="G293" s="110">
        <f t="shared" si="97"/>
        <v>0.68776175228777048</v>
      </c>
      <c r="H293" s="414" t="b">
        <f>Wh_hp&gt;='2019'!Maxi_hp</f>
        <v>0</v>
      </c>
      <c r="I293" s="382">
        <f>IF(H293,Wh_hp,'2019'!Maxi_hp)</f>
        <v>33.993896318509428</v>
      </c>
      <c r="J293" s="85">
        <f>IF(H293,An,'2019'!An_max)</f>
        <v>2018</v>
      </c>
      <c r="K293" s="199">
        <f t="shared" si="100"/>
        <v>44109</v>
      </c>
      <c r="L293" s="147">
        <f>IF(t&lt;Tvie,1-EXP((T0-t)*PertePVj)+'2019'!Pspv,1-EXP((T0-t)*PertePVj)+Pspv)</f>
        <v>1.8353778155819733E-2</v>
      </c>
      <c r="M293" s="870"/>
      <c r="N293" s="870"/>
      <c r="O293" s="48">
        <f>IF(t&lt;Tnet,'2019'!Resal+('2019'!Salim-'2019'!Resal)*(1-EXP(('2019'!Tnet-t)/('2019'!Tau_j))),Resal+(Salim-Resal)*(1-EXP((Tnet-t)/(Tau_j))))*Salcycl</f>
        <v>0.12630681250363146</v>
      </c>
      <c r="P293" s="171">
        <f>(INDEX(Models!$BJ293:$BT293,,T293)*(1-R293)+INDEX(Models!$BJ293:$BT293,,T293+1)*R293-ERP_i)*Q293*Ramure*Pc/MaxiM</f>
        <v>7.0107653268530268E-3</v>
      </c>
      <c r="Q293" s="307">
        <f t="shared" si="101"/>
        <v>1</v>
      </c>
      <c r="R293" s="179">
        <f t="shared" si="102"/>
        <v>0.2945572401850356</v>
      </c>
      <c r="S293" s="837">
        <f t="shared" si="103"/>
        <v>-1</v>
      </c>
      <c r="T293" s="178">
        <f t="shared" si="104"/>
        <v>5</v>
      </c>
      <c r="U293" s="253">
        <f t="shared" si="105"/>
        <v>-0.7054427598149644</v>
      </c>
      <c r="V293" s="385">
        <f t="shared" si="106"/>
        <v>31.850403175077414</v>
      </c>
      <c r="W293" s="404"/>
      <c r="X293" s="157">
        <f t="shared" si="107"/>
        <v>44109</v>
      </c>
      <c r="Y293" s="387">
        <f t="shared" si="108"/>
        <v>21.974</v>
      </c>
      <c r="Z293" s="387">
        <f t="shared" si="109"/>
        <v>22.384846506838592</v>
      </c>
      <c r="AA293" s="388">
        <f t="shared" si="110"/>
        <v>25.620946605963589</v>
      </c>
      <c r="AB293" s="199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0.12630681250363146</v>
      </c>
      <c r="AD293" s="233">
        <f>(INDEX(Models!$BJ293:$BT293,,AH293)*(1-AF293)+INDEX(Models!$BJ293:$BT293,,AH293+1)*AF293-ERP_i)*AE293*Ramure*Pc/MaxiM</f>
        <v>7.0107653268530268E-3</v>
      </c>
      <c r="AE293" s="307">
        <f t="shared" si="112"/>
        <v>1</v>
      </c>
      <c r="AF293" s="179">
        <f t="shared" si="113"/>
        <v>0.2945572401850356</v>
      </c>
      <c r="AG293" s="837">
        <f t="shared" si="119"/>
        <v>-1</v>
      </c>
      <c r="AH293" s="178">
        <f t="shared" si="114"/>
        <v>5</v>
      </c>
      <c r="AI293" s="227">
        <f t="shared" si="115"/>
        <v>-0.7054427598149644</v>
      </c>
      <c r="AJ293" s="267" t="b">
        <f t="shared" si="116"/>
        <v>0</v>
      </c>
      <c r="AK293" s="267" t="b">
        <f t="shared" si="117"/>
        <v>0</v>
      </c>
      <c r="AL293" s="267"/>
      <c r="AM293" s="267"/>
      <c r="AN293" s="75"/>
    </row>
    <row r="294" spans="1:40" s="6" customFormat="1" ht="11.25" customHeight="1" x14ac:dyDescent="0.2">
      <c r="A294" s="56">
        <f t="shared" si="118"/>
        <v>44110</v>
      </c>
      <c r="B294" s="618">
        <v>7.6749999999999998</v>
      </c>
      <c r="C294" s="392"/>
      <c r="D294" s="395">
        <f t="shared" si="98"/>
        <v>7.8186809482136788</v>
      </c>
      <c r="E294" s="387">
        <f t="shared" si="96"/>
        <v>8.948571969536939</v>
      </c>
      <c r="F294" s="387">
        <f t="shared" si="99"/>
        <v>8.948571969536939</v>
      </c>
      <c r="G294" s="110">
        <f t="shared" si="97"/>
        <v>0.24227560933720846</v>
      </c>
      <c r="H294" s="414" t="b">
        <f>Wh_hp&gt;='2019'!Maxi_hp</f>
        <v>0</v>
      </c>
      <c r="I294" s="382">
        <f>IF(H294,Wh_hp,'2019'!Maxi_hp)</f>
        <v>30.48516803437801</v>
      </c>
      <c r="J294" s="85">
        <f>IF(H294,An,'2019'!An_max)</f>
        <v>2019</v>
      </c>
      <c r="K294" s="199">
        <f t="shared" si="100"/>
        <v>44110</v>
      </c>
      <c r="L294" s="147">
        <f>IF(t&lt;Tvie,1-EXP((T0-t)*PertePVj)+'2019'!Pspv,1-EXP((T0-t)*PertePVj)+Pspv)</f>
        <v>1.8376622497494943E-2</v>
      </c>
      <c r="M294" s="870"/>
      <c r="N294" s="870"/>
      <c r="O294" s="48">
        <f>IF(t&lt;Tnet,'2019'!Resal+('2019'!Salim-'2019'!Resal)*(1-EXP(('2019'!Tnet-t)/('2019'!Tau_j))),Resal+(Salim-Resal)*(1-EXP((Tnet-t)/(Tau_j))))*Salcycl</f>
        <v>0.12626495324278311</v>
      </c>
      <c r="P294" s="171">
        <f>(INDEX(Models!$BJ294:$BT294,,T294)*(1-R294)+INDEX(Models!$BJ294:$BT294,,T294+1)*R294-ERP_i)*Q294*Ramure*Pc/MaxiM</f>
        <v>7.1129698462044279E-3</v>
      </c>
      <c r="Q294" s="307">
        <f t="shared" si="101"/>
        <v>1</v>
      </c>
      <c r="R294" s="179">
        <f t="shared" si="102"/>
        <v>0.29477505048616759</v>
      </c>
      <c r="S294" s="837">
        <f t="shared" si="103"/>
        <v>-1</v>
      </c>
      <c r="T294" s="178">
        <f t="shared" si="104"/>
        <v>5</v>
      </c>
      <c r="U294" s="253">
        <f t="shared" si="105"/>
        <v>-0.70522494951383241</v>
      </c>
      <c r="V294" s="385">
        <f t="shared" si="106"/>
        <v>31.453467302290441</v>
      </c>
      <c r="W294" s="404"/>
      <c r="X294" s="157">
        <f t="shared" si="107"/>
        <v>44110</v>
      </c>
      <c r="Y294" s="387">
        <f t="shared" si="108"/>
        <v>7.6749999999999989</v>
      </c>
      <c r="Z294" s="387">
        <f t="shared" si="109"/>
        <v>7.8186809482136779</v>
      </c>
      <c r="AA294" s="388">
        <f t="shared" si="110"/>
        <v>8.948571969536939</v>
      </c>
      <c r="AB294" s="199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0.12626495324278311</v>
      </c>
      <c r="AD294" s="233">
        <f>(INDEX(Models!$BJ294:$BT294,,AH294)*(1-AF294)+INDEX(Models!$BJ294:$BT294,,AH294+1)*AF294-ERP_i)*AE294*Ramure*Pc/MaxiM</f>
        <v>7.1129698462044279E-3</v>
      </c>
      <c r="AE294" s="307">
        <f t="shared" si="112"/>
        <v>1</v>
      </c>
      <c r="AF294" s="179">
        <f t="shared" si="113"/>
        <v>0.29477505048616759</v>
      </c>
      <c r="AG294" s="837">
        <f t="shared" si="119"/>
        <v>-1</v>
      </c>
      <c r="AH294" s="178">
        <f t="shared" si="114"/>
        <v>5</v>
      </c>
      <c r="AI294" s="227">
        <f t="shared" si="115"/>
        <v>-0.70522494951383241</v>
      </c>
      <c r="AJ294" s="267" t="b">
        <f t="shared" si="116"/>
        <v>0</v>
      </c>
      <c r="AK294" s="267" t="b">
        <f t="shared" si="117"/>
        <v>0</v>
      </c>
      <c r="AL294" s="267"/>
      <c r="AM294" s="267"/>
      <c r="AN294" s="75"/>
    </row>
    <row r="295" spans="1:40" s="6" customFormat="1" ht="11.25" customHeight="1" x14ac:dyDescent="0.2">
      <c r="A295" s="56">
        <f t="shared" si="118"/>
        <v>44111</v>
      </c>
      <c r="B295" s="618">
        <v>25.33</v>
      </c>
      <c r="C295" s="392"/>
      <c r="D295" s="395">
        <f t="shared" si="98"/>
        <v>25.804794445982068</v>
      </c>
      <c r="E295" s="387">
        <f t="shared" si="96"/>
        <v>29.532348284376852</v>
      </c>
      <c r="F295" s="387">
        <f t="shared" si="99"/>
        <v>29.690386477534158</v>
      </c>
      <c r="G295" s="110">
        <f t="shared" si="97"/>
        <v>0.81400728119833521</v>
      </c>
      <c r="H295" s="414" t="b">
        <f>Wh_hp&gt;='2019'!Maxi_hp</f>
        <v>0</v>
      </c>
      <c r="I295" s="382">
        <f>IF(H295,Wh_hp,'2019'!Maxi_hp)</f>
        <v>34.461256001132043</v>
      </c>
      <c r="J295" s="85">
        <f>IF(H295,An,'2019'!An_max)</f>
        <v>2019</v>
      </c>
      <c r="K295" s="199">
        <f t="shared" si="100"/>
        <v>44111</v>
      </c>
      <c r="L295" s="147">
        <f>IF(t&lt;Tvie,1-EXP((T0-t)*PertePVj)+'2019'!Pspv,1-EXP((T0-t)*PertePVj)+Pspv)</f>
        <v>1.8399466307548851E-2</v>
      </c>
      <c r="M295" s="870"/>
      <c r="N295" s="870"/>
      <c r="O295" s="48">
        <f>IF(t&lt;Tnet,'2019'!Resal+('2019'!Salim-'2019'!Resal)*(1-EXP(('2019'!Tnet-t)/('2019'!Tau_j))),Resal+(Salim-Resal)*(1-EXP((Tnet-t)/(Tau_j))))*Salcycl</f>
        <v>0.12621935115016669</v>
      </c>
      <c r="P295" s="171">
        <f>(INDEX(Models!$BJ295:$BT295,,T295)*(1-R295)+INDEX(Models!$BJ295:$BT295,,T295+1)*R295-ERP_i)*Q295*Ramure*Pc/MaxiM</f>
        <v>7.2269964507964777E-3</v>
      </c>
      <c r="Q295" s="307">
        <f t="shared" si="101"/>
        <v>1</v>
      </c>
      <c r="R295" s="179">
        <f t="shared" si="102"/>
        <v>0.29498421939837327</v>
      </c>
      <c r="S295" s="837">
        <f t="shared" si="103"/>
        <v>-1</v>
      </c>
      <c r="T295" s="178">
        <f t="shared" si="104"/>
        <v>5</v>
      </c>
      <c r="U295" s="253">
        <f t="shared" si="105"/>
        <v>-0.70501578060162673</v>
      </c>
      <c r="V295" s="385">
        <f t="shared" si="106"/>
        <v>31.058088870407794</v>
      </c>
      <c r="W295" s="404"/>
      <c r="X295" s="157">
        <f t="shared" si="107"/>
        <v>44111</v>
      </c>
      <c r="Y295" s="387">
        <f t="shared" si="108"/>
        <v>25.33</v>
      </c>
      <c r="Z295" s="387">
        <f t="shared" si="109"/>
        <v>25.804794445982068</v>
      </c>
      <c r="AA295" s="388">
        <f t="shared" si="110"/>
        <v>29.532348284376852</v>
      </c>
      <c r="AB295" s="199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0.12621935115016669</v>
      </c>
      <c r="AD295" s="233">
        <f>(INDEX(Models!$BJ295:$BT295,,AH295)*(1-AF295)+INDEX(Models!$BJ295:$BT295,,AH295+1)*AF295-ERP_i)*AE295*Ramure*Pc/MaxiM</f>
        <v>7.2269964507964777E-3</v>
      </c>
      <c r="AE295" s="307">
        <f t="shared" si="112"/>
        <v>1</v>
      </c>
      <c r="AF295" s="179">
        <f t="shared" si="113"/>
        <v>0.29498421939837327</v>
      </c>
      <c r="AG295" s="837">
        <f t="shared" si="119"/>
        <v>-1</v>
      </c>
      <c r="AH295" s="178">
        <f t="shared" si="114"/>
        <v>5</v>
      </c>
      <c r="AI295" s="227">
        <f t="shared" si="115"/>
        <v>-0.70501578060162673</v>
      </c>
      <c r="AJ295" s="267" t="b">
        <f t="shared" si="116"/>
        <v>0</v>
      </c>
      <c r="AK295" s="267" t="b">
        <f t="shared" si="117"/>
        <v>0</v>
      </c>
      <c r="AL295" s="267"/>
      <c r="AM295" s="267"/>
      <c r="AN295" s="75"/>
    </row>
    <row r="296" spans="1:40" s="6" customFormat="1" ht="11.25" customHeight="1" x14ac:dyDescent="0.2">
      <c r="A296" s="56">
        <f t="shared" si="118"/>
        <v>44112</v>
      </c>
      <c r="B296" s="618">
        <v>27.684000000000001</v>
      </c>
      <c r="C296" s="392"/>
      <c r="D296" s="395">
        <f t="shared" si="98"/>
        <v>28.203574989895657</v>
      </c>
      <c r="E296" s="387">
        <f t="shared" si="96"/>
        <v>32.275814510501462</v>
      </c>
      <c r="F296" s="387">
        <f t="shared" si="99"/>
        <v>32.482014216157026</v>
      </c>
      <c r="G296" s="110">
        <f t="shared" si="97"/>
        <v>0.90186831485040064</v>
      </c>
      <c r="H296" s="414" t="b">
        <f>Wh_hp&gt;='2019'!Maxi_hp</f>
        <v>1</v>
      </c>
      <c r="I296" s="382">
        <f>IF(H296,Wh_hp,'2019'!Maxi_hp)</f>
        <v>32.482014216157026</v>
      </c>
      <c r="J296" s="85">
        <f>IF(H296,An,'2019'!An_max)</f>
        <v>2020</v>
      </c>
      <c r="K296" s="199">
        <f t="shared" si="100"/>
        <v>44112</v>
      </c>
      <c r="L296" s="147">
        <f>IF(t&lt;Tvie,1-EXP((T0-t)*PertePVj)+'2019'!Pspv,1-EXP((T0-t)*PertePVj)+Pspv)</f>
        <v>1.8422309585994001E-2</v>
      </c>
      <c r="M296" s="870"/>
      <c r="N296" s="870"/>
      <c r="O296" s="48">
        <f>IF(t&lt;Tnet,'2019'!Resal+('2019'!Salim-'2019'!Resal)*(1-EXP(('2019'!Tnet-t)/('2019'!Tau_j))),Resal+(Salim-Resal)*(1-EXP((Tnet-t)/(Tau_j))))*Salcycl</f>
        <v>0.12617000011822588</v>
      </c>
      <c r="P296" s="171">
        <f>(INDEX(Models!$BJ296:$BT296,,T296)*(1-R296)+INDEX(Models!$BJ296:$BT296,,T296+1)*R296-ERP_i)*Q296*Ramure*Pc/MaxiM</f>
        <v>7.3717579740018241E-3</v>
      </c>
      <c r="Q296" s="307">
        <f t="shared" si="101"/>
        <v>1</v>
      </c>
      <c r="R296" s="179">
        <f t="shared" si="102"/>
        <v>0.29518508483330086</v>
      </c>
      <c r="S296" s="837">
        <f t="shared" si="103"/>
        <v>-1</v>
      </c>
      <c r="T296" s="178">
        <f t="shared" si="104"/>
        <v>5</v>
      </c>
      <c r="U296" s="253">
        <f t="shared" si="105"/>
        <v>-0.70481491516669914</v>
      </c>
      <c r="V296" s="385">
        <f t="shared" si="106"/>
        <v>30.664654795312661</v>
      </c>
      <c r="W296" s="404"/>
      <c r="X296" s="157">
        <f t="shared" si="107"/>
        <v>44112</v>
      </c>
      <c r="Y296" s="387">
        <f t="shared" si="108"/>
        <v>27.684000000000001</v>
      </c>
      <c r="Z296" s="387">
        <f t="shared" si="109"/>
        <v>28.203574989895657</v>
      </c>
      <c r="AA296" s="388">
        <f t="shared" si="110"/>
        <v>32.275814510501462</v>
      </c>
      <c r="AB296" s="199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0.12617000011822588</v>
      </c>
      <c r="AD296" s="233">
        <f>(INDEX(Models!$BJ296:$BT296,,AH296)*(1-AF296)+INDEX(Models!$BJ296:$BT296,,AH296+1)*AF296-ERP_i)*AE296*Ramure*Pc/MaxiM</f>
        <v>7.3717579740018241E-3</v>
      </c>
      <c r="AE296" s="307">
        <f t="shared" si="112"/>
        <v>1</v>
      </c>
      <c r="AF296" s="179">
        <f t="shared" si="113"/>
        <v>0.29518508483330086</v>
      </c>
      <c r="AG296" s="837">
        <f t="shared" si="119"/>
        <v>-1</v>
      </c>
      <c r="AH296" s="178">
        <f t="shared" si="114"/>
        <v>5</v>
      </c>
      <c r="AI296" s="227">
        <f t="shared" si="115"/>
        <v>-0.70481491516669914</v>
      </c>
      <c r="AJ296" s="267" t="b">
        <f t="shared" si="116"/>
        <v>0</v>
      </c>
      <c r="AK296" s="267" t="b">
        <f t="shared" si="117"/>
        <v>0</v>
      </c>
      <c r="AL296" s="267"/>
      <c r="AM296" s="267"/>
      <c r="AN296" s="75"/>
    </row>
    <row r="297" spans="1:40" s="6" customFormat="1" ht="11.25" customHeight="1" x14ac:dyDescent="0.2">
      <c r="A297" s="56">
        <f t="shared" si="118"/>
        <v>44113</v>
      </c>
      <c r="B297" s="618">
        <v>21.908000000000001</v>
      </c>
      <c r="C297" s="392"/>
      <c r="D297" s="395">
        <f t="shared" si="98"/>
        <v>22.319690083614098</v>
      </c>
      <c r="E297" s="387">
        <f t="shared" ref="E297:E360" si="120">Wh_pvt/(1-Psa)</f>
        <v>25.540819126528071</v>
      </c>
      <c r="F297" s="387">
        <f t="shared" si="99"/>
        <v>25.658013979312674</v>
      </c>
      <c r="G297" s="110">
        <f t="shared" ref="G297:G360" si="121">+Wh_hp/MaxiM</f>
        <v>0.72148734963999461</v>
      </c>
      <c r="H297" s="414" t="b">
        <f>Wh_hp&gt;='2019'!Maxi_hp</f>
        <v>1</v>
      </c>
      <c r="I297" s="382">
        <f>IF(H297,Wh_hp,'2019'!Maxi_hp)</f>
        <v>25.658013979312674</v>
      </c>
      <c r="J297" s="85">
        <f>IF(H297,An,'2019'!An_max)</f>
        <v>2020</v>
      </c>
      <c r="K297" s="199">
        <f t="shared" si="100"/>
        <v>44113</v>
      </c>
      <c r="L297" s="147">
        <f>IF(t&lt;Tvie,1-EXP((T0-t)*PertePVj)+'2019'!Pspv,1-EXP((T0-t)*PertePVj)+Pspv)</f>
        <v>1.8445152332842607E-2</v>
      </c>
      <c r="M297" s="870"/>
      <c r="N297" s="870"/>
      <c r="O297" s="48">
        <f>IF(t&lt;Tnet,'2019'!Resal+('2019'!Salim-'2019'!Resal)*(1-EXP(('2019'!Tnet-t)/('2019'!Tau_j))),Resal+(Salim-Resal)*(1-EXP((Tnet-t)/(Tau_j))))*Salcycl</f>
        <v>0.1261169043544236</v>
      </c>
      <c r="P297" s="171">
        <f>(INDEX(Models!$BJ297:$BT297,,T297)*(1-R297)+INDEX(Models!$BJ297:$BT297,,T297+1)*R297-ERP_i)*Q297*Ramure*Pc/MaxiM</f>
        <v>7.5469756635987619E-3</v>
      </c>
      <c r="Q297" s="307">
        <f t="shared" si="101"/>
        <v>1</v>
      </c>
      <c r="R297" s="179">
        <f t="shared" si="102"/>
        <v>0.29537797187532833</v>
      </c>
      <c r="S297" s="837">
        <f t="shared" si="103"/>
        <v>-1</v>
      </c>
      <c r="T297" s="178">
        <f t="shared" si="104"/>
        <v>5</v>
      </c>
      <c r="U297" s="253">
        <f t="shared" si="105"/>
        <v>-0.70462202812467167</v>
      </c>
      <c r="V297" s="385">
        <f t="shared" si="106"/>
        <v>30.274165932404724</v>
      </c>
      <c r="W297" s="404"/>
      <c r="X297" s="157">
        <f t="shared" si="107"/>
        <v>44113</v>
      </c>
      <c r="Y297" s="387">
        <f t="shared" si="108"/>
        <v>21.908000000000001</v>
      </c>
      <c r="Z297" s="387">
        <f t="shared" si="109"/>
        <v>22.319690083614098</v>
      </c>
      <c r="AA297" s="388">
        <f t="shared" si="110"/>
        <v>25.540819126528071</v>
      </c>
      <c r="AB297" s="199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0.1261169043544236</v>
      </c>
      <c r="AD297" s="233">
        <f>(INDEX(Models!$BJ297:$BT297,,AH297)*(1-AF297)+INDEX(Models!$BJ297:$BT297,,AH297+1)*AF297-ERP_i)*AE297*Ramure*Pc/MaxiM</f>
        <v>7.5469756635987619E-3</v>
      </c>
      <c r="AE297" s="307">
        <f t="shared" si="112"/>
        <v>1</v>
      </c>
      <c r="AF297" s="179">
        <f t="shared" si="113"/>
        <v>0.29537797187532833</v>
      </c>
      <c r="AG297" s="837">
        <f t="shared" si="119"/>
        <v>-1</v>
      </c>
      <c r="AH297" s="178">
        <f t="shared" si="114"/>
        <v>5</v>
      </c>
      <c r="AI297" s="227">
        <f t="shared" si="115"/>
        <v>-0.70462202812467167</v>
      </c>
      <c r="AJ297" s="267" t="b">
        <f t="shared" si="116"/>
        <v>0</v>
      </c>
      <c r="AK297" s="267" t="b">
        <f t="shared" si="117"/>
        <v>0</v>
      </c>
      <c r="AL297" s="267"/>
      <c r="AM297" s="267"/>
      <c r="AN297" s="75"/>
    </row>
    <row r="298" spans="1:40" s="6" customFormat="1" ht="11.25" customHeight="1" x14ac:dyDescent="0.2">
      <c r="A298" s="56">
        <f t="shared" si="118"/>
        <v>44114</v>
      </c>
      <c r="B298" s="618">
        <v>16.611999999999998</v>
      </c>
      <c r="C298" s="392"/>
      <c r="D298" s="395">
        <f t="shared" si="98"/>
        <v>16.924562732268633</v>
      </c>
      <c r="E298" s="387">
        <f t="shared" si="120"/>
        <v>19.365819461445358</v>
      </c>
      <c r="F298" s="387">
        <f t="shared" si="99"/>
        <v>19.420849430288847</v>
      </c>
      <c r="G298" s="110">
        <f t="shared" si="121"/>
        <v>0.55307366991496665</v>
      </c>
      <c r="H298" s="414" t="b">
        <f>Wh_hp&gt;='2019'!Maxi_hp</f>
        <v>0</v>
      </c>
      <c r="I298" s="382">
        <f>IF(H298,Wh_hp,'2019'!Maxi_hp)</f>
        <v>35.228282069749262</v>
      </c>
      <c r="J298" s="85">
        <f>IF(H298,An,'2019'!An_max)</f>
        <v>2019</v>
      </c>
      <c r="K298" s="199">
        <f t="shared" si="100"/>
        <v>44114</v>
      </c>
      <c r="L298" s="147">
        <f>IF(t&lt;Tvie,1-EXP((T0-t)*PertePVj)+'2019'!Pspv,1-EXP((T0-t)*PertePVj)+Pspv)</f>
        <v>1.8467994548107214E-2</v>
      </c>
      <c r="M298" s="870"/>
      <c r="N298" s="870"/>
      <c r="O298" s="48">
        <f>IF(t&lt;Tnet,'2019'!Resal+('2019'!Salim-'2019'!Resal)*(1-EXP(('2019'!Tnet-t)/('2019'!Tau_j))),Resal+(Salim-Resal)*(1-EXP((Tnet-t)/(Tau_j))))*Salcycl</f>
        <v>0.12606007889503076</v>
      </c>
      <c r="P298" s="171">
        <f>(INDEX(Models!$BJ298:$BT298,,T298)*(1-R298)+INDEX(Models!$BJ298:$BT298,,T298+1)*R298-ERP_i)*Q298*Ramure*Pc/MaxiM</f>
        <v>7.7535622292936113E-3</v>
      </c>
      <c r="Q298" s="307">
        <f t="shared" si="101"/>
        <v>1</v>
      </c>
      <c r="R298" s="179">
        <f t="shared" si="102"/>
        <v>0.29556319323804114</v>
      </c>
      <c r="S298" s="837">
        <f t="shared" si="103"/>
        <v>-1</v>
      </c>
      <c r="T298" s="178">
        <f t="shared" si="104"/>
        <v>5</v>
      </c>
      <c r="U298" s="253">
        <f t="shared" si="105"/>
        <v>-0.70443680676195886</v>
      </c>
      <c r="V298" s="385">
        <f t="shared" si="106"/>
        <v>29.887585372872675</v>
      </c>
      <c r="W298" s="404"/>
      <c r="X298" s="157">
        <f t="shared" si="107"/>
        <v>44114</v>
      </c>
      <c r="Y298" s="387">
        <f t="shared" si="108"/>
        <v>16.611999999999998</v>
      </c>
      <c r="Z298" s="387">
        <f t="shared" si="109"/>
        <v>16.924562732268633</v>
      </c>
      <c r="AA298" s="388">
        <f t="shared" si="110"/>
        <v>19.365819461445358</v>
      </c>
      <c r="AB298" s="199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0.12606007889503076</v>
      </c>
      <c r="AD298" s="233">
        <f>(INDEX(Models!$BJ298:$BT298,,AH298)*(1-AF298)+INDEX(Models!$BJ298:$BT298,,AH298+1)*AF298-ERP_i)*AE298*Ramure*Pc/MaxiM</f>
        <v>7.7535622292936113E-3</v>
      </c>
      <c r="AE298" s="307">
        <f t="shared" si="112"/>
        <v>1</v>
      </c>
      <c r="AF298" s="179">
        <f t="shared" si="113"/>
        <v>0.29556319323804114</v>
      </c>
      <c r="AG298" s="837">
        <f t="shared" si="119"/>
        <v>-1</v>
      </c>
      <c r="AH298" s="178">
        <f t="shared" si="114"/>
        <v>5</v>
      </c>
      <c r="AI298" s="227">
        <f t="shared" si="115"/>
        <v>-0.70443680676195886</v>
      </c>
      <c r="AJ298" s="267" t="b">
        <f t="shared" si="116"/>
        <v>0</v>
      </c>
      <c r="AK298" s="267" t="b">
        <f t="shared" si="117"/>
        <v>0</v>
      </c>
      <c r="AL298" s="267"/>
      <c r="AM298" s="267"/>
      <c r="AN298" s="75"/>
    </row>
    <row r="299" spans="1:40" s="6" customFormat="1" ht="11.25" customHeight="1" x14ac:dyDescent="0.2">
      <c r="A299" s="56">
        <f t="shared" si="118"/>
        <v>44115</v>
      </c>
      <c r="B299" s="618">
        <v>14.407</v>
      </c>
      <c r="C299" s="392"/>
      <c r="D299" s="395">
        <f t="shared" si="98"/>
        <v>14.678416189909825</v>
      </c>
      <c r="E299" s="387">
        <f t="shared" si="120"/>
        <v>16.794517887374344</v>
      </c>
      <c r="F299" s="387">
        <f t="shared" si="99"/>
        <v>16.830698558120758</v>
      </c>
      <c r="G299" s="110">
        <f t="shared" si="121"/>
        <v>0.48541660819681332</v>
      </c>
      <c r="H299" s="414" t="b">
        <f>Wh_hp&gt;='2019'!Maxi_hp</f>
        <v>0</v>
      </c>
      <c r="I299" s="382">
        <f>IF(H299,Wh_hp,'2019'!Maxi_hp)</f>
        <v>31.032234429948332</v>
      </c>
      <c r="J299" s="85">
        <f>IF(H299,An,'2019'!An_max)</f>
        <v>2018</v>
      </c>
      <c r="K299" s="199">
        <f t="shared" si="100"/>
        <v>44115</v>
      </c>
      <c r="L299" s="147">
        <f>IF(t&lt;Tvie,1-EXP((T0-t)*PertePVj)+'2019'!Pspv,1-EXP((T0-t)*PertePVj)+Pspv)</f>
        <v>1.8490836231800034E-2</v>
      </c>
      <c r="M299" s="870"/>
      <c r="N299" s="870"/>
      <c r="O299" s="48">
        <f>IF(t&lt;Tnet,'2019'!Resal+('2019'!Salim-'2019'!Resal)*(1-EXP(('2019'!Tnet-t)/('2019'!Tau_j))),Resal+(Salim-Resal)*(1-EXP((Tnet-t)/(Tau_j))))*Salcycl</f>
        <v>0.12599955007076113</v>
      </c>
      <c r="P299" s="171">
        <f>(INDEX(Models!$BJ299:$BT299,,T299)*(1-R299)+INDEX(Models!$BJ299:$BT299,,T299+1)*R299-ERP_i)*Q299*Ramure*Pc/MaxiM</f>
        <v>7.9924223013644706E-3</v>
      </c>
      <c r="Q299" s="307">
        <f t="shared" si="101"/>
        <v>1</v>
      </c>
      <c r="R299" s="179">
        <f t="shared" si="102"/>
        <v>0.29574104970690329</v>
      </c>
      <c r="S299" s="837">
        <f t="shared" si="103"/>
        <v>-1</v>
      </c>
      <c r="T299" s="178">
        <f t="shared" si="104"/>
        <v>5</v>
      </c>
      <c r="U299" s="253">
        <f t="shared" si="105"/>
        <v>-0.70425895029309671</v>
      </c>
      <c r="V299" s="385">
        <f t="shared" si="106"/>
        <v>29.505876136719554</v>
      </c>
      <c r="W299" s="404"/>
      <c r="X299" s="157">
        <f t="shared" si="107"/>
        <v>44115</v>
      </c>
      <c r="Y299" s="387">
        <f t="shared" si="108"/>
        <v>14.407000000000002</v>
      </c>
      <c r="Z299" s="387">
        <f t="shared" si="109"/>
        <v>14.678416189909827</v>
      </c>
      <c r="AA299" s="388">
        <f t="shared" si="110"/>
        <v>16.794517887374344</v>
      </c>
      <c r="AB299" s="199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0.12599955007076113</v>
      </c>
      <c r="AD299" s="233">
        <f>(INDEX(Models!$BJ299:$BT299,,AH299)*(1-AF299)+INDEX(Models!$BJ299:$BT299,,AH299+1)*AF299-ERP_i)*AE299*Ramure*Pc/MaxiM</f>
        <v>7.9924223013644706E-3</v>
      </c>
      <c r="AE299" s="307">
        <f t="shared" si="112"/>
        <v>1</v>
      </c>
      <c r="AF299" s="179">
        <f t="shared" si="113"/>
        <v>0.29574104970690329</v>
      </c>
      <c r="AG299" s="837">
        <f t="shared" si="119"/>
        <v>-1</v>
      </c>
      <c r="AH299" s="178">
        <f t="shared" si="114"/>
        <v>5</v>
      </c>
      <c r="AI299" s="227">
        <f t="shared" si="115"/>
        <v>-0.70425895029309671</v>
      </c>
      <c r="AJ299" s="267" t="b">
        <f t="shared" si="116"/>
        <v>0</v>
      </c>
      <c r="AK299" s="267" t="b">
        <f t="shared" si="117"/>
        <v>0</v>
      </c>
      <c r="AL299" s="267"/>
      <c r="AM299" s="267"/>
      <c r="AN299" s="75"/>
    </row>
    <row r="300" spans="1:40" s="6" customFormat="1" ht="11.25" customHeight="1" x14ac:dyDescent="0.2">
      <c r="A300" s="56">
        <f t="shared" si="118"/>
        <v>44116</v>
      </c>
      <c r="B300" s="618">
        <v>20.577000000000002</v>
      </c>
      <c r="C300" s="392"/>
      <c r="D300" s="395">
        <f t="shared" si="98"/>
        <v>20.965141872944084</v>
      </c>
      <c r="E300" s="387">
        <f t="shared" si="120"/>
        <v>23.985802440255231</v>
      </c>
      <c r="F300" s="387">
        <f t="shared" si="99"/>
        <v>24.101439266993186</v>
      </c>
      <c r="G300" s="110">
        <f t="shared" si="121"/>
        <v>0.70392463816698969</v>
      </c>
      <c r="H300" s="414" t="b">
        <f>Wh_hp&gt;='2019'!Maxi_hp</f>
        <v>0</v>
      </c>
      <c r="I300" s="382">
        <f>IF(H300,Wh_hp,'2019'!Maxi_hp)</f>
        <v>31.675229426911173</v>
      </c>
      <c r="J300" s="85">
        <f>IF(H300,An,'2019'!An_max)</f>
        <v>2019</v>
      </c>
      <c r="K300" s="199">
        <f t="shared" si="100"/>
        <v>44116</v>
      </c>
      <c r="L300" s="147">
        <f>IF(t&lt;Tvie,1-EXP((T0-t)*PertePVj)+'2019'!Pspv,1-EXP((T0-t)*PertePVj)+Pspv)</f>
        <v>1.8513677383933502E-2</v>
      </c>
      <c r="M300" s="870"/>
      <c r="N300" s="870"/>
      <c r="O300" s="48">
        <f>IF(t&lt;Tnet,'2019'!Resal+('2019'!Salim-'2019'!Resal)*(1-EXP(('2019'!Tnet-t)/('2019'!Tau_j))),Resal+(Salim-Resal)*(1-EXP((Tnet-t)/(Tau_j))))*Salcycl</f>
        <v>0.12593535591878252</v>
      </c>
      <c r="P300" s="171">
        <f>(INDEX(Models!$BJ300:$BT300,,T300)*(1-R300)+INDEX(Models!$BJ300:$BT300,,T300+1)*R300-ERP_i)*Q300*Ramure*Pc/MaxiM</f>
        <v>8.2644395683287557E-3</v>
      </c>
      <c r="Q300" s="307">
        <f t="shared" si="101"/>
        <v>1</v>
      </c>
      <c r="R300" s="179">
        <f t="shared" si="102"/>
        <v>0.29591183056833503</v>
      </c>
      <c r="S300" s="837">
        <f t="shared" si="103"/>
        <v>-1</v>
      </c>
      <c r="T300" s="178">
        <f t="shared" si="104"/>
        <v>5</v>
      </c>
      <c r="U300" s="253">
        <f t="shared" si="105"/>
        <v>-0.70408816943166497</v>
      </c>
      <c r="V300" s="385">
        <f t="shared" si="106"/>
        <v>29.130001237077622</v>
      </c>
      <c r="W300" s="404"/>
      <c r="X300" s="157">
        <f t="shared" si="107"/>
        <v>44116</v>
      </c>
      <c r="Y300" s="387">
        <f t="shared" si="108"/>
        <v>20.577000000000002</v>
      </c>
      <c r="Z300" s="387">
        <f t="shared" si="109"/>
        <v>20.965141872944084</v>
      </c>
      <c r="AA300" s="388">
        <f t="shared" si="110"/>
        <v>23.985802440255231</v>
      </c>
      <c r="AB300" s="199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0.12593535591878252</v>
      </c>
      <c r="AD300" s="233">
        <f>(INDEX(Models!$BJ300:$BT300,,AH300)*(1-AF300)+INDEX(Models!$BJ300:$BT300,,AH300+1)*AF300-ERP_i)*AE300*Ramure*Pc/MaxiM</f>
        <v>8.2644395683287557E-3</v>
      </c>
      <c r="AE300" s="307">
        <f t="shared" si="112"/>
        <v>1</v>
      </c>
      <c r="AF300" s="179">
        <f t="shared" si="113"/>
        <v>0.29591183056833503</v>
      </c>
      <c r="AG300" s="837">
        <f t="shared" si="119"/>
        <v>-1</v>
      </c>
      <c r="AH300" s="178">
        <f t="shared" si="114"/>
        <v>5</v>
      </c>
      <c r="AI300" s="227">
        <f t="shared" si="115"/>
        <v>-0.70408816943166497</v>
      </c>
      <c r="AJ300" s="267" t="b">
        <f t="shared" si="116"/>
        <v>0</v>
      </c>
      <c r="AK300" s="267" t="b">
        <f t="shared" si="117"/>
        <v>0</v>
      </c>
      <c r="AL300" s="267"/>
      <c r="AM300" s="267"/>
      <c r="AN300" s="75"/>
    </row>
    <row r="301" spans="1:40" s="6" customFormat="1" ht="11.25" customHeight="1" x14ac:dyDescent="0.2">
      <c r="A301" s="56">
        <f t="shared" si="118"/>
        <v>44117</v>
      </c>
      <c r="B301" s="618">
        <v>18.689</v>
      </c>
      <c r="C301" s="392"/>
      <c r="D301" s="395">
        <f t="shared" si="98"/>
        <v>19.041971854115374</v>
      </c>
      <c r="E301" s="387">
        <f t="shared" si="120"/>
        <v>21.783851839220819</v>
      </c>
      <c r="F301" s="387">
        <f t="shared" si="99"/>
        <v>21.877550040588446</v>
      </c>
      <c r="G301" s="110">
        <f t="shared" si="121"/>
        <v>0.64700717770457905</v>
      </c>
      <c r="H301" s="414" t="b">
        <f>Wh_hp&gt;='2019'!Maxi_hp</f>
        <v>0</v>
      </c>
      <c r="I301" s="382">
        <f>IF(H301,Wh_hp,'2019'!Maxi_hp)</f>
        <v>30.861969541361116</v>
      </c>
      <c r="J301" s="85">
        <f>IF(H301,An,'2019'!An_max)</f>
        <v>2018</v>
      </c>
      <c r="K301" s="199">
        <f t="shared" si="100"/>
        <v>44117</v>
      </c>
      <c r="L301" s="147">
        <f>IF(t&lt;Tvie,1-EXP((T0-t)*PertePVj)+'2019'!Pspv,1-EXP((T0-t)*PertePVj)+Pspv)</f>
        <v>1.8536518004520053E-2</v>
      </c>
      <c r="M301" s="870"/>
      <c r="N301" s="870"/>
      <c r="O301" s="48">
        <f>IF(t&lt;Tnet,'2019'!Resal+('2019'!Salim-'2019'!Resal)*(1-EXP(('2019'!Tnet-t)/('2019'!Tau_j))),Resal+(Salim-Resal)*(1-EXP((Tnet-t)/(Tau_j))))*Salcycl</f>
        <v>0.12586754653595369</v>
      </c>
      <c r="P301" s="171">
        <f>(INDEX(Models!$BJ301:$BT301,,T301)*(1-R301)+INDEX(Models!$BJ301:$BT301,,T301+1)*R301-ERP_i)*Q301*Ramure*Pc/MaxiM</f>
        <v>8.570462364918003E-3</v>
      </c>
      <c r="Q301" s="307">
        <f t="shared" si="101"/>
        <v>1</v>
      </c>
      <c r="R301" s="179">
        <f t="shared" si="102"/>
        <v>0.29607581402542815</v>
      </c>
      <c r="S301" s="837">
        <f t="shared" si="103"/>
        <v>-1</v>
      </c>
      <c r="T301" s="178">
        <f t="shared" si="104"/>
        <v>5</v>
      </c>
      <c r="U301" s="253">
        <f t="shared" si="105"/>
        <v>-0.70392418597457185</v>
      </c>
      <c r="V301" s="385">
        <f t="shared" si="106"/>
        <v>28.760923731945127</v>
      </c>
      <c r="W301" s="404"/>
      <c r="X301" s="157">
        <f t="shared" si="107"/>
        <v>44117</v>
      </c>
      <c r="Y301" s="387">
        <f t="shared" si="108"/>
        <v>18.689</v>
      </c>
      <c r="Z301" s="387">
        <f t="shared" si="109"/>
        <v>19.041971854115374</v>
      </c>
      <c r="AA301" s="388">
        <f t="shared" si="110"/>
        <v>21.783851839220819</v>
      </c>
      <c r="AB301" s="199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0.12586754653595369</v>
      </c>
      <c r="AD301" s="233">
        <f>(INDEX(Models!$BJ301:$BT301,,AH301)*(1-AF301)+INDEX(Models!$BJ301:$BT301,,AH301+1)*AF301-ERP_i)*AE301*Ramure*Pc/MaxiM</f>
        <v>8.570462364918003E-3</v>
      </c>
      <c r="AE301" s="307">
        <f t="shared" si="112"/>
        <v>1</v>
      </c>
      <c r="AF301" s="179">
        <f t="shared" si="113"/>
        <v>0.29607581402542815</v>
      </c>
      <c r="AG301" s="837">
        <f t="shared" si="119"/>
        <v>-1</v>
      </c>
      <c r="AH301" s="178">
        <f t="shared" si="114"/>
        <v>5</v>
      </c>
      <c r="AI301" s="227">
        <f t="shared" si="115"/>
        <v>-0.70392418597457185</v>
      </c>
      <c r="AJ301" s="267" t="b">
        <f t="shared" si="116"/>
        <v>0</v>
      </c>
      <c r="AK301" s="267" t="b">
        <f t="shared" si="117"/>
        <v>0</v>
      </c>
      <c r="AL301" s="267"/>
      <c r="AM301" s="267"/>
      <c r="AN301" s="75"/>
    </row>
    <row r="302" spans="1:40" s="6" customFormat="1" ht="11.25" customHeight="1" x14ac:dyDescent="0.2">
      <c r="A302" s="56">
        <f t="shared" si="118"/>
        <v>44118</v>
      </c>
      <c r="B302" s="618">
        <v>11.262</v>
      </c>
      <c r="C302" s="392"/>
      <c r="D302" s="395">
        <f t="shared" si="98"/>
        <v>11.474968040984933</v>
      </c>
      <c r="E302" s="387">
        <f t="shared" si="120"/>
        <v>13.126193040802411</v>
      </c>
      <c r="F302" s="387">
        <f t="shared" si="99"/>
        <v>13.142347379031797</v>
      </c>
      <c r="G302" s="110">
        <f t="shared" si="121"/>
        <v>0.39350466129037265</v>
      </c>
      <c r="H302" s="414" t="b">
        <f>Wh_hp&gt;='2019'!Maxi_hp</f>
        <v>0</v>
      </c>
      <c r="I302" s="382">
        <f>IF(H302,Wh_hp,'2019'!Maxi_hp)</f>
        <v>27.892631033806762</v>
      </c>
      <c r="J302" s="85">
        <f>IF(H302,An,'2019'!An_max)</f>
        <v>2019</v>
      </c>
      <c r="K302" s="199">
        <f t="shared" si="100"/>
        <v>44118</v>
      </c>
      <c r="L302" s="147">
        <f>IF(t&lt;Tvie,1-EXP((T0-t)*PertePVj)+'2019'!Pspv,1-EXP((T0-t)*PertePVj)+Pspv)</f>
        <v>1.8559358093571898E-2</v>
      </c>
      <c r="M302" s="870"/>
      <c r="N302" s="870"/>
      <c r="O302" s="48">
        <f>IF(t&lt;Tnet,'2019'!Resal+('2019'!Salim-'2019'!Resal)*(1-EXP(('2019'!Tnet-t)/('2019'!Tau_j))),Resal+(Salim-Resal)*(1-EXP((Tnet-t)/(Tau_j))))*Salcycl</f>
        <v>0.12579618436851331</v>
      </c>
      <c r="P302" s="171">
        <f>(INDEX(Models!$BJ302:$BT302,,T302)*(1-R302)+INDEX(Models!$BJ302:$BT302,,T302+1)*R302-ERP_i)*Q302*Ramure*Pc/MaxiM</f>
        <v>8.9112876566152105E-3</v>
      </c>
      <c r="Q302" s="307">
        <f t="shared" si="101"/>
        <v>1</v>
      </c>
      <c r="R302" s="179">
        <f t="shared" si="102"/>
        <v>0.29623326760054058</v>
      </c>
      <c r="S302" s="837">
        <f t="shared" si="103"/>
        <v>-1</v>
      </c>
      <c r="T302" s="178">
        <f t="shared" si="104"/>
        <v>5</v>
      </c>
      <c r="U302" s="253">
        <f t="shared" si="105"/>
        <v>-0.70376673239945942</v>
      </c>
      <c r="V302" s="385">
        <f t="shared" si="106"/>
        <v>28.399606795009145</v>
      </c>
      <c r="W302" s="404"/>
      <c r="X302" s="157">
        <f t="shared" si="107"/>
        <v>44118</v>
      </c>
      <c r="Y302" s="387">
        <f t="shared" si="108"/>
        <v>11.262</v>
      </c>
      <c r="Z302" s="387">
        <f t="shared" si="109"/>
        <v>11.474968040984933</v>
      </c>
      <c r="AA302" s="388">
        <f t="shared" si="110"/>
        <v>13.126193040802411</v>
      </c>
      <c r="AB302" s="199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0.12579618436851331</v>
      </c>
      <c r="AD302" s="233">
        <f>(INDEX(Models!$BJ302:$BT302,,AH302)*(1-AF302)+INDEX(Models!$BJ302:$BT302,,AH302+1)*AF302-ERP_i)*AE302*Ramure*Pc/MaxiM</f>
        <v>8.9112876566152105E-3</v>
      </c>
      <c r="AE302" s="307">
        <f t="shared" si="112"/>
        <v>1</v>
      </c>
      <c r="AF302" s="179">
        <f t="shared" si="113"/>
        <v>0.29623326760054058</v>
      </c>
      <c r="AG302" s="837">
        <f t="shared" si="119"/>
        <v>-1</v>
      </c>
      <c r="AH302" s="178">
        <f t="shared" si="114"/>
        <v>5</v>
      </c>
      <c r="AI302" s="227">
        <f t="shared" si="115"/>
        <v>-0.70376673239945942</v>
      </c>
      <c r="AJ302" s="267" t="b">
        <f t="shared" si="116"/>
        <v>0</v>
      </c>
      <c r="AK302" s="267" t="b">
        <f t="shared" si="117"/>
        <v>0</v>
      </c>
      <c r="AL302" s="267"/>
      <c r="AM302" s="267"/>
      <c r="AN302" s="75"/>
    </row>
    <row r="303" spans="1:40" s="6" customFormat="1" ht="11.25" customHeight="1" x14ac:dyDescent="0.2">
      <c r="A303" s="56">
        <f t="shared" si="118"/>
        <v>44119</v>
      </c>
      <c r="B303" s="618">
        <v>15.473000000000001</v>
      </c>
      <c r="C303" s="392"/>
      <c r="D303" s="395">
        <f t="shared" si="98"/>
        <v>15.765966301984076</v>
      </c>
      <c r="E303" s="387">
        <f t="shared" si="120"/>
        <v>18.033113586394325</v>
      </c>
      <c r="F303" s="387">
        <f t="shared" si="99"/>
        <v>18.093545975698607</v>
      </c>
      <c r="G303" s="110">
        <f t="shared" si="121"/>
        <v>0.5484233998660546</v>
      </c>
      <c r="H303" s="414" t="b">
        <f>Wh_hp&gt;='2019'!Maxi_hp</f>
        <v>0</v>
      </c>
      <c r="I303" s="382">
        <f>IF(H303,Wh_hp,'2019'!Maxi_hp)</f>
        <v>29.891550892586281</v>
      </c>
      <c r="J303" s="85">
        <f>IF(H303,An,'2019'!An_max)</f>
        <v>2019</v>
      </c>
      <c r="K303" s="199">
        <f t="shared" si="100"/>
        <v>44119</v>
      </c>
      <c r="L303" s="147">
        <f>IF(t&lt;Tvie,1-EXP((T0-t)*PertePVj)+'2019'!Pspv,1-EXP((T0-t)*PertePVj)+Pspv)</f>
        <v>1.8582197651101584E-2</v>
      </c>
      <c r="M303" s="870"/>
      <c r="N303" s="870"/>
      <c r="O303" s="48">
        <f>IF(t&lt;Tnet,'2019'!Resal+('2019'!Salim-'2019'!Resal)*(1-EXP(('2019'!Tnet-t)/('2019'!Tau_j))),Resal+(Salim-Resal)*(1-EXP((Tnet-t)/(Tau_j))))*Salcycl</f>
        <v>0.12572134443387378</v>
      </c>
      <c r="P303" s="171">
        <f>(INDEX(Models!$BJ303:$BT303,,T303)*(1-R303)+INDEX(Models!$BJ303:$BT303,,T303+1)*R303-ERP_i)*Q303*Ramure*Pc/MaxiM</f>
        <v>9.2882321662990375E-3</v>
      </c>
      <c r="Q303" s="307">
        <f t="shared" si="101"/>
        <v>1</v>
      </c>
      <c r="R303" s="179">
        <f t="shared" si="102"/>
        <v>0.29638444852502677</v>
      </c>
      <c r="S303" s="837">
        <f t="shared" si="103"/>
        <v>-1</v>
      </c>
      <c r="T303" s="178">
        <f t="shared" si="104"/>
        <v>5</v>
      </c>
      <c r="U303" s="253">
        <f t="shared" si="105"/>
        <v>-0.70361555147497323</v>
      </c>
      <c r="V303" s="385">
        <f t="shared" si="106"/>
        <v>28.045219309454499</v>
      </c>
      <c r="W303" s="404"/>
      <c r="X303" s="157">
        <f t="shared" si="107"/>
        <v>44119</v>
      </c>
      <c r="Y303" s="387">
        <f t="shared" si="108"/>
        <v>15.472999999999999</v>
      </c>
      <c r="Z303" s="387">
        <f t="shared" si="109"/>
        <v>15.765966301984074</v>
      </c>
      <c r="AA303" s="388">
        <f t="shared" si="110"/>
        <v>18.033113586394325</v>
      </c>
      <c r="AB303" s="199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0.12572134443387378</v>
      </c>
      <c r="AD303" s="233">
        <f>(INDEX(Models!$BJ303:$BT303,,AH303)*(1-AF303)+INDEX(Models!$BJ303:$BT303,,AH303+1)*AF303-ERP_i)*AE303*Ramure*Pc/MaxiM</f>
        <v>9.2882321662990375E-3</v>
      </c>
      <c r="AE303" s="307">
        <f t="shared" si="112"/>
        <v>1</v>
      </c>
      <c r="AF303" s="179">
        <f t="shared" si="113"/>
        <v>0.29638444852502677</v>
      </c>
      <c r="AG303" s="837">
        <f t="shared" si="119"/>
        <v>-1</v>
      </c>
      <c r="AH303" s="178">
        <f t="shared" si="114"/>
        <v>5</v>
      </c>
      <c r="AI303" s="227">
        <f t="shared" si="115"/>
        <v>-0.70361555147497323</v>
      </c>
      <c r="AJ303" s="267" t="b">
        <f t="shared" si="116"/>
        <v>0</v>
      </c>
      <c r="AK303" s="267" t="b">
        <f t="shared" si="117"/>
        <v>0</v>
      </c>
      <c r="AL303" s="267"/>
      <c r="AM303" s="267"/>
      <c r="AN303" s="75"/>
    </row>
    <row r="304" spans="1:40" s="6" customFormat="1" ht="11.25" customHeight="1" x14ac:dyDescent="0.2">
      <c r="A304" s="56">
        <f t="shared" si="118"/>
        <v>44120</v>
      </c>
      <c r="B304" s="618">
        <v>9.69</v>
      </c>
      <c r="C304" s="392"/>
      <c r="D304" s="395">
        <f t="shared" si="98"/>
        <v>9.8737005610777651</v>
      </c>
      <c r="E304" s="387">
        <f t="shared" si="120"/>
        <v>11.292529085649134</v>
      </c>
      <c r="F304" s="387">
        <f t="shared" si="99"/>
        <v>11.300366850002606</v>
      </c>
      <c r="G304" s="110">
        <f t="shared" si="121"/>
        <v>0.3467146057715455</v>
      </c>
      <c r="H304" s="414" t="b">
        <f>Wh_hp&gt;='2019'!Maxi_hp</f>
        <v>0</v>
      </c>
      <c r="I304" s="382">
        <f>IF(H304,Wh_hp,'2019'!Maxi_hp)</f>
        <v>21.545858214581099</v>
      </c>
      <c r="J304" s="85">
        <f>IF(H304,An,'2019'!An_max)</f>
        <v>2018</v>
      </c>
      <c r="K304" s="199">
        <f t="shared" si="100"/>
        <v>44120</v>
      </c>
      <c r="L304" s="147">
        <f>IF(t&lt;Tvie,1-EXP((T0-t)*PertePVj)+'2019'!Pspv,1-EXP((T0-t)*PertePVj)+Pspv)</f>
        <v>1.8605036677121323E-2</v>
      </c>
      <c r="M304" s="870"/>
      <c r="N304" s="870"/>
      <c r="O304" s="48">
        <f>IF(t&lt;Tnet,'2019'!Resal+('2019'!Salim-'2019'!Resal)*(1-EXP(('2019'!Tnet-t)/('2019'!Tau_j))),Resal+(Salim-Resal)*(1-EXP((Tnet-t)/(Tau_j))))*Salcycl</f>
        <v>0.12564311447065091</v>
      </c>
      <c r="P304" s="171">
        <f>(INDEX(Models!$BJ304:$BT304,,T304)*(1-R304)+INDEX(Models!$BJ304:$BT304,,T304+1)*R304-ERP_i)*Q304*Ramure*Pc/MaxiM</f>
        <v>9.733604331975447E-3</v>
      </c>
      <c r="Q304" s="307">
        <f t="shared" si="101"/>
        <v>1</v>
      </c>
      <c r="R304" s="179">
        <f t="shared" si="102"/>
        <v>0.29652960411636953</v>
      </c>
      <c r="S304" s="837">
        <f t="shared" si="103"/>
        <v>-1</v>
      </c>
      <c r="T304" s="178">
        <f t="shared" si="104"/>
        <v>5</v>
      </c>
      <c r="U304" s="253">
        <f t="shared" si="105"/>
        <v>-0.70347039588363047</v>
      </c>
      <c r="V304" s="385">
        <f t="shared" si="106"/>
        <v>27.695231910188777</v>
      </c>
      <c r="W304" s="404"/>
      <c r="X304" s="157">
        <f t="shared" si="107"/>
        <v>44120</v>
      </c>
      <c r="Y304" s="387">
        <f t="shared" si="108"/>
        <v>9.69</v>
      </c>
      <c r="Z304" s="387">
        <f t="shared" si="109"/>
        <v>9.8737005610777651</v>
      </c>
      <c r="AA304" s="388">
        <f t="shared" si="110"/>
        <v>11.292529085649134</v>
      </c>
      <c r="AB304" s="199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0.12564311447065091</v>
      </c>
      <c r="AD304" s="233">
        <f>(INDEX(Models!$BJ304:$BT304,,AH304)*(1-AF304)+INDEX(Models!$BJ304:$BT304,,AH304+1)*AF304-ERP_i)*AE304*Ramure*Pc/MaxiM</f>
        <v>9.733604331975447E-3</v>
      </c>
      <c r="AE304" s="307">
        <f t="shared" si="112"/>
        <v>1</v>
      </c>
      <c r="AF304" s="179">
        <f t="shared" si="113"/>
        <v>0.29652960411636953</v>
      </c>
      <c r="AG304" s="837">
        <f t="shared" si="119"/>
        <v>-1</v>
      </c>
      <c r="AH304" s="178">
        <f t="shared" si="114"/>
        <v>5</v>
      </c>
      <c r="AI304" s="227">
        <f t="shared" si="115"/>
        <v>-0.70347039588363047</v>
      </c>
      <c r="AJ304" s="267" t="b">
        <f t="shared" si="116"/>
        <v>0</v>
      </c>
      <c r="AK304" s="267" t="b">
        <f t="shared" si="117"/>
        <v>0</v>
      </c>
      <c r="AL304" s="267"/>
      <c r="AM304" s="267"/>
      <c r="AN304" s="75"/>
    </row>
    <row r="305" spans="1:40" s="6" customFormat="1" ht="11.25" customHeight="1" x14ac:dyDescent="0.2">
      <c r="A305" s="56">
        <f t="shared" si="118"/>
        <v>44121</v>
      </c>
      <c r="B305" s="618">
        <v>27.489000000000001</v>
      </c>
      <c r="C305" s="392"/>
      <c r="D305" s="395">
        <f t="shared" si="98"/>
        <v>28.010781338228732</v>
      </c>
      <c r="E305" s="387">
        <f t="shared" si="120"/>
        <v>32.032880965084942</v>
      </c>
      <c r="F305" s="387">
        <f t="shared" si="99"/>
        <v>32.364301744109355</v>
      </c>
      <c r="G305" s="110">
        <f t="shared" si="121"/>
        <v>1.0050966654645934</v>
      </c>
      <c r="H305" s="414" t="b">
        <f>Wh_hp&gt;='2019'!Maxi_hp</f>
        <v>1</v>
      </c>
      <c r="I305" s="382">
        <f>IF(H305,Wh_hp,'2019'!Maxi_hp)</f>
        <v>32.364301744109355</v>
      </c>
      <c r="J305" s="85">
        <f>IF(H305,An,'2019'!An_max)</f>
        <v>2020</v>
      </c>
      <c r="K305" s="199">
        <f t="shared" si="100"/>
        <v>44121</v>
      </c>
      <c r="L305" s="147">
        <f>IF(t&lt;Tvie,1-EXP((T0-t)*PertePVj)+'2019'!Pspv,1-EXP((T0-t)*PertePVj)+Pspv)</f>
        <v>1.862787517164366E-2</v>
      </c>
      <c r="M305" s="870"/>
      <c r="N305" s="870"/>
      <c r="O305" s="48">
        <f>IF(t&lt;Tnet,'2019'!Resal+('2019'!Salim-'2019'!Resal)*(1-EXP(('2019'!Tnet-t)/('2019'!Tau_j))),Resal+(Salim-Resal)*(1-EXP((Tnet-t)/(Tau_j))))*Salcycl</f>
        <v>0.12556159501357997</v>
      </c>
      <c r="P305" s="171">
        <f>(INDEX(Models!$BJ305:$BT305,,T305)*(1-R305)+INDEX(Models!$BJ305:$BT305,,T305+1)*R305-ERP_i)*Q305*Ramure*Pc/MaxiM</f>
        <v>1.0240319153022724E-2</v>
      </c>
      <c r="Q305" s="307">
        <f t="shared" si="101"/>
        <v>1</v>
      </c>
      <c r="R305" s="179">
        <f t="shared" si="102"/>
        <v>0.29666897214298626</v>
      </c>
      <c r="S305" s="837">
        <f t="shared" si="103"/>
        <v>-1</v>
      </c>
      <c r="T305" s="178">
        <f t="shared" si="104"/>
        <v>5</v>
      </c>
      <c r="U305" s="253">
        <f t="shared" si="105"/>
        <v>-0.70333102785701374</v>
      </c>
      <c r="V305" s="385">
        <f t="shared" si="106"/>
        <v>27.349608196435071</v>
      </c>
      <c r="W305" s="404"/>
      <c r="X305" s="157">
        <f t="shared" si="107"/>
        <v>44121</v>
      </c>
      <c r="Y305" s="387">
        <f t="shared" si="108"/>
        <v>27.489000000000001</v>
      </c>
      <c r="Z305" s="387">
        <f t="shared" si="109"/>
        <v>28.010781338228732</v>
      </c>
      <c r="AA305" s="388">
        <f t="shared" si="110"/>
        <v>32.032880965084942</v>
      </c>
      <c r="AB305" s="199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0.12556159501357997</v>
      </c>
      <c r="AD305" s="233">
        <f>(INDEX(Models!$BJ305:$BT305,,AH305)*(1-AF305)+INDEX(Models!$BJ305:$BT305,,AH305+1)*AF305-ERP_i)*AE305*Ramure*Pc/MaxiM</f>
        <v>1.0240319153022724E-2</v>
      </c>
      <c r="AE305" s="307">
        <f t="shared" si="112"/>
        <v>1</v>
      </c>
      <c r="AF305" s="179">
        <f t="shared" si="113"/>
        <v>0.29666897214298626</v>
      </c>
      <c r="AG305" s="837">
        <f t="shared" si="119"/>
        <v>-1</v>
      </c>
      <c r="AH305" s="178">
        <f t="shared" si="114"/>
        <v>5</v>
      </c>
      <c r="AI305" s="227">
        <f t="shared" si="115"/>
        <v>-0.70333102785701374</v>
      </c>
      <c r="AJ305" s="267" t="b">
        <f t="shared" si="116"/>
        <v>0</v>
      </c>
      <c r="AK305" s="267" t="b">
        <f t="shared" si="117"/>
        <v>0</v>
      </c>
      <c r="AL305" s="267"/>
      <c r="AM305" s="267"/>
      <c r="AN305" s="75"/>
    </row>
    <row r="306" spans="1:40" s="6" customFormat="1" ht="11.25" customHeight="1" x14ac:dyDescent="0.2">
      <c r="A306" s="56">
        <f t="shared" si="118"/>
        <v>44122</v>
      </c>
      <c r="B306" s="618">
        <v>26.007999999999999</v>
      </c>
      <c r="C306" s="392"/>
      <c r="D306" s="395">
        <f t="shared" si="98"/>
        <v>26.502286543740414</v>
      </c>
      <c r="E306" s="387">
        <f t="shared" si="120"/>
        <v>30.304844463537457</v>
      </c>
      <c r="F306" s="387">
        <f t="shared" si="99"/>
        <v>30.618334526163864</v>
      </c>
      <c r="G306" s="110">
        <f t="shared" si="121"/>
        <v>0.96241580330840149</v>
      </c>
      <c r="H306" s="414" t="b">
        <f>Wh_hp&gt;='2019'!Maxi_hp</f>
        <v>1</v>
      </c>
      <c r="I306" s="382">
        <f>IF(H306,Wh_hp,'2019'!Maxi_hp)</f>
        <v>30.618334526163864</v>
      </c>
      <c r="J306" s="85">
        <f>IF(H306,An,'2019'!An_max)</f>
        <v>2020</v>
      </c>
      <c r="K306" s="199">
        <f t="shared" si="100"/>
        <v>44122</v>
      </c>
      <c r="L306" s="147">
        <f>IF(t&lt;Tvie,1-EXP((T0-t)*PertePVj)+'2019'!Pspv,1-EXP((T0-t)*PertePVj)+Pspv)</f>
        <v>1.8650713134680807E-2</v>
      </c>
      <c r="M306" s="870"/>
      <c r="N306" s="870"/>
      <c r="O306" s="48">
        <f>IF(t&lt;Tnet,'2019'!Resal+('2019'!Salim-'2019'!Resal)*(1-EXP(('2019'!Tnet-t)/('2019'!Tau_j))),Resal+(Salim-Resal)*(1-EXP((Tnet-t)/(Tau_j))))*Salcycl</f>
        <v>0.12547689939053311</v>
      </c>
      <c r="P306" s="171">
        <f>(INDEX(Models!$BJ306:$BT306,,T306)*(1-R306)+INDEX(Models!$BJ306:$BT306,,T306+1)*R306-ERP_i)*Q306*Ramure*Pc/MaxiM</f>
        <v>1.0810479536381406E-2</v>
      </c>
      <c r="Q306" s="307">
        <f t="shared" si="101"/>
        <v>1</v>
      </c>
      <c r="R306" s="179">
        <f t="shared" si="102"/>
        <v>0.29680278117698844</v>
      </c>
      <c r="S306" s="837">
        <f t="shared" si="103"/>
        <v>-1</v>
      </c>
      <c r="T306" s="178">
        <f t="shared" si="104"/>
        <v>5</v>
      </c>
      <c r="U306" s="253">
        <f t="shared" si="105"/>
        <v>-0.70319721882301156</v>
      </c>
      <c r="V306" s="385">
        <f t="shared" si="106"/>
        <v>27.008049559864698</v>
      </c>
      <c r="W306" s="404"/>
      <c r="X306" s="157">
        <f t="shared" si="107"/>
        <v>44122</v>
      </c>
      <c r="Y306" s="387">
        <f t="shared" si="108"/>
        <v>26.007999999999999</v>
      </c>
      <c r="Z306" s="387">
        <f t="shared" si="109"/>
        <v>26.502286543740414</v>
      </c>
      <c r="AA306" s="388">
        <f t="shared" si="110"/>
        <v>30.304844463537457</v>
      </c>
      <c r="AB306" s="199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0.12547689939053311</v>
      </c>
      <c r="AD306" s="233">
        <f>(INDEX(Models!$BJ306:$BT306,,AH306)*(1-AF306)+INDEX(Models!$BJ306:$BT306,,AH306+1)*AF306-ERP_i)*AE306*Ramure*Pc/MaxiM</f>
        <v>1.0810479536381406E-2</v>
      </c>
      <c r="AE306" s="307">
        <f t="shared" si="112"/>
        <v>1</v>
      </c>
      <c r="AF306" s="179">
        <f t="shared" si="113"/>
        <v>0.29680278117698844</v>
      </c>
      <c r="AG306" s="837">
        <f t="shared" si="119"/>
        <v>-1</v>
      </c>
      <c r="AH306" s="178">
        <f t="shared" si="114"/>
        <v>5</v>
      </c>
      <c r="AI306" s="227">
        <f t="shared" si="115"/>
        <v>-0.70319721882301156</v>
      </c>
      <c r="AJ306" s="267" t="b">
        <f t="shared" si="116"/>
        <v>0</v>
      </c>
      <c r="AK306" s="267" t="b">
        <f t="shared" si="117"/>
        <v>0</v>
      </c>
      <c r="AL306" s="267"/>
      <c r="AM306" s="267"/>
      <c r="AN306" s="75"/>
    </row>
    <row r="307" spans="1:40" s="6" customFormat="1" ht="11.25" customHeight="1" x14ac:dyDescent="0.2">
      <c r="A307" s="56">
        <f t="shared" si="118"/>
        <v>44123</v>
      </c>
      <c r="B307" s="618">
        <v>22.891999999999999</v>
      </c>
      <c r="C307" s="392"/>
      <c r="D307" s="395">
        <f t="shared" si="98"/>
        <v>23.327609291698135</v>
      </c>
      <c r="E307" s="387">
        <f t="shared" si="120"/>
        <v>26.671987191525741</v>
      </c>
      <c r="F307" s="387">
        <f t="shared" si="99"/>
        <v>26.917739526991838</v>
      </c>
      <c r="G307" s="110">
        <f t="shared" si="121"/>
        <v>0.85632779084735555</v>
      </c>
      <c r="H307" s="414" t="b">
        <f>Wh_hp&gt;='2019'!Maxi_hp</f>
        <v>1</v>
      </c>
      <c r="I307" s="382">
        <f>IF(H307,Wh_hp,'2019'!Maxi_hp)</f>
        <v>26.917739526991838</v>
      </c>
      <c r="J307" s="85">
        <f>IF(H307,An,'2019'!An_max)</f>
        <v>2020</v>
      </c>
      <c r="K307" s="199">
        <f t="shared" si="100"/>
        <v>44123</v>
      </c>
      <c r="L307" s="147">
        <f>IF(t&lt;Tvie,1-EXP((T0-t)*PertePVj)+'2019'!Pspv,1-EXP((T0-t)*PertePVj)+Pspv)</f>
        <v>1.8673550566245201E-2</v>
      </c>
      <c r="M307" s="870"/>
      <c r="N307" s="870"/>
      <c r="O307" s="48">
        <f>IF(t&lt;Tnet,'2019'!Resal+('2019'!Salim-'2019'!Resal)*(1-EXP(('2019'!Tnet-t)/('2019'!Tau_j))),Resal+(Salim-Resal)*(1-EXP((Tnet-t)/(Tau_j))))*Salcycl</f>
        <v>0.12538915363944778</v>
      </c>
      <c r="P307" s="171">
        <f>(INDEX(Models!$BJ307:$BT307,,T307)*(1-R307)+INDEX(Models!$BJ307:$BT307,,T307+1)*R307-ERP_i)*Q307*Ramure*Pc/MaxiM</f>
        <v>1.1446236099840971E-2</v>
      </c>
      <c r="Q307" s="307">
        <f t="shared" si="101"/>
        <v>1</v>
      </c>
      <c r="R307" s="179">
        <f t="shared" si="102"/>
        <v>0.29693125093517914</v>
      </c>
      <c r="S307" s="837">
        <f t="shared" si="103"/>
        <v>-1</v>
      </c>
      <c r="T307" s="178">
        <f t="shared" si="104"/>
        <v>5</v>
      </c>
      <c r="U307" s="253">
        <f t="shared" si="105"/>
        <v>-0.70306874906482086</v>
      </c>
      <c r="V307" s="385">
        <f t="shared" si="106"/>
        <v>26.670257266190113</v>
      </c>
      <c r="W307" s="404"/>
      <c r="X307" s="157">
        <f t="shared" si="107"/>
        <v>44123</v>
      </c>
      <c r="Y307" s="387">
        <f t="shared" si="108"/>
        <v>22.891999999999999</v>
      </c>
      <c r="Z307" s="387">
        <f t="shared" si="109"/>
        <v>23.327609291698135</v>
      </c>
      <c r="AA307" s="388">
        <f t="shared" si="110"/>
        <v>26.671987191525741</v>
      </c>
      <c r="AB307" s="199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0.12538915363944778</v>
      </c>
      <c r="AD307" s="233">
        <f>(INDEX(Models!$BJ307:$BT307,,AH307)*(1-AF307)+INDEX(Models!$BJ307:$BT307,,AH307+1)*AF307-ERP_i)*AE307*Ramure*Pc/MaxiM</f>
        <v>1.1446236099840971E-2</v>
      </c>
      <c r="AE307" s="307">
        <f t="shared" si="112"/>
        <v>1</v>
      </c>
      <c r="AF307" s="179">
        <f t="shared" si="113"/>
        <v>0.29693125093517914</v>
      </c>
      <c r="AG307" s="837">
        <f t="shared" si="119"/>
        <v>-1</v>
      </c>
      <c r="AH307" s="178">
        <f t="shared" si="114"/>
        <v>5</v>
      </c>
      <c r="AI307" s="227">
        <f t="shared" si="115"/>
        <v>-0.70306874906482086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customHeight="1" x14ac:dyDescent="0.2">
      <c r="A308" s="56">
        <f t="shared" si="118"/>
        <v>44124</v>
      </c>
      <c r="B308" s="618">
        <v>4.859</v>
      </c>
      <c r="C308" s="392"/>
      <c r="D308" s="395">
        <f t="shared" si="98"/>
        <v>4.9515765945816037</v>
      </c>
      <c r="E308" s="387">
        <f t="shared" si="120"/>
        <v>5.6608758232187881</v>
      </c>
      <c r="F308" s="387">
        <f t="shared" si="99"/>
        <v>5.6608758232187881</v>
      </c>
      <c r="G308" s="110">
        <f t="shared" si="121"/>
        <v>0.18225913071543642</v>
      </c>
      <c r="H308" s="414" t="b">
        <f>Wh_hp&gt;='2019'!Maxi_hp</f>
        <v>0</v>
      </c>
      <c r="I308" s="382">
        <f>IF(H308,Wh_hp,'2019'!Maxi_hp)</f>
        <v>22.474187536944374</v>
      </c>
      <c r="J308" s="85">
        <f>IF(H308,An,'2019'!An_max)</f>
        <v>2019</v>
      </c>
      <c r="K308" s="199">
        <f t="shared" si="100"/>
        <v>44124</v>
      </c>
      <c r="L308" s="147">
        <f>IF(t&lt;Tvie,1-EXP((T0-t)*PertePVj)+'2019'!Pspv,1-EXP((T0-t)*PertePVj)+Pspv)</f>
        <v>1.8696387466349162E-2</v>
      </c>
      <c r="M308" s="870"/>
      <c r="N308" s="870"/>
      <c r="O308" s="48">
        <f>IF(t&lt;Tnet,'2019'!Resal+('2019'!Salim-'2019'!Resal)*(1-EXP(('2019'!Tnet-t)/('2019'!Tau_j))),Resal+(Salim-Resal)*(1-EXP((Tnet-t)/(Tau_j))))*Salcycl</f>
        <v>0.12529849634360554</v>
      </c>
      <c r="P308" s="171">
        <f>(INDEX(Models!$BJ308:$BT308,,T308)*(1-R308)+INDEX(Models!$BJ308:$BT308,,T308+1)*R308-ERP_i)*Q308*Ramure*Pc/MaxiM</f>
        <v>1.2149792215466434E-2</v>
      </c>
      <c r="Q308" s="307">
        <f t="shared" si="101"/>
        <v>1</v>
      </c>
      <c r="R308" s="179">
        <f t="shared" si="102"/>
        <v>0.29705459260857858</v>
      </c>
      <c r="S308" s="837">
        <f t="shared" si="103"/>
        <v>-1</v>
      </c>
      <c r="T308" s="178">
        <f t="shared" si="104"/>
        <v>5</v>
      </c>
      <c r="U308" s="253">
        <f t="shared" si="105"/>
        <v>-0.70294540739142142</v>
      </c>
      <c r="V308" s="385">
        <f t="shared" si="106"/>
        <v>26.335932475829129</v>
      </c>
      <c r="W308" s="404"/>
      <c r="X308" s="157">
        <f t="shared" si="107"/>
        <v>44124</v>
      </c>
      <c r="Y308" s="387">
        <f t="shared" si="108"/>
        <v>4.859</v>
      </c>
      <c r="Z308" s="387">
        <f t="shared" si="109"/>
        <v>4.9515765945816037</v>
      </c>
      <c r="AA308" s="388">
        <f t="shared" si="110"/>
        <v>5.6608758232187881</v>
      </c>
      <c r="AB308" s="199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0.12529849634360554</v>
      </c>
      <c r="AD308" s="233">
        <f>(INDEX(Models!$BJ308:$BT308,,AH308)*(1-AF308)+INDEX(Models!$BJ308:$BT308,,AH308+1)*AF308-ERP_i)*AE308*Ramure*Pc/MaxiM</f>
        <v>1.2149792215466434E-2</v>
      </c>
      <c r="AE308" s="307">
        <f t="shared" si="112"/>
        <v>1</v>
      </c>
      <c r="AF308" s="179">
        <f t="shared" si="113"/>
        <v>0.29705459260857858</v>
      </c>
      <c r="AG308" s="837">
        <f t="shared" si="119"/>
        <v>-1</v>
      </c>
      <c r="AH308" s="178">
        <f t="shared" si="114"/>
        <v>5</v>
      </c>
      <c r="AI308" s="227">
        <f t="shared" si="115"/>
        <v>-0.70294540739142142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customHeight="1" x14ac:dyDescent="0.2">
      <c r="A309" s="56">
        <f t="shared" si="118"/>
        <v>44125</v>
      </c>
      <c r="B309" s="618">
        <v>19.113</v>
      </c>
      <c r="C309" s="392"/>
      <c r="D309" s="395">
        <f t="shared" si="98"/>
        <v>19.477605660121782</v>
      </c>
      <c r="E309" s="387">
        <f t="shared" si="120"/>
        <v>22.265339199899373</v>
      </c>
      <c r="F309" s="387">
        <f t="shared" si="99"/>
        <v>22.445591068478908</v>
      </c>
      <c r="G309" s="110">
        <f t="shared" si="121"/>
        <v>0.73135514448079619</v>
      </c>
      <c r="H309" s="414" t="b">
        <f>Wh_hp&gt;='2019'!Maxi_hp</f>
        <v>1</v>
      </c>
      <c r="I309" s="382">
        <f>IF(H309,Wh_hp,'2019'!Maxi_hp)</f>
        <v>22.445591068478908</v>
      </c>
      <c r="J309" s="85">
        <f>IF(H309,An,'2019'!An_max)</f>
        <v>2020</v>
      </c>
      <c r="K309" s="199">
        <f t="shared" si="100"/>
        <v>44125</v>
      </c>
      <c r="L309" s="147">
        <f>IF(t&lt;Tvie,1-EXP((T0-t)*PertePVj)+'2019'!Pspv,1-EXP((T0-t)*PertePVj)+Pspv)</f>
        <v>1.8719223835005128E-2</v>
      </c>
      <c r="M309" s="870"/>
      <c r="N309" s="870"/>
      <c r="O309" s="48">
        <f>IF(t&lt;Tnet,'2019'!Resal+('2019'!Salim-'2019'!Resal)*(1-EXP(('2019'!Tnet-t)/('2019'!Tau_j))),Resal+(Salim-Resal)*(1-EXP((Tnet-t)/(Tau_j))))*Salcycl</f>
        <v>0.12520507838435224</v>
      </c>
      <c r="P309" s="171">
        <f>(INDEX(Models!$BJ309:$BT309,,T309)*(1-R309)+INDEX(Models!$BJ309:$BT309,,T309+1)*R309-ERP_i)*Q309*Ramure*Pc/MaxiM</f>
        <v>1.2923409755798247E-2</v>
      </c>
      <c r="Q309" s="307">
        <f t="shared" si="101"/>
        <v>1</v>
      </c>
      <c r="R309" s="179">
        <f t="shared" si="102"/>
        <v>0.29717300918076284</v>
      </c>
      <c r="S309" s="837">
        <f t="shared" si="103"/>
        <v>-1</v>
      </c>
      <c r="T309" s="178">
        <f t="shared" si="104"/>
        <v>5</v>
      </c>
      <c r="U309" s="253">
        <f t="shared" si="105"/>
        <v>-0.70282699081923716</v>
      </c>
      <c r="V309" s="385">
        <f t="shared" si="106"/>
        <v>26.004776283619872</v>
      </c>
      <c r="W309" s="404"/>
      <c r="X309" s="157">
        <f t="shared" si="107"/>
        <v>44125</v>
      </c>
      <c r="Y309" s="387">
        <f t="shared" si="108"/>
        <v>19.113</v>
      </c>
      <c r="Z309" s="387">
        <f t="shared" si="109"/>
        <v>19.477605660121782</v>
      </c>
      <c r="AA309" s="388">
        <f t="shared" si="110"/>
        <v>22.265339199899373</v>
      </c>
      <c r="AB309" s="199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0.12520507838435224</v>
      </c>
      <c r="AD309" s="233">
        <f>(INDEX(Models!$BJ309:$BT309,,AH309)*(1-AF309)+INDEX(Models!$BJ309:$BT309,,AH309+1)*AF309-ERP_i)*AE309*Ramure*Pc/MaxiM</f>
        <v>1.2923409755798247E-2</v>
      </c>
      <c r="AE309" s="307">
        <f t="shared" si="112"/>
        <v>1</v>
      </c>
      <c r="AF309" s="179">
        <f t="shared" si="113"/>
        <v>0.29717300918076284</v>
      </c>
      <c r="AG309" s="837">
        <f t="shared" si="119"/>
        <v>-1</v>
      </c>
      <c r="AH309" s="178">
        <f t="shared" si="114"/>
        <v>5</v>
      </c>
      <c r="AI309" s="227">
        <f t="shared" si="115"/>
        <v>-0.70282699081923716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customHeight="1" x14ac:dyDescent="0.2">
      <c r="A310" s="56">
        <f t="shared" si="118"/>
        <v>44126</v>
      </c>
      <c r="B310" s="618">
        <v>5.234</v>
      </c>
      <c r="C310" s="392"/>
      <c r="D310" s="395">
        <f t="shared" si="98"/>
        <v>5.3339695760848169</v>
      </c>
      <c r="E310" s="387">
        <f t="shared" si="120"/>
        <v>6.0967251438259211</v>
      </c>
      <c r="F310" s="387">
        <f t="shared" si="99"/>
        <v>6.0967251438259211</v>
      </c>
      <c r="G310" s="110">
        <f t="shared" si="121"/>
        <v>0.20103724957698738</v>
      </c>
      <c r="H310" s="414" t="b">
        <f>Wh_hp&gt;='2019'!Maxi_hp</f>
        <v>0</v>
      </c>
      <c r="I310" s="382">
        <f>IF(H310,Wh_hp,'2019'!Maxi_hp)</f>
        <v>29.510079439366795</v>
      </c>
      <c r="J310" s="85">
        <f>IF(H310,An,'2019'!An_max)</f>
        <v>2018</v>
      </c>
      <c r="K310" s="199">
        <f t="shared" si="100"/>
        <v>44126</v>
      </c>
      <c r="L310" s="147">
        <f>IF(t&lt;Tvie,1-EXP((T0-t)*PertePVj)+'2019'!Pspv,1-EXP((T0-t)*PertePVj)+Pspv)</f>
        <v>1.874205967222542E-2</v>
      </c>
      <c r="M310" s="870"/>
      <c r="N310" s="870"/>
      <c r="O310" s="48">
        <f>IF(t&lt;Tnet,'2019'!Resal+('2019'!Salim-'2019'!Resal)*(1-EXP(('2019'!Tnet-t)/('2019'!Tau_j))),Resal+(Salim-Resal)*(1-EXP((Tnet-t)/(Tau_j))))*Salcycl</f>
        <v>0.12510906261102117</v>
      </c>
      <c r="P310" s="171">
        <f>(INDEX(Models!$BJ310:$BT310,,T310)*(1-R310)+INDEX(Models!$BJ310:$BT310,,T310+1)*R310-ERP_i)*Q310*Ramure*Pc/MaxiM</f>
        <v>1.3772566998981391E-2</v>
      </c>
      <c r="Q310" s="307">
        <f t="shared" si="101"/>
        <v>1</v>
      </c>
      <c r="R310" s="179">
        <f t="shared" si="102"/>
        <v>0.2972866957353133</v>
      </c>
      <c r="S310" s="837">
        <f t="shared" si="103"/>
        <v>-1</v>
      </c>
      <c r="T310" s="178">
        <f t="shared" si="104"/>
        <v>5</v>
      </c>
      <c r="U310" s="253">
        <f t="shared" si="105"/>
        <v>-0.7027133042646867</v>
      </c>
      <c r="V310" s="385">
        <f t="shared" si="106"/>
        <v>25.676407706476169</v>
      </c>
      <c r="W310" s="404"/>
      <c r="X310" s="157">
        <f t="shared" si="107"/>
        <v>44126</v>
      </c>
      <c r="Y310" s="387">
        <f t="shared" si="108"/>
        <v>5.234</v>
      </c>
      <c r="Z310" s="387">
        <f t="shared" si="109"/>
        <v>5.3339695760848169</v>
      </c>
      <c r="AA310" s="388">
        <f t="shared" si="110"/>
        <v>6.0967251438259211</v>
      </c>
      <c r="AB310" s="199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0.12510906261102117</v>
      </c>
      <c r="AD310" s="233">
        <f>(INDEX(Models!$BJ310:$BT310,,AH310)*(1-AF310)+INDEX(Models!$BJ310:$BT310,,AH310+1)*AF310-ERP_i)*AE310*Ramure*Pc/MaxiM</f>
        <v>1.3772566998981391E-2</v>
      </c>
      <c r="AE310" s="307">
        <f t="shared" si="112"/>
        <v>1</v>
      </c>
      <c r="AF310" s="179">
        <f t="shared" si="113"/>
        <v>0.2972866957353133</v>
      </c>
      <c r="AG310" s="837">
        <f t="shared" si="119"/>
        <v>-1</v>
      </c>
      <c r="AH310" s="178">
        <f t="shared" si="114"/>
        <v>5</v>
      </c>
      <c r="AI310" s="227">
        <f t="shared" si="115"/>
        <v>-0.7027133042646867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customHeight="1" x14ac:dyDescent="0.2">
      <c r="A311" s="56">
        <f t="shared" si="118"/>
        <v>44127</v>
      </c>
      <c r="B311" s="618">
        <v>8.8859999999999992</v>
      </c>
      <c r="C311" s="392"/>
      <c r="D311" s="395">
        <f t="shared" si="98"/>
        <v>9.0559336437529634</v>
      </c>
      <c r="E311" s="387">
        <f t="shared" si="120"/>
        <v>10.349764107122292</v>
      </c>
      <c r="F311" s="387">
        <f t="shared" si="99"/>
        <v>10.360738483952877</v>
      </c>
      <c r="G311" s="110">
        <f t="shared" si="121"/>
        <v>0.34573881949072593</v>
      </c>
      <c r="H311" s="414" t="b">
        <f>Wh_hp&gt;='2019'!Maxi_hp</f>
        <v>0</v>
      </c>
      <c r="I311" s="382">
        <f>IF(H311,Wh_hp,'2019'!Maxi_hp)</f>
        <v>29.170180874770704</v>
      </c>
      <c r="J311" s="85">
        <f>IF(H311,An,'2019'!An_max)</f>
        <v>2018</v>
      </c>
      <c r="K311" s="199">
        <f t="shared" si="100"/>
        <v>44127</v>
      </c>
      <c r="L311" s="147">
        <f>IF(t&lt;Tvie,1-EXP((T0-t)*PertePVj)+'2019'!Pspv,1-EXP((T0-t)*PertePVj)+Pspv)</f>
        <v>1.8764894978022473E-2</v>
      </c>
      <c r="M311" s="870"/>
      <c r="N311" s="870"/>
      <c r="O311" s="48">
        <f>IF(t&lt;Tnet,'2019'!Resal+('2019'!Salim-'2019'!Resal)*(1-EXP(('2019'!Tnet-t)/('2019'!Tau_j))),Resal+(Salim-Resal)*(1-EXP((Tnet-t)/(Tau_j))))*Salcycl</f>
        <v>0.12501062342850552</v>
      </c>
      <c r="P311" s="171">
        <f>(INDEX(Models!$BJ311:$BT311,,T311)*(1-R311)+INDEX(Models!$BJ311:$BT311,,T311+1)*R311-ERP_i)*Q311*Ramure*Pc/MaxiM</f>
        <v>1.467734048783258E-2</v>
      </c>
      <c r="Q311" s="307">
        <f t="shared" si="101"/>
        <v>1</v>
      </c>
      <c r="R311" s="179">
        <f t="shared" si="102"/>
        <v>0.29739583975266304</v>
      </c>
      <c r="S311" s="837">
        <f t="shared" si="103"/>
        <v>-1</v>
      </c>
      <c r="T311" s="178">
        <f t="shared" si="104"/>
        <v>5</v>
      </c>
      <c r="U311" s="253">
        <f t="shared" si="105"/>
        <v>-0.70260416024733696</v>
      </c>
      <c r="V311" s="385">
        <f t="shared" si="106"/>
        <v>25.35110504901369</v>
      </c>
      <c r="W311" s="404"/>
      <c r="X311" s="157">
        <f t="shared" si="107"/>
        <v>44127</v>
      </c>
      <c r="Y311" s="387">
        <f t="shared" si="108"/>
        <v>8.8859999999999992</v>
      </c>
      <c r="Z311" s="387">
        <f t="shared" si="109"/>
        <v>9.0559336437529634</v>
      </c>
      <c r="AA311" s="388">
        <f t="shared" si="110"/>
        <v>10.349764107122292</v>
      </c>
      <c r="AB311" s="199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0.12501062342850552</v>
      </c>
      <c r="AD311" s="233">
        <f>(INDEX(Models!$BJ311:$BT311,,AH311)*(1-AF311)+INDEX(Models!$BJ311:$BT311,,AH311+1)*AF311-ERP_i)*AE311*Ramure*Pc/MaxiM</f>
        <v>1.467734048783258E-2</v>
      </c>
      <c r="AE311" s="307">
        <f t="shared" si="112"/>
        <v>1</v>
      </c>
      <c r="AF311" s="179">
        <f t="shared" si="113"/>
        <v>0.29739583975266304</v>
      </c>
      <c r="AG311" s="837">
        <f t="shared" si="119"/>
        <v>-1</v>
      </c>
      <c r="AH311" s="178">
        <f t="shared" si="114"/>
        <v>5</v>
      </c>
      <c r="AI311" s="227">
        <f t="shared" si="115"/>
        <v>-0.70260416024733696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customHeight="1" x14ac:dyDescent="0.2">
      <c r="A312" s="56">
        <f t="shared" si="118"/>
        <v>44128</v>
      </c>
      <c r="B312" s="618">
        <v>22.596</v>
      </c>
      <c r="C312" s="392"/>
      <c r="D312" s="395">
        <f t="shared" si="98"/>
        <v>23.028656168657882</v>
      </c>
      <c r="E312" s="387">
        <f t="shared" si="120"/>
        <v>26.315755814369872</v>
      </c>
      <c r="F312" s="387">
        <f t="shared" si="99"/>
        <v>26.675019339336696</v>
      </c>
      <c r="G312" s="110">
        <f t="shared" si="121"/>
        <v>0.90082120637572338</v>
      </c>
      <c r="H312" s="414" t="b">
        <f>Wh_hp&gt;='2019'!Maxi_hp</f>
        <v>0</v>
      </c>
      <c r="I312" s="382">
        <f>IF(H312,Wh_hp,'2019'!Maxi_hp)</f>
        <v>28.500024439336709</v>
      </c>
      <c r="J312" s="85">
        <f>IF(H312,An,'2019'!An_max)</f>
        <v>2018</v>
      </c>
      <c r="K312" s="199">
        <f t="shared" si="100"/>
        <v>44128</v>
      </c>
      <c r="L312" s="147">
        <f>IF(t&lt;Tvie,1-EXP((T0-t)*PertePVj)+'2019'!Pspv,1-EXP((T0-t)*PertePVj)+Pspv)</f>
        <v>1.8787729752408611E-2</v>
      </c>
      <c r="M312" s="870"/>
      <c r="N312" s="870"/>
      <c r="O312" s="48">
        <f>IF(t&lt;Tnet,'2019'!Resal+('2019'!Salim-'2019'!Resal)*(1-EXP(('2019'!Tnet-t)/('2019'!Tau_j))),Resal+(Salim-Resal)*(1-EXP((Tnet-t)/(Tau_j))))*Salcycl</f>
        <v>0.12490994630361522</v>
      </c>
      <c r="P312" s="171">
        <f>(INDEX(Models!$BJ312:$BT312,,T312)*(1-R312)+INDEX(Models!$BJ312:$BT312,,T312+1)*R312-ERP_i)*Q312*Ramure*Pc/MaxiM</f>
        <v>1.5639653302407085E-2</v>
      </c>
      <c r="Q312" s="307">
        <f t="shared" si="101"/>
        <v>1</v>
      </c>
      <c r="R312" s="179">
        <f t="shared" si="102"/>
        <v>0.29750062139663458</v>
      </c>
      <c r="S312" s="837">
        <f t="shared" si="103"/>
        <v>-1</v>
      </c>
      <c r="T312" s="178">
        <f t="shared" si="104"/>
        <v>5</v>
      </c>
      <c r="U312" s="253">
        <f t="shared" si="105"/>
        <v>-0.70249937860336542</v>
      </c>
      <c r="V312" s="385">
        <f t="shared" si="106"/>
        <v>25.028566152244075</v>
      </c>
      <c r="W312" s="404"/>
      <c r="X312" s="157">
        <f t="shared" si="107"/>
        <v>44128</v>
      </c>
      <c r="Y312" s="387">
        <f t="shared" si="108"/>
        <v>22.596</v>
      </c>
      <c r="Z312" s="387">
        <f t="shared" si="109"/>
        <v>23.028656168657882</v>
      </c>
      <c r="AA312" s="388">
        <f t="shared" si="110"/>
        <v>26.315755814369872</v>
      </c>
      <c r="AB312" s="199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0.12490994630361522</v>
      </c>
      <c r="AD312" s="233">
        <f>(INDEX(Models!$BJ312:$BT312,,AH312)*(1-AF312)+INDEX(Models!$BJ312:$BT312,,AH312+1)*AF312-ERP_i)*AE312*Ramure*Pc/MaxiM</f>
        <v>1.5639653302407085E-2</v>
      </c>
      <c r="AE312" s="307">
        <f t="shared" si="112"/>
        <v>1</v>
      </c>
      <c r="AF312" s="179">
        <f t="shared" si="113"/>
        <v>0.29750062139663458</v>
      </c>
      <c r="AG312" s="837">
        <f t="shared" si="119"/>
        <v>-1</v>
      </c>
      <c r="AH312" s="178">
        <f t="shared" si="114"/>
        <v>5</v>
      </c>
      <c r="AI312" s="227">
        <f t="shared" si="115"/>
        <v>-0.70249937860336542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customHeight="1" x14ac:dyDescent="0.2">
      <c r="A313" s="56">
        <f t="shared" si="118"/>
        <v>44129</v>
      </c>
      <c r="B313" s="618">
        <v>17.803000000000001</v>
      </c>
      <c r="C313" s="392"/>
      <c r="D313" s="395">
        <f t="shared" si="98"/>
        <v>18.144304602884517</v>
      </c>
      <c r="E313" s="387">
        <f t="shared" si="120"/>
        <v>20.731780662071277</v>
      </c>
      <c r="F313" s="387">
        <f t="shared" si="99"/>
        <v>20.941388352129476</v>
      </c>
      <c r="G313" s="110">
        <f t="shared" si="121"/>
        <v>0.71568004794009732</v>
      </c>
      <c r="H313" s="414" t="b">
        <f>Wh_hp&gt;='2019'!Maxi_hp</f>
        <v>0</v>
      </c>
      <c r="I313" s="382">
        <f>IF(H313,Wh_hp,'2019'!Maxi_hp)</f>
        <v>29.263227957076836</v>
      </c>
      <c r="J313" s="85">
        <f>IF(H313,An,'2019'!An_max)</f>
        <v>2019</v>
      </c>
      <c r="K313" s="199">
        <f t="shared" si="100"/>
        <v>44129</v>
      </c>
      <c r="L313" s="147">
        <f>IF(t&lt;Tvie,1-EXP((T0-t)*PertePVj)+'2019'!Pspv,1-EXP((T0-t)*PertePVj)+Pspv)</f>
        <v>1.8810563995396046E-2</v>
      </c>
      <c r="M313" s="870"/>
      <c r="N313" s="870"/>
      <c r="O313" s="48">
        <f>IF(t&lt;Tnet,'2019'!Resal+('2019'!Salim-'2019'!Resal)*(1-EXP(('2019'!Tnet-t)/('2019'!Tau_j))),Resal+(Salim-Resal)*(1-EXP((Tnet-t)/(Tau_j))))*Salcycl</f>
        <v>0.12480722719204418</v>
      </c>
      <c r="P313" s="171">
        <f>(INDEX(Models!$BJ313:$BT313,,T313)*(1-R313)+INDEX(Models!$BJ313:$BT313,,T313+1)*R313-ERP_i)*Q313*Ramure*Pc/MaxiM</f>
        <v>1.6661402365594612E-2</v>
      </c>
      <c r="Q313" s="307">
        <f t="shared" si="101"/>
        <v>1</v>
      </c>
      <c r="R313" s="179">
        <f t="shared" si="102"/>
        <v>0.29760121379095594</v>
      </c>
      <c r="S313" s="837">
        <f t="shared" si="103"/>
        <v>-1</v>
      </c>
      <c r="T313" s="178">
        <f t="shared" si="104"/>
        <v>5</v>
      </c>
      <c r="U313" s="253">
        <f t="shared" si="105"/>
        <v>-0.70239878620904406</v>
      </c>
      <c r="V313" s="385">
        <f t="shared" si="106"/>
        <v>24.708491599931726</v>
      </c>
      <c r="W313" s="404"/>
      <c r="X313" s="157">
        <f t="shared" si="107"/>
        <v>44129</v>
      </c>
      <c r="Y313" s="387">
        <f t="shared" si="108"/>
        <v>17.803000000000001</v>
      </c>
      <c r="Z313" s="387">
        <f t="shared" si="109"/>
        <v>18.144304602884517</v>
      </c>
      <c r="AA313" s="388">
        <f t="shared" si="110"/>
        <v>20.731780662071277</v>
      </c>
      <c r="AB313" s="199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0.12480722719204418</v>
      </c>
      <c r="AD313" s="233">
        <f>(INDEX(Models!$BJ313:$BT313,,AH313)*(1-AF313)+INDEX(Models!$BJ313:$BT313,,AH313+1)*AF313-ERP_i)*AE313*Ramure*Pc/MaxiM</f>
        <v>1.6661402365594612E-2</v>
      </c>
      <c r="AE313" s="307">
        <f t="shared" si="112"/>
        <v>1</v>
      </c>
      <c r="AF313" s="179">
        <f t="shared" si="113"/>
        <v>0.29760121379095594</v>
      </c>
      <c r="AG313" s="837">
        <f t="shared" si="119"/>
        <v>-1</v>
      </c>
      <c r="AH313" s="178">
        <f t="shared" si="114"/>
        <v>5</v>
      </c>
      <c r="AI313" s="227">
        <f t="shared" si="115"/>
        <v>-0.70239878620904406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customHeight="1" x14ac:dyDescent="0.2">
      <c r="A314" s="56">
        <f t="shared" si="118"/>
        <v>44130</v>
      </c>
      <c r="B314" s="618">
        <v>20.922999999999998</v>
      </c>
      <c r="C314" s="392"/>
      <c r="D314" s="395">
        <f t="shared" si="98"/>
        <v>21.324614954384508</v>
      </c>
      <c r="E314" s="387">
        <f t="shared" si="120"/>
        <v>24.362709983809076</v>
      </c>
      <c r="F314" s="387">
        <f t="shared" si="99"/>
        <v>24.712156664507127</v>
      </c>
      <c r="G314" s="110">
        <f t="shared" si="121"/>
        <v>0.85469523482828935</v>
      </c>
      <c r="H314" s="414" t="b">
        <f>Wh_hp&gt;='2019'!Maxi_hp</f>
        <v>1</v>
      </c>
      <c r="I314" s="382">
        <f>IF(H314,Wh_hp,'2019'!Maxi_hp)</f>
        <v>24.712156664507127</v>
      </c>
      <c r="J314" s="85">
        <f>IF(H314,An,'2019'!An_max)</f>
        <v>2020</v>
      </c>
      <c r="K314" s="199">
        <f t="shared" si="100"/>
        <v>44130</v>
      </c>
      <c r="L314" s="147">
        <f>IF(t&lt;Tvie,1-EXP((T0-t)*PertePVj)+'2019'!Pspv,1-EXP((T0-t)*PertePVj)+Pspv)</f>
        <v>1.8833397706997435E-2</v>
      </c>
      <c r="M314" s="870"/>
      <c r="N314" s="870"/>
      <c r="O314" s="48">
        <f>IF(t&lt;Tnet,'2019'!Resal+('2019'!Salim-'2019'!Resal)*(1-EXP(('2019'!Tnet-t)/('2019'!Tau_j))),Resal+(Salim-Resal)*(1-EXP((Tnet-t)/(Tau_j))))*Salcycl</f>
        <v>0.12470267188845646</v>
      </c>
      <c r="P314" s="171">
        <f>(INDEX(Models!$BJ314:$BT314,,T314)*(1-R314)+INDEX(Models!$BJ314:$BT314,,T314+1)*R314-ERP_i)*Q314*Ramure*Pc/MaxiM</f>
        <v>1.7744574058227956E-2</v>
      </c>
      <c r="Q314" s="307">
        <f t="shared" si="101"/>
        <v>1</v>
      </c>
      <c r="R314" s="179">
        <f t="shared" si="102"/>
        <v>0.29769778328604413</v>
      </c>
      <c r="S314" s="837">
        <f t="shared" si="103"/>
        <v>-1</v>
      </c>
      <c r="T314" s="178">
        <f t="shared" si="104"/>
        <v>5</v>
      </c>
      <c r="U314" s="253">
        <f t="shared" si="105"/>
        <v>-0.70230221671395587</v>
      </c>
      <c r="V314" s="385">
        <f t="shared" si="106"/>
        <v>24.390581925930437</v>
      </c>
      <c r="W314" s="404"/>
      <c r="X314" s="157">
        <f t="shared" si="107"/>
        <v>44130</v>
      </c>
      <c r="Y314" s="387">
        <f t="shared" si="108"/>
        <v>20.922999999999998</v>
      </c>
      <c r="Z314" s="387">
        <f t="shared" si="109"/>
        <v>21.324614954384508</v>
      </c>
      <c r="AA314" s="388">
        <f t="shared" si="110"/>
        <v>24.362709983809076</v>
      </c>
      <c r="AB314" s="199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0.12470267188845646</v>
      </c>
      <c r="AD314" s="233">
        <f>(INDEX(Models!$BJ314:$BT314,,AH314)*(1-AF314)+INDEX(Models!$BJ314:$BT314,,AH314+1)*AF314-ERP_i)*AE314*Ramure*Pc/MaxiM</f>
        <v>1.7744574058227956E-2</v>
      </c>
      <c r="AE314" s="307">
        <f t="shared" si="112"/>
        <v>1</v>
      </c>
      <c r="AF314" s="179">
        <f t="shared" si="113"/>
        <v>0.29769778328604413</v>
      </c>
      <c r="AG314" s="837">
        <f t="shared" si="119"/>
        <v>-1</v>
      </c>
      <c r="AH314" s="178">
        <f t="shared" si="114"/>
        <v>5</v>
      </c>
      <c r="AI314" s="227">
        <f t="shared" si="115"/>
        <v>-0.70230221671395587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customHeight="1" x14ac:dyDescent="0.2">
      <c r="A315" s="56">
        <f t="shared" si="118"/>
        <v>44131</v>
      </c>
      <c r="B315" s="618">
        <v>19.765999999999998</v>
      </c>
      <c r="C315" s="392"/>
      <c r="D315" s="395">
        <f t="shared" si="98"/>
        <v>20.14587527562237</v>
      </c>
      <c r="E315" s="387">
        <f t="shared" si="120"/>
        <v>23.013244940791505</v>
      </c>
      <c r="F315" s="387">
        <f t="shared" si="99"/>
        <v>23.341458342408572</v>
      </c>
      <c r="G315" s="110">
        <f t="shared" si="121"/>
        <v>0.81701138721758271</v>
      </c>
      <c r="H315" s="414" t="b">
        <f>Wh_hp&gt;='2019'!Maxi_hp</f>
        <v>1</v>
      </c>
      <c r="I315" s="382">
        <f>IF(H315,Wh_hp,'2019'!Maxi_hp)</f>
        <v>23.341458342408572</v>
      </c>
      <c r="J315" s="85">
        <f>IF(H315,An,'2019'!An_max)</f>
        <v>2020</v>
      </c>
      <c r="K315" s="199">
        <f t="shared" si="100"/>
        <v>44131</v>
      </c>
      <c r="L315" s="147">
        <f>IF(t&lt;Tvie,1-EXP((T0-t)*PertePVj)+'2019'!Pspv,1-EXP((T0-t)*PertePVj)+Pspv)</f>
        <v>1.885623088722499E-2</v>
      </c>
      <c r="M315" s="870"/>
      <c r="N315" s="870"/>
      <c r="O315" s="48">
        <f>IF(t&lt;Tnet,'2019'!Resal+('2019'!Salim-'2019'!Resal)*(1-EXP(('2019'!Tnet-t)/('2019'!Tau_j))),Resal+(Salim-Resal)*(1-EXP((Tnet-t)/(Tau_j))))*Salcycl</f>
        <v>0.12459649530287047</v>
      </c>
      <c r="P315" s="171">
        <f>(INDEX(Models!$BJ315:$BT315,,T315)*(1-R315)+INDEX(Models!$BJ315:$BT315,,T315+1)*R315-ERP_i)*Q315*Ramure*Pc/MaxiM</f>
        <v>1.8891253796835691E-2</v>
      </c>
      <c r="Q315" s="307">
        <f t="shared" si="101"/>
        <v>1</v>
      </c>
      <c r="R315" s="179">
        <f t="shared" si="102"/>
        <v>0.29779048971633904</v>
      </c>
      <c r="S315" s="837">
        <f t="shared" si="103"/>
        <v>-1</v>
      </c>
      <c r="T315" s="178">
        <f t="shared" si="104"/>
        <v>5</v>
      </c>
      <c r="U315" s="253">
        <f t="shared" si="105"/>
        <v>-0.70220951028366096</v>
      </c>
      <c r="V315" s="385">
        <f t="shared" si="106"/>
        <v>24.074537662252304</v>
      </c>
      <c r="W315" s="404"/>
      <c r="X315" s="157">
        <f t="shared" si="107"/>
        <v>44131</v>
      </c>
      <c r="Y315" s="387">
        <f t="shared" si="108"/>
        <v>19.765999999999998</v>
      </c>
      <c r="Z315" s="387">
        <f t="shared" si="109"/>
        <v>20.14587527562237</v>
      </c>
      <c r="AA315" s="388">
        <f t="shared" si="110"/>
        <v>23.013244940791505</v>
      </c>
      <c r="AB315" s="199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0.12459649530287047</v>
      </c>
      <c r="AD315" s="233">
        <f>(INDEX(Models!$BJ315:$BT315,,AH315)*(1-AF315)+INDEX(Models!$BJ315:$BT315,,AH315+1)*AF315-ERP_i)*AE315*Ramure*Pc/MaxiM</f>
        <v>1.8891253796835691E-2</v>
      </c>
      <c r="AE315" s="307">
        <f t="shared" si="112"/>
        <v>1</v>
      </c>
      <c r="AF315" s="179">
        <f t="shared" si="113"/>
        <v>0.29779048971633904</v>
      </c>
      <c r="AG315" s="837">
        <f t="shared" si="119"/>
        <v>-1</v>
      </c>
      <c r="AH315" s="178">
        <f t="shared" si="114"/>
        <v>5</v>
      </c>
      <c r="AI315" s="227">
        <f t="shared" si="115"/>
        <v>-0.70220951028366096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customHeight="1" x14ac:dyDescent="0.2">
      <c r="A316" s="56">
        <f t="shared" si="118"/>
        <v>44132</v>
      </c>
      <c r="B316" s="618">
        <v>10.077</v>
      </c>
      <c r="C316" s="392"/>
      <c r="D316" s="395">
        <f t="shared" si="98"/>
        <v>10.270905069377946</v>
      </c>
      <c r="E316" s="387">
        <f t="shared" si="120"/>
        <v>11.731325064675072</v>
      </c>
      <c r="F316" s="387">
        <f t="shared" si="99"/>
        <v>11.773291212004949</v>
      </c>
      <c r="G316" s="110">
        <f t="shared" si="121"/>
        <v>0.41707552065299697</v>
      </c>
      <c r="H316" s="414" t="b">
        <f>Wh_hp&gt;='2019'!Maxi_hp</f>
        <v>0</v>
      </c>
      <c r="I316" s="382">
        <f>IF(H316,Wh_hp,'2019'!Maxi_hp)</f>
        <v>25.210255189313802</v>
      </c>
      <c r="J316" s="85">
        <f>IF(H316,An,'2019'!An_max)</f>
        <v>2019</v>
      </c>
      <c r="K316" s="199">
        <f t="shared" si="100"/>
        <v>44132</v>
      </c>
      <c r="L316" s="147">
        <f>IF(t&lt;Tvie,1-EXP((T0-t)*PertePVj)+'2019'!Pspv,1-EXP((T0-t)*PertePVj)+Pspv)</f>
        <v>1.8879063536091034E-2</v>
      </c>
      <c r="M316" s="870"/>
      <c r="N316" s="870"/>
      <c r="O316" s="48">
        <f>IF(t&lt;Tnet,'2019'!Resal+('2019'!Salim-'2019'!Resal)*(1-EXP(('2019'!Tnet-t)/('2019'!Tau_j))),Resal+(Salim-Resal)*(1-EXP((Tnet-t)/(Tau_j))))*Salcycl</f>
        <v>0.12448892066717081</v>
      </c>
      <c r="P316" s="171">
        <f>(INDEX(Models!$BJ316:$BT316,,T316)*(1-R316)+INDEX(Models!$BJ316:$BT316,,T316+1)*R316-ERP_i)*Q316*Ramure*Pc/MaxiM</f>
        <v>2.0103636642149796E-2</v>
      </c>
      <c r="Q316" s="307">
        <f t="shared" si="101"/>
        <v>1</v>
      </c>
      <c r="R316" s="179">
        <f t="shared" si="102"/>
        <v>0.29787948664846964</v>
      </c>
      <c r="S316" s="837">
        <f t="shared" si="103"/>
        <v>-1</v>
      </c>
      <c r="T316" s="178">
        <f t="shared" si="104"/>
        <v>5</v>
      </c>
      <c r="U316" s="253">
        <f t="shared" si="105"/>
        <v>-0.70212051335153036</v>
      </c>
      <c r="V316" s="385">
        <f t="shared" si="106"/>
        <v>23.760059363531237</v>
      </c>
      <c r="W316" s="404"/>
      <c r="X316" s="157">
        <f t="shared" si="107"/>
        <v>44132</v>
      </c>
      <c r="Y316" s="387">
        <f t="shared" si="108"/>
        <v>10.077</v>
      </c>
      <c r="Z316" s="387">
        <f t="shared" si="109"/>
        <v>10.270905069377946</v>
      </c>
      <c r="AA316" s="388">
        <f t="shared" si="110"/>
        <v>11.731325064675072</v>
      </c>
      <c r="AB316" s="199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0.12448892066717081</v>
      </c>
      <c r="AD316" s="233">
        <f>(INDEX(Models!$BJ316:$BT316,,AH316)*(1-AF316)+INDEX(Models!$BJ316:$BT316,,AH316+1)*AF316-ERP_i)*AE316*Ramure*Pc/MaxiM</f>
        <v>2.0103636642149796E-2</v>
      </c>
      <c r="AE316" s="307">
        <f t="shared" si="112"/>
        <v>1</v>
      </c>
      <c r="AF316" s="179">
        <f t="shared" si="113"/>
        <v>0.29787948664846964</v>
      </c>
      <c r="AG316" s="837">
        <f t="shared" si="119"/>
        <v>-1</v>
      </c>
      <c r="AH316" s="178">
        <f t="shared" si="114"/>
        <v>5</v>
      </c>
      <c r="AI316" s="227">
        <f t="shared" si="115"/>
        <v>-0.70212051335153036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customHeight="1" x14ac:dyDescent="0.2">
      <c r="A317" s="56">
        <f t="shared" si="118"/>
        <v>44133</v>
      </c>
      <c r="B317" s="618">
        <v>21.539000000000001</v>
      </c>
      <c r="C317" s="392"/>
      <c r="D317" s="395">
        <f t="shared" si="98"/>
        <v>21.953971681913803</v>
      </c>
      <c r="E317" s="387">
        <f t="shared" si="120"/>
        <v>25.072492818541846</v>
      </c>
      <c r="F317" s="387">
        <f t="shared" si="99"/>
        <v>25.555453874343382</v>
      </c>
      <c r="G317" s="110">
        <f t="shared" si="121"/>
        <v>0.91630805849939923</v>
      </c>
      <c r="H317" s="414" t="b">
        <f>Wh_hp&gt;='2019'!Maxi_hp</f>
        <v>1</v>
      </c>
      <c r="I317" s="382">
        <f>IF(H317,Wh_hp,'2019'!Maxi_hp)</f>
        <v>25.555453874343382</v>
      </c>
      <c r="J317" s="85">
        <f>IF(H317,An,'2019'!An_max)</f>
        <v>2020</v>
      </c>
      <c r="K317" s="199">
        <f t="shared" si="100"/>
        <v>44133</v>
      </c>
      <c r="L317" s="147">
        <f>IF(t&lt;Tvie,1-EXP((T0-t)*PertePVj)+'2019'!Pspv,1-EXP((T0-t)*PertePVj)+Pspv)</f>
        <v>1.8901895653608003E-2</v>
      </c>
      <c r="M317" s="870"/>
      <c r="N317" s="870"/>
      <c r="O317" s="48">
        <f>IF(t&lt;Tnet,'2019'!Resal+('2019'!Salim-'2019'!Resal)*(1-EXP(('2019'!Tnet-t)/('2019'!Tau_j))),Resal+(Salim-Resal)*(1-EXP((Tnet-t)/(Tau_j))))*Salcycl</f>
        <v>0.12438017867620264</v>
      </c>
      <c r="P317" s="171">
        <f>(INDEX(Models!$BJ317:$BT317,,T317)*(1-R317)+INDEX(Models!$BJ317:$BT317,,T317+1)*R317-ERP_i)*Q317*Ramure*Pc/MaxiM</f>
        <v>2.1384140130218516E-2</v>
      </c>
      <c r="Q317" s="307">
        <f t="shared" si="101"/>
        <v>1</v>
      </c>
      <c r="R317" s="179">
        <f t="shared" si="102"/>
        <v>0.29796492162052945</v>
      </c>
      <c r="S317" s="837">
        <f t="shared" si="103"/>
        <v>-1</v>
      </c>
      <c r="T317" s="178">
        <f t="shared" si="104"/>
        <v>5</v>
      </c>
      <c r="U317" s="253">
        <f t="shared" si="105"/>
        <v>-0.70203507837947055</v>
      </c>
      <c r="V317" s="385">
        <f t="shared" si="106"/>
        <v>23.446734359404225</v>
      </c>
      <c r="W317" s="404"/>
      <c r="X317" s="157">
        <f t="shared" si="107"/>
        <v>44133</v>
      </c>
      <c r="Y317" s="387">
        <f t="shared" si="108"/>
        <v>21.539000000000001</v>
      </c>
      <c r="Z317" s="387">
        <f t="shared" si="109"/>
        <v>21.953971681913803</v>
      </c>
      <c r="AA317" s="388">
        <f t="shared" si="110"/>
        <v>25.072492818541846</v>
      </c>
      <c r="AB317" s="199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0.12438017867620264</v>
      </c>
      <c r="AD317" s="233">
        <f>(INDEX(Models!$BJ317:$BT317,,AH317)*(1-AF317)+INDEX(Models!$BJ317:$BT317,,AH317+1)*AF317-ERP_i)*AE317*Ramure*Pc/MaxiM</f>
        <v>2.1384140130218516E-2</v>
      </c>
      <c r="AE317" s="307">
        <f t="shared" si="112"/>
        <v>1</v>
      </c>
      <c r="AF317" s="179">
        <f t="shared" si="113"/>
        <v>0.29796492162052945</v>
      </c>
      <c r="AG317" s="837">
        <f t="shared" si="119"/>
        <v>-1</v>
      </c>
      <c r="AH317" s="178">
        <f t="shared" si="114"/>
        <v>5</v>
      </c>
      <c r="AI317" s="227">
        <f t="shared" si="115"/>
        <v>-0.70203507837947055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customHeight="1" x14ac:dyDescent="0.2">
      <c r="A318" s="56">
        <f t="shared" si="118"/>
        <v>44134</v>
      </c>
      <c r="B318" s="618">
        <v>23.402000000000001</v>
      </c>
      <c r="C318" s="392"/>
      <c r="D318" s="395">
        <f t="shared" si="98"/>
        <v>23.853419456959212</v>
      </c>
      <c r="E318" s="387">
        <f t="shared" si="120"/>
        <v>27.238342017568403</v>
      </c>
      <c r="F318" s="387">
        <f t="shared" si="99"/>
        <v>27.871025086088434</v>
      </c>
      <c r="G318" s="110">
        <f t="shared" si="121"/>
        <v>1.0115225667785861</v>
      </c>
      <c r="H318" s="414" t="b">
        <f>Wh_hp&gt;='2019'!Maxi_hp</f>
        <v>1</v>
      </c>
      <c r="I318" s="382">
        <f>IF(H318,Wh_hp,'2019'!Maxi_hp)</f>
        <v>27.871025086088434</v>
      </c>
      <c r="J318" s="85">
        <f>IF(H318,An,'2019'!An_max)</f>
        <v>2020</v>
      </c>
      <c r="K318" s="199">
        <f t="shared" si="100"/>
        <v>44134</v>
      </c>
      <c r="L318" s="147">
        <f>IF(t&lt;Tvie,1-EXP((T0-t)*PertePVj)+'2019'!Pspv,1-EXP((T0-t)*PertePVj)+Pspv)</f>
        <v>1.8924727239788219E-2</v>
      </c>
      <c r="M318" s="870"/>
      <c r="N318" s="870"/>
      <c r="O318" s="48">
        <f>IF(t&lt;Tnet,'2019'!Resal+('2019'!Salim-'2019'!Resal)*(1-EXP(('2019'!Tnet-t)/('2019'!Tau_j))),Resal+(Salim-Resal)*(1-EXP((Tnet-t)/(Tau_j))))*Salcycl</f>
        <v>0.12427050656849659</v>
      </c>
      <c r="P318" s="171">
        <f>(INDEX(Models!$BJ318:$BT318,,T318)*(1-R318)+INDEX(Models!$BJ318:$BT318,,T318+1)*R318-ERP_i)*Q318*Ramure*Pc/MaxiM</f>
        <v>2.2700387465684875E-2</v>
      </c>
      <c r="Q318" s="307">
        <f t="shared" si="101"/>
        <v>1</v>
      </c>
      <c r="R318" s="179">
        <f t="shared" si="102"/>
        <v>0.29804693637273472</v>
      </c>
      <c r="S318" s="837">
        <f t="shared" si="103"/>
        <v>-1</v>
      </c>
      <c r="T318" s="178">
        <f t="shared" si="104"/>
        <v>5</v>
      </c>
      <c r="U318" s="253">
        <f t="shared" si="105"/>
        <v>-0.70195306362726528</v>
      </c>
      <c r="V318" s="385">
        <f t="shared" si="106"/>
        <v>23.135420571514057</v>
      </c>
      <c r="W318" s="404"/>
      <c r="X318" s="157">
        <f t="shared" si="107"/>
        <v>44134</v>
      </c>
      <c r="Y318" s="387">
        <f t="shared" si="108"/>
        <v>23.402000000000001</v>
      </c>
      <c r="Z318" s="387">
        <f t="shared" si="109"/>
        <v>23.853419456959212</v>
      </c>
      <c r="AA318" s="388">
        <f t="shared" si="110"/>
        <v>27.238342017568403</v>
      </c>
      <c r="AB318" s="199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0.12427050656849659</v>
      </c>
      <c r="AD318" s="233">
        <f>(INDEX(Models!$BJ318:$BT318,,AH318)*(1-AF318)+INDEX(Models!$BJ318:$BT318,,AH318+1)*AF318-ERP_i)*AE318*Ramure*Pc/MaxiM</f>
        <v>2.2700387465684875E-2</v>
      </c>
      <c r="AE318" s="307">
        <f t="shared" si="112"/>
        <v>1</v>
      </c>
      <c r="AF318" s="179">
        <f t="shared" si="113"/>
        <v>0.29804693637273472</v>
      </c>
      <c r="AG318" s="837">
        <f t="shared" si="119"/>
        <v>-1</v>
      </c>
      <c r="AH318" s="178">
        <f t="shared" si="114"/>
        <v>5</v>
      </c>
      <c r="AI318" s="227">
        <f t="shared" si="115"/>
        <v>-0.70195306362726528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customHeight="1" x14ac:dyDescent="0.2">
      <c r="A319" s="56">
        <f t="shared" si="118"/>
        <v>44135</v>
      </c>
      <c r="B319" s="618">
        <v>22.524999999999999</v>
      </c>
      <c r="C319" s="392"/>
      <c r="D319" s="395">
        <f t="shared" si="98"/>
        <v>22.960036632542256</v>
      </c>
      <c r="E319" s="387">
        <f t="shared" si="120"/>
        <v>26.214879989633118</v>
      </c>
      <c r="F319" s="387">
        <f t="shared" si="99"/>
        <v>26.847448093899022</v>
      </c>
      <c r="G319" s="110">
        <f t="shared" si="121"/>
        <v>0.98629510614717519</v>
      </c>
      <c r="H319" s="414" t="b">
        <f>Wh_hp&gt;='2019'!Maxi_hp</f>
        <v>1</v>
      </c>
      <c r="I319" s="382">
        <f>IF(H319,Wh_hp,'2019'!Maxi_hp)</f>
        <v>26.847448093899022</v>
      </c>
      <c r="J319" s="85">
        <f>IF(H319,An,'2019'!An_max)</f>
        <v>2020</v>
      </c>
      <c r="K319" s="199">
        <f t="shared" si="100"/>
        <v>44135</v>
      </c>
      <c r="L319" s="147">
        <f>IF(t&lt;Tvie,1-EXP((T0-t)*PertePVj)+'2019'!Pspv,1-EXP((T0-t)*PertePVj)+Pspv)</f>
        <v>1.8947558294644007E-2</v>
      </c>
      <c r="M319" s="870"/>
      <c r="N319" s="870"/>
      <c r="O319" s="48">
        <f>IF(t&lt;Tnet,'2019'!Resal+('2019'!Salim-'2019'!Resal)*(1-EXP(('2019'!Tnet-t)/('2019'!Tau_j))),Resal+(Salim-Resal)*(1-EXP((Tnet-t)/(Tau_j))))*Salcycl</f>
        <v>0.1241601471522287</v>
      </c>
      <c r="P319" s="171">
        <f>(INDEX(Models!$BJ319:$BT319,,T319)*(1-R319)+INDEX(Models!$BJ319:$BT319,,T319+1)*R319-ERP_i)*Q319*Ramure*Pc/MaxiM</f>
        <v>2.4016012528578139E-2</v>
      </c>
      <c r="Q319" s="307">
        <f t="shared" si="101"/>
        <v>1</v>
      </c>
      <c r="R319" s="179">
        <f t="shared" si="102"/>
        <v>0.29812566706973298</v>
      </c>
      <c r="S319" s="837">
        <f t="shared" si="103"/>
        <v>-1</v>
      </c>
      <c r="T319" s="178">
        <f t="shared" si="104"/>
        <v>5</v>
      </c>
      <c r="U319" s="253">
        <f t="shared" si="105"/>
        <v>-0.70187433293026702</v>
      </c>
      <c r="V319" s="385">
        <f t="shared" si="106"/>
        <v>22.827363335845121</v>
      </c>
      <c r="W319" s="404"/>
      <c r="X319" s="157">
        <f t="shared" si="107"/>
        <v>44135</v>
      </c>
      <c r="Y319" s="387">
        <f t="shared" si="108"/>
        <v>22.524999999999999</v>
      </c>
      <c r="Z319" s="387">
        <f t="shared" si="109"/>
        <v>22.960036632542256</v>
      </c>
      <c r="AA319" s="388">
        <f t="shared" si="110"/>
        <v>26.214879989633118</v>
      </c>
      <c r="AB319" s="199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0.1241601471522287</v>
      </c>
      <c r="AD319" s="233">
        <f>(INDEX(Models!$BJ319:$BT319,,AH319)*(1-AF319)+INDEX(Models!$BJ319:$BT319,,AH319+1)*AF319-ERP_i)*AE319*Ramure*Pc/MaxiM</f>
        <v>2.4016012528578139E-2</v>
      </c>
      <c r="AE319" s="307">
        <f t="shared" si="112"/>
        <v>1</v>
      </c>
      <c r="AF319" s="179">
        <f t="shared" si="113"/>
        <v>0.29812566706973298</v>
      </c>
      <c r="AG319" s="837">
        <f t="shared" si="119"/>
        <v>-1</v>
      </c>
      <c r="AH319" s="178">
        <f t="shared" si="114"/>
        <v>5</v>
      </c>
      <c r="AI319" s="227">
        <f t="shared" si="115"/>
        <v>-0.70187433293026702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customHeight="1" x14ac:dyDescent="0.2">
      <c r="A320" s="56">
        <f t="shared" si="118"/>
        <v>44136</v>
      </c>
      <c r="B320" s="618">
        <v>20.57</v>
      </c>
      <c r="C320" s="392"/>
      <c r="D320" s="395">
        <f t="shared" si="98"/>
        <v>20.967766686695665</v>
      </c>
      <c r="E320" s="387">
        <f t="shared" si="120"/>
        <v>23.937155173771249</v>
      </c>
      <c r="F320" s="387">
        <f t="shared" si="99"/>
        <v>24.480435207059447</v>
      </c>
      <c r="G320" s="110">
        <f t="shared" si="121"/>
        <v>0.91036018448178968</v>
      </c>
      <c r="H320" s="414" t="b">
        <f>Wh_hp&gt;='2019'!Maxi_hp</f>
        <v>1</v>
      </c>
      <c r="I320" s="382">
        <f>IF(H320,Wh_hp,'2019'!Maxi_hp)</f>
        <v>24.480435207059447</v>
      </c>
      <c r="J320" s="85">
        <f>IF(H320,An,'2019'!An_max)</f>
        <v>2020</v>
      </c>
      <c r="K320" s="199">
        <f t="shared" si="100"/>
        <v>44136</v>
      </c>
      <c r="L320" s="147">
        <f>IF(t&lt;Tvie,1-EXP((T0-t)*PertePVj)+'2019'!Pspv,1-EXP((T0-t)*PertePVj)+Pspv)</f>
        <v>1.8970388818187911E-2</v>
      </c>
      <c r="M320" s="870"/>
      <c r="N320" s="870"/>
      <c r="O320" s="48">
        <f>IF(t&lt;Tnet,'2019'!Resal+('2019'!Salim-'2019'!Resal)*(1-EXP(('2019'!Tnet-t)/('2019'!Tau_j))),Resal+(Salim-Resal)*(1-EXP((Tnet-t)/(Tau_j))))*Salcycl</f>
        <v>0.12404934778253192</v>
      </c>
      <c r="P320" s="171">
        <f>(INDEX(Models!$BJ320:$BT320,,T320)*(1-R320)+INDEX(Models!$BJ320:$BT320,,T320+1)*R320-ERP_i)*Q320*Ramure*Pc/MaxiM</f>
        <v>2.5330058866441286E-2</v>
      </c>
      <c r="Q320" s="307">
        <f t="shared" si="101"/>
        <v>1</v>
      </c>
      <c r="R320" s="179">
        <f t="shared" si="102"/>
        <v>0.29820124451482877</v>
      </c>
      <c r="S320" s="837">
        <f t="shared" si="103"/>
        <v>-1</v>
      </c>
      <c r="T320" s="178">
        <f t="shared" si="104"/>
        <v>5</v>
      </c>
      <c r="U320" s="253">
        <f t="shared" si="105"/>
        <v>-0.70179875548517123</v>
      </c>
      <c r="V320" s="385">
        <f t="shared" si="106"/>
        <v>22.52294666071926</v>
      </c>
      <c r="W320" s="404"/>
      <c r="X320" s="157">
        <f t="shared" si="107"/>
        <v>44136</v>
      </c>
      <c r="Y320" s="387">
        <f t="shared" si="108"/>
        <v>20.57</v>
      </c>
      <c r="Z320" s="387">
        <f t="shared" si="109"/>
        <v>20.967766686695665</v>
      </c>
      <c r="AA320" s="388">
        <f t="shared" si="110"/>
        <v>23.937155173771249</v>
      </c>
      <c r="AB320" s="199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0.12404934778253192</v>
      </c>
      <c r="AD320" s="233">
        <f>(INDEX(Models!$BJ320:$BT320,,AH320)*(1-AF320)+INDEX(Models!$BJ320:$BT320,,AH320+1)*AF320-ERP_i)*AE320*Ramure*Pc/MaxiM</f>
        <v>2.5330058866441286E-2</v>
      </c>
      <c r="AE320" s="307">
        <f t="shared" si="112"/>
        <v>1</v>
      </c>
      <c r="AF320" s="179">
        <f t="shared" si="113"/>
        <v>0.29820124451482877</v>
      </c>
      <c r="AG320" s="837">
        <f t="shared" si="119"/>
        <v>-1</v>
      </c>
      <c r="AH320" s="178">
        <f t="shared" si="114"/>
        <v>5</v>
      </c>
      <c r="AI320" s="227">
        <f t="shared" si="115"/>
        <v>-0.70179875548517123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customHeight="1" x14ac:dyDescent="0.2">
      <c r="A321" s="56">
        <f t="shared" si="118"/>
        <v>44137</v>
      </c>
      <c r="B321" s="618">
        <v>21.297000000000001</v>
      </c>
      <c r="C321" s="392"/>
      <c r="D321" s="395">
        <f t="shared" si="98"/>
        <v>21.709330055981141</v>
      </c>
      <c r="E321" s="387">
        <f t="shared" si="120"/>
        <v>24.780596532629808</v>
      </c>
      <c r="F321" s="387">
        <f t="shared" si="99"/>
        <v>25.417463869453393</v>
      </c>
      <c r="G321" s="110">
        <f t="shared" si="121"/>
        <v>0.95679248308448361</v>
      </c>
      <c r="H321" s="414" t="b">
        <f>Wh_hp&gt;='2019'!Maxi_hp</f>
        <v>1</v>
      </c>
      <c r="I321" s="382">
        <f>IF(H321,Wh_hp,'2019'!Maxi_hp)</f>
        <v>25.417463869453393</v>
      </c>
      <c r="J321" s="85">
        <f>IF(H321,An,'2019'!An_max)</f>
        <v>2020</v>
      </c>
      <c r="K321" s="199">
        <f t="shared" si="100"/>
        <v>44137</v>
      </c>
      <c r="L321" s="147">
        <f>IF(t&lt;Tvie,1-EXP((T0-t)*PertePVj)+'2019'!Pspv,1-EXP((T0-t)*PertePVj)+Pspv)</f>
        <v>1.8993218810432144E-2</v>
      </c>
      <c r="M321" s="870"/>
      <c r="N321" s="870"/>
      <c r="O321" s="48">
        <f>IF(t&lt;Tnet,'2019'!Resal+('2019'!Salim-'2019'!Resal)*(1-EXP(('2019'!Tnet-t)/('2019'!Tau_j))),Resal+(Salim-Resal)*(1-EXP((Tnet-t)/(Tau_j))))*Salcycl</f>
        <v>0.12393835929674182</v>
      </c>
      <c r="P321" s="171">
        <f>(INDEX(Models!$BJ321:$BT321,,T321)*(1-R321)+INDEX(Models!$BJ321:$BT321,,T321+1)*R321-ERP_i)*Q321*Ramure*Pc/MaxiM</f>
        <v>2.6641430183916921E-2</v>
      </c>
      <c r="Q321" s="307">
        <f t="shared" si="101"/>
        <v>1</v>
      </c>
      <c r="R321" s="179">
        <f t="shared" si="102"/>
        <v>0.29827379435637935</v>
      </c>
      <c r="S321" s="837">
        <f t="shared" si="103"/>
        <v>-1</v>
      </c>
      <c r="T321" s="178">
        <f t="shared" si="104"/>
        <v>5</v>
      </c>
      <c r="U321" s="253">
        <f t="shared" si="105"/>
        <v>-0.70172620564362065</v>
      </c>
      <c r="V321" s="385">
        <f t="shared" si="106"/>
        <v>22.222555078722078</v>
      </c>
      <c r="W321" s="404"/>
      <c r="X321" s="157">
        <f t="shared" si="107"/>
        <v>44137</v>
      </c>
      <c r="Y321" s="387">
        <f t="shared" si="108"/>
        <v>21.297000000000001</v>
      </c>
      <c r="Z321" s="387">
        <f t="shared" si="109"/>
        <v>21.709330055981141</v>
      </c>
      <c r="AA321" s="388">
        <f t="shared" si="110"/>
        <v>24.780596532629808</v>
      </c>
      <c r="AB321" s="199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0.12393835929674182</v>
      </c>
      <c r="AD321" s="233">
        <f>(INDEX(Models!$BJ321:$BT321,,AH321)*(1-AF321)+INDEX(Models!$BJ321:$BT321,,AH321+1)*AF321-ERP_i)*AE321*Ramure*Pc/MaxiM</f>
        <v>2.6641430183916921E-2</v>
      </c>
      <c r="AE321" s="307">
        <f t="shared" si="112"/>
        <v>1</v>
      </c>
      <c r="AF321" s="179">
        <f t="shared" si="113"/>
        <v>0.29827379435637935</v>
      </c>
      <c r="AG321" s="837">
        <f t="shared" si="119"/>
        <v>-1</v>
      </c>
      <c r="AH321" s="178">
        <f t="shared" si="114"/>
        <v>5</v>
      </c>
      <c r="AI321" s="227">
        <f t="shared" si="115"/>
        <v>-0.70172620564362065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customHeight="1" x14ac:dyDescent="0.2">
      <c r="A322" s="56">
        <f t="shared" si="118"/>
        <v>44138</v>
      </c>
      <c r="B322" s="618">
        <v>5.5490000000000004</v>
      </c>
      <c r="C322" s="392"/>
      <c r="D322" s="395">
        <f t="shared" si="98"/>
        <v>5.6565655230363339</v>
      </c>
      <c r="E322" s="387">
        <f t="shared" si="120"/>
        <v>6.455994798792636</v>
      </c>
      <c r="F322" s="387">
        <f t="shared" si="99"/>
        <v>6.455994798792636</v>
      </c>
      <c r="G322" s="110">
        <f t="shared" si="121"/>
        <v>0.24599883813689724</v>
      </c>
      <c r="H322" s="414" t="b">
        <f>Wh_hp&gt;='2019'!Maxi_hp</f>
        <v>0</v>
      </c>
      <c r="I322" s="382">
        <f>IF(H322,Wh_hp,'2019'!Maxi_hp)</f>
        <v>18.882274393596006</v>
      </c>
      <c r="J322" s="85">
        <f>IF(H322,An,'2019'!An_max)</f>
        <v>2018</v>
      </c>
      <c r="K322" s="199">
        <f t="shared" si="100"/>
        <v>44138</v>
      </c>
      <c r="L322" s="147">
        <f>IF(t&lt;Tvie,1-EXP((T0-t)*PertePVj)+'2019'!Pspv,1-EXP((T0-t)*PertePVj)+Pspv)</f>
        <v>1.901604827138903E-2</v>
      </c>
      <c r="M322" s="870"/>
      <c r="N322" s="870"/>
      <c r="O322" s="48">
        <f>IF(t&lt;Tnet,'2019'!Resal+('2019'!Salim-'2019'!Resal)*(1-EXP(('2019'!Tnet-t)/('2019'!Tau_j))),Resal+(Salim-Resal)*(1-EXP((Tnet-t)/(Tau_j))))*Salcycl</f>
        <v>0.12382743491457071</v>
      </c>
      <c r="P322" s="171">
        <f>(INDEX(Models!$BJ322:$BT322,,T322)*(1-R322)+INDEX(Models!$BJ322:$BT322,,T322+1)*R322-ERP_i)*Q322*Ramure*Pc/MaxiM</f>
        <v>2.7948883802365581E-2</v>
      </c>
      <c r="Q322" s="307">
        <f t="shared" si="101"/>
        <v>1</v>
      </c>
      <c r="R322" s="179">
        <f t="shared" si="102"/>
        <v>0.29834343728662061</v>
      </c>
      <c r="S322" s="837">
        <f t="shared" si="103"/>
        <v>-1</v>
      </c>
      <c r="T322" s="178">
        <f t="shared" si="104"/>
        <v>5</v>
      </c>
      <c r="U322" s="253">
        <f t="shared" si="105"/>
        <v>-0.70165656271337939</v>
      </c>
      <c r="V322" s="385">
        <f t="shared" si="106"/>
        <v>21.926573656331605</v>
      </c>
      <c r="W322" s="404"/>
      <c r="X322" s="157">
        <f t="shared" si="107"/>
        <v>44138</v>
      </c>
      <c r="Y322" s="387">
        <f t="shared" si="108"/>
        <v>5.5490000000000004</v>
      </c>
      <c r="Z322" s="387">
        <f t="shared" si="109"/>
        <v>5.6565655230363339</v>
      </c>
      <c r="AA322" s="388">
        <f t="shared" si="110"/>
        <v>6.455994798792636</v>
      </c>
      <c r="AB322" s="199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0.12382743491457071</v>
      </c>
      <c r="AD322" s="233">
        <f>(INDEX(Models!$BJ322:$BT322,,AH322)*(1-AF322)+INDEX(Models!$BJ322:$BT322,,AH322+1)*AF322-ERP_i)*AE322*Ramure*Pc/MaxiM</f>
        <v>2.7948883802365581E-2</v>
      </c>
      <c r="AE322" s="307">
        <f t="shared" si="112"/>
        <v>1</v>
      </c>
      <c r="AF322" s="179">
        <f t="shared" si="113"/>
        <v>0.29834343728662061</v>
      </c>
      <c r="AG322" s="837">
        <f t="shared" si="119"/>
        <v>-1</v>
      </c>
      <c r="AH322" s="178">
        <f t="shared" si="114"/>
        <v>5</v>
      </c>
      <c r="AI322" s="227">
        <f t="shared" si="115"/>
        <v>-0.70165656271337939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customHeight="1" x14ac:dyDescent="0.2">
      <c r="A323" s="56">
        <f t="shared" si="118"/>
        <v>44139</v>
      </c>
      <c r="B323" s="618">
        <v>12.009</v>
      </c>
      <c r="C323" s="392"/>
      <c r="D323" s="395">
        <f t="shared" si="98"/>
        <v>12.242075369649005</v>
      </c>
      <c r="E323" s="387">
        <f t="shared" si="120"/>
        <v>13.970455871271755</v>
      </c>
      <c r="F323" s="387">
        <f t="shared" si="99"/>
        <v>14.120962117738355</v>
      </c>
      <c r="G323" s="110">
        <f t="shared" si="121"/>
        <v>0.54463156440791072</v>
      </c>
      <c r="H323" s="414" t="b">
        <f>Wh_hp&gt;='2019'!Maxi_hp</f>
        <v>1</v>
      </c>
      <c r="I323" s="382">
        <f>IF(H323,Wh_hp,'2019'!Maxi_hp)</f>
        <v>14.120962117738355</v>
      </c>
      <c r="J323" s="85">
        <f>IF(H323,An,'2019'!An_max)</f>
        <v>2020</v>
      </c>
      <c r="K323" s="199">
        <f t="shared" si="100"/>
        <v>44139</v>
      </c>
      <c r="L323" s="147">
        <f>IF(t&lt;Tvie,1-EXP((T0-t)*PertePVj)+'2019'!Pspv,1-EXP((T0-t)*PertePVj)+Pspv)</f>
        <v>1.9038877201071114E-2</v>
      </c>
      <c r="M323" s="870"/>
      <c r="N323" s="870"/>
      <c r="O323" s="48">
        <f>IF(t&lt;Tnet,'2019'!Resal+('2019'!Salim-'2019'!Resal)*(1-EXP(('2019'!Tnet-t)/('2019'!Tau_j))),Resal+(Salim-Resal)*(1-EXP((Tnet-t)/(Tau_j))))*Salcycl</f>
        <v>0.12371682911056009</v>
      </c>
      <c r="P323" s="171">
        <f>(INDEX(Models!$BJ323:$BT323,,T323)*(1-R323)+INDEX(Models!$BJ323:$BT323,,T323+1)*R323-ERP_i)*Q323*Ramure*Pc/MaxiM</f>
        <v>2.9251024345115745E-2</v>
      </c>
      <c r="Q323" s="307">
        <f t="shared" si="101"/>
        <v>1</v>
      </c>
      <c r="R323" s="179">
        <f t="shared" si="102"/>
        <v>0.29841028923316582</v>
      </c>
      <c r="S323" s="837">
        <f t="shared" si="103"/>
        <v>-1</v>
      </c>
      <c r="T323" s="178">
        <f t="shared" si="104"/>
        <v>5</v>
      </c>
      <c r="U323" s="253">
        <f t="shared" si="105"/>
        <v>-0.70158971076683418</v>
      </c>
      <c r="V323" s="385">
        <f t="shared" si="106"/>
        <v>21.63538801545582</v>
      </c>
      <c r="W323" s="404"/>
      <c r="X323" s="157">
        <f t="shared" si="107"/>
        <v>44139</v>
      </c>
      <c r="Y323" s="387">
        <f t="shared" si="108"/>
        <v>12.009</v>
      </c>
      <c r="Z323" s="387">
        <f t="shared" si="109"/>
        <v>12.242075369649005</v>
      </c>
      <c r="AA323" s="388">
        <f t="shared" si="110"/>
        <v>13.970455871271755</v>
      </c>
      <c r="AB323" s="199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0.12371682911056009</v>
      </c>
      <c r="AD323" s="233">
        <f>(INDEX(Models!$BJ323:$BT323,,AH323)*(1-AF323)+INDEX(Models!$BJ323:$BT323,,AH323+1)*AF323-ERP_i)*AE323*Ramure*Pc/MaxiM</f>
        <v>2.9251024345115745E-2</v>
      </c>
      <c r="AE323" s="307">
        <f t="shared" si="112"/>
        <v>1</v>
      </c>
      <c r="AF323" s="179">
        <f t="shared" si="113"/>
        <v>0.29841028923316582</v>
      </c>
      <c r="AG323" s="837">
        <f t="shared" si="119"/>
        <v>-1</v>
      </c>
      <c r="AH323" s="178">
        <f t="shared" si="114"/>
        <v>5</v>
      </c>
      <c r="AI323" s="227">
        <f t="shared" si="115"/>
        <v>-0.70158971076683418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customHeight="1" x14ac:dyDescent="0.2">
      <c r="A324" s="56">
        <f t="shared" si="118"/>
        <v>44140</v>
      </c>
      <c r="B324" s="618">
        <v>17.123999999999999</v>
      </c>
      <c r="C324" s="392"/>
      <c r="D324" s="395">
        <f t="shared" si="98"/>
        <v>17.456755534725207</v>
      </c>
      <c r="E324" s="387">
        <f t="shared" si="120"/>
        <v>19.918862291881155</v>
      </c>
      <c r="F324" s="387">
        <f t="shared" si="99"/>
        <v>20.364606283027438</v>
      </c>
      <c r="G324" s="110">
        <f t="shared" si="121"/>
        <v>0.79498406975370139</v>
      </c>
      <c r="H324" s="414" t="b">
        <f>Wh_hp&gt;='2019'!Maxi_hp</f>
        <v>1</v>
      </c>
      <c r="I324" s="382">
        <f>IF(H324,Wh_hp,'2019'!Maxi_hp)</f>
        <v>20.364606283027438</v>
      </c>
      <c r="J324" s="85">
        <f>IF(H324,An,'2019'!An_max)</f>
        <v>2020</v>
      </c>
      <c r="K324" s="199">
        <f t="shared" si="100"/>
        <v>44140</v>
      </c>
      <c r="L324" s="147">
        <f>IF(t&lt;Tvie,1-EXP((T0-t)*PertePVj)+'2019'!Pspv,1-EXP((T0-t)*PertePVj)+Pspv)</f>
        <v>1.9061705599490608E-2</v>
      </c>
      <c r="M324" s="870"/>
      <c r="N324" s="870"/>
      <c r="O324" s="48">
        <f>IF(t&lt;Tnet,'2019'!Resal+('2019'!Salim-'2019'!Resal)*(1-EXP(('2019'!Tnet-t)/('2019'!Tau_j))),Resal+(Salim-Resal)*(1-EXP((Tnet-t)/(Tau_j))))*Salcycl</f>
        <v>0.12360679646645731</v>
      </c>
      <c r="P324" s="171">
        <f>(INDEX(Models!$BJ324:$BT324,,T324)*(1-R324)+INDEX(Models!$BJ324:$BT324,,T324+1)*R324-ERP_i)*Q324*Ramure*Pc/MaxiM</f>
        <v>3.0517685746531402E-2</v>
      </c>
      <c r="Q324" s="307">
        <f t="shared" si="101"/>
        <v>1</v>
      </c>
      <c r="R324" s="179">
        <f t="shared" si="102"/>
        <v>0.29847446154342261</v>
      </c>
      <c r="S324" s="837">
        <f t="shared" si="103"/>
        <v>-1</v>
      </c>
      <c r="T324" s="178">
        <f t="shared" si="104"/>
        <v>5</v>
      </c>
      <c r="U324" s="253">
        <f t="shared" si="105"/>
        <v>-0.70152553845657739</v>
      </c>
      <c r="V324" s="385">
        <f t="shared" si="106"/>
        <v>21.350014428621403</v>
      </c>
      <c r="W324" s="404"/>
      <c r="X324" s="157">
        <f t="shared" si="107"/>
        <v>44140</v>
      </c>
      <c r="Y324" s="387">
        <f t="shared" si="108"/>
        <v>17.123999999999999</v>
      </c>
      <c r="Z324" s="387">
        <f t="shared" si="109"/>
        <v>17.456755534725207</v>
      </c>
      <c r="AA324" s="388">
        <f t="shared" si="110"/>
        <v>19.918862291881155</v>
      </c>
      <c r="AB324" s="199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0.12360679646645731</v>
      </c>
      <c r="AD324" s="233">
        <f>(INDEX(Models!$BJ324:$BT324,,AH324)*(1-AF324)+INDEX(Models!$BJ324:$BT324,,AH324+1)*AF324-ERP_i)*AE324*Ramure*Pc/MaxiM</f>
        <v>3.0517685746531402E-2</v>
      </c>
      <c r="AE324" s="307">
        <f t="shared" si="112"/>
        <v>1</v>
      </c>
      <c r="AF324" s="179">
        <f t="shared" si="113"/>
        <v>0.29847446154342261</v>
      </c>
      <c r="AG324" s="837">
        <f t="shared" si="119"/>
        <v>-1</v>
      </c>
      <c r="AH324" s="178">
        <f t="shared" si="114"/>
        <v>5</v>
      </c>
      <c r="AI324" s="227">
        <f t="shared" si="115"/>
        <v>-0.70152553845657739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customHeight="1" x14ac:dyDescent="0.2">
      <c r="A325" s="56">
        <f t="shared" si="118"/>
        <v>44141</v>
      </c>
      <c r="B325" s="618">
        <v>11.863</v>
      </c>
      <c r="C325" s="392"/>
      <c r="D325" s="395">
        <f t="shared" si="98"/>
        <v>12.093804618990369</v>
      </c>
      <c r="E325" s="387">
        <f t="shared" si="120"/>
        <v>13.797799627323855</v>
      </c>
      <c r="F325" s="387">
        <f t="shared" si="99"/>
        <v>13.964340858235088</v>
      </c>
      <c r="G325" s="110">
        <f t="shared" si="121"/>
        <v>0.55171214003582314</v>
      </c>
      <c r="H325" s="414" t="b">
        <f>Wh_hp&gt;='2019'!Maxi_hp</f>
        <v>1</v>
      </c>
      <c r="I325" s="382">
        <f>IF(H325,Wh_hp,'2019'!Maxi_hp)</f>
        <v>13.964340858235088</v>
      </c>
      <c r="J325" s="85">
        <f>IF(H325,An,'2019'!An_max)</f>
        <v>2020</v>
      </c>
      <c r="K325" s="199">
        <f t="shared" si="100"/>
        <v>44141</v>
      </c>
      <c r="L325" s="147">
        <f>IF(t&lt;Tvie,1-EXP((T0-t)*PertePVj)+'2019'!Pspv,1-EXP((T0-t)*PertePVj)+Pspv)</f>
        <v>1.9084533466659948E-2</v>
      </c>
      <c r="M325" s="870"/>
      <c r="N325" s="870"/>
      <c r="O325" s="48">
        <f>IF(t&lt;Tnet,'2019'!Resal+('2019'!Salim-'2019'!Resal)*(1-EXP(('2019'!Tnet-t)/('2019'!Tau_j))),Resal+(Salim-Resal)*(1-EXP((Tnet-t)/(Tau_j))))*Salcycl</f>
        <v>0.12349759051139253</v>
      </c>
      <c r="P325" s="171">
        <f>(INDEX(Models!$BJ325:$BT325,,T325)*(1-R325)+INDEX(Models!$BJ325:$BT325,,T325+1)*R325-ERP_i)*Q325*Ramure*Pc/MaxiM</f>
        <v>3.1742280066000945E-2</v>
      </c>
      <c r="Q325" s="307">
        <f t="shared" si="101"/>
        <v>1</v>
      </c>
      <c r="R325" s="179">
        <f t="shared" si="102"/>
        <v>0.29853606116216214</v>
      </c>
      <c r="S325" s="837">
        <f t="shared" si="103"/>
        <v>-1</v>
      </c>
      <c r="T325" s="178">
        <f t="shared" si="104"/>
        <v>5</v>
      </c>
      <c r="U325" s="253">
        <f t="shared" si="105"/>
        <v>-0.70146393883783786</v>
      </c>
      <c r="V325" s="385">
        <f t="shared" si="106"/>
        <v>21.070923266883838</v>
      </c>
      <c r="W325" s="404"/>
      <c r="X325" s="157">
        <f t="shared" si="107"/>
        <v>44141</v>
      </c>
      <c r="Y325" s="387">
        <f t="shared" si="108"/>
        <v>11.863</v>
      </c>
      <c r="Z325" s="387">
        <f t="shared" si="109"/>
        <v>12.093804618990369</v>
      </c>
      <c r="AA325" s="388">
        <f t="shared" si="110"/>
        <v>13.797799627323855</v>
      </c>
      <c r="AB325" s="199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0.12349759051139253</v>
      </c>
      <c r="AD325" s="233">
        <f>(INDEX(Models!$BJ325:$BT325,,AH325)*(1-AF325)+INDEX(Models!$BJ325:$BT325,,AH325+1)*AF325-ERP_i)*AE325*Ramure*Pc/MaxiM</f>
        <v>3.1742280066000945E-2</v>
      </c>
      <c r="AE325" s="307">
        <f t="shared" si="112"/>
        <v>1</v>
      </c>
      <c r="AF325" s="179">
        <f t="shared" si="113"/>
        <v>0.29853606116216214</v>
      </c>
      <c r="AG325" s="837">
        <f t="shared" si="119"/>
        <v>-1</v>
      </c>
      <c r="AH325" s="178">
        <f t="shared" si="114"/>
        <v>5</v>
      </c>
      <c r="AI325" s="227">
        <f t="shared" si="115"/>
        <v>-0.70146393883783786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customHeight="1" x14ac:dyDescent="0.2">
      <c r="A326" s="56">
        <f t="shared" si="118"/>
        <v>44142</v>
      </c>
      <c r="B326" s="618">
        <v>3.3730000000000002</v>
      </c>
      <c r="C326" s="392"/>
      <c r="D326" s="395">
        <f t="shared" si="98"/>
        <v>3.4387045688913265</v>
      </c>
      <c r="E326" s="387">
        <f t="shared" si="120"/>
        <v>3.9227278500727003</v>
      </c>
      <c r="F326" s="387">
        <f t="shared" si="99"/>
        <v>3.9227278500727003</v>
      </c>
      <c r="G326" s="110">
        <f t="shared" si="121"/>
        <v>0.156836053097448</v>
      </c>
      <c r="H326" s="414" t="b">
        <f>Wh_hp&gt;='2019'!Maxi_hp</f>
        <v>0</v>
      </c>
      <c r="I326" s="382">
        <f>IF(H326,Wh_hp,'2019'!Maxi_hp)</f>
        <v>14.449515867114824</v>
      </c>
      <c r="J326" s="85">
        <f>IF(H326,An,'2019'!An_max)</f>
        <v>2019</v>
      </c>
      <c r="K326" s="199">
        <f t="shared" si="100"/>
        <v>44142</v>
      </c>
      <c r="L326" s="147">
        <f>IF(t&lt;Tvie,1-EXP((T0-t)*PertePVj)+'2019'!Pspv,1-EXP((T0-t)*PertePVj)+Pspv)</f>
        <v>1.9107360802591455E-2</v>
      </c>
      <c r="M326" s="870"/>
      <c r="N326" s="870"/>
      <c r="O326" s="48">
        <f>IF(t&lt;Tnet,'2019'!Resal+('2019'!Salim-'2019'!Resal)*(1-EXP(('2019'!Tnet-t)/('2019'!Tau_j))),Resal+(Salim-Resal)*(1-EXP((Tnet-t)/(Tau_j))))*Salcycl</f>
        <v>0.12338946255789916</v>
      </c>
      <c r="P326" s="171">
        <f>(INDEX(Models!$BJ326:$BT326,,T326)*(1-R326)+INDEX(Models!$BJ326:$BT326,,T326+1)*R326-ERP_i)*Q326*Ramure*Pc/MaxiM</f>
        <v>3.2921696341431383E-2</v>
      </c>
      <c r="Q326" s="307">
        <f t="shared" si="101"/>
        <v>1</v>
      </c>
      <c r="R326" s="179">
        <f t="shared" si="102"/>
        <v>0.29859519080247465</v>
      </c>
      <c r="S326" s="837">
        <f t="shared" si="103"/>
        <v>-1</v>
      </c>
      <c r="T326" s="178">
        <f t="shared" si="104"/>
        <v>5</v>
      </c>
      <c r="U326" s="253">
        <f t="shared" si="105"/>
        <v>-0.70140480919752535</v>
      </c>
      <c r="V326" s="385">
        <f t="shared" si="106"/>
        <v>20.798502983326035</v>
      </c>
      <c r="W326" s="404"/>
      <c r="X326" s="157">
        <f t="shared" si="107"/>
        <v>44142</v>
      </c>
      <c r="Y326" s="387">
        <f t="shared" si="108"/>
        <v>3.3730000000000002</v>
      </c>
      <c r="Z326" s="387">
        <f t="shared" si="109"/>
        <v>3.4387045688913265</v>
      </c>
      <c r="AA326" s="388">
        <f t="shared" si="110"/>
        <v>3.9227278500727003</v>
      </c>
      <c r="AB326" s="199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0.12338946255789916</v>
      </c>
      <c r="AD326" s="233">
        <f>(INDEX(Models!$BJ326:$BT326,,AH326)*(1-AF326)+INDEX(Models!$BJ326:$BT326,,AH326+1)*AF326-ERP_i)*AE326*Ramure*Pc/MaxiM</f>
        <v>3.2921696341431383E-2</v>
      </c>
      <c r="AE326" s="307">
        <f t="shared" si="112"/>
        <v>1</v>
      </c>
      <c r="AF326" s="179">
        <f t="shared" si="113"/>
        <v>0.29859519080247465</v>
      </c>
      <c r="AG326" s="837">
        <f t="shared" si="119"/>
        <v>-1</v>
      </c>
      <c r="AH326" s="178">
        <f t="shared" si="114"/>
        <v>5</v>
      </c>
      <c r="AI326" s="227">
        <f t="shared" si="115"/>
        <v>-0.70140480919752535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customHeight="1" x14ac:dyDescent="0.2">
      <c r="A327" s="56">
        <f t="shared" si="118"/>
        <v>44143</v>
      </c>
      <c r="B327" s="618">
        <v>16.454000000000001</v>
      </c>
      <c r="C327" s="392"/>
      <c r="D327" s="395">
        <f t="shared" si="98"/>
        <v>16.774907120306452</v>
      </c>
      <c r="E327" s="387">
        <f t="shared" si="120"/>
        <v>19.133769078498414</v>
      </c>
      <c r="F327" s="387">
        <f t="shared" si="99"/>
        <v>19.612077061652013</v>
      </c>
      <c r="G327" s="110">
        <f t="shared" si="121"/>
        <v>0.79340071683911928</v>
      </c>
      <c r="H327" s="414" t="b">
        <f>Wh_hp&gt;='2019'!Maxi_hp</f>
        <v>1</v>
      </c>
      <c r="I327" s="382">
        <f>IF(H327,Wh_hp,'2019'!Maxi_hp)</f>
        <v>19.612077061652013</v>
      </c>
      <c r="J327" s="85">
        <f>IF(H327,An,'2019'!An_max)</f>
        <v>2020</v>
      </c>
      <c r="K327" s="199">
        <f t="shared" si="100"/>
        <v>44143</v>
      </c>
      <c r="L327" s="147">
        <f>IF(t&lt;Tvie,1-EXP((T0-t)*PertePVj)+'2019'!Pspv,1-EXP((T0-t)*PertePVj)+Pspv)</f>
        <v>1.9130187607297455E-2</v>
      </c>
      <c r="M327" s="870"/>
      <c r="N327" s="870"/>
      <c r="O327" s="48">
        <f>IF(t&lt;Tnet,'2019'!Resal+('2019'!Salim-'2019'!Resal)*(1-EXP(('2019'!Tnet-t)/('2019'!Tau_j))),Resal+(Salim-Resal)*(1-EXP((Tnet-t)/(Tau_j))))*Salcycl</f>
        <v>0.12328266054191767</v>
      </c>
      <c r="P327" s="171">
        <f>(INDEX(Models!$BJ327:$BT327,,T327)*(1-R327)+INDEX(Models!$BJ327:$BT327,,T327+1)*R327-ERP_i)*Q327*Ramure*Pc/MaxiM</f>
        <v>3.4052650597765098E-2</v>
      </c>
      <c r="Q327" s="307">
        <f t="shared" si="101"/>
        <v>1</v>
      </c>
      <c r="R327" s="179">
        <f t="shared" si="102"/>
        <v>0.29865194911033188</v>
      </c>
      <c r="S327" s="837">
        <f t="shared" si="103"/>
        <v>-1</v>
      </c>
      <c r="T327" s="178">
        <f t="shared" si="104"/>
        <v>5</v>
      </c>
      <c r="U327" s="253">
        <f t="shared" si="105"/>
        <v>-0.70134805088966812</v>
      </c>
      <c r="V327" s="385">
        <f t="shared" si="106"/>
        <v>20.533142555988281</v>
      </c>
      <c r="W327" s="404"/>
      <c r="X327" s="157">
        <f t="shared" si="107"/>
        <v>44143</v>
      </c>
      <c r="Y327" s="387">
        <f t="shared" si="108"/>
        <v>16.454000000000001</v>
      </c>
      <c r="Z327" s="387">
        <f t="shared" si="109"/>
        <v>16.774907120306452</v>
      </c>
      <c r="AA327" s="388">
        <f t="shared" si="110"/>
        <v>19.133769078498414</v>
      </c>
      <c r="AB327" s="199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0.12328266054191767</v>
      </c>
      <c r="AD327" s="233">
        <f>(INDEX(Models!$BJ327:$BT327,,AH327)*(1-AF327)+INDEX(Models!$BJ327:$BT327,,AH327+1)*AF327-ERP_i)*AE327*Ramure*Pc/MaxiM</f>
        <v>3.4052650597765098E-2</v>
      </c>
      <c r="AE327" s="307">
        <f t="shared" si="112"/>
        <v>1</v>
      </c>
      <c r="AF327" s="179">
        <f t="shared" si="113"/>
        <v>0.29865194911033188</v>
      </c>
      <c r="AG327" s="837">
        <f t="shared" si="119"/>
        <v>-1</v>
      </c>
      <c r="AH327" s="178">
        <f t="shared" si="114"/>
        <v>5</v>
      </c>
      <c r="AI327" s="227">
        <f t="shared" si="115"/>
        <v>-0.70134805088966812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customHeight="1" x14ac:dyDescent="0.2">
      <c r="A328" s="56">
        <f t="shared" si="118"/>
        <v>44144</v>
      </c>
      <c r="B328" s="618">
        <v>16.555</v>
      </c>
      <c r="C328" s="392"/>
      <c r="D328" s="395">
        <f t="shared" si="98"/>
        <v>16.87826973450877</v>
      </c>
      <c r="E328" s="387">
        <f t="shared" si="120"/>
        <v>19.249355880064712</v>
      </c>
      <c r="F328" s="387">
        <f t="shared" si="99"/>
        <v>19.761633702872928</v>
      </c>
      <c r="G328" s="110">
        <f t="shared" si="121"/>
        <v>0.80879423843614284</v>
      </c>
      <c r="H328" s="414" t="b">
        <f>Wh_hp&gt;='2019'!Maxi_hp</f>
        <v>1</v>
      </c>
      <c r="I328" s="382">
        <f>IF(H328,Wh_hp,'2019'!Maxi_hp)</f>
        <v>19.761633702872928</v>
      </c>
      <c r="J328" s="85">
        <f>IF(H328,An,'2019'!An_max)</f>
        <v>2020</v>
      </c>
      <c r="K328" s="199">
        <f t="shared" si="100"/>
        <v>44144</v>
      </c>
      <c r="L328" s="147">
        <f>IF(t&lt;Tvie,1-EXP((T0-t)*PertePVj)+'2019'!Pspv,1-EXP((T0-t)*PertePVj)+Pspv)</f>
        <v>1.9153013880790382E-2</v>
      </c>
      <c r="M328" s="870"/>
      <c r="N328" s="870"/>
      <c r="O328" s="48">
        <f>IF(t&lt;Tnet,'2019'!Resal+('2019'!Salim-'2019'!Resal)*(1-EXP(('2019'!Tnet-t)/('2019'!Tau_j))),Resal+(Salim-Resal)*(1-EXP((Tnet-t)/(Tau_j))))*Salcycl</f>
        <v>0.12317742787495148</v>
      </c>
      <c r="P328" s="171">
        <f>(INDEX(Models!$BJ328:$BT328,,T328)*(1-R328)+INDEX(Models!$BJ328:$BT328,,T328+1)*R328-ERP_i)*Q328*Ramure*Pc/MaxiM</f>
        <v>3.5131693200983485E-2</v>
      </c>
      <c r="Q328" s="307">
        <f t="shared" si="101"/>
        <v>1</v>
      </c>
      <c r="R328" s="179">
        <f t="shared" si="102"/>
        <v>0.29870643082298121</v>
      </c>
      <c r="S328" s="837">
        <f t="shared" si="103"/>
        <v>-1</v>
      </c>
      <c r="T328" s="178">
        <f t="shared" si="104"/>
        <v>5</v>
      </c>
      <c r="U328" s="253">
        <f t="shared" si="105"/>
        <v>-0.70129356917701879</v>
      </c>
      <c r="V328" s="385">
        <f t="shared" si="106"/>
        <v>20.275231462239425</v>
      </c>
      <c r="W328" s="404"/>
      <c r="X328" s="157">
        <f t="shared" si="107"/>
        <v>44144</v>
      </c>
      <c r="Y328" s="387">
        <f t="shared" si="108"/>
        <v>16.555</v>
      </c>
      <c r="Z328" s="387">
        <f t="shared" si="109"/>
        <v>16.87826973450877</v>
      </c>
      <c r="AA328" s="388">
        <f t="shared" si="110"/>
        <v>19.249355880064712</v>
      </c>
      <c r="AB328" s="199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0.12317742787495148</v>
      </c>
      <c r="AD328" s="233">
        <f>(INDEX(Models!$BJ328:$BT328,,AH328)*(1-AF328)+INDEX(Models!$BJ328:$BT328,,AH328+1)*AF328-ERP_i)*AE328*Ramure*Pc/MaxiM</f>
        <v>3.5131693200983485E-2</v>
      </c>
      <c r="AE328" s="307">
        <f t="shared" si="112"/>
        <v>1</v>
      </c>
      <c r="AF328" s="179">
        <f t="shared" si="113"/>
        <v>0.29870643082298121</v>
      </c>
      <c r="AG328" s="837">
        <f t="shared" si="119"/>
        <v>-1</v>
      </c>
      <c r="AH328" s="178">
        <f t="shared" si="114"/>
        <v>5</v>
      </c>
      <c r="AI328" s="227">
        <f t="shared" si="115"/>
        <v>-0.70129356917701879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customHeight="1" x14ac:dyDescent="0.2">
      <c r="A329" s="56">
        <f t="shared" si="118"/>
        <v>44145</v>
      </c>
      <c r="B329" s="618">
        <v>11.457000000000001</v>
      </c>
      <c r="C329" s="392"/>
      <c r="D329" s="395">
        <f t="shared" si="98"/>
        <v>11.680992845442583</v>
      </c>
      <c r="E329" s="387">
        <f t="shared" si="120"/>
        <v>13.32038607168597</v>
      </c>
      <c r="F329" s="387">
        <f t="shared" si="99"/>
        <v>13.510281363998844</v>
      </c>
      <c r="G329" s="110">
        <f t="shared" si="121"/>
        <v>0.55930616596686022</v>
      </c>
      <c r="H329" s="414" t="b">
        <f>Wh_hp&gt;='2019'!Maxi_hp</f>
        <v>0</v>
      </c>
      <c r="I329" s="382">
        <f>IF(H329,Wh_hp,'2019'!Maxi_hp)</f>
        <v>20.963040267417192</v>
      </c>
      <c r="J329" s="85">
        <f>IF(H329,An,'2019'!An_max)</f>
        <v>2019</v>
      </c>
      <c r="K329" s="199">
        <f t="shared" si="100"/>
        <v>44145</v>
      </c>
      <c r="L329" s="147">
        <f>IF(t&lt;Tvie,1-EXP((T0-t)*PertePVj)+'2019'!Pspv,1-EXP((T0-t)*PertePVj)+Pspv)</f>
        <v>1.9175839623082669E-2</v>
      </c>
      <c r="M329" s="870"/>
      <c r="N329" s="870"/>
      <c r="O329" s="48">
        <f>IF(t&lt;Tnet,'2019'!Resal+('2019'!Salim-'2019'!Resal)*(1-EXP(('2019'!Tnet-t)/('2019'!Tau_j))),Resal+(Salim-Resal)*(1-EXP((Tnet-t)/(Tau_j))))*Salcycl</f>
        <v>0.12307400231650248</v>
      </c>
      <c r="P329" s="171">
        <f>(INDEX(Models!$BJ329:$BT329,,T329)*(1-R329)+INDEX(Models!$BJ329:$BT329,,T329+1)*R329-ERP_i)*Q329*Ramure*Pc/MaxiM</f>
        <v>3.6155218668436323E-2</v>
      </c>
      <c r="Q329" s="307">
        <f t="shared" si="101"/>
        <v>1</v>
      </c>
      <c r="R329" s="179">
        <f t="shared" si="102"/>
        <v>0.29875872692137717</v>
      </c>
      <c r="S329" s="837">
        <f t="shared" si="103"/>
        <v>-1</v>
      </c>
      <c r="T329" s="178">
        <f t="shared" si="104"/>
        <v>5</v>
      </c>
      <c r="U329" s="253">
        <f t="shared" si="105"/>
        <v>-0.70124127307862283</v>
      </c>
      <c r="V329" s="385">
        <f t="shared" si="106"/>
        <v>20.025159664719837</v>
      </c>
      <c r="W329" s="404"/>
      <c r="X329" s="157">
        <f t="shared" si="107"/>
        <v>44145</v>
      </c>
      <c r="Y329" s="387">
        <f t="shared" si="108"/>
        <v>11.457000000000001</v>
      </c>
      <c r="Z329" s="387">
        <f t="shared" si="109"/>
        <v>11.680992845442583</v>
      </c>
      <c r="AA329" s="388">
        <f t="shared" si="110"/>
        <v>13.32038607168597</v>
      </c>
      <c r="AB329" s="199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0.12307400231650248</v>
      </c>
      <c r="AD329" s="233">
        <f>(INDEX(Models!$BJ329:$BT329,,AH329)*(1-AF329)+INDEX(Models!$BJ329:$BT329,,AH329+1)*AF329-ERP_i)*AE329*Ramure*Pc/MaxiM</f>
        <v>3.6155218668436323E-2</v>
      </c>
      <c r="AE329" s="307">
        <f t="shared" si="112"/>
        <v>1</v>
      </c>
      <c r="AF329" s="179">
        <f t="shared" si="113"/>
        <v>0.29875872692137717</v>
      </c>
      <c r="AG329" s="837">
        <f t="shared" si="119"/>
        <v>-1</v>
      </c>
      <c r="AH329" s="178">
        <f t="shared" si="114"/>
        <v>5</v>
      </c>
      <c r="AI329" s="227">
        <f t="shared" si="115"/>
        <v>-0.70124127307862283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customHeight="1" x14ac:dyDescent="0.2">
      <c r="A330" s="56">
        <f t="shared" si="118"/>
        <v>44146</v>
      </c>
      <c r="B330" s="618">
        <v>16.658000000000001</v>
      </c>
      <c r="C330" s="392"/>
      <c r="D330" s="395">
        <f t="shared" si="98"/>
        <v>16.984071496174924</v>
      </c>
      <c r="E330" s="387">
        <f t="shared" si="120"/>
        <v>19.365497342765888</v>
      </c>
      <c r="F330" s="387">
        <f t="shared" si="99"/>
        <v>19.938577495707527</v>
      </c>
      <c r="G330" s="110">
        <f t="shared" si="121"/>
        <v>0.83476004151190297</v>
      </c>
      <c r="H330" s="414" t="b">
        <f>Wh_hp&gt;='2019'!Maxi_hp</f>
        <v>0</v>
      </c>
      <c r="I330" s="382">
        <f>IF(H330,Wh_hp,'2019'!Maxi_hp)</f>
        <v>21.432672952690233</v>
      </c>
      <c r="J330" s="85">
        <f>IF(H330,An,'2019'!An_max)</f>
        <v>2018</v>
      </c>
      <c r="K330" s="199">
        <f t="shared" si="100"/>
        <v>44146</v>
      </c>
      <c r="L330" s="147">
        <f>IF(t&lt;Tvie,1-EXP((T0-t)*PertePVj)+'2019'!Pspv,1-EXP((T0-t)*PertePVj)+Pspv)</f>
        <v>1.9198664834186419E-2</v>
      </c>
      <c r="M330" s="870"/>
      <c r="N330" s="870"/>
      <c r="O330" s="48">
        <f>IF(t&lt;Tnet,'2019'!Resal+('2019'!Salim-'2019'!Resal)*(1-EXP(('2019'!Tnet-t)/('2019'!Tau_j))),Resal+(Salim-Resal)*(1-EXP((Tnet-t)/(Tau_j))))*Salcycl</f>
        <v>0.12297261487480265</v>
      </c>
      <c r="P330" s="171">
        <f>(INDEX(Models!$BJ330:$BT330,,T330)*(1-R330)+INDEX(Models!$BJ330:$BT330,,T330+1)*R330-ERP_i)*Q330*Ramure*Pc/MaxiM</f>
        <v>3.7119478233750038E-2</v>
      </c>
      <c r="Q330" s="307">
        <f t="shared" si="101"/>
        <v>1</v>
      </c>
      <c r="R330" s="179">
        <f t="shared" si="102"/>
        <v>0.2988089247768656</v>
      </c>
      <c r="S330" s="837">
        <f t="shared" si="103"/>
        <v>-1</v>
      </c>
      <c r="T330" s="178">
        <f t="shared" si="104"/>
        <v>5</v>
      </c>
      <c r="U330" s="253">
        <f t="shared" si="105"/>
        <v>-0.7011910752231344</v>
      </c>
      <c r="V330" s="385">
        <f t="shared" si="106"/>
        <v>19.783317583676197</v>
      </c>
      <c r="W330" s="404"/>
      <c r="X330" s="157">
        <f t="shared" si="107"/>
        <v>44146</v>
      </c>
      <c r="Y330" s="387">
        <f t="shared" si="108"/>
        <v>16.658000000000001</v>
      </c>
      <c r="Z330" s="387">
        <f t="shared" si="109"/>
        <v>16.984071496174924</v>
      </c>
      <c r="AA330" s="388">
        <f t="shared" si="110"/>
        <v>19.365497342765888</v>
      </c>
      <c r="AB330" s="199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0.12297261487480265</v>
      </c>
      <c r="AD330" s="233">
        <f>(INDEX(Models!$BJ330:$BT330,,AH330)*(1-AF330)+INDEX(Models!$BJ330:$BT330,,AH330+1)*AF330-ERP_i)*AE330*Ramure*Pc/MaxiM</f>
        <v>3.7119478233750038E-2</v>
      </c>
      <c r="AE330" s="307">
        <f t="shared" si="112"/>
        <v>1</v>
      </c>
      <c r="AF330" s="179">
        <f t="shared" si="113"/>
        <v>0.2988089247768656</v>
      </c>
      <c r="AG330" s="837">
        <f t="shared" si="119"/>
        <v>-1</v>
      </c>
      <c r="AH330" s="178">
        <f t="shared" si="114"/>
        <v>5</v>
      </c>
      <c r="AI330" s="227">
        <f t="shared" si="115"/>
        <v>-0.7011910752231344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customHeight="1" x14ac:dyDescent="0.2">
      <c r="A331" s="56">
        <f t="shared" si="118"/>
        <v>44147</v>
      </c>
      <c r="B331" s="618">
        <v>19.431000000000001</v>
      </c>
      <c r="C331" s="392"/>
      <c r="D331" s="395">
        <f t="shared" si="98"/>
        <v>19.811812547130263</v>
      </c>
      <c r="E331" s="387">
        <f t="shared" si="120"/>
        <v>22.587177896097909</v>
      </c>
      <c r="F331" s="387">
        <f t="shared" si="99"/>
        <v>23.471862617221571</v>
      </c>
      <c r="G331" s="110">
        <f t="shared" si="121"/>
        <v>0.99358467939192818</v>
      </c>
      <c r="H331" s="414" t="b">
        <f>Wh_hp&gt;='2019'!Maxi_hp</f>
        <v>1</v>
      </c>
      <c r="I331" s="382">
        <f>IF(H331,Wh_hp,'2019'!Maxi_hp)</f>
        <v>23.471862617221571</v>
      </c>
      <c r="J331" s="85">
        <f>IF(H331,An,'2019'!An_max)</f>
        <v>2020</v>
      </c>
      <c r="K331" s="199">
        <f t="shared" si="100"/>
        <v>44147</v>
      </c>
      <c r="L331" s="147">
        <f>IF(t&lt;Tvie,1-EXP((T0-t)*PertePVj)+'2019'!Pspv,1-EXP((T0-t)*PertePVj)+Pspv)</f>
        <v>1.9221489514114287E-2</v>
      </c>
      <c r="M331" s="870"/>
      <c r="N331" s="870"/>
      <c r="O331" s="48">
        <f>IF(t&lt;Tnet,'2019'!Resal+('2019'!Salim-'2019'!Resal)*(1-EXP(('2019'!Tnet-t)/('2019'!Tau_j))),Resal+(Salim-Resal)*(1-EXP((Tnet-t)/(Tau_j))))*Salcycl</f>
        <v>0.12287348874367833</v>
      </c>
      <c r="P331" s="171">
        <f>(INDEX(Models!$BJ331:$BT331,,T331)*(1-R331)+INDEX(Models!$BJ331:$BT331,,T331+1)*R331-ERP_i)*Q331*Ramure*Pc/MaxiM</f>
        <v>3.8021232209032758E-2</v>
      </c>
      <c r="Q331" s="307">
        <f t="shared" si="101"/>
        <v>1</v>
      </c>
      <c r="R331" s="179">
        <f t="shared" si="102"/>
        <v>0.2988571082923166</v>
      </c>
      <c r="S331" s="837">
        <f t="shared" si="103"/>
        <v>-1</v>
      </c>
      <c r="T331" s="178">
        <f t="shared" si="104"/>
        <v>5</v>
      </c>
      <c r="U331" s="253">
        <f t="shared" si="105"/>
        <v>-0.7011428917076834</v>
      </c>
      <c r="V331" s="385">
        <f t="shared" si="106"/>
        <v>19.54975568473025</v>
      </c>
      <c r="W331" s="404"/>
      <c r="X331" s="157">
        <f t="shared" si="107"/>
        <v>44147</v>
      </c>
      <c r="Y331" s="387">
        <f t="shared" si="108"/>
        <v>19.431000000000001</v>
      </c>
      <c r="Z331" s="387">
        <f t="shared" si="109"/>
        <v>19.811812547130263</v>
      </c>
      <c r="AA331" s="388">
        <f t="shared" si="110"/>
        <v>22.587177896097909</v>
      </c>
      <c r="AB331" s="199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0.12287348874367833</v>
      </c>
      <c r="AD331" s="233">
        <f>(INDEX(Models!$BJ331:$BT331,,AH331)*(1-AF331)+INDEX(Models!$BJ331:$BT331,,AH331+1)*AF331-ERP_i)*AE331*Ramure*Pc/MaxiM</f>
        <v>3.8021232209032758E-2</v>
      </c>
      <c r="AE331" s="307">
        <f t="shared" si="112"/>
        <v>1</v>
      </c>
      <c r="AF331" s="179">
        <f t="shared" si="113"/>
        <v>0.2988571082923166</v>
      </c>
      <c r="AG331" s="837">
        <f t="shared" si="119"/>
        <v>-1</v>
      </c>
      <c r="AH331" s="178">
        <f t="shared" si="114"/>
        <v>5</v>
      </c>
      <c r="AI331" s="227">
        <f t="shared" si="115"/>
        <v>-0.7011428917076834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customHeight="1" x14ac:dyDescent="0.2">
      <c r="A332" s="56">
        <f t="shared" si="118"/>
        <v>44148</v>
      </c>
      <c r="B332" s="618">
        <v>14.348000000000001</v>
      </c>
      <c r="C332" s="392"/>
      <c r="D332" s="395">
        <f t="shared" si="98"/>
        <v>14.629535367351487</v>
      </c>
      <c r="E332" s="387">
        <f t="shared" si="120"/>
        <v>16.677096553993369</v>
      </c>
      <c r="F332" s="387">
        <f t="shared" si="99"/>
        <v>17.097007227824616</v>
      </c>
      <c r="G332" s="110">
        <f t="shared" si="121"/>
        <v>0.73161047093861276</v>
      </c>
      <c r="H332" s="414" t="b">
        <f>Wh_hp&gt;='2019'!Maxi_hp</f>
        <v>1</v>
      </c>
      <c r="I332" s="382">
        <f>IF(H332,Wh_hp,'2019'!Maxi_hp)</f>
        <v>17.097007227824616</v>
      </c>
      <c r="J332" s="85">
        <f>IF(H332,An,'2019'!An_max)</f>
        <v>2020</v>
      </c>
      <c r="K332" s="199">
        <f t="shared" si="100"/>
        <v>44148</v>
      </c>
      <c r="L332" s="147">
        <f>IF(t&lt;Tvie,1-EXP((T0-t)*PertePVj)+'2019'!Pspv,1-EXP((T0-t)*PertePVj)+Pspv)</f>
        <v>1.9244313662878487E-2</v>
      </c>
      <c r="M332" s="870"/>
      <c r="N332" s="870"/>
      <c r="O332" s="48">
        <f>IF(t&lt;Tnet,'2019'!Resal+('2019'!Salim-'2019'!Resal)*(1-EXP(('2019'!Tnet-t)/('2019'!Tau_j))),Resal+(Salim-Resal)*(1-EXP((Tnet-t)/(Tau_j))))*Salcycl</f>
        <v>0.12277683828313563</v>
      </c>
      <c r="P332" s="171">
        <f>(INDEX(Models!$BJ332:$BT332,,T332)*(1-R332)+INDEX(Models!$BJ332:$BT332,,T332+1)*R332-ERP_i)*Q332*Ramure*Pc/MaxiM</f>
        <v>3.8853596038199795E-2</v>
      </c>
      <c r="Q332" s="307">
        <f t="shared" si="101"/>
        <v>1</v>
      </c>
      <c r="R332" s="179">
        <f t="shared" si="102"/>
        <v>0.29890335803790302</v>
      </c>
      <c r="S332" s="837">
        <f t="shared" si="103"/>
        <v>-1</v>
      </c>
      <c r="T332" s="178">
        <f t="shared" si="104"/>
        <v>5</v>
      </c>
      <c r="U332" s="253">
        <f t="shared" si="105"/>
        <v>-0.70109664196209698</v>
      </c>
      <c r="V332" s="385">
        <f t="shared" si="106"/>
        <v>19.324161259152127</v>
      </c>
      <c r="W332" s="404"/>
      <c r="X332" s="157">
        <f t="shared" si="107"/>
        <v>44148</v>
      </c>
      <c r="Y332" s="387">
        <f t="shared" si="108"/>
        <v>14.348000000000003</v>
      </c>
      <c r="Z332" s="387">
        <f t="shared" si="109"/>
        <v>14.629535367351489</v>
      </c>
      <c r="AA332" s="388">
        <f t="shared" si="110"/>
        <v>16.677096553993369</v>
      </c>
      <c r="AB332" s="199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0.12277683828313563</v>
      </c>
      <c r="AD332" s="233">
        <f>(INDEX(Models!$BJ332:$BT332,,AH332)*(1-AF332)+INDEX(Models!$BJ332:$BT332,,AH332+1)*AF332-ERP_i)*AE332*Ramure*Pc/MaxiM</f>
        <v>3.8853596038199795E-2</v>
      </c>
      <c r="AE332" s="307">
        <f t="shared" si="112"/>
        <v>1</v>
      </c>
      <c r="AF332" s="179">
        <f t="shared" si="113"/>
        <v>0.29890335803790302</v>
      </c>
      <c r="AG332" s="837">
        <f t="shared" si="119"/>
        <v>-1</v>
      </c>
      <c r="AH332" s="178">
        <f t="shared" si="114"/>
        <v>5</v>
      </c>
      <c r="AI332" s="227">
        <f t="shared" si="115"/>
        <v>-0.70109664196209698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customHeight="1" x14ac:dyDescent="0.2">
      <c r="A333" s="56">
        <f t="shared" si="118"/>
        <v>44149</v>
      </c>
      <c r="B333" s="618">
        <v>18.146000000000001</v>
      </c>
      <c r="C333" s="392"/>
      <c r="D333" s="395">
        <f t="shared" si="98"/>
        <v>18.502490015152873</v>
      </c>
      <c r="E333" s="387">
        <f t="shared" si="120"/>
        <v>21.089853761373092</v>
      </c>
      <c r="F333" s="387">
        <f t="shared" si="99"/>
        <v>21.895850327793376</v>
      </c>
      <c r="G333" s="110">
        <f t="shared" si="121"/>
        <v>0.9469775410223753</v>
      </c>
      <c r="H333" s="414" t="b">
        <f>Wh_hp&gt;='2019'!Maxi_hp</f>
        <v>1</v>
      </c>
      <c r="I333" s="382">
        <f>IF(H333,Wh_hp,'2019'!Maxi_hp)</f>
        <v>21.895850327793376</v>
      </c>
      <c r="J333" s="85">
        <f>IF(H333,An,'2019'!An_max)</f>
        <v>2020</v>
      </c>
      <c r="K333" s="199">
        <f t="shared" si="100"/>
        <v>44149</v>
      </c>
      <c r="L333" s="147">
        <f>IF(t&lt;Tvie,1-EXP((T0-t)*PertePVj)+'2019'!Pspv,1-EXP((T0-t)*PertePVj)+Pspv)</f>
        <v>1.9267137280491453E-2</v>
      </c>
      <c r="M333" s="870"/>
      <c r="N333" s="870"/>
      <c r="O333" s="48">
        <f>IF(t&lt;Tnet,'2019'!Resal+('2019'!Salim-'2019'!Resal)*(1-EXP(('2019'!Tnet-t)/('2019'!Tau_j))),Resal+(Salim-Resal)*(1-EXP((Tnet-t)/(Tau_j))))*Salcycl</f>
        <v>0.12268286805094299</v>
      </c>
      <c r="P333" s="171">
        <f>(INDEX(Models!$BJ333:$BT333,,T333)*(1-R333)+INDEX(Models!$BJ333:$BT333,,T333+1)*R333-ERP_i)*Q333*Ramure*Pc/MaxiM</f>
        <v>3.9655298578102106E-2</v>
      </c>
      <c r="Q333" s="307">
        <f t="shared" si="101"/>
        <v>1</v>
      </c>
      <c r="R333" s="179">
        <f t="shared" si="102"/>
        <v>0.29894775138171614</v>
      </c>
      <c r="S333" s="837">
        <f t="shared" si="103"/>
        <v>-1</v>
      </c>
      <c r="T333" s="178">
        <f t="shared" si="104"/>
        <v>5</v>
      </c>
      <c r="U333" s="253">
        <f t="shared" si="105"/>
        <v>-0.70105224861828386</v>
      </c>
      <c r="V333" s="385">
        <f t="shared" si="106"/>
        <v>19.105421318414113</v>
      </c>
      <c r="W333" s="404"/>
      <c r="X333" s="157">
        <f t="shared" si="107"/>
        <v>44149</v>
      </c>
      <c r="Y333" s="387">
        <f t="shared" si="108"/>
        <v>18.146000000000001</v>
      </c>
      <c r="Z333" s="387">
        <f t="shared" si="109"/>
        <v>18.502490015152873</v>
      </c>
      <c r="AA333" s="388">
        <f t="shared" si="110"/>
        <v>21.089853761373092</v>
      </c>
      <c r="AB333" s="199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0.12268286805094299</v>
      </c>
      <c r="AD333" s="233">
        <f>(INDEX(Models!$BJ333:$BT333,,AH333)*(1-AF333)+INDEX(Models!$BJ333:$BT333,,AH333+1)*AF333-ERP_i)*AE333*Ramure*Pc/MaxiM</f>
        <v>3.9655298578102106E-2</v>
      </c>
      <c r="AE333" s="307">
        <f t="shared" si="112"/>
        <v>1</v>
      </c>
      <c r="AF333" s="179">
        <f t="shared" si="113"/>
        <v>0.29894775138171614</v>
      </c>
      <c r="AG333" s="837">
        <f t="shared" si="119"/>
        <v>-1</v>
      </c>
      <c r="AH333" s="178">
        <f t="shared" si="114"/>
        <v>5</v>
      </c>
      <c r="AI333" s="227">
        <f t="shared" si="115"/>
        <v>-0.70105224861828386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customHeight="1" x14ac:dyDescent="0.2">
      <c r="A334" s="56">
        <f t="shared" si="118"/>
        <v>44150</v>
      </c>
      <c r="B334" s="618">
        <v>14.52</v>
      </c>
      <c r="C334" s="392"/>
      <c r="D334" s="395">
        <f t="shared" si="98"/>
        <v>14.805599426139395</v>
      </c>
      <c r="E334" s="387">
        <f t="shared" si="120"/>
        <v>16.874242743389026</v>
      </c>
      <c r="F334" s="387">
        <f t="shared" si="99"/>
        <v>17.343516454379959</v>
      </c>
      <c r="G334" s="110">
        <f t="shared" si="121"/>
        <v>0.75796961561981657</v>
      </c>
      <c r="H334" s="414" t="b">
        <f>Wh_hp&gt;='2019'!Maxi_hp</f>
        <v>0</v>
      </c>
      <c r="I334" s="382">
        <f>IF(H334,Wh_hp,'2019'!Maxi_hp)</f>
        <v>20.784423459176622</v>
      </c>
      <c r="J334" s="85">
        <f>IF(H334,An,'2019'!An_max)</f>
        <v>2018</v>
      </c>
      <c r="K334" s="199">
        <f t="shared" si="100"/>
        <v>44150</v>
      </c>
      <c r="L334" s="147">
        <f>IF(t&lt;Tvie,1-EXP((T0-t)*PertePVj)+'2019'!Pspv,1-EXP((T0-t)*PertePVj)+Pspv)</f>
        <v>1.9289960366965397E-2</v>
      </c>
      <c r="M334" s="870"/>
      <c r="N334" s="870"/>
      <c r="O334" s="48">
        <f>IF(t&lt;Tnet,'2019'!Resal+('2019'!Salim-'2019'!Resal)*(1-EXP(('2019'!Tnet-t)/('2019'!Tau_j))),Resal+(Salim-Resal)*(1-EXP((Tnet-t)/(Tau_j))))*Salcycl</f>
        <v>0.12259177189210944</v>
      </c>
      <c r="P334" s="171">
        <f>(INDEX(Models!$BJ334:$BT334,,T334)*(1-R334)+INDEX(Models!$BJ334:$BT334,,T334+1)*R334-ERP_i)*Q334*Ramure*Pc/MaxiM</f>
        <v>4.042508855879276E-2</v>
      </c>
      <c r="Q334" s="307">
        <f t="shared" si="101"/>
        <v>1</v>
      </c>
      <c r="R334" s="179">
        <f t="shared" si="102"/>
        <v>0.29899036261540157</v>
      </c>
      <c r="S334" s="837">
        <f t="shared" si="103"/>
        <v>-1</v>
      </c>
      <c r="T334" s="178">
        <f t="shared" si="104"/>
        <v>5</v>
      </c>
      <c r="U334" s="253">
        <f t="shared" si="105"/>
        <v>-0.70100963738459843</v>
      </c>
      <c r="V334" s="385">
        <f t="shared" si="106"/>
        <v>18.893245536766294</v>
      </c>
      <c r="W334" s="404"/>
      <c r="X334" s="157">
        <f t="shared" si="107"/>
        <v>44150</v>
      </c>
      <c r="Y334" s="387">
        <f t="shared" si="108"/>
        <v>14.52</v>
      </c>
      <c r="Z334" s="387">
        <f t="shared" si="109"/>
        <v>14.805599426139395</v>
      </c>
      <c r="AA334" s="388">
        <f t="shared" si="110"/>
        <v>16.874242743389026</v>
      </c>
      <c r="AB334" s="199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0.12259177189210944</v>
      </c>
      <c r="AD334" s="233">
        <f>(INDEX(Models!$BJ334:$BT334,,AH334)*(1-AF334)+INDEX(Models!$BJ334:$BT334,,AH334+1)*AF334-ERP_i)*AE334*Ramure*Pc/MaxiM</f>
        <v>4.042508855879276E-2</v>
      </c>
      <c r="AE334" s="307">
        <f t="shared" si="112"/>
        <v>1</v>
      </c>
      <c r="AF334" s="179">
        <f t="shared" si="113"/>
        <v>0.29899036261540157</v>
      </c>
      <c r="AG334" s="837">
        <f t="shared" si="119"/>
        <v>-1</v>
      </c>
      <c r="AH334" s="178">
        <f t="shared" si="114"/>
        <v>5</v>
      </c>
      <c r="AI334" s="227">
        <f t="shared" si="115"/>
        <v>-0.70100963738459843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customHeight="1" x14ac:dyDescent="0.2">
      <c r="A335" s="56">
        <f t="shared" si="118"/>
        <v>44151</v>
      </c>
      <c r="B335" s="618">
        <v>14.35</v>
      </c>
      <c r="C335" s="392"/>
      <c r="D335" s="395">
        <f t="shared" ref="D335:D380" si="122">Wh/(1-Ppv)</f>
        <v>14.632596153094584</v>
      </c>
      <c r="E335" s="387">
        <f t="shared" si="120"/>
        <v>16.675394173460759</v>
      </c>
      <c r="F335" s="387">
        <f t="shared" ref="F335:F380" si="123">Wh_sa/(1-Pvg*MEDIAN((-Sdif+Wh/Env_an)/Csdif,0,1))</f>
        <v>17.147175849497057</v>
      </c>
      <c r="G335" s="110">
        <f t="shared" si="121"/>
        <v>0.75712251618418513</v>
      </c>
      <c r="H335" s="414" t="b">
        <f>Wh_hp&gt;='2019'!Maxi_hp</f>
        <v>0</v>
      </c>
      <c r="I335" s="382">
        <f>IF(H335,Wh_hp,'2019'!Maxi_hp)</f>
        <v>21.938135822618069</v>
      </c>
      <c r="J335" s="85">
        <f>IF(H335,An,'2019'!An_max)</f>
        <v>2018</v>
      </c>
      <c r="K335" s="199">
        <f t="shared" ref="K335:K380" si="124">t</f>
        <v>44151</v>
      </c>
      <c r="L335" s="147">
        <f>IF(t&lt;Tvie,1-EXP((T0-t)*PertePVj)+'2019'!Pspv,1-EXP((T0-t)*PertePVj)+Pspv)</f>
        <v>1.9312782922312755E-2</v>
      </c>
      <c r="M335" s="870"/>
      <c r="N335" s="870"/>
      <c r="O335" s="48">
        <f>IF(t&lt;Tnet,'2019'!Resal+('2019'!Salim-'2019'!Resal)*(1-EXP(('2019'!Tnet-t)/('2019'!Tau_j))),Resal+(Salim-Resal)*(1-EXP((Tnet-t)/(Tau_j))))*Salcycl</f>
        <v>0.12250373209272207</v>
      </c>
      <c r="P335" s="171">
        <f>(INDEX(Models!$BJ335:$BT335,,T335)*(1-R335)+INDEX(Models!$BJ335:$BT335,,T335+1)*R335-ERP_i)*Q335*Ramure*Pc/MaxiM</f>
        <v>4.11617681351715E-2</v>
      </c>
      <c r="Q335" s="307">
        <f t="shared" ref="Q335:Q380" si="125">IF(OR(t&lt;Ttai,Notai),Dd+PousD*Croivg,Dens+PousD*(Croivg-Croi_tai))</f>
        <v>1</v>
      </c>
      <c r="R335" s="179">
        <f t="shared" ref="R335:R379" si="126">(Hp_vg-S335)/(INDEX(Echel_vg,T335+1)-S335)</f>
        <v>0.2990312630749935</v>
      </c>
      <c r="S335" s="837">
        <f t="shared" ref="S335:S379" si="127">INDEX(Echel_vg,T335)</f>
        <v>-1</v>
      </c>
      <c r="T335" s="178">
        <f t="shared" ref="T335:T380" si="128">MIN(MATCH(Hp_vg,Echel_vg),10)</f>
        <v>5</v>
      </c>
      <c r="U335" s="253">
        <f t="shared" ref="U335:U380" si="129">IF(OR(t&lt;Ttai,Notai),Hdd+PousH*Croivg,Hdtf+PousH*(Croivg-Croi_tai))</f>
        <v>-0.7009687369250065</v>
      </c>
      <c r="V335" s="385">
        <f t="shared" ref="V335:V380" si="130">MaxiM*(1-Ppv)*(1-Pvg)*(1-Psa)</f>
        <v>18.687343759288211</v>
      </c>
      <c r="W335" s="404"/>
      <c r="X335" s="157">
        <f t="shared" ref="X335:X380" si="131">t</f>
        <v>44151</v>
      </c>
      <c r="Y335" s="387">
        <f t="shared" ref="Y335:Y380" si="132">Wh_pvt_s*(1-Ppv)</f>
        <v>14.350000000000001</v>
      </c>
      <c r="Z335" s="387">
        <f t="shared" ref="Z335:Z380" si="133">Wh_sa_s*(1-Psa_s)</f>
        <v>14.632596153094585</v>
      </c>
      <c r="AA335" s="388">
        <f t="shared" ref="AA335:AA380" si="134">Wh_hp*(1-Pvg_s*MEDIAN((-Sdif+Wh/Env_an)/Csdif,0,1))</f>
        <v>16.675394173460759</v>
      </c>
      <c r="AB335" s="199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0.12250373209272207</v>
      </c>
      <c r="AD335" s="233">
        <f>(INDEX(Models!$BJ335:$BT335,,AH335)*(1-AF335)+INDEX(Models!$BJ335:$BT335,,AH335+1)*AF335-ERP_i)*AE335*Ramure*Pc/MaxiM</f>
        <v>4.11617681351715E-2</v>
      </c>
      <c r="AE335" s="307">
        <f t="shared" ref="AE335:AE380" si="136">IF(OR(t&lt;Ttai,Notai),Dd_s+PousD*Croivg,Dens_s+PousD*(Croivg-Croi_tai))</f>
        <v>1</v>
      </c>
      <c r="AF335" s="179">
        <f t="shared" ref="AF335:AF379" si="137">(Hp_vg_s-AG335)/(INDEX(Echel_vg,AH335+1)-AG335)</f>
        <v>0.2990312630749935</v>
      </c>
      <c r="AG335" s="837">
        <f t="shared" si="119"/>
        <v>-1</v>
      </c>
      <c r="AH335" s="178">
        <f t="shared" ref="AH335:AH380" si="138">MIN(MATCH(Hp_vg_s,Echel_vg),10)</f>
        <v>5</v>
      </c>
      <c r="AI335" s="227">
        <f t="shared" ref="AI335:AI380" si="139">IF(OR(t&lt;Ttai,Notai),Hdd_s+PousH*Croivg,Hdtai_s+PousH*(Croivg-Croi_tai))</f>
        <v>-0.7009687369250065</v>
      </c>
      <c r="AJ335" s="267" t="b">
        <f t="shared" ref="AJ335:AJ380" si="140">t&lt;Tnet</f>
        <v>0</v>
      </c>
      <c r="AK335" s="267" t="b">
        <f t="shared" ref="AK335:AK380" si="141">t&lt;Ttai</f>
        <v>0</v>
      </c>
      <c r="AL335" s="267"/>
      <c r="AM335" s="267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8">
        <v>17.268999999999998</v>
      </c>
      <c r="C336" s="392"/>
      <c r="D336" s="395">
        <f t="shared" si="122"/>
        <v>17.60949014474896</v>
      </c>
      <c r="E336" s="387">
        <f t="shared" si="120"/>
        <v>20.065940934755758</v>
      </c>
      <c r="F336" s="387">
        <f t="shared" si="123"/>
        <v>20.856889266520181</v>
      </c>
      <c r="G336" s="110">
        <f t="shared" si="121"/>
        <v>0.9302674314213597</v>
      </c>
      <c r="H336" s="414" t="b">
        <f>Wh_hp&gt;='2019'!Maxi_hp</f>
        <v>1</v>
      </c>
      <c r="I336" s="382">
        <f>IF(H336,Wh_hp,'2019'!Maxi_hp)</f>
        <v>20.856889266520181</v>
      </c>
      <c r="J336" s="85">
        <f>IF(H336,An,'2019'!An_max)</f>
        <v>2020</v>
      </c>
      <c r="K336" s="199">
        <f t="shared" si="124"/>
        <v>44152</v>
      </c>
      <c r="L336" s="147">
        <f>IF(t&lt;Tvie,1-EXP((T0-t)*PertePVj)+'2019'!Pspv,1-EXP((T0-t)*PertePVj)+Pspv)</f>
        <v>1.933560494654607E-2</v>
      </c>
      <c r="M336" s="870"/>
      <c r="N336" s="870"/>
      <c r="O336" s="48">
        <f>IF(t&lt;Tnet,'2019'!Resal+('2019'!Salim-'2019'!Resal)*(1-EXP(('2019'!Tnet-t)/('2019'!Tau_j))),Resal+(Salim-Resal)*(1-EXP((Tnet-t)/(Tau_j))))*Salcycl</f>
        <v>0.12241891860411265</v>
      </c>
      <c r="P336" s="171">
        <f>(INDEX(Models!$BJ336:$BT336,,T336)*(1-R336)+INDEX(Models!$BJ336:$BT336,,T336+1)*R336-ERP_i)*Q336*Ramure*Pc/MaxiM</f>
        <v>4.1864194740324941E-2</v>
      </c>
      <c r="Q336" s="307">
        <f t="shared" si="125"/>
        <v>1</v>
      </c>
      <c r="R336" s="179">
        <f t="shared" si="126"/>
        <v>0.29907052125712219</v>
      </c>
      <c r="S336" s="837">
        <f t="shared" si="127"/>
        <v>-1</v>
      </c>
      <c r="T336" s="178">
        <f t="shared" si="128"/>
        <v>5</v>
      </c>
      <c r="U336" s="253">
        <f t="shared" si="129"/>
        <v>-0.70092947874287781</v>
      </c>
      <c r="V336" s="385">
        <f t="shared" si="130"/>
        <v>18.487426000777823</v>
      </c>
      <c r="W336" s="404"/>
      <c r="X336" s="157">
        <f t="shared" si="131"/>
        <v>44152</v>
      </c>
      <c r="Y336" s="387">
        <f t="shared" si="132"/>
        <v>17.268999999999998</v>
      </c>
      <c r="Z336" s="387">
        <f t="shared" si="133"/>
        <v>17.60949014474896</v>
      </c>
      <c r="AA336" s="388">
        <f t="shared" si="134"/>
        <v>20.065940934755758</v>
      </c>
      <c r="AB336" s="199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0.12241891860411265</v>
      </c>
      <c r="AD336" s="233">
        <f>(INDEX(Models!$BJ336:$BT336,,AH336)*(1-AF336)+INDEX(Models!$BJ336:$BT336,,AH336+1)*AF336-ERP_i)*AE336*Ramure*Pc/MaxiM</f>
        <v>4.1864194740324941E-2</v>
      </c>
      <c r="AE336" s="307">
        <f t="shared" si="136"/>
        <v>1</v>
      </c>
      <c r="AF336" s="179">
        <f t="shared" si="137"/>
        <v>0.29907052125712219</v>
      </c>
      <c r="AG336" s="837">
        <f t="shared" ref="AG336:AG379" si="143">INDEX(Echel_vg,AH336)</f>
        <v>-1</v>
      </c>
      <c r="AH336" s="178">
        <f t="shared" si="138"/>
        <v>5</v>
      </c>
      <c r="AI336" s="227">
        <f t="shared" si="139"/>
        <v>-0.70092947874287781</v>
      </c>
      <c r="AJ336" s="267" t="b">
        <f t="shared" si="140"/>
        <v>0</v>
      </c>
      <c r="AK336" s="267" t="b">
        <f t="shared" si="141"/>
        <v>0</v>
      </c>
      <c r="AL336" s="267"/>
      <c r="AM336" s="267"/>
      <c r="AN336" s="75"/>
    </row>
    <row r="337" spans="1:40" s="6" customFormat="1" ht="11.25" customHeight="1" x14ac:dyDescent="0.2">
      <c r="A337" s="56">
        <f t="shared" si="142"/>
        <v>44153</v>
      </c>
      <c r="B337" s="618">
        <v>17.442</v>
      </c>
      <c r="C337" s="392"/>
      <c r="D337" s="395">
        <f t="shared" si="122"/>
        <v>17.786315071953332</v>
      </c>
      <c r="E337" s="387">
        <f t="shared" si="120"/>
        <v>20.265551776125058</v>
      </c>
      <c r="F337" s="387">
        <f t="shared" si="123"/>
        <v>21.103445110547209</v>
      </c>
      <c r="G337" s="110">
        <f t="shared" si="121"/>
        <v>0.95066184032196333</v>
      </c>
      <c r="H337" s="414" t="b">
        <f>Wh_hp&gt;='2019'!Maxi_hp</f>
        <v>1</v>
      </c>
      <c r="I337" s="382">
        <f>IF(H337,Wh_hp,'2019'!Maxi_hp)</f>
        <v>21.103445110547209</v>
      </c>
      <c r="J337" s="85">
        <f>IF(H337,An,'2019'!An_max)</f>
        <v>2020</v>
      </c>
      <c r="K337" s="199">
        <f t="shared" si="124"/>
        <v>44153</v>
      </c>
      <c r="L337" s="147">
        <f>IF(t&lt;Tvie,1-EXP((T0-t)*PertePVj)+'2019'!Pspv,1-EXP((T0-t)*PertePVj)+Pspv)</f>
        <v>1.9358426439677334E-2</v>
      </c>
      <c r="M337" s="870"/>
      <c r="N337" s="870"/>
      <c r="O337" s="48">
        <f>IF(t&lt;Tnet,'2019'!Resal+('2019'!Salim-'2019'!Resal)*(1-EXP(('2019'!Tnet-t)/('2019'!Tau_j))),Resal+(Salim-Resal)*(1-EXP((Tnet-t)/(Tau_j))))*Salcycl</f>
        <v>0.12233748834278113</v>
      </c>
      <c r="P337" s="171">
        <f>(INDEX(Models!$BJ337:$BT337,,T337)*(1-R337)+INDEX(Models!$BJ337:$BT337,,T337+1)*R337-ERP_i)*Q337*Ramure*Pc/MaxiM</f>
        <v>4.2531282481798466E-2</v>
      </c>
      <c r="Q337" s="307">
        <f t="shared" si="125"/>
        <v>1</v>
      </c>
      <c r="R337" s="179">
        <f t="shared" si="126"/>
        <v>0.2991082029307609</v>
      </c>
      <c r="S337" s="837">
        <f t="shared" si="127"/>
        <v>-1</v>
      </c>
      <c r="T337" s="178">
        <f t="shared" si="128"/>
        <v>5</v>
      </c>
      <c r="U337" s="253">
        <f t="shared" si="129"/>
        <v>-0.7008917970692391</v>
      </c>
      <c r="V337" s="385">
        <f t="shared" si="130"/>
        <v>18.293202432473134</v>
      </c>
      <c r="W337" s="404"/>
      <c r="X337" s="157">
        <f t="shared" si="131"/>
        <v>44153</v>
      </c>
      <c r="Y337" s="387">
        <f t="shared" si="132"/>
        <v>17.442</v>
      </c>
      <c r="Z337" s="387">
        <f t="shared" si="133"/>
        <v>17.786315071953332</v>
      </c>
      <c r="AA337" s="388">
        <f t="shared" si="134"/>
        <v>20.265551776125058</v>
      </c>
      <c r="AB337" s="199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0.12233748834278113</v>
      </c>
      <c r="AD337" s="233">
        <f>(INDEX(Models!$BJ337:$BT337,,AH337)*(1-AF337)+INDEX(Models!$BJ337:$BT337,,AH337+1)*AF337-ERP_i)*AE337*Ramure*Pc/MaxiM</f>
        <v>4.2531282481798466E-2</v>
      </c>
      <c r="AE337" s="307">
        <f t="shared" si="136"/>
        <v>1</v>
      </c>
      <c r="AF337" s="179">
        <f t="shared" si="137"/>
        <v>0.2991082029307609</v>
      </c>
      <c r="AG337" s="837">
        <f t="shared" si="143"/>
        <v>-1</v>
      </c>
      <c r="AH337" s="178">
        <f t="shared" si="138"/>
        <v>5</v>
      </c>
      <c r="AI337" s="227">
        <f t="shared" si="139"/>
        <v>-0.7008917970692391</v>
      </c>
      <c r="AJ337" s="267" t="b">
        <f t="shared" si="140"/>
        <v>0</v>
      </c>
      <c r="AK337" s="267" t="b">
        <f t="shared" si="141"/>
        <v>0</v>
      </c>
      <c r="AL337" s="267"/>
      <c r="AM337" s="267"/>
      <c r="AN337" s="75"/>
    </row>
    <row r="338" spans="1:40" s="6" customFormat="1" ht="11.25" customHeight="1" x14ac:dyDescent="0.2">
      <c r="A338" s="56">
        <f t="shared" si="142"/>
        <v>44154</v>
      </c>
      <c r="B338" s="618">
        <v>5.34</v>
      </c>
      <c r="C338" s="392"/>
      <c r="D338" s="395">
        <f t="shared" si="122"/>
        <v>5.4455413848154084</v>
      </c>
      <c r="E338" s="387">
        <f t="shared" si="120"/>
        <v>6.2040453978108347</v>
      </c>
      <c r="F338" s="387">
        <f t="shared" si="123"/>
        <v>6.2040453978108347</v>
      </c>
      <c r="G338" s="110">
        <f t="shared" si="121"/>
        <v>0.28222529304945793</v>
      </c>
      <c r="H338" s="414" t="b">
        <f>Wh_hp&gt;='2019'!Maxi_hp</f>
        <v>0</v>
      </c>
      <c r="I338" s="382">
        <f>IF(H338,Wh_hp,'2019'!Maxi_hp)</f>
        <v>22.532430665642437</v>
      </c>
      <c r="J338" s="85">
        <f>IF(H338,An,'2019'!An_max)</f>
        <v>2019</v>
      </c>
      <c r="K338" s="199">
        <f t="shared" si="124"/>
        <v>44154</v>
      </c>
      <c r="L338" s="147">
        <f>IF(t&lt;Tvie,1-EXP((T0-t)*PertePVj)+'2019'!Pspv,1-EXP((T0-t)*PertePVj)+Pspv)</f>
        <v>1.9381247401719315E-2</v>
      </c>
      <c r="M338" s="870"/>
      <c r="N338" s="870"/>
      <c r="O338" s="48">
        <f>IF(t&lt;Tnet,'2019'!Resal+('2019'!Salim-'2019'!Resal)*(1-EXP(('2019'!Tnet-t)/('2019'!Tau_j))),Resal+(Salim-Resal)*(1-EXP((Tnet-t)/(Tau_j))))*Salcycl</f>
        <v>0.12225958457091128</v>
      </c>
      <c r="P338" s="171">
        <f>(INDEX(Models!$BJ338:$BT338,,T338)*(1-R338)+INDEX(Models!$BJ338:$BT338,,T338+1)*R338-ERP_i)*Q338*Ramure*Pc/MaxiM</f>
        <v>4.3174271076498821E-2</v>
      </c>
      <c r="Q338" s="307">
        <f t="shared" si="125"/>
        <v>1</v>
      </c>
      <c r="R338" s="179">
        <f t="shared" si="126"/>
        <v>0.29914437124467552</v>
      </c>
      <c r="S338" s="837">
        <f t="shared" si="127"/>
        <v>-1</v>
      </c>
      <c r="T338" s="178">
        <f t="shared" si="128"/>
        <v>5</v>
      </c>
      <c r="U338" s="253">
        <f t="shared" si="129"/>
        <v>-0.70085562875532448</v>
      </c>
      <c r="V338" s="385">
        <f t="shared" si="130"/>
        <v>18.104151251801881</v>
      </c>
      <c r="W338" s="404"/>
      <c r="X338" s="157">
        <f t="shared" si="131"/>
        <v>44154</v>
      </c>
      <c r="Y338" s="387">
        <f t="shared" si="132"/>
        <v>5.34</v>
      </c>
      <c r="Z338" s="387">
        <f t="shared" si="133"/>
        <v>5.4455413848154084</v>
      </c>
      <c r="AA338" s="388">
        <f t="shared" si="134"/>
        <v>6.2040453978108347</v>
      </c>
      <c r="AB338" s="199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0.12225958457091128</v>
      </c>
      <c r="AD338" s="233">
        <f>(INDEX(Models!$BJ338:$BT338,,AH338)*(1-AF338)+INDEX(Models!$BJ338:$BT338,,AH338+1)*AF338-ERP_i)*AE338*Ramure*Pc/MaxiM</f>
        <v>4.3174271076498821E-2</v>
      </c>
      <c r="AE338" s="307">
        <f t="shared" si="136"/>
        <v>1</v>
      </c>
      <c r="AF338" s="179">
        <f t="shared" si="137"/>
        <v>0.29914437124467552</v>
      </c>
      <c r="AG338" s="837">
        <f t="shared" si="143"/>
        <v>-1</v>
      </c>
      <c r="AH338" s="178">
        <f t="shared" si="138"/>
        <v>5</v>
      </c>
      <c r="AI338" s="227">
        <f t="shared" si="139"/>
        <v>-0.70085562875532448</v>
      </c>
      <c r="AJ338" s="267" t="b">
        <f t="shared" si="140"/>
        <v>0</v>
      </c>
      <c r="AK338" s="267" t="b">
        <f t="shared" si="141"/>
        <v>0</v>
      </c>
      <c r="AL338" s="267"/>
      <c r="AM338" s="267"/>
      <c r="AN338" s="75"/>
    </row>
    <row r="339" spans="1:40" s="6" customFormat="1" ht="11.25" customHeight="1" x14ac:dyDescent="0.2">
      <c r="A339" s="56">
        <f t="shared" si="142"/>
        <v>44155</v>
      </c>
      <c r="B339" s="618">
        <v>15.827999999999999</v>
      </c>
      <c r="C339" s="392"/>
      <c r="D339" s="395">
        <f t="shared" si="122"/>
        <v>16.1412050374479</v>
      </c>
      <c r="E339" s="387">
        <f t="shared" si="120"/>
        <v>18.387941903985432</v>
      </c>
      <c r="F339" s="387">
        <f t="shared" si="123"/>
        <v>19.084910776395123</v>
      </c>
      <c r="G339" s="110">
        <f t="shared" si="121"/>
        <v>0.87659216947209473</v>
      </c>
      <c r="H339" s="414" t="b">
        <f>Wh_hp&gt;='2019'!Maxi_hp</f>
        <v>0</v>
      </c>
      <c r="I339" s="382">
        <f>IF(H339,Wh_hp,'2019'!Maxi_hp)</f>
        <v>21.71388989490131</v>
      </c>
      <c r="J339" s="85">
        <f>IF(H339,An,'2019'!An_max)</f>
        <v>2019</v>
      </c>
      <c r="K339" s="199">
        <f t="shared" si="124"/>
        <v>44155</v>
      </c>
      <c r="L339" s="147">
        <f>IF(t&lt;Tvie,1-EXP((T0-t)*PertePVj)+'2019'!Pspv,1-EXP((T0-t)*PertePVj)+Pspv)</f>
        <v>1.9404067832684002E-2</v>
      </c>
      <c r="M339" s="870"/>
      <c r="N339" s="870"/>
      <c r="O339" s="48">
        <f>IF(t&lt;Tnet,'2019'!Resal+('2019'!Salim-'2019'!Resal)*(1-EXP(('2019'!Tnet-t)/('2019'!Tau_j))),Resal+(Salim-Resal)*(1-EXP((Tnet-t)/(Tau_j))))*Salcycl</f>
        <v>0.12218533636168215</v>
      </c>
      <c r="P339" s="171">
        <f>(INDEX(Models!$BJ339:$BT339,,T339)*(1-R339)+INDEX(Models!$BJ339:$BT339,,T339+1)*R339-ERP_i)*Q339*Ramure*Pc/MaxiM</f>
        <v>4.3826417147739855E-2</v>
      </c>
      <c r="Q339" s="307">
        <f t="shared" si="125"/>
        <v>1</v>
      </c>
      <c r="R339" s="179">
        <f t="shared" si="126"/>
        <v>0.29917908683073469</v>
      </c>
      <c r="S339" s="837">
        <f t="shared" si="127"/>
        <v>-1</v>
      </c>
      <c r="T339" s="178">
        <f t="shared" si="128"/>
        <v>5</v>
      </c>
      <c r="U339" s="253">
        <f t="shared" si="129"/>
        <v>-0.70082091316926531</v>
      </c>
      <c r="V339" s="385">
        <f t="shared" si="130"/>
        <v>17.91934811985012</v>
      </c>
      <c r="W339" s="404"/>
      <c r="X339" s="157">
        <f t="shared" si="131"/>
        <v>44155</v>
      </c>
      <c r="Y339" s="387">
        <f t="shared" si="132"/>
        <v>15.828000000000001</v>
      </c>
      <c r="Z339" s="387">
        <f t="shared" si="133"/>
        <v>16.1412050374479</v>
      </c>
      <c r="AA339" s="388">
        <f t="shared" si="134"/>
        <v>18.387941903985432</v>
      </c>
      <c r="AB339" s="199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0.12218533636168215</v>
      </c>
      <c r="AD339" s="233">
        <f>(INDEX(Models!$BJ339:$BT339,,AH339)*(1-AF339)+INDEX(Models!$BJ339:$BT339,,AH339+1)*AF339-ERP_i)*AE339*Ramure*Pc/MaxiM</f>
        <v>4.3826417147739855E-2</v>
      </c>
      <c r="AE339" s="307">
        <f t="shared" si="136"/>
        <v>1</v>
      </c>
      <c r="AF339" s="179">
        <f t="shared" si="137"/>
        <v>0.29917908683073469</v>
      </c>
      <c r="AG339" s="837">
        <f t="shared" si="143"/>
        <v>-1</v>
      </c>
      <c r="AH339" s="178">
        <f t="shared" si="138"/>
        <v>5</v>
      </c>
      <c r="AI339" s="227">
        <f t="shared" si="139"/>
        <v>-0.70082091316926531</v>
      </c>
      <c r="AJ339" s="267" t="b">
        <f t="shared" si="140"/>
        <v>0</v>
      </c>
      <c r="AK339" s="267" t="b">
        <f t="shared" si="141"/>
        <v>0</v>
      </c>
      <c r="AL339" s="267"/>
      <c r="AM339" s="267"/>
      <c r="AN339" s="75"/>
    </row>
    <row r="340" spans="1:40" s="6" customFormat="1" ht="11.25" customHeight="1" x14ac:dyDescent="0.2">
      <c r="A340" s="56">
        <f t="shared" si="142"/>
        <v>44156</v>
      </c>
      <c r="B340" s="618">
        <v>18.140999999999998</v>
      </c>
      <c r="C340" s="392"/>
      <c r="D340" s="395">
        <f t="shared" si="122"/>
        <v>18.500405296706418</v>
      </c>
      <c r="E340" s="387">
        <f t="shared" si="120"/>
        <v>21.073833483251764</v>
      </c>
      <c r="F340" s="387">
        <f t="shared" si="123"/>
        <v>22.055020906483698</v>
      </c>
      <c r="G340" s="110">
        <f t="shared" si="121"/>
        <v>1.0226905919250435</v>
      </c>
      <c r="H340" s="414" t="b">
        <f>Wh_hp&gt;='2019'!Maxi_hp</f>
        <v>1</v>
      </c>
      <c r="I340" s="382">
        <f>IF(H340,Wh_hp,'2019'!Maxi_hp)</f>
        <v>22.055020906483698</v>
      </c>
      <c r="J340" s="85">
        <f>IF(H340,An,'2019'!An_max)</f>
        <v>2020</v>
      </c>
      <c r="K340" s="199">
        <f t="shared" si="124"/>
        <v>44156</v>
      </c>
      <c r="L340" s="147">
        <f>IF(t&lt;Tvie,1-EXP((T0-t)*PertePVj)+'2019'!Pspv,1-EXP((T0-t)*PertePVj)+Pspv)</f>
        <v>1.9426887732584053E-2</v>
      </c>
      <c r="M340" s="870"/>
      <c r="N340" s="870"/>
      <c r="O340" s="48">
        <f>IF(t&lt;Tnet,'2019'!Resal+('2019'!Salim-'2019'!Resal)*(1-EXP(('2019'!Tnet-t)/('2019'!Tau_j))),Resal+(Salim-Resal)*(1-EXP((Tnet-t)/(Tau_j))))*Salcycl</f>
        <v>0.12211485815291058</v>
      </c>
      <c r="P340" s="171">
        <f>(INDEX(Models!$BJ340:$BT340,,T340)*(1-R340)+INDEX(Models!$BJ340:$BT340,,T340+1)*R340-ERP_i)*Q340*Ramure*Pc/MaxiM</f>
        <v>4.4488165637761201E-2</v>
      </c>
      <c r="Q340" s="307">
        <f t="shared" si="125"/>
        <v>1</v>
      </c>
      <c r="R340" s="179">
        <f t="shared" si="126"/>
        <v>0.29921240790323078</v>
      </c>
      <c r="S340" s="837">
        <f t="shared" si="127"/>
        <v>-1</v>
      </c>
      <c r="T340" s="178">
        <f t="shared" si="128"/>
        <v>5</v>
      </c>
      <c r="U340" s="253">
        <f t="shared" si="129"/>
        <v>-0.70078759209676922</v>
      </c>
      <c r="V340" s="385">
        <f t="shared" si="130"/>
        <v>17.738502870015267</v>
      </c>
      <c r="W340" s="404"/>
      <c r="X340" s="157">
        <f t="shared" si="131"/>
        <v>44156</v>
      </c>
      <c r="Y340" s="387">
        <f t="shared" si="132"/>
        <v>18.140999999999998</v>
      </c>
      <c r="Z340" s="387">
        <f t="shared" si="133"/>
        <v>18.500405296706418</v>
      </c>
      <c r="AA340" s="388">
        <f t="shared" si="134"/>
        <v>21.073833483251764</v>
      </c>
      <c r="AB340" s="199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0.12211485815291058</v>
      </c>
      <c r="AD340" s="233">
        <f>(INDEX(Models!$BJ340:$BT340,,AH340)*(1-AF340)+INDEX(Models!$BJ340:$BT340,,AH340+1)*AF340-ERP_i)*AE340*Ramure*Pc/MaxiM</f>
        <v>4.4488165637761201E-2</v>
      </c>
      <c r="AE340" s="307">
        <f t="shared" si="136"/>
        <v>1</v>
      </c>
      <c r="AF340" s="179">
        <f t="shared" si="137"/>
        <v>0.29921240790323078</v>
      </c>
      <c r="AG340" s="837">
        <f t="shared" si="143"/>
        <v>-1</v>
      </c>
      <c r="AH340" s="178">
        <f t="shared" si="138"/>
        <v>5</v>
      </c>
      <c r="AI340" s="227">
        <f t="shared" si="139"/>
        <v>-0.70078759209676922</v>
      </c>
      <c r="AJ340" s="267" t="b">
        <f t="shared" si="140"/>
        <v>0</v>
      </c>
      <c r="AK340" s="267" t="b">
        <f t="shared" si="141"/>
        <v>0</v>
      </c>
      <c r="AL340" s="267"/>
      <c r="AM340" s="267"/>
      <c r="AN340" s="75"/>
    </row>
    <row r="341" spans="1:40" s="6" customFormat="1" ht="11.25" customHeight="1" x14ac:dyDescent="0.2">
      <c r="A341" s="56">
        <f t="shared" si="142"/>
        <v>44157</v>
      </c>
      <c r="B341" s="618">
        <v>17.623000000000001</v>
      </c>
      <c r="C341" s="392"/>
      <c r="D341" s="395">
        <f t="shared" si="122"/>
        <v>17.972561048251084</v>
      </c>
      <c r="E341" s="387">
        <f t="shared" si="120"/>
        <v>20.471012257566386</v>
      </c>
      <c r="F341" s="387">
        <f t="shared" si="123"/>
        <v>21.439200666327118</v>
      </c>
      <c r="G341" s="110">
        <f t="shared" si="121"/>
        <v>1.0035116501896786</v>
      </c>
      <c r="H341" s="414" t="b">
        <f>Wh_hp&gt;='2019'!Maxi_hp</f>
        <v>1</v>
      </c>
      <c r="I341" s="382">
        <f>IF(H341,Wh_hp,'2019'!Maxi_hp)</f>
        <v>21.439200666327118</v>
      </c>
      <c r="J341" s="85">
        <f>IF(H341,An,'2019'!An_max)</f>
        <v>2020</v>
      </c>
      <c r="K341" s="199">
        <f t="shared" si="124"/>
        <v>44157</v>
      </c>
      <c r="L341" s="147">
        <f>IF(t&lt;Tvie,1-EXP((T0-t)*PertePVj)+'2019'!Pspv,1-EXP((T0-t)*PertePVj)+Pspv)</f>
        <v>1.9449707101431568E-2</v>
      </c>
      <c r="M341" s="870"/>
      <c r="N341" s="870"/>
      <c r="O341" s="48">
        <f>IF(t&lt;Tnet,'2019'!Resal+('2019'!Salim-'2019'!Resal)*(1-EXP(('2019'!Tnet-t)/('2019'!Tau_j))),Resal+(Salim-Resal)*(1-EXP((Tnet-t)/(Tau_j))))*Salcycl</f>
        <v>0.12204824939186092</v>
      </c>
      <c r="P341" s="171">
        <f>(INDEX(Models!$BJ341:$BT341,,T341)*(1-R341)+INDEX(Models!$BJ341:$BT341,,T341+1)*R341-ERP_i)*Q341*Ramure*Pc/MaxiM</f>
        <v>4.515972511425715E-2</v>
      </c>
      <c r="Q341" s="307">
        <f t="shared" si="125"/>
        <v>1</v>
      </c>
      <c r="R341" s="179">
        <f t="shared" si="126"/>
        <v>0.29924439035436035</v>
      </c>
      <c r="S341" s="837">
        <f t="shared" si="127"/>
        <v>-1</v>
      </c>
      <c r="T341" s="178">
        <f t="shared" si="128"/>
        <v>5</v>
      </c>
      <c r="U341" s="253">
        <f t="shared" si="129"/>
        <v>-0.70075560964563965</v>
      </c>
      <c r="V341" s="385">
        <f t="shared" si="130"/>
        <v>17.561330749542361</v>
      </c>
      <c r="W341" s="404"/>
      <c r="X341" s="157">
        <f t="shared" si="131"/>
        <v>44157</v>
      </c>
      <c r="Y341" s="387">
        <f t="shared" si="132"/>
        <v>17.623000000000001</v>
      </c>
      <c r="Z341" s="387">
        <f t="shared" si="133"/>
        <v>17.972561048251084</v>
      </c>
      <c r="AA341" s="388">
        <f t="shared" si="134"/>
        <v>20.471012257566386</v>
      </c>
      <c r="AB341" s="199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0.12204824939186092</v>
      </c>
      <c r="AD341" s="233">
        <f>(INDEX(Models!$BJ341:$BT341,,AH341)*(1-AF341)+INDEX(Models!$BJ341:$BT341,,AH341+1)*AF341-ERP_i)*AE341*Ramure*Pc/MaxiM</f>
        <v>4.515972511425715E-2</v>
      </c>
      <c r="AE341" s="307">
        <f t="shared" si="136"/>
        <v>1</v>
      </c>
      <c r="AF341" s="179">
        <f t="shared" si="137"/>
        <v>0.29924439035436035</v>
      </c>
      <c r="AG341" s="837">
        <f t="shared" si="143"/>
        <v>-1</v>
      </c>
      <c r="AH341" s="178">
        <f t="shared" si="138"/>
        <v>5</v>
      </c>
      <c r="AI341" s="227">
        <f t="shared" si="139"/>
        <v>-0.70075560964563965</v>
      </c>
      <c r="AJ341" s="267" t="b">
        <f t="shared" si="140"/>
        <v>0</v>
      </c>
      <c r="AK341" s="267" t="b">
        <f t="shared" si="141"/>
        <v>0</v>
      </c>
      <c r="AL341" s="267"/>
      <c r="AM341" s="267"/>
      <c r="AN341" s="75"/>
    </row>
    <row r="342" spans="1:40" s="6" customFormat="1" ht="11.25" x14ac:dyDescent="0.2">
      <c r="A342" s="56">
        <f t="shared" si="142"/>
        <v>44158</v>
      </c>
      <c r="B342" s="618">
        <v>16.646999999999998</v>
      </c>
      <c r="C342" s="392"/>
      <c r="D342" s="395">
        <f t="shared" si="122"/>
        <v>16.97759669197033</v>
      </c>
      <c r="E342" s="387">
        <f t="shared" si="120"/>
        <v>19.336353232062645</v>
      </c>
      <c r="F342" s="387">
        <f t="shared" si="123"/>
        <v>20.206281401845153</v>
      </c>
      <c r="G342" s="110">
        <f t="shared" si="121"/>
        <v>0.9546190087776445</v>
      </c>
      <c r="H342" s="414" t="b">
        <f>Wh_hp&gt;='2019'!Maxi_hp</f>
        <v>1</v>
      </c>
      <c r="I342" s="382">
        <f>IF(H342,Wh_hp,'2019'!Maxi_hp)</f>
        <v>20.206281401845153</v>
      </c>
      <c r="J342" s="85">
        <f>IF(H342,An,'2019'!An_max)</f>
        <v>2020</v>
      </c>
      <c r="K342" s="199">
        <f t="shared" si="124"/>
        <v>44158</v>
      </c>
      <c r="L342" s="147">
        <f>IF(t&lt;Tvie,1-EXP((T0-t)*PertePVj)+'2019'!Pspv,1-EXP((T0-t)*PertePVj)+Pspv)</f>
        <v>1.9472525939239094E-2</v>
      </c>
      <c r="M342" s="870"/>
      <c r="N342" s="870"/>
      <c r="O342" s="48">
        <f>IF(t&lt;Tnet,'2019'!Resal+('2019'!Salim-'2019'!Resal)*(1-EXP(('2019'!Tnet-t)/('2019'!Tau_j))),Resal+(Salim-Resal)*(1-EXP((Tnet-t)/(Tau_j))))*Salcycl</f>
        <v>0.1219855942733367</v>
      </c>
      <c r="P342" s="171">
        <f>(INDEX(Models!$BJ342:$BT342,,T342)*(1-R342)+INDEX(Models!$BJ342:$BT342,,T342+1)*R342-ERP_i)*Q342*Ramure*Pc/MaxiM</f>
        <v>4.5841524412058229E-2</v>
      </c>
      <c r="Q342" s="307">
        <f t="shared" si="125"/>
        <v>1</v>
      </c>
      <c r="R342" s="179">
        <f t="shared" si="126"/>
        <v>0.29927508784600754</v>
      </c>
      <c r="S342" s="837">
        <f t="shared" si="127"/>
        <v>-1</v>
      </c>
      <c r="T342" s="178">
        <f t="shared" si="128"/>
        <v>5</v>
      </c>
      <c r="U342" s="253">
        <f t="shared" si="129"/>
        <v>-0.70072491215399246</v>
      </c>
      <c r="V342" s="385">
        <f t="shared" si="130"/>
        <v>17.387543910584224</v>
      </c>
      <c r="W342" s="404"/>
      <c r="X342" s="157">
        <f t="shared" si="131"/>
        <v>44158</v>
      </c>
      <c r="Y342" s="387">
        <f t="shared" si="132"/>
        <v>16.646999999999998</v>
      </c>
      <c r="Z342" s="387">
        <f t="shared" si="133"/>
        <v>16.97759669197033</v>
      </c>
      <c r="AA342" s="388">
        <f t="shared" si="134"/>
        <v>19.336353232062645</v>
      </c>
      <c r="AB342" s="199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0.1219855942733367</v>
      </c>
      <c r="AD342" s="233">
        <f>(INDEX(Models!$BJ342:$BT342,,AH342)*(1-AF342)+INDEX(Models!$BJ342:$BT342,,AH342+1)*AF342-ERP_i)*AE342*Ramure*Pc/MaxiM</f>
        <v>4.5841524412058229E-2</v>
      </c>
      <c r="AE342" s="307">
        <f t="shared" si="136"/>
        <v>1</v>
      </c>
      <c r="AF342" s="179">
        <f t="shared" si="137"/>
        <v>0.29927508784600754</v>
      </c>
      <c r="AG342" s="837">
        <f t="shared" si="143"/>
        <v>-1</v>
      </c>
      <c r="AH342" s="178">
        <f t="shared" si="138"/>
        <v>5</v>
      </c>
      <c r="AI342" s="227">
        <f t="shared" si="139"/>
        <v>-0.70072491215399246</v>
      </c>
      <c r="AJ342" s="267" t="b">
        <f t="shared" si="140"/>
        <v>0</v>
      </c>
      <c r="AK342" s="267" t="b">
        <f t="shared" si="141"/>
        <v>0</v>
      </c>
      <c r="AL342" s="267"/>
      <c r="AM342" s="267"/>
      <c r="AN342" s="75"/>
    </row>
    <row r="343" spans="1:40" s="6" customFormat="1" ht="11.25" customHeight="1" x14ac:dyDescent="0.2">
      <c r="A343" s="56">
        <f t="shared" si="142"/>
        <v>44159</v>
      </c>
      <c r="B343" s="618">
        <v>15.31</v>
      </c>
      <c r="C343" s="392"/>
      <c r="D343" s="395">
        <f t="shared" si="122"/>
        <v>15.614408264310619</v>
      </c>
      <c r="E343" s="387">
        <f t="shared" si="120"/>
        <v>17.782584797584114</v>
      </c>
      <c r="F343" s="387">
        <f t="shared" si="123"/>
        <v>18.507554622634164</v>
      </c>
      <c r="G343" s="110">
        <f t="shared" si="121"/>
        <v>0.88243092581484583</v>
      </c>
      <c r="H343" s="414" t="b">
        <f>Wh_hp&gt;='2019'!Maxi_hp</f>
        <v>1</v>
      </c>
      <c r="I343" s="382">
        <f>IF(H343,Wh_hp,'2019'!Maxi_hp)</f>
        <v>18.507554622634164</v>
      </c>
      <c r="J343" s="85">
        <f>IF(H343,An,'2019'!An_max)</f>
        <v>2020</v>
      </c>
      <c r="K343" s="199">
        <f t="shared" si="124"/>
        <v>44159</v>
      </c>
      <c r="L343" s="147">
        <f>IF(t&lt;Tvie,1-EXP((T0-t)*PertePVj)+'2019'!Pspv,1-EXP((T0-t)*PertePVj)+Pspv)</f>
        <v>1.9495344246018953E-2</v>
      </c>
      <c r="M343" s="870"/>
      <c r="N343" s="870"/>
      <c r="O343" s="48">
        <f>IF(t&lt;Tnet,'2019'!Resal+('2019'!Salim-'2019'!Resal)*(1-EXP(('2019'!Tnet-t)/('2019'!Tau_j))),Resal+(Salim-Resal)*(1-EXP((Tnet-t)/(Tau_j))))*Salcycl</f>
        <v>0.12192696157242888</v>
      </c>
      <c r="P343" s="171">
        <f>(INDEX(Models!$BJ343:$BT343,,T343)*(1-R343)+INDEX(Models!$BJ343:$BT343,,T343+1)*R343-ERP_i)*Q343*Ramure*Pc/MaxiM</f>
        <v>4.6534274590049642E-2</v>
      </c>
      <c r="Q343" s="307">
        <f t="shared" si="125"/>
        <v>1</v>
      </c>
      <c r="R343" s="179">
        <f t="shared" si="126"/>
        <v>0.29930455189796379</v>
      </c>
      <c r="S343" s="837">
        <f t="shared" si="127"/>
        <v>-1</v>
      </c>
      <c r="T343" s="178">
        <f t="shared" si="128"/>
        <v>5</v>
      </c>
      <c r="U343" s="253">
        <f t="shared" si="129"/>
        <v>-0.70069544810203621</v>
      </c>
      <c r="V343" s="385">
        <f t="shared" si="130"/>
        <v>17.216850487729406</v>
      </c>
      <c r="W343" s="404"/>
      <c r="X343" s="157">
        <f t="shared" si="131"/>
        <v>44159</v>
      </c>
      <c r="Y343" s="387">
        <f t="shared" si="132"/>
        <v>15.31</v>
      </c>
      <c r="Z343" s="387">
        <f t="shared" si="133"/>
        <v>15.614408264310619</v>
      </c>
      <c r="AA343" s="388">
        <f t="shared" si="134"/>
        <v>17.782584797584114</v>
      </c>
      <c r="AB343" s="199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0.12192696157242888</v>
      </c>
      <c r="AD343" s="233">
        <f>(INDEX(Models!$BJ343:$BT343,,AH343)*(1-AF343)+INDEX(Models!$BJ343:$BT343,,AH343+1)*AF343-ERP_i)*AE343*Ramure*Pc/MaxiM</f>
        <v>4.6534274590049642E-2</v>
      </c>
      <c r="AE343" s="307">
        <f t="shared" si="136"/>
        <v>1</v>
      </c>
      <c r="AF343" s="179">
        <f t="shared" si="137"/>
        <v>0.29930455189796379</v>
      </c>
      <c r="AG343" s="837">
        <f t="shared" si="143"/>
        <v>-1</v>
      </c>
      <c r="AH343" s="178">
        <f t="shared" si="138"/>
        <v>5</v>
      </c>
      <c r="AI343" s="227">
        <f t="shared" si="139"/>
        <v>-0.70069544810203621</v>
      </c>
      <c r="AJ343" s="267" t="b">
        <f t="shared" si="140"/>
        <v>0</v>
      </c>
      <c r="AK343" s="267" t="b">
        <f t="shared" si="141"/>
        <v>0</v>
      </c>
      <c r="AL343" s="267"/>
      <c r="AM343" s="267"/>
      <c r="AN343" s="75"/>
    </row>
    <row r="344" spans="1:40" s="6" customFormat="1" ht="11.25" x14ac:dyDescent="0.2">
      <c r="A344" s="56">
        <f t="shared" si="142"/>
        <v>44160</v>
      </c>
      <c r="B344" s="618">
        <v>16.73</v>
      </c>
      <c r="C344" s="392"/>
      <c r="D344" s="395">
        <f t="shared" si="122"/>
        <v>17.063039162966824</v>
      </c>
      <c r="E344" s="387">
        <f t="shared" si="120"/>
        <v>19.431161543967754</v>
      </c>
      <c r="F344" s="387">
        <f t="shared" si="123"/>
        <v>20.367586395989942</v>
      </c>
      <c r="G344" s="110">
        <f t="shared" si="121"/>
        <v>0.9799929942213943</v>
      </c>
      <c r="H344" s="414" t="b">
        <f>Wh_hp&gt;='2019'!Maxi_hp</f>
        <v>1</v>
      </c>
      <c r="I344" s="382">
        <f>IF(H344,Wh_hp,'2019'!Maxi_hp)</f>
        <v>20.367586395989942</v>
      </c>
      <c r="J344" s="85">
        <f>IF(H344,An,'2019'!An_max)</f>
        <v>2020</v>
      </c>
      <c r="K344" s="199">
        <f t="shared" si="124"/>
        <v>44160</v>
      </c>
      <c r="L344" s="147">
        <f>IF(t&lt;Tvie,1-EXP((T0-t)*PertePVj)+'2019'!Pspv,1-EXP((T0-t)*PertePVj)+Pspv)</f>
        <v>1.9518162021783469E-2</v>
      </c>
      <c r="M344" s="870"/>
      <c r="N344" s="870"/>
      <c r="O344" s="48">
        <f>IF(t&lt;Tnet,'2019'!Resal+('2019'!Salim-'2019'!Resal)*(1-EXP(('2019'!Tnet-t)/('2019'!Tau_j))),Resal+(Salim-Resal)*(1-EXP((Tnet-t)/(Tau_j))))*Salcycl</f>
        <v>0.12187240457254581</v>
      </c>
      <c r="P344" s="171">
        <f>(INDEX(Models!$BJ344:$BT344,,T344)*(1-R344)+INDEX(Models!$BJ344:$BT344,,T344+1)*R344-ERP_i)*Q344*Ramure*Pc/MaxiM</f>
        <v>4.7238747286657223E-2</v>
      </c>
      <c r="Q344" s="307">
        <f t="shared" si="125"/>
        <v>1</v>
      </c>
      <c r="R344" s="179">
        <f t="shared" si="126"/>
        <v>0.29933283197272154</v>
      </c>
      <c r="S344" s="837">
        <f t="shared" si="127"/>
        <v>-1</v>
      </c>
      <c r="T344" s="178">
        <f t="shared" si="128"/>
        <v>5</v>
      </c>
      <c r="U344" s="253">
        <f t="shared" si="129"/>
        <v>-0.70066716802727846</v>
      </c>
      <c r="V344" s="385">
        <f t="shared" si="130"/>
        <v>17.048958810990751</v>
      </c>
      <c r="W344" s="404"/>
      <c r="X344" s="157">
        <f t="shared" si="131"/>
        <v>44160</v>
      </c>
      <c r="Y344" s="387">
        <f t="shared" si="132"/>
        <v>16.73</v>
      </c>
      <c r="Z344" s="387">
        <f t="shared" si="133"/>
        <v>17.063039162966824</v>
      </c>
      <c r="AA344" s="388">
        <f t="shared" si="134"/>
        <v>19.431161543967754</v>
      </c>
      <c r="AB344" s="199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0.12187240457254581</v>
      </c>
      <c r="AD344" s="233">
        <f>(INDEX(Models!$BJ344:$BT344,,AH344)*(1-AF344)+INDEX(Models!$BJ344:$BT344,,AH344+1)*AF344-ERP_i)*AE344*Ramure*Pc/MaxiM</f>
        <v>4.7238747286657223E-2</v>
      </c>
      <c r="AE344" s="307">
        <f t="shared" si="136"/>
        <v>1</v>
      </c>
      <c r="AF344" s="179">
        <f t="shared" si="137"/>
        <v>0.29933283197272154</v>
      </c>
      <c r="AG344" s="837">
        <f t="shared" si="143"/>
        <v>-1</v>
      </c>
      <c r="AH344" s="178">
        <f t="shared" si="138"/>
        <v>5</v>
      </c>
      <c r="AI344" s="227">
        <f t="shared" si="139"/>
        <v>-0.70066716802727846</v>
      </c>
      <c r="AJ344" s="267" t="b">
        <f t="shared" si="140"/>
        <v>0</v>
      </c>
      <c r="AK344" s="267" t="b">
        <f t="shared" si="141"/>
        <v>0</v>
      </c>
      <c r="AL344" s="267"/>
      <c r="AM344" s="267"/>
      <c r="AN344" s="75"/>
    </row>
    <row r="345" spans="1:40" s="6" customFormat="1" ht="11.25" customHeight="1" x14ac:dyDescent="0.2">
      <c r="A345" s="56">
        <f t="shared" si="142"/>
        <v>44161</v>
      </c>
      <c r="B345" s="618">
        <v>13.154999999999999</v>
      </c>
      <c r="C345" s="392"/>
      <c r="D345" s="395">
        <f t="shared" si="122"/>
        <v>13.417184932583003</v>
      </c>
      <c r="E345" s="387">
        <f t="shared" si="120"/>
        <v>15.278433686653143</v>
      </c>
      <c r="F345" s="387">
        <f t="shared" si="123"/>
        <v>15.797087414501439</v>
      </c>
      <c r="G345" s="110">
        <f t="shared" si="121"/>
        <v>0.76702636761751997</v>
      </c>
      <c r="H345" s="414" t="b">
        <f>Wh_hp&gt;='2019'!Maxi_hp</f>
        <v>0</v>
      </c>
      <c r="I345" s="382">
        <f>IF(H345,Wh_hp,'2019'!Maxi_hp)</f>
        <v>18.723509974078482</v>
      </c>
      <c r="J345" s="85">
        <f>IF(H345,An,'2019'!An_max)</f>
        <v>2018</v>
      </c>
      <c r="K345" s="199">
        <f t="shared" si="124"/>
        <v>44161</v>
      </c>
      <c r="L345" s="147">
        <f>IF(t&lt;Tvie,1-EXP((T0-t)*PertePVj)+'2019'!Pspv,1-EXP((T0-t)*PertePVj)+Pspv)</f>
        <v>1.9540979266544967E-2</v>
      </c>
      <c r="M345" s="870"/>
      <c r="N345" s="870"/>
      <c r="O345" s="48">
        <f>IF(t&lt;Tnet,'2019'!Resal+('2019'!Salim-'2019'!Resal)*(1-EXP(('2019'!Tnet-t)/('2019'!Tau_j))),Resal+(Salim-Resal)*(1-EXP((Tnet-t)/(Tau_j))))*Salcycl</f>
        <v>0.12182196108859515</v>
      </c>
      <c r="P345" s="171">
        <f>(INDEX(Models!$BJ345:$BT345,,T345)*(1-R345)+INDEX(Models!$BJ345:$BT345,,T345+1)*R345-ERP_i)*Q345*Ramure*Pc/MaxiM</f>
        <v>4.7958936945823705E-2</v>
      </c>
      <c r="Q345" s="307">
        <f t="shared" si="125"/>
        <v>1</v>
      </c>
      <c r="R345" s="179">
        <f t="shared" si="126"/>
        <v>0.29935997555696636</v>
      </c>
      <c r="S345" s="837">
        <f t="shared" si="127"/>
        <v>-1</v>
      </c>
      <c r="T345" s="178">
        <f t="shared" si="128"/>
        <v>5</v>
      </c>
      <c r="U345" s="253">
        <f t="shared" si="129"/>
        <v>-0.70064002444303364</v>
      </c>
      <c r="V345" s="385">
        <f t="shared" si="130"/>
        <v>16.882409376540064</v>
      </c>
      <c r="W345" s="404"/>
      <c r="X345" s="157">
        <f t="shared" si="131"/>
        <v>44161</v>
      </c>
      <c r="Y345" s="387">
        <f t="shared" si="132"/>
        <v>13.154999999999999</v>
      </c>
      <c r="Z345" s="387">
        <f t="shared" si="133"/>
        <v>13.417184932583003</v>
      </c>
      <c r="AA345" s="388">
        <f t="shared" si="134"/>
        <v>15.278433686653143</v>
      </c>
      <c r="AB345" s="199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0.12182196108859515</v>
      </c>
      <c r="AD345" s="233">
        <f>(INDEX(Models!$BJ345:$BT345,,AH345)*(1-AF345)+INDEX(Models!$BJ345:$BT345,,AH345+1)*AF345-ERP_i)*AE345*Ramure*Pc/MaxiM</f>
        <v>4.7958936945823705E-2</v>
      </c>
      <c r="AE345" s="307">
        <f t="shared" si="136"/>
        <v>1</v>
      </c>
      <c r="AF345" s="179">
        <f t="shared" si="137"/>
        <v>0.29935997555696636</v>
      </c>
      <c r="AG345" s="837">
        <f t="shared" si="143"/>
        <v>-1</v>
      </c>
      <c r="AH345" s="178">
        <f t="shared" si="138"/>
        <v>5</v>
      </c>
      <c r="AI345" s="227">
        <f t="shared" si="139"/>
        <v>-0.70064002444303364</v>
      </c>
      <c r="AJ345" s="267" t="b">
        <f t="shared" si="140"/>
        <v>0</v>
      </c>
      <c r="AK345" s="267" t="b">
        <f t="shared" si="141"/>
        <v>0</v>
      </c>
      <c r="AL345" s="267"/>
      <c r="AM345" s="267"/>
      <c r="AN345" s="75"/>
    </row>
    <row r="346" spans="1:40" s="6" customFormat="1" ht="11.25" customHeight="1" x14ac:dyDescent="0.2">
      <c r="A346" s="56">
        <f t="shared" si="142"/>
        <v>44162</v>
      </c>
      <c r="B346" s="618">
        <v>10.348000000000001</v>
      </c>
      <c r="C346" s="392"/>
      <c r="D346" s="395">
        <f t="shared" si="122"/>
        <v>10.554485807005394</v>
      </c>
      <c r="E346" s="387">
        <f t="shared" si="120"/>
        <v>12.017983616695581</v>
      </c>
      <c r="F346" s="387">
        <f t="shared" si="123"/>
        <v>12.29077034858245</v>
      </c>
      <c r="G346" s="110">
        <f t="shared" si="121"/>
        <v>0.60225005286230127</v>
      </c>
      <c r="H346" s="414" t="b">
        <f>Wh_hp&gt;='2019'!Maxi_hp</f>
        <v>0</v>
      </c>
      <c r="I346" s="382">
        <f>IF(H346,Wh_hp,'2019'!Maxi_hp)</f>
        <v>15.043607934783193</v>
      </c>
      <c r="J346" s="85">
        <f>IF(H346,An,'2019'!An_max)</f>
        <v>2018</v>
      </c>
      <c r="K346" s="199">
        <f t="shared" si="124"/>
        <v>44162</v>
      </c>
      <c r="L346" s="147">
        <f>IF(t&lt;Tvie,1-EXP((T0-t)*PertePVj)+'2019'!Pspv,1-EXP((T0-t)*PertePVj)+Pspv)</f>
        <v>1.9563795980315879E-2</v>
      </c>
      <c r="M346" s="870"/>
      <c r="N346" s="870"/>
      <c r="O346" s="48">
        <f>IF(t&lt;Tnet,'2019'!Resal+('2019'!Salim-'2019'!Resal)*(1-EXP(('2019'!Tnet-t)/('2019'!Tau_j))),Resal+(Salim-Resal)*(1-EXP((Tnet-t)/(Tau_j))))*Salcycl</f>
        <v>0.12177565358443922</v>
      </c>
      <c r="P346" s="171">
        <f>(INDEX(Models!$BJ346:$BT346,,T346)*(1-R346)+INDEX(Models!$BJ346:$BT346,,T346+1)*R346-ERP_i)*Q346*Ramure*Pc/MaxiM</f>
        <v>4.8698101659200237E-2</v>
      </c>
      <c r="Q346" s="307">
        <f t="shared" si="125"/>
        <v>1</v>
      </c>
      <c r="R346" s="179">
        <f t="shared" si="126"/>
        <v>0.29938602823989491</v>
      </c>
      <c r="S346" s="837">
        <f t="shared" si="127"/>
        <v>-1</v>
      </c>
      <c r="T346" s="178">
        <f t="shared" si="128"/>
        <v>5</v>
      </c>
      <c r="U346" s="253">
        <f t="shared" si="129"/>
        <v>-0.70061397176010509</v>
      </c>
      <c r="V346" s="385">
        <f t="shared" si="130"/>
        <v>16.716503093327571</v>
      </c>
      <c r="W346" s="404"/>
      <c r="X346" s="157">
        <f t="shared" si="131"/>
        <v>44162</v>
      </c>
      <c r="Y346" s="387">
        <f t="shared" si="132"/>
        <v>10.348000000000001</v>
      </c>
      <c r="Z346" s="387">
        <f t="shared" si="133"/>
        <v>10.554485807005394</v>
      </c>
      <c r="AA346" s="388">
        <f t="shared" si="134"/>
        <v>12.017983616695581</v>
      </c>
      <c r="AB346" s="199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0.12177565358443922</v>
      </c>
      <c r="AD346" s="233">
        <f>(INDEX(Models!$BJ346:$BT346,,AH346)*(1-AF346)+INDEX(Models!$BJ346:$BT346,,AH346+1)*AF346-ERP_i)*AE346*Ramure*Pc/MaxiM</f>
        <v>4.8698101659200237E-2</v>
      </c>
      <c r="AE346" s="307">
        <f t="shared" si="136"/>
        <v>1</v>
      </c>
      <c r="AF346" s="179">
        <f t="shared" si="137"/>
        <v>0.29938602823989491</v>
      </c>
      <c r="AG346" s="837">
        <f t="shared" si="143"/>
        <v>-1</v>
      </c>
      <c r="AH346" s="178">
        <f t="shared" si="138"/>
        <v>5</v>
      </c>
      <c r="AI346" s="227">
        <f t="shared" si="139"/>
        <v>-0.70061397176010509</v>
      </c>
      <c r="AJ346" s="267" t="b">
        <f t="shared" si="140"/>
        <v>0</v>
      </c>
      <c r="AK346" s="267" t="b">
        <f t="shared" si="141"/>
        <v>0</v>
      </c>
      <c r="AL346" s="267"/>
      <c r="AM346" s="267"/>
      <c r="AN346" s="75"/>
    </row>
    <row r="347" spans="1:40" s="6" customFormat="1" ht="11.25" customHeight="1" x14ac:dyDescent="0.2">
      <c r="A347" s="56">
        <f t="shared" si="142"/>
        <v>44163</v>
      </c>
      <c r="B347" s="618">
        <v>8.0990000000000002</v>
      </c>
      <c r="C347" s="392"/>
      <c r="D347" s="395">
        <f t="shared" si="122"/>
        <v>8.2608011074481649</v>
      </c>
      <c r="E347" s="387">
        <f t="shared" si="120"/>
        <v>9.4058022338171519</v>
      </c>
      <c r="F347" s="387">
        <f t="shared" si="123"/>
        <v>9.533316618244843</v>
      </c>
      <c r="G347" s="110">
        <f t="shared" si="121"/>
        <v>0.47141028399309087</v>
      </c>
      <c r="H347" s="414" t="b">
        <f>Wh_hp&gt;='2019'!Maxi_hp</f>
        <v>0</v>
      </c>
      <c r="I347" s="382">
        <f>IF(H347,Wh_hp,'2019'!Maxi_hp)</f>
        <v>19.948122922418964</v>
      </c>
      <c r="J347" s="85">
        <f>IF(H347,An,'2019'!An_max)</f>
        <v>2018</v>
      </c>
      <c r="K347" s="199">
        <f t="shared" si="124"/>
        <v>44163</v>
      </c>
      <c r="L347" s="147">
        <f>IF(t&lt;Tvie,1-EXP((T0-t)*PertePVj)+'2019'!Pspv,1-EXP((T0-t)*PertePVj)+Pspv)</f>
        <v>1.958661216310853E-2</v>
      </c>
      <c r="M347" s="870"/>
      <c r="N347" s="870"/>
      <c r="O347" s="48">
        <f>IF(t&lt;Tnet,'2019'!Resal+('2019'!Salim-'2019'!Resal)*(1-EXP(('2019'!Tnet-t)/('2019'!Tau_j))),Resal+(Salim-Resal)*(1-EXP((Tnet-t)/(Tau_j))))*Salcycl</f>
        <v>0.12173348938300083</v>
      </c>
      <c r="P347" s="171">
        <f>(INDEX(Models!$BJ347:$BT347,,T347)*(1-R347)+INDEX(Models!$BJ347:$BT347,,T347+1)*R347-ERP_i)*Q347*Ramure*Pc/MaxiM</f>
        <v>4.9459484561040983E-2</v>
      </c>
      <c r="Q347" s="307">
        <f t="shared" si="125"/>
        <v>1</v>
      </c>
      <c r="R347" s="179">
        <f t="shared" si="126"/>
        <v>0.29941103378847578</v>
      </c>
      <c r="S347" s="837">
        <f t="shared" si="127"/>
        <v>-1</v>
      </c>
      <c r="T347" s="178">
        <f t="shared" si="128"/>
        <v>5</v>
      </c>
      <c r="U347" s="253">
        <f t="shared" si="129"/>
        <v>-0.70058896621152422</v>
      </c>
      <c r="V347" s="385">
        <f t="shared" si="130"/>
        <v>16.552025741378138</v>
      </c>
      <c r="W347" s="404"/>
      <c r="X347" s="157">
        <f t="shared" si="131"/>
        <v>44163</v>
      </c>
      <c r="Y347" s="387">
        <f t="shared" si="132"/>
        <v>8.0990000000000002</v>
      </c>
      <c r="Z347" s="387">
        <f t="shared" si="133"/>
        <v>8.2608011074481649</v>
      </c>
      <c r="AA347" s="388">
        <f t="shared" si="134"/>
        <v>9.4058022338171519</v>
      </c>
      <c r="AB347" s="199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0.12173348938300083</v>
      </c>
      <c r="AD347" s="233">
        <f>(INDEX(Models!$BJ347:$BT347,,AH347)*(1-AF347)+INDEX(Models!$BJ347:$BT347,,AH347+1)*AF347-ERP_i)*AE347*Ramure*Pc/MaxiM</f>
        <v>4.9459484561040983E-2</v>
      </c>
      <c r="AE347" s="307">
        <f t="shared" si="136"/>
        <v>1</v>
      </c>
      <c r="AF347" s="179">
        <f t="shared" si="137"/>
        <v>0.29941103378847578</v>
      </c>
      <c r="AG347" s="837">
        <f t="shared" si="143"/>
        <v>-1</v>
      </c>
      <c r="AH347" s="178">
        <f t="shared" si="138"/>
        <v>5</v>
      </c>
      <c r="AI347" s="227">
        <f t="shared" si="139"/>
        <v>-0.70058896621152422</v>
      </c>
      <c r="AJ347" s="267" t="b">
        <f t="shared" si="140"/>
        <v>0</v>
      </c>
      <c r="AK347" s="267" t="b">
        <f t="shared" si="141"/>
        <v>0</v>
      </c>
      <c r="AL347" s="267"/>
      <c r="AM347" s="267"/>
      <c r="AN347" s="75"/>
    </row>
    <row r="348" spans="1:40" s="6" customFormat="1" ht="11.25" customHeight="1" x14ac:dyDescent="0.2">
      <c r="A348" s="56">
        <f t="shared" si="142"/>
        <v>44164</v>
      </c>
      <c r="B348" s="618">
        <v>15.074</v>
      </c>
      <c r="C348" s="392"/>
      <c r="D348" s="395">
        <f t="shared" si="122"/>
        <v>15.375504852523752</v>
      </c>
      <c r="E348" s="387">
        <f t="shared" si="120"/>
        <v>17.505892511322163</v>
      </c>
      <c r="F348" s="387">
        <f t="shared" si="123"/>
        <v>18.320777764884994</v>
      </c>
      <c r="G348" s="110">
        <f t="shared" si="121"/>
        <v>0.91416897296215094</v>
      </c>
      <c r="H348" s="414" t="b">
        <f>Wh_hp&gt;='2019'!Maxi_hp</f>
        <v>1</v>
      </c>
      <c r="I348" s="382">
        <f>IF(H348,Wh_hp,'2019'!Maxi_hp)</f>
        <v>18.320777764884994</v>
      </c>
      <c r="J348" s="85">
        <f>IF(H348,An,'2019'!An_max)</f>
        <v>2020</v>
      </c>
      <c r="K348" s="199">
        <f t="shared" si="124"/>
        <v>44164</v>
      </c>
      <c r="L348" s="147">
        <f>IF(t&lt;Tvie,1-EXP((T0-t)*PertePVj)+'2019'!Pspv,1-EXP((T0-t)*PertePVj)+Pspv)</f>
        <v>1.9609427814935354E-2</v>
      </c>
      <c r="M348" s="870"/>
      <c r="N348" s="870"/>
      <c r="O348" s="48">
        <f>IF(t&lt;Tnet,'2019'!Resal+('2019'!Salim-'2019'!Resal)*(1-EXP(('2019'!Tnet-t)/('2019'!Tau_j))),Resal+(Salim-Resal)*(1-EXP((Tnet-t)/(Tau_j))))*Salcycl</f>
        <v>0.12169546096667479</v>
      </c>
      <c r="P348" s="171">
        <f>(INDEX(Models!$BJ348:$BT348,,T348)*(1-R348)+INDEX(Models!$BJ348:$BT348,,T348+1)*R348-ERP_i)*Q348*Ramure*Pc/MaxiM</f>
        <v>5.024101071948768E-2</v>
      </c>
      <c r="Q348" s="307">
        <f t="shared" si="125"/>
        <v>1</v>
      </c>
      <c r="R348" s="179">
        <f t="shared" si="126"/>
        <v>0.29943503421976847</v>
      </c>
      <c r="S348" s="837">
        <f t="shared" si="127"/>
        <v>-1</v>
      </c>
      <c r="T348" s="178">
        <f t="shared" si="128"/>
        <v>5</v>
      </c>
      <c r="U348" s="253">
        <f t="shared" si="129"/>
        <v>-0.70056496578023153</v>
      </c>
      <c r="V348" s="385">
        <f t="shared" si="130"/>
        <v>16.389854405589325</v>
      </c>
      <c r="W348" s="404"/>
      <c r="X348" s="157">
        <f t="shared" si="131"/>
        <v>44164</v>
      </c>
      <c r="Y348" s="387">
        <f t="shared" si="132"/>
        <v>15.073999999999998</v>
      </c>
      <c r="Z348" s="387">
        <f t="shared" si="133"/>
        <v>15.375504852523751</v>
      </c>
      <c r="AA348" s="388">
        <f t="shared" si="134"/>
        <v>17.505892511322163</v>
      </c>
      <c r="AB348" s="199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0.12169546096667479</v>
      </c>
      <c r="AD348" s="233">
        <f>(INDEX(Models!$BJ348:$BT348,,AH348)*(1-AF348)+INDEX(Models!$BJ348:$BT348,,AH348+1)*AF348-ERP_i)*AE348*Ramure*Pc/MaxiM</f>
        <v>5.024101071948768E-2</v>
      </c>
      <c r="AE348" s="307">
        <f t="shared" si="136"/>
        <v>1</v>
      </c>
      <c r="AF348" s="179">
        <f t="shared" si="137"/>
        <v>0.29943503421976847</v>
      </c>
      <c r="AG348" s="837">
        <f t="shared" si="143"/>
        <v>-1</v>
      </c>
      <c r="AH348" s="178">
        <f t="shared" si="138"/>
        <v>5</v>
      </c>
      <c r="AI348" s="227">
        <f t="shared" si="139"/>
        <v>-0.70056496578023153</v>
      </c>
      <c r="AJ348" s="267" t="b">
        <f t="shared" si="140"/>
        <v>0</v>
      </c>
      <c r="AK348" s="267" t="b">
        <f t="shared" si="141"/>
        <v>0</v>
      </c>
      <c r="AL348" s="267"/>
      <c r="AM348" s="267"/>
      <c r="AN348" s="75"/>
    </row>
    <row r="349" spans="1:40" s="6" customFormat="1" ht="11.25" customHeight="1" x14ac:dyDescent="0.2">
      <c r="A349" s="56">
        <f t="shared" si="142"/>
        <v>44165</v>
      </c>
      <c r="B349" s="618">
        <v>15.401999999999999</v>
      </c>
      <c r="C349" s="392"/>
      <c r="D349" s="395">
        <f t="shared" si="122"/>
        <v>15.71043099797857</v>
      </c>
      <c r="E349" s="387">
        <f t="shared" si="120"/>
        <v>17.886534436652468</v>
      </c>
      <c r="F349" s="387">
        <f t="shared" si="123"/>
        <v>18.774902602934571</v>
      </c>
      <c r="G349" s="110">
        <f t="shared" si="121"/>
        <v>0.94522380404109019</v>
      </c>
      <c r="H349" s="414" t="b">
        <f>Wh_hp&gt;='2019'!Maxi_hp</f>
        <v>1</v>
      </c>
      <c r="I349" s="382">
        <f>IF(H349,Wh_hp,'2019'!Maxi_hp)</f>
        <v>18.774902602934571</v>
      </c>
      <c r="J349" s="85">
        <f>IF(H349,An,'2019'!An_max)</f>
        <v>2020</v>
      </c>
      <c r="K349" s="199">
        <f t="shared" si="124"/>
        <v>44165</v>
      </c>
      <c r="L349" s="147">
        <f>IF(t&lt;Tvie,1-EXP((T0-t)*PertePVj)+'2019'!Pspv,1-EXP((T0-t)*PertePVj)+Pspv)</f>
        <v>1.9632242935808453E-2</v>
      </c>
      <c r="M349" s="870"/>
      <c r="N349" s="870"/>
      <c r="O349" s="48">
        <f>IF(t&lt;Tnet,'2019'!Resal+('2019'!Salim-'2019'!Resal)*(1-EXP(('2019'!Tnet-t)/('2019'!Tau_j))),Resal+(Salim-Resal)*(1-EXP((Tnet-t)/(Tau_j))))*Salcycl</f>
        <v>0.12166154636499633</v>
      </c>
      <c r="P349" s="171">
        <f>(INDEX(Models!$BJ349:$BT349,,T349)*(1-R349)+INDEX(Models!$BJ349:$BT349,,T349+1)*R349-ERP_i)*Q349*Ramure*Pc/MaxiM</f>
        <v>5.1040353288160714E-2</v>
      </c>
      <c r="Q349" s="307">
        <f t="shared" si="125"/>
        <v>1</v>
      </c>
      <c r="R349" s="179">
        <f t="shared" si="126"/>
        <v>0.29945806987041423</v>
      </c>
      <c r="S349" s="837">
        <f t="shared" si="127"/>
        <v>-1</v>
      </c>
      <c r="T349" s="178">
        <f t="shared" si="128"/>
        <v>5</v>
      </c>
      <c r="U349" s="253">
        <f t="shared" si="129"/>
        <v>-0.70054193012958577</v>
      </c>
      <c r="V349" s="385">
        <f t="shared" si="130"/>
        <v>16.230866423755046</v>
      </c>
      <c r="W349" s="404"/>
      <c r="X349" s="157">
        <f t="shared" si="131"/>
        <v>44165</v>
      </c>
      <c r="Y349" s="387">
        <f t="shared" si="132"/>
        <v>15.401999999999999</v>
      </c>
      <c r="Z349" s="387">
        <f t="shared" si="133"/>
        <v>15.71043099797857</v>
      </c>
      <c r="AA349" s="388">
        <f t="shared" si="134"/>
        <v>17.886534436652468</v>
      </c>
      <c r="AB349" s="199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0.12166154636499633</v>
      </c>
      <c r="AD349" s="233">
        <f>(INDEX(Models!$BJ349:$BT349,,AH349)*(1-AF349)+INDEX(Models!$BJ349:$BT349,,AH349+1)*AF349-ERP_i)*AE349*Ramure*Pc/MaxiM</f>
        <v>5.1040353288160714E-2</v>
      </c>
      <c r="AE349" s="307">
        <f t="shared" si="136"/>
        <v>1</v>
      </c>
      <c r="AF349" s="179">
        <f t="shared" si="137"/>
        <v>0.29945806987041423</v>
      </c>
      <c r="AG349" s="837">
        <f t="shared" si="143"/>
        <v>-1</v>
      </c>
      <c r="AH349" s="178">
        <f t="shared" si="138"/>
        <v>5</v>
      </c>
      <c r="AI349" s="227">
        <f t="shared" si="139"/>
        <v>-0.70054193012958577</v>
      </c>
      <c r="AJ349" s="267" t="b">
        <f t="shared" si="140"/>
        <v>0</v>
      </c>
      <c r="AK349" s="267" t="b">
        <f t="shared" si="141"/>
        <v>0</v>
      </c>
      <c r="AL349" s="267"/>
      <c r="AM349" s="267"/>
      <c r="AN349" s="75"/>
    </row>
    <row r="350" spans="1:40" s="6" customFormat="1" ht="11.25" customHeight="1" x14ac:dyDescent="0.2">
      <c r="A350" s="56">
        <f t="shared" si="142"/>
        <v>44166</v>
      </c>
      <c r="B350" s="618">
        <v>4.0199999999999996</v>
      </c>
      <c r="C350" s="392"/>
      <c r="D350" s="395">
        <f t="shared" si="122"/>
        <v>4.1005974793464608</v>
      </c>
      <c r="E350" s="387">
        <f t="shared" si="120"/>
        <v>4.6684261309111532</v>
      </c>
      <c r="F350" s="387">
        <f t="shared" si="123"/>
        <v>4.6684261309111532</v>
      </c>
      <c r="G350" s="110">
        <f t="shared" si="121"/>
        <v>0.23709614473126175</v>
      </c>
      <c r="H350" s="414" t="b">
        <f>Wh_hp&gt;='2019'!Maxi_hp</f>
        <v>0</v>
      </c>
      <c r="I350" s="382">
        <f>IF(H350,Wh_hp,'2019'!Maxi_hp)</f>
        <v>7.5270969841671391</v>
      </c>
      <c r="J350" s="85">
        <f>IF(H350,An,'2019'!An_max)</f>
        <v>2018</v>
      </c>
      <c r="K350" s="199">
        <f t="shared" si="124"/>
        <v>44166</v>
      </c>
      <c r="L350" s="147">
        <f>IF(t&lt;Tvie,1-EXP((T0-t)*PertePVj)+'2019'!Pspv,1-EXP((T0-t)*PertePVj)+Pspv)</f>
        <v>1.9655057525740482E-2</v>
      </c>
      <c r="M350" s="870"/>
      <c r="N350" s="870"/>
      <c r="O350" s="48">
        <f>IF(t&lt;Tnet,'2019'!Resal+('2019'!Salim-'2019'!Resal)*(1-EXP(('2019'!Tnet-t)/('2019'!Tau_j))),Resal+(Salim-Resal)*(1-EXP((Tnet-t)/(Tau_j))))*Salcycl</f>
        <v>0.12163170962584506</v>
      </c>
      <c r="P350" s="171">
        <f>(INDEX(Models!$BJ350:$BT350,,T350)*(1-R350)+INDEX(Models!$BJ350:$BT350,,T350+1)*R350-ERP_i)*Q350*Ramure*Pc/MaxiM</f>
        <v>5.1854916635845426E-2</v>
      </c>
      <c r="Q350" s="307">
        <f t="shared" si="125"/>
        <v>1</v>
      </c>
      <c r="R350" s="179">
        <f t="shared" si="126"/>
        <v>0.29948017946340488</v>
      </c>
      <c r="S350" s="837">
        <f t="shared" si="127"/>
        <v>-1</v>
      </c>
      <c r="T350" s="178">
        <f t="shared" si="128"/>
        <v>5</v>
      </c>
      <c r="U350" s="253">
        <f t="shared" si="129"/>
        <v>-0.70051982053659512</v>
      </c>
      <c r="V350" s="385">
        <f t="shared" si="130"/>
        <v>16.07593931754614</v>
      </c>
      <c r="W350" s="404"/>
      <c r="X350" s="157">
        <f t="shared" si="131"/>
        <v>44166</v>
      </c>
      <c r="Y350" s="387">
        <f t="shared" si="132"/>
        <v>4.0199999999999996</v>
      </c>
      <c r="Z350" s="387">
        <f t="shared" si="133"/>
        <v>4.1005974793464608</v>
      </c>
      <c r="AA350" s="388">
        <f t="shared" si="134"/>
        <v>4.6684261309111532</v>
      </c>
      <c r="AB350" s="199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0.12163170962584506</v>
      </c>
      <c r="AD350" s="233">
        <f>(INDEX(Models!$BJ350:$BT350,,AH350)*(1-AF350)+INDEX(Models!$BJ350:$BT350,,AH350+1)*AF350-ERP_i)*AE350*Ramure*Pc/MaxiM</f>
        <v>5.1854916635845426E-2</v>
      </c>
      <c r="AE350" s="307">
        <f t="shared" si="136"/>
        <v>1</v>
      </c>
      <c r="AF350" s="179">
        <f t="shared" si="137"/>
        <v>0.29948017946340488</v>
      </c>
      <c r="AG350" s="837">
        <f t="shared" si="143"/>
        <v>-1</v>
      </c>
      <c r="AH350" s="178">
        <f t="shared" si="138"/>
        <v>5</v>
      </c>
      <c r="AI350" s="227">
        <f t="shared" si="139"/>
        <v>-0.70051982053659512</v>
      </c>
      <c r="AJ350" s="267" t="b">
        <f t="shared" si="140"/>
        <v>0</v>
      </c>
      <c r="AK350" s="267" t="b">
        <f t="shared" si="141"/>
        <v>0</v>
      </c>
      <c r="AL350" s="267"/>
      <c r="AM350" s="267"/>
      <c r="AN350" s="75"/>
    </row>
    <row r="351" spans="1:40" s="6" customFormat="1" ht="11.25" customHeight="1" x14ac:dyDescent="0.2">
      <c r="A351" s="56">
        <f t="shared" si="142"/>
        <v>44167</v>
      </c>
      <c r="B351" s="618">
        <v>1.4279999999999999</v>
      </c>
      <c r="C351" s="392"/>
      <c r="D351" s="395">
        <f t="shared" si="122"/>
        <v>1.4566640480802358</v>
      </c>
      <c r="E351" s="387">
        <f t="shared" si="120"/>
        <v>1.6583263142878801</v>
      </c>
      <c r="F351" s="387">
        <f t="shared" si="123"/>
        <v>1.6583263142878801</v>
      </c>
      <c r="G351" s="110">
        <f t="shared" si="121"/>
        <v>8.4941262326655539E-2</v>
      </c>
      <c r="H351" s="414" t="b">
        <f>Wh_hp&gt;='2019'!Maxi_hp</f>
        <v>0</v>
      </c>
      <c r="I351" s="382">
        <f>IF(H351,Wh_hp,'2019'!Maxi_hp)</f>
        <v>8.9574187456558683</v>
      </c>
      <c r="J351" s="85">
        <f>IF(H351,An,'2019'!An_max)</f>
        <v>2018</v>
      </c>
      <c r="K351" s="199">
        <f t="shared" si="124"/>
        <v>44167</v>
      </c>
      <c r="L351" s="147">
        <f>IF(t&lt;Tvie,1-EXP((T0-t)*PertePVj)+'2019'!Pspv,1-EXP((T0-t)*PertePVj)+Pspv)</f>
        <v>1.9677871584743656E-2</v>
      </c>
      <c r="M351" s="870"/>
      <c r="N351" s="870"/>
      <c r="O351" s="48">
        <f>IF(t&lt;Tnet,'2019'!Resal+('2019'!Salim-'2019'!Resal)*(1-EXP(('2019'!Tnet-t)/('2019'!Tau_j))),Resal+(Salim-Resal)*(1-EXP((Tnet-t)/(Tau_j))))*Salcycl</f>
        <v>0.12160590136582514</v>
      </c>
      <c r="P351" s="171">
        <f>(INDEX(Models!$BJ351:$BT351,,T351)*(1-R351)+INDEX(Models!$BJ351:$BT351,,T351+1)*R351-ERP_i)*Q351*Ramure*Pc/MaxiM</f>
        <v>5.2681821955299676E-2</v>
      </c>
      <c r="Q351" s="307">
        <f t="shared" si="125"/>
        <v>1</v>
      </c>
      <c r="R351" s="179">
        <f t="shared" si="126"/>
        <v>0.29950140017223248</v>
      </c>
      <c r="S351" s="837">
        <f t="shared" si="127"/>
        <v>-1</v>
      </c>
      <c r="T351" s="178">
        <f t="shared" si="128"/>
        <v>5</v>
      </c>
      <c r="U351" s="253">
        <f t="shared" si="129"/>
        <v>-0.70049859982776752</v>
      </c>
      <c r="V351" s="385">
        <f t="shared" si="130"/>
        <v>15.925950723990093</v>
      </c>
      <c r="W351" s="404"/>
      <c r="X351" s="157">
        <f t="shared" si="131"/>
        <v>44167</v>
      </c>
      <c r="Y351" s="387">
        <f t="shared" si="132"/>
        <v>1.4279999999999999</v>
      </c>
      <c r="Z351" s="387">
        <f t="shared" si="133"/>
        <v>1.4566640480802358</v>
      </c>
      <c r="AA351" s="388">
        <f t="shared" si="134"/>
        <v>1.6583263142878801</v>
      </c>
      <c r="AB351" s="199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0.12160590136582514</v>
      </c>
      <c r="AD351" s="233">
        <f>(INDEX(Models!$BJ351:$BT351,,AH351)*(1-AF351)+INDEX(Models!$BJ351:$BT351,,AH351+1)*AF351-ERP_i)*AE351*Ramure*Pc/MaxiM</f>
        <v>5.2681821955299676E-2</v>
      </c>
      <c r="AE351" s="307">
        <f t="shared" si="136"/>
        <v>1</v>
      </c>
      <c r="AF351" s="179">
        <f t="shared" si="137"/>
        <v>0.29950140017223248</v>
      </c>
      <c r="AG351" s="837">
        <f t="shared" si="143"/>
        <v>-1</v>
      </c>
      <c r="AH351" s="178">
        <f t="shared" si="138"/>
        <v>5</v>
      </c>
      <c r="AI351" s="227">
        <f t="shared" si="139"/>
        <v>-0.70049859982776752</v>
      </c>
      <c r="AJ351" s="267" t="b">
        <f t="shared" si="140"/>
        <v>0</v>
      </c>
      <c r="AK351" s="267" t="b">
        <f t="shared" si="141"/>
        <v>0</v>
      </c>
      <c r="AL351" s="267"/>
      <c r="AM351" s="267"/>
      <c r="AN351" s="75"/>
    </row>
    <row r="352" spans="1:40" s="6" customFormat="1" ht="11.25" customHeight="1" x14ac:dyDescent="0.2">
      <c r="A352" s="56">
        <f t="shared" si="142"/>
        <v>44168</v>
      </c>
      <c r="B352" s="618">
        <v>10.176</v>
      </c>
      <c r="C352" s="392"/>
      <c r="D352" s="395">
        <f t="shared" si="122"/>
        <v>10.380503021336127</v>
      </c>
      <c r="E352" s="387">
        <f t="shared" si="120"/>
        <v>11.817298094778502</v>
      </c>
      <c r="F352" s="387">
        <f t="shared" si="123"/>
        <v>12.13714686154451</v>
      </c>
      <c r="G352" s="110">
        <f t="shared" si="121"/>
        <v>0.6268043216442466</v>
      </c>
      <c r="H352" s="414" t="b">
        <f>Wh_hp&gt;='2019'!Maxi_hp</f>
        <v>1</v>
      </c>
      <c r="I352" s="382">
        <f>IF(H352,Wh_hp,'2019'!Maxi_hp)</f>
        <v>12.13714686154451</v>
      </c>
      <c r="J352" s="85">
        <f>IF(H352,An,'2019'!An_max)</f>
        <v>2020</v>
      </c>
      <c r="K352" s="199">
        <f t="shared" si="124"/>
        <v>44168</v>
      </c>
      <c r="L352" s="147">
        <f>IF(t&lt;Tvie,1-EXP((T0-t)*PertePVj)+'2019'!Pspv,1-EXP((T0-t)*PertePVj)+Pspv)</f>
        <v>1.9700685112830296E-2</v>
      </c>
      <c r="M352" s="870"/>
      <c r="N352" s="870"/>
      <c r="O352" s="48">
        <f>IF(t&lt;Tnet,'2019'!Resal+('2019'!Salim-'2019'!Resal)*(1-EXP(('2019'!Tnet-t)/('2019'!Tau_j))),Resal+(Salim-Resal)*(1-EXP((Tnet-t)/(Tau_j))))*Salcycl</f>
        <v>0.1215840593948652</v>
      </c>
      <c r="P352" s="171">
        <f>(INDEX(Models!$BJ352:$BT352,,T352)*(1-R352)+INDEX(Models!$BJ352:$BT352,,T352+1)*R352-ERP_i)*Q352*Ramure*Pc/MaxiM</f>
        <v>5.3503082514362164E-2</v>
      </c>
      <c r="Q352" s="307">
        <f t="shared" si="125"/>
        <v>1</v>
      </c>
      <c r="R352" s="179">
        <f t="shared" si="126"/>
        <v>0.29952176768252148</v>
      </c>
      <c r="S352" s="837">
        <f t="shared" si="127"/>
        <v>-1</v>
      </c>
      <c r="T352" s="178">
        <f t="shared" si="128"/>
        <v>5</v>
      </c>
      <c r="U352" s="253">
        <f t="shared" si="129"/>
        <v>-0.70047823231747852</v>
      </c>
      <c r="V352" s="385">
        <f t="shared" si="130"/>
        <v>15.782025334275914</v>
      </c>
      <c r="W352" s="404"/>
      <c r="X352" s="157">
        <f t="shared" si="131"/>
        <v>44168</v>
      </c>
      <c r="Y352" s="387">
        <f t="shared" si="132"/>
        <v>10.176</v>
      </c>
      <c r="Z352" s="387">
        <f t="shared" si="133"/>
        <v>10.380503021336127</v>
      </c>
      <c r="AA352" s="388">
        <f t="shared" si="134"/>
        <v>11.817298094778502</v>
      </c>
      <c r="AB352" s="199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0.1215840593948652</v>
      </c>
      <c r="AD352" s="233">
        <f>(INDEX(Models!$BJ352:$BT352,,AH352)*(1-AF352)+INDEX(Models!$BJ352:$BT352,,AH352+1)*AF352-ERP_i)*AE352*Ramure*Pc/MaxiM</f>
        <v>5.3503082514362164E-2</v>
      </c>
      <c r="AE352" s="307">
        <f t="shared" si="136"/>
        <v>1</v>
      </c>
      <c r="AF352" s="179">
        <f t="shared" si="137"/>
        <v>0.29952176768252148</v>
      </c>
      <c r="AG352" s="837">
        <f t="shared" si="143"/>
        <v>-1</v>
      </c>
      <c r="AH352" s="178">
        <f t="shared" si="138"/>
        <v>5</v>
      </c>
      <c r="AI352" s="227">
        <f t="shared" si="139"/>
        <v>-0.70047823231747852</v>
      </c>
      <c r="AJ352" s="267" t="b">
        <f t="shared" si="140"/>
        <v>0</v>
      </c>
      <c r="AK352" s="267" t="b">
        <f t="shared" si="141"/>
        <v>0</v>
      </c>
      <c r="AL352" s="267"/>
      <c r="AM352" s="267"/>
      <c r="AN352" s="75"/>
    </row>
    <row r="353" spans="1:40" s="6" customFormat="1" ht="11.25" customHeight="1" x14ac:dyDescent="0.2">
      <c r="A353" s="56">
        <f t="shared" si="142"/>
        <v>44169</v>
      </c>
      <c r="B353" s="618">
        <v>6.806</v>
      </c>
      <c r="C353" s="392"/>
      <c r="D353" s="395">
        <f t="shared" si="122"/>
        <v>6.942939045134648</v>
      </c>
      <c r="E353" s="387">
        <f t="shared" si="120"/>
        <v>7.9037695602428357</v>
      </c>
      <c r="F353" s="387">
        <f t="shared" si="123"/>
        <v>7.9874284216679108</v>
      </c>
      <c r="G353" s="110">
        <f t="shared" si="121"/>
        <v>0.41575215843721519</v>
      </c>
      <c r="H353" s="414" t="b">
        <f>Wh_hp&gt;='2019'!Maxi_hp</f>
        <v>0</v>
      </c>
      <c r="I353" s="382">
        <f>IF(H353,Wh_hp,'2019'!Maxi_hp)</f>
        <v>15.942256021610223</v>
      </c>
      <c r="J353" s="85">
        <f>IF(H353,An,'2019'!An_max)</f>
        <v>2018</v>
      </c>
      <c r="K353" s="199">
        <f t="shared" si="124"/>
        <v>44169</v>
      </c>
      <c r="L353" s="147">
        <f>IF(t&lt;Tvie,1-EXP((T0-t)*PertePVj)+'2019'!Pspv,1-EXP((T0-t)*PertePVj)+Pspv)</f>
        <v>1.9723498110012838E-2</v>
      </c>
      <c r="M353" s="870"/>
      <c r="N353" s="870"/>
      <c r="O353" s="48">
        <f>IF(t&lt;Tnet,'2019'!Resal+('2019'!Salim-'2019'!Resal)*(1-EXP(('2019'!Tnet-t)/('2019'!Tau_j))),Resal+(Salim-Resal)*(1-EXP((Tnet-t)/(Tau_j))))*Salcycl</f>
        <v>0.12156610940952928</v>
      </c>
      <c r="P353" s="171">
        <f>(INDEX(Models!$BJ353:$BT353,,T353)*(1-R353)+INDEX(Models!$BJ353:$BT353,,T353+1)*R353-ERP_i)*Q353*Ramure*Pc/MaxiM</f>
        <v>5.4300811119689749E-2</v>
      </c>
      <c r="Q353" s="307">
        <f t="shared" si="125"/>
        <v>1</v>
      </c>
      <c r="R353" s="179">
        <f t="shared" si="126"/>
        <v>0.29954131625123803</v>
      </c>
      <c r="S353" s="837">
        <f t="shared" si="127"/>
        <v>-1</v>
      </c>
      <c r="T353" s="178">
        <f t="shared" si="128"/>
        <v>5</v>
      </c>
      <c r="U353" s="253">
        <f t="shared" si="129"/>
        <v>-0.70045868374876197</v>
      </c>
      <c r="V353" s="385">
        <f t="shared" si="130"/>
        <v>15.645273457167876</v>
      </c>
      <c r="W353" s="404"/>
      <c r="X353" s="157">
        <f t="shared" si="131"/>
        <v>44169</v>
      </c>
      <c r="Y353" s="387">
        <f t="shared" si="132"/>
        <v>6.806</v>
      </c>
      <c r="Z353" s="387">
        <f t="shared" si="133"/>
        <v>6.942939045134648</v>
      </c>
      <c r="AA353" s="388">
        <f t="shared" si="134"/>
        <v>7.9037695602428357</v>
      </c>
      <c r="AB353" s="199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0.12156610940952928</v>
      </c>
      <c r="AD353" s="233">
        <f>(INDEX(Models!$BJ353:$BT353,,AH353)*(1-AF353)+INDEX(Models!$BJ353:$BT353,,AH353+1)*AF353-ERP_i)*AE353*Ramure*Pc/MaxiM</f>
        <v>5.4300811119689749E-2</v>
      </c>
      <c r="AE353" s="307">
        <f t="shared" si="136"/>
        <v>1</v>
      </c>
      <c r="AF353" s="179">
        <f t="shared" si="137"/>
        <v>0.29954131625123803</v>
      </c>
      <c r="AG353" s="837">
        <f t="shared" si="143"/>
        <v>-1</v>
      </c>
      <c r="AH353" s="178">
        <f t="shared" si="138"/>
        <v>5</v>
      </c>
      <c r="AI353" s="227">
        <f t="shared" si="139"/>
        <v>-0.70045868374876197</v>
      </c>
      <c r="AJ353" s="267" t="b">
        <f t="shared" si="140"/>
        <v>0</v>
      </c>
      <c r="AK353" s="267" t="b">
        <f t="shared" si="141"/>
        <v>0</v>
      </c>
      <c r="AL353" s="267"/>
      <c r="AM353" s="267"/>
      <c r="AN353" s="75"/>
    </row>
    <row r="354" spans="1:40" s="6" customFormat="1" ht="11.25" x14ac:dyDescent="0.2">
      <c r="A354" s="56">
        <f t="shared" si="142"/>
        <v>44170</v>
      </c>
      <c r="B354" s="618">
        <v>13.388999999999999</v>
      </c>
      <c r="C354" s="392"/>
      <c r="D354" s="395">
        <f t="shared" si="122"/>
        <v>13.658709112200908</v>
      </c>
      <c r="E354" s="387">
        <f t="shared" si="120"/>
        <v>15.548681970524685</v>
      </c>
      <c r="F354" s="387">
        <f t="shared" si="123"/>
        <v>16.269133792401302</v>
      </c>
      <c r="G354" s="110">
        <f t="shared" si="121"/>
        <v>0.85314442093395537</v>
      </c>
      <c r="H354" s="414" t="b">
        <f>Wh_hp&gt;='2019'!Maxi_hp</f>
        <v>1</v>
      </c>
      <c r="I354" s="382">
        <f>IF(H354,Wh_hp,'2019'!Maxi_hp)</f>
        <v>16.269133792401302</v>
      </c>
      <c r="J354" s="85">
        <f>IF(H354,An,'2019'!An_max)</f>
        <v>2020</v>
      </c>
      <c r="K354" s="199">
        <f t="shared" si="124"/>
        <v>44170</v>
      </c>
      <c r="L354" s="147">
        <f>IF(t&lt;Tvie,1-EXP((T0-t)*PertePVj)+'2019'!Pspv,1-EXP((T0-t)*PertePVj)+Pspv)</f>
        <v>1.9746310576303716E-2</v>
      </c>
      <c r="M354" s="870"/>
      <c r="N354" s="870"/>
      <c r="O354" s="48">
        <f>IF(t&lt;Tnet,'2019'!Resal+('2019'!Salim-'2019'!Resal)*(1-EXP(('2019'!Tnet-t)/('2019'!Tau_j))),Resal+(Salim-Resal)*(1-EXP((Tnet-t)/(Tau_j))))*Salcycl</f>
        <v>0.12155196574903</v>
      </c>
      <c r="P354" s="171">
        <f>(INDEX(Models!$BJ354:$BT354,,T354)*(1-R354)+INDEX(Models!$BJ354:$BT354,,T354+1)*R354-ERP_i)*Q354*Ramure*Pc/MaxiM</f>
        <v>5.5070594469277638E-2</v>
      </c>
      <c r="Q354" s="307">
        <f t="shared" si="125"/>
        <v>1</v>
      </c>
      <c r="R354" s="179">
        <f t="shared" si="126"/>
        <v>0.29956007876357016</v>
      </c>
      <c r="S354" s="837">
        <f t="shared" si="127"/>
        <v>-1</v>
      </c>
      <c r="T354" s="178">
        <f t="shared" si="128"/>
        <v>5</v>
      </c>
      <c r="U354" s="253">
        <f t="shared" si="129"/>
        <v>-0.70043992123642984</v>
      </c>
      <c r="V354" s="385">
        <f t="shared" si="130"/>
        <v>15.516572701182886</v>
      </c>
      <c r="W354" s="404"/>
      <c r="X354" s="157">
        <f t="shared" si="131"/>
        <v>44170</v>
      </c>
      <c r="Y354" s="387">
        <f t="shared" si="132"/>
        <v>13.388999999999999</v>
      </c>
      <c r="Z354" s="387">
        <f t="shared" si="133"/>
        <v>13.658709112200908</v>
      </c>
      <c r="AA354" s="388">
        <f t="shared" si="134"/>
        <v>15.548681970524685</v>
      </c>
      <c r="AB354" s="199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0.12155196574903</v>
      </c>
      <c r="AD354" s="233">
        <f>(INDEX(Models!$BJ354:$BT354,,AH354)*(1-AF354)+INDEX(Models!$BJ354:$BT354,,AH354+1)*AF354-ERP_i)*AE354*Ramure*Pc/MaxiM</f>
        <v>5.5070594469277638E-2</v>
      </c>
      <c r="AE354" s="307">
        <f t="shared" si="136"/>
        <v>1</v>
      </c>
      <c r="AF354" s="179">
        <f t="shared" si="137"/>
        <v>0.29956007876357016</v>
      </c>
      <c r="AG354" s="837">
        <f t="shared" si="143"/>
        <v>-1</v>
      </c>
      <c r="AH354" s="178">
        <f t="shared" si="138"/>
        <v>5</v>
      </c>
      <c r="AI354" s="227">
        <f t="shared" si="139"/>
        <v>-0.70043992123642984</v>
      </c>
      <c r="AJ354" s="267" t="b">
        <f t="shared" si="140"/>
        <v>0</v>
      </c>
      <c r="AK354" s="267" t="b">
        <f t="shared" si="141"/>
        <v>0</v>
      </c>
      <c r="AL354" s="267"/>
      <c r="AM354" s="267"/>
      <c r="AN354" s="75"/>
    </row>
    <row r="355" spans="1:40" s="6" customFormat="1" ht="11.25" x14ac:dyDescent="0.2">
      <c r="A355" s="56">
        <f t="shared" si="142"/>
        <v>44171</v>
      </c>
      <c r="B355" s="618">
        <v>12.502000000000001</v>
      </c>
      <c r="C355" s="392"/>
      <c r="D355" s="395">
        <f t="shared" si="122"/>
        <v>12.754138119005964</v>
      </c>
      <c r="E355" s="387">
        <f t="shared" si="120"/>
        <v>14.51877190171095</v>
      </c>
      <c r="F355" s="387">
        <f t="shared" si="123"/>
        <v>15.136624268405665</v>
      </c>
      <c r="G355" s="110">
        <f t="shared" si="121"/>
        <v>0.79929770993006455</v>
      </c>
      <c r="H355" s="414" t="b">
        <f>Wh_hp&gt;='2019'!Maxi_hp</f>
        <v>0</v>
      </c>
      <c r="I355" s="382">
        <f>IF(H355,Wh_hp,'2019'!Maxi_hp)</f>
        <v>16.590596066014591</v>
      </c>
      <c r="J355" s="85">
        <f>IF(H355,An,'2019'!An_max)</f>
        <v>2018</v>
      </c>
      <c r="K355" s="199">
        <f t="shared" si="124"/>
        <v>44171</v>
      </c>
      <c r="L355" s="147">
        <f>IF(t&lt;Tvie,1-EXP((T0-t)*PertePVj)+'2019'!Pspv,1-EXP((T0-t)*PertePVj)+Pspv)</f>
        <v>1.9769122511715032E-2</v>
      </c>
      <c r="M355" s="870"/>
      <c r="N355" s="870"/>
      <c r="O355" s="48">
        <f>IF(t&lt;Tnet,'2019'!Resal+('2019'!Salim-'2019'!Resal)*(1-EXP(('2019'!Tnet-t)/('2019'!Tau_j))),Resal+(Salim-Resal)*(1-EXP((Tnet-t)/(Tau_j))))*Salcycl</f>
        <v>0.12154153220748894</v>
      </c>
      <c r="P355" s="171">
        <f>(INDEX(Models!$BJ355:$BT355,,T355)*(1-R355)+INDEX(Models!$BJ355:$BT355,,T355+1)*R355-ERP_i)*Q355*Ramure*Pc/MaxiM</f>
        <v>5.5807798775463484E-2</v>
      </c>
      <c r="Q355" s="307">
        <f t="shared" si="125"/>
        <v>1</v>
      </c>
      <c r="R355" s="179">
        <f t="shared" si="126"/>
        <v>0.29957808678756925</v>
      </c>
      <c r="S355" s="837">
        <f t="shared" si="127"/>
        <v>-1</v>
      </c>
      <c r="T355" s="178">
        <f t="shared" si="128"/>
        <v>5</v>
      </c>
      <c r="U355" s="253">
        <f t="shared" si="129"/>
        <v>-0.70042191321243075</v>
      </c>
      <c r="V355" s="385">
        <f t="shared" si="130"/>
        <v>15.396800525484055</v>
      </c>
      <c r="W355" s="404"/>
      <c r="X355" s="157">
        <f t="shared" si="131"/>
        <v>44171</v>
      </c>
      <c r="Y355" s="387">
        <f t="shared" si="132"/>
        <v>12.502000000000001</v>
      </c>
      <c r="Z355" s="387">
        <f t="shared" si="133"/>
        <v>12.754138119005964</v>
      </c>
      <c r="AA355" s="388">
        <f t="shared" si="134"/>
        <v>14.51877190171095</v>
      </c>
      <c r="AB355" s="199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0.12154153220748894</v>
      </c>
      <c r="AD355" s="233">
        <f>(INDEX(Models!$BJ355:$BT355,,AH355)*(1-AF355)+INDEX(Models!$BJ355:$BT355,,AH355+1)*AF355-ERP_i)*AE355*Ramure*Pc/MaxiM</f>
        <v>5.5807798775463484E-2</v>
      </c>
      <c r="AE355" s="307">
        <f t="shared" si="136"/>
        <v>1</v>
      </c>
      <c r="AF355" s="179">
        <f t="shared" si="137"/>
        <v>0.29957808678756925</v>
      </c>
      <c r="AG355" s="837">
        <f t="shared" si="143"/>
        <v>-1</v>
      </c>
      <c r="AH355" s="178">
        <f t="shared" si="138"/>
        <v>5</v>
      </c>
      <c r="AI355" s="227">
        <f t="shared" si="139"/>
        <v>-0.70042191321243075</v>
      </c>
      <c r="AJ355" s="267" t="b">
        <f t="shared" si="140"/>
        <v>0</v>
      </c>
      <c r="AK355" s="267" t="b">
        <f t="shared" si="141"/>
        <v>0</v>
      </c>
      <c r="AL355" s="267"/>
      <c r="AM355" s="267"/>
      <c r="AN355" s="75"/>
    </row>
    <row r="356" spans="1:40" s="6" customFormat="1" ht="11.25" customHeight="1" x14ac:dyDescent="0.2">
      <c r="A356" s="56">
        <f t="shared" si="142"/>
        <v>44172</v>
      </c>
      <c r="B356" s="618">
        <v>2.363</v>
      </c>
      <c r="C356" s="392"/>
      <c r="D356" s="395">
        <f t="shared" si="122"/>
        <v>2.4107126657720497</v>
      </c>
      <c r="E356" s="387">
        <f t="shared" si="120"/>
        <v>2.7442320985453299</v>
      </c>
      <c r="F356" s="387">
        <f t="shared" si="123"/>
        <v>2.7442320985453299</v>
      </c>
      <c r="G356" s="110">
        <f t="shared" si="121"/>
        <v>0.14584265849262573</v>
      </c>
      <c r="H356" s="414" t="b">
        <f>Wh_hp&gt;='2019'!Maxi_hp</f>
        <v>0</v>
      </c>
      <c r="I356" s="382">
        <f>IF(H356,Wh_hp,'2019'!Maxi_hp)</f>
        <v>15.197501570723485</v>
      </c>
      <c r="J356" s="85">
        <f>IF(H356,An,'2019'!An_max)</f>
        <v>2019</v>
      </c>
      <c r="K356" s="199">
        <f t="shared" si="124"/>
        <v>44172</v>
      </c>
      <c r="L356" s="147">
        <f>IF(t&lt;Tvie,1-EXP((T0-t)*PertePVj)+'2019'!Pspv,1-EXP((T0-t)*PertePVj)+Pspv)</f>
        <v>1.979193391625933E-2</v>
      </c>
      <c r="M356" s="870"/>
      <c r="N356" s="870"/>
      <c r="O356" s="48">
        <f>IF(t&lt;Tnet,'2019'!Resal+('2019'!Salim-'2019'!Resal)*(1-EXP(('2019'!Tnet-t)/('2019'!Tau_j))),Resal+(Salim-Resal)*(1-EXP((Tnet-t)/(Tau_j))))*Salcycl</f>
        <v>0.12153470289560181</v>
      </c>
      <c r="P356" s="171">
        <f>(INDEX(Models!$BJ356:$BT356,,T356)*(1-R356)+INDEX(Models!$BJ356:$BT356,,T356+1)*R356-ERP_i)*Q356*Ramure*Pc/MaxiM</f>
        <v>5.6507601375646144E-2</v>
      </c>
      <c r="Q356" s="307">
        <f t="shared" si="125"/>
        <v>1</v>
      </c>
      <c r="R356" s="179">
        <f t="shared" si="126"/>
        <v>0.29959537062663688</v>
      </c>
      <c r="S356" s="837">
        <f t="shared" si="127"/>
        <v>-1</v>
      </c>
      <c r="T356" s="178">
        <f t="shared" si="128"/>
        <v>5</v>
      </c>
      <c r="U356" s="253">
        <f t="shared" si="129"/>
        <v>-0.70040462937336312</v>
      </c>
      <c r="V356" s="385">
        <f t="shared" si="130"/>
        <v>15.286834188243198</v>
      </c>
      <c r="W356" s="404"/>
      <c r="X356" s="157">
        <f t="shared" si="131"/>
        <v>44172</v>
      </c>
      <c r="Y356" s="387">
        <f t="shared" si="132"/>
        <v>2.363</v>
      </c>
      <c r="Z356" s="387">
        <f t="shared" si="133"/>
        <v>2.4107126657720497</v>
      </c>
      <c r="AA356" s="388">
        <f t="shared" si="134"/>
        <v>2.7442320985453299</v>
      </c>
      <c r="AB356" s="199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0.12153470289560181</v>
      </c>
      <c r="AD356" s="233">
        <f>(INDEX(Models!$BJ356:$BT356,,AH356)*(1-AF356)+INDEX(Models!$BJ356:$BT356,,AH356+1)*AF356-ERP_i)*AE356*Ramure*Pc/MaxiM</f>
        <v>5.6507601375646144E-2</v>
      </c>
      <c r="AE356" s="307">
        <f t="shared" si="136"/>
        <v>1</v>
      </c>
      <c r="AF356" s="179">
        <f t="shared" si="137"/>
        <v>0.29959537062663688</v>
      </c>
      <c r="AG356" s="837">
        <f t="shared" si="143"/>
        <v>-1</v>
      </c>
      <c r="AH356" s="178">
        <f t="shared" si="138"/>
        <v>5</v>
      </c>
      <c r="AI356" s="227">
        <f t="shared" si="139"/>
        <v>-0.70040462937336312</v>
      </c>
      <c r="AJ356" s="267" t="b">
        <f t="shared" si="140"/>
        <v>0</v>
      </c>
      <c r="AK356" s="267" t="b">
        <f t="shared" si="141"/>
        <v>0</v>
      </c>
      <c r="AL356" s="267"/>
      <c r="AM356" s="267"/>
      <c r="AN356" s="75"/>
    </row>
    <row r="357" spans="1:40" s="6" customFormat="1" ht="11.25" x14ac:dyDescent="0.2">
      <c r="A357" s="56">
        <f t="shared" si="142"/>
        <v>44173</v>
      </c>
      <c r="B357" s="618">
        <v>7.7729999999999997</v>
      </c>
      <c r="C357" s="392"/>
      <c r="D357" s="395">
        <f t="shared" si="122"/>
        <v>7.9301335728971631</v>
      </c>
      <c r="E357" s="387">
        <f t="shared" si="120"/>
        <v>9.0272244678918092</v>
      </c>
      <c r="F357" s="387">
        <f t="shared" si="123"/>
        <v>9.1861126811797025</v>
      </c>
      <c r="G357" s="110">
        <f t="shared" si="121"/>
        <v>0.49103690695924523</v>
      </c>
      <c r="H357" s="414" t="b">
        <f>Wh_hp&gt;='2019'!Maxi_hp</f>
        <v>1</v>
      </c>
      <c r="I357" s="382">
        <f>IF(H357,Wh_hp,'2019'!Maxi_hp)</f>
        <v>9.1861126811797025</v>
      </c>
      <c r="J357" s="85">
        <f>IF(H357,An,'2019'!An_max)</f>
        <v>2020</v>
      </c>
      <c r="K357" s="199">
        <f t="shared" si="124"/>
        <v>44173</v>
      </c>
      <c r="L357" s="147">
        <f>IF(t&lt;Tvie,1-EXP((T0-t)*PertePVj)+'2019'!Pspv,1-EXP((T0-t)*PertePVj)+Pspv)</f>
        <v>1.9814744789948935E-2</v>
      </c>
      <c r="M357" s="870"/>
      <c r="N357" s="870"/>
      <c r="O357" s="48">
        <f>IF(t&lt;Tnet,'2019'!Resal+('2019'!Salim-'2019'!Resal)*(1-EXP(('2019'!Tnet-t)/('2019'!Tau_j))),Resal+(Salim-Resal)*(1-EXP((Tnet-t)/(Tau_j))))*Salcycl</f>
        <v>0.12153136314454105</v>
      </c>
      <c r="P357" s="171">
        <f>(INDEX(Models!$BJ357:$BT357,,T357)*(1-R357)+INDEX(Models!$BJ357:$BT357,,T357+1)*R357-ERP_i)*Q357*Ramure*Pc/MaxiM</f>
        <v>5.7165030358524688E-2</v>
      </c>
      <c r="Q357" s="307">
        <f t="shared" si="125"/>
        <v>1</v>
      </c>
      <c r="R357" s="179">
        <f t="shared" si="126"/>
        <v>0.29961195936994101</v>
      </c>
      <c r="S357" s="837">
        <f t="shared" si="127"/>
        <v>-1</v>
      </c>
      <c r="T357" s="178">
        <f t="shared" si="128"/>
        <v>5</v>
      </c>
      <c r="U357" s="253">
        <f t="shared" si="129"/>
        <v>-0.70038804063005899</v>
      </c>
      <c r="V357" s="385">
        <f t="shared" si="130"/>
        <v>15.187550711978266</v>
      </c>
      <c r="W357" s="404"/>
      <c r="X357" s="157">
        <f t="shared" si="131"/>
        <v>44173</v>
      </c>
      <c r="Y357" s="387">
        <f t="shared" si="132"/>
        <v>7.7729999999999997</v>
      </c>
      <c r="Z357" s="387">
        <f t="shared" si="133"/>
        <v>7.9301335728971631</v>
      </c>
      <c r="AA357" s="388">
        <f t="shared" si="134"/>
        <v>9.0272244678918092</v>
      </c>
      <c r="AB357" s="199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0.12153136314454105</v>
      </c>
      <c r="AD357" s="233">
        <f>(INDEX(Models!$BJ357:$BT357,,AH357)*(1-AF357)+INDEX(Models!$BJ357:$BT357,,AH357+1)*AF357-ERP_i)*AE357*Ramure*Pc/MaxiM</f>
        <v>5.7165030358524688E-2</v>
      </c>
      <c r="AE357" s="307">
        <f t="shared" si="136"/>
        <v>1</v>
      </c>
      <c r="AF357" s="179">
        <f t="shared" si="137"/>
        <v>0.29961195936994101</v>
      </c>
      <c r="AG357" s="837">
        <f t="shared" si="143"/>
        <v>-1</v>
      </c>
      <c r="AH357" s="178">
        <f t="shared" si="138"/>
        <v>5</v>
      </c>
      <c r="AI357" s="227">
        <f t="shared" si="139"/>
        <v>-0.70038804063005899</v>
      </c>
      <c r="AJ357" s="267" t="b">
        <f t="shared" si="140"/>
        <v>0</v>
      </c>
      <c r="AK357" s="267" t="b">
        <f t="shared" si="141"/>
        <v>0</v>
      </c>
      <c r="AL357" s="267"/>
      <c r="AM357" s="267"/>
      <c r="AN357" s="75"/>
    </row>
    <row r="358" spans="1:40" s="6" customFormat="1" ht="11.25" customHeight="1" x14ac:dyDescent="0.2">
      <c r="A358" s="56">
        <f t="shared" si="142"/>
        <v>44174</v>
      </c>
      <c r="B358" s="618">
        <v>6.7480000000000002</v>
      </c>
      <c r="C358" s="392"/>
      <c r="D358" s="395">
        <f t="shared" si="122"/>
        <v>6.8845730984053821</v>
      </c>
      <c r="E358" s="387">
        <f t="shared" si="120"/>
        <v>7.8370166258874656</v>
      </c>
      <c r="F358" s="387">
        <f t="shared" si="123"/>
        <v>7.9331977916809953</v>
      </c>
      <c r="G358" s="110">
        <f t="shared" si="121"/>
        <v>0.42624101612469889</v>
      </c>
      <c r="H358" s="414" t="b">
        <f>Wh_hp&gt;='2019'!Maxi_hp</f>
        <v>0</v>
      </c>
      <c r="I358" s="382">
        <f>IF(H358,Wh_hp,'2019'!Maxi_hp)</f>
        <v>16.709769802628212</v>
      </c>
      <c r="J358" s="85">
        <f>IF(H358,An,'2019'!An_max)</f>
        <v>2019</v>
      </c>
      <c r="K358" s="199">
        <f t="shared" si="124"/>
        <v>44174</v>
      </c>
      <c r="L358" s="147">
        <f>IF(t&lt;Tvie,1-EXP((T0-t)*PertePVj)+'2019'!Pspv,1-EXP((T0-t)*PertePVj)+Pspv)</f>
        <v>1.983755513279617E-2</v>
      </c>
      <c r="M358" s="870"/>
      <c r="N358" s="870"/>
      <c r="O358" s="48">
        <f>IF(t&lt;Tnet,'2019'!Resal+('2019'!Salim-'2019'!Resal)*(1-EXP(('2019'!Tnet-t)/('2019'!Tau_j))),Resal+(Salim-Resal)*(1-EXP((Tnet-t)/(Tau_j))))*Salcycl</f>
        <v>0.12153139044466786</v>
      </c>
      <c r="P358" s="171">
        <f>(INDEX(Models!$BJ358:$BT358,,T358)*(1-R358)+INDEX(Models!$BJ358:$BT358,,T358+1)*R358-ERP_i)*Q358*Ramure*Pc/MaxiM</f>
        <v>5.7775012525100679E-2</v>
      </c>
      <c r="Q358" s="307">
        <f t="shared" si="125"/>
        <v>1</v>
      </c>
      <c r="R358" s="179">
        <f t="shared" si="126"/>
        <v>0.29962788094084336</v>
      </c>
      <c r="S358" s="837">
        <f t="shared" si="127"/>
        <v>-1</v>
      </c>
      <c r="T358" s="178">
        <f t="shared" si="128"/>
        <v>5</v>
      </c>
      <c r="U358" s="253">
        <f t="shared" si="129"/>
        <v>-0.70037211905915664</v>
      </c>
      <c r="V358" s="385">
        <f t="shared" si="130"/>
        <v>15.099826842421965</v>
      </c>
      <c r="W358" s="404"/>
      <c r="X358" s="157">
        <f t="shared" si="131"/>
        <v>44174</v>
      </c>
      <c r="Y358" s="387">
        <f t="shared" si="132"/>
        <v>6.7480000000000002</v>
      </c>
      <c r="Z358" s="387">
        <f t="shared" si="133"/>
        <v>6.8845730984053821</v>
      </c>
      <c r="AA358" s="388">
        <f t="shared" si="134"/>
        <v>7.8370166258874656</v>
      </c>
      <c r="AB358" s="199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0.12153139044466786</v>
      </c>
      <c r="AD358" s="233">
        <f>(INDEX(Models!$BJ358:$BT358,,AH358)*(1-AF358)+INDEX(Models!$BJ358:$BT358,,AH358+1)*AF358-ERP_i)*AE358*Ramure*Pc/MaxiM</f>
        <v>5.7775012525100679E-2</v>
      </c>
      <c r="AE358" s="307">
        <f t="shared" si="136"/>
        <v>1</v>
      </c>
      <c r="AF358" s="179">
        <f t="shared" si="137"/>
        <v>0.29962788094084336</v>
      </c>
      <c r="AG358" s="837">
        <f t="shared" si="143"/>
        <v>-1</v>
      </c>
      <c r="AH358" s="178">
        <f t="shared" si="138"/>
        <v>5</v>
      </c>
      <c r="AI358" s="227">
        <f t="shared" si="139"/>
        <v>-0.70037211905915664</v>
      </c>
      <c r="AJ358" s="267" t="b">
        <f t="shared" si="140"/>
        <v>0</v>
      </c>
      <c r="AK358" s="267" t="b">
        <f t="shared" si="141"/>
        <v>0</v>
      </c>
      <c r="AL358" s="267"/>
      <c r="AM358" s="267"/>
      <c r="AN358" s="75"/>
    </row>
    <row r="359" spans="1:40" s="6" customFormat="1" ht="11.25" customHeight="1" x14ac:dyDescent="0.2">
      <c r="A359" s="56">
        <f t="shared" si="142"/>
        <v>44175</v>
      </c>
      <c r="B359" s="618">
        <v>4.5119999999999996</v>
      </c>
      <c r="C359" s="392"/>
      <c r="D359" s="395">
        <f t="shared" si="122"/>
        <v>4.6034257146900828</v>
      </c>
      <c r="E359" s="387">
        <f t="shared" si="120"/>
        <v>5.2403042909405881</v>
      </c>
      <c r="F359" s="387">
        <f t="shared" si="123"/>
        <v>5.2404603060925181</v>
      </c>
      <c r="G359" s="110">
        <f t="shared" si="121"/>
        <v>0.28284239737019123</v>
      </c>
      <c r="H359" s="414" t="b">
        <f>Wh_hp&gt;='2019'!Maxi_hp</f>
        <v>0</v>
      </c>
      <c r="I359" s="382">
        <f>IF(H359,Wh_hp,'2019'!Maxi_hp)</f>
        <v>15.16428753732999</v>
      </c>
      <c r="J359" s="85">
        <f>IF(H359,An,'2019'!An_max)</f>
        <v>2018</v>
      </c>
      <c r="K359" s="199">
        <f t="shared" si="124"/>
        <v>44175</v>
      </c>
      <c r="L359" s="147">
        <f>IF(t&lt;Tvie,1-EXP((T0-t)*PertePVj)+'2019'!Pspv,1-EXP((T0-t)*PertePVj)+Pspv)</f>
        <v>1.9860364944813358E-2</v>
      </c>
      <c r="M359" s="870"/>
      <c r="N359" s="870"/>
      <c r="O359" s="48">
        <f>IF(t&lt;Tnet,'2019'!Resal+('2019'!Salim-'2019'!Resal)*(1-EXP(('2019'!Tnet-t)/('2019'!Tau_j))),Resal+(Salim-Resal)*(1-EXP((Tnet-t)/(Tau_j))))*Salcycl</f>
        <v>0.12153465541143055</v>
      </c>
      <c r="P359" s="171">
        <f>(INDEX(Models!$BJ359:$BT359,,T359)*(1-R359)+INDEX(Models!$BJ359:$BT359,,T359+1)*R359-ERP_i)*Q359*Ramure*Pc/MaxiM</f>
        <v>5.8341299212852069E-2</v>
      </c>
      <c r="Q359" s="307">
        <f t="shared" si="125"/>
        <v>1</v>
      </c>
      <c r="R359" s="179">
        <f t="shared" si="126"/>
        <v>0.29964316214341125</v>
      </c>
      <c r="S359" s="837">
        <f t="shared" si="127"/>
        <v>-1</v>
      </c>
      <c r="T359" s="178">
        <f t="shared" si="128"/>
        <v>5</v>
      </c>
      <c r="U359" s="253">
        <f t="shared" si="129"/>
        <v>-0.70035683785658875</v>
      </c>
      <c r="V359" s="385">
        <f t="shared" si="130"/>
        <v>15.022113347642572</v>
      </c>
      <c r="W359" s="404"/>
      <c r="X359" s="157">
        <f t="shared" si="131"/>
        <v>44175</v>
      </c>
      <c r="Y359" s="387">
        <f t="shared" si="132"/>
        <v>4.5119999999999996</v>
      </c>
      <c r="Z359" s="387">
        <f t="shared" si="133"/>
        <v>4.6034257146900828</v>
      </c>
      <c r="AA359" s="388">
        <f t="shared" si="134"/>
        <v>5.2403042909405881</v>
      </c>
      <c r="AB359" s="199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0.12153465541143055</v>
      </c>
      <c r="AD359" s="233">
        <f>(INDEX(Models!$BJ359:$BT359,,AH359)*(1-AF359)+INDEX(Models!$BJ359:$BT359,,AH359+1)*AF359-ERP_i)*AE359*Ramure*Pc/MaxiM</f>
        <v>5.8341299212852069E-2</v>
      </c>
      <c r="AE359" s="307">
        <f t="shared" si="136"/>
        <v>1</v>
      </c>
      <c r="AF359" s="179">
        <f t="shared" si="137"/>
        <v>0.29964316214341125</v>
      </c>
      <c r="AG359" s="837">
        <f t="shared" si="143"/>
        <v>-1</v>
      </c>
      <c r="AH359" s="178">
        <f t="shared" si="138"/>
        <v>5</v>
      </c>
      <c r="AI359" s="227">
        <f t="shared" si="139"/>
        <v>-0.70035683785658875</v>
      </c>
      <c r="AJ359" s="267" t="b">
        <f t="shared" si="140"/>
        <v>0</v>
      </c>
      <c r="AK359" s="267" t="b">
        <f t="shared" si="141"/>
        <v>0</v>
      </c>
      <c r="AL359" s="267"/>
      <c r="AM359" s="267"/>
      <c r="AN359" s="75"/>
    </row>
    <row r="360" spans="1:40" s="6" customFormat="1" ht="11.25" customHeight="1" x14ac:dyDescent="0.2">
      <c r="A360" s="56">
        <f t="shared" si="142"/>
        <v>44176</v>
      </c>
      <c r="B360" s="618">
        <v>5.6719999999999997</v>
      </c>
      <c r="C360" s="392"/>
      <c r="D360" s="395">
        <f t="shared" si="122"/>
        <v>5.787065226148818</v>
      </c>
      <c r="E360" s="387">
        <f t="shared" si="120"/>
        <v>6.5877466975196635</v>
      </c>
      <c r="F360" s="387">
        <f t="shared" si="123"/>
        <v>6.6319977620405171</v>
      </c>
      <c r="G360" s="110">
        <f t="shared" si="121"/>
        <v>0.35940480431147848</v>
      </c>
      <c r="H360" s="414" t="b">
        <f>Wh_hp&gt;='2019'!Maxi_hp</f>
        <v>1</v>
      </c>
      <c r="I360" s="382">
        <f>IF(H360,Wh_hp,'2019'!Maxi_hp)</f>
        <v>6.6319977620405171</v>
      </c>
      <c r="J360" s="85">
        <f>IF(H360,An,'2019'!An_max)</f>
        <v>2020</v>
      </c>
      <c r="K360" s="199">
        <f t="shared" si="124"/>
        <v>44176</v>
      </c>
      <c r="L360" s="147">
        <f>IF(t&lt;Tvie,1-EXP((T0-t)*PertePVj)+'2019'!Pspv,1-EXP((T0-t)*PertePVj)+Pspv)</f>
        <v>1.9883174226012934E-2</v>
      </c>
      <c r="M360" s="870"/>
      <c r="N360" s="870"/>
      <c r="O360" s="48">
        <f>IF(t&lt;Tnet,'2019'!Resal+('2019'!Salim-'2019'!Resal)*(1-EXP(('2019'!Tnet-t)/('2019'!Tau_j))),Resal+(Salim-Resal)*(1-EXP((Tnet-t)/(Tau_j))))*Salcycl</f>
        <v>0.12154102277070071</v>
      </c>
      <c r="P360" s="171">
        <f>(INDEX(Models!$BJ360:$BT360,,T360)*(1-R360)+INDEX(Models!$BJ360:$BT360,,T360+1)*R360-ERP_i)*Q360*Ramure*Pc/MaxiM</f>
        <v>5.8870004595857388E-2</v>
      </c>
      <c r="Q360" s="307">
        <f t="shared" si="125"/>
        <v>1</v>
      </c>
      <c r="R360" s="179">
        <f t="shared" si="126"/>
        <v>0.29965782870709179</v>
      </c>
      <c r="S360" s="837">
        <f t="shared" si="127"/>
        <v>-1</v>
      </c>
      <c r="T360" s="178">
        <f t="shared" si="128"/>
        <v>5</v>
      </c>
      <c r="U360" s="253">
        <f t="shared" si="129"/>
        <v>-0.70034217129290821</v>
      </c>
      <c r="V360" s="385">
        <f t="shared" si="130"/>
        <v>14.952349449817536</v>
      </c>
      <c r="W360" s="404"/>
      <c r="X360" s="157">
        <f t="shared" si="131"/>
        <v>44176</v>
      </c>
      <c r="Y360" s="387">
        <f t="shared" si="132"/>
        <v>5.6719999999999997</v>
      </c>
      <c r="Z360" s="387">
        <f t="shared" si="133"/>
        <v>5.787065226148818</v>
      </c>
      <c r="AA360" s="388">
        <f t="shared" si="134"/>
        <v>6.5877466975196635</v>
      </c>
      <c r="AB360" s="199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0.12154102277070071</v>
      </c>
      <c r="AD360" s="233">
        <f>(INDEX(Models!$BJ360:$BT360,,AH360)*(1-AF360)+INDEX(Models!$BJ360:$BT360,,AH360+1)*AF360-ERP_i)*AE360*Ramure*Pc/MaxiM</f>
        <v>5.8870004595857388E-2</v>
      </c>
      <c r="AE360" s="307">
        <f t="shared" si="136"/>
        <v>1</v>
      </c>
      <c r="AF360" s="179">
        <f t="shared" si="137"/>
        <v>0.29965782870709179</v>
      </c>
      <c r="AG360" s="837">
        <f t="shared" si="143"/>
        <v>-1</v>
      </c>
      <c r="AH360" s="178">
        <f t="shared" si="138"/>
        <v>5</v>
      </c>
      <c r="AI360" s="227">
        <f t="shared" si="139"/>
        <v>-0.70034217129290821</v>
      </c>
      <c r="AJ360" s="267" t="b">
        <f t="shared" si="140"/>
        <v>0</v>
      </c>
      <c r="AK360" s="267" t="b">
        <f t="shared" si="141"/>
        <v>0</v>
      </c>
      <c r="AL360" s="267"/>
      <c r="AM360" s="267"/>
      <c r="AN360" s="75"/>
    </row>
    <row r="361" spans="1:40" s="6" customFormat="1" ht="11.25" customHeight="1" x14ac:dyDescent="0.2">
      <c r="A361" s="56">
        <f t="shared" si="142"/>
        <v>44177</v>
      </c>
      <c r="B361" s="618">
        <v>7.9560000000000004</v>
      </c>
      <c r="C361" s="392"/>
      <c r="D361" s="395">
        <f t="shared" si="122"/>
        <v>8.117588580084643</v>
      </c>
      <c r="E361" s="387">
        <f t="shared" ref="E361:E380" si="144">Wh_pvt/(1-Psa)</f>
        <v>9.2408126087290245</v>
      </c>
      <c r="F361" s="387">
        <f t="shared" si="123"/>
        <v>9.428079456382596</v>
      </c>
      <c r="G361" s="110">
        <f t="shared" ref="G361:G380" si="145">+Wh_hp/MaxiM</f>
        <v>0.51276453551369661</v>
      </c>
      <c r="H361" s="414" t="b">
        <f>Wh_hp&gt;='2019'!Maxi_hp</f>
        <v>1</v>
      </c>
      <c r="I361" s="382">
        <f>IF(H361,Wh_hp,'2019'!Maxi_hp)</f>
        <v>9.428079456382596</v>
      </c>
      <c r="J361" s="85">
        <f>IF(H361,An,'2019'!An_max)</f>
        <v>2020</v>
      </c>
      <c r="K361" s="199">
        <f t="shared" si="124"/>
        <v>44177</v>
      </c>
      <c r="L361" s="147">
        <f>IF(t&lt;Tvie,1-EXP((T0-t)*PertePVj)+'2019'!Pspv,1-EXP((T0-t)*PertePVj)+Pspv)</f>
        <v>1.9905982976407222E-2</v>
      </c>
      <c r="M361" s="870"/>
      <c r="N361" s="870"/>
      <c r="O361" s="48">
        <f>IF(t&lt;Tnet,'2019'!Resal+('2019'!Salim-'2019'!Resal)*(1-EXP(('2019'!Tnet-t)/('2019'!Tau_j))),Resal+(Salim-Resal)*(1-EXP((Tnet-t)/(Tau_j))))*Salcycl</f>
        <v>0.12155035235574042</v>
      </c>
      <c r="P361" s="171">
        <f>(INDEX(Models!$BJ361:$BT361,,T361)*(1-R361)+INDEX(Models!$BJ361:$BT361,,T361+1)*R361-ERP_i)*Q361*Ramure*Pc/MaxiM</f>
        <v>5.9345421748968327E-2</v>
      </c>
      <c r="Q361" s="307">
        <f t="shared" si="125"/>
        <v>1</v>
      </c>
      <c r="R361" s="179">
        <f t="shared" si="126"/>
        <v>0.29967190532961807</v>
      </c>
      <c r="S361" s="837">
        <f t="shared" si="127"/>
        <v>-1</v>
      </c>
      <c r="T361" s="178">
        <f t="shared" si="128"/>
        <v>5</v>
      </c>
      <c r="U361" s="253">
        <f t="shared" si="129"/>
        <v>-0.70032809467038193</v>
      </c>
      <c r="V361" s="385">
        <f t="shared" si="130"/>
        <v>14.890868836626902</v>
      </c>
      <c r="W361" s="404"/>
      <c r="X361" s="157">
        <f t="shared" si="131"/>
        <v>44177</v>
      </c>
      <c r="Y361" s="387">
        <f t="shared" si="132"/>
        <v>7.9560000000000004</v>
      </c>
      <c r="Z361" s="387">
        <f t="shared" si="133"/>
        <v>8.117588580084643</v>
      </c>
      <c r="AA361" s="388">
        <f t="shared" si="134"/>
        <v>9.2408126087290245</v>
      </c>
      <c r="AB361" s="199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0.12155035235574042</v>
      </c>
      <c r="AD361" s="233">
        <f>(INDEX(Models!$BJ361:$BT361,,AH361)*(1-AF361)+INDEX(Models!$BJ361:$BT361,,AH361+1)*AF361-ERP_i)*AE361*Ramure*Pc/MaxiM</f>
        <v>5.9345421748968327E-2</v>
      </c>
      <c r="AE361" s="307">
        <f t="shared" si="136"/>
        <v>1</v>
      </c>
      <c r="AF361" s="179">
        <f t="shared" si="137"/>
        <v>0.29967190532961807</v>
      </c>
      <c r="AG361" s="837">
        <f t="shared" si="143"/>
        <v>-1</v>
      </c>
      <c r="AH361" s="178">
        <f t="shared" si="138"/>
        <v>5</v>
      </c>
      <c r="AI361" s="227">
        <f t="shared" si="139"/>
        <v>-0.70032809467038193</v>
      </c>
      <c r="AJ361" s="267" t="b">
        <f t="shared" si="140"/>
        <v>0</v>
      </c>
      <c r="AK361" s="267" t="b">
        <f t="shared" si="141"/>
        <v>0</v>
      </c>
      <c r="AL361" s="267"/>
      <c r="AM361" s="267"/>
      <c r="AN361" s="75"/>
    </row>
    <row r="362" spans="1:40" s="6" customFormat="1" ht="11.25" customHeight="1" x14ac:dyDescent="0.2">
      <c r="A362" s="56">
        <f t="shared" si="142"/>
        <v>44178</v>
      </c>
      <c r="B362" s="618">
        <v>7.2110000000000003</v>
      </c>
      <c r="C362" s="392"/>
      <c r="D362" s="395">
        <f t="shared" si="122"/>
        <v>7.3576286449632446</v>
      </c>
      <c r="E362" s="387">
        <f t="shared" si="144"/>
        <v>8.3758134709274863</v>
      </c>
      <c r="F362" s="387">
        <f t="shared" si="123"/>
        <v>8.5109654451776784</v>
      </c>
      <c r="G362" s="110">
        <f t="shared" si="145"/>
        <v>0.4643167460415572</v>
      </c>
      <c r="H362" s="414" t="b">
        <f>Wh_hp&gt;='2019'!Maxi_hp</f>
        <v>0</v>
      </c>
      <c r="I362" s="382">
        <f>IF(H362,Wh_hp,'2019'!Maxi_hp)</f>
        <v>14.101293186077918</v>
      </c>
      <c r="J362" s="85">
        <f>IF(H362,An,'2019'!An_max)</f>
        <v>2019</v>
      </c>
      <c r="K362" s="199">
        <f t="shared" si="124"/>
        <v>44178</v>
      </c>
      <c r="L362" s="147">
        <f>IF(t&lt;Tvie,1-EXP((T0-t)*PertePVj)+'2019'!Pspv,1-EXP((T0-t)*PertePVj)+Pspv)</f>
        <v>1.9928791196008655E-2</v>
      </c>
      <c r="M362" s="870"/>
      <c r="N362" s="870"/>
      <c r="O362" s="48">
        <f>IF(t&lt;Tnet,'2019'!Resal+('2019'!Salim-'2019'!Resal)*(1-EXP(('2019'!Tnet-t)/('2019'!Tau_j))),Resal+(Salim-Resal)*(1-EXP((Tnet-t)/(Tau_j))))*Salcycl</f>
        <v>0.12156250010800372</v>
      </c>
      <c r="P362" s="171">
        <f>(INDEX(Models!$BJ362:$BT362,,T362)*(1-R362)+INDEX(Models!$BJ362:$BT362,,T362+1)*R362-ERP_i)*Q362*Ramure*Pc/MaxiM</f>
        <v>5.976597973180129E-2</v>
      </c>
      <c r="Q362" s="307">
        <f t="shared" si="125"/>
        <v>1</v>
      </c>
      <c r="R362" s="179">
        <f t="shared" si="126"/>
        <v>0.29968541571821516</v>
      </c>
      <c r="S362" s="837">
        <f t="shared" si="127"/>
        <v>-1</v>
      </c>
      <c r="T362" s="178">
        <f t="shared" si="128"/>
        <v>5</v>
      </c>
      <c r="U362" s="253">
        <f t="shared" si="129"/>
        <v>-0.70031458428178484</v>
      </c>
      <c r="V362" s="385">
        <f t="shared" si="130"/>
        <v>14.837780416021252</v>
      </c>
      <c r="W362" s="404"/>
      <c r="X362" s="157">
        <f t="shared" si="131"/>
        <v>44178</v>
      </c>
      <c r="Y362" s="387">
        <f t="shared" si="132"/>
        <v>7.2110000000000003</v>
      </c>
      <c r="Z362" s="387">
        <f t="shared" si="133"/>
        <v>7.3576286449632446</v>
      </c>
      <c r="AA362" s="388">
        <f t="shared" si="134"/>
        <v>8.3758134709274863</v>
      </c>
      <c r="AB362" s="199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0.12156250010800372</v>
      </c>
      <c r="AD362" s="233">
        <f>(INDEX(Models!$BJ362:$BT362,,AH362)*(1-AF362)+INDEX(Models!$BJ362:$BT362,,AH362+1)*AF362-ERP_i)*AE362*Ramure*Pc/MaxiM</f>
        <v>5.976597973180129E-2</v>
      </c>
      <c r="AE362" s="307">
        <f t="shared" si="136"/>
        <v>1</v>
      </c>
      <c r="AF362" s="179">
        <f t="shared" si="137"/>
        <v>0.29968541571821516</v>
      </c>
      <c r="AG362" s="837">
        <f t="shared" si="143"/>
        <v>-1</v>
      </c>
      <c r="AH362" s="178">
        <f t="shared" si="138"/>
        <v>5</v>
      </c>
      <c r="AI362" s="227">
        <f t="shared" si="139"/>
        <v>-0.70031458428178484</v>
      </c>
      <c r="AJ362" s="267" t="b">
        <f t="shared" si="140"/>
        <v>0</v>
      </c>
      <c r="AK362" s="267" t="b">
        <f t="shared" si="141"/>
        <v>0</v>
      </c>
      <c r="AL362" s="267"/>
      <c r="AM362" s="267"/>
      <c r="AN362" s="75"/>
    </row>
    <row r="363" spans="1:40" s="6" customFormat="1" ht="11.25" x14ac:dyDescent="0.2">
      <c r="A363" s="56">
        <f t="shared" si="142"/>
        <v>44179</v>
      </c>
      <c r="B363" s="618">
        <v>1.982</v>
      </c>
      <c r="C363" s="392"/>
      <c r="D363" s="395">
        <f t="shared" si="122"/>
        <v>2.0223490980085632</v>
      </c>
      <c r="E363" s="387">
        <f t="shared" si="144"/>
        <v>2.3022505473979877</v>
      </c>
      <c r="F363" s="387">
        <f t="shared" si="123"/>
        <v>2.3022505473979877</v>
      </c>
      <c r="G363" s="110">
        <f t="shared" si="145"/>
        <v>0.12592425924459746</v>
      </c>
      <c r="H363" s="414" t="b">
        <f>Wh_hp&gt;='2019'!Maxi_hp</f>
        <v>0</v>
      </c>
      <c r="I363" s="382">
        <f>IF(H363,Wh_hp,'2019'!Maxi_hp)</f>
        <v>17.825794694117317</v>
      </c>
      <c r="J363" s="85">
        <f>IF(H363,An,'2019'!An_max)</f>
        <v>2019</v>
      </c>
      <c r="K363" s="199">
        <f t="shared" si="124"/>
        <v>44179</v>
      </c>
      <c r="L363" s="147">
        <f>IF(t&lt;Tvie,1-EXP((T0-t)*PertePVj)+'2019'!Pspv,1-EXP((T0-t)*PertePVj)+Pspv)</f>
        <v>1.9951598884829336E-2</v>
      </c>
      <c r="M363" s="870"/>
      <c r="N363" s="870"/>
      <c r="O363" s="48">
        <f>IF(t&lt;Tnet,'2019'!Resal+('2019'!Salim-'2019'!Resal)*(1-EXP(('2019'!Tnet-t)/('2019'!Tau_j))),Resal+(Salim-Resal)*(1-EXP((Tnet-t)/(Tau_j))))*Salcycl</f>
        <v>0.12157731907405564</v>
      </c>
      <c r="P363" s="171">
        <f>(INDEX(Models!$BJ363:$BT363,,T363)*(1-R363)+INDEX(Models!$BJ363:$BT363,,T363+1)*R363-ERP_i)*Q363*Ramure*Pc/MaxiM</f>
        <v>6.0130241200752596E-2</v>
      </c>
      <c r="Q363" s="307">
        <f t="shared" si="125"/>
        <v>1</v>
      </c>
      <c r="R363" s="179">
        <f t="shared" si="126"/>
        <v>0.29969838262917425</v>
      </c>
      <c r="S363" s="837">
        <f t="shared" si="127"/>
        <v>-1</v>
      </c>
      <c r="T363" s="178">
        <f t="shared" si="128"/>
        <v>5</v>
      </c>
      <c r="U363" s="253">
        <f t="shared" si="129"/>
        <v>-0.70030161737082575</v>
      </c>
      <c r="V363" s="385">
        <f t="shared" si="130"/>
        <v>14.793192932917961</v>
      </c>
      <c r="W363" s="404"/>
      <c r="X363" s="157">
        <f t="shared" si="131"/>
        <v>44179</v>
      </c>
      <c r="Y363" s="387">
        <f t="shared" si="132"/>
        <v>1.982</v>
      </c>
      <c r="Z363" s="387">
        <f t="shared" si="133"/>
        <v>2.0223490980085632</v>
      </c>
      <c r="AA363" s="388">
        <f t="shared" si="134"/>
        <v>2.3022505473979877</v>
      </c>
      <c r="AB363" s="199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0.12157731907405564</v>
      </c>
      <c r="AD363" s="233">
        <f>(INDEX(Models!$BJ363:$BT363,,AH363)*(1-AF363)+INDEX(Models!$BJ363:$BT363,,AH363+1)*AF363-ERP_i)*AE363*Ramure*Pc/MaxiM</f>
        <v>6.0130241200752596E-2</v>
      </c>
      <c r="AE363" s="307">
        <f t="shared" si="136"/>
        <v>1</v>
      </c>
      <c r="AF363" s="179">
        <f t="shared" si="137"/>
        <v>0.29969838262917425</v>
      </c>
      <c r="AG363" s="837">
        <f t="shared" si="143"/>
        <v>-1</v>
      </c>
      <c r="AH363" s="178">
        <f t="shared" si="138"/>
        <v>5</v>
      </c>
      <c r="AI363" s="227">
        <f t="shared" si="139"/>
        <v>-0.70030161737082575</v>
      </c>
      <c r="AJ363" s="267" t="b">
        <f t="shared" si="140"/>
        <v>0</v>
      </c>
      <c r="AK363" s="267" t="b">
        <f t="shared" si="141"/>
        <v>0</v>
      </c>
      <c r="AL363" s="267"/>
      <c r="AM363" s="267"/>
      <c r="AN363" s="75"/>
    </row>
    <row r="364" spans="1:40" s="6" customFormat="1" ht="11.25" customHeight="1" x14ac:dyDescent="0.2">
      <c r="A364" s="56">
        <f t="shared" si="142"/>
        <v>44180</v>
      </c>
      <c r="B364" s="618">
        <v>2.1030000000000002</v>
      </c>
      <c r="C364" s="392"/>
      <c r="D364" s="395">
        <f t="shared" si="122"/>
        <v>2.1458623253996558</v>
      </c>
      <c r="E364" s="387">
        <f t="shared" si="144"/>
        <v>2.4429067409300149</v>
      </c>
      <c r="F364" s="387">
        <f t="shared" si="123"/>
        <v>2.4429067409300149</v>
      </c>
      <c r="G364" s="110">
        <f t="shared" si="145"/>
        <v>0.13389390689049441</v>
      </c>
      <c r="H364" s="414" t="b">
        <f>Wh_hp&gt;='2019'!Maxi_hp</f>
        <v>0</v>
      </c>
      <c r="I364" s="382">
        <f>IF(H364,Wh_hp,'2019'!Maxi_hp)</f>
        <v>12.398151751173463</v>
      </c>
      <c r="J364" s="85">
        <f>IF(H364,An,'2019'!An_max)</f>
        <v>2019</v>
      </c>
      <c r="K364" s="199">
        <f t="shared" si="124"/>
        <v>44180</v>
      </c>
      <c r="L364" s="147">
        <f>IF(t&lt;Tvie,1-EXP((T0-t)*PertePVj)+'2019'!Pspv,1-EXP((T0-t)*PertePVj)+Pspv)</f>
        <v>1.997440604288192E-2</v>
      </c>
      <c r="M364" s="870"/>
      <c r="N364" s="870"/>
      <c r="O364" s="48">
        <f>IF(t&lt;Tnet,'2019'!Resal+('2019'!Salim-'2019'!Resal)*(1-EXP(('2019'!Tnet-t)/('2019'!Tau_j))),Resal+(Salim-Resal)*(1-EXP((Tnet-t)/(Tau_j))))*Salcycl</f>
        <v>0.1215946603910366</v>
      </c>
      <c r="P364" s="171">
        <f>(INDEX(Models!$BJ364:$BT364,,T364)*(1-R364)+INDEX(Models!$BJ364:$BT364,,T364+1)*R364-ERP_i)*Q364*Ramure*Pc/MaxiM</f>
        <v>6.0436915088634094E-2</v>
      </c>
      <c r="Q364" s="307">
        <f t="shared" si="125"/>
        <v>1</v>
      </c>
      <c r="R364" s="179">
        <f t="shared" si="126"/>
        <v>0.29971082790585757</v>
      </c>
      <c r="S364" s="837">
        <f t="shared" si="127"/>
        <v>-1</v>
      </c>
      <c r="T364" s="178">
        <f t="shared" si="128"/>
        <v>5</v>
      </c>
      <c r="U364" s="253">
        <f t="shared" si="129"/>
        <v>-0.70028917209414243</v>
      </c>
      <c r="V364" s="385">
        <f t="shared" si="130"/>
        <v>14.757214973080142</v>
      </c>
      <c r="W364" s="404"/>
      <c r="X364" s="157">
        <f t="shared" si="131"/>
        <v>44180</v>
      </c>
      <c r="Y364" s="387">
        <f t="shared" si="132"/>
        <v>2.1030000000000002</v>
      </c>
      <c r="Z364" s="387">
        <f t="shared" si="133"/>
        <v>2.1458623253996558</v>
      </c>
      <c r="AA364" s="388">
        <f t="shared" si="134"/>
        <v>2.4429067409300149</v>
      </c>
      <c r="AB364" s="199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0.1215946603910366</v>
      </c>
      <c r="AD364" s="233">
        <f>(INDEX(Models!$BJ364:$BT364,,AH364)*(1-AF364)+INDEX(Models!$BJ364:$BT364,,AH364+1)*AF364-ERP_i)*AE364*Ramure*Pc/MaxiM</f>
        <v>6.0436915088634094E-2</v>
      </c>
      <c r="AE364" s="307">
        <f t="shared" si="136"/>
        <v>1</v>
      </c>
      <c r="AF364" s="179">
        <f t="shared" si="137"/>
        <v>0.29971082790585757</v>
      </c>
      <c r="AG364" s="837">
        <f t="shared" si="143"/>
        <v>-1</v>
      </c>
      <c r="AH364" s="178">
        <f t="shared" si="138"/>
        <v>5</v>
      </c>
      <c r="AI364" s="227">
        <f t="shared" si="139"/>
        <v>-0.70028917209414243</v>
      </c>
      <c r="AJ364" s="267" t="b">
        <f t="shared" si="140"/>
        <v>0</v>
      </c>
      <c r="AK364" s="267" t="b">
        <f t="shared" si="141"/>
        <v>0</v>
      </c>
      <c r="AL364" s="267"/>
      <c r="AM364" s="267"/>
      <c r="AN364" s="75"/>
    </row>
    <row r="365" spans="1:40" s="6" customFormat="1" ht="11.25" customHeight="1" x14ac:dyDescent="0.2">
      <c r="A365" s="56">
        <f t="shared" si="142"/>
        <v>44181</v>
      </c>
      <c r="B365" s="618">
        <v>11.506</v>
      </c>
      <c r="C365" s="392"/>
      <c r="D365" s="395">
        <f t="shared" si="122"/>
        <v>11.740782933230207</v>
      </c>
      <c r="E365" s="387">
        <f t="shared" si="144"/>
        <v>13.366319517409813</v>
      </c>
      <c r="F365" s="387">
        <f t="shared" si="123"/>
        <v>13.948100170884187</v>
      </c>
      <c r="G365" s="110">
        <f t="shared" si="145"/>
        <v>0.76566269595732339</v>
      </c>
      <c r="H365" s="414" t="b">
        <f>Wh_hp&gt;='2019'!Maxi_hp</f>
        <v>0</v>
      </c>
      <c r="I365" s="382">
        <f>IF(H365,Wh_hp,'2019'!Maxi_hp)</f>
        <v>15.2581303092539</v>
      </c>
      <c r="J365" s="85">
        <f>IF(H365,An,'2019'!An_max)</f>
        <v>2018</v>
      </c>
      <c r="K365" s="199">
        <f t="shared" si="124"/>
        <v>44181</v>
      </c>
      <c r="L365" s="147">
        <f>IF(t&lt;Tvie,1-EXP((T0-t)*PertePVj)+'2019'!Pspv,1-EXP((T0-t)*PertePVj)+Pspv)</f>
        <v>1.999721267017851E-2</v>
      </c>
      <c r="M365" s="870"/>
      <c r="N365" s="870"/>
      <c r="O365" s="48">
        <f>IF(t&lt;Tnet,'2019'!Resal+('2019'!Salim-'2019'!Resal)*(1-EXP(('2019'!Tnet-t)/('2019'!Tau_j))),Resal+(Salim-Resal)*(1-EXP((Tnet-t)/(Tau_j))))*Salcycl</f>
        <v>0.12161437425331052</v>
      </c>
      <c r="P365" s="171">
        <f>(INDEX(Models!$BJ365:$BT365,,T365)*(1-R365)+INDEX(Models!$BJ365:$BT365,,T365+1)*R365-ERP_i)*Q365*Ramure*Pc/MaxiM</f>
        <v>6.0684868576335302E-2</v>
      </c>
      <c r="Q365" s="307">
        <f t="shared" si="125"/>
        <v>1</v>
      </c>
      <c r="R365" s="179">
        <f t="shared" si="126"/>
        <v>0.29972277251519497</v>
      </c>
      <c r="S365" s="837">
        <f t="shared" si="127"/>
        <v>-1</v>
      </c>
      <c r="T365" s="178">
        <f t="shared" si="128"/>
        <v>5</v>
      </c>
      <c r="U365" s="253">
        <f t="shared" si="129"/>
        <v>-0.70027722748480503</v>
      </c>
      <c r="V365" s="385">
        <f t="shared" si="130"/>
        <v>14.729954963393419</v>
      </c>
      <c r="W365" s="404"/>
      <c r="X365" s="157">
        <f t="shared" si="131"/>
        <v>44181</v>
      </c>
      <c r="Y365" s="387">
        <f t="shared" si="132"/>
        <v>11.506</v>
      </c>
      <c r="Z365" s="387">
        <f t="shared" si="133"/>
        <v>11.740782933230207</v>
      </c>
      <c r="AA365" s="388">
        <f t="shared" si="134"/>
        <v>13.366319517409813</v>
      </c>
      <c r="AB365" s="199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0.12161437425331052</v>
      </c>
      <c r="AD365" s="233">
        <f>(INDEX(Models!$BJ365:$BT365,,AH365)*(1-AF365)+INDEX(Models!$BJ365:$BT365,,AH365+1)*AF365-ERP_i)*AE365*Ramure*Pc/MaxiM</f>
        <v>6.0684868576335302E-2</v>
      </c>
      <c r="AE365" s="307">
        <f t="shared" si="136"/>
        <v>1</v>
      </c>
      <c r="AF365" s="179">
        <f t="shared" si="137"/>
        <v>0.29972277251519497</v>
      </c>
      <c r="AG365" s="837">
        <f t="shared" si="143"/>
        <v>-1</v>
      </c>
      <c r="AH365" s="178">
        <f t="shared" si="138"/>
        <v>5</v>
      </c>
      <c r="AI365" s="227">
        <f t="shared" si="139"/>
        <v>-0.70027722748480503</v>
      </c>
      <c r="AJ365" s="267" t="b">
        <f t="shared" si="140"/>
        <v>0</v>
      </c>
      <c r="AK365" s="267" t="b">
        <f t="shared" si="141"/>
        <v>0</v>
      </c>
      <c r="AL365" s="267"/>
      <c r="AM365" s="267"/>
      <c r="AN365" s="75"/>
    </row>
    <row r="366" spans="1:40" s="6" customFormat="1" ht="11.25" customHeight="1" x14ac:dyDescent="0.2">
      <c r="A366" s="56">
        <f t="shared" si="142"/>
        <v>44182</v>
      </c>
      <c r="B366" s="618">
        <v>7.3659999999999997</v>
      </c>
      <c r="C366" s="392"/>
      <c r="D366" s="395">
        <f t="shared" si="122"/>
        <v>7.5164800721032705</v>
      </c>
      <c r="E366" s="387">
        <f t="shared" si="144"/>
        <v>8.5573665726146864</v>
      </c>
      <c r="F366" s="387">
        <f t="shared" si="123"/>
        <v>8.7093310310729084</v>
      </c>
      <c r="G366" s="110">
        <f t="shared" si="145"/>
        <v>0.47856734104060045</v>
      </c>
      <c r="H366" s="414" t="b">
        <f>Wh_hp&gt;='2019'!Maxi_hp</f>
        <v>0</v>
      </c>
      <c r="I366" s="382">
        <f>IF(H366,Wh_hp,'2019'!Maxi_hp)</f>
        <v>14.821878497252188</v>
      </c>
      <c r="J366" s="85">
        <f>IF(H366,An,'2019'!An_max)</f>
        <v>2019</v>
      </c>
      <c r="K366" s="199">
        <f t="shared" si="124"/>
        <v>44182</v>
      </c>
      <c r="L366" s="147">
        <f>IF(t&lt;Tvie,1-EXP((T0-t)*PertePVj)+'2019'!Pspv,1-EXP((T0-t)*PertePVj)+Pspv)</f>
        <v>2.002001876673154E-2</v>
      </c>
      <c r="M366" s="870"/>
      <c r="N366" s="870"/>
      <c r="O366" s="48">
        <f>IF(t&lt;Tnet,'2019'!Resal+('2019'!Salim-'2019'!Resal)*(1-EXP(('2019'!Tnet-t)/('2019'!Tau_j))),Resal+(Salim-Resal)*(1-EXP((Tnet-t)/(Tau_j))))*Salcycl</f>
        <v>0.12163631085320843</v>
      </c>
      <c r="P366" s="171">
        <f>(INDEX(Models!$BJ366:$BT366,,T366)*(1-R366)+INDEX(Models!$BJ366:$BT366,,T366+1)*R366-ERP_i)*Q366*Ramure*Pc/MaxiM</f>
        <v>6.0859967841033348E-2</v>
      </c>
      <c r="Q366" s="307">
        <f t="shared" si="125"/>
        <v>1</v>
      </c>
      <c r="R366" s="179">
        <f t="shared" si="126"/>
        <v>0.29973423658273202</v>
      </c>
      <c r="S366" s="837">
        <f t="shared" si="127"/>
        <v>-1</v>
      </c>
      <c r="T366" s="178">
        <f t="shared" si="128"/>
        <v>5</v>
      </c>
      <c r="U366" s="253">
        <f t="shared" si="129"/>
        <v>-0.70026576341726798</v>
      </c>
      <c r="V366" s="385">
        <f t="shared" si="130"/>
        <v>14.711727492184279</v>
      </c>
      <c r="W366" s="404"/>
      <c r="X366" s="157">
        <f t="shared" si="131"/>
        <v>44182</v>
      </c>
      <c r="Y366" s="387">
        <f t="shared" si="132"/>
        <v>7.3660000000000005</v>
      </c>
      <c r="Z366" s="387">
        <f t="shared" si="133"/>
        <v>7.5164800721032714</v>
      </c>
      <c r="AA366" s="388">
        <f t="shared" si="134"/>
        <v>8.5573665726146864</v>
      </c>
      <c r="AB366" s="199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0.12163631085320843</v>
      </c>
      <c r="AD366" s="233">
        <f>(INDEX(Models!$BJ366:$BT366,,AH366)*(1-AF366)+INDEX(Models!$BJ366:$BT366,,AH366+1)*AF366-ERP_i)*AE366*Ramure*Pc/MaxiM</f>
        <v>6.0859967841033348E-2</v>
      </c>
      <c r="AE366" s="307">
        <f t="shared" si="136"/>
        <v>1</v>
      </c>
      <c r="AF366" s="179">
        <f t="shared" si="137"/>
        <v>0.29973423658273202</v>
      </c>
      <c r="AG366" s="837">
        <f t="shared" si="143"/>
        <v>-1</v>
      </c>
      <c r="AH366" s="178">
        <f t="shared" si="138"/>
        <v>5</v>
      </c>
      <c r="AI366" s="227">
        <f t="shared" si="139"/>
        <v>-0.70026576341726798</v>
      </c>
      <c r="AJ366" s="267" t="b">
        <f t="shared" si="140"/>
        <v>0</v>
      </c>
      <c r="AK366" s="267" t="b">
        <f t="shared" si="141"/>
        <v>0</v>
      </c>
      <c r="AL366" s="267"/>
      <c r="AM366" s="267"/>
      <c r="AN366" s="75"/>
    </row>
    <row r="367" spans="1:40" s="6" customFormat="1" ht="11.25" customHeight="1" x14ac:dyDescent="0.2">
      <c r="A367" s="56">
        <f t="shared" si="142"/>
        <v>44183</v>
      </c>
      <c r="B367" s="618">
        <v>7.8769999999999998</v>
      </c>
      <c r="C367" s="392"/>
      <c r="D367" s="395">
        <f t="shared" si="122"/>
        <v>8.0381063536118234</v>
      </c>
      <c r="E367" s="387">
        <f t="shared" si="144"/>
        <v>9.1514781222329553</v>
      </c>
      <c r="F367" s="387">
        <f t="shared" si="123"/>
        <v>9.3433664597387374</v>
      </c>
      <c r="G367" s="110">
        <f t="shared" si="145"/>
        <v>0.51364265164229361</v>
      </c>
      <c r="H367" s="414" t="b">
        <f>Wh_hp&gt;='2019'!Maxi_hp</f>
        <v>0</v>
      </c>
      <c r="I367" s="382">
        <f>IF(H367,Wh_hp,'2019'!Maxi_hp)</f>
        <v>16.382264966636473</v>
      </c>
      <c r="J367" s="85">
        <f>IF(H367,An,'2019'!An_max)</f>
        <v>2018</v>
      </c>
      <c r="K367" s="199">
        <f t="shared" si="124"/>
        <v>44183</v>
      </c>
      <c r="L367" s="147">
        <f>IF(t&lt;Tvie,1-EXP((T0-t)*PertePVj)+'2019'!Pspv,1-EXP((T0-t)*PertePVj)+Pspv)</f>
        <v>2.0042824332553444E-2</v>
      </c>
      <c r="M367" s="870"/>
      <c r="N367" s="870"/>
      <c r="O367" s="48">
        <f>IF(t&lt;Tnet,'2019'!Resal+('2019'!Salim-'2019'!Resal)*(1-EXP(('2019'!Tnet-t)/('2019'!Tau_j))),Resal+(Salim-Resal)*(1-EXP((Tnet-t)/(Tau_j))))*Salcycl</f>
        <v>0.12166032128911099</v>
      </c>
      <c r="P367" s="171">
        <f>(INDEX(Models!$BJ367:$BT367,,T367)*(1-R367)+INDEX(Models!$BJ367:$BT367,,T367+1)*R367-ERP_i)*Q367*Ramure*Pc/MaxiM</f>
        <v>6.0977189209253109E-2</v>
      </c>
      <c r="Q367" s="307">
        <f t="shared" si="125"/>
        <v>1</v>
      </c>
      <c r="R367" s="179">
        <f t="shared" si="126"/>
        <v>0.29974523942628473</v>
      </c>
      <c r="S367" s="837">
        <f t="shared" si="127"/>
        <v>-1</v>
      </c>
      <c r="T367" s="178">
        <f t="shared" si="128"/>
        <v>5</v>
      </c>
      <c r="U367" s="253">
        <f t="shared" si="129"/>
        <v>-0.70025476057371527</v>
      </c>
      <c r="V367" s="385">
        <f t="shared" si="130"/>
        <v>14.702393610579026</v>
      </c>
      <c r="W367" s="404"/>
      <c r="X367" s="157">
        <f t="shared" si="131"/>
        <v>44183</v>
      </c>
      <c r="Y367" s="387">
        <f t="shared" si="132"/>
        <v>7.8769999999999998</v>
      </c>
      <c r="Z367" s="387">
        <f t="shared" si="133"/>
        <v>8.0381063536118234</v>
      </c>
      <c r="AA367" s="388">
        <f t="shared" si="134"/>
        <v>9.1514781222329553</v>
      </c>
      <c r="AB367" s="199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0.12166032128911099</v>
      </c>
      <c r="AD367" s="233">
        <f>(INDEX(Models!$BJ367:$BT367,,AH367)*(1-AF367)+INDEX(Models!$BJ367:$BT367,,AH367+1)*AF367-ERP_i)*AE367*Ramure*Pc/MaxiM</f>
        <v>6.0977189209253109E-2</v>
      </c>
      <c r="AE367" s="307">
        <f t="shared" si="136"/>
        <v>1</v>
      </c>
      <c r="AF367" s="179">
        <f t="shared" si="137"/>
        <v>0.29974523942628473</v>
      </c>
      <c r="AG367" s="837">
        <f t="shared" si="143"/>
        <v>-1</v>
      </c>
      <c r="AH367" s="178">
        <f t="shared" si="138"/>
        <v>5</v>
      </c>
      <c r="AI367" s="227">
        <f t="shared" si="139"/>
        <v>-0.70025476057371527</v>
      </c>
      <c r="AJ367" s="267" t="b">
        <f t="shared" si="140"/>
        <v>0</v>
      </c>
      <c r="AK367" s="267" t="b">
        <f t="shared" si="141"/>
        <v>0</v>
      </c>
      <c r="AL367" s="267"/>
      <c r="AM367" s="267"/>
      <c r="AN367" s="75"/>
    </row>
    <row r="368" spans="1:40" s="6" customFormat="1" ht="11.25" customHeight="1" x14ac:dyDescent="0.2">
      <c r="A368" s="56">
        <f t="shared" si="142"/>
        <v>44184</v>
      </c>
      <c r="B368" s="618">
        <v>6.9249999999999998</v>
      </c>
      <c r="C368" s="392"/>
      <c r="D368" s="395">
        <f t="shared" si="122"/>
        <v>7.0667997853074134</v>
      </c>
      <c r="E368" s="387">
        <f t="shared" si="144"/>
        <v>8.0458718233323108</v>
      </c>
      <c r="F368" s="387">
        <f t="shared" si="123"/>
        <v>8.1676694547869957</v>
      </c>
      <c r="G368" s="110">
        <f t="shared" si="145"/>
        <v>0.44896817097704556</v>
      </c>
      <c r="H368" s="414" t="b">
        <f>Wh_hp&gt;='2019'!Maxi_hp</f>
        <v>0</v>
      </c>
      <c r="I368" s="382">
        <f>IF(H368,Wh_hp,'2019'!Maxi_hp)</f>
        <v>11.009406812456149</v>
      </c>
      <c r="J368" s="85">
        <f>IF(H368,An,'2019'!An_max)</f>
        <v>2018</v>
      </c>
      <c r="K368" s="199">
        <f t="shared" si="124"/>
        <v>44184</v>
      </c>
      <c r="L368" s="147">
        <f>IF(t&lt;Tvie,1-EXP((T0-t)*PertePVj)+'2019'!Pspv,1-EXP((T0-t)*PertePVj)+Pspv)</f>
        <v>2.0065629367656546E-2</v>
      </c>
      <c r="M368" s="870"/>
      <c r="N368" s="870"/>
      <c r="O368" s="48">
        <f>IF(t&lt;Tnet,'2019'!Resal+('2019'!Salim-'2019'!Resal)*(1-EXP(('2019'!Tnet-t)/('2019'!Tau_j))),Resal+(Salim-Resal)*(1-EXP((Tnet-t)/(Tau_j))))*Salcycl</f>
        <v>0.1216862584345025</v>
      </c>
      <c r="P368" s="171">
        <f>(INDEX(Models!$BJ368:$BT368,,T368)*(1-R368)+INDEX(Models!$BJ368:$BT368,,T368+1)*R368-ERP_i)*Q368*Ramure*Pc/MaxiM</f>
        <v>6.1035958227672833E-2</v>
      </c>
      <c r="Q368" s="307">
        <f t="shared" si="125"/>
        <v>1</v>
      </c>
      <c r="R368" s="179">
        <f t="shared" si="126"/>
        <v>0.29975579958825838</v>
      </c>
      <c r="S368" s="837">
        <f t="shared" si="127"/>
        <v>-1</v>
      </c>
      <c r="T368" s="178">
        <f t="shared" si="128"/>
        <v>5</v>
      </c>
      <c r="U368" s="253">
        <f t="shared" si="129"/>
        <v>-0.70024420041174162</v>
      </c>
      <c r="V368" s="385">
        <f t="shared" si="130"/>
        <v>14.702061303003967</v>
      </c>
      <c r="W368" s="404"/>
      <c r="X368" s="157">
        <f t="shared" si="131"/>
        <v>44184</v>
      </c>
      <c r="Y368" s="387">
        <f t="shared" si="132"/>
        <v>6.9249999999999998</v>
      </c>
      <c r="Z368" s="387">
        <f t="shared" si="133"/>
        <v>7.0667997853074134</v>
      </c>
      <c r="AA368" s="388">
        <f t="shared" si="134"/>
        <v>8.0458718233323108</v>
      </c>
      <c r="AB368" s="199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0.1216862584345025</v>
      </c>
      <c r="AD368" s="233">
        <f>(INDEX(Models!$BJ368:$BT368,,AH368)*(1-AF368)+INDEX(Models!$BJ368:$BT368,,AH368+1)*AF368-ERP_i)*AE368*Ramure*Pc/MaxiM</f>
        <v>6.1035958227672833E-2</v>
      </c>
      <c r="AE368" s="307">
        <f t="shared" si="136"/>
        <v>1</v>
      </c>
      <c r="AF368" s="179">
        <f t="shared" si="137"/>
        <v>0.29975579958825838</v>
      </c>
      <c r="AG368" s="837">
        <f t="shared" si="143"/>
        <v>-1</v>
      </c>
      <c r="AH368" s="178">
        <f t="shared" si="138"/>
        <v>5</v>
      </c>
      <c r="AI368" s="227">
        <f t="shared" si="139"/>
        <v>-0.70024420041174162</v>
      </c>
      <c r="AJ368" s="267" t="b">
        <f t="shared" si="140"/>
        <v>0</v>
      </c>
      <c r="AK368" s="267" t="b">
        <f t="shared" si="141"/>
        <v>0</v>
      </c>
      <c r="AL368" s="267"/>
      <c r="AM368" s="267"/>
      <c r="AN368" s="75"/>
    </row>
    <row r="369" spans="1:40" s="18" customFormat="1" ht="11.25" customHeight="1" x14ac:dyDescent="0.2">
      <c r="A369" s="56">
        <f t="shared" si="142"/>
        <v>44185</v>
      </c>
      <c r="B369" s="618">
        <v>4.992</v>
      </c>
      <c r="C369" s="392"/>
      <c r="D369" s="395">
        <f t="shared" si="122"/>
        <v>5.0943372571114196</v>
      </c>
      <c r="E369" s="387">
        <f t="shared" si="144"/>
        <v>5.8003168991927065</v>
      </c>
      <c r="F369" s="387">
        <f t="shared" si="123"/>
        <v>5.8202825618184502</v>
      </c>
      <c r="G369" s="110">
        <f t="shared" si="145"/>
        <v>0.31972639612989306</v>
      </c>
      <c r="H369" s="414" t="b">
        <f>Wh_hp&gt;='2019'!Maxi_hp</f>
        <v>0</v>
      </c>
      <c r="I369" s="382">
        <f>IF(H369,Wh_hp,'2019'!Maxi_hp)</f>
        <v>15.753026690424752</v>
      </c>
      <c r="J369" s="85">
        <f>IF(H369,An,'2019'!An_max)</f>
        <v>2019</v>
      </c>
      <c r="K369" s="199">
        <f t="shared" si="124"/>
        <v>44185</v>
      </c>
      <c r="L369" s="147">
        <f>IF(t&lt;Tvie,1-EXP((T0-t)*PertePVj)+'2019'!Pspv,1-EXP((T0-t)*PertePVj)+Pspv)</f>
        <v>2.0088433872053169E-2</v>
      </c>
      <c r="M369" s="870"/>
      <c r="N369" s="870"/>
      <c r="O369" s="48">
        <f>IF(t&lt;Tnet,'2019'!Resal+('2019'!Salim-'2019'!Resal)*(1-EXP(('2019'!Tnet-t)/('2019'!Tau_j))),Resal+(Salim-Resal)*(1-EXP((Tnet-t)/(Tau_j))))*Salcycl</f>
        <v>0.12171397776206766</v>
      </c>
      <c r="P369" s="171">
        <f>(INDEX(Models!$BJ369:$BT369,,T369)*(1-R369)+INDEX(Models!$BJ369:$BT369,,T369+1)*R369-ERP_i)*Q369*Ramure*Pc/MaxiM</f>
        <v>6.1035887642617866E-2</v>
      </c>
      <c r="Q369" s="307">
        <f t="shared" si="125"/>
        <v>1</v>
      </c>
      <c r="R369" s="179">
        <f t="shared" si="126"/>
        <v>0.29976593486668002</v>
      </c>
      <c r="S369" s="837">
        <f t="shared" si="127"/>
        <v>-1</v>
      </c>
      <c r="T369" s="178">
        <f t="shared" si="128"/>
        <v>5</v>
      </c>
      <c r="U369" s="253">
        <f t="shared" si="129"/>
        <v>-0.70023406513331998</v>
      </c>
      <c r="V369" s="385">
        <f t="shared" si="130"/>
        <v>14.710838417627283</v>
      </c>
      <c r="W369" s="404"/>
      <c r="X369" s="157">
        <f t="shared" si="131"/>
        <v>44185</v>
      </c>
      <c r="Y369" s="387">
        <f t="shared" si="132"/>
        <v>4.992</v>
      </c>
      <c r="Z369" s="387">
        <f t="shared" si="133"/>
        <v>5.0943372571114196</v>
      </c>
      <c r="AA369" s="388">
        <f t="shared" si="134"/>
        <v>5.8003168991927065</v>
      </c>
      <c r="AB369" s="199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0.12171397776206766</v>
      </c>
      <c r="AD369" s="233">
        <f>(INDEX(Models!$BJ369:$BT369,,AH369)*(1-AF369)+INDEX(Models!$BJ369:$BT369,,AH369+1)*AF369-ERP_i)*AE369*Ramure*Pc/MaxiM</f>
        <v>6.1035887642617866E-2</v>
      </c>
      <c r="AE369" s="307">
        <f t="shared" si="136"/>
        <v>1</v>
      </c>
      <c r="AF369" s="179">
        <f t="shared" si="137"/>
        <v>0.29976593486668002</v>
      </c>
      <c r="AG369" s="837">
        <f t="shared" si="143"/>
        <v>-1</v>
      </c>
      <c r="AH369" s="178">
        <f t="shared" si="138"/>
        <v>5</v>
      </c>
      <c r="AI369" s="227">
        <f t="shared" si="139"/>
        <v>-0.70023406513331998</v>
      </c>
      <c r="AJ369" s="267" t="b">
        <f t="shared" si="140"/>
        <v>0</v>
      </c>
      <c r="AK369" s="267" t="b">
        <f t="shared" si="141"/>
        <v>0</v>
      </c>
      <c r="AL369" s="267"/>
      <c r="AM369" s="267"/>
      <c r="AN369" s="267"/>
    </row>
    <row r="370" spans="1:40" s="18" customFormat="1" ht="11.25" customHeight="1" x14ac:dyDescent="0.2">
      <c r="A370" s="56">
        <f t="shared" si="142"/>
        <v>44186</v>
      </c>
      <c r="B370" s="618">
        <v>7.4989999999999997</v>
      </c>
      <c r="C370" s="392"/>
      <c r="D370" s="395">
        <f t="shared" si="122"/>
        <v>7.6529094828210527</v>
      </c>
      <c r="E370" s="387">
        <f t="shared" si="144"/>
        <v>8.7137505640053661</v>
      </c>
      <c r="F370" s="387">
        <f t="shared" si="123"/>
        <v>8.8754424563693863</v>
      </c>
      <c r="G370" s="110">
        <f t="shared" si="145"/>
        <v>0.48696331326801806</v>
      </c>
      <c r="H370" s="414" t="b">
        <f>Wh_hp&gt;='2019'!Maxi_hp</f>
        <v>1</v>
      </c>
      <c r="I370" s="382">
        <f>IF(H370,Wh_hp,'2019'!Maxi_hp)</f>
        <v>8.8754424563693863</v>
      </c>
      <c r="J370" s="85">
        <f>IF(H370,An,'2019'!An_max)</f>
        <v>2020</v>
      </c>
      <c r="K370" s="199">
        <f t="shared" si="124"/>
        <v>44186</v>
      </c>
      <c r="L370" s="147">
        <f>IF(t&lt;Tvie,1-EXP((T0-t)*PertePVj)+'2019'!Pspv,1-EXP((T0-t)*PertePVj)+Pspv)</f>
        <v>2.0111237845755636E-2</v>
      </c>
      <c r="M370" s="870"/>
      <c r="N370" s="870"/>
      <c r="O370" s="48">
        <f>IF(t&lt;Tnet,'2019'!Resal+('2019'!Salim-'2019'!Resal)*(1-EXP(('2019'!Tnet-t)/('2019'!Tau_j))),Resal+(Salim-Resal)*(1-EXP((Tnet-t)/(Tau_j))))*Salcycl</f>
        <v>0.12174333811739113</v>
      </c>
      <c r="P370" s="171">
        <f>(INDEX(Models!$BJ370:$BT370,,T370)*(1-R370)+INDEX(Models!$BJ370:$BT370,,T370+1)*R370-ERP_i)*Q370*Ramure*Pc/MaxiM</f>
        <v>6.0976782911767918E-2</v>
      </c>
      <c r="Q370" s="307">
        <f t="shared" si="125"/>
        <v>1</v>
      </c>
      <c r="R370" s="179">
        <f t="shared" si="126"/>
        <v>0.2997756623449962</v>
      </c>
      <c r="S370" s="837">
        <f t="shared" si="127"/>
        <v>-1</v>
      </c>
      <c r="T370" s="178">
        <f t="shared" si="128"/>
        <v>5</v>
      </c>
      <c r="U370" s="253">
        <f t="shared" si="129"/>
        <v>-0.7002243376550038</v>
      </c>
      <c r="V370" s="385">
        <f t="shared" si="130"/>
        <v>14.728832690038423</v>
      </c>
      <c r="W370" s="404"/>
      <c r="X370" s="157">
        <f t="shared" si="131"/>
        <v>44186</v>
      </c>
      <c r="Y370" s="387">
        <f t="shared" si="132"/>
        <v>7.4990000000000006</v>
      </c>
      <c r="Z370" s="387">
        <f t="shared" si="133"/>
        <v>7.6529094828210535</v>
      </c>
      <c r="AA370" s="388">
        <f t="shared" si="134"/>
        <v>8.7137505640053661</v>
      </c>
      <c r="AB370" s="199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0.12174333811739113</v>
      </c>
      <c r="AD370" s="233">
        <f>(INDEX(Models!$BJ370:$BT370,,AH370)*(1-AF370)+INDEX(Models!$BJ370:$BT370,,AH370+1)*AF370-ERP_i)*AE370*Ramure*Pc/MaxiM</f>
        <v>6.0976782911767918E-2</v>
      </c>
      <c r="AE370" s="307">
        <f t="shared" si="136"/>
        <v>1</v>
      </c>
      <c r="AF370" s="179">
        <f t="shared" si="137"/>
        <v>0.2997756623449962</v>
      </c>
      <c r="AG370" s="837">
        <f t="shared" si="143"/>
        <v>-1</v>
      </c>
      <c r="AH370" s="178">
        <f t="shared" si="138"/>
        <v>5</v>
      </c>
      <c r="AI370" s="227">
        <f t="shared" si="139"/>
        <v>-0.7002243376550038</v>
      </c>
      <c r="AJ370" s="267" t="b">
        <f t="shared" si="140"/>
        <v>0</v>
      </c>
      <c r="AK370" s="267" t="b">
        <f t="shared" si="141"/>
        <v>0</v>
      </c>
      <c r="AL370" s="267"/>
      <c r="AM370" s="267"/>
      <c r="AN370" s="267"/>
    </row>
    <row r="371" spans="1:40" s="6" customFormat="1" ht="11.25" customHeight="1" x14ac:dyDescent="0.2">
      <c r="A371" s="56">
        <f t="shared" si="142"/>
        <v>44187</v>
      </c>
      <c r="B371" s="618">
        <v>13.173999999999999</v>
      </c>
      <c r="C371" s="392"/>
      <c r="D371" s="395">
        <f t="shared" si="122"/>
        <v>13.444696065701889</v>
      </c>
      <c r="E371" s="387">
        <f t="shared" si="144"/>
        <v>15.308928641147961</v>
      </c>
      <c r="F371" s="387">
        <f t="shared" si="123"/>
        <v>16.140767818767696</v>
      </c>
      <c r="G371" s="110">
        <f t="shared" si="145"/>
        <v>0.88400536979880284</v>
      </c>
      <c r="H371" s="414" t="b">
        <f>Wh_hp&gt;='2019'!Maxi_hp</f>
        <v>1</v>
      </c>
      <c r="I371" s="382">
        <f>IF(H371,Wh_hp,'2019'!Maxi_hp)</f>
        <v>16.140767818767696</v>
      </c>
      <c r="J371" s="85">
        <f>IF(H371,An,'2019'!An_max)</f>
        <v>2020</v>
      </c>
      <c r="K371" s="199">
        <f t="shared" si="124"/>
        <v>44187</v>
      </c>
      <c r="L371" s="147">
        <f>IF(t&lt;Tvie,1-EXP((T0-t)*PertePVj)+'2019'!Pspv,1-EXP((T0-t)*PertePVj)+Pspv)</f>
        <v>2.0134041288776272E-2</v>
      </c>
      <c r="M371" s="870"/>
      <c r="N371" s="870"/>
      <c r="O371" s="48">
        <f>IF(t&lt;Tnet,'2019'!Resal+('2019'!Salim-'2019'!Resal)*(1-EXP(('2019'!Tnet-t)/('2019'!Tau_j))),Resal+(Salim-Resal)*(1-EXP((Tnet-t)/(Tau_j))))*Salcycl</f>
        <v>0.12177420243734836</v>
      </c>
      <c r="P371" s="171">
        <f>(INDEX(Models!$BJ371:$BT371,,T371)*(1-R371)+INDEX(Models!$BJ371:$BT371,,T371+1)*R371-ERP_i)*Q371*Ramure*Pc/MaxiM</f>
        <v>6.0858294946892391E-2</v>
      </c>
      <c r="Q371" s="307">
        <f t="shared" si="125"/>
        <v>1</v>
      </c>
      <c r="R371" s="179">
        <f t="shared" si="126"/>
        <v>0.2997756623449962</v>
      </c>
      <c r="S371" s="837">
        <f t="shared" si="127"/>
        <v>-1</v>
      </c>
      <c r="T371" s="178">
        <f t="shared" si="128"/>
        <v>5</v>
      </c>
      <c r="U371" s="253">
        <f t="shared" si="129"/>
        <v>-0.7002243376550038</v>
      </c>
      <c r="V371" s="385">
        <f t="shared" si="130"/>
        <v>14.756157247780527</v>
      </c>
      <c r="W371" s="404"/>
      <c r="X371" s="157">
        <f t="shared" si="131"/>
        <v>44187</v>
      </c>
      <c r="Y371" s="387">
        <f t="shared" si="132"/>
        <v>13.173999999999998</v>
      </c>
      <c r="Z371" s="387">
        <f t="shared" si="133"/>
        <v>13.444696065701887</v>
      </c>
      <c r="AA371" s="388">
        <f t="shared" si="134"/>
        <v>15.308928641147959</v>
      </c>
      <c r="AB371" s="199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0.12177420243734836</v>
      </c>
      <c r="AD371" s="233">
        <f>(INDEX(Models!$BJ371:$BT371,,AH371)*(1-AF371)+INDEX(Models!$BJ371:$BT371,,AH371+1)*AF371-ERP_i)*AE371*Ramure*Pc/MaxiM</f>
        <v>6.0858294946892391E-2</v>
      </c>
      <c r="AE371" s="307">
        <f t="shared" si="136"/>
        <v>1</v>
      </c>
      <c r="AF371" s="179">
        <f t="shared" si="137"/>
        <v>0.2997756623449962</v>
      </c>
      <c r="AG371" s="837">
        <f t="shared" si="143"/>
        <v>-1</v>
      </c>
      <c r="AH371" s="178">
        <f t="shared" si="138"/>
        <v>5</v>
      </c>
      <c r="AI371" s="227">
        <f t="shared" si="139"/>
        <v>-0.7002243376550038</v>
      </c>
      <c r="AJ371" s="267" t="b">
        <f t="shared" si="140"/>
        <v>0</v>
      </c>
      <c r="AK371" s="267" t="b">
        <f t="shared" si="141"/>
        <v>0</v>
      </c>
      <c r="AL371" s="267"/>
      <c r="AM371" s="267"/>
      <c r="AN371" s="75"/>
    </row>
    <row r="372" spans="1:40" s="6" customFormat="1" ht="11.25" customHeight="1" x14ac:dyDescent="0.2">
      <c r="A372" s="56">
        <f t="shared" si="142"/>
        <v>44188</v>
      </c>
      <c r="B372" s="618">
        <v>8.6809999999999992</v>
      </c>
      <c r="C372" s="392"/>
      <c r="D372" s="395">
        <f t="shared" si="122"/>
        <v>8.8595811978931707</v>
      </c>
      <c r="E372" s="387">
        <f t="shared" si="144"/>
        <v>10.088415111858621</v>
      </c>
      <c r="F372" s="387">
        <f t="shared" si="123"/>
        <v>10.345658492507411</v>
      </c>
      <c r="G372" s="110">
        <f t="shared" si="145"/>
        <v>0.56528092817579212</v>
      </c>
      <c r="H372" s="414" t="b">
        <f>Wh_hp&gt;='2019'!Maxi_hp</f>
        <v>0</v>
      </c>
      <c r="I372" s="382">
        <f>IF(H372,Wh_hp,'2019'!Maxi_hp)</f>
        <v>13.85135011242434</v>
      </c>
      <c r="J372" s="85">
        <f>IF(H372,An,'2019'!An_max)</f>
        <v>2019</v>
      </c>
      <c r="K372" s="199">
        <f t="shared" si="124"/>
        <v>44188</v>
      </c>
      <c r="L372" s="147">
        <f>IF(t&lt;Tvie,1-EXP((T0-t)*PertePVj)+'2019'!Pspv,1-EXP((T0-t)*PertePVj)+Pspv)</f>
        <v>2.0156844201127511E-2</v>
      </c>
      <c r="M372" s="870"/>
      <c r="N372" s="870"/>
      <c r="O372" s="48">
        <f>IF(t&lt;Tnet,'2019'!Resal+('2019'!Salim-'2019'!Resal)*(1-EXP(('2019'!Tnet-t)/('2019'!Tau_j))),Resal+(Salim-Resal)*(1-EXP((Tnet-t)/(Tau_j))))*Salcycl</f>
        <v>0.12180643840884327</v>
      </c>
      <c r="P372" s="171">
        <f>(INDEX(Models!$BJ372:$BT372,,T372)*(1-R372)+INDEX(Models!$BJ372:$BT372,,T372+1)*R372-ERP_i)*Q372*Ramure*Pc/MaxiM</f>
        <v>6.0680899919135084E-2</v>
      </c>
      <c r="Q372" s="307">
        <f t="shared" si="125"/>
        <v>1</v>
      </c>
      <c r="R372" s="179">
        <f t="shared" si="126"/>
        <v>0.2997756623449962</v>
      </c>
      <c r="S372" s="837">
        <f t="shared" si="127"/>
        <v>-1</v>
      </c>
      <c r="T372" s="178">
        <f t="shared" si="128"/>
        <v>5</v>
      </c>
      <c r="U372" s="253">
        <f t="shared" si="129"/>
        <v>-0.7002243376550038</v>
      </c>
      <c r="V372" s="385">
        <f t="shared" si="130"/>
        <v>14.792915304143374</v>
      </c>
      <c r="W372" s="404"/>
      <c r="X372" s="157">
        <f t="shared" si="131"/>
        <v>44188</v>
      </c>
      <c r="Y372" s="387">
        <f t="shared" si="132"/>
        <v>8.6809999999999992</v>
      </c>
      <c r="Z372" s="387">
        <f t="shared" si="133"/>
        <v>8.8595811978931707</v>
      </c>
      <c r="AA372" s="388">
        <f t="shared" si="134"/>
        <v>10.088415111858621</v>
      </c>
      <c r="AB372" s="199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0.12180643840884327</v>
      </c>
      <c r="AD372" s="233">
        <f>(INDEX(Models!$BJ372:$BT372,,AH372)*(1-AF372)+INDEX(Models!$BJ372:$BT372,,AH372+1)*AF372-ERP_i)*AE372*Ramure*Pc/MaxiM</f>
        <v>6.0680899919135084E-2</v>
      </c>
      <c r="AE372" s="307">
        <f t="shared" si="136"/>
        <v>1</v>
      </c>
      <c r="AF372" s="179">
        <f t="shared" si="137"/>
        <v>0.2997756623449962</v>
      </c>
      <c r="AG372" s="837">
        <f t="shared" si="143"/>
        <v>-1</v>
      </c>
      <c r="AH372" s="178">
        <f t="shared" si="138"/>
        <v>5</v>
      </c>
      <c r="AI372" s="227">
        <f t="shared" si="139"/>
        <v>-0.7002243376550038</v>
      </c>
      <c r="AJ372" s="267" t="b">
        <f t="shared" si="140"/>
        <v>0</v>
      </c>
      <c r="AK372" s="267" t="b">
        <f t="shared" si="141"/>
        <v>0</v>
      </c>
      <c r="AL372" s="267"/>
      <c r="AM372" s="267"/>
      <c r="AN372" s="75"/>
    </row>
    <row r="373" spans="1:40" s="6" customFormat="1" ht="11.25" customHeight="1" x14ac:dyDescent="0.2">
      <c r="A373" s="56">
        <f t="shared" si="142"/>
        <v>44189</v>
      </c>
      <c r="B373" s="618">
        <v>8.4410000000000007</v>
      </c>
      <c r="C373" s="392"/>
      <c r="D373" s="395">
        <f t="shared" si="122"/>
        <v>8.6148445177338289</v>
      </c>
      <c r="E373" s="387">
        <f t="shared" si="144"/>
        <v>9.8101071829102029</v>
      </c>
      <c r="F373" s="387">
        <f t="shared" si="123"/>
        <v>10.043232314643252</v>
      </c>
      <c r="G373" s="110">
        <f t="shared" si="145"/>
        <v>0.54713916973107868</v>
      </c>
      <c r="H373" s="414" t="b">
        <f>Wh_hp&gt;='2019'!Maxi_hp</f>
        <v>0</v>
      </c>
      <c r="I373" s="382">
        <f>IF(H373,Wh_hp,'2019'!Maxi_hp)</f>
        <v>13.907050225818837</v>
      </c>
      <c r="J373" s="85">
        <f>IF(H373,An,'2019'!An_max)</f>
        <v>2018</v>
      </c>
      <c r="K373" s="199">
        <f t="shared" si="124"/>
        <v>44189</v>
      </c>
      <c r="L373" s="147">
        <f>IF(t&lt;Tvie,1-EXP((T0-t)*PertePVj)+'2019'!Pspv,1-EXP((T0-t)*PertePVj)+Pspv)</f>
        <v>2.0179646582821675E-2</v>
      </c>
      <c r="M373" s="870"/>
      <c r="N373" s="870"/>
      <c r="O373" s="48">
        <f>IF(t&lt;Tnet,'2019'!Resal+('2019'!Salim-'2019'!Resal)*(1-EXP(('2019'!Tnet-t)/('2019'!Tau_j))),Resal+(Salim-Resal)*(1-EXP((Tnet-t)/(Tau_j))))*Salcycl</f>
        <v>0.12183991906414576</v>
      </c>
      <c r="P373" s="171">
        <f>(INDEX(Models!$BJ373:$BT373,,T373)*(1-R373)+INDEX(Models!$BJ373:$BT373,,T373+1)*R373-ERP_i)*Q373*Ramure*Pc/MaxiM</f>
        <v>6.0443723962039474E-2</v>
      </c>
      <c r="Q373" s="307">
        <f t="shared" si="125"/>
        <v>1</v>
      </c>
      <c r="R373" s="179">
        <f t="shared" si="126"/>
        <v>0.2997756623449962</v>
      </c>
      <c r="S373" s="837">
        <f t="shared" si="127"/>
        <v>-1</v>
      </c>
      <c r="T373" s="178">
        <f t="shared" si="128"/>
        <v>5</v>
      </c>
      <c r="U373" s="253">
        <f t="shared" si="129"/>
        <v>-0.7002243376550038</v>
      </c>
      <c r="V373" s="385">
        <f t="shared" si="130"/>
        <v>14.839478788988194</v>
      </c>
      <c r="W373" s="404"/>
      <c r="X373" s="157">
        <f t="shared" si="131"/>
        <v>44189</v>
      </c>
      <c r="Y373" s="387">
        <f t="shared" si="132"/>
        <v>8.4410000000000007</v>
      </c>
      <c r="Z373" s="387">
        <f t="shared" si="133"/>
        <v>8.6148445177338289</v>
      </c>
      <c r="AA373" s="388">
        <f t="shared" si="134"/>
        <v>9.8101071829102029</v>
      </c>
      <c r="AB373" s="199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0.12183991906414576</v>
      </c>
      <c r="AD373" s="233">
        <f>(INDEX(Models!$BJ373:$BT373,,AH373)*(1-AF373)+INDEX(Models!$BJ373:$BT373,,AH373+1)*AF373-ERP_i)*AE373*Ramure*Pc/MaxiM</f>
        <v>6.0443723962039474E-2</v>
      </c>
      <c r="AE373" s="307">
        <f t="shared" si="136"/>
        <v>1</v>
      </c>
      <c r="AF373" s="179">
        <f t="shared" si="137"/>
        <v>0.2997756623449962</v>
      </c>
      <c r="AG373" s="837">
        <f t="shared" si="143"/>
        <v>-1</v>
      </c>
      <c r="AH373" s="178">
        <f t="shared" si="138"/>
        <v>5</v>
      </c>
      <c r="AI373" s="227">
        <f t="shared" si="139"/>
        <v>-0.7002243376550038</v>
      </c>
      <c r="AJ373" s="267" t="b">
        <f t="shared" si="140"/>
        <v>0</v>
      </c>
      <c r="AK373" s="267" t="b">
        <f t="shared" si="141"/>
        <v>0</v>
      </c>
      <c r="AL373" s="267"/>
      <c r="AM373" s="267"/>
      <c r="AN373" s="75"/>
    </row>
    <row r="374" spans="1:40" s="6" customFormat="1" ht="11.25" customHeight="1" x14ac:dyDescent="0.2">
      <c r="A374" s="56">
        <f t="shared" si="142"/>
        <v>44190</v>
      </c>
      <c r="B374" s="618">
        <v>2.839</v>
      </c>
      <c r="C374" s="392"/>
      <c r="D374" s="395">
        <f t="shared" si="122"/>
        <v>2.8975373488758804</v>
      </c>
      <c r="E374" s="387">
        <f t="shared" si="144"/>
        <v>3.2996848694071246</v>
      </c>
      <c r="F374" s="387">
        <f t="shared" si="123"/>
        <v>3.2996848694071246</v>
      </c>
      <c r="G374" s="110">
        <f t="shared" si="145"/>
        <v>0.17912483872566934</v>
      </c>
      <c r="H374" s="414" t="b">
        <f>Wh_hp&gt;='2019'!Maxi_hp</f>
        <v>0</v>
      </c>
      <c r="I374" s="382">
        <f>IF(H374,Wh_hp,'2019'!Maxi_hp)</f>
        <v>17.58318067946076</v>
      </c>
      <c r="J374" s="85">
        <f>IF(H374,An,'2019'!An_max)</f>
        <v>2018</v>
      </c>
      <c r="K374" s="199">
        <f t="shared" si="124"/>
        <v>44190</v>
      </c>
      <c r="L374" s="147">
        <f>IF(t&lt;Tvie,1-EXP((T0-t)*PertePVj)+'2019'!Pspv,1-EXP((T0-t)*PertePVj)+Pspv)</f>
        <v>2.020244843387109E-2</v>
      </c>
      <c r="M374" s="870"/>
      <c r="N374" s="870"/>
      <c r="O374" s="48">
        <f>IF(t&lt;Tnet,'2019'!Resal+('2019'!Salim-'2019'!Resal)*(1-EXP(('2019'!Tnet-t)/('2019'!Tau_j))),Resal+(Salim-Resal)*(1-EXP((Tnet-t)/(Tau_j))))*Salcycl</f>
        <v>0.1218745233097064</v>
      </c>
      <c r="P374" s="171">
        <f>(INDEX(Models!$BJ374:$BT374,,T374)*(1-R374)+INDEX(Models!$BJ374:$BT374,,T374+1)*R374-ERP_i)*Q374*Ramure*Pc/MaxiM</f>
        <v>6.0146983083824192E-2</v>
      </c>
      <c r="Q374" s="307">
        <f t="shared" si="125"/>
        <v>1</v>
      </c>
      <c r="R374" s="179">
        <f t="shared" si="126"/>
        <v>0.2997756623449962</v>
      </c>
      <c r="S374" s="837">
        <f t="shared" si="127"/>
        <v>-1</v>
      </c>
      <c r="T374" s="178">
        <f t="shared" si="128"/>
        <v>5</v>
      </c>
      <c r="U374" s="253">
        <f t="shared" si="129"/>
        <v>-0.7002243376550038</v>
      </c>
      <c r="V374" s="385">
        <f t="shared" si="130"/>
        <v>14.895995072528445</v>
      </c>
      <c r="W374" s="404"/>
      <c r="X374" s="157">
        <f t="shared" si="131"/>
        <v>44190</v>
      </c>
      <c r="Y374" s="387">
        <f t="shared" si="132"/>
        <v>2.839</v>
      </c>
      <c r="Z374" s="387">
        <f t="shared" si="133"/>
        <v>2.8975373488758804</v>
      </c>
      <c r="AA374" s="388">
        <f t="shared" si="134"/>
        <v>3.2996848694071246</v>
      </c>
      <c r="AB374" s="199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0.1218745233097064</v>
      </c>
      <c r="AD374" s="233">
        <f>(INDEX(Models!$BJ374:$BT374,,AH374)*(1-AF374)+INDEX(Models!$BJ374:$BT374,,AH374+1)*AF374-ERP_i)*AE374*Ramure*Pc/MaxiM</f>
        <v>6.0146983083824192E-2</v>
      </c>
      <c r="AE374" s="307">
        <f t="shared" si="136"/>
        <v>1</v>
      </c>
      <c r="AF374" s="179">
        <f t="shared" si="137"/>
        <v>0.2997756623449962</v>
      </c>
      <c r="AG374" s="837">
        <f t="shared" si="143"/>
        <v>-1</v>
      </c>
      <c r="AH374" s="178">
        <f t="shared" si="138"/>
        <v>5</v>
      </c>
      <c r="AI374" s="227">
        <f t="shared" si="139"/>
        <v>-0.7002243376550038</v>
      </c>
      <c r="AJ374" s="267" t="b">
        <f t="shared" si="140"/>
        <v>0</v>
      </c>
      <c r="AK374" s="267" t="b">
        <f t="shared" si="141"/>
        <v>0</v>
      </c>
      <c r="AL374" s="267"/>
      <c r="AM374" s="267"/>
      <c r="AN374" s="75"/>
    </row>
    <row r="375" spans="1:40" s="6" customFormat="1" ht="11.25" customHeight="1" x14ac:dyDescent="0.2">
      <c r="A375" s="56">
        <f t="shared" si="142"/>
        <v>44191</v>
      </c>
      <c r="B375" s="618">
        <v>8.7309999999999999</v>
      </c>
      <c r="C375" s="392"/>
      <c r="D375" s="395">
        <f t="shared" si="122"/>
        <v>8.9112318906058814</v>
      </c>
      <c r="E375" s="387">
        <f t="shared" si="144"/>
        <v>10.148428150541593</v>
      </c>
      <c r="F375" s="387">
        <f t="shared" si="123"/>
        <v>10.400237511487683</v>
      </c>
      <c r="G375" s="110">
        <f t="shared" si="145"/>
        <v>0.56225791563312921</v>
      </c>
      <c r="H375" s="414" t="b">
        <f>Wh_hp&gt;='2019'!Maxi_hp</f>
        <v>0</v>
      </c>
      <c r="I375" s="382">
        <f>IF(H375,Wh_hp,'2019'!Maxi_hp)</f>
        <v>17.819544852558497</v>
      </c>
      <c r="J375" s="85">
        <f>IF(H375,An,'2019'!An_max)</f>
        <v>2018</v>
      </c>
      <c r="K375" s="199">
        <f t="shared" si="124"/>
        <v>44191</v>
      </c>
      <c r="L375" s="147">
        <f>IF(t&lt;Tvie,1-EXP((T0-t)*PertePVj)+'2019'!Pspv,1-EXP((T0-t)*PertePVj)+Pspv)</f>
        <v>2.0225249754288188E-2</v>
      </c>
      <c r="M375" s="870"/>
      <c r="N375" s="870"/>
      <c r="O375" s="48">
        <f>IF(t&lt;Tnet,'2019'!Resal+('2019'!Salim-'2019'!Resal)*(1-EXP(('2019'!Tnet-t)/('2019'!Tau_j))),Resal+(Salim-Resal)*(1-EXP((Tnet-t)/(Tau_j))))*Salcycl</f>
        <v>0.12191013638596693</v>
      </c>
      <c r="P375" s="171">
        <f>(INDEX(Models!$BJ375:$BT375,,T375)*(1-R375)+INDEX(Models!$BJ375:$BT375,,T375+1)*R375-ERP_i)*Q375*Ramure*Pc/MaxiM</f>
        <v>5.9776952080288888E-2</v>
      </c>
      <c r="Q375" s="307">
        <f t="shared" si="125"/>
        <v>1</v>
      </c>
      <c r="R375" s="179">
        <f t="shared" si="126"/>
        <v>0.2997756623449962</v>
      </c>
      <c r="S375" s="837">
        <f t="shared" si="127"/>
        <v>-1</v>
      </c>
      <c r="T375" s="178">
        <f t="shared" si="128"/>
        <v>5</v>
      </c>
      <c r="U375" s="253">
        <f t="shared" si="129"/>
        <v>-0.7002243376550038</v>
      </c>
      <c r="V375" s="385">
        <f t="shared" si="130"/>
        <v>14.962486756661528</v>
      </c>
      <c r="W375" s="404"/>
      <c r="X375" s="157">
        <f t="shared" si="131"/>
        <v>44191</v>
      </c>
      <c r="Y375" s="387">
        <f t="shared" si="132"/>
        <v>8.7309999999999999</v>
      </c>
      <c r="Z375" s="387">
        <f t="shared" si="133"/>
        <v>8.9112318906058814</v>
      </c>
      <c r="AA375" s="388">
        <f t="shared" si="134"/>
        <v>10.148428150541593</v>
      </c>
      <c r="AB375" s="199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0.12191013638596693</v>
      </c>
      <c r="AD375" s="233">
        <f>(INDEX(Models!$BJ375:$BT375,,AH375)*(1-AF375)+INDEX(Models!$BJ375:$BT375,,AH375+1)*AF375-ERP_i)*AE375*Ramure*Pc/MaxiM</f>
        <v>5.9776952080288888E-2</v>
      </c>
      <c r="AE375" s="307">
        <f t="shared" si="136"/>
        <v>1</v>
      </c>
      <c r="AF375" s="179">
        <f t="shared" si="137"/>
        <v>0.2997756623449962</v>
      </c>
      <c r="AG375" s="837">
        <f t="shared" si="143"/>
        <v>-1</v>
      </c>
      <c r="AH375" s="178">
        <f t="shared" si="138"/>
        <v>5</v>
      </c>
      <c r="AI375" s="227">
        <f t="shared" si="139"/>
        <v>-0.7002243376550038</v>
      </c>
      <c r="AJ375" s="267" t="b">
        <f t="shared" si="140"/>
        <v>0</v>
      </c>
      <c r="AK375" s="267" t="b">
        <f t="shared" si="141"/>
        <v>0</v>
      </c>
      <c r="AL375" s="267"/>
      <c r="AM375" s="267"/>
      <c r="AN375" s="75"/>
    </row>
    <row r="376" spans="1:40" s="6" customFormat="1" ht="11.25" customHeight="1" x14ac:dyDescent="0.2">
      <c r="A376" s="56">
        <f t="shared" si="142"/>
        <v>44192</v>
      </c>
      <c r="B376" s="618">
        <v>5.5810000000000004</v>
      </c>
      <c r="C376" s="392"/>
      <c r="D376" s="395">
        <f t="shared" si="122"/>
        <v>5.6963397756945469</v>
      </c>
      <c r="E376" s="387">
        <f t="shared" si="144"/>
        <v>6.4874643179227762</v>
      </c>
      <c r="F376" s="387">
        <f t="shared" si="123"/>
        <v>6.5268163851434409</v>
      </c>
      <c r="G376" s="110">
        <f t="shared" si="145"/>
        <v>0.35120598546886095</v>
      </c>
      <c r="H376" s="414" t="b">
        <f>Wh_hp&gt;='2019'!Maxi_hp</f>
        <v>1</v>
      </c>
      <c r="I376" s="382">
        <f>IF(H376,Wh_hp,'2019'!Maxi_hp)</f>
        <v>6.5268163851434409</v>
      </c>
      <c r="J376" s="85">
        <f>IF(H376,An,'2019'!An_max)</f>
        <v>2020</v>
      </c>
      <c r="K376" s="199">
        <f t="shared" si="124"/>
        <v>44192</v>
      </c>
      <c r="L376" s="147">
        <f>IF(t&lt;Tvie,1-EXP((T0-t)*PertePVj)+'2019'!Pspv,1-EXP((T0-t)*PertePVj)+Pspv)</f>
        <v>2.0248050544085183E-2</v>
      </c>
      <c r="M376" s="870"/>
      <c r="N376" s="870"/>
      <c r="O376" s="48">
        <f>IF(t&lt;Tnet,'2019'!Resal+('2019'!Salim-'2019'!Resal)*(1-EXP(('2019'!Tnet-t)/('2019'!Tau_j))),Resal+(Salim-Resal)*(1-EXP((Tnet-t)/(Tau_j))))*Salcycl</f>
        <v>0.1219466502563423</v>
      </c>
      <c r="P376" s="171">
        <f>(INDEX(Models!$BJ376:$BT376,,T376)*(1-R376)+INDEX(Models!$BJ376:$BT376,,T376+1)*R376-ERP_i)*Q376*Ramure*Pc/MaxiM</f>
        <v>5.9348751366423529E-2</v>
      </c>
      <c r="Q376" s="307">
        <f t="shared" si="125"/>
        <v>1</v>
      </c>
      <c r="R376" s="179">
        <f t="shared" si="126"/>
        <v>0.2997756623449962</v>
      </c>
      <c r="S376" s="837">
        <f t="shared" si="127"/>
        <v>-1</v>
      </c>
      <c r="T376" s="178">
        <f t="shared" si="128"/>
        <v>5</v>
      </c>
      <c r="U376" s="253">
        <f t="shared" si="129"/>
        <v>-0.7002243376550038</v>
      </c>
      <c r="V376" s="385">
        <f t="shared" si="130"/>
        <v>15.038522259600935</v>
      </c>
      <c r="W376" s="404"/>
      <c r="X376" s="157">
        <f t="shared" si="131"/>
        <v>44192</v>
      </c>
      <c r="Y376" s="387">
        <f t="shared" si="132"/>
        <v>5.5810000000000004</v>
      </c>
      <c r="Z376" s="387">
        <f t="shared" si="133"/>
        <v>5.6963397756945469</v>
      </c>
      <c r="AA376" s="388">
        <f t="shared" si="134"/>
        <v>6.4874643179227762</v>
      </c>
      <c r="AB376" s="199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0.1219466502563423</v>
      </c>
      <c r="AD376" s="233">
        <f>(INDEX(Models!$BJ376:$BT376,,AH376)*(1-AF376)+INDEX(Models!$BJ376:$BT376,,AH376+1)*AF376-ERP_i)*AE376*Ramure*Pc/MaxiM</f>
        <v>5.9348751366423529E-2</v>
      </c>
      <c r="AE376" s="307">
        <f t="shared" si="136"/>
        <v>1</v>
      </c>
      <c r="AF376" s="179">
        <f t="shared" si="137"/>
        <v>0.2997756623449962</v>
      </c>
      <c r="AG376" s="837">
        <f t="shared" si="143"/>
        <v>-1</v>
      </c>
      <c r="AH376" s="178">
        <f t="shared" si="138"/>
        <v>5</v>
      </c>
      <c r="AI376" s="227">
        <f t="shared" si="139"/>
        <v>-0.7002243376550038</v>
      </c>
      <c r="AJ376" s="267" t="b">
        <f t="shared" si="140"/>
        <v>0</v>
      </c>
      <c r="AK376" s="267" t="b">
        <f t="shared" si="141"/>
        <v>0</v>
      </c>
      <c r="AL376" s="267"/>
      <c r="AM376" s="267"/>
      <c r="AN376" s="75"/>
    </row>
    <row r="377" spans="1:40" s="6" customFormat="1" ht="11.25" customHeight="1" x14ac:dyDescent="0.2">
      <c r="A377" s="56">
        <f t="shared" si="142"/>
        <v>44193</v>
      </c>
      <c r="B377" s="618">
        <v>6.35</v>
      </c>
      <c r="C377" s="392"/>
      <c r="D377" s="395">
        <f t="shared" si="122"/>
        <v>6.4813831508497319</v>
      </c>
      <c r="E377" s="387">
        <f t="shared" si="144"/>
        <v>7.3818505409282489</v>
      </c>
      <c r="F377" s="387">
        <f t="shared" si="123"/>
        <v>7.4570156967225705</v>
      </c>
      <c r="G377" s="110">
        <f t="shared" si="145"/>
        <v>0.39917426974884918</v>
      </c>
      <c r="H377" s="414" t="b">
        <f>Wh_hp&gt;='2019'!Maxi_hp</f>
        <v>0</v>
      </c>
      <c r="I377" s="382">
        <f>IF(H377,Wh_hp,'2019'!Maxi_hp)</f>
        <v>19.042847861253957</v>
      </c>
      <c r="J377" s="85">
        <f>IF(H377,An,'2019'!An_max)</f>
        <v>2019</v>
      </c>
      <c r="K377" s="199">
        <f t="shared" si="124"/>
        <v>44193</v>
      </c>
      <c r="L377" s="147">
        <f>IF(t&lt;Tvie,1-EXP((T0-t)*PertePVj)+'2019'!Pspv,1-EXP((T0-t)*PertePVj)+Pspv)</f>
        <v>2.0270850803274509E-2</v>
      </c>
      <c r="M377" s="870"/>
      <c r="N377" s="870"/>
      <c r="O377" s="48">
        <f>IF(t&lt;Tnet,'2019'!Resal+('2019'!Salim-'2019'!Resal)*(1-EXP(('2019'!Tnet-t)/('2019'!Tau_j))),Resal+(Salim-Resal)*(1-EXP((Tnet-t)/(Tau_j))))*Salcycl</f>
        <v>0.12198396392421203</v>
      </c>
      <c r="P377" s="171">
        <f>(INDEX(Models!$BJ377:$BT377,,T377)*(1-R377)+INDEX(Models!$BJ377:$BT377,,T377+1)*R377-ERP_i)*Q377*Ramure*Pc/MaxiM</f>
        <v>5.8864559878526256E-2</v>
      </c>
      <c r="Q377" s="307">
        <f t="shared" si="125"/>
        <v>1</v>
      </c>
      <c r="R377" s="179">
        <f t="shared" si="126"/>
        <v>0.2997756623449962</v>
      </c>
      <c r="S377" s="837">
        <f t="shared" si="127"/>
        <v>-1</v>
      </c>
      <c r="T377" s="178">
        <f t="shared" si="128"/>
        <v>5</v>
      </c>
      <c r="U377" s="253">
        <f t="shared" si="129"/>
        <v>-0.7002243376550038</v>
      </c>
      <c r="V377" s="385">
        <f t="shared" si="130"/>
        <v>15.123876527239924</v>
      </c>
      <c r="W377" s="404"/>
      <c r="X377" s="157">
        <f t="shared" si="131"/>
        <v>44193</v>
      </c>
      <c r="Y377" s="387">
        <f t="shared" si="132"/>
        <v>6.35</v>
      </c>
      <c r="Z377" s="387">
        <f t="shared" si="133"/>
        <v>6.4813831508497319</v>
      </c>
      <c r="AA377" s="388">
        <f t="shared" si="134"/>
        <v>7.3818505409282489</v>
      </c>
      <c r="AB377" s="199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0.12198396392421203</v>
      </c>
      <c r="AD377" s="233">
        <f>(INDEX(Models!$BJ377:$BT377,,AH377)*(1-AF377)+INDEX(Models!$BJ377:$BT377,,AH377+1)*AF377-ERP_i)*AE377*Ramure*Pc/MaxiM</f>
        <v>5.8864559878526256E-2</v>
      </c>
      <c r="AE377" s="307">
        <f t="shared" si="136"/>
        <v>1</v>
      </c>
      <c r="AF377" s="179">
        <f t="shared" si="137"/>
        <v>0.2997756623449962</v>
      </c>
      <c r="AG377" s="837">
        <f t="shared" si="143"/>
        <v>-1</v>
      </c>
      <c r="AH377" s="178">
        <f t="shared" si="138"/>
        <v>5</v>
      </c>
      <c r="AI377" s="227">
        <f t="shared" si="139"/>
        <v>-0.7002243376550038</v>
      </c>
      <c r="AJ377" s="267" t="b">
        <f t="shared" si="140"/>
        <v>0</v>
      </c>
      <c r="AK377" s="267" t="b">
        <f t="shared" si="141"/>
        <v>0</v>
      </c>
      <c r="AL377" s="267"/>
      <c r="AM377" s="267"/>
      <c r="AN377" s="75"/>
    </row>
    <row r="378" spans="1:40" s="6" customFormat="1" ht="11.25" customHeight="1" x14ac:dyDescent="0.2">
      <c r="A378" s="56">
        <f t="shared" si="142"/>
        <v>44194</v>
      </c>
      <c r="B378" s="618">
        <v>6.0570000000000004</v>
      </c>
      <c r="C378" s="392"/>
      <c r="D378" s="395">
        <f t="shared" si="122"/>
        <v>6.1824647796640884</v>
      </c>
      <c r="E378" s="387">
        <f t="shared" si="144"/>
        <v>7.0417079525059467</v>
      </c>
      <c r="F378" s="387">
        <f t="shared" si="123"/>
        <v>7.0996862568757431</v>
      </c>
      <c r="G378" s="110">
        <f t="shared" si="145"/>
        <v>0.37787847365563082</v>
      </c>
      <c r="H378" s="414" t="b">
        <f>Wh_hp&gt;='2019'!Maxi_hp</f>
        <v>0</v>
      </c>
      <c r="I378" s="382">
        <f>IF(H378,Wh_hp,'2019'!Maxi_hp)</f>
        <v>18.153924992563482</v>
      </c>
      <c r="J378" s="85">
        <f>IF(H378,An,'2019'!An_max)</f>
        <v>2019</v>
      </c>
      <c r="K378" s="199">
        <f t="shared" si="124"/>
        <v>44194</v>
      </c>
      <c r="L378" s="147">
        <f>IF(t&lt;Tvie,1-EXP((T0-t)*PertePVj)+'2019'!Pspv,1-EXP((T0-t)*PertePVj)+Pspv)</f>
        <v>2.029365053186849E-2</v>
      </c>
      <c r="M378" s="870"/>
      <c r="N378" s="870"/>
      <c r="O378" s="48">
        <f>IF(t&lt;Tnet,'2019'!Resal+('2019'!Salim-'2019'!Resal)*(1-EXP(('2019'!Tnet-t)/('2019'!Tau_j))),Resal+(Salim-Resal)*(1-EXP((Tnet-t)/(Tau_j))))*Salcycl</f>
        <v>0.12202198367742266</v>
      </c>
      <c r="P378" s="171">
        <f>(INDEX(Models!$BJ378:$BT378,,T378)*(1-R378)+INDEX(Models!$BJ378:$BT378,,T378+1)*R378-ERP_i)*Q378*Ramure*Pc/MaxiM</f>
        <v>5.8326672035834297E-2</v>
      </c>
      <c r="Q378" s="307">
        <f t="shared" si="125"/>
        <v>1</v>
      </c>
      <c r="R378" s="179">
        <f t="shared" si="126"/>
        <v>0.2997756623449962</v>
      </c>
      <c r="S378" s="837">
        <f t="shared" si="127"/>
        <v>-1</v>
      </c>
      <c r="T378" s="178">
        <f t="shared" si="128"/>
        <v>5</v>
      </c>
      <c r="U378" s="253">
        <f t="shared" si="129"/>
        <v>-0.7002243376550038</v>
      </c>
      <c r="V378" s="385">
        <f t="shared" si="130"/>
        <v>15.218324446295279</v>
      </c>
      <c r="W378" s="404"/>
      <c r="X378" s="157">
        <f t="shared" si="131"/>
        <v>44194</v>
      </c>
      <c r="Y378" s="387">
        <f t="shared" si="132"/>
        <v>6.0570000000000004</v>
      </c>
      <c r="Z378" s="387">
        <f t="shared" si="133"/>
        <v>6.1824647796640884</v>
      </c>
      <c r="AA378" s="388">
        <f t="shared" si="134"/>
        <v>7.0417079525059467</v>
      </c>
      <c r="AB378" s="199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0.12202198367742266</v>
      </c>
      <c r="AD378" s="233">
        <f>(INDEX(Models!$BJ378:$BT378,,AH378)*(1-AF378)+INDEX(Models!$BJ378:$BT378,,AH378+1)*AF378-ERP_i)*AE378*Ramure*Pc/MaxiM</f>
        <v>5.8326672035834297E-2</v>
      </c>
      <c r="AE378" s="307">
        <f t="shared" si="136"/>
        <v>1</v>
      </c>
      <c r="AF378" s="179">
        <f t="shared" si="137"/>
        <v>0.2997756623449962</v>
      </c>
      <c r="AG378" s="837">
        <f t="shared" si="143"/>
        <v>-1</v>
      </c>
      <c r="AH378" s="178">
        <f t="shared" si="138"/>
        <v>5</v>
      </c>
      <c r="AI378" s="227">
        <f t="shared" si="139"/>
        <v>-0.7002243376550038</v>
      </c>
      <c r="AJ378" s="267" t="b">
        <f t="shared" si="140"/>
        <v>0</v>
      </c>
      <c r="AK378" s="267" t="b">
        <f t="shared" si="141"/>
        <v>0</v>
      </c>
      <c r="AL378" s="267"/>
      <c r="AM378" s="267"/>
      <c r="AN378" s="75"/>
    </row>
    <row r="379" spans="1:40" s="18" customFormat="1" ht="12.75" x14ac:dyDescent="0.2">
      <c r="A379" s="56">
        <f t="shared" si="142"/>
        <v>44195</v>
      </c>
      <c r="B379" s="618">
        <v>7.0030000000000001</v>
      </c>
      <c r="C379" s="392"/>
      <c r="D379" s="395">
        <f t="shared" si="122"/>
        <v>7.1482265860941698</v>
      </c>
      <c r="E379" s="387">
        <f t="shared" si="144"/>
        <v>8.1420503231567096</v>
      </c>
      <c r="F379" s="387">
        <f t="shared" si="123"/>
        <v>8.2489160941513422</v>
      </c>
      <c r="G379" s="110">
        <f t="shared" si="145"/>
        <v>0.4363287917238346</v>
      </c>
      <c r="H379" s="414" t="b">
        <f>Wh_hp&gt;='2019'!Maxi_hp</f>
        <v>0</v>
      </c>
      <c r="I379" s="382">
        <f>IF(H379,Wh_hp,'2019'!Maxi_hp)</f>
        <v>13.63430749412905</v>
      </c>
      <c r="J379" s="85">
        <f>IF(H379,An,'2019'!An_max)</f>
        <v>2019</v>
      </c>
      <c r="K379" s="199">
        <f t="shared" si="124"/>
        <v>44195</v>
      </c>
      <c r="L379" s="147">
        <f>IF(t&lt;Tvie,1-EXP((T0-t)*PertePVj)+'2019'!Pspv,1-EXP((T0-t)*PertePVj)+Pspv)</f>
        <v>2.0316449729879449E-2</v>
      </c>
      <c r="M379" s="870"/>
      <c r="N379" s="870"/>
      <c r="O379" s="48">
        <f>IF(t&lt;Tnet,'2019'!Resal+('2019'!Salim-'2019'!Resal)*(1-EXP(('2019'!Tnet-t)/('2019'!Tau_j))),Resal+(Salim-Resal)*(1-EXP((Tnet-t)/(Tau_j))))*Salcycl</f>
        <v>0.12206062326046031</v>
      </c>
      <c r="P379" s="171">
        <f>(INDEX(Models!$BJ379:$BT379,,T379)*(1-R379)+INDEX(Models!$BJ379:$BT379,,T379+1)*R379-ERP_i)*Q379*Ramure*Pc/MaxiM</f>
        <v>5.7737475420914453E-2</v>
      </c>
      <c r="Q379" s="308">
        <f t="shared" si="125"/>
        <v>1</v>
      </c>
      <c r="R379" s="179">
        <f t="shared" si="126"/>
        <v>0.2997756623449962</v>
      </c>
      <c r="S379" s="837">
        <f t="shared" si="127"/>
        <v>-1</v>
      </c>
      <c r="T379" s="178">
        <f t="shared" si="128"/>
        <v>5</v>
      </c>
      <c r="U379" s="309">
        <f t="shared" si="129"/>
        <v>-0.7002243376550038</v>
      </c>
      <c r="V379" s="385">
        <f t="shared" si="130"/>
        <v>15.32164083616331</v>
      </c>
      <c r="W379" s="404"/>
      <c r="X379" s="157">
        <f t="shared" si="131"/>
        <v>44195</v>
      </c>
      <c r="Y379" s="387">
        <f t="shared" si="132"/>
        <v>7.0030000000000001</v>
      </c>
      <c r="Z379" s="387">
        <f t="shared" si="133"/>
        <v>7.1482265860941698</v>
      </c>
      <c r="AA379" s="388">
        <f t="shared" si="134"/>
        <v>8.1420503231567096</v>
      </c>
      <c r="AB379" s="199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0.12206062326046031</v>
      </c>
      <c r="AD379" s="233">
        <f>(INDEX(Models!$BJ379:$BT379,,AH379)*(1-AF379)+INDEX(Models!$BJ379:$BT379,,AH379+1)*AF379-ERP_i)*AE379*Ramure*Pc/MaxiM</f>
        <v>5.7737475420914453E-2</v>
      </c>
      <c r="AE379" s="308">
        <f t="shared" si="136"/>
        <v>1</v>
      </c>
      <c r="AF379" s="179">
        <f t="shared" si="137"/>
        <v>0.2997756623449962</v>
      </c>
      <c r="AG379" s="837">
        <f t="shared" si="143"/>
        <v>-1</v>
      </c>
      <c r="AH379" s="178">
        <f t="shared" si="138"/>
        <v>5</v>
      </c>
      <c r="AI379" s="224">
        <f t="shared" si="139"/>
        <v>-0.7002243376550038</v>
      </c>
      <c r="AJ379" s="267" t="b">
        <f t="shared" si="140"/>
        <v>0</v>
      </c>
      <c r="AK379" s="267" t="b">
        <f t="shared" si="141"/>
        <v>0</v>
      </c>
      <c r="AL379" s="267"/>
      <c r="AM379" s="267"/>
      <c r="AN379" s="267"/>
    </row>
    <row r="380" spans="1:40" s="18" customFormat="1" ht="11.25" customHeight="1" thickBot="1" x14ac:dyDescent="0.25">
      <c r="A380" s="56">
        <f t="shared" si="142"/>
        <v>44196</v>
      </c>
      <c r="B380" s="619">
        <v>10.864000000000001</v>
      </c>
      <c r="C380" s="392"/>
      <c r="D380" s="395">
        <f t="shared" si="122"/>
        <v>11.089553176675695</v>
      </c>
      <c r="E380" s="387">
        <f t="shared" si="144"/>
        <v>12.631906481954054</v>
      </c>
      <c r="F380" s="387">
        <f t="shared" si="123"/>
        <v>13.062281165272948</v>
      </c>
      <c r="G380" s="110">
        <f t="shared" si="145"/>
        <v>0.68633876483779643</v>
      </c>
      <c r="H380" s="414" t="b">
        <f>Wh_hp&gt;='2019'!Maxi_hp</f>
        <v>1</v>
      </c>
      <c r="I380" s="383">
        <f>IF(H380,Wh_hp,'2019'!Maxi_hp)</f>
        <v>13.062281165272948</v>
      </c>
      <c r="J380" s="128">
        <f>IF(H380,An,'2019'!An_max)</f>
        <v>2020</v>
      </c>
      <c r="K380" s="236">
        <f t="shared" si="124"/>
        <v>44196</v>
      </c>
      <c r="L380" s="147">
        <f>IF(t&lt;Tvie,1-EXP((T0-t)*PertePVj)+'2019'!Pspv,1-EXP((T0-t)*PertePVj)+Pspv)</f>
        <v>2.033924839731982E-2</v>
      </c>
      <c r="M380" s="870"/>
      <c r="N380" s="870"/>
      <c r="O380" s="326">
        <f>IF(t&lt;Tnet,'2019'!Resal+('2019'!Salim-'2019'!Resal)*(1-EXP(('2019'!Tnet-t)/('2019'!Tau_j))),Resal+(Salim-Resal)*(1-EXP((Tnet-t)/(Tau_j))))*Salcycl</f>
        <v>0.12209980397509806</v>
      </c>
      <c r="P380" s="233">
        <f>(INDEX(Models!$BJ380:$BT380,,T380)*(1-R380)+INDEX(Models!$BJ380:$BT380,,T380+1)*R380-ERP_i)*Q380*Ramure*Pc/MaxiM</f>
        <v>5.7099429071925237E-2</v>
      </c>
      <c r="Q380" s="330">
        <f t="shared" si="125"/>
        <v>1</v>
      </c>
      <c r="R380" s="316">
        <f>(Hp_vg-S380)/(INDEX(Echel_vg,T380+1)-S380)</f>
        <v>0.2997756623449962</v>
      </c>
      <c r="S380" s="838">
        <f>INDEX(Echel_vg,T380)</f>
        <v>-1</v>
      </c>
      <c r="T380" s="235">
        <f t="shared" si="128"/>
        <v>5</v>
      </c>
      <c r="U380" s="303">
        <f t="shared" si="129"/>
        <v>-0.7002243376550038</v>
      </c>
      <c r="V380" s="385">
        <f t="shared" si="130"/>
        <v>15.433600444422039</v>
      </c>
      <c r="W380" s="404"/>
      <c r="X380" s="328">
        <f t="shared" si="131"/>
        <v>44196</v>
      </c>
      <c r="Y380" s="400">
        <f t="shared" si="132"/>
        <v>10.864000000000001</v>
      </c>
      <c r="Z380" s="400">
        <f t="shared" si="133"/>
        <v>11.089553176675695</v>
      </c>
      <c r="AA380" s="401">
        <f t="shared" si="134"/>
        <v>12.631906481954054</v>
      </c>
      <c r="AB380" s="200">
        <f t="shared" si="135"/>
        <v>44196</v>
      </c>
      <c r="AC380" s="329">
        <f>IF(OR(t&lt;Tnet,NoTnet),'2019'!Resal_s+('2019'!Salim-'2019'!Resal_s)*(1-EXP(('2019'!Tnet_s-t)/'2019'!Tau_j)),Resal_s+(Salim-Resal_s)*(1-EXP((Tnet_s-t)/Tau_j)))*Salcycl</f>
        <v>0.12209980397509806</v>
      </c>
      <c r="AD380" s="839">
        <f>(INDEX(Models!$BJ380:$BT380,,AH380)*(1-AF380)+INDEX(Models!$BJ380:$BT380,,AH380+1)*AF380-ERP_i)*AE380*Ramure*Pc/MaxiM</f>
        <v>5.7099429071925237E-2</v>
      </c>
      <c r="AE380" s="330">
        <f t="shared" si="136"/>
        <v>1</v>
      </c>
      <c r="AF380" s="316">
        <f>(Hp_vg_s-AG380)/(INDEX(Echel_vg,AH380+1)-AG380)</f>
        <v>0.2997756623449962</v>
      </c>
      <c r="AG380" s="838">
        <f>INDEX(Echel_vg,AH380)</f>
        <v>-1</v>
      </c>
      <c r="AH380" s="235">
        <f t="shared" si="138"/>
        <v>5</v>
      </c>
      <c r="AI380" s="229">
        <f t="shared" si="139"/>
        <v>-0.7002243376550038</v>
      </c>
      <c r="AJ380" s="267" t="b">
        <f t="shared" si="140"/>
        <v>0</v>
      </c>
      <c r="AK380" s="267" t="b">
        <f t="shared" si="141"/>
        <v>0</v>
      </c>
      <c r="AL380" s="267"/>
      <c r="AM380" s="267"/>
      <c r="AN380" s="267"/>
    </row>
    <row r="381" spans="1:40" s="104" customFormat="1" ht="11.25" customHeight="1" x14ac:dyDescent="0.2">
      <c r="A381" s="111" t="s">
        <v>7</v>
      </c>
      <c r="B381" s="377">
        <f>MIN(B15:B380)</f>
        <v>1.196</v>
      </c>
      <c r="C381" s="377"/>
      <c r="D381" s="375">
        <f>MIN(D15:D380)</f>
        <v>1.2110964652460892</v>
      </c>
      <c r="E381" s="375">
        <f>MIN(E15:E380)</f>
        <v>1.3363275523280242</v>
      </c>
      <c r="F381" s="376">
        <f>MIN(F15:F380)</f>
        <v>1.3363275523280242</v>
      </c>
      <c r="G381" s="125">
        <f>+MIN(G15:G380)</f>
        <v>5.6436087960386953E-2</v>
      </c>
      <c r="H381" s="94"/>
      <c r="I381" s="376">
        <f>MIN(I15:I380)</f>
        <v>6.5268163851434409</v>
      </c>
      <c r="J381" s="57">
        <f>MIN(J15:J380)</f>
        <v>2018</v>
      </c>
      <c r="K381" s="202" t="s">
        <v>7</v>
      </c>
      <c r="L381" s="146">
        <f t="shared" ref="L381:T381" si="146">MIN(L15:L380)</f>
        <v>1.1982389515149627E-2</v>
      </c>
      <c r="M381" s="872"/>
      <c r="N381" s="872"/>
      <c r="O381" s="47">
        <f t="shared" si="146"/>
        <v>9.1066884114684096E-2</v>
      </c>
      <c r="P381" s="170">
        <f t="shared" si="146"/>
        <v>7.9569444160596699E-5</v>
      </c>
      <c r="Q381" s="312">
        <f t="shared" si="146"/>
        <v>1</v>
      </c>
      <c r="R381" s="313">
        <f t="shared" si="146"/>
        <v>6.5241943133694802E-3</v>
      </c>
      <c r="S381" s="837">
        <f t="shared" si="146"/>
        <v>-2</v>
      </c>
      <c r="T381" s="178">
        <f t="shared" si="146"/>
        <v>4</v>
      </c>
      <c r="U381" s="254">
        <f>+MIN(U15:U380)</f>
        <v>-1.4002225554043644</v>
      </c>
      <c r="V381" s="375">
        <f>MIN(V15:V380)</f>
        <v>14.702061303003967</v>
      </c>
      <c r="W381" s="829" t="s">
        <v>40</v>
      </c>
      <c r="X381" s="112" t="s">
        <v>7</v>
      </c>
      <c r="Y381" s="377">
        <f>MIN(Y15:Y380)</f>
        <v>1.196</v>
      </c>
      <c r="Z381" s="377">
        <f>MIN(Z15:Z380)</f>
        <v>1.2110964652460892</v>
      </c>
      <c r="AA381" s="377">
        <f>MIN(AA15:AA380)</f>
        <v>1.3363275523280242</v>
      </c>
      <c r="AB381" s="202" t="s">
        <v>7</v>
      </c>
      <c r="AC381" s="48">
        <f t="shared" ref="AC381:AH381" si="147">MIN(AC15:AC380)</f>
        <v>9.1066884114684096E-2</v>
      </c>
      <c r="AD381" s="171">
        <f t="shared" si="147"/>
        <v>7.9569444160596699E-5</v>
      </c>
      <c r="AE381" s="312">
        <f t="shared" si="147"/>
        <v>1</v>
      </c>
      <c r="AF381" s="313">
        <f t="shared" si="147"/>
        <v>6.5241943133694802E-3</v>
      </c>
      <c r="AG381" s="837">
        <f t="shared" si="147"/>
        <v>-2</v>
      </c>
      <c r="AH381" s="178">
        <f t="shared" si="147"/>
        <v>4</v>
      </c>
      <c r="AI381" s="227">
        <f>MIN(AI15:AI380)</f>
        <v>-1.4002225554043644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26.909734972677608</v>
      </c>
      <c r="C382" s="377"/>
      <c r="D382" s="377">
        <f>AVERAGE(D15:D380)</f>
        <v>27.345413744617819</v>
      </c>
      <c r="E382" s="377">
        <f>AVERAGE(E15:E380)</f>
        <v>30.894512941752559</v>
      </c>
      <c r="F382" s="378">
        <f>AVERAGE(F15:F380)</f>
        <v>31.028508506759554</v>
      </c>
      <c r="G382" s="126">
        <f>AVERAGE(G15:G380)</f>
        <v>0.6885719736445709</v>
      </c>
      <c r="H382" s="94"/>
      <c r="I382" s="378">
        <f>AVERAGE(I15:I380)</f>
        <v>37.652887818933628</v>
      </c>
      <c r="J382" s="59">
        <f>AVERAGE(J15:J380)</f>
        <v>2019.3879781420765</v>
      </c>
      <c r="K382" s="202" t="s">
        <v>8</v>
      </c>
      <c r="L382" s="147">
        <f t="shared" ref="L382:V382" si="148">AVERAGE(L15:L380)</f>
        <v>1.6166718132663831E-2</v>
      </c>
      <c r="M382" s="870"/>
      <c r="N382" s="870"/>
      <c r="O382" s="48">
        <f t="shared" si="148"/>
        <v>0.1139378809297969</v>
      </c>
      <c r="P382" s="171">
        <f t="shared" si="148"/>
        <v>1.3255542337881154E-2</v>
      </c>
      <c r="Q382" s="314">
        <f t="shared" si="148"/>
        <v>1</v>
      </c>
      <c r="R382" s="179">
        <f t="shared" si="148"/>
        <v>0.45147284427954815</v>
      </c>
      <c r="S382" s="837">
        <f t="shared" si="148"/>
        <v>-1.459016393442623</v>
      </c>
      <c r="T382" s="178">
        <f t="shared" si="148"/>
        <v>4.5409836065573774</v>
      </c>
      <c r="U382" s="253">
        <f t="shared" si="148"/>
        <v>-1.0075435491630751</v>
      </c>
      <c r="V382" s="377">
        <f t="shared" si="148"/>
        <v>37.858577255616773</v>
      </c>
      <c r="X382" s="112" t="s">
        <v>8</v>
      </c>
      <c r="Y382" s="377">
        <f>AVERAGE(Y15:Y380)</f>
        <v>26.909734972677608</v>
      </c>
      <c r="Z382" s="377">
        <f>AVERAGE(Z15:Z380)</f>
        <v>27.345413744617819</v>
      </c>
      <c r="AA382" s="377">
        <f>AVERAGE(AA15:AA380)</f>
        <v>30.894512941752559</v>
      </c>
      <c r="AB382" s="202" t="s">
        <v>8</v>
      </c>
      <c r="AC382" s="48">
        <f t="shared" ref="AC382:AH382" si="149">AVERAGE(AC15:AC380)</f>
        <v>0.1139378809297969</v>
      </c>
      <c r="AD382" s="171">
        <f t="shared" si="149"/>
        <v>1.3255542337881154E-2</v>
      </c>
      <c r="AE382" s="314">
        <f t="shared" si="149"/>
        <v>1</v>
      </c>
      <c r="AF382" s="179">
        <f t="shared" si="149"/>
        <v>0.45147284427954815</v>
      </c>
      <c r="AG382" s="837">
        <f t="shared" si="149"/>
        <v>-1.459016393442623</v>
      </c>
      <c r="AH382" s="178">
        <f t="shared" si="149"/>
        <v>4.5409836065573774</v>
      </c>
      <c r="AI382" s="227">
        <f>AVERAGE(AI15:AI380)</f>
        <v>-1.0075435491630751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56.746000000000002</v>
      </c>
      <c r="C383" s="379"/>
      <c r="D383" s="379">
        <f>MAX(D15:D380)</f>
        <v>57.617604434735114</v>
      </c>
      <c r="E383" s="379">
        <f>MAX(E15:E380)</f>
        <v>64.813823420443327</v>
      </c>
      <c r="F383" s="380">
        <f>MAX(F15:F380)</f>
        <v>64.833198802654493</v>
      </c>
      <c r="G383" s="127">
        <f>+MAX(G15:G380)</f>
        <v>1.0278740875222927</v>
      </c>
      <c r="H383" s="94"/>
      <c r="I383" s="380">
        <f>MAX(I15:I380)</f>
        <v>66.080309605009333</v>
      </c>
      <c r="J383" s="60">
        <f>MAX(J15:J380)</f>
        <v>2020</v>
      </c>
      <c r="K383" s="202" t="s">
        <v>9</v>
      </c>
      <c r="L383" s="148">
        <f t="shared" ref="L383:T383" si="150">MAX(L15:L380)</f>
        <v>2.033924839731982E-2</v>
      </c>
      <c r="M383" s="873"/>
      <c r="N383" s="873"/>
      <c r="O383" s="49">
        <f t="shared" si="150"/>
        <v>0.12653083418275671</v>
      </c>
      <c r="P383" s="172">
        <f t="shared" si="150"/>
        <v>6.1035958227672833E-2</v>
      </c>
      <c r="Q383" s="315">
        <f t="shared" si="150"/>
        <v>1</v>
      </c>
      <c r="R383" s="316">
        <f t="shared" si="150"/>
        <v>0.99948867241818862</v>
      </c>
      <c r="S383" s="838">
        <f t="shared" si="150"/>
        <v>-1</v>
      </c>
      <c r="T383" s="235">
        <f t="shared" si="150"/>
        <v>5</v>
      </c>
      <c r="U383" s="255">
        <f>+MAX(U15:U380)</f>
        <v>-0.7002243376550038</v>
      </c>
      <c r="V383" s="379">
        <f>MAX(V15:V380)</f>
        <v>56.708577699510855</v>
      </c>
      <c r="X383" s="112" t="s">
        <v>9</v>
      </c>
      <c r="Y383" s="379">
        <f>MAX(Y15:Y380)</f>
        <v>56.745999999999995</v>
      </c>
      <c r="Z383" s="379">
        <f>MAX(Z15:Z380)</f>
        <v>57.617604434735107</v>
      </c>
      <c r="AA383" s="379">
        <f>MAX(AA15:AA380)</f>
        <v>64.813823420443327</v>
      </c>
      <c r="AB383" s="202" t="s">
        <v>9</v>
      </c>
      <c r="AC383" s="49">
        <f t="shared" ref="AC383:AH383" si="151">MAX(AC15:AC380)</f>
        <v>0.12653083418275671</v>
      </c>
      <c r="AD383" s="172">
        <f t="shared" si="151"/>
        <v>6.1035958227672833E-2</v>
      </c>
      <c r="AE383" s="315">
        <f t="shared" si="151"/>
        <v>1</v>
      </c>
      <c r="AF383" s="316">
        <f t="shared" si="151"/>
        <v>0.99948867241818862</v>
      </c>
      <c r="AG383" s="838">
        <f t="shared" si="151"/>
        <v>-1</v>
      </c>
      <c r="AH383" s="235">
        <f t="shared" si="151"/>
        <v>5</v>
      </c>
      <c r="AI383" s="229">
        <f>MAX(AI15:AI380)</f>
        <v>-0.7002243376550038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22" priority="4" stopIfTrue="1" operator="lessThan">
      <formula>0.01</formula>
    </cfRule>
    <cfRule type="cellIs" dxfId="21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8"/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7" sqref="B17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'2020'!An+1</f>
        <v>2021</v>
      </c>
      <c r="K1" s="1263"/>
      <c r="L1" s="113" t="str">
        <f>"Calcul pertes et enveloppes en "&amp;TEXT(An,0)</f>
        <v>Calcul pertes et enveloppes en 2021</v>
      </c>
      <c r="M1" s="245"/>
      <c r="N1" s="245"/>
      <c r="V1" s="458"/>
      <c r="W1" s="456"/>
      <c r="X1" s="487" t="str">
        <f>"Prévision sans nettoyage ni taille végétation en "&amp;TEXT(An,0)</f>
        <v>Prévision sans nettoyage ni taille végétation en 2021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54" t="s">
        <v>269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2">
        <f>Tmaj</f>
        <v>44947</v>
      </c>
      <c r="F3" s="1272"/>
      <c r="G3" s="8"/>
      <c r="H3" s="26"/>
      <c r="I3" s="6"/>
      <c r="J3" s="34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58">
        <f>AL11-AJ11</f>
        <v>0</v>
      </c>
      <c r="AK3" s="859">
        <f>AM11-AK11</f>
        <v>0</v>
      </c>
      <c r="AL3" s="858"/>
      <c r="AM3" s="859"/>
      <c r="AN3" s="857" t="s">
        <v>270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2" t="str">
        <f>Station</f>
        <v>Crèche Ayguesvives</v>
      </c>
      <c r="F4" s="1213"/>
      <c r="G4" s="1213"/>
      <c r="H4" s="1213"/>
      <c r="I4" s="1214"/>
      <c r="J4" s="158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58">
        <f>AL12-AJ12</f>
        <v>634.86868256986463</v>
      </c>
      <c r="AK4" s="859">
        <f>AM12-AK12</f>
        <v>-4.5560801234965567</v>
      </c>
      <c r="AL4" s="858"/>
      <c r="AM4" s="859"/>
      <c r="AN4" s="857" t="s">
        <v>271</v>
      </c>
    </row>
    <row r="5" spans="1:40" s="35" customFormat="1" ht="16.5" customHeight="1" x14ac:dyDescent="0.25">
      <c r="D5" s="161" t="s">
        <v>20</v>
      </c>
      <c r="E5" s="1273">
        <f>T0</f>
        <v>43313</v>
      </c>
      <c r="F5" s="1273"/>
      <c r="G5" s="34"/>
      <c r="H5" s="158"/>
      <c r="I5" s="158"/>
      <c r="K5" s="194"/>
      <c r="L5" s="506"/>
      <c r="M5" s="505"/>
      <c r="N5" s="505"/>
      <c r="O5" s="19"/>
      <c r="R5" s="39"/>
      <c r="S5" s="180"/>
      <c r="T5" s="180"/>
      <c r="U5" s="41"/>
      <c r="V5" s="507"/>
      <c r="W5" s="508"/>
      <c r="X5" s="509"/>
      <c r="Y5" s="510"/>
      <c r="Z5" s="238">
        <f>Wh_Psa_s-Wh_Psa</f>
        <v>635.44106915727116</v>
      </c>
      <c r="AA5" s="239">
        <f>Wh_Pvg_s-Wh_Pvg</f>
        <v>-4.5560801234965567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2356.808</v>
      </c>
      <c r="AK5" s="516">
        <f>SUMIF(AK15:AK380,"VRAI",Wh)</f>
        <v>0</v>
      </c>
      <c r="AL5" s="516">
        <f>SUMIF(AJ15:AJ380,"VRAI",Wh_s)</f>
        <v>2356.808</v>
      </c>
      <c r="AM5" s="516">
        <f>SUMIF(AK15:AK380,"VRAI",Wh_s)</f>
        <v>0</v>
      </c>
      <c r="AN5" s="857" t="s">
        <v>267</v>
      </c>
    </row>
    <row r="6" spans="1:40" s="6" customFormat="1" ht="16.5" customHeight="1" x14ac:dyDescent="0.2">
      <c r="B6" s="8"/>
      <c r="C6" s="8"/>
      <c r="D6" s="161" t="s">
        <v>11</v>
      </c>
      <c r="E6" s="1274">
        <f>Tservice</f>
        <v>43354</v>
      </c>
      <c r="F6" s="1274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0"/>
      <c r="W6" s="462"/>
      <c r="X6" s="497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7521.7440000000015</v>
      </c>
      <c r="AK6" s="516">
        <f>SUMIF(AK15:AK380,"FAUX",Wh)</f>
        <v>9878.5520000000051</v>
      </c>
      <c r="AL6" s="516">
        <f>SUMIF(AJ15:AJ380,"FAUX",Wh_s)</f>
        <v>6886.6812350985647</v>
      </c>
      <c r="AM6" s="516">
        <f>SUMIF(AK15:AK380,"FAUX",Wh_s)</f>
        <v>9243.4892350985701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AND(YEAR(Tnet)=An,Resal_2021="I")</f>
        <v>0</v>
      </c>
      <c r="F7" s="322" t="b">
        <f>YEAR(Tnet)=An</f>
        <v>1</v>
      </c>
      <c r="J7" s="180"/>
      <c r="K7" s="193"/>
      <c r="L7" s="191" t="s">
        <v>81</v>
      </c>
      <c r="M7" s="868"/>
      <c r="N7" s="868"/>
      <c r="O7" s="18"/>
      <c r="P7" s="118"/>
      <c r="Q7" s="118"/>
      <c r="R7" s="141"/>
      <c r="S7" s="141"/>
      <c r="T7" s="141"/>
      <c r="U7" s="141"/>
      <c r="V7" s="428"/>
      <c r="W7" s="518"/>
      <c r="X7" s="519"/>
      <c r="AB7" s="518"/>
      <c r="AC7" s="518"/>
      <c r="AD7" s="250"/>
      <c r="AE7" s="250"/>
      <c r="AF7" s="493"/>
      <c r="AG7" s="493"/>
      <c r="AH7" s="493"/>
      <c r="AI7" s="518"/>
      <c r="AJ7" s="516">
        <f>SUMIF(AJ15:AJ380,"VRAI",Wh_pvt)</f>
        <v>2409.6814491254768</v>
      </c>
      <c r="AK7" s="516">
        <f>SUMIF(AK15:AK380,"VRAI",Wh_sa)</f>
        <v>0</v>
      </c>
      <c r="AL7" s="516">
        <f>SUMIF(AJ15:AJ380,"VRAI",Wh_pvt_s)</f>
        <v>2409.6814491254768</v>
      </c>
      <c r="AM7" s="516">
        <f>SUMIF(AK15:AK380,"VRAI",Wh_sa_s)</f>
        <v>0</v>
      </c>
      <c r="AN7" s="857" t="s">
        <v>259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AND(YEAR(Tnet)=An,Resal_2021&lt;&gt;"I")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6"/>
      <c r="X8" s="1260" t="s">
        <v>102</v>
      </c>
      <c r="Y8" s="1261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7715.4755548794164</v>
      </c>
      <c r="AK8" s="516">
        <f>SUMIF(AK15:AK380,"FAUX",Wh_sa)</f>
        <v>11024.178986273595</v>
      </c>
      <c r="AL8" s="516">
        <f>SUMIF(AJ15:AJ380,"FAUX",Wh_pvt_s)</f>
        <v>7064.2260656118224</v>
      </c>
      <c r="AM8" s="516">
        <f>SUMIF(AK15:AK380,"FAUX",Wh_sa_s)</f>
        <v>11024.178986273595</v>
      </c>
      <c r="AN8" s="857" t="s">
        <v>260</v>
      </c>
    </row>
    <row r="9" spans="1:40" s="19" customFormat="1" ht="15" customHeight="1" x14ac:dyDescent="0.25">
      <c r="A9" s="34"/>
      <c r="B9" s="212"/>
      <c r="C9" s="212"/>
      <c r="D9" s="186">
        <f>SUM(D$15:D$380)</f>
        <v>10125.157004004895</v>
      </c>
      <c r="E9" s="186">
        <f>SUM(E$15:E$380)</f>
        <v>11024.178986273595</v>
      </c>
      <c r="F9" s="186">
        <f>SUM(F$15:F$380)</f>
        <v>11103.268873971585</v>
      </c>
      <c r="H9" s="1264">
        <f>+SUM(Wh)</f>
        <v>9878.5520000000051</v>
      </c>
      <c r="I9" s="1265"/>
      <c r="J9" s="1266"/>
      <c r="K9" s="193" t="s">
        <v>10</v>
      </c>
      <c r="L9" s="234"/>
      <c r="M9" s="234"/>
      <c r="N9" s="234"/>
      <c r="O9" s="225">
        <f>Tnet_2021</f>
        <v>44306</v>
      </c>
      <c r="P9" s="246" t="s">
        <v>91</v>
      </c>
      <c r="Q9" s="247"/>
      <c r="R9" s="247"/>
      <c r="S9" s="247"/>
      <c r="T9" s="247"/>
      <c r="U9" s="248"/>
      <c r="V9" s="462"/>
      <c r="W9" s="521"/>
      <c r="X9" s="1258">
        <f>+SUM(Wh_s)</f>
        <v>9243.4892350985701</v>
      </c>
      <c r="Y9" s="1259"/>
      <c r="Z9" s="516">
        <f>SUM(Wh_pvt_s)</f>
        <v>9473.9075147372987</v>
      </c>
      <c r="AA9" s="516">
        <f>SUM(Wh_sa_s)</f>
        <v>11024.178986273595</v>
      </c>
      <c r="AB9" s="516">
        <f>F9</f>
        <v>11103.268873971585</v>
      </c>
      <c r="AC9" s="327">
        <f>IF(An_Tnet,Tnet,'2020'!Tnet_s)</f>
        <v>44306</v>
      </c>
      <c r="AD9" s="318" t="s">
        <v>91</v>
      </c>
      <c r="AE9" s="318"/>
      <c r="AF9" s="318"/>
      <c r="AG9" s="318"/>
      <c r="AH9" s="318"/>
      <c r="AI9" s="319"/>
      <c r="AJ9" s="516">
        <f>SUMIF(AJ15:AJ380,"VRAI",Wh_sa)</f>
        <v>2755.4094770880515</v>
      </c>
      <c r="AK9" s="516">
        <f>SUMIF(AK15:AK380,"VRAI",Wh_hp)</f>
        <v>0</v>
      </c>
      <c r="AL9" s="516">
        <f>SUMIF(AJ15:AJ380,"VRAI",Wh_sa_s)</f>
        <v>2755.4094770880515</v>
      </c>
      <c r="AM9" s="516">
        <f>SUMIF(AK15:AK380,"VRAI",Wh_hp)</f>
        <v>0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IF(Inflex,'2020'!Resal+('2020'!Salim-'2020'!Resal)*(1-EXP(-(Tnet-'2020'!Tnet)/('2020'!Tau_j))),IF(An_Tnet,Resal_2021,'2020'!Resal))</f>
        <v>2.5000000000000001E-2</v>
      </c>
      <c r="P10" s="421" t="b">
        <f>NOT(Acti_tai)</f>
        <v>1</v>
      </c>
      <c r="Q10" s="259">
        <f>IF(Acti_tai,'2020'!PousD,Dens-Dd)</f>
        <v>0</v>
      </c>
      <c r="R10" s="276"/>
      <c r="S10" s="277"/>
      <c r="T10" s="278"/>
      <c r="U10" s="268">
        <f>IF(Acti_tai,'2020'!PousH,Hdtf-Hdd)</f>
        <v>0.70000000000000018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IF(OR(Inflex,GainD),'2020'!Resal_s+('2020'!Salim-'2020'!Resal_s)*(1-EXP(('2020'!Tnet_s-Tnet)/('2020'!Tau_j))),IF(Acti_net,'2020'!Resal+('2020'!Salim-'2020'!Resal)*(1-EXP(('2020'!Tnet-Tnet)/'2020'!Tau_j)),'2020'!Resal_s))</f>
        <v>0.12665409049121024</v>
      </c>
      <c r="AD10" s="428"/>
      <c r="AE10" s="428"/>
      <c r="AF10" s="262"/>
      <c r="AG10" s="263"/>
      <c r="AH10" s="264"/>
      <c r="AI10" s="473"/>
      <c r="AJ10" s="516">
        <f>SUMIF(AJ15:AJ380,"FAUX",Wh_sa)</f>
        <v>8268.7695091855476</v>
      </c>
      <c r="AK10" s="516">
        <f>SUMIF(AK15:AK380,"FAUX",Wh_hp)</f>
        <v>11103.268873971585</v>
      </c>
      <c r="AL10" s="516">
        <f>SUMIF(AJ15:AJ380,"FAUX",Wh_sa_s)</f>
        <v>8268.7695091855476</v>
      </c>
      <c r="AM10" s="516">
        <f>SUMIF(AK15:AK380,"FAUX",Wh_hp)</f>
        <v>11103.268873971585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50">
        <f>D$9-Prod_an</f>
        <v>246.60500400489036</v>
      </c>
      <c r="E11" s="51">
        <f>(E$9-D$9)*Prod_an/D$9</f>
        <v>877.12569765304715</v>
      </c>
      <c r="F11" s="188">
        <f>(F$9-E$9)*Prod_an/E$9</f>
        <v>70.870907418280993</v>
      </c>
      <c r="G11" s="187" t="s">
        <v>6</v>
      </c>
      <c r="K11" s="196"/>
      <c r="L11" s="213">
        <f>Tvie_2021</f>
        <v>43313</v>
      </c>
      <c r="M11" s="869"/>
      <c r="N11" s="869"/>
      <c r="O11" s="204">
        <f>IF(An_Tnet,Salim_2021,'2020'!Salim)</f>
        <v>0.16</v>
      </c>
      <c r="P11" s="258">
        <f>Ttai_2021</f>
        <v>43101</v>
      </c>
      <c r="Q11" s="274">
        <f>Dens_2021</f>
        <v>1</v>
      </c>
      <c r="R11" s="279"/>
      <c r="S11" s="232"/>
      <c r="T11" s="232"/>
      <c r="U11" s="268">
        <f>Htf_2021</f>
        <v>-2.2433765500362579E-4</v>
      </c>
      <c r="V11" s="19"/>
      <c r="W11" s="861"/>
      <c r="X11" s="237" t="s">
        <v>43</v>
      </c>
      <c r="Y11" s="50">
        <f>Z$9-Prod_an_s</f>
        <v>230.41827963872856</v>
      </c>
      <c r="Z11" s="51">
        <f>(AA$9-Z$9)*Prod_an_s/Z$9</f>
        <v>1512.5667668103183</v>
      </c>
      <c r="AA11" s="188">
        <f>(AB$9-AA$9)*Prod_an_s/AA$9</f>
        <v>66.314827294784436</v>
      </c>
      <c r="AB11" s="187" t="s">
        <v>6</v>
      </c>
      <c r="AC11" s="327"/>
      <c r="AD11" s="19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58">
        <f>IF($AJ7=0,0,($AJ9-$AJ7)*$AJ5/$AJ7)</f>
        <v>338.1420321852637</v>
      </c>
      <c r="AK11" s="859">
        <f>IF($AK7=0,0,($AK9-$AK7)*$AK5/$AK7)</f>
        <v>0</v>
      </c>
      <c r="AL11" s="858">
        <f>IF($AL7=0,0,($AL9-$AL7)*$AL5/$AL7)</f>
        <v>338.1420321852637</v>
      </c>
      <c r="AM11" s="859">
        <f>IF($AM7=0,0,($AM9-$AM7)*$AM5/$AM7)</f>
        <v>0</v>
      </c>
      <c r="AN11" s="857" t="s">
        <v>272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3.7616854938163247E-2</v>
      </c>
      <c r="K12" s="193"/>
      <c r="L12" s="214">
        <f>Pspv_2021</f>
        <v>0</v>
      </c>
      <c r="M12" s="214"/>
      <c r="N12" s="214"/>
      <c r="O12" s="207">
        <f>IF(An_Tnet,Tau_2021*365,'2020'!Tau_j)</f>
        <v>292</v>
      </c>
      <c r="P12" s="283">
        <f>INDEX(Croivg,MIN(MAX(Ttai-$A$15,0)+1,366))</f>
        <v>2.3909964587625958E-6</v>
      </c>
      <c r="Q12" s="282">
        <f>'2020'!Df</f>
        <v>1</v>
      </c>
      <c r="R12" s="280"/>
      <c r="S12" s="281"/>
      <c r="T12" s="281"/>
      <c r="U12" s="269">
        <f>'2020'!Hdf</f>
        <v>-0.7002243376550038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'2020'!Df_s</f>
        <v>1</v>
      </c>
      <c r="AF12" s="205"/>
      <c r="AG12" s="205"/>
      <c r="AH12" s="205"/>
      <c r="AI12" s="299">
        <f>'2020'!Hdf_s</f>
        <v>-0.7002243376550038</v>
      </c>
      <c r="AJ12" s="858">
        <f>IF($AJ8=0,0,($AJ10-$AJ8)*$AJ6/$AJ8)</f>
        <v>539.40103256583507</v>
      </c>
      <c r="AK12" s="859">
        <f>IF($AK8=0,0,($AK10-$AK8)*$AK6/$AK8)</f>
        <v>70.870907418280993</v>
      </c>
      <c r="AL12" s="858">
        <f>IF($AL8=0,0,($AL10-$AL8)*$AL6/$AL8)</f>
        <v>1174.2697151356997</v>
      </c>
      <c r="AM12" s="859">
        <f>IF($AM8=0,0,($AM10-$AM8)*$AM6/$AM8)</f>
        <v>66.314827294784436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204</v>
      </c>
      <c r="V13" s="124" t="s">
        <v>41</v>
      </c>
      <c r="W13" s="862" t="s">
        <v>275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877.54306475109877</v>
      </c>
      <c r="AK13" s="73">
        <f>+AK11+AK12</f>
        <v>70.870907418280993</v>
      </c>
      <c r="AL13" s="73">
        <f>+AL11+AL12</f>
        <v>1512.4117473209635</v>
      </c>
      <c r="AM13" s="73">
        <f>+AM11+AM12</f>
        <v>66.314827294784436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391" t="s">
        <v>189</v>
      </c>
      <c r="C14" s="391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203</v>
      </c>
      <c r="V14" s="45" t="str">
        <f>"Enveloppe "&amp; TEXT(An,0)</f>
        <v>Enveloppe 2021</v>
      </c>
      <c r="W14" s="863"/>
      <c r="X14" s="260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56">
        <f>DATE(An,1,1)</f>
        <v>44197</v>
      </c>
      <c r="B15" s="617">
        <v>9.6940000000000008</v>
      </c>
      <c r="C15" s="392"/>
      <c r="D15" s="395">
        <f t="shared" ref="D15:D78" si="0">Wh/(1-Ppv)</f>
        <v>9.8954924783224474</v>
      </c>
      <c r="E15" s="402">
        <f t="shared" ref="E15:E79" si="1">Wh_pvt/(1-Psa)</f>
        <v>11.272408328228767</v>
      </c>
      <c r="F15" s="402">
        <f t="shared" ref="F15:F78" si="2">Wh_sa/(1-Pvg*MEDIAN((-Sdif+Wh/Env_an)/Csdif,0,1))</f>
        <v>11.582450282157536</v>
      </c>
      <c r="G15" s="123">
        <f>+Wh_hp/MaxiM</f>
        <v>0.60858318089621799</v>
      </c>
      <c r="H15" s="414" t="b">
        <f>Wh_hp&gt;='2020'!Maxi_hp</f>
        <v>0</v>
      </c>
      <c r="I15" s="381">
        <f>IF(H15,Wh_hp,'2020'!Maxi_hp)</f>
        <v>13.737180555809637</v>
      </c>
      <c r="J15" s="84">
        <f>IF(H15,An,'2020'!An_max)</f>
        <v>2020</v>
      </c>
      <c r="K15" s="199">
        <f t="shared" ref="K15:K78" si="3">t</f>
        <v>44197</v>
      </c>
      <c r="L15" s="146">
        <f>IF(t&lt;Tvie,1-EXP((T0-t)*PertePVj)+'2020'!Pspv,1-EXP((T0-t)*PertePVj)+Pspv)</f>
        <v>2.0362046534201816E-2</v>
      </c>
      <c r="M15" s="870"/>
      <c r="N15" s="870"/>
      <c r="O15" s="48">
        <f>IF(t&lt;Tnet,'2020'!Resal+('2020'!Salim-'2020'!Resal)*(1-EXP(('2020'!Tnet-t)/('2020'!Tau_j))),Resal+(Salim-Resal)*(1-EXP((Tnet-t)/(Tau_j))))*Salcycl</f>
        <v>0.1221492169032059</v>
      </c>
      <c r="P15" s="304">
        <f>(INDEX(Models!$BJ15:$BT15,,T15)*(1-R15)+INDEX(Models!$BJ15:$BT15,,T15+1)*R15-ERP_i)*Q15*Ramure*Pc/MaxiM</f>
        <v>5.7099497587993056E-2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0.29977733604251733</v>
      </c>
      <c r="S15" s="836">
        <f t="shared" ref="S15:S78" si="6">INDEX(Echel_vg,T15)</f>
        <v>-1</v>
      </c>
      <c r="T15" s="251">
        <f t="shared" ref="T15:T78" si="7">MIN(MATCH(Hp_vg,Echel_vg),10)</f>
        <v>5</v>
      </c>
      <c r="U15" s="252">
        <f t="shared" ref="U15:U78" si="8">IF(OR(t&lt;Ttai,Notai),Hdd+PousH*Croivg,Hdtf+PousH*(Croivg-Croi_tai))</f>
        <v>-0.70022266395748267</v>
      </c>
      <c r="V15" s="384">
        <f t="shared" ref="V15:V78" si="9">MaxiM*(1-Ppv)*(1-Pvg)*(1-Psa)</f>
        <v>15.432371493371184</v>
      </c>
      <c r="W15" s="404"/>
      <c r="X15" s="156">
        <f t="shared" ref="X15:X78" si="10">t</f>
        <v>44197</v>
      </c>
      <c r="Y15" s="387">
        <f t="shared" ref="Y15:Y78" si="11">Wh_pvt_s*(1-Ppv)</f>
        <v>9.6940000000000008</v>
      </c>
      <c r="Z15" s="387">
        <f t="shared" ref="Z15:Z78" si="12">Wh_sa_s*(1-Psa_s)</f>
        <v>9.8954924783224474</v>
      </c>
      <c r="AA15" s="388">
        <f t="shared" ref="AA15:AA78" si="13">Wh_hp*(1-Pvg_s*MEDIAN((-Sdif+Wh/Env_an)/Csdif,0,1))</f>
        <v>11.272408328228767</v>
      </c>
      <c r="AB15" s="199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0.1221492169032059</v>
      </c>
      <c r="AD15" s="233">
        <f>(INDEX(Models!$BJ15:$BT15,,AH15)*(1-AF15)+INDEX(Models!$BJ15:$BT15,,AH15+1)*AF15-ERP_i)*AE15*Ramure*Pc/MaxiM</f>
        <v>5.7099497587993056E-2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0.29977733604251733</v>
      </c>
      <c r="AG15" s="836">
        <f>INDEX(Echel_vg,AH15)</f>
        <v>-1</v>
      </c>
      <c r="AH15" s="251">
        <f t="shared" ref="AH15:AH78" si="16">MIN(MATCH(Hp_vg_s,Echel_vg),10)</f>
        <v>5</v>
      </c>
      <c r="AI15" s="226">
        <f t="shared" ref="AI15:AI78" si="17">IF(OR(t&lt;Ttai,Notai),Hdd_s+PousH*Croivg,Hdtai_s+PousH*(Croivg-Croi_tai))</f>
        <v>-0.70022266395748267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44198</v>
      </c>
      <c r="B16" s="618">
        <v>3.641</v>
      </c>
      <c r="C16" s="392"/>
      <c r="D16" s="395">
        <f t="shared" si="0"/>
        <v>3.7167656892829317</v>
      </c>
      <c r="E16" s="387">
        <f t="shared" si="1"/>
        <v>4.2341284624499309</v>
      </c>
      <c r="F16" s="387">
        <f t="shared" si="2"/>
        <v>4.2341284624499309</v>
      </c>
      <c r="G16" s="110">
        <f t="shared" ref="G16:G79" si="21">+Wh_hp/MaxiM</f>
        <v>0.22089947992776646</v>
      </c>
      <c r="H16" s="414" t="b">
        <f>Wh_hp&gt;='2020'!Maxi_hp</f>
        <v>0</v>
      </c>
      <c r="I16" s="382">
        <f>IF(H16,Wh_hp,'2020'!Maxi_hp)</f>
        <v>17.82763006390077</v>
      </c>
      <c r="J16" s="85">
        <f>IF(H16,An,'2020'!An_max)</f>
        <v>2020</v>
      </c>
      <c r="K16" s="199">
        <f t="shared" si="3"/>
        <v>44198</v>
      </c>
      <c r="L16" s="147">
        <f>IF(t&lt;Tvie,1-EXP((T0-t)*PertePVj)+'2020'!Pspv,1-EXP((T0-t)*PertePVj)+Pspv)</f>
        <v>2.0384844140537983E-2</v>
      </c>
      <c r="M16" s="870"/>
      <c r="N16" s="870"/>
      <c r="O16" s="48">
        <f>IF(t&lt;Tnet,'2020'!Resal+('2020'!Salim-'2020'!Resal)*(1-EXP(('2020'!Tnet-t)/('2020'!Tau_j))),Resal+(Salim-Resal)*(1-EXP((Tnet-t)/(Tau_j))))*Salcycl</f>
        <v>0.12218872850816752</v>
      </c>
      <c r="P16" s="171">
        <f>(INDEX(Models!$BJ16:$BT16,,T16)*(1-R16)+INDEX(Models!$BJ16:$BT16,,T16+1)*R16-ERP_i)*Q16*Ramure*Pc/MaxiM</f>
        <v>5.6430463078069495E-2</v>
      </c>
      <c r="Q16" s="307">
        <f t="shared" si="4"/>
        <v>1</v>
      </c>
      <c r="R16" s="179">
        <f t="shared" si="5"/>
        <v>0.29981823650210926</v>
      </c>
      <c r="S16" s="837">
        <f t="shared" si="6"/>
        <v>-1</v>
      </c>
      <c r="T16" s="178">
        <f t="shared" si="7"/>
        <v>5</v>
      </c>
      <c r="U16" s="253">
        <f t="shared" si="8"/>
        <v>-0.70018176349789074</v>
      </c>
      <c r="V16" s="385">
        <f t="shared" si="9"/>
        <v>15.552488783840323</v>
      </c>
      <c r="W16" s="404"/>
      <c r="X16" s="157">
        <f t="shared" si="10"/>
        <v>44198</v>
      </c>
      <c r="Y16" s="387">
        <f t="shared" si="11"/>
        <v>3.6409999999999996</v>
      </c>
      <c r="Z16" s="387">
        <f t="shared" si="12"/>
        <v>3.7167656892829313</v>
      </c>
      <c r="AA16" s="388">
        <f t="shared" si="13"/>
        <v>4.2341284624499309</v>
      </c>
      <c r="AB16" s="199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0.12218872850816752</v>
      </c>
      <c r="AD16" s="233">
        <f>(INDEX(Models!$BJ16:$BT16,,AH16)*(1-AF16)+INDEX(Models!$BJ16:$BT16,,AH16+1)*AF16-ERP_i)*AE16*Ramure*Pc/MaxiM</f>
        <v>5.6430463078069495E-2</v>
      </c>
      <c r="AE16" s="307">
        <f t="shared" si="15"/>
        <v>1</v>
      </c>
      <c r="AF16" s="179">
        <f t="shared" ref="AF16:AF78" si="22">(Hp_vg_s-AG16)/(INDEX(Echel_vg,AH16+1)-AG16)</f>
        <v>0.29981823650210926</v>
      </c>
      <c r="AG16" s="837">
        <f t="shared" ref="AG16:AG79" si="23">INDEX(Echel_vg,AH16)</f>
        <v>-1</v>
      </c>
      <c r="AH16" s="178">
        <f t="shared" si="16"/>
        <v>5</v>
      </c>
      <c r="AI16" s="227">
        <f t="shared" si="17"/>
        <v>-0.70018176349789074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44199</v>
      </c>
      <c r="B17" s="618">
        <v>15.146000000000001</v>
      </c>
      <c r="C17" s="392"/>
      <c r="D17" s="395">
        <f t="shared" si="0"/>
        <v>15.461533426829185</v>
      </c>
      <c r="E17" s="387">
        <f t="shared" si="1"/>
        <v>17.614534100793918</v>
      </c>
      <c r="F17" s="387">
        <f t="shared" si="2"/>
        <v>18.600684183970049</v>
      </c>
      <c r="G17" s="110">
        <f t="shared" si="21"/>
        <v>0.96314026605666747</v>
      </c>
      <c r="H17" s="414" t="b">
        <f>Wh_hp&gt;='2020'!Maxi_hp</f>
        <v>0</v>
      </c>
      <c r="I17" s="382">
        <f>IF(H17,Wh_hp,'2020'!Maxi_hp)</f>
        <v>19.427917678346777</v>
      </c>
      <c r="J17" s="85">
        <f>IF(H17,An,'2020'!An_max)</f>
        <v>2019</v>
      </c>
      <c r="K17" s="199">
        <f t="shared" si="3"/>
        <v>44199</v>
      </c>
      <c r="L17" s="147">
        <f>IF(t&lt;Tvie,1-EXP((T0-t)*PertePVj)+'2020'!Pspv,1-EXP((T0-t)*PertePVj)+Pspv)</f>
        <v>2.0407641216340422E-2</v>
      </c>
      <c r="M17" s="870"/>
      <c r="N17" s="870"/>
      <c r="O17" s="48">
        <f>IF(t&lt;Tnet,'2020'!Resal+('2020'!Salim-'2020'!Resal)*(1-EXP(('2020'!Tnet-t)/('2020'!Tau_j))),Resal+(Salim-Resal)*(1-EXP((Tnet-t)/(Tau_j))))*Salcycl</f>
        <v>0.12222864718673954</v>
      </c>
      <c r="P17" s="171">
        <f>(INDEX(Models!$BJ17:$BT17,,T17)*(1-R17)+INDEX(Models!$BJ17:$BT17,,T17+1)*R17-ERP_i)*Q17*Ramure*Pc/MaxiM</f>
        <v>5.5731077222201525E-2</v>
      </c>
      <c r="Q17" s="307">
        <f t="shared" si="4"/>
        <v>1</v>
      </c>
      <c r="R17" s="179">
        <f t="shared" si="5"/>
        <v>0.29986084773579469</v>
      </c>
      <c r="S17" s="837">
        <f t="shared" si="6"/>
        <v>-1</v>
      </c>
      <c r="T17" s="178">
        <f t="shared" si="7"/>
        <v>5</v>
      </c>
      <c r="U17" s="253">
        <f t="shared" si="8"/>
        <v>-0.70013915226420531</v>
      </c>
      <c r="V17" s="385">
        <f t="shared" si="9"/>
        <v>15.680570799437314</v>
      </c>
      <c r="W17" s="404"/>
      <c r="X17" s="157">
        <f t="shared" si="10"/>
        <v>44199</v>
      </c>
      <c r="Y17" s="387">
        <f t="shared" si="11"/>
        <v>15.146000000000003</v>
      </c>
      <c r="Z17" s="387">
        <f t="shared" si="12"/>
        <v>15.461533426829186</v>
      </c>
      <c r="AA17" s="388">
        <f t="shared" si="13"/>
        <v>17.614534100793918</v>
      </c>
      <c r="AB17" s="199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0.12222864718673954</v>
      </c>
      <c r="AD17" s="233">
        <f>(INDEX(Models!$BJ17:$BT17,,AH17)*(1-AF17)+INDEX(Models!$BJ17:$BT17,,AH17+1)*AF17-ERP_i)*AE17*Ramure*Pc/MaxiM</f>
        <v>5.5731077222201525E-2</v>
      </c>
      <c r="AE17" s="307">
        <f t="shared" si="15"/>
        <v>1</v>
      </c>
      <c r="AF17" s="179">
        <f>(Hp_vg_s-AG17)/(INDEX(Echel_vg,AH17+1)-AG17)</f>
        <v>0.29986084773579469</v>
      </c>
      <c r="AG17" s="837">
        <f>INDEX(Echel_vg,AH17)</f>
        <v>-1</v>
      </c>
      <c r="AH17" s="178">
        <f t="shared" si="16"/>
        <v>5</v>
      </c>
      <c r="AI17" s="227">
        <f t="shared" si="17"/>
        <v>-0.70013915226420531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44200</v>
      </c>
      <c r="B18" s="618">
        <v>14.407999999999999</v>
      </c>
      <c r="C18" s="392"/>
      <c r="D18" s="395">
        <f t="shared" si="0"/>
        <v>14.708501116630053</v>
      </c>
      <c r="E18" s="387">
        <f t="shared" si="1"/>
        <v>16.757411692672445</v>
      </c>
      <c r="F18" s="387">
        <f t="shared" si="2"/>
        <v>17.602445681798752</v>
      </c>
      <c r="G18" s="110">
        <f t="shared" si="21"/>
        <v>0.90425834586095299</v>
      </c>
      <c r="H18" s="414" t="b">
        <f>Wh_hp&gt;='2020'!Maxi_hp</f>
        <v>0</v>
      </c>
      <c r="I18" s="382">
        <f>IF(H18,Wh_hp,'2020'!Maxi_hp)</f>
        <v>19.204055167696065</v>
      </c>
      <c r="J18" s="85">
        <f>IF(H18,An,'2020'!An_max)</f>
        <v>2019</v>
      </c>
      <c r="K18" s="199">
        <f t="shared" si="3"/>
        <v>44200</v>
      </c>
      <c r="L18" s="147">
        <f>IF(t&lt;Tvie,1-EXP((T0-t)*PertePVj)+'2020'!Pspv,1-EXP((T0-t)*PertePVj)+Pspv)</f>
        <v>2.0430437761621678E-2</v>
      </c>
      <c r="M18" s="870"/>
      <c r="N18" s="870"/>
      <c r="O18" s="48">
        <f>IF(t&lt;Tnet,'2020'!Resal+('2020'!Salim-'2020'!Resal)*(1-EXP(('2020'!Tnet-t)/('2020'!Tau_j))),Resal+(Salim-Resal)*(1-EXP((Tnet-t)/(Tau_j))))*Salcycl</f>
        <v>0.12226891680045814</v>
      </c>
      <c r="P18" s="171">
        <f>(INDEX(Models!$BJ18:$BT18,,T18)*(1-R18)+INDEX(Models!$BJ18:$BT18,,T18+1)*R18-ERP_i)*Q18*Ramure*Pc/MaxiM</f>
        <v>5.5003576578389952E-2</v>
      </c>
      <c r="Q18" s="307">
        <f t="shared" si="4"/>
        <v>1</v>
      </c>
      <c r="R18" s="179">
        <f t="shared" si="5"/>
        <v>0.29990524107960781</v>
      </c>
      <c r="S18" s="837">
        <f t="shared" si="6"/>
        <v>-1</v>
      </c>
      <c r="T18" s="178">
        <f t="shared" si="7"/>
        <v>5</v>
      </c>
      <c r="U18" s="253">
        <f t="shared" si="8"/>
        <v>-0.70009475892039219</v>
      </c>
      <c r="V18" s="385">
        <f t="shared" si="9"/>
        <v>15.816391710794509</v>
      </c>
      <c r="W18" s="404"/>
      <c r="X18" s="157">
        <f t="shared" si="10"/>
        <v>44200</v>
      </c>
      <c r="Y18" s="387">
        <f t="shared" si="11"/>
        <v>14.407999999999999</v>
      </c>
      <c r="Z18" s="387">
        <f>Wh_sa_s*(1-Psa_s)</f>
        <v>14.708501116630053</v>
      </c>
      <c r="AA18" s="388">
        <f t="shared" si="13"/>
        <v>16.757411692672445</v>
      </c>
      <c r="AB18" s="199">
        <f>t</f>
        <v>44200</v>
      </c>
      <c r="AC18" s="119">
        <f>IF(OR(t&lt;Tnet,NoTnet),'2020'!Resal_s+('2020'!Salim-'2020'!Resal_s)*(1-EXP(('2020'!Tnet_s-t)/'2020'!Tau_j)),Resal_s+(Salim-Resal_s)*(1-EXP((Tnet_s-t)/Tau_j)))*Salcycl</f>
        <v>0.12226891680045814</v>
      </c>
      <c r="AD18" s="233">
        <f>(INDEX(Models!$BJ18:$BT18,,AH18)*(1-AF18)+INDEX(Models!$BJ18:$BT18,,AH18+1)*AF18-ERP_i)*AE18*Ramure*Pc/MaxiM</f>
        <v>5.5003576578389952E-2</v>
      </c>
      <c r="AE18" s="307">
        <f t="shared" si="15"/>
        <v>1</v>
      </c>
      <c r="AF18" s="179">
        <f t="shared" si="22"/>
        <v>0.29990524107960781</v>
      </c>
      <c r="AG18" s="837">
        <f t="shared" si="23"/>
        <v>-1</v>
      </c>
      <c r="AH18" s="178">
        <f t="shared" si="16"/>
        <v>5</v>
      </c>
      <c r="AI18" s="227">
        <f t="shared" si="17"/>
        <v>-0.70009475892039219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44201</v>
      </c>
      <c r="B19" s="618">
        <v>3.0030000000000001</v>
      </c>
      <c r="C19" s="392"/>
      <c r="D19" s="395">
        <f t="shared" si="0"/>
        <v>3.0657035514264463</v>
      </c>
      <c r="E19" s="387">
        <f t="shared" si="1"/>
        <v>3.4929209228592555</v>
      </c>
      <c r="F19" s="387">
        <f t="shared" si="2"/>
        <v>3.4929209228592555</v>
      </c>
      <c r="G19" s="110">
        <f t="shared" si="21"/>
        <v>0.17795335679383051</v>
      </c>
      <c r="H19" s="414" t="b">
        <f>Wh_hp&gt;='2020'!Maxi_hp</f>
        <v>0</v>
      </c>
      <c r="I19" s="382">
        <f>IF(H19,Wh_hp,'2020'!Maxi_hp)</f>
        <v>19.428700857508826</v>
      </c>
      <c r="J19" s="85">
        <f>IF(H19,An,'2020'!An_max)</f>
        <v>2019</v>
      </c>
      <c r="K19" s="199">
        <f t="shared" si="3"/>
        <v>44201</v>
      </c>
      <c r="L19" s="147">
        <f>IF(t&lt;Tvie,1-EXP((T0-t)*PertePVj)+'2020'!Pspv,1-EXP((T0-t)*PertePVj)+Pspv)</f>
        <v>2.0453233776393964E-2</v>
      </c>
      <c r="M19" s="870"/>
      <c r="N19" s="870"/>
      <c r="O19" s="48">
        <f>IF(t&lt;Tnet,'2020'!Resal+('2020'!Salim-'2020'!Resal)*(1-EXP(('2020'!Tnet-t)/('2020'!Tau_j))),Resal+(Salim-Resal)*(1-EXP((Tnet-t)/(Tau_j))))*Salcycl</f>
        <v>0.12230948849626266</v>
      </c>
      <c r="P19" s="171">
        <f>(INDEX(Models!$BJ19:$BT19,,T19)*(1-R19)+INDEX(Models!$BJ19:$BT19,,T19+1)*R19-ERP_i)*Q19*Ramure*Pc/MaxiM</f>
        <v>5.4250169476980817E-2</v>
      </c>
      <c r="Q19" s="307">
        <f t="shared" si="4"/>
        <v>1</v>
      </c>
      <c r="R19" s="179">
        <f t="shared" si="5"/>
        <v>0.29995149082519423</v>
      </c>
      <c r="S19" s="837">
        <f t="shared" si="6"/>
        <v>-1</v>
      </c>
      <c r="T19" s="178">
        <f t="shared" si="7"/>
        <v>5</v>
      </c>
      <c r="U19" s="253">
        <f t="shared" si="8"/>
        <v>-0.70004850917480577</v>
      </c>
      <c r="V19" s="385">
        <f t="shared" si="9"/>
        <v>15.959725583322573</v>
      </c>
      <c r="W19" s="404"/>
      <c r="X19" s="157">
        <f t="shared" si="10"/>
        <v>44201</v>
      </c>
      <c r="Y19" s="387">
        <f t="shared" si="11"/>
        <v>3.0030000000000001</v>
      </c>
      <c r="Z19" s="387">
        <f t="shared" si="12"/>
        <v>3.0657035514264463</v>
      </c>
      <c r="AA19" s="388">
        <f t="shared" si="13"/>
        <v>3.4929209228592555</v>
      </c>
      <c r="AB19" s="199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0.12230948849626266</v>
      </c>
      <c r="AD19" s="233">
        <f>(INDEX(Models!$BJ19:$BT19,,AH19)*(1-AF19)+INDEX(Models!$BJ19:$BT19,,AH19+1)*AF19-ERP_i)*AE19*Ramure*Pc/MaxiM</f>
        <v>5.4250169476980817E-2</v>
      </c>
      <c r="AE19" s="307">
        <f t="shared" si="15"/>
        <v>1</v>
      </c>
      <c r="AF19" s="179">
        <f t="shared" si="22"/>
        <v>0.29995149082519423</v>
      </c>
      <c r="AG19" s="837">
        <f t="shared" si="23"/>
        <v>-1</v>
      </c>
      <c r="AH19" s="178">
        <f t="shared" si="16"/>
        <v>5</v>
      </c>
      <c r="AI19" s="227">
        <f t="shared" si="17"/>
        <v>-0.70004850917480577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44202</v>
      </c>
      <c r="B20" s="618">
        <v>6.7480000000000002</v>
      </c>
      <c r="C20" s="392"/>
      <c r="D20" s="395">
        <f t="shared" si="0"/>
        <v>6.8890606065584175</v>
      </c>
      <c r="E20" s="387">
        <f t="shared" si="1"/>
        <v>7.8494423997806164</v>
      </c>
      <c r="F20" s="387">
        <f t="shared" si="2"/>
        <v>7.9213669530545152</v>
      </c>
      <c r="G20" s="110">
        <f t="shared" si="21"/>
        <v>0.40009628341061249</v>
      </c>
      <c r="H20" s="414" t="b">
        <f>Wh_hp&gt;='2020'!Maxi_hp</f>
        <v>0</v>
      </c>
      <c r="I20" s="382">
        <f>IF(H20,Wh_hp,'2020'!Maxi_hp)</f>
        <v>18.86541164132089</v>
      </c>
      <c r="J20" s="85">
        <f>IF(H20,An,'2020'!An_max)</f>
        <v>2020</v>
      </c>
      <c r="K20" s="199">
        <f t="shared" si="3"/>
        <v>44202</v>
      </c>
      <c r="L20" s="147">
        <f>IF(t&lt;Tvie,1-EXP((T0-t)*PertePVj)+'2020'!Pspv,1-EXP((T0-t)*PertePVj)+Pspv)</f>
        <v>2.0476029260669715E-2</v>
      </c>
      <c r="M20" s="870"/>
      <c r="N20" s="870"/>
      <c r="O20" s="48">
        <f>IF(t&lt;Tnet,'2020'!Resal+('2020'!Salim-'2020'!Resal)*(1-EXP(('2020'!Tnet-t)/('2020'!Tau_j))),Resal+(Salim-Resal)*(1-EXP((Tnet-t)/(Tau_j))))*Salcycl</f>
        <v>0.12235032048251478</v>
      </c>
      <c r="P20" s="171">
        <f>(INDEX(Models!$BJ20:$BT20,,T20)*(1-R20)+INDEX(Models!$BJ20:$BT20,,T20+1)*R20-ERP_i)*Q20*Ramure*Pc/MaxiM</f>
        <v>5.3473024230517766E-2</v>
      </c>
      <c r="Q20" s="307">
        <f t="shared" si="4"/>
        <v>1</v>
      </c>
      <c r="R20" s="179">
        <f t="shared" si="5"/>
        <v>0.29999967434064523</v>
      </c>
      <c r="S20" s="837">
        <f t="shared" si="6"/>
        <v>-1</v>
      </c>
      <c r="T20" s="178">
        <f t="shared" si="7"/>
        <v>5</v>
      </c>
      <c r="U20" s="253">
        <f t="shared" si="8"/>
        <v>-0.70000032565935477</v>
      </c>
      <c r="V20" s="385">
        <f t="shared" si="9"/>
        <v>16.110346372555608</v>
      </c>
      <c r="W20" s="404"/>
      <c r="X20" s="157">
        <f t="shared" si="10"/>
        <v>44202</v>
      </c>
      <c r="Y20" s="387">
        <f t="shared" si="11"/>
        <v>6.7480000000000002</v>
      </c>
      <c r="Z20" s="387">
        <f t="shared" si="12"/>
        <v>6.8890606065584175</v>
      </c>
      <c r="AA20" s="388">
        <f t="shared" si="13"/>
        <v>7.8494423997806164</v>
      </c>
      <c r="AB20" s="199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0.12235032048251478</v>
      </c>
      <c r="AD20" s="233">
        <f>(INDEX(Models!$BJ20:$BT20,,AH20)*(1-AF20)+INDEX(Models!$BJ20:$BT20,,AH20+1)*AF20-ERP_i)*AE20*Ramure*Pc/MaxiM</f>
        <v>5.3473024230517766E-2</v>
      </c>
      <c r="AE20" s="307">
        <f t="shared" si="15"/>
        <v>1</v>
      </c>
      <c r="AF20" s="179">
        <f t="shared" si="22"/>
        <v>0.29999967434064523</v>
      </c>
      <c r="AG20" s="837">
        <f t="shared" si="23"/>
        <v>-1</v>
      </c>
      <c r="AH20" s="178">
        <f t="shared" si="16"/>
        <v>5</v>
      </c>
      <c r="AI20" s="227">
        <f t="shared" si="17"/>
        <v>-0.70000032565935477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44203</v>
      </c>
      <c r="B21" s="618">
        <v>9.7959999999999994</v>
      </c>
      <c r="C21" s="392"/>
      <c r="D21" s="395">
        <f t="shared" si="0"/>
        <v>10.001008923898247</v>
      </c>
      <c r="E21" s="387">
        <f t="shared" si="1"/>
        <v>11.395750532012135</v>
      </c>
      <c r="F21" s="387">
        <f t="shared" si="2"/>
        <v>11.660889123317338</v>
      </c>
      <c r="G21" s="110">
        <f t="shared" si="21"/>
        <v>0.58371645744109391</v>
      </c>
      <c r="H21" s="414" t="b">
        <f>Wh_hp&gt;='2020'!Maxi_hp</f>
        <v>1</v>
      </c>
      <c r="I21" s="382">
        <f>IF(H21,Wh_hp,'2020'!Maxi_hp)</f>
        <v>11.660889123317338</v>
      </c>
      <c r="J21" s="85">
        <f>IF(H21,An,'2020'!An_max)</f>
        <v>2021</v>
      </c>
      <c r="K21" s="199">
        <f t="shared" si="3"/>
        <v>44203</v>
      </c>
      <c r="L21" s="147">
        <f>IF(t&lt;Tvie,1-EXP((T0-t)*PertePVj)+'2020'!Pspv,1-EXP((T0-t)*PertePVj)+Pspv)</f>
        <v>2.0498824214461253E-2</v>
      </c>
      <c r="M21" s="870"/>
      <c r="N21" s="870"/>
      <c r="O21" s="48">
        <f>IF(t&lt;Tnet,'2020'!Resal+('2020'!Salim-'2020'!Resal)*(1-EXP(('2020'!Tnet-t)/('2020'!Tau_j))),Resal+(Salim-Resal)*(1-EXP((Tnet-t)/(Tau_j))))*Salcycl</f>
        <v>0.12239137775049379</v>
      </c>
      <c r="P21" s="171">
        <f>(INDEX(Models!$BJ21:$BT21,,T21)*(1-R21)+INDEX(Models!$BJ21:$BT21,,T21+1)*R21-ERP_i)*Q21*Ramure*Pc/MaxiM</f>
        <v>5.2674258716858102E-2</v>
      </c>
      <c r="Q21" s="307">
        <f t="shared" si="4"/>
        <v>1</v>
      </c>
      <c r="R21" s="179">
        <f t="shared" si="5"/>
        <v>0.30004987219613366</v>
      </c>
      <c r="S21" s="837">
        <f t="shared" si="6"/>
        <v>-1</v>
      </c>
      <c r="T21" s="178">
        <f t="shared" si="7"/>
        <v>5</v>
      </c>
      <c r="U21" s="253">
        <f t="shared" si="8"/>
        <v>-0.69995012780386634</v>
      </c>
      <c r="V21" s="385">
        <f t="shared" si="9"/>
        <v>16.268027926146502</v>
      </c>
      <c r="W21" s="404"/>
      <c r="X21" s="157">
        <f t="shared" si="10"/>
        <v>44203</v>
      </c>
      <c r="Y21" s="387">
        <f t="shared" si="11"/>
        <v>9.7959999999999994</v>
      </c>
      <c r="Z21" s="387">
        <f t="shared" si="12"/>
        <v>10.001008923898247</v>
      </c>
      <c r="AA21" s="388">
        <f t="shared" si="13"/>
        <v>11.395750532012135</v>
      </c>
      <c r="AB21" s="199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0.12239137775049379</v>
      </c>
      <c r="AD21" s="233">
        <f>(INDEX(Models!$BJ21:$BT21,,AH21)*(1-AF21)+INDEX(Models!$BJ21:$BT21,,AH21+1)*AF21-ERP_i)*AE21*Ramure*Pc/MaxiM</f>
        <v>5.2674258716858102E-2</v>
      </c>
      <c r="AE21" s="307">
        <f t="shared" si="15"/>
        <v>1</v>
      </c>
      <c r="AF21" s="179">
        <f t="shared" si="22"/>
        <v>0.30004987219613366</v>
      </c>
      <c r="AG21" s="837">
        <f t="shared" si="23"/>
        <v>-1</v>
      </c>
      <c r="AH21" s="178">
        <f t="shared" si="16"/>
        <v>5</v>
      </c>
      <c r="AI21" s="227">
        <f t="shared" si="17"/>
        <v>-0.69995012780386634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44204</v>
      </c>
      <c r="B22" s="618">
        <v>12.209</v>
      </c>
      <c r="C22" s="392"/>
      <c r="D22" s="395">
        <f t="shared" si="0"/>
        <v>12.464797827411171</v>
      </c>
      <c r="E22" s="387">
        <f t="shared" si="1"/>
        <v>14.203807340979008</v>
      </c>
      <c r="F22" s="387">
        <f t="shared" si="2"/>
        <v>14.685729582313519</v>
      </c>
      <c r="G22" s="110">
        <f t="shared" si="21"/>
        <v>0.7283504231302631</v>
      </c>
      <c r="H22" s="414" t="b">
        <f>Wh_hp&gt;='2020'!Maxi_hp</f>
        <v>1</v>
      </c>
      <c r="I22" s="382">
        <f>IF(H22,Wh_hp,'2020'!Maxi_hp)</f>
        <v>14.685729582313519</v>
      </c>
      <c r="J22" s="85">
        <f>IF(H22,An,'2020'!An_max)</f>
        <v>2021</v>
      </c>
      <c r="K22" s="199">
        <f t="shared" si="3"/>
        <v>44204</v>
      </c>
      <c r="L22" s="147">
        <f>IF(t&lt;Tvie,1-EXP((T0-t)*PertePVj)+'2020'!Pspv,1-EXP((T0-t)*PertePVj)+Pspv)</f>
        <v>2.0521618637780903E-2</v>
      </c>
      <c r="M22" s="870"/>
      <c r="N22" s="870"/>
      <c r="O22" s="48">
        <f>IF(t&lt;Tnet,'2020'!Resal+('2020'!Salim-'2020'!Resal)*(1-EXP(('2020'!Tnet-t)/('2020'!Tau_j))),Resal+(Salim-Resal)*(1-EXP((Tnet-t)/(Tau_j))))*Salcycl</f>
        <v>0.12243263174590299</v>
      </c>
      <c r="P22" s="171">
        <f>(INDEX(Models!$BJ22:$BT22,,T22)*(1-R22)+INDEX(Models!$BJ22:$BT22,,T22+1)*R22-ERP_i)*Q22*Ramure*Pc/MaxiM</f>
        <v>5.1855931344553491E-2</v>
      </c>
      <c r="Q22" s="307">
        <f t="shared" si="4"/>
        <v>1</v>
      </c>
      <c r="R22" s="179">
        <f t="shared" si="5"/>
        <v>0.30010216829452963</v>
      </c>
      <c r="S22" s="837">
        <f t="shared" si="6"/>
        <v>-1</v>
      </c>
      <c r="T22" s="178">
        <f t="shared" si="7"/>
        <v>5</v>
      </c>
      <c r="U22" s="253">
        <f t="shared" si="8"/>
        <v>-0.69989783170547037</v>
      </c>
      <c r="V22" s="385">
        <f t="shared" si="9"/>
        <v>16.4325439873367</v>
      </c>
      <c r="W22" s="404"/>
      <c r="X22" s="157">
        <f t="shared" si="10"/>
        <v>44204</v>
      </c>
      <c r="Y22" s="387">
        <f t="shared" si="11"/>
        <v>12.209</v>
      </c>
      <c r="Z22" s="387">
        <f t="shared" si="12"/>
        <v>12.464797827411171</v>
      </c>
      <c r="AA22" s="388">
        <f t="shared" si="13"/>
        <v>14.203807340979008</v>
      </c>
      <c r="AB22" s="199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0.12243263174590299</v>
      </c>
      <c r="AD22" s="233">
        <f>(INDEX(Models!$BJ22:$BT22,,AH22)*(1-AF22)+INDEX(Models!$BJ22:$BT22,,AH22+1)*AF22-ERP_i)*AE22*Ramure*Pc/MaxiM</f>
        <v>5.1855931344553491E-2</v>
      </c>
      <c r="AE22" s="307">
        <f t="shared" si="15"/>
        <v>1</v>
      </c>
      <c r="AF22" s="179">
        <f t="shared" si="22"/>
        <v>0.30010216829452963</v>
      </c>
      <c r="AG22" s="837">
        <f t="shared" si="23"/>
        <v>-1</v>
      </c>
      <c r="AH22" s="178">
        <f t="shared" si="16"/>
        <v>5</v>
      </c>
      <c r="AI22" s="227">
        <f t="shared" si="17"/>
        <v>-0.69989783170547037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44205</v>
      </c>
      <c r="B23" s="618">
        <v>4.7060000000000004</v>
      </c>
      <c r="C23" s="392"/>
      <c r="D23" s="395">
        <f t="shared" si="0"/>
        <v>4.8047099431624014</v>
      </c>
      <c r="E23" s="387">
        <f t="shared" si="1"/>
        <v>5.4752910701837383</v>
      </c>
      <c r="F23" s="387">
        <f t="shared" si="2"/>
        <v>5.4752910701837383</v>
      </c>
      <c r="G23" s="110">
        <f t="shared" si="21"/>
        <v>0.26893995708089297</v>
      </c>
      <c r="H23" s="414" t="b">
        <f>Wh_hp&gt;='2020'!Maxi_hp</f>
        <v>0</v>
      </c>
      <c r="I23" s="382">
        <f>IF(H23,Wh_hp,'2020'!Maxi_hp)</f>
        <v>18.908516116999923</v>
      </c>
      <c r="J23" s="85">
        <f>IF(H23,An,'2020'!An_max)</f>
        <v>2020</v>
      </c>
      <c r="K23" s="199">
        <f t="shared" si="3"/>
        <v>44205</v>
      </c>
      <c r="L23" s="147">
        <f>IF(t&lt;Tvie,1-EXP((T0-t)*PertePVj)+'2020'!Pspv,1-EXP((T0-t)*PertePVj)+Pspv)</f>
        <v>2.0544412530640987E-2</v>
      </c>
      <c r="M23" s="870"/>
      <c r="N23" s="870"/>
      <c r="O23" s="48">
        <f>IF(t&lt;Tnet,'2020'!Resal+('2020'!Salim-'2020'!Resal)*(1-EXP(('2020'!Tnet-t)/('2020'!Tau_j))),Resal+(Salim-Resal)*(1-EXP((Tnet-t)/(Tau_j))))*Salcycl</f>
        <v>0.12247405999528602</v>
      </c>
      <c r="P23" s="171">
        <f>(INDEX(Models!$BJ23:$BT23,,T23)*(1-R23)+INDEX(Models!$BJ23:$BT23,,T23+1)*R23-ERP_i)*Q23*Ramure*Pc/MaxiM</f>
        <v>5.1014207980224727E-2</v>
      </c>
      <c r="Q23" s="307">
        <f t="shared" si="4"/>
        <v>1</v>
      </c>
      <c r="R23" s="179">
        <f t="shared" si="5"/>
        <v>0.30015665000717884</v>
      </c>
      <c r="S23" s="837">
        <f t="shared" si="6"/>
        <v>-1</v>
      </c>
      <c r="T23" s="178">
        <f t="shared" si="7"/>
        <v>5</v>
      </c>
      <c r="U23" s="253">
        <f t="shared" si="8"/>
        <v>-0.69984334999282116</v>
      </c>
      <c r="V23" s="385">
        <f t="shared" si="9"/>
        <v>16.605666133507196</v>
      </c>
      <c r="W23" s="404"/>
      <c r="X23" s="157">
        <f t="shared" si="10"/>
        <v>44205</v>
      </c>
      <c r="Y23" s="387">
        <f t="shared" si="11"/>
        <v>4.7060000000000004</v>
      </c>
      <c r="Z23" s="387">
        <f t="shared" si="12"/>
        <v>4.8047099431624014</v>
      </c>
      <c r="AA23" s="388">
        <f t="shared" si="13"/>
        <v>5.4752910701837383</v>
      </c>
      <c r="AB23" s="199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0.12247405999528602</v>
      </c>
      <c r="AD23" s="233">
        <f>(INDEX(Models!$BJ23:$BT23,,AH23)*(1-AF23)+INDEX(Models!$BJ23:$BT23,,AH23+1)*AF23-ERP_i)*AE23*Ramure*Pc/MaxiM</f>
        <v>5.1014207980224727E-2</v>
      </c>
      <c r="AE23" s="307">
        <f t="shared" si="15"/>
        <v>1</v>
      </c>
      <c r="AF23" s="179">
        <f t="shared" si="22"/>
        <v>0.30015665000717884</v>
      </c>
      <c r="AG23" s="837">
        <f t="shared" si="23"/>
        <v>-1</v>
      </c>
      <c r="AH23" s="178">
        <f t="shared" si="16"/>
        <v>5</v>
      </c>
      <c r="AI23" s="227">
        <f t="shared" si="17"/>
        <v>-0.69984334999282116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44206</v>
      </c>
      <c r="B24" s="618">
        <v>4.3490000000000002</v>
      </c>
      <c r="C24" s="392"/>
      <c r="D24" s="395">
        <f t="shared" si="0"/>
        <v>4.4403250801556524</v>
      </c>
      <c r="E24" s="387">
        <f t="shared" si="1"/>
        <v>5.0602897457473368</v>
      </c>
      <c r="F24" s="387">
        <f t="shared" si="2"/>
        <v>5.0602897457473368</v>
      </c>
      <c r="G24" s="110">
        <f t="shared" si="21"/>
        <v>0.24605037768314744</v>
      </c>
      <c r="H24" s="414" t="b">
        <f>Wh_hp&gt;='2020'!Maxi_hp</f>
        <v>0</v>
      </c>
      <c r="I24" s="382">
        <f>IF(H24,Wh_hp,'2020'!Maxi_hp)</f>
        <v>10.736237354588313</v>
      </c>
      <c r="J24" s="85">
        <f>IF(H24,An,'2020'!An_max)</f>
        <v>2019</v>
      </c>
      <c r="K24" s="199">
        <f t="shared" si="3"/>
        <v>44206</v>
      </c>
      <c r="L24" s="147">
        <f>IF(t&lt;Tvie,1-EXP((T0-t)*PertePVj)+'2020'!Pspv,1-EXP((T0-t)*PertePVj)+Pspv)</f>
        <v>2.0567205893053941E-2</v>
      </c>
      <c r="M24" s="870"/>
      <c r="N24" s="870"/>
      <c r="O24" s="48">
        <f>IF(t&lt;Tnet,'2020'!Resal+('2020'!Salim-'2020'!Resal)*(1-EXP(('2020'!Tnet-t)/('2020'!Tau_j))),Resal+(Salim-Resal)*(1-EXP((Tnet-t)/(Tau_j))))*Salcycl</f>
        <v>0.12251564569256183</v>
      </c>
      <c r="P24" s="171">
        <f>(INDEX(Models!$BJ24:$BT24,,T24)*(1-R24)+INDEX(Models!$BJ24:$BT24,,T24+1)*R24-ERP_i)*Q24*Ramure*Pc/MaxiM</f>
        <v>5.0159838150440887E-2</v>
      </c>
      <c r="Q24" s="307">
        <f t="shared" si="4"/>
        <v>1</v>
      </c>
      <c r="R24" s="179">
        <f t="shared" si="5"/>
        <v>0.30021340831503618</v>
      </c>
      <c r="S24" s="837">
        <f t="shared" si="6"/>
        <v>-1</v>
      </c>
      <c r="T24" s="178">
        <f t="shared" si="7"/>
        <v>5</v>
      </c>
      <c r="U24" s="253">
        <f t="shared" si="8"/>
        <v>-0.69978659168496382</v>
      </c>
      <c r="V24" s="385">
        <f t="shared" si="9"/>
        <v>16.788654838820285</v>
      </c>
      <c r="W24" s="404"/>
      <c r="X24" s="157">
        <f t="shared" si="10"/>
        <v>44206</v>
      </c>
      <c r="Y24" s="387">
        <f t="shared" si="11"/>
        <v>4.3490000000000002</v>
      </c>
      <c r="Z24" s="387">
        <f t="shared" si="12"/>
        <v>4.4403250801556524</v>
      </c>
      <c r="AA24" s="388">
        <f t="shared" si="13"/>
        <v>5.0602897457473368</v>
      </c>
      <c r="AB24" s="199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0.12251564569256183</v>
      </c>
      <c r="AD24" s="233">
        <f>(INDEX(Models!$BJ24:$BT24,,AH24)*(1-AF24)+INDEX(Models!$BJ24:$BT24,,AH24+1)*AF24-ERP_i)*AE24*Ramure*Pc/MaxiM</f>
        <v>5.0159838150440887E-2</v>
      </c>
      <c r="AE24" s="307">
        <f t="shared" si="15"/>
        <v>1</v>
      </c>
      <c r="AF24" s="179">
        <f t="shared" si="22"/>
        <v>0.30021340831503618</v>
      </c>
      <c r="AG24" s="837">
        <f t="shared" si="23"/>
        <v>-1</v>
      </c>
      <c r="AH24" s="178">
        <f t="shared" si="16"/>
        <v>5</v>
      </c>
      <c r="AI24" s="227">
        <f t="shared" si="17"/>
        <v>-0.69978659168496382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44207</v>
      </c>
      <c r="B25" s="618">
        <v>5.8230000000000004</v>
      </c>
      <c r="C25" s="392"/>
      <c r="D25" s="395">
        <f t="shared" si="0"/>
        <v>5.9454161101273062</v>
      </c>
      <c r="E25" s="387">
        <f t="shared" si="1"/>
        <v>6.7758460279732899</v>
      </c>
      <c r="F25" s="387">
        <f t="shared" si="2"/>
        <v>6.7963945619046937</v>
      </c>
      <c r="G25" s="110">
        <f t="shared" si="21"/>
        <v>0.3269995435157329</v>
      </c>
      <c r="H25" s="414" t="b">
        <f>Wh_hp&gt;='2020'!Maxi_hp</f>
        <v>0</v>
      </c>
      <c r="I25" s="382">
        <f>IF(H25,Wh_hp,'2020'!Maxi_hp)</f>
        <v>20.39225511924532</v>
      </c>
      <c r="J25" s="85">
        <f>IF(H25,An,'2020'!An_max)</f>
        <v>2020</v>
      </c>
      <c r="K25" s="199">
        <f t="shared" si="3"/>
        <v>44207</v>
      </c>
      <c r="L25" s="147">
        <f>IF(t&lt;Tvie,1-EXP((T0-t)*PertePVj)+'2020'!Pspv,1-EXP((T0-t)*PertePVj)+Pspv)</f>
        <v>2.0589998725031977E-2</v>
      </c>
      <c r="M25" s="870"/>
      <c r="N25" s="870"/>
      <c r="O25" s="48">
        <f>IF(t&lt;Tnet,'2020'!Resal+('2020'!Salim-'2020'!Resal)*(1-EXP(('2020'!Tnet-t)/('2020'!Tau_j))),Resal+(Salim-Resal)*(1-EXP((Tnet-t)/(Tau_j))))*Salcycl</f>
        <v>0.12255737725114332</v>
      </c>
      <c r="P25" s="171">
        <f>(INDEX(Models!$BJ25:$BT25,,T25)*(1-R25)+INDEX(Models!$BJ25:$BT25,,T25+1)*R25-ERP_i)*Q25*Ramure*Pc/MaxiM</f>
        <v>4.9310223276437214E-2</v>
      </c>
      <c r="Q25" s="307">
        <f t="shared" si="4"/>
        <v>1</v>
      </c>
      <c r="R25" s="179">
        <f t="shared" si="5"/>
        <v>0.30027253795534858</v>
      </c>
      <c r="S25" s="837">
        <f t="shared" si="6"/>
        <v>-1</v>
      </c>
      <c r="T25" s="178">
        <f t="shared" si="7"/>
        <v>5</v>
      </c>
      <c r="U25" s="253">
        <f t="shared" si="8"/>
        <v>-0.69972746204465142</v>
      </c>
      <c r="V25" s="385">
        <f t="shared" si="9"/>
        <v>16.980619188304878</v>
      </c>
      <c r="W25" s="404"/>
      <c r="X25" s="157">
        <f t="shared" si="10"/>
        <v>44207</v>
      </c>
      <c r="Y25" s="387">
        <f t="shared" si="11"/>
        <v>5.8230000000000004</v>
      </c>
      <c r="Z25" s="387">
        <f t="shared" si="12"/>
        <v>5.9454161101273062</v>
      </c>
      <c r="AA25" s="388">
        <f t="shared" si="13"/>
        <v>6.7758460279732899</v>
      </c>
      <c r="AB25" s="199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0.12255737725114332</v>
      </c>
      <c r="AD25" s="233">
        <f>(INDEX(Models!$BJ25:$BT25,,AH25)*(1-AF25)+INDEX(Models!$BJ25:$BT25,,AH25+1)*AF25-ERP_i)*AE25*Ramure*Pc/MaxiM</f>
        <v>4.9310223276437214E-2</v>
      </c>
      <c r="AE25" s="307">
        <f t="shared" si="15"/>
        <v>1</v>
      </c>
      <c r="AF25" s="179">
        <f t="shared" si="22"/>
        <v>0.30027253795534858</v>
      </c>
      <c r="AG25" s="837">
        <f t="shared" si="23"/>
        <v>-1</v>
      </c>
      <c r="AH25" s="178">
        <f t="shared" si="16"/>
        <v>5</v>
      </c>
      <c r="AI25" s="227">
        <f t="shared" si="17"/>
        <v>-0.69972746204465142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44208</v>
      </c>
      <c r="B26" s="618">
        <v>11.917</v>
      </c>
      <c r="C26" s="392"/>
      <c r="D26" s="395">
        <f t="shared" si="0"/>
        <v>12.167812577919335</v>
      </c>
      <c r="E26" s="387">
        <f t="shared" si="1"/>
        <v>13.868021594223972</v>
      </c>
      <c r="F26" s="387">
        <f t="shared" si="2"/>
        <v>14.256573439472042</v>
      </c>
      <c r="G26" s="110">
        <f t="shared" si="21"/>
        <v>0.67849175016182028</v>
      </c>
      <c r="H26" s="414" t="b">
        <f>Wh_hp&gt;='2020'!Maxi_hp</f>
        <v>0</v>
      </c>
      <c r="I26" s="382">
        <f>IF(H26,Wh_hp,'2020'!Maxi_hp)</f>
        <v>20.743234517449725</v>
      </c>
      <c r="J26" s="85">
        <f>IF(H26,An,'2020'!An_max)</f>
        <v>2020</v>
      </c>
      <c r="K26" s="199">
        <f t="shared" si="3"/>
        <v>44208</v>
      </c>
      <c r="L26" s="147">
        <f>IF(t&lt;Tvie,1-EXP((T0-t)*PertePVj)+'2020'!Pspv,1-EXP((T0-t)*PertePVj)+Pspv)</f>
        <v>2.061279102658764E-2</v>
      </c>
      <c r="M26" s="870"/>
      <c r="N26" s="870"/>
      <c r="O26" s="48">
        <f>IF(t&lt;Tnet,'2020'!Resal+('2020'!Salim-'2020'!Resal)*(1-EXP(('2020'!Tnet-t)/('2020'!Tau_j))),Resal+(Salim-Resal)*(1-EXP((Tnet-t)/(Tau_j))))*Salcycl</f>
        <v>0.12259924782730172</v>
      </c>
      <c r="P26" s="171">
        <f>(INDEX(Models!$BJ26:$BT26,,T26)*(1-R26)+INDEX(Models!$BJ26:$BT26,,T26+1)*R26-ERP_i)*Q26*Ramure*Pc/MaxiM</f>
        <v>4.8468154402251315E-2</v>
      </c>
      <c r="Q26" s="307">
        <f t="shared" si="4"/>
        <v>1</v>
      </c>
      <c r="R26" s="179">
        <f t="shared" si="5"/>
        <v>0.30033413757408822</v>
      </c>
      <c r="S26" s="837">
        <f t="shared" si="6"/>
        <v>-1</v>
      </c>
      <c r="T26" s="178">
        <f t="shared" si="7"/>
        <v>5</v>
      </c>
      <c r="U26" s="253">
        <f t="shared" si="8"/>
        <v>-0.69966586242591178</v>
      </c>
      <c r="V26" s="385">
        <f t="shared" si="9"/>
        <v>17.180917087754946</v>
      </c>
      <c r="W26" s="404"/>
      <c r="X26" s="157">
        <f t="shared" si="10"/>
        <v>44208</v>
      </c>
      <c r="Y26" s="387">
        <f t="shared" si="11"/>
        <v>11.917</v>
      </c>
      <c r="Z26" s="387">
        <f t="shared" si="12"/>
        <v>12.167812577919335</v>
      </c>
      <c r="AA26" s="388">
        <f t="shared" si="13"/>
        <v>13.868021594223972</v>
      </c>
      <c r="AB26" s="199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0.12259924782730172</v>
      </c>
      <c r="AD26" s="233">
        <f>(INDEX(Models!$BJ26:$BT26,,AH26)*(1-AF26)+INDEX(Models!$BJ26:$BT26,,AH26+1)*AF26-ERP_i)*AE26*Ramure*Pc/MaxiM</f>
        <v>4.8468154402251315E-2</v>
      </c>
      <c r="AE26" s="307">
        <f t="shared" si="15"/>
        <v>1</v>
      </c>
      <c r="AF26" s="179">
        <f t="shared" si="22"/>
        <v>0.30033413757408822</v>
      </c>
      <c r="AG26" s="837">
        <f t="shared" si="23"/>
        <v>-1</v>
      </c>
      <c r="AH26" s="178">
        <f t="shared" si="16"/>
        <v>5</v>
      </c>
      <c r="AI26" s="227">
        <f t="shared" si="17"/>
        <v>-0.69966586242591178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44209</v>
      </c>
      <c r="B27" s="618">
        <v>11.734999999999999</v>
      </c>
      <c r="C27" s="392"/>
      <c r="D27" s="395">
        <f t="shared" si="0"/>
        <v>11.982260937683613</v>
      </c>
      <c r="E27" s="387">
        <f t="shared" si="1"/>
        <v>13.657196675270214</v>
      </c>
      <c r="F27" s="387">
        <f t="shared" si="2"/>
        <v>14.014705435196035</v>
      </c>
      <c r="G27" s="110">
        <f t="shared" si="21"/>
        <v>0.65953238606809617</v>
      </c>
      <c r="H27" s="414" t="b">
        <f>Wh_hp&gt;='2020'!Maxi_hp</f>
        <v>0</v>
      </c>
      <c r="I27" s="382">
        <f>IF(H27,Wh_hp,'2020'!Maxi_hp)</f>
        <v>14.753138664755877</v>
      </c>
      <c r="J27" s="85">
        <f>IF(H27,An,'2020'!An_max)</f>
        <v>2020</v>
      </c>
      <c r="K27" s="199">
        <f t="shared" si="3"/>
        <v>44209</v>
      </c>
      <c r="L27" s="147">
        <f>IF(t&lt;Tvie,1-EXP((T0-t)*PertePVj)+'2020'!Pspv,1-EXP((T0-t)*PertePVj)+Pspv)</f>
        <v>2.0635582797733032E-2</v>
      </c>
      <c r="M27" s="870"/>
      <c r="N27" s="870"/>
      <c r="O27" s="48">
        <f>IF(t&lt;Tnet,'2020'!Resal+('2020'!Salim-'2020'!Resal)*(1-EXP(('2020'!Tnet-t)/('2020'!Tau_j))),Resal+(Salim-Resal)*(1-EXP((Tnet-t)/(Tau_j))))*Salcycl</f>
        <v>0.12264125482058061</v>
      </c>
      <c r="P27" s="171">
        <f>(INDEX(Models!$BJ27:$BT27,,T27)*(1-R27)+INDEX(Models!$BJ27:$BT27,,T27+1)*R27-ERP_i)*Q27*Ramure*Pc/MaxiM</f>
        <v>4.7636167334017702E-2</v>
      </c>
      <c r="Q27" s="307">
        <f t="shared" si="4"/>
        <v>1</v>
      </c>
      <c r="R27" s="179">
        <f t="shared" si="5"/>
        <v>0.30039830988434491</v>
      </c>
      <c r="S27" s="837">
        <f t="shared" si="6"/>
        <v>-1</v>
      </c>
      <c r="T27" s="178">
        <f t="shared" si="7"/>
        <v>5</v>
      </c>
      <c r="U27" s="253">
        <f t="shared" si="8"/>
        <v>-0.69960169011565509</v>
      </c>
      <c r="V27" s="385">
        <f t="shared" si="9"/>
        <v>17.388906496452524</v>
      </c>
      <c r="W27" s="404"/>
      <c r="X27" s="157">
        <f t="shared" si="10"/>
        <v>44209</v>
      </c>
      <c r="Y27" s="387">
        <f t="shared" si="11"/>
        <v>11.734999999999999</v>
      </c>
      <c r="Z27" s="387">
        <f t="shared" si="12"/>
        <v>11.982260937683613</v>
      </c>
      <c r="AA27" s="388">
        <f t="shared" si="13"/>
        <v>13.657196675270214</v>
      </c>
      <c r="AB27" s="199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0.12264125482058061</v>
      </c>
      <c r="AD27" s="233">
        <f>(INDEX(Models!$BJ27:$BT27,,AH27)*(1-AF27)+INDEX(Models!$BJ27:$BT27,,AH27+1)*AF27-ERP_i)*AE27*Ramure*Pc/MaxiM</f>
        <v>4.7636167334017702E-2</v>
      </c>
      <c r="AE27" s="307">
        <f t="shared" si="15"/>
        <v>1</v>
      </c>
      <c r="AF27" s="179">
        <f t="shared" si="22"/>
        <v>0.30039830988434491</v>
      </c>
      <c r="AG27" s="837">
        <f t="shared" si="23"/>
        <v>-1</v>
      </c>
      <c r="AH27" s="178">
        <f t="shared" si="16"/>
        <v>5</v>
      </c>
      <c r="AI27" s="227">
        <f t="shared" si="17"/>
        <v>-0.69960169011565509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44210</v>
      </c>
      <c r="B28" s="618">
        <v>8.9939999999999998</v>
      </c>
      <c r="C28" s="392"/>
      <c r="D28" s="395">
        <f t="shared" si="0"/>
        <v>9.1837207380720436</v>
      </c>
      <c r="E28" s="387">
        <f t="shared" si="1"/>
        <v>10.467966446027189</v>
      </c>
      <c r="F28" s="387">
        <f t="shared" si="2"/>
        <v>10.617737113995585</v>
      </c>
      <c r="G28" s="110">
        <f t="shared" si="21"/>
        <v>0.49395684707921833</v>
      </c>
      <c r="H28" s="414" t="b">
        <f>Wh_hp&gt;='2020'!Maxi_hp</f>
        <v>0</v>
      </c>
      <c r="I28" s="382">
        <f>IF(H28,Wh_hp,'2020'!Maxi_hp)</f>
        <v>20.481339306550513</v>
      </c>
      <c r="J28" s="85">
        <f>IF(H28,An,'2020'!An_max)</f>
        <v>2020</v>
      </c>
      <c r="K28" s="199">
        <f t="shared" si="3"/>
        <v>44210</v>
      </c>
      <c r="L28" s="147">
        <f>IF(t&lt;Tvie,1-EXP((T0-t)*PertePVj)+'2020'!Pspv,1-EXP((T0-t)*PertePVj)+Pspv)</f>
        <v>2.0658374038480698E-2</v>
      </c>
      <c r="M28" s="870"/>
      <c r="N28" s="870"/>
      <c r="O28" s="48">
        <f>IF(t&lt;Tnet,'2020'!Resal+('2020'!Salim-'2020'!Resal)*(1-EXP(('2020'!Tnet-t)/('2020'!Tau_j))),Resal+(Salim-Resal)*(1-EXP((Tnet-t)/(Tau_j))))*Salcycl</f>
        <v>0.12268339935714478</v>
      </c>
      <c r="P28" s="171">
        <f>(INDEX(Models!$BJ28:$BT28,,T28)*(1-R28)+INDEX(Models!$BJ28:$BT28,,T28+1)*R28-ERP_i)*Q28*Ramure*Pc/MaxiM</f>
        <v>4.6816547451140576E-2</v>
      </c>
      <c r="Q28" s="307">
        <f t="shared" si="4"/>
        <v>1</v>
      </c>
      <c r="R28" s="179">
        <f t="shared" si="5"/>
        <v>0.30046516183089023</v>
      </c>
      <c r="S28" s="837">
        <f t="shared" si="6"/>
        <v>-1</v>
      </c>
      <c r="T28" s="178">
        <f t="shared" si="7"/>
        <v>5</v>
      </c>
      <c r="U28" s="253">
        <f t="shared" si="8"/>
        <v>-0.69953483816910977</v>
      </c>
      <c r="V28" s="385">
        <f t="shared" si="9"/>
        <v>17.603945451476267</v>
      </c>
      <c r="W28" s="404"/>
      <c r="X28" s="157">
        <f t="shared" si="10"/>
        <v>44210</v>
      </c>
      <c r="Y28" s="387">
        <f t="shared" si="11"/>
        <v>8.9939999999999998</v>
      </c>
      <c r="Z28" s="387">
        <f t="shared" si="12"/>
        <v>9.1837207380720436</v>
      </c>
      <c r="AA28" s="388">
        <f t="shared" si="13"/>
        <v>10.467966446027189</v>
      </c>
      <c r="AB28" s="199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0.12268339935714478</v>
      </c>
      <c r="AD28" s="233">
        <f>(INDEX(Models!$BJ28:$BT28,,AH28)*(1-AF28)+INDEX(Models!$BJ28:$BT28,,AH28+1)*AF28-ERP_i)*AE28*Ramure*Pc/MaxiM</f>
        <v>4.6816547451140576E-2</v>
      </c>
      <c r="AE28" s="307">
        <f t="shared" si="15"/>
        <v>1</v>
      </c>
      <c r="AF28" s="179">
        <f t="shared" si="22"/>
        <v>0.30046516183089023</v>
      </c>
      <c r="AG28" s="837">
        <f t="shared" si="23"/>
        <v>-1</v>
      </c>
      <c r="AH28" s="178">
        <f t="shared" si="16"/>
        <v>5</v>
      </c>
      <c r="AI28" s="227">
        <f t="shared" si="17"/>
        <v>-0.69953483816910977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44211</v>
      </c>
      <c r="B29" s="618">
        <v>13.046000000000001</v>
      </c>
      <c r="C29" s="392"/>
      <c r="D29" s="395">
        <f t="shared" si="0"/>
        <v>13.321504223549637</v>
      </c>
      <c r="E29" s="387">
        <f t="shared" si="1"/>
        <v>15.185106878593935</v>
      </c>
      <c r="F29" s="387">
        <f t="shared" si="2"/>
        <v>15.628768606782408</v>
      </c>
      <c r="G29" s="110">
        <f t="shared" si="21"/>
        <v>0.71860197207295495</v>
      </c>
      <c r="H29" s="414" t="b">
        <f>Wh_hp&gt;='2020'!Maxi_hp</f>
        <v>0</v>
      </c>
      <c r="I29" s="382">
        <f>IF(H29,Wh_hp,'2020'!Maxi_hp)</f>
        <v>21.380269665454179</v>
      </c>
      <c r="J29" s="85">
        <f>IF(H29,An,'2020'!An_max)</f>
        <v>2019</v>
      </c>
      <c r="K29" s="199">
        <f t="shared" si="3"/>
        <v>44211</v>
      </c>
      <c r="L29" s="147">
        <f>IF(t&lt;Tvie,1-EXP((T0-t)*PertePVj)+'2020'!Pspv,1-EXP((T0-t)*PertePVj)+Pspv)</f>
        <v>2.0681164748842851E-2</v>
      </c>
      <c r="M29" s="870"/>
      <c r="N29" s="870"/>
      <c r="O29" s="48">
        <f>IF(t&lt;Tnet,'2020'!Resal+('2020'!Salim-'2020'!Resal)*(1-EXP(('2020'!Tnet-t)/('2020'!Tau_j))),Resal+(Salim-Resal)*(1-EXP((Tnet-t)/(Tau_j))))*Salcycl</f>
        <v>0.12272568576197329</v>
      </c>
      <c r="P29" s="171">
        <f>(INDEX(Models!$BJ29:$BT29,,T29)*(1-R29)+INDEX(Models!$BJ29:$BT29,,T29+1)*R29-ERP_i)*Q29*Ramure*Pc/MaxiM</f>
        <v>4.6011337500937124E-2</v>
      </c>
      <c r="Q29" s="307">
        <f t="shared" si="4"/>
        <v>1</v>
      </c>
      <c r="R29" s="179">
        <f t="shared" si="5"/>
        <v>0.30053480476113148</v>
      </c>
      <c r="S29" s="837">
        <f t="shared" si="6"/>
        <v>-1</v>
      </c>
      <c r="T29" s="178">
        <f t="shared" si="7"/>
        <v>5</v>
      </c>
      <c r="U29" s="253">
        <f t="shared" si="8"/>
        <v>-0.69946519523886852</v>
      </c>
      <c r="V29" s="385">
        <f t="shared" si="9"/>
        <v>17.825392078480274</v>
      </c>
      <c r="W29" s="404"/>
      <c r="X29" s="157">
        <f t="shared" si="10"/>
        <v>44211</v>
      </c>
      <c r="Y29" s="387">
        <f t="shared" si="11"/>
        <v>13.046000000000001</v>
      </c>
      <c r="Z29" s="387">
        <f t="shared" si="12"/>
        <v>13.321504223549637</v>
      </c>
      <c r="AA29" s="388">
        <f t="shared" si="13"/>
        <v>15.185106878593935</v>
      </c>
      <c r="AB29" s="199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0.12272568576197329</v>
      </c>
      <c r="AD29" s="233">
        <f>(INDEX(Models!$BJ29:$BT29,,AH29)*(1-AF29)+INDEX(Models!$BJ29:$BT29,,AH29+1)*AF29-ERP_i)*AE29*Ramure*Pc/MaxiM</f>
        <v>4.6011337500937124E-2</v>
      </c>
      <c r="AE29" s="307">
        <f t="shared" si="15"/>
        <v>1</v>
      </c>
      <c r="AF29" s="179">
        <f t="shared" si="22"/>
        <v>0.30053480476113148</v>
      </c>
      <c r="AG29" s="837">
        <f t="shared" si="23"/>
        <v>-1</v>
      </c>
      <c r="AH29" s="178">
        <f t="shared" si="16"/>
        <v>5</v>
      </c>
      <c r="AI29" s="227">
        <f t="shared" si="17"/>
        <v>-0.69946519523886852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44212</v>
      </c>
      <c r="B30" s="618">
        <v>12.416</v>
      </c>
      <c r="C30" s="392"/>
      <c r="D30" s="395">
        <f t="shared" si="0"/>
        <v>12.678494988813823</v>
      </c>
      <c r="E30" s="387">
        <f t="shared" si="1"/>
        <v>14.452843418822328</v>
      </c>
      <c r="F30" s="387">
        <f t="shared" si="2"/>
        <v>14.824161411630195</v>
      </c>
      <c r="G30" s="110">
        <f t="shared" si="21"/>
        <v>0.67353616020301788</v>
      </c>
      <c r="H30" s="414" t="b">
        <f>Wh_hp&gt;='2020'!Maxi_hp</f>
        <v>0</v>
      </c>
      <c r="I30" s="382">
        <f>IF(H30,Wh_hp,'2020'!Maxi_hp)</f>
        <v>21.212678147474715</v>
      </c>
      <c r="J30" s="85">
        <f>IF(H30,An,'2020'!An_max)</f>
        <v>2019</v>
      </c>
      <c r="K30" s="199">
        <f t="shared" si="3"/>
        <v>44212</v>
      </c>
      <c r="L30" s="147">
        <f>IF(t&lt;Tvie,1-EXP((T0-t)*PertePVj)+'2020'!Pspv,1-EXP((T0-t)*PertePVj)+Pspv)</f>
        <v>2.0703954928831814E-2</v>
      </c>
      <c r="M30" s="870"/>
      <c r="N30" s="870"/>
      <c r="O30" s="48">
        <f>IF(t&lt;Tnet,'2020'!Resal+('2020'!Salim-'2020'!Resal)*(1-EXP(('2020'!Tnet-t)/('2020'!Tau_j))),Resal+(Salim-Resal)*(1-EXP((Tnet-t)/(Tau_j))))*Salcycl</f>
        <v>0.12276812102577146</v>
      </c>
      <c r="P30" s="171">
        <f>(INDEX(Models!$BJ30:$BT30,,T30)*(1-R30)+INDEX(Models!$BJ30:$BT30,,T30+1)*R30-ERP_i)*Q30*Ramure*Pc/MaxiM</f>
        <v>4.5217454796961973E-2</v>
      </c>
      <c r="Q30" s="307">
        <f t="shared" si="4"/>
        <v>1</v>
      </c>
      <c r="R30" s="179">
        <f t="shared" si="5"/>
        <v>0.30060735460268206</v>
      </c>
      <c r="S30" s="837">
        <f t="shared" si="6"/>
        <v>-1</v>
      </c>
      <c r="T30" s="178">
        <f t="shared" si="7"/>
        <v>5</v>
      </c>
      <c r="U30" s="253">
        <f t="shared" si="8"/>
        <v>-0.69939264539731794</v>
      </c>
      <c r="V30" s="385">
        <f t="shared" si="9"/>
        <v>18.052697112160462</v>
      </c>
      <c r="W30" s="404"/>
      <c r="X30" s="157">
        <f t="shared" si="10"/>
        <v>44212</v>
      </c>
      <c r="Y30" s="387">
        <f t="shared" si="11"/>
        <v>12.416</v>
      </c>
      <c r="Z30" s="387">
        <f t="shared" si="12"/>
        <v>12.678494988813823</v>
      </c>
      <c r="AA30" s="388">
        <f t="shared" si="13"/>
        <v>14.452843418822328</v>
      </c>
      <c r="AB30" s="199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0.12276812102577146</v>
      </c>
      <c r="AD30" s="233">
        <f>(INDEX(Models!$BJ30:$BT30,,AH30)*(1-AF30)+INDEX(Models!$BJ30:$BT30,,AH30+1)*AF30-ERP_i)*AE30*Ramure*Pc/MaxiM</f>
        <v>4.5217454796961973E-2</v>
      </c>
      <c r="AE30" s="307">
        <f t="shared" si="15"/>
        <v>1</v>
      </c>
      <c r="AF30" s="179">
        <f t="shared" si="22"/>
        <v>0.30060735460268206</v>
      </c>
      <c r="AG30" s="837">
        <f t="shared" si="23"/>
        <v>-1</v>
      </c>
      <c r="AH30" s="178">
        <f t="shared" si="16"/>
        <v>5</v>
      </c>
      <c r="AI30" s="227">
        <f t="shared" si="17"/>
        <v>-0.69939264539731794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44213</v>
      </c>
      <c r="B31" s="618">
        <v>5.7030000000000003</v>
      </c>
      <c r="C31" s="392"/>
      <c r="D31" s="395">
        <f t="shared" si="0"/>
        <v>5.8237064766412683</v>
      </c>
      <c r="E31" s="387">
        <f t="shared" si="1"/>
        <v>6.6390533621379211</v>
      </c>
      <c r="F31" s="387">
        <f t="shared" si="2"/>
        <v>6.6440685152729495</v>
      </c>
      <c r="G31" s="110">
        <f t="shared" si="21"/>
        <v>0.29825698879413115</v>
      </c>
      <c r="H31" s="414" t="b">
        <f>Wh_hp&gt;='2020'!Maxi_hp</f>
        <v>0</v>
      </c>
      <c r="I31" s="382">
        <f>IF(H31,Wh_hp,'2020'!Maxi_hp)</f>
        <v>9.8306421801745199</v>
      </c>
      <c r="J31" s="85">
        <f>IF(H31,An,'2020'!An_max)</f>
        <v>2019</v>
      </c>
      <c r="K31" s="199">
        <f t="shared" si="3"/>
        <v>44213</v>
      </c>
      <c r="L31" s="147">
        <f>IF(t&lt;Tvie,1-EXP((T0-t)*PertePVj)+'2020'!Pspv,1-EXP((T0-t)*PertePVj)+Pspv)</f>
        <v>2.0726744578460132E-2</v>
      </c>
      <c r="M31" s="870"/>
      <c r="N31" s="870"/>
      <c r="O31" s="48">
        <f>IF(t&lt;Tnet,'2020'!Resal+('2020'!Salim-'2020'!Resal)*(1-EXP(('2020'!Tnet-t)/('2020'!Tau_j))),Resal+(Salim-Resal)*(1-EXP((Tnet-t)/(Tau_j))))*Salcycl</f>
        <v>0.12281071427238735</v>
      </c>
      <c r="P31" s="171">
        <f>(INDEX(Models!$BJ31:$BT31,,T31)*(1-R31)+INDEX(Models!$BJ31:$BT31,,T31+1)*R31-ERP_i)*Q31*Ramure*Pc/MaxiM</f>
        <v>4.4435683694575845E-2</v>
      </c>
      <c r="Q31" s="307">
        <f t="shared" si="4"/>
        <v>1</v>
      </c>
      <c r="R31" s="179">
        <f t="shared" si="5"/>
        <v>0.30068293204777785</v>
      </c>
      <c r="S31" s="837">
        <f t="shared" si="6"/>
        <v>-1</v>
      </c>
      <c r="T31" s="178">
        <f t="shared" si="7"/>
        <v>5</v>
      </c>
      <c r="U31" s="253">
        <f t="shared" si="8"/>
        <v>-0.69931706795222215</v>
      </c>
      <c r="V31" s="385">
        <f t="shared" si="9"/>
        <v>18.28523765091342</v>
      </c>
      <c r="W31" s="404"/>
      <c r="X31" s="157">
        <f t="shared" si="10"/>
        <v>44213</v>
      </c>
      <c r="Y31" s="387">
        <f t="shared" si="11"/>
        <v>5.7030000000000003</v>
      </c>
      <c r="Z31" s="387">
        <f t="shared" si="12"/>
        <v>5.8237064766412683</v>
      </c>
      <c r="AA31" s="388">
        <f t="shared" si="13"/>
        <v>6.6390533621379211</v>
      </c>
      <c r="AB31" s="199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0.12281071427238735</v>
      </c>
      <c r="AD31" s="233">
        <f>(INDEX(Models!$BJ31:$BT31,,AH31)*(1-AF31)+INDEX(Models!$BJ31:$BT31,,AH31+1)*AF31-ERP_i)*AE31*Ramure*Pc/MaxiM</f>
        <v>4.4435683694575845E-2</v>
      </c>
      <c r="AE31" s="307">
        <f t="shared" si="15"/>
        <v>1</v>
      </c>
      <c r="AF31" s="179">
        <f t="shared" si="22"/>
        <v>0.30068293204777785</v>
      </c>
      <c r="AG31" s="837">
        <f t="shared" si="23"/>
        <v>-1</v>
      </c>
      <c r="AH31" s="178">
        <f t="shared" si="16"/>
        <v>5</v>
      </c>
      <c r="AI31" s="227">
        <f t="shared" si="17"/>
        <v>-0.69931706795222215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44214</v>
      </c>
      <c r="B32" s="618">
        <v>17.900000000000002</v>
      </c>
      <c r="C32" s="392"/>
      <c r="D32" s="395">
        <f t="shared" si="0"/>
        <v>18.279286674830036</v>
      </c>
      <c r="E32" s="387">
        <f t="shared" si="1"/>
        <v>20.839490529261379</v>
      </c>
      <c r="F32" s="387">
        <f t="shared" si="2"/>
        <v>21.743395935695009</v>
      </c>
      <c r="G32" s="110">
        <f t="shared" si="21"/>
        <v>0.96428533983775033</v>
      </c>
      <c r="H32" s="414" t="b">
        <f>Wh_hp&gt;='2020'!Maxi_hp</f>
        <v>1</v>
      </c>
      <c r="I32" s="382">
        <f>IF(H32,Wh_hp,'2020'!Maxi_hp)</f>
        <v>21.743395935695009</v>
      </c>
      <c r="J32" s="85">
        <f>IF(H32,An,'2020'!An_max)</f>
        <v>2021</v>
      </c>
      <c r="K32" s="199">
        <f t="shared" si="3"/>
        <v>44214</v>
      </c>
      <c r="L32" s="147">
        <f>IF(t&lt;Tvie,1-EXP((T0-t)*PertePVj)+'2020'!Pspv,1-EXP((T0-t)*PertePVj)+Pspv)</f>
        <v>2.0749533697739908E-2</v>
      </c>
      <c r="M32" s="870"/>
      <c r="N32" s="870"/>
      <c r="O32" s="48">
        <f>IF(t&lt;Tnet,'2020'!Resal+('2020'!Salim-'2020'!Resal)*(1-EXP(('2020'!Tnet-t)/('2020'!Tau_j))),Resal+(Salim-Resal)*(1-EXP((Tnet-t)/(Tau_j))))*Salcycl</f>
        <v>0.12285347623237146</v>
      </c>
      <c r="P32" s="171">
        <f>(INDEX(Models!$BJ32:$BT32,,T32)*(1-R32)+INDEX(Models!$BJ32:$BT32,,T32+1)*R32-ERP_i)*Q32*Ramure*Pc/MaxiM</f>
        <v>4.3667606434614405E-2</v>
      </c>
      <c r="Q32" s="307">
        <f t="shared" si="4"/>
        <v>1</v>
      </c>
      <c r="R32" s="179">
        <f t="shared" si="5"/>
        <v>0.30076166274477623</v>
      </c>
      <c r="S32" s="837">
        <f t="shared" si="6"/>
        <v>-1</v>
      </c>
      <c r="T32" s="178">
        <f t="shared" si="7"/>
        <v>5</v>
      </c>
      <c r="U32" s="253">
        <f t="shared" si="8"/>
        <v>-0.69923833725522377</v>
      </c>
      <c r="V32" s="385">
        <f t="shared" si="9"/>
        <v>18.522372346179665</v>
      </c>
      <c r="W32" s="404"/>
      <c r="X32" s="157">
        <f t="shared" si="10"/>
        <v>44214</v>
      </c>
      <c r="Y32" s="387">
        <f t="shared" si="11"/>
        <v>17.900000000000002</v>
      </c>
      <c r="Z32" s="387">
        <f t="shared" si="12"/>
        <v>18.279286674830036</v>
      </c>
      <c r="AA32" s="388">
        <f t="shared" si="13"/>
        <v>20.839490529261379</v>
      </c>
      <c r="AB32" s="199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0.12285347623237146</v>
      </c>
      <c r="AD32" s="233">
        <f>(INDEX(Models!$BJ32:$BT32,,AH32)*(1-AF32)+INDEX(Models!$BJ32:$BT32,,AH32+1)*AF32-ERP_i)*AE32*Ramure*Pc/MaxiM</f>
        <v>4.3667606434614405E-2</v>
      </c>
      <c r="AE32" s="307">
        <f t="shared" si="15"/>
        <v>1</v>
      </c>
      <c r="AF32" s="179">
        <f t="shared" si="22"/>
        <v>0.30076166274477623</v>
      </c>
      <c r="AG32" s="837">
        <f t="shared" si="23"/>
        <v>-1</v>
      </c>
      <c r="AH32" s="178">
        <f t="shared" si="16"/>
        <v>5</v>
      </c>
      <c r="AI32" s="227">
        <f t="shared" si="17"/>
        <v>-0.69923833725522377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44215</v>
      </c>
      <c r="B33" s="618">
        <v>18.187999999999999</v>
      </c>
      <c r="C33" s="392"/>
      <c r="D33" s="395">
        <f t="shared" si="0"/>
        <v>18.573821404305537</v>
      </c>
      <c r="E33" s="387">
        <f t="shared" si="1"/>
        <v>21.176314634779917</v>
      </c>
      <c r="F33" s="387">
        <f t="shared" si="2"/>
        <v>22.082454622527671</v>
      </c>
      <c r="G33" s="110">
        <f t="shared" si="21"/>
        <v>0.96743027162486284</v>
      </c>
      <c r="H33" s="414" t="b">
        <f>Wh_hp&gt;='2020'!Maxi_hp</f>
        <v>1</v>
      </c>
      <c r="I33" s="382">
        <f>IF(H33,Wh_hp,'2020'!Maxi_hp)</f>
        <v>22.082454622527671</v>
      </c>
      <c r="J33" s="85">
        <f>IF(H33,An,'2020'!An_max)</f>
        <v>2021</v>
      </c>
      <c r="K33" s="199">
        <f t="shared" si="3"/>
        <v>44215</v>
      </c>
      <c r="L33" s="147">
        <f>IF(t&lt;Tvie,1-EXP((T0-t)*PertePVj)+'2020'!Pspv,1-EXP((T0-t)*PertePVj)+Pspv)</f>
        <v>2.0772322286683687E-2</v>
      </c>
      <c r="M33" s="870"/>
      <c r="N33" s="870"/>
      <c r="O33" s="48">
        <f>IF(t&lt;Tnet,'2020'!Resal+('2020'!Salim-'2020'!Resal)*(1-EXP(('2020'!Tnet-t)/('2020'!Tau_j))),Resal+(Salim-Resal)*(1-EXP((Tnet-t)/(Tau_j))))*Salcycl</f>
        <v>0.12289641872812257</v>
      </c>
      <c r="P33" s="171">
        <f>(INDEX(Models!$BJ33:$BT33,,T33)*(1-R33)+INDEX(Models!$BJ33:$BT33,,T33+1)*R33-ERP_i)*Q33*Ramure*Pc/MaxiM</f>
        <v>4.2914609816827022E-2</v>
      </c>
      <c r="Q33" s="307">
        <f t="shared" si="4"/>
        <v>1</v>
      </c>
      <c r="R33" s="179">
        <f t="shared" si="5"/>
        <v>0.30084367749698138</v>
      </c>
      <c r="S33" s="837">
        <f t="shared" si="6"/>
        <v>-1</v>
      </c>
      <c r="T33" s="178">
        <f t="shared" si="7"/>
        <v>5</v>
      </c>
      <c r="U33" s="253">
        <f t="shared" si="8"/>
        <v>-0.69915632250301862</v>
      </c>
      <c r="V33" s="385">
        <f t="shared" si="9"/>
        <v>18.763459981847426</v>
      </c>
      <c r="W33" s="404"/>
      <c r="X33" s="157">
        <f t="shared" si="10"/>
        <v>44215</v>
      </c>
      <c r="Y33" s="387">
        <f t="shared" si="11"/>
        <v>18.187999999999999</v>
      </c>
      <c r="Z33" s="387">
        <f t="shared" si="12"/>
        <v>18.573821404305537</v>
      </c>
      <c r="AA33" s="388">
        <f t="shared" si="13"/>
        <v>21.176314634779917</v>
      </c>
      <c r="AB33" s="199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0.12289641872812257</v>
      </c>
      <c r="AD33" s="233">
        <f>(INDEX(Models!$BJ33:$BT33,,AH33)*(1-AF33)+INDEX(Models!$BJ33:$BT33,,AH33+1)*AF33-ERP_i)*AE33*Ramure*Pc/MaxiM</f>
        <v>4.2914609816827022E-2</v>
      </c>
      <c r="AE33" s="307">
        <f t="shared" si="15"/>
        <v>1</v>
      </c>
      <c r="AF33" s="179">
        <f t="shared" si="22"/>
        <v>0.30084367749698138</v>
      </c>
      <c r="AG33" s="837">
        <f t="shared" si="23"/>
        <v>-1</v>
      </c>
      <c r="AH33" s="178">
        <f t="shared" si="16"/>
        <v>5</v>
      </c>
      <c r="AI33" s="227">
        <f t="shared" si="17"/>
        <v>-0.69915632250301862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44216</v>
      </c>
      <c r="B34" s="618">
        <v>5.6420000000000003</v>
      </c>
      <c r="C34" s="392"/>
      <c r="D34" s="395">
        <f t="shared" si="0"/>
        <v>5.7618176334776843</v>
      </c>
      <c r="E34" s="387">
        <f t="shared" si="1"/>
        <v>6.5694646941502688</v>
      </c>
      <c r="F34" s="387">
        <f t="shared" si="2"/>
        <v>6.5694646941502688</v>
      </c>
      <c r="G34" s="110">
        <f t="shared" si="21"/>
        <v>0.28430514770389093</v>
      </c>
      <c r="H34" s="414" t="b">
        <f>Wh_hp&gt;='2020'!Maxi_hp</f>
        <v>0</v>
      </c>
      <c r="I34" s="382">
        <f>IF(H34,Wh_hp,'2020'!Maxi_hp)</f>
        <v>9.8589933408516792</v>
      </c>
      <c r="J34" s="85">
        <f>IF(H34,An,'2020'!An_max)</f>
        <v>2020</v>
      </c>
      <c r="K34" s="199">
        <f t="shared" si="3"/>
        <v>44216</v>
      </c>
      <c r="L34" s="147">
        <f>IF(t&lt;Tvie,1-EXP((T0-t)*PertePVj)+'2020'!Pspv,1-EXP((T0-t)*PertePVj)+Pspv)</f>
        <v>2.0795110345303569E-2</v>
      </c>
      <c r="M34" s="870"/>
      <c r="N34" s="870"/>
      <c r="O34" s="48">
        <f>IF(t&lt;Tnet,'2020'!Resal+('2020'!Salim-'2020'!Resal)*(1-EXP(('2020'!Tnet-t)/('2020'!Tau_j))),Resal+(Salim-Resal)*(1-EXP((Tnet-t)/(Tau_j))))*Salcycl</f>
        <v>0.12293955417581408</v>
      </c>
      <c r="P34" s="171">
        <f>(INDEX(Models!$BJ34:$BT34,,T34)*(1-R34)+INDEX(Models!$BJ34:$BT34,,T34+1)*R34-ERP_i)*Q34*Ramure*Pc/MaxiM</f>
        <v>4.2178133288623951E-2</v>
      </c>
      <c r="Q34" s="307">
        <f t="shared" si="4"/>
        <v>1</v>
      </c>
      <c r="R34" s="179">
        <f t="shared" si="5"/>
        <v>0.30092911246904108</v>
      </c>
      <c r="S34" s="837">
        <f t="shared" si="6"/>
        <v>-1</v>
      </c>
      <c r="T34" s="178">
        <f t="shared" si="7"/>
        <v>5</v>
      </c>
      <c r="U34" s="253">
        <f t="shared" si="8"/>
        <v>-0.69907088753095892</v>
      </c>
      <c r="V34" s="385">
        <f t="shared" si="9"/>
        <v>19.007854819477213</v>
      </c>
      <c r="W34" s="404"/>
      <c r="X34" s="157">
        <f t="shared" si="10"/>
        <v>44216</v>
      </c>
      <c r="Y34" s="387">
        <f t="shared" si="11"/>
        <v>5.6420000000000003</v>
      </c>
      <c r="Z34" s="387">
        <f t="shared" si="12"/>
        <v>5.7618176334776843</v>
      </c>
      <c r="AA34" s="388">
        <f t="shared" si="13"/>
        <v>6.5694646941502688</v>
      </c>
      <c r="AB34" s="199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0.12293955417581408</v>
      </c>
      <c r="AD34" s="233">
        <f>(INDEX(Models!$BJ34:$BT34,,AH34)*(1-AF34)+INDEX(Models!$BJ34:$BT34,,AH34+1)*AF34-ERP_i)*AE34*Ramure*Pc/MaxiM</f>
        <v>4.2178133288623951E-2</v>
      </c>
      <c r="AE34" s="307">
        <f t="shared" si="15"/>
        <v>1</v>
      </c>
      <c r="AF34" s="179">
        <f t="shared" si="22"/>
        <v>0.30092911246904108</v>
      </c>
      <c r="AG34" s="837">
        <f t="shared" si="23"/>
        <v>-1</v>
      </c>
      <c r="AH34" s="178">
        <f t="shared" si="16"/>
        <v>5</v>
      </c>
      <c r="AI34" s="227">
        <f t="shared" si="17"/>
        <v>-0.69907088753095892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44217</v>
      </c>
      <c r="B35" s="618">
        <v>10.298999999999999</v>
      </c>
      <c r="C35" s="392"/>
      <c r="D35" s="395">
        <f t="shared" si="0"/>
        <v>10.517961855751583</v>
      </c>
      <c r="E35" s="387">
        <f t="shared" si="1"/>
        <v>11.992881093304149</v>
      </c>
      <c r="F35" s="387">
        <f t="shared" si="2"/>
        <v>12.162070678757374</v>
      </c>
      <c r="G35" s="110">
        <f t="shared" si="21"/>
        <v>0.51993377211746183</v>
      </c>
      <c r="H35" s="414" t="b">
        <f>Wh_hp&gt;='2020'!Maxi_hp</f>
        <v>1</v>
      </c>
      <c r="I35" s="382">
        <f>IF(H35,Wh_hp,'2020'!Maxi_hp)</f>
        <v>12.162070678757374</v>
      </c>
      <c r="J35" s="85">
        <f>IF(H35,An,'2020'!An_max)</f>
        <v>2021</v>
      </c>
      <c r="K35" s="199">
        <f t="shared" si="3"/>
        <v>44217</v>
      </c>
      <c r="L35" s="147">
        <f>IF(t&lt;Tvie,1-EXP((T0-t)*PertePVj)+'2020'!Pspv,1-EXP((T0-t)*PertePVj)+Pspv)</f>
        <v>2.0817897873612101E-2</v>
      </c>
      <c r="M35" s="870"/>
      <c r="N35" s="870"/>
      <c r="O35" s="48">
        <f>IF(t&lt;Tnet,'2020'!Resal+('2020'!Salim-'2020'!Resal)*(1-EXP(('2020'!Tnet-t)/('2020'!Tau_j))),Resal+(Salim-Resal)*(1-EXP((Tnet-t)/(Tau_j))))*Salcycl</f>
        <v>0.12298289510900269</v>
      </c>
      <c r="P35" s="171">
        <f>(INDEX(Models!$BJ35:$BT35,,T35)*(1-R35)+INDEX(Models!$BJ35:$BT35,,T35+1)*R35-ERP_i)*Q35*Ramure*Pc/MaxiM</f>
        <v>4.1459535406656554E-2</v>
      </c>
      <c r="Q35" s="307">
        <f t="shared" si="4"/>
        <v>1</v>
      </c>
      <c r="R35" s="179">
        <f t="shared" si="5"/>
        <v>0.3010181094011718</v>
      </c>
      <c r="S35" s="837">
        <f t="shared" si="6"/>
        <v>-1</v>
      </c>
      <c r="T35" s="178">
        <f t="shared" si="7"/>
        <v>5</v>
      </c>
      <c r="U35" s="253">
        <f t="shared" si="8"/>
        <v>-0.6989818905988282</v>
      </c>
      <c r="V35" s="385">
        <f t="shared" si="9"/>
        <v>19.254909280253738</v>
      </c>
      <c r="W35" s="404"/>
      <c r="X35" s="157">
        <f t="shared" si="10"/>
        <v>44217</v>
      </c>
      <c r="Y35" s="387">
        <f t="shared" si="11"/>
        <v>10.298999999999999</v>
      </c>
      <c r="Z35" s="387">
        <f t="shared" si="12"/>
        <v>10.517961855751583</v>
      </c>
      <c r="AA35" s="388">
        <f t="shared" si="13"/>
        <v>11.992881093304149</v>
      </c>
      <c r="AB35" s="199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0.12298289510900269</v>
      </c>
      <c r="AD35" s="233">
        <f>(INDEX(Models!$BJ35:$BT35,,AH35)*(1-AF35)+INDEX(Models!$BJ35:$BT35,,AH35+1)*AF35-ERP_i)*AE35*Ramure*Pc/MaxiM</f>
        <v>4.1459535406656554E-2</v>
      </c>
      <c r="AE35" s="307">
        <f t="shared" si="15"/>
        <v>1</v>
      </c>
      <c r="AF35" s="179">
        <f t="shared" si="22"/>
        <v>0.3010181094011718</v>
      </c>
      <c r="AG35" s="837">
        <f t="shared" si="23"/>
        <v>-1</v>
      </c>
      <c r="AH35" s="178">
        <f t="shared" si="16"/>
        <v>5</v>
      </c>
      <c r="AI35" s="227">
        <f t="shared" si="17"/>
        <v>-0.6989818905988282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44218</v>
      </c>
      <c r="B36" s="618">
        <v>5.2090000000000005</v>
      </c>
      <c r="C36" s="392"/>
      <c r="D36" s="395">
        <f t="shared" si="0"/>
        <v>5.3198697285712324</v>
      </c>
      <c r="E36" s="387">
        <f t="shared" si="1"/>
        <v>6.0661689867258248</v>
      </c>
      <c r="F36" s="387">
        <f t="shared" si="2"/>
        <v>6.0661689867258248</v>
      </c>
      <c r="G36" s="110">
        <f t="shared" si="21"/>
        <v>0.2561878230535759</v>
      </c>
      <c r="H36" s="414" t="b">
        <f>Wh_hp&gt;='2020'!Maxi_hp</f>
        <v>0</v>
      </c>
      <c r="I36" s="382">
        <f>IF(H36,Wh_hp,'2020'!Maxi_hp)</f>
        <v>10.151207862884149</v>
      </c>
      <c r="J36" s="85">
        <f>IF(H36,An,'2020'!An_max)</f>
        <v>2019</v>
      </c>
      <c r="K36" s="199">
        <f t="shared" si="3"/>
        <v>44218</v>
      </c>
      <c r="L36" s="147">
        <f>IF(t&lt;Tvie,1-EXP((T0-t)*PertePVj)+'2020'!Pspv,1-EXP((T0-t)*PertePVj)+Pspv)</f>
        <v>2.0840684871621606E-2</v>
      </c>
      <c r="M36" s="870"/>
      <c r="N36" s="870"/>
      <c r="O36" s="48">
        <f>IF(t&lt;Tnet,'2020'!Resal+('2020'!Salim-'2020'!Resal)*(1-EXP(('2020'!Tnet-t)/('2020'!Tau_j))),Resal+(Salim-Resal)*(1-EXP((Tnet-t)/(Tau_j))))*Salcycl</f>
        <v>0.12302645372848454</v>
      </c>
      <c r="P36" s="171">
        <f>(INDEX(Models!$BJ36:$BT36,,T36)*(1-R36)+INDEX(Models!$BJ36:$BT36,,T36+1)*R36-ERP_i)*Q36*Ramure*Pc/MaxiM</f>
        <v>4.0759820865096587E-2</v>
      </c>
      <c r="Q36" s="307">
        <f t="shared" si="4"/>
        <v>1</v>
      </c>
      <c r="R36" s="179">
        <f t="shared" si="5"/>
        <v>0.3011108158314667</v>
      </c>
      <c r="S36" s="837">
        <f t="shared" si="6"/>
        <v>-1</v>
      </c>
      <c r="T36" s="178">
        <f t="shared" si="7"/>
        <v>5</v>
      </c>
      <c r="U36" s="253">
        <f t="shared" si="8"/>
        <v>-0.6988891841685333</v>
      </c>
      <c r="V36" s="385">
        <f t="shared" si="9"/>
        <v>19.503979672245269</v>
      </c>
      <c r="W36" s="404"/>
      <c r="X36" s="157">
        <f t="shared" si="10"/>
        <v>44218</v>
      </c>
      <c r="Y36" s="387">
        <f t="shared" si="11"/>
        <v>5.2090000000000005</v>
      </c>
      <c r="Z36" s="387">
        <f t="shared" si="12"/>
        <v>5.3198697285712324</v>
      </c>
      <c r="AA36" s="388">
        <f t="shared" si="13"/>
        <v>6.0661689867258248</v>
      </c>
      <c r="AB36" s="199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0.12302645372848454</v>
      </c>
      <c r="AD36" s="233">
        <f>(INDEX(Models!$BJ36:$BT36,,AH36)*(1-AF36)+INDEX(Models!$BJ36:$BT36,,AH36+1)*AF36-ERP_i)*AE36*Ramure*Pc/MaxiM</f>
        <v>4.0759820865096587E-2</v>
      </c>
      <c r="AE36" s="307">
        <f t="shared" si="15"/>
        <v>1</v>
      </c>
      <c r="AF36" s="179">
        <f t="shared" si="22"/>
        <v>0.3011108158314667</v>
      </c>
      <c r="AG36" s="837">
        <f t="shared" si="23"/>
        <v>-1</v>
      </c>
      <c r="AH36" s="178">
        <f t="shared" si="16"/>
        <v>5</v>
      </c>
      <c r="AI36" s="227">
        <f t="shared" si="17"/>
        <v>-0.6988891841685333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44219</v>
      </c>
      <c r="B37" s="618">
        <v>8.3689999999999998</v>
      </c>
      <c r="C37" s="392"/>
      <c r="D37" s="395">
        <f t="shared" si="0"/>
        <v>8.5473269100151068</v>
      </c>
      <c r="E37" s="387">
        <f t="shared" si="1"/>
        <v>9.7468774745034601</v>
      </c>
      <c r="F37" s="387">
        <f t="shared" si="2"/>
        <v>9.8163420277410651</v>
      </c>
      <c r="G37" s="110">
        <f t="shared" si="21"/>
        <v>0.40952589549169693</v>
      </c>
      <c r="H37" s="414" t="b">
        <f>Wh_hp&gt;='2020'!Maxi_hp</f>
        <v>0</v>
      </c>
      <c r="I37" s="382">
        <f>IF(H37,Wh_hp,'2020'!Maxi_hp)</f>
        <v>14.035895274791049</v>
      </c>
      <c r="J37" s="85">
        <f>IF(H37,An,'2020'!An_max)</f>
        <v>2020</v>
      </c>
      <c r="K37" s="199">
        <f t="shared" si="3"/>
        <v>44219</v>
      </c>
      <c r="L37" s="147">
        <f>IF(t&lt;Tvie,1-EXP((T0-t)*PertePVj)+'2020'!Pspv,1-EXP((T0-t)*PertePVj)+Pspv)</f>
        <v>2.0863471339344297E-2</v>
      </c>
      <c r="M37" s="870"/>
      <c r="N37" s="870"/>
      <c r="O37" s="48">
        <f>IF(t&lt;Tnet,'2020'!Resal+('2020'!Salim-'2020'!Resal)*(1-EXP(('2020'!Tnet-t)/('2020'!Tau_j))),Resal+(Salim-Resal)*(1-EXP((Tnet-t)/(Tau_j))))*Salcycl</f>
        <v>0.12307024148258956</v>
      </c>
      <c r="P37" s="171">
        <f>(INDEX(Models!$BJ37:$BT37,,T37)*(1-R37)+INDEX(Models!$BJ37:$BT37,,T37+1)*R37-ERP_i)*Q37*Ramure*Pc/MaxiM</f>
        <v>4.0075492592928037E-2</v>
      </c>
      <c r="Q37" s="307">
        <f t="shared" si="4"/>
        <v>1</v>
      </c>
      <c r="R37" s="179">
        <f t="shared" si="5"/>
        <v>0.30120738532655489</v>
      </c>
      <c r="S37" s="837">
        <f t="shared" si="6"/>
        <v>-1</v>
      </c>
      <c r="T37" s="178">
        <f t="shared" si="7"/>
        <v>5</v>
      </c>
      <c r="U37" s="253">
        <f t="shared" si="8"/>
        <v>-0.69879261467344511</v>
      </c>
      <c r="V37" s="385">
        <f t="shared" si="9"/>
        <v>19.756656729784407</v>
      </c>
      <c r="W37" s="404"/>
      <c r="X37" s="157">
        <f t="shared" si="10"/>
        <v>44219</v>
      </c>
      <c r="Y37" s="387">
        <f t="shared" si="11"/>
        <v>8.3689999999999998</v>
      </c>
      <c r="Z37" s="387">
        <f t="shared" si="12"/>
        <v>8.5473269100151068</v>
      </c>
      <c r="AA37" s="388">
        <f t="shared" si="13"/>
        <v>9.7468774745034601</v>
      </c>
      <c r="AB37" s="199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0.12307024148258956</v>
      </c>
      <c r="AD37" s="233">
        <f>(INDEX(Models!$BJ37:$BT37,,AH37)*(1-AF37)+INDEX(Models!$BJ37:$BT37,,AH37+1)*AF37-ERP_i)*AE37*Ramure*Pc/MaxiM</f>
        <v>4.0075492592928037E-2</v>
      </c>
      <c r="AE37" s="307">
        <f t="shared" si="15"/>
        <v>1</v>
      </c>
      <c r="AF37" s="179">
        <f t="shared" si="22"/>
        <v>0.30120738532655489</v>
      </c>
      <c r="AG37" s="837">
        <f t="shared" si="23"/>
        <v>-1</v>
      </c>
      <c r="AH37" s="178">
        <f t="shared" si="16"/>
        <v>5</v>
      </c>
      <c r="AI37" s="227">
        <f t="shared" si="17"/>
        <v>-0.69879261467344511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44220</v>
      </c>
      <c r="B38" s="618">
        <v>13.127000000000001</v>
      </c>
      <c r="C38" s="392"/>
      <c r="D38" s="395">
        <f t="shared" si="0"/>
        <v>13.407022521704066</v>
      </c>
      <c r="E38" s="387">
        <f t="shared" si="1"/>
        <v>15.289361022613544</v>
      </c>
      <c r="F38" s="387">
        <f t="shared" si="2"/>
        <v>15.601624549617876</v>
      </c>
      <c r="G38" s="110">
        <f t="shared" si="21"/>
        <v>0.64289009341777503</v>
      </c>
      <c r="H38" s="414" t="b">
        <f>Wh_hp&gt;='2020'!Maxi_hp</f>
        <v>1</v>
      </c>
      <c r="I38" s="382">
        <f>IF(H38,Wh_hp,'2020'!Maxi_hp)</f>
        <v>15.601624549617876</v>
      </c>
      <c r="J38" s="85">
        <f>IF(H38,An,'2020'!An_max)</f>
        <v>2021</v>
      </c>
      <c r="K38" s="199">
        <f t="shared" si="3"/>
        <v>44220</v>
      </c>
      <c r="L38" s="147">
        <f>IF(t&lt;Tvie,1-EXP((T0-t)*PertePVj)+'2020'!Pspv,1-EXP((T0-t)*PertePVj)+Pspv)</f>
        <v>2.0886257276792719E-2</v>
      </c>
      <c r="M38" s="870"/>
      <c r="N38" s="870"/>
      <c r="O38" s="48">
        <f>IF(t&lt;Tnet,'2020'!Resal+('2020'!Salim-'2020'!Resal)*(1-EXP(('2020'!Tnet-t)/('2020'!Tau_j))),Resal+(Salim-Resal)*(1-EXP((Tnet-t)/(Tau_j))))*Salcycl</f>
        <v>0.12311426868169492</v>
      </c>
      <c r="P38" s="171">
        <f>(INDEX(Models!$BJ38:$BT38,,T38)*(1-R38)+INDEX(Models!$BJ38:$BT38,,T38+1)*R38-ERP_i)*Q38*Ramure*Pc/MaxiM</f>
        <v>3.9372127634635559E-2</v>
      </c>
      <c r="Q38" s="307">
        <f t="shared" si="4"/>
        <v>1</v>
      </c>
      <c r="R38" s="179">
        <f t="shared" si="5"/>
        <v>0.30130797772087614</v>
      </c>
      <c r="S38" s="837">
        <f t="shared" si="6"/>
        <v>-1</v>
      </c>
      <c r="T38" s="178">
        <f t="shared" si="7"/>
        <v>5</v>
      </c>
      <c r="U38" s="253">
        <f t="shared" si="8"/>
        <v>-0.69869202227912386</v>
      </c>
      <c r="V38" s="385">
        <f t="shared" si="9"/>
        <v>20.015406830071232</v>
      </c>
      <c r="W38" s="404"/>
      <c r="X38" s="157">
        <f t="shared" si="10"/>
        <v>44220</v>
      </c>
      <c r="Y38" s="387">
        <f t="shared" si="11"/>
        <v>13.127000000000001</v>
      </c>
      <c r="Z38" s="387">
        <f t="shared" si="12"/>
        <v>13.407022521704066</v>
      </c>
      <c r="AA38" s="388">
        <f t="shared" si="13"/>
        <v>15.289361022613544</v>
      </c>
      <c r="AB38" s="199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0.12311426868169492</v>
      </c>
      <c r="AD38" s="233">
        <f>(INDEX(Models!$BJ38:$BT38,,AH38)*(1-AF38)+INDEX(Models!$BJ38:$BT38,,AH38+1)*AF38-ERP_i)*AE38*Ramure*Pc/MaxiM</f>
        <v>3.9372127634635559E-2</v>
      </c>
      <c r="AE38" s="307">
        <f t="shared" si="15"/>
        <v>1</v>
      </c>
      <c r="AF38" s="179">
        <f t="shared" si="22"/>
        <v>0.30130797772087614</v>
      </c>
      <c r="AG38" s="837">
        <f t="shared" si="23"/>
        <v>-1</v>
      </c>
      <c r="AH38" s="178">
        <f t="shared" si="16"/>
        <v>5</v>
      </c>
      <c r="AI38" s="227">
        <f t="shared" si="17"/>
        <v>-0.69869202227912386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44221</v>
      </c>
      <c r="B39" s="618">
        <v>6.49</v>
      </c>
      <c r="C39" s="392"/>
      <c r="D39" s="395">
        <f t="shared" si="0"/>
        <v>6.6285976307972625</v>
      </c>
      <c r="E39" s="387">
        <f t="shared" si="1"/>
        <v>7.5596307480396838</v>
      </c>
      <c r="F39" s="387">
        <f t="shared" si="2"/>
        <v>7.5679930209441411</v>
      </c>
      <c r="G39" s="110">
        <f t="shared" si="21"/>
        <v>0.30799174893615883</v>
      </c>
      <c r="H39" s="414" t="b">
        <f>Wh_hp&gt;='2020'!Maxi_hp</f>
        <v>0</v>
      </c>
      <c r="I39" s="382">
        <f>IF(H39,Wh_hp,'2020'!Maxi_hp)</f>
        <v>13.770462251635117</v>
      </c>
      <c r="J39" s="85">
        <f>IF(H39,An,'2020'!An_max)</f>
        <v>2020</v>
      </c>
      <c r="K39" s="199">
        <f t="shared" si="3"/>
        <v>44221</v>
      </c>
      <c r="L39" s="147">
        <f>IF(t&lt;Tvie,1-EXP((T0-t)*PertePVj)+'2020'!Pspv,1-EXP((T0-t)*PertePVj)+Pspv)</f>
        <v>2.0909042683978973E-2</v>
      </c>
      <c r="M39" s="870"/>
      <c r="N39" s="870"/>
      <c r="O39" s="48">
        <f>IF(t&lt;Tnet,'2020'!Resal+('2020'!Salim-'2020'!Resal)*(1-EXP(('2020'!Tnet-t)/('2020'!Tau_j))),Resal+(Salim-Resal)*(1-EXP((Tnet-t)/(Tau_j))))*Salcycl</f>
        <v>0.12315854415030135</v>
      </c>
      <c r="P39" s="171">
        <f>(INDEX(Models!$BJ39:$BT39,,T39)*(1-R39)+INDEX(Models!$BJ39:$BT39,,T39+1)*R39-ERP_i)*Q39*Ramure*Pc/MaxiM</f>
        <v>3.8640435463765777E-2</v>
      </c>
      <c r="Q39" s="307">
        <f t="shared" si="4"/>
        <v>1</v>
      </c>
      <c r="R39" s="179">
        <f t="shared" si="5"/>
        <v>0.30141275936484768</v>
      </c>
      <c r="S39" s="837">
        <f t="shared" si="6"/>
        <v>-1</v>
      </c>
      <c r="T39" s="178">
        <f t="shared" si="7"/>
        <v>5</v>
      </c>
      <c r="U39" s="253">
        <f t="shared" si="8"/>
        <v>-0.69858724063515232</v>
      </c>
      <c r="V39" s="385">
        <f t="shared" si="9"/>
        <v>20.280170709766498</v>
      </c>
      <c r="W39" s="404"/>
      <c r="X39" s="157">
        <f t="shared" si="10"/>
        <v>44221</v>
      </c>
      <c r="Y39" s="387">
        <f t="shared" si="11"/>
        <v>6.49</v>
      </c>
      <c r="Z39" s="387">
        <f t="shared" si="12"/>
        <v>6.6285976307972625</v>
      </c>
      <c r="AA39" s="388">
        <f t="shared" si="13"/>
        <v>7.5596307480396838</v>
      </c>
      <c r="AB39" s="199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0.12315854415030135</v>
      </c>
      <c r="AD39" s="233">
        <f>(INDEX(Models!$BJ39:$BT39,,AH39)*(1-AF39)+INDEX(Models!$BJ39:$BT39,,AH39+1)*AF39-ERP_i)*AE39*Ramure*Pc/MaxiM</f>
        <v>3.8640435463765777E-2</v>
      </c>
      <c r="AE39" s="307">
        <f t="shared" si="15"/>
        <v>1</v>
      </c>
      <c r="AF39" s="179">
        <f t="shared" si="22"/>
        <v>0.30141275936484768</v>
      </c>
      <c r="AG39" s="837">
        <f t="shared" si="23"/>
        <v>-1</v>
      </c>
      <c r="AH39" s="178">
        <f t="shared" si="16"/>
        <v>5</v>
      </c>
      <c r="AI39" s="227">
        <f t="shared" si="17"/>
        <v>-0.69858724063515232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44222</v>
      </c>
      <c r="B40" s="618">
        <v>14.714</v>
      </c>
      <c r="C40" s="392"/>
      <c r="D40" s="395">
        <f t="shared" si="0"/>
        <v>15.028575551939387</v>
      </c>
      <c r="E40" s="387">
        <f t="shared" si="1"/>
        <v>17.140315074166647</v>
      </c>
      <c r="F40" s="387">
        <f t="shared" si="2"/>
        <v>17.535070901571977</v>
      </c>
      <c r="G40" s="110">
        <f t="shared" si="21"/>
        <v>0.70472861270516929</v>
      </c>
      <c r="H40" s="414" t="b">
        <f>Wh_hp&gt;='2020'!Maxi_hp</f>
        <v>1</v>
      </c>
      <c r="I40" s="382">
        <f>IF(H40,Wh_hp,'2020'!Maxi_hp)</f>
        <v>17.535070901571977</v>
      </c>
      <c r="J40" s="85">
        <f>IF(H40,An,'2020'!An_max)</f>
        <v>2021</v>
      </c>
      <c r="K40" s="199">
        <f t="shared" si="3"/>
        <v>44222</v>
      </c>
      <c r="L40" s="147">
        <f>IF(t&lt;Tvie,1-EXP((T0-t)*PertePVj)+'2020'!Pspv,1-EXP((T0-t)*PertePVj)+Pspv)</f>
        <v>2.0931827560915495E-2</v>
      </c>
      <c r="M40" s="870"/>
      <c r="N40" s="870"/>
      <c r="O40" s="48">
        <f>IF(t&lt;Tnet,'2020'!Resal+('2020'!Salim-'2020'!Resal)*(1-EXP(('2020'!Tnet-t)/('2020'!Tau_j))),Resal+(Salim-Resal)*(1-EXP((Tnet-t)/(Tau_j))))*Salcycl</f>
        <v>0.1232030749195509</v>
      </c>
      <c r="P40" s="171">
        <f>(INDEX(Models!$BJ40:$BT40,,T40)*(1-R40)+INDEX(Models!$BJ40:$BT40,,T40+1)*R40-ERP_i)*Q40*Ramure*Pc/MaxiM</f>
        <v>3.7882565074790958E-2</v>
      </c>
      <c r="Q40" s="307">
        <f t="shared" si="4"/>
        <v>1</v>
      </c>
      <c r="R40" s="179">
        <f t="shared" si="5"/>
        <v>0.30152190338219742</v>
      </c>
      <c r="S40" s="837">
        <f t="shared" si="6"/>
        <v>-1</v>
      </c>
      <c r="T40" s="178">
        <f t="shared" si="7"/>
        <v>5</v>
      </c>
      <c r="U40" s="253">
        <f t="shared" si="8"/>
        <v>-0.69847809661780258</v>
      </c>
      <c r="V40" s="385">
        <f t="shared" si="9"/>
        <v>20.550654465260831</v>
      </c>
      <c r="W40" s="404"/>
      <c r="X40" s="157">
        <f t="shared" si="10"/>
        <v>44222</v>
      </c>
      <c r="Y40" s="387">
        <f t="shared" si="11"/>
        <v>14.713999999999999</v>
      </c>
      <c r="Z40" s="387">
        <f t="shared" si="12"/>
        <v>15.028575551939385</v>
      </c>
      <c r="AA40" s="388">
        <f t="shared" si="13"/>
        <v>17.140315074166647</v>
      </c>
      <c r="AB40" s="199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0.1232030749195509</v>
      </c>
      <c r="AD40" s="233">
        <f>(INDEX(Models!$BJ40:$BT40,,AH40)*(1-AF40)+INDEX(Models!$BJ40:$BT40,,AH40+1)*AF40-ERP_i)*AE40*Ramure*Pc/MaxiM</f>
        <v>3.7882565074790958E-2</v>
      </c>
      <c r="AE40" s="307">
        <f t="shared" si="15"/>
        <v>1</v>
      </c>
      <c r="AF40" s="179">
        <f t="shared" si="22"/>
        <v>0.30152190338219742</v>
      </c>
      <c r="AG40" s="837">
        <f t="shared" si="23"/>
        <v>-1</v>
      </c>
      <c r="AH40" s="178">
        <f t="shared" si="16"/>
        <v>5</v>
      </c>
      <c r="AI40" s="227">
        <f t="shared" si="17"/>
        <v>-0.69847809661780258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44223</v>
      </c>
      <c r="B41" s="618">
        <v>6.0360000000000005</v>
      </c>
      <c r="C41" s="392"/>
      <c r="D41" s="395">
        <f t="shared" si="0"/>
        <v>6.1651891458891459</v>
      </c>
      <c r="E41" s="387">
        <f t="shared" si="1"/>
        <v>7.0318496032608939</v>
      </c>
      <c r="F41" s="387">
        <f t="shared" si="2"/>
        <v>7.0318496032608939</v>
      </c>
      <c r="G41" s="110">
        <f t="shared" si="21"/>
        <v>0.27906960316825657</v>
      </c>
      <c r="H41" s="414" t="b">
        <f>Wh_hp&gt;='2020'!Maxi_hp</f>
        <v>0</v>
      </c>
      <c r="I41" s="382">
        <f>IF(H41,Wh_hp,'2020'!Maxi_hp)</f>
        <v>13.046939908687106</v>
      </c>
      <c r="J41" s="85">
        <f>IF(H41,An,'2020'!An_max)</f>
        <v>2019</v>
      </c>
      <c r="K41" s="199">
        <f t="shared" si="3"/>
        <v>44223</v>
      </c>
      <c r="L41" s="147">
        <f>IF(t&lt;Tvie,1-EXP((T0-t)*PertePVj)+'2020'!Pspv,1-EXP((T0-t)*PertePVj)+Pspv)</f>
        <v>2.0954611907614717E-2</v>
      </c>
      <c r="M41" s="870"/>
      <c r="N41" s="870"/>
      <c r="O41" s="48">
        <f>IF(t&lt;Tnet,'2020'!Resal+('2020'!Salim-'2020'!Resal)*(1-EXP(('2020'!Tnet-t)/('2020'!Tau_j))),Resal+(Salim-Resal)*(1-EXP((Tnet-t)/(Tau_j))))*Salcycl</f>
        <v>0.12324786596258397</v>
      </c>
      <c r="P41" s="171">
        <f>(INDEX(Models!$BJ41:$BT41,,T41)*(1-R41)+INDEX(Models!$BJ41:$BT41,,T41+1)*R41-ERP_i)*Q41*Ramure*Pc/MaxiM</f>
        <v>3.7100559202180049E-2</v>
      </c>
      <c r="Q41" s="307">
        <f t="shared" si="4"/>
        <v>1</v>
      </c>
      <c r="R41" s="179">
        <f t="shared" si="5"/>
        <v>0.30163558993674788</v>
      </c>
      <c r="S41" s="837">
        <f t="shared" si="6"/>
        <v>-1</v>
      </c>
      <c r="T41" s="178">
        <f t="shared" si="7"/>
        <v>5</v>
      </c>
      <c r="U41" s="253">
        <f t="shared" si="8"/>
        <v>-0.69836441006325212</v>
      </c>
      <c r="V41" s="385">
        <f t="shared" si="9"/>
        <v>20.826564264512303</v>
      </c>
      <c r="W41" s="404"/>
      <c r="X41" s="157">
        <f t="shared" si="10"/>
        <v>44223</v>
      </c>
      <c r="Y41" s="387">
        <f t="shared" si="11"/>
        <v>6.0360000000000005</v>
      </c>
      <c r="Z41" s="387">
        <f t="shared" si="12"/>
        <v>6.1651891458891459</v>
      </c>
      <c r="AA41" s="388">
        <f t="shared" si="13"/>
        <v>7.0318496032608939</v>
      </c>
      <c r="AB41" s="199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0.12324786596258397</v>
      </c>
      <c r="AD41" s="233">
        <f>(INDEX(Models!$BJ41:$BT41,,AH41)*(1-AF41)+INDEX(Models!$BJ41:$BT41,,AH41+1)*AF41-ERP_i)*AE41*Ramure*Pc/MaxiM</f>
        <v>3.7100559202180049E-2</v>
      </c>
      <c r="AE41" s="307">
        <f t="shared" si="15"/>
        <v>1</v>
      </c>
      <c r="AF41" s="179">
        <f t="shared" si="22"/>
        <v>0.30163558993674788</v>
      </c>
      <c r="AG41" s="837">
        <f t="shared" si="23"/>
        <v>-1</v>
      </c>
      <c r="AH41" s="178">
        <f t="shared" si="16"/>
        <v>5</v>
      </c>
      <c r="AI41" s="227">
        <f t="shared" si="17"/>
        <v>-0.69836441006325212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44224</v>
      </c>
      <c r="B42" s="618">
        <v>14.030000000000001</v>
      </c>
      <c r="C42" s="392"/>
      <c r="D42" s="395">
        <f t="shared" si="0"/>
        <v>14.330619067142624</v>
      </c>
      <c r="E42" s="387">
        <f t="shared" si="1"/>
        <v>16.345960234207297</v>
      </c>
      <c r="F42" s="387">
        <f t="shared" si="2"/>
        <v>16.661017484986811</v>
      </c>
      <c r="G42" s="110">
        <f t="shared" si="21"/>
        <v>0.65290992357222699</v>
      </c>
      <c r="H42" s="414" t="b">
        <f>Wh_hp&gt;='2020'!Maxi_hp</f>
        <v>0</v>
      </c>
      <c r="I42" s="382">
        <f>IF(H42,Wh_hp,'2020'!Maxi_hp)</f>
        <v>17.198833933173557</v>
      </c>
      <c r="J42" s="85">
        <f>IF(H42,An,'2020'!An_max)</f>
        <v>2020</v>
      </c>
      <c r="K42" s="199">
        <f t="shared" si="3"/>
        <v>44224</v>
      </c>
      <c r="L42" s="147">
        <f>IF(t&lt;Tvie,1-EXP((T0-t)*PertePVj)+'2020'!Pspv,1-EXP((T0-t)*PertePVj)+Pspv)</f>
        <v>2.0977395724088854E-2</v>
      </c>
      <c r="M42" s="870"/>
      <c r="N42" s="870"/>
      <c r="O42" s="48">
        <f>IF(t&lt;Tnet,'2020'!Resal+('2020'!Salim-'2020'!Resal)*(1-EXP(('2020'!Tnet-t)/('2020'!Tau_j))),Resal+(Salim-Resal)*(1-EXP((Tnet-t)/(Tau_j))))*Salcycl</f>
        <v>0.12329291997463426</v>
      </c>
      <c r="P42" s="171">
        <f>(INDEX(Models!$BJ42:$BT42,,T42)*(1-R42)+INDEX(Models!$BJ42:$BT42,,T42+1)*R42-ERP_i)*Q42*Ramure*Pc/MaxiM</f>
        <v>3.6296352425498911E-2</v>
      </c>
      <c r="Q42" s="307">
        <f t="shared" si="4"/>
        <v>1</v>
      </c>
      <c r="R42" s="179">
        <f t="shared" si="5"/>
        <v>0.30175400650893225</v>
      </c>
      <c r="S42" s="837">
        <f t="shared" si="6"/>
        <v>-1</v>
      </c>
      <c r="T42" s="178">
        <f t="shared" si="7"/>
        <v>5</v>
      </c>
      <c r="U42" s="253">
        <f t="shared" si="8"/>
        <v>-0.69824599349106775</v>
      </c>
      <c r="V42" s="385">
        <f t="shared" si="9"/>
        <v>21.107606363865102</v>
      </c>
      <c r="W42" s="404"/>
      <c r="X42" s="157">
        <f t="shared" si="10"/>
        <v>44224</v>
      </c>
      <c r="Y42" s="387">
        <f t="shared" si="11"/>
        <v>14.030000000000001</v>
      </c>
      <c r="Z42" s="387">
        <f t="shared" si="12"/>
        <v>14.330619067142624</v>
      </c>
      <c r="AA42" s="388">
        <f t="shared" si="13"/>
        <v>16.345960234207297</v>
      </c>
      <c r="AB42" s="199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0.12329291997463426</v>
      </c>
      <c r="AD42" s="233">
        <f>(INDEX(Models!$BJ42:$BT42,,AH42)*(1-AF42)+INDEX(Models!$BJ42:$BT42,,AH42+1)*AF42-ERP_i)*AE42*Ramure*Pc/MaxiM</f>
        <v>3.6296352425498911E-2</v>
      </c>
      <c r="AE42" s="307">
        <f t="shared" si="15"/>
        <v>1</v>
      </c>
      <c r="AF42" s="179">
        <f t="shared" si="22"/>
        <v>0.30175400650893225</v>
      </c>
      <c r="AG42" s="837">
        <f t="shared" si="23"/>
        <v>-1</v>
      </c>
      <c r="AH42" s="178">
        <f t="shared" si="16"/>
        <v>5</v>
      </c>
      <c r="AI42" s="227">
        <f t="shared" si="17"/>
        <v>-0.69824599349106775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44225</v>
      </c>
      <c r="B43" s="618">
        <v>11.552</v>
      </c>
      <c r="C43" s="392"/>
      <c r="D43" s="395">
        <f t="shared" si="0"/>
        <v>11.799797867503523</v>
      </c>
      <c r="E43" s="387">
        <f t="shared" si="1"/>
        <v>13.459920767852047</v>
      </c>
      <c r="F43" s="387">
        <f t="shared" si="2"/>
        <v>13.62561651674941</v>
      </c>
      <c r="G43" s="110">
        <f t="shared" si="21"/>
        <v>0.52723496218292232</v>
      </c>
      <c r="H43" s="414" t="b">
        <f>Wh_hp&gt;='2020'!Maxi_hp</f>
        <v>0</v>
      </c>
      <c r="I43" s="382">
        <f>IF(H43,Wh_hp,'2020'!Maxi_hp)</f>
        <v>20.008035676598013</v>
      </c>
      <c r="J43" s="85">
        <f>IF(H43,An,'2020'!An_max)</f>
        <v>2020</v>
      </c>
      <c r="K43" s="199">
        <f t="shared" si="3"/>
        <v>44225</v>
      </c>
      <c r="L43" s="147">
        <f>IF(t&lt;Tvie,1-EXP((T0-t)*PertePVj)+'2020'!Pspv,1-EXP((T0-t)*PertePVj)+Pspv)</f>
        <v>2.1000179010350339E-2</v>
      </c>
      <c r="M43" s="870"/>
      <c r="N43" s="870"/>
      <c r="O43" s="48">
        <f>IF(t&lt;Tnet,'2020'!Resal+('2020'!Salim-'2020'!Resal)*(1-EXP(('2020'!Tnet-t)/('2020'!Tau_j))),Resal+(Salim-Resal)*(1-EXP((Tnet-t)/(Tau_j))))*Salcycl</f>
        <v>0.12333823719925575</v>
      </c>
      <c r="P43" s="171">
        <f>(INDEX(Models!$BJ43:$BT43,,T43)*(1-R43)+INDEX(Models!$BJ43:$BT43,,T43+1)*R43-ERP_i)*Q43*Ramure*Pc/MaxiM</f>
        <v>3.5471770272101022E-2</v>
      </c>
      <c r="Q43" s="307">
        <f t="shared" si="4"/>
        <v>1</v>
      </c>
      <c r="R43" s="179">
        <f t="shared" si="5"/>
        <v>0.30187734818233158</v>
      </c>
      <c r="S43" s="837">
        <f t="shared" si="6"/>
        <v>-1</v>
      </c>
      <c r="T43" s="178">
        <f t="shared" si="7"/>
        <v>5</v>
      </c>
      <c r="U43" s="253">
        <f t="shared" si="8"/>
        <v>-0.69812265181766842</v>
      </c>
      <c r="V43" s="385">
        <f t="shared" si="9"/>
        <v>21.393487127354582</v>
      </c>
      <c r="W43" s="404"/>
      <c r="X43" s="157">
        <f t="shared" si="10"/>
        <v>44225</v>
      </c>
      <c r="Y43" s="387">
        <f t="shared" si="11"/>
        <v>11.552</v>
      </c>
      <c r="Z43" s="387">
        <f t="shared" si="12"/>
        <v>11.799797867503523</v>
      </c>
      <c r="AA43" s="388">
        <f t="shared" si="13"/>
        <v>13.459920767852047</v>
      </c>
      <c r="AB43" s="199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0.12333823719925575</v>
      </c>
      <c r="AD43" s="233">
        <f>(INDEX(Models!$BJ43:$BT43,,AH43)*(1-AF43)+INDEX(Models!$BJ43:$BT43,,AH43+1)*AF43-ERP_i)*AE43*Ramure*Pc/MaxiM</f>
        <v>3.5471770272101022E-2</v>
      </c>
      <c r="AE43" s="307">
        <f t="shared" si="15"/>
        <v>1</v>
      </c>
      <c r="AF43" s="179">
        <f t="shared" si="22"/>
        <v>0.30187734818233158</v>
      </c>
      <c r="AG43" s="837">
        <f t="shared" si="23"/>
        <v>-1</v>
      </c>
      <c r="AH43" s="178">
        <f t="shared" si="16"/>
        <v>5</v>
      </c>
      <c r="AI43" s="227">
        <f t="shared" si="17"/>
        <v>-0.69812265181766842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44226</v>
      </c>
      <c r="B44" s="618">
        <v>6.7320000000000002</v>
      </c>
      <c r="C44" s="392"/>
      <c r="D44" s="395">
        <f t="shared" si="0"/>
        <v>6.8765657794659258</v>
      </c>
      <c r="E44" s="387">
        <f t="shared" si="1"/>
        <v>7.8444430977868986</v>
      </c>
      <c r="F44" s="387">
        <f t="shared" si="2"/>
        <v>7.8484955227731499</v>
      </c>
      <c r="G44" s="110">
        <f t="shared" si="21"/>
        <v>0.29986460641689489</v>
      </c>
      <c r="H44" s="414" t="b">
        <f>Wh_hp&gt;='2020'!Maxi_hp</f>
        <v>0</v>
      </c>
      <c r="I44" s="382">
        <f>IF(H44,Wh_hp,'2020'!Maxi_hp)</f>
        <v>10.958880369584882</v>
      </c>
      <c r="J44" s="85">
        <f>IF(H44,An,'2020'!An_max)</f>
        <v>2020</v>
      </c>
      <c r="K44" s="199">
        <f t="shared" si="3"/>
        <v>44226</v>
      </c>
      <c r="L44" s="147">
        <f>IF(t&lt;Tvie,1-EXP((T0-t)*PertePVj)+'2020'!Pspv,1-EXP((T0-t)*PertePVj)+Pspv)</f>
        <v>2.1022961766411496E-2</v>
      </c>
      <c r="M44" s="870"/>
      <c r="N44" s="870"/>
      <c r="O44" s="48">
        <f>IF(t&lt;Tnet,'2020'!Resal+('2020'!Salim-'2020'!Resal)*(1-EXP(('2020'!Tnet-t)/('2020'!Tau_j))),Resal+(Salim-Resal)*(1-EXP((Tnet-t)/(Tau_j))))*Salcycl</f>
        <v>0.12338381530156473</v>
      </c>
      <c r="P44" s="171">
        <f>(INDEX(Models!$BJ44:$BT44,,T44)*(1-R44)+INDEX(Models!$BJ44:$BT44,,T44+1)*R44-ERP_i)*Q44*Ramure*Pc/MaxiM</f>
        <v>3.4591366650624567E-2</v>
      </c>
      <c r="Q44" s="307">
        <f t="shared" si="4"/>
        <v>1</v>
      </c>
      <c r="R44" s="179">
        <f t="shared" si="5"/>
        <v>0.3020058179405225</v>
      </c>
      <c r="S44" s="837">
        <f t="shared" si="6"/>
        <v>-1</v>
      </c>
      <c r="T44" s="178">
        <f t="shared" si="7"/>
        <v>5</v>
      </c>
      <c r="U44" s="253">
        <f t="shared" si="8"/>
        <v>-0.6979941820594775</v>
      </c>
      <c r="V44" s="385">
        <f t="shared" si="9"/>
        <v>21.684747781931694</v>
      </c>
      <c r="W44" s="404"/>
      <c r="X44" s="157">
        <f t="shared" si="10"/>
        <v>44226</v>
      </c>
      <c r="Y44" s="387">
        <f t="shared" si="11"/>
        <v>6.7320000000000002</v>
      </c>
      <c r="Z44" s="387">
        <f t="shared" si="12"/>
        <v>6.8765657794659258</v>
      </c>
      <c r="AA44" s="388">
        <f t="shared" si="13"/>
        <v>7.8444430977868986</v>
      </c>
      <c r="AB44" s="199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0.12338381530156473</v>
      </c>
      <c r="AD44" s="233">
        <f>(INDEX(Models!$BJ44:$BT44,,AH44)*(1-AF44)+INDEX(Models!$BJ44:$BT44,,AH44+1)*AF44-ERP_i)*AE44*Ramure*Pc/MaxiM</f>
        <v>3.4591366650624567E-2</v>
      </c>
      <c r="AE44" s="307">
        <f t="shared" si="15"/>
        <v>1</v>
      </c>
      <c r="AF44" s="179">
        <f t="shared" si="22"/>
        <v>0.3020058179405225</v>
      </c>
      <c r="AG44" s="837">
        <f t="shared" si="23"/>
        <v>-1</v>
      </c>
      <c r="AH44" s="178">
        <f t="shared" si="16"/>
        <v>5</v>
      </c>
      <c r="AI44" s="227">
        <f t="shared" si="17"/>
        <v>-0.6979941820594775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44227</v>
      </c>
      <c r="B45" s="618">
        <v>8.0609999999999999</v>
      </c>
      <c r="C45" s="392"/>
      <c r="D45" s="395">
        <f t="shared" si="0"/>
        <v>8.2342969046109022</v>
      </c>
      <c r="E45" s="387">
        <f t="shared" si="1"/>
        <v>9.3937661682610312</v>
      </c>
      <c r="F45" s="387">
        <f t="shared" si="2"/>
        <v>9.4240056621408215</v>
      </c>
      <c r="G45" s="110">
        <f t="shared" si="21"/>
        <v>0.35552175520770801</v>
      </c>
      <c r="H45" s="414" t="b">
        <f>Wh_hp&gt;='2020'!Maxi_hp</f>
        <v>0</v>
      </c>
      <c r="I45" s="382">
        <f>IF(H45,Wh_hp,'2020'!Maxi_hp)</f>
        <v>19.380623642476806</v>
      </c>
      <c r="J45" s="85">
        <f>IF(H45,An,'2020'!An_max)</f>
        <v>2020</v>
      </c>
      <c r="K45" s="199">
        <f t="shared" si="3"/>
        <v>44227</v>
      </c>
      <c r="L45" s="147">
        <f>IF(t&lt;Tvie,1-EXP((T0-t)*PertePVj)+'2020'!Pspv,1-EXP((T0-t)*PertePVj)+Pspv)</f>
        <v>2.1045743992284538E-2</v>
      </c>
      <c r="M45" s="870"/>
      <c r="N45" s="870"/>
      <c r="O45" s="48">
        <f>IF(t&lt;Tnet,'2020'!Resal+('2020'!Salim-'2020'!Resal)*(1-EXP(('2020'!Tnet-t)/('2020'!Tau_j))),Resal+(Salim-Resal)*(1-EXP((Tnet-t)/(Tau_j))))*Salcycl</f>
        <v>0.12342964928887191</v>
      </c>
      <c r="P45" s="171">
        <f>(INDEX(Models!$BJ45:$BT45,,T45)*(1-R45)+INDEX(Models!$BJ45:$BT45,,T45+1)*R45-ERP_i)*Q45*Ramure*Pc/MaxiM</f>
        <v>3.3662263606704088E-2</v>
      </c>
      <c r="Q45" s="307">
        <f t="shared" si="4"/>
        <v>1</v>
      </c>
      <c r="R45" s="179">
        <f t="shared" si="5"/>
        <v>0.30213962697452457</v>
      </c>
      <c r="S45" s="837">
        <f t="shared" si="6"/>
        <v>-1</v>
      </c>
      <c r="T45" s="178">
        <f t="shared" si="7"/>
        <v>5</v>
      </c>
      <c r="U45" s="253">
        <f t="shared" si="8"/>
        <v>-0.69786037302547543</v>
      </c>
      <c r="V45" s="385">
        <f t="shared" si="9"/>
        <v>21.981001313269321</v>
      </c>
      <c r="W45" s="404"/>
      <c r="X45" s="157">
        <f t="shared" si="10"/>
        <v>44227</v>
      </c>
      <c r="Y45" s="387">
        <f t="shared" si="11"/>
        <v>8.0609999999999999</v>
      </c>
      <c r="Z45" s="387">
        <f t="shared" si="12"/>
        <v>8.2342969046109022</v>
      </c>
      <c r="AA45" s="388">
        <f t="shared" si="13"/>
        <v>9.3937661682610312</v>
      </c>
      <c r="AB45" s="199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0.12342964928887191</v>
      </c>
      <c r="AD45" s="233">
        <f>(INDEX(Models!$BJ45:$BT45,,AH45)*(1-AF45)+INDEX(Models!$BJ45:$BT45,,AH45+1)*AF45-ERP_i)*AE45*Ramure*Pc/MaxiM</f>
        <v>3.3662263606704088E-2</v>
      </c>
      <c r="AE45" s="307">
        <f t="shared" si="15"/>
        <v>1</v>
      </c>
      <c r="AF45" s="179">
        <f t="shared" si="22"/>
        <v>0.30213962697452457</v>
      </c>
      <c r="AG45" s="837">
        <f t="shared" si="23"/>
        <v>-1</v>
      </c>
      <c r="AH45" s="178">
        <f t="shared" si="16"/>
        <v>5</v>
      </c>
      <c r="AI45" s="227">
        <f t="shared" si="17"/>
        <v>-0.69786037302547543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44228</v>
      </c>
      <c r="B46" s="618">
        <v>9.1140000000000008</v>
      </c>
      <c r="C46" s="392"/>
      <c r="D46" s="395">
        <f t="shared" si="0"/>
        <v>9.3101511588492105</v>
      </c>
      <c r="E46" s="387">
        <f t="shared" si="1"/>
        <v>10.621669579730144</v>
      </c>
      <c r="F46" s="387">
        <f t="shared" si="2"/>
        <v>10.676024312727471</v>
      </c>
      <c r="G46" s="110">
        <f t="shared" si="21"/>
        <v>0.39768522648661309</v>
      </c>
      <c r="H46" s="414" t="b">
        <f>Wh_hp&gt;='2020'!Maxi_hp</f>
        <v>0</v>
      </c>
      <c r="I46" s="382">
        <f>IF(H46,Wh_hp,'2020'!Maxi_hp)</f>
        <v>21.672609398761253</v>
      </c>
      <c r="J46" s="85">
        <f>IF(H46,An,'2020'!An_max)</f>
        <v>2019</v>
      </c>
      <c r="K46" s="199">
        <f t="shared" si="3"/>
        <v>44228</v>
      </c>
      <c r="L46" s="147">
        <f>IF(t&lt;Tvie,1-EXP((T0-t)*PertePVj)+'2020'!Pspv,1-EXP((T0-t)*PertePVj)+Pspv)</f>
        <v>2.1068525687982009E-2</v>
      </c>
      <c r="M46" s="870"/>
      <c r="N46" s="870"/>
      <c r="O46" s="48">
        <f>IF(t&lt;Tnet,'2020'!Resal+('2020'!Salim-'2020'!Resal)*(1-EXP(('2020'!Tnet-t)/('2020'!Tau_j))),Resal+(Salim-Resal)*(1-EXP((Tnet-t)/(Tau_j))))*Salcycl</f>
        <v>0.12347573147857742</v>
      </c>
      <c r="P46" s="171">
        <f>(INDEX(Models!$BJ46:$BT46,,T46)*(1-R46)+INDEX(Models!$BJ46:$BT46,,T46+1)*R46-ERP_i)*Q46*Ramure*Pc/MaxiM</f>
        <v>3.2687192763015578E-2</v>
      </c>
      <c r="Q46" s="307">
        <f t="shared" si="4"/>
        <v>1</v>
      </c>
      <c r="R46" s="179">
        <f t="shared" si="5"/>
        <v>0.30227899500114119</v>
      </c>
      <c r="S46" s="837">
        <f t="shared" si="6"/>
        <v>-1</v>
      </c>
      <c r="T46" s="178">
        <f t="shared" si="7"/>
        <v>5</v>
      </c>
      <c r="U46" s="253">
        <f t="shared" si="8"/>
        <v>-0.69772100499885881</v>
      </c>
      <c r="V46" s="385">
        <f t="shared" si="9"/>
        <v>22.281953895565852</v>
      </c>
      <c r="W46" s="404"/>
      <c r="X46" s="157">
        <f t="shared" si="10"/>
        <v>44228</v>
      </c>
      <c r="Y46" s="387">
        <f t="shared" si="11"/>
        <v>9.1140000000000008</v>
      </c>
      <c r="Z46" s="387">
        <f t="shared" si="12"/>
        <v>9.3101511588492105</v>
      </c>
      <c r="AA46" s="388">
        <f t="shared" si="13"/>
        <v>10.621669579730144</v>
      </c>
      <c r="AB46" s="199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0.12347573147857742</v>
      </c>
      <c r="AD46" s="233">
        <f>(INDEX(Models!$BJ46:$BT46,,AH46)*(1-AF46)+INDEX(Models!$BJ46:$BT46,,AH46+1)*AF46-ERP_i)*AE46*Ramure*Pc/MaxiM</f>
        <v>3.2687192763015578E-2</v>
      </c>
      <c r="AE46" s="307">
        <f t="shared" si="15"/>
        <v>1</v>
      </c>
      <c r="AF46" s="179">
        <f t="shared" si="22"/>
        <v>0.30227899500114119</v>
      </c>
      <c r="AG46" s="837">
        <f t="shared" si="23"/>
        <v>-1</v>
      </c>
      <c r="AH46" s="178">
        <f t="shared" si="16"/>
        <v>5</v>
      </c>
      <c r="AI46" s="227">
        <f t="shared" si="17"/>
        <v>-0.69772100499885881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44229</v>
      </c>
      <c r="B47" s="618">
        <v>20.164999999999999</v>
      </c>
      <c r="C47" s="392"/>
      <c r="D47" s="395">
        <f t="shared" si="0"/>
        <v>20.599469737248015</v>
      </c>
      <c r="E47" s="387">
        <f t="shared" si="1"/>
        <v>23.502553341816082</v>
      </c>
      <c r="F47" s="387">
        <f t="shared" si="2"/>
        <v>24.150188849551444</v>
      </c>
      <c r="G47" s="110">
        <f t="shared" si="21"/>
        <v>0.88830705965937062</v>
      </c>
      <c r="H47" s="414" t="b">
        <f>Wh_hp&gt;='2020'!Maxi_hp</f>
        <v>1</v>
      </c>
      <c r="I47" s="382">
        <f>IF(H47,Wh_hp,'2020'!Maxi_hp)</f>
        <v>24.150188849551444</v>
      </c>
      <c r="J47" s="85">
        <f>IF(H47,An,'2020'!An_max)</f>
        <v>2021</v>
      </c>
      <c r="K47" s="199">
        <f t="shared" si="3"/>
        <v>44229</v>
      </c>
      <c r="L47" s="147">
        <f>IF(t&lt;Tvie,1-EXP((T0-t)*PertePVj)+'2020'!Pspv,1-EXP((T0-t)*PertePVj)+Pspv)</f>
        <v>2.1091306853516123E-2</v>
      </c>
      <c r="M47" s="870"/>
      <c r="N47" s="870"/>
      <c r="O47" s="48">
        <f>IF(t&lt;Tnet,'2020'!Resal+('2020'!Salim-'2020'!Resal)*(1-EXP(('2020'!Tnet-t)/('2020'!Tau_j))),Resal+(Salim-Resal)*(1-EXP((Tnet-t)/(Tau_j))))*Salcycl</f>
        <v>0.12352205151271199</v>
      </c>
      <c r="P47" s="171">
        <f>(INDEX(Models!$BJ47:$BT47,,T47)*(1-R47)+INDEX(Models!$BJ47:$BT47,,T47+1)*R47-ERP_i)*Q47*Ramure*Pc/MaxiM</f>
        <v>3.1668744331518665E-2</v>
      </c>
      <c r="Q47" s="307">
        <f t="shared" si="4"/>
        <v>1</v>
      </c>
      <c r="R47" s="179">
        <f t="shared" si="5"/>
        <v>0.30242415059248406</v>
      </c>
      <c r="S47" s="837">
        <f t="shared" si="6"/>
        <v>-1</v>
      </c>
      <c r="T47" s="178">
        <f t="shared" si="7"/>
        <v>5</v>
      </c>
      <c r="U47" s="253">
        <f t="shared" si="8"/>
        <v>-0.69757584940751594</v>
      </c>
      <c r="V47" s="385">
        <f t="shared" si="9"/>
        <v>22.587311804480354</v>
      </c>
      <c r="W47" s="404"/>
      <c r="X47" s="157">
        <f t="shared" si="10"/>
        <v>44229</v>
      </c>
      <c r="Y47" s="387">
        <f t="shared" si="11"/>
        <v>20.164999999999999</v>
      </c>
      <c r="Z47" s="387">
        <f t="shared" si="12"/>
        <v>20.599469737248015</v>
      </c>
      <c r="AA47" s="388">
        <f t="shared" si="13"/>
        <v>23.502553341816082</v>
      </c>
      <c r="AB47" s="199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0.12352205151271199</v>
      </c>
      <c r="AD47" s="233">
        <f>(INDEX(Models!$BJ47:$BT47,,AH47)*(1-AF47)+INDEX(Models!$BJ47:$BT47,,AH47+1)*AF47-ERP_i)*AE47*Ramure*Pc/MaxiM</f>
        <v>3.1668744331518665E-2</v>
      </c>
      <c r="AE47" s="307">
        <f t="shared" si="15"/>
        <v>1</v>
      </c>
      <c r="AF47" s="179">
        <f t="shared" si="22"/>
        <v>0.30242415059248406</v>
      </c>
      <c r="AG47" s="837">
        <f t="shared" si="23"/>
        <v>-1</v>
      </c>
      <c r="AH47" s="178">
        <f t="shared" si="16"/>
        <v>5</v>
      </c>
      <c r="AI47" s="227">
        <f t="shared" si="17"/>
        <v>-0.69757584940751594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44230</v>
      </c>
      <c r="B48" s="618">
        <v>16.405999999999999</v>
      </c>
      <c r="C48" s="392"/>
      <c r="D48" s="395">
        <f t="shared" si="0"/>
        <v>16.759869347710069</v>
      </c>
      <c r="E48" s="387">
        <f t="shared" si="1"/>
        <v>19.122853516216605</v>
      </c>
      <c r="F48" s="387">
        <f t="shared" si="2"/>
        <v>19.477607833073812</v>
      </c>
      <c r="G48" s="110">
        <f t="shared" si="21"/>
        <v>0.70747322289919701</v>
      </c>
      <c r="H48" s="414" t="b">
        <f>Wh_hp&gt;='2020'!Maxi_hp</f>
        <v>0</v>
      </c>
      <c r="I48" s="382">
        <f>IF(H48,Wh_hp,'2020'!Maxi_hp)</f>
        <v>22.38607837569748</v>
      </c>
      <c r="J48" s="85">
        <f>IF(H48,An,'2020'!An_max)</f>
        <v>2020</v>
      </c>
      <c r="K48" s="199">
        <f t="shared" si="3"/>
        <v>44230</v>
      </c>
      <c r="L48" s="147">
        <f>IF(t&lt;Tvie,1-EXP((T0-t)*PertePVj)+'2020'!Pspv,1-EXP((T0-t)*PertePVj)+Pspv)</f>
        <v>2.1114087488899203E-2</v>
      </c>
      <c r="M48" s="870"/>
      <c r="N48" s="870"/>
      <c r="O48" s="48">
        <f>IF(t&lt;Tnet,'2020'!Resal+('2020'!Salim-'2020'!Resal)*(1-EXP(('2020'!Tnet-t)/('2020'!Tau_j))),Resal+(Salim-Resal)*(1-EXP((Tnet-t)/(Tau_j))))*Salcycl</f>
        <v>0.12356859641803307</v>
      </c>
      <c r="P48" s="171">
        <f>(INDEX(Models!$BJ48:$BT48,,T48)*(1-R48)+INDEX(Models!$BJ48:$BT48,,T48+1)*R48-ERP_i)*Q48*Ramure*Pc/MaxiM</f>
        <v>3.0609366093326176E-2</v>
      </c>
      <c r="Q48" s="307">
        <f t="shared" si="4"/>
        <v>1</v>
      </c>
      <c r="R48" s="179">
        <f t="shared" si="5"/>
        <v>0.30257533151697025</v>
      </c>
      <c r="S48" s="837">
        <f t="shared" si="6"/>
        <v>-1</v>
      </c>
      <c r="T48" s="178">
        <f t="shared" si="7"/>
        <v>5</v>
      </c>
      <c r="U48" s="253">
        <f t="shared" si="8"/>
        <v>-0.69742466848302975</v>
      </c>
      <c r="V48" s="385">
        <f t="shared" si="9"/>
        <v>22.896781444855947</v>
      </c>
      <c r="W48" s="404"/>
      <c r="X48" s="157">
        <f t="shared" si="10"/>
        <v>44230</v>
      </c>
      <c r="Y48" s="387">
        <f t="shared" si="11"/>
        <v>16.405999999999999</v>
      </c>
      <c r="Z48" s="387">
        <f t="shared" si="12"/>
        <v>16.759869347710069</v>
      </c>
      <c r="AA48" s="388">
        <f t="shared" si="13"/>
        <v>19.122853516216605</v>
      </c>
      <c r="AB48" s="199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0.12356859641803307</v>
      </c>
      <c r="AD48" s="233">
        <f>(INDEX(Models!$BJ48:$BT48,,AH48)*(1-AF48)+INDEX(Models!$BJ48:$BT48,,AH48+1)*AF48-ERP_i)*AE48*Ramure*Pc/MaxiM</f>
        <v>3.0609366093326176E-2</v>
      </c>
      <c r="AE48" s="307">
        <f t="shared" si="15"/>
        <v>1</v>
      </c>
      <c r="AF48" s="179">
        <f t="shared" si="22"/>
        <v>0.30257533151697025</v>
      </c>
      <c r="AG48" s="837">
        <f t="shared" si="23"/>
        <v>-1</v>
      </c>
      <c r="AH48" s="178">
        <f t="shared" si="16"/>
        <v>5</v>
      </c>
      <c r="AI48" s="227">
        <f t="shared" si="17"/>
        <v>-0.69742466848302975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44231</v>
      </c>
      <c r="B49" s="618">
        <v>13.152000000000001</v>
      </c>
      <c r="C49" s="392"/>
      <c r="D49" s="395">
        <f t="shared" si="0"/>
        <v>13.435994844013511</v>
      </c>
      <c r="E49" s="387">
        <f t="shared" si="1"/>
        <v>15.331161784840331</v>
      </c>
      <c r="F49" s="387">
        <f t="shared" si="2"/>
        <v>15.505470363884703</v>
      </c>
      <c r="G49" s="110">
        <f t="shared" si="21"/>
        <v>0.55618041917046768</v>
      </c>
      <c r="H49" s="414" t="b">
        <f>Wh_hp&gt;='2020'!Maxi_hp</f>
        <v>0</v>
      </c>
      <c r="I49" s="382">
        <f>IF(H49,Wh_hp,'2020'!Maxi_hp)</f>
        <v>23.379370808970474</v>
      </c>
      <c r="J49" s="85">
        <f>IF(H49,An,'2020'!An_max)</f>
        <v>2019</v>
      </c>
      <c r="K49" s="199">
        <f t="shared" si="3"/>
        <v>44231</v>
      </c>
      <c r="L49" s="147">
        <f>IF(t&lt;Tvie,1-EXP((T0-t)*PertePVj)+'2020'!Pspv,1-EXP((T0-t)*PertePVj)+Pspv)</f>
        <v>2.1136867594143571E-2</v>
      </c>
      <c r="M49" s="870"/>
      <c r="N49" s="870"/>
      <c r="O49" s="48">
        <f>IF(t&lt;Tnet,'2020'!Resal+('2020'!Salim-'2020'!Resal)*(1-EXP(('2020'!Tnet-t)/('2020'!Tau_j))),Resal+(Salim-Resal)*(1-EXP((Tnet-t)/(Tau_j))))*Salcycl</f>
        <v>0.12361535071013262</v>
      </c>
      <c r="P49" s="171">
        <f>(INDEX(Models!$BJ49:$BT49,,T49)*(1-R49)+INDEX(Models!$BJ49:$BT49,,T49+1)*R49-ERP_i)*Q49*Ramure*Pc/MaxiM</f>
        <v>2.9511363349612435E-2</v>
      </c>
      <c r="Q49" s="307">
        <f t="shared" si="4"/>
        <v>1</v>
      </c>
      <c r="R49" s="179">
        <f t="shared" si="5"/>
        <v>0.30273278509208257</v>
      </c>
      <c r="S49" s="837">
        <f t="shared" si="6"/>
        <v>-1</v>
      </c>
      <c r="T49" s="178">
        <f t="shared" si="7"/>
        <v>5</v>
      </c>
      <c r="U49" s="253">
        <f t="shared" si="8"/>
        <v>-0.69726721490791743</v>
      </c>
      <c r="V49" s="385">
        <f t="shared" si="9"/>
        <v>23.210069365169382</v>
      </c>
      <c r="W49" s="404"/>
      <c r="X49" s="157">
        <f t="shared" si="10"/>
        <v>44231</v>
      </c>
      <c r="Y49" s="387">
        <f t="shared" si="11"/>
        <v>13.152000000000001</v>
      </c>
      <c r="Z49" s="387">
        <f t="shared" si="12"/>
        <v>13.435994844013511</v>
      </c>
      <c r="AA49" s="388">
        <f t="shared" si="13"/>
        <v>15.331161784840331</v>
      </c>
      <c r="AB49" s="199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0.12361535071013262</v>
      </c>
      <c r="AD49" s="233">
        <f>(INDEX(Models!$BJ49:$BT49,,AH49)*(1-AF49)+INDEX(Models!$BJ49:$BT49,,AH49+1)*AF49-ERP_i)*AE49*Ramure*Pc/MaxiM</f>
        <v>2.9511363349612435E-2</v>
      </c>
      <c r="AE49" s="307">
        <f t="shared" si="15"/>
        <v>1</v>
      </c>
      <c r="AF49" s="179">
        <f t="shared" si="22"/>
        <v>0.30273278509208257</v>
      </c>
      <c r="AG49" s="837">
        <f t="shared" si="23"/>
        <v>-1</v>
      </c>
      <c r="AH49" s="178">
        <f t="shared" si="16"/>
        <v>5</v>
      </c>
      <c r="AI49" s="227">
        <f t="shared" si="17"/>
        <v>-0.69726721490791743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44232</v>
      </c>
      <c r="B50" s="618">
        <v>8.6150000000000002</v>
      </c>
      <c r="C50" s="392"/>
      <c r="D50" s="395">
        <f t="shared" si="0"/>
        <v>8.8012309413746763</v>
      </c>
      <c r="E50" s="387">
        <f t="shared" si="1"/>
        <v>10.04319557017924</v>
      </c>
      <c r="F50" s="387">
        <f t="shared" si="2"/>
        <v>10.070210986522122</v>
      </c>
      <c r="G50" s="110">
        <f t="shared" si="21"/>
        <v>0.35674293743847629</v>
      </c>
      <c r="H50" s="414" t="b">
        <f>Wh_hp&gt;='2020'!Maxi_hp</f>
        <v>0</v>
      </c>
      <c r="I50" s="382">
        <f>IF(H50,Wh_hp,'2020'!Maxi_hp)</f>
        <v>27.78824906234189</v>
      </c>
      <c r="J50" s="85">
        <f>IF(H50,An,'2020'!An_max)</f>
        <v>2020</v>
      </c>
      <c r="K50" s="199">
        <f t="shared" si="3"/>
        <v>44232</v>
      </c>
      <c r="L50" s="147">
        <f>IF(t&lt;Tvie,1-EXP((T0-t)*PertePVj)+'2020'!Pspv,1-EXP((T0-t)*PertePVj)+Pspv)</f>
        <v>2.1159647169261664E-2</v>
      </c>
      <c r="M50" s="870"/>
      <c r="N50" s="870"/>
      <c r="O50" s="48">
        <f>IF(t&lt;Tnet,'2020'!Resal+('2020'!Salim-'2020'!Resal)*(1-EXP(('2020'!Tnet-t)/('2020'!Tau_j))),Resal+(Salim-Resal)*(1-EXP((Tnet-t)/(Tau_j))))*Salcycl</f>
        <v>0.12366229653958616</v>
      </c>
      <c r="P50" s="171">
        <f>(INDEX(Models!$BJ50:$BT50,,T50)*(1-R50)+INDEX(Models!$BJ50:$BT50,,T50+1)*R50-ERP_i)*Q50*Ramure*Pc/MaxiM</f>
        <v>2.8376899673172272E-2</v>
      </c>
      <c r="Q50" s="307">
        <f t="shared" si="4"/>
        <v>1</v>
      </c>
      <c r="R50" s="179">
        <f t="shared" si="5"/>
        <v>0.3028967685491758</v>
      </c>
      <c r="S50" s="837">
        <f t="shared" si="6"/>
        <v>-1</v>
      </c>
      <c r="T50" s="178">
        <f t="shared" si="7"/>
        <v>5</v>
      </c>
      <c r="U50" s="253">
        <f t="shared" si="8"/>
        <v>-0.6971032314508242</v>
      </c>
      <c r="V50" s="385">
        <f t="shared" si="9"/>
        <v>23.526882279710527</v>
      </c>
      <c r="W50" s="404"/>
      <c r="X50" s="157">
        <f t="shared" si="10"/>
        <v>44232</v>
      </c>
      <c r="Y50" s="387">
        <f t="shared" si="11"/>
        <v>8.6150000000000002</v>
      </c>
      <c r="Z50" s="387">
        <f t="shared" si="12"/>
        <v>8.8012309413746763</v>
      </c>
      <c r="AA50" s="388">
        <f t="shared" si="13"/>
        <v>10.04319557017924</v>
      </c>
      <c r="AB50" s="199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0.12366229653958616</v>
      </c>
      <c r="AD50" s="233">
        <f>(INDEX(Models!$BJ50:$BT50,,AH50)*(1-AF50)+INDEX(Models!$BJ50:$BT50,,AH50+1)*AF50-ERP_i)*AE50*Ramure*Pc/MaxiM</f>
        <v>2.8376899673172272E-2</v>
      </c>
      <c r="AE50" s="307">
        <f t="shared" si="15"/>
        <v>1</v>
      </c>
      <c r="AF50" s="179">
        <f t="shared" si="22"/>
        <v>0.3028967685491758</v>
      </c>
      <c r="AG50" s="837">
        <f t="shared" si="23"/>
        <v>-1</v>
      </c>
      <c r="AH50" s="178">
        <f t="shared" si="16"/>
        <v>5</v>
      </c>
      <c r="AI50" s="227">
        <f t="shared" si="17"/>
        <v>-0.6971032314508242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44233</v>
      </c>
      <c r="B51" s="618">
        <v>7.1779999999999999</v>
      </c>
      <c r="C51" s="392"/>
      <c r="D51" s="395">
        <f t="shared" si="0"/>
        <v>7.3333378887323528</v>
      </c>
      <c r="E51" s="387">
        <f t="shared" si="1"/>
        <v>8.3686142529317209</v>
      </c>
      <c r="F51" s="387">
        <f t="shared" si="2"/>
        <v>8.3689384338016062</v>
      </c>
      <c r="G51" s="110">
        <f t="shared" si="21"/>
        <v>0.29281861548417459</v>
      </c>
      <c r="H51" s="414" t="b">
        <f>Wh_hp&gt;='2020'!Maxi_hp</f>
        <v>0</v>
      </c>
      <c r="I51" s="382">
        <f>IF(H51,Wh_hp,'2020'!Maxi_hp)</f>
        <v>28.842415345268009</v>
      </c>
      <c r="J51" s="85">
        <f>IF(H51,An,'2020'!An_max)</f>
        <v>2020</v>
      </c>
      <c r="K51" s="199">
        <f t="shared" si="3"/>
        <v>44233</v>
      </c>
      <c r="L51" s="147">
        <f>IF(t&lt;Tvie,1-EXP((T0-t)*PertePVj)+'2020'!Pspv,1-EXP((T0-t)*PertePVj)+Pspv)</f>
        <v>2.1182426214265804E-2</v>
      </c>
      <c r="M51" s="870"/>
      <c r="N51" s="870"/>
      <c r="O51" s="48">
        <f>IF(t&lt;Tnet,'2020'!Resal+('2020'!Salim-'2020'!Resal)*(1-EXP(('2020'!Tnet-t)/('2020'!Tau_j))),Resal+(Salim-Resal)*(1-EXP((Tnet-t)/(Tau_j))))*Salcycl</f>
        <v>0.12370941387777394</v>
      </c>
      <c r="P51" s="171">
        <f>(INDEX(Models!$BJ51:$BT51,,T51)*(1-R51)+INDEX(Models!$BJ51:$BT51,,T51+1)*R51-ERP_i)*Q51*Ramure*Pc/MaxiM</f>
        <v>2.7207424384908103E-2</v>
      </c>
      <c r="Q51" s="307">
        <f t="shared" si="4"/>
        <v>1</v>
      </c>
      <c r="R51" s="179">
        <f t="shared" si="5"/>
        <v>0.30306754941060754</v>
      </c>
      <c r="S51" s="837">
        <f t="shared" si="6"/>
        <v>-1</v>
      </c>
      <c r="T51" s="178">
        <f t="shared" si="7"/>
        <v>5</v>
      </c>
      <c r="U51" s="253">
        <f t="shared" si="8"/>
        <v>-0.69693245058939246</v>
      </c>
      <c r="V51" s="385">
        <f t="shared" si="9"/>
        <v>23.847444228078668</v>
      </c>
      <c r="W51" s="404"/>
      <c r="X51" s="157">
        <f t="shared" si="10"/>
        <v>44233</v>
      </c>
      <c r="Y51" s="387">
        <f t="shared" si="11"/>
        <v>7.1779999999999999</v>
      </c>
      <c r="Z51" s="387">
        <f t="shared" si="12"/>
        <v>7.3333378887323528</v>
      </c>
      <c r="AA51" s="388">
        <f t="shared" si="13"/>
        <v>8.3686142529317209</v>
      </c>
      <c r="AB51" s="199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0.12370941387777394</v>
      </c>
      <c r="AD51" s="233">
        <f>(INDEX(Models!$BJ51:$BT51,,AH51)*(1-AF51)+INDEX(Models!$BJ51:$BT51,,AH51+1)*AF51-ERP_i)*AE51*Ramure*Pc/MaxiM</f>
        <v>2.7207424384908103E-2</v>
      </c>
      <c r="AE51" s="307">
        <f t="shared" si="15"/>
        <v>1</v>
      </c>
      <c r="AF51" s="179">
        <f t="shared" si="22"/>
        <v>0.30306754941060754</v>
      </c>
      <c r="AG51" s="837">
        <f t="shared" si="23"/>
        <v>-1</v>
      </c>
      <c r="AH51" s="178">
        <f t="shared" si="16"/>
        <v>5</v>
      </c>
      <c r="AI51" s="227">
        <f t="shared" si="17"/>
        <v>-0.69693245058939246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44234</v>
      </c>
      <c r="B52" s="618">
        <v>17.277999999999999</v>
      </c>
      <c r="C52" s="392"/>
      <c r="D52" s="395">
        <f t="shared" si="0"/>
        <v>17.652321082499412</v>
      </c>
      <c r="E52" s="387">
        <f t="shared" si="1"/>
        <v>20.145455827725819</v>
      </c>
      <c r="F52" s="387">
        <f t="shared" si="2"/>
        <v>20.460774580395299</v>
      </c>
      <c r="G52" s="110">
        <f t="shared" si="21"/>
        <v>0.70709653514233628</v>
      </c>
      <c r="H52" s="414" t="b">
        <f>Wh_hp&gt;='2020'!Maxi_hp</f>
        <v>1</v>
      </c>
      <c r="I52" s="382">
        <f>IF(H52,Wh_hp,'2020'!Maxi_hp)</f>
        <v>20.460774580395299</v>
      </c>
      <c r="J52" s="85">
        <f>IF(H52,An,'2020'!An_max)</f>
        <v>2021</v>
      </c>
      <c r="K52" s="199">
        <f t="shared" si="3"/>
        <v>44234</v>
      </c>
      <c r="L52" s="147">
        <f>IF(t&lt;Tvie,1-EXP((T0-t)*PertePVj)+'2020'!Pspv,1-EXP((T0-t)*PertePVj)+Pspv)</f>
        <v>2.1205204729168203E-2</v>
      </c>
      <c r="M52" s="870"/>
      <c r="N52" s="870"/>
      <c r="O52" s="48">
        <f>IF(t&lt;Tnet,'2020'!Resal+('2020'!Salim-'2020'!Resal)*(1-EXP(('2020'!Tnet-t)/('2020'!Tau_j))),Resal+(Salim-Resal)*(1-EXP((Tnet-t)/(Tau_j))))*Salcycl</f>
        <v>0.12375668073964108</v>
      </c>
      <c r="P52" s="171">
        <f>(INDEX(Models!$BJ52:$BT52,,T52)*(1-R52)+INDEX(Models!$BJ52:$BT52,,T52+1)*R52-ERP_i)*Q52*Ramure*Pc/MaxiM</f>
        <v>2.6007470049303941E-2</v>
      </c>
      <c r="Q52" s="307">
        <f t="shared" si="4"/>
        <v>1</v>
      </c>
      <c r="R52" s="179">
        <f t="shared" si="5"/>
        <v>0.30324540587946969</v>
      </c>
      <c r="S52" s="837">
        <f t="shared" si="6"/>
        <v>-1</v>
      </c>
      <c r="T52" s="178">
        <f t="shared" si="7"/>
        <v>5</v>
      </c>
      <c r="U52" s="253">
        <f t="shared" si="8"/>
        <v>-0.69675459412053031</v>
      </c>
      <c r="V52" s="385">
        <f t="shared" si="9"/>
        <v>24.172154349679094</v>
      </c>
      <c r="W52" s="404"/>
      <c r="X52" s="157">
        <f t="shared" si="10"/>
        <v>44234</v>
      </c>
      <c r="Y52" s="387">
        <f t="shared" si="11"/>
        <v>17.277999999999999</v>
      </c>
      <c r="Z52" s="387">
        <f t="shared" si="12"/>
        <v>17.652321082499412</v>
      </c>
      <c r="AA52" s="388">
        <f t="shared" si="13"/>
        <v>20.145455827725819</v>
      </c>
      <c r="AB52" s="199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0.12375668073964108</v>
      </c>
      <c r="AD52" s="233">
        <f>(INDEX(Models!$BJ52:$BT52,,AH52)*(1-AF52)+INDEX(Models!$BJ52:$BT52,,AH52+1)*AF52-ERP_i)*AE52*Ramure*Pc/MaxiM</f>
        <v>2.6007470049303941E-2</v>
      </c>
      <c r="AE52" s="307">
        <f t="shared" si="15"/>
        <v>1</v>
      </c>
      <c r="AF52" s="179">
        <f t="shared" si="22"/>
        <v>0.30324540587946969</v>
      </c>
      <c r="AG52" s="837">
        <f t="shared" si="23"/>
        <v>-1</v>
      </c>
      <c r="AH52" s="178">
        <f t="shared" si="16"/>
        <v>5</v>
      </c>
      <c r="AI52" s="227">
        <f t="shared" si="17"/>
        <v>-0.69675459412053031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44235</v>
      </c>
      <c r="B53" s="618">
        <v>3.7760000000000002</v>
      </c>
      <c r="C53" s="392"/>
      <c r="D53" s="395">
        <f t="shared" si="0"/>
        <v>3.8578953354942205</v>
      </c>
      <c r="E53" s="387">
        <f t="shared" si="1"/>
        <v>4.4030053308305437</v>
      </c>
      <c r="F53" s="387">
        <f t="shared" si="2"/>
        <v>4.4030053308305437</v>
      </c>
      <c r="G53" s="110">
        <f t="shared" si="21"/>
        <v>0.15029672900569999</v>
      </c>
      <c r="H53" s="414" t="b">
        <f>Wh_hp&gt;='2020'!Maxi_hp</f>
        <v>0</v>
      </c>
      <c r="I53" s="382">
        <f>IF(H53,Wh_hp,'2020'!Maxi_hp)</f>
        <v>25.063200771288571</v>
      </c>
      <c r="J53" s="85">
        <f>IF(H53,An,'2020'!An_max)</f>
        <v>2020</v>
      </c>
      <c r="K53" s="199">
        <f t="shared" si="3"/>
        <v>44235</v>
      </c>
      <c r="L53" s="147">
        <f>IF(t&lt;Tvie,1-EXP((T0-t)*PertePVj)+'2020'!Pspv,1-EXP((T0-t)*PertePVj)+Pspv)</f>
        <v>2.1227982713981297E-2</v>
      </c>
      <c r="M53" s="870"/>
      <c r="N53" s="870"/>
      <c r="O53" s="48">
        <f>IF(t&lt;Tnet,'2020'!Resal+('2020'!Salim-'2020'!Resal)*(1-EXP(('2020'!Tnet-t)/('2020'!Tau_j))),Resal+(Salim-Resal)*(1-EXP((Tnet-t)/(Tau_j))))*Salcycl</f>
        <v>0.12380407344033331</v>
      </c>
      <c r="P53" s="171">
        <f>(INDEX(Models!$BJ53:$BT53,,T53)*(1-R53)+INDEX(Models!$BJ53:$BT53,,T53+1)*R53-ERP_i)*Q53*Ramure*Pc/MaxiM</f>
        <v>2.4804059729768953E-2</v>
      </c>
      <c r="Q53" s="307">
        <f t="shared" si="4"/>
        <v>1</v>
      </c>
      <c r="R53" s="179">
        <f t="shared" si="5"/>
        <v>0.30343062724218239</v>
      </c>
      <c r="S53" s="837">
        <f t="shared" si="6"/>
        <v>-1</v>
      </c>
      <c r="T53" s="178">
        <f t="shared" si="7"/>
        <v>5</v>
      </c>
      <c r="U53" s="253">
        <f t="shared" si="8"/>
        <v>-0.69656937275781761</v>
      </c>
      <c r="V53" s="385">
        <f t="shared" si="9"/>
        <v>24.500465810674697</v>
      </c>
      <c r="W53" s="404"/>
      <c r="X53" s="157">
        <f t="shared" si="10"/>
        <v>44235</v>
      </c>
      <c r="Y53" s="387">
        <f t="shared" si="11"/>
        <v>3.7759999999999998</v>
      </c>
      <c r="Z53" s="387">
        <f t="shared" si="12"/>
        <v>3.85789533549422</v>
      </c>
      <c r="AA53" s="388">
        <f t="shared" si="13"/>
        <v>4.4030053308305437</v>
      </c>
      <c r="AB53" s="199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0.12380407344033331</v>
      </c>
      <c r="AD53" s="233">
        <f>(INDEX(Models!$BJ53:$BT53,,AH53)*(1-AF53)+INDEX(Models!$BJ53:$BT53,,AH53+1)*AF53-ERP_i)*AE53*Ramure*Pc/MaxiM</f>
        <v>2.4804059729768953E-2</v>
      </c>
      <c r="AE53" s="307">
        <f t="shared" si="15"/>
        <v>1</v>
      </c>
      <c r="AF53" s="179">
        <f t="shared" si="22"/>
        <v>0.30343062724218239</v>
      </c>
      <c r="AG53" s="837">
        <f t="shared" si="23"/>
        <v>-1</v>
      </c>
      <c r="AH53" s="178">
        <f t="shared" si="16"/>
        <v>5</v>
      </c>
      <c r="AI53" s="227">
        <f t="shared" si="17"/>
        <v>-0.69656937275781761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44236</v>
      </c>
      <c r="B54" s="618">
        <v>11.749000000000001</v>
      </c>
      <c r="C54" s="392"/>
      <c r="D54" s="395">
        <f t="shared" si="0"/>
        <v>12.00409616872377</v>
      </c>
      <c r="E54" s="387">
        <f t="shared" si="1"/>
        <v>13.700984576333687</v>
      </c>
      <c r="F54" s="387">
        <f t="shared" si="2"/>
        <v>13.781418442635335</v>
      </c>
      <c r="G54" s="110">
        <f t="shared" si="21"/>
        <v>0.4646777240531727</v>
      </c>
      <c r="H54" s="414" t="b">
        <f>Wh_hp&gt;='2020'!Maxi_hp</f>
        <v>0</v>
      </c>
      <c r="I54" s="382">
        <f>IF(H54,Wh_hp,'2020'!Maxi_hp)</f>
        <v>25.902040651021281</v>
      </c>
      <c r="J54" s="85">
        <f>IF(H54,An,'2020'!An_max)</f>
        <v>2019</v>
      </c>
      <c r="K54" s="199">
        <f t="shared" si="3"/>
        <v>44236</v>
      </c>
      <c r="L54" s="147">
        <f>IF(t&lt;Tvie,1-EXP((T0-t)*PertePVj)+'2020'!Pspv,1-EXP((T0-t)*PertePVj)+Pspv)</f>
        <v>2.1250760168717409E-2</v>
      </c>
      <c r="M54" s="870"/>
      <c r="N54" s="870"/>
      <c r="O54" s="48">
        <f>IF(t&lt;Tnet,'2020'!Resal+('2020'!Salim-'2020'!Resal)*(1-EXP(('2020'!Tnet-t)/('2020'!Tau_j))),Resal+(Salim-Resal)*(1-EXP((Tnet-t)/(Tau_j))))*Salcycl</f>
        <v>0.12385156688235573</v>
      </c>
      <c r="P54" s="171">
        <f>(INDEX(Models!$BJ54:$BT54,,T54)*(1-R54)+INDEX(Models!$BJ54:$BT54,,T54+1)*R54-ERP_i)*Q54*Ramure*Pc/MaxiM</f>
        <v>2.3597693982127733E-2</v>
      </c>
      <c r="Q54" s="307">
        <f t="shared" si="4"/>
        <v>1</v>
      </c>
      <c r="R54" s="179">
        <f t="shared" si="5"/>
        <v>0.30362351428420997</v>
      </c>
      <c r="S54" s="837">
        <f t="shared" si="6"/>
        <v>-1</v>
      </c>
      <c r="T54" s="178">
        <f t="shared" si="7"/>
        <v>5</v>
      </c>
      <c r="U54" s="253">
        <f t="shared" si="8"/>
        <v>-0.69637648571579003</v>
      </c>
      <c r="V54" s="385">
        <f t="shared" si="9"/>
        <v>24.832473951362218</v>
      </c>
      <c r="W54" s="404"/>
      <c r="X54" s="157">
        <f t="shared" si="10"/>
        <v>44236</v>
      </c>
      <c r="Y54" s="387">
        <f t="shared" si="11"/>
        <v>11.749000000000001</v>
      </c>
      <c r="Z54" s="387">
        <f t="shared" si="12"/>
        <v>12.00409616872377</v>
      </c>
      <c r="AA54" s="388">
        <f t="shared" si="13"/>
        <v>13.700984576333687</v>
      </c>
      <c r="AB54" s="199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0.12385156688235573</v>
      </c>
      <c r="AD54" s="233">
        <f>(INDEX(Models!$BJ54:$BT54,,AH54)*(1-AF54)+INDEX(Models!$BJ54:$BT54,,AH54+1)*AF54-ERP_i)*AE54*Ramure*Pc/MaxiM</f>
        <v>2.3597693982127733E-2</v>
      </c>
      <c r="AE54" s="307">
        <f t="shared" si="15"/>
        <v>1</v>
      </c>
      <c r="AF54" s="179">
        <f t="shared" si="22"/>
        <v>0.30362351428420997</v>
      </c>
      <c r="AG54" s="837">
        <f t="shared" si="23"/>
        <v>-1</v>
      </c>
      <c r="AH54" s="178">
        <f t="shared" si="16"/>
        <v>5</v>
      </c>
      <c r="AI54" s="227">
        <f t="shared" si="17"/>
        <v>-0.69637648571579003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44237</v>
      </c>
      <c r="B55" s="618">
        <v>12.111000000000001</v>
      </c>
      <c r="C55" s="392"/>
      <c r="D55" s="395">
        <f t="shared" si="0"/>
        <v>12.37424393740503</v>
      </c>
      <c r="E55" s="387">
        <f t="shared" si="1"/>
        <v>14.124222940430453</v>
      </c>
      <c r="F55" s="387">
        <f t="shared" si="2"/>
        <v>14.206557776982189</v>
      </c>
      <c r="G55" s="110">
        <f t="shared" si="21"/>
        <v>0.47316978439746793</v>
      </c>
      <c r="H55" s="414" t="b">
        <f>Wh_hp&gt;='2020'!Maxi_hp</f>
        <v>0</v>
      </c>
      <c r="I55" s="382">
        <f>IF(H55,Wh_hp,'2020'!Maxi_hp)</f>
        <v>14.431460568874146</v>
      </c>
      <c r="J55" s="85">
        <f>IF(H55,An,'2020'!An_max)</f>
        <v>2020</v>
      </c>
      <c r="K55" s="199">
        <f t="shared" si="3"/>
        <v>44237</v>
      </c>
      <c r="L55" s="147">
        <f>IF(t&lt;Tvie,1-EXP((T0-t)*PertePVj)+'2020'!Pspv,1-EXP((T0-t)*PertePVj)+Pspv)</f>
        <v>2.1273537093388972E-2</v>
      </c>
      <c r="M55" s="870"/>
      <c r="N55" s="870"/>
      <c r="O55" s="48">
        <f>IF(t&lt;Tnet,'2020'!Resal+('2020'!Salim-'2020'!Resal)*(1-EXP(('2020'!Tnet-t)/('2020'!Tau_j))),Resal+(Salim-Resal)*(1-EXP((Tnet-t)/(Tau_j))))*Salcycl</f>
        <v>0.1238991348696519</v>
      </c>
      <c r="P55" s="171">
        <f>(INDEX(Models!$BJ55:$BT55,,T55)*(1-R55)+INDEX(Models!$BJ55:$BT55,,T55+1)*R55-ERP_i)*Q55*Ramure*Pc/MaxiM</f>
        <v>2.2388865895117783E-2</v>
      </c>
      <c r="Q55" s="307">
        <f t="shared" si="4"/>
        <v>1</v>
      </c>
      <c r="R55" s="179">
        <f t="shared" si="5"/>
        <v>0.30382437971913745</v>
      </c>
      <c r="S55" s="837">
        <f t="shared" si="6"/>
        <v>-1</v>
      </c>
      <c r="T55" s="178">
        <f t="shared" si="7"/>
        <v>5</v>
      </c>
      <c r="U55" s="253">
        <f t="shared" si="8"/>
        <v>-0.69617562028086255</v>
      </c>
      <c r="V55" s="385">
        <f t="shared" si="9"/>
        <v>25.168274240374576</v>
      </c>
      <c r="W55" s="404"/>
      <c r="X55" s="157">
        <f t="shared" si="10"/>
        <v>44237</v>
      </c>
      <c r="Y55" s="387">
        <f t="shared" si="11"/>
        <v>12.111000000000001</v>
      </c>
      <c r="Z55" s="387">
        <f t="shared" si="12"/>
        <v>12.37424393740503</v>
      </c>
      <c r="AA55" s="388">
        <f t="shared" si="13"/>
        <v>14.124222940430453</v>
      </c>
      <c r="AB55" s="199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0.1238991348696519</v>
      </c>
      <c r="AD55" s="233">
        <f>(INDEX(Models!$BJ55:$BT55,,AH55)*(1-AF55)+INDEX(Models!$BJ55:$BT55,,AH55+1)*AF55-ERP_i)*AE55*Ramure*Pc/MaxiM</f>
        <v>2.2388865895117783E-2</v>
      </c>
      <c r="AE55" s="307">
        <f t="shared" si="15"/>
        <v>1</v>
      </c>
      <c r="AF55" s="179">
        <f t="shared" si="22"/>
        <v>0.30382437971913745</v>
      </c>
      <c r="AG55" s="837">
        <f t="shared" si="23"/>
        <v>-1</v>
      </c>
      <c r="AH55" s="178">
        <f t="shared" si="16"/>
        <v>5</v>
      </c>
      <c r="AI55" s="227">
        <f t="shared" si="17"/>
        <v>-0.69617562028086255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44238</v>
      </c>
      <c r="B56" s="618">
        <v>22.641000000000002</v>
      </c>
      <c r="C56" s="392"/>
      <c r="D56" s="395">
        <f t="shared" si="0"/>
        <v>23.13366171194307</v>
      </c>
      <c r="E56" s="387">
        <f t="shared" si="1"/>
        <v>26.406684438061987</v>
      </c>
      <c r="F56" s="387">
        <f t="shared" si="2"/>
        <v>26.884629340458861</v>
      </c>
      <c r="G56" s="110">
        <f t="shared" si="21"/>
        <v>0.88453233019859623</v>
      </c>
      <c r="H56" s="414" t="b">
        <f>Wh_hp&gt;='2020'!Maxi_hp</f>
        <v>1</v>
      </c>
      <c r="I56" s="382">
        <f>IF(H56,Wh_hp,'2020'!Maxi_hp)</f>
        <v>26.884629340458861</v>
      </c>
      <c r="J56" s="85">
        <f>IF(H56,An,'2020'!An_max)</f>
        <v>2021</v>
      </c>
      <c r="K56" s="199">
        <f t="shared" si="3"/>
        <v>44238</v>
      </c>
      <c r="L56" s="147">
        <f>IF(t&lt;Tvie,1-EXP((T0-t)*PertePVj)+'2020'!Pspv,1-EXP((T0-t)*PertePVj)+Pspv)</f>
        <v>2.129631348800809E-2</v>
      </c>
      <c r="M56" s="870"/>
      <c r="N56" s="870"/>
      <c r="O56" s="48">
        <f>IF(t&lt;Tnet,'2020'!Resal+('2020'!Salim-'2020'!Resal)*(1-EXP(('2020'!Tnet-t)/('2020'!Tau_j))),Resal+(Salim-Resal)*(1-EXP((Tnet-t)/(Tau_j))))*Salcycl</f>
        <v>0.12394675044479489</v>
      </c>
      <c r="P56" s="171">
        <f>(INDEX(Models!$BJ56:$BT56,,T56)*(1-R56)+INDEX(Models!$BJ56:$BT56,,T56+1)*R56-ERP_i)*Q56*Ramure*Pc/MaxiM</f>
        <v>2.1178060720892355E-2</v>
      </c>
      <c r="Q56" s="307">
        <f t="shared" si="4"/>
        <v>1</v>
      </c>
      <c r="R56" s="179">
        <f t="shared" si="5"/>
        <v>0.30403354863134324</v>
      </c>
      <c r="S56" s="837">
        <f t="shared" si="6"/>
        <v>-1</v>
      </c>
      <c r="T56" s="178">
        <f t="shared" si="7"/>
        <v>5</v>
      </c>
      <c r="U56" s="253">
        <f t="shared" si="8"/>
        <v>-0.69596645136865676</v>
      </c>
      <c r="V56" s="385">
        <f t="shared" si="9"/>
        <v>25.507962279299473</v>
      </c>
      <c r="W56" s="404"/>
      <c r="X56" s="157">
        <f t="shared" si="10"/>
        <v>44238</v>
      </c>
      <c r="Y56" s="387">
        <f t="shared" si="11"/>
        <v>22.641000000000002</v>
      </c>
      <c r="Z56" s="387">
        <f t="shared" si="12"/>
        <v>23.13366171194307</v>
      </c>
      <c r="AA56" s="388">
        <f t="shared" si="13"/>
        <v>26.406684438061987</v>
      </c>
      <c r="AB56" s="199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0.12394675044479489</v>
      </c>
      <c r="AD56" s="233">
        <f>(INDEX(Models!$BJ56:$BT56,,AH56)*(1-AF56)+INDEX(Models!$BJ56:$BT56,,AH56+1)*AF56-ERP_i)*AE56*Ramure*Pc/MaxiM</f>
        <v>2.1178060720892355E-2</v>
      </c>
      <c r="AE56" s="307">
        <f t="shared" si="15"/>
        <v>1</v>
      </c>
      <c r="AF56" s="179">
        <f t="shared" si="22"/>
        <v>0.30403354863134324</v>
      </c>
      <c r="AG56" s="837">
        <f t="shared" si="23"/>
        <v>-1</v>
      </c>
      <c r="AH56" s="178">
        <f t="shared" si="16"/>
        <v>5</v>
      </c>
      <c r="AI56" s="227">
        <f t="shared" si="17"/>
        <v>-0.69596645136865676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44239</v>
      </c>
      <c r="B57" s="618">
        <v>3.96</v>
      </c>
      <c r="C57" s="392"/>
      <c r="D57" s="395">
        <f t="shared" si="0"/>
        <v>4.0462626346521855</v>
      </c>
      <c r="E57" s="387">
        <f t="shared" si="1"/>
        <v>4.6189916721073825</v>
      </c>
      <c r="F57" s="387">
        <f t="shared" si="2"/>
        <v>4.6189916721073825</v>
      </c>
      <c r="G57" s="110">
        <f t="shared" si="21"/>
        <v>0.15012341724451944</v>
      </c>
      <c r="H57" s="414" t="b">
        <f>Wh_hp&gt;='2020'!Maxi_hp</f>
        <v>0</v>
      </c>
      <c r="I57" s="382">
        <f>IF(H57,Wh_hp,'2020'!Maxi_hp)</f>
        <v>30.634138699782948</v>
      </c>
      <c r="J57" s="85">
        <f>IF(H57,An,'2020'!An_max)</f>
        <v>2019</v>
      </c>
      <c r="K57" s="199">
        <f t="shared" si="3"/>
        <v>44239</v>
      </c>
      <c r="L57" s="147">
        <f>IF(t&lt;Tvie,1-EXP((T0-t)*PertePVj)+'2020'!Pspv,1-EXP((T0-t)*PertePVj)+Pspv)</f>
        <v>2.1319089352587306E-2</v>
      </c>
      <c r="M57" s="870"/>
      <c r="N57" s="870"/>
      <c r="O57" s="48">
        <f>IF(t&lt;Tnet,'2020'!Resal+('2020'!Salim-'2020'!Resal)*(1-EXP(('2020'!Tnet-t)/('2020'!Tau_j))),Resal+(Salim-Resal)*(1-EXP((Tnet-t)/(Tau_j))))*Salcycl</f>
        <v>0.12399438624531955</v>
      </c>
      <c r="P57" s="171">
        <f>(INDEX(Models!$BJ57:$BT57,,T57)*(1-R57)+INDEX(Models!$BJ57:$BT57,,T57+1)*R57-ERP_i)*Q57*Ramure*Pc/MaxiM</f>
        <v>1.9965755512423109E-2</v>
      </c>
      <c r="Q57" s="307">
        <f t="shared" si="4"/>
        <v>1</v>
      </c>
      <c r="R57" s="179">
        <f t="shared" si="5"/>
        <v>0.30425135893247512</v>
      </c>
      <c r="S57" s="837">
        <f t="shared" si="6"/>
        <v>-1</v>
      </c>
      <c r="T57" s="178">
        <f t="shared" si="7"/>
        <v>5</v>
      </c>
      <c r="U57" s="253">
        <f t="shared" si="8"/>
        <v>-0.69574864106752488</v>
      </c>
      <c r="V57" s="385">
        <f t="shared" si="9"/>
        <v>25.851633805068381</v>
      </c>
      <c r="W57" s="404"/>
      <c r="X57" s="157">
        <f t="shared" si="10"/>
        <v>44239</v>
      </c>
      <c r="Y57" s="387">
        <f t="shared" si="11"/>
        <v>3.9600000000000004</v>
      </c>
      <c r="Z57" s="387">
        <f t="shared" si="12"/>
        <v>4.0462626346521855</v>
      </c>
      <c r="AA57" s="388">
        <f t="shared" si="13"/>
        <v>4.6189916721073825</v>
      </c>
      <c r="AB57" s="199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0.12399438624531955</v>
      </c>
      <c r="AD57" s="233">
        <f>(INDEX(Models!$BJ57:$BT57,,AH57)*(1-AF57)+INDEX(Models!$BJ57:$BT57,,AH57+1)*AF57-ERP_i)*AE57*Ramure*Pc/MaxiM</f>
        <v>1.9965755512423109E-2</v>
      </c>
      <c r="AE57" s="307">
        <f t="shared" si="15"/>
        <v>1</v>
      </c>
      <c r="AF57" s="179">
        <f t="shared" si="22"/>
        <v>0.30425135893247512</v>
      </c>
      <c r="AG57" s="837">
        <f t="shared" si="23"/>
        <v>-1</v>
      </c>
      <c r="AH57" s="178">
        <f t="shared" si="16"/>
        <v>5</v>
      </c>
      <c r="AI57" s="227">
        <f t="shared" si="17"/>
        <v>-0.69574864106752488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44240</v>
      </c>
      <c r="B58" s="618">
        <v>7.5949999999999998</v>
      </c>
      <c r="C58" s="392"/>
      <c r="D58" s="395">
        <f t="shared" si="0"/>
        <v>7.7606262349947164</v>
      </c>
      <c r="E58" s="387">
        <f t="shared" si="1"/>
        <v>8.8595872938908382</v>
      </c>
      <c r="F58" s="387">
        <f t="shared" si="2"/>
        <v>8.8595872938908382</v>
      </c>
      <c r="G58" s="110">
        <f t="shared" si="21"/>
        <v>0.2844561225074303</v>
      </c>
      <c r="H58" s="414" t="b">
        <f>Wh_hp&gt;='2020'!Maxi_hp</f>
        <v>0</v>
      </c>
      <c r="I58" s="382">
        <f>IF(H58,Wh_hp,'2020'!Maxi_hp)</f>
        <v>31.578425450237262</v>
      </c>
      <c r="J58" s="85">
        <f>IF(H58,An,'2020'!An_max)</f>
        <v>2019</v>
      </c>
      <c r="K58" s="199">
        <f t="shared" si="3"/>
        <v>44240</v>
      </c>
      <c r="L58" s="147">
        <f>IF(t&lt;Tvie,1-EXP((T0-t)*PertePVj)+'2020'!Pspv,1-EXP((T0-t)*PertePVj)+Pspv)</f>
        <v>2.1341864687138834E-2</v>
      </c>
      <c r="M58" s="870"/>
      <c r="N58" s="870"/>
      <c r="O58" s="48">
        <f>IF(t&lt;Tnet,'2020'!Resal+('2020'!Salim-'2020'!Resal)*(1-EXP(('2020'!Tnet-t)/('2020'!Tau_j))),Resal+(Salim-Resal)*(1-EXP((Tnet-t)/(Tau_j))))*Salcycl</f>
        <v>0.12404201487510767</v>
      </c>
      <c r="P58" s="171">
        <f>(INDEX(Models!$BJ58:$BT58,,T58)*(1-R58)+INDEX(Models!$BJ58:$BT58,,T58+1)*R58-ERP_i)*Q58*Ramure*Pc/MaxiM</f>
        <v>1.8785182628156802E-2</v>
      </c>
      <c r="Q58" s="307">
        <f t="shared" si="4"/>
        <v>1</v>
      </c>
      <c r="R58" s="179">
        <f t="shared" si="5"/>
        <v>0.30447816183192999</v>
      </c>
      <c r="S58" s="837">
        <f t="shared" si="6"/>
        <v>-1</v>
      </c>
      <c r="T58" s="178">
        <f t="shared" si="7"/>
        <v>5</v>
      </c>
      <c r="U58" s="253">
        <f t="shared" si="8"/>
        <v>-0.69552183816807001</v>
      </c>
      <c r="V58" s="385">
        <f t="shared" si="9"/>
        <v>26.198509887037094</v>
      </c>
      <c r="W58" s="404"/>
      <c r="X58" s="157">
        <f t="shared" si="10"/>
        <v>44240</v>
      </c>
      <c r="Y58" s="387">
        <f t="shared" si="11"/>
        <v>7.5949999999999989</v>
      </c>
      <c r="Z58" s="387">
        <f t="shared" si="12"/>
        <v>7.7606262349947155</v>
      </c>
      <c r="AA58" s="388">
        <f t="shared" si="13"/>
        <v>8.8595872938908382</v>
      </c>
      <c r="AB58" s="199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0.12404201487510767</v>
      </c>
      <c r="AD58" s="233">
        <f>(INDEX(Models!$BJ58:$BT58,,AH58)*(1-AF58)+INDEX(Models!$BJ58:$BT58,,AH58+1)*AF58-ERP_i)*AE58*Ramure*Pc/MaxiM</f>
        <v>1.8785182628156802E-2</v>
      </c>
      <c r="AE58" s="307">
        <f t="shared" si="15"/>
        <v>1</v>
      </c>
      <c r="AF58" s="179">
        <f t="shared" si="22"/>
        <v>0.30447816183192999</v>
      </c>
      <c r="AG58" s="837">
        <f t="shared" si="23"/>
        <v>-1</v>
      </c>
      <c r="AH58" s="178">
        <f t="shared" si="16"/>
        <v>5</v>
      </c>
      <c r="AI58" s="227">
        <f t="shared" si="17"/>
        <v>-0.69552183816807001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44241</v>
      </c>
      <c r="B59" s="618">
        <v>24.530999999999999</v>
      </c>
      <c r="C59" s="392"/>
      <c r="D59" s="395">
        <f t="shared" si="0"/>
        <v>25.066537537799629</v>
      </c>
      <c r="E59" s="387">
        <f t="shared" si="1"/>
        <v>28.61769628898417</v>
      </c>
      <c r="F59" s="387">
        <f t="shared" si="2"/>
        <v>29.075609307707047</v>
      </c>
      <c r="G59" s="110">
        <f t="shared" si="21"/>
        <v>0.92222942409420061</v>
      </c>
      <c r="H59" s="414" t="b">
        <f>Wh_hp&gt;='2020'!Maxi_hp</f>
        <v>0</v>
      </c>
      <c r="I59" s="382">
        <f>IF(H59,Wh_hp,'2020'!Maxi_hp)</f>
        <v>31.770566290205203</v>
      </c>
      <c r="J59" s="85">
        <f>IF(H59,An,'2020'!An_max)</f>
        <v>2019</v>
      </c>
      <c r="K59" s="199">
        <f t="shared" si="3"/>
        <v>44241</v>
      </c>
      <c r="L59" s="147">
        <f>IF(t&lt;Tvie,1-EXP((T0-t)*PertePVj)+'2020'!Pspv,1-EXP((T0-t)*PertePVj)+Pspv)</f>
        <v>2.1364639491675108E-2</v>
      </c>
      <c r="M59" s="870"/>
      <c r="N59" s="870"/>
      <c r="O59" s="48">
        <f>IF(t&lt;Tnet,'2020'!Resal+('2020'!Salim-'2020'!Resal)*(1-EXP(('2020'!Tnet-t)/('2020'!Tau_j))),Resal+(Salim-Resal)*(1-EXP((Tnet-t)/(Tau_j))))*Salcycl</f>
        <v>0.12408960928666682</v>
      </c>
      <c r="P59" s="171">
        <f>(INDEX(Models!$BJ59:$BT59,,T59)*(1-R59)+INDEX(Models!$BJ59:$BT59,,T59+1)*R59-ERP_i)*Q59*Ramure*Pc/MaxiM</f>
        <v>1.7666362311165647E-2</v>
      </c>
      <c r="Q59" s="307">
        <f t="shared" si="4"/>
        <v>1</v>
      </c>
      <c r="R59" s="179">
        <f t="shared" si="5"/>
        <v>0.30471432232150442</v>
      </c>
      <c r="S59" s="837">
        <f t="shared" si="6"/>
        <v>-1</v>
      </c>
      <c r="T59" s="178">
        <f t="shared" si="7"/>
        <v>5</v>
      </c>
      <c r="U59" s="253">
        <f t="shared" si="8"/>
        <v>-0.69528567767849558</v>
      </c>
      <c r="V59" s="385">
        <f t="shared" si="9"/>
        <v>26.54785567333532</v>
      </c>
      <c r="W59" s="404"/>
      <c r="X59" s="157">
        <f t="shared" si="10"/>
        <v>44241</v>
      </c>
      <c r="Y59" s="387">
        <f t="shared" si="11"/>
        <v>24.530999999999999</v>
      </c>
      <c r="Z59" s="387">
        <f t="shared" si="12"/>
        <v>25.066537537799629</v>
      </c>
      <c r="AA59" s="388">
        <f t="shared" si="13"/>
        <v>28.61769628898417</v>
      </c>
      <c r="AB59" s="199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0.12408960928666682</v>
      </c>
      <c r="AD59" s="233">
        <f>(INDEX(Models!$BJ59:$BT59,,AH59)*(1-AF59)+INDEX(Models!$BJ59:$BT59,,AH59+1)*AF59-ERP_i)*AE59*Ramure*Pc/MaxiM</f>
        <v>1.7666362311165647E-2</v>
      </c>
      <c r="AE59" s="307">
        <f t="shared" si="15"/>
        <v>1</v>
      </c>
      <c r="AF59" s="179">
        <f t="shared" si="22"/>
        <v>0.30471432232150442</v>
      </c>
      <c r="AG59" s="837">
        <f t="shared" si="23"/>
        <v>-1</v>
      </c>
      <c r="AH59" s="178">
        <f t="shared" si="16"/>
        <v>5</v>
      </c>
      <c r="AI59" s="227">
        <f t="shared" si="17"/>
        <v>-0.69528567767849558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44242</v>
      </c>
      <c r="B60" s="618">
        <v>25.387</v>
      </c>
      <c r="C60" s="392"/>
      <c r="D60" s="395">
        <f t="shared" si="0"/>
        <v>25.94182862260369</v>
      </c>
      <c r="E60" s="387">
        <f t="shared" si="1"/>
        <v>29.618596587710186</v>
      </c>
      <c r="F60" s="387">
        <f t="shared" si="2"/>
        <v>30.077983616907947</v>
      </c>
      <c r="G60" s="110">
        <f t="shared" si="21"/>
        <v>0.9424840304928066</v>
      </c>
      <c r="H60" s="414" t="b">
        <f>Wh_hp&gt;='2020'!Maxi_hp</f>
        <v>0</v>
      </c>
      <c r="I60" s="382">
        <f>IF(H60,Wh_hp,'2020'!Maxi_hp)</f>
        <v>31.929826724148288</v>
      </c>
      <c r="J60" s="85">
        <f>IF(H60,An,'2020'!An_max)</f>
        <v>2019</v>
      </c>
      <c r="K60" s="199">
        <f t="shared" si="3"/>
        <v>44242</v>
      </c>
      <c r="L60" s="147">
        <f>IF(t&lt;Tvie,1-EXP((T0-t)*PertePVj)+'2020'!Pspv,1-EXP((T0-t)*PertePVj)+Pspv)</f>
        <v>2.1387413766208341E-2</v>
      </c>
      <c r="M60" s="870"/>
      <c r="N60" s="870"/>
      <c r="O60" s="48">
        <f>IF(t&lt;Tnet,'2020'!Resal+('2020'!Salim-'2020'!Resal)*(1-EXP(('2020'!Tnet-t)/('2020'!Tau_j))),Resal+(Salim-Resal)*(1-EXP((Tnet-t)/(Tau_j))))*Salcycl</f>
        <v>0.12413714317011623</v>
      </c>
      <c r="P60" s="171">
        <f>(INDEX(Models!$BJ60:$BT60,,T60)*(1-R60)+INDEX(Models!$BJ60:$BT60,,T60+1)*R60-ERP_i)*Q60*Ramure*Pc/MaxiM</f>
        <v>1.6607421439661381E-2</v>
      </c>
      <c r="Q60" s="307">
        <f t="shared" si="4"/>
        <v>1</v>
      </c>
      <c r="R60" s="179">
        <f t="shared" si="5"/>
        <v>0.30496021967436704</v>
      </c>
      <c r="S60" s="837">
        <f t="shared" si="6"/>
        <v>-1</v>
      </c>
      <c r="T60" s="178">
        <f t="shared" si="7"/>
        <v>5</v>
      </c>
      <c r="U60" s="253">
        <f t="shared" si="8"/>
        <v>-0.69503978032563296</v>
      </c>
      <c r="V60" s="385">
        <f t="shared" si="9"/>
        <v>26.899769034138259</v>
      </c>
      <c r="W60" s="404"/>
      <c r="X60" s="157">
        <f t="shared" si="10"/>
        <v>44242</v>
      </c>
      <c r="Y60" s="387">
        <f t="shared" si="11"/>
        <v>25.387</v>
      </c>
      <c r="Z60" s="387">
        <f t="shared" si="12"/>
        <v>25.94182862260369</v>
      </c>
      <c r="AA60" s="388">
        <f t="shared" si="13"/>
        <v>29.618596587710186</v>
      </c>
      <c r="AB60" s="199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0.12413714317011623</v>
      </c>
      <c r="AD60" s="233">
        <f>(INDEX(Models!$BJ60:$BT60,,AH60)*(1-AF60)+INDEX(Models!$BJ60:$BT60,,AH60+1)*AF60-ERP_i)*AE60*Ramure*Pc/MaxiM</f>
        <v>1.6607421439661381E-2</v>
      </c>
      <c r="AE60" s="307">
        <f t="shared" si="15"/>
        <v>1</v>
      </c>
      <c r="AF60" s="179">
        <f t="shared" si="22"/>
        <v>0.30496021967436704</v>
      </c>
      <c r="AG60" s="837">
        <f t="shared" si="23"/>
        <v>-1</v>
      </c>
      <c r="AH60" s="178">
        <f t="shared" si="16"/>
        <v>5</v>
      </c>
      <c r="AI60" s="227">
        <f t="shared" si="17"/>
        <v>-0.69503978032563296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44243</v>
      </c>
      <c r="B61" s="618">
        <v>24.269000000000002</v>
      </c>
      <c r="C61" s="392"/>
      <c r="D61" s="395">
        <f t="shared" si="0"/>
        <v>24.7999720518924</v>
      </c>
      <c r="E61" s="387">
        <f t="shared" si="1"/>
        <v>28.316437238721157</v>
      </c>
      <c r="F61" s="387">
        <f t="shared" si="2"/>
        <v>28.694179325273645</v>
      </c>
      <c r="G61" s="110">
        <f t="shared" si="21"/>
        <v>0.88825979198167104</v>
      </c>
      <c r="H61" s="414" t="b">
        <f>Wh_hp&gt;='2020'!Maxi_hp</f>
        <v>0</v>
      </c>
      <c r="I61" s="382">
        <f>IF(H61,Wh_hp,'2020'!Maxi_hp)</f>
        <v>32.591538912686424</v>
      </c>
      <c r="J61" s="85">
        <f>IF(H61,An,'2020'!An_max)</f>
        <v>2019</v>
      </c>
      <c r="K61" s="199">
        <f t="shared" si="3"/>
        <v>44243</v>
      </c>
      <c r="L61" s="147">
        <f>IF(t&lt;Tvie,1-EXP((T0-t)*PertePVj)+'2020'!Pspv,1-EXP((T0-t)*PertePVj)+Pspv)</f>
        <v>2.1410187510750966E-2</v>
      </c>
      <c r="M61" s="870"/>
      <c r="N61" s="870"/>
      <c r="O61" s="48">
        <f>IF(t&lt;Tnet,'2020'!Resal+('2020'!Salim-'2020'!Resal)*(1-EXP(('2020'!Tnet-t)/('2020'!Tau_j))),Resal+(Salim-Resal)*(1-EXP((Tnet-t)/(Tau_j))))*Salcycl</f>
        <v>0.12418459134471155</v>
      </c>
      <c r="P61" s="171">
        <f>(INDEX(Models!$BJ61:$BT61,,T61)*(1-R61)+INDEX(Models!$BJ61:$BT61,,T61+1)*R61-ERP_i)*Q61*Ramure*Pc/MaxiM</f>
        <v>1.5606539160520277E-2</v>
      </c>
      <c r="Q61" s="307">
        <f t="shared" si="4"/>
        <v>1</v>
      </c>
      <c r="R61" s="179">
        <f t="shared" si="5"/>
        <v>0.30521624795847035</v>
      </c>
      <c r="S61" s="837">
        <f t="shared" si="6"/>
        <v>-1</v>
      </c>
      <c r="T61" s="178">
        <f t="shared" si="7"/>
        <v>5</v>
      </c>
      <c r="U61" s="253">
        <f t="shared" si="8"/>
        <v>-0.69478375204152965</v>
      </c>
      <c r="V61" s="385">
        <f t="shared" si="9"/>
        <v>27.254347965777388</v>
      </c>
      <c r="W61" s="404"/>
      <c r="X61" s="157">
        <f t="shared" si="10"/>
        <v>44243</v>
      </c>
      <c r="Y61" s="387">
        <f t="shared" si="11"/>
        <v>24.269000000000002</v>
      </c>
      <c r="Z61" s="387">
        <f t="shared" si="12"/>
        <v>24.7999720518924</v>
      </c>
      <c r="AA61" s="388">
        <f t="shared" si="13"/>
        <v>28.316437238721157</v>
      </c>
      <c r="AB61" s="199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0.12418459134471155</v>
      </c>
      <c r="AD61" s="233">
        <f>(INDEX(Models!$BJ61:$BT61,,AH61)*(1-AF61)+INDEX(Models!$BJ61:$BT61,,AH61+1)*AF61-ERP_i)*AE61*Ramure*Pc/MaxiM</f>
        <v>1.5606539160520277E-2</v>
      </c>
      <c r="AE61" s="307">
        <f t="shared" si="15"/>
        <v>1</v>
      </c>
      <c r="AF61" s="179">
        <f t="shared" si="22"/>
        <v>0.30521624795847035</v>
      </c>
      <c r="AG61" s="837">
        <f t="shared" si="23"/>
        <v>-1</v>
      </c>
      <c r="AH61" s="178">
        <f t="shared" si="16"/>
        <v>5</v>
      </c>
      <c r="AI61" s="227">
        <f t="shared" si="17"/>
        <v>-0.69478375204152965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44244</v>
      </c>
      <c r="B62" s="618">
        <v>25.754000000000001</v>
      </c>
      <c r="C62" s="392"/>
      <c r="D62" s="395">
        <f t="shared" si="0"/>
        <v>26.318074251804866</v>
      </c>
      <c r="E62" s="387">
        <f t="shared" si="1"/>
        <v>30.051420185114253</v>
      </c>
      <c r="F62" s="387">
        <f t="shared" si="2"/>
        <v>30.45503282455963</v>
      </c>
      <c r="G62" s="110">
        <f t="shared" si="21"/>
        <v>0.93138882049651572</v>
      </c>
      <c r="H62" s="414" t="b">
        <f>Wh_hp&gt;='2020'!Maxi_hp</f>
        <v>0</v>
      </c>
      <c r="I62" s="382">
        <f>IF(H62,Wh_hp,'2020'!Maxi_hp)</f>
        <v>33.211013673025583</v>
      </c>
      <c r="J62" s="85">
        <f>IF(H62,An,'2020'!An_max)</f>
        <v>2019</v>
      </c>
      <c r="K62" s="199">
        <f t="shared" si="3"/>
        <v>44244</v>
      </c>
      <c r="L62" s="147">
        <f>IF(t&lt;Tvie,1-EXP((T0-t)*PertePVj)+'2020'!Pspv,1-EXP((T0-t)*PertePVj)+Pspv)</f>
        <v>2.1432960725315309E-2</v>
      </c>
      <c r="M62" s="870"/>
      <c r="N62" s="870"/>
      <c r="O62" s="48">
        <f>IF(t&lt;Tnet,'2020'!Resal+('2020'!Salim-'2020'!Resal)*(1-EXP(('2020'!Tnet-t)/('2020'!Tau_j))),Resal+(Salim-Resal)*(1-EXP((Tnet-t)/(Tau_j))))*Salcycl</f>
        <v>0.1242319301488012</v>
      </c>
      <c r="P62" s="171">
        <f>(INDEX(Models!$BJ62:$BT62,,T62)*(1-R62)+INDEX(Models!$BJ62:$BT62,,T62+1)*R62-ERP_i)*Q62*Ramure*Pc/MaxiM</f>
        <v>1.4661944387574925E-2</v>
      </c>
      <c r="Q62" s="307">
        <f t="shared" si="4"/>
        <v>1</v>
      </c>
      <c r="R62" s="179">
        <f t="shared" si="5"/>
        <v>0.30548281656448917</v>
      </c>
      <c r="S62" s="837">
        <f t="shared" si="6"/>
        <v>-1</v>
      </c>
      <c r="T62" s="178">
        <f t="shared" si="7"/>
        <v>5</v>
      </c>
      <c r="U62" s="253">
        <f t="shared" si="8"/>
        <v>-0.69451718343551083</v>
      </c>
      <c r="V62" s="385">
        <f t="shared" si="9"/>
        <v>27.611690578572087</v>
      </c>
      <c r="W62" s="404"/>
      <c r="X62" s="157">
        <f t="shared" si="10"/>
        <v>44244</v>
      </c>
      <c r="Y62" s="387">
        <f t="shared" si="11"/>
        <v>25.754000000000001</v>
      </c>
      <c r="Z62" s="387">
        <f t="shared" si="12"/>
        <v>26.318074251804866</v>
      </c>
      <c r="AA62" s="388">
        <f t="shared" si="13"/>
        <v>30.051420185114253</v>
      </c>
      <c r="AB62" s="199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0.1242319301488012</v>
      </c>
      <c r="AD62" s="233">
        <f>(INDEX(Models!$BJ62:$BT62,,AH62)*(1-AF62)+INDEX(Models!$BJ62:$BT62,,AH62+1)*AF62-ERP_i)*AE62*Ramure*Pc/MaxiM</f>
        <v>1.4661944387574925E-2</v>
      </c>
      <c r="AE62" s="307">
        <f t="shared" si="15"/>
        <v>1</v>
      </c>
      <c r="AF62" s="179">
        <f t="shared" si="22"/>
        <v>0.30548281656448917</v>
      </c>
      <c r="AG62" s="837">
        <f t="shared" si="23"/>
        <v>-1</v>
      </c>
      <c r="AH62" s="178">
        <f t="shared" si="16"/>
        <v>5</v>
      </c>
      <c r="AI62" s="227">
        <f t="shared" si="17"/>
        <v>-0.69451718343551083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44245</v>
      </c>
      <c r="B63" s="618">
        <v>12.734</v>
      </c>
      <c r="C63" s="392"/>
      <c r="D63" s="395">
        <f t="shared" si="0"/>
        <v>13.013207919937967</v>
      </c>
      <c r="E63" s="387">
        <f t="shared" si="1"/>
        <v>14.859995327284709</v>
      </c>
      <c r="F63" s="387">
        <f t="shared" si="2"/>
        <v>14.905520802220352</v>
      </c>
      <c r="G63" s="110">
        <f t="shared" si="21"/>
        <v>0.45034858628837021</v>
      </c>
      <c r="H63" s="414" t="b">
        <f>Wh_hp&gt;='2020'!Maxi_hp</f>
        <v>0</v>
      </c>
      <c r="I63" s="382">
        <f>IF(H63,Wh_hp,'2020'!Maxi_hp)</f>
        <v>33.126742104724151</v>
      </c>
      <c r="J63" s="85">
        <f>IF(H63,An,'2020'!An_max)</f>
        <v>2019</v>
      </c>
      <c r="K63" s="199">
        <f t="shared" si="3"/>
        <v>44245</v>
      </c>
      <c r="L63" s="147">
        <f>IF(t&lt;Tvie,1-EXP((T0-t)*PertePVj)+'2020'!Pspv,1-EXP((T0-t)*PertePVj)+Pspv)</f>
        <v>2.1455733409913691E-2</v>
      </c>
      <c r="M63" s="870"/>
      <c r="N63" s="870"/>
      <c r="O63" s="48">
        <f>IF(t&lt;Tnet,'2020'!Resal+('2020'!Salim-'2020'!Resal)*(1-EXP(('2020'!Tnet-t)/('2020'!Tau_j))),Resal+(Salim-Resal)*(1-EXP((Tnet-t)/(Tau_j))))*Salcycl</f>
        <v>0.12427913782421059</v>
      </c>
      <c r="P63" s="171">
        <f>(INDEX(Models!$BJ63:$BT63,,T63)*(1-R63)+INDEX(Models!$BJ63:$BT63,,T63+1)*R63-ERP_i)*Q63*Ramure*Pc/MaxiM</f>
        <v>1.3771913500871822E-2</v>
      </c>
      <c r="Q63" s="307">
        <f t="shared" si="4"/>
        <v>1</v>
      </c>
      <c r="R63" s="179">
        <f t="shared" si="5"/>
        <v>0.30576035074833674</v>
      </c>
      <c r="S63" s="837">
        <f t="shared" si="6"/>
        <v>-1</v>
      </c>
      <c r="T63" s="178">
        <f t="shared" si="7"/>
        <v>5</v>
      </c>
      <c r="U63" s="253">
        <f t="shared" si="8"/>
        <v>-0.69423964925166326</v>
      </c>
      <c r="V63" s="385">
        <f t="shared" si="9"/>
        <v>27.971895068616757</v>
      </c>
      <c r="W63" s="404"/>
      <c r="X63" s="157">
        <f t="shared" si="10"/>
        <v>44245</v>
      </c>
      <c r="Y63" s="387">
        <f t="shared" si="11"/>
        <v>12.734</v>
      </c>
      <c r="Z63" s="387">
        <f t="shared" si="12"/>
        <v>13.013207919937967</v>
      </c>
      <c r="AA63" s="388">
        <f t="shared" si="13"/>
        <v>14.859995327284709</v>
      </c>
      <c r="AB63" s="199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0.12427913782421059</v>
      </c>
      <c r="AD63" s="233">
        <f>(INDEX(Models!$BJ63:$BT63,,AH63)*(1-AF63)+INDEX(Models!$BJ63:$BT63,,AH63+1)*AF63-ERP_i)*AE63*Ramure*Pc/MaxiM</f>
        <v>1.3771913500871822E-2</v>
      </c>
      <c r="AE63" s="307">
        <f t="shared" si="15"/>
        <v>1</v>
      </c>
      <c r="AF63" s="179">
        <f t="shared" si="22"/>
        <v>0.30576035074833674</v>
      </c>
      <c r="AG63" s="837">
        <f t="shared" si="23"/>
        <v>-1</v>
      </c>
      <c r="AH63" s="178">
        <f t="shared" si="16"/>
        <v>5</v>
      </c>
      <c r="AI63" s="227">
        <f t="shared" si="17"/>
        <v>-0.69423964925166326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44246</v>
      </c>
      <c r="B64" s="618">
        <v>27.277000000000001</v>
      </c>
      <c r="C64" s="392"/>
      <c r="D64" s="395">
        <f t="shared" si="0"/>
        <v>27.875729000452338</v>
      </c>
      <c r="E64" s="387">
        <f t="shared" si="1"/>
        <v>31.833462229681114</v>
      </c>
      <c r="F64" s="387">
        <f t="shared" si="2"/>
        <v>32.228087820026474</v>
      </c>
      <c r="G64" s="110">
        <f t="shared" si="21"/>
        <v>0.96198652660691386</v>
      </c>
      <c r="H64" s="414" t="b">
        <f>Wh_hp&gt;='2020'!Maxi_hp</f>
        <v>1</v>
      </c>
      <c r="I64" s="382">
        <f>IF(H64,Wh_hp,'2020'!Maxi_hp)</f>
        <v>32.228087820026474</v>
      </c>
      <c r="J64" s="85">
        <f>IF(H64,An,'2020'!An_max)</f>
        <v>2021</v>
      </c>
      <c r="K64" s="199">
        <f t="shared" si="3"/>
        <v>44246</v>
      </c>
      <c r="L64" s="147">
        <f>IF(t&lt;Tvie,1-EXP((T0-t)*PertePVj)+'2020'!Pspv,1-EXP((T0-t)*PertePVj)+Pspv)</f>
        <v>2.1478505564558437E-2</v>
      </c>
      <c r="M64" s="870"/>
      <c r="N64" s="870"/>
      <c r="O64" s="48">
        <f>IF(t&lt;Tnet,'2020'!Resal+('2020'!Salim-'2020'!Resal)*(1-EXP(('2020'!Tnet-t)/('2020'!Tau_j))),Resal+(Salim-Resal)*(1-EXP((Tnet-t)/(Tau_j))))*Salcycl</f>
        <v>0.1243261948911933</v>
      </c>
      <c r="P64" s="171">
        <f>(INDEX(Models!$BJ64:$BT64,,T64)*(1-R64)+INDEX(Models!$BJ64:$BT64,,T64+1)*R64-ERP_i)*Q64*Ramure*Pc/MaxiM</f>
        <v>1.2934768216483251E-2</v>
      </c>
      <c r="Q64" s="307">
        <f t="shared" si="4"/>
        <v>1</v>
      </c>
      <c r="R64" s="179">
        <f t="shared" si="5"/>
        <v>0.30604929218826937</v>
      </c>
      <c r="S64" s="837">
        <f t="shared" si="6"/>
        <v>-1</v>
      </c>
      <c r="T64" s="178">
        <f t="shared" si="7"/>
        <v>5</v>
      </c>
      <c r="U64" s="253">
        <f t="shared" si="8"/>
        <v>-0.69395070781173063</v>
      </c>
      <c r="V64" s="385">
        <f t="shared" si="9"/>
        <v>28.335059697587493</v>
      </c>
      <c r="W64" s="404"/>
      <c r="X64" s="157">
        <f t="shared" si="10"/>
        <v>44246</v>
      </c>
      <c r="Y64" s="387">
        <f t="shared" si="11"/>
        <v>27.277000000000001</v>
      </c>
      <c r="Z64" s="387">
        <f t="shared" si="12"/>
        <v>27.875729000452338</v>
      </c>
      <c r="AA64" s="388">
        <f t="shared" si="13"/>
        <v>31.833462229681114</v>
      </c>
      <c r="AB64" s="199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0.1243261948911933</v>
      </c>
      <c r="AD64" s="233">
        <f>(INDEX(Models!$BJ64:$BT64,,AH64)*(1-AF64)+INDEX(Models!$BJ64:$BT64,,AH64+1)*AF64-ERP_i)*AE64*Ramure*Pc/MaxiM</f>
        <v>1.2934768216483251E-2</v>
      </c>
      <c r="AE64" s="307">
        <f t="shared" si="15"/>
        <v>1</v>
      </c>
      <c r="AF64" s="179">
        <f t="shared" si="22"/>
        <v>0.30604929218826937</v>
      </c>
      <c r="AG64" s="837">
        <f t="shared" si="23"/>
        <v>-1</v>
      </c>
      <c r="AH64" s="178">
        <f t="shared" si="16"/>
        <v>5</v>
      </c>
      <c r="AI64" s="227">
        <f t="shared" si="17"/>
        <v>-0.69395070781173063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44247</v>
      </c>
      <c r="B65" s="618">
        <v>23.471</v>
      </c>
      <c r="C65" s="392"/>
      <c r="D65" s="395">
        <f t="shared" si="0"/>
        <v>23.986745667464479</v>
      </c>
      <c r="E65" s="387">
        <f t="shared" si="1"/>
        <v>27.393796653736793</v>
      </c>
      <c r="F65" s="387">
        <f t="shared" si="2"/>
        <v>27.642180039836475</v>
      </c>
      <c r="G65" s="110">
        <f t="shared" si="21"/>
        <v>0.81514134376528469</v>
      </c>
      <c r="H65" s="414" t="b">
        <f>Wh_hp&gt;='2020'!Maxi_hp</f>
        <v>0</v>
      </c>
      <c r="I65" s="382">
        <f>IF(H65,Wh_hp,'2020'!Maxi_hp)</f>
        <v>33.595449120875671</v>
      </c>
      <c r="J65" s="85">
        <f>IF(H65,An,'2020'!An_max)</f>
        <v>2020</v>
      </c>
      <c r="K65" s="199">
        <f t="shared" si="3"/>
        <v>44247</v>
      </c>
      <c r="L65" s="147">
        <f>IF(t&lt;Tvie,1-EXP((T0-t)*PertePVj)+'2020'!Pspv,1-EXP((T0-t)*PertePVj)+Pspv)</f>
        <v>2.1501277189261869E-2</v>
      </c>
      <c r="M65" s="870"/>
      <c r="N65" s="870"/>
      <c r="O65" s="48">
        <f>IF(t&lt;Tnet,'2020'!Resal+('2020'!Salim-'2020'!Resal)*(1-EXP(('2020'!Tnet-t)/('2020'!Tau_j))),Resal+(Salim-Resal)*(1-EXP((Tnet-t)/(Tau_j))))*Salcycl</f>
        <v>0.12437308451026836</v>
      </c>
      <c r="P65" s="171">
        <f>(INDEX(Models!$BJ65:$BT65,,T65)*(1-R65)+INDEX(Models!$BJ65:$BT65,,T65+1)*R65-ERP_i)*Q65*Ramure*Pc/MaxiM</f>
        <v>1.214862387006522E-2</v>
      </c>
      <c r="Q65" s="307">
        <f t="shared" si="4"/>
        <v>1</v>
      </c>
      <c r="R65" s="179">
        <f t="shared" si="5"/>
        <v>0.30635009955654369</v>
      </c>
      <c r="S65" s="837">
        <f t="shared" si="6"/>
        <v>-1</v>
      </c>
      <c r="T65" s="178">
        <f t="shared" si="7"/>
        <v>5</v>
      </c>
      <c r="U65" s="253">
        <f t="shared" si="8"/>
        <v>-0.69364990044345631</v>
      </c>
      <c r="V65" s="385">
        <f t="shared" si="9"/>
        <v>28.701880061374869</v>
      </c>
      <c r="W65" s="404"/>
      <c r="X65" s="157">
        <f t="shared" si="10"/>
        <v>44247</v>
      </c>
      <c r="Y65" s="387">
        <f t="shared" si="11"/>
        <v>23.471</v>
      </c>
      <c r="Z65" s="387">
        <f t="shared" si="12"/>
        <v>23.986745667464479</v>
      </c>
      <c r="AA65" s="388">
        <f t="shared" si="13"/>
        <v>27.393796653736793</v>
      </c>
      <c r="AB65" s="199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0.12437308451026836</v>
      </c>
      <c r="AD65" s="233">
        <f>(INDEX(Models!$BJ65:$BT65,,AH65)*(1-AF65)+INDEX(Models!$BJ65:$BT65,,AH65+1)*AF65-ERP_i)*AE65*Ramure*Pc/MaxiM</f>
        <v>1.214862387006522E-2</v>
      </c>
      <c r="AE65" s="307">
        <f t="shared" si="15"/>
        <v>1</v>
      </c>
      <c r="AF65" s="179">
        <f t="shared" si="22"/>
        <v>0.30635009955654369</v>
      </c>
      <c r="AG65" s="837">
        <f t="shared" si="23"/>
        <v>-1</v>
      </c>
      <c r="AH65" s="178">
        <f t="shared" si="16"/>
        <v>5</v>
      </c>
      <c r="AI65" s="227">
        <f t="shared" si="17"/>
        <v>-0.69364990044345631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44248</v>
      </c>
      <c r="B66" s="618">
        <v>9.1300000000000008</v>
      </c>
      <c r="C66" s="392"/>
      <c r="D66" s="395">
        <f t="shared" si="0"/>
        <v>9.3308373946121232</v>
      </c>
      <c r="E66" s="387">
        <f t="shared" si="1"/>
        <v>10.656747740728232</v>
      </c>
      <c r="F66" s="387">
        <f t="shared" si="2"/>
        <v>10.659192962005132</v>
      </c>
      <c r="G66" s="110">
        <f t="shared" si="21"/>
        <v>0.31052747139670817</v>
      </c>
      <c r="H66" s="414" t="b">
        <f>Wh_hp&gt;='2020'!Maxi_hp</f>
        <v>0</v>
      </c>
      <c r="I66" s="382">
        <f>IF(H66,Wh_hp,'2020'!Maxi_hp)</f>
        <v>33.354248852750764</v>
      </c>
      <c r="J66" s="85">
        <f>IF(H66,An,'2020'!An_max)</f>
        <v>2019</v>
      </c>
      <c r="K66" s="199">
        <f t="shared" si="3"/>
        <v>44248</v>
      </c>
      <c r="L66" s="147">
        <f>IF(t&lt;Tvie,1-EXP((T0-t)*PertePVj)+'2020'!Pspv,1-EXP((T0-t)*PertePVj)+Pspv)</f>
        <v>2.1524048284036312E-2</v>
      </c>
      <c r="M66" s="870"/>
      <c r="N66" s="870"/>
      <c r="O66" s="48">
        <f>IF(t&lt;Tnet,'2020'!Resal+('2020'!Salim-'2020'!Resal)*(1-EXP(('2020'!Tnet-t)/('2020'!Tau_j))),Resal+(Salim-Resal)*(1-EXP((Tnet-t)/(Tau_j))))*Salcycl</f>
        <v>0.12441979282747868</v>
      </c>
      <c r="P66" s="171">
        <f>(INDEX(Models!$BJ66:$BT66,,T66)*(1-R66)+INDEX(Models!$BJ66:$BT66,,T66+1)*R66-ERP_i)*Q66*Ramure*Pc/MaxiM</f>
        <v>1.1432087269631705E-2</v>
      </c>
      <c r="Q66" s="307">
        <f t="shared" si="4"/>
        <v>1</v>
      </c>
      <c r="R66" s="179">
        <f t="shared" si="5"/>
        <v>0.30666324910554499</v>
      </c>
      <c r="S66" s="837">
        <f t="shared" si="6"/>
        <v>-1</v>
      </c>
      <c r="T66" s="178">
        <f t="shared" si="7"/>
        <v>5</v>
      </c>
      <c r="U66" s="253">
        <f t="shared" si="8"/>
        <v>-0.69333675089445501</v>
      </c>
      <c r="V66" s="385">
        <f t="shared" si="9"/>
        <v>29.072133161447557</v>
      </c>
      <c r="W66" s="404"/>
      <c r="X66" s="157">
        <f t="shared" si="10"/>
        <v>44248</v>
      </c>
      <c r="Y66" s="387">
        <f t="shared" si="11"/>
        <v>9.1300000000000008</v>
      </c>
      <c r="Z66" s="387">
        <f t="shared" si="12"/>
        <v>9.3308373946121232</v>
      </c>
      <c r="AA66" s="388">
        <f t="shared" si="13"/>
        <v>10.656747740728232</v>
      </c>
      <c r="AB66" s="199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0.12441979282747868</v>
      </c>
      <c r="AD66" s="233">
        <f>(INDEX(Models!$BJ66:$BT66,,AH66)*(1-AF66)+INDEX(Models!$BJ66:$BT66,,AH66+1)*AF66-ERP_i)*AE66*Ramure*Pc/MaxiM</f>
        <v>1.1432087269631705E-2</v>
      </c>
      <c r="AE66" s="307">
        <f t="shared" si="15"/>
        <v>1</v>
      </c>
      <c r="AF66" s="179">
        <f t="shared" si="22"/>
        <v>0.30666324910554499</v>
      </c>
      <c r="AG66" s="837">
        <f t="shared" si="23"/>
        <v>-1</v>
      </c>
      <c r="AH66" s="178">
        <f t="shared" si="16"/>
        <v>5</v>
      </c>
      <c r="AI66" s="227">
        <f t="shared" si="17"/>
        <v>-0.69333675089445501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44249</v>
      </c>
      <c r="B67" s="618">
        <v>7.4939999999999998</v>
      </c>
      <c r="C67" s="392"/>
      <c r="D67" s="395">
        <f t="shared" si="0"/>
        <v>7.6590276820232193</v>
      </c>
      <c r="E67" s="387">
        <f t="shared" si="1"/>
        <v>8.7478389048609078</v>
      </c>
      <c r="F67" s="387">
        <f t="shared" si="2"/>
        <v>8.7478389048609078</v>
      </c>
      <c r="G67" s="110">
        <f t="shared" si="21"/>
        <v>0.25176031016614503</v>
      </c>
      <c r="H67" s="414" t="b">
        <f>Wh_hp&gt;='2020'!Maxi_hp</f>
        <v>0</v>
      </c>
      <c r="I67" s="382">
        <f>IF(H67,Wh_hp,'2020'!Maxi_hp)</f>
        <v>33.45014285747294</v>
      </c>
      <c r="J67" s="85">
        <f>IF(H67,An,'2020'!An_max)</f>
        <v>2020</v>
      </c>
      <c r="K67" s="199">
        <f t="shared" si="3"/>
        <v>44249</v>
      </c>
      <c r="L67" s="147">
        <f>IF(t&lt;Tvie,1-EXP((T0-t)*PertePVj)+'2020'!Pspv,1-EXP((T0-t)*PertePVj)+Pspv)</f>
        <v>2.1546818848894089E-2</v>
      </c>
      <c r="M67" s="870"/>
      <c r="N67" s="870"/>
      <c r="O67" s="48">
        <f>IF(t&lt;Tnet,'2020'!Resal+('2020'!Salim-'2020'!Resal)*(1-EXP(('2020'!Tnet-t)/('2020'!Tau_j))),Resal+(Salim-Resal)*(1-EXP((Tnet-t)/(Tau_j))))*Salcycl</f>
        <v>0.12446630929985103</v>
      </c>
      <c r="P67" s="171">
        <f>(INDEX(Models!$BJ67:$BT67,,T67)*(1-R67)+INDEX(Models!$BJ67:$BT67,,T67+1)*R67-ERP_i)*Q67*Ramure*Pc/MaxiM</f>
        <v>1.0780268101001874E-2</v>
      </c>
      <c r="Q67" s="307">
        <f t="shared" si="4"/>
        <v>1</v>
      </c>
      <c r="R67" s="179">
        <f t="shared" si="5"/>
        <v>0.30698923526824196</v>
      </c>
      <c r="S67" s="837">
        <f t="shared" si="6"/>
        <v>-1</v>
      </c>
      <c r="T67" s="178">
        <f t="shared" si="7"/>
        <v>5</v>
      </c>
      <c r="U67" s="253">
        <f t="shared" si="8"/>
        <v>-0.69301076473175804</v>
      </c>
      <c r="V67" s="385">
        <f t="shared" si="9"/>
        <v>29.445517706738073</v>
      </c>
      <c r="W67" s="404"/>
      <c r="X67" s="157">
        <f t="shared" si="10"/>
        <v>44249</v>
      </c>
      <c r="Y67" s="387">
        <f t="shared" si="11"/>
        <v>7.4940000000000007</v>
      </c>
      <c r="Z67" s="387">
        <f t="shared" si="12"/>
        <v>7.6590276820232202</v>
      </c>
      <c r="AA67" s="388">
        <f t="shared" si="13"/>
        <v>8.7478389048609078</v>
      </c>
      <c r="AB67" s="199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0.12446630929985103</v>
      </c>
      <c r="AD67" s="233">
        <f>(INDEX(Models!$BJ67:$BT67,,AH67)*(1-AF67)+INDEX(Models!$BJ67:$BT67,,AH67+1)*AF67-ERP_i)*AE67*Ramure*Pc/MaxiM</f>
        <v>1.0780268101001874E-2</v>
      </c>
      <c r="AE67" s="307">
        <f t="shared" si="15"/>
        <v>1</v>
      </c>
      <c r="AF67" s="179">
        <f t="shared" si="22"/>
        <v>0.30698923526824196</v>
      </c>
      <c r="AG67" s="837">
        <f t="shared" si="23"/>
        <v>-1</v>
      </c>
      <c r="AH67" s="178">
        <f t="shared" si="16"/>
        <v>5</v>
      </c>
      <c r="AI67" s="227">
        <f t="shared" si="17"/>
        <v>-0.69301076473175804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44250</v>
      </c>
      <c r="B68" s="618">
        <v>24.658000000000001</v>
      </c>
      <c r="C68" s="392"/>
      <c r="D68" s="395">
        <f t="shared" si="0"/>
        <v>25.201587890007616</v>
      </c>
      <c r="E68" s="387">
        <f t="shared" si="1"/>
        <v>28.785781117089073</v>
      </c>
      <c r="F68" s="387">
        <f t="shared" si="2"/>
        <v>29.008283128218181</v>
      </c>
      <c r="G68" s="110">
        <f t="shared" si="21"/>
        <v>0.82474847197778978</v>
      </c>
      <c r="H68" s="414" t="b">
        <f>Wh_hp&gt;='2020'!Maxi_hp</f>
        <v>0</v>
      </c>
      <c r="I68" s="382">
        <f>IF(H68,Wh_hp,'2020'!Maxi_hp)</f>
        <v>34.144564730860488</v>
      </c>
      <c r="J68" s="85">
        <f>IF(H68,An,'2020'!An_max)</f>
        <v>2020</v>
      </c>
      <c r="K68" s="199">
        <f t="shared" si="3"/>
        <v>44250</v>
      </c>
      <c r="L68" s="147">
        <f>IF(t&lt;Tvie,1-EXP((T0-t)*PertePVj)+'2020'!Pspv,1-EXP((T0-t)*PertePVj)+Pspv)</f>
        <v>2.1569588883847524E-2</v>
      </c>
      <c r="M68" s="870"/>
      <c r="N68" s="870"/>
      <c r="O68" s="48">
        <f>IF(t&lt;Tnet,'2020'!Resal+('2020'!Salim-'2020'!Resal)*(1-EXP(('2020'!Tnet-t)/('2020'!Tau_j))),Resal+(Salim-Resal)*(1-EXP((Tnet-t)/(Tau_j))))*Salcycl</f>
        <v>0.12451262699811368</v>
      </c>
      <c r="P68" s="171">
        <f>(INDEX(Models!$BJ68:$BT68,,T68)*(1-R68)+INDEX(Models!$BJ68:$BT68,,T68+1)*R68-ERP_i)*Q68*Ramure*Pc/MaxiM</f>
        <v>1.0191164802674048E-2</v>
      </c>
      <c r="Q68" s="307">
        <f t="shared" si="4"/>
        <v>1</v>
      </c>
      <c r="R68" s="179">
        <f t="shared" si="5"/>
        <v>0.30732857127277102</v>
      </c>
      <c r="S68" s="837">
        <f t="shared" si="6"/>
        <v>-1</v>
      </c>
      <c r="T68" s="178">
        <f t="shared" si="7"/>
        <v>5</v>
      </c>
      <c r="U68" s="253">
        <f t="shared" si="8"/>
        <v>-0.69267142872722898</v>
      </c>
      <c r="V68" s="385">
        <f t="shared" si="9"/>
        <v>29.821649501211652</v>
      </c>
      <c r="W68" s="404"/>
      <c r="X68" s="157">
        <f t="shared" si="10"/>
        <v>44250</v>
      </c>
      <c r="Y68" s="387">
        <f t="shared" si="11"/>
        <v>24.658000000000001</v>
      </c>
      <c r="Z68" s="387">
        <f t="shared" si="12"/>
        <v>25.201587890007616</v>
      </c>
      <c r="AA68" s="388">
        <f t="shared" si="13"/>
        <v>28.785781117089073</v>
      </c>
      <c r="AB68" s="199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0.12451262699811368</v>
      </c>
      <c r="AD68" s="233">
        <f>(INDEX(Models!$BJ68:$BT68,,AH68)*(1-AF68)+INDEX(Models!$BJ68:$BT68,,AH68+1)*AF68-ERP_i)*AE68*Ramure*Pc/MaxiM</f>
        <v>1.0191164802674048E-2</v>
      </c>
      <c r="AE68" s="307">
        <f t="shared" si="15"/>
        <v>1</v>
      </c>
      <c r="AF68" s="179">
        <f t="shared" si="22"/>
        <v>0.30732857127277102</v>
      </c>
      <c r="AG68" s="837">
        <f t="shared" si="23"/>
        <v>-1</v>
      </c>
      <c r="AH68" s="178">
        <f t="shared" si="16"/>
        <v>5</v>
      </c>
      <c r="AI68" s="227">
        <f t="shared" si="17"/>
        <v>-0.69267142872722898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44251</v>
      </c>
      <c r="B69" s="618">
        <v>28.626000000000001</v>
      </c>
      <c r="C69" s="392"/>
      <c r="D69" s="395">
        <f t="shared" si="0"/>
        <v>29.257743687348061</v>
      </c>
      <c r="E69" s="387">
        <f t="shared" si="1"/>
        <v>33.420567570385977</v>
      </c>
      <c r="F69" s="387">
        <f t="shared" si="2"/>
        <v>33.722155735105893</v>
      </c>
      <c r="G69" s="110">
        <f t="shared" si="21"/>
        <v>0.94718814849589394</v>
      </c>
      <c r="H69" s="414" t="b">
        <f>Wh_hp&gt;='2020'!Maxi_hp</f>
        <v>0</v>
      </c>
      <c r="I69" s="382">
        <f>IF(H69,Wh_hp,'2020'!Maxi_hp)</f>
        <v>35.350844224345899</v>
      </c>
      <c r="J69" s="85">
        <f>IF(H69,An,'2020'!An_max)</f>
        <v>2020</v>
      </c>
      <c r="K69" s="199">
        <f t="shared" si="3"/>
        <v>44251</v>
      </c>
      <c r="L69" s="147">
        <f>IF(t&lt;Tvie,1-EXP((T0-t)*PertePVj)+'2020'!Pspv,1-EXP((T0-t)*PertePVj)+Pspv)</f>
        <v>2.159235838890905E-2</v>
      </c>
      <c r="M69" s="870"/>
      <c r="N69" s="870"/>
      <c r="O69" s="48">
        <f>IF(t&lt;Tnet,'2020'!Resal+('2020'!Salim-'2020'!Resal)*(1-EXP(('2020'!Tnet-t)/('2020'!Tau_j))),Resal+(Salim-Resal)*(1-EXP((Tnet-t)/(Tau_j))))*Salcycl</f>
        <v>0.12455874288402581</v>
      </c>
      <c r="P69" s="171">
        <f>(INDEX(Models!$BJ69:$BT69,,T69)*(1-R69)+INDEX(Models!$BJ69:$BT69,,T69+1)*R69-ERP_i)*Q69*Ramure*Pc/MaxiM</f>
        <v>9.6628424756189674E-3</v>
      </c>
      <c r="Q69" s="307">
        <f t="shared" si="4"/>
        <v>1</v>
      </c>
      <c r="R69" s="179">
        <f t="shared" si="5"/>
        <v>0.30768178977087657</v>
      </c>
      <c r="S69" s="837">
        <f t="shared" si="6"/>
        <v>-1</v>
      </c>
      <c r="T69" s="178">
        <f t="shared" si="7"/>
        <v>5</v>
      </c>
      <c r="U69" s="253">
        <f t="shared" si="8"/>
        <v>-0.69231821022912343</v>
      </c>
      <c r="V69" s="385">
        <f t="shared" si="9"/>
        <v>30.200142645577152</v>
      </c>
      <c r="W69" s="404"/>
      <c r="X69" s="157">
        <f t="shared" si="10"/>
        <v>44251</v>
      </c>
      <c r="Y69" s="387">
        <f t="shared" si="11"/>
        <v>28.626000000000001</v>
      </c>
      <c r="Z69" s="387">
        <f t="shared" si="12"/>
        <v>29.257743687348061</v>
      </c>
      <c r="AA69" s="388">
        <f t="shared" si="13"/>
        <v>33.420567570385977</v>
      </c>
      <c r="AB69" s="199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0.12455874288402581</v>
      </c>
      <c r="AD69" s="233">
        <f>(INDEX(Models!$BJ69:$BT69,,AH69)*(1-AF69)+INDEX(Models!$BJ69:$BT69,,AH69+1)*AF69-ERP_i)*AE69*Ramure*Pc/MaxiM</f>
        <v>9.6628424756189674E-3</v>
      </c>
      <c r="AE69" s="307">
        <f t="shared" si="15"/>
        <v>1</v>
      </c>
      <c r="AF69" s="179">
        <f t="shared" si="22"/>
        <v>0.30768178977087657</v>
      </c>
      <c r="AG69" s="837">
        <f t="shared" si="23"/>
        <v>-1</v>
      </c>
      <c r="AH69" s="178">
        <f t="shared" si="16"/>
        <v>5</v>
      </c>
      <c r="AI69" s="227">
        <f t="shared" si="17"/>
        <v>-0.69231821022912343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44252</v>
      </c>
      <c r="B70" s="618">
        <v>27.233000000000001</v>
      </c>
      <c r="C70" s="392"/>
      <c r="D70" s="395">
        <f t="shared" si="0"/>
        <v>27.834649493946483</v>
      </c>
      <c r="E70" s="387">
        <f t="shared" si="1"/>
        <v>31.796661645766552</v>
      </c>
      <c r="F70" s="387">
        <f t="shared" si="2"/>
        <v>32.045194214691783</v>
      </c>
      <c r="G70" s="110">
        <f t="shared" si="21"/>
        <v>0.88924125881198157</v>
      </c>
      <c r="H70" s="414" t="b">
        <f>Wh_hp&gt;='2020'!Maxi_hp</f>
        <v>0</v>
      </c>
      <c r="I70" s="382">
        <f>IF(H70,Wh_hp,'2020'!Maxi_hp)</f>
        <v>35.147494250668068</v>
      </c>
      <c r="J70" s="85">
        <f>IF(H70,An,'2020'!An_max)</f>
        <v>2019</v>
      </c>
      <c r="K70" s="199">
        <f t="shared" si="3"/>
        <v>44252</v>
      </c>
      <c r="L70" s="147">
        <f>IF(t&lt;Tvie,1-EXP((T0-t)*PertePVj)+'2020'!Pspv,1-EXP((T0-t)*PertePVj)+Pspv)</f>
        <v>2.161512736409088E-2</v>
      </c>
      <c r="M70" s="870"/>
      <c r="N70" s="870"/>
      <c r="O70" s="48">
        <f>IF(t&lt;Tnet,'2020'!Resal+('2020'!Salim-'2020'!Resal)*(1-EXP(('2020'!Tnet-t)/('2020'!Tau_j))),Resal+(Salim-Resal)*(1-EXP((Tnet-t)/(Tau_j))))*Salcycl</f>
        <v>0.12460465805999409</v>
      </c>
      <c r="P70" s="171">
        <f>(INDEX(Models!$BJ70:$BT70,,T70)*(1-R70)+INDEX(Models!$BJ70:$BT70,,T70+1)*R70-ERP_i)*Q70*Ramure*Pc/MaxiM</f>
        <v>9.1933821996569836E-3</v>
      </c>
      <c r="Q70" s="307">
        <f t="shared" si="4"/>
        <v>1</v>
      </c>
      <c r="R70" s="179">
        <f t="shared" si="5"/>
        <v>0.30804944347986707</v>
      </c>
      <c r="S70" s="837">
        <f t="shared" si="6"/>
        <v>-1</v>
      </c>
      <c r="T70" s="178">
        <f t="shared" si="7"/>
        <v>5</v>
      </c>
      <c r="U70" s="253">
        <f t="shared" si="8"/>
        <v>-0.69195055652013293</v>
      </c>
      <c r="V70" s="385">
        <f t="shared" si="9"/>
        <v>30.580611290119698</v>
      </c>
      <c r="W70" s="404"/>
      <c r="X70" s="157">
        <f t="shared" si="10"/>
        <v>44252</v>
      </c>
      <c r="Y70" s="387">
        <f t="shared" si="11"/>
        <v>27.233000000000001</v>
      </c>
      <c r="Z70" s="387">
        <f t="shared" si="12"/>
        <v>27.834649493946483</v>
      </c>
      <c r="AA70" s="388">
        <f t="shared" si="13"/>
        <v>31.796661645766552</v>
      </c>
      <c r="AB70" s="199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0.12460465805999409</v>
      </c>
      <c r="AD70" s="233">
        <f>(INDEX(Models!$BJ70:$BT70,,AH70)*(1-AF70)+INDEX(Models!$BJ70:$BT70,,AH70+1)*AF70-ERP_i)*AE70*Ramure*Pc/MaxiM</f>
        <v>9.1933821996569836E-3</v>
      </c>
      <c r="AE70" s="307">
        <f t="shared" si="15"/>
        <v>1</v>
      </c>
      <c r="AF70" s="179">
        <f t="shared" si="22"/>
        <v>0.30804944347986707</v>
      </c>
      <c r="AG70" s="837">
        <f t="shared" si="23"/>
        <v>-1</v>
      </c>
      <c r="AH70" s="178">
        <f t="shared" si="16"/>
        <v>5</v>
      </c>
      <c r="AI70" s="227">
        <f t="shared" si="17"/>
        <v>-0.69195055652013293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44253</v>
      </c>
      <c r="B71" s="618">
        <v>8.0190000000000001</v>
      </c>
      <c r="C71" s="392"/>
      <c r="D71" s="395">
        <f t="shared" si="0"/>
        <v>8.1963518064042074</v>
      </c>
      <c r="E71" s="387">
        <f t="shared" si="1"/>
        <v>9.3635178451028906</v>
      </c>
      <c r="F71" s="387">
        <f t="shared" si="2"/>
        <v>9.3635178451028906</v>
      </c>
      <c r="G71" s="110">
        <f t="shared" si="21"/>
        <v>0.25671513941041169</v>
      </c>
      <c r="H71" s="414" t="b">
        <f>Wh_hp&gt;='2020'!Maxi_hp</f>
        <v>0</v>
      </c>
      <c r="I71" s="382">
        <f>IF(H71,Wh_hp,'2020'!Maxi_hp)</f>
        <v>33.529392075098649</v>
      </c>
      <c r="J71" s="85">
        <f>IF(H71,An,'2020'!An_max)</f>
        <v>2019</v>
      </c>
      <c r="K71" s="199">
        <f t="shared" si="3"/>
        <v>44253</v>
      </c>
      <c r="L71" s="147">
        <f>IF(t&lt;Tvie,1-EXP((T0-t)*PertePVj)+'2020'!Pspv,1-EXP((T0-t)*PertePVj)+Pspv)</f>
        <v>2.163789580940545E-2</v>
      </c>
      <c r="M71" s="870"/>
      <c r="N71" s="870"/>
      <c r="O71" s="48">
        <f>IF(t&lt;Tnet,'2020'!Resal+('2020'!Salim-'2020'!Resal)*(1-EXP(('2020'!Tnet-t)/('2020'!Tau_j))),Resal+(Salim-Resal)*(1-EXP((Tnet-t)/(Tau_j))))*Salcycl</f>
        <v>0.12465037798898529</v>
      </c>
      <c r="P71" s="171">
        <f>(INDEX(Models!$BJ71:$BT71,,T71)*(1-R71)+INDEX(Models!$BJ71:$BT71,,T71+1)*R71-ERP_i)*Q71*Ramure*Pc/MaxiM</f>
        <v>8.7808893805332734E-3</v>
      </c>
      <c r="Q71" s="307">
        <f t="shared" si="4"/>
        <v>1</v>
      </c>
      <c r="R71" s="179">
        <f t="shared" si="5"/>
        <v>0.30843210583765857</v>
      </c>
      <c r="S71" s="837">
        <f t="shared" si="6"/>
        <v>-1</v>
      </c>
      <c r="T71" s="178">
        <f t="shared" si="7"/>
        <v>5</v>
      </c>
      <c r="U71" s="253">
        <f t="shared" si="8"/>
        <v>-0.69156789416234143</v>
      </c>
      <c r="V71" s="385">
        <f t="shared" si="9"/>
        <v>30.962669620158479</v>
      </c>
      <c r="W71" s="404"/>
      <c r="X71" s="157">
        <f t="shared" si="10"/>
        <v>44253</v>
      </c>
      <c r="Y71" s="387">
        <f t="shared" si="11"/>
        <v>8.0190000000000001</v>
      </c>
      <c r="Z71" s="387">
        <f t="shared" si="12"/>
        <v>8.1963518064042074</v>
      </c>
      <c r="AA71" s="388">
        <f t="shared" si="13"/>
        <v>9.3635178451028906</v>
      </c>
      <c r="AB71" s="199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0.12465037798898529</v>
      </c>
      <c r="AD71" s="233">
        <f>(INDEX(Models!$BJ71:$BT71,,AH71)*(1-AF71)+INDEX(Models!$BJ71:$BT71,,AH71+1)*AF71-ERP_i)*AE71*Ramure*Pc/MaxiM</f>
        <v>8.7808893805332734E-3</v>
      </c>
      <c r="AE71" s="307">
        <f t="shared" si="15"/>
        <v>1</v>
      </c>
      <c r="AF71" s="179">
        <f t="shared" si="22"/>
        <v>0.30843210583765857</v>
      </c>
      <c r="AG71" s="837">
        <f t="shared" si="23"/>
        <v>-1</v>
      </c>
      <c r="AH71" s="178">
        <f t="shared" si="16"/>
        <v>5</v>
      </c>
      <c r="AI71" s="227">
        <f t="shared" si="17"/>
        <v>-0.69156789416234143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44254</v>
      </c>
      <c r="B72" s="618">
        <v>30.206</v>
      </c>
      <c r="C72" s="392"/>
      <c r="D72" s="395">
        <f t="shared" si="0"/>
        <v>30.874767966505711</v>
      </c>
      <c r="E72" s="387">
        <f t="shared" si="1"/>
        <v>35.27319067039555</v>
      </c>
      <c r="F72" s="387">
        <f t="shared" si="2"/>
        <v>35.557452957047893</v>
      </c>
      <c r="G72" s="110">
        <f t="shared" si="21"/>
        <v>0.96321703836689387</v>
      </c>
      <c r="H72" s="414" t="b">
        <f>Wh_hp&gt;='2020'!Maxi_hp</f>
        <v>0</v>
      </c>
      <c r="I72" s="382">
        <f>IF(H72,Wh_hp,'2020'!Maxi_hp)</f>
        <v>35.744529564271296</v>
      </c>
      <c r="J72" s="85">
        <f>IF(H72,An,'2020'!An_max)</f>
        <v>2019</v>
      </c>
      <c r="K72" s="199">
        <f t="shared" si="3"/>
        <v>44254</v>
      </c>
      <c r="L72" s="147">
        <f>IF(t&lt;Tvie,1-EXP((T0-t)*PertePVj)+'2020'!Pspv,1-EXP((T0-t)*PertePVj)+Pspv)</f>
        <v>2.166066372486497E-2</v>
      </c>
      <c r="M72" s="870"/>
      <c r="N72" s="870"/>
      <c r="O72" s="48">
        <f>IF(t&lt;Tnet,'2020'!Resal+('2020'!Salim-'2020'!Resal)*(1-EXP(('2020'!Tnet-t)/('2020'!Tau_j))),Resal+(Salim-Resal)*(1-EXP((Tnet-t)/(Tau_j))))*Salcycl</f>
        <v>0.12469591268309595</v>
      </c>
      <c r="P72" s="171">
        <f>(INDEX(Models!$BJ72:$BT72,,T72)*(1-R72)+INDEX(Models!$BJ72:$BT72,,T72+1)*R72-ERP_i)*Q72*Ramure*Pc/MaxiM</f>
        <v>8.432424411925413E-3</v>
      </c>
      <c r="Q72" s="307">
        <f t="shared" si="4"/>
        <v>1</v>
      </c>
      <c r="R72" s="179">
        <f t="shared" si="5"/>
        <v>0.30883037167039273</v>
      </c>
      <c r="S72" s="837">
        <f t="shared" si="6"/>
        <v>-1</v>
      </c>
      <c r="T72" s="178">
        <f t="shared" si="7"/>
        <v>5</v>
      </c>
      <c r="U72" s="253">
        <f t="shared" si="8"/>
        <v>-0.69116962832960727</v>
      </c>
      <c r="V72" s="385">
        <f t="shared" si="9"/>
        <v>31.345649769063609</v>
      </c>
      <c r="W72" s="404"/>
      <c r="X72" s="157">
        <f t="shared" si="10"/>
        <v>44254</v>
      </c>
      <c r="Y72" s="387">
        <f t="shared" si="11"/>
        <v>30.206</v>
      </c>
      <c r="Z72" s="387">
        <f t="shared" si="12"/>
        <v>30.874767966505711</v>
      </c>
      <c r="AA72" s="388">
        <f t="shared" si="13"/>
        <v>35.27319067039555</v>
      </c>
      <c r="AB72" s="199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0.12469591268309595</v>
      </c>
      <c r="AD72" s="233">
        <f>(INDEX(Models!$BJ72:$BT72,,AH72)*(1-AF72)+INDEX(Models!$BJ72:$BT72,,AH72+1)*AF72-ERP_i)*AE72*Ramure*Pc/MaxiM</f>
        <v>8.432424411925413E-3</v>
      </c>
      <c r="AE72" s="307">
        <f t="shared" si="15"/>
        <v>1</v>
      </c>
      <c r="AF72" s="179">
        <f t="shared" si="22"/>
        <v>0.30883037167039273</v>
      </c>
      <c r="AG72" s="837">
        <f t="shared" si="23"/>
        <v>-1</v>
      </c>
      <c r="AH72" s="178">
        <f t="shared" si="16"/>
        <v>5</v>
      </c>
      <c r="AI72" s="227">
        <f t="shared" si="17"/>
        <v>-0.69116962832960727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44255</v>
      </c>
      <c r="B73" s="618">
        <v>26.405999999999999</v>
      </c>
      <c r="C73" s="392"/>
      <c r="D73" s="395">
        <f t="shared" si="0"/>
        <v>26.991263196097464</v>
      </c>
      <c r="E73" s="387">
        <f t="shared" si="1"/>
        <v>30.838039636155113</v>
      </c>
      <c r="F73" s="387">
        <f t="shared" si="2"/>
        <v>31.029574101907489</v>
      </c>
      <c r="G73" s="110">
        <f t="shared" si="21"/>
        <v>0.83057877958607762</v>
      </c>
      <c r="H73" s="414" t="b">
        <f>Wh_hp&gt;='2020'!Maxi_hp</f>
        <v>0</v>
      </c>
      <c r="I73" s="382">
        <f>IF(H73,Wh_hp,'2020'!Maxi_hp)</f>
        <v>31.141884828687509</v>
      </c>
      <c r="J73" s="85">
        <f>IF(H73,An,'2020'!An_max)</f>
        <v>2019</v>
      </c>
      <c r="K73" s="199">
        <f t="shared" si="3"/>
        <v>44255</v>
      </c>
      <c r="L73" s="147">
        <f>IF(t&lt;Tvie,1-EXP((T0-t)*PertePVj)+'2020'!Pspv,1-EXP((T0-t)*PertePVj)+Pspv)</f>
        <v>2.1683431110481877E-2</v>
      </c>
      <c r="M73" s="870"/>
      <c r="N73" s="870"/>
      <c r="O73" s="48">
        <f>IF(t&lt;Tnet,'2020'!Resal+('2020'!Salim-'2020'!Resal)*(1-EXP(('2020'!Tnet-t)/('2020'!Tau_j))),Resal+(Salim-Resal)*(1-EXP((Tnet-t)/(Tau_j))))*Salcycl</f>
        <v>0.12474127685949321</v>
      </c>
      <c r="P73" s="171">
        <f>(INDEX(Models!$BJ73:$BT73,,T73)*(1-R73)+INDEX(Models!$BJ73:$BT73,,T73+1)*R73-ERP_i)*Q73*Ramure*Pc/MaxiM</f>
        <v>8.1187179199560169E-3</v>
      </c>
      <c r="Q73" s="307">
        <f t="shared" si="4"/>
        <v>1</v>
      </c>
      <c r="R73" s="179">
        <f t="shared" si="5"/>
        <v>0.30924485787201539</v>
      </c>
      <c r="S73" s="837">
        <f t="shared" si="6"/>
        <v>-1</v>
      </c>
      <c r="T73" s="178">
        <f t="shared" si="7"/>
        <v>5</v>
      </c>
      <c r="U73" s="253">
        <f t="shared" si="8"/>
        <v>-0.69075514212798461</v>
      </c>
      <c r="V73" s="385">
        <f t="shared" si="9"/>
        <v>31.73003381268764</v>
      </c>
      <c r="W73" s="404"/>
      <c r="X73" s="157">
        <f t="shared" si="10"/>
        <v>44255</v>
      </c>
      <c r="Y73" s="387">
        <f t="shared" si="11"/>
        <v>26.405999999999999</v>
      </c>
      <c r="Z73" s="387">
        <f t="shared" si="12"/>
        <v>26.991263196097464</v>
      </c>
      <c r="AA73" s="388">
        <f t="shared" si="13"/>
        <v>30.838039636155113</v>
      </c>
      <c r="AB73" s="199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0.12474127685949321</v>
      </c>
      <c r="AD73" s="233">
        <f>(INDEX(Models!$BJ73:$BT73,,AH73)*(1-AF73)+INDEX(Models!$BJ73:$BT73,,AH73+1)*AF73-ERP_i)*AE73*Ramure*Pc/MaxiM</f>
        <v>8.1187179199560169E-3</v>
      </c>
      <c r="AE73" s="307">
        <f t="shared" si="15"/>
        <v>1</v>
      </c>
      <c r="AF73" s="179">
        <f t="shared" si="22"/>
        <v>0.30924485787201539</v>
      </c>
      <c r="AG73" s="837">
        <f t="shared" si="23"/>
        <v>-1</v>
      </c>
      <c r="AH73" s="178">
        <f t="shared" si="16"/>
        <v>5</v>
      </c>
      <c r="AI73" s="227">
        <f t="shared" si="17"/>
        <v>-0.69075514212798461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44256</v>
      </c>
      <c r="B74" s="618">
        <v>28.622</v>
      </c>
      <c r="C74" s="392"/>
      <c r="D74" s="395">
        <f t="shared" si="0"/>
        <v>29.257059525981862</v>
      </c>
      <c r="E74" s="387">
        <f t="shared" si="1"/>
        <v>33.428482528887521</v>
      </c>
      <c r="F74" s="387">
        <f t="shared" si="2"/>
        <v>33.651274550075208</v>
      </c>
      <c r="G74" s="110">
        <f t="shared" si="21"/>
        <v>0.89012975845594533</v>
      </c>
      <c r="H74" s="414" t="b">
        <f>Wh_hp&gt;='2020'!Maxi_hp</f>
        <v>1</v>
      </c>
      <c r="I74" s="382">
        <f>IF(H74,Wh_hp,'2020'!Maxi_hp)</f>
        <v>33.651274550075208</v>
      </c>
      <c r="J74" s="85">
        <f>IF(H74,An,'2020'!An_max)</f>
        <v>2021</v>
      </c>
      <c r="K74" s="199">
        <f t="shared" si="3"/>
        <v>44256</v>
      </c>
      <c r="L74" s="147">
        <f>IF(t&lt;Tvie,1-EXP((T0-t)*PertePVj)+'2020'!Pspv,1-EXP((T0-t)*PertePVj)+Pspv)</f>
        <v>2.1706197966268492E-2</v>
      </c>
      <c r="M74" s="870"/>
      <c r="N74" s="870"/>
      <c r="O74" s="48">
        <f>IF(t&lt;Tnet,'2020'!Resal+('2020'!Salim-'2020'!Resal)*(1-EXP(('2020'!Tnet-t)/('2020'!Tau_j))),Resal+(Salim-Resal)*(1-EXP((Tnet-t)/(Tau_j))))*Salcycl</f>
        <v>0.12478649006280455</v>
      </c>
      <c r="P74" s="171">
        <f>(INDEX(Models!$BJ74:$BT74,,T74)*(1-R74)+INDEX(Models!$BJ74:$BT74,,T74+1)*R74-ERP_i)*Q74*Ramure*Pc/MaxiM</f>
        <v>7.8387195965275765E-3</v>
      </c>
      <c r="Q74" s="307">
        <f t="shared" si="4"/>
        <v>1</v>
      </c>
      <c r="R74" s="179">
        <f t="shared" si="5"/>
        <v>0.30967620409509766</v>
      </c>
      <c r="S74" s="837">
        <f t="shared" si="6"/>
        <v>-1</v>
      </c>
      <c r="T74" s="178">
        <f t="shared" si="7"/>
        <v>5</v>
      </c>
      <c r="U74" s="253">
        <f t="shared" si="8"/>
        <v>-0.69032379590490234</v>
      </c>
      <c r="V74" s="385">
        <f t="shared" si="9"/>
        <v>32.115433373159092</v>
      </c>
      <c r="W74" s="404"/>
      <c r="X74" s="157">
        <f t="shared" si="10"/>
        <v>44256</v>
      </c>
      <c r="Y74" s="387">
        <f t="shared" si="11"/>
        <v>28.622000000000003</v>
      </c>
      <c r="Z74" s="387">
        <f t="shared" si="12"/>
        <v>29.257059525981866</v>
      </c>
      <c r="AA74" s="388">
        <f t="shared" si="13"/>
        <v>33.428482528887521</v>
      </c>
      <c r="AB74" s="199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0.12478649006280455</v>
      </c>
      <c r="AD74" s="233">
        <f>(INDEX(Models!$BJ74:$BT74,,AH74)*(1-AF74)+INDEX(Models!$BJ74:$BT74,,AH74+1)*AF74-ERP_i)*AE74*Ramure*Pc/MaxiM</f>
        <v>7.8387195965275765E-3</v>
      </c>
      <c r="AE74" s="307">
        <f t="shared" si="15"/>
        <v>1</v>
      </c>
      <c r="AF74" s="179">
        <f t="shared" si="22"/>
        <v>0.30967620409509766</v>
      </c>
      <c r="AG74" s="837">
        <f t="shared" si="23"/>
        <v>-1</v>
      </c>
      <c r="AH74" s="178">
        <f t="shared" si="16"/>
        <v>5</v>
      </c>
      <c r="AI74" s="227">
        <f t="shared" si="17"/>
        <v>-0.69032379590490234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44257</v>
      </c>
      <c r="B75" s="618">
        <v>13.72</v>
      </c>
      <c r="C75" s="392"/>
      <c r="D75" s="395">
        <f t="shared" si="0"/>
        <v>14.024743142961203</v>
      </c>
      <c r="E75" s="387">
        <f t="shared" si="1"/>
        <v>16.025193289005664</v>
      </c>
      <c r="F75" s="387">
        <f t="shared" si="2"/>
        <v>16.046447387930204</v>
      </c>
      <c r="G75" s="110">
        <f t="shared" si="21"/>
        <v>0.41948591156052512</v>
      </c>
      <c r="H75" s="414" t="b">
        <f>Wh_hp&gt;='2020'!Maxi_hp</f>
        <v>0</v>
      </c>
      <c r="I75" s="382">
        <f>IF(H75,Wh_hp,'2020'!Maxi_hp)</f>
        <v>26.22963515117911</v>
      </c>
      <c r="J75" s="85">
        <f>IF(H75,An,'2020'!An_max)</f>
        <v>2020</v>
      </c>
      <c r="K75" s="199">
        <f t="shared" si="3"/>
        <v>44257</v>
      </c>
      <c r="L75" s="147">
        <f>IF(t&lt;Tvie,1-EXP((T0-t)*PertePVj)+'2020'!Pspv,1-EXP((T0-t)*PertePVj)+Pspv)</f>
        <v>2.1728964292237141E-2</v>
      </c>
      <c r="M75" s="870"/>
      <c r="N75" s="870"/>
      <c r="O75" s="48">
        <f>IF(t&lt;Tnet,'2020'!Resal+('2020'!Salim-'2020'!Resal)*(1-EXP(('2020'!Tnet-t)/('2020'!Tau_j))),Resal+(Salim-Resal)*(1-EXP((Tnet-t)/(Tau_j))))*Salcycl</f>
        <v>0.12483157675339239</v>
      </c>
      <c r="P75" s="171">
        <f>(INDEX(Models!$BJ75:$BT75,,T75)*(1-R75)+INDEX(Models!$BJ75:$BT75,,T75+1)*R75-ERP_i)*Q75*Ramure*Pc/MaxiM</f>
        <v>7.5914042265787726E-3</v>
      </c>
      <c r="Q75" s="307">
        <f t="shared" si="4"/>
        <v>1</v>
      </c>
      <c r="R75" s="179">
        <f t="shared" si="5"/>
        <v>0.31012507345206386</v>
      </c>
      <c r="S75" s="837">
        <f t="shared" si="6"/>
        <v>-1</v>
      </c>
      <c r="T75" s="178">
        <f t="shared" si="7"/>
        <v>5</v>
      </c>
      <c r="U75" s="253">
        <f t="shared" si="8"/>
        <v>-0.68987492654793614</v>
      </c>
      <c r="V75" s="385">
        <f t="shared" si="9"/>
        <v>32.501459899093497</v>
      </c>
      <c r="W75" s="404"/>
      <c r="X75" s="157">
        <f t="shared" si="10"/>
        <v>44257</v>
      </c>
      <c r="Y75" s="387">
        <f t="shared" si="11"/>
        <v>13.720000000000002</v>
      </c>
      <c r="Z75" s="387">
        <f t="shared" si="12"/>
        <v>14.024743142961205</v>
      </c>
      <c r="AA75" s="388">
        <f t="shared" si="13"/>
        <v>16.025193289005664</v>
      </c>
      <c r="AB75" s="199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0.12483157675339239</v>
      </c>
      <c r="AD75" s="233">
        <f>(INDEX(Models!$BJ75:$BT75,,AH75)*(1-AF75)+INDEX(Models!$BJ75:$BT75,,AH75+1)*AF75-ERP_i)*AE75*Ramure*Pc/MaxiM</f>
        <v>7.5914042265787726E-3</v>
      </c>
      <c r="AE75" s="307">
        <f t="shared" si="15"/>
        <v>1</v>
      </c>
      <c r="AF75" s="179">
        <f t="shared" si="22"/>
        <v>0.31012507345206386</v>
      </c>
      <c r="AG75" s="837">
        <f t="shared" si="23"/>
        <v>-1</v>
      </c>
      <c r="AH75" s="178">
        <f t="shared" si="16"/>
        <v>5</v>
      </c>
      <c r="AI75" s="227">
        <f t="shared" si="17"/>
        <v>-0.68987492654793614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44258</v>
      </c>
      <c r="B76" s="618">
        <v>15.528</v>
      </c>
      <c r="C76" s="392"/>
      <c r="D76" s="395">
        <f t="shared" si="0"/>
        <v>15.873271108778141</v>
      </c>
      <c r="E76" s="387">
        <f t="shared" si="1"/>
        <v>18.138322548144281</v>
      </c>
      <c r="F76" s="387">
        <f t="shared" si="2"/>
        <v>18.171284043882078</v>
      </c>
      <c r="G76" s="110">
        <f t="shared" si="21"/>
        <v>0.46952104307679038</v>
      </c>
      <c r="H76" s="414" t="b">
        <f>Wh_hp&gt;='2020'!Maxi_hp</f>
        <v>0</v>
      </c>
      <c r="I76" s="382">
        <f>IF(H76,Wh_hp,'2020'!Maxi_hp)</f>
        <v>33.306817170948804</v>
      </c>
      <c r="J76" s="85">
        <f>IF(H76,An,'2020'!An_max)</f>
        <v>2019</v>
      </c>
      <c r="K76" s="199">
        <f t="shared" si="3"/>
        <v>44258</v>
      </c>
      <c r="L76" s="147">
        <f>IF(t&lt;Tvie,1-EXP((T0-t)*PertePVj)+'2020'!Pspv,1-EXP((T0-t)*PertePVj)+Pspv)</f>
        <v>2.1751730088400034E-2</v>
      </c>
      <c r="M76" s="870"/>
      <c r="N76" s="870"/>
      <c r="O76" s="48">
        <f>IF(t&lt;Tnet,'2020'!Resal+('2020'!Salim-'2020'!Resal)*(1-EXP(('2020'!Tnet-t)/('2020'!Tau_j))),Resal+(Salim-Resal)*(1-EXP((Tnet-t)/(Tau_j))))*Salcycl</f>
        <v>0.12487656636130749</v>
      </c>
      <c r="P76" s="171">
        <f>(INDEX(Models!$BJ76:$BT76,,T76)*(1-R76)+INDEX(Models!$BJ76:$BT76,,T76+1)*R76-ERP_i)*Q76*Ramure*Pc/MaxiM</f>
        <v>7.3757747036555174E-3</v>
      </c>
      <c r="Q76" s="307">
        <f t="shared" si="4"/>
        <v>1</v>
      </c>
      <c r="R76" s="179">
        <f t="shared" si="5"/>
        <v>0.31059215322586498</v>
      </c>
      <c r="S76" s="837">
        <f t="shared" si="6"/>
        <v>-1</v>
      </c>
      <c r="T76" s="178">
        <f t="shared" si="7"/>
        <v>5</v>
      </c>
      <c r="U76" s="253">
        <f t="shared" si="8"/>
        <v>-0.68940784677413502</v>
      </c>
      <c r="V76" s="385">
        <f t="shared" si="9"/>
        <v>32.887724649160596</v>
      </c>
      <c r="W76" s="404"/>
      <c r="X76" s="157">
        <f t="shared" si="10"/>
        <v>44258</v>
      </c>
      <c r="Y76" s="387">
        <f t="shared" si="11"/>
        <v>15.528</v>
      </c>
      <c r="Z76" s="387">
        <f t="shared" si="12"/>
        <v>15.873271108778141</v>
      </c>
      <c r="AA76" s="388">
        <f t="shared" si="13"/>
        <v>18.138322548144281</v>
      </c>
      <c r="AB76" s="199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0.12487656636130749</v>
      </c>
      <c r="AD76" s="233">
        <f>(INDEX(Models!$BJ76:$BT76,,AH76)*(1-AF76)+INDEX(Models!$BJ76:$BT76,,AH76+1)*AF76-ERP_i)*AE76*Ramure*Pc/MaxiM</f>
        <v>7.3757747036555174E-3</v>
      </c>
      <c r="AE76" s="307">
        <f t="shared" si="15"/>
        <v>1</v>
      </c>
      <c r="AF76" s="179">
        <f t="shared" si="22"/>
        <v>0.31059215322586498</v>
      </c>
      <c r="AG76" s="837">
        <f t="shared" si="23"/>
        <v>-1</v>
      </c>
      <c r="AH76" s="178">
        <f t="shared" si="16"/>
        <v>5</v>
      </c>
      <c r="AI76" s="227">
        <f t="shared" si="17"/>
        <v>-0.68940784677413502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44259</v>
      </c>
      <c r="B77" s="618">
        <v>25.321000000000002</v>
      </c>
      <c r="C77" s="392"/>
      <c r="D77" s="395">
        <f t="shared" si="0"/>
        <v>25.884624638961014</v>
      </c>
      <c r="E77" s="387">
        <f t="shared" si="1"/>
        <v>29.579774204206601</v>
      </c>
      <c r="F77" s="387">
        <f t="shared" si="2"/>
        <v>29.720518011114656</v>
      </c>
      <c r="G77" s="110">
        <f t="shared" si="21"/>
        <v>0.75911090680580628</v>
      </c>
      <c r="H77" s="414" t="b">
        <f>Wh_hp&gt;='2020'!Maxi_hp</f>
        <v>1</v>
      </c>
      <c r="I77" s="382">
        <f>IF(H77,Wh_hp,'2020'!Maxi_hp)</f>
        <v>29.720518011114656</v>
      </c>
      <c r="J77" s="85">
        <f>IF(H77,An,'2020'!An_max)</f>
        <v>2021</v>
      </c>
      <c r="K77" s="199">
        <f t="shared" si="3"/>
        <v>44259</v>
      </c>
      <c r="L77" s="147">
        <f>IF(t&lt;Tvie,1-EXP((T0-t)*PertePVj)+'2020'!Pspv,1-EXP((T0-t)*PertePVj)+Pspv)</f>
        <v>2.1774495354769607E-2</v>
      </c>
      <c r="M77" s="870"/>
      <c r="N77" s="870"/>
      <c r="O77" s="48">
        <f>IF(t&lt;Tnet,'2020'!Resal+('2020'!Salim-'2020'!Resal)*(1-EXP(('2020'!Tnet-t)/('2020'!Tau_j))),Resal+(Salim-Resal)*(1-EXP((Tnet-t)/(Tau_j))))*Salcycl</f>
        <v>0.12492149330606082</v>
      </c>
      <c r="P77" s="171">
        <f>(INDEX(Models!$BJ77:$BT77,,T77)*(1-R77)+INDEX(Models!$BJ77:$BT77,,T77+1)*R77-ERP_i)*Q77*Ramure*Pc/MaxiM</f>
        <v>7.1908645935172101E-3</v>
      </c>
      <c r="Q77" s="307">
        <f t="shared" si="4"/>
        <v>1</v>
      </c>
      <c r="R77" s="179">
        <f t="shared" si="5"/>
        <v>0.31107815558900254</v>
      </c>
      <c r="S77" s="837">
        <f t="shared" si="6"/>
        <v>-1</v>
      </c>
      <c r="T77" s="178">
        <f t="shared" si="7"/>
        <v>5</v>
      </c>
      <c r="U77" s="253">
        <f t="shared" si="8"/>
        <v>-0.68892184441099746</v>
      </c>
      <c r="V77" s="385">
        <f t="shared" si="9"/>
        <v>33.273838681177772</v>
      </c>
      <c r="W77" s="404"/>
      <c r="X77" s="157">
        <f t="shared" si="10"/>
        <v>44259</v>
      </c>
      <c r="Y77" s="387">
        <f t="shared" si="11"/>
        <v>25.321000000000002</v>
      </c>
      <c r="Z77" s="387">
        <f t="shared" si="12"/>
        <v>25.884624638961014</v>
      </c>
      <c r="AA77" s="388">
        <f t="shared" si="13"/>
        <v>29.579774204206601</v>
      </c>
      <c r="AB77" s="199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0.12492149330606082</v>
      </c>
      <c r="AD77" s="233">
        <f>(INDEX(Models!$BJ77:$BT77,,AH77)*(1-AF77)+INDEX(Models!$BJ77:$BT77,,AH77+1)*AF77-ERP_i)*AE77*Ramure*Pc/MaxiM</f>
        <v>7.1908645935172101E-3</v>
      </c>
      <c r="AE77" s="307">
        <f t="shared" si="15"/>
        <v>1</v>
      </c>
      <c r="AF77" s="179">
        <f t="shared" si="22"/>
        <v>0.31107815558900254</v>
      </c>
      <c r="AG77" s="837">
        <f t="shared" si="23"/>
        <v>-1</v>
      </c>
      <c r="AH77" s="178">
        <f t="shared" si="16"/>
        <v>5</v>
      </c>
      <c r="AI77" s="227">
        <f t="shared" si="17"/>
        <v>-0.68892184441099746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44260</v>
      </c>
      <c r="B78" s="618">
        <v>26.384</v>
      </c>
      <c r="C78" s="392"/>
      <c r="D78" s="395">
        <f t="shared" si="0"/>
        <v>26.971913820711752</v>
      </c>
      <c r="E78" s="387">
        <f t="shared" si="1"/>
        <v>30.823860623988189</v>
      </c>
      <c r="F78" s="387">
        <f t="shared" si="2"/>
        <v>30.974496566343859</v>
      </c>
      <c r="G78" s="110">
        <f t="shared" si="21"/>
        <v>0.78214080445917611</v>
      </c>
      <c r="H78" s="414" t="b">
        <f>Wh_hp&gt;='2020'!Maxi_hp</f>
        <v>0</v>
      </c>
      <c r="I78" s="382">
        <f>IF(H78,Wh_hp,'2020'!Maxi_hp)</f>
        <v>38.596496043622651</v>
      </c>
      <c r="J78" s="85">
        <f>IF(H78,An,'2020'!An_max)</f>
        <v>2019</v>
      </c>
      <c r="K78" s="199">
        <f t="shared" si="3"/>
        <v>44260</v>
      </c>
      <c r="L78" s="147">
        <f>IF(t&lt;Tvie,1-EXP((T0-t)*PertePVj)+'2020'!Pspv,1-EXP((T0-t)*PertePVj)+Pspv)</f>
        <v>2.1797260091358184E-2</v>
      </c>
      <c r="M78" s="870"/>
      <c r="N78" s="870"/>
      <c r="O78" s="48">
        <f>IF(t&lt;Tnet,'2020'!Resal+('2020'!Salim-'2020'!Resal)*(1-EXP(('2020'!Tnet-t)/('2020'!Tau_j))),Resal+(Salim-Resal)*(1-EXP((Tnet-t)/(Tau_j))))*Salcycl</f>
        <v>0.12496639698269076</v>
      </c>
      <c r="P78" s="171">
        <f>(INDEX(Models!$BJ78:$BT78,,T78)*(1-R78)+INDEX(Models!$BJ78:$BT78,,T78+1)*R78-ERP_i)*Q78*Ramure*Pc/MaxiM</f>
        <v>7.0357402940240841E-3</v>
      </c>
      <c r="Q78" s="307">
        <f t="shared" si="4"/>
        <v>1</v>
      </c>
      <c r="R78" s="179">
        <f t="shared" si="5"/>
        <v>0.31158381832965643</v>
      </c>
      <c r="S78" s="837">
        <f t="shared" si="6"/>
        <v>-1</v>
      </c>
      <c r="T78" s="178">
        <f t="shared" si="7"/>
        <v>5</v>
      </c>
      <c r="U78" s="253">
        <f t="shared" si="8"/>
        <v>-0.68841618167034357</v>
      </c>
      <c r="V78" s="385">
        <f t="shared" si="9"/>
        <v>33.659412835398911</v>
      </c>
      <c r="W78" s="404"/>
      <c r="X78" s="157">
        <f t="shared" si="10"/>
        <v>44260</v>
      </c>
      <c r="Y78" s="387">
        <f t="shared" si="11"/>
        <v>26.384</v>
      </c>
      <c r="Z78" s="387">
        <f t="shared" si="12"/>
        <v>26.971913820711752</v>
      </c>
      <c r="AA78" s="388">
        <f t="shared" si="13"/>
        <v>30.823860623988189</v>
      </c>
      <c r="AB78" s="199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0.12496639698269076</v>
      </c>
      <c r="AD78" s="233">
        <f>(INDEX(Models!$BJ78:$BT78,,AH78)*(1-AF78)+INDEX(Models!$BJ78:$BT78,,AH78+1)*AF78-ERP_i)*AE78*Ramure*Pc/MaxiM</f>
        <v>7.0357402940240841E-3</v>
      </c>
      <c r="AE78" s="307">
        <f t="shared" si="15"/>
        <v>1</v>
      </c>
      <c r="AF78" s="179">
        <f t="shared" si="22"/>
        <v>0.31158381832965643</v>
      </c>
      <c r="AG78" s="837">
        <f t="shared" si="23"/>
        <v>-1</v>
      </c>
      <c r="AH78" s="178">
        <f t="shared" si="16"/>
        <v>5</v>
      </c>
      <c r="AI78" s="227">
        <f t="shared" si="17"/>
        <v>-0.68841618167034357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44261</v>
      </c>
      <c r="B79" s="618">
        <v>9.8759999999999994</v>
      </c>
      <c r="C79" s="392"/>
      <c r="D79" s="395">
        <f t="shared" ref="D79:D142" si="24">Wh/(1-Ppv)</f>
        <v>10.096301545034382</v>
      </c>
      <c r="E79" s="387">
        <f t="shared" si="1"/>
        <v>11.538779638637696</v>
      </c>
      <c r="F79" s="387">
        <f t="shared" ref="F79:F142" si="25">Wh_sa/(1-Pvg*MEDIAN((-Sdif+Wh/Env_an)/Csdif,0,1))</f>
        <v>11.538779638637696</v>
      </c>
      <c r="G79" s="110">
        <f t="shared" si="21"/>
        <v>0.2880715684912874</v>
      </c>
      <c r="H79" s="414" t="b">
        <f>Wh_hp&gt;='2020'!Maxi_hp</f>
        <v>0</v>
      </c>
      <c r="I79" s="382">
        <f>IF(H79,Wh_hp,'2020'!Maxi_hp)</f>
        <v>24.169421383322462</v>
      </c>
      <c r="J79" s="85">
        <f>IF(H79,An,'2020'!An_max)</f>
        <v>2019</v>
      </c>
      <c r="K79" s="199">
        <f t="shared" ref="K79:K142" si="26">t</f>
        <v>44261</v>
      </c>
      <c r="L79" s="147">
        <f>IF(t&lt;Tvie,1-EXP((T0-t)*PertePVj)+'2020'!Pspv,1-EXP((T0-t)*PertePVj)+Pspv)</f>
        <v>2.1820024298178087E-2</v>
      </c>
      <c r="M79" s="870"/>
      <c r="N79" s="870"/>
      <c r="O79" s="48">
        <f>IF(t&lt;Tnet,'2020'!Resal+('2020'!Salim-'2020'!Resal)*(1-EXP(('2020'!Tnet-t)/('2020'!Tau_j))),Resal+(Salim-Resal)*(1-EXP((Tnet-t)/(Tau_j))))*Salcycl</f>
        <v>0.12501132171492071</v>
      </c>
      <c r="P79" s="171">
        <f>(INDEX(Models!$BJ79:$BT79,,T79)*(1-R79)+INDEX(Models!$BJ79:$BT79,,T79+1)*R79-ERP_i)*Q79*Ramure*Pc/MaxiM</f>
        <v>6.9090543206659933E-3</v>
      </c>
      <c r="Q79" s="307">
        <f t="shared" ref="Q79:Q142" si="27">IF(OR(t&lt;Ttai,Notai),Dd+PousD*Croivg,Dens+PousD*(Croivg-Croi_tai))</f>
        <v>1</v>
      </c>
      <c r="R79" s="179">
        <f t="shared" ref="R79:R142" si="28">(Hp_vg-S79)/(INDEX(Echel_vg,T79+1)-S79)</f>
        <v>0.31210990558351381</v>
      </c>
      <c r="S79" s="837">
        <f t="shared" ref="S79:S142" si="29">INDEX(Echel_vg,T79)</f>
        <v>-1</v>
      </c>
      <c r="T79" s="178">
        <f t="shared" ref="T79:T142" si="30">MIN(MATCH(Hp_vg,Echel_vg),10)</f>
        <v>5</v>
      </c>
      <c r="U79" s="253">
        <f t="shared" ref="U79:U142" si="31">IF(OR(t&lt;Ttai,Notai),Hdd+PousH*Croivg,Hdtf+PousH*(Croivg-Croi_tai))</f>
        <v>-0.68789009441648619</v>
      </c>
      <c r="V79" s="385">
        <f t="shared" ref="V79:V142" si="32">MaxiM*(1-Ppv)*(1-Pvg)*(1-Psa)</f>
        <v>34.046283119487136</v>
      </c>
      <c r="W79" s="404"/>
      <c r="X79" s="157">
        <f t="shared" ref="X79:X142" si="33">t</f>
        <v>44261</v>
      </c>
      <c r="Y79" s="387">
        <f t="shared" ref="Y79:Y142" si="34">Wh_pvt_s*(1-Ppv)</f>
        <v>9.8759999999999994</v>
      </c>
      <c r="Z79" s="387">
        <f t="shared" ref="Z79:Z142" si="35">Wh_sa_s*(1-Psa_s)</f>
        <v>10.096301545034382</v>
      </c>
      <c r="AA79" s="388">
        <f t="shared" ref="AA79:AA142" si="36">Wh_hp*(1-Pvg_s*MEDIAN((-Sdif+Wh/Env_an)/Csdif,0,1))</f>
        <v>11.538779638637696</v>
      </c>
      <c r="AB79" s="199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0.12501132171492071</v>
      </c>
      <c r="AD79" s="233">
        <f>(INDEX(Models!$BJ79:$BT79,,AH79)*(1-AF79)+INDEX(Models!$BJ79:$BT79,,AH79+1)*AF79-ERP_i)*AE79*Ramure*Pc/MaxiM</f>
        <v>6.9090543206659933E-3</v>
      </c>
      <c r="AE79" s="307">
        <f t="shared" ref="AE79:AE142" si="38">IF(OR(t&lt;Ttai,Notai),Dd_s+PousD*Croivg,Dens_s+PousD*(Croivg-Croi_tai))</f>
        <v>1</v>
      </c>
      <c r="AF79" s="179">
        <f t="shared" ref="AF79:AF142" si="39">(Hp_vg_s-AG79)/(INDEX(Echel_vg,AH79+1)-AG79)</f>
        <v>0.31210990558351381</v>
      </c>
      <c r="AG79" s="837">
        <f t="shared" si="23"/>
        <v>-1</v>
      </c>
      <c r="AH79" s="178">
        <f t="shared" ref="AH79:AH142" si="40">MIN(MATCH(Hp_vg_s,Echel_vg),10)</f>
        <v>5</v>
      </c>
      <c r="AI79" s="227">
        <f t="shared" ref="AI79:AI142" si="41">IF(OR(t&lt;Ttai,Notai),Hdd_s+PousH*Croivg,Hdtai_s+PousH*(Croivg-Croi_tai))</f>
        <v>-0.68789009441648619</v>
      </c>
      <c r="AJ79" s="267" t="b">
        <f t="shared" ref="AJ79:AJ142" si="42">t&lt;Tnet</f>
        <v>1</v>
      </c>
      <c r="AK79" s="267" t="b">
        <f t="shared" ref="AK79:AK142" si="43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4">A79+1</f>
        <v>44262</v>
      </c>
      <c r="B80" s="618">
        <v>9.8759999999999994</v>
      </c>
      <c r="C80" s="392"/>
      <c r="D80" s="395">
        <f t="shared" si="24"/>
        <v>10.096536506188972</v>
      </c>
      <c r="E80" s="387">
        <f t="shared" ref="E80:E143" si="45">Wh_pvt/(1-Psa)</f>
        <v>11.539641577657909</v>
      </c>
      <c r="F80" s="387">
        <f t="shared" si="25"/>
        <v>11.539641577657909</v>
      </c>
      <c r="G80" s="110">
        <f t="shared" ref="G80:G143" si="46">+Wh_hp/MaxiM</f>
        <v>0.2848386686244313</v>
      </c>
      <c r="H80" s="414" t="b">
        <f>Wh_hp&gt;='2020'!Maxi_hp</f>
        <v>0</v>
      </c>
      <c r="I80" s="382">
        <f>IF(H80,Wh_hp,'2020'!Maxi_hp)</f>
        <v>36.408784591497884</v>
      </c>
      <c r="J80" s="85">
        <f>IF(H80,An,'2020'!An_max)</f>
        <v>2019</v>
      </c>
      <c r="K80" s="199">
        <f t="shared" si="26"/>
        <v>44262</v>
      </c>
      <c r="L80" s="147">
        <f>IF(t&lt;Tvie,1-EXP((T0-t)*PertePVj)+'2020'!Pspv,1-EXP((T0-t)*PertePVj)+Pspv)</f>
        <v>2.184278797524164E-2</v>
      </c>
      <c r="M80" s="870"/>
      <c r="N80" s="870"/>
      <c r="O80" s="48">
        <f>IF(t&lt;Tnet,'2020'!Resal+('2020'!Salim-'2020'!Resal)*(1-EXP(('2020'!Tnet-t)/('2020'!Tau_j))),Resal+(Salim-Resal)*(1-EXP((Tnet-t)/(Tau_j))))*Salcycl</f>
        <v>0.1250563166765038</v>
      </c>
      <c r="P80" s="171">
        <f>(INDEX(Models!$BJ80:$BT80,,T80)*(1-R80)+INDEX(Models!$BJ80:$BT80,,T80+1)*R80-ERP_i)*Q80*Ramure*Pc/MaxiM</f>
        <v>6.8109002491779898E-3</v>
      </c>
      <c r="Q80" s="307">
        <f t="shared" si="27"/>
        <v>1</v>
      </c>
      <c r="R80" s="179">
        <f t="shared" si="28"/>
        <v>0.31265720856972357</v>
      </c>
      <c r="S80" s="837">
        <f t="shared" si="29"/>
        <v>-1</v>
      </c>
      <c r="T80" s="178">
        <f t="shared" si="30"/>
        <v>5</v>
      </c>
      <c r="U80" s="253">
        <f t="shared" si="31"/>
        <v>-0.68734279143027643</v>
      </c>
      <c r="V80" s="385">
        <f t="shared" si="32"/>
        <v>34.436109382579097</v>
      </c>
      <c r="W80" s="404"/>
      <c r="X80" s="157">
        <f t="shared" si="33"/>
        <v>44262</v>
      </c>
      <c r="Y80" s="387">
        <f t="shared" si="34"/>
        <v>9.8759999999999994</v>
      </c>
      <c r="Z80" s="387">
        <f t="shared" si="35"/>
        <v>10.096536506188972</v>
      </c>
      <c r="AA80" s="388">
        <f t="shared" si="36"/>
        <v>11.539641577657909</v>
      </c>
      <c r="AB80" s="199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0.1250563166765038</v>
      </c>
      <c r="AD80" s="233">
        <f>(INDEX(Models!$BJ80:$BT80,,AH80)*(1-AF80)+INDEX(Models!$BJ80:$BT80,,AH80+1)*AF80-ERP_i)*AE80*Ramure*Pc/MaxiM</f>
        <v>6.8109002491779898E-3</v>
      </c>
      <c r="AE80" s="307">
        <f t="shared" si="38"/>
        <v>1</v>
      </c>
      <c r="AF80" s="179">
        <f t="shared" si="39"/>
        <v>0.31265720856972357</v>
      </c>
      <c r="AG80" s="837">
        <f t="shared" ref="AG80:AG143" si="47">INDEX(Echel_vg,AH80)</f>
        <v>-1</v>
      </c>
      <c r="AH80" s="178">
        <f t="shared" si="40"/>
        <v>5</v>
      </c>
      <c r="AI80" s="227">
        <f t="shared" si="41"/>
        <v>-0.68734279143027643</v>
      </c>
      <c r="AJ80" s="267" t="b">
        <f t="shared" si="42"/>
        <v>1</v>
      </c>
      <c r="AK80" s="267" t="b">
        <f t="shared" si="43"/>
        <v>0</v>
      </c>
      <c r="AL80" s="267"/>
      <c r="AM80" s="267"/>
      <c r="AN80" s="75"/>
    </row>
    <row r="81" spans="1:40" s="6" customFormat="1" ht="11.25" x14ac:dyDescent="0.2">
      <c r="A81" s="56">
        <f t="shared" si="44"/>
        <v>44263</v>
      </c>
      <c r="B81" s="618">
        <v>20.462</v>
      </c>
      <c r="C81" s="392"/>
      <c r="D81" s="395">
        <f t="shared" si="24"/>
        <v>20.91941452781192</v>
      </c>
      <c r="E81" s="387">
        <f t="shared" si="45"/>
        <v>23.910674200857951</v>
      </c>
      <c r="F81" s="387">
        <f t="shared" si="25"/>
        <v>23.976885514966192</v>
      </c>
      <c r="G81" s="110">
        <f t="shared" si="46"/>
        <v>0.58516641246676804</v>
      </c>
      <c r="H81" s="414" t="b">
        <f>Wh_hp&gt;='2020'!Maxi_hp</f>
        <v>0</v>
      </c>
      <c r="I81" s="382">
        <f>IF(H81,Wh_hp,'2020'!Maxi_hp)</f>
        <v>30.085525253445283</v>
      </c>
      <c r="J81" s="85">
        <f>IF(H81,An,'2020'!An_max)</f>
        <v>2020</v>
      </c>
      <c r="K81" s="199">
        <f t="shared" si="26"/>
        <v>44263</v>
      </c>
      <c r="L81" s="147">
        <f>IF(t&lt;Tvie,1-EXP((T0-t)*PertePVj)+'2020'!Pspv,1-EXP((T0-t)*PertePVj)+Pspv)</f>
        <v>2.1865551122561167E-2</v>
      </c>
      <c r="M81" s="870"/>
      <c r="N81" s="870"/>
      <c r="O81" s="48">
        <f>IF(t&lt;Tnet,'2020'!Resal+('2020'!Salim-'2020'!Resal)*(1-EXP(('2020'!Tnet-t)/('2020'!Tau_j))),Resal+(Salim-Resal)*(1-EXP((Tnet-t)/(Tau_j))))*Salcycl</f>
        <v>0.12510143578212859</v>
      </c>
      <c r="P81" s="171">
        <f>(INDEX(Models!$BJ81:$BT81,,T81)*(1-R81)+INDEX(Models!$BJ81:$BT81,,T81+1)*R81-ERP_i)*Q81*Ramure*Pc/MaxiM</f>
        <v>6.7235516035071483E-3</v>
      </c>
      <c r="Q81" s="307">
        <f t="shared" si="27"/>
        <v>1</v>
      </c>
      <c r="R81" s="179">
        <f t="shared" si="28"/>
        <v>0.31322654632921776</v>
      </c>
      <c r="S81" s="837">
        <f t="shared" si="29"/>
        <v>-1</v>
      </c>
      <c r="T81" s="178">
        <f t="shared" si="30"/>
        <v>5</v>
      </c>
      <c r="U81" s="253">
        <f t="shared" si="31"/>
        <v>-0.68677345367078224</v>
      </c>
      <c r="V81" s="385">
        <f t="shared" si="32"/>
        <v>34.828901382587517</v>
      </c>
      <c r="W81" s="404"/>
      <c r="X81" s="157">
        <f t="shared" si="33"/>
        <v>44263</v>
      </c>
      <c r="Y81" s="387">
        <f t="shared" si="34"/>
        <v>20.462</v>
      </c>
      <c r="Z81" s="387">
        <f t="shared" si="35"/>
        <v>20.91941452781192</v>
      </c>
      <c r="AA81" s="388">
        <f t="shared" si="36"/>
        <v>23.910674200857951</v>
      </c>
      <c r="AB81" s="199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0.12510143578212859</v>
      </c>
      <c r="AD81" s="233">
        <f>(INDEX(Models!$BJ81:$BT81,,AH81)*(1-AF81)+INDEX(Models!$BJ81:$BT81,,AH81+1)*AF81-ERP_i)*AE81*Ramure*Pc/MaxiM</f>
        <v>6.7235516035071483E-3</v>
      </c>
      <c r="AE81" s="307">
        <f t="shared" si="38"/>
        <v>1</v>
      </c>
      <c r="AF81" s="179">
        <f t="shared" si="39"/>
        <v>0.31322654632921776</v>
      </c>
      <c r="AG81" s="837">
        <f t="shared" si="47"/>
        <v>-1</v>
      </c>
      <c r="AH81" s="178">
        <f t="shared" si="40"/>
        <v>5</v>
      </c>
      <c r="AI81" s="227">
        <f t="shared" si="41"/>
        <v>-0.68677345367078224</v>
      </c>
      <c r="AJ81" s="267" t="b">
        <f t="shared" si="42"/>
        <v>1</v>
      </c>
      <c r="AK81" s="267" t="b">
        <f t="shared" si="43"/>
        <v>0</v>
      </c>
      <c r="AL81" s="267"/>
      <c r="AM81" s="267"/>
      <c r="AN81" s="75"/>
    </row>
    <row r="82" spans="1:40" s="6" customFormat="1" ht="11.25" x14ac:dyDescent="0.2">
      <c r="A82" s="56">
        <f t="shared" si="44"/>
        <v>44264</v>
      </c>
      <c r="B82" s="618">
        <v>33.305999999999997</v>
      </c>
      <c r="C82" s="392"/>
      <c r="D82" s="395">
        <f t="shared" si="24"/>
        <v>34.051326109145094</v>
      </c>
      <c r="E82" s="387">
        <f t="shared" si="45"/>
        <v>38.922328544293755</v>
      </c>
      <c r="F82" s="387">
        <f t="shared" si="25"/>
        <v>39.162385004311176</v>
      </c>
      <c r="G82" s="110">
        <f t="shared" si="46"/>
        <v>0.94505459091102451</v>
      </c>
      <c r="H82" s="414" t="b">
        <f>Wh_hp&gt;='2020'!Maxi_hp</f>
        <v>1</v>
      </c>
      <c r="I82" s="382">
        <f>IF(H82,Wh_hp,'2020'!Maxi_hp)</f>
        <v>39.162385004311176</v>
      </c>
      <c r="J82" s="85">
        <f>IF(H82,An,'2020'!An_max)</f>
        <v>2021</v>
      </c>
      <c r="K82" s="199">
        <f t="shared" si="26"/>
        <v>44264</v>
      </c>
      <c r="L82" s="147">
        <f>IF(t&lt;Tvie,1-EXP((T0-t)*PertePVj)+'2020'!Pspv,1-EXP((T0-t)*PertePVj)+Pspv)</f>
        <v>2.188831374014899E-2</v>
      </c>
      <c r="M82" s="870"/>
      <c r="N82" s="870"/>
      <c r="O82" s="48">
        <f>IF(t&lt;Tnet,'2020'!Resal+('2020'!Salim-'2020'!Resal)*(1-EXP(('2020'!Tnet-t)/('2020'!Tau_j))),Resal+(Salim-Resal)*(1-EXP((Tnet-t)/(Tau_j))))*Salcycl</f>
        <v>0.12514673754951333</v>
      </c>
      <c r="P82" s="171">
        <f>(INDEX(Models!$BJ82:$BT82,,T82)*(1-R82)+INDEX(Models!$BJ82:$BT82,,T82+1)*R82-ERP_i)*Q82*Ramure*Pc/MaxiM</f>
        <v>6.6468329763816093E-3</v>
      </c>
      <c r="Q82" s="307">
        <f t="shared" si="27"/>
        <v>1</v>
      </c>
      <c r="R82" s="179">
        <f t="shared" si="28"/>
        <v>0.31381876646343942</v>
      </c>
      <c r="S82" s="837">
        <f t="shared" si="29"/>
        <v>-1</v>
      </c>
      <c r="T82" s="178">
        <f t="shared" si="30"/>
        <v>5</v>
      </c>
      <c r="U82" s="253">
        <f t="shared" si="31"/>
        <v>-0.68618123353656058</v>
      </c>
      <c r="V82" s="385">
        <f t="shared" si="32"/>
        <v>35.224073664562688</v>
      </c>
      <c r="W82" s="404"/>
      <c r="X82" s="157">
        <f t="shared" si="33"/>
        <v>44264</v>
      </c>
      <c r="Y82" s="387">
        <f t="shared" si="34"/>
        <v>33.305999999999997</v>
      </c>
      <c r="Z82" s="387">
        <f t="shared" si="35"/>
        <v>34.051326109145094</v>
      </c>
      <c r="AA82" s="388">
        <f t="shared" si="36"/>
        <v>38.922328544293755</v>
      </c>
      <c r="AB82" s="199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0.12514673754951333</v>
      </c>
      <c r="AD82" s="233">
        <f>(INDEX(Models!$BJ82:$BT82,,AH82)*(1-AF82)+INDEX(Models!$BJ82:$BT82,,AH82+1)*AF82-ERP_i)*AE82*Ramure*Pc/MaxiM</f>
        <v>6.6468329763816093E-3</v>
      </c>
      <c r="AE82" s="307">
        <f t="shared" si="38"/>
        <v>1</v>
      </c>
      <c r="AF82" s="179">
        <f t="shared" si="39"/>
        <v>0.31381876646343942</v>
      </c>
      <c r="AG82" s="837">
        <f t="shared" si="47"/>
        <v>-1</v>
      </c>
      <c r="AH82" s="178">
        <f t="shared" si="40"/>
        <v>5</v>
      </c>
      <c r="AI82" s="227">
        <f t="shared" si="41"/>
        <v>-0.68618123353656058</v>
      </c>
      <c r="AJ82" s="267" t="b">
        <f t="shared" si="42"/>
        <v>1</v>
      </c>
      <c r="AK82" s="267" t="b">
        <f t="shared" si="43"/>
        <v>0</v>
      </c>
      <c r="AL82" s="267"/>
      <c r="AM82" s="267"/>
      <c r="AN82" s="75"/>
    </row>
    <row r="83" spans="1:40" s="6" customFormat="1" ht="11.25" x14ac:dyDescent="0.2">
      <c r="A83" s="56">
        <f t="shared" si="44"/>
        <v>44265</v>
      </c>
      <c r="B83" s="618">
        <v>33.302999999999997</v>
      </c>
      <c r="C83" s="392"/>
      <c r="D83" s="395">
        <f t="shared" si="24"/>
        <v>34.049051345912339</v>
      </c>
      <c r="E83" s="387">
        <f t="shared" si="45"/>
        <v>38.921754757689342</v>
      </c>
      <c r="F83" s="387">
        <f t="shared" si="25"/>
        <v>39.155466400635383</v>
      </c>
      <c r="G83" s="110">
        <f t="shared" si="46"/>
        <v>0.93434958137161728</v>
      </c>
      <c r="H83" s="414" t="b">
        <f>Wh_hp&gt;='2020'!Maxi_hp</f>
        <v>1</v>
      </c>
      <c r="I83" s="382">
        <f>IF(H83,Wh_hp,'2020'!Maxi_hp)</f>
        <v>39.155466400635383</v>
      </c>
      <c r="J83" s="85">
        <f>IF(H83,An,'2020'!An_max)</f>
        <v>2021</v>
      </c>
      <c r="K83" s="199">
        <f t="shared" si="26"/>
        <v>44265</v>
      </c>
      <c r="L83" s="147">
        <f>IF(t&lt;Tvie,1-EXP((T0-t)*PertePVj)+'2020'!Pspv,1-EXP((T0-t)*PertePVj)+Pspv)</f>
        <v>2.1911075828017434E-2</v>
      </c>
      <c r="M83" s="870"/>
      <c r="N83" s="870"/>
      <c r="O83" s="48">
        <f>IF(t&lt;Tnet,'2020'!Resal+('2020'!Salim-'2020'!Resal)*(1-EXP(('2020'!Tnet-t)/('2020'!Tau_j))),Resal+(Salim-Resal)*(1-EXP((Tnet-t)/(Tau_j))))*Salcycl</f>
        <v>0.12519228493454182</v>
      </c>
      <c r="P83" s="171">
        <f>(INDEX(Models!$BJ83:$BT83,,T83)*(1-R83)+INDEX(Models!$BJ83:$BT83,,T83+1)*R83-ERP_i)*Q83*Ramure*Pc/MaxiM</f>
        <v>6.5805710725757322E-3</v>
      </c>
      <c r="Q83" s="307">
        <f t="shared" si="27"/>
        <v>1</v>
      </c>
      <c r="R83" s="179">
        <f t="shared" si="28"/>
        <v>0.31443474587131082</v>
      </c>
      <c r="S83" s="837">
        <f t="shared" si="29"/>
        <v>-1</v>
      </c>
      <c r="T83" s="178">
        <f t="shared" si="30"/>
        <v>5</v>
      </c>
      <c r="U83" s="253">
        <f t="shared" si="31"/>
        <v>-0.68556525412868918</v>
      </c>
      <c r="V83" s="385">
        <f t="shared" si="32"/>
        <v>35.621040494346964</v>
      </c>
      <c r="W83" s="404"/>
      <c r="X83" s="157">
        <f t="shared" si="33"/>
        <v>44265</v>
      </c>
      <c r="Y83" s="387">
        <f t="shared" si="34"/>
        <v>33.302999999999997</v>
      </c>
      <c r="Z83" s="387">
        <f t="shared" si="35"/>
        <v>34.049051345912339</v>
      </c>
      <c r="AA83" s="388">
        <f t="shared" si="36"/>
        <v>38.921754757689342</v>
      </c>
      <c r="AB83" s="199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0.12519228493454182</v>
      </c>
      <c r="AD83" s="233">
        <f>(INDEX(Models!$BJ83:$BT83,,AH83)*(1-AF83)+INDEX(Models!$BJ83:$BT83,,AH83+1)*AF83-ERP_i)*AE83*Ramure*Pc/MaxiM</f>
        <v>6.5805710725757322E-3</v>
      </c>
      <c r="AE83" s="307">
        <f t="shared" si="38"/>
        <v>1</v>
      </c>
      <c r="AF83" s="179">
        <f t="shared" si="39"/>
        <v>0.31443474587131082</v>
      </c>
      <c r="AG83" s="837">
        <f t="shared" si="47"/>
        <v>-1</v>
      </c>
      <c r="AH83" s="178">
        <f t="shared" si="40"/>
        <v>5</v>
      </c>
      <c r="AI83" s="227">
        <f t="shared" si="41"/>
        <v>-0.68556525412868918</v>
      </c>
      <c r="AJ83" s="267" t="b">
        <f t="shared" si="42"/>
        <v>1</v>
      </c>
      <c r="AK83" s="267" t="b">
        <f t="shared" si="43"/>
        <v>0</v>
      </c>
      <c r="AL83" s="267"/>
      <c r="AM83" s="267"/>
      <c r="AN83" s="75"/>
    </row>
    <row r="84" spans="1:40" s="6" customFormat="1" ht="11.25" x14ac:dyDescent="0.2">
      <c r="A84" s="56">
        <f t="shared" si="44"/>
        <v>44266</v>
      </c>
      <c r="B84" s="618">
        <v>27.286000000000001</v>
      </c>
      <c r="C84" s="392"/>
      <c r="D84" s="395">
        <f t="shared" si="24"/>
        <v>27.897908181466846</v>
      </c>
      <c r="E84" s="387">
        <f t="shared" si="45"/>
        <v>31.892003551045619</v>
      </c>
      <c r="F84" s="387">
        <f t="shared" si="25"/>
        <v>32.028594734464335</v>
      </c>
      <c r="G84" s="110">
        <f t="shared" si="46"/>
        <v>0.75582076744426907</v>
      </c>
      <c r="H84" s="414" t="b">
        <f>Wh_hp&gt;='2020'!Maxi_hp</f>
        <v>0</v>
      </c>
      <c r="I84" s="382">
        <f>IF(H84,Wh_hp,'2020'!Maxi_hp)</f>
        <v>33.082890956820819</v>
      </c>
      <c r="J84" s="85">
        <f>IF(H84,An,'2020'!An_max)</f>
        <v>2019</v>
      </c>
      <c r="K84" s="199">
        <f t="shared" si="26"/>
        <v>44266</v>
      </c>
      <c r="L84" s="147">
        <f>IF(t&lt;Tvie,1-EXP((T0-t)*PertePVj)+'2020'!Pspv,1-EXP((T0-t)*PertePVj)+Pspv)</f>
        <v>2.1933837386178934E-2</v>
      </c>
      <c r="M84" s="870"/>
      <c r="N84" s="870"/>
      <c r="O84" s="48">
        <f>IF(t&lt;Tnet,'2020'!Resal+('2020'!Salim-'2020'!Resal)*(1-EXP(('2020'!Tnet-t)/('2020'!Tau_j))),Resal+(Salim-Resal)*(1-EXP((Tnet-t)/(Tau_j))))*Salcycl</f>
        <v>0.1252381451414902</v>
      </c>
      <c r="P84" s="171">
        <f>(INDEX(Models!$BJ84:$BT84,,T84)*(1-R84)+INDEX(Models!$BJ84:$BT84,,T84+1)*R84-ERP_i)*Q84*Ramure*Pc/MaxiM</f>
        <v>6.5245966765395888E-3</v>
      </c>
      <c r="Q84" s="307">
        <f t="shared" si="27"/>
        <v>1</v>
      </c>
      <c r="R84" s="179">
        <f t="shared" si="28"/>
        <v>0.31507539148204167</v>
      </c>
      <c r="S84" s="837">
        <f t="shared" si="29"/>
        <v>-1</v>
      </c>
      <c r="T84" s="178">
        <f t="shared" si="30"/>
        <v>5</v>
      </c>
      <c r="U84" s="253">
        <f t="shared" si="31"/>
        <v>-0.68492460851795833</v>
      </c>
      <c r="V84" s="385">
        <f t="shared" si="32"/>
        <v>36.019215844549251</v>
      </c>
      <c r="W84" s="404"/>
      <c r="X84" s="157">
        <f t="shared" si="33"/>
        <v>44266</v>
      </c>
      <c r="Y84" s="387">
        <f t="shared" si="34"/>
        <v>27.286000000000005</v>
      </c>
      <c r="Z84" s="387">
        <f t="shared" si="35"/>
        <v>27.89790818146685</v>
      </c>
      <c r="AA84" s="388">
        <f t="shared" si="36"/>
        <v>31.892003551045622</v>
      </c>
      <c r="AB84" s="199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0.1252381451414902</v>
      </c>
      <c r="AD84" s="233">
        <f>(INDEX(Models!$BJ84:$BT84,,AH84)*(1-AF84)+INDEX(Models!$BJ84:$BT84,,AH84+1)*AF84-ERP_i)*AE84*Ramure*Pc/MaxiM</f>
        <v>6.5245966765395888E-3</v>
      </c>
      <c r="AE84" s="307">
        <f t="shared" si="38"/>
        <v>1</v>
      </c>
      <c r="AF84" s="179">
        <f t="shared" si="39"/>
        <v>0.31507539148204167</v>
      </c>
      <c r="AG84" s="837">
        <f t="shared" si="47"/>
        <v>-1</v>
      </c>
      <c r="AH84" s="178">
        <f t="shared" si="40"/>
        <v>5</v>
      </c>
      <c r="AI84" s="227">
        <f t="shared" si="41"/>
        <v>-0.68492460851795833</v>
      </c>
      <c r="AJ84" s="267" t="b">
        <f t="shared" si="42"/>
        <v>1</v>
      </c>
      <c r="AK84" s="267" t="b">
        <f t="shared" si="43"/>
        <v>0</v>
      </c>
      <c r="AL84" s="267"/>
      <c r="AM84" s="267"/>
      <c r="AN84" s="75"/>
    </row>
    <row r="85" spans="1:40" s="6" customFormat="1" ht="11.25" x14ac:dyDescent="0.2">
      <c r="A85" s="56">
        <f t="shared" si="44"/>
        <v>44267</v>
      </c>
      <c r="B85" s="618">
        <v>23.544</v>
      </c>
      <c r="C85" s="392"/>
      <c r="D85" s="395">
        <f t="shared" si="24"/>
        <v>24.072551342646424</v>
      </c>
      <c r="E85" s="387">
        <f t="shared" si="45"/>
        <v>27.520431842327316</v>
      </c>
      <c r="F85" s="387">
        <f t="shared" si="25"/>
        <v>27.608971524155418</v>
      </c>
      <c r="G85" s="110">
        <f t="shared" si="46"/>
        <v>0.64437123383595962</v>
      </c>
      <c r="H85" s="414" t="b">
        <f>Wh_hp&gt;='2020'!Maxi_hp</f>
        <v>0</v>
      </c>
      <c r="I85" s="382">
        <f>IF(H85,Wh_hp,'2020'!Maxi_hp)</f>
        <v>39.998388958381668</v>
      </c>
      <c r="J85" s="85">
        <f>IF(H85,An,'2020'!An_max)</f>
        <v>2020</v>
      </c>
      <c r="K85" s="199">
        <f t="shared" si="26"/>
        <v>44267</v>
      </c>
      <c r="L85" s="147">
        <f>IF(t&lt;Tvie,1-EXP((T0-t)*PertePVj)+'2020'!Pspv,1-EXP((T0-t)*PertePVj)+Pspv)</f>
        <v>2.1956598414645589E-2</v>
      </c>
      <c r="M85" s="870"/>
      <c r="N85" s="870"/>
      <c r="O85" s="48">
        <f>IF(t&lt;Tnet,'2020'!Resal+('2020'!Salim-'2020'!Resal)*(1-EXP(('2020'!Tnet-t)/('2020'!Tau_j))),Resal+(Salim-Resal)*(1-EXP((Tnet-t)/(Tau_j))))*Salcycl</f>
        <v>0.12528438941055925</v>
      </c>
      <c r="P85" s="171">
        <f>(INDEX(Models!$BJ85:$BT85,,T85)*(1-R85)+INDEX(Models!$BJ85:$BT85,,T85+1)*R85-ERP_i)*Q85*Ramure*Pc/MaxiM</f>
        <v>6.4787464491795985E-3</v>
      </c>
      <c r="Q85" s="307">
        <f t="shared" si="27"/>
        <v>1</v>
      </c>
      <c r="R85" s="179">
        <f t="shared" si="28"/>
        <v>0.31574164098113899</v>
      </c>
      <c r="S85" s="837">
        <f t="shared" si="29"/>
        <v>-1</v>
      </c>
      <c r="T85" s="178">
        <f t="shared" si="30"/>
        <v>5</v>
      </c>
      <c r="U85" s="253">
        <f t="shared" si="31"/>
        <v>-0.68425835901886101</v>
      </c>
      <c r="V85" s="385">
        <f t="shared" si="32"/>
        <v>36.418013385463674</v>
      </c>
      <c r="W85" s="404"/>
      <c r="X85" s="157">
        <f t="shared" si="33"/>
        <v>44267</v>
      </c>
      <c r="Y85" s="387">
        <f t="shared" si="34"/>
        <v>23.544</v>
      </c>
      <c r="Z85" s="387">
        <f t="shared" si="35"/>
        <v>24.072551342646424</v>
      </c>
      <c r="AA85" s="388">
        <f t="shared" si="36"/>
        <v>27.520431842327316</v>
      </c>
      <c r="AB85" s="199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0.12528438941055925</v>
      </c>
      <c r="AD85" s="233">
        <f>(INDEX(Models!$BJ85:$BT85,,AH85)*(1-AF85)+INDEX(Models!$BJ85:$BT85,,AH85+1)*AF85-ERP_i)*AE85*Ramure*Pc/MaxiM</f>
        <v>6.4787464491795985E-3</v>
      </c>
      <c r="AE85" s="307">
        <f t="shared" si="38"/>
        <v>1</v>
      </c>
      <c r="AF85" s="179">
        <f t="shared" si="39"/>
        <v>0.31574164098113899</v>
      </c>
      <c r="AG85" s="837">
        <f t="shared" si="47"/>
        <v>-1</v>
      </c>
      <c r="AH85" s="178">
        <f t="shared" si="40"/>
        <v>5</v>
      </c>
      <c r="AI85" s="227">
        <f t="shared" si="41"/>
        <v>-0.68425835901886101</v>
      </c>
      <c r="AJ85" s="267" t="b">
        <f t="shared" si="42"/>
        <v>1</v>
      </c>
      <c r="AK85" s="267" t="b">
        <f t="shared" si="43"/>
        <v>0</v>
      </c>
      <c r="AL85" s="267"/>
      <c r="AM85" s="267"/>
      <c r="AN85" s="75"/>
    </row>
    <row r="86" spans="1:40" s="6" customFormat="1" ht="11.25" x14ac:dyDescent="0.2">
      <c r="A86" s="56">
        <f t="shared" si="44"/>
        <v>44268</v>
      </c>
      <c r="B86" s="618">
        <v>34.084000000000003</v>
      </c>
      <c r="C86" s="392"/>
      <c r="D86" s="395">
        <f t="shared" si="24"/>
        <v>34.849980223457308</v>
      </c>
      <c r="E86" s="387">
        <f t="shared" si="45"/>
        <v>39.843625326095257</v>
      </c>
      <c r="F86" s="387">
        <f t="shared" si="25"/>
        <v>40.074289078669288</v>
      </c>
      <c r="G86" s="110">
        <f t="shared" si="46"/>
        <v>0.92513219733485119</v>
      </c>
      <c r="H86" s="414" t="b">
        <f>Wh_hp&gt;='2020'!Maxi_hp</f>
        <v>1</v>
      </c>
      <c r="I86" s="382">
        <f>IF(H86,Wh_hp,'2020'!Maxi_hp)</f>
        <v>40.074289078669288</v>
      </c>
      <c r="J86" s="85">
        <f>IF(H86,An,'2020'!An_max)</f>
        <v>2021</v>
      </c>
      <c r="K86" s="199">
        <f t="shared" si="26"/>
        <v>44268</v>
      </c>
      <c r="L86" s="147">
        <f>IF(t&lt;Tvie,1-EXP((T0-t)*PertePVj)+'2020'!Pspv,1-EXP((T0-t)*PertePVj)+Pspv)</f>
        <v>2.1979358913429947E-2</v>
      </c>
      <c r="M86" s="870"/>
      <c r="N86" s="870"/>
      <c r="O86" s="48">
        <f>IF(t&lt;Tnet,'2020'!Resal+('2020'!Salim-'2020'!Resal)*(1-EXP(('2020'!Tnet-t)/('2020'!Tau_j))),Resal+(Salim-Resal)*(1-EXP((Tnet-t)/(Tau_j))))*Salcycl</f>
        <v>0.12533109278505833</v>
      </c>
      <c r="P86" s="171">
        <f>(INDEX(Models!$BJ86:$BT86,,T86)*(1-R86)+INDEX(Models!$BJ86:$BT86,,T86+1)*R86-ERP_i)*Q86*Ramure*Pc/MaxiM</f>
        <v>6.4387007013511598E-3</v>
      </c>
      <c r="Q86" s="307">
        <f t="shared" si="27"/>
        <v>1</v>
      </c>
      <c r="R86" s="179">
        <f t="shared" si="28"/>
        <v>0.31643446352672311</v>
      </c>
      <c r="S86" s="837">
        <f t="shared" si="29"/>
        <v>-1</v>
      </c>
      <c r="T86" s="178">
        <f t="shared" si="30"/>
        <v>5</v>
      </c>
      <c r="U86" s="253">
        <f t="shared" si="31"/>
        <v>-0.68356553647327689</v>
      </c>
      <c r="V86" s="385">
        <f t="shared" si="32"/>
        <v>36.817000769059234</v>
      </c>
      <c r="W86" s="404"/>
      <c r="X86" s="157">
        <f t="shared" si="33"/>
        <v>44268</v>
      </c>
      <c r="Y86" s="387">
        <f t="shared" si="34"/>
        <v>34.084000000000003</v>
      </c>
      <c r="Z86" s="387">
        <f t="shared" si="35"/>
        <v>34.849980223457308</v>
      </c>
      <c r="AA86" s="388">
        <f t="shared" si="36"/>
        <v>39.843625326095257</v>
      </c>
      <c r="AB86" s="199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0.12533109278505833</v>
      </c>
      <c r="AD86" s="233">
        <f>(INDEX(Models!$BJ86:$BT86,,AH86)*(1-AF86)+INDEX(Models!$BJ86:$BT86,,AH86+1)*AF86-ERP_i)*AE86*Ramure*Pc/MaxiM</f>
        <v>6.4387007013511598E-3</v>
      </c>
      <c r="AE86" s="307">
        <f t="shared" si="38"/>
        <v>1</v>
      </c>
      <c r="AF86" s="179">
        <f t="shared" si="39"/>
        <v>0.31643446352672311</v>
      </c>
      <c r="AG86" s="837">
        <f t="shared" si="47"/>
        <v>-1</v>
      </c>
      <c r="AH86" s="178">
        <f t="shared" si="40"/>
        <v>5</v>
      </c>
      <c r="AI86" s="227">
        <f t="shared" si="41"/>
        <v>-0.68356553647327689</v>
      </c>
      <c r="AJ86" s="267" t="b">
        <f t="shared" si="42"/>
        <v>1</v>
      </c>
      <c r="AK86" s="267" t="b">
        <f t="shared" si="43"/>
        <v>0</v>
      </c>
      <c r="AL86" s="267"/>
      <c r="AM86" s="267"/>
      <c r="AN86" s="75"/>
    </row>
    <row r="87" spans="1:40" s="6" customFormat="1" ht="11.25" x14ac:dyDescent="0.2">
      <c r="A87" s="56">
        <f t="shared" si="44"/>
        <v>44269</v>
      </c>
      <c r="B87" s="618">
        <v>21.911000000000001</v>
      </c>
      <c r="C87" s="392"/>
      <c r="D87" s="395">
        <f t="shared" si="24"/>
        <v>22.403934019738976</v>
      </c>
      <c r="E87" s="387">
        <f t="shared" si="45"/>
        <v>25.615571723294615</v>
      </c>
      <c r="F87" s="387">
        <f t="shared" si="25"/>
        <v>25.683341734005133</v>
      </c>
      <c r="G87" s="110">
        <f t="shared" si="46"/>
        <v>0.58653562401678039</v>
      </c>
      <c r="H87" s="414" t="b">
        <f>Wh_hp&gt;='2020'!Maxi_hp</f>
        <v>0</v>
      </c>
      <c r="I87" s="382">
        <f>IF(H87,Wh_hp,'2020'!Maxi_hp)</f>
        <v>37.860664680473128</v>
      </c>
      <c r="J87" s="85">
        <f>IF(H87,An,'2020'!An_max)</f>
        <v>2020</v>
      </c>
      <c r="K87" s="199">
        <f t="shared" si="26"/>
        <v>44269</v>
      </c>
      <c r="L87" s="147">
        <f>IF(t&lt;Tvie,1-EXP((T0-t)*PertePVj)+'2020'!Pspv,1-EXP((T0-t)*PertePVj)+Pspv)</f>
        <v>2.2002118882544219E-2</v>
      </c>
      <c r="M87" s="870"/>
      <c r="N87" s="870"/>
      <c r="O87" s="48">
        <f>IF(t&lt;Tnet,'2020'!Resal+('2020'!Salim-'2020'!Resal)*(1-EXP(('2020'!Tnet-t)/('2020'!Tau_j))),Resal+(Salim-Resal)*(1-EXP((Tnet-t)/(Tau_j))))*Salcycl</f>
        <v>0.12537833386068828</v>
      </c>
      <c r="P87" s="171">
        <f>(INDEX(Models!$BJ87:$BT87,,T87)*(1-R87)+INDEX(Models!$BJ87:$BT87,,T87+1)*R87-ERP_i)*Q87*Ramure*Pc/MaxiM</f>
        <v>6.3967003953096999E-3</v>
      </c>
      <c r="Q87" s="307">
        <f t="shared" si="27"/>
        <v>1</v>
      </c>
      <c r="R87" s="179">
        <f t="shared" si="28"/>
        <v>0.31715486045297581</v>
      </c>
      <c r="S87" s="837">
        <f t="shared" si="29"/>
        <v>-1</v>
      </c>
      <c r="T87" s="178">
        <f t="shared" si="30"/>
        <v>5</v>
      </c>
      <c r="U87" s="253">
        <f t="shared" si="31"/>
        <v>-0.68284513954702419</v>
      </c>
      <c r="V87" s="385">
        <f t="shared" si="32"/>
        <v>37.215881148657772</v>
      </c>
      <c r="W87" s="404"/>
      <c r="X87" s="157">
        <f t="shared" si="33"/>
        <v>44269</v>
      </c>
      <c r="Y87" s="387">
        <f t="shared" si="34"/>
        <v>21.911000000000001</v>
      </c>
      <c r="Z87" s="387">
        <f t="shared" si="35"/>
        <v>22.403934019738976</v>
      </c>
      <c r="AA87" s="388">
        <f t="shared" si="36"/>
        <v>25.615571723294615</v>
      </c>
      <c r="AB87" s="199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0.12537833386068828</v>
      </c>
      <c r="AD87" s="233">
        <f>(INDEX(Models!$BJ87:$BT87,,AH87)*(1-AF87)+INDEX(Models!$BJ87:$BT87,,AH87+1)*AF87-ERP_i)*AE87*Ramure*Pc/MaxiM</f>
        <v>6.3967003953096999E-3</v>
      </c>
      <c r="AE87" s="307">
        <f t="shared" si="38"/>
        <v>1</v>
      </c>
      <c r="AF87" s="179">
        <f t="shared" si="39"/>
        <v>0.31715486045297581</v>
      </c>
      <c r="AG87" s="837">
        <f t="shared" si="47"/>
        <v>-1</v>
      </c>
      <c r="AH87" s="178">
        <f t="shared" si="40"/>
        <v>5</v>
      </c>
      <c r="AI87" s="227">
        <f t="shared" si="41"/>
        <v>-0.68284513954702419</v>
      </c>
      <c r="AJ87" s="267" t="b">
        <f t="shared" si="42"/>
        <v>1</v>
      </c>
      <c r="AK87" s="267" t="b">
        <f t="shared" si="43"/>
        <v>0</v>
      </c>
      <c r="AL87" s="267"/>
      <c r="AM87" s="267"/>
      <c r="AN87" s="75"/>
    </row>
    <row r="88" spans="1:40" s="6" customFormat="1" ht="11.25" x14ac:dyDescent="0.2">
      <c r="A88" s="56">
        <f t="shared" si="44"/>
        <v>44270</v>
      </c>
      <c r="B88" s="618">
        <v>15.933</v>
      </c>
      <c r="C88" s="392"/>
      <c r="D88" s="395">
        <f t="shared" si="24"/>
        <v>16.29182547370155</v>
      </c>
      <c r="E88" s="387">
        <f t="shared" si="45"/>
        <v>18.628302576189601</v>
      </c>
      <c r="F88" s="387">
        <f t="shared" si="25"/>
        <v>18.649220801198886</v>
      </c>
      <c r="G88" s="110">
        <f t="shared" si="46"/>
        <v>0.42137309376892179</v>
      </c>
      <c r="H88" s="414" t="b">
        <f>Wh_hp&gt;='2020'!Maxi_hp</f>
        <v>0</v>
      </c>
      <c r="I88" s="382">
        <f>IF(H88,Wh_hp,'2020'!Maxi_hp)</f>
        <v>32.051148513928005</v>
      </c>
      <c r="J88" s="85">
        <f>IF(H88,An,'2020'!An_max)</f>
        <v>2020</v>
      </c>
      <c r="K88" s="199">
        <f t="shared" si="26"/>
        <v>44270</v>
      </c>
      <c r="L88" s="147">
        <f>IF(t&lt;Tvie,1-EXP((T0-t)*PertePVj)+'2020'!Pspv,1-EXP((T0-t)*PertePVj)+Pspv)</f>
        <v>2.202487832200084E-2</v>
      </c>
      <c r="M88" s="870"/>
      <c r="N88" s="870"/>
      <c r="O88" s="48">
        <f>IF(t&lt;Tnet,'2020'!Resal+('2020'!Salim-'2020'!Resal)*(1-EXP(('2020'!Tnet-t)/('2020'!Tau_j))),Resal+(Salim-Resal)*(1-EXP((Tnet-t)/(Tau_j))))*Salcycl</f>
        <v>0.12542619451943501</v>
      </c>
      <c r="P88" s="171">
        <f>(INDEX(Models!$BJ88:$BT88,,T88)*(1-R88)+INDEX(Models!$BJ88:$BT88,,T88+1)*R88-ERP_i)*Q88*Ramure*Pc/MaxiM</f>
        <v>6.352922908954394E-3</v>
      </c>
      <c r="Q88" s="307">
        <f t="shared" si="27"/>
        <v>1</v>
      </c>
      <c r="R88" s="179">
        <f t="shared" si="28"/>
        <v>0.31790386595726006</v>
      </c>
      <c r="S88" s="837">
        <f t="shared" si="29"/>
        <v>-1</v>
      </c>
      <c r="T88" s="178">
        <f t="shared" si="30"/>
        <v>5</v>
      </c>
      <c r="U88" s="253">
        <f t="shared" si="31"/>
        <v>-0.68209613404273994</v>
      </c>
      <c r="V88" s="385">
        <f t="shared" si="32"/>
        <v>37.614069447122411</v>
      </c>
      <c r="W88" s="404"/>
      <c r="X88" s="157">
        <f t="shared" si="33"/>
        <v>44270</v>
      </c>
      <c r="Y88" s="387">
        <f t="shared" si="34"/>
        <v>15.933</v>
      </c>
      <c r="Z88" s="387">
        <f t="shared" si="35"/>
        <v>16.29182547370155</v>
      </c>
      <c r="AA88" s="388">
        <f t="shared" si="36"/>
        <v>18.628302576189601</v>
      </c>
      <c r="AB88" s="199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0.12542619451943501</v>
      </c>
      <c r="AD88" s="233">
        <f>(INDEX(Models!$BJ88:$BT88,,AH88)*(1-AF88)+INDEX(Models!$BJ88:$BT88,,AH88+1)*AF88-ERP_i)*AE88*Ramure*Pc/MaxiM</f>
        <v>6.352922908954394E-3</v>
      </c>
      <c r="AE88" s="307">
        <f t="shared" si="38"/>
        <v>1</v>
      </c>
      <c r="AF88" s="179">
        <f t="shared" si="39"/>
        <v>0.31790386595726006</v>
      </c>
      <c r="AG88" s="837">
        <f t="shared" si="47"/>
        <v>-1</v>
      </c>
      <c r="AH88" s="178">
        <f t="shared" si="40"/>
        <v>5</v>
      </c>
      <c r="AI88" s="227">
        <f t="shared" si="41"/>
        <v>-0.68209613404273994</v>
      </c>
      <c r="AJ88" s="267" t="b">
        <f t="shared" si="42"/>
        <v>1</v>
      </c>
      <c r="AK88" s="267" t="b">
        <f t="shared" si="43"/>
        <v>0</v>
      </c>
      <c r="AL88" s="267"/>
      <c r="AM88" s="267"/>
      <c r="AN88" s="75"/>
    </row>
    <row r="89" spans="1:40" s="6" customFormat="1" ht="11.25" x14ac:dyDescent="0.2">
      <c r="A89" s="56">
        <f t="shared" si="44"/>
        <v>44271</v>
      </c>
      <c r="B89" s="618">
        <v>28.667999999999999</v>
      </c>
      <c r="C89" s="392"/>
      <c r="D89" s="395">
        <f t="shared" si="24"/>
        <v>29.314311301270823</v>
      </c>
      <c r="E89" s="387">
        <f t="shared" si="45"/>
        <v>33.520257562331139</v>
      </c>
      <c r="F89" s="387">
        <f t="shared" si="25"/>
        <v>33.658010324603623</v>
      </c>
      <c r="G89" s="110">
        <f t="shared" si="46"/>
        <v>0.7525258314610731</v>
      </c>
      <c r="H89" s="414" t="b">
        <f>Wh_hp&gt;='2020'!Maxi_hp</f>
        <v>0</v>
      </c>
      <c r="I89" s="382">
        <f>IF(H89,Wh_hp,'2020'!Maxi_hp)</f>
        <v>45.887721120206436</v>
      </c>
      <c r="J89" s="85">
        <f>IF(H89,An,'2020'!An_max)</f>
        <v>2020</v>
      </c>
      <c r="K89" s="199">
        <f t="shared" si="26"/>
        <v>44271</v>
      </c>
      <c r="L89" s="147">
        <f>IF(t&lt;Tvie,1-EXP((T0-t)*PertePVj)+'2020'!Pspv,1-EXP((T0-t)*PertePVj)+Pspv)</f>
        <v>2.2047637231811912E-2</v>
      </c>
      <c r="M89" s="870"/>
      <c r="N89" s="870"/>
      <c r="O89" s="48">
        <f>IF(t&lt;Tnet,'2020'!Resal+('2020'!Salim-'2020'!Resal)*(1-EXP(('2020'!Tnet-t)/('2020'!Tau_j))),Resal+(Salim-Resal)*(1-EXP((Tnet-t)/(Tau_j))))*Salcycl</f>
        <v>0.12547475965061813</v>
      </c>
      <c r="P89" s="171">
        <f>(INDEX(Models!$BJ89:$BT89,,T89)*(1-R89)+INDEX(Models!$BJ89:$BT89,,T89+1)*R89-ERP_i)*Q89*Ramure*Pc/MaxiM</f>
        <v>6.3075369695638171E-3</v>
      </c>
      <c r="Q89" s="307">
        <f t="shared" si="27"/>
        <v>1</v>
      </c>
      <c r="R89" s="179">
        <f t="shared" si="28"/>
        <v>0.31868254776714067</v>
      </c>
      <c r="S89" s="837">
        <f t="shared" si="29"/>
        <v>-1</v>
      </c>
      <c r="T89" s="178">
        <f t="shared" si="30"/>
        <v>5</v>
      </c>
      <c r="U89" s="253">
        <f t="shared" si="31"/>
        <v>-0.68131745223285933</v>
      </c>
      <c r="V89" s="385">
        <f t="shared" si="32"/>
        <v>38.010980429094133</v>
      </c>
      <c r="W89" s="404"/>
      <c r="X89" s="157">
        <f t="shared" si="33"/>
        <v>44271</v>
      </c>
      <c r="Y89" s="387">
        <f t="shared" si="34"/>
        <v>28.667999999999999</v>
      </c>
      <c r="Z89" s="387">
        <f t="shared" si="35"/>
        <v>29.314311301270823</v>
      </c>
      <c r="AA89" s="388">
        <f t="shared" si="36"/>
        <v>33.520257562331139</v>
      </c>
      <c r="AB89" s="199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0.12547475965061813</v>
      </c>
      <c r="AD89" s="233">
        <f>(INDEX(Models!$BJ89:$BT89,,AH89)*(1-AF89)+INDEX(Models!$BJ89:$BT89,,AH89+1)*AF89-ERP_i)*AE89*Ramure*Pc/MaxiM</f>
        <v>6.3075369695638171E-3</v>
      </c>
      <c r="AE89" s="307">
        <f t="shared" si="38"/>
        <v>1</v>
      </c>
      <c r="AF89" s="179">
        <f t="shared" si="39"/>
        <v>0.31868254776714067</v>
      </c>
      <c r="AG89" s="837">
        <f t="shared" si="47"/>
        <v>-1</v>
      </c>
      <c r="AH89" s="178">
        <f t="shared" si="40"/>
        <v>5</v>
      </c>
      <c r="AI89" s="227">
        <f t="shared" si="41"/>
        <v>-0.68131745223285933</v>
      </c>
      <c r="AJ89" s="267" t="b">
        <f t="shared" si="42"/>
        <v>1</v>
      </c>
      <c r="AK89" s="267" t="b">
        <f t="shared" si="43"/>
        <v>0</v>
      </c>
      <c r="AL89" s="267"/>
      <c r="AM89" s="267"/>
      <c r="AN89" s="75"/>
    </row>
    <row r="90" spans="1:40" s="6" customFormat="1" ht="11.25" x14ac:dyDescent="0.2">
      <c r="A90" s="56">
        <f t="shared" si="44"/>
        <v>44272</v>
      </c>
      <c r="B90" s="618">
        <v>21.314</v>
      </c>
      <c r="C90" s="392"/>
      <c r="D90" s="395">
        <f t="shared" si="24"/>
        <v>21.795024820153937</v>
      </c>
      <c r="E90" s="387">
        <f t="shared" si="45"/>
        <v>24.92352875637334</v>
      </c>
      <c r="F90" s="387">
        <f t="shared" si="25"/>
        <v>24.980493555127275</v>
      </c>
      <c r="G90" s="110">
        <f t="shared" si="46"/>
        <v>0.55275096180834549</v>
      </c>
      <c r="H90" s="414" t="b">
        <f>Wh_hp&gt;='2020'!Maxi_hp</f>
        <v>1</v>
      </c>
      <c r="I90" s="382">
        <f>IF(H90,Wh_hp,'2020'!Maxi_hp)</f>
        <v>24.980493555127275</v>
      </c>
      <c r="J90" s="85">
        <f>IF(H90,An,'2020'!An_max)</f>
        <v>2021</v>
      </c>
      <c r="K90" s="199">
        <f t="shared" si="26"/>
        <v>44272</v>
      </c>
      <c r="L90" s="147">
        <f>IF(t&lt;Tvie,1-EXP((T0-t)*PertePVj)+'2020'!Pspv,1-EXP((T0-t)*PertePVj)+Pspv)</f>
        <v>2.2070395611989979E-2</v>
      </c>
      <c r="M90" s="870"/>
      <c r="N90" s="870"/>
      <c r="O90" s="48">
        <f>IF(t&lt;Tnet,'2020'!Resal+('2020'!Salim-'2020'!Resal)*(1-EXP(('2020'!Tnet-t)/('2020'!Tau_j))),Resal+(Salim-Resal)*(1-EXP((Tnet-t)/(Tau_j))))*Salcycl</f>
        <v>0.12552411686163803</v>
      </c>
      <c r="P90" s="171">
        <f>(INDEX(Models!$BJ90:$BT90,,T90)*(1-R90)+INDEX(Models!$BJ90:$BT90,,T90+1)*R90-ERP_i)*Q90*Ramure*Pc/MaxiM</f>
        <v>6.2607029981633705E-3</v>
      </c>
      <c r="Q90" s="307">
        <f t="shared" si="27"/>
        <v>1</v>
      </c>
      <c r="R90" s="179">
        <f t="shared" si="28"/>
        <v>0.31949200778321063</v>
      </c>
      <c r="S90" s="837">
        <f t="shared" si="29"/>
        <v>-1</v>
      </c>
      <c r="T90" s="178">
        <f t="shared" si="30"/>
        <v>5</v>
      </c>
      <c r="U90" s="253">
        <f t="shared" si="31"/>
        <v>-0.68050799221678937</v>
      </c>
      <c r="V90" s="385">
        <f t="shared" si="32"/>
        <v>38.406028707114174</v>
      </c>
      <c r="W90" s="404"/>
      <c r="X90" s="157">
        <f t="shared" si="33"/>
        <v>44272</v>
      </c>
      <c r="Y90" s="387">
        <f t="shared" si="34"/>
        <v>21.314</v>
      </c>
      <c r="Z90" s="387">
        <f t="shared" si="35"/>
        <v>21.795024820153937</v>
      </c>
      <c r="AA90" s="388">
        <f t="shared" si="36"/>
        <v>24.92352875637334</v>
      </c>
      <c r="AB90" s="199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0.12552411686163803</v>
      </c>
      <c r="AD90" s="233">
        <f>(INDEX(Models!$BJ90:$BT90,,AH90)*(1-AF90)+INDEX(Models!$BJ90:$BT90,,AH90+1)*AF90-ERP_i)*AE90*Ramure*Pc/MaxiM</f>
        <v>6.2607029981633705E-3</v>
      </c>
      <c r="AE90" s="307">
        <f t="shared" si="38"/>
        <v>1</v>
      </c>
      <c r="AF90" s="179">
        <f t="shared" si="39"/>
        <v>0.31949200778321063</v>
      </c>
      <c r="AG90" s="837">
        <f t="shared" si="47"/>
        <v>-1</v>
      </c>
      <c r="AH90" s="178">
        <f t="shared" si="40"/>
        <v>5</v>
      </c>
      <c r="AI90" s="227">
        <f t="shared" si="41"/>
        <v>-0.68050799221678937</v>
      </c>
      <c r="AJ90" s="267" t="b">
        <f t="shared" si="42"/>
        <v>1</v>
      </c>
      <c r="AK90" s="267" t="b">
        <f t="shared" si="43"/>
        <v>0</v>
      </c>
      <c r="AL90" s="267"/>
      <c r="AM90" s="267"/>
      <c r="AN90" s="75"/>
    </row>
    <row r="91" spans="1:40" s="6" customFormat="1" ht="11.25" x14ac:dyDescent="0.2">
      <c r="A91" s="56">
        <f t="shared" si="44"/>
        <v>44273</v>
      </c>
      <c r="B91" s="618">
        <v>16.925000000000001</v>
      </c>
      <c r="C91" s="392"/>
      <c r="D91" s="395">
        <f t="shared" si="24"/>
        <v>17.307374480429914</v>
      </c>
      <c r="E91" s="387">
        <f t="shared" si="45"/>
        <v>19.792848714774276</v>
      </c>
      <c r="F91" s="387">
        <f t="shared" si="25"/>
        <v>19.816807765848885</v>
      </c>
      <c r="G91" s="110">
        <f t="shared" si="46"/>
        <v>0.43404143402979312</v>
      </c>
      <c r="H91" s="414" t="b">
        <f>Wh_hp&gt;='2020'!Maxi_hp</f>
        <v>0</v>
      </c>
      <c r="I91" s="382">
        <f>IF(H91,Wh_hp,'2020'!Maxi_hp)</f>
        <v>30.158532920094469</v>
      </c>
      <c r="J91" s="85">
        <f>IF(H91,An,'2020'!An_max)</f>
        <v>2019</v>
      </c>
      <c r="K91" s="199">
        <f t="shared" si="26"/>
        <v>44273</v>
      </c>
      <c r="L91" s="147">
        <f>IF(t&lt;Tvie,1-EXP((T0-t)*PertePVj)+'2020'!Pspv,1-EXP((T0-t)*PertePVj)+Pspv)</f>
        <v>2.2093153462547366E-2</v>
      </c>
      <c r="M91" s="870"/>
      <c r="N91" s="870"/>
      <c r="O91" s="48">
        <f>IF(t&lt;Tnet,'2020'!Resal+('2020'!Salim-'2020'!Resal)*(1-EXP(('2020'!Tnet-t)/('2020'!Tau_j))),Resal+(Salim-Resal)*(1-EXP((Tnet-t)/(Tau_j))))*Salcycl</f>
        <v>0.12557435618093171</v>
      </c>
      <c r="P91" s="171">
        <f>(INDEX(Models!$BJ91:$BT91,,T91)*(1-R91)+INDEX(Models!$BJ91:$BT91,,T91+1)*R91-ERP_i)*Q91*Ramure*Pc/MaxiM</f>
        <v>6.21257348155301E-3</v>
      </c>
      <c r="Q91" s="307">
        <f t="shared" si="27"/>
        <v>1</v>
      </c>
      <c r="R91" s="179">
        <f t="shared" si="28"/>
        <v>0.32033338269328626</v>
      </c>
      <c r="S91" s="837">
        <f t="shared" si="29"/>
        <v>-1</v>
      </c>
      <c r="T91" s="178">
        <f t="shared" si="30"/>
        <v>5</v>
      </c>
      <c r="U91" s="253">
        <f t="shared" si="31"/>
        <v>-0.67966661730671374</v>
      </c>
      <c r="V91" s="385">
        <f t="shared" si="32"/>
        <v>38.798628751048021</v>
      </c>
      <c r="W91" s="404"/>
      <c r="X91" s="157">
        <f t="shared" si="33"/>
        <v>44273</v>
      </c>
      <c r="Y91" s="387">
        <f t="shared" si="34"/>
        <v>16.925000000000001</v>
      </c>
      <c r="Z91" s="387">
        <f t="shared" si="35"/>
        <v>17.307374480429914</v>
      </c>
      <c r="AA91" s="388">
        <f t="shared" si="36"/>
        <v>19.792848714774276</v>
      </c>
      <c r="AB91" s="199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0.12557435618093171</v>
      </c>
      <c r="AD91" s="233">
        <f>(INDEX(Models!$BJ91:$BT91,,AH91)*(1-AF91)+INDEX(Models!$BJ91:$BT91,,AH91+1)*AF91-ERP_i)*AE91*Ramure*Pc/MaxiM</f>
        <v>6.21257348155301E-3</v>
      </c>
      <c r="AE91" s="307">
        <f t="shared" si="38"/>
        <v>1</v>
      </c>
      <c r="AF91" s="179">
        <f t="shared" si="39"/>
        <v>0.32033338269328626</v>
      </c>
      <c r="AG91" s="837">
        <f t="shared" si="47"/>
        <v>-1</v>
      </c>
      <c r="AH91" s="178">
        <f t="shared" si="40"/>
        <v>5</v>
      </c>
      <c r="AI91" s="227">
        <f t="shared" si="41"/>
        <v>-0.67966661730671374</v>
      </c>
      <c r="AJ91" s="267" t="b">
        <f t="shared" si="42"/>
        <v>1</v>
      </c>
      <c r="AK91" s="267" t="b">
        <f t="shared" si="43"/>
        <v>0</v>
      </c>
      <c r="AL91" s="267"/>
      <c r="AM91" s="267"/>
      <c r="AN91" s="75"/>
    </row>
    <row r="92" spans="1:40" s="6" customFormat="1" ht="11.25" x14ac:dyDescent="0.2">
      <c r="A92" s="56">
        <f t="shared" si="44"/>
        <v>44274</v>
      </c>
      <c r="B92" s="618">
        <v>11.249000000000001</v>
      </c>
      <c r="C92" s="392"/>
      <c r="D92" s="395">
        <f t="shared" si="24"/>
        <v>11.503408352837479</v>
      </c>
      <c r="E92" s="387">
        <f t="shared" si="45"/>
        <v>13.156158225740754</v>
      </c>
      <c r="F92" s="387">
        <f t="shared" si="25"/>
        <v>13.156158225740754</v>
      </c>
      <c r="G92" s="110">
        <f t="shared" si="46"/>
        <v>0.28528155332414928</v>
      </c>
      <c r="H92" s="414" t="b">
        <f>Wh_hp&gt;='2020'!Maxi_hp</f>
        <v>0</v>
      </c>
      <c r="I92" s="382">
        <f>IF(H92,Wh_hp,'2020'!Maxi_hp)</f>
        <v>42.613877662343725</v>
      </c>
      <c r="J92" s="85">
        <f>IF(H92,An,'2020'!An_max)</f>
        <v>2020</v>
      </c>
      <c r="K92" s="199">
        <f t="shared" si="26"/>
        <v>44274</v>
      </c>
      <c r="L92" s="147">
        <f>IF(t&lt;Tvie,1-EXP((T0-t)*PertePVj)+'2020'!Pspv,1-EXP((T0-t)*PertePVj)+Pspv)</f>
        <v>2.2115910783496173E-2</v>
      </c>
      <c r="M92" s="870"/>
      <c r="N92" s="870"/>
      <c r="O92" s="48">
        <f>IF(t&lt;Tnet,'2020'!Resal+('2020'!Salim-'2020'!Resal)*(1-EXP(('2020'!Tnet-t)/('2020'!Tau_j))),Resal+(Salim-Resal)*(1-EXP((Tnet-t)/(Tau_j))))*Salcycl</f>
        <v>0.12562556975558245</v>
      </c>
      <c r="P92" s="171">
        <f>(INDEX(Models!$BJ92:$BT92,,T92)*(1-R92)+INDEX(Models!$BJ92:$BT92,,T92+1)*R92-ERP_i)*Q92*Ramure*Pc/MaxiM</f>
        <v>6.1632933664779585E-3</v>
      </c>
      <c r="Q92" s="307">
        <f t="shared" si="27"/>
        <v>1</v>
      </c>
      <c r="R92" s="179">
        <f t="shared" si="28"/>
        <v>0.32120784455317553</v>
      </c>
      <c r="S92" s="837">
        <f t="shared" si="29"/>
        <v>-1</v>
      </c>
      <c r="T92" s="178">
        <f t="shared" si="30"/>
        <v>5</v>
      </c>
      <c r="U92" s="253">
        <f t="shared" si="31"/>
        <v>-0.67879215544682447</v>
      </c>
      <c r="V92" s="385">
        <f t="shared" si="32"/>
        <v>39.188194899575805</v>
      </c>
      <c r="W92" s="404"/>
      <c r="X92" s="157">
        <f t="shared" si="33"/>
        <v>44274</v>
      </c>
      <c r="Y92" s="387">
        <f t="shared" si="34"/>
        <v>11.249000000000001</v>
      </c>
      <c r="Z92" s="387">
        <f t="shared" si="35"/>
        <v>11.503408352837479</v>
      </c>
      <c r="AA92" s="388">
        <f t="shared" si="36"/>
        <v>13.156158225740754</v>
      </c>
      <c r="AB92" s="199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0.12562556975558245</v>
      </c>
      <c r="AD92" s="233">
        <f>(INDEX(Models!$BJ92:$BT92,,AH92)*(1-AF92)+INDEX(Models!$BJ92:$BT92,,AH92+1)*AF92-ERP_i)*AE92*Ramure*Pc/MaxiM</f>
        <v>6.1632933664779585E-3</v>
      </c>
      <c r="AE92" s="307">
        <f t="shared" si="38"/>
        <v>1</v>
      </c>
      <c r="AF92" s="179">
        <f t="shared" si="39"/>
        <v>0.32120784455317553</v>
      </c>
      <c r="AG92" s="837">
        <f t="shared" si="47"/>
        <v>-1</v>
      </c>
      <c r="AH92" s="178">
        <f t="shared" si="40"/>
        <v>5</v>
      </c>
      <c r="AI92" s="227">
        <f t="shared" si="41"/>
        <v>-0.67879215544682447</v>
      </c>
      <c r="AJ92" s="267" t="b">
        <f t="shared" si="42"/>
        <v>1</v>
      </c>
      <c r="AK92" s="267" t="b">
        <f t="shared" si="43"/>
        <v>0</v>
      </c>
      <c r="AL92" s="267"/>
      <c r="AM92" s="267"/>
      <c r="AN92" s="75"/>
    </row>
    <row r="93" spans="1:40" s="6" customFormat="1" ht="11.25" x14ac:dyDescent="0.2">
      <c r="A93" s="56">
        <f t="shared" si="44"/>
        <v>44275</v>
      </c>
      <c r="B93" s="618">
        <v>32.963999999999999</v>
      </c>
      <c r="C93" s="392"/>
      <c r="D93" s="395">
        <f t="shared" si="24"/>
        <v>33.710301151030713</v>
      </c>
      <c r="E93" s="387">
        <f t="shared" si="45"/>
        <v>38.555927252484324</v>
      </c>
      <c r="F93" s="387">
        <f t="shared" si="25"/>
        <v>38.736182038717473</v>
      </c>
      <c r="G93" s="110">
        <f t="shared" si="46"/>
        <v>0.83168140482479536</v>
      </c>
      <c r="H93" s="414" t="b">
        <f>Wh_hp&gt;='2020'!Maxi_hp</f>
        <v>0</v>
      </c>
      <c r="I93" s="382">
        <f>IF(H93,Wh_hp,'2020'!Maxi_hp)</f>
        <v>46.721665369048949</v>
      </c>
      <c r="J93" s="85">
        <f>IF(H93,An,'2020'!An_max)</f>
        <v>2019</v>
      </c>
      <c r="K93" s="199">
        <f t="shared" si="26"/>
        <v>44275</v>
      </c>
      <c r="L93" s="147">
        <f>IF(t&lt;Tvie,1-EXP((T0-t)*PertePVj)+'2020'!Pspv,1-EXP((T0-t)*PertePVj)+Pspv)</f>
        <v>2.2138667574848947E-2</v>
      </c>
      <c r="M93" s="870"/>
      <c r="N93" s="870"/>
      <c r="O93" s="48">
        <f>IF(t&lt;Tnet,'2020'!Resal+('2020'!Salim-'2020'!Resal)*(1-EXP(('2020'!Tnet-t)/('2020'!Tau_j))),Resal+(Salim-Resal)*(1-EXP((Tnet-t)/(Tau_j))))*Salcycl</f>
        <v>0.12567785154593542</v>
      </c>
      <c r="P93" s="171">
        <f>(INDEX(Models!$BJ93:$BT93,,T93)*(1-R93)+INDEX(Models!$BJ93:$BT93,,T93+1)*R93-ERP_i)*Q93*Ramure*Pc/MaxiM</f>
        <v>6.1125209375582678E-3</v>
      </c>
      <c r="Q93" s="307">
        <f t="shared" si="27"/>
        <v>1</v>
      </c>
      <c r="R93" s="179">
        <f t="shared" si="28"/>
        <v>0.32211660132884556</v>
      </c>
      <c r="S93" s="837">
        <f t="shared" si="29"/>
        <v>-1</v>
      </c>
      <c r="T93" s="178">
        <f t="shared" si="30"/>
        <v>5</v>
      </c>
      <c r="U93" s="253">
        <f t="shared" si="31"/>
        <v>-0.67788339867115444</v>
      </c>
      <c r="V93" s="385">
        <f t="shared" si="32"/>
        <v>39.577266413911019</v>
      </c>
      <c r="W93" s="404"/>
      <c r="X93" s="157">
        <f t="shared" si="33"/>
        <v>44275</v>
      </c>
      <c r="Y93" s="387">
        <f t="shared" si="34"/>
        <v>32.963999999999999</v>
      </c>
      <c r="Z93" s="387">
        <f t="shared" si="35"/>
        <v>33.710301151030713</v>
      </c>
      <c r="AA93" s="388">
        <f t="shared" si="36"/>
        <v>38.555927252484324</v>
      </c>
      <c r="AB93" s="199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0.12567785154593542</v>
      </c>
      <c r="AD93" s="233">
        <f>(INDEX(Models!$BJ93:$BT93,,AH93)*(1-AF93)+INDEX(Models!$BJ93:$BT93,,AH93+1)*AF93-ERP_i)*AE93*Ramure*Pc/MaxiM</f>
        <v>6.1125209375582678E-3</v>
      </c>
      <c r="AE93" s="307">
        <f t="shared" si="38"/>
        <v>1</v>
      </c>
      <c r="AF93" s="179">
        <f t="shared" si="39"/>
        <v>0.32211660132884556</v>
      </c>
      <c r="AG93" s="837">
        <f t="shared" si="47"/>
        <v>-1</v>
      </c>
      <c r="AH93" s="178">
        <f t="shared" si="40"/>
        <v>5</v>
      </c>
      <c r="AI93" s="227">
        <f t="shared" si="41"/>
        <v>-0.67788339867115444</v>
      </c>
      <c r="AJ93" s="267" t="b">
        <f t="shared" si="42"/>
        <v>1</v>
      </c>
      <c r="AK93" s="267" t="b">
        <f t="shared" si="43"/>
        <v>0</v>
      </c>
      <c r="AL93" s="267"/>
      <c r="AM93" s="267"/>
      <c r="AN93" s="75"/>
    </row>
    <row r="94" spans="1:40" s="6" customFormat="1" ht="11.25" x14ac:dyDescent="0.2">
      <c r="A94" s="56">
        <f t="shared" si="44"/>
        <v>44276</v>
      </c>
      <c r="B94" s="618">
        <v>34.633000000000003</v>
      </c>
      <c r="C94" s="392"/>
      <c r="D94" s="395">
        <f t="shared" si="24"/>
        <v>35.417911344718064</v>
      </c>
      <c r="E94" s="387">
        <f t="shared" si="45"/>
        <v>40.511471157518919</v>
      </c>
      <c r="F94" s="387">
        <f t="shared" si="25"/>
        <v>40.711057272506821</v>
      </c>
      <c r="G94" s="110">
        <f t="shared" si="46"/>
        <v>0.86550484605762201</v>
      </c>
      <c r="H94" s="414" t="b">
        <f>Wh_hp&gt;='2020'!Maxi_hp</f>
        <v>0</v>
      </c>
      <c r="I94" s="382">
        <f>IF(H94,Wh_hp,'2020'!Maxi_hp)</f>
        <v>47.092775229679972</v>
      </c>
      <c r="J94" s="85">
        <f>IF(H94,An,'2020'!An_max)</f>
        <v>2020</v>
      </c>
      <c r="K94" s="199">
        <f t="shared" si="26"/>
        <v>44276</v>
      </c>
      <c r="L94" s="147">
        <f>IF(t&lt;Tvie,1-EXP((T0-t)*PertePVj)+'2020'!Pspv,1-EXP((T0-t)*PertePVj)+Pspv)</f>
        <v>2.2161423836618011E-2</v>
      </c>
      <c r="M94" s="870"/>
      <c r="N94" s="870"/>
      <c r="O94" s="48">
        <f>IF(t&lt;Tnet,'2020'!Resal+('2020'!Salim-'2020'!Resal)*(1-EXP(('2020'!Tnet-t)/('2020'!Tau_j))),Resal+(Salim-Resal)*(1-EXP((Tnet-t)/(Tau_j))))*Salcycl</f>
        <v>0.1257312970194491</v>
      </c>
      <c r="P94" s="171">
        <f>(INDEX(Models!$BJ94:$BT94,,T94)*(1-R94)+INDEX(Models!$BJ94:$BT94,,T94+1)*R94-ERP_i)*Q94*Ramure*Pc/MaxiM</f>
        <v>6.0577007314986378E-3</v>
      </c>
      <c r="Q94" s="307">
        <f t="shared" si="27"/>
        <v>1</v>
      </c>
      <c r="R94" s="179">
        <f t="shared" si="28"/>
        <v>0.32306089739442589</v>
      </c>
      <c r="S94" s="837">
        <f t="shared" si="29"/>
        <v>-1</v>
      </c>
      <c r="T94" s="178">
        <f t="shared" si="30"/>
        <v>5</v>
      </c>
      <c r="U94" s="253">
        <f t="shared" si="31"/>
        <v>-0.67693910260557411</v>
      </c>
      <c r="V94" s="385">
        <f t="shared" si="32"/>
        <v>39.968343468660045</v>
      </c>
      <c r="W94" s="404"/>
      <c r="X94" s="157">
        <f t="shared" si="33"/>
        <v>44276</v>
      </c>
      <c r="Y94" s="387">
        <f t="shared" si="34"/>
        <v>34.633000000000003</v>
      </c>
      <c r="Z94" s="387">
        <f t="shared" si="35"/>
        <v>35.417911344718064</v>
      </c>
      <c r="AA94" s="388">
        <f t="shared" si="36"/>
        <v>40.511471157518919</v>
      </c>
      <c r="AB94" s="199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0.1257312970194491</v>
      </c>
      <c r="AD94" s="233">
        <f>(INDEX(Models!$BJ94:$BT94,,AH94)*(1-AF94)+INDEX(Models!$BJ94:$BT94,,AH94+1)*AF94-ERP_i)*AE94*Ramure*Pc/MaxiM</f>
        <v>6.0577007314986378E-3</v>
      </c>
      <c r="AE94" s="307">
        <f t="shared" si="38"/>
        <v>1</v>
      </c>
      <c r="AF94" s="179">
        <f t="shared" si="39"/>
        <v>0.32306089739442589</v>
      </c>
      <c r="AG94" s="837">
        <f t="shared" si="47"/>
        <v>-1</v>
      </c>
      <c r="AH94" s="178">
        <f t="shared" si="40"/>
        <v>5</v>
      </c>
      <c r="AI94" s="227">
        <f t="shared" si="41"/>
        <v>-0.67693910260557411</v>
      </c>
      <c r="AJ94" s="267" t="b">
        <f t="shared" si="42"/>
        <v>1</v>
      </c>
      <c r="AK94" s="267" t="b">
        <f t="shared" si="43"/>
        <v>0</v>
      </c>
      <c r="AL94" s="267"/>
      <c r="AM94" s="267"/>
      <c r="AN94" s="75"/>
    </row>
    <row r="95" spans="1:40" s="6" customFormat="1" ht="11.25" x14ac:dyDescent="0.2">
      <c r="A95" s="56">
        <f t="shared" si="44"/>
        <v>44277</v>
      </c>
      <c r="B95" s="618">
        <v>32.366999999999997</v>
      </c>
      <c r="C95" s="392"/>
      <c r="D95" s="395">
        <f t="shared" si="24"/>
        <v>33.101325754503769</v>
      </c>
      <c r="E95" s="387">
        <f t="shared" si="45"/>
        <v>37.864099479372236</v>
      </c>
      <c r="F95" s="387">
        <f t="shared" si="25"/>
        <v>38.027650395402404</v>
      </c>
      <c r="G95" s="110">
        <f t="shared" si="46"/>
        <v>0.80057676985581017</v>
      </c>
      <c r="H95" s="414" t="b">
        <f>Wh_hp&gt;='2020'!Maxi_hp</f>
        <v>0</v>
      </c>
      <c r="I95" s="382">
        <f>IF(H95,Wh_hp,'2020'!Maxi_hp)</f>
        <v>46.552413422501928</v>
      </c>
      <c r="J95" s="85">
        <f>IF(H95,An,'2020'!An_max)</f>
        <v>2020</v>
      </c>
      <c r="K95" s="199">
        <f t="shared" si="26"/>
        <v>44277</v>
      </c>
      <c r="L95" s="147">
        <f>IF(t&lt;Tvie,1-EXP((T0-t)*PertePVj)+'2020'!Pspv,1-EXP((T0-t)*PertePVj)+Pspv)</f>
        <v>2.2184179568815576E-2</v>
      </c>
      <c r="M95" s="870"/>
      <c r="N95" s="870"/>
      <c r="O95" s="48">
        <f>IF(t&lt;Tnet,'2020'!Resal+('2020'!Salim-'2020'!Resal)*(1-EXP(('2020'!Tnet-t)/('2020'!Tau_j))),Resal+(Salim-Resal)*(1-EXP((Tnet-t)/(Tau_j))))*Salcycl</f>
        <v>0.12578600284586594</v>
      </c>
      <c r="P95" s="171">
        <f>(INDEX(Models!$BJ95:$BT95,,T95)*(1-R95)+INDEX(Models!$BJ95:$BT95,,T95+1)*R95-ERP_i)*Q95*Ramure*Pc/MaxiM</f>
        <v>5.9978643310904254E-3</v>
      </c>
      <c r="Q95" s="307">
        <f t="shared" si="27"/>
        <v>1</v>
      </c>
      <c r="R95" s="179">
        <f t="shared" si="28"/>
        <v>0.32404201398007049</v>
      </c>
      <c r="S95" s="837">
        <f t="shared" si="29"/>
        <v>-1</v>
      </c>
      <c r="T95" s="178">
        <f t="shared" si="30"/>
        <v>5</v>
      </c>
      <c r="U95" s="253">
        <f t="shared" si="31"/>
        <v>-0.67595798601992951</v>
      </c>
      <c r="V95" s="385">
        <f t="shared" si="32"/>
        <v>40.360695488430828</v>
      </c>
      <c r="W95" s="404"/>
      <c r="X95" s="157">
        <f t="shared" si="33"/>
        <v>44277</v>
      </c>
      <c r="Y95" s="387">
        <f t="shared" si="34"/>
        <v>32.366999999999997</v>
      </c>
      <c r="Z95" s="387">
        <f t="shared" si="35"/>
        <v>33.101325754503769</v>
      </c>
      <c r="AA95" s="388">
        <f t="shared" si="36"/>
        <v>37.864099479372236</v>
      </c>
      <c r="AB95" s="199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0.12578600284586594</v>
      </c>
      <c r="AD95" s="233">
        <f>(INDEX(Models!$BJ95:$BT95,,AH95)*(1-AF95)+INDEX(Models!$BJ95:$BT95,,AH95+1)*AF95-ERP_i)*AE95*Ramure*Pc/MaxiM</f>
        <v>5.9978643310904254E-3</v>
      </c>
      <c r="AE95" s="307">
        <f t="shared" si="38"/>
        <v>1</v>
      </c>
      <c r="AF95" s="179">
        <f t="shared" si="39"/>
        <v>0.32404201398007049</v>
      </c>
      <c r="AG95" s="837">
        <f t="shared" si="47"/>
        <v>-1</v>
      </c>
      <c r="AH95" s="178">
        <f t="shared" si="40"/>
        <v>5</v>
      </c>
      <c r="AI95" s="227">
        <f t="shared" si="41"/>
        <v>-0.67595798601992951</v>
      </c>
      <c r="AJ95" s="267" t="b">
        <f t="shared" si="42"/>
        <v>1</v>
      </c>
      <c r="AK95" s="267" t="b">
        <f t="shared" si="43"/>
        <v>0</v>
      </c>
      <c r="AL95" s="267"/>
      <c r="AM95" s="267"/>
      <c r="AN95" s="75"/>
    </row>
    <row r="96" spans="1:40" s="6" customFormat="1" ht="11.25" x14ac:dyDescent="0.2">
      <c r="A96" s="56">
        <f t="shared" si="44"/>
        <v>44278</v>
      </c>
      <c r="B96" s="618">
        <v>40.332000000000001</v>
      </c>
      <c r="C96" s="392"/>
      <c r="D96" s="395">
        <f t="shared" si="24"/>
        <v>41.247991455710455</v>
      </c>
      <c r="E96" s="387">
        <f t="shared" si="45"/>
        <v>47.18597164138442</v>
      </c>
      <c r="F96" s="387">
        <f t="shared" si="25"/>
        <v>47.463423803411175</v>
      </c>
      <c r="G96" s="110">
        <f t="shared" si="46"/>
        <v>0.98956901162192512</v>
      </c>
      <c r="H96" s="414" t="b">
        <f>Wh_hp&gt;='2020'!Maxi_hp</f>
        <v>1</v>
      </c>
      <c r="I96" s="382">
        <f>IF(H96,Wh_hp,'2020'!Maxi_hp)</f>
        <v>47.463423803411175</v>
      </c>
      <c r="J96" s="85">
        <f>IF(H96,An,'2020'!An_max)</f>
        <v>2021</v>
      </c>
      <c r="K96" s="199">
        <f t="shared" si="26"/>
        <v>44278</v>
      </c>
      <c r="L96" s="147">
        <f>IF(t&lt;Tvie,1-EXP((T0-t)*PertePVj)+'2020'!Pspv,1-EXP((T0-t)*PertePVj)+Pspv)</f>
        <v>2.2206934771453968E-2</v>
      </c>
      <c r="M96" s="870"/>
      <c r="N96" s="870"/>
      <c r="O96" s="48">
        <f>IF(t&lt;Tnet,'2020'!Resal+('2020'!Salim-'2020'!Resal)*(1-EXP(('2020'!Tnet-t)/('2020'!Tau_j))),Resal+(Salim-Resal)*(1-EXP((Tnet-t)/(Tau_j))))*Salcycl</f>
        <v>0.12584206659561639</v>
      </c>
      <c r="P96" s="171">
        <f>(INDEX(Models!$BJ96:$BT96,,T96)*(1-R96)+INDEX(Models!$BJ96:$BT96,,T96+1)*R96-ERP_i)*Q96*Ramure*Pc/MaxiM</f>
        <v>5.9332737888485067E-3</v>
      </c>
      <c r="Q96" s="307">
        <f t="shared" si="27"/>
        <v>1</v>
      </c>
      <c r="R96" s="179">
        <f t="shared" si="28"/>
        <v>0.32506126956328296</v>
      </c>
      <c r="S96" s="837">
        <f t="shared" si="29"/>
        <v>-1</v>
      </c>
      <c r="T96" s="178">
        <f t="shared" si="30"/>
        <v>5</v>
      </c>
      <c r="U96" s="253">
        <f t="shared" si="31"/>
        <v>-0.67493873043671704</v>
      </c>
      <c r="V96" s="385">
        <f t="shared" si="32"/>
        <v>40.753542856655855</v>
      </c>
      <c r="W96" s="404"/>
      <c r="X96" s="157">
        <f t="shared" si="33"/>
        <v>44278</v>
      </c>
      <c r="Y96" s="387">
        <f t="shared" si="34"/>
        <v>40.332000000000001</v>
      </c>
      <c r="Z96" s="387">
        <f t="shared" si="35"/>
        <v>41.247991455710455</v>
      </c>
      <c r="AA96" s="388">
        <f t="shared" si="36"/>
        <v>47.18597164138442</v>
      </c>
      <c r="AB96" s="199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0.12584206659561639</v>
      </c>
      <c r="AD96" s="233">
        <f>(INDEX(Models!$BJ96:$BT96,,AH96)*(1-AF96)+INDEX(Models!$BJ96:$BT96,,AH96+1)*AF96-ERP_i)*AE96*Ramure*Pc/MaxiM</f>
        <v>5.9332737888485067E-3</v>
      </c>
      <c r="AE96" s="307">
        <f t="shared" si="38"/>
        <v>1</v>
      </c>
      <c r="AF96" s="179">
        <f t="shared" si="39"/>
        <v>0.32506126956328296</v>
      </c>
      <c r="AG96" s="837">
        <f t="shared" si="47"/>
        <v>-1</v>
      </c>
      <c r="AH96" s="178">
        <f t="shared" si="40"/>
        <v>5</v>
      </c>
      <c r="AI96" s="227">
        <f t="shared" si="41"/>
        <v>-0.67493873043671704</v>
      </c>
      <c r="AJ96" s="267" t="b">
        <f t="shared" si="42"/>
        <v>1</v>
      </c>
      <c r="AK96" s="267" t="b">
        <f t="shared" si="43"/>
        <v>0</v>
      </c>
      <c r="AL96" s="267"/>
      <c r="AM96" s="267"/>
      <c r="AN96" s="75"/>
    </row>
    <row r="97" spans="1:40" s="6" customFormat="1" ht="11.25" x14ac:dyDescent="0.2">
      <c r="A97" s="56">
        <f t="shared" si="44"/>
        <v>44279</v>
      </c>
      <c r="B97" s="618">
        <v>40.003999999999998</v>
      </c>
      <c r="C97" s="392"/>
      <c r="D97" s="395">
        <f t="shared" si="24"/>
        <v>40.913494271752242</v>
      </c>
      <c r="E97" s="387">
        <f t="shared" si="45"/>
        <v>46.806400771817884</v>
      </c>
      <c r="F97" s="387">
        <f t="shared" si="25"/>
        <v>47.071490576790602</v>
      </c>
      <c r="G97" s="110">
        <f t="shared" si="46"/>
        <v>0.97201531047737577</v>
      </c>
      <c r="H97" s="414" t="b">
        <f>Wh_hp&gt;='2020'!Maxi_hp</f>
        <v>1</v>
      </c>
      <c r="I97" s="382">
        <f>IF(H97,Wh_hp,'2020'!Maxi_hp)</f>
        <v>47.071490576790602</v>
      </c>
      <c r="J97" s="85">
        <f>IF(H97,An,'2020'!An_max)</f>
        <v>2021</v>
      </c>
      <c r="K97" s="199">
        <f t="shared" si="26"/>
        <v>44279</v>
      </c>
      <c r="L97" s="147">
        <f>IF(t&lt;Tvie,1-EXP((T0-t)*PertePVj)+'2020'!Pspv,1-EXP((T0-t)*PertePVj)+Pspv)</f>
        <v>2.2229689444545508E-2</v>
      </c>
      <c r="M97" s="870"/>
      <c r="N97" s="870"/>
      <c r="O97" s="48">
        <f>IF(t&lt;Tnet,'2020'!Resal+('2020'!Salim-'2020'!Resal)*(1-EXP(('2020'!Tnet-t)/('2020'!Tau_j))),Resal+(Salim-Resal)*(1-EXP((Tnet-t)/(Tau_j))))*Salcycl</f>
        <v>0.12589958644318061</v>
      </c>
      <c r="P97" s="171">
        <f>(INDEX(Models!$BJ97:$BT97,,T97)*(1-R97)+INDEX(Models!$BJ97:$BT97,,T97+1)*R97-ERP_i)*Q97*Ramure*Pc/MaxiM</f>
        <v>5.864176576254692E-3</v>
      </c>
      <c r="Q97" s="307">
        <f t="shared" si="27"/>
        <v>1</v>
      </c>
      <c r="R97" s="179">
        <f t="shared" si="28"/>
        <v>0.3261200201968667</v>
      </c>
      <c r="S97" s="837">
        <f t="shared" si="29"/>
        <v>-1</v>
      </c>
      <c r="T97" s="178">
        <f t="shared" si="30"/>
        <v>5</v>
      </c>
      <c r="U97" s="253">
        <f t="shared" si="31"/>
        <v>-0.6738799798031333</v>
      </c>
      <c r="V97" s="385">
        <f t="shared" si="32"/>
        <v>41.146106023436182</v>
      </c>
      <c r="W97" s="404"/>
      <c r="X97" s="157">
        <f t="shared" si="33"/>
        <v>44279</v>
      </c>
      <c r="Y97" s="387">
        <f t="shared" si="34"/>
        <v>40.003999999999998</v>
      </c>
      <c r="Z97" s="387">
        <f t="shared" si="35"/>
        <v>40.913494271752242</v>
      </c>
      <c r="AA97" s="388">
        <f t="shared" si="36"/>
        <v>46.806400771817884</v>
      </c>
      <c r="AB97" s="199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0.12589958644318061</v>
      </c>
      <c r="AD97" s="233">
        <f>(INDEX(Models!$BJ97:$BT97,,AH97)*(1-AF97)+INDEX(Models!$BJ97:$BT97,,AH97+1)*AF97-ERP_i)*AE97*Ramure*Pc/MaxiM</f>
        <v>5.864176576254692E-3</v>
      </c>
      <c r="AE97" s="307">
        <f t="shared" si="38"/>
        <v>1</v>
      </c>
      <c r="AF97" s="179">
        <f t="shared" si="39"/>
        <v>0.3261200201968667</v>
      </c>
      <c r="AG97" s="837">
        <f t="shared" si="47"/>
        <v>-1</v>
      </c>
      <c r="AH97" s="178">
        <f t="shared" si="40"/>
        <v>5</v>
      </c>
      <c r="AI97" s="227">
        <f t="shared" si="41"/>
        <v>-0.6738799798031333</v>
      </c>
      <c r="AJ97" s="267" t="b">
        <f t="shared" si="42"/>
        <v>1</v>
      </c>
      <c r="AK97" s="267" t="b">
        <f t="shared" si="43"/>
        <v>0</v>
      </c>
      <c r="AL97" s="267"/>
      <c r="AM97" s="267"/>
      <c r="AN97" s="75"/>
    </row>
    <row r="98" spans="1:40" s="6" customFormat="1" ht="11.25" x14ac:dyDescent="0.2">
      <c r="A98" s="56">
        <f t="shared" si="44"/>
        <v>44280</v>
      </c>
      <c r="B98" s="618">
        <v>29.972000000000001</v>
      </c>
      <c r="C98" s="392"/>
      <c r="D98" s="395">
        <f t="shared" si="24"/>
        <v>30.654129282603542</v>
      </c>
      <c r="E98" s="387">
        <f t="shared" si="45"/>
        <v>35.07171561628752</v>
      </c>
      <c r="F98" s="387">
        <f t="shared" si="25"/>
        <v>35.194453225425754</v>
      </c>
      <c r="G98" s="110">
        <f t="shared" si="46"/>
        <v>0.71989515889839983</v>
      </c>
      <c r="H98" s="414" t="b">
        <f>Wh_hp&gt;='2020'!Maxi_hp</f>
        <v>0</v>
      </c>
      <c r="I98" s="382">
        <f>IF(H98,Wh_hp,'2020'!Maxi_hp)</f>
        <v>46.669924770661282</v>
      </c>
      <c r="J98" s="85">
        <f>IF(H98,An,'2020'!An_max)</f>
        <v>2020</v>
      </c>
      <c r="K98" s="199">
        <f t="shared" si="26"/>
        <v>44280</v>
      </c>
      <c r="L98" s="147">
        <f>IF(t&lt;Tvie,1-EXP((T0-t)*PertePVj)+'2020'!Pspv,1-EXP((T0-t)*PertePVj)+Pspv)</f>
        <v>2.2252443588102633E-2</v>
      </c>
      <c r="M98" s="870"/>
      <c r="N98" s="870"/>
      <c r="O98" s="48">
        <f>IF(t&lt;Tnet,'2020'!Resal+('2020'!Salim-'2020'!Resal)*(1-EXP(('2020'!Tnet-t)/('2020'!Tau_j))),Resal+(Salim-Resal)*(1-EXP((Tnet-t)/(Tau_j))))*Salcycl</f>
        <v>0.12595866087692689</v>
      </c>
      <c r="P98" s="171">
        <f>(INDEX(Models!$BJ98:$BT98,,T98)*(1-R98)+INDEX(Models!$BJ98:$BT98,,T98+1)*R98-ERP_i)*Q98*Ramure*Pc/MaxiM</f>
        <v>5.7908054155683397E-3</v>
      </c>
      <c r="Q98" s="307">
        <f t="shared" si="27"/>
        <v>1</v>
      </c>
      <c r="R98" s="179">
        <f t="shared" si="28"/>
        <v>0.32721965976621281</v>
      </c>
      <c r="S98" s="837">
        <f t="shared" si="29"/>
        <v>-1</v>
      </c>
      <c r="T98" s="178">
        <f t="shared" si="30"/>
        <v>5</v>
      </c>
      <c r="U98" s="253">
        <f t="shared" si="31"/>
        <v>-0.67278034023378719</v>
      </c>
      <c r="V98" s="385">
        <f t="shared" si="32"/>
        <v>41.537605527676888</v>
      </c>
      <c r="W98" s="404"/>
      <c r="X98" s="157">
        <f t="shared" si="33"/>
        <v>44280</v>
      </c>
      <c r="Y98" s="387">
        <f t="shared" si="34"/>
        <v>29.972000000000001</v>
      </c>
      <c r="Z98" s="387">
        <f t="shared" si="35"/>
        <v>30.654129282603542</v>
      </c>
      <c r="AA98" s="388">
        <f t="shared" si="36"/>
        <v>35.07171561628752</v>
      </c>
      <c r="AB98" s="199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0.12595866087692689</v>
      </c>
      <c r="AD98" s="233">
        <f>(INDEX(Models!$BJ98:$BT98,,AH98)*(1-AF98)+INDEX(Models!$BJ98:$BT98,,AH98+1)*AF98-ERP_i)*AE98*Ramure*Pc/MaxiM</f>
        <v>5.7908054155683397E-3</v>
      </c>
      <c r="AE98" s="307">
        <f t="shared" si="38"/>
        <v>1</v>
      </c>
      <c r="AF98" s="179">
        <f t="shared" si="39"/>
        <v>0.32721965976621281</v>
      </c>
      <c r="AG98" s="837">
        <f t="shared" si="47"/>
        <v>-1</v>
      </c>
      <c r="AH98" s="178">
        <f t="shared" si="40"/>
        <v>5</v>
      </c>
      <c r="AI98" s="227">
        <f t="shared" si="41"/>
        <v>-0.67278034023378719</v>
      </c>
      <c r="AJ98" s="267" t="b">
        <f t="shared" si="42"/>
        <v>1</v>
      </c>
      <c r="AK98" s="267" t="b">
        <f t="shared" si="43"/>
        <v>0</v>
      </c>
      <c r="AL98" s="267"/>
      <c r="AM98" s="267"/>
      <c r="AN98" s="75"/>
    </row>
    <row r="99" spans="1:40" s="6" customFormat="1" ht="11.25" x14ac:dyDescent="0.2">
      <c r="A99" s="56">
        <f t="shared" si="44"/>
        <v>44281</v>
      </c>
      <c r="B99" s="618">
        <v>34.170999999999999</v>
      </c>
      <c r="C99" s="392"/>
      <c r="D99" s="395">
        <f t="shared" si="24"/>
        <v>34.949507164200078</v>
      </c>
      <c r="E99" s="387">
        <f t="shared" si="45"/>
        <v>39.988881562128341</v>
      </c>
      <c r="F99" s="387">
        <f t="shared" si="25"/>
        <v>40.157683128443054</v>
      </c>
      <c r="G99" s="110">
        <f t="shared" si="46"/>
        <v>0.81377093191626304</v>
      </c>
      <c r="H99" s="414" t="b">
        <f>Wh_hp&gt;='2020'!Maxi_hp</f>
        <v>0</v>
      </c>
      <c r="I99" s="382">
        <f>IF(H99,Wh_hp,'2020'!Maxi_hp)</f>
        <v>49.897175948996292</v>
      </c>
      <c r="J99" s="85">
        <f>IF(H99,An,'2020'!An_max)</f>
        <v>2019</v>
      </c>
      <c r="K99" s="199">
        <f t="shared" si="26"/>
        <v>44281</v>
      </c>
      <c r="L99" s="147">
        <f>IF(t&lt;Tvie,1-EXP((T0-t)*PertePVj)+'2020'!Pspv,1-EXP((T0-t)*PertePVj)+Pspv)</f>
        <v>2.2275197202137664E-2</v>
      </c>
      <c r="M99" s="870"/>
      <c r="N99" s="870"/>
      <c r="O99" s="48">
        <f>IF(t&lt;Tnet,'2020'!Resal+('2020'!Salim-'2020'!Resal)*(1-EXP(('2020'!Tnet-t)/('2020'!Tau_j))),Resal+(Salim-Resal)*(1-EXP((Tnet-t)/(Tau_j))))*Salcycl</f>
        <v>0.12601938841672503</v>
      </c>
      <c r="P99" s="171">
        <f>(INDEX(Models!$BJ99:$BT99,,T99)*(1-R99)+INDEX(Models!$BJ99:$BT99,,T99+1)*R99-ERP_i)*Q99*Ramure*Pc/MaxiM</f>
        <v>5.7133782054607776E-3</v>
      </c>
      <c r="Q99" s="307">
        <f t="shared" si="27"/>
        <v>1</v>
      </c>
      <c r="R99" s="179">
        <f t="shared" si="28"/>
        <v>0.32836162016817783</v>
      </c>
      <c r="S99" s="837">
        <f t="shared" si="29"/>
        <v>-1</v>
      </c>
      <c r="T99" s="178">
        <f t="shared" si="30"/>
        <v>5</v>
      </c>
      <c r="U99" s="253">
        <f t="shared" si="31"/>
        <v>-0.67163837983182217</v>
      </c>
      <c r="V99" s="385">
        <f t="shared" si="32"/>
        <v>41.927262024322694</v>
      </c>
      <c r="W99" s="404"/>
      <c r="X99" s="157">
        <f t="shared" si="33"/>
        <v>44281</v>
      </c>
      <c r="Y99" s="387">
        <f t="shared" si="34"/>
        <v>34.170999999999999</v>
      </c>
      <c r="Z99" s="387">
        <f t="shared" si="35"/>
        <v>34.949507164200078</v>
      </c>
      <c r="AA99" s="388">
        <f t="shared" si="36"/>
        <v>39.988881562128341</v>
      </c>
      <c r="AB99" s="199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0.12601938841672503</v>
      </c>
      <c r="AD99" s="233">
        <f>(INDEX(Models!$BJ99:$BT99,,AH99)*(1-AF99)+INDEX(Models!$BJ99:$BT99,,AH99+1)*AF99-ERP_i)*AE99*Ramure*Pc/MaxiM</f>
        <v>5.7133782054607776E-3</v>
      </c>
      <c r="AE99" s="307">
        <f t="shared" si="38"/>
        <v>1</v>
      </c>
      <c r="AF99" s="179">
        <f t="shared" si="39"/>
        <v>0.32836162016817783</v>
      </c>
      <c r="AG99" s="837">
        <f t="shared" si="47"/>
        <v>-1</v>
      </c>
      <c r="AH99" s="178">
        <f t="shared" si="40"/>
        <v>5</v>
      </c>
      <c r="AI99" s="227">
        <f t="shared" si="41"/>
        <v>-0.67163837983182217</v>
      </c>
      <c r="AJ99" s="267" t="b">
        <f t="shared" si="42"/>
        <v>1</v>
      </c>
      <c r="AK99" s="267" t="b">
        <f t="shared" si="43"/>
        <v>0</v>
      </c>
      <c r="AL99" s="267"/>
      <c r="AM99" s="267"/>
      <c r="AN99" s="75"/>
    </row>
    <row r="100" spans="1:40" s="6" customFormat="1" ht="11.25" x14ac:dyDescent="0.2">
      <c r="A100" s="56">
        <f t="shared" si="44"/>
        <v>44282</v>
      </c>
      <c r="B100" s="618">
        <v>35.109000000000002</v>
      </c>
      <c r="C100" s="392"/>
      <c r="D100" s="395">
        <f t="shared" si="24"/>
        <v>35.909712995174736</v>
      </c>
      <c r="E100" s="387">
        <f t="shared" si="45"/>
        <v>41.090477074655389</v>
      </c>
      <c r="F100" s="387">
        <f t="shared" si="25"/>
        <v>41.26631043581488</v>
      </c>
      <c r="G100" s="110">
        <f t="shared" si="46"/>
        <v>0.8285770328671247</v>
      </c>
      <c r="H100" s="414" t="b">
        <f>Wh_hp&gt;='2020'!Maxi_hp</f>
        <v>0</v>
      </c>
      <c r="I100" s="382">
        <f>IF(H100,Wh_hp,'2020'!Maxi_hp)</f>
        <v>49.221953168491268</v>
      </c>
      <c r="J100" s="85">
        <f>IF(H100,An,'2020'!An_max)</f>
        <v>2019</v>
      </c>
      <c r="K100" s="199">
        <f t="shared" si="26"/>
        <v>44282</v>
      </c>
      <c r="L100" s="147">
        <f>IF(t&lt;Tvie,1-EXP((T0-t)*PertePVj)+'2020'!Pspv,1-EXP((T0-t)*PertePVj)+Pspv)</f>
        <v>2.2297950286662704E-2</v>
      </c>
      <c r="M100" s="870"/>
      <c r="N100" s="870"/>
      <c r="O100" s="48">
        <f>IF(t&lt;Tnet,'2020'!Resal+('2020'!Salim-'2020'!Resal)*(1-EXP(('2020'!Tnet-t)/('2020'!Tau_j))),Resal+(Salim-Resal)*(1-EXP((Tnet-t)/(Tau_j))))*Salcycl</f>
        <v>0.12608186734040491</v>
      </c>
      <c r="P100" s="171">
        <f>(INDEX(Models!$BJ100:$BT100,,T100)*(1-R100)+INDEX(Models!$BJ100:$BT100,,T100+1)*R100-ERP_i)*Q100*Ramure*Pc/MaxiM</f>
        <v>5.6306514434367478E-3</v>
      </c>
      <c r="Q100" s="307">
        <f t="shared" si="27"/>
        <v>1</v>
      </c>
      <c r="R100" s="179">
        <f t="shared" si="28"/>
        <v>0.32954737140332824</v>
      </c>
      <c r="S100" s="837">
        <f t="shared" si="29"/>
        <v>-1</v>
      </c>
      <c r="T100" s="178">
        <f t="shared" si="30"/>
        <v>5</v>
      </c>
      <c r="U100" s="253">
        <f t="shared" si="31"/>
        <v>-0.67045262859667176</v>
      </c>
      <c r="V100" s="385">
        <f t="shared" si="32"/>
        <v>42.314357873278652</v>
      </c>
      <c r="W100" s="404"/>
      <c r="X100" s="157">
        <f t="shared" si="33"/>
        <v>44282</v>
      </c>
      <c r="Y100" s="387">
        <f t="shared" si="34"/>
        <v>35.109000000000002</v>
      </c>
      <c r="Z100" s="387">
        <f t="shared" si="35"/>
        <v>35.909712995174736</v>
      </c>
      <c r="AA100" s="388">
        <f t="shared" si="36"/>
        <v>41.090477074655389</v>
      </c>
      <c r="AB100" s="199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0.12608186734040491</v>
      </c>
      <c r="AD100" s="233">
        <f>(INDEX(Models!$BJ100:$BT100,,AH100)*(1-AF100)+INDEX(Models!$BJ100:$BT100,,AH100+1)*AF100-ERP_i)*AE100*Ramure*Pc/MaxiM</f>
        <v>5.6306514434367478E-3</v>
      </c>
      <c r="AE100" s="307">
        <f t="shared" si="38"/>
        <v>1</v>
      </c>
      <c r="AF100" s="179">
        <f t="shared" si="39"/>
        <v>0.32954737140332824</v>
      </c>
      <c r="AG100" s="837">
        <f t="shared" si="47"/>
        <v>-1</v>
      </c>
      <c r="AH100" s="178">
        <f t="shared" si="40"/>
        <v>5</v>
      </c>
      <c r="AI100" s="227">
        <f t="shared" si="41"/>
        <v>-0.67045262859667176</v>
      </c>
      <c r="AJ100" s="267" t="b">
        <f t="shared" si="42"/>
        <v>1</v>
      </c>
      <c r="AK100" s="267" t="b">
        <f t="shared" si="43"/>
        <v>0</v>
      </c>
      <c r="AL100" s="267"/>
      <c r="AM100" s="267"/>
      <c r="AN100" s="75"/>
    </row>
    <row r="101" spans="1:40" s="6" customFormat="1" ht="11.25" x14ac:dyDescent="0.2">
      <c r="A101" s="56">
        <f t="shared" si="44"/>
        <v>44283</v>
      </c>
      <c r="B101" s="618">
        <v>41.093000000000004</v>
      </c>
      <c r="C101" s="392"/>
      <c r="D101" s="395">
        <f t="shared" si="24"/>
        <v>42.031165147343877</v>
      </c>
      <c r="E101" s="387">
        <f t="shared" si="45"/>
        <v>48.098623507784687</v>
      </c>
      <c r="F101" s="387">
        <f t="shared" si="25"/>
        <v>48.35240667023605</v>
      </c>
      <c r="G101" s="110">
        <f t="shared" si="46"/>
        <v>0.96212317633864453</v>
      </c>
      <c r="H101" s="414" t="b">
        <f>Wh_hp&gt;='2020'!Maxi_hp</f>
        <v>1</v>
      </c>
      <c r="I101" s="382">
        <f>IF(H101,Wh_hp,'2020'!Maxi_hp)</f>
        <v>48.35240667023605</v>
      </c>
      <c r="J101" s="85">
        <f>IF(H101,An,'2020'!An_max)</f>
        <v>2021</v>
      </c>
      <c r="K101" s="199">
        <f t="shared" si="26"/>
        <v>44283</v>
      </c>
      <c r="L101" s="147">
        <f>IF(t&lt;Tvie,1-EXP((T0-t)*PertePVj)+'2020'!Pspv,1-EXP((T0-t)*PertePVj)+Pspv)</f>
        <v>2.2320702841690299E-2</v>
      </c>
      <c r="M101" s="870"/>
      <c r="N101" s="870"/>
      <c r="O101" s="48">
        <f>IF(t&lt;Tnet,'2020'!Resal+('2020'!Salim-'2020'!Resal)*(1-EXP(('2020'!Tnet-t)/('2020'!Tau_j))),Resal+(Salim-Resal)*(1-EXP((Tnet-t)/(Tau_j))))*Salcycl</f>
        <v>0.12614619541989183</v>
      </c>
      <c r="P101" s="171">
        <f>(INDEX(Models!$BJ101:$BT101,,T101)*(1-R101)+INDEX(Models!$BJ101:$BT101,,T101+1)*R101-ERP_i)*Q101*Ramure*Pc/MaxiM</f>
        <v>5.5464486844973649E-3</v>
      </c>
      <c r="Q101" s="307">
        <f t="shared" si="27"/>
        <v>1</v>
      </c>
      <c r="R101" s="179">
        <f t="shared" si="28"/>
        <v>0.33077842157285819</v>
      </c>
      <c r="S101" s="837">
        <f t="shared" si="29"/>
        <v>-1</v>
      </c>
      <c r="T101" s="178">
        <f t="shared" si="30"/>
        <v>5</v>
      </c>
      <c r="U101" s="253">
        <f t="shared" si="31"/>
        <v>-0.66922157842714181</v>
      </c>
      <c r="V101" s="385">
        <f t="shared" si="32"/>
        <v>42.69795962800039</v>
      </c>
      <c r="W101" s="404"/>
      <c r="X101" s="157">
        <f t="shared" si="33"/>
        <v>44283</v>
      </c>
      <c r="Y101" s="387">
        <f t="shared" si="34"/>
        <v>41.093000000000004</v>
      </c>
      <c r="Z101" s="387">
        <f t="shared" si="35"/>
        <v>42.031165147343877</v>
      </c>
      <c r="AA101" s="388">
        <f t="shared" si="36"/>
        <v>48.098623507784687</v>
      </c>
      <c r="AB101" s="199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0.12614619541989183</v>
      </c>
      <c r="AD101" s="233">
        <f>(INDEX(Models!$BJ101:$BT101,,AH101)*(1-AF101)+INDEX(Models!$BJ101:$BT101,,AH101+1)*AF101-ERP_i)*AE101*Ramure*Pc/MaxiM</f>
        <v>5.5464486844973649E-3</v>
      </c>
      <c r="AE101" s="307">
        <f t="shared" si="38"/>
        <v>1</v>
      </c>
      <c r="AF101" s="179">
        <f t="shared" si="39"/>
        <v>0.33077842157285819</v>
      </c>
      <c r="AG101" s="837">
        <f t="shared" si="47"/>
        <v>-1</v>
      </c>
      <c r="AH101" s="178">
        <f t="shared" si="40"/>
        <v>5</v>
      </c>
      <c r="AI101" s="227">
        <f t="shared" si="41"/>
        <v>-0.66922157842714181</v>
      </c>
      <c r="AJ101" s="267" t="b">
        <f t="shared" si="42"/>
        <v>1</v>
      </c>
      <c r="AK101" s="267" t="b">
        <f t="shared" si="43"/>
        <v>0</v>
      </c>
      <c r="AL101" s="267"/>
      <c r="AM101" s="267"/>
      <c r="AN101" s="75"/>
    </row>
    <row r="102" spans="1:40" s="6" customFormat="1" ht="11.25" x14ac:dyDescent="0.2">
      <c r="A102" s="56">
        <f t="shared" si="44"/>
        <v>44284</v>
      </c>
      <c r="B102" s="618">
        <v>42.800000000000004</v>
      </c>
      <c r="C102" s="392"/>
      <c r="D102" s="395">
        <f t="shared" si="24"/>
        <v>43.778155235679108</v>
      </c>
      <c r="E102" s="387">
        <f t="shared" si="45"/>
        <v>50.101602181283099</v>
      </c>
      <c r="F102" s="387">
        <f t="shared" si="25"/>
        <v>50.374159928114452</v>
      </c>
      <c r="G102" s="110">
        <f t="shared" si="46"/>
        <v>0.99351283243845911</v>
      </c>
      <c r="H102" s="414" t="b">
        <f>Wh_hp&gt;='2020'!Maxi_hp</f>
        <v>1</v>
      </c>
      <c r="I102" s="382">
        <f>IF(H102,Wh_hp,'2020'!Maxi_hp)</f>
        <v>50.374159928114452</v>
      </c>
      <c r="J102" s="85">
        <f>IF(H102,An,'2020'!An_max)</f>
        <v>2021</v>
      </c>
      <c r="K102" s="199">
        <f t="shared" si="26"/>
        <v>44284</v>
      </c>
      <c r="L102" s="147">
        <f>IF(t&lt;Tvie,1-EXP((T0-t)*PertePVj)+'2020'!Pspv,1-EXP((T0-t)*PertePVj)+Pspv)</f>
        <v>2.234345486723277E-2</v>
      </c>
      <c r="M102" s="870"/>
      <c r="N102" s="870"/>
      <c r="O102" s="48">
        <f>IF(t&lt;Tnet,'2020'!Resal+('2020'!Salim-'2020'!Resal)*(1-EXP(('2020'!Tnet-t)/('2020'!Tau_j))),Resal+(Salim-Resal)*(1-EXP((Tnet-t)/(Tau_j))))*Salcycl</f>
        <v>0.12621246966761265</v>
      </c>
      <c r="P102" s="171">
        <f>(INDEX(Models!$BJ102:$BT102,,T102)*(1-R102)+INDEX(Models!$BJ102:$BT102,,T102+1)*R102-ERP_i)*Q102*Ramure*Pc/MaxiM</f>
        <v>5.4608825863623651E-3</v>
      </c>
      <c r="Q102" s="307">
        <f t="shared" si="27"/>
        <v>1</v>
      </c>
      <c r="R102" s="179">
        <f t="shared" si="28"/>
        <v>0.33205631677099912</v>
      </c>
      <c r="S102" s="837">
        <f t="shared" si="29"/>
        <v>-1</v>
      </c>
      <c r="T102" s="178">
        <f t="shared" si="30"/>
        <v>5</v>
      </c>
      <c r="U102" s="253">
        <f t="shared" si="31"/>
        <v>-0.66794368322900088</v>
      </c>
      <c r="V102" s="385">
        <f t="shared" si="32"/>
        <v>43.077288620772443</v>
      </c>
      <c r="W102" s="404"/>
      <c r="X102" s="157">
        <f t="shared" si="33"/>
        <v>44284</v>
      </c>
      <c r="Y102" s="387">
        <f t="shared" si="34"/>
        <v>42.800000000000004</v>
      </c>
      <c r="Z102" s="387">
        <f t="shared" si="35"/>
        <v>43.778155235679108</v>
      </c>
      <c r="AA102" s="388">
        <f t="shared" si="36"/>
        <v>50.101602181283099</v>
      </c>
      <c r="AB102" s="199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0.12621246966761265</v>
      </c>
      <c r="AD102" s="233">
        <f>(INDEX(Models!$BJ102:$BT102,,AH102)*(1-AF102)+INDEX(Models!$BJ102:$BT102,,AH102+1)*AF102-ERP_i)*AE102*Ramure*Pc/MaxiM</f>
        <v>5.4608825863623651E-3</v>
      </c>
      <c r="AE102" s="307">
        <f t="shared" si="38"/>
        <v>1</v>
      </c>
      <c r="AF102" s="179">
        <f t="shared" si="39"/>
        <v>0.33205631677099912</v>
      </c>
      <c r="AG102" s="837">
        <f t="shared" si="47"/>
        <v>-1</v>
      </c>
      <c r="AH102" s="178">
        <f t="shared" si="40"/>
        <v>5</v>
      </c>
      <c r="AI102" s="227">
        <f t="shared" si="41"/>
        <v>-0.66794368322900088</v>
      </c>
      <c r="AJ102" s="267" t="b">
        <f t="shared" si="42"/>
        <v>1</v>
      </c>
      <c r="AK102" s="267" t="b">
        <f t="shared" si="43"/>
        <v>0</v>
      </c>
      <c r="AL102" s="267"/>
      <c r="AM102" s="267"/>
      <c r="AN102" s="75"/>
    </row>
    <row r="103" spans="1:40" s="6" customFormat="1" ht="11.25" x14ac:dyDescent="0.2">
      <c r="A103" s="56">
        <f t="shared" si="44"/>
        <v>44285</v>
      </c>
      <c r="B103" s="618">
        <v>40.03</v>
      </c>
      <c r="C103" s="392"/>
      <c r="D103" s="395">
        <f t="shared" si="24"/>
        <v>40.945802263128094</v>
      </c>
      <c r="E103" s="387">
        <f t="shared" si="45"/>
        <v>46.863799732703463</v>
      </c>
      <c r="F103" s="387">
        <f t="shared" si="25"/>
        <v>47.08838858765511</v>
      </c>
      <c r="G103" s="110">
        <f t="shared" si="46"/>
        <v>0.92069602200017631</v>
      </c>
      <c r="H103" s="414" t="b">
        <f>Wh_hp&gt;='2020'!Maxi_hp</f>
        <v>0</v>
      </c>
      <c r="I103" s="382">
        <f>IF(H103,Wh_hp,'2020'!Maxi_hp)</f>
        <v>50.454310720909646</v>
      </c>
      <c r="J103" s="85">
        <f>IF(H103,An,'2020'!An_max)</f>
        <v>2019</v>
      </c>
      <c r="K103" s="199">
        <f t="shared" si="26"/>
        <v>44285</v>
      </c>
      <c r="L103" s="147">
        <f>IF(t&lt;Tvie,1-EXP((T0-t)*PertePVj)+'2020'!Pspv,1-EXP((T0-t)*PertePVj)+Pspv)</f>
        <v>2.2366206363302221E-2</v>
      </c>
      <c r="M103" s="870"/>
      <c r="N103" s="870"/>
      <c r="O103" s="48">
        <f>IF(t&lt;Tnet,'2020'!Resal+('2020'!Salim-'2020'!Resal)*(1-EXP(('2020'!Tnet-t)/('2020'!Tau_j))),Resal+(Salim-Resal)*(1-EXP((Tnet-t)/(Tau_j))))*Salcycl</f>
        <v>0.12628078609352597</v>
      </c>
      <c r="P103" s="171">
        <f>(INDEX(Models!$BJ103:$BT103,,T103)*(1-R103)+INDEX(Models!$BJ103:$BT103,,T103+1)*R103-ERP_i)*Q103*Ramure*Pc/MaxiM</f>
        <v>5.3740546462148868E-3</v>
      </c>
      <c r="Q103" s="307">
        <f t="shared" si="27"/>
        <v>1</v>
      </c>
      <c r="R103" s="179">
        <f t="shared" si="28"/>
        <v>0.33338264086326486</v>
      </c>
      <c r="S103" s="837">
        <f t="shared" si="29"/>
        <v>-1</v>
      </c>
      <c r="T103" s="178">
        <f t="shared" si="30"/>
        <v>5</v>
      </c>
      <c r="U103" s="253">
        <f t="shared" si="31"/>
        <v>-0.66661735913673514</v>
      </c>
      <c r="V103" s="385">
        <f t="shared" si="32"/>
        <v>43.451566440606847</v>
      </c>
      <c r="W103" s="404"/>
      <c r="X103" s="157">
        <f t="shared" si="33"/>
        <v>44285</v>
      </c>
      <c r="Y103" s="387">
        <f t="shared" si="34"/>
        <v>40.03</v>
      </c>
      <c r="Z103" s="387">
        <f t="shared" si="35"/>
        <v>40.945802263128094</v>
      </c>
      <c r="AA103" s="388">
        <f t="shared" si="36"/>
        <v>46.863799732703463</v>
      </c>
      <c r="AB103" s="199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0.12628078609352597</v>
      </c>
      <c r="AD103" s="233">
        <f>(INDEX(Models!$BJ103:$BT103,,AH103)*(1-AF103)+INDEX(Models!$BJ103:$BT103,,AH103+1)*AF103-ERP_i)*AE103*Ramure*Pc/MaxiM</f>
        <v>5.3740546462148868E-3</v>
      </c>
      <c r="AE103" s="307">
        <f t="shared" si="38"/>
        <v>1</v>
      </c>
      <c r="AF103" s="179">
        <f t="shared" si="39"/>
        <v>0.33338264086326486</v>
      </c>
      <c r="AG103" s="837">
        <f t="shared" si="47"/>
        <v>-1</v>
      </c>
      <c r="AH103" s="178">
        <f t="shared" si="40"/>
        <v>5</v>
      </c>
      <c r="AI103" s="227">
        <f t="shared" si="41"/>
        <v>-0.66661735913673514</v>
      </c>
      <c r="AJ103" s="267" t="b">
        <f t="shared" si="42"/>
        <v>1</v>
      </c>
      <c r="AK103" s="267" t="b">
        <f t="shared" si="43"/>
        <v>0</v>
      </c>
      <c r="AL103" s="267"/>
      <c r="AM103" s="267"/>
      <c r="AN103" s="75"/>
    </row>
    <row r="104" spans="1:40" s="6" customFormat="1" ht="11.25" x14ac:dyDescent="0.2">
      <c r="A104" s="56">
        <f t="shared" si="44"/>
        <v>44286</v>
      </c>
      <c r="B104" s="618">
        <v>38.808999999999997</v>
      </c>
      <c r="C104" s="392"/>
      <c r="D104" s="395">
        <f t="shared" si="24"/>
        <v>39.697792175099991</v>
      </c>
      <c r="E104" s="387">
        <f t="shared" si="45"/>
        <v>45.439075711787019</v>
      </c>
      <c r="F104" s="387">
        <f t="shared" si="25"/>
        <v>45.640923003520236</v>
      </c>
      <c r="G104" s="110">
        <f t="shared" si="46"/>
        <v>0.88487732596741597</v>
      </c>
      <c r="H104" s="414" t="b">
        <f>Wh_hp&gt;='2020'!Maxi_hp</f>
        <v>1</v>
      </c>
      <c r="I104" s="382">
        <f>IF(H104,Wh_hp,'2020'!Maxi_hp)</f>
        <v>45.640923003520236</v>
      </c>
      <c r="J104" s="85">
        <f>IF(H104,An,'2020'!An_max)</f>
        <v>2021</v>
      </c>
      <c r="K104" s="199">
        <f t="shared" si="26"/>
        <v>44286</v>
      </c>
      <c r="L104" s="147">
        <f>IF(t&lt;Tvie,1-EXP((T0-t)*PertePVj)+'2020'!Pspv,1-EXP((T0-t)*PertePVj)+Pspv)</f>
        <v>2.2388957329911197E-2</v>
      </c>
      <c r="M104" s="870"/>
      <c r="N104" s="870"/>
      <c r="O104" s="48">
        <f>IF(t&lt;Tnet,'2020'!Resal+('2020'!Salim-'2020'!Resal)*(1-EXP(('2020'!Tnet-t)/('2020'!Tau_j))),Resal+(Salim-Resal)*(1-EXP((Tnet-t)/(Tau_j))))*Salcycl</f>
        <v>0.12635123947289537</v>
      </c>
      <c r="P104" s="171">
        <f>(INDEX(Models!$BJ104:$BT104,,T104)*(1-R104)+INDEX(Models!$BJ104:$BT104,,T104+1)*R104-ERP_i)*Q104*Ramure*Pc/MaxiM</f>
        <v>5.2860555362486336E-3</v>
      </c>
      <c r="Q104" s="307">
        <f t="shared" si="27"/>
        <v>1</v>
      </c>
      <c r="R104" s="179">
        <f t="shared" si="28"/>
        <v>0.33475901514039474</v>
      </c>
      <c r="S104" s="837">
        <f t="shared" si="29"/>
        <v>-1</v>
      </c>
      <c r="T104" s="178">
        <f t="shared" si="30"/>
        <v>5</v>
      </c>
      <c r="U104" s="253">
        <f t="shared" si="31"/>
        <v>-0.66524098485960526</v>
      </c>
      <c r="V104" s="385">
        <f t="shared" si="32"/>
        <v>43.820014963406585</v>
      </c>
      <c r="W104" s="404"/>
      <c r="X104" s="157">
        <f t="shared" si="33"/>
        <v>44286</v>
      </c>
      <c r="Y104" s="387">
        <f t="shared" si="34"/>
        <v>38.808999999999997</v>
      </c>
      <c r="Z104" s="387">
        <f t="shared" si="35"/>
        <v>39.697792175099991</v>
      </c>
      <c r="AA104" s="388">
        <f t="shared" si="36"/>
        <v>45.439075711787019</v>
      </c>
      <c r="AB104" s="199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0.12635123947289537</v>
      </c>
      <c r="AD104" s="233">
        <f>(INDEX(Models!$BJ104:$BT104,,AH104)*(1-AF104)+INDEX(Models!$BJ104:$BT104,,AH104+1)*AF104-ERP_i)*AE104*Ramure*Pc/MaxiM</f>
        <v>5.2860555362486336E-3</v>
      </c>
      <c r="AE104" s="307">
        <f t="shared" si="38"/>
        <v>1</v>
      </c>
      <c r="AF104" s="179">
        <f t="shared" si="39"/>
        <v>0.33475901514039474</v>
      </c>
      <c r="AG104" s="837">
        <f t="shared" si="47"/>
        <v>-1</v>
      </c>
      <c r="AH104" s="178">
        <f t="shared" si="40"/>
        <v>5</v>
      </c>
      <c r="AI104" s="227">
        <f t="shared" si="41"/>
        <v>-0.66524098485960526</v>
      </c>
      <c r="AJ104" s="267" t="b">
        <f t="shared" si="42"/>
        <v>1</v>
      </c>
      <c r="AK104" s="267" t="b">
        <f t="shared" si="43"/>
        <v>0</v>
      </c>
      <c r="AL104" s="267"/>
      <c r="AM104" s="267"/>
      <c r="AN104" s="75"/>
    </row>
    <row r="105" spans="1:40" s="6" customFormat="1" ht="11.25" x14ac:dyDescent="0.2">
      <c r="A105" s="56">
        <f t="shared" si="44"/>
        <v>44287</v>
      </c>
      <c r="B105" s="618">
        <v>40.055</v>
      </c>
      <c r="C105" s="392"/>
      <c r="D105" s="395">
        <f t="shared" si="24"/>
        <v>40.973281204615915</v>
      </c>
      <c r="E105" s="387">
        <f t="shared" si="45"/>
        <v>46.902934145327507</v>
      </c>
      <c r="F105" s="387">
        <f t="shared" si="25"/>
        <v>47.115116896132911</v>
      </c>
      <c r="G105" s="110">
        <f t="shared" si="46"/>
        <v>0.90596232687378231</v>
      </c>
      <c r="H105" s="414" t="b">
        <f>Wh_hp&gt;='2020'!Maxi_hp</f>
        <v>0</v>
      </c>
      <c r="I105" s="382">
        <f>IF(H105,Wh_hp,'2020'!Maxi_hp)</f>
        <v>47.789967168011586</v>
      </c>
      <c r="J105" s="85">
        <f>IF(H105,An,'2020'!An_max)</f>
        <v>2020</v>
      </c>
      <c r="K105" s="199">
        <f t="shared" si="26"/>
        <v>44287</v>
      </c>
      <c r="L105" s="147">
        <f>IF(t&lt;Tvie,1-EXP((T0-t)*PertePVj)+'2020'!Pspv,1-EXP((T0-t)*PertePVj)+Pspv)</f>
        <v>2.241170776707202E-2</v>
      </c>
      <c r="M105" s="870"/>
      <c r="N105" s="870"/>
      <c r="O105" s="48">
        <f>IF(t&lt;Tnet,'2020'!Resal+('2020'!Salim-'2020'!Resal)*(1-EXP(('2020'!Tnet-t)/('2020'!Tau_j))),Resal+(Salim-Resal)*(1-EXP((Tnet-t)/(Tau_j))))*Salcycl</f>
        <v>0.12642392312469658</v>
      </c>
      <c r="P105" s="171">
        <f>(INDEX(Models!$BJ105:$BT105,,T105)*(1-R105)+INDEX(Models!$BJ105:$BT105,,T105+1)*R105-ERP_i)*Q105*Ramure*Pc/MaxiM</f>
        <v>5.196965433346603E-3</v>
      </c>
      <c r="Q105" s="307">
        <f t="shared" si="27"/>
        <v>1</v>
      </c>
      <c r="R105" s="179">
        <f t="shared" si="28"/>
        <v>0.33618709783739409</v>
      </c>
      <c r="S105" s="837">
        <f t="shared" si="29"/>
        <v>-1</v>
      </c>
      <c r="T105" s="178">
        <f t="shared" si="30"/>
        <v>5</v>
      </c>
      <c r="U105" s="253">
        <f t="shared" si="31"/>
        <v>-0.66381290216260591</v>
      </c>
      <c r="V105" s="385">
        <f t="shared" si="32"/>
        <v>44.181856401948629</v>
      </c>
      <c r="W105" s="404"/>
      <c r="X105" s="157">
        <f t="shared" si="33"/>
        <v>44287</v>
      </c>
      <c r="Y105" s="387">
        <f t="shared" si="34"/>
        <v>40.055</v>
      </c>
      <c r="Z105" s="387">
        <f t="shared" si="35"/>
        <v>40.973281204615915</v>
      </c>
      <c r="AA105" s="388">
        <f t="shared" si="36"/>
        <v>46.902934145327507</v>
      </c>
      <c r="AB105" s="199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0.12642392312469658</v>
      </c>
      <c r="AD105" s="233">
        <f>(INDEX(Models!$BJ105:$BT105,,AH105)*(1-AF105)+INDEX(Models!$BJ105:$BT105,,AH105+1)*AF105-ERP_i)*AE105*Ramure*Pc/MaxiM</f>
        <v>5.196965433346603E-3</v>
      </c>
      <c r="AE105" s="307">
        <f t="shared" si="38"/>
        <v>1</v>
      </c>
      <c r="AF105" s="179">
        <f t="shared" si="39"/>
        <v>0.33618709783739409</v>
      </c>
      <c r="AG105" s="837">
        <f t="shared" si="47"/>
        <v>-1</v>
      </c>
      <c r="AH105" s="178">
        <f t="shared" si="40"/>
        <v>5</v>
      </c>
      <c r="AI105" s="227">
        <f t="shared" si="41"/>
        <v>-0.66381290216260591</v>
      </c>
      <c r="AJ105" s="267" t="b">
        <f t="shared" si="42"/>
        <v>1</v>
      </c>
      <c r="AK105" s="267" t="b">
        <f t="shared" si="43"/>
        <v>0</v>
      </c>
      <c r="AL105" s="267"/>
      <c r="AM105" s="267"/>
      <c r="AN105" s="75"/>
    </row>
    <row r="106" spans="1:40" s="6" customFormat="1" ht="11.25" x14ac:dyDescent="0.2">
      <c r="A106" s="56">
        <f t="shared" si="44"/>
        <v>44288</v>
      </c>
      <c r="B106" s="618">
        <v>34.615000000000002</v>
      </c>
      <c r="C106" s="392"/>
      <c r="D106" s="395">
        <f t="shared" si="24"/>
        <v>35.40939047183064</v>
      </c>
      <c r="E106" s="387">
        <f t="shared" si="45"/>
        <v>40.537317738083097</v>
      </c>
      <c r="F106" s="387">
        <f t="shared" si="25"/>
        <v>40.67894723561659</v>
      </c>
      <c r="G106" s="110">
        <f t="shared" si="46"/>
        <v>0.77596334557527724</v>
      </c>
      <c r="H106" s="414" t="b">
        <f>Wh_hp&gt;='2020'!Maxi_hp</f>
        <v>0</v>
      </c>
      <c r="I106" s="382">
        <f>IF(H106,Wh_hp,'2020'!Maxi_hp)</f>
        <v>42.365894595773121</v>
      </c>
      <c r="J106" s="85">
        <f>IF(H106,An,'2020'!An_max)</f>
        <v>2020</v>
      </c>
      <c r="K106" s="199">
        <f t="shared" si="26"/>
        <v>44288</v>
      </c>
      <c r="L106" s="147">
        <f>IF(t&lt;Tvie,1-EXP((T0-t)*PertePVj)+'2020'!Pspv,1-EXP((T0-t)*PertePVj)+Pspv)</f>
        <v>2.2434457674796793E-2</v>
      </c>
      <c r="M106" s="870"/>
      <c r="N106" s="870"/>
      <c r="O106" s="48">
        <f>IF(t&lt;Tnet,'2020'!Resal+('2020'!Salim-'2020'!Resal)*(1-EXP(('2020'!Tnet-t)/('2020'!Tau_j))),Resal+(Salim-Resal)*(1-EXP((Tnet-t)/(Tau_j))))*Salcycl</f>
        <v>0.12649892870033158</v>
      </c>
      <c r="P106" s="171">
        <f>(INDEX(Models!$BJ106:$BT106,,T106)*(1-R106)+INDEX(Models!$BJ106:$BT106,,T106+1)*R106-ERP_i)*Q106*Ramure*Pc/MaxiM</f>
        <v>5.1068543424078313E-3</v>
      </c>
      <c r="Q106" s="307">
        <f t="shared" si="27"/>
        <v>1</v>
      </c>
      <c r="R106" s="179">
        <f t="shared" si="28"/>
        <v>0.33766858350660922</v>
      </c>
      <c r="S106" s="837">
        <f t="shared" si="29"/>
        <v>-1</v>
      </c>
      <c r="T106" s="178">
        <f t="shared" si="30"/>
        <v>5</v>
      </c>
      <c r="U106" s="253">
        <f t="shared" si="31"/>
        <v>-0.66233141649339078</v>
      </c>
      <c r="V106" s="385">
        <f t="shared" si="32"/>
        <v>44.536313336220381</v>
      </c>
      <c r="W106" s="404"/>
      <c r="X106" s="157">
        <f t="shared" si="33"/>
        <v>44288</v>
      </c>
      <c r="Y106" s="387">
        <f t="shared" si="34"/>
        <v>34.615000000000002</v>
      </c>
      <c r="Z106" s="387">
        <f t="shared" si="35"/>
        <v>35.40939047183064</v>
      </c>
      <c r="AA106" s="388">
        <f t="shared" si="36"/>
        <v>40.537317738083097</v>
      </c>
      <c r="AB106" s="199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0.12649892870033158</v>
      </c>
      <c r="AD106" s="233">
        <f>(INDEX(Models!$BJ106:$BT106,,AH106)*(1-AF106)+INDEX(Models!$BJ106:$BT106,,AH106+1)*AF106-ERP_i)*AE106*Ramure*Pc/MaxiM</f>
        <v>5.1068543424078313E-3</v>
      </c>
      <c r="AE106" s="307">
        <f t="shared" si="38"/>
        <v>1</v>
      </c>
      <c r="AF106" s="179">
        <f t="shared" si="39"/>
        <v>0.33766858350660922</v>
      </c>
      <c r="AG106" s="837">
        <f t="shared" si="47"/>
        <v>-1</v>
      </c>
      <c r="AH106" s="178">
        <f t="shared" si="40"/>
        <v>5</v>
      </c>
      <c r="AI106" s="227">
        <f t="shared" si="41"/>
        <v>-0.66233141649339078</v>
      </c>
      <c r="AJ106" s="267" t="b">
        <f t="shared" si="42"/>
        <v>1</v>
      </c>
      <c r="AK106" s="267" t="b">
        <f t="shared" si="43"/>
        <v>0</v>
      </c>
      <c r="AL106" s="267"/>
      <c r="AM106" s="267"/>
      <c r="AN106" s="75"/>
    </row>
    <row r="107" spans="1:40" s="6" customFormat="1" ht="11.25" x14ac:dyDescent="0.2">
      <c r="A107" s="56">
        <f t="shared" si="44"/>
        <v>44289</v>
      </c>
      <c r="B107" s="618">
        <v>41.596000000000004</v>
      </c>
      <c r="C107" s="392"/>
      <c r="D107" s="395">
        <f t="shared" si="24"/>
        <v>42.551589864014687</v>
      </c>
      <c r="E107" s="387">
        <f t="shared" si="45"/>
        <v>48.718156038333738</v>
      </c>
      <c r="F107" s="387">
        <f t="shared" si="25"/>
        <v>48.937909271344878</v>
      </c>
      <c r="G107" s="110">
        <f t="shared" si="46"/>
        <v>0.92623164357925059</v>
      </c>
      <c r="H107" s="414" t="b">
        <f>Wh_hp&gt;='2020'!Maxi_hp</f>
        <v>1</v>
      </c>
      <c r="I107" s="382">
        <f>IF(H107,Wh_hp,'2020'!Maxi_hp)</f>
        <v>48.937909271344878</v>
      </c>
      <c r="J107" s="85">
        <f>IF(H107,An,'2020'!An_max)</f>
        <v>2021</v>
      </c>
      <c r="K107" s="199">
        <f t="shared" si="26"/>
        <v>44289</v>
      </c>
      <c r="L107" s="147">
        <f>IF(t&lt;Tvie,1-EXP((T0-t)*PertePVj)+'2020'!Pspv,1-EXP((T0-t)*PertePVj)+Pspv)</f>
        <v>2.2457207053098061E-2</v>
      </c>
      <c r="M107" s="870"/>
      <c r="N107" s="870"/>
      <c r="O107" s="48">
        <f>IF(t&lt;Tnet,'2020'!Resal+('2020'!Salim-'2020'!Resal)*(1-EXP(('2020'!Tnet-t)/('2020'!Tau_j))),Resal+(Salim-Resal)*(1-EXP((Tnet-t)/(Tau_j))))*Salcycl</f>
        <v>0.1265763459821202</v>
      </c>
      <c r="P107" s="171">
        <f>(INDEX(Models!$BJ107:$BT107,,T107)*(1-R107)+INDEX(Models!$BJ107:$BT107,,T107+1)*R107-ERP_i)*Q107*Ramure*Pc/MaxiM</f>
        <v>5.0154980120574568E-3</v>
      </c>
      <c r="Q107" s="307">
        <f t="shared" si="27"/>
        <v>1</v>
      </c>
      <c r="R107" s="179">
        <f t="shared" si="28"/>
        <v>0.33920520223334827</v>
      </c>
      <c r="S107" s="837">
        <f t="shared" si="29"/>
        <v>-1</v>
      </c>
      <c r="T107" s="178">
        <f t="shared" si="30"/>
        <v>5</v>
      </c>
      <c r="U107" s="253">
        <f t="shared" si="31"/>
        <v>-0.66079479776665173</v>
      </c>
      <c r="V107" s="385">
        <f t="shared" si="32"/>
        <v>44.88516655236424</v>
      </c>
      <c r="W107" s="404"/>
      <c r="X107" s="157">
        <f t="shared" si="33"/>
        <v>44289</v>
      </c>
      <c r="Y107" s="387">
        <f t="shared" si="34"/>
        <v>41.596000000000004</v>
      </c>
      <c r="Z107" s="387">
        <f t="shared" si="35"/>
        <v>42.551589864014687</v>
      </c>
      <c r="AA107" s="388">
        <f t="shared" si="36"/>
        <v>48.718156038333738</v>
      </c>
      <c r="AB107" s="199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0.1265763459821202</v>
      </c>
      <c r="AD107" s="233">
        <f>(INDEX(Models!$BJ107:$BT107,,AH107)*(1-AF107)+INDEX(Models!$BJ107:$BT107,,AH107+1)*AF107-ERP_i)*AE107*Ramure*Pc/MaxiM</f>
        <v>5.0154980120574568E-3</v>
      </c>
      <c r="AE107" s="307">
        <f t="shared" si="38"/>
        <v>1</v>
      </c>
      <c r="AF107" s="179">
        <f t="shared" si="39"/>
        <v>0.33920520223334827</v>
      </c>
      <c r="AG107" s="837">
        <f t="shared" si="47"/>
        <v>-1</v>
      </c>
      <c r="AH107" s="178">
        <f t="shared" si="40"/>
        <v>5</v>
      </c>
      <c r="AI107" s="227">
        <f t="shared" si="41"/>
        <v>-0.66079479776665173</v>
      </c>
      <c r="AJ107" s="267" t="b">
        <f t="shared" si="42"/>
        <v>1</v>
      </c>
      <c r="AK107" s="267" t="b">
        <f t="shared" si="43"/>
        <v>0</v>
      </c>
      <c r="AL107" s="267"/>
      <c r="AM107" s="267"/>
      <c r="AN107" s="75"/>
    </row>
    <row r="108" spans="1:40" s="6" customFormat="1" ht="11.25" x14ac:dyDescent="0.2">
      <c r="A108" s="56">
        <f t="shared" si="44"/>
        <v>44290</v>
      </c>
      <c r="B108" s="618">
        <v>42.883000000000003</v>
      </c>
      <c r="C108" s="392"/>
      <c r="D108" s="395">
        <f t="shared" si="24"/>
        <v>43.869177168197588</v>
      </c>
      <c r="E108" s="387">
        <f t="shared" si="45"/>
        <v>50.231283850918281</v>
      </c>
      <c r="F108" s="387">
        <f t="shared" si="25"/>
        <v>50.461166697847609</v>
      </c>
      <c r="G108" s="110">
        <f t="shared" si="46"/>
        <v>0.94774924531078764</v>
      </c>
      <c r="H108" s="414" t="b">
        <f>Wh_hp&gt;='2020'!Maxi_hp</f>
        <v>0</v>
      </c>
      <c r="I108" s="382">
        <f>IF(H108,Wh_hp,'2020'!Maxi_hp)</f>
        <v>53.242583375883534</v>
      </c>
      <c r="J108" s="85">
        <f>IF(H108,An,'2020'!An_max)</f>
        <v>2020</v>
      </c>
      <c r="K108" s="199">
        <f t="shared" si="26"/>
        <v>44290</v>
      </c>
      <c r="L108" s="147">
        <f>IF(t&lt;Tvie,1-EXP((T0-t)*PertePVj)+'2020'!Pspv,1-EXP((T0-t)*PertePVj)+Pspv)</f>
        <v>2.2479955901988036E-2</v>
      </c>
      <c r="M108" s="870"/>
      <c r="N108" s="870"/>
      <c r="O108" s="48">
        <f>IF(t&lt;Tnet,'2020'!Resal+('2020'!Salim-'2020'!Resal)*(1-EXP(('2020'!Tnet-t)/('2020'!Tau_j))),Resal+(Salim-Resal)*(1-EXP((Tnet-t)/(Tau_j))))*Salcycl</f>
        <v>0.12665626269085267</v>
      </c>
      <c r="P108" s="171">
        <f>(INDEX(Models!$BJ108:$BT108,,T108)*(1-R108)+INDEX(Models!$BJ108:$BT108,,T108+1)*R108-ERP_i)*Q108*Ramure*Pc/MaxiM</f>
        <v>4.9204801826332849E-3</v>
      </c>
      <c r="Q108" s="307">
        <f t="shared" si="27"/>
        <v>1</v>
      </c>
      <c r="R108" s="179">
        <f t="shared" si="28"/>
        <v>0.34079871868214195</v>
      </c>
      <c r="S108" s="837">
        <f t="shared" si="29"/>
        <v>-1</v>
      </c>
      <c r="T108" s="178">
        <f t="shared" si="30"/>
        <v>5</v>
      </c>
      <c r="U108" s="253">
        <f t="shared" si="31"/>
        <v>-0.65920128131785805</v>
      </c>
      <c r="V108" s="385">
        <f t="shared" si="32"/>
        <v>45.230616764925855</v>
      </c>
      <c r="W108" s="404"/>
      <c r="X108" s="157">
        <f t="shared" si="33"/>
        <v>44290</v>
      </c>
      <c r="Y108" s="387">
        <f t="shared" si="34"/>
        <v>42.883000000000003</v>
      </c>
      <c r="Z108" s="387">
        <f t="shared" si="35"/>
        <v>43.869177168197588</v>
      </c>
      <c r="AA108" s="388">
        <f t="shared" si="36"/>
        <v>50.231283850918281</v>
      </c>
      <c r="AB108" s="199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0.12665626269085267</v>
      </c>
      <c r="AD108" s="233">
        <f>(INDEX(Models!$BJ108:$BT108,,AH108)*(1-AF108)+INDEX(Models!$BJ108:$BT108,,AH108+1)*AF108-ERP_i)*AE108*Ramure*Pc/MaxiM</f>
        <v>4.9204801826332849E-3</v>
      </c>
      <c r="AE108" s="307">
        <f t="shared" si="38"/>
        <v>1</v>
      </c>
      <c r="AF108" s="179">
        <f t="shared" si="39"/>
        <v>0.34079871868214195</v>
      </c>
      <c r="AG108" s="837">
        <f t="shared" si="47"/>
        <v>-1</v>
      </c>
      <c r="AH108" s="178">
        <f t="shared" si="40"/>
        <v>5</v>
      </c>
      <c r="AI108" s="227">
        <f t="shared" si="41"/>
        <v>-0.65920128131785805</v>
      </c>
      <c r="AJ108" s="267" t="b">
        <f t="shared" si="42"/>
        <v>1</v>
      </c>
      <c r="AK108" s="267" t="b">
        <f t="shared" si="43"/>
        <v>0</v>
      </c>
      <c r="AL108" s="267"/>
      <c r="AM108" s="267"/>
      <c r="AN108" s="75"/>
    </row>
    <row r="109" spans="1:40" s="6" customFormat="1" ht="11.25" x14ac:dyDescent="0.2">
      <c r="A109" s="56">
        <f t="shared" si="44"/>
        <v>44291</v>
      </c>
      <c r="B109" s="618">
        <v>42.069000000000003</v>
      </c>
      <c r="C109" s="392"/>
      <c r="D109" s="395">
        <f t="shared" si="24"/>
        <v>43.037459215162777</v>
      </c>
      <c r="E109" s="387">
        <f t="shared" si="45"/>
        <v>49.283602037755756</v>
      </c>
      <c r="F109" s="387">
        <f t="shared" si="25"/>
        <v>49.496145304943148</v>
      </c>
      <c r="G109" s="110">
        <f t="shared" si="46"/>
        <v>0.92263588284864084</v>
      </c>
      <c r="H109" s="414" t="b">
        <f>Wh_hp&gt;='2020'!Maxi_hp</f>
        <v>0</v>
      </c>
      <c r="I109" s="382">
        <f>IF(H109,Wh_hp,'2020'!Maxi_hp)</f>
        <v>55.141802022819732</v>
      </c>
      <c r="J109" s="85">
        <f>IF(H109,An,'2020'!An_max)</f>
        <v>2020</v>
      </c>
      <c r="K109" s="199">
        <f t="shared" si="26"/>
        <v>44291</v>
      </c>
      <c r="L109" s="147">
        <f>IF(t&lt;Tvie,1-EXP((T0-t)*PertePVj)+'2020'!Pspv,1-EXP((T0-t)*PertePVj)+Pspv)</f>
        <v>2.2502704221479042E-2</v>
      </c>
      <c r="M109" s="870"/>
      <c r="N109" s="870"/>
      <c r="O109" s="48">
        <f>IF(t&lt;Tnet,'2020'!Resal+('2020'!Salim-'2020'!Resal)*(1-EXP(('2020'!Tnet-t)/('2020'!Tau_j))),Resal+(Salim-Resal)*(1-EXP((Tnet-t)/(Tau_j))))*Salcycl</f>
        <v>0.12673876430151879</v>
      </c>
      <c r="P109" s="171">
        <f>(INDEX(Models!$BJ109:$BT109,,T109)*(1-R109)+INDEX(Models!$BJ109:$BT109,,T109+1)*R109-ERP_i)*Q109*Ramure*Pc/MaxiM</f>
        <v>4.8238903801986399E-3</v>
      </c>
      <c r="Q109" s="307">
        <f t="shared" si="27"/>
        <v>1</v>
      </c>
      <c r="R109" s="179">
        <f t="shared" si="28"/>
        <v>0.34245093096136814</v>
      </c>
      <c r="S109" s="837">
        <f t="shared" si="29"/>
        <v>-1</v>
      </c>
      <c r="T109" s="178">
        <f t="shared" si="30"/>
        <v>5</v>
      </c>
      <c r="U109" s="253">
        <f t="shared" si="31"/>
        <v>-0.65754906903863186</v>
      </c>
      <c r="V109" s="385">
        <f t="shared" si="32"/>
        <v>45.572276676677085</v>
      </c>
      <c r="W109" s="404"/>
      <c r="X109" s="157">
        <f t="shared" si="33"/>
        <v>44291</v>
      </c>
      <c r="Y109" s="387">
        <f t="shared" si="34"/>
        <v>42.069000000000003</v>
      </c>
      <c r="Z109" s="387">
        <f t="shared" si="35"/>
        <v>43.037459215162777</v>
      </c>
      <c r="AA109" s="388">
        <f t="shared" si="36"/>
        <v>49.283602037755756</v>
      </c>
      <c r="AB109" s="199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0.12673876430151879</v>
      </c>
      <c r="AD109" s="233">
        <f>(INDEX(Models!$BJ109:$BT109,,AH109)*(1-AF109)+INDEX(Models!$BJ109:$BT109,,AH109+1)*AF109-ERP_i)*AE109*Ramure*Pc/MaxiM</f>
        <v>4.8238903801986399E-3</v>
      </c>
      <c r="AE109" s="307">
        <f t="shared" si="38"/>
        <v>1</v>
      </c>
      <c r="AF109" s="179">
        <f t="shared" si="39"/>
        <v>0.34245093096136814</v>
      </c>
      <c r="AG109" s="837">
        <f t="shared" si="47"/>
        <v>-1</v>
      </c>
      <c r="AH109" s="178">
        <f t="shared" si="40"/>
        <v>5</v>
      </c>
      <c r="AI109" s="227">
        <f t="shared" si="41"/>
        <v>-0.65754906903863186</v>
      </c>
      <c r="AJ109" s="267" t="b">
        <f t="shared" si="42"/>
        <v>1</v>
      </c>
      <c r="AK109" s="267" t="b">
        <f t="shared" si="43"/>
        <v>0</v>
      </c>
      <c r="AL109" s="267"/>
      <c r="AM109" s="267"/>
      <c r="AN109" s="75"/>
    </row>
    <row r="110" spans="1:40" s="6" customFormat="1" ht="11.25" x14ac:dyDescent="0.2">
      <c r="A110" s="56">
        <f t="shared" si="44"/>
        <v>44292</v>
      </c>
      <c r="B110" s="618">
        <v>28.307000000000002</v>
      </c>
      <c r="C110" s="392"/>
      <c r="D110" s="395">
        <f t="shared" si="24"/>
        <v>28.959321813804866</v>
      </c>
      <c r="E110" s="387">
        <f t="shared" si="45"/>
        <v>33.165501136590784</v>
      </c>
      <c r="F110" s="387">
        <f t="shared" si="25"/>
        <v>33.236535688044974</v>
      </c>
      <c r="G110" s="110">
        <f t="shared" si="46"/>
        <v>0.61497846801833289</v>
      </c>
      <c r="H110" s="414" t="b">
        <f>Wh_hp&gt;='2020'!Maxi_hp</f>
        <v>0</v>
      </c>
      <c r="I110" s="382">
        <f>IF(H110,Wh_hp,'2020'!Maxi_hp)</f>
        <v>55.305797154452193</v>
      </c>
      <c r="J110" s="85">
        <f>IF(H110,An,'2020'!An_max)</f>
        <v>2020</v>
      </c>
      <c r="K110" s="199">
        <f t="shared" si="26"/>
        <v>44292</v>
      </c>
      <c r="L110" s="147">
        <f>IF(t&lt;Tvie,1-EXP((T0-t)*PertePVj)+'2020'!Pspv,1-EXP((T0-t)*PertePVj)+Pspv)</f>
        <v>2.2525452011583513E-2</v>
      </c>
      <c r="M110" s="870"/>
      <c r="N110" s="870"/>
      <c r="O110" s="48">
        <f>IF(t&lt;Tnet,'2020'!Resal+('2020'!Salim-'2020'!Resal)*(1-EXP(('2020'!Tnet-t)/('2020'!Tau_j))),Resal+(Salim-Resal)*(1-EXP((Tnet-t)/(Tau_j))))*Salcycl</f>
        <v>0.12682393386618629</v>
      </c>
      <c r="P110" s="171">
        <f>(INDEX(Models!$BJ110:$BT110,,T110)*(1-R110)+INDEX(Models!$BJ110:$BT110,,T110+1)*R110-ERP_i)*Q110*Ramure*Pc/MaxiM</f>
        <v>4.7257563813327659E-3</v>
      </c>
      <c r="Q110" s="307">
        <f t="shared" si="27"/>
        <v>1</v>
      </c>
      <c r="R110" s="179">
        <f t="shared" si="28"/>
        <v>0.34416366929362452</v>
      </c>
      <c r="S110" s="837">
        <f t="shared" si="29"/>
        <v>-1</v>
      </c>
      <c r="T110" s="178">
        <f t="shared" si="30"/>
        <v>5</v>
      </c>
      <c r="U110" s="253">
        <f t="shared" si="31"/>
        <v>-0.65583633070637548</v>
      </c>
      <c r="V110" s="385">
        <f t="shared" si="32"/>
        <v>45.909851288689538</v>
      </c>
      <c r="W110" s="404"/>
      <c r="X110" s="157">
        <f t="shared" si="33"/>
        <v>44292</v>
      </c>
      <c r="Y110" s="387">
        <f t="shared" si="34"/>
        <v>28.307000000000006</v>
      </c>
      <c r="Z110" s="387">
        <f t="shared" si="35"/>
        <v>28.95932181380487</v>
      </c>
      <c r="AA110" s="388">
        <f t="shared" si="36"/>
        <v>33.165501136590784</v>
      </c>
      <c r="AB110" s="199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0.12682393386618629</v>
      </c>
      <c r="AD110" s="233">
        <f>(INDEX(Models!$BJ110:$BT110,,AH110)*(1-AF110)+INDEX(Models!$BJ110:$BT110,,AH110+1)*AF110-ERP_i)*AE110*Ramure*Pc/MaxiM</f>
        <v>4.7257563813327659E-3</v>
      </c>
      <c r="AE110" s="307">
        <f t="shared" si="38"/>
        <v>1</v>
      </c>
      <c r="AF110" s="179">
        <f t="shared" si="39"/>
        <v>0.34416366929362452</v>
      </c>
      <c r="AG110" s="837">
        <f t="shared" si="47"/>
        <v>-1</v>
      </c>
      <c r="AH110" s="178">
        <f t="shared" si="40"/>
        <v>5</v>
      </c>
      <c r="AI110" s="227">
        <f t="shared" si="41"/>
        <v>-0.65583633070637548</v>
      </c>
      <c r="AJ110" s="267" t="b">
        <f t="shared" si="42"/>
        <v>1</v>
      </c>
      <c r="AK110" s="267" t="b">
        <f t="shared" si="43"/>
        <v>0</v>
      </c>
      <c r="AL110" s="267"/>
      <c r="AM110" s="267"/>
      <c r="AN110" s="75"/>
    </row>
    <row r="111" spans="1:40" s="6" customFormat="1" ht="11.25" x14ac:dyDescent="0.2">
      <c r="A111" s="56">
        <f t="shared" si="44"/>
        <v>44293</v>
      </c>
      <c r="B111" s="618">
        <v>45.983000000000004</v>
      </c>
      <c r="C111" s="392"/>
      <c r="D111" s="395">
        <f t="shared" si="24"/>
        <v>47.043751892182208</v>
      </c>
      <c r="E111" s="387">
        <f t="shared" si="45"/>
        <v>53.882018661552252</v>
      </c>
      <c r="F111" s="387">
        <f t="shared" si="25"/>
        <v>54.130419749791777</v>
      </c>
      <c r="G111" s="110">
        <f t="shared" si="46"/>
        <v>0.99433941600122111</v>
      </c>
      <c r="H111" s="414" t="b">
        <f>Wh_hp&gt;='2020'!Maxi_hp</f>
        <v>1</v>
      </c>
      <c r="I111" s="382">
        <f>IF(H111,Wh_hp,'2020'!Maxi_hp)</f>
        <v>54.130419749791777</v>
      </c>
      <c r="J111" s="85">
        <f>IF(H111,An,'2020'!An_max)</f>
        <v>2021</v>
      </c>
      <c r="K111" s="199">
        <f t="shared" si="26"/>
        <v>44293</v>
      </c>
      <c r="L111" s="147">
        <f>IF(t&lt;Tvie,1-EXP((T0-t)*PertePVj)+'2020'!Pspv,1-EXP((T0-t)*PertePVj)+Pspv)</f>
        <v>2.2548199272313552E-2</v>
      </c>
      <c r="M111" s="870"/>
      <c r="N111" s="870"/>
      <c r="O111" s="48">
        <f>IF(t&lt;Tnet,'2020'!Resal+('2020'!Salim-'2020'!Resal)*(1-EXP(('2020'!Tnet-t)/('2020'!Tau_j))),Resal+(Salim-Resal)*(1-EXP((Tnet-t)/(Tau_j))))*Salcycl</f>
        <v>0.12691185184287679</v>
      </c>
      <c r="P111" s="171">
        <f>(INDEX(Models!$BJ111:$BT111,,T111)*(1-R111)+INDEX(Models!$BJ111:$BT111,,T111+1)*R111-ERP_i)*Q111*Ramure*Pc/MaxiM</f>
        <v>4.626100880559798E-3</v>
      </c>
      <c r="Q111" s="307">
        <f t="shared" si="27"/>
        <v>1</v>
      </c>
      <c r="R111" s="179">
        <f t="shared" si="28"/>
        <v>0.34593879447895315</v>
      </c>
      <c r="S111" s="837">
        <f t="shared" si="29"/>
        <v>-1</v>
      </c>
      <c r="T111" s="178">
        <f t="shared" si="30"/>
        <v>5</v>
      </c>
      <c r="U111" s="253">
        <f t="shared" si="31"/>
        <v>-0.65406120552104685</v>
      </c>
      <c r="V111" s="385">
        <f t="shared" si="32"/>
        <v>46.243045862423983</v>
      </c>
      <c r="W111" s="404"/>
      <c r="X111" s="157">
        <f t="shared" si="33"/>
        <v>44293</v>
      </c>
      <c r="Y111" s="387">
        <f t="shared" si="34"/>
        <v>45.983000000000004</v>
      </c>
      <c r="Z111" s="387">
        <f t="shared" si="35"/>
        <v>47.043751892182208</v>
      </c>
      <c r="AA111" s="388">
        <f t="shared" si="36"/>
        <v>53.882018661552252</v>
      </c>
      <c r="AB111" s="199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0.12691185184287679</v>
      </c>
      <c r="AD111" s="233">
        <f>(INDEX(Models!$BJ111:$BT111,,AH111)*(1-AF111)+INDEX(Models!$BJ111:$BT111,,AH111+1)*AF111-ERP_i)*AE111*Ramure*Pc/MaxiM</f>
        <v>4.626100880559798E-3</v>
      </c>
      <c r="AE111" s="307">
        <f t="shared" si="38"/>
        <v>1</v>
      </c>
      <c r="AF111" s="179">
        <f t="shared" si="39"/>
        <v>0.34593879447895315</v>
      </c>
      <c r="AG111" s="837">
        <f t="shared" si="47"/>
        <v>-1</v>
      </c>
      <c r="AH111" s="178">
        <f t="shared" si="40"/>
        <v>5</v>
      </c>
      <c r="AI111" s="227">
        <f t="shared" si="41"/>
        <v>-0.65406120552104685</v>
      </c>
      <c r="AJ111" s="267" t="b">
        <f t="shared" si="42"/>
        <v>1</v>
      </c>
      <c r="AK111" s="267" t="b">
        <f t="shared" si="43"/>
        <v>0</v>
      </c>
      <c r="AL111" s="267"/>
      <c r="AM111" s="267"/>
      <c r="AN111" s="75"/>
    </row>
    <row r="112" spans="1:40" s="6" customFormat="1" ht="11.25" x14ac:dyDescent="0.2">
      <c r="A112" s="56">
        <f t="shared" si="44"/>
        <v>44294</v>
      </c>
      <c r="B112" s="618">
        <v>44.197000000000003</v>
      </c>
      <c r="C112" s="392"/>
      <c r="D112" s="395">
        <f t="shared" si="24"/>
        <v>45.217604100569822</v>
      </c>
      <c r="E112" s="387">
        <f t="shared" si="45"/>
        <v>51.795805909295055</v>
      </c>
      <c r="F112" s="387">
        <f t="shared" si="25"/>
        <v>52.014022850554703</v>
      </c>
      <c r="G112" s="110">
        <f t="shared" si="46"/>
        <v>0.94869843194109316</v>
      </c>
      <c r="H112" s="414" t="b">
        <f>Wh_hp&gt;='2020'!Maxi_hp</f>
        <v>1</v>
      </c>
      <c r="I112" s="382">
        <f>IF(H112,Wh_hp,'2020'!Maxi_hp)</f>
        <v>52.014022850554703</v>
      </c>
      <c r="J112" s="85">
        <f>IF(H112,An,'2020'!An_max)</f>
        <v>2021</v>
      </c>
      <c r="K112" s="199">
        <f t="shared" si="26"/>
        <v>44294</v>
      </c>
      <c r="L112" s="147">
        <f>IF(t&lt;Tvie,1-EXP((T0-t)*PertePVj)+'2020'!Pspv,1-EXP((T0-t)*PertePVj)+Pspv)</f>
        <v>2.2570946003681702E-2</v>
      </c>
      <c r="M112" s="870"/>
      <c r="N112" s="870"/>
      <c r="O112" s="48">
        <f>IF(t&lt;Tnet,'2020'!Resal+('2020'!Salim-'2020'!Resal)*(1-EXP(('2020'!Tnet-t)/('2020'!Tau_j))),Resal+(Salim-Resal)*(1-EXP((Tnet-t)/(Tau_j))))*Salcycl</f>
        <v>0.12700259592919544</v>
      </c>
      <c r="P112" s="171">
        <f>(INDEX(Models!$BJ112:$BT112,,T112)*(1-R112)+INDEX(Models!$BJ112:$BT112,,T112+1)*R112-ERP_i)*Q112*Ramure*Pc/MaxiM</f>
        <v>4.5249415444070639E-3</v>
      </c>
      <c r="Q112" s="307">
        <f t="shared" si="27"/>
        <v>1</v>
      </c>
      <c r="R112" s="179">
        <f t="shared" si="28"/>
        <v>0.34777819613779415</v>
      </c>
      <c r="S112" s="837">
        <f t="shared" si="29"/>
        <v>-1</v>
      </c>
      <c r="T112" s="178">
        <f t="shared" si="30"/>
        <v>5</v>
      </c>
      <c r="U112" s="253">
        <f t="shared" si="31"/>
        <v>-0.65222180386220585</v>
      </c>
      <c r="V112" s="385">
        <f t="shared" si="32"/>
        <v>46.571565955689863</v>
      </c>
      <c r="W112" s="404"/>
      <c r="X112" s="157">
        <f t="shared" si="33"/>
        <v>44294</v>
      </c>
      <c r="Y112" s="387">
        <f t="shared" si="34"/>
        <v>44.197000000000003</v>
      </c>
      <c r="Z112" s="387">
        <f t="shared" si="35"/>
        <v>45.217604100569822</v>
      </c>
      <c r="AA112" s="388">
        <f t="shared" si="36"/>
        <v>51.795805909295055</v>
      </c>
      <c r="AB112" s="199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0.12700259592919544</v>
      </c>
      <c r="AD112" s="233">
        <f>(INDEX(Models!$BJ112:$BT112,,AH112)*(1-AF112)+INDEX(Models!$BJ112:$BT112,,AH112+1)*AF112-ERP_i)*AE112*Ramure*Pc/MaxiM</f>
        <v>4.5249415444070639E-3</v>
      </c>
      <c r="AE112" s="307">
        <f t="shared" si="38"/>
        <v>1</v>
      </c>
      <c r="AF112" s="179">
        <f t="shared" si="39"/>
        <v>0.34777819613779415</v>
      </c>
      <c r="AG112" s="837">
        <f t="shared" si="47"/>
        <v>-1</v>
      </c>
      <c r="AH112" s="178">
        <f t="shared" si="40"/>
        <v>5</v>
      </c>
      <c r="AI112" s="227">
        <f t="shared" si="41"/>
        <v>-0.65222180386220585</v>
      </c>
      <c r="AJ112" s="267" t="b">
        <f t="shared" si="42"/>
        <v>1</v>
      </c>
      <c r="AK112" s="267" t="b">
        <f t="shared" si="43"/>
        <v>0</v>
      </c>
      <c r="AL112" s="267"/>
      <c r="AM112" s="267"/>
      <c r="AN112" s="75"/>
    </row>
    <row r="113" spans="1:40" s="6" customFormat="1" ht="11.25" x14ac:dyDescent="0.2">
      <c r="A113" s="56">
        <f t="shared" si="44"/>
        <v>44295</v>
      </c>
      <c r="B113" s="618">
        <v>26.923999999999999</v>
      </c>
      <c r="C113" s="392"/>
      <c r="D113" s="395">
        <f t="shared" si="24"/>
        <v>27.546374302370772</v>
      </c>
      <c r="E113" s="387">
        <f t="shared" si="45"/>
        <v>31.557172271492242</v>
      </c>
      <c r="F113" s="387">
        <f t="shared" si="25"/>
        <v>31.611919268419737</v>
      </c>
      <c r="G113" s="110">
        <f t="shared" si="46"/>
        <v>0.5725849143828533</v>
      </c>
      <c r="H113" s="414" t="b">
        <f>Wh_hp&gt;='2020'!Maxi_hp</f>
        <v>0</v>
      </c>
      <c r="I113" s="382">
        <f>IF(H113,Wh_hp,'2020'!Maxi_hp)</f>
        <v>51.39394262397834</v>
      </c>
      <c r="J113" s="85">
        <f>IF(H113,An,'2020'!An_max)</f>
        <v>2020</v>
      </c>
      <c r="K113" s="199">
        <f t="shared" si="26"/>
        <v>44295</v>
      </c>
      <c r="L113" s="147">
        <f>IF(t&lt;Tvie,1-EXP((T0-t)*PertePVj)+'2020'!Pspv,1-EXP((T0-t)*PertePVj)+Pspv)</f>
        <v>2.2593692205700178E-2</v>
      </c>
      <c r="M113" s="870"/>
      <c r="N113" s="870"/>
      <c r="O113" s="48">
        <f>IF(t&lt;Tnet,'2020'!Resal+('2020'!Salim-'2020'!Resal)*(1-EXP(('2020'!Tnet-t)/('2020'!Tau_j))),Resal+(Salim-Resal)*(1-EXP((Tnet-t)/(Tau_j))))*Salcycl</f>
        <v>0.12709624089940089</v>
      </c>
      <c r="P113" s="171">
        <f>(INDEX(Models!$BJ113:$BT113,,T113)*(1-R113)+INDEX(Models!$BJ113:$BT113,,T113+1)*R113-ERP_i)*Q113*Ramure*Pc/MaxiM</f>
        <v>4.4222910586329562E-3</v>
      </c>
      <c r="Q113" s="307">
        <f t="shared" si="27"/>
        <v>1</v>
      </c>
      <c r="R113" s="179">
        <f t="shared" si="28"/>
        <v>0.34968379072038658</v>
      </c>
      <c r="S113" s="837">
        <f t="shared" si="29"/>
        <v>-1</v>
      </c>
      <c r="T113" s="178">
        <f t="shared" si="30"/>
        <v>5</v>
      </c>
      <c r="U113" s="253">
        <f t="shared" si="31"/>
        <v>-0.65031620927961342</v>
      </c>
      <c r="V113" s="385">
        <f t="shared" si="32"/>
        <v>46.895117444258645</v>
      </c>
      <c r="W113" s="404"/>
      <c r="X113" s="157">
        <f t="shared" si="33"/>
        <v>44295</v>
      </c>
      <c r="Y113" s="387">
        <f t="shared" si="34"/>
        <v>26.923999999999999</v>
      </c>
      <c r="Z113" s="387">
        <f t="shared" si="35"/>
        <v>27.546374302370772</v>
      </c>
      <c r="AA113" s="388">
        <f t="shared" si="36"/>
        <v>31.557172271492242</v>
      </c>
      <c r="AB113" s="199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0.12709624089940089</v>
      </c>
      <c r="AD113" s="233">
        <f>(INDEX(Models!$BJ113:$BT113,,AH113)*(1-AF113)+INDEX(Models!$BJ113:$BT113,,AH113+1)*AF113-ERP_i)*AE113*Ramure*Pc/MaxiM</f>
        <v>4.4222910586329562E-3</v>
      </c>
      <c r="AE113" s="307">
        <f t="shared" si="38"/>
        <v>1</v>
      </c>
      <c r="AF113" s="179">
        <f t="shared" si="39"/>
        <v>0.34968379072038658</v>
      </c>
      <c r="AG113" s="837">
        <f t="shared" si="47"/>
        <v>-1</v>
      </c>
      <c r="AH113" s="178">
        <f t="shared" si="40"/>
        <v>5</v>
      </c>
      <c r="AI113" s="227">
        <f t="shared" si="41"/>
        <v>-0.65031620927961342</v>
      </c>
      <c r="AJ113" s="267" t="b">
        <f t="shared" si="42"/>
        <v>1</v>
      </c>
      <c r="AK113" s="267" t="b">
        <f t="shared" si="43"/>
        <v>0</v>
      </c>
      <c r="AL113" s="267"/>
      <c r="AM113" s="267"/>
      <c r="AN113" s="75"/>
    </row>
    <row r="114" spans="1:40" s="6" customFormat="1" ht="11.25" x14ac:dyDescent="0.2">
      <c r="A114" s="56">
        <f t="shared" si="44"/>
        <v>44296</v>
      </c>
      <c r="B114" s="618">
        <v>26.733000000000001</v>
      </c>
      <c r="C114" s="392"/>
      <c r="D114" s="395">
        <f t="shared" si="24"/>
        <v>27.351595664214305</v>
      </c>
      <c r="E114" s="387">
        <f t="shared" si="45"/>
        <v>31.337502137573534</v>
      </c>
      <c r="F114" s="387">
        <f t="shared" si="25"/>
        <v>31.389028396227598</v>
      </c>
      <c r="G114" s="110">
        <f t="shared" si="46"/>
        <v>0.56469825435084353</v>
      </c>
      <c r="H114" s="414" t="b">
        <f>Wh_hp&gt;='2020'!Maxi_hp</f>
        <v>0</v>
      </c>
      <c r="I114" s="382">
        <f>IF(H114,Wh_hp,'2020'!Maxi_hp)</f>
        <v>54.179561850522894</v>
      </c>
      <c r="J114" s="85">
        <f>IF(H114,An,'2020'!An_max)</f>
        <v>2020</v>
      </c>
      <c r="K114" s="199">
        <f t="shared" si="26"/>
        <v>44296</v>
      </c>
      <c r="L114" s="147">
        <f>IF(t&lt;Tvie,1-EXP((T0-t)*PertePVj)+'2020'!Pspv,1-EXP((T0-t)*PertePVj)+Pspv)</f>
        <v>2.261643787838119E-2</v>
      </c>
      <c r="M114" s="870"/>
      <c r="N114" s="870"/>
      <c r="O114" s="48">
        <f>IF(t&lt;Tnet,'2020'!Resal+('2020'!Salim-'2020'!Resal)*(1-EXP(('2020'!Tnet-t)/('2020'!Tau_j))),Resal+(Salim-Resal)*(1-EXP((Tnet-t)/(Tau_j))))*Salcycl</f>
        <v>0.12719285844356251</v>
      </c>
      <c r="P114" s="171">
        <f>(INDEX(Models!$BJ114:$BT114,,T114)*(1-R114)+INDEX(Models!$BJ114:$BT114,,T114+1)*R114-ERP_i)*Q114*Ramure*Pc/MaxiM</f>
        <v>4.3163418223146214E-3</v>
      </c>
      <c r="Q114" s="307">
        <f t="shared" si="27"/>
        <v>1</v>
      </c>
      <c r="R114" s="179">
        <f t="shared" si="28"/>
        <v>0.35165751926926614</v>
      </c>
      <c r="S114" s="837">
        <f t="shared" si="29"/>
        <v>-1</v>
      </c>
      <c r="T114" s="178">
        <f t="shared" si="30"/>
        <v>5</v>
      </c>
      <c r="U114" s="253">
        <f t="shared" si="31"/>
        <v>-0.64834248073073386</v>
      </c>
      <c r="V114" s="385">
        <f t="shared" si="32"/>
        <v>47.213492642009683</v>
      </c>
      <c r="W114" s="404"/>
      <c r="X114" s="157">
        <f t="shared" si="33"/>
        <v>44296</v>
      </c>
      <c r="Y114" s="387">
        <f t="shared" si="34"/>
        <v>26.733000000000001</v>
      </c>
      <c r="Z114" s="387">
        <f t="shared" si="35"/>
        <v>27.351595664214305</v>
      </c>
      <c r="AA114" s="388">
        <f t="shared" si="36"/>
        <v>31.337502137573534</v>
      </c>
      <c r="AB114" s="199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0.12719285844356251</v>
      </c>
      <c r="AD114" s="233">
        <f>(INDEX(Models!$BJ114:$BT114,,AH114)*(1-AF114)+INDEX(Models!$BJ114:$BT114,,AH114+1)*AF114-ERP_i)*AE114*Ramure*Pc/MaxiM</f>
        <v>4.3163418223146214E-3</v>
      </c>
      <c r="AE114" s="307">
        <f t="shared" si="38"/>
        <v>1</v>
      </c>
      <c r="AF114" s="179">
        <f t="shared" si="39"/>
        <v>0.35165751926926614</v>
      </c>
      <c r="AG114" s="837">
        <f t="shared" si="47"/>
        <v>-1</v>
      </c>
      <c r="AH114" s="178">
        <f t="shared" si="40"/>
        <v>5</v>
      </c>
      <c r="AI114" s="227">
        <f t="shared" si="41"/>
        <v>-0.64834248073073386</v>
      </c>
      <c r="AJ114" s="267" t="b">
        <f t="shared" si="42"/>
        <v>1</v>
      </c>
      <c r="AK114" s="267" t="b">
        <f t="shared" si="43"/>
        <v>0</v>
      </c>
      <c r="AL114" s="267"/>
      <c r="AM114" s="267"/>
      <c r="AN114" s="75"/>
    </row>
    <row r="115" spans="1:40" s="6" customFormat="1" ht="11.25" x14ac:dyDescent="0.2">
      <c r="A115" s="56">
        <f t="shared" si="44"/>
        <v>44297</v>
      </c>
      <c r="B115" s="618">
        <v>6.8520000000000003</v>
      </c>
      <c r="C115" s="392"/>
      <c r="D115" s="395">
        <f t="shared" si="24"/>
        <v>7.0107169030824714</v>
      </c>
      <c r="E115" s="387">
        <f t="shared" si="45"/>
        <v>8.0332952790119094</v>
      </c>
      <c r="F115" s="387">
        <f t="shared" si="25"/>
        <v>8.0332952790119094</v>
      </c>
      <c r="G115" s="110">
        <f t="shared" si="46"/>
        <v>0.14356595482972306</v>
      </c>
      <c r="H115" s="414" t="b">
        <f>Wh_hp&gt;='2020'!Maxi_hp</f>
        <v>0</v>
      </c>
      <c r="I115" s="382">
        <f>IF(H115,Wh_hp,'2020'!Maxi_hp)</f>
        <v>55.108352473035232</v>
      </c>
      <c r="J115" s="85">
        <f>IF(H115,An,'2020'!An_max)</f>
        <v>2020</v>
      </c>
      <c r="K115" s="199">
        <f t="shared" si="26"/>
        <v>44297</v>
      </c>
      <c r="L115" s="147">
        <f>IF(t&lt;Tvie,1-EXP((T0-t)*PertePVj)+'2020'!Pspv,1-EXP((T0-t)*PertePVj)+Pspv)</f>
        <v>2.2639183021737286E-2</v>
      </c>
      <c r="M115" s="870"/>
      <c r="N115" s="870"/>
      <c r="O115" s="48">
        <f>IF(t&lt;Tnet,'2020'!Resal+('2020'!Salim-'2020'!Resal)*(1-EXP(('2020'!Tnet-t)/('2020'!Tau_j))),Resal+(Salim-Resal)*(1-EXP((Tnet-t)/(Tau_j))))*Salcycl</f>
        <v>0.12729251700744337</v>
      </c>
      <c r="P115" s="171">
        <f>(INDEX(Models!$BJ115:$BT115,,T115)*(1-R115)+INDEX(Models!$BJ115:$BT115,,T115+1)*R115-ERP_i)*Q115*Ramure*Pc/MaxiM</f>
        <v>4.2084437203434473E-3</v>
      </c>
      <c r="Q115" s="307">
        <f t="shared" si="27"/>
        <v>1</v>
      </c>
      <c r="R115" s="179">
        <f t="shared" si="28"/>
        <v>0.35370134492152205</v>
      </c>
      <c r="S115" s="837">
        <f t="shared" si="29"/>
        <v>-1</v>
      </c>
      <c r="T115" s="178">
        <f t="shared" si="30"/>
        <v>5</v>
      </c>
      <c r="U115" s="253">
        <f t="shared" si="31"/>
        <v>-0.64629865507847795</v>
      </c>
      <c r="V115" s="385">
        <f t="shared" si="32"/>
        <v>47.526335555813667</v>
      </c>
      <c r="W115" s="404"/>
      <c r="X115" s="157">
        <f t="shared" si="33"/>
        <v>44297</v>
      </c>
      <c r="Y115" s="387">
        <f t="shared" si="34"/>
        <v>6.8520000000000003</v>
      </c>
      <c r="Z115" s="387">
        <f t="shared" si="35"/>
        <v>7.0107169030824714</v>
      </c>
      <c r="AA115" s="388">
        <f t="shared" si="36"/>
        <v>8.0332952790119094</v>
      </c>
      <c r="AB115" s="199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0.12729251700744337</v>
      </c>
      <c r="AD115" s="233">
        <f>(INDEX(Models!$BJ115:$BT115,,AH115)*(1-AF115)+INDEX(Models!$BJ115:$BT115,,AH115+1)*AF115-ERP_i)*AE115*Ramure*Pc/MaxiM</f>
        <v>4.2084437203434473E-3</v>
      </c>
      <c r="AE115" s="307">
        <f t="shared" si="38"/>
        <v>1</v>
      </c>
      <c r="AF115" s="179">
        <f t="shared" si="39"/>
        <v>0.35370134492152205</v>
      </c>
      <c r="AG115" s="837">
        <f t="shared" si="47"/>
        <v>-1</v>
      </c>
      <c r="AH115" s="178">
        <f t="shared" si="40"/>
        <v>5</v>
      </c>
      <c r="AI115" s="227">
        <f t="shared" si="41"/>
        <v>-0.64629865507847795</v>
      </c>
      <c r="AJ115" s="267" t="b">
        <f t="shared" si="42"/>
        <v>1</v>
      </c>
      <c r="AK115" s="267" t="b">
        <f t="shared" si="43"/>
        <v>0</v>
      </c>
      <c r="AL115" s="267"/>
      <c r="AM115" s="267"/>
      <c r="AN115" s="75"/>
    </row>
    <row r="116" spans="1:40" s="6" customFormat="1" ht="11.25" x14ac:dyDescent="0.2">
      <c r="A116" s="56">
        <f t="shared" si="44"/>
        <v>44298</v>
      </c>
      <c r="B116" s="618">
        <v>38.105000000000004</v>
      </c>
      <c r="C116" s="392"/>
      <c r="D116" s="395">
        <f t="shared" si="24"/>
        <v>38.988555830862602</v>
      </c>
      <c r="E116" s="387">
        <f t="shared" si="45"/>
        <v>44.680661254927557</v>
      </c>
      <c r="F116" s="387">
        <f t="shared" si="25"/>
        <v>44.8109617283001</v>
      </c>
      <c r="G116" s="110">
        <f t="shared" si="46"/>
        <v>0.7956684793220411</v>
      </c>
      <c r="H116" s="414" t="b">
        <f>Wh_hp&gt;='2020'!Maxi_hp</f>
        <v>0</v>
      </c>
      <c r="I116" s="382">
        <f>IF(H116,Wh_hp,'2020'!Maxi_hp)</f>
        <v>55.432889188888424</v>
      </c>
      <c r="J116" s="85">
        <f>IF(H116,An,'2020'!An_max)</f>
        <v>2019</v>
      </c>
      <c r="K116" s="199">
        <f t="shared" si="26"/>
        <v>44298</v>
      </c>
      <c r="L116" s="147">
        <f>IF(t&lt;Tvie,1-EXP((T0-t)*PertePVj)+'2020'!Pspv,1-EXP((T0-t)*PertePVj)+Pspv)</f>
        <v>2.2661927635780565E-2</v>
      </c>
      <c r="M116" s="870"/>
      <c r="N116" s="870"/>
      <c r="O116" s="48">
        <f>IF(t&lt;Tnet,'2020'!Resal+('2020'!Salim-'2020'!Resal)*(1-EXP(('2020'!Tnet-t)/('2020'!Tau_j))),Resal+(Salim-Resal)*(1-EXP((Tnet-t)/(Tau_j))))*Salcycl</f>
        <v>0.12739528163176431</v>
      </c>
      <c r="P116" s="171">
        <f>(INDEX(Models!$BJ116:$BT116,,T116)*(1-R116)+INDEX(Models!$BJ116:$BT116,,T116+1)*R116-ERP_i)*Q116*Ramure*Pc/MaxiM</f>
        <v>4.0986012761440689E-3</v>
      </c>
      <c r="Q116" s="307">
        <f t="shared" si="27"/>
        <v>1</v>
      </c>
      <c r="R116" s="179">
        <f t="shared" si="28"/>
        <v>0.35581725013760168</v>
      </c>
      <c r="S116" s="837">
        <f t="shared" si="29"/>
        <v>-1</v>
      </c>
      <c r="T116" s="178">
        <f t="shared" si="30"/>
        <v>5</v>
      </c>
      <c r="U116" s="253">
        <f t="shared" si="31"/>
        <v>-0.64418274986239832</v>
      </c>
      <c r="V116" s="385">
        <f t="shared" si="32"/>
        <v>47.833353290176277</v>
      </c>
      <c r="W116" s="404"/>
      <c r="X116" s="157">
        <f t="shared" si="33"/>
        <v>44298</v>
      </c>
      <c r="Y116" s="387">
        <f t="shared" si="34"/>
        <v>38.105000000000004</v>
      </c>
      <c r="Z116" s="387">
        <f t="shared" si="35"/>
        <v>38.988555830862602</v>
      </c>
      <c r="AA116" s="388">
        <f t="shared" si="36"/>
        <v>44.680661254927557</v>
      </c>
      <c r="AB116" s="199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0.12739528163176431</v>
      </c>
      <c r="AD116" s="233">
        <f>(INDEX(Models!$BJ116:$BT116,,AH116)*(1-AF116)+INDEX(Models!$BJ116:$BT116,,AH116+1)*AF116-ERP_i)*AE116*Ramure*Pc/MaxiM</f>
        <v>4.0986012761440689E-3</v>
      </c>
      <c r="AE116" s="307">
        <f t="shared" si="38"/>
        <v>1</v>
      </c>
      <c r="AF116" s="179">
        <f t="shared" si="39"/>
        <v>0.35581725013760168</v>
      </c>
      <c r="AG116" s="837">
        <f t="shared" si="47"/>
        <v>-1</v>
      </c>
      <c r="AH116" s="178">
        <f t="shared" si="40"/>
        <v>5</v>
      </c>
      <c r="AI116" s="227">
        <f t="shared" si="41"/>
        <v>-0.64418274986239832</v>
      </c>
      <c r="AJ116" s="267" t="b">
        <f t="shared" si="42"/>
        <v>1</v>
      </c>
      <c r="AK116" s="267" t="b">
        <f t="shared" si="43"/>
        <v>0</v>
      </c>
      <c r="AL116" s="267"/>
      <c r="AM116" s="267"/>
      <c r="AN116" s="75"/>
    </row>
    <row r="117" spans="1:40" s="6" customFormat="1" ht="11.25" x14ac:dyDescent="0.2">
      <c r="A117" s="56">
        <f t="shared" si="44"/>
        <v>44299</v>
      </c>
      <c r="B117" s="618">
        <v>42.017000000000003</v>
      </c>
      <c r="C117" s="392"/>
      <c r="D117" s="395">
        <f t="shared" si="24"/>
        <v>42.992265427750127</v>
      </c>
      <c r="E117" s="387">
        <f t="shared" si="45"/>
        <v>49.274871331890246</v>
      </c>
      <c r="F117" s="387">
        <f t="shared" si="25"/>
        <v>49.436181307086564</v>
      </c>
      <c r="G117" s="110">
        <f t="shared" si="46"/>
        <v>0.87227877768896345</v>
      </c>
      <c r="H117" s="414" t="b">
        <f>Wh_hp&gt;='2020'!Maxi_hp</f>
        <v>0</v>
      </c>
      <c r="I117" s="382">
        <f>IF(H117,Wh_hp,'2020'!Maxi_hp)</f>
        <v>56.418752922877168</v>
      </c>
      <c r="J117" s="85">
        <f>IF(H117,An,'2020'!An_max)</f>
        <v>2019</v>
      </c>
      <c r="K117" s="199">
        <f t="shared" si="26"/>
        <v>44299</v>
      </c>
      <c r="L117" s="147">
        <f>IF(t&lt;Tvie,1-EXP((T0-t)*PertePVj)+'2020'!Pspv,1-EXP((T0-t)*PertePVj)+Pspv)</f>
        <v>2.2684671720523575E-2</v>
      </c>
      <c r="M117" s="870"/>
      <c r="N117" s="870"/>
      <c r="O117" s="48">
        <f>IF(t&lt;Tnet,'2020'!Resal+('2020'!Salim-'2020'!Resal)*(1-EXP(('2020'!Tnet-t)/('2020'!Tau_j))),Resal+(Salim-Resal)*(1-EXP((Tnet-t)/(Tau_j))))*Salcycl</f>
        <v>0.12750121378955431</v>
      </c>
      <c r="P117" s="171">
        <f>(INDEX(Models!$BJ117:$BT117,,T117)*(1-R117)+INDEX(Models!$BJ117:$BT117,,T117+1)*R117-ERP_i)*Q117*Ramure*Pc/MaxiM</f>
        <v>3.9868134609288945E-3</v>
      </c>
      <c r="Q117" s="307">
        <f t="shared" si="27"/>
        <v>1</v>
      </c>
      <c r="R117" s="179">
        <f t="shared" si="28"/>
        <v>0.35800723364369191</v>
      </c>
      <c r="S117" s="837">
        <f t="shared" si="29"/>
        <v>-1</v>
      </c>
      <c r="T117" s="178">
        <f t="shared" si="30"/>
        <v>5</v>
      </c>
      <c r="U117" s="253">
        <f t="shared" si="31"/>
        <v>-0.64199276635630809</v>
      </c>
      <c r="V117" s="385">
        <f t="shared" si="32"/>
        <v>48.134253406868581</v>
      </c>
      <c r="W117" s="404"/>
      <c r="X117" s="157">
        <f t="shared" si="33"/>
        <v>44299</v>
      </c>
      <c r="Y117" s="387">
        <f t="shared" si="34"/>
        <v>42.017000000000003</v>
      </c>
      <c r="Z117" s="387">
        <f t="shared" si="35"/>
        <v>42.992265427750127</v>
      </c>
      <c r="AA117" s="388">
        <f t="shared" si="36"/>
        <v>49.274871331890246</v>
      </c>
      <c r="AB117" s="199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0.12750121378955431</v>
      </c>
      <c r="AD117" s="233">
        <f>(INDEX(Models!$BJ117:$BT117,,AH117)*(1-AF117)+INDEX(Models!$BJ117:$BT117,,AH117+1)*AF117-ERP_i)*AE117*Ramure*Pc/MaxiM</f>
        <v>3.9868134609288945E-3</v>
      </c>
      <c r="AE117" s="307">
        <f t="shared" si="38"/>
        <v>1</v>
      </c>
      <c r="AF117" s="179">
        <f t="shared" si="39"/>
        <v>0.35800723364369191</v>
      </c>
      <c r="AG117" s="837">
        <f t="shared" si="47"/>
        <v>-1</v>
      </c>
      <c r="AH117" s="178">
        <f t="shared" si="40"/>
        <v>5</v>
      </c>
      <c r="AI117" s="227">
        <f t="shared" si="41"/>
        <v>-0.64199276635630809</v>
      </c>
      <c r="AJ117" s="267" t="b">
        <f t="shared" si="42"/>
        <v>1</v>
      </c>
      <c r="AK117" s="267" t="b">
        <f t="shared" si="43"/>
        <v>0</v>
      </c>
      <c r="AL117" s="267"/>
      <c r="AM117" s="267"/>
      <c r="AN117" s="75"/>
    </row>
    <row r="118" spans="1:40" s="6" customFormat="1" ht="11.25" x14ac:dyDescent="0.2">
      <c r="A118" s="56">
        <f t="shared" si="44"/>
        <v>44300</v>
      </c>
      <c r="B118" s="618">
        <v>47.728999999999999</v>
      </c>
      <c r="C118" s="392"/>
      <c r="D118" s="395">
        <f t="shared" si="24"/>
        <v>48.837984392850203</v>
      </c>
      <c r="E118" s="387">
        <f t="shared" si="45"/>
        <v>55.981848914422315</v>
      </c>
      <c r="F118" s="387">
        <f t="shared" si="25"/>
        <v>56.195003771164046</v>
      </c>
      <c r="G118" s="110">
        <f t="shared" si="46"/>
        <v>0.98547197112755147</v>
      </c>
      <c r="H118" s="414" t="b">
        <f>Wh_hp&gt;='2020'!Maxi_hp</f>
        <v>1</v>
      </c>
      <c r="I118" s="382">
        <f>IF(H118,Wh_hp,'2020'!Maxi_hp)</f>
        <v>56.195003771164046</v>
      </c>
      <c r="J118" s="85">
        <f>IF(H118,An,'2020'!An_max)</f>
        <v>2021</v>
      </c>
      <c r="K118" s="199">
        <f t="shared" si="26"/>
        <v>44300</v>
      </c>
      <c r="L118" s="147">
        <f>IF(t&lt;Tvie,1-EXP((T0-t)*PertePVj)+'2020'!Pspv,1-EXP((T0-t)*PertePVj)+Pspv)</f>
        <v>2.2707415275978415E-2</v>
      </c>
      <c r="M118" s="870"/>
      <c r="N118" s="870"/>
      <c r="O118" s="48">
        <f>IF(t&lt;Tnet,'2020'!Resal+('2020'!Salim-'2020'!Resal)*(1-EXP(('2020'!Tnet-t)/('2020'!Tau_j))),Resal+(Salim-Resal)*(1-EXP((Tnet-t)/(Tau_j))))*Salcycl</f>
        <v>0.12761037122037025</v>
      </c>
      <c r="P118" s="171">
        <f>(INDEX(Models!$BJ118:$BT118,,T118)*(1-R118)+INDEX(Models!$BJ118:$BT118,,T118+1)*R118-ERP_i)*Q118*Ramure*Pc/MaxiM</f>
        <v>3.8730736916678396E-3</v>
      </c>
      <c r="Q118" s="307">
        <f t="shared" si="27"/>
        <v>1</v>
      </c>
      <c r="R118" s="179">
        <f t="shared" si="28"/>
        <v>0.36027330707508087</v>
      </c>
      <c r="S118" s="837">
        <f t="shared" si="29"/>
        <v>-1</v>
      </c>
      <c r="T118" s="178">
        <f t="shared" si="30"/>
        <v>5</v>
      </c>
      <c r="U118" s="253">
        <f t="shared" si="31"/>
        <v>-0.63972669292491913</v>
      </c>
      <c r="V118" s="385">
        <f t="shared" si="32"/>
        <v>48.428743946075947</v>
      </c>
      <c r="W118" s="404"/>
      <c r="X118" s="157">
        <f t="shared" si="33"/>
        <v>44300</v>
      </c>
      <c r="Y118" s="387">
        <f t="shared" si="34"/>
        <v>47.728999999999999</v>
      </c>
      <c r="Z118" s="387">
        <f t="shared" si="35"/>
        <v>48.837984392850203</v>
      </c>
      <c r="AA118" s="388">
        <f t="shared" si="36"/>
        <v>55.981848914422315</v>
      </c>
      <c r="AB118" s="199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0.12761037122037025</v>
      </c>
      <c r="AD118" s="233">
        <f>(INDEX(Models!$BJ118:$BT118,,AH118)*(1-AF118)+INDEX(Models!$BJ118:$BT118,,AH118+1)*AF118-ERP_i)*AE118*Ramure*Pc/MaxiM</f>
        <v>3.8730736916678396E-3</v>
      </c>
      <c r="AE118" s="307">
        <f t="shared" si="38"/>
        <v>1</v>
      </c>
      <c r="AF118" s="179">
        <f t="shared" si="39"/>
        <v>0.36027330707508087</v>
      </c>
      <c r="AG118" s="837">
        <f t="shared" si="47"/>
        <v>-1</v>
      </c>
      <c r="AH118" s="178">
        <f t="shared" si="40"/>
        <v>5</v>
      </c>
      <c r="AI118" s="227">
        <f t="shared" si="41"/>
        <v>-0.63972669292491913</v>
      </c>
      <c r="AJ118" s="267" t="b">
        <f t="shared" si="42"/>
        <v>1</v>
      </c>
      <c r="AK118" s="267" t="b">
        <f t="shared" si="43"/>
        <v>0</v>
      </c>
      <c r="AL118" s="267"/>
      <c r="AM118" s="267"/>
      <c r="AN118" s="75"/>
    </row>
    <row r="119" spans="1:40" s="6" customFormat="1" ht="11.25" x14ac:dyDescent="0.2">
      <c r="A119" s="56">
        <f t="shared" si="44"/>
        <v>44301</v>
      </c>
      <c r="B119" s="618">
        <v>47.686999999999998</v>
      </c>
      <c r="C119" s="392"/>
      <c r="D119" s="395">
        <f t="shared" si="24"/>
        <v>48.796144079461037</v>
      </c>
      <c r="E119" s="387">
        <f t="shared" si="45"/>
        <v>55.941098212333436</v>
      </c>
      <c r="F119" s="387">
        <f t="shared" si="25"/>
        <v>56.145689401906232</v>
      </c>
      <c r="G119" s="110">
        <f t="shared" si="46"/>
        <v>0.97875541231250374</v>
      </c>
      <c r="H119" s="414" t="b">
        <f>Wh_hp&gt;='2020'!Maxi_hp</f>
        <v>1</v>
      </c>
      <c r="I119" s="382">
        <f>IF(H119,Wh_hp,'2020'!Maxi_hp)</f>
        <v>56.145689401906232</v>
      </c>
      <c r="J119" s="85">
        <f>IF(H119,An,'2020'!An_max)</f>
        <v>2021</v>
      </c>
      <c r="K119" s="199">
        <f t="shared" si="26"/>
        <v>44301</v>
      </c>
      <c r="L119" s="147">
        <f>IF(t&lt;Tvie,1-EXP((T0-t)*PertePVj)+'2020'!Pspv,1-EXP((T0-t)*PertePVj)+Pspv)</f>
        <v>2.2730158302157522E-2</v>
      </c>
      <c r="M119" s="870"/>
      <c r="N119" s="870"/>
      <c r="O119" s="48">
        <f>IF(t&lt;Tnet,'2020'!Resal+('2020'!Salim-'2020'!Resal)*(1-EXP(('2020'!Tnet-t)/('2020'!Tau_j))),Resal+(Salim-Resal)*(1-EXP((Tnet-t)/(Tau_j))))*Salcycl</f>
        <v>0.12772280776027267</v>
      </c>
      <c r="P119" s="171">
        <f>(INDEX(Models!$BJ119:$BT119,,T119)*(1-R119)+INDEX(Models!$BJ119:$BT119,,T119+1)*R119-ERP_i)*Q119*Ramure*Pc/MaxiM</f>
        <v>3.7573698163437478E-3</v>
      </c>
      <c r="Q119" s="307">
        <f t="shared" si="27"/>
        <v>1</v>
      </c>
      <c r="R119" s="179">
        <f t="shared" si="28"/>
        <v>0.36261749130842502</v>
      </c>
      <c r="S119" s="837">
        <f t="shared" si="29"/>
        <v>-1</v>
      </c>
      <c r="T119" s="178">
        <f t="shared" si="30"/>
        <v>5</v>
      </c>
      <c r="U119" s="253">
        <f t="shared" si="31"/>
        <v>-0.63738250869157498</v>
      </c>
      <c r="V119" s="385">
        <f t="shared" si="32"/>
        <v>48.71653347233655</v>
      </c>
      <c r="W119" s="404"/>
      <c r="X119" s="157">
        <f t="shared" si="33"/>
        <v>44301</v>
      </c>
      <c r="Y119" s="387">
        <f t="shared" si="34"/>
        <v>47.686999999999998</v>
      </c>
      <c r="Z119" s="387">
        <f t="shared" si="35"/>
        <v>48.796144079461037</v>
      </c>
      <c r="AA119" s="388">
        <f t="shared" si="36"/>
        <v>55.941098212333436</v>
      </c>
      <c r="AB119" s="199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0.12772280776027267</v>
      </c>
      <c r="AD119" s="233">
        <f>(INDEX(Models!$BJ119:$BT119,,AH119)*(1-AF119)+INDEX(Models!$BJ119:$BT119,,AH119+1)*AF119-ERP_i)*AE119*Ramure*Pc/MaxiM</f>
        <v>3.7573698163437478E-3</v>
      </c>
      <c r="AE119" s="307">
        <f t="shared" si="38"/>
        <v>1</v>
      </c>
      <c r="AF119" s="179">
        <f t="shared" si="39"/>
        <v>0.36261749130842502</v>
      </c>
      <c r="AG119" s="837">
        <f t="shared" si="47"/>
        <v>-1</v>
      </c>
      <c r="AH119" s="178">
        <f t="shared" si="40"/>
        <v>5</v>
      </c>
      <c r="AI119" s="227">
        <f t="shared" si="41"/>
        <v>-0.63738250869157498</v>
      </c>
      <c r="AJ119" s="267" t="b">
        <f t="shared" si="42"/>
        <v>1</v>
      </c>
      <c r="AK119" s="267" t="b">
        <f t="shared" si="43"/>
        <v>0</v>
      </c>
      <c r="AL119" s="267"/>
      <c r="AM119" s="267"/>
      <c r="AN119" s="75"/>
    </row>
    <row r="120" spans="1:40" s="6" customFormat="1" ht="11.25" x14ac:dyDescent="0.2">
      <c r="A120" s="56">
        <f t="shared" si="44"/>
        <v>44302</v>
      </c>
      <c r="B120" s="618">
        <v>39.49</v>
      </c>
      <c r="C120" s="392"/>
      <c r="D120" s="395">
        <f t="shared" si="24"/>
        <v>40.409431792931485</v>
      </c>
      <c r="E120" s="387">
        <f t="shared" si="45"/>
        <v>46.332514314061122</v>
      </c>
      <c r="F120" s="387">
        <f t="shared" si="25"/>
        <v>46.454726267096504</v>
      </c>
      <c r="G120" s="110">
        <f t="shared" si="46"/>
        <v>0.80514697883893904</v>
      </c>
      <c r="H120" s="414" t="b">
        <f>Wh_hp&gt;='2020'!Maxi_hp</f>
        <v>0</v>
      </c>
      <c r="I120" s="382">
        <f>IF(H120,Wh_hp,'2020'!Maxi_hp)</f>
        <v>48.586716969121234</v>
      </c>
      <c r="J120" s="85">
        <f>IF(H120,An,'2020'!An_max)</f>
        <v>2020</v>
      </c>
      <c r="K120" s="199">
        <f t="shared" si="26"/>
        <v>44302</v>
      </c>
      <c r="L120" s="147">
        <f>IF(t&lt;Tvie,1-EXP((T0-t)*PertePVj)+'2020'!Pspv,1-EXP((T0-t)*PertePVj)+Pspv)</f>
        <v>2.2752900799073217E-2</v>
      </c>
      <c r="M120" s="870"/>
      <c r="N120" s="870"/>
      <c r="O120" s="48">
        <f>IF(t&lt;Tnet,'2020'!Resal+('2020'!Salim-'2020'!Resal)*(1-EXP(('2020'!Tnet-t)/('2020'!Tau_j))),Resal+(Salim-Resal)*(1-EXP((Tnet-t)/(Tau_j))))*Salcycl</f>
        <v>0.12783857316657821</v>
      </c>
      <c r="P120" s="171">
        <f>(INDEX(Models!$BJ120:$BT120,,T120)*(1-R120)+INDEX(Models!$BJ120:$BT120,,T120+1)*R120-ERP_i)*Q120*Ramure*Pc/MaxiM</f>
        <v>3.6396840897882513E-3</v>
      </c>
      <c r="Q120" s="307">
        <f t="shared" si="27"/>
        <v>1</v>
      </c>
      <c r="R120" s="179">
        <f t="shared" si="28"/>
        <v>0.36504181247152434</v>
      </c>
      <c r="S120" s="837">
        <f t="shared" si="29"/>
        <v>-1</v>
      </c>
      <c r="T120" s="178">
        <f t="shared" si="30"/>
        <v>5</v>
      </c>
      <c r="U120" s="253">
        <f t="shared" si="31"/>
        <v>-0.63495818752847566</v>
      </c>
      <c r="V120" s="385">
        <f t="shared" si="32"/>
        <v>48.997331099827932</v>
      </c>
      <c r="W120" s="404"/>
      <c r="X120" s="157">
        <f t="shared" si="33"/>
        <v>44302</v>
      </c>
      <c r="Y120" s="387">
        <f t="shared" si="34"/>
        <v>39.49</v>
      </c>
      <c r="Z120" s="387">
        <f t="shared" si="35"/>
        <v>40.409431792931485</v>
      </c>
      <c r="AA120" s="388">
        <f t="shared" si="36"/>
        <v>46.332514314061122</v>
      </c>
      <c r="AB120" s="199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0.12783857316657821</v>
      </c>
      <c r="AD120" s="233">
        <f>(INDEX(Models!$BJ120:$BT120,,AH120)*(1-AF120)+INDEX(Models!$BJ120:$BT120,,AH120+1)*AF120-ERP_i)*AE120*Ramure*Pc/MaxiM</f>
        <v>3.6396840897882513E-3</v>
      </c>
      <c r="AE120" s="307">
        <f t="shared" si="38"/>
        <v>1</v>
      </c>
      <c r="AF120" s="179">
        <f t="shared" si="39"/>
        <v>0.36504181247152434</v>
      </c>
      <c r="AG120" s="837">
        <f t="shared" si="47"/>
        <v>-1</v>
      </c>
      <c r="AH120" s="178">
        <f t="shared" si="40"/>
        <v>5</v>
      </c>
      <c r="AI120" s="227">
        <f t="shared" si="41"/>
        <v>-0.63495818752847566</v>
      </c>
      <c r="AJ120" s="267" t="b">
        <f t="shared" si="42"/>
        <v>1</v>
      </c>
      <c r="AK120" s="267" t="b">
        <f t="shared" si="43"/>
        <v>0</v>
      </c>
      <c r="AL120" s="267"/>
      <c r="AM120" s="267"/>
      <c r="AN120" s="75"/>
    </row>
    <row r="121" spans="1:40" s="6" customFormat="1" ht="11.25" x14ac:dyDescent="0.2">
      <c r="A121" s="56">
        <f t="shared" si="44"/>
        <v>44303</v>
      </c>
      <c r="B121" s="618">
        <v>45.006999999999998</v>
      </c>
      <c r="C121" s="392"/>
      <c r="D121" s="395">
        <f t="shared" si="24"/>
        <v>46.055953954550155</v>
      </c>
      <c r="E121" s="387">
        <f t="shared" si="45"/>
        <v>52.81389978190348</v>
      </c>
      <c r="F121" s="387">
        <f t="shared" si="25"/>
        <v>52.977314501682066</v>
      </c>
      <c r="G121" s="110">
        <f t="shared" si="46"/>
        <v>0.91303723141276261</v>
      </c>
      <c r="H121" s="414" t="b">
        <f>Wh_hp&gt;='2020'!Maxi_hp</f>
        <v>1</v>
      </c>
      <c r="I121" s="382">
        <f>IF(H121,Wh_hp,'2020'!Maxi_hp)</f>
        <v>52.977314501682066</v>
      </c>
      <c r="J121" s="85">
        <f>IF(H121,An,'2020'!An_max)</f>
        <v>2021</v>
      </c>
      <c r="K121" s="199">
        <f t="shared" si="26"/>
        <v>44303</v>
      </c>
      <c r="L121" s="147">
        <f>IF(t&lt;Tvie,1-EXP((T0-t)*PertePVj)+'2020'!Pspv,1-EXP((T0-t)*PertePVj)+Pspv)</f>
        <v>2.2775642766737714E-2</v>
      </c>
      <c r="M121" s="870"/>
      <c r="N121" s="870"/>
      <c r="O121" s="48">
        <f>IF(t&lt;Tnet,'2020'!Resal+('2020'!Salim-'2020'!Resal)*(1-EXP(('2020'!Tnet-t)/('2020'!Tau_j))),Resal+(Salim-Resal)*(1-EXP((Tnet-t)/(Tau_j))))*Salcycl</f>
        <v>0.12795771293656508</v>
      </c>
      <c r="P121" s="171">
        <f>(INDEX(Models!$BJ121:$BT121,,T121)*(1-R121)+INDEX(Models!$BJ121:$BT121,,T121+1)*R121-ERP_i)*Q121*Ramure*Pc/MaxiM</f>
        <v>3.5198971248425535E-3</v>
      </c>
      <c r="Q121" s="307">
        <f t="shared" si="27"/>
        <v>1</v>
      </c>
      <c r="R121" s="179">
        <f t="shared" si="28"/>
        <v>0.3675482976200718</v>
      </c>
      <c r="S121" s="837">
        <f t="shared" si="29"/>
        <v>-1</v>
      </c>
      <c r="T121" s="178">
        <f t="shared" si="30"/>
        <v>5</v>
      </c>
      <c r="U121" s="253">
        <f t="shared" si="31"/>
        <v>-0.6324517023799282</v>
      </c>
      <c r="V121" s="385">
        <f t="shared" si="32"/>
        <v>49.272195238727981</v>
      </c>
      <c r="W121" s="404"/>
      <c r="X121" s="157">
        <f t="shared" si="33"/>
        <v>44303</v>
      </c>
      <c r="Y121" s="387">
        <f t="shared" si="34"/>
        <v>45.006999999999998</v>
      </c>
      <c r="Z121" s="387">
        <f t="shared" si="35"/>
        <v>46.055953954550155</v>
      </c>
      <c r="AA121" s="388">
        <f t="shared" si="36"/>
        <v>52.81389978190348</v>
      </c>
      <c r="AB121" s="199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0.12795771293656508</v>
      </c>
      <c r="AD121" s="233">
        <f>(INDEX(Models!$BJ121:$BT121,,AH121)*(1-AF121)+INDEX(Models!$BJ121:$BT121,,AH121+1)*AF121-ERP_i)*AE121*Ramure*Pc/MaxiM</f>
        <v>3.5198971248425535E-3</v>
      </c>
      <c r="AE121" s="307">
        <f t="shared" si="38"/>
        <v>1</v>
      </c>
      <c r="AF121" s="179">
        <f t="shared" si="39"/>
        <v>0.3675482976200718</v>
      </c>
      <c r="AG121" s="837">
        <f t="shared" si="47"/>
        <v>-1</v>
      </c>
      <c r="AH121" s="178">
        <f t="shared" si="40"/>
        <v>5</v>
      </c>
      <c r="AI121" s="227">
        <f t="shared" si="41"/>
        <v>-0.6324517023799282</v>
      </c>
      <c r="AJ121" s="267" t="b">
        <f t="shared" si="42"/>
        <v>1</v>
      </c>
      <c r="AK121" s="267" t="b">
        <f t="shared" si="43"/>
        <v>0</v>
      </c>
      <c r="AL121" s="267"/>
      <c r="AM121" s="267"/>
      <c r="AN121" s="75"/>
    </row>
    <row r="122" spans="1:40" s="18" customFormat="1" ht="11.25" x14ac:dyDescent="0.2">
      <c r="A122" s="56">
        <f t="shared" si="44"/>
        <v>44304</v>
      </c>
      <c r="B122" s="618">
        <v>30.34</v>
      </c>
      <c r="C122" s="392"/>
      <c r="D122" s="395">
        <f t="shared" si="24"/>
        <v>31.047840598710064</v>
      </c>
      <c r="E122" s="387">
        <f t="shared" si="45"/>
        <v>35.60859958031655</v>
      </c>
      <c r="F122" s="387">
        <f t="shared" si="25"/>
        <v>35.662665643652794</v>
      </c>
      <c r="G122" s="110">
        <f t="shared" si="46"/>
        <v>0.61125318397900497</v>
      </c>
      <c r="H122" s="414" t="b">
        <f>Wh_hp&gt;='2020'!Maxi_hp</f>
        <v>1</v>
      </c>
      <c r="I122" s="382">
        <f>IF(H122,Wh_hp,'2020'!Maxi_hp)</f>
        <v>35.662665643652794</v>
      </c>
      <c r="J122" s="85">
        <f>IF(H122,An,'2020'!An_max)</f>
        <v>2021</v>
      </c>
      <c r="K122" s="199">
        <f t="shared" si="26"/>
        <v>44304</v>
      </c>
      <c r="L122" s="147">
        <f>IF(t&lt;Tvie,1-EXP((T0-t)*PertePVj)+'2020'!Pspv,1-EXP((T0-t)*PertePVj)+Pspv)</f>
        <v>2.2798384205163447E-2</v>
      </c>
      <c r="M122" s="870"/>
      <c r="N122" s="870"/>
      <c r="O122" s="48">
        <f>IF(t&lt;Tnet,'2020'!Resal+('2020'!Salim-'2020'!Resal)*(1-EXP(('2020'!Tnet-t)/('2020'!Tau_j))),Resal+(Salim-Resal)*(1-EXP((Tnet-t)/(Tau_j))))*Salcycl</f>
        <v>0.12808026811948942</v>
      </c>
      <c r="P122" s="171">
        <f>(INDEX(Models!$BJ122:$BT122,,T122)*(1-R122)+INDEX(Models!$BJ122:$BT122,,T122+1)*R122-ERP_i)*Q122*Ramure*Pc/MaxiM</f>
        <v>3.3969448258727997E-3</v>
      </c>
      <c r="Q122" s="307">
        <f t="shared" si="27"/>
        <v>1</v>
      </c>
      <c r="R122" s="179">
        <f t="shared" si="28"/>
        <v>0.3701389700718839</v>
      </c>
      <c r="S122" s="837">
        <f t="shared" si="29"/>
        <v>-1</v>
      </c>
      <c r="T122" s="178">
        <f t="shared" si="30"/>
        <v>5</v>
      </c>
      <c r="U122" s="253">
        <f t="shared" si="31"/>
        <v>-0.6298610299281161</v>
      </c>
      <c r="V122" s="385">
        <f t="shared" si="32"/>
        <v>49.542231476225631</v>
      </c>
      <c r="W122" s="404"/>
      <c r="X122" s="157">
        <f t="shared" si="33"/>
        <v>44304</v>
      </c>
      <c r="Y122" s="387">
        <f t="shared" si="34"/>
        <v>30.340000000000003</v>
      </c>
      <c r="Z122" s="387">
        <f t="shared" si="35"/>
        <v>31.047840598710067</v>
      </c>
      <c r="AA122" s="388">
        <f t="shared" si="36"/>
        <v>35.60859958031655</v>
      </c>
      <c r="AB122" s="199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0.12808026811948942</v>
      </c>
      <c r="AD122" s="233">
        <f>(INDEX(Models!$BJ122:$BT122,,AH122)*(1-AF122)+INDEX(Models!$BJ122:$BT122,,AH122+1)*AF122-ERP_i)*AE122*Ramure*Pc/MaxiM</f>
        <v>3.3969448258727997E-3</v>
      </c>
      <c r="AE122" s="307">
        <f t="shared" si="38"/>
        <v>1</v>
      </c>
      <c r="AF122" s="179">
        <f t="shared" si="39"/>
        <v>0.3701389700718839</v>
      </c>
      <c r="AG122" s="837">
        <f t="shared" si="47"/>
        <v>-1</v>
      </c>
      <c r="AH122" s="178">
        <f t="shared" si="40"/>
        <v>5</v>
      </c>
      <c r="AI122" s="227">
        <f t="shared" si="41"/>
        <v>-0.6298610299281161</v>
      </c>
      <c r="AJ122" s="267" t="b">
        <f t="shared" si="42"/>
        <v>1</v>
      </c>
      <c r="AK122" s="267" t="b">
        <f t="shared" si="43"/>
        <v>0</v>
      </c>
      <c r="AL122" s="267"/>
      <c r="AM122" s="267"/>
      <c r="AN122" s="267"/>
    </row>
    <row r="123" spans="1:40" s="18" customFormat="1" ht="11.25" x14ac:dyDescent="0.2">
      <c r="A123" s="56">
        <f t="shared" si="44"/>
        <v>44305</v>
      </c>
      <c r="B123" s="618">
        <v>48.005000000000003</v>
      </c>
      <c r="C123" s="392"/>
      <c r="D123" s="395">
        <f t="shared" si="24"/>
        <v>49.126113175152497</v>
      </c>
      <c r="E123" s="387">
        <f t="shared" si="45"/>
        <v>56.350615717034906</v>
      </c>
      <c r="F123" s="387">
        <f t="shared" si="25"/>
        <v>56.526054792556174</v>
      </c>
      <c r="G123" s="110">
        <f t="shared" si="46"/>
        <v>0.96365585608205417</v>
      </c>
      <c r="H123" s="414" t="b">
        <f>Wh_hp&gt;='2020'!Maxi_hp</f>
        <v>1</v>
      </c>
      <c r="I123" s="382">
        <f>IF(H123,Wh_hp,'2020'!Maxi_hp)</f>
        <v>56.526054792556174</v>
      </c>
      <c r="J123" s="85">
        <f>IF(H123,An,'2020'!An_max)</f>
        <v>2021</v>
      </c>
      <c r="K123" s="199">
        <f t="shared" si="26"/>
        <v>44305</v>
      </c>
      <c r="L123" s="147">
        <f>IF(t&lt;Tvie,1-EXP((T0-t)*PertePVj)+'2020'!Pspv,1-EXP((T0-t)*PertePVj)+Pspv)</f>
        <v>2.2821125114362628E-2</v>
      </c>
      <c r="M123" s="870"/>
      <c r="N123" s="870"/>
      <c r="O123" s="48">
        <f>IF(t&lt;Tnet,'2020'!Resal+('2020'!Salim-'2020'!Resal)*(1-EXP(('2020'!Tnet-t)/('2020'!Tau_j))),Resal+(Salim-Resal)*(1-EXP((Tnet-t)/(Tau_j))))*Salcycl</f>
        <v>0.12820627512146998</v>
      </c>
      <c r="P123" s="171">
        <f>(INDEX(Models!$BJ123:$BT123,,T123)*(1-R123)+INDEX(Models!$BJ123:$BT123,,T123+1)*R123-ERP_i)*Q123*Ramure*Pc/MaxiM</f>
        <v>3.2728473594952168E-3</v>
      </c>
      <c r="Q123" s="307">
        <f t="shared" si="27"/>
        <v>1</v>
      </c>
      <c r="R123" s="179">
        <f t="shared" si="28"/>
        <v>0.37281584439037552</v>
      </c>
      <c r="S123" s="837">
        <f t="shared" si="29"/>
        <v>-1</v>
      </c>
      <c r="T123" s="178">
        <f t="shared" si="30"/>
        <v>5</v>
      </c>
      <c r="U123" s="253">
        <f t="shared" si="31"/>
        <v>-0.62718415560962448</v>
      </c>
      <c r="V123" s="385">
        <f t="shared" si="32"/>
        <v>49.807048628118835</v>
      </c>
      <c r="W123" s="404"/>
      <c r="X123" s="157">
        <f t="shared" si="33"/>
        <v>44305</v>
      </c>
      <c r="Y123" s="387">
        <f t="shared" si="34"/>
        <v>48.005000000000003</v>
      </c>
      <c r="Z123" s="387">
        <f t="shared" si="35"/>
        <v>49.126113175152497</v>
      </c>
      <c r="AA123" s="388">
        <f t="shared" si="36"/>
        <v>56.350615717034906</v>
      </c>
      <c r="AB123" s="199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0.12820627512146998</v>
      </c>
      <c r="AD123" s="233">
        <f>(INDEX(Models!$BJ123:$BT123,,AH123)*(1-AF123)+INDEX(Models!$BJ123:$BT123,,AH123+1)*AF123-ERP_i)*AE123*Ramure*Pc/MaxiM</f>
        <v>3.2728473594952168E-3</v>
      </c>
      <c r="AE123" s="307">
        <f t="shared" si="38"/>
        <v>1</v>
      </c>
      <c r="AF123" s="179">
        <f t="shared" si="39"/>
        <v>0.37281584439037552</v>
      </c>
      <c r="AG123" s="837">
        <f t="shared" si="47"/>
        <v>-1</v>
      </c>
      <c r="AH123" s="178">
        <f t="shared" si="40"/>
        <v>5</v>
      </c>
      <c r="AI123" s="227">
        <f t="shared" si="41"/>
        <v>-0.62718415560962448</v>
      </c>
      <c r="AJ123" s="267" t="b">
        <f t="shared" si="42"/>
        <v>1</v>
      </c>
      <c r="AK123" s="267" t="b">
        <f t="shared" si="43"/>
        <v>0</v>
      </c>
      <c r="AL123" s="267"/>
      <c r="AM123" s="267"/>
      <c r="AN123" s="267"/>
    </row>
    <row r="124" spans="1:40" s="6" customFormat="1" ht="11.25" x14ac:dyDescent="0.2">
      <c r="A124" s="56">
        <f t="shared" si="44"/>
        <v>44306</v>
      </c>
      <c r="B124" s="618">
        <v>38.661000000000001</v>
      </c>
      <c r="C124" s="392"/>
      <c r="D124" s="395">
        <f t="shared" si="24"/>
        <v>39.564813272710786</v>
      </c>
      <c r="E124" s="387">
        <f t="shared" si="45"/>
        <v>40.593115746656821</v>
      </c>
      <c r="F124" s="387">
        <f t="shared" si="25"/>
        <v>40.664534772910521</v>
      </c>
      <c r="G124" s="110">
        <f t="shared" si="46"/>
        <v>0.68962639900472933</v>
      </c>
      <c r="H124" s="414" t="b">
        <f>Wh_hp&gt;='2020'!Maxi_hp</f>
        <v>0</v>
      </c>
      <c r="I124" s="382">
        <f>IF(H124,Wh_hp,'2020'!Maxi_hp)</f>
        <v>48.602789768147602</v>
      </c>
      <c r="J124" s="85">
        <f>IF(H124,An,'2020'!An_max)</f>
        <v>2019</v>
      </c>
      <c r="K124" s="199">
        <f t="shared" si="26"/>
        <v>44306</v>
      </c>
      <c r="L124" s="147">
        <f>IF(t&lt;Tvie,1-EXP((T0-t)*PertePVj)+'2020'!Pspv,1-EXP((T0-t)*PertePVj)+Pspv)</f>
        <v>2.2843865494347693E-2</v>
      </c>
      <c r="M124" s="870"/>
      <c r="N124" s="870"/>
      <c r="O124" s="48">
        <f>IF(t&lt;Tnet,'2020'!Resal+('2020'!Salim-'2020'!Resal)*(1-EXP(('2020'!Tnet-t)/('2020'!Tau_j))),Resal+(Salim-Resal)*(1-EXP((Tnet-t)/(Tau_j))))*Salcycl</f>
        <v>2.5331942498913129E-2</v>
      </c>
      <c r="P124" s="171">
        <f>(INDEX(Models!$BJ124:$BT124,,T124)*(1-R124)+INDEX(Models!$BJ124:$BT124,,T124+1)*R124-ERP_i)*Q124*Ramure*Pc/MaxiM</f>
        <v>3.1475763207580104E-3</v>
      </c>
      <c r="Q124" s="307">
        <f t="shared" si="27"/>
        <v>1</v>
      </c>
      <c r="R124" s="179">
        <f t="shared" si="28"/>
        <v>0.37558092101051244</v>
      </c>
      <c r="S124" s="837">
        <f t="shared" si="29"/>
        <v>-1</v>
      </c>
      <c r="T124" s="178">
        <f t="shared" si="30"/>
        <v>5</v>
      </c>
      <c r="U124" s="253">
        <f t="shared" si="31"/>
        <v>-0.62441907898948756</v>
      </c>
      <c r="V124" s="385">
        <f t="shared" si="32"/>
        <v>55.9826555307517</v>
      </c>
      <c r="W124" s="404"/>
      <c r="X124" s="157">
        <f t="shared" si="33"/>
        <v>44306</v>
      </c>
      <c r="Y124" s="387">
        <f t="shared" si="34"/>
        <v>34.575269714171583</v>
      </c>
      <c r="Z124" s="387">
        <f t="shared" si="35"/>
        <v>35.383567163156961</v>
      </c>
      <c r="AA124" s="388">
        <f t="shared" si="36"/>
        <v>40.593115746656821</v>
      </c>
      <c r="AB124" s="199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0.12833576550301912</v>
      </c>
      <c r="AD124" s="233">
        <f>(INDEX(Models!$BJ124:$BT124,,AH124)*(1-AF124)+INDEX(Models!$BJ124:$BT124,,AH124+1)*AF124-ERP_i)*AE124*Ramure*Pc/MaxiM</f>
        <v>3.1475763207580104E-3</v>
      </c>
      <c r="AE124" s="307">
        <f t="shared" si="38"/>
        <v>1</v>
      </c>
      <c r="AF124" s="179">
        <f t="shared" si="39"/>
        <v>0.37558092101051244</v>
      </c>
      <c r="AG124" s="837">
        <f t="shared" si="47"/>
        <v>-1</v>
      </c>
      <c r="AH124" s="178">
        <f t="shared" si="40"/>
        <v>5</v>
      </c>
      <c r="AI124" s="227">
        <f t="shared" si="41"/>
        <v>-0.62441907898948756</v>
      </c>
      <c r="AJ124" s="267" t="b">
        <f t="shared" si="42"/>
        <v>0</v>
      </c>
      <c r="AK124" s="267" t="b">
        <f t="shared" si="43"/>
        <v>0</v>
      </c>
      <c r="AL124" s="267"/>
      <c r="AM124" s="267"/>
      <c r="AN124" s="75"/>
    </row>
    <row r="125" spans="1:40" s="6" customFormat="1" ht="11.25" x14ac:dyDescent="0.2">
      <c r="A125" s="56">
        <f t="shared" si="44"/>
        <v>44307</v>
      </c>
      <c r="B125" s="618">
        <v>52.526000000000003</v>
      </c>
      <c r="C125" s="392"/>
      <c r="D125" s="395">
        <f t="shared" si="24"/>
        <v>53.755198918928137</v>
      </c>
      <c r="E125" s="387">
        <f t="shared" si="45"/>
        <v>55.179882934390648</v>
      </c>
      <c r="F125" s="387">
        <f t="shared" si="25"/>
        <v>55.33124831385225</v>
      </c>
      <c r="G125" s="110">
        <f t="shared" si="46"/>
        <v>0.93358479747850343</v>
      </c>
      <c r="H125" s="414" t="b">
        <f>Wh_hp&gt;='2020'!Maxi_hp</f>
        <v>1</v>
      </c>
      <c r="I125" s="382">
        <f>IF(H125,Wh_hp,'2020'!Maxi_hp)</f>
        <v>55.33124831385225</v>
      </c>
      <c r="J125" s="85">
        <f>IF(H125,An,'2020'!An_max)</f>
        <v>2021</v>
      </c>
      <c r="K125" s="199">
        <f t="shared" si="26"/>
        <v>44307</v>
      </c>
      <c r="L125" s="147">
        <f>IF(t&lt;Tvie,1-EXP((T0-t)*PertePVj)+'2020'!Pspv,1-EXP((T0-t)*PertePVj)+Pspv)</f>
        <v>2.2866605345130853E-2</v>
      </c>
      <c r="M125" s="870"/>
      <c r="N125" s="870"/>
      <c r="O125" s="48">
        <f>IF(t&lt;Tnet,'2020'!Resal+('2020'!Salim-'2020'!Resal)*(1-EXP(('2020'!Tnet-t)/('2020'!Tau_j))),Resal+(Salim-Resal)*(1-EXP((Tnet-t)/(Tau_j))))*Salcycl</f>
        <v>2.5818902464082302E-2</v>
      </c>
      <c r="P125" s="171">
        <f>(INDEX(Models!$BJ125:$BT125,,T125)*(1-R125)+INDEX(Models!$BJ125:$BT125,,T125+1)*R125-ERP_i)*Q125*Ramure*Pc/MaxiM</f>
        <v>3.0211074481383492E-3</v>
      </c>
      <c r="Q125" s="307">
        <f t="shared" si="27"/>
        <v>1</v>
      </c>
      <c r="R125" s="179">
        <f t="shared" si="28"/>
        <v>0.37843618050217476</v>
      </c>
      <c r="S125" s="837">
        <f t="shared" si="29"/>
        <v>-1</v>
      </c>
      <c r="T125" s="178">
        <f t="shared" si="30"/>
        <v>5</v>
      </c>
      <c r="U125" s="253">
        <f t="shared" si="31"/>
        <v>-0.62156381949782524</v>
      </c>
      <c r="V125" s="385">
        <f t="shared" si="32"/>
        <v>56.246592273353478</v>
      </c>
      <c r="W125" s="404"/>
      <c r="X125" s="157">
        <f t="shared" si="33"/>
        <v>44307</v>
      </c>
      <c r="Y125" s="387">
        <f t="shared" si="34"/>
        <v>46.987077059787431</v>
      </c>
      <c r="Z125" s="387">
        <f t="shared" si="35"/>
        <v>48.086655636596703</v>
      </c>
      <c r="AA125" s="388">
        <f t="shared" si="36"/>
        <v>55.179882934390648</v>
      </c>
      <c r="AB125" s="199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0.12854734226652587</v>
      </c>
      <c r="AD125" s="233">
        <f>(INDEX(Models!$BJ125:$BT125,,AH125)*(1-AF125)+INDEX(Models!$BJ125:$BT125,,AH125+1)*AF125-ERP_i)*AE125*Ramure*Pc/MaxiM</f>
        <v>3.0211074481383492E-3</v>
      </c>
      <c r="AE125" s="307">
        <f t="shared" si="38"/>
        <v>1</v>
      </c>
      <c r="AF125" s="179">
        <f t="shared" si="39"/>
        <v>0.37843618050217476</v>
      </c>
      <c r="AG125" s="837">
        <f t="shared" si="47"/>
        <v>-1</v>
      </c>
      <c r="AH125" s="178">
        <f t="shared" si="40"/>
        <v>5</v>
      </c>
      <c r="AI125" s="227">
        <f t="shared" si="41"/>
        <v>-0.62156381949782524</v>
      </c>
      <c r="AJ125" s="267" t="b">
        <f t="shared" si="42"/>
        <v>0</v>
      </c>
      <c r="AK125" s="267" t="b">
        <f t="shared" si="43"/>
        <v>0</v>
      </c>
      <c r="AL125" s="267"/>
      <c r="AM125" s="267"/>
      <c r="AN125" s="75"/>
    </row>
    <row r="126" spans="1:40" s="6" customFormat="1" ht="11.25" x14ac:dyDescent="0.2">
      <c r="A126" s="56">
        <f t="shared" si="44"/>
        <v>44308</v>
      </c>
      <c r="B126" s="618">
        <v>56.244</v>
      </c>
      <c r="C126" s="392"/>
      <c r="D126" s="395">
        <f t="shared" si="24"/>
        <v>57.56154606748828</v>
      </c>
      <c r="E126" s="387">
        <f t="shared" si="45"/>
        <v>59.11665048775852</v>
      </c>
      <c r="F126" s="387">
        <f t="shared" si="25"/>
        <v>59.287065717944621</v>
      </c>
      <c r="G126" s="110">
        <f t="shared" si="46"/>
        <v>0.99538377331825245</v>
      </c>
      <c r="H126" s="414" t="b">
        <f>Wh_hp&gt;='2020'!Maxi_hp</f>
        <v>1</v>
      </c>
      <c r="I126" s="382">
        <f>IF(H126,Wh_hp,'2020'!Maxi_hp)</f>
        <v>59.287065717944621</v>
      </c>
      <c r="J126" s="85">
        <f>IF(H126,An,'2020'!An_max)</f>
        <v>2021</v>
      </c>
      <c r="K126" s="199">
        <f t="shared" si="26"/>
        <v>44308</v>
      </c>
      <c r="L126" s="147">
        <f>IF(t&lt;Tvie,1-EXP((T0-t)*PertePVj)+'2020'!Pspv,1-EXP((T0-t)*PertePVj)+Pspv)</f>
        <v>2.2889344666724543E-2</v>
      </c>
      <c r="M126" s="870"/>
      <c r="N126" s="870"/>
      <c r="O126" s="48">
        <f>IF(t&lt;Tnet,'2020'!Resal+('2020'!Salim-'2020'!Resal)*(1-EXP(('2020'!Tnet-t)/('2020'!Tau_j))),Resal+(Salim-Resal)*(1-EXP((Tnet-t)/(Tau_j))))*Salcycl</f>
        <v>2.6305692346224152E-2</v>
      </c>
      <c r="P126" s="171">
        <f>(INDEX(Models!$BJ126:$BT126,,T126)*(1-R126)+INDEX(Models!$BJ126:$BT126,,T126+1)*R126-ERP_i)*Q126*Ramure*Pc/MaxiM</f>
        <v>2.8934107433772438E-3</v>
      </c>
      <c r="Q126" s="307">
        <f t="shared" si="27"/>
        <v>1</v>
      </c>
      <c r="R126" s="179">
        <f t="shared" si="28"/>
        <v>0.38138357746781015</v>
      </c>
      <c r="S126" s="837">
        <f t="shared" si="29"/>
        <v>-1</v>
      </c>
      <c r="T126" s="178">
        <f t="shared" si="30"/>
        <v>5</v>
      </c>
      <c r="U126" s="253">
        <f t="shared" si="31"/>
        <v>-0.61861642253218985</v>
      </c>
      <c r="V126" s="385">
        <f t="shared" si="32"/>
        <v>56.503762317435061</v>
      </c>
      <c r="W126" s="404"/>
      <c r="X126" s="157">
        <f t="shared" si="33"/>
        <v>44308</v>
      </c>
      <c r="Y126" s="387">
        <f t="shared" si="34"/>
        <v>50.325748093254404</v>
      </c>
      <c r="Z126" s="387">
        <f t="shared" si="35"/>
        <v>51.504655914420631</v>
      </c>
      <c r="AA126" s="388">
        <f t="shared" si="36"/>
        <v>59.11665048775852</v>
      </c>
      <c r="AB126" s="199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0.12876227781061669</v>
      </c>
      <c r="AD126" s="233">
        <f>(INDEX(Models!$BJ126:$BT126,,AH126)*(1-AF126)+INDEX(Models!$BJ126:$BT126,,AH126+1)*AF126-ERP_i)*AE126*Ramure*Pc/MaxiM</f>
        <v>2.8934107433772438E-3</v>
      </c>
      <c r="AE126" s="307">
        <f t="shared" si="38"/>
        <v>1</v>
      </c>
      <c r="AF126" s="179">
        <f t="shared" si="39"/>
        <v>0.38138357746781015</v>
      </c>
      <c r="AG126" s="837">
        <f t="shared" si="47"/>
        <v>-1</v>
      </c>
      <c r="AH126" s="178">
        <f t="shared" si="40"/>
        <v>5</v>
      </c>
      <c r="AI126" s="227">
        <f t="shared" si="41"/>
        <v>-0.61861642253218985</v>
      </c>
      <c r="AJ126" s="267" t="b">
        <f t="shared" si="42"/>
        <v>0</v>
      </c>
      <c r="AK126" s="267" t="b">
        <f t="shared" si="43"/>
        <v>0</v>
      </c>
      <c r="AL126" s="267"/>
      <c r="AM126" s="267"/>
      <c r="AN126" s="75"/>
    </row>
    <row r="127" spans="1:40" s="6" customFormat="1" ht="11.25" x14ac:dyDescent="0.2">
      <c r="A127" s="56">
        <f t="shared" si="44"/>
        <v>44309</v>
      </c>
      <c r="B127" s="618">
        <v>55.462000000000003</v>
      </c>
      <c r="C127" s="392"/>
      <c r="D127" s="395">
        <f t="shared" si="24"/>
        <v>56.762548242690031</v>
      </c>
      <c r="E127" s="387">
        <f t="shared" si="45"/>
        <v>58.325218222661604</v>
      </c>
      <c r="F127" s="387">
        <f t="shared" si="25"/>
        <v>58.481630214798564</v>
      </c>
      <c r="G127" s="110">
        <f t="shared" si="46"/>
        <v>0.97714953583317277</v>
      </c>
      <c r="H127" s="414" t="b">
        <f>Wh_hp&gt;='2020'!Maxi_hp</f>
        <v>1</v>
      </c>
      <c r="I127" s="382">
        <f>IF(H127,Wh_hp,'2020'!Maxi_hp)</f>
        <v>58.481630214798564</v>
      </c>
      <c r="J127" s="85">
        <f>IF(H127,An,'2020'!An_max)</f>
        <v>2021</v>
      </c>
      <c r="K127" s="199">
        <f t="shared" si="26"/>
        <v>44309</v>
      </c>
      <c r="L127" s="147">
        <f>IF(t&lt;Tvie,1-EXP((T0-t)*PertePVj)+'2020'!Pspv,1-EXP((T0-t)*PertePVj)+Pspv)</f>
        <v>2.2912083459140975E-2</v>
      </c>
      <c r="M127" s="870"/>
      <c r="N127" s="870"/>
      <c r="O127" s="48">
        <f>IF(t&lt;Tnet,'2020'!Resal+('2020'!Salim-'2020'!Resal)*(1-EXP(('2020'!Tnet-t)/('2020'!Tau_j))),Resal+(Salim-Resal)*(1-EXP((Tnet-t)/(Tau_j))))*Salcycl</f>
        <v>2.6792355478310357E-2</v>
      </c>
      <c r="P127" s="171">
        <f>(INDEX(Models!$BJ127:$BT127,,T127)*(1-R127)+INDEX(Models!$BJ127:$BT127,,T127+1)*R127-ERP_i)*Q127*Ramure*Pc/MaxiM</f>
        <v>2.7644423862154058E-3</v>
      </c>
      <c r="Q127" s="307">
        <f t="shared" si="27"/>
        <v>1</v>
      </c>
      <c r="R127" s="179">
        <f t="shared" si="28"/>
        <v>0.38442503407345685</v>
      </c>
      <c r="S127" s="837">
        <f t="shared" si="29"/>
        <v>-1</v>
      </c>
      <c r="T127" s="178">
        <f t="shared" si="30"/>
        <v>5</v>
      </c>
      <c r="U127" s="253">
        <f t="shared" si="31"/>
        <v>-0.61557496592654315</v>
      </c>
      <c r="V127" s="385">
        <f t="shared" si="32"/>
        <v>56.753852849927135</v>
      </c>
      <c r="W127" s="404"/>
      <c r="X127" s="157">
        <f t="shared" si="33"/>
        <v>44309</v>
      </c>
      <c r="Y127" s="387">
        <f t="shared" si="34"/>
        <v>49.638408125699769</v>
      </c>
      <c r="Z127" s="387">
        <f t="shared" si="35"/>
        <v>50.802396883007646</v>
      </c>
      <c r="AA127" s="388">
        <f t="shared" si="36"/>
        <v>58.325218222661604</v>
      </c>
      <c r="AB127" s="199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0.12898059482495092</v>
      </c>
      <c r="AD127" s="233">
        <f>(INDEX(Models!$BJ127:$BT127,,AH127)*(1-AF127)+INDEX(Models!$BJ127:$BT127,,AH127+1)*AF127-ERP_i)*AE127*Ramure*Pc/MaxiM</f>
        <v>2.7644423862154058E-3</v>
      </c>
      <c r="AE127" s="307">
        <f t="shared" si="38"/>
        <v>1</v>
      </c>
      <c r="AF127" s="179">
        <f t="shared" si="39"/>
        <v>0.38442503407345685</v>
      </c>
      <c r="AG127" s="837">
        <f t="shared" si="47"/>
        <v>-1</v>
      </c>
      <c r="AH127" s="178">
        <f t="shared" si="40"/>
        <v>5</v>
      </c>
      <c r="AI127" s="227">
        <f t="shared" si="41"/>
        <v>-0.61557496592654315</v>
      </c>
      <c r="AJ127" s="267" t="b">
        <f t="shared" si="42"/>
        <v>0</v>
      </c>
      <c r="AK127" s="267" t="b">
        <f t="shared" si="43"/>
        <v>0</v>
      </c>
      <c r="AL127" s="267"/>
      <c r="AM127" s="267"/>
      <c r="AN127" s="75"/>
    </row>
    <row r="128" spans="1:40" s="6" customFormat="1" ht="11.25" x14ac:dyDescent="0.2">
      <c r="A128" s="56">
        <f t="shared" si="44"/>
        <v>44310</v>
      </c>
      <c r="B128" s="618">
        <v>51.889000000000003</v>
      </c>
      <c r="C128" s="392"/>
      <c r="D128" s="395">
        <f t="shared" si="24"/>
        <v>53.106999567286906</v>
      </c>
      <c r="E128" s="387">
        <f t="shared" si="45"/>
        <v>54.596329223134816</v>
      </c>
      <c r="F128" s="387">
        <f t="shared" si="25"/>
        <v>54.722101062954692</v>
      </c>
      <c r="G128" s="110">
        <f t="shared" si="46"/>
        <v>0.91008201180042547</v>
      </c>
      <c r="H128" s="414" t="b">
        <f>Wh_hp&gt;='2020'!Maxi_hp</f>
        <v>1</v>
      </c>
      <c r="I128" s="382">
        <f>IF(H128,Wh_hp,'2020'!Maxi_hp)</f>
        <v>54.722101062954692</v>
      </c>
      <c r="J128" s="85">
        <f>IF(H128,An,'2020'!An_max)</f>
        <v>2021</v>
      </c>
      <c r="K128" s="199">
        <f t="shared" si="26"/>
        <v>44310</v>
      </c>
      <c r="L128" s="147">
        <f>IF(t&lt;Tvie,1-EXP((T0-t)*PertePVj)+'2020'!Pspv,1-EXP((T0-t)*PertePVj)+Pspv)</f>
        <v>2.2934821722392473E-2</v>
      </c>
      <c r="M128" s="870"/>
      <c r="N128" s="870"/>
      <c r="O128" s="48">
        <f>IF(t&lt;Tnet,'2020'!Resal+('2020'!Salim-'2020'!Resal)*(1-EXP(('2020'!Tnet-t)/('2020'!Tau_j))),Resal+(Salim-Resal)*(1-EXP((Tnet-t)/(Tau_j))))*Salcycl</f>
        <v>2.7278933896105587E-2</v>
      </c>
      <c r="P128" s="171">
        <f>(INDEX(Models!$BJ128:$BT128,,T128)*(1-R128)+INDEX(Models!$BJ128:$BT128,,T128+1)*R128-ERP_i)*Q128*Ramure*Pc/MaxiM</f>
        <v>2.6357932974525149E-3</v>
      </c>
      <c r="Q128" s="307">
        <f t="shared" si="27"/>
        <v>1</v>
      </c>
      <c r="R128" s="179">
        <f t="shared" si="28"/>
        <v>0.38756243321467099</v>
      </c>
      <c r="S128" s="837">
        <f t="shared" si="29"/>
        <v>-1</v>
      </c>
      <c r="T128" s="178">
        <f t="shared" si="30"/>
        <v>5</v>
      </c>
      <c r="U128" s="253">
        <f t="shared" si="31"/>
        <v>-0.61243756678532901</v>
      </c>
      <c r="V128" s="385">
        <f t="shared" si="32"/>
        <v>56.9964581546377</v>
      </c>
      <c r="W128" s="404"/>
      <c r="X128" s="157">
        <f t="shared" si="33"/>
        <v>44310</v>
      </c>
      <c r="Y128" s="387">
        <f t="shared" si="34"/>
        <v>46.45198186656868</v>
      </c>
      <c r="Z128" s="387">
        <f t="shared" si="35"/>
        <v>47.542357356809376</v>
      </c>
      <c r="AA128" s="388">
        <f t="shared" si="36"/>
        <v>54.596329223134816</v>
      </c>
      <c r="AB128" s="199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0.12920231024133341</v>
      </c>
      <c r="AD128" s="233">
        <f>(INDEX(Models!$BJ128:$BT128,,AH128)*(1-AF128)+INDEX(Models!$BJ128:$BT128,,AH128+1)*AF128-ERP_i)*AE128*Ramure*Pc/MaxiM</f>
        <v>2.6357932974525149E-3</v>
      </c>
      <c r="AE128" s="307">
        <f t="shared" si="38"/>
        <v>1</v>
      </c>
      <c r="AF128" s="179">
        <f t="shared" si="39"/>
        <v>0.38756243321467099</v>
      </c>
      <c r="AG128" s="837">
        <f t="shared" si="47"/>
        <v>-1</v>
      </c>
      <c r="AH128" s="178">
        <f t="shared" si="40"/>
        <v>5</v>
      </c>
      <c r="AI128" s="227">
        <f t="shared" si="41"/>
        <v>-0.61243756678532901</v>
      </c>
      <c r="AJ128" s="267" t="b">
        <f t="shared" si="42"/>
        <v>0</v>
      </c>
      <c r="AK128" s="267" t="b">
        <f t="shared" si="43"/>
        <v>0</v>
      </c>
      <c r="AL128" s="267"/>
      <c r="AM128" s="267"/>
      <c r="AN128" s="75"/>
    </row>
    <row r="129" spans="1:40" s="6" customFormat="1" ht="11.25" x14ac:dyDescent="0.2">
      <c r="A129" s="56">
        <f t="shared" si="44"/>
        <v>44311</v>
      </c>
      <c r="B129" s="618">
        <v>27.455000000000002</v>
      </c>
      <c r="C129" s="392"/>
      <c r="D129" s="395">
        <f t="shared" si="24"/>
        <v>28.100109944791495</v>
      </c>
      <c r="E129" s="387">
        <f t="shared" si="45"/>
        <v>28.902604284570078</v>
      </c>
      <c r="F129" s="387">
        <f t="shared" si="25"/>
        <v>28.921235440188209</v>
      </c>
      <c r="G129" s="110">
        <f t="shared" si="46"/>
        <v>0.47882590488789584</v>
      </c>
      <c r="H129" s="414" t="b">
        <f>Wh_hp&gt;='2020'!Maxi_hp</f>
        <v>0</v>
      </c>
      <c r="I129" s="382">
        <f>IF(H129,Wh_hp,'2020'!Maxi_hp)</f>
        <v>56.337889785916616</v>
      </c>
      <c r="J129" s="85">
        <f>IF(H129,An,'2020'!An_max)</f>
        <v>2020</v>
      </c>
      <c r="K129" s="199">
        <f t="shared" si="26"/>
        <v>44311</v>
      </c>
      <c r="L129" s="147">
        <f>IF(t&lt;Tvie,1-EXP((T0-t)*PertePVj)+'2020'!Pspv,1-EXP((T0-t)*PertePVj)+Pspv)</f>
        <v>2.295755945649125E-2</v>
      </c>
      <c r="M129" s="870"/>
      <c r="N129" s="870"/>
      <c r="O129" s="48">
        <f>IF(t&lt;Tnet,'2020'!Resal+('2020'!Salim-'2020'!Resal)*(1-EXP(('2020'!Tnet-t)/('2020'!Tau_j))),Resal+(Salim-Resal)*(1-EXP((Tnet-t)/(Tau_j))))*Salcycl</f>
        <v>2.7765468186789096E-2</v>
      </c>
      <c r="P129" s="171">
        <f>(INDEX(Models!$BJ129:$BT129,,T129)*(1-R129)+INDEX(Models!$BJ129:$BT129,,T129+1)*R129-ERP_i)*Q129*Ramure*Pc/MaxiM</f>
        <v>2.5091225260130846E-3</v>
      </c>
      <c r="Q129" s="307">
        <f t="shared" si="27"/>
        <v>1</v>
      </c>
      <c r="R129" s="179">
        <f t="shared" si="28"/>
        <v>0.39079761132162316</v>
      </c>
      <c r="S129" s="837">
        <f t="shared" si="29"/>
        <v>-1</v>
      </c>
      <c r="T129" s="178">
        <f t="shared" si="30"/>
        <v>5</v>
      </c>
      <c r="U129" s="253">
        <f t="shared" si="31"/>
        <v>-0.60920238867837684</v>
      </c>
      <c r="V129" s="385">
        <f t="shared" si="32"/>
        <v>57.231167649569173</v>
      </c>
      <c r="W129" s="404"/>
      <c r="X129" s="157">
        <f t="shared" si="33"/>
        <v>44311</v>
      </c>
      <c r="Y129" s="387">
        <f t="shared" si="34"/>
        <v>24.584160498803396</v>
      </c>
      <c r="Z129" s="387">
        <f t="shared" si="35"/>
        <v>25.161814347724476</v>
      </c>
      <c r="AA129" s="388">
        <f t="shared" si="36"/>
        <v>28.902604284570078</v>
      </c>
      <c r="AB129" s="199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0.1294274349817901</v>
      </c>
      <c r="AD129" s="233">
        <f>(INDEX(Models!$BJ129:$BT129,,AH129)*(1-AF129)+INDEX(Models!$BJ129:$BT129,,AH129+1)*AF129-ERP_i)*AE129*Ramure*Pc/MaxiM</f>
        <v>2.5091225260130846E-3</v>
      </c>
      <c r="AE129" s="307">
        <f t="shared" si="38"/>
        <v>1</v>
      </c>
      <c r="AF129" s="179">
        <f t="shared" si="39"/>
        <v>0.39079761132162316</v>
      </c>
      <c r="AG129" s="837">
        <f t="shared" si="47"/>
        <v>-1</v>
      </c>
      <c r="AH129" s="178">
        <f t="shared" si="40"/>
        <v>5</v>
      </c>
      <c r="AI129" s="227">
        <f t="shared" si="41"/>
        <v>-0.60920238867837684</v>
      </c>
      <c r="AJ129" s="267" t="b">
        <f t="shared" si="42"/>
        <v>0</v>
      </c>
      <c r="AK129" s="267" t="b">
        <f t="shared" si="43"/>
        <v>0</v>
      </c>
      <c r="AL129" s="267"/>
      <c r="AM129" s="267"/>
      <c r="AN129" s="75"/>
    </row>
    <row r="130" spans="1:40" s="6" customFormat="1" ht="11.25" x14ac:dyDescent="0.2">
      <c r="A130" s="56">
        <f t="shared" si="44"/>
        <v>44312</v>
      </c>
      <c r="B130" s="618">
        <v>6.3390000000000004</v>
      </c>
      <c r="C130" s="392"/>
      <c r="D130" s="395">
        <f t="shared" si="24"/>
        <v>6.4880984266122352</v>
      </c>
      <c r="E130" s="387">
        <f t="shared" si="45"/>
        <v>6.6767293668791154</v>
      </c>
      <c r="F130" s="387">
        <f t="shared" si="25"/>
        <v>6.6767293668791154</v>
      </c>
      <c r="G130" s="110">
        <f t="shared" si="46"/>
        <v>0.11006164368450116</v>
      </c>
      <c r="H130" s="414" t="b">
        <f>Wh_hp&gt;='2020'!Maxi_hp</f>
        <v>0</v>
      </c>
      <c r="I130" s="382">
        <f>IF(H130,Wh_hp,'2020'!Maxi_hp)</f>
        <v>43.423257623255026</v>
      </c>
      <c r="J130" s="85">
        <f>IF(H130,An,'2020'!An_max)</f>
        <v>2020</v>
      </c>
      <c r="K130" s="199">
        <f t="shared" si="26"/>
        <v>44312</v>
      </c>
      <c r="L130" s="147">
        <f>IF(t&lt;Tvie,1-EXP((T0-t)*PertePVj)+'2020'!Pspv,1-EXP((T0-t)*PertePVj)+Pspv)</f>
        <v>2.2980296661449851E-2</v>
      </c>
      <c r="M130" s="870"/>
      <c r="N130" s="870"/>
      <c r="O130" s="48">
        <f>IF(t&lt;Tnet,'2020'!Resal+('2020'!Salim-'2020'!Resal)*(1-EXP(('2020'!Tnet-t)/('2020'!Tau_j))),Resal+(Salim-Resal)*(1-EXP((Tnet-t)/(Tau_j))))*Salcycl</f>
        <v>2.8251997333097145E-2</v>
      </c>
      <c r="P130" s="171">
        <f>(INDEX(Models!$BJ130:$BT130,,T130)*(1-R130)+INDEX(Models!$BJ130:$BT130,,T130+1)*R130-ERP_i)*Q130*Ramure*Pc/MaxiM</f>
        <v>2.3843502157678614E-3</v>
      </c>
      <c r="Q130" s="307">
        <f t="shared" si="27"/>
        <v>1</v>
      </c>
      <c r="R130" s="179">
        <f t="shared" si="28"/>
        <v>0.3941323508106257</v>
      </c>
      <c r="S130" s="837">
        <f t="shared" si="29"/>
        <v>-1</v>
      </c>
      <c r="T130" s="178">
        <f t="shared" si="30"/>
        <v>5</v>
      </c>
      <c r="U130" s="253">
        <f t="shared" si="31"/>
        <v>-0.6058676491893743</v>
      </c>
      <c r="V130" s="385">
        <f t="shared" si="32"/>
        <v>57.457670013634136</v>
      </c>
      <c r="W130" s="404"/>
      <c r="X130" s="157">
        <f t="shared" si="33"/>
        <v>44312</v>
      </c>
      <c r="Y130" s="387">
        <f t="shared" si="34"/>
        <v>5.6775118318310689</v>
      </c>
      <c r="Z130" s="387">
        <f t="shared" si="35"/>
        <v>5.811051519668009</v>
      </c>
      <c r="AA130" s="388">
        <f t="shared" si="36"/>
        <v>6.6767293668791154</v>
      </c>
      <c r="AB130" s="199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0.12965597370254767</v>
      </c>
      <c r="AD130" s="233">
        <f>(INDEX(Models!$BJ130:$BT130,,AH130)*(1-AF130)+INDEX(Models!$BJ130:$BT130,,AH130+1)*AF130-ERP_i)*AE130*Ramure*Pc/MaxiM</f>
        <v>2.3843502157678614E-3</v>
      </c>
      <c r="AE130" s="307">
        <f t="shared" si="38"/>
        <v>1</v>
      </c>
      <c r="AF130" s="179">
        <f t="shared" si="39"/>
        <v>0.3941323508106257</v>
      </c>
      <c r="AG130" s="837">
        <f t="shared" si="47"/>
        <v>-1</v>
      </c>
      <c r="AH130" s="178">
        <f t="shared" si="40"/>
        <v>5</v>
      </c>
      <c r="AI130" s="227">
        <f t="shared" si="41"/>
        <v>-0.6058676491893743</v>
      </c>
      <c r="AJ130" s="267" t="b">
        <f t="shared" si="42"/>
        <v>0</v>
      </c>
      <c r="AK130" s="267" t="b">
        <f t="shared" si="43"/>
        <v>0</v>
      </c>
      <c r="AL130" s="267"/>
      <c r="AM130" s="267"/>
      <c r="AN130" s="75"/>
    </row>
    <row r="131" spans="1:40" s="6" customFormat="1" ht="11.25" x14ac:dyDescent="0.2">
      <c r="A131" s="56">
        <f t="shared" si="44"/>
        <v>44313</v>
      </c>
      <c r="B131" s="618">
        <v>20.199000000000002</v>
      </c>
      <c r="C131" s="392"/>
      <c r="D131" s="395">
        <f t="shared" si="24"/>
        <v>20.674578007132272</v>
      </c>
      <c r="E131" s="387">
        <f t="shared" si="45"/>
        <v>21.286316047239978</v>
      </c>
      <c r="F131" s="387">
        <f t="shared" si="25"/>
        <v>21.289769878646798</v>
      </c>
      <c r="G131" s="110">
        <f t="shared" si="46"/>
        <v>0.34948180755576452</v>
      </c>
      <c r="H131" s="414" t="b">
        <f>Wh_hp&gt;='2020'!Maxi_hp</f>
        <v>0</v>
      </c>
      <c r="I131" s="382">
        <f>IF(H131,Wh_hp,'2020'!Maxi_hp)</f>
        <v>33.882501850948501</v>
      </c>
      <c r="J131" s="85">
        <f>IF(H131,An,'2020'!An_max)</f>
        <v>2019</v>
      </c>
      <c r="K131" s="199">
        <f t="shared" si="26"/>
        <v>44313</v>
      </c>
      <c r="L131" s="147">
        <f>IF(t&lt;Tvie,1-EXP((T0-t)*PertePVj)+'2020'!Pspv,1-EXP((T0-t)*PertePVj)+Pspv)</f>
        <v>2.3003033337280487E-2</v>
      </c>
      <c r="M131" s="870"/>
      <c r="N131" s="870"/>
      <c r="O131" s="48">
        <f>IF(t&lt;Tnet,'2020'!Resal+('2020'!Salim-'2020'!Resal)*(1-EXP(('2020'!Tnet-t)/('2020'!Tau_j))),Resal+(Salim-Resal)*(1-EXP((Tnet-t)/(Tau_j))))*Salcycl</f>
        <v>2.8738558553302478E-2</v>
      </c>
      <c r="P131" s="171">
        <f>(INDEX(Models!$BJ131:$BT131,,T131)*(1-R131)+INDEX(Models!$BJ131:$BT131,,T131+1)*R131-ERP_i)*Q131*Ramure*Pc/MaxiM</f>
        <v>2.2613961967176254E-3</v>
      </c>
      <c r="Q131" s="307">
        <f t="shared" si="27"/>
        <v>1</v>
      </c>
      <c r="R131" s="179">
        <f t="shared" si="28"/>
        <v>0.39756837219261465</v>
      </c>
      <c r="S131" s="837">
        <f t="shared" si="29"/>
        <v>-1</v>
      </c>
      <c r="T131" s="178">
        <f t="shared" si="30"/>
        <v>5</v>
      </c>
      <c r="U131" s="253">
        <f t="shared" si="31"/>
        <v>-0.60243162780738535</v>
      </c>
      <c r="V131" s="385">
        <f t="shared" si="32"/>
        <v>57.675654694553415</v>
      </c>
      <c r="W131" s="404"/>
      <c r="X131" s="157">
        <f t="shared" si="33"/>
        <v>44313</v>
      </c>
      <c r="Y131" s="387">
        <f t="shared" si="34"/>
        <v>18.095430398358452</v>
      </c>
      <c r="Z131" s="387">
        <f t="shared" si="35"/>
        <v>18.521480634857884</v>
      </c>
      <c r="AA131" s="388">
        <f t="shared" si="36"/>
        <v>21.286316047239978</v>
      </c>
      <c r="AB131" s="199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0.12988792453547116</v>
      </c>
      <c r="AD131" s="233">
        <f>(INDEX(Models!$BJ131:$BT131,,AH131)*(1-AF131)+INDEX(Models!$BJ131:$BT131,,AH131+1)*AF131-ERP_i)*AE131*Ramure*Pc/MaxiM</f>
        <v>2.2613961967176254E-3</v>
      </c>
      <c r="AE131" s="307">
        <f t="shared" si="38"/>
        <v>1</v>
      </c>
      <c r="AF131" s="179">
        <f t="shared" si="39"/>
        <v>0.39756837219261465</v>
      </c>
      <c r="AG131" s="837">
        <f t="shared" si="47"/>
        <v>-1</v>
      </c>
      <c r="AH131" s="178">
        <f t="shared" si="40"/>
        <v>5</v>
      </c>
      <c r="AI131" s="227">
        <f t="shared" si="41"/>
        <v>-0.60243162780738535</v>
      </c>
      <c r="AJ131" s="267" t="b">
        <f t="shared" si="42"/>
        <v>0</v>
      </c>
      <c r="AK131" s="267" t="b">
        <f t="shared" si="43"/>
        <v>0</v>
      </c>
      <c r="AL131" s="267"/>
      <c r="AM131" s="267"/>
      <c r="AN131" s="75"/>
    </row>
    <row r="132" spans="1:40" s="6" customFormat="1" ht="11.25" x14ac:dyDescent="0.2">
      <c r="A132" s="56">
        <f t="shared" si="44"/>
        <v>44314</v>
      </c>
      <c r="B132" s="618">
        <v>15.522</v>
      </c>
      <c r="C132" s="392"/>
      <c r="D132" s="395">
        <f t="shared" si="24"/>
        <v>15.887829499660199</v>
      </c>
      <c r="E132" s="387">
        <f t="shared" si="45"/>
        <v>16.366132793259506</v>
      </c>
      <c r="F132" s="387">
        <f t="shared" si="25"/>
        <v>16.366132793259506</v>
      </c>
      <c r="G132" s="110">
        <f t="shared" si="46"/>
        <v>0.26757934619777107</v>
      </c>
      <c r="H132" s="414" t="b">
        <f>Wh_hp&gt;='2020'!Maxi_hp</f>
        <v>0</v>
      </c>
      <c r="I132" s="382">
        <f>IF(H132,Wh_hp,'2020'!Maxi_hp)</f>
        <v>48.071799484183821</v>
      </c>
      <c r="J132" s="85">
        <f>IF(H132,An,'2020'!An_max)</f>
        <v>2019</v>
      </c>
      <c r="K132" s="199">
        <f t="shared" si="26"/>
        <v>44314</v>
      </c>
      <c r="L132" s="147">
        <f>IF(t&lt;Tvie,1-EXP((T0-t)*PertePVj)+'2020'!Pspv,1-EXP((T0-t)*PertePVj)+Pspv)</f>
        <v>2.3025769483995484E-2</v>
      </c>
      <c r="M132" s="870"/>
      <c r="N132" s="870"/>
      <c r="O132" s="48">
        <f>IF(t&lt;Tnet,'2020'!Resal+('2020'!Salim-'2020'!Resal)*(1-EXP(('2020'!Tnet-t)/('2020'!Tau_j))),Resal+(Salim-Resal)*(1-EXP((Tnet-t)/(Tau_j))))*Salcycl</f>
        <v>2.9225187137446353E-2</v>
      </c>
      <c r="P132" s="171">
        <f>(INDEX(Models!$BJ132:$BT132,,T132)*(1-R132)+INDEX(Models!$BJ132:$BT132,,T132+1)*R132-ERP_i)*Q132*Ramure*Pc/MaxiM</f>
        <v>2.1401799951040784E-3</v>
      </c>
      <c r="Q132" s="307">
        <f t="shared" si="27"/>
        <v>1</v>
      </c>
      <c r="R132" s="179">
        <f t="shared" si="28"/>
        <v>0.40110732585264286</v>
      </c>
      <c r="S132" s="837">
        <f t="shared" si="29"/>
        <v>-1</v>
      </c>
      <c r="T132" s="178">
        <f t="shared" si="30"/>
        <v>5</v>
      </c>
      <c r="U132" s="253">
        <f t="shared" si="31"/>
        <v>-0.59889267414735714</v>
      </c>
      <c r="V132" s="385">
        <f t="shared" si="32"/>
        <v>57.884811911708809</v>
      </c>
      <c r="W132" s="404"/>
      <c r="X132" s="157">
        <f t="shared" si="33"/>
        <v>44314</v>
      </c>
      <c r="Y132" s="387">
        <f t="shared" si="34"/>
        <v>13.908711152286161</v>
      </c>
      <c r="Z132" s="387">
        <f t="shared" si="35"/>
        <v>14.236517932453605</v>
      </c>
      <c r="AA132" s="388">
        <f t="shared" si="36"/>
        <v>16.366132793259506</v>
      </c>
      <c r="AB132" s="199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0.13012327882876493</v>
      </c>
      <c r="AD132" s="233">
        <f>(INDEX(Models!$BJ132:$BT132,,AH132)*(1-AF132)+INDEX(Models!$BJ132:$BT132,,AH132+1)*AF132-ERP_i)*AE132*Ramure*Pc/MaxiM</f>
        <v>2.1401799951040784E-3</v>
      </c>
      <c r="AE132" s="307">
        <f t="shared" si="38"/>
        <v>1</v>
      </c>
      <c r="AF132" s="179">
        <f t="shared" si="39"/>
        <v>0.40110732585264286</v>
      </c>
      <c r="AG132" s="837">
        <f t="shared" si="47"/>
        <v>-1</v>
      </c>
      <c r="AH132" s="178">
        <f t="shared" si="40"/>
        <v>5</v>
      </c>
      <c r="AI132" s="227">
        <f t="shared" si="41"/>
        <v>-0.59889267414735714</v>
      </c>
      <c r="AJ132" s="267" t="b">
        <f t="shared" si="42"/>
        <v>0</v>
      </c>
      <c r="AK132" s="267" t="b">
        <f t="shared" si="43"/>
        <v>0</v>
      </c>
      <c r="AL132" s="267"/>
      <c r="AM132" s="267"/>
      <c r="AN132" s="75"/>
    </row>
    <row r="133" spans="1:40" s="6" customFormat="1" ht="11.25" x14ac:dyDescent="0.2">
      <c r="A133" s="56">
        <f t="shared" si="44"/>
        <v>44315</v>
      </c>
      <c r="B133" s="618">
        <v>24.664000000000001</v>
      </c>
      <c r="C133" s="392"/>
      <c r="D133" s="395">
        <f t="shared" si="24"/>
        <v>25.245879789113953</v>
      </c>
      <c r="E133" s="387">
        <f t="shared" si="45"/>
        <v>26.018952734462463</v>
      </c>
      <c r="F133" s="387">
        <f t="shared" si="25"/>
        <v>26.028315878477876</v>
      </c>
      <c r="G133" s="110">
        <f t="shared" si="46"/>
        <v>0.42391481373463169</v>
      </c>
      <c r="H133" s="414" t="b">
        <f>Wh_hp&gt;='2020'!Maxi_hp</f>
        <v>0</v>
      </c>
      <c r="I133" s="382">
        <f>IF(H133,Wh_hp,'2020'!Maxi_hp)</f>
        <v>54.803359565450826</v>
      </c>
      <c r="J133" s="85">
        <f>IF(H133,An,'2020'!An_max)</f>
        <v>2019</v>
      </c>
      <c r="K133" s="199">
        <f t="shared" si="26"/>
        <v>44315</v>
      </c>
      <c r="L133" s="147">
        <f>IF(t&lt;Tvie,1-EXP((T0-t)*PertePVj)+'2020'!Pspv,1-EXP((T0-t)*PertePVj)+Pspv)</f>
        <v>2.3048505101607053E-2</v>
      </c>
      <c r="M133" s="870"/>
      <c r="N133" s="870"/>
      <c r="O133" s="48">
        <f>IF(t&lt;Tnet,'2020'!Resal+('2020'!Salim-'2020'!Resal)*(1-EXP(('2020'!Tnet-t)/('2020'!Tau_j))),Resal+(Salim-Resal)*(1-EXP((Tnet-t)/(Tau_j))))*Salcycl</f>
        <v>2.9711916280341404E-2</v>
      </c>
      <c r="P133" s="171">
        <f>(INDEX(Models!$BJ133:$BT133,,T133)*(1-R133)+INDEX(Models!$BJ133:$BT133,,T133+1)*R133-ERP_i)*Q133*Ramure*Pc/MaxiM</f>
        <v>2.0206208359653598E-3</v>
      </c>
      <c r="Q133" s="307">
        <f t="shared" si="27"/>
        <v>1</v>
      </c>
      <c r="R133" s="179">
        <f t="shared" si="28"/>
        <v>0.4047507835182278</v>
      </c>
      <c r="S133" s="837">
        <f t="shared" si="29"/>
        <v>-1</v>
      </c>
      <c r="T133" s="178">
        <f t="shared" si="30"/>
        <v>5</v>
      </c>
      <c r="U133" s="253">
        <f t="shared" si="31"/>
        <v>-0.5952492164817722</v>
      </c>
      <c r="V133" s="385">
        <f t="shared" si="32"/>
        <v>58.084832679625649</v>
      </c>
      <c r="W133" s="404"/>
      <c r="X133" s="157">
        <f t="shared" si="33"/>
        <v>44315</v>
      </c>
      <c r="Y133" s="387">
        <f t="shared" si="34"/>
        <v>22.105549348363603</v>
      </c>
      <c r="Z133" s="387">
        <f t="shared" si="35"/>
        <v>22.627069474582946</v>
      </c>
      <c r="AA133" s="388">
        <f t="shared" si="36"/>
        <v>26.018952734462463</v>
      </c>
      <c r="AB133" s="199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0.13036202088898527</v>
      </c>
      <c r="AD133" s="233">
        <f>(INDEX(Models!$BJ133:$BT133,,AH133)*(1-AF133)+INDEX(Models!$BJ133:$BT133,,AH133+1)*AF133-ERP_i)*AE133*Ramure*Pc/MaxiM</f>
        <v>2.0206208359653598E-3</v>
      </c>
      <c r="AE133" s="307">
        <f t="shared" si="38"/>
        <v>1</v>
      </c>
      <c r="AF133" s="179">
        <f t="shared" si="39"/>
        <v>0.4047507835182278</v>
      </c>
      <c r="AG133" s="837">
        <f t="shared" si="47"/>
        <v>-1</v>
      </c>
      <c r="AH133" s="178">
        <f t="shared" si="40"/>
        <v>5</v>
      </c>
      <c r="AI133" s="227">
        <f t="shared" si="41"/>
        <v>-0.5952492164817722</v>
      </c>
      <c r="AJ133" s="267" t="b">
        <f t="shared" si="42"/>
        <v>0</v>
      </c>
      <c r="AK133" s="267" t="b">
        <f t="shared" si="43"/>
        <v>0</v>
      </c>
      <c r="AL133" s="267"/>
      <c r="AM133" s="267"/>
      <c r="AN133" s="75"/>
    </row>
    <row r="134" spans="1:40" s="6" customFormat="1" ht="11.25" x14ac:dyDescent="0.2">
      <c r="A134" s="56">
        <f t="shared" si="44"/>
        <v>44316</v>
      </c>
      <c r="B134" s="618">
        <v>17.413</v>
      </c>
      <c r="C134" s="392"/>
      <c r="D134" s="395">
        <f t="shared" si="24"/>
        <v>17.824227022847477</v>
      </c>
      <c r="E134" s="387">
        <f t="shared" si="45"/>
        <v>18.379258139200694</v>
      </c>
      <c r="F134" s="387">
        <f t="shared" si="25"/>
        <v>18.379258139200694</v>
      </c>
      <c r="G134" s="110">
        <f t="shared" si="46"/>
        <v>0.29823676443355063</v>
      </c>
      <c r="H134" s="414" t="b">
        <f>Wh_hp&gt;='2020'!Maxi_hp</f>
        <v>0</v>
      </c>
      <c r="I134" s="382">
        <f>IF(H134,Wh_hp,'2020'!Maxi_hp)</f>
        <v>60.871126204254288</v>
      </c>
      <c r="J134" s="85">
        <f>IF(H134,An,'2020'!An_max)</f>
        <v>2019</v>
      </c>
      <c r="K134" s="199">
        <f t="shared" si="26"/>
        <v>44316</v>
      </c>
      <c r="L134" s="147">
        <f>IF(t&lt;Tvie,1-EXP((T0-t)*PertePVj)+'2020'!Pspv,1-EXP((T0-t)*PertePVj)+Pspv)</f>
        <v>2.3071240190127629E-2</v>
      </c>
      <c r="M134" s="870"/>
      <c r="N134" s="870"/>
      <c r="O134" s="48">
        <f>IF(t&lt;Tnet,'2020'!Resal+('2020'!Salim-'2020'!Resal)*(1-EXP(('2020'!Tnet-t)/('2020'!Tau_j))),Resal+(Salim-Resal)*(1-EXP((Tnet-t)/(Tau_j))))*Salcycl</f>
        <v>3.0198776911969264E-2</v>
      </c>
      <c r="P134" s="171">
        <f>(INDEX(Models!$BJ134:$BT134,,T134)*(1-R134)+INDEX(Models!$BJ134:$BT134,,T134+1)*R134-ERP_i)*Q134*Ramure*Pc/MaxiM</f>
        <v>1.9026376400324027E-3</v>
      </c>
      <c r="Q134" s="307">
        <f t="shared" si="27"/>
        <v>1</v>
      </c>
      <c r="R134" s="179">
        <f t="shared" si="28"/>
        <v>0.40850022943841857</v>
      </c>
      <c r="S134" s="837">
        <f t="shared" si="29"/>
        <v>-1</v>
      </c>
      <c r="T134" s="178">
        <f t="shared" si="30"/>
        <v>5</v>
      </c>
      <c r="U134" s="253">
        <f t="shared" si="31"/>
        <v>-0.59149977056158143</v>
      </c>
      <c r="V134" s="385">
        <f t="shared" si="32"/>
        <v>58.275408814148669</v>
      </c>
      <c r="W134" s="404"/>
      <c r="X134" s="157">
        <f t="shared" si="33"/>
        <v>44316</v>
      </c>
      <c r="Y134" s="387">
        <f t="shared" si="34"/>
        <v>15.61019924855454</v>
      </c>
      <c r="Z134" s="387">
        <f t="shared" si="35"/>
        <v>15.978851161667675</v>
      </c>
      <c r="AA134" s="388">
        <f t="shared" si="36"/>
        <v>18.379258139200694</v>
      </c>
      <c r="AB134" s="199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0.13060412772663796</v>
      </c>
      <c r="AD134" s="233">
        <f>(INDEX(Models!$BJ134:$BT134,,AH134)*(1-AF134)+INDEX(Models!$BJ134:$BT134,,AH134+1)*AF134-ERP_i)*AE134*Ramure*Pc/MaxiM</f>
        <v>1.9026376400324027E-3</v>
      </c>
      <c r="AE134" s="307">
        <f t="shared" si="38"/>
        <v>1</v>
      </c>
      <c r="AF134" s="179">
        <f t="shared" si="39"/>
        <v>0.40850022943841857</v>
      </c>
      <c r="AG134" s="837">
        <f t="shared" si="47"/>
        <v>-1</v>
      </c>
      <c r="AH134" s="178">
        <f t="shared" si="40"/>
        <v>5</v>
      </c>
      <c r="AI134" s="227">
        <f t="shared" si="41"/>
        <v>-0.59149977056158143</v>
      </c>
      <c r="AJ134" s="267" t="b">
        <f t="shared" si="42"/>
        <v>0</v>
      </c>
      <c r="AK134" s="267" t="b">
        <f t="shared" si="43"/>
        <v>0</v>
      </c>
      <c r="AL134" s="267"/>
      <c r="AM134" s="267"/>
      <c r="AN134" s="75"/>
    </row>
    <row r="135" spans="1:40" s="6" customFormat="1" ht="11.25" x14ac:dyDescent="0.2">
      <c r="A135" s="56">
        <f t="shared" si="44"/>
        <v>44317</v>
      </c>
      <c r="B135" s="618">
        <v>20.716000000000001</v>
      </c>
      <c r="C135" s="392"/>
      <c r="D135" s="395">
        <f t="shared" si="24"/>
        <v>21.2057244653491</v>
      </c>
      <c r="E135" s="387">
        <f t="shared" si="45"/>
        <v>21.877038849967718</v>
      </c>
      <c r="F135" s="387">
        <f t="shared" si="25"/>
        <v>21.880075207499132</v>
      </c>
      <c r="G135" s="110">
        <f t="shared" si="46"/>
        <v>0.35380166111611328</v>
      </c>
      <c r="H135" s="414" t="b">
        <f>Wh_hp&gt;='2020'!Maxi_hp</f>
        <v>0</v>
      </c>
      <c r="I135" s="382">
        <f>IF(H135,Wh_hp,'2020'!Maxi_hp)</f>
        <v>56.86994403885685</v>
      </c>
      <c r="J135" s="85">
        <f>IF(H135,An,'2020'!An_max)</f>
        <v>2019</v>
      </c>
      <c r="K135" s="199">
        <f t="shared" si="26"/>
        <v>44317</v>
      </c>
      <c r="L135" s="147">
        <f>IF(t&lt;Tvie,1-EXP((T0-t)*PertePVj)+'2020'!Pspv,1-EXP((T0-t)*PertePVj)+Pspv)</f>
        <v>2.3093974749569424E-2</v>
      </c>
      <c r="M135" s="870"/>
      <c r="N135" s="870"/>
      <c r="O135" s="48">
        <f>IF(t&lt;Tnet,'2020'!Resal+('2020'!Salim-'2020'!Resal)*(1-EXP(('2020'!Tnet-t)/('2020'!Tau_j))),Resal+(Salim-Resal)*(1-EXP((Tnet-t)/(Tau_j))))*Salcycl</f>
        <v>3.0685797526003453E-2</v>
      </c>
      <c r="P135" s="171">
        <f>(INDEX(Models!$BJ135:$BT135,,T135)*(1-R135)+INDEX(Models!$BJ135:$BT135,,T135+1)*R135-ERP_i)*Q135*Ramure*Pc/MaxiM</f>
        <v>1.7861528230553459E-3</v>
      </c>
      <c r="Q135" s="307">
        <f t="shared" si="27"/>
        <v>1</v>
      </c>
      <c r="R135" s="179">
        <f t="shared" si="28"/>
        <v>0.41235705129970257</v>
      </c>
      <c r="S135" s="837">
        <f t="shared" si="29"/>
        <v>-1</v>
      </c>
      <c r="T135" s="178">
        <f t="shared" si="30"/>
        <v>5</v>
      </c>
      <c r="U135" s="253">
        <f t="shared" si="31"/>
        <v>-0.58764294870029743</v>
      </c>
      <c r="V135" s="385">
        <f t="shared" si="32"/>
        <v>58.456108069001509</v>
      </c>
      <c r="W135" s="404"/>
      <c r="X135" s="157">
        <f t="shared" si="33"/>
        <v>44317</v>
      </c>
      <c r="Y135" s="387">
        <f t="shared" si="34"/>
        <v>18.575318804389205</v>
      </c>
      <c r="Z135" s="387">
        <f t="shared" si="35"/>
        <v>19.014437749657045</v>
      </c>
      <c r="AA135" s="388">
        <f t="shared" si="36"/>
        <v>21.877038849967718</v>
      </c>
      <c r="AB135" s="199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0.13084956880784154</v>
      </c>
      <c r="AD135" s="233">
        <f>(INDEX(Models!$BJ135:$BT135,,AH135)*(1-AF135)+INDEX(Models!$BJ135:$BT135,,AH135+1)*AF135-ERP_i)*AE135*Ramure*Pc/MaxiM</f>
        <v>1.7861528230553459E-3</v>
      </c>
      <c r="AE135" s="307">
        <f t="shared" si="38"/>
        <v>1</v>
      </c>
      <c r="AF135" s="179">
        <f t="shared" si="39"/>
        <v>0.41235705129970257</v>
      </c>
      <c r="AG135" s="837">
        <f t="shared" si="47"/>
        <v>-1</v>
      </c>
      <c r="AH135" s="178">
        <f t="shared" si="40"/>
        <v>5</v>
      </c>
      <c r="AI135" s="227">
        <f t="shared" si="41"/>
        <v>-0.58764294870029743</v>
      </c>
      <c r="AJ135" s="267" t="b">
        <f t="shared" si="42"/>
        <v>0</v>
      </c>
      <c r="AK135" s="267" t="b">
        <f t="shared" si="43"/>
        <v>0</v>
      </c>
      <c r="AL135" s="267"/>
      <c r="AM135" s="267"/>
      <c r="AN135" s="75"/>
    </row>
    <row r="136" spans="1:40" s="6" customFormat="1" ht="11.25" x14ac:dyDescent="0.2">
      <c r="A136" s="56">
        <f t="shared" si="44"/>
        <v>44318</v>
      </c>
      <c r="B136" s="618">
        <v>37.628</v>
      </c>
      <c r="C136" s="392"/>
      <c r="D136" s="395">
        <f t="shared" si="24"/>
        <v>38.518419076454265</v>
      </c>
      <c r="E136" s="387">
        <f t="shared" si="45"/>
        <v>39.757788785588538</v>
      </c>
      <c r="F136" s="387">
        <f t="shared" si="25"/>
        <v>39.790318251802034</v>
      </c>
      <c r="G136" s="110">
        <f t="shared" si="46"/>
        <v>0.64127206252265401</v>
      </c>
      <c r="H136" s="414" t="b">
        <f>Wh_hp&gt;='2020'!Maxi_hp</f>
        <v>1</v>
      </c>
      <c r="I136" s="382">
        <f>IF(H136,Wh_hp,'2020'!Maxi_hp)</f>
        <v>39.790318251802034</v>
      </c>
      <c r="J136" s="85">
        <f>IF(H136,An,'2020'!An_max)</f>
        <v>2021</v>
      </c>
      <c r="K136" s="199">
        <f t="shared" si="26"/>
        <v>44318</v>
      </c>
      <c r="L136" s="147">
        <f>IF(t&lt;Tvie,1-EXP((T0-t)*PertePVj)+'2020'!Pspv,1-EXP((T0-t)*PertePVj)+Pspv)</f>
        <v>2.3116708779944872E-2</v>
      </c>
      <c r="M136" s="870"/>
      <c r="N136" s="870"/>
      <c r="O136" s="48">
        <f>IF(t&lt;Tnet,'2020'!Resal+('2020'!Salim-'2020'!Resal)*(1-EXP(('2020'!Tnet-t)/('2020'!Tau_j))),Resal+(Salim-Resal)*(1-EXP((Tnet-t)/(Tau_j))))*Salcycl</f>
        <v>3.1173004007293423E-2</v>
      </c>
      <c r="P136" s="171">
        <f>(INDEX(Models!$BJ136:$BT136,,T136)*(1-R136)+INDEX(Models!$BJ136:$BT136,,T136+1)*R136-ERP_i)*Q136*Ramure*Pc/MaxiM</f>
        <v>1.6741607041369569E-3</v>
      </c>
      <c r="Q136" s="307">
        <f t="shared" si="27"/>
        <v>1</v>
      </c>
      <c r="R136" s="179">
        <f t="shared" si="28"/>
        <v>0.41632253090931171</v>
      </c>
      <c r="S136" s="837">
        <f t="shared" si="29"/>
        <v>-1</v>
      </c>
      <c r="T136" s="178">
        <f t="shared" si="30"/>
        <v>5</v>
      </c>
      <c r="U136" s="253">
        <f t="shared" si="31"/>
        <v>-0.58367746909068829</v>
      </c>
      <c r="V136" s="385">
        <f t="shared" si="32"/>
        <v>58.626817271681631</v>
      </c>
      <c r="W136" s="404"/>
      <c r="X136" s="157">
        <f t="shared" si="33"/>
        <v>44318</v>
      </c>
      <c r="Y136" s="387">
        <f t="shared" si="34"/>
        <v>33.747029226103301</v>
      </c>
      <c r="Z136" s="387">
        <f t="shared" si="35"/>
        <v>34.545610032858434</v>
      </c>
      <c r="AA136" s="388">
        <f t="shared" si="36"/>
        <v>39.757788785588538</v>
      </c>
      <c r="AB136" s="199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0.13109830581471932</v>
      </c>
      <c r="AD136" s="233">
        <f>(INDEX(Models!$BJ136:$BT136,,AH136)*(1-AF136)+INDEX(Models!$BJ136:$BT136,,AH136+1)*AF136-ERP_i)*AE136*Ramure*Pc/MaxiM</f>
        <v>1.6741607041369569E-3</v>
      </c>
      <c r="AE136" s="307">
        <f t="shared" si="38"/>
        <v>1</v>
      </c>
      <c r="AF136" s="179">
        <f t="shared" si="39"/>
        <v>0.41632253090931171</v>
      </c>
      <c r="AG136" s="837">
        <f t="shared" si="47"/>
        <v>-1</v>
      </c>
      <c r="AH136" s="178">
        <f t="shared" si="40"/>
        <v>5</v>
      </c>
      <c r="AI136" s="227">
        <f t="shared" si="41"/>
        <v>-0.58367746909068829</v>
      </c>
      <c r="AJ136" s="267" t="b">
        <f t="shared" si="42"/>
        <v>0</v>
      </c>
      <c r="AK136" s="267" t="b">
        <f t="shared" si="43"/>
        <v>0</v>
      </c>
      <c r="AL136" s="267"/>
      <c r="AM136" s="267"/>
      <c r="AN136" s="75"/>
    </row>
    <row r="137" spans="1:40" s="6" customFormat="1" ht="11.25" x14ac:dyDescent="0.2">
      <c r="A137" s="56">
        <f t="shared" si="44"/>
        <v>44319</v>
      </c>
      <c r="B137" s="618">
        <v>56.5</v>
      </c>
      <c r="C137" s="392"/>
      <c r="D137" s="395">
        <f t="shared" si="24"/>
        <v>57.838347094230791</v>
      </c>
      <c r="E137" s="387">
        <f t="shared" si="45"/>
        <v>59.729405114197746</v>
      </c>
      <c r="F137" s="387">
        <f t="shared" si="25"/>
        <v>59.817954676163886</v>
      </c>
      <c r="G137" s="110">
        <f t="shared" si="46"/>
        <v>0.96099785133332427</v>
      </c>
      <c r="H137" s="414" t="b">
        <f>Wh_hp&gt;='2020'!Maxi_hp</f>
        <v>1</v>
      </c>
      <c r="I137" s="382">
        <f>IF(H137,Wh_hp,'2020'!Maxi_hp)</f>
        <v>59.817954676163886</v>
      </c>
      <c r="J137" s="85">
        <f>IF(H137,An,'2020'!An_max)</f>
        <v>2021</v>
      </c>
      <c r="K137" s="199">
        <f t="shared" si="26"/>
        <v>44319</v>
      </c>
      <c r="L137" s="147">
        <f>IF(t&lt;Tvie,1-EXP((T0-t)*PertePVj)+'2020'!Pspv,1-EXP((T0-t)*PertePVj)+Pspv)</f>
        <v>2.3139442281266187E-2</v>
      </c>
      <c r="M137" s="870"/>
      <c r="N137" s="870"/>
      <c r="O137" s="48">
        <f>IF(t&lt;Tnet,'2020'!Resal+('2020'!Salim-'2020'!Resal)*(1-EXP(('2020'!Tnet-t)/('2020'!Tau_j))),Resal+(Salim-Resal)*(1-EXP((Tnet-t)/(Tau_j))))*Salcycl</f>
        <v>3.1660419459249724E-2</v>
      </c>
      <c r="P137" s="171">
        <f>(INDEX(Models!$BJ137:$BT137,,T137)*(1-R137)+INDEX(Models!$BJ137:$BT137,,T137+1)*R137-ERP_i)*Q137*Ramure*Pc/MaxiM</f>
        <v>1.5674646029703312E-3</v>
      </c>
      <c r="Q137" s="307">
        <f t="shared" si="27"/>
        <v>1</v>
      </c>
      <c r="R137" s="179">
        <f t="shared" si="28"/>
        <v>0.42039783468110092</v>
      </c>
      <c r="S137" s="837">
        <f t="shared" si="29"/>
        <v>-1</v>
      </c>
      <c r="T137" s="178">
        <f t="shared" si="30"/>
        <v>5</v>
      </c>
      <c r="U137" s="253">
        <f t="shared" si="31"/>
        <v>-0.57960216531889908</v>
      </c>
      <c r="V137" s="385">
        <f t="shared" si="32"/>
        <v>58.787924247390002</v>
      </c>
      <c r="W137" s="404"/>
      <c r="X137" s="157">
        <f t="shared" si="33"/>
        <v>44319</v>
      </c>
      <c r="Y137" s="387">
        <f t="shared" si="34"/>
        <v>50.683365076343364</v>
      </c>
      <c r="Z137" s="387">
        <f t="shared" si="35"/>
        <v>51.883930286533854</v>
      </c>
      <c r="AA137" s="388">
        <f t="shared" si="36"/>
        <v>59.729405114197746</v>
      </c>
      <c r="AB137" s="199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0.13135029241734428</v>
      </c>
      <c r="AD137" s="233">
        <f>(INDEX(Models!$BJ137:$BT137,,AH137)*(1-AF137)+INDEX(Models!$BJ137:$BT137,,AH137+1)*AF137-ERP_i)*AE137*Ramure*Pc/MaxiM</f>
        <v>1.5674646029703312E-3</v>
      </c>
      <c r="AE137" s="307">
        <f t="shared" si="38"/>
        <v>1</v>
      </c>
      <c r="AF137" s="179">
        <f t="shared" si="39"/>
        <v>0.42039783468110092</v>
      </c>
      <c r="AG137" s="837">
        <f t="shared" si="47"/>
        <v>-1</v>
      </c>
      <c r="AH137" s="178">
        <f t="shared" si="40"/>
        <v>5</v>
      </c>
      <c r="AI137" s="227">
        <f t="shared" si="41"/>
        <v>-0.57960216531889908</v>
      </c>
      <c r="AJ137" s="267" t="b">
        <f t="shared" si="42"/>
        <v>0</v>
      </c>
      <c r="AK137" s="267" t="b">
        <f t="shared" si="43"/>
        <v>0</v>
      </c>
      <c r="AL137" s="267"/>
      <c r="AM137" s="267"/>
      <c r="AN137" s="75"/>
    </row>
    <row r="138" spans="1:40" s="6" customFormat="1" ht="11.25" x14ac:dyDescent="0.2">
      <c r="A138" s="56">
        <f t="shared" si="44"/>
        <v>44320</v>
      </c>
      <c r="B138" s="618">
        <v>49.078000000000003</v>
      </c>
      <c r="C138" s="392"/>
      <c r="D138" s="395">
        <f t="shared" si="24"/>
        <v>50.241707227848771</v>
      </c>
      <c r="E138" s="387">
        <f t="shared" si="45"/>
        <v>51.910530279208636</v>
      </c>
      <c r="F138" s="387">
        <f t="shared" si="25"/>
        <v>51.968503518819773</v>
      </c>
      <c r="G138" s="110">
        <f t="shared" si="46"/>
        <v>0.8323870317358405</v>
      </c>
      <c r="H138" s="414" t="b">
        <f>Wh_hp&gt;='2020'!Maxi_hp</f>
        <v>0</v>
      </c>
      <c r="I138" s="382">
        <f>IF(H138,Wh_hp,'2020'!Maxi_hp)</f>
        <v>56.704587051571465</v>
      </c>
      <c r="J138" s="85">
        <f>IF(H138,An,'2020'!An_max)</f>
        <v>2020</v>
      </c>
      <c r="K138" s="199">
        <f t="shared" si="26"/>
        <v>44320</v>
      </c>
      <c r="L138" s="147">
        <f>IF(t&lt;Tvie,1-EXP((T0-t)*PertePVj)+'2020'!Pspv,1-EXP((T0-t)*PertePVj)+Pspv)</f>
        <v>2.3162175253545692E-2</v>
      </c>
      <c r="M138" s="870"/>
      <c r="N138" s="870"/>
      <c r="O138" s="48">
        <f>IF(t&lt;Tnet,'2020'!Resal+('2020'!Salim-'2020'!Resal)*(1-EXP(('2020'!Tnet-t)/('2020'!Tau_j))),Resal+(Salim-Resal)*(1-EXP((Tnet-t)/(Tau_j))))*Salcycl</f>
        <v>3.2148064032169452E-2</v>
      </c>
      <c r="P138" s="171">
        <f>(INDEX(Models!$BJ138:$BT138,,T138)*(1-R138)+INDEX(Models!$BJ138:$BT138,,T138+1)*R138-ERP_i)*Q138*Ramure*Pc/MaxiM</f>
        <v>1.4659518780851999E-3</v>
      </c>
      <c r="Q138" s="307">
        <f t="shared" si="27"/>
        <v>1</v>
      </c>
      <c r="R138" s="179">
        <f t="shared" si="28"/>
        <v>0.4245840039639075</v>
      </c>
      <c r="S138" s="837">
        <f t="shared" si="29"/>
        <v>-1</v>
      </c>
      <c r="T138" s="178">
        <f t="shared" si="30"/>
        <v>5</v>
      </c>
      <c r="U138" s="253">
        <f t="shared" si="31"/>
        <v>-0.5754159960360925</v>
      </c>
      <c r="V138" s="385">
        <f t="shared" si="32"/>
        <v>58.93987014260361</v>
      </c>
      <c r="W138" s="404"/>
      <c r="X138" s="157">
        <f t="shared" si="33"/>
        <v>44320</v>
      </c>
      <c r="Y138" s="387">
        <f t="shared" si="34"/>
        <v>44.034696796319345</v>
      </c>
      <c r="Z138" s="387">
        <f t="shared" si="35"/>
        <v>45.078820333097653</v>
      </c>
      <c r="AA138" s="388">
        <f t="shared" si="36"/>
        <v>51.910530279208636</v>
      </c>
      <c r="AB138" s="199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0.1316054740601878</v>
      </c>
      <c r="AD138" s="233">
        <f>(INDEX(Models!$BJ138:$BT138,,AH138)*(1-AF138)+INDEX(Models!$BJ138:$BT138,,AH138+1)*AF138-ERP_i)*AE138*Ramure*Pc/MaxiM</f>
        <v>1.4659518780851999E-3</v>
      </c>
      <c r="AE138" s="307">
        <f t="shared" si="38"/>
        <v>1</v>
      </c>
      <c r="AF138" s="179">
        <f t="shared" si="39"/>
        <v>0.4245840039639075</v>
      </c>
      <c r="AG138" s="837">
        <f t="shared" si="47"/>
        <v>-1</v>
      </c>
      <c r="AH138" s="178">
        <f t="shared" si="40"/>
        <v>5</v>
      </c>
      <c r="AI138" s="227">
        <f t="shared" si="41"/>
        <v>-0.5754159960360925</v>
      </c>
      <c r="AJ138" s="267" t="b">
        <f t="shared" si="42"/>
        <v>0</v>
      </c>
      <c r="AK138" s="267" t="b">
        <f t="shared" si="43"/>
        <v>0</v>
      </c>
      <c r="AL138" s="267"/>
      <c r="AM138" s="267"/>
      <c r="AN138" s="75"/>
    </row>
    <row r="139" spans="1:40" s="6" customFormat="1" ht="11.25" x14ac:dyDescent="0.2">
      <c r="A139" s="56">
        <f t="shared" si="44"/>
        <v>44321</v>
      </c>
      <c r="B139" s="618">
        <v>34.927999999999997</v>
      </c>
      <c r="C139" s="392"/>
      <c r="D139" s="395">
        <f t="shared" si="24"/>
        <v>35.757023284360066</v>
      </c>
      <c r="E139" s="387">
        <f t="shared" si="45"/>
        <v>36.963357755614751</v>
      </c>
      <c r="F139" s="387">
        <f t="shared" si="25"/>
        <v>36.984426167202514</v>
      </c>
      <c r="G139" s="110">
        <f t="shared" si="46"/>
        <v>0.59069427982082334</v>
      </c>
      <c r="H139" s="414" t="b">
        <f>Wh_hp&gt;='2020'!Maxi_hp</f>
        <v>0</v>
      </c>
      <c r="I139" s="382">
        <f>IF(H139,Wh_hp,'2020'!Maxi_hp)</f>
        <v>59.050028688885625</v>
      </c>
      <c r="J139" s="85">
        <f>IF(H139,An,'2020'!An_max)</f>
        <v>2020</v>
      </c>
      <c r="K139" s="199">
        <f t="shared" si="26"/>
        <v>44321</v>
      </c>
      <c r="L139" s="147">
        <f>IF(t&lt;Tvie,1-EXP((T0-t)*PertePVj)+'2020'!Pspv,1-EXP((T0-t)*PertePVj)+Pspv)</f>
        <v>2.318490769679582E-2</v>
      </c>
      <c r="M139" s="870"/>
      <c r="N139" s="870"/>
      <c r="O139" s="48">
        <f>IF(t&lt;Tnet,'2020'!Resal+('2020'!Salim-'2020'!Resal)*(1-EXP(('2020'!Tnet-t)/('2020'!Tau_j))),Resal+(Salim-Resal)*(1-EXP((Tnet-t)/(Tau_j))))*Salcycl</f>
        <v>3.2635954753635545E-2</v>
      </c>
      <c r="P139" s="171">
        <f>(INDEX(Models!$BJ139:$BT139,,T139)*(1-R139)+INDEX(Models!$BJ139:$BT139,,T139+1)*R139-ERP_i)*Q139*Ramure*Pc/MaxiM</f>
        <v>1.3695194274892326E-3</v>
      </c>
      <c r="Q139" s="307">
        <f t="shared" si="27"/>
        <v>1</v>
      </c>
      <c r="R139" s="179">
        <f t="shared" si="28"/>
        <v>0.42888194525711443</v>
      </c>
      <c r="S139" s="837">
        <f t="shared" si="29"/>
        <v>-1</v>
      </c>
      <c r="T139" s="178">
        <f t="shared" si="30"/>
        <v>5</v>
      </c>
      <c r="U139" s="253">
        <f t="shared" si="31"/>
        <v>-0.57111805474288557</v>
      </c>
      <c r="V139" s="385">
        <f t="shared" si="32"/>
        <v>59.083095349365536</v>
      </c>
      <c r="W139" s="404"/>
      <c r="X139" s="157">
        <f t="shared" si="33"/>
        <v>44321</v>
      </c>
      <c r="Y139" s="387">
        <f t="shared" si="34"/>
        <v>31.345243571857679</v>
      </c>
      <c r="Z139" s="387">
        <f t="shared" si="35"/>
        <v>32.089229393405084</v>
      </c>
      <c r="AA139" s="388">
        <f t="shared" si="36"/>
        <v>36.963357755614751</v>
      </c>
      <c r="AB139" s="199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0.13186378776612331</v>
      </c>
      <c r="AD139" s="233">
        <f>(INDEX(Models!$BJ139:$BT139,,AH139)*(1-AF139)+INDEX(Models!$BJ139:$BT139,,AH139+1)*AF139-ERP_i)*AE139*Ramure*Pc/MaxiM</f>
        <v>1.3695194274892326E-3</v>
      </c>
      <c r="AE139" s="307">
        <f t="shared" si="38"/>
        <v>1</v>
      </c>
      <c r="AF139" s="179">
        <f t="shared" si="39"/>
        <v>0.42888194525711443</v>
      </c>
      <c r="AG139" s="837">
        <f t="shared" si="47"/>
        <v>-1</v>
      </c>
      <c r="AH139" s="178">
        <f t="shared" si="40"/>
        <v>5</v>
      </c>
      <c r="AI139" s="227">
        <f t="shared" si="41"/>
        <v>-0.57111805474288557</v>
      </c>
      <c r="AJ139" s="267" t="b">
        <f t="shared" si="42"/>
        <v>0</v>
      </c>
      <c r="AK139" s="267" t="b">
        <f t="shared" si="43"/>
        <v>0</v>
      </c>
      <c r="AL139" s="267"/>
      <c r="AM139" s="267"/>
      <c r="AN139" s="75"/>
    </row>
    <row r="140" spans="1:40" s="6" customFormat="1" ht="11.25" x14ac:dyDescent="0.2">
      <c r="A140" s="56">
        <f t="shared" si="44"/>
        <v>44322</v>
      </c>
      <c r="B140" s="618">
        <v>36.480000000000004</v>
      </c>
      <c r="C140" s="392"/>
      <c r="D140" s="395">
        <f t="shared" si="24"/>
        <v>37.346729437434583</v>
      </c>
      <c r="E140" s="387">
        <f t="shared" si="45"/>
        <v>38.626187336509595</v>
      </c>
      <c r="F140" s="387">
        <f t="shared" si="25"/>
        <v>38.648487928857342</v>
      </c>
      <c r="G140" s="110">
        <f t="shared" si="46"/>
        <v>0.61559637522721322</v>
      </c>
      <c r="H140" s="414" t="b">
        <f>Wh_hp&gt;='2020'!Maxi_hp</f>
        <v>0</v>
      </c>
      <c r="I140" s="382">
        <f>IF(H140,Wh_hp,'2020'!Maxi_hp)</f>
        <v>64.356840251433624</v>
      </c>
      <c r="J140" s="85">
        <f>IF(H140,An,'2020'!An_max)</f>
        <v>2019</v>
      </c>
      <c r="K140" s="199">
        <f t="shared" si="26"/>
        <v>44322</v>
      </c>
      <c r="L140" s="147">
        <f>IF(t&lt;Tvie,1-EXP((T0-t)*PertePVj)+'2020'!Pspv,1-EXP((T0-t)*PertePVj)+Pspv)</f>
        <v>2.3207639611028674E-2</v>
      </c>
      <c r="M140" s="870"/>
      <c r="N140" s="870"/>
      <c r="O140" s="48">
        <f>IF(t&lt;Tnet,'2020'!Resal+('2020'!Salim-'2020'!Resal)*(1-EXP(('2020'!Tnet-t)/('2020'!Tau_j))),Resal+(Salim-Resal)*(1-EXP((Tnet-t)/(Tau_j))))*Salcycl</f>
        <v>3.3124105362210277E-2</v>
      </c>
      <c r="P140" s="171">
        <f>(INDEX(Models!$BJ140:$BT140,,T140)*(1-R140)+INDEX(Models!$BJ140:$BT140,,T140+1)*R140-ERP_i)*Q140*Ramure*Pc/MaxiM</f>
        <v>1.2780730675325846E-3</v>
      </c>
      <c r="Q140" s="307">
        <f t="shared" si="27"/>
        <v>1</v>
      </c>
      <c r="R140" s="179">
        <f t="shared" si="28"/>
        <v>0.43329242036299243</v>
      </c>
      <c r="S140" s="837">
        <f t="shared" si="29"/>
        <v>-1</v>
      </c>
      <c r="T140" s="178">
        <f t="shared" si="30"/>
        <v>5</v>
      </c>
      <c r="U140" s="253">
        <f t="shared" si="31"/>
        <v>-0.56670757963700757</v>
      </c>
      <c r="V140" s="385">
        <f t="shared" si="32"/>
        <v>59.218039526552523</v>
      </c>
      <c r="W140" s="404"/>
      <c r="X140" s="157">
        <f t="shared" si="33"/>
        <v>44322</v>
      </c>
      <c r="Y140" s="387">
        <f t="shared" si="34"/>
        <v>32.744713429348167</v>
      </c>
      <c r="Z140" s="387">
        <f t="shared" si="35"/>
        <v>33.52269607873346</v>
      </c>
      <c r="AA140" s="388">
        <f t="shared" si="36"/>
        <v>38.626187336509595</v>
      </c>
      <c r="AB140" s="199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0.13212516196110047</v>
      </c>
      <c r="AD140" s="233">
        <f>(INDEX(Models!$BJ140:$BT140,,AH140)*(1-AF140)+INDEX(Models!$BJ140:$BT140,,AH140+1)*AF140-ERP_i)*AE140*Ramure*Pc/MaxiM</f>
        <v>1.2780730675325846E-3</v>
      </c>
      <c r="AE140" s="307">
        <f t="shared" si="38"/>
        <v>1</v>
      </c>
      <c r="AF140" s="179">
        <f t="shared" si="39"/>
        <v>0.43329242036299243</v>
      </c>
      <c r="AG140" s="837">
        <f t="shared" si="47"/>
        <v>-1</v>
      </c>
      <c r="AH140" s="178">
        <f t="shared" si="40"/>
        <v>5</v>
      </c>
      <c r="AI140" s="227">
        <f t="shared" si="41"/>
        <v>-0.56670757963700757</v>
      </c>
      <c r="AJ140" s="267" t="b">
        <f t="shared" si="42"/>
        <v>0</v>
      </c>
      <c r="AK140" s="267" t="b">
        <f t="shared" si="43"/>
        <v>0</v>
      </c>
      <c r="AL140" s="267"/>
      <c r="AM140" s="267"/>
      <c r="AN140" s="75"/>
    </row>
    <row r="141" spans="1:40" s="6" customFormat="1" ht="11.25" x14ac:dyDescent="0.2">
      <c r="A141" s="56">
        <f t="shared" si="44"/>
        <v>44323</v>
      </c>
      <c r="B141" s="618">
        <v>33.375999999999998</v>
      </c>
      <c r="C141" s="392"/>
      <c r="D141" s="395">
        <f t="shared" si="24"/>
        <v>34.169776586974628</v>
      </c>
      <c r="E141" s="387">
        <f t="shared" si="45"/>
        <v>35.358256922240571</v>
      </c>
      <c r="F141" s="387">
        <f t="shared" si="25"/>
        <v>35.374057126053323</v>
      </c>
      <c r="G141" s="110">
        <f t="shared" si="46"/>
        <v>0.56198582290960364</v>
      </c>
      <c r="H141" s="414" t="b">
        <f>Wh_hp&gt;='2020'!Maxi_hp</f>
        <v>0</v>
      </c>
      <c r="I141" s="382">
        <f>IF(H141,Wh_hp,'2020'!Maxi_hp)</f>
        <v>59.662433655928183</v>
      </c>
      <c r="J141" s="85">
        <f>IF(H141,An,'2020'!An_max)</f>
        <v>2020</v>
      </c>
      <c r="K141" s="199">
        <f t="shared" si="26"/>
        <v>44323</v>
      </c>
      <c r="L141" s="147">
        <f>IF(t&lt;Tvie,1-EXP((T0-t)*PertePVj)+'2020'!Pspv,1-EXP((T0-t)*PertePVj)+Pspv)</f>
        <v>2.3230370996256799E-2</v>
      </c>
      <c r="M141" s="870"/>
      <c r="N141" s="870"/>
      <c r="O141" s="48">
        <f>IF(t&lt;Tnet,'2020'!Resal+('2020'!Salim-'2020'!Resal)*(1-EXP(('2020'!Tnet-t)/('2020'!Tau_j))),Resal+(Salim-Resal)*(1-EXP((Tnet-t)/(Tau_j))))*Salcycl</f>
        <v>3.3612526145721321E-2</v>
      </c>
      <c r="P141" s="171">
        <f>(INDEX(Models!$BJ141:$BT141,,T141)*(1-R141)+INDEX(Models!$BJ141:$BT141,,T141+1)*R141-ERP_i)*Q141*Ramure*Pc/MaxiM</f>
        <v>1.1915269559961879E-3</v>
      </c>
      <c r="Q141" s="307">
        <f t="shared" si="27"/>
        <v>1</v>
      </c>
      <c r="R141" s="179">
        <f t="shared" si="28"/>
        <v>0.43781603653020573</v>
      </c>
      <c r="S141" s="837">
        <f t="shared" si="29"/>
        <v>-1</v>
      </c>
      <c r="T141" s="178">
        <f t="shared" si="30"/>
        <v>5</v>
      </c>
      <c r="U141" s="253">
        <f t="shared" si="31"/>
        <v>-0.56218396346979427</v>
      </c>
      <c r="V141" s="385">
        <f t="shared" si="32"/>
        <v>59.345141598894593</v>
      </c>
      <c r="W141" s="404"/>
      <c r="X141" s="157">
        <f t="shared" si="33"/>
        <v>44323</v>
      </c>
      <c r="Y141" s="387">
        <f t="shared" si="34"/>
        <v>29.964551783482868</v>
      </c>
      <c r="Z141" s="387">
        <f t="shared" si="35"/>
        <v>30.677194390293678</v>
      </c>
      <c r="AA141" s="388">
        <f t="shared" si="36"/>
        <v>35.358256922240571</v>
      </c>
      <c r="AB141" s="199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0.1323895163226351</v>
      </c>
      <c r="AD141" s="233">
        <f>(INDEX(Models!$BJ141:$BT141,,AH141)*(1-AF141)+INDEX(Models!$BJ141:$BT141,,AH141+1)*AF141-ERP_i)*AE141*Ramure*Pc/MaxiM</f>
        <v>1.1915269559961879E-3</v>
      </c>
      <c r="AE141" s="307">
        <f t="shared" si="38"/>
        <v>1</v>
      </c>
      <c r="AF141" s="179">
        <f t="shared" si="39"/>
        <v>0.43781603653020573</v>
      </c>
      <c r="AG141" s="837">
        <f t="shared" si="47"/>
        <v>-1</v>
      </c>
      <c r="AH141" s="178">
        <f t="shared" si="40"/>
        <v>5</v>
      </c>
      <c r="AI141" s="227">
        <f t="shared" si="41"/>
        <v>-0.56218396346979427</v>
      </c>
      <c r="AJ141" s="267" t="b">
        <f t="shared" si="42"/>
        <v>0</v>
      </c>
      <c r="AK141" s="267" t="b">
        <f t="shared" si="43"/>
        <v>0</v>
      </c>
      <c r="AL141" s="267"/>
      <c r="AM141" s="267"/>
      <c r="AN141" s="75"/>
    </row>
    <row r="142" spans="1:40" s="6" customFormat="1" ht="11.25" x14ac:dyDescent="0.2">
      <c r="A142" s="56">
        <f t="shared" si="44"/>
        <v>44324</v>
      </c>
      <c r="B142" s="618">
        <v>54.282000000000004</v>
      </c>
      <c r="C142" s="392"/>
      <c r="D142" s="395">
        <f t="shared" si="24"/>
        <v>55.574274259740079</v>
      </c>
      <c r="E142" s="387">
        <f t="shared" si="45"/>
        <v>57.536333649312908</v>
      </c>
      <c r="F142" s="387">
        <f t="shared" si="25"/>
        <v>57.592377924413015</v>
      </c>
      <c r="G142" s="110">
        <f t="shared" si="46"/>
        <v>0.91271705302757988</v>
      </c>
      <c r="H142" s="414" t="b">
        <f>Wh_hp&gt;='2020'!Maxi_hp</f>
        <v>1</v>
      </c>
      <c r="I142" s="382">
        <f>IF(H142,Wh_hp,'2020'!Maxi_hp)</f>
        <v>57.592377924413015</v>
      </c>
      <c r="J142" s="85">
        <f>IF(H142,An,'2020'!An_max)</f>
        <v>2021</v>
      </c>
      <c r="K142" s="199">
        <f t="shared" si="26"/>
        <v>44324</v>
      </c>
      <c r="L142" s="147">
        <f>IF(t&lt;Tvie,1-EXP((T0-t)*PertePVj)+'2020'!Pspv,1-EXP((T0-t)*PertePVj)+Pspv)</f>
        <v>2.3253101852492297E-2</v>
      </c>
      <c r="M142" s="870"/>
      <c r="N142" s="870"/>
      <c r="O142" s="48">
        <f>IF(t&lt;Tnet,'2020'!Resal+('2020'!Salim-'2020'!Resal)*(1-EXP(('2020'!Tnet-t)/('2020'!Tau_j))),Resal+(Salim-Resal)*(1-EXP((Tnet-t)/(Tau_j))))*Salcycl</f>
        <v>3.4101223785507229E-2</v>
      </c>
      <c r="P142" s="171">
        <f>(INDEX(Models!$BJ142:$BT142,,T142)*(1-R142)+INDEX(Models!$BJ142:$BT142,,T142+1)*R142-ERP_i)*Q142*Ramure*Pc/MaxiM</f>
        <v>1.111513382637166E-3</v>
      </c>
      <c r="Q142" s="307">
        <f t="shared" si="27"/>
        <v>1</v>
      </c>
      <c r="R142" s="179">
        <f t="shared" si="28"/>
        <v>0.44245323664759184</v>
      </c>
      <c r="S142" s="837">
        <f t="shared" si="29"/>
        <v>-1</v>
      </c>
      <c r="T142" s="178">
        <f t="shared" si="30"/>
        <v>5</v>
      </c>
      <c r="U142" s="253">
        <f t="shared" si="31"/>
        <v>-0.55754676335240816</v>
      </c>
      <c r="V142" s="385">
        <f t="shared" si="32"/>
        <v>59.464737964871318</v>
      </c>
      <c r="W142" s="404"/>
      <c r="X142" s="157">
        <f t="shared" si="33"/>
        <v>44324</v>
      </c>
      <c r="Y142" s="387">
        <f t="shared" si="34"/>
        <v>48.743332969473066</v>
      </c>
      <c r="Z142" s="387">
        <f t="shared" si="35"/>
        <v>49.903749949878907</v>
      </c>
      <c r="AA142" s="388">
        <f t="shared" si="36"/>
        <v>57.536333649312908</v>
      </c>
      <c r="AB142" s="199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0.1326567616552527</v>
      </c>
      <c r="AD142" s="233">
        <f>(INDEX(Models!$BJ142:$BT142,,AH142)*(1-AF142)+INDEX(Models!$BJ142:$BT142,,AH142+1)*AF142-ERP_i)*AE142*Ramure*Pc/MaxiM</f>
        <v>1.111513382637166E-3</v>
      </c>
      <c r="AE142" s="307">
        <f t="shared" si="38"/>
        <v>1</v>
      </c>
      <c r="AF142" s="179">
        <f t="shared" si="39"/>
        <v>0.44245323664759184</v>
      </c>
      <c r="AG142" s="837">
        <f t="shared" si="47"/>
        <v>-1</v>
      </c>
      <c r="AH142" s="178">
        <f t="shared" si="40"/>
        <v>5</v>
      </c>
      <c r="AI142" s="227">
        <f t="shared" si="41"/>
        <v>-0.55754676335240816</v>
      </c>
      <c r="AJ142" s="267" t="b">
        <f t="shared" si="42"/>
        <v>0</v>
      </c>
      <c r="AK142" s="267" t="b">
        <f t="shared" si="43"/>
        <v>0</v>
      </c>
      <c r="AL142" s="267"/>
      <c r="AM142" s="267"/>
      <c r="AN142" s="75"/>
    </row>
    <row r="143" spans="1:40" s="6" customFormat="1" ht="11.25" x14ac:dyDescent="0.2">
      <c r="A143" s="56">
        <f t="shared" si="44"/>
        <v>44325</v>
      </c>
      <c r="B143" s="618">
        <v>21.091000000000001</v>
      </c>
      <c r="C143" s="392"/>
      <c r="D143" s="395">
        <f t="shared" ref="D143:D206" si="48">Wh/(1-Ppv)</f>
        <v>21.593609224463666</v>
      </c>
      <c r="E143" s="387">
        <f t="shared" si="45"/>
        <v>22.367298582927535</v>
      </c>
      <c r="F143" s="387">
        <f t="shared" ref="F143:F206" si="49">Wh_sa/(1-Pvg*MEDIAN((-Sdif+Wh/Env_an)/Csdif,0,1))</f>
        <v>22.369087307586295</v>
      </c>
      <c r="G143" s="110">
        <f t="shared" si="46"/>
        <v>0.35367170777616874</v>
      </c>
      <c r="H143" s="414" t="b">
        <f>Wh_hp&gt;='2020'!Maxi_hp</f>
        <v>0</v>
      </c>
      <c r="I143" s="382">
        <f>IF(H143,Wh_hp,'2020'!Maxi_hp)</f>
        <v>54.308384162872983</v>
      </c>
      <c r="J143" s="85">
        <f>IF(H143,An,'2020'!An_max)</f>
        <v>2020</v>
      </c>
      <c r="K143" s="199">
        <f t="shared" ref="K143:K206" si="50">t</f>
        <v>44325</v>
      </c>
      <c r="L143" s="147">
        <f>IF(t&lt;Tvie,1-EXP((T0-t)*PertePVj)+'2020'!Pspv,1-EXP((T0-t)*PertePVj)+Pspv)</f>
        <v>2.3275832179747491E-2</v>
      </c>
      <c r="M143" s="870"/>
      <c r="N143" s="870"/>
      <c r="O143" s="48">
        <f>IF(t&lt;Tnet,'2020'!Resal+('2020'!Salim-'2020'!Resal)*(1-EXP(('2020'!Tnet-t)/('2020'!Tau_j))),Resal+(Salim-Resal)*(1-EXP((Tnet-t)/(Tau_j))))*Salcycl</f>
        <v>3.4590201208044367E-2</v>
      </c>
      <c r="P143" s="171">
        <f>(INDEX(Models!$BJ143:$BT143,,T143)*(1-R143)+INDEX(Models!$BJ143:$BT143,,T143+1)*R143-ERP_i)*Q143*Ramure*Pc/MaxiM</f>
        <v>1.0363741416763688E-3</v>
      </c>
      <c r="Q143" s="307">
        <f t="shared" ref="Q143:Q206" si="51">IF(OR(t&lt;Ttai,Notai),Dd+PousD*Croivg,Dens+PousD*(Croivg-Croi_tai))</f>
        <v>1</v>
      </c>
      <c r="R143" s="179">
        <f t="shared" ref="R143:R206" si="52">(Hp_vg-S143)/(INDEX(Echel_vg,T143+1)-S143)</f>
        <v>0.4472042895518753</v>
      </c>
      <c r="S143" s="837">
        <f t="shared" ref="S143:S206" si="53">INDEX(Echel_vg,T143)</f>
        <v>-1</v>
      </c>
      <c r="T143" s="178">
        <f t="shared" ref="T143:T206" si="54">MIN(MATCH(Hp_vg,Echel_vg),10)</f>
        <v>5</v>
      </c>
      <c r="U143" s="253">
        <f t="shared" ref="U143:U206" si="55">IF(OR(t&lt;Ttai,Notai),Hdd+PousH*Croivg,Hdtf+PousH*(Croivg-Croi_tai))</f>
        <v>-0.5527957104481247</v>
      </c>
      <c r="V143" s="385">
        <f t="shared" ref="V143:V206" si="56">MaxiM*(1-Ppv)*(1-Pvg)*(1-Psa)</f>
        <v>59.577360247012791</v>
      </c>
      <c r="W143" s="404"/>
      <c r="X143" s="157">
        <f t="shared" ref="X143:X206" si="57">t</f>
        <v>44325</v>
      </c>
      <c r="Y143" s="387">
        <f t="shared" ref="Y143:Y206" si="58">Wh_pvt_s*(1-Ppv)</f>
        <v>18.94267169070234</v>
      </c>
      <c r="Z143" s="387">
        <f t="shared" ref="Z143:Z206" si="59">Wh_sa_s*(1-Psa_s)</f>
        <v>19.394085162217856</v>
      </c>
      <c r="AA143" s="388">
        <f t="shared" ref="AA143:AA206" si="60">Wh_hp*(1-Pvg_s*MEDIAN((-Sdif+Wh/Env_an)/Csdif,0,1))</f>
        <v>22.367298582927535</v>
      </c>
      <c r="AB143" s="199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0.13292679979597841</v>
      </c>
      <c r="AD143" s="233">
        <f>(INDEX(Models!$BJ143:$BT143,,AH143)*(1-AF143)+INDEX(Models!$BJ143:$BT143,,AH143+1)*AF143-ERP_i)*AE143*Ramure*Pc/MaxiM</f>
        <v>1.0363741416763688E-3</v>
      </c>
      <c r="AE143" s="307">
        <f t="shared" ref="AE143:AE206" si="62">IF(OR(t&lt;Ttai,Notai),Dd_s+PousD*Croivg,Dens_s+PousD*(Croivg-Croi_tai))</f>
        <v>1</v>
      </c>
      <c r="AF143" s="179">
        <f t="shared" ref="AF143:AF206" si="63">(Hp_vg_s-AG143)/(INDEX(Echel_vg,AH143+1)-AG143)</f>
        <v>0.4472042895518753</v>
      </c>
      <c r="AG143" s="837">
        <f t="shared" si="47"/>
        <v>-1</v>
      </c>
      <c r="AH143" s="178">
        <f t="shared" ref="AH143:AH206" si="64">MIN(MATCH(Hp_vg_s,Echel_vg),10)</f>
        <v>5</v>
      </c>
      <c r="AI143" s="227">
        <f t="shared" ref="AI143:AI206" si="65">IF(OR(t&lt;Ttai,Notai),Hdd_s+PousH*Croivg,Hdtai_s+PousH*(Croivg-Croi_tai))</f>
        <v>-0.5527957104481247</v>
      </c>
      <c r="AJ143" s="267" t="b">
        <f t="shared" ref="AJ143:AJ206" si="66">t&lt;Tnet</f>
        <v>0</v>
      </c>
      <c r="AK143" s="267" t="b">
        <f t="shared" ref="AK143:AK206" si="67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68">A143+1</f>
        <v>44326</v>
      </c>
      <c r="B144" s="618">
        <v>41.518999999999998</v>
      </c>
      <c r="C144" s="392"/>
      <c r="D144" s="395">
        <f t="shared" si="48"/>
        <v>42.509408078772864</v>
      </c>
      <c r="E144" s="387">
        <f t="shared" ref="E144:E169" si="69">Wh_pvt/(1-Psa)</f>
        <v>44.054827526245155</v>
      </c>
      <c r="F144" s="387">
        <f t="shared" si="49"/>
        <v>44.078896085782773</v>
      </c>
      <c r="G144" s="110">
        <f t="shared" ref="G144:G169" si="70">+Wh_hp/MaxiM</f>
        <v>0.69536119833928389</v>
      </c>
      <c r="H144" s="414" t="b">
        <f>Wh_hp&gt;='2020'!Maxi_hp</f>
        <v>0</v>
      </c>
      <c r="I144" s="382">
        <f>IF(H144,Wh_hp,'2020'!Maxi_hp)</f>
        <v>44.541664371339031</v>
      </c>
      <c r="J144" s="85">
        <f>IF(H144,An,'2020'!An_max)</f>
        <v>2020</v>
      </c>
      <c r="K144" s="199">
        <f t="shared" si="50"/>
        <v>44326</v>
      </c>
      <c r="L144" s="147">
        <f>IF(t&lt;Tvie,1-EXP((T0-t)*PertePVj)+'2020'!Pspv,1-EXP((T0-t)*PertePVj)+Pspv)</f>
        <v>2.3298561978034926E-2</v>
      </c>
      <c r="M144" s="870"/>
      <c r="N144" s="870"/>
      <c r="O144" s="48">
        <f>IF(t&lt;Tnet,'2020'!Resal+('2020'!Salim-'2020'!Resal)*(1-EXP(('2020'!Tnet-t)/('2020'!Tau_j))),Resal+(Salim-Resal)*(1-EXP((Tnet-t)/(Tau_j))))*Salcycl</f>
        <v>3.5079457445421278E-2</v>
      </c>
      <c r="P144" s="171">
        <f>(INDEX(Models!$BJ144:$BT144,,T144)*(1-R144)+INDEX(Models!$BJ144:$BT144,,T144+1)*R144-ERP_i)*Q144*Ramure*Pc/MaxiM</f>
        <v>9.6605613989612362E-4</v>
      </c>
      <c r="Q144" s="307">
        <f t="shared" si="51"/>
        <v>1</v>
      </c>
      <c r="R144" s="179">
        <f t="shared" si="52"/>
        <v>0.4520692805172809</v>
      </c>
      <c r="S144" s="837">
        <f t="shared" si="53"/>
        <v>-1</v>
      </c>
      <c r="T144" s="178">
        <f t="shared" si="54"/>
        <v>5</v>
      </c>
      <c r="U144" s="253">
        <f t="shared" si="55"/>
        <v>-0.5479307194827191</v>
      </c>
      <c r="V144" s="385">
        <f t="shared" si="56"/>
        <v>59.683444599727387</v>
      </c>
      <c r="W144" s="404"/>
      <c r="X144" s="157">
        <f t="shared" si="57"/>
        <v>44326</v>
      </c>
      <c r="Y144" s="387">
        <f t="shared" si="58"/>
        <v>37.29704923301734</v>
      </c>
      <c r="Z144" s="387">
        <f t="shared" si="59"/>
        <v>38.186745489544947</v>
      </c>
      <c r="AA144" s="388">
        <f t="shared" si="60"/>
        <v>44.054827526245155</v>
      </c>
      <c r="AB144" s="199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0.13319952355288123</v>
      </c>
      <c r="AD144" s="233">
        <f>(INDEX(Models!$BJ144:$BT144,,AH144)*(1-AF144)+INDEX(Models!$BJ144:$BT144,,AH144+1)*AF144-ERP_i)*AE144*Ramure*Pc/MaxiM</f>
        <v>9.6605613989612362E-4</v>
      </c>
      <c r="AE144" s="307">
        <f t="shared" si="62"/>
        <v>1</v>
      </c>
      <c r="AF144" s="179">
        <f t="shared" si="63"/>
        <v>0.4520692805172809</v>
      </c>
      <c r="AG144" s="837">
        <f t="shared" ref="AG144:AG207" si="71">INDEX(Echel_vg,AH144)</f>
        <v>-1</v>
      </c>
      <c r="AH144" s="178">
        <f t="shared" si="64"/>
        <v>5</v>
      </c>
      <c r="AI144" s="227">
        <f t="shared" si="65"/>
        <v>-0.5479307194827191</v>
      </c>
      <c r="AJ144" s="267" t="b">
        <f t="shared" si="66"/>
        <v>0</v>
      </c>
      <c r="AK144" s="267" t="b">
        <f t="shared" si="67"/>
        <v>0</v>
      </c>
      <c r="AL144" s="267"/>
      <c r="AM144" s="267"/>
      <c r="AN144" s="75"/>
    </row>
    <row r="145" spans="1:40" s="6" customFormat="1" ht="11.25" x14ac:dyDescent="0.2">
      <c r="A145" s="56">
        <f t="shared" si="68"/>
        <v>44327</v>
      </c>
      <c r="B145" s="618">
        <v>35.090000000000003</v>
      </c>
      <c r="C145" s="392"/>
      <c r="D145" s="395">
        <f t="shared" si="48"/>
        <v>35.927884662106791</v>
      </c>
      <c r="E145" s="387">
        <f t="shared" si="69"/>
        <v>37.25293379896997</v>
      </c>
      <c r="F145" s="387">
        <f t="shared" si="49"/>
        <v>37.266690744651562</v>
      </c>
      <c r="G145" s="110">
        <f t="shared" si="70"/>
        <v>0.58663997051083172</v>
      </c>
      <c r="H145" s="414" t="b">
        <f>Wh_hp&gt;='2020'!Maxi_hp</f>
        <v>0</v>
      </c>
      <c r="I145" s="382">
        <f>IF(H145,Wh_hp,'2020'!Maxi_hp)</f>
        <v>40.380383427680968</v>
      </c>
      <c r="J145" s="85">
        <f>IF(H145,An,'2020'!An_max)</f>
        <v>2019</v>
      </c>
      <c r="K145" s="199">
        <f t="shared" si="50"/>
        <v>44327</v>
      </c>
      <c r="L145" s="147">
        <f>IF(t&lt;Tvie,1-EXP((T0-t)*PertePVj)+'2020'!Pspv,1-EXP((T0-t)*PertePVj)+Pspv)</f>
        <v>2.3321291247366593E-2</v>
      </c>
      <c r="M145" s="870"/>
      <c r="N145" s="870"/>
      <c r="O145" s="48">
        <f>IF(t&lt;Tnet,'2020'!Resal+('2020'!Salim-'2020'!Resal)*(1-EXP(('2020'!Tnet-t)/('2020'!Tau_j))),Resal+(Salim-Resal)*(1-EXP((Tnet-t)/(Tau_j))))*Salcycl</f>
        <v>3.5568987506154913E-2</v>
      </c>
      <c r="P145" s="171">
        <f>(INDEX(Models!$BJ145:$BT145,,T145)*(1-R145)+INDEX(Models!$BJ145:$BT145,,T145+1)*R145-ERP_i)*Q145*Ramure*Pc/MaxiM</f>
        <v>9.0051307044691114E-4</v>
      </c>
      <c r="Q145" s="307">
        <f t="shared" si="51"/>
        <v>1</v>
      </c>
      <c r="R145" s="179">
        <f t="shared" si="52"/>
        <v>0.45704810199899082</v>
      </c>
      <c r="S145" s="837">
        <f t="shared" si="53"/>
        <v>-1</v>
      </c>
      <c r="T145" s="178">
        <f t="shared" si="54"/>
        <v>5</v>
      </c>
      <c r="U145" s="253">
        <f t="shared" si="55"/>
        <v>-0.54295189800100918</v>
      </c>
      <c r="V145" s="385">
        <f t="shared" si="56"/>
        <v>59.783426457778816</v>
      </c>
      <c r="W145" s="404"/>
      <c r="X145" s="157">
        <f t="shared" si="57"/>
        <v>44327</v>
      </c>
      <c r="Y145" s="387">
        <f t="shared" si="58"/>
        <v>31.527779891781844</v>
      </c>
      <c r="Z145" s="387">
        <f t="shared" si="59"/>
        <v>32.28060528937668</v>
      </c>
      <c r="AA145" s="388">
        <f t="shared" si="60"/>
        <v>37.25293379896997</v>
      </c>
      <c r="AB145" s="199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0.13347481667955968</v>
      </c>
      <c r="AD145" s="233">
        <f>(INDEX(Models!$BJ145:$BT145,,AH145)*(1-AF145)+INDEX(Models!$BJ145:$BT145,,AH145+1)*AF145-ERP_i)*AE145*Ramure*Pc/MaxiM</f>
        <v>9.0051307044691114E-4</v>
      </c>
      <c r="AE145" s="307">
        <f t="shared" si="62"/>
        <v>1</v>
      </c>
      <c r="AF145" s="179">
        <f t="shared" si="63"/>
        <v>0.45704810199899082</v>
      </c>
      <c r="AG145" s="837">
        <f t="shared" si="71"/>
        <v>-1</v>
      </c>
      <c r="AH145" s="178">
        <f t="shared" si="64"/>
        <v>5</v>
      </c>
      <c r="AI145" s="227">
        <f t="shared" si="65"/>
        <v>-0.54295189800100918</v>
      </c>
      <c r="AJ145" s="267" t="b">
        <f t="shared" si="66"/>
        <v>0</v>
      </c>
      <c r="AK145" s="267" t="b">
        <f t="shared" si="67"/>
        <v>0</v>
      </c>
      <c r="AL145" s="267"/>
      <c r="AM145" s="267"/>
      <c r="AN145" s="75"/>
    </row>
    <row r="146" spans="1:40" s="6" customFormat="1" ht="11.25" x14ac:dyDescent="0.2">
      <c r="A146" s="56">
        <f t="shared" si="68"/>
        <v>44328</v>
      </c>
      <c r="B146" s="618">
        <v>35.834000000000003</v>
      </c>
      <c r="C146" s="392"/>
      <c r="D146" s="395">
        <f t="shared" si="48"/>
        <v>36.69050385536034</v>
      </c>
      <c r="E146" s="387">
        <f t="shared" si="69"/>
        <v>38.063009631750333</v>
      </c>
      <c r="F146" s="387">
        <f t="shared" si="49"/>
        <v>38.076641737533087</v>
      </c>
      <c r="G146" s="110">
        <f t="shared" si="70"/>
        <v>0.59816440474388499</v>
      </c>
      <c r="H146" s="414" t="b">
        <f>Wh_hp&gt;='2020'!Maxi_hp</f>
        <v>0</v>
      </c>
      <c r="I146" s="382">
        <f>IF(H146,Wh_hp,'2020'!Maxi_hp)</f>
        <v>58.723826865317584</v>
      </c>
      <c r="J146" s="85">
        <f>IF(H146,An,'2020'!An_max)</f>
        <v>2019</v>
      </c>
      <c r="K146" s="199">
        <f t="shared" si="50"/>
        <v>44328</v>
      </c>
      <c r="L146" s="147">
        <f>IF(t&lt;Tvie,1-EXP((T0-t)*PertePVj)+'2020'!Pspv,1-EXP((T0-t)*PertePVj)+Pspv)</f>
        <v>2.3344019987755038E-2</v>
      </c>
      <c r="M146" s="870"/>
      <c r="N146" s="870"/>
      <c r="O146" s="48">
        <f>IF(t&lt;Tnet,'2020'!Resal+('2020'!Salim-'2020'!Resal)*(1-EXP(('2020'!Tnet-t)/('2020'!Tau_j))),Resal+(Salim-Resal)*(1-EXP((Tnet-t)/(Tau_j))))*Salcycl</f>
        <v>3.6058782257856761E-2</v>
      </c>
      <c r="P146" s="171">
        <f>(INDEX(Models!$BJ146:$BT146,,T146)*(1-R146)+INDEX(Models!$BJ146:$BT146,,T146+1)*R146-ERP_i)*Q146*Ramure*Pc/MaxiM</f>
        <v>8.3970497879549391E-4</v>
      </c>
      <c r="Q146" s="307">
        <f t="shared" si="51"/>
        <v>1</v>
      </c>
      <c r="R146" s="179">
        <f t="shared" si="52"/>
        <v>0.46214044470595106</v>
      </c>
      <c r="S146" s="837">
        <f t="shared" si="53"/>
        <v>-1</v>
      </c>
      <c r="T146" s="178">
        <f t="shared" si="54"/>
        <v>5</v>
      </c>
      <c r="U146" s="253">
        <f t="shared" si="55"/>
        <v>-0.53785955529404894</v>
      </c>
      <c r="V146" s="385">
        <f t="shared" si="56"/>
        <v>59.877740545163064</v>
      </c>
      <c r="W146" s="404"/>
      <c r="X146" s="157">
        <f t="shared" si="57"/>
        <v>44328</v>
      </c>
      <c r="Y146" s="387">
        <f t="shared" si="58"/>
        <v>32.202286210641667</v>
      </c>
      <c r="Z146" s="387">
        <f t="shared" si="59"/>
        <v>32.971984884829077</v>
      </c>
      <c r="AA146" s="388">
        <f t="shared" si="60"/>
        <v>38.063009631750333</v>
      </c>
      <c r="AB146" s="199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0.13375255388829174</v>
      </c>
      <c r="AD146" s="233">
        <f>(INDEX(Models!$BJ146:$BT146,,AH146)*(1-AF146)+INDEX(Models!$BJ146:$BT146,,AH146+1)*AF146-ERP_i)*AE146*Ramure*Pc/MaxiM</f>
        <v>8.3970497879549391E-4</v>
      </c>
      <c r="AE146" s="307">
        <f t="shared" si="62"/>
        <v>1</v>
      </c>
      <c r="AF146" s="179">
        <f t="shared" si="63"/>
        <v>0.46214044470595106</v>
      </c>
      <c r="AG146" s="837">
        <f t="shared" si="71"/>
        <v>-1</v>
      </c>
      <c r="AH146" s="178">
        <f t="shared" si="64"/>
        <v>5</v>
      </c>
      <c r="AI146" s="227">
        <f t="shared" si="65"/>
        <v>-0.53785955529404894</v>
      </c>
      <c r="AJ146" s="267" t="b">
        <f t="shared" si="66"/>
        <v>0</v>
      </c>
      <c r="AK146" s="267" t="b">
        <f t="shared" si="67"/>
        <v>0</v>
      </c>
      <c r="AL146" s="267"/>
      <c r="AM146" s="267"/>
      <c r="AN146" s="75"/>
    </row>
    <row r="147" spans="1:40" s="6" customFormat="1" ht="11.25" x14ac:dyDescent="0.2">
      <c r="A147" s="56">
        <f t="shared" si="68"/>
        <v>44329</v>
      </c>
      <c r="B147" s="618">
        <v>45.780999999999999</v>
      </c>
      <c r="C147" s="392"/>
      <c r="D147" s="395">
        <f t="shared" si="48"/>
        <v>46.876347815913142</v>
      </c>
      <c r="E147" s="387">
        <f t="shared" si="69"/>
        <v>48.654617062047578</v>
      </c>
      <c r="F147" s="387">
        <f t="shared" si="49"/>
        <v>48.679871461271325</v>
      </c>
      <c r="G147" s="110">
        <f t="shared" si="70"/>
        <v>0.76323656398134199</v>
      </c>
      <c r="H147" s="414" t="b">
        <f>Wh_hp&gt;='2020'!Maxi_hp</f>
        <v>0</v>
      </c>
      <c r="I147" s="382">
        <f>IF(H147,Wh_hp,'2020'!Maxi_hp)</f>
        <v>65.24369285904416</v>
      </c>
      <c r="J147" s="85">
        <f>IF(H147,An,'2020'!An_max)</f>
        <v>2019</v>
      </c>
      <c r="K147" s="199">
        <f t="shared" si="50"/>
        <v>44329</v>
      </c>
      <c r="L147" s="147">
        <f>IF(t&lt;Tvie,1-EXP((T0-t)*PertePVj)+'2020'!Pspv,1-EXP((T0-t)*PertePVj)+Pspv)</f>
        <v>2.3366748199212473E-2</v>
      </c>
      <c r="M147" s="870"/>
      <c r="N147" s="870"/>
      <c r="O147" s="48">
        <f>IF(t&lt;Tnet,'2020'!Resal+('2020'!Salim-'2020'!Resal)*(1-EXP(('2020'!Tnet-t)/('2020'!Tau_j))),Resal+(Salim-Resal)*(1-EXP((Tnet-t)/(Tau_j))))*Salcycl</f>
        <v>3.6548828323253936E-2</v>
      </c>
      <c r="P147" s="171">
        <f>(INDEX(Models!$BJ147:$BT147,,T147)*(1-R147)+INDEX(Models!$BJ147:$BT147,,T147+1)*R147-ERP_i)*Q147*Ramure*Pc/MaxiM</f>
        <v>7.8359784507306472E-4</v>
      </c>
      <c r="Q147" s="307">
        <f t="shared" si="51"/>
        <v>1</v>
      </c>
      <c r="R147" s="179">
        <f t="shared" si="52"/>
        <v>0.46734578908158397</v>
      </c>
      <c r="S147" s="837">
        <f t="shared" si="53"/>
        <v>-1</v>
      </c>
      <c r="T147" s="178">
        <f t="shared" si="54"/>
        <v>5</v>
      </c>
      <c r="U147" s="253">
        <f t="shared" si="55"/>
        <v>-0.53265421091841603</v>
      </c>
      <c r="V147" s="385">
        <f t="shared" si="56"/>
        <v>59.96682088064528</v>
      </c>
      <c r="W147" s="404"/>
      <c r="X147" s="157">
        <f t="shared" si="57"/>
        <v>44329</v>
      </c>
      <c r="Y147" s="387">
        <f t="shared" si="58"/>
        <v>41.148793694444066</v>
      </c>
      <c r="Z147" s="387">
        <f t="shared" si="59"/>
        <v>42.133312191214998</v>
      </c>
      <c r="AA147" s="388">
        <f t="shared" si="60"/>
        <v>48.654617062047578</v>
      </c>
      <c r="AB147" s="199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0.13403260090437427</v>
      </c>
      <c r="AD147" s="233">
        <f>(INDEX(Models!$BJ147:$BT147,,AH147)*(1-AF147)+INDEX(Models!$BJ147:$BT147,,AH147+1)*AF147-ERP_i)*AE147*Ramure*Pc/MaxiM</f>
        <v>7.8359784507306472E-4</v>
      </c>
      <c r="AE147" s="307">
        <f t="shared" si="62"/>
        <v>1</v>
      </c>
      <c r="AF147" s="179">
        <f t="shared" si="63"/>
        <v>0.46734578908158397</v>
      </c>
      <c r="AG147" s="837">
        <f t="shared" si="71"/>
        <v>-1</v>
      </c>
      <c r="AH147" s="178">
        <f t="shared" si="64"/>
        <v>5</v>
      </c>
      <c r="AI147" s="227">
        <f t="shared" si="65"/>
        <v>-0.53265421091841603</v>
      </c>
      <c r="AJ147" s="267" t="b">
        <f t="shared" si="66"/>
        <v>0</v>
      </c>
      <c r="AK147" s="267" t="b">
        <f t="shared" si="67"/>
        <v>0</v>
      </c>
      <c r="AL147" s="267"/>
      <c r="AM147" s="267"/>
      <c r="AN147" s="75"/>
    </row>
    <row r="148" spans="1:40" s="6" customFormat="1" ht="11.25" x14ac:dyDescent="0.2">
      <c r="A148" s="56">
        <f t="shared" si="68"/>
        <v>44330</v>
      </c>
      <c r="B148" s="618">
        <v>43.622999999999998</v>
      </c>
      <c r="C148" s="392"/>
      <c r="D148" s="395">
        <f t="shared" si="48"/>
        <v>44.667755387323773</v>
      </c>
      <c r="E148" s="387">
        <f t="shared" si="69"/>
        <v>46.38584573682634</v>
      </c>
      <c r="F148" s="387">
        <f t="shared" si="49"/>
        <v>46.4065442028541</v>
      </c>
      <c r="G148" s="110">
        <f t="shared" si="70"/>
        <v>0.72622336048857195</v>
      </c>
      <c r="H148" s="414" t="b">
        <f>Wh_hp&gt;='2020'!Maxi_hp</f>
        <v>0</v>
      </c>
      <c r="I148" s="382">
        <f>IF(H148,Wh_hp,'2020'!Maxi_hp)</f>
        <v>63.602775441610461</v>
      </c>
      <c r="J148" s="85">
        <f>IF(H148,An,'2020'!An_max)</f>
        <v>2019</v>
      </c>
      <c r="K148" s="199">
        <f t="shared" si="50"/>
        <v>44330</v>
      </c>
      <c r="L148" s="147">
        <f>IF(t&lt;Tvie,1-EXP((T0-t)*PertePVj)+'2020'!Pspv,1-EXP((T0-t)*PertePVj)+Pspv)</f>
        <v>2.338947588175122E-2</v>
      </c>
      <c r="M148" s="870"/>
      <c r="N148" s="870"/>
      <c r="O148" s="48">
        <f>IF(t&lt;Tnet,'2020'!Resal+('2020'!Salim-'2020'!Resal)*(1-EXP(('2020'!Tnet-t)/('2020'!Tau_j))),Resal+(Salim-Resal)*(1-EXP((Tnet-t)/(Tau_j))))*Salcycl</f>
        <v>3.7039107991051444E-2</v>
      </c>
      <c r="P148" s="171">
        <f>(INDEX(Models!$BJ148:$BT148,,T148)*(1-R148)+INDEX(Models!$BJ148:$BT148,,T148+1)*R148-ERP_i)*Q148*Ramure*Pc/MaxiM</f>
        <v>7.321631796686777E-4</v>
      </c>
      <c r="Q148" s="307">
        <f t="shared" si="51"/>
        <v>1</v>
      </c>
      <c r="R148" s="179">
        <f t="shared" si="52"/>
        <v>0.47266339727342732</v>
      </c>
      <c r="S148" s="837">
        <f t="shared" si="53"/>
        <v>-1</v>
      </c>
      <c r="T148" s="178">
        <f t="shared" si="54"/>
        <v>5</v>
      </c>
      <c r="U148" s="253">
        <f t="shared" si="55"/>
        <v>-0.52733660272657268</v>
      </c>
      <c r="V148" s="385">
        <f t="shared" si="56"/>
        <v>60.051100783796628</v>
      </c>
      <c r="W148" s="404"/>
      <c r="X148" s="157">
        <f t="shared" si="57"/>
        <v>44330</v>
      </c>
      <c r="Y148" s="387">
        <f t="shared" si="58"/>
        <v>39.216322446380602</v>
      </c>
      <c r="Z148" s="387">
        <f t="shared" si="59"/>
        <v>40.15553946829295</v>
      </c>
      <c r="AA148" s="388">
        <f t="shared" si="60"/>
        <v>46.38584573682634</v>
      </c>
      <c r="AB148" s="199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0.13431481456394065</v>
      </c>
      <c r="AD148" s="233">
        <f>(INDEX(Models!$BJ148:$BT148,,AH148)*(1-AF148)+INDEX(Models!$BJ148:$BT148,,AH148+1)*AF148-ERP_i)*AE148*Ramure*Pc/MaxiM</f>
        <v>7.321631796686777E-4</v>
      </c>
      <c r="AE148" s="307">
        <f t="shared" si="62"/>
        <v>1</v>
      </c>
      <c r="AF148" s="179">
        <f t="shared" si="63"/>
        <v>0.47266339727342732</v>
      </c>
      <c r="AG148" s="837">
        <f t="shared" si="71"/>
        <v>-1</v>
      </c>
      <c r="AH148" s="178">
        <f t="shared" si="64"/>
        <v>5</v>
      </c>
      <c r="AI148" s="227">
        <f t="shared" si="65"/>
        <v>-0.52733660272657268</v>
      </c>
      <c r="AJ148" s="267" t="b">
        <f t="shared" si="66"/>
        <v>0</v>
      </c>
      <c r="AK148" s="267" t="b">
        <f t="shared" si="67"/>
        <v>0</v>
      </c>
      <c r="AL148" s="267"/>
      <c r="AM148" s="267"/>
      <c r="AN148" s="75"/>
    </row>
    <row r="149" spans="1:40" s="6" customFormat="1" ht="11.25" x14ac:dyDescent="0.2">
      <c r="A149" s="56">
        <f t="shared" si="68"/>
        <v>44331</v>
      </c>
      <c r="B149" s="618">
        <v>20.536999999999999</v>
      </c>
      <c r="C149" s="392"/>
      <c r="D149" s="395">
        <f t="shared" si="48"/>
        <v>21.029343253962544</v>
      </c>
      <c r="E149" s="387">
        <f t="shared" si="69"/>
        <v>21.849340234504343</v>
      </c>
      <c r="F149" s="387">
        <f t="shared" si="49"/>
        <v>21.850229119806041</v>
      </c>
      <c r="G149" s="110">
        <f t="shared" si="70"/>
        <v>0.34132731774556829</v>
      </c>
      <c r="H149" s="414" t="b">
        <f>Wh_hp&gt;='2020'!Maxi_hp</f>
        <v>0</v>
      </c>
      <c r="I149" s="382">
        <f>IF(H149,Wh_hp,'2020'!Maxi_hp)</f>
        <v>64.554726690936292</v>
      </c>
      <c r="J149" s="85">
        <f>IF(H149,An,'2020'!An_max)</f>
        <v>2019</v>
      </c>
      <c r="K149" s="199">
        <f t="shared" si="50"/>
        <v>44331</v>
      </c>
      <c r="L149" s="147">
        <f>IF(t&lt;Tvie,1-EXP((T0-t)*PertePVj)+'2020'!Pspv,1-EXP((T0-t)*PertePVj)+Pspv)</f>
        <v>2.3412203035383605E-2</v>
      </c>
      <c r="M149" s="870"/>
      <c r="N149" s="870"/>
      <c r="O149" s="48">
        <f>IF(t&lt;Tnet,'2020'!Resal+('2020'!Salim-'2020'!Resal)*(1-EXP(('2020'!Tnet-t)/('2020'!Tau_j))),Resal+(Salim-Resal)*(1-EXP((Tnet-t)/(Tau_j))))*Salcycl</f>
        <v>3.7529599143083792E-2</v>
      </c>
      <c r="P149" s="171">
        <f>(INDEX(Models!$BJ149:$BT149,,T149)*(1-R149)+INDEX(Models!$BJ149:$BT149,,T149+1)*R149-ERP_i)*Q149*Ramure*Pc/MaxiM</f>
        <v>6.8539759962904718E-4</v>
      </c>
      <c r="Q149" s="307">
        <f t="shared" si="51"/>
        <v>1</v>
      </c>
      <c r="R149" s="179">
        <f t="shared" si="52"/>
        <v>0.4780923056744828</v>
      </c>
      <c r="S149" s="837">
        <f t="shared" si="53"/>
        <v>-1</v>
      </c>
      <c r="T149" s="178">
        <f t="shared" si="54"/>
        <v>5</v>
      </c>
      <c r="U149" s="253">
        <f t="shared" si="55"/>
        <v>-0.5219076943255172</v>
      </c>
      <c r="V149" s="385">
        <f t="shared" si="56"/>
        <v>60.129259645714335</v>
      </c>
      <c r="W149" s="404"/>
      <c r="X149" s="157">
        <f t="shared" si="57"/>
        <v>44331</v>
      </c>
      <c r="Y149" s="387">
        <f t="shared" si="58"/>
        <v>18.465751714507686</v>
      </c>
      <c r="Z149" s="387">
        <f t="shared" si="59"/>
        <v>18.908439949692241</v>
      </c>
      <c r="AA149" s="388">
        <f t="shared" si="60"/>
        <v>21.849340234504343</v>
      </c>
      <c r="AB149" s="199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0.13459904295727215</v>
      </c>
      <c r="AD149" s="233">
        <f>(INDEX(Models!$BJ149:$BT149,,AH149)*(1-AF149)+INDEX(Models!$BJ149:$BT149,,AH149+1)*AF149-ERP_i)*AE149*Ramure*Pc/MaxiM</f>
        <v>6.8539759962904718E-4</v>
      </c>
      <c r="AE149" s="307">
        <f t="shared" si="62"/>
        <v>1</v>
      </c>
      <c r="AF149" s="179">
        <f t="shared" si="63"/>
        <v>0.4780923056744828</v>
      </c>
      <c r="AG149" s="837">
        <f t="shared" si="71"/>
        <v>-1</v>
      </c>
      <c r="AH149" s="178">
        <f t="shared" si="64"/>
        <v>5</v>
      </c>
      <c r="AI149" s="227">
        <f t="shared" si="65"/>
        <v>-0.5219076943255172</v>
      </c>
      <c r="AJ149" s="267" t="b">
        <f t="shared" si="66"/>
        <v>0</v>
      </c>
      <c r="AK149" s="267" t="b">
        <f t="shared" si="67"/>
        <v>0</v>
      </c>
      <c r="AL149" s="267"/>
      <c r="AM149" s="267"/>
      <c r="AN149" s="75"/>
    </row>
    <row r="150" spans="1:40" s="6" customFormat="1" ht="11.25" x14ac:dyDescent="0.2">
      <c r="A150" s="56">
        <f t="shared" si="68"/>
        <v>44332</v>
      </c>
      <c r="B150" s="618">
        <v>13.355</v>
      </c>
      <c r="C150" s="392"/>
      <c r="D150" s="395">
        <f t="shared" si="48"/>
        <v>13.675484005742703</v>
      </c>
      <c r="E150" s="387">
        <f t="shared" si="69"/>
        <v>14.215979456920278</v>
      </c>
      <c r="F150" s="387">
        <f t="shared" si="49"/>
        <v>14.215979456920278</v>
      </c>
      <c r="G150" s="110">
        <f t="shared" si="70"/>
        <v>0.22170147683195465</v>
      </c>
      <c r="H150" s="414" t="b">
        <f>Wh_hp&gt;='2020'!Maxi_hp</f>
        <v>0</v>
      </c>
      <c r="I150" s="382">
        <f>IF(H150,Wh_hp,'2020'!Maxi_hp)</f>
        <v>53.452739777573882</v>
      </c>
      <c r="J150" s="85">
        <f>IF(H150,An,'2020'!An_max)</f>
        <v>2019</v>
      </c>
      <c r="K150" s="199">
        <f t="shared" si="50"/>
        <v>44332</v>
      </c>
      <c r="L150" s="147">
        <f>IF(t&lt;Tvie,1-EXP((T0-t)*PertePVj)+'2020'!Pspv,1-EXP((T0-t)*PertePVj)+Pspv)</f>
        <v>2.343492966012195E-2</v>
      </c>
      <c r="M150" s="870"/>
      <c r="N150" s="870"/>
      <c r="O150" s="48">
        <f>IF(t&lt;Tnet,'2020'!Resal+('2020'!Salim-'2020'!Resal)*(1-EXP(('2020'!Tnet-t)/('2020'!Tau_j))),Resal+(Salim-Resal)*(1-EXP((Tnet-t)/(Tau_j))))*Salcycl</f>
        <v>3.8020275199150196E-2</v>
      </c>
      <c r="P150" s="171">
        <f>(INDEX(Models!$BJ150:$BT150,,T150)*(1-R150)+INDEX(Models!$BJ150:$BT150,,T150+1)*R150-ERP_i)*Q150*Ramure*Pc/MaxiM</f>
        <v>6.4374124543661502E-4</v>
      </c>
      <c r="Q150" s="307">
        <f t="shared" si="51"/>
        <v>1</v>
      </c>
      <c r="R150" s="179">
        <f t="shared" si="52"/>
        <v>0.48363131812005944</v>
      </c>
      <c r="S150" s="837">
        <f t="shared" si="53"/>
        <v>-1</v>
      </c>
      <c r="T150" s="178">
        <f t="shared" si="54"/>
        <v>5</v>
      </c>
      <c r="U150" s="253">
        <f t="shared" si="55"/>
        <v>-0.51636868187994056</v>
      </c>
      <c r="V150" s="385">
        <f t="shared" si="56"/>
        <v>60.199882411173583</v>
      </c>
      <c r="W150" s="404"/>
      <c r="X150" s="157">
        <f t="shared" si="57"/>
        <v>44332</v>
      </c>
      <c r="Y150" s="387">
        <f t="shared" si="58"/>
        <v>12.010241847608462</v>
      </c>
      <c r="Z150" s="387">
        <f t="shared" si="59"/>
        <v>12.298455282071973</v>
      </c>
      <c r="AA150" s="388">
        <f t="shared" si="60"/>
        <v>14.215979456920278</v>
      </c>
      <c r="AB150" s="199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0.1348851256193159</v>
      </c>
      <c r="AD150" s="233">
        <f>(INDEX(Models!$BJ150:$BT150,,AH150)*(1-AF150)+INDEX(Models!$BJ150:$BT150,,AH150+1)*AF150-ERP_i)*AE150*Ramure*Pc/MaxiM</f>
        <v>6.4374124543661502E-4</v>
      </c>
      <c r="AE150" s="307">
        <f t="shared" si="62"/>
        <v>1</v>
      </c>
      <c r="AF150" s="179">
        <f t="shared" si="63"/>
        <v>0.48363131812005944</v>
      </c>
      <c r="AG150" s="837">
        <f t="shared" si="71"/>
        <v>-1</v>
      </c>
      <c r="AH150" s="178">
        <f t="shared" si="64"/>
        <v>5</v>
      </c>
      <c r="AI150" s="227">
        <f t="shared" si="65"/>
        <v>-0.51636868187994056</v>
      </c>
      <c r="AJ150" s="267" t="b">
        <f t="shared" si="66"/>
        <v>0</v>
      </c>
      <c r="AK150" s="267" t="b">
        <f t="shared" si="67"/>
        <v>0</v>
      </c>
      <c r="AL150" s="267"/>
      <c r="AM150" s="267"/>
      <c r="AN150" s="75"/>
    </row>
    <row r="151" spans="1:40" s="6" customFormat="1" ht="11.25" x14ac:dyDescent="0.2">
      <c r="A151" s="56">
        <f t="shared" si="68"/>
        <v>44333</v>
      </c>
      <c r="B151" s="618">
        <v>55.688000000000002</v>
      </c>
      <c r="C151" s="392"/>
      <c r="D151" s="395">
        <f t="shared" si="48"/>
        <v>57.025688981372532</v>
      </c>
      <c r="E151" s="387">
        <f t="shared" si="69"/>
        <v>59.309773917012308</v>
      </c>
      <c r="F151" s="387">
        <f t="shared" si="49"/>
        <v>59.341736603093388</v>
      </c>
      <c r="G151" s="110">
        <f t="shared" si="70"/>
        <v>0.9240147896594374</v>
      </c>
      <c r="H151" s="414" t="b">
        <f>Wh_hp&gt;='2020'!Maxi_hp</f>
        <v>1</v>
      </c>
      <c r="I151" s="382">
        <f>IF(H151,Wh_hp,'2020'!Maxi_hp)</f>
        <v>59.341736603093388</v>
      </c>
      <c r="J151" s="85">
        <f>IF(H151,An,'2020'!An_max)</f>
        <v>2021</v>
      </c>
      <c r="K151" s="199">
        <f t="shared" si="50"/>
        <v>44333</v>
      </c>
      <c r="L151" s="147">
        <f>IF(t&lt;Tvie,1-EXP((T0-t)*PertePVj)+'2020'!Pspv,1-EXP((T0-t)*PertePVj)+Pspv)</f>
        <v>2.3457655755978468E-2</v>
      </c>
      <c r="M151" s="870"/>
      <c r="N151" s="870"/>
      <c r="O151" s="48">
        <f>IF(t&lt;Tnet,'2020'!Resal+('2020'!Salim-'2020'!Resal)*(1-EXP(('2020'!Tnet-t)/('2020'!Tau_j))),Resal+(Salim-Resal)*(1-EXP((Tnet-t)/(Tau_j))))*Salcycl</f>
        <v>3.8511105080854348E-2</v>
      </c>
      <c r="P151" s="171">
        <f>(INDEX(Models!$BJ151:$BT151,,T151)*(1-R151)+INDEX(Models!$BJ151:$BT151,,T151+1)*R151-ERP_i)*Q151*Ramure*Pc/MaxiM</f>
        <v>6.0414893088469842E-4</v>
      </c>
      <c r="Q151" s="307">
        <f t="shared" si="51"/>
        <v>1</v>
      </c>
      <c r="R151" s="179">
        <f t="shared" si="52"/>
        <v>0.48927899982402279</v>
      </c>
      <c r="S151" s="837">
        <f t="shared" si="53"/>
        <v>-1</v>
      </c>
      <c r="T151" s="178">
        <f t="shared" si="54"/>
        <v>5</v>
      </c>
      <c r="U151" s="253">
        <f t="shared" si="55"/>
        <v>-0.51072100017597721</v>
      </c>
      <c r="V151" s="385">
        <f t="shared" si="56"/>
        <v>60.263482272090776</v>
      </c>
      <c r="W151" s="404"/>
      <c r="X151" s="157">
        <f t="shared" si="57"/>
        <v>44333</v>
      </c>
      <c r="Y151" s="387">
        <f t="shared" si="58"/>
        <v>50.089493645013846</v>
      </c>
      <c r="Z151" s="387">
        <f t="shared" si="59"/>
        <v>51.292700147877376</v>
      </c>
      <c r="AA151" s="388">
        <f t="shared" si="60"/>
        <v>59.309773917012308</v>
      </c>
      <c r="AB151" s="199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0.1351728937687845</v>
      </c>
      <c r="AD151" s="233">
        <f>(INDEX(Models!$BJ151:$BT151,,AH151)*(1-AF151)+INDEX(Models!$BJ151:$BT151,,AH151+1)*AF151-ERP_i)*AE151*Ramure*Pc/MaxiM</f>
        <v>6.0414893088469842E-4</v>
      </c>
      <c r="AE151" s="307">
        <f t="shared" si="62"/>
        <v>1</v>
      </c>
      <c r="AF151" s="179">
        <f t="shared" si="63"/>
        <v>0.48927899982402279</v>
      </c>
      <c r="AG151" s="837">
        <f t="shared" si="71"/>
        <v>-1</v>
      </c>
      <c r="AH151" s="178">
        <f t="shared" si="64"/>
        <v>5</v>
      </c>
      <c r="AI151" s="227">
        <f t="shared" si="65"/>
        <v>-0.51072100017597721</v>
      </c>
      <c r="AJ151" s="267" t="b">
        <f t="shared" si="66"/>
        <v>0</v>
      </c>
      <c r="AK151" s="267" t="b">
        <f t="shared" si="67"/>
        <v>0</v>
      </c>
      <c r="AL151" s="267"/>
      <c r="AM151" s="267"/>
      <c r="AN151" s="75"/>
    </row>
    <row r="152" spans="1:40" s="6" customFormat="1" ht="11.25" x14ac:dyDescent="0.2">
      <c r="A152" s="56">
        <f t="shared" si="68"/>
        <v>44334</v>
      </c>
      <c r="B152" s="618">
        <v>35.975000000000001</v>
      </c>
      <c r="C152" s="392"/>
      <c r="D152" s="395">
        <f t="shared" si="48"/>
        <v>36.840017662664145</v>
      </c>
      <c r="E152" s="387">
        <f t="shared" si="69"/>
        <v>38.335167921191776</v>
      </c>
      <c r="F152" s="387">
        <f t="shared" si="49"/>
        <v>38.3443675354237</v>
      </c>
      <c r="G152" s="110">
        <f t="shared" si="70"/>
        <v>0.59620378195764101</v>
      </c>
      <c r="H152" s="414" t="b">
        <f>Wh_hp&gt;='2020'!Maxi_hp</f>
        <v>0</v>
      </c>
      <c r="I152" s="382">
        <f>IF(H152,Wh_hp,'2020'!Maxi_hp)</f>
        <v>64.833198802654493</v>
      </c>
      <c r="J152" s="85">
        <f>IF(H152,An,'2020'!An_max)</f>
        <v>2020</v>
      </c>
      <c r="K152" s="199">
        <f t="shared" si="50"/>
        <v>44334</v>
      </c>
      <c r="L152" s="147">
        <f>IF(t&lt;Tvie,1-EXP((T0-t)*PertePVj)+'2020'!Pspv,1-EXP((T0-t)*PertePVj)+Pspv)</f>
        <v>2.3480381322965593E-2</v>
      </c>
      <c r="M152" s="870"/>
      <c r="N152" s="870"/>
      <c r="O152" s="48">
        <f>IF(t&lt;Tnet,'2020'!Resal+('2020'!Salim-'2020'!Resal)*(1-EXP(('2020'!Tnet-t)/('2020'!Tau_j))),Resal+(Salim-Resal)*(1-EXP((Tnet-t)/(Tau_j))))*Salcycl</f>
        <v>3.9002053195679655E-2</v>
      </c>
      <c r="P152" s="171">
        <f>(INDEX(Models!$BJ152:$BT152,,T152)*(1-R152)+INDEX(Models!$BJ152:$BT152,,T152+1)*R152-ERP_i)*Q152*Ramure*Pc/MaxiM</f>
        <v>5.6661729581257859E-4</v>
      </c>
      <c r="Q152" s="307">
        <f t="shared" si="51"/>
        <v>1</v>
      </c>
      <c r="R152" s="179">
        <f t="shared" si="52"/>
        <v>0.49503367213756266</v>
      </c>
      <c r="S152" s="837">
        <f t="shared" si="53"/>
        <v>-1</v>
      </c>
      <c r="T152" s="178">
        <f t="shared" si="54"/>
        <v>5</v>
      </c>
      <c r="U152" s="253">
        <f t="shared" si="55"/>
        <v>-0.50496632786243734</v>
      </c>
      <c r="V152" s="385">
        <f t="shared" si="56"/>
        <v>60.320389377189358</v>
      </c>
      <c r="W152" s="404"/>
      <c r="X152" s="157">
        <f t="shared" si="57"/>
        <v>44334</v>
      </c>
      <c r="Y152" s="387">
        <f t="shared" si="58"/>
        <v>32.364011303253399</v>
      </c>
      <c r="Z152" s="387">
        <f t="shared" si="59"/>
        <v>33.142202864392416</v>
      </c>
      <c r="AA152" s="388">
        <f t="shared" si="60"/>
        <v>38.335167921191776</v>
      </c>
      <c r="AB152" s="199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0.13546217059684976</v>
      </c>
      <c r="AD152" s="233">
        <f>(INDEX(Models!$BJ152:$BT152,,AH152)*(1-AF152)+INDEX(Models!$BJ152:$BT152,,AH152+1)*AF152-ERP_i)*AE152*Ramure*Pc/MaxiM</f>
        <v>5.6661729581257859E-4</v>
      </c>
      <c r="AE152" s="307">
        <f t="shared" si="62"/>
        <v>1</v>
      </c>
      <c r="AF152" s="179">
        <f t="shared" si="63"/>
        <v>0.49503367213756266</v>
      </c>
      <c r="AG152" s="837">
        <f t="shared" si="71"/>
        <v>-1</v>
      </c>
      <c r="AH152" s="178">
        <f t="shared" si="64"/>
        <v>5</v>
      </c>
      <c r="AI152" s="227">
        <f t="shared" si="65"/>
        <v>-0.50496632786243734</v>
      </c>
      <c r="AJ152" s="267" t="b">
        <f t="shared" si="66"/>
        <v>0</v>
      </c>
      <c r="AK152" s="267" t="b">
        <f t="shared" si="67"/>
        <v>0</v>
      </c>
      <c r="AL152" s="267"/>
      <c r="AM152" s="267"/>
      <c r="AN152" s="75"/>
    </row>
    <row r="153" spans="1:40" s="6" customFormat="1" ht="11.25" x14ac:dyDescent="0.2">
      <c r="A153" s="56">
        <f t="shared" si="68"/>
        <v>44335</v>
      </c>
      <c r="B153" s="618">
        <v>51.048999999999999</v>
      </c>
      <c r="C153" s="392"/>
      <c r="D153" s="395">
        <f t="shared" si="48"/>
        <v>52.277688062853414</v>
      </c>
      <c r="E153" s="387">
        <f t="shared" si="69"/>
        <v>54.427185212269023</v>
      </c>
      <c r="F153" s="387">
        <f t="shared" si="49"/>
        <v>54.449726442788119</v>
      </c>
      <c r="G153" s="110">
        <f t="shared" si="70"/>
        <v>0.84548993236032866</v>
      </c>
      <c r="H153" s="414" t="b">
        <f>Wh_hp&gt;='2020'!Maxi_hp</f>
        <v>0</v>
      </c>
      <c r="I153" s="382">
        <f>IF(H153,Wh_hp,'2020'!Maxi_hp)</f>
        <v>63.754093188120109</v>
      </c>
      <c r="J153" s="85">
        <f>IF(H153,An,'2020'!An_max)</f>
        <v>2020</v>
      </c>
      <c r="K153" s="199">
        <f t="shared" si="50"/>
        <v>44335</v>
      </c>
      <c r="L153" s="147">
        <f>IF(t&lt;Tvie,1-EXP((T0-t)*PertePVj)+'2020'!Pspv,1-EXP((T0-t)*PertePVj)+Pspv)</f>
        <v>2.3503106361095538E-2</v>
      </c>
      <c r="M153" s="870"/>
      <c r="N153" s="870"/>
      <c r="O153" s="48">
        <f>IF(t&lt;Tnet,'2020'!Resal+('2020'!Salim-'2020'!Resal)*(1-EXP(('2020'!Tnet-t)/('2020'!Tau_j))),Resal+(Salim-Resal)*(1-EXP((Tnet-t)/(Tau_j))))*Salcycl</f>
        <v>3.9493079442422953E-2</v>
      </c>
      <c r="P153" s="171">
        <f>(INDEX(Models!$BJ153:$BT153,,T153)*(1-R153)+INDEX(Models!$BJ153:$BT153,,T153+1)*R153-ERP_i)*Q153*Ramure*Pc/MaxiM</f>
        <v>5.3114649008861392E-4</v>
      </c>
      <c r="Q153" s="307">
        <f t="shared" si="51"/>
        <v>1</v>
      </c>
      <c r="R153" s="179">
        <f t="shared" si="52"/>
        <v>0.50089340821177775</v>
      </c>
      <c r="S153" s="837">
        <f t="shared" si="53"/>
        <v>-1</v>
      </c>
      <c r="T153" s="178">
        <f t="shared" si="54"/>
        <v>5</v>
      </c>
      <c r="U153" s="253">
        <f t="shared" si="55"/>
        <v>-0.49910659178822225</v>
      </c>
      <c r="V153" s="385">
        <f t="shared" si="56"/>
        <v>60.370933421675915</v>
      </c>
      <c r="W153" s="404"/>
      <c r="X153" s="157">
        <f t="shared" si="57"/>
        <v>44335</v>
      </c>
      <c r="Y153" s="387">
        <f t="shared" si="58"/>
        <v>45.932992067013252</v>
      </c>
      <c r="Z153" s="387">
        <f t="shared" si="59"/>
        <v>47.038543968987433</v>
      </c>
      <c r="AA153" s="388">
        <f t="shared" si="60"/>
        <v>54.427185212269023</v>
      </c>
      <c r="AB153" s="199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0.13575277160605456</v>
      </c>
      <c r="AD153" s="233">
        <f>(INDEX(Models!$BJ153:$BT153,,AH153)*(1-AF153)+INDEX(Models!$BJ153:$BT153,,AH153+1)*AF153-ERP_i)*AE153*Ramure*Pc/MaxiM</f>
        <v>5.3114649008861392E-4</v>
      </c>
      <c r="AE153" s="307">
        <f t="shared" si="62"/>
        <v>1</v>
      </c>
      <c r="AF153" s="179">
        <f t="shared" si="63"/>
        <v>0.50089340821177775</v>
      </c>
      <c r="AG153" s="837">
        <f t="shared" si="71"/>
        <v>-1</v>
      </c>
      <c r="AH153" s="178">
        <f t="shared" si="64"/>
        <v>5</v>
      </c>
      <c r="AI153" s="227">
        <f t="shared" si="65"/>
        <v>-0.49910659178822225</v>
      </c>
      <c r="AJ153" s="267" t="b">
        <f t="shared" si="66"/>
        <v>0</v>
      </c>
      <c r="AK153" s="267" t="b">
        <f t="shared" si="67"/>
        <v>0</v>
      </c>
      <c r="AL153" s="267"/>
      <c r="AM153" s="267"/>
      <c r="AN153" s="75"/>
    </row>
    <row r="154" spans="1:40" s="6" customFormat="1" ht="11.25" x14ac:dyDescent="0.2">
      <c r="A154" s="56">
        <f t="shared" si="68"/>
        <v>44336</v>
      </c>
      <c r="B154" s="618">
        <v>59.570999999999998</v>
      </c>
      <c r="C154" s="392"/>
      <c r="D154" s="395">
        <f t="shared" si="48"/>
        <v>61.006222062278042</v>
      </c>
      <c r="E154" s="387">
        <f t="shared" si="69"/>
        <v>63.54709808014811</v>
      </c>
      <c r="F154" s="387">
        <f t="shared" si="49"/>
        <v>63.57811157089013</v>
      </c>
      <c r="G154" s="110">
        <f t="shared" si="70"/>
        <v>0.98601291438471417</v>
      </c>
      <c r="H154" s="414" t="b">
        <f>Wh_hp&gt;='2020'!Maxi_hp</f>
        <v>1</v>
      </c>
      <c r="I154" s="382">
        <f>IF(H154,Wh_hp,'2020'!Maxi_hp)</f>
        <v>63.57811157089013</v>
      </c>
      <c r="J154" s="85">
        <f>IF(H154,An,'2020'!An_max)</f>
        <v>2021</v>
      </c>
      <c r="K154" s="199">
        <f t="shared" si="50"/>
        <v>44336</v>
      </c>
      <c r="L154" s="147">
        <f>IF(t&lt;Tvie,1-EXP((T0-t)*PertePVj)+'2020'!Pspv,1-EXP((T0-t)*PertePVj)+Pspv)</f>
        <v>2.3525830870380737E-2</v>
      </c>
      <c r="M154" s="870"/>
      <c r="N154" s="870"/>
      <c r="O154" s="48">
        <f>IF(t&lt;Tnet,'2020'!Resal+('2020'!Salim-'2020'!Resal)*(1-EXP(('2020'!Tnet-t)/('2020'!Tau_j))),Resal+(Salim-Resal)*(1-EXP((Tnet-t)/(Tau_j))))*Salcycl</f>
        <v>3.9984139238984799E-2</v>
      </c>
      <c r="P154" s="171">
        <f>(INDEX(Models!$BJ154:$BT154,,T154)*(1-R154)+INDEX(Models!$BJ154:$BT154,,T154+1)*R154-ERP_i)*Q154*Ramure*Pc/MaxiM</f>
        <v>4.9774002897396265E-4</v>
      </c>
      <c r="Q154" s="307">
        <f t="shared" si="51"/>
        <v>1</v>
      </c>
      <c r="R154" s="179">
        <f t="shared" si="52"/>
        <v>0.50685602964250265</v>
      </c>
      <c r="S154" s="837">
        <f t="shared" si="53"/>
        <v>-1</v>
      </c>
      <c r="T154" s="178">
        <f t="shared" si="54"/>
        <v>5</v>
      </c>
      <c r="U154" s="253">
        <f t="shared" si="55"/>
        <v>-0.4931439703574973</v>
      </c>
      <c r="V154" s="385">
        <f t="shared" si="56"/>
        <v>60.415443638623231</v>
      </c>
      <c r="W154" s="404"/>
      <c r="X154" s="157">
        <f t="shared" si="57"/>
        <v>44336</v>
      </c>
      <c r="Y154" s="387">
        <f t="shared" si="58"/>
        <v>53.610252597146932</v>
      </c>
      <c r="Z154" s="387">
        <f t="shared" si="59"/>
        <v>54.901864577669734</v>
      </c>
      <c r="AA154" s="388">
        <f t="shared" si="60"/>
        <v>63.54709808014811</v>
      </c>
      <c r="AB154" s="199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0.13604450499965659</v>
      </c>
      <c r="AD154" s="233">
        <f>(INDEX(Models!$BJ154:$BT154,,AH154)*(1-AF154)+INDEX(Models!$BJ154:$BT154,,AH154+1)*AF154-ERP_i)*AE154*Ramure*Pc/MaxiM</f>
        <v>4.9774002897396265E-4</v>
      </c>
      <c r="AE154" s="307">
        <f t="shared" si="62"/>
        <v>1</v>
      </c>
      <c r="AF154" s="179">
        <f t="shared" si="63"/>
        <v>0.50685602964250265</v>
      </c>
      <c r="AG154" s="837">
        <f t="shared" si="71"/>
        <v>-1</v>
      </c>
      <c r="AH154" s="178">
        <f t="shared" si="64"/>
        <v>5</v>
      </c>
      <c r="AI154" s="227">
        <f t="shared" si="65"/>
        <v>-0.4931439703574973</v>
      </c>
      <c r="AJ154" s="267" t="b">
        <f t="shared" si="66"/>
        <v>0</v>
      </c>
      <c r="AK154" s="267" t="b">
        <f t="shared" si="67"/>
        <v>0</v>
      </c>
      <c r="AL154" s="267"/>
      <c r="AM154" s="267"/>
      <c r="AN154" s="75"/>
    </row>
    <row r="155" spans="1:40" s="6" customFormat="1" ht="11.25" x14ac:dyDescent="0.2">
      <c r="A155" s="56">
        <f t="shared" si="68"/>
        <v>44337</v>
      </c>
      <c r="B155" s="618">
        <v>39.204999999999998</v>
      </c>
      <c r="C155" s="392"/>
      <c r="D155" s="395">
        <f t="shared" si="48"/>
        <v>40.150485919974116</v>
      </c>
      <c r="E155" s="387">
        <f t="shared" si="69"/>
        <v>41.844134964115746</v>
      </c>
      <c r="F155" s="387">
        <f t="shared" si="49"/>
        <v>41.853853743290308</v>
      </c>
      <c r="G155" s="110">
        <f t="shared" si="70"/>
        <v>0.6483550279481658</v>
      </c>
      <c r="H155" s="414" t="b">
        <f>Wh_hp&gt;='2020'!Maxi_hp</f>
        <v>0</v>
      </c>
      <c r="I155" s="382">
        <f>IF(H155,Wh_hp,'2020'!Maxi_hp)</f>
        <v>62.178708912121074</v>
      </c>
      <c r="J155" s="85">
        <f>IF(H155,An,'2020'!An_max)</f>
        <v>2020</v>
      </c>
      <c r="K155" s="199">
        <f t="shared" si="50"/>
        <v>44337</v>
      </c>
      <c r="L155" s="147">
        <f>IF(t&lt;Tvie,1-EXP((T0-t)*PertePVj)+'2020'!Pspv,1-EXP((T0-t)*PertePVj)+Pspv)</f>
        <v>2.3548554850833292E-2</v>
      </c>
      <c r="M155" s="870"/>
      <c r="N155" s="870"/>
      <c r="O155" s="48">
        <f>IF(t&lt;Tnet,'2020'!Resal+('2020'!Salim-'2020'!Resal)*(1-EXP(('2020'!Tnet-t)/('2020'!Tau_j))),Resal+(Salim-Resal)*(1-EXP((Tnet-t)/(Tau_j))))*Salcycl</f>
        <v>4.0475183573374089E-2</v>
      </c>
      <c r="P155" s="171">
        <f>(INDEX(Models!$BJ155:$BT155,,T155)*(1-R155)+INDEX(Models!$BJ155:$BT155,,T155+1)*R155-ERP_i)*Q155*Ramure*Pc/MaxiM</f>
        <v>4.6640464728405862E-4</v>
      </c>
      <c r="Q155" s="307">
        <f t="shared" si="51"/>
        <v>1</v>
      </c>
      <c r="R155" s="179">
        <f t="shared" si="52"/>
        <v>0.51291910417182274</v>
      </c>
      <c r="S155" s="837">
        <f t="shared" si="53"/>
        <v>-1</v>
      </c>
      <c r="T155" s="178">
        <f t="shared" si="54"/>
        <v>5</v>
      </c>
      <c r="U155" s="253">
        <f t="shared" si="55"/>
        <v>-0.48708089582817726</v>
      </c>
      <c r="V155" s="385">
        <f t="shared" si="56"/>
        <v>60.454248797502778</v>
      </c>
      <c r="W155" s="404"/>
      <c r="X155" s="157">
        <f t="shared" si="57"/>
        <v>44337</v>
      </c>
      <c r="Y155" s="387">
        <f t="shared" si="58"/>
        <v>35.288197436192043</v>
      </c>
      <c r="Z155" s="387">
        <f t="shared" si="59"/>
        <v>36.139223933250747</v>
      </c>
      <c r="AA155" s="388">
        <f t="shared" si="60"/>
        <v>41.844134964115746</v>
      </c>
      <c r="AB155" s="199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0.13633717212119098</v>
      </c>
      <c r="AD155" s="233">
        <f>(INDEX(Models!$BJ155:$BT155,,AH155)*(1-AF155)+INDEX(Models!$BJ155:$BT155,,AH155+1)*AF155-ERP_i)*AE155*Ramure*Pc/MaxiM</f>
        <v>4.6640464728405862E-4</v>
      </c>
      <c r="AE155" s="307">
        <f t="shared" si="62"/>
        <v>1</v>
      </c>
      <c r="AF155" s="179">
        <f t="shared" si="63"/>
        <v>0.51291910417182274</v>
      </c>
      <c r="AG155" s="837">
        <f t="shared" si="71"/>
        <v>-1</v>
      </c>
      <c r="AH155" s="178">
        <f t="shared" si="64"/>
        <v>5</v>
      </c>
      <c r="AI155" s="227">
        <f t="shared" si="65"/>
        <v>-0.48708089582817726</v>
      </c>
      <c r="AJ155" s="267" t="b">
        <f t="shared" si="66"/>
        <v>0</v>
      </c>
      <c r="AK155" s="267" t="b">
        <f t="shared" si="67"/>
        <v>0</v>
      </c>
      <c r="AL155" s="267"/>
      <c r="AM155" s="267"/>
      <c r="AN155" s="75"/>
    </row>
    <row r="156" spans="1:40" s="18" customFormat="1" ht="11.25" x14ac:dyDescent="0.2">
      <c r="A156" s="56">
        <f t="shared" si="68"/>
        <v>44338</v>
      </c>
      <c r="B156" s="618">
        <v>34.116</v>
      </c>
      <c r="C156" s="392"/>
      <c r="D156" s="395">
        <f t="shared" si="48"/>
        <v>34.939570336162255</v>
      </c>
      <c r="E156" s="387">
        <f t="shared" si="69"/>
        <v>36.432051555756154</v>
      </c>
      <c r="F156" s="387">
        <f t="shared" si="49"/>
        <v>36.438070018664028</v>
      </c>
      <c r="G156" s="110">
        <f t="shared" si="70"/>
        <v>0.56386227998396454</v>
      </c>
      <c r="H156" s="414" t="b">
        <f>Wh_hp&gt;='2020'!Maxi_hp</f>
        <v>0</v>
      </c>
      <c r="I156" s="382">
        <f>IF(H156,Wh_hp,'2020'!Maxi_hp)</f>
        <v>63.08837322256813</v>
      </c>
      <c r="J156" s="85">
        <f>IF(H156,An,'2020'!An_max)</f>
        <v>2019</v>
      </c>
      <c r="K156" s="199">
        <f t="shared" si="50"/>
        <v>44338</v>
      </c>
      <c r="L156" s="147">
        <f>IF(t&lt;Tvie,1-EXP((T0-t)*PertePVj)+'2020'!Pspv,1-EXP((T0-t)*PertePVj)+Pspv)</f>
        <v>2.3571278302465637E-2</v>
      </c>
      <c r="M156" s="870"/>
      <c r="N156" s="870"/>
      <c r="O156" s="48">
        <f>IF(t&lt;Tnet,'2020'!Resal+('2020'!Salim-'2020'!Resal)*(1-EXP(('2020'!Tnet-t)/('2020'!Tau_j))),Resal+(Salim-Resal)*(1-EXP((Tnet-t)/(Tau_j))))*Salcycl</f>
        <v>4.096615907862846E-2</v>
      </c>
      <c r="P156" s="171">
        <f>(INDEX(Models!$BJ156:$BT156,,T156)*(1-R156)+INDEX(Models!$BJ156:$BT156,,T156+1)*R156-ERP_i)*Q156*Ramure*Pc/MaxiM</f>
        <v>4.3792302555718013E-4</v>
      </c>
      <c r="Q156" s="307">
        <f t="shared" si="51"/>
        <v>1</v>
      </c>
      <c r="R156" s="179">
        <f t="shared" si="52"/>
        <v>0.51907994451560047</v>
      </c>
      <c r="S156" s="837">
        <f t="shared" si="53"/>
        <v>-1</v>
      </c>
      <c r="T156" s="178">
        <f t="shared" si="54"/>
        <v>5</v>
      </c>
      <c r="U156" s="253">
        <f t="shared" si="55"/>
        <v>-0.48092005548439948</v>
      </c>
      <c r="V156" s="385">
        <f t="shared" si="56"/>
        <v>60.487630435696822</v>
      </c>
      <c r="W156" s="404"/>
      <c r="X156" s="157">
        <f t="shared" si="57"/>
        <v>44338</v>
      </c>
      <c r="Y156" s="387">
        <f t="shared" si="58"/>
        <v>30.712901137814065</v>
      </c>
      <c r="Z156" s="387">
        <f t="shared" si="59"/>
        <v>31.454319660342719</v>
      </c>
      <c r="AA156" s="388">
        <f t="shared" si="60"/>
        <v>36.432051555756154</v>
      </c>
      <c r="AB156" s="199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0.13663056794359871</v>
      </c>
      <c r="AD156" s="233">
        <f>(INDEX(Models!$BJ156:$BT156,,AH156)*(1-AF156)+INDEX(Models!$BJ156:$BT156,,AH156+1)*AF156-ERP_i)*AE156*Ramure*Pc/MaxiM</f>
        <v>4.3792302555718013E-4</v>
      </c>
      <c r="AE156" s="307">
        <f t="shared" si="62"/>
        <v>1</v>
      </c>
      <c r="AF156" s="179">
        <f t="shared" si="63"/>
        <v>0.51907994451560047</v>
      </c>
      <c r="AG156" s="837">
        <f t="shared" si="71"/>
        <v>-1</v>
      </c>
      <c r="AH156" s="178">
        <f t="shared" si="64"/>
        <v>5</v>
      </c>
      <c r="AI156" s="227">
        <f t="shared" si="65"/>
        <v>-0.48092005548439948</v>
      </c>
      <c r="AJ156" s="267" t="b">
        <f t="shared" si="66"/>
        <v>0</v>
      </c>
      <c r="AK156" s="267" t="b">
        <f t="shared" si="67"/>
        <v>0</v>
      </c>
      <c r="AL156" s="267"/>
      <c r="AM156" s="267"/>
      <c r="AN156" s="267"/>
    </row>
    <row r="157" spans="1:40" s="18" customFormat="1" ht="11.25" x14ac:dyDescent="0.2">
      <c r="A157" s="56">
        <f t="shared" si="68"/>
        <v>44339</v>
      </c>
      <c r="B157" s="618">
        <v>35.953000000000003</v>
      </c>
      <c r="C157" s="392"/>
      <c r="D157" s="395">
        <f t="shared" si="48"/>
        <v>36.821772956247052</v>
      </c>
      <c r="E157" s="387">
        <f t="shared" si="69"/>
        <v>38.414315548326243</v>
      </c>
      <c r="F157" s="387">
        <f t="shared" si="49"/>
        <v>38.420942658493487</v>
      </c>
      <c r="G157" s="110">
        <f t="shared" si="70"/>
        <v>0.59396566084082814</v>
      </c>
      <c r="H157" s="414" t="b">
        <f>Wh_hp&gt;='2020'!Maxi_hp</f>
        <v>0</v>
      </c>
      <c r="I157" s="382">
        <f>IF(H157,Wh_hp,'2020'!Maxi_hp)</f>
        <v>57.176818430303342</v>
      </c>
      <c r="J157" s="85">
        <f>IF(H157,An,'2020'!An_max)</f>
        <v>2020</v>
      </c>
      <c r="K157" s="199">
        <f t="shared" si="50"/>
        <v>44339</v>
      </c>
      <c r="L157" s="147">
        <f>IF(t&lt;Tvie,1-EXP((T0-t)*PertePVj)+'2020'!Pspv,1-EXP((T0-t)*PertePVj)+Pspv)</f>
        <v>2.3594001225290095E-2</v>
      </c>
      <c r="M157" s="870"/>
      <c r="N157" s="870"/>
      <c r="O157" s="48">
        <f>IF(t&lt;Tnet,'2020'!Resal+('2020'!Salim-'2020'!Resal)*(1-EXP(('2020'!Tnet-t)/('2020'!Tau_j))),Resal+(Salim-Resal)*(1-EXP((Tnet-t)/(Tau_j))))*Salcycl</f>
        <v>4.1457008132182567E-2</v>
      </c>
      <c r="P157" s="171">
        <f>(INDEX(Models!$BJ157:$BT157,,T157)*(1-R157)+INDEX(Models!$BJ157:$BT157,,T157+1)*R157-ERP_i)*Q157*Ramure*Pc/MaxiM</f>
        <v>4.105335832227825E-4</v>
      </c>
      <c r="Q157" s="307">
        <f t="shared" si="51"/>
        <v>1</v>
      </c>
      <c r="R157" s="179">
        <f t="shared" si="52"/>
        <v>0.52533560838008175</v>
      </c>
      <c r="S157" s="837">
        <f t="shared" si="53"/>
        <v>-1</v>
      </c>
      <c r="T157" s="178">
        <f t="shared" si="54"/>
        <v>5</v>
      </c>
      <c r="U157" s="253">
        <f t="shared" si="55"/>
        <v>-0.47466439161991819</v>
      </c>
      <c r="V157" s="385">
        <f t="shared" si="56"/>
        <v>60.516023739569221</v>
      </c>
      <c r="W157" s="404"/>
      <c r="X157" s="157">
        <f t="shared" si="57"/>
        <v>44339</v>
      </c>
      <c r="Y157" s="387">
        <f t="shared" si="58"/>
        <v>32.372209046487001</v>
      </c>
      <c r="Z157" s="387">
        <f t="shared" si="59"/>
        <v>33.154455305590936</v>
      </c>
      <c r="AA157" s="388">
        <f t="shared" si="60"/>
        <v>38.414315548326243</v>
      </c>
      <c r="AB157" s="199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0.13692448160681814</v>
      </c>
      <c r="AD157" s="233">
        <f>(INDEX(Models!$BJ157:$BT157,,AH157)*(1-AF157)+INDEX(Models!$BJ157:$BT157,,AH157+1)*AF157-ERP_i)*AE157*Ramure*Pc/MaxiM</f>
        <v>4.105335832227825E-4</v>
      </c>
      <c r="AE157" s="307">
        <f t="shared" si="62"/>
        <v>1</v>
      </c>
      <c r="AF157" s="179">
        <f t="shared" si="63"/>
        <v>0.52533560838008175</v>
      </c>
      <c r="AG157" s="837">
        <f t="shared" si="71"/>
        <v>-1</v>
      </c>
      <c r="AH157" s="178">
        <f t="shared" si="64"/>
        <v>5</v>
      </c>
      <c r="AI157" s="227">
        <f t="shared" si="65"/>
        <v>-0.47466439161991819</v>
      </c>
      <c r="AJ157" s="267" t="b">
        <f t="shared" si="66"/>
        <v>0</v>
      </c>
      <c r="AK157" s="267" t="b">
        <f t="shared" si="67"/>
        <v>0</v>
      </c>
      <c r="AL157" s="267"/>
      <c r="AM157" s="267"/>
      <c r="AN157" s="267"/>
    </row>
    <row r="158" spans="1:40" s="6" customFormat="1" ht="11.25" x14ac:dyDescent="0.2">
      <c r="A158" s="56">
        <f t="shared" si="68"/>
        <v>44340</v>
      </c>
      <c r="B158" s="618">
        <v>26.771000000000001</v>
      </c>
      <c r="C158" s="392"/>
      <c r="D158" s="395">
        <f t="shared" si="48"/>
        <v>27.418535986438059</v>
      </c>
      <c r="E158" s="387">
        <f t="shared" si="69"/>
        <v>28.61903791544206</v>
      </c>
      <c r="F158" s="387">
        <f t="shared" si="49"/>
        <v>28.621272020184886</v>
      </c>
      <c r="G158" s="110">
        <f t="shared" si="70"/>
        <v>0.44206987173861456</v>
      </c>
      <c r="H158" s="414" t="b">
        <f>Wh_hp&gt;='2020'!Maxi_hp</f>
        <v>1</v>
      </c>
      <c r="I158" s="382">
        <f>IF(H158,Wh_hp,'2020'!Maxi_hp)</f>
        <v>28.621272020184886</v>
      </c>
      <c r="J158" s="85">
        <f>IF(H158,An,'2020'!An_max)</f>
        <v>2021</v>
      </c>
      <c r="K158" s="199">
        <f t="shared" si="50"/>
        <v>44340</v>
      </c>
      <c r="L158" s="147">
        <f>IF(t&lt;Tvie,1-EXP((T0-t)*PertePVj)+'2020'!Pspv,1-EXP((T0-t)*PertePVj)+Pspv)</f>
        <v>2.3616723619318991E-2</v>
      </c>
      <c r="M158" s="870"/>
      <c r="N158" s="870"/>
      <c r="O158" s="48">
        <f>IF(t&lt;Tnet,'2020'!Resal+('2020'!Salim-'2020'!Resal)*(1-EXP(('2020'!Tnet-t)/('2020'!Tau_j))),Resal+(Salim-Resal)*(1-EXP((Tnet-t)/(Tau_j))))*Salcycl</f>
        <v>4.1947668980033902E-2</v>
      </c>
      <c r="P158" s="171">
        <f>(INDEX(Models!$BJ158:$BT158,,T158)*(1-R158)+INDEX(Models!$BJ158:$BT158,,T158+1)*R158-ERP_i)*Q158*Ramure*Pc/MaxiM</f>
        <v>3.842350076103695E-4</v>
      </c>
      <c r="Q158" s="307">
        <f t="shared" si="51"/>
        <v>1</v>
      </c>
      <c r="R158" s="179">
        <f t="shared" si="52"/>
        <v>0.53168289972324312</v>
      </c>
      <c r="S158" s="837">
        <f t="shared" si="53"/>
        <v>-1</v>
      </c>
      <c r="T158" s="178">
        <f t="shared" si="54"/>
        <v>5</v>
      </c>
      <c r="U158" s="253">
        <f t="shared" si="55"/>
        <v>-0.46831710027675688</v>
      </c>
      <c r="V158" s="385">
        <f t="shared" si="56"/>
        <v>60.539757157938091</v>
      </c>
      <c r="W158" s="404"/>
      <c r="X158" s="157">
        <f t="shared" si="57"/>
        <v>44340</v>
      </c>
      <c r="Y158" s="387">
        <f t="shared" si="58"/>
        <v>24.10882737267772</v>
      </c>
      <c r="Z158" s="387">
        <f t="shared" si="59"/>
        <v>24.691970823226139</v>
      </c>
      <c r="AA158" s="388">
        <f t="shared" si="60"/>
        <v>28.61903791544206</v>
      </c>
      <c r="AB158" s="199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0.1372186970022839</v>
      </c>
      <c r="AD158" s="233">
        <f>(INDEX(Models!$BJ158:$BT158,,AH158)*(1-AF158)+INDEX(Models!$BJ158:$BT158,,AH158+1)*AF158-ERP_i)*AE158*Ramure*Pc/MaxiM</f>
        <v>3.842350076103695E-4</v>
      </c>
      <c r="AE158" s="307">
        <f t="shared" si="62"/>
        <v>1</v>
      </c>
      <c r="AF158" s="179">
        <f t="shared" si="63"/>
        <v>0.53168289972324312</v>
      </c>
      <c r="AG158" s="837">
        <f t="shared" si="71"/>
        <v>-1</v>
      </c>
      <c r="AH158" s="178">
        <f t="shared" si="64"/>
        <v>5</v>
      </c>
      <c r="AI158" s="227">
        <f t="shared" si="65"/>
        <v>-0.46831710027675688</v>
      </c>
      <c r="AJ158" s="267" t="b">
        <f t="shared" si="66"/>
        <v>0</v>
      </c>
      <c r="AK158" s="267" t="b">
        <f t="shared" si="67"/>
        <v>0</v>
      </c>
      <c r="AL158" s="267"/>
      <c r="AM158" s="267"/>
      <c r="AN158" s="75"/>
    </row>
    <row r="159" spans="1:40" s="6" customFormat="1" ht="11.25" x14ac:dyDescent="0.2">
      <c r="A159" s="56">
        <f t="shared" si="68"/>
        <v>44341</v>
      </c>
      <c r="B159" s="618">
        <v>48.471000000000004</v>
      </c>
      <c r="C159" s="392"/>
      <c r="D159" s="395">
        <f t="shared" si="48"/>
        <v>49.644570108689003</v>
      </c>
      <c r="E159" s="387">
        <f t="shared" si="69"/>
        <v>51.844762055066411</v>
      </c>
      <c r="F159" s="387">
        <f t="shared" si="49"/>
        <v>51.85807146728623</v>
      </c>
      <c r="G159" s="110">
        <f t="shared" si="70"/>
        <v>0.80030894527154361</v>
      </c>
      <c r="H159" s="414" t="b">
        <f>Wh_hp&gt;='2020'!Maxi_hp</f>
        <v>0</v>
      </c>
      <c r="I159" s="382">
        <f>IF(H159,Wh_hp,'2020'!Maxi_hp)</f>
        <v>59.3893737120083</v>
      </c>
      <c r="J159" s="85">
        <f>IF(H159,An,'2020'!An_max)</f>
        <v>2020</v>
      </c>
      <c r="K159" s="199">
        <f t="shared" si="50"/>
        <v>44341</v>
      </c>
      <c r="L159" s="147">
        <f>IF(t&lt;Tvie,1-EXP((T0-t)*PertePVj)+'2020'!Pspv,1-EXP((T0-t)*PertePVj)+Pspv)</f>
        <v>2.3639445484564536E-2</v>
      </c>
      <c r="M159" s="870"/>
      <c r="N159" s="870"/>
      <c r="O159" s="48">
        <f>IF(t&lt;Tnet,'2020'!Resal+('2020'!Salim-'2020'!Resal)*(1-EXP(('2020'!Tnet-t)/('2020'!Tau_j))),Resal+(Salim-Resal)*(1-EXP((Tnet-t)/(Tau_j))))*Salcycl</f>
        <v>4.243807588586275E-2</v>
      </c>
      <c r="P159" s="171">
        <f>(INDEX(Models!$BJ159:$BT159,,T159)*(1-R159)+INDEX(Models!$BJ159:$BT159,,T159+1)*R159-ERP_i)*Q159*Ramure*Pc/MaxiM</f>
        <v>3.5903033357503682E-4</v>
      </c>
      <c r="Q159" s="307">
        <f t="shared" si="51"/>
        <v>1</v>
      </c>
      <c r="R159" s="179">
        <f t="shared" si="52"/>
        <v>0.53811837130804707</v>
      </c>
      <c r="S159" s="837">
        <f t="shared" si="53"/>
        <v>-1</v>
      </c>
      <c r="T159" s="178">
        <f t="shared" si="54"/>
        <v>5</v>
      </c>
      <c r="U159" s="253">
        <f t="shared" si="55"/>
        <v>-0.46188162869195293</v>
      </c>
      <c r="V159" s="385">
        <f t="shared" si="56"/>
        <v>60.559158523649664</v>
      </c>
      <c r="W159" s="404"/>
      <c r="X159" s="157">
        <f t="shared" si="57"/>
        <v>44341</v>
      </c>
      <c r="Y159" s="387">
        <f t="shared" si="58"/>
        <v>43.658385576965522</v>
      </c>
      <c r="Z159" s="387">
        <f t="shared" si="59"/>
        <v>44.715433632643048</v>
      </c>
      <c r="AA159" s="388">
        <f t="shared" si="60"/>
        <v>51.844762055066411</v>
      </c>
      <c r="AB159" s="199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0.13751299340232317</v>
      </c>
      <c r="AD159" s="233">
        <f>(INDEX(Models!$BJ159:$BT159,,AH159)*(1-AF159)+INDEX(Models!$BJ159:$BT159,,AH159+1)*AF159-ERP_i)*AE159*Ramure*Pc/MaxiM</f>
        <v>3.5903033357503682E-4</v>
      </c>
      <c r="AE159" s="307">
        <f t="shared" si="62"/>
        <v>1</v>
      </c>
      <c r="AF159" s="179">
        <f t="shared" si="63"/>
        <v>0.53811837130804707</v>
      </c>
      <c r="AG159" s="837">
        <f t="shared" si="71"/>
        <v>-1</v>
      </c>
      <c r="AH159" s="178">
        <f t="shared" si="64"/>
        <v>5</v>
      </c>
      <c r="AI159" s="227">
        <f t="shared" si="65"/>
        <v>-0.46188162869195293</v>
      </c>
      <c r="AJ159" s="267" t="b">
        <f t="shared" si="66"/>
        <v>0</v>
      </c>
      <c r="AK159" s="267" t="b">
        <f t="shared" si="67"/>
        <v>0</v>
      </c>
      <c r="AL159" s="267"/>
      <c r="AM159" s="267"/>
      <c r="AN159" s="75"/>
    </row>
    <row r="160" spans="1:40" s="6" customFormat="1" ht="11.25" x14ac:dyDescent="0.2">
      <c r="A160" s="56">
        <f t="shared" si="68"/>
        <v>44342</v>
      </c>
      <c r="B160" s="618">
        <v>50.410000000000004</v>
      </c>
      <c r="C160" s="392"/>
      <c r="D160" s="395">
        <f t="shared" si="48"/>
        <v>51.631718332439078</v>
      </c>
      <c r="E160" s="387">
        <f t="shared" si="69"/>
        <v>53.947589028373024</v>
      </c>
      <c r="F160" s="387">
        <f t="shared" si="49"/>
        <v>53.961329571069562</v>
      </c>
      <c r="G160" s="110">
        <f t="shared" si="70"/>
        <v>0.83213077696281978</v>
      </c>
      <c r="H160" s="414" t="b">
        <f>Wh_hp&gt;='2020'!Maxi_hp</f>
        <v>0</v>
      </c>
      <c r="I160" s="382">
        <f>IF(H160,Wh_hp,'2020'!Maxi_hp)</f>
        <v>63.356163340026761</v>
      </c>
      <c r="J160" s="85">
        <f>IF(H160,An,'2020'!An_max)</f>
        <v>2020</v>
      </c>
      <c r="K160" s="199">
        <f t="shared" si="50"/>
        <v>44342</v>
      </c>
      <c r="L160" s="147">
        <f>IF(t&lt;Tvie,1-EXP((T0-t)*PertePVj)+'2020'!Pspv,1-EXP((T0-t)*PertePVj)+Pspv)</f>
        <v>2.3662166821039055E-2</v>
      </c>
      <c r="M160" s="870"/>
      <c r="N160" s="870"/>
      <c r="O160" s="48">
        <f>IF(t&lt;Tnet,'2020'!Resal+('2020'!Salim-'2020'!Resal)*(1-EXP(('2020'!Tnet-t)/('2020'!Tau_j))),Resal+(Salim-Resal)*(1-EXP((Tnet-t)/(Tau_j))))*Salcycl</f>
        <v>4.292815930506081E-2</v>
      </c>
      <c r="P160" s="171">
        <f>(INDEX(Models!$BJ160:$BT160,,T160)*(1-R160)+INDEX(Models!$BJ160:$BT160,,T160+1)*R160-ERP_i)*Q160*Ramure*Pc/MaxiM</f>
        <v>3.3492407391433419E-4</v>
      </c>
      <c r="Q160" s="307">
        <f t="shared" si="51"/>
        <v>1</v>
      </c>
      <c r="R160" s="179">
        <f t="shared" si="52"/>
        <v>0.54463832858521233</v>
      </c>
      <c r="S160" s="837">
        <f t="shared" si="53"/>
        <v>-1</v>
      </c>
      <c r="T160" s="178">
        <f t="shared" si="54"/>
        <v>5</v>
      </c>
      <c r="U160" s="253">
        <f t="shared" si="55"/>
        <v>-0.45536167141478767</v>
      </c>
      <c r="V160" s="385">
        <f t="shared" si="56"/>
        <v>60.574555208618861</v>
      </c>
      <c r="W160" s="404"/>
      <c r="X160" s="157">
        <f t="shared" si="57"/>
        <v>44342</v>
      </c>
      <c r="Y160" s="387">
        <f t="shared" si="58"/>
        <v>45.412622036739954</v>
      </c>
      <c r="Z160" s="387">
        <f t="shared" si="59"/>
        <v>46.513225743671356</v>
      </c>
      <c r="AA160" s="388">
        <f t="shared" si="60"/>
        <v>53.947589028373024</v>
      </c>
      <c r="AB160" s="199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0.13780714613199235</v>
      </c>
      <c r="AD160" s="233">
        <f>(INDEX(Models!$BJ160:$BT160,,AH160)*(1-AF160)+INDEX(Models!$BJ160:$BT160,,AH160+1)*AF160-ERP_i)*AE160*Ramure*Pc/MaxiM</f>
        <v>3.3492407391433419E-4</v>
      </c>
      <c r="AE160" s="307">
        <f t="shared" si="62"/>
        <v>1</v>
      </c>
      <c r="AF160" s="179">
        <f t="shared" si="63"/>
        <v>0.54463832858521233</v>
      </c>
      <c r="AG160" s="837">
        <f t="shared" si="71"/>
        <v>-1</v>
      </c>
      <c r="AH160" s="178">
        <f t="shared" si="64"/>
        <v>5</v>
      </c>
      <c r="AI160" s="227">
        <f t="shared" si="65"/>
        <v>-0.45536167141478767</v>
      </c>
      <c r="AJ160" s="267" t="b">
        <f t="shared" si="66"/>
        <v>0</v>
      </c>
      <c r="AK160" s="267" t="b">
        <f t="shared" si="67"/>
        <v>0</v>
      </c>
      <c r="AL160" s="267"/>
      <c r="AM160" s="267"/>
      <c r="AN160" s="75"/>
    </row>
    <row r="161" spans="1:40" s="6" customFormat="1" ht="11.25" x14ac:dyDescent="0.2">
      <c r="A161" s="56">
        <f t="shared" si="68"/>
        <v>44343</v>
      </c>
      <c r="B161" s="618">
        <v>58.756</v>
      </c>
      <c r="C161" s="392"/>
      <c r="D161" s="395">
        <f t="shared" si="48"/>
        <v>60.181389446379839</v>
      </c>
      <c r="E161" s="387">
        <f t="shared" si="69"/>
        <v>62.912933510180899</v>
      </c>
      <c r="F161" s="387">
        <f t="shared" si="49"/>
        <v>62.931716158042121</v>
      </c>
      <c r="G161" s="110">
        <f t="shared" si="70"/>
        <v>0.96977755583518077</v>
      </c>
      <c r="H161" s="414" t="b">
        <f>Wh_hp&gt;='2020'!Maxi_hp</f>
        <v>1</v>
      </c>
      <c r="I161" s="382">
        <f>IF(H161,Wh_hp,'2020'!Maxi_hp)</f>
        <v>62.931716158042121</v>
      </c>
      <c r="J161" s="85">
        <f>IF(H161,An,'2020'!An_max)</f>
        <v>2021</v>
      </c>
      <c r="K161" s="199">
        <f t="shared" si="50"/>
        <v>44343</v>
      </c>
      <c r="L161" s="147">
        <f>IF(t&lt;Tvie,1-EXP((T0-t)*PertePVj)+'2020'!Pspv,1-EXP((T0-t)*PertePVj)+Pspv)</f>
        <v>2.3684887628754869E-2</v>
      </c>
      <c r="M161" s="870"/>
      <c r="N161" s="870"/>
      <c r="O161" s="48">
        <f>IF(t&lt;Tnet,'2020'!Resal+('2020'!Salim-'2020'!Resal)*(1-EXP(('2020'!Tnet-t)/('2020'!Tau_j))),Resal+(Salim-Resal)*(1-EXP((Tnet-t)/(Tau_j))))*Salcycl</f>
        <v>4.3417846083413453E-2</v>
      </c>
      <c r="P161" s="171">
        <f>(INDEX(Models!$BJ161:$BT161,,T161)*(1-R161)+INDEX(Models!$BJ161:$BT161,,T161+1)*R161-ERP_i)*Q161*Ramure*Pc/MaxiM</f>
        <v>3.119221556786558E-4</v>
      </c>
      <c r="Q161" s="307">
        <f t="shared" si="51"/>
        <v>1</v>
      </c>
      <c r="R161" s="179">
        <f t="shared" si="52"/>
        <v>0.55123883493257853</v>
      </c>
      <c r="S161" s="837">
        <f t="shared" si="53"/>
        <v>-1</v>
      </c>
      <c r="T161" s="178">
        <f t="shared" si="54"/>
        <v>5</v>
      </c>
      <c r="U161" s="253">
        <f t="shared" si="55"/>
        <v>-0.44876116506742153</v>
      </c>
      <c r="V161" s="385">
        <f t="shared" si="56"/>
        <v>60.586274112651893</v>
      </c>
      <c r="W161" s="404"/>
      <c r="X161" s="157">
        <f t="shared" si="57"/>
        <v>44343</v>
      </c>
      <c r="Y161" s="387">
        <f t="shared" si="58"/>
        <v>52.940295519171229</v>
      </c>
      <c r="Z161" s="387">
        <f t="shared" si="59"/>
        <v>54.224599054491136</v>
      </c>
      <c r="AA161" s="388">
        <f t="shared" si="60"/>
        <v>62.912933510180899</v>
      </c>
      <c r="AB161" s="199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0.13810092728045772</v>
      </c>
      <c r="AD161" s="233">
        <f>(INDEX(Models!$BJ161:$BT161,,AH161)*(1-AF161)+INDEX(Models!$BJ161:$BT161,,AH161+1)*AF161-ERP_i)*AE161*Ramure*Pc/MaxiM</f>
        <v>3.119221556786558E-4</v>
      </c>
      <c r="AE161" s="307">
        <f t="shared" si="62"/>
        <v>1</v>
      </c>
      <c r="AF161" s="179">
        <f t="shared" si="63"/>
        <v>0.55123883493257853</v>
      </c>
      <c r="AG161" s="837">
        <f t="shared" si="71"/>
        <v>-1</v>
      </c>
      <c r="AH161" s="178">
        <f t="shared" si="64"/>
        <v>5</v>
      </c>
      <c r="AI161" s="227">
        <f t="shared" si="65"/>
        <v>-0.44876116506742153</v>
      </c>
      <c r="AJ161" s="267" t="b">
        <f t="shared" si="66"/>
        <v>0</v>
      </c>
      <c r="AK161" s="267" t="b">
        <f t="shared" si="67"/>
        <v>0</v>
      </c>
      <c r="AL161" s="267"/>
      <c r="AM161" s="267"/>
      <c r="AN161" s="75"/>
    </row>
    <row r="162" spans="1:40" s="6" customFormat="1" ht="11.25" x14ac:dyDescent="0.2">
      <c r="A162" s="56">
        <f t="shared" si="68"/>
        <v>44344</v>
      </c>
      <c r="B162" s="618">
        <v>40.381</v>
      </c>
      <c r="C162" s="392"/>
      <c r="D162" s="395">
        <f t="shared" si="48"/>
        <v>41.361584221157521</v>
      </c>
      <c r="E162" s="387">
        <f t="shared" si="69"/>
        <v>43.261049712711504</v>
      </c>
      <c r="F162" s="387">
        <f t="shared" si="49"/>
        <v>43.267618427564663</v>
      </c>
      <c r="G162" s="110">
        <f t="shared" si="70"/>
        <v>0.66631993783333709</v>
      </c>
      <c r="H162" s="414" t="b">
        <f>Wh_hp&gt;='2020'!Maxi_hp</f>
        <v>0</v>
      </c>
      <c r="I162" s="382">
        <f>IF(H162,Wh_hp,'2020'!Maxi_hp)</f>
        <v>62.080985179253567</v>
      </c>
      <c r="J162" s="85">
        <f>IF(H162,An,'2020'!An_max)</f>
        <v>2020</v>
      </c>
      <c r="K162" s="199">
        <f t="shared" si="50"/>
        <v>44344</v>
      </c>
      <c r="L162" s="147">
        <f>IF(t&lt;Tvie,1-EXP((T0-t)*PertePVj)+'2020'!Pspv,1-EXP((T0-t)*PertePVj)+Pspv)</f>
        <v>2.3707607907724304E-2</v>
      </c>
      <c r="M162" s="870"/>
      <c r="N162" s="870"/>
      <c r="O162" s="48">
        <f>IF(t&lt;Tnet,'2020'!Resal+('2020'!Salim-'2020'!Resal)*(1-EXP(('2020'!Tnet-t)/('2020'!Tau_j))),Resal+(Salim-Resal)*(1-EXP((Tnet-t)/(Tau_j))))*Salcycl</f>
        <v>4.3907059679965714E-2</v>
      </c>
      <c r="P162" s="171">
        <f>(INDEX(Models!$BJ162:$BT162,,T162)*(1-R162)+INDEX(Models!$BJ162:$BT162,,T162+1)*R162-ERP_i)*Q162*Ramure*Pc/MaxiM</f>
        <v>2.9003185375747693E-4</v>
      </c>
      <c r="Q162" s="307">
        <f t="shared" si="51"/>
        <v>1</v>
      </c>
      <c r="R162" s="179">
        <f t="shared" si="52"/>
        <v>0.5579157182667378</v>
      </c>
      <c r="S162" s="837">
        <f t="shared" si="53"/>
        <v>-1</v>
      </c>
      <c r="T162" s="178">
        <f t="shared" si="54"/>
        <v>5</v>
      </c>
      <c r="U162" s="253">
        <f t="shared" si="55"/>
        <v>-0.4420842817332622</v>
      </c>
      <c r="V162" s="385">
        <f t="shared" si="56"/>
        <v>60.594641648665402</v>
      </c>
      <c r="W162" s="404"/>
      <c r="X162" s="157">
        <f t="shared" si="57"/>
        <v>44344</v>
      </c>
      <c r="Y162" s="387">
        <f t="shared" si="58"/>
        <v>36.390298599896539</v>
      </c>
      <c r="Z162" s="387">
        <f t="shared" si="59"/>
        <v>37.273975393692361</v>
      </c>
      <c r="AA162" s="388">
        <f t="shared" si="60"/>
        <v>43.261049712711504</v>
      </c>
      <c r="AB162" s="199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0.13839410644859945</v>
      </c>
      <c r="AD162" s="233">
        <f>(INDEX(Models!$BJ162:$BT162,,AH162)*(1-AF162)+INDEX(Models!$BJ162:$BT162,,AH162+1)*AF162-ERP_i)*AE162*Ramure*Pc/MaxiM</f>
        <v>2.9003185375747693E-4</v>
      </c>
      <c r="AE162" s="307">
        <f t="shared" si="62"/>
        <v>1</v>
      </c>
      <c r="AF162" s="179">
        <f t="shared" si="63"/>
        <v>0.5579157182667378</v>
      </c>
      <c r="AG162" s="837">
        <f t="shared" si="71"/>
        <v>-1</v>
      </c>
      <c r="AH162" s="178">
        <f t="shared" si="64"/>
        <v>5</v>
      </c>
      <c r="AI162" s="227">
        <f t="shared" si="65"/>
        <v>-0.4420842817332622</v>
      </c>
      <c r="AJ162" s="267" t="b">
        <f t="shared" si="66"/>
        <v>0</v>
      </c>
      <c r="AK162" s="267" t="b">
        <f t="shared" si="67"/>
        <v>0</v>
      </c>
      <c r="AL162" s="267"/>
      <c r="AM162" s="267"/>
      <c r="AN162" s="75"/>
    </row>
    <row r="163" spans="1:40" s="6" customFormat="1" ht="11.25" x14ac:dyDescent="0.2">
      <c r="A163" s="56">
        <f t="shared" si="68"/>
        <v>44345</v>
      </c>
      <c r="B163" s="618">
        <v>38.247999999999998</v>
      </c>
      <c r="C163" s="392"/>
      <c r="D163" s="395">
        <f t="shared" si="48"/>
        <v>39.177699649569412</v>
      </c>
      <c r="E163" s="387">
        <f t="shared" si="69"/>
        <v>40.997827747817645</v>
      </c>
      <c r="F163" s="387">
        <f t="shared" si="49"/>
        <v>41.003051113492091</v>
      </c>
      <c r="G163" s="110">
        <f t="shared" si="70"/>
        <v>0.63107872321496195</v>
      </c>
      <c r="H163" s="414" t="b">
        <f>Wh_hp&gt;='2020'!Maxi_hp</f>
        <v>0</v>
      </c>
      <c r="I163" s="382">
        <f>IF(H163,Wh_hp,'2020'!Maxi_hp)</f>
        <v>62.640246021414882</v>
      </c>
      <c r="J163" s="85">
        <f>IF(H163,An,'2020'!An_max)</f>
        <v>2020</v>
      </c>
      <c r="K163" s="199">
        <f t="shared" si="50"/>
        <v>44345</v>
      </c>
      <c r="L163" s="147">
        <f>IF(t&lt;Tvie,1-EXP((T0-t)*PertePVj)+'2020'!Pspv,1-EXP((T0-t)*PertePVj)+Pspv)</f>
        <v>2.3730327657959682E-2</v>
      </c>
      <c r="M163" s="870"/>
      <c r="N163" s="870"/>
      <c r="O163" s="48">
        <f>IF(t&lt;Tnet,'2020'!Resal+('2020'!Salim-'2020'!Resal)*(1-EXP(('2020'!Tnet-t)/('2020'!Tau_j))),Resal+(Salim-Resal)*(1-EXP((Tnet-t)/(Tau_j))))*Salcycl</f>
        <v>4.439572041338511E-2</v>
      </c>
      <c r="P163" s="171">
        <f>(INDEX(Models!$BJ163:$BT163,,T163)*(1-R163)+INDEX(Models!$BJ163:$BT163,,T163+1)*R163-ERP_i)*Q163*Ramure*Pc/MaxiM</f>
        <v>2.6926726518391932E-4</v>
      </c>
      <c r="Q163" s="307">
        <f t="shared" si="51"/>
        <v>1</v>
      </c>
      <c r="R163" s="179">
        <f t="shared" si="52"/>
        <v>0.56466457903044853</v>
      </c>
      <c r="S163" s="837">
        <f t="shared" si="53"/>
        <v>-1</v>
      </c>
      <c r="T163" s="178">
        <f t="shared" si="54"/>
        <v>5</v>
      </c>
      <c r="U163" s="253">
        <f t="shared" si="55"/>
        <v>-0.43533542096955141</v>
      </c>
      <c r="V163" s="385">
        <f t="shared" si="56"/>
        <v>60.598735733052713</v>
      </c>
      <c r="W163" s="404"/>
      <c r="X163" s="157">
        <f t="shared" si="57"/>
        <v>44345</v>
      </c>
      <c r="Y163" s="387">
        <f t="shared" si="58"/>
        <v>34.474019534702663</v>
      </c>
      <c r="Z163" s="387">
        <f t="shared" si="59"/>
        <v>35.311984497070952</v>
      </c>
      <c r="AA163" s="388">
        <f t="shared" si="60"/>
        <v>40.997827747817645</v>
      </c>
      <c r="AB163" s="199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0.13868645152911446</v>
      </c>
      <c r="AD163" s="233">
        <f>(INDEX(Models!$BJ163:$BT163,,AH163)*(1-AF163)+INDEX(Models!$BJ163:$BT163,,AH163+1)*AF163-ERP_i)*AE163*Ramure*Pc/MaxiM</f>
        <v>2.6926726518391932E-4</v>
      </c>
      <c r="AE163" s="307">
        <f t="shared" si="62"/>
        <v>1</v>
      </c>
      <c r="AF163" s="179">
        <f t="shared" si="63"/>
        <v>0.56466457903044853</v>
      </c>
      <c r="AG163" s="837">
        <f t="shared" si="71"/>
        <v>-1</v>
      </c>
      <c r="AH163" s="178">
        <f t="shared" si="64"/>
        <v>5</v>
      </c>
      <c r="AI163" s="227">
        <f t="shared" si="65"/>
        <v>-0.43533542096955141</v>
      </c>
      <c r="AJ163" s="267" t="b">
        <f t="shared" si="66"/>
        <v>0</v>
      </c>
      <c r="AK163" s="267" t="b">
        <f t="shared" si="67"/>
        <v>0</v>
      </c>
      <c r="AL163" s="267"/>
      <c r="AM163" s="267"/>
      <c r="AN163" s="75"/>
    </row>
    <row r="164" spans="1:40" s="6" customFormat="1" ht="11.25" x14ac:dyDescent="0.2">
      <c r="A164" s="56">
        <f t="shared" si="68"/>
        <v>44346</v>
      </c>
      <c r="B164" s="618">
        <v>49.085999999999999</v>
      </c>
      <c r="C164" s="392"/>
      <c r="D164" s="395">
        <f t="shared" si="48"/>
        <v>50.280310574183048</v>
      </c>
      <c r="E164" s="387">
        <f t="shared" si="69"/>
        <v>52.643131503044842</v>
      </c>
      <c r="F164" s="387">
        <f t="shared" si="49"/>
        <v>52.652739856826997</v>
      </c>
      <c r="G164" s="110">
        <f t="shared" si="70"/>
        <v>0.80997812358488075</v>
      </c>
      <c r="H164" s="414" t="b">
        <f>Wh_hp&gt;='2020'!Maxi_hp</f>
        <v>0</v>
      </c>
      <c r="I164" s="382">
        <f>IF(H164,Wh_hp,'2020'!Maxi_hp)</f>
        <v>63.686724886206711</v>
      </c>
      <c r="J164" s="85">
        <f>IF(H164,An,'2020'!An_max)</f>
        <v>2019</v>
      </c>
      <c r="K164" s="199">
        <f t="shared" si="50"/>
        <v>44346</v>
      </c>
      <c r="L164" s="147">
        <f>IF(t&lt;Tvie,1-EXP((T0-t)*PertePVj)+'2020'!Pspv,1-EXP((T0-t)*PertePVj)+Pspv)</f>
        <v>2.3753046879473327E-2</v>
      </c>
      <c r="M164" s="870"/>
      <c r="N164" s="870"/>
      <c r="O164" s="48">
        <f>IF(t&lt;Tnet,'2020'!Resal+('2020'!Salim-'2020'!Resal)*(1-EXP(('2020'!Tnet-t)/('2020'!Tau_j))),Resal+(Salim-Resal)*(1-EXP((Tnet-t)/(Tau_j))))*Salcycl</f>
        <v>4.4883745730915171E-2</v>
      </c>
      <c r="P164" s="171">
        <f>(INDEX(Models!$BJ164:$BT164,,T164)*(1-R164)+INDEX(Models!$BJ164:$BT164,,T164+1)*R164-ERP_i)*Q164*Ramure*Pc/MaxiM</f>
        <v>2.5045379208751378E-4</v>
      </c>
      <c r="Q164" s="307">
        <f t="shared" si="51"/>
        <v>1</v>
      </c>
      <c r="R164" s="179">
        <f t="shared" si="52"/>
        <v>0.57148079954657116</v>
      </c>
      <c r="S164" s="837">
        <f t="shared" si="53"/>
        <v>-1</v>
      </c>
      <c r="T164" s="178">
        <f t="shared" si="54"/>
        <v>5</v>
      </c>
      <c r="U164" s="253">
        <f t="shared" si="55"/>
        <v>-0.42851920045342884</v>
      </c>
      <c r="V164" s="385">
        <f t="shared" si="56"/>
        <v>60.597516973659438</v>
      </c>
      <c r="W164" s="404"/>
      <c r="X164" s="157">
        <f t="shared" si="57"/>
        <v>44346</v>
      </c>
      <c r="Y164" s="387">
        <f t="shared" si="58"/>
        <v>44.250256427024503</v>
      </c>
      <c r="Z164" s="387">
        <f t="shared" si="59"/>
        <v>45.326908612191488</v>
      </c>
      <c r="AA164" s="388">
        <f t="shared" si="60"/>
        <v>52.643131503044842</v>
      </c>
      <c r="AB164" s="199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0.13897772951501158</v>
      </c>
      <c r="AD164" s="233">
        <f>(INDEX(Models!$BJ164:$BT164,,AH164)*(1-AF164)+INDEX(Models!$BJ164:$BT164,,AH164+1)*AF164-ERP_i)*AE164*Ramure*Pc/MaxiM</f>
        <v>2.5045379208751378E-4</v>
      </c>
      <c r="AE164" s="307">
        <f t="shared" si="62"/>
        <v>1</v>
      </c>
      <c r="AF164" s="179">
        <f t="shared" si="63"/>
        <v>0.57148079954657116</v>
      </c>
      <c r="AG164" s="837">
        <f t="shared" si="71"/>
        <v>-1</v>
      </c>
      <c r="AH164" s="178">
        <f t="shared" si="64"/>
        <v>5</v>
      </c>
      <c r="AI164" s="227">
        <f t="shared" si="65"/>
        <v>-0.42851920045342884</v>
      </c>
      <c r="AJ164" s="267" t="b">
        <f t="shared" si="66"/>
        <v>0</v>
      </c>
      <c r="AK164" s="267" t="b">
        <f t="shared" si="67"/>
        <v>0</v>
      </c>
      <c r="AL164" s="267"/>
      <c r="AM164" s="267"/>
      <c r="AN164" s="75"/>
    </row>
    <row r="165" spans="1:40" s="6" customFormat="1" ht="11.25" x14ac:dyDescent="0.2">
      <c r="A165" s="56">
        <f t="shared" si="68"/>
        <v>44347</v>
      </c>
      <c r="B165" s="618">
        <v>55.582999999999998</v>
      </c>
      <c r="C165" s="392"/>
      <c r="D165" s="395">
        <f t="shared" si="48"/>
        <v>56.936713963655691</v>
      </c>
      <c r="E165" s="387">
        <f t="shared" si="69"/>
        <v>59.642769050116641</v>
      </c>
      <c r="F165" s="387">
        <f t="shared" si="49"/>
        <v>59.655033321189798</v>
      </c>
      <c r="G165" s="110">
        <f t="shared" si="70"/>
        <v>0.91731859298943264</v>
      </c>
      <c r="H165" s="414" t="b">
        <f>Wh_hp&gt;='2020'!Maxi_hp</f>
        <v>0</v>
      </c>
      <c r="I165" s="382">
        <f>IF(H165,Wh_hp,'2020'!Maxi_hp)</f>
        <v>64.708611084195553</v>
      </c>
      <c r="J165" s="85">
        <f>IF(H165,An,'2020'!An_max)</f>
        <v>2019</v>
      </c>
      <c r="K165" s="199">
        <f t="shared" si="50"/>
        <v>44347</v>
      </c>
      <c r="L165" s="147">
        <f>IF(t&lt;Tvie,1-EXP((T0-t)*PertePVj)+'2020'!Pspv,1-EXP((T0-t)*PertePVj)+Pspv)</f>
        <v>2.3775765572277452E-2</v>
      </c>
      <c r="M165" s="870"/>
      <c r="N165" s="870"/>
      <c r="O165" s="48">
        <f>IF(t&lt;Tnet,'2020'!Resal+('2020'!Salim-'2020'!Resal)*(1-EXP(('2020'!Tnet-t)/('2020'!Tau_j))),Resal+(Salim-Resal)*(1-EXP((Tnet-t)/(Tau_j))))*Salcycl</f>
        <v>4.5371050498797312E-2</v>
      </c>
      <c r="P165" s="171">
        <f>(INDEX(Models!$BJ165:$BT165,,T165)*(1-R165)+INDEX(Models!$BJ165:$BT165,,T165+1)*R165-ERP_i)*Q165*Ramure*Pc/MaxiM</f>
        <v>2.3311250060784766E-4</v>
      </c>
      <c r="Q165" s="307">
        <f t="shared" si="51"/>
        <v>1</v>
      </c>
      <c r="R165" s="179">
        <f t="shared" si="52"/>
        <v>0.5783595547160485</v>
      </c>
      <c r="S165" s="837">
        <f t="shared" si="53"/>
        <v>-1</v>
      </c>
      <c r="T165" s="178">
        <f t="shared" si="54"/>
        <v>5</v>
      </c>
      <c r="U165" s="253">
        <f t="shared" si="55"/>
        <v>-0.4216404452839515</v>
      </c>
      <c r="V165" s="385">
        <f t="shared" si="56"/>
        <v>60.591238566337168</v>
      </c>
      <c r="W165" s="404"/>
      <c r="X165" s="157">
        <f t="shared" si="57"/>
        <v>44347</v>
      </c>
      <c r="Y165" s="387">
        <f t="shared" si="58"/>
        <v>50.115893770413017</v>
      </c>
      <c r="Z165" s="387">
        <f t="shared" si="59"/>
        <v>51.336457345572569</v>
      </c>
      <c r="AA165" s="388">
        <f t="shared" si="60"/>
        <v>59.642769050116641</v>
      </c>
      <c r="AB165" s="199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0.1392677073320395</v>
      </c>
      <c r="AD165" s="233">
        <f>(INDEX(Models!$BJ165:$BT165,,AH165)*(1-AF165)+INDEX(Models!$BJ165:$BT165,,AH165+1)*AF165-ERP_i)*AE165*Ramure*Pc/MaxiM</f>
        <v>2.3311250060784766E-4</v>
      </c>
      <c r="AE165" s="307">
        <f t="shared" si="62"/>
        <v>1</v>
      </c>
      <c r="AF165" s="179">
        <f t="shared" si="63"/>
        <v>0.5783595547160485</v>
      </c>
      <c r="AG165" s="837">
        <f t="shared" si="71"/>
        <v>-1</v>
      </c>
      <c r="AH165" s="178">
        <f t="shared" si="64"/>
        <v>5</v>
      </c>
      <c r="AI165" s="227">
        <f t="shared" si="65"/>
        <v>-0.4216404452839515</v>
      </c>
      <c r="AJ165" s="267" t="b">
        <f t="shared" si="66"/>
        <v>0</v>
      </c>
      <c r="AK165" s="267" t="b">
        <f t="shared" si="67"/>
        <v>0</v>
      </c>
      <c r="AL165" s="267"/>
      <c r="AM165" s="267"/>
      <c r="AN165" s="75"/>
    </row>
    <row r="166" spans="1:40" s="6" customFormat="1" ht="11.25" x14ac:dyDescent="0.2">
      <c r="A166" s="56">
        <f t="shared" si="68"/>
        <v>44348</v>
      </c>
      <c r="B166" s="618">
        <v>33.552</v>
      </c>
      <c r="C166" s="392"/>
      <c r="D166" s="395">
        <f t="shared" si="48"/>
        <v>34.369952761822532</v>
      </c>
      <c r="E166" s="387">
        <f t="shared" si="69"/>
        <v>36.021825320763789</v>
      </c>
      <c r="F166" s="387">
        <f t="shared" si="49"/>
        <v>36.024663451370948</v>
      </c>
      <c r="G166" s="110">
        <f t="shared" si="70"/>
        <v>0.55376832472263482</v>
      </c>
      <c r="H166" s="414" t="b">
        <f>Wh_hp&gt;='2020'!Maxi_hp</f>
        <v>0</v>
      </c>
      <c r="I166" s="382">
        <f>IF(H166,Wh_hp,'2020'!Maxi_hp)</f>
        <v>65.140726705313512</v>
      </c>
      <c r="J166" s="85">
        <f>IF(H166,An,'2020'!An_max)</f>
        <v>2019</v>
      </c>
      <c r="K166" s="199">
        <f t="shared" si="50"/>
        <v>44348</v>
      </c>
      <c r="L166" s="147">
        <f>IF(t&lt;Tvie,1-EXP((T0-t)*PertePVj)+'2020'!Pspv,1-EXP((T0-t)*PertePVj)+Pspv)</f>
        <v>2.3798483736384379E-2</v>
      </c>
      <c r="M166" s="870"/>
      <c r="N166" s="870"/>
      <c r="O166" s="48">
        <f>IF(t&lt;Tnet,'2020'!Resal+('2020'!Salim-'2020'!Resal)*(1-EXP(('2020'!Tnet-t)/('2020'!Tau_j))),Resal+(Salim-Resal)*(1-EXP((Tnet-t)/(Tau_j))))*Salcycl</f>
        <v>4.5857547312825271E-2</v>
      </c>
      <c r="P166" s="171">
        <f>(INDEX(Models!$BJ166:$BT166,,T166)*(1-R166)+INDEX(Models!$BJ166:$BT166,,T166+1)*R166-ERP_i)*Q166*Ramure*Pc/MaxiM</f>
        <v>2.1725102606794019E-4</v>
      </c>
      <c r="Q166" s="307">
        <f t="shared" si="51"/>
        <v>1</v>
      </c>
      <c r="R166" s="179">
        <f t="shared" si="52"/>
        <v>0.58529582402396385</v>
      </c>
      <c r="S166" s="837">
        <f t="shared" si="53"/>
        <v>-1</v>
      </c>
      <c r="T166" s="178">
        <f t="shared" si="54"/>
        <v>5</v>
      </c>
      <c r="U166" s="253">
        <f t="shared" si="55"/>
        <v>-0.4147041759760362</v>
      </c>
      <c r="V166" s="385">
        <f t="shared" si="56"/>
        <v>60.580123955491068</v>
      </c>
      <c r="W166" s="404"/>
      <c r="X166" s="157">
        <f t="shared" si="57"/>
        <v>44348</v>
      </c>
      <c r="Y166" s="387">
        <f t="shared" si="58"/>
        <v>30.25712972274734</v>
      </c>
      <c r="Z166" s="387">
        <f t="shared" si="59"/>
        <v>30.994757966117149</v>
      </c>
      <c r="AA166" s="388">
        <f t="shared" si="60"/>
        <v>36.021825320763789</v>
      </c>
      <c r="AB166" s="199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0.13955615269026711</v>
      </c>
      <c r="AD166" s="233">
        <f>(INDEX(Models!$BJ166:$BT166,,AH166)*(1-AF166)+INDEX(Models!$BJ166:$BT166,,AH166+1)*AF166-ERP_i)*AE166*Ramure*Pc/MaxiM</f>
        <v>2.1725102606794019E-4</v>
      </c>
      <c r="AE166" s="307">
        <f t="shared" si="62"/>
        <v>1</v>
      </c>
      <c r="AF166" s="179">
        <f t="shared" si="63"/>
        <v>0.58529582402396385</v>
      </c>
      <c r="AG166" s="837">
        <f t="shared" si="71"/>
        <v>-1</v>
      </c>
      <c r="AH166" s="178">
        <f t="shared" si="64"/>
        <v>5</v>
      </c>
      <c r="AI166" s="227">
        <f t="shared" si="65"/>
        <v>-0.4147041759760362</v>
      </c>
      <c r="AJ166" s="267" t="b">
        <f t="shared" si="66"/>
        <v>0</v>
      </c>
      <c r="AK166" s="267" t="b">
        <f t="shared" si="67"/>
        <v>0</v>
      </c>
      <c r="AL166" s="267"/>
      <c r="AM166" s="267"/>
      <c r="AN166" s="75"/>
    </row>
    <row r="167" spans="1:40" s="6" customFormat="1" ht="11.25" x14ac:dyDescent="0.2">
      <c r="A167" s="56">
        <f t="shared" si="68"/>
        <v>44349</v>
      </c>
      <c r="B167" s="618">
        <v>37.823</v>
      </c>
      <c r="C167" s="392"/>
      <c r="D167" s="395">
        <f t="shared" si="48"/>
        <v>38.745975689240517</v>
      </c>
      <c r="E167" s="387">
        <f t="shared" si="69"/>
        <v>40.62884418053001</v>
      </c>
      <c r="F167" s="387">
        <f t="shared" si="49"/>
        <v>40.632665728368302</v>
      </c>
      <c r="G167" s="110">
        <f t="shared" si="70"/>
        <v>0.62444085637726132</v>
      </c>
      <c r="H167" s="414" t="b">
        <f>Wh_hp&gt;='2020'!Maxi_hp</f>
        <v>0</v>
      </c>
      <c r="I167" s="382">
        <f>IF(H167,Wh_hp,'2020'!Maxi_hp)</f>
        <v>63.901540527508928</v>
      </c>
      <c r="J167" s="85">
        <f>IF(H167,An,'2020'!An_max)</f>
        <v>2019</v>
      </c>
      <c r="K167" s="199">
        <f t="shared" si="50"/>
        <v>44349</v>
      </c>
      <c r="L167" s="147">
        <f>IF(t&lt;Tvie,1-EXP((T0-t)*PertePVj)+'2020'!Pspv,1-EXP((T0-t)*PertePVj)+Pspv)</f>
        <v>2.3821201371806433E-2</v>
      </c>
      <c r="M167" s="870"/>
      <c r="N167" s="870"/>
      <c r="O167" s="48">
        <f>IF(t&lt;Tnet,'2020'!Resal+('2020'!Salim-'2020'!Resal)*(1-EXP(('2020'!Tnet-t)/('2020'!Tau_j))),Resal+(Salim-Resal)*(1-EXP((Tnet-t)/(Tau_j))))*Salcycl</f>
        <v>4.6343146827489544E-2</v>
      </c>
      <c r="P167" s="171">
        <f>(INDEX(Models!$BJ167:$BT167,,T167)*(1-R167)+INDEX(Models!$BJ167:$BT167,,T167+1)*R167-ERP_i)*Q167*Ramure*Pc/MaxiM</f>
        <v>2.0287826000693488E-4</v>
      </c>
      <c r="Q167" s="307">
        <f t="shared" si="51"/>
        <v>1</v>
      </c>
      <c r="R167" s="179">
        <f t="shared" si="52"/>
        <v>0.59228440480414135</v>
      </c>
      <c r="S167" s="837">
        <f t="shared" si="53"/>
        <v>-1</v>
      </c>
      <c r="T167" s="178">
        <f t="shared" si="54"/>
        <v>5</v>
      </c>
      <c r="U167" s="253">
        <f t="shared" si="55"/>
        <v>-0.40771559519585859</v>
      </c>
      <c r="V167" s="385">
        <f t="shared" si="56"/>
        <v>60.564396223904353</v>
      </c>
      <c r="W167" s="404"/>
      <c r="X167" s="157">
        <f t="shared" si="57"/>
        <v>44349</v>
      </c>
      <c r="Y167" s="387">
        <f t="shared" si="58"/>
        <v>34.114707345169563</v>
      </c>
      <c r="Z167" s="387">
        <f t="shared" si="59"/>
        <v>34.947191429592962</v>
      </c>
      <c r="AA167" s="388">
        <f t="shared" si="60"/>
        <v>40.62884418053001</v>
      </c>
      <c r="AB167" s="199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0.13984283494975192</v>
      </c>
      <c r="AD167" s="233">
        <f>(INDEX(Models!$BJ167:$BT167,,AH167)*(1-AF167)+INDEX(Models!$BJ167:$BT167,,AH167+1)*AF167-ERP_i)*AE167*Ramure*Pc/MaxiM</f>
        <v>2.0287826000693488E-4</v>
      </c>
      <c r="AE167" s="307">
        <f t="shared" si="62"/>
        <v>1</v>
      </c>
      <c r="AF167" s="179">
        <f t="shared" si="63"/>
        <v>0.59228440480414135</v>
      </c>
      <c r="AG167" s="837">
        <f t="shared" si="71"/>
        <v>-1</v>
      </c>
      <c r="AH167" s="178">
        <f t="shared" si="64"/>
        <v>5</v>
      </c>
      <c r="AI167" s="227">
        <f t="shared" si="65"/>
        <v>-0.40771559519585859</v>
      </c>
      <c r="AJ167" s="267" t="b">
        <f t="shared" si="66"/>
        <v>0</v>
      </c>
      <c r="AK167" s="267" t="b">
        <f t="shared" si="67"/>
        <v>0</v>
      </c>
      <c r="AL167" s="267"/>
      <c r="AM167" s="267"/>
      <c r="AN167" s="75"/>
    </row>
    <row r="168" spans="1:40" s="6" customFormat="1" ht="11.25" x14ac:dyDescent="0.2">
      <c r="A168" s="56">
        <f t="shared" si="68"/>
        <v>44350</v>
      </c>
      <c r="B168" s="618">
        <v>49.435000000000002</v>
      </c>
      <c r="C168" s="392"/>
      <c r="D168" s="395">
        <f t="shared" si="48"/>
        <v>50.642516023616075</v>
      </c>
      <c r="E168" s="387">
        <f t="shared" si="69"/>
        <v>53.130498138272323</v>
      </c>
      <c r="F168" s="387">
        <f t="shared" si="49"/>
        <v>53.137948009205523</v>
      </c>
      <c r="G168" s="110">
        <f t="shared" si="70"/>
        <v>0.81646918739002483</v>
      </c>
      <c r="H168" s="414" t="b">
        <f>Wh_hp&gt;='2020'!Maxi_hp</f>
        <v>0</v>
      </c>
      <c r="I168" s="382">
        <f>IF(H168,Wh_hp,'2020'!Maxi_hp)</f>
        <v>59.942123507520741</v>
      </c>
      <c r="J168" s="85">
        <f>IF(H168,An,'2020'!An_max)</f>
        <v>2020</v>
      </c>
      <c r="K168" s="199">
        <f t="shared" si="50"/>
        <v>44350</v>
      </c>
      <c r="L168" s="147">
        <f>IF(t&lt;Tvie,1-EXP((T0-t)*PertePVj)+'2020'!Pspv,1-EXP((T0-t)*PertePVj)+Pspv)</f>
        <v>2.3843918478556048E-2</v>
      </c>
      <c r="M168" s="870"/>
      <c r="N168" s="870"/>
      <c r="O168" s="48">
        <f>IF(t&lt;Tnet,'2020'!Resal+('2020'!Salim-'2020'!Resal)*(1-EXP(('2020'!Tnet-t)/('2020'!Tau_j))),Resal+(Salim-Resal)*(1-EXP((Tnet-t)/(Tau_j))))*Salcycl</f>
        <v>4.6827758101971304E-2</v>
      </c>
      <c r="P168" s="171">
        <f>(INDEX(Models!$BJ168:$BT168,,T168)*(1-R168)+INDEX(Models!$BJ168:$BT168,,T168+1)*R168-ERP_i)*Q168*Ramure*Pc/MaxiM</f>
        <v>1.9000428394267809E-4</v>
      </c>
      <c r="Q168" s="307">
        <f t="shared" si="51"/>
        <v>1</v>
      </c>
      <c r="R168" s="179">
        <f t="shared" si="52"/>
        <v>0.5993199266993221</v>
      </c>
      <c r="S168" s="837">
        <f t="shared" si="53"/>
        <v>-1</v>
      </c>
      <c r="T168" s="178">
        <f t="shared" si="54"/>
        <v>5</v>
      </c>
      <c r="U168" s="253">
        <f t="shared" si="55"/>
        <v>-0.40068007330067795</v>
      </c>
      <c r="V168" s="385">
        <f t="shared" si="56"/>
        <v>60.544278068180589</v>
      </c>
      <c r="W168" s="404"/>
      <c r="X168" s="157">
        <f t="shared" si="57"/>
        <v>44350</v>
      </c>
      <c r="Y168" s="387">
        <f t="shared" si="58"/>
        <v>44.596132665165726</v>
      </c>
      <c r="Z168" s="387">
        <f t="shared" si="59"/>
        <v>45.685452879275076</v>
      </c>
      <c r="AA168" s="388">
        <f t="shared" si="60"/>
        <v>53.130498138272323</v>
      </c>
      <c r="AB168" s="199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0.14012752599498476</v>
      </c>
      <c r="AD168" s="233">
        <f>(INDEX(Models!$BJ168:$BT168,,AH168)*(1-AF168)+INDEX(Models!$BJ168:$BT168,,AH168+1)*AF168-ERP_i)*AE168*Ramure*Pc/MaxiM</f>
        <v>1.9000428394267809E-4</v>
      </c>
      <c r="AE168" s="307">
        <f t="shared" si="62"/>
        <v>1</v>
      </c>
      <c r="AF168" s="179">
        <f t="shared" si="63"/>
        <v>0.5993199266993221</v>
      </c>
      <c r="AG168" s="837">
        <f t="shared" si="71"/>
        <v>-1</v>
      </c>
      <c r="AH168" s="178">
        <f t="shared" si="64"/>
        <v>5</v>
      </c>
      <c r="AI168" s="227">
        <f t="shared" si="65"/>
        <v>-0.40068007330067795</v>
      </c>
      <c r="AJ168" s="267" t="b">
        <f t="shared" si="66"/>
        <v>0</v>
      </c>
      <c r="AK168" s="267" t="b">
        <f t="shared" si="67"/>
        <v>0</v>
      </c>
      <c r="AL168" s="267"/>
      <c r="AM168" s="267"/>
      <c r="AN168" s="75"/>
    </row>
    <row r="169" spans="1:40" s="18" customFormat="1" ht="11.25" x14ac:dyDescent="0.2">
      <c r="A169" s="56">
        <f t="shared" si="68"/>
        <v>44351</v>
      </c>
      <c r="B169" s="618">
        <v>10.468999999999999</v>
      </c>
      <c r="C169" s="392"/>
      <c r="D169" s="395">
        <f t="shared" si="48"/>
        <v>10.724968919188125</v>
      </c>
      <c r="E169" s="387">
        <f t="shared" si="69"/>
        <v>11.257579516705041</v>
      </c>
      <c r="F169" s="387">
        <f t="shared" si="49"/>
        <v>11.257579516705041</v>
      </c>
      <c r="G169" s="110">
        <f t="shared" si="70"/>
        <v>0.17295325903690861</v>
      </c>
      <c r="H169" s="414" t="b">
        <f>Wh_hp&gt;='2020'!Maxi_hp</f>
        <v>0</v>
      </c>
      <c r="I169" s="382">
        <f>IF(H169,Wh_hp,'2020'!Maxi_hp)</f>
        <v>57.961791725127831</v>
      </c>
      <c r="J169" s="85">
        <f>IF(H169,An,'2020'!An_max)</f>
        <v>2019</v>
      </c>
      <c r="K169" s="199">
        <f t="shared" si="50"/>
        <v>44351</v>
      </c>
      <c r="L169" s="147">
        <f>IF(t&lt;Tvie,1-EXP((T0-t)*PertePVj)+'2020'!Pspv,1-EXP((T0-t)*PertePVj)+Pspv)</f>
        <v>2.3866635056645213E-2</v>
      </c>
      <c r="M169" s="870"/>
      <c r="N169" s="870"/>
      <c r="O169" s="48">
        <f>IF(t&lt;Tnet,'2020'!Resal+('2020'!Salim-'2020'!Resal)*(1-EXP(('2020'!Tnet-t)/('2020'!Tau_j))),Resal+(Salim-Resal)*(1-EXP((Tnet-t)/(Tau_j))))*Salcycl</f>
        <v>4.7311288961057588E-2</v>
      </c>
      <c r="P169" s="171">
        <f>(INDEX(Models!$BJ169:$BT169,,T169)*(1-R169)+INDEX(Models!$BJ169:$BT169,,T169+1)*R169-ERP_i)*Q169*Ramure*Pc/MaxiM</f>
        <v>1.7864030119286027E-4</v>
      </c>
      <c r="Q169" s="307">
        <f t="shared" si="51"/>
        <v>1</v>
      </c>
      <c r="R169" s="179">
        <f t="shared" si="52"/>
        <v>0.60639686724084574</v>
      </c>
      <c r="S169" s="837">
        <f t="shared" si="53"/>
        <v>-1</v>
      </c>
      <c r="T169" s="178">
        <f t="shared" si="54"/>
        <v>5</v>
      </c>
      <c r="U169" s="253">
        <f t="shared" si="55"/>
        <v>-0.39360313275915421</v>
      </c>
      <c r="V169" s="385">
        <f t="shared" si="56"/>
        <v>60.519991776813541</v>
      </c>
      <c r="W169" s="404"/>
      <c r="X169" s="157">
        <f t="shared" si="57"/>
        <v>44351</v>
      </c>
      <c r="Y169" s="387">
        <f t="shared" si="58"/>
        <v>9.4459476574865722</v>
      </c>
      <c r="Z169" s="387">
        <f t="shared" si="59"/>
        <v>9.6769027642393137</v>
      </c>
      <c r="AA169" s="388">
        <f t="shared" si="60"/>
        <v>11.257579516705041</v>
      </c>
      <c r="AB169" s="199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0.14041000111259916</v>
      </c>
      <c r="AD169" s="233">
        <f>(INDEX(Models!$BJ169:$BT169,,AH169)*(1-AF169)+INDEX(Models!$BJ169:$BT169,,AH169+1)*AF169-ERP_i)*AE169*Ramure*Pc/MaxiM</f>
        <v>1.7864030119286027E-4</v>
      </c>
      <c r="AE169" s="307">
        <f t="shared" si="62"/>
        <v>1</v>
      </c>
      <c r="AF169" s="179">
        <f t="shared" si="63"/>
        <v>0.60639686724084574</v>
      </c>
      <c r="AG169" s="837">
        <f t="shared" si="71"/>
        <v>-1</v>
      </c>
      <c r="AH169" s="178">
        <f t="shared" si="64"/>
        <v>5</v>
      </c>
      <c r="AI169" s="227">
        <f t="shared" si="65"/>
        <v>-0.39360313275915421</v>
      </c>
      <c r="AJ169" s="267" t="b">
        <f t="shared" si="66"/>
        <v>0</v>
      </c>
      <c r="AK169" s="267" t="b">
        <f t="shared" si="67"/>
        <v>0</v>
      </c>
      <c r="AL169" s="267"/>
      <c r="AM169" s="267"/>
      <c r="AN169" s="267"/>
    </row>
    <row r="170" spans="1:40" s="18" customFormat="1" ht="11.25" x14ac:dyDescent="0.2">
      <c r="A170" s="56">
        <f t="shared" si="68"/>
        <v>44352</v>
      </c>
      <c r="B170" s="618">
        <v>44.358000000000004</v>
      </c>
      <c r="C170" s="392"/>
      <c r="D170" s="395">
        <f t="shared" si="48"/>
        <v>45.443618559294052</v>
      </c>
      <c r="E170" s="387">
        <f t="shared" ref="E170:E232" si="72">Wh_pvt/(1-Psa)</f>
        <v>47.724548766136934</v>
      </c>
      <c r="F170" s="387">
        <f t="shared" si="49"/>
        <v>47.729541453271779</v>
      </c>
      <c r="G170" s="110">
        <f t="shared" ref="G170:G232" si="73">+Wh_hp/MaxiM</f>
        <v>0.73324288677391924</v>
      </c>
      <c r="H170" s="414" t="b">
        <f>Wh_hp&gt;='2020'!Maxi_hp</f>
        <v>1</v>
      </c>
      <c r="I170" s="382">
        <f>IF(H170,Wh_hp,'2020'!Maxi_hp)</f>
        <v>47.729541453271779</v>
      </c>
      <c r="J170" s="85">
        <f>IF(H170,An,'2020'!An_max)</f>
        <v>2021</v>
      </c>
      <c r="K170" s="199">
        <f t="shared" si="50"/>
        <v>44352</v>
      </c>
      <c r="L170" s="147">
        <f>IF(t&lt;Tvie,1-EXP((T0-t)*PertePVj)+'2020'!Pspv,1-EXP((T0-t)*PertePVj)+Pspv)</f>
        <v>2.3889351106086587E-2</v>
      </c>
      <c r="M170" s="870"/>
      <c r="N170" s="870"/>
      <c r="O170" s="48">
        <f>IF(t&lt;Tnet,'2020'!Resal+('2020'!Salim-'2020'!Resal)*(1-EXP(('2020'!Tnet-t)/('2020'!Tau_j))),Resal+(Salim-Resal)*(1-EXP((Tnet-t)/(Tau_j))))*Salcycl</f>
        <v>4.7793646368875058E-2</v>
      </c>
      <c r="P170" s="171">
        <f>(INDEX(Models!$BJ170:$BT170,,T170)*(1-R170)+INDEX(Models!$BJ170:$BT170,,T170+1)*R170-ERP_i)*Q170*Ramure*Pc/MaxiM</f>
        <v>1.6899208205177187E-4</v>
      </c>
      <c r="Q170" s="307">
        <f t="shared" si="51"/>
        <v>1</v>
      </c>
      <c r="R170" s="179">
        <f t="shared" si="52"/>
        <v>0.61350956845922644</v>
      </c>
      <c r="S170" s="837">
        <f t="shared" si="53"/>
        <v>-1</v>
      </c>
      <c r="T170" s="178">
        <f t="shared" si="54"/>
        <v>5</v>
      </c>
      <c r="U170" s="253">
        <f t="shared" si="55"/>
        <v>-0.3864904315407735</v>
      </c>
      <c r="V170" s="385">
        <f t="shared" si="56"/>
        <v>60.491747498527296</v>
      </c>
      <c r="W170" s="404"/>
      <c r="X170" s="157">
        <f t="shared" si="57"/>
        <v>44352</v>
      </c>
      <c r="Y170" s="387">
        <f t="shared" si="58"/>
        <v>40.030473506334431</v>
      </c>
      <c r="Z170" s="387">
        <f t="shared" si="59"/>
        <v>41.010180097610082</v>
      </c>
      <c r="AA170" s="388">
        <f t="shared" si="60"/>
        <v>47.724548766136934</v>
      </c>
      <c r="AB170" s="199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0.14069003986667442</v>
      </c>
      <c r="AD170" s="233">
        <f>(INDEX(Models!$BJ170:$BT170,,AH170)*(1-AF170)+INDEX(Models!$BJ170:$BT170,,AH170+1)*AF170-ERP_i)*AE170*Ramure*Pc/MaxiM</f>
        <v>1.6899208205177187E-4</v>
      </c>
      <c r="AE170" s="307">
        <f t="shared" si="62"/>
        <v>1</v>
      </c>
      <c r="AF170" s="179">
        <f t="shared" si="63"/>
        <v>0.61350956845922644</v>
      </c>
      <c r="AG170" s="837">
        <f t="shared" si="71"/>
        <v>-1</v>
      </c>
      <c r="AH170" s="178">
        <f t="shared" si="64"/>
        <v>5</v>
      </c>
      <c r="AI170" s="227">
        <f t="shared" si="65"/>
        <v>-0.3864904315407735</v>
      </c>
      <c r="AJ170" s="267" t="b">
        <f t="shared" si="66"/>
        <v>0</v>
      </c>
      <c r="AK170" s="267" t="b">
        <f t="shared" si="67"/>
        <v>0</v>
      </c>
      <c r="AL170" s="267"/>
      <c r="AM170" s="267"/>
      <c r="AN170" s="267"/>
    </row>
    <row r="171" spans="1:40" s="6" customFormat="1" ht="11.25" x14ac:dyDescent="0.2">
      <c r="A171" s="56">
        <f t="shared" si="68"/>
        <v>44353</v>
      </c>
      <c r="B171" s="618">
        <v>45.085000000000001</v>
      </c>
      <c r="C171" s="392"/>
      <c r="D171" s="395">
        <f t="shared" si="48"/>
        <v>46.18948606832776</v>
      </c>
      <c r="E171" s="387">
        <f t="shared" si="72"/>
        <v>48.53237363234836</v>
      </c>
      <c r="F171" s="387">
        <f t="shared" si="49"/>
        <v>48.537326971165704</v>
      </c>
      <c r="G171" s="110">
        <f t="shared" si="73"/>
        <v>0.74565849784160465</v>
      </c>
      <c r="H171" s="414" t="b">
        <f>Wh_hp&gt;='2020'!Maxi_hp</f>
        <v>0</v>
      </c>
      <c r="I171" s="382">
        <f>IF(H171,Wh_hp,'2020'!Maxi_hp)</f>
        <v>63.713317790939129</v>
      </c>
      <c r="J171" s="85">
        <f>IF(H171,An,'2020'!An_max)</f>
        <v>2019</v>
      </c>
      <c r="K171" s="199">
        <f t="shared" si="50"/>
        <v>44353</v>
      </c>
      <c r="L171" s="147">
        <f>IF(t&lt;Tvie,1-EXP((T0-t)*PertePVj)+'2020'!Pspv,1-EXP((T0-t)*PertePVj)+Pspv)</f>
        <v>2.3912066626892159E-2</v>
      </c>
      <c r="M171" s="870"/>
      <c r="N171" s="870"/>
      <c r="O171" s="48">
        <f>IF(t&lt;Tnet,'2020'!Resal+('2020'!Salim-'2020'!Resal)*(1-EXP(('2020'!Tnet-t)/('2020'!Tau_j))),Resal+(Salim-Resal)*(1-EXP((Tnet-t)/(Tau_j))))*Salcycl</f>
        <v>4.8274736813181438E-2</v>
      </c>
      <c r="P171" s="171">
        <f>(INDEX(Models!$BJ171:$BT171,,T171)*(1-R171)+INDEX(Models!$BJ171:$BT171,,T171+1)*R171-ERP_i)*Q171*Ramure*Pc/MaxiM</f>
        <v>1.6027866387788561E-4</v>
      </c>
      <c r="Q171" s="307">
        <f t="shared" si="51"/>
        <v>1</v>
      </c>
      <c r="R171" s="179">
        <f t="shared" si="52"/>
        <v>0.62065225442522243</v>
      </c>
      <c r="S171" s="837">
        <f t="shared" si="53"/>
        <v>-1</v>
      </c>
      <c r="T171" s="178">
        <f t="shared" si="54"/>
        <v>5</v>
      </c>
      <c r="U171" s="253">
        <f t="shared" si="55"/>
        <v>-0.37934774557477757</v>
      </c>
      <c r="V171" s="385">
        <f t="shared" si="56"/>
        <v>60.459814674434099</v>
      </c>
      <c r="W171" s="404"/>
      <c r="X171" s="157">
        <f t="shared" si="57"/>
        <v>44353</v>
      </c>
      <c r="Y171" s="387">
        <f t="shared" si="58"/>
        <v>40.693974462294008</v>
      </c>
      <c r="Z171" s="387">
        <f t="shared" si="59"/>
        <v>41.690889796850719</v>
      </c>
      <c r="AA171" s="388">
        <f t="shared" si="60"/>
        <v>48.53237363234836</v>
      </c>
      <c r="AB171" s="199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0.14096742696585471</v>
      </c>
      <c r="AD171" s="233">
        <f>(INDEX(Models!$BJ171:$BT171,,AH171)*(1-AF171)+INDEX(Models!$BJ171:$BT171,,AH171+1)*AF171-ERP_i)*AE171*Ramure*Pc/MaxiM</f>
        <v>1.6027866387788561E-4</v>
      </c>
      <c r="AE171" s="307">
        <f t="shared" si="62"/>
        <v>1</v>
      </c>
      <c r="AF171" s="179">
        <f t="shared" si="63"/>
        <v>0.62065225442522243</v>
      </c>
      <c r="AG171" s="837">
        <f t="shared" si="71"/>
        <v>-1</v>
      </c>
      <c r="AH171" s="178">
        <f t="shared" si="64"/>
        <v>5</v>
      </c>
      <c r="AI171" s="227">
        <f t="shared" si="65"/>
        <v>-0.37934774557477757</v>
      </c>
      <c r="AJ171" s="267" t="b">
        <f t="shared" si="66"/>
        <v>0</v>
      </c>
      <c r="AK171" s="267" t="b">
        <f t="shared" si="67"/>
        <v>0</v>
      </c>
      <c r="AL171" s="267"/>
      <c r="AM171" s="267"/>
      <c r="AN171" s="75"/>
    </row>
    <row r="172" spans="1:40" s="6" customFormat="1" ht="11.25" x14ac:dyDescent="0.2">
      <c r="A172" s="56">
        <f t="shared" si="68"/>
        <v>44354</v>
      </c>
      <c r="B172" s="618">
        <v>53.442999999999998</v>
      </c>
      <c r="C172" s="392"/>
      <c r="D172" s="395">
        <f t="shared" si="48"/>
        <v>54.753513385765366</v>
      </c>
      <c r="E172" s="387">
        <f t="shared" si="72"/>
        <v>57.559811288355753</v>
      </c>
      <c r="F172" s="387">
        <f t="shared" si="49"/>
        <v>57.56714176960822</v>
      </c>
      <c r="G172" s="110">
        <f t="shared" si="73"/>
        <v>0.8844381046415567</v>
      </c>
      <c r="H172" s="414" t="b">
        <f>Wh_hp&gt;='2020'!Maxi_hp</f>
        <v>1</v>
      </c>
      <c r="I172" s="382">
        <f>IF(H172,Wh_hp,'2020'!Maxi_hp)</f>
        <v>57.56714176960822</v>
      </c>
      <c r="J172" s="85">
        <f>IF(H172,An,'2020'!An_max)</f>
        <v>2021</v>
      </c>
      <c r="K172" s="199">
        <f t="shared" si="50"/>
        <v>44354</v>
      </c>
      <c r="L172" s="147">
        <f>IF(t&lt;Tvie,1-EXP((T0-t)*PertePVj)+'2020'!Pspv,1-EXP((T0-t)*PertePVj)+Pspv)</f>
        <v>2.3934781619074474E-2</v>
      </c>
      <c r="M172" s="870"/>
      <c r="N172" s="870"/>
      <c r="O172" s="48">
        <f>IF(t&lt;Tnet,'2020'!Resal+('2020'!Salim-'2020'!Resal)*(1-EXP(('2020'!Tnet-t)/('2020'!Tau_j))),Resal+(Salim-Resal)*(1-EXP((Tnet-t)/(Tau_j))))*Salcycl</f>
        <v>4.875446669781032E-2</v>
      </c>
      <c r="P172" s="171">
        <f>(INDEX(Models!$BJ172:$BT172,,T172)*(1-R172)+INDEX(Models!$BJ172:$BT172,,T172+1)*R172-ERP_i)*Q172*Ramure*Pc/MaxiM</f>
        <v>1.5251086707628839E-4</v>
      </c>
      <c r="Q172" s="307">
        <f t="shared" si="51"/>
        <v>1</v>
      </c>
      <c r="R172" s="179">
        <f t="shared" si="52"/>
        <v>0.62781904961017876</v>
      </c>
      <c r="S172" s="837">
        <f t="shared" si="53"/>
        <v>-1</v>
      </c>
      <c r="T172" s="178">
        <f t="shared" si="54"/>
        <v>5</v>
      </c>
      <c r="U172" s="253">
        <f t="shared" si="55"/>
        <v>-0.37218095038982119</v>
      </c>
      <c r="V172" s="385">
        <f t="shared" si="56"/>
        <v>60.424414361469175</v>
      </c>
      <c r="W172" s="404"/>
      <c r="X172" s="157">
        <f t="shared" si="57"/>
        <v>44354</v>
      </c>
      <c r="Y172" s="387">
        <f t="shared" si="58"/>
        <v>48.246856035452353</v>
      </c>
      <c r="Z172" s="387">
        <f t="shared" si="59"/>
        <v>49.429951120974401</v>
      </c>
      <c r="AA172" s="388">
        <f t="shared" si="60"/>
        <v>57.559811288355753</v>
      </c>
      <c r="AB172" s="199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0.14124195311644472</v>
      </c>
      <c r="AD172" s="233">
        <f>(INDEX(Models!$BJ172:$BT172,,AH172)*(1-AF172)+INDEX(Models!$BJ172:$BT172,,AH172+1)*AF172-ERP_i)*AE172*Ramure*Pc/MaxiM</f>
        <v>1.5251086707628839E-4</v>
      </c>
      <c r="AE172" s="307">
        <f t="shared" si="62"/>
        <v>1</v>
      </c>
      <c r="AF172" s="179">
        <f t="shared" si="63"/>
        <v>0.62781904961017876</v>
      </c>
      <c r="AG172" s="837">
        <f t="shared" si="71"/>
        <v>-1</v>
      </c>
      <c r="AH172" s="178">
        <f t="shared" si="64"/>
        <v>5</v>
      </c>
      <c r="AI172" s="227">
        <f t="shared" si="65"/>
        <v>-0.37218095038982119</v>
      </c>
      <c r="AJ172" s="267" t="b">
        <f t="shared" si="66"/>
        <v>0</v>
      </c>
      <c r="AK172" s="267" t="b">
        <f t="shared" si="67"/>
        <v>0</v>
      </c>
      <c r="AL172" s="267"/>
      <c r="AM172" s="267"/>
      <c r="AN172" s="75"/>
    </row>
    <row r="173" spans="1:40" s="6" customFormat="1" ht="11.25" x14ac:dyDescent="0.2">
      <c r="A173" s="56">
        <f t="shared" si="68"/>
        <v>44355</v>
      </c>
      <c r="B173" s="618">
        <v>59.395000000000003</v>
      </c>
      <c r="C173" s="392"/>
      <c r="D173" s="395">
        <f t="shared" si="48"/>
        <v>60.85288269887603</v>
      </c>
      <c r="E173" s="387">
        <f t="shared" si="72"/>
        <v>64.003973879258865</v>
      </c>
      <c r="F173" s="387">
        <f t="shared" si="49"/>
        <v>64.013081985000142</v>
      </c>
      <c r="G173" s="110">
        <f t="shared" si="73"/>
        <v>0.98358934524307962</v>
      </c>
      <c r="H173" s="414" t="b">
        <f>Wh_hp&gt;='2020'!Maxi_hp</f>
        <v>0</v>
      </c>
      <c r="I173" s="382">
        <f>IF(H173,Wh_hp,'2020'!Maxi_hp)</f>
        <v>66.080309605009333</v>
      </c>
      <c r="J173" s="85">
        <f>IF(H173,An,'2020'!An_max)</f>
        <v>2019</v>
      </c>
      <c r="K173" s="199">
        <f t="shared" si="50"/>
        <v>44355</v>
      </c>
      <c r="L173" s="147">
        <f>IF(t&lt;Tvie,1-EXP((T0-t)*PertePVj)+'2020'!Pspv,1-EXP((T0-t)*PertePVj)+Pspv)</f>
        <v>2.3957496082645746E-2</v>
      </c>
      <c r="M173" s="870"/>
      <c r="N173" s="870"/>
      <c r="O173" s="48">
        <f>IF(t&lt;Tnet,'2020'!Resal+('2020'!Salim-'2020'!Resal)*(1-EXP(('2020'!Tnet-t)/('2020'!Tau_j))),Resal+(Salim-Resal)*(1-EXP((Tnet-t)/(Tau_j))))*Salcycl</f>
        <v>4.9232742740743705E-2</v>
      </c>
      <c r="P173" s="171">
        <f>(INDEX(Models!$BJ173:$BT173,,T173)*(1-R173)+INDEX(Models!$BJ173:$BT173,,T173+1)*R173-ERP_i)*Q173*Ramure*Pc/MaxiM</f>
        <v>1.4570013270450983E-4</v>
      </c>
      <c r="Q173" s="307">
        <f t="shared" si="51"/>
        <v>1</v>
      </c>
      <c r="R173" s="179">
        <f t="shared" si="52"/>
        <v>0.63500399794475193</v>
      </c>
      <c r="S173" s="837">
        <f t="shared" si="53"/>
        <v>-1</v>
      </c>
      <c r="T173" s="178">
        <f t="shared" si="54"/>
        <v>5</v>
      </c>
      <c r="U173" s="253">
        <f t="shared" si="55"/>
        <v>-0.36499600205524807</v>
      </c>
      <c r="V173" s="385">
        <f t="shared" si="56"/>
        <v>60.385767109652129</v>
      </c>
      <c r="W173" s="404"/>
      <c r="X173" s="157">
        <f t="shared" si="57"/>
        <v>44355</v>
      </c>
      <c r="Y173" s="387">
        <f t="shared" si="58"/>
        <v>53.630171081239183</v>
      </c>
      <c r="Z173" s="387">
        <f t="shared" si="59"/>
        <v>54.946552907269989</v>
      </c>
      <c r="AA173" s="388">
        <f t="shared" si="60"/>
        <v>64.003973879258865</v>
      </c>
      <c r="AB173" s="199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0.14151341585563681</v>
      </c>
      <c r="AD173" s="233">
        <f>(INDEX(Models!$BJ173:$BT173,,AH173)*(1-AF173)+INDEX(Models!$BJ173:$BT173,,AH173+1)*AF173-ERP_i)*AE173*Ramure*Pc/MaxiM</f>
        <v>1.4570013270450983E-4</v>
      </c>
      <c r="AE173" s="307">
        <f t="shared" si="62"/>
        <v>1</v>
      </c>
      <c r="AF173" s="179">
        <f t="shared" si="63"/>
        <v>0.63500399794475193</v>
      </c>
      <c r="AG173" s="837">
        <f t="shared" si="71"/>
        <v>-1</v>
      </c>
      <c r="AH173" s="178">
        <f t="shared" si="64"/>
        <v>5</v>
      </c>
      <c r="AI173" s="227">
        <f t="shared" si="65"/>
        <v>-0.36499600205524807</v>
      </c>
      <c r="AJ173" s="267" t="b">
        <f t="shared" si="66"/>
        <v>0</v>
      </c>
      <c r="AK173" s="267" t="b">
        <f t="shared" si="67"/>
        <v>0</v>
      </c>
      <c r="AL173" s="267"/>
      <c r="AM173" s="267"/>
      <c r="AN173" s="75"/>
    </row>
    <row r="174" spans="1:40" s="6" customFormat="1" ht="11.25" x14ac:dyDescent="0.2">
      <c r="A174" s="56">
        <f t="shared" si="68"/>
        <v>44356</v>
      </c>
      <c r="B174" s="618">
        <v>55.822000000000003</v>
      </c>
      <c r="C174" s="392"/>
      <c r="D174" s="395">
        <f t="shared" si="48"/>
        <v>57.193512439955391</v>
      </c>
      <c r="E174" s="387">
        <f t="shared" si="72"/>
        <v>60.185291526483475</v>
      </c>
      <c r="F174" s="387">
        <f t="shared" si="49"/>
        <v>60.192808761372696</v>
      </c>
      <c r="G174" s="110">
        <f t="shared" si="73"/>
        <v>0.92504769525569375</v>
      </c>
      <c r="H174" s="414" t="b">
        <f>Wh_hp&gt;='2020'!Maxi_hp</f>
        <v>1</v>
      </c>
      <c r="I174" s="382">
        <f>IF(H174,Wh_hp,'2020'!Maxi_hp)</f>
        <v>60.192808761372696</v>
      </c>
      <c r="J174" s="85">
        <f>IF(H174,An,'2020'!An_max)</f>
        <v>2021</v>
      </c>
      <c r="K174" s="199">
        <f t="shared" si="50"/>
        <v>44356</v>
      </c>
      <c r="L174" s="147">
        <f>IF(t&lt;Tvie,1-EXP((T0-t)*PertePVj)+'2020'!Pspv,1-EXP((T0-t)*PertePVj)+Pspv)</f>
        <v>2.3980210017618186E-2</v>
      </c>
      <c r="M174" s="870"/>
      <c r="N174" s="870"/>
      <c r="O174" s="48">
        <f>IF(t&lt;Tnet,'2020'!Resal+('2020'!Salim-'2020'!Resal)*(1-EXP(('2020'!Tnet-t)/('2020'!Tau_j))),Resal+(Salim-Resal)*(1-EXP((Tnet-t)/(Tau_j))))*Salcycl</f>
        <v>4.9709472375183292E-2</v>
      </c>
      <c r="P174" s="171">
        <f>(INDEX(Models!$BJ174:$BT174,,T174)*(1-R174)+INDEX(Models!$BJ174:$BT174,,T174+1)*R174-ERP_i)*Q174*Ramure*Pc/MaxiM</f>
        <v>1.3985846866816965E-4</v>
      </c>
      <c r="Q174" s="307">
        <f t="shared" si="51"/>
        <v>1</v>
      </c>
      <c r="R174" s="179">
        <f t="shared" si="52"/>
        <v>0.64220108244678009</v>
      </c>
      <c r="S174" s="837">
        <f t="shared" si="53"/>
        <v>-1</v>
      </c>
      <c r="T174" s="178">
        <f t="shared" si="54"/>
        <v>5</v>
      </c>
      <c r="U174" s="253">
        <f t="shared" si="55"/>
        <v>-0.35779891755321985</v>
      </c>
      <c r="V174" s="385">
        <f t="shared" si="56"/>
        <v>60.344092942270578</v>
      </c>
      <c r="W174" s="404"/>
      <c r="X174" s="157">
        <f t="shared" si="57"/>
        <v>44356</v>
      </c>
      <c r="Y174" s="387">
        <f t="shared" si="58"/>
        <v>50.413494605757535</v>
      </c>
      <c r="Z174" s="387">
        <f t="shared" si="59"/>
        <v>51.652123372075842</v>
      </c>
      <c r="AA174" s="388">
        <f t="shared" si="60"/>
        <v>60.185291526483475</v>
      </c>
      <c r="AB174" s="199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0.14178162035906669</v>
      </c>
      <c r="AD174" s="233">
        <f>(INDEX(Models!$BJ174:$BT174,,AH174)*(1-AF174)+INDEX(Models!$BJ174:$BT174,,AH174+1)*AF174-ERP_i)*AE174*Ramure*Pc/MaxiM</f>
        <v>1.3985846866816965E-4</v>
      </c>
      <c r="AE174" s="307">
        <f t="shared" si="62"/>
        <v>1</v>
      </c>
      <c r="AF174" s="179">
        <f t="shared" si="63"/>
        <v>0.64220108244678009</v>
      </c>
      <c r="AG174" s="837">
        <f t="shared" si="71"/>
        <v>-1</v>
      </c>
      <c r="AH174" s="178">
        <f t="shared" si="64"/>
        <v>5</v>
      </c>
      <c r="AI174" s="227">
        <f t="shared" si="65"/>
        <v>-0.35779891755321985</v>
      </c>
      <c r="AJ174" s="267" t="b">
        <f t="shared" si="66"/>
        <v>0</v>
      </c>
      <c r="AK174" s="267" t="b">
        <f t="shared" si="67"/>
        <v>0</v>
      </c>
      <c r="AL174" s="267"/>
      <c r="AM174" s="267"/>
      <c r="AN174" s="75"/>
    </row>
    <row r="175" spans="1:40" s="6" customFormat="1" ht="11.25" x14ac:dyDescent="0.2">
      <c r="A175" s="56">
        <f t="shared" si="68"/>
        <v>44357</v>
      </c>
      <c r="B175" s="618">
        <v>56.725000000000001</v>
      </c>
      <c r="C175" s="392"/>
      <c r="D175" s="395">
        <f t="shared" si="48"/>
        <v>58.1200511368367</v>
      </c>
      <c r="E175" s="387">
        <f t="shared" si="72"/>
        <v>61.190889243530009</v>
      </c>
      <c r="F175" s="387">
        <f t="shared" si="49"/>
        <v>61.198451279006086</v>
      </c>
      <c r="G175" s="110">
        <f t="shared" si="73"/>
        <v>0.94070840850768811</v>
      </c>
      <c r="H175" s="414" t="b">
        <f>Wh_hp&gt;='2020'!Maxi_hp</f>
        <v>1</v>
      </c>
      <c r="I175" s="382">
        <f>IF(H175,Wh_hp,'2020'!Maxi_hp)</f>
        <v>61.198451279006086</v>
      </c>
      <c r="J175" s="85">
        <f>IF(H175,An,'2020'!An_max)</f>
        <v>2021</v>
      </c>
      <c r="K175" s="199">
        <f t="shared" si="50"/>
        <v>44357</v>
      </c>
      <c r="L175" s="147">
        <f>IF(t&lt;Tvie,1-EXP((T0-t)*PertePVj)+'2020'!Pspv,1-EXP((T0-t)*PertePVj)+Pspv)</f>
        <v>2.400292342400423E-2</v>
      </c>
      <c r="M175" s="870"/>
      <c r="N175" s="870"/>
      <c r="O175" s="48">
        <f>IF(t&lt;Tnet,'2020'!Resal+('2020'!Salim-'2020'!Resal)*(1-EXP(('2020'!Tnet-t)/('2020'!Tau_j))),Resal+(Salim-Resal)*(1-EXP((Tnet-t)/(Tau_j))))*Salcycl</f>
        <v>5.0184564150912415E-2</v>
      </c>
      <c r="P175" s="171">
        <f>(INDEX(Models!$BJ175:$BT175,,T175)*(1-R175)+INDEX(Models!$BJ175:$BT175,,T175+1)*R175-ERP_i)*Q175*Ramure*Pc/MaxiM</f>
        <v>1.3499839469526483E-4</v>
      </c>
      <c r="Q175" s="307">
        <f t="shared" si="51"/>
        <v>1</v>
      </c>
      <c r="R175" s="179">
        <f t="shared" si="52"/>
        <v>0.6494042452821962</v>
      </c>
      <c r="S175" s="837">
        <f t="shared" si="53"/>
        <v>-1</v>
      </c>
      <c r="T175" s="178">
        <f t="shared" si="54"/>
        <v>5</v>
      </c>
      <c r="U175" s="253">
        <f t="shared" si="55"/>
        <v>-0.35059575471780374</v>
      </c>
      <c r="V175" s="385">
        <f t="shared" si="56"/>
        <v>60.299611327808911</v>
      </c>
      <c r="W175" s="404"/>
      <c r="X175" s="157">
        <f t="shared" si="57"/>
        <v>44357</v>
      </c>
      <c r="Y175" s="387">
        <f t="shared" si="58"/>
        <v>51.238816769370423</v>
      </c>
      <c r="Z175" s="387">
        <f t="shared" si="59"/>
        <v>52.498944924227679</v>
      </c>
      <c r="AA175" s="388">
        <f t="shared" si="60"/>
        <v>61.190889243530009</v>
      </c>
      <c r="AB175" s="199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0.14204638021699231</v>
      </c>
      <c r="AD175" s="233">
        <f>(INDEX(Models!$BJ175:$BT175,,AH175)*(1-AF175)+INDEX(Models!$BJ175:$BT175,,AH175+1)*AF175-ERP_i)*AE175*Ramure*Pc/MaxiM</f>
        <v>1.3499839469526483E-4</v>
      </c>
      <c r="AE175" s="307">
        <f t="shared" si="62"/>
        <v>1</v>
      </c>
      <c r="AF175" s="179">
        <f t="shared" si="63"/>
        <v>0.6494042452821962</v>
      </c>
      <c r="AG175" s="837">
        <f t="shared" si="71"/>
        <v>-1</v>
      </c>
      <c r="AH175" s="178">
        <f t="shared" si="64"/>
        <v>5</v>
      </c>
      <c r="AI175" s="227">
        <f t="shared" si="65"/>
        <v>-0.35059575471780374</v>
      </c>
      <c r="AJ175" s="267" t="b">
        <f t="shared" si="66"/>
        <v>0</v>
      </c>
      <c r="AK175" s="267" t="b">
        <f t="shared" si="67"/>
        <v>0</v>
      </c>
      <c r="AL175" s="267"/>
      <c r="AM175" s="267"/>
      <c r="AN175" s="75"/>
    </row>
    <row r="176" spans="1:40" s="6" customFormat="1" ht="11.25" x14ac:dyDescent="0.2">
      <c r="A176" s="56">
        <f t="shared" si="68"/>
        <v>44358</v>
      </c>
      <c r="B176" s="618">
        <v>44.243000000000002</v>
      </c>
      <c r="C176" s="392"/>
      <c r="D176" s="395">
        <f t="shared" si="48"/>
        <v>45.332133348619358</v>
      </c>
      <c r="E176" s="387">
        <f t="shared" si="72"/>
        <v>47.751105415013157</v>
      </c>
      <c r="F176" s="387">
        <f t="shared" si="49"/>
        <v>47.754990628206258</v>
      </c>
      <c r="G176" s="110">
        <f t="shared" si="73"/>
        <v>0.73425612833318432</v>
      </c>
      <c r="H176" s="414" t="b">
        <f>Wh_hp&gt;='2020'!Maxi_hp</f>
        <v>0</v>
      </c>
      <c r="I176" s="382">
        <f>IF(H176,Wh_hp,'2020'!Maxi_hp)</f>
        <v>48.561381520875166</v>
      </c>
      <c r="J176" s="85">
        <f>IF(H176,An,'2020'!An_max)</f>
        <v>2020</v>
      </c>
      <c r="K176" s="199">
        <f t="shared" si="50"/>
        <v>44358</v>
      </c>
      <c r="L176" s="147">
        <f>IF(t&lt;Tvie,1-EXP((T0-t)*PertePVj)+'2020'!Pspv,1-EXP((T0-t)*PertePVj)+Pspv)</f>
        <v>2.4025636301816089E-2</v>
      </c>
      <c r="M176" s="870"/>
      <c r="N176" s="870"/>
      <c r="O176" s="48">
        <f>IF(t&lt;Tnet,'2020'!Resal+('2020'!Salim-'2020'!Resal)*(1-EXP(('2020'!Tnet-t)/('2020'!Tau_j))),Resal+(Salim-Resal)*(1-EXP((Tnet-t)/(Tau_j))))*Salcycl</f>
        <v>5.0657928133183358E-2</v>
      </c>
      <c r="P176" s="171">
        <f>(INDEX(Models!$BJ176:$BT176,,T176)*(1-R176)+INDEX(Models!$BJ176:$BT176,,T176+1)*R176-ERP_i)*Q176*Ramure*Pc/MaxiM</f>
        <v>1.3113288620641286E-4</v>
      </c>
      <c r="Q176" s="307">
        <f t="shared" si="51"/>
        <v>1</v>
      </c>
      <c r="R176" s="179">
        <f t="shared" si="52"/>
        <v>0.65660740811761242</v>
      </c>
      <c r="S176" s="837">
        <f t="shared" si="53"/>
        <v>-1</v>
      </c>
      <c r="T176" s="178">
        <f t="shared" si="54"/>
        <v>5</v>
      </c>
      <c r="U176" s="253">
        <f t="shared" si="55"/>
        <v>-0.34339259188238758</v>
      </c>
      <c r="V176" s="385">
        <f t="shared" si="56"/>
        <v>60.252541162127173</v>
      </c>
      <c r="W176" s="404"/>
      <c r="X176" s="157">
        <f t="shared" si="57"/>
        <v>44358</v>
      </c>
      <c r="Y176" s="387">
        <f t="shared" si="58"/>
        <v>39.971775820309055</v>
      </c>
      <c r="Z176" s="387">
        <f t="shared" si="59"/>
        <v>40.955764113359606</v>
      </c>
      <c r="AA176" s="388">
        <f t="shared" si="60"/>
        <v>47.751105415013157</v>
      </c>
      <c r="AB176" s="199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0.14230751817353865</v>
      </c>
      <c r="AD176" s="233">
        <f>(INDEX(Models!$BJ176:$BT176,,AH176)*(1-AF176)+INDEX(Models!$BJ176:$BT176,,AH176+1)*AF176-ERP_i)*AE176*Ramure*Pc/MaxiM</f>
        <v>1.3113288620641286E-4</v>
      </c>
      <c r="AE176" s="307">
        <f t="shared" si="62"/>
        <v>1</v>
      </c>
      <c r="AF176" s="179">
        <f t="shared" si="63"/>
        <v>0.65660740811761242</v>
      </c>
      <c r="AG176" s="837">
        <f t="shared" si="71"/>
        <v>-1</v>
      </c>
      <c r="AH176" s="178">
        <f t="shared" si="64"/>
        <v>5</v>
      </c>
      <c r="AI176" s="227">
        <f t="shared" si="65"/>
        <v>-0.34339259188238758</v>
      </c>
      <c r="AJ176" s="267" t="b">
        <f t="shared" si="66"/>
        <v>0</v>
      </c>
      <c r="AK176" s="267" t="b">
        <f t="shared" si="67"/>
        <v>0</v>
      </c>
      <c r="AL176" s="267"/>
      <c r="AM176" s="267"/>
      <c r="AN176" s="75"/>
    </row>
    <row r="177" spans="1:40" s="6" customFormat="1" ht="11.25" x14ac:dyDescent="0.2">
      <c r="A177" s="56">
        <f t="shared" si="68"/>
        <v>44359</v>
      </c>
      <c r="B177" s="618">
        <v>48.768000000000001</v>
      </c>
      <c r="C177" s="392"/>
      <c r="D177" s="395">
        <f t="shared" si="48"/>
        <v>49.969688490812224</v>
      </c>
      <c r="E177" s="387">
        <f t="shared" si="72"/>
        <v>52.662283464943862</v>
      </c>
      <c r="F177" s="387">
        <f t="shared" si="49"/>
        <v>52.667206388568715</v>
      </c>
      <c r="G177" s="110">
        <f t="shared" si="73"/>
        <v>0.81004289381200811</v>
      </c>
      <c r="H177" s="414" t="b">
        <f>Wh_hp&gt;='2020'!Maxi_hp</f>
        <v>0</v>
      </c>
      <c r="I177" s="382">
        <f>IF(H177,Wh_hp,'2020'!Maxi_hp)</f>
        <v>60.932539305572888</v>
      </c>
      <c r="J177" s="85">
        <f>IF(H177,An,'2020'!An_max)</f>
        <v>2019</v>
      </c>
      <c r="K177" s="199">
        <f t="shared" si="50"/>
        <v>44359</v>
      </c>
      <c r="L177" s="147">
        <f>IF(t&lt;Tvie,1-EXP((T0-t)*PertePVj)+'2020'!Pspv,1-EXP((T0-t)*PertePVj)+Pspv)</f>
        <v>2.4048348651066198E-2</v>
      </c>
      <c r="M177" s="870"/>
      <c r="N177" s="870"/>
      <c r="O177" s="48">
        <f>IF(t&lt;Tnet,'2020'!Resal+('2020'!Salim-'2020'!Resal)*(1-EXP(('2020'!Tnet-t)/('2020'!Tau_j))),Resal+(Salim-Resal)*(1-EXP((Tnet-t)/(Tau_j))))*Salcycl</f>
        <v>5.1129476296333354E-2</v>
      </c>
      <c r="P177" s="171">
        <f>(INDEX(Models!$BJ177:$BT177,,T177)*(1-R177)+INDEX(Models!$BJ177:$BT177,,T177+1)*R177-ERP_i)*Q177*Ramure*Pc/MaxiM</f>
        <v>1.2827739895171508E-4</v>
      </c>
      <c r="Q177" s="307">
        <f t="shared" si="51"/>
        <v>1</v>
      </c>
      <c r="R177" s="179">
        <f t="shared" si="52"/>
        <v>0.6638044926196407</v>
      </c>
      <c r="S177" s="837">
        <f t="shared" si="53"/>
        <v>-1</v>
      </c>
      <c r="T177" s="178">
        <f t="shared" si="54"/>
        <v>5</v>
      </c>
      <c r="U177" s="253">
        <f t="shared" si="55"/>
        <v>-0.3361955073803593</v>
      </c>
      <c r="V177" s="385">
        <f t="shared" si="56"/>
        <v>60.20212366233546</v>
      </c>
      <c r="W177" s="404"/>
      <c r="X177" s="157">
        <f t="shared" si="57"/>
        <v>44359</v>
      </c>
      <c r="Y177" s="387">
        <f t="shared" si="58"/>
        <v>44.068601068488</v>
      </c>
      <c r="Z177" s="387">
        <f t="shared" si="59"/>
        <v>45.154492036134762</v>
      </c>
      <c r="AA177" s="388">
        <f t="shared" si="60"/>
        <v>52.662283464943862</v>
      </c>
      <c r="AB177" s="199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0.14256486682365141</v>
      </c>
      <c r="AD177" s="233">
        <f>(INDEX(Models!$BJ177:$BT177,,AH177)*(1-AF177)+INDEX(Models!$BJ177:$BT177,,AH177+1)*AF177-ERP_i)*AE177*Ramure*Pc/MaxiM</f>
        <v>1.2827739895171508E-4</v>
      </c>
      <c r="AE177" s="307">
        <f t="shared" si="62"/>
        <v>1</v>
      </c>
      <c r="AF177" s="179">
        <f t="shared" si="63"/>
        <v>0.6638044926196407</v>
      </c>
      <c r="AG177" s="837">
        <f t="shared" si="71"/>
        <v>-1</v>
      </c>
      <c r="AH177" s="178">
        <f t="shared" si="64"/>
        <v>5</v>
      </c>
      <c r="AI177" s="227">
        <f t="shared" si="65"/>
        <v>-0.3361955073803593</v>
      </c>
      <c r="AJ177" s="267" t="b">
        <f t="shared" si="66"/>
        <v>0</v>
      </c>
      <c r="AK177" s="267" t="b">
        <f t="shared" si="67"/>
        <v>0</v>
      </c>
      <c r="AL177" s="267"/>
      <c r="AM177" s="267"/>
      <c r="AN177" s="75"/>
    </row>
    <row r="178" spans="1:40" s="6" customFormat="1" ht="11.25" x14ac:dyDescent="0.2">
      <c r="A178" s="56">
        <f t="shared" si="68"/>
        <v>44360</v>
      </c>
      <c r="B178" s="618">
        <v>56.935000000000002</v>
      </c>
      <c r="C178" s="392"/>
      <c r="D178" s="395">
        <f t="shared" si="48"/>
        <v>58.339288542383564</v>
      </c>
      <c r="E178" s="387">
        <f t="shared" si="72"/>
        <v>61.513322005084859</v>
      </c>
      <c r="F178" s="387">
        <f t="shared" si="49"/>
        <v>61.520511704476611</v>
      </c>
      <c r="G178" s="110">
        <f t="shared" si="73"/>
        <v>0.9465789668929836</v>
      </c>
      <c r="H178" s="414" t="b">
        <f>Wh_hp&gt;='2020'!Maxi_hp</f>
        <v>0</v>
      </c>
      <c r="I178" s="382">
        <f>IF(H178,Wh_hp,'2020'!Maxi_hp)</f>
        <v>63.578698622220735</v>
      </c>
      <c r="J178" s="85">
        <f>IF(H178,An,'2020'!An_max)</f>
        <v>2019</v>
      </c>
      <c r="K178" s="199">
        <f t="shared" si="50"/>
        <v>44360</v>
      </c>
      <c r="L178" s="147">
        <f>IF(t&lt;Tvie,1-EXP((T0-t)*PertePVj)+'2020'!Pspv,1-EXP((T0-t)*PertePVj)+Pspv)</f>
        <v>2.4071060471766659E-2</v>
      </c>
      <c r="M178" s="870"/>
      <c r="N178" s="870"/>
      <c r="O178" s="48">
        <f>IF(t&lt;Tnet,'2020'!Resal+('2020'!Salim-'2020'!Resal)*(1-EXP(('2020'!Tnet-t)/('2020'!Tau_j))),Resal+(Salim-Resal)*(1-EXP((Tnet-t)/(Tau_j))))*Salcycl</f>
        <v>5.1599122909325557E-2</v>
      </c>
      <c r="P178" s="171">
        <f>(INDEX(Models!$BJ178:$BT178,,T178)*(1-R178)+INDEX(Models!$BJ178:$BT178,,T178+1)*R178-ERP_i)*Q178*Ramure*Pc/MaxiM</f>
        <v>1.2652056474086912E-4</v>
      </c>
      <c r="Q178" s="307">
        <f t="shared" si="51"/>
        <v>1</v>
      </c>
      <c r="R178" s="179">
        <f t="shared" si="52"/>
        <v>0.67098944095421387</v>
      </c>
      <c r="S178" s="837">
        <f t="shared" si="53"/>
        <v>-1</v>
      </c>
      <c r="T178" s="178">
        <f t="shared" si="54"/>
        <v>5</v>
      </c>
      <c r="U178" s="253">
        <f t="shared" si="55"/>
        <v>-0.32901055904578619</v>
      </c>
      <c r="V178" s="385">
        <f t="shared" si="56"/>
        <v>60.14759706740503</v>
      </c>
      <c r="W178" s="404"/>
      <c r="X178" s="157">
        <f t="shared" si="57"/>
        <v>44360</v>
      </c>
      <c r="Y178" s="387">
        <f t="shared" si="58"/>
        <v>51.458874636684676</v>
      </c>
      <c r="Z178" s="387">
        <f t="shared" si="59"/>
        <v>52.72809581972232</v>
      </c>
      <c r="AA178" s="388">
        <f t="shared" si="60"/>
        <v>61.513322005084859</v>
      </c>
      <c r="AB178" s="199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0.14281826926265381</v>
      </c>
      <c r="AD178" s="233">
        <f>(INDEX(Models!$BJ178:$BT178,,AH178)*(1-AF178)+INDEX(Models!$BJ178:$BT178,,AH178+1)*AF178-ERP_i)*AE178*Ramure*Pc/MaxiM</f>
        <v>1.2652056474086912E-4</v>
      </c>
      <c r="AE178" s="307">
        <f t="shared" si="62"/>
        <v>1</v>
      </c>
      <c r="AF178" s="179">
        <f t="shared" si="63"/>
        <v>0.67098944095421387</v>
      </c>
      <c r="AG178" s="837">
        <f t="shared" si="71"/>
        <v>-1</v>
      </c>
      <c r="AH178" s="178">
        <f t="shared" si="64"/>
        <v>5</v>
      </c>
      <c r="AI178" s="227">
        <f t="shared" si="65"/>
        <v>-0.32901055904578619</v>
      </c>
      <c r="AJ178" s="267" t="b">
        <f t="shared" si="66"/>
        <v>0</v>
      </c>
      <c r="AK178" s="267" t="b">
        <f t="shared" si="67"/>
        <v>0</v>
      </c>
      <c r="AL178" s="267"/>
      <c r="AM178" s="267"/>
      <c r="AN178" s="75"/>
    </row>
    <row r="179" spans="1:40" s="6" customFormat="1" ht="11.25" x14ac:dyDescent="0.2">
      <c r="A179" s="56">
        <f t="shared" si="68"/>
        <v>44361</v>
      </c>
      <c r="B179" s="618">
        <v>50.631999999999998</v>
      </c>
      <c r="C179" s="392"/>
      <c r="D179" s="395">
        <f t="shared" si="48"/>
        <v>51.882033883026104</v>
      </c>
      <c r="E179" s="387">
        <f t="shared" si="72"/>
        <v>54.73173959636366</v>
      </c>
      <c r="F179" s="387">
        <f t="shared" si="49"/>
        <v>54.737043912408573</v>
      </c>
      <c r="G179" s="110">
        <f t="shared" si="73"/>
        <v>0.84258982700033569</v>
      </c>
      <c r="H179" s="414" t="b">
        <f>Wh_hp&gt;='2020'!Maxi_hp</f>
        <v>1</v>
      </c>
      <c r="I179" s="382">
        <f>IF(H179,Wh_hp,'2020'!Maxi_hp)</f>
        <v>54.737043912408573</v>
      </c>
      <c r="J179" s="85">
        <f>IF(H179,An,'2020'!An_max)</f>
        <v>2021</v>
      </c>
      <c r="K179" s="199">
        <f t="shared" si="50"/>
        <v>44361</v>
      </c>
      <c r="L179" s="147">
        <f>IF(t&lt;Tvie,1-EXP((T0-t)*PertePVj)+'2020'!Pspv,1-EXP((T0-t)*PertePVj)+Pspv)</f>
        <v>2.4093771763929905E-2</v>
      </c>
      <c r="M179" s="870"/>
      <c r="N179" s="870"/>
      <c r="O179" s="48">
        <f>IF(t&lt;Tnet,'2020'!Resal+('2020'!Salim-'2020'!Resal)*(1-EXP(('2020'!Tnet-t)/('2020'!Tau_j))),Resal+(Salim-Resal)*(1-EXP((Tnet-t)/(Tau_j))))*Salcycl</f>
        <v>5.2066784910430486E-2</v>
      </c>
      <c r="P179" s="171">
        <f>(INDEX(Models!$BJ179:$BT179,,T179)*(1-R179)+INDEX(Models!$BJ179:$BT179,,T179+1)*R179-ERP_i)*Q179*Ramure*Pc/MaxiM</f>
        <v>1.2501308939835633E-4</v>
      </c>
      <c r="Q179" s="307">
        <f t="shared" si="51"/>
        <v>1</v>
      </c>
      <c r="R179" s="179">
        <f t="shared" si="52"/>
        <v>0.6781562361391702</v>
      </c>
      <c r="S179" s="837">
        <f t="shared" si="53"/>
        <v>-1</v>
      </c>
      <c r="T179" s="178">
        <f t="shared" si="54"/>
        <v>5</v>
      </c>
      <c r="U179" s="253">
        <f t="shared" si="55"/>
        <v>-0.32184376386082986</v>
      </c>
      <c r="V179" s="385">
        <f t="shared" si="56"/>
        <v>60.08923332795905</v>
      </c>
      <c r="W179" s="404"/>
      <c r="X179" s="157">
        <f t="shared" si="57"/>
        <v>44361</v>
      </c>
      <c r="Y179" s="387">
        <f t="shared" si="58"/>
        <v>45.771370403304509</v>
      </c>
      <c r="Z179" s="387">
        <f t="shared" si="59"/>
        <v>46.901402080438913</v>
      </c>
      <c r="AA179" s="388">
        <f t="shared" si="60"/>
        <v>54.73173959636366</v>
      </c>
      <c r="AB179" s="199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0.1430675796835989</v>
      </c>
      <c r="AD179" s="233">
        <f>(INDEX(Models!$BJ179:$BT179,,AH179)*(1-AF179)+INDEX(Models!$BJ179:$BT179,,AH179+1)*AF179-ERP_i)*AE179*Ramure*Pc/MaxiM</f>
        <v>1.2501308939835633E-4</v>
      </c>
      <c r="AE179" s="307">
        <f t="shared" si="62"/>
        <v>1</v>
      </c>
      <c r="AF179" s="179">
        <f t="shared" si="63"/>
        <v>0.6781562361391702</v>
      </c>
      <c r="AG179" s="837">
        <f t="shared" si="71"/>
        <v>-1</v>
      </c>
      <c r="AH179" s="178">
        <f t="shared" si="64"/>
        <v>5</v>
      </c>
      <c r="AI179" s="227">
        <f t="shared" si="65"/>
        <v>-0.32184376386082986</v>
      </c>
      <c r="AJ179" s="267" t="b">
        <f t="shared" si="66"/>
        <v>0</v>
      </c>
      <c r="AK179" s="267" t="b">
        <f t="shared" si="67"/>
        <v>0</v>
      </c>
      <c r="AL179" s="267"/>
      <c r="AM179" s="267"/>
      <c r="AN179" s="75"/>
    </row>
    <row r="180" spans="1:40" s="6" customFormat="1" ht="11.25" x14ac:dyDescent="0.2">
      <c r="A180" s="56">
        <f t="shared" si="68"/>
        <v>44362</v>
      </c>
      <c r="B180" s="618">
        <v>51.433</v>
      </c>
      <c r="C180" s="392"/>
      <c r="D180" s="395">
        <f t="shared" si="48"/>
        <v>52.704035962420029</v>
      </c>
      <c r="E180" s="387">
        <f t="shared" si="72"/>
        <v>55.62621347270678</v>
      </c>
      <c r="F180" s="387">
        <f t="shared" si="49"/>
        <v>55.631690238688194</v>
      </c>
      <c r="G180" s="110">
        <f t="shared" si="73"/>
        <v>0.85680580105606508</v>
      </c>
      <c r="H180" s="414" t="b">
        <f>Wh_hp&gt;='2020'!Maxi_hp</f>
        <v>1</v>
      </c>
      <c r="I180" s="382">
        <f>IF(H180,Wh_hp,'2020'!Maxi_hp)</f>
        <v>55.631690238688194</v>
      </c>
      <c r="J180" s="85">
        <f>IF(H180,An,'2020'!An_max)</f>
        <v>2021</v>
      </c>
      <c r="K180" s="199">
        <f t="shared" si="50"/>
        <v>44362</v>
      </c>
      <c r="L180" s="147">
        <f>IF(t&lt;Tvie,1-EXP((T0-t)*PertePVj)+'2020'!Pspv,1-EXP((T0-t)*PertePVj)+Pspv)</f>
        <v>2.411648252756815E-2</v>
      </c>
      <c r="M180" s="870"/>
      <c r="N180" s="870"/>
      <c r="O180" s="48">
        <f>IF(t&lt;Tnet,'2020'!Resal+('2020'!Salim-'2020'!Resal)*(1-EXP(('2020'!Tnet-t)/('2020'!Tau_j))),Resal+(Salim-Resal)*(1-EXP((Tnet-t)/(Tau_j))))*Salcycl</f>
        <v>5.2532382268308281E-2</v>
      </c>
      <c r="P180" s="171">
        <f>(INDEX(Models!$BJ180:$BT180,,T180)*(1-R180)+INDEX(Models!$BJ180:$BT180,,T180+1)*R180-ERP_i)*Q180*Ramure*Pc/MaxiM</f>
        <v>1.2375971476494832E-4</v>
      </c>
      <c r="Q180" s="307">
        <f t="shared" si="51"/>
        <v>1</v>
      </c>
      <c r="R180" s="179">
        <f t="shared" si="52"/>
        <v>0.68529892210516619</v>
      </c>
      <c r="S180" s="837">
        <f t="shared" si="53"/>
        <v>-1</v>
      </c>
      <c r="T180" s="178">
        <f t="shared" si="54"/>
        <v>5</v>
      </c>
      <c r="U180" s="253">
        <f t="shared" si="55"/>
        <v>-0.31470107789483381</v>
      </c>
      <c r="V180" s="385">
        <f t="shared" si="56"/>
        <v>60.027252258410918</v>
      </c>
      <c r="W180" s="404"/>
      <c r="X180" s="157">
        <f t="shared" si="57"/>
        <v>44362</v>
      </c>
      <c r="Y180" s="387">
        <f t="shared" si="58"/>
        <v>46.505019202867864</v>
      </c>
      <c r="Z180" s="387">
        <f t="shared" si="59"/>
        <v>47.654272636264302</v>
      </c>
      <c r="AA180" s="388">
        <f t="shared" si="60"/>
        <v>55.62621347270678</v>
      </c>
      <c r="AB180" s="199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0.14331266391795547</v>
      </c>
      <c r="AD180" s="233">
        <f>(INDEX(Models!$BJ180:$BT180,,AH180)*(1-AF180)+INDEX(Models!$BJ180:$BT180,,AH180+1)*AF180-ERP_i)*AE180*Ramure*Pc/MaxiM</f>
        <v>1.2375971476494832E-4</v>
      </c>
      <c r="AE180" s="307">
        <f t="shared" si="62"/>
        <v>1</v>
      </c>
      <c r="AF180" s="179">
        <f t="shared" si="63"/>
        <v>0.68529892210516619</v>
      </c>
      <c r="AG180" s="837">
        <f t="shared" si="71"/>
        <v>-1</v>
      </c>
      <c r="AH180" s="178">
        <f t="shared" si="64"/>
        <v>5</v>
      </c>
      <c r="AI180" s="227">
        <f t="shared" si="65"/>
        <v>-0.31470107789483381</v>
      </c>
      <c r="AJ180" s="267" t="b">
        <f t="shared" si="66"/>
        <v>0</v>
      </c>
      <c r="AK180" s="267" t="b">
        <f t="shared" si="67"/>
        <v>0</v>
      </c>
      <c r="AL180" s="267"/>
      <c r="AM180" s="267"/>
      <c r="AN180" s="75"/>
    </row>
    <row r="181" spans="1:40" s="6" customFormat="1" ht="11.25" x14ac:dyDescent="0.2">
      <c r="A181" s="56">
        <f t="shared" si="68"/>
        <v>44363</v>
      </c>
      <c r="B181" s="618">
        <v>47.806000000000004</v>
      </c>
      <c r="C181" s="392"/>
      <c r="D181" s="395">
        <f t="shared" si="48"/>
        <v>48.988543904473786</v>
      </c>
      <c r="E181" s="387">
        <f t="shared" si="72"/>
        <v>51.730019663187505</v>
      </c>
      <c r="F181" s="387">
        <f t="shared" si="49"/>
        <v>51.734531499121822</v>
      </c>
      <c r="G181" s="110">
        <f t="shared" si="73"/>
        <v>0.79724494573297</v>
      </c>
      <c r="H181" s="414" t="b">
        <f>Wh_hp&gt;='2020'!Maxi_hp</f>
        <v>0</v>
      </c>
      <c r="I181" s="382">
        <f>IF(H181,Wh_hp,'2020'!Maxi_hp)</f>
        <v>65.146942528286331</v>
      </c>
      <c r="J181" s="85">
        <f>IF(H181,An,'2020'!An_max)</f>
        <v>2019</v>
      </c>
      <c r="K181" s="199">
        <f t="shared" si="50"/>
        <v>44363</v>
      </c>
      <c r="L181" s="147">
        <f>IF(t&lt;Tvie,1-EXP((T0-t)*PertePVj)+'2020'!Pspv,1-EXP((T0-t)*PertePVj)+Pspv)</f>
        <v>2.4139192762693829E-2</v>
      </c>
      <c r="M181" s="870"/>
      <c r="N181" s="870"/>
      <c r="O181" s="48">
        <f>IF(t&lt;Tnet,'2020'!Resal+('2020'!Salim-'2020'!Resal)*(1-EXP(('2020'!Tnet-t)/('2020'!Tau_j))),Resal+(Salim-Resal)*(1-EXP((Tnet-t)/(Tau_j))))*Salcycl</f>
        <v>5.2995838326824085E-2</v>
      </c>
      <c r="P181" s="171">
        <f>(INDEX(Models!$BJ181:$BT181,,T181)*(1-R181)+INDEX(Models!$BJ181:$BT181,,T181+1)*R181-ERP_i)*Q181*Ramure*Pc/MaxiM</f>
        <v>1.2276531479665993E-4</v>
      </c>
      <c r="Q181" s="307">
        <f t="shared" si="51"/>
        <v>1</v>
      </c>
      <c r="R181" s="179">
        <f t="shared" si="52"/>
        <v>0.69241162332354689</v>
      </c>
      <c r="S181" s="837">
        <f t="shared" si="53"/>
        <v>-1</v>
      </c>
      <c r="T181" s="178">
        <f t="shared" si="54"/>
        <v>5</v>
      </c>
      <c r="U181" s="253">
        <f t="shared" si="55"/>
        <v>-0.30758837667645317</v>
      </c>
      <c r="V181" s="385">
        <f t="shared" si="56"/>
        <v>59.961872963328716</v>
      </c>
      <c r="W181" s="404"/>
      <c r="X181" s="157">
        <f t="shared" si="57"/>
        <v>44363</v>
      </c>
      <c r="Y181" s="387">
        <f t="shared" si="58"/>
        <v>43.234536679646673</v>
      </c>
      <c r="Z181" s="387">
        <f t="shared" si="59"/>
        <v>44.303999462838412</v>
      </c>
      <c r="AA181" s="388">
        <f t="shared" si="60"/>
        <v>51.730019663187505</v>
      </c>
      <c r="AB181" s="199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0.14355339991555527</v>
      </c>
      <c r="AD181" s="233">
        <f>(INDEX(Models!$BJ181:$BT181,,AH181)*(1-AF181)+INDEX(Models!$BJ181:$BT181,,AH181+1)*AF181-ERP_i)*AE181*Ramure*Pc/MaxiM</f>
        <v>1.2276531479665993E-4</v>
      </c>
      <c r="AE181" s="307">
        <f t="shared" si="62"/>
        <v>1</v>
      </c>
      <c r="AF181" s="179">
        <f t="shared" si="63"/>
        <v>0.69241162332354689</v>
      </c>
      <c r="AG181" s="837">
        <f t="shared" si="71"/>
        <v>-1</v>
      </c>
      <c r="AH181" s="178">
        <f t="shared" si="64"/>
        <v>5</v>
      </c>
      <c r="AI181" s="227">
        <f t="shared" si="65"/>
        <v>-0.30758837667645317</v>
      </c>
      <c r="AJ181" s="267" t="b">
        <f t="shared" si="66"/>
        <v>0</v>
      </c>
      <c r="AK181" s="267" t="b">
        <f t="shared" si="67"/>
        <v>0</v>
      </c>
      <c r="AL181" s="267"/>
      <c r="AM181" s="267"/>
      <c r="AN181" s="75"/>
    </row>
    <row r="182" spans="1:40" s="6" customFormat="1" ht="11.25" x14ac:dyDescent="0.2">
      <c r="A182" s="56">
        <f t="shared" si="68"/>
        <v>44364</v>
      </c>
      <c r="B182" s="618">
        <v>15.699</v>
      </c>
      <c r="C182" s="392"/>
      <c r="D182" s="395">
        <f t="shared" si="48"/>
        <v>16.087709672050813</v>
      </c>
      <c r="E182" s="387">
        <f t="shared" si="72"/>
        <v>16.996281240239739</v>
      </c>
      <c r="F182" s="387">
        <f t="shared" si="49"/>
        <v>16.996281240239739</v>
      </c>
      <c r="G182" s="110">
        <f t="shared" si="73"/>
        <v>0.26208408202878158</v>
      </c>
      <c r="H182" s="414" t="b">
        <f>Wh_hp&gt;='2020'!Maxi_hp</f>
        <v>0</v>
      </c>
      <c r="I182" s="382">
        <f>IF(H182,Wh_hp,'2020'!Maxi_hp)</f>
        <v>64.280395132327001</v>
      </c>
      <c r="J182" s="85">
        <f>IF(H182,An,'2020'!An_max)</f>
        <v>2019</v>
      </c>
      <c r="K182" s="199">
        <f t="shared" si="50"/>
        <v>44364</v>
      </c>
      <c r="L182" s="147">
        <f>IF(t&lt;Tvie,1-EXP((T0-t)*PertePVj)+'2020'!Pspv,1-EXP((T0-t)*PertePVj)+Pspv)</f>
        <v>2.4161902469319152E-2</v>
      </c>
      <c r="M182" s="870"/>
      <c r="N182" s="870"/>
      <c r="O182" s="48">
        <f>IF(t&lt;Tnet,'2020'!Resal+('2020'!Salim-'2020'!Resal)*(1-EXP(('2020'!Tnet-t)/('2020'!Tau_j))),Resal+(Salim-Resal)*(1-EXP((Tnet-t)/(Tau_j))))*Salcycl</f>
        <v>5.3457080131024612E-2</v>
      </c>
      <c r="P182" s="171">
        <f>(INDEX(Models!$BJ182:$BT182,,T182)*(1-R182)+INDEX(Models!$BJ182:$BT182,,T182+1)*R182-ERP_i)*Q182*Ramure*Pc/MaxiM</f>
        <v>1.2203487853760092E-4</v>
      </c>
      <c r="Q182" s="307">
        <f t="shared" si="51"/>
        <v>1</v>
      </c>
      <c r="R182" s="179">
        <f t="shared" si="52"/>
        <v>0.69948856386507052</v>
      </c>
      <c r="S182" s="837">
        <f t="shared" si="53"/>
        <v>-1</v>
      </c>
      <c r="T182" s="178">
        <f t="shared" si="54"/>
        <v>5</v>
      </c>
      <c r="U182" s="253">
        <f t="shared" si="55"/>
        <v>-0.30051143613492948</v>
      </c>
      <c r="V182" s="385">
        <f t="shared" si="56"/>
        <v>59.893313828643784</v>
      </c>
      <c r="W182" s="404"/>
      <c r="X182" s="157">
        <f t="shared" si="57"/>
        <v>44364</v>
      </c>
      <c r="Y182" s="387">
        <f t="shared" si="58"/>
        <v>14.200777968340141</v>
      </c>
      <c r="Z182" s="387">
        <f t="shared" si="59"/>
        <v>14.552391430786152</v>
      </c>
      <c r="AA182" s="388">
        <f t="shared" si="60"/>
        <v>16.996281240239739</v>
      </c>
      <c r="AB182" s="199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0.14378967816015703</v>
      </c>
      <c r="AD182" s="233">
        <f>(INDEX(Models!$BJ182:$BT182,,AH182)*(1-AF182)+INDEX(Models!$BJ182:$BT182,,AH182+1)*AF182-ERP_i)*AE182*Ramure*Pc/MaxiM</f>
        <v>1.2203487853760092E-4</v>
      </c>
      <c r="AE182" s="307">
        <f t="shared" si="62"/>
        <v>1</v>
      </c>
      <c r="AF182" s="179">
        <f t="shared" si="63"/>
        <v>0.69948856386507052</v>
      </c>
      <c r="AG182" s="837">
        <f t="shared" si="71"/>
        <v>-1</v>
      </c>
      <c r="AH182" s="178">
        <f t="shared" si="64"/>
        <v>5</v>
      </c>
      <c r="AI182" s="227">
        <f t="shared" si="65"/>
        <v>-0.30051143613492948</v>
      </c>
      <c r="AJ182" s="267" t="b">
        <f t="shared" si="66"/>
        <v>0</v>
      </c>
      <c r="AK182" s="267" t="b">
        <f t="shared" si="67"/>
        <v>0</v>
      </c>
      <c r="AL182" s="267"/>
      <c r="AM182" s="267"/>
      <c r="AN182" s="75"/>
    </row>
    <row r="183" spans="1:40" s="6" customFormat="1" ht="11.25" x14ac:dyDescent="0.2">
      <c r="A183" s="56">
        <f t="shared" si="68"/>
        <v>44365</v>
      </c>
      <c r="B183" s="618">
        <v>40.069000000000003</v>
      </c>
      <c r="C183" s="392"/>
      <c r="D183" s="395">
        <f t="shared" si="48"/>
        <v>41.0620702217537</v>
      </c>
      <c r="E183" s="387">
        <f t="shared" si="72"/>
        <v>43.402141778951929</v>
      </c>
      <c r="F183" s="387">
        <f t="shared" si="49"/>
        <v>43.404929529767671</v>
      </c>
      <c r="G183" s="110">
        <f t="shared" si="73"/>
        <v>0.66976766068432536</v>
      </c>
      <c r="H183" s="414" t="b">
        <f>Wh_hp&gt;='2020'!Maxi_hp</f>
        <v>0</v>
      </c>
      <c r="I183" s="382">
        <f>IF(H183,Wh_hp,'2020'!Maxi_hp)</f>
        <v>62.624362697411456</v>
      </c>
      <c r="J183" s="85">
        <f>IF(H183,An,'2020'!An_max)</f>
        <v>2019</v>
      </c>
      <c r="K183" s="199">
        <f t="shared" si="50"/>
        <v>44365</v>
      </c>
      <c r="L183" s="147">
        <f>IF(t&lt;Tvie,1-EXP((T0-t)*PertePVj)+'2020'!Pspv,1-EXP((T0-t)*PertePVj)+Pspv)</f>
        <v>2.4184611647456333E-2</v>
      </c>
      <c r="M183" s="870"/>
      <c r="N183" s="870"/>
      <c r="O183" s="48">
        <f>IF(t&lt;Tnet,'2020'!Resal+('2020'!Salim-'2020'!Resal)*(1-EXP(('2020'!Tnet-t)/('2020'!Tau_j))),Resal+(Salim-Resal)*(1-EXP((Tnet-t)/(Tau_j))))*Salcycl</f>
        <v>5.3916038731827258E-2</v>
      </c>
      <c r="P183" s="171">
        <f>(INDEX(Models!$BJ183:$BT183,,T183)*(1-R183)+INDEX(Models!$BJ183:$BT183,,T183+1)*R183-ERP_i)*Q183*Ramure*Pc/MaxiM</f>
        <v>1.2157349318298222E-4</v>
      </c>
      <c r="Q183" s="307">
        <f t="shared" si="51"/>
        <v>1</v>
      </c>
      <c r="R183" s="179">
        <f t="shared" si="52"/>
        <v>0.70652408576025127</v>
      </c>
      <c r="S183" s="837">
        <f t="shared" si="53"/>
        <v>-1</v>
      </c>
      <c r="T183" s="178">
        <f t="shared" si="54"/>
        <v>5</v>
      </c>
      <c r="U183" s="253">
        <f t="shared" si="55"/>
        <v>-0.29347591423974873</v>
      </c>
      <c r="V183" s="385">
        <f t="shared" si="56"/>
        <v>59.821792498303957</v>
      </c>
      <c r="W183" s="404"/>
      <c r="X183" s="157">
        <f t="shared" si="57"/>
        <v>44365</v>
      </c>
      <c r="Y183" s="387">
        <f t="shared" si="58"/>
        <v>36.25281459859859</v>
      </c>
      <c r="Z183" s="387">
        <f t="shared" si="59"/>
        <v>37.151304469387128</v>
      </c>
      <c r="AA183" s="388">
        <f t="shared" si="60"/>
        <v>43.402141778951929</v>
      </c>
      <c r="AB183" s="199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0.14402140201745003</v>
      </c>
      <c r="AD183" s="233">
        <f>(INDEX(Models!$BJ183:$BT183,,AH183)*(1-AF183)+INDEX(Models!$BJ183:$BT183,,AH183+1)*AF183-ERP_i)*AE183*Ramure*Pc/MaxiM</f>
        <v>1.2157349318298222E-4</v>
      </c>
      <c r="AE183" s="307">
        <f t="shared" si="62"/>
        <v>1</v>
      </c>
      <c r="AF183" s="179">
        <f t="shared" si="63"/>
        <v>0.70652408576025127</v>
      </c>
      <c r="AG183" s="837">
        <f t="shared" si="71"/>
        <v>-1</v>
      </c>
      <c r="AH183" s="178">
        <f t="shared" si="64"/>
        <v>5</v>
      </c>
      <c r="AI183" s="227">
        <f t="shared" si="65"/>
        <v>-0.29347591423974873</v>
      </c>
      <c r="AJ183" s="267" t="b">
        <f t="shared" si="66"/>
        <v>0</v>
      </c>
      <c r="AK183" s="267" t="b">
        <f t="shared" si="67"/>
        <v>0</v>
      </c>
      <c r="AL183" s="267"/>
      <c r="AM183" s="267"/>
      <c r="AN183" s="75"/>
    </row>
    <row r="184" spans="1:40" s="6" customFormat="1" ht="11.25" x14ac:dyDescent="0.2">
      <c r="A184" s="56">
        <f t="shared" si="68"/>
        <v>44366</v>
      </c>
      <c r="B184" s="618">
        <v>32.505000000000003</v>
      </c>
      <c r="C184" s="392"/>
      <c r="D184" s="395">
        <f t="shared" si="48"/>
        <v>33.311379226474017</v>
      </c>
      <c r="E184" s="387">
        <f t="shared" si="72"/>
        <v>35.226751011064053</v>
      </c>
      <c r="F184" s="387">
        <f t="shared" si="49"/>
        <v>35.228242776510477</v>
      </c>
      <c r="G184" s="110">
        <f t="shared" si="73"/>
        <v>0.54399626099899667</v>
      </c>
      <c r="H184" s="414" t="b">
        <f>Wh_hp&gt;='2020'!Maxi_hp</f>
        <v>0</v>
      </c>
      <c r="I184" s="382">
        <f>IF(H184,Wh_hp,'2020'!Maxi_hp)</f>
        <v>50.833809957277296</v>
      </c>
      <c r="J184" s="85">
        <f>IF(H184,An,'2020'!An_max)</f>
        <v>2019</v>
      </c>
      <c r="K184" s="199">
        <f t="shared" si="50"/>
        <v>44366</v>
      </c>
      <c r="L184" s="147">
        <f>IF(t&lt;Tvie,1-EXP((T0-t)*PertePVj)+'2020'!Pspv,1-EXP((T0-t)*PertePVj)+Pspv)</f>
        <v>2.4207320297117918E-2</v>
      </c>
      <c r="M184" s="870"/>
      <c r="N184" s="870"/>
      <c r="O184" s="48">
        <f>IF(t&lt;Tnet,'2020'!Resal+('2020'!Salim-'2020'!Resal)*(1-EXP(('2020'!Tnet-t)/('2020'!Tau_j))),Resal+(Salim-Resal)*(1-EXP((Tnet-t)/(Tau_j))))*Salcycl</f>
        <v>5.437264946711818E-2</v>
      </c>
      <c r="P184" s="171">
        <f>(INDEX(Models!$BJ184:$BT184,,T184)*(1-R184)+INDEX(Models!$BJ184:$BT184,,T184+1)*R184-ERP_i)*Q184*Ramure*Pc/MaxiM</f>
        <v>1.2146406767071417E-4</v>
      </c>
      <c r="Q184" s="307">
        <f t="shared" si="51"/>
        <v>1</v>
      </c>
      <c r="R184" s="179">
        <f t="shared" si="52"/>
        <v>0.71351266654042877</v>
      </c>
      <c r="S184" s="837">
        <f t="shared" si="53"/>
        <v>-1</v>
      </c>
      <c r="T184" s="178">
        <f t="shared" si="54"/>
        <v>5</v>
      </c>
      <c r="U184" s="253">
        <f t="shared" si="55"/>
        <v>-0.28648733345957123</v>
      </c>
      <c r="V184" s="385">
        <f t="shared" si="56"/>
        <v>59.747521223115157</v>
      </c>
      <c r="W184" s="404"/>
      <c r="X184" s="157">
        <f t="shared" si="57"/>
        <v>44366</v>
      </c>
      <c r="Y184" s="387">
        <f t="shared" si="58"/>
        <v>29.415607407578005</v>
      </c>
      <c r="Z184" s="387">
        <f t="shared" si="59"/>
        <v>30.145345440114109</v>
      </c>
      <c r="AA184" s="388">
        <f t="shared" si="60"/>
        <v>35.226751011064053</v>
      </c>
      <c r="AB184" s="199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0.14424848801281642</v>
      </c>
      <c r="AD184" s="233">
        <f>(INDEX(Models!$BJ184:$BT184,,AH184)*(1-AF184)+INDEX(Models!$BJ184:$BT184,,AH184+1)*AF184-ERP_i)*AE184*Ramure*Pc/MaxiM</f>
        <v>1.2146406767071417E-4</v>
      </c>
      <c r="AE184" s="307">
        <f t="shared" si="62"/>
        <v>1</v>
      </c>
      <c r="AF184" s="179">
        <f t="shared" si="63"/>
        <v>0.71351266654042877</v>
      </c>
      <c r="AG184" s="837">
        <f t="shared" si="71"/>
        <v>-1</v>
      </c>
      <c r="AH184" s="178">
        <f t="shared" si="64"/>
        <v>5</v>
      </c>
      <c r="AI184" s="227">
        <f t="shared" si="65"/>
        <v>-0.28648733345957123</v>
      </c>
      <c r="AJ184" s="267" t="b">
        <f t="shared" si="66"/>
        <v>0</v>
      </c>
      <c r="AK184" s="267" t="b">
        <f t="shared" si="67"/>
        <v>0</v>
      </c>
      <c r="AL184" s="267"/>
      <c r="AM184" s="267"/>
      <c r="AN184" s="75"/>
    </row>
    <row r="185" spans="1:40" s="6" customFormat="1" ht="11.25" x14ac:dyDescent="0.2">
      <c r="A185" s="56">
        <f t="shared" si="68"/>
        <v>44367</v>
      </c>
      <c r="B185" s="618">
        <v>34.221000000000004</v>
      </c>
      <c r="C185" s="392"/>
      <c r="D185" s="395">
        <f t="shared" si="48"/>
        <v>35.070765648310669</v>
      </c>
      <c r="E185" s="387">
        <f t="shared" si="72"/>
        <v>37.105122728652852</v>
      </c>
      <c r="F185" s="387">
        <f t="shared" si="49"/>
        <v>37.106884314193003</v>
      </c>
      <c r="G185" s="110">
        <f t="shared" si="73"/>
        <v>0.57345481285852851</v>
      </c>
      <c r="H185" s="414" t="b">
        <f>Wh_hp&gt;='2020'!Maxi_hp</f>
        <v>0</v>
      </c>
      <c r="I185" s="382">
        <f>IF(H185,Wh_hp,'2020'!Maxi_hp)</f>
        <v>61.978111723562009</v>
      </c>
      <c r="J185" s="85">
        <f>IF(H185,An,'2020'!An_max)</f>
        <v>2020</v>
      </c>
      <c r="K185" s="199">
        <f t="shared" si="50"/>
        <v>44367</v>
      </c>
      <c r="L185" s="147">
        <f>IF(t&lt;Tvie,1-EXP((T0-t)*PertePVj)+'2020'!Pspv,1-EXP((T0-t)*PertePVj)+Pspv)</f>
        <v>2.4230028418315896E-2</v>
      </c>
      <c r="M185" s="870"/>
      <c r="N185" s="870"/>
      <c r="O185" s="48">
        <f>IF(t&lt;Tnet,'2020'!Resal+('2020'!Salim-'2020'!Resal)*(1-EXP(('2020'!Tnet-t)/('2020'!Tau_j))),Resal+(Salim-Resal)*(1-EXP((Tnet-t)/(Tau_j))))*Salcycl</f>
        <v>5.4826852217126243E-2</v>
      </c>
      <c r="P185" s="171">
        <f>(INDEX(Models!$BJ185:$BT185,,T185)*(1-R185)+INDEX(Models!$BJ185:$BT185,,T185+1)*R185-ERP_i)*Q185*Ramure*Pc/MaxiM</f>
        <v>1.2150503863885421E-4</v>
      </c>
      <c r="Q185" s="307">
        <f t="shared" si="51"/>
        <v>1</v>
      </c>
      <c r="R185" s="179">
        <f t="shared" si="52"/>
        <v>0.72044893584834402</v>
      </c>
      <c r="S185" s="837">
        <f t="shared" si="53"/>
        <v>-1</v>
      </c>
      <c r="T185" s="178">
        <f t="shared" si="54"/>
        <v>5</v>
      </c>
      <c r="U185" s="253">
        <f t="shared" si="55"/>
        <v>-0.27955106415165598</v>
      </c>
      <c r="V185" s="385">
        <f t="shared" si="56"/>
        <v>59.670728489258714</v>
      </c>
      <c r="W185" s="404"/>
      <c r="X185" s="157">
        <f t="shared" si="57"/>
        <v>44367</v>
      </c>
      <c r="Y185" s="387">
        <f t="shared" si="58"/>
        <v>30.97534304908508</v>
      </c>
      <c r="Z185" s="387">
        <f t="shared" si="59"/>
        <v>31.744513513646343</v>
      </c>
      <c r="AA185" s="388">
        <f t="shared" si="60"/>
        <v>37.105122728652852</v>
      </c>
      <c r="AB185" s="199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0.14447086603669984</v>
      </c>
      <c r="AD185" s="233">
        <f>(INDEX(Models!$BJ185:$BT185,,AH185)*(1-AF185)+INDEX(Models!$BJ185:$BT185,,AH185+1)*AF185-ERP_i)*AE185*Ramure*Pc/MaxiM</f>
        <v>1.2150503863885421E-4</v>
      </c>
      <c r="AE185" s="307">
        <f t="shared" si="62"/>
        <v>1</v>
      </c>
      <c r="AF185" s="179">
        <f t="shared" si="63"/>
        <v>0.72044893584834402</v>
      </c>
      <c r="AG185" s="837">
        <f t="shared" si="71"/>
        <v>-1</v>
      </c>
      <c r="AH185" s="178">
        <f t="shared" si="64"/>
        <v>5</v>
      </c>
      <c r="AI185" s="227">
        <f t="shared" si="65"/>
        <v>-0.27955106415165598</v>
      </c>
      <c r="AJ185" s="267" t="b">
        <f t="shared" si="66"/>
        <v>0</v>
      </c>
      <c r="AK185" s="267" t="b">
        <f t="shared" si="67"/>
        <v>0</v>
      </c>
      <c r="AL185" s="267"/>
      <c r="AM185" s="267"/>
      <c r="AN185" s="75"/>
    </row>
    <row r="186" spans="1:40" s="6" customFormat="1" ht="11.25" x14ac:dyDescent="0.2">
      <c r="A186" s="56">
        <f t="shared" si="68"/>
        <v>44368</v>
      </c>
      <c r="B186" s="618">
        <v>35.709000000000003</v>
      </c>
      <c r="C186" s="392"/>
      <c r="D186" s="395">
        <f t="shared" si="48"/>
        <v>36.596566875338802</v>
      </c>
      <c r="E186" s="387">
        <f t="shared" si="72"/>
        <v>38.737945971356979</v>
      </c>
      <c r="F186" s="387">
        <f t="shared" si="49"/>
        <v>38.739961352859801</v>
      </c>
      <c r="G186" s="110">
        <f t="shared" si="73"/>
        <v>0.59918669702142979</v>
      </c>
      <c r="H186" s="414" t="b">
        <f>Wh_hp&gt;='2020'!Maxi_hp</f>
        <v>0</v>
      </c>
      <c r="I186" s="382">
        <f>IF(H186,Wh_hp,'2020'!Maxi_hp)</f>
        <v>55.551816026089647</v>
      </c>
      <c r="J186" s="85">
        <f>IF(H186,An,'2020'!An_max)</f>
        <v>2020</v>
      </c>
      <c r="K186" s="199">
        <f t="shared" si="50"/>
        <v>44368</v>
      </c>
      <c r="L186" s="147">
        <f>IF(t&lt;Tvie,1-EXP((T0-t)*PertePVj)+'2020'!Pspv,1-EXP((T0-t)*PertePVj)+Pspv)</f>
        <v>2.4252736011062814E-2</v>
      </c>
      <c r="M186" s="870"/>
      <c r="N186" s="870"/>
      <c r="O186" s="48">
        <f>IF(t&lt;Tnet,'2020'!Resal+('2020'!Salim-'2020'!Resal)*(1-EXP(('2020'!Tnet-t)/('2020'!Tau_j))),Resal+(Salim-Resal)*(1-EXP((Tnet-t)/(Tau_j))))*Salcycl</f>
        <v>5.5278591632130419E-2</v>
      </c>
      <c r="P186" s="171">
        <f>(INDEX(Models!$BJ186:$BT186,,T186)*(1-R186)+INDEX(Models!$BJ186:$BT186,,T186+1)*R186-ERP_i)*Q186*Ramure*Pc/MaxiM</f>
        <v>1.2170074575241593E-4</v>
      </c>
      <c r="Q186" s="307">
        <f t="shared" si="51"/>
        <v>1</v>
      </c>
      <c r="R186" s="179">
        <f t="shared" si="52"/>
        <v>0.72732769101782146</v>
      </c>
      <c r="S186" s="837">
        <f t="shared" si="53"/>
        <v>-1</v>
      </c>
      <c r="T186" s="178">
        <f t="shared" si="54"/>
        <v>5</v>
      </c>
      <c r="U186" s="253">
        <f t="shared" si="55"/>
        <v>-0.27267230898217859</v>
      </c>
      <c r="V186" s="385">
        <f t="shared" si="56"/>
        <v>59.591629682274565</v>
      </c>
      <c r="W186" s="404"/>
      <c r="X186" s="157">
        <f t="shared" si="57"/>
        <v>44368</v>
      </c>
      <c r="Y186" s="387">
        <f t="shared" si="58"/>
        <v>32.329445290287488</v>
      </c>
      <c r="Z186" s="387">
        <f t="shared" si="59"/>
        <v>33.133011470738836</v>
      </c>
      <c r="AA186" s="388">
        <f t="shared" si="60"/>
        <v>38.737945971356979</v>
      </c>
      <c r="AB186" s="199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0.14468847947597585</v>
      </c>
      <c r="AD186" s="233">
        <f>(INDEX(Models!$BJ186:$BT186,,AH186)*(1-AF186)+INDEX(Models!$BJ186:$BT186,,AH186+1)*AF186-ERP_i)*AE186*Ramure*Pc/MaxiM</f>
        <v>1.2170074575241593E-4</v>
      </c>
      <c r="AE186" s="307">
        <f t="shared" si="62"/>
        <v>1</v>
      </c>
      <c r="AF186" s="179">
        <f t="shared" si="63"/>
        <v>0.72732769101782146</v>
      </c>
      <c r="AG186" s="837">
        <f t="shared" si="71"/>
        <v>-1</v>
      </c>
      <c r="AH186" s="178">
        <f t="shared" si="64"/>
        <v>5</v>
      </c>
      <c r="AI186" s="227">
        <f t="shared" si="65"/>
        <v>-0.27267230898217859</v>
      </c>
      <c r="AJ186" s="267" t="b">
        <f t="shared" si="66"/>
        <v>0</v>
      </c>
      <c r="AK186" s="267" t="b">
        <f t="shared" si="67"/>
        <v>0</v>
      </c>
      <c r="AL186" s="267"/>
      <c r="AM186" s="267"/>
      <c r="AN186" s="75"/>
    </row>
    <row r="187" spans="1:40" s="6" customFormat="1" ht="11.25" x14ac:dyDescent="0.2">
      <c r="A187" s="56">
        <f t="shared" si="68"/>
        <v>44369</v>
      </c>
      <c r="B187" s="618">
        <v>39.161999999999999</v>
      </c>
      <c r="C187" s="392"/>
      <c r="D187" s="395">
        <f t="shared" si="48"/>
        <v>40.136327124361905</v>
      </c>
      <c r="E187" s="387">
        <f t="shared" si="72"/>
        <v>42.505040242640796</v>
      </c>
      <c r="F187" s="387">
        <f t="shared" si="49"/>
        <v>42.507694201496491</v>
      </c>
      <c r="G187" s="110">
        <f t="shared" si="73"/>
        <v>0.65803017720857471</v>
      </c>
      <c r="H187" s="414" t="b">
        <f>Wh_hp&gt;='2020'!Maxi_hp</f>
        <v>0</v>
      </c>
      <c r="I187" s="382">
        <f>IF(H187,Wh_hp,'2020'!Maxi_hp)</f>
        <v>63.856670121040153</v>
      </c>
      <c r="J187" s="85">
        <f>IF(H187,An,'2020'!An_max)</f>
        <v>2020</v>
      </c>
      <c r="K187" s="199">
        <f t="shared" si="50"/>
        <v>44369</v>
      </c>
      <c r="L187" s="147">
        <f>IF(t&lt;Tvie,1-EXP((T0-t)*PertePVj)+'2020'!Pspv,1-EXP((T0-t)*PertePVj)+Pspv)</f>
        <v>2.4275443075370773E-2</v>
      </c>
      <c r="M187" s="870"/>
      <c r="N187" s="870"/>
      <c r="O187" s="48">
        <f>IF(t&lt;Tnet,'2020'!Resal+('2020'!Salim-'2020'!Resal)*(1-EXP(('2020'!Tnet-t)/('2020'!Tau_j))),Resal+(Salim-Resal)*(1-EXP((Tnet-t)/(Tau_j))))*Salcycl</f>
        <v>5.5727817330769321E-2</v>
      </c>
      <c r="P187" s="171">
        <f>(INDEX(Models!$BJ187:$BT187,,T187)*(1-R187)+INDEX(Models!$BJ187:$BT187,,T187+1)*R187-ERP_i)*Q187*Ramure*Pc/MaxiM</f>
        <v>1.2205552758696676E-4</v>
      </c>
      <c r="Q187" s="307">
        <f t="shared" si="51"/>
        <v>1</v>
      </c>
      <c r="R187" s="179">
        <f t="shared" si="52"/>
        <v>0.73414391153394409</v>
      </c>
      <c r="S187" s="837">
        <f t="shared" si="53"/>
        <v>-1</v>
      </c>
      <c r="T187" s="178">
        <f t="shared" si="54"/>
        <v>5</v>
      </c>
      <c r="U187" s="253">
        <f t="shared" si="55"/>
        <v>-0.26585608846605596</v>
      </c>
      <c r="V187" s="385">
        <f t="shared" si="56"/>
        <v>59.510439404026464</v>
      </c>
      <c r="W187" s="404"/>
      <c r="X187" s="157">
        <f t="shared" si="57"/>
        <v>44369</v>
      </c>
      <c r="Y187" s="387">
        <f t="shared" si="58"/>
        <v>35.463689898800382</v>
      </c>
      <c r="Z187" s="387">
        <f t="shared" si="59"/>
        <v>36.346005281016829</v>
      </c>
      <c r="AA187" s="388">
        <f t="shared" si="60"/>
        <v>42.505040242640796</v>
      </c>
      <c r="AB187" s="199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0.14490128527028806</v>
      </c>
      <c r="AD187" s="233">
        <f>(INDEX(Models!$BJ187:$BT187,,AH187)*(1-AF187)+INDEX(Models!$BJ187:$BT187,,AH187+1)*AF187-ERP_i)*AE187*Ramure*Pc/MaxiM</f>
        <v>1.2205552758696676E-4</v>
      </c>
      <c r="AE187" s="307">
        <f t="shared" si="62"/>
        <v>1</v>
      </c>
      <c r="AF187" s="179">
        <f t="shared" si="63"/>
        <v>0.73414391153394409</v>
      </c>
      <c r="AG187" s="837">
        <f t="shared" si="71"/>
        <v>-1</v>
      </c>
      <c r="AH187" s="178">
        <f t="shared" si="64"/>
        <v>5</v>
      </c>
      <c r="AI187" s="227">
        <f t="shared" si="65"/>
        <v>-0.26585608846605596</v>
      </c>
      <c r="AJ187" s="267" t="b">
        <f t="shared" si="66"/>
        <v>0</v>
      </c>
      <c r="AK187" s="267" t="b">
        <f t="shared" si="67"/>
        <v>0</v>
      </c>
      <c r="AL187" s="267"/>
      <c r="AM187" s="267"/>
      <c r="AN187" s="75"/>
    </row>
    <row r="188" spans="1:40" s="6" customFormat="1" ht="11.25" x14ac:dyDescent="0.2">
      <c r="A188" s="56">
        <f t="shared" si="68"/>
        <v>44370</v>
      </c>
      <c r="B188" s="618">
        <v>24.852</v>
      </c>
      <c r="C188" s="392"/>
      <c r="D188" s="395">
        <f t="shared" si="48"/>
        <v>25.470895632818827</v>
      </c>
      <c r="E188" s="387">
        <f t="shared" si="72"/>
        <v>26.986869079982707</v>
      </c>
      <c r="F188" s="387">
        <f t="shared" si="49"/>
        <v>26.987427603219476</v>
      </c>
      <c r="G188" s="110">
        <f t="shared" si="73"/>
        <v>0.41814853085740689</v>
      </c>
      <c r="H188" s="414" t="b">
        <f>Wh_hp&gt;='2020'!Maxi_hp</f>
        <v>0</v>
      </c>
      <c r="I188" s="382">
        <f>IF(H188,Wh_hp,'2020'!Maxi_hp)</f>
        <v>56.926407326668489</v>
      </c>
      <c r="J188" s="85">
        <f>IF(H188,An,'2020'!An_max)</f>
        <v>2020</v>
      </c>
      <c r="K188" s="199">
        <f t="shared" si="50"/>
        <v>44370</v>
      </c>
      <c r="L188" s="147">
        <f>IF(t&lt;Tvie,1-EXP((T0-t)*PertePVj)+'2020'!Pspv,1-EXP((T0-t)*PertePVj)+Pspv)</f>
        <v>2.4298149611252318E-2</v>
      </c>
      <c r="M188" s="870"/>
      <c r="N188" s="870"/>
      <c r="O188" s="48">
        <f>IF(t&lt;Tnet,'2020'!Resal+('2020'!Salim-'2020'!Resal)*(1-EXP(('2020'!Tnet-t)/('2020'!Tau_j))),Resal+(Salim-Resal)*(1-EXP((Tnet-t)/(Tau_j))))*Salcycl</f>
        <v>5.6174484067451153E-2</v>
      </c>
      <c r="P188" s="171">
        <f>(INDEX(Models!$BJ188:$BT188,,T188)*(1-R188)+INDEX(Models!$BJ188:$BT188,,T188+1)*R188-ERP_i)*Q188*Ramure*Pc/MaxiM</f>
        <v>1.2257245653179516E-4</v>
      </c>
      <c r="Q188" s="307">
        <f t="shared" si="51"/>
        <v>1</v>
      </c>
      <c r="R188" s="179">
        <f t="shared" si="52"/>
        <v>0.74089277229765482</v>
      </c>
      <c r="S188" s="837">
        <f t="shared" si="53"/>
        <v>-1</v>
      </c>
      <c r="T188" s="178">
        <f t="shared" si="54"/>
        <v>5</v>
      </c>
      <c r="U188" s="253">
        <f t="shared" si="55"/>
        <v>-0.25910722770234523</v>
      </c>
      <c r="V188" s="385">
        <f t="shared" si="56"/>
        <v>59.427371549201354</v>
      </c>
      <c r="W188" s="404"/>
      <c r="X188" s="157">
        <f t="shared" si="57"/>
        <v>44370</v>
      </c>
      <c r="Y188" s="387">
        <f t="shared" si="58"/>
        <v>22.510246294053495</v>
      </c>
      <c r="Z188" s="387">
        <f t="shared" si="59"/>
        <v>23.070824642881188</v>
      </c>
      <c r="AA188" s="388">
        <f t="shared" si="60"/>
        <v>26.986869079982707</v>
      </c>
      <c r="AB188" s="199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0.14510925389289464</v>
      </c>
      <c r="AD188" s="233">
        <f>(INDEX(Models!$BJ188:$BT188,,AH188)*(1-AF188)+INDEX(Models!$BJ188:$BT188,,AH188+1)*AF188-ERP_i)*AE188*Ramure*Pc/MaxiM</f>
        <v>1.2257245653179516E-4</v>
      </c>
      <c r="AE188" s="307">
        <f t="shared" si="62"/>
        <v>1</v>
      </c>
      <c r="AF188" s="179">
        <f t="shared" si="63"/>
        <v>0.74089277229765482</v>
      </c>
      <c r="AG188" s="837">
        <f t="shared" si="71"/>
        <v>-1</v>
      </c>
      <c r="AH188" s="178">
        <f t="shared" si="64"/>
        <v>5</v>
      </c>
      <c r="AI188" s="227">
        <f t="shared" si="65"/>
        <v>-0.25910722770234523</v>
      </c>
      <c r="AJ188" s="267" t="b">
        <f t="shared" si="66"/>
        <v>0</v>
      </c>
      <c r="AK188" s="267" t="b">
        <f t="shared" si="67"/>
        <v>0</v>
      </c>
      <c r="AL188" s="267"/>
      <c r="AM188" s="267"/>
      <c r="AN188" s="75"/>
    </row>
    <row r="189" spans="1:40" s="6" customFormat="1" ht="11.25" x14ac:dyDescent="0.2">
      <c r="A189" s="56">
        <f t="shared" si="68"/>
        <v>44371</v>
      </c>
      <c r="B189" s="618">
        <v>38.573</v>
      </c>
      <c r="C189" s="392"/>
      <c r="D189" s="395">
        <f t="shared" si="48"/>
        <v>39.534513187181815</v>
      </c>
      <c r="E189" s="387">
        <f t="shared" si="72"/>
        <v>41.907240454482256</v>
      </c>
      <c r="F189" s="387">
        <f t="shared" si="49"/>
        <v>41.909823276727295</v>
      </c>
      <c r="G189" s="110">
        <f t="shared" si="73"/>
        <v>0.64996473427362678</v>
      </c>
      <c r="H189" s="414" t="b">
        <f>Wh_hp&gt;='2020'!Maxi_hp</f>
        <v>0</v>
      </c>
      <c r="I189" s="382">
        <f>IF(H189,Wh_hp,'2020'!Maxi_hp)</f>
        <v>63.0959882762929</v>
      </c>
      <c r="J189" s="85">
        <f>IF(H189,An,'2020'!An_max)</f>
        <v>2020</v>
      </c>
      <c r="K189" s="199">
        <f t="shared" si="50"/>
        <v>44371</v>
      </c>
      <c r="L189" s="147">
        <f>IF(t&lt;Tvie,1-EXP((T0-t)*PertePVj)+'2020'!Pspv,1-EXP((T0-t)*PertePVj)+Pspv)</f>
        <v>2.432085561871955E-2</v>
      </c>
      <c r="M189" s="870"/>
      <c r="N189" s="870"/>
      <c r="O189" s="48">
        <f>IF(t&lt;Tnet,'2020'!Resal+('2020'!Salim-'2020'!Resal)*(1-EXP(('2020'!Tnet-t)/('2020'!Tau_j))),Resal+(Salim-Resal)*(1-EXP((Tnet-t)/(Tau_j))))*Salcycl</f>
        <v>5.6618551867608301E-2</v>
      </c>
      <c r="P189" s="171">
        <f>(INDEX(Models!$BJ189:$BT189,,T189)*(1-R189)+INDEX(Models!$BJ189:$BT189,,T189+1)*R189-ERP_i)*Q189*Ramure*Pc/MaxiM</f>
        <v>1.232544861728806E-4</v>
      </c>
      <c r="Q189" s="307">
        <f t="shared" si="51"/>
        <v>1</v>
      </c>
      <c r="R189" s="179">
        <f t="shared" si="52"/>
        <v>0.7475696556318141</v>
      </c>
      <c r="S189" s="837">
        <f t="shared" si="53"/>
        <v>-1</v>
      </c>
      <c r="T189" s="178">
        <f t="shared" si="54"/>
        <v>5</v>
      </c>
      <c r="U189" s="253">
        <f t="shared" si="55"/>
        <v>-0.2524303443681859</v>
      </c>
      <c r="V189" s="385">
        <f t="shared" si="56"/>
        <v>59.342639230284888</v>
      </c>
      <c r="W189" s="404"/>
      <c r="X189" s="157">
        <f t="shared" si="57"/>
        <v>44371</v>
      </c>
      <c r="Y189" s="387">
        <f t="shared" si="58"/>
        <v>34.946485375505894</v>
      </c>
      <c r="Z189" s="387">
        <f t="shared" si="59"/>
        <v>35.817600055053902</v>
      </c>
      <c r="AA189" s="388">
        <f t="shared" si="60"/>
        <v>41.907240454482256</v>
      </c>
      <c r="AB189" s="199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0.14531236925615865</v>
      </c>
      <c r="AD189" s="233">
        <f>(INDEX(Models!$BJ189:$BT189,,AH189)*(1-AF189)+INDEX(Models!$BJ189:$BT189,,AH189+1)*AF189-ERP_i)*AE189*Ramure*Pc/MaxiM</f>
        <v>1.232544861728806E-4</v>
      </c>
      <c r="AE189" s="307">
        <f t="shared" si="62"/>
        <v>1</v>
      </c>
      <c r="AF189" s="179">
        <f t="shared" si="63"/>
        <v>0.7475696556318141</v>
      </c>
      <c r="AG189" s="837">
        <f t="shared" si="71"/>
        <v>-1</v>
      </c>
      <c r="AH189" s="178">
        <f t="shared" si="64"/>
        <v>5</v>
      </c>
      <c r="AI189" s="227">
        <f t="shared" si="65"/>
        <v>-0.2524303443681859</v>
      </c>
      <c r="AJ189" s="267" t="b">
        <f t="shared" si="66"/>
        <v>0</v>
      </c>
      <c r="AK189" s="267" t="b">
        <f t="shared" si="67"/>
        <v>0</v>
      </c>
      <c r="AL189" s="267"/>
      <c r="AM189" s="267"/>
      <c r="AN189" s="75"/>
    </row>
    <row r="190" spans="1:40" s="6" customFormat="1" ht="11.25" x14ac:dyDescent="0.2">
      <c r="A190" s="56">
        <f t="shared" si="68"/>
        <v>44372</v>
      </c>
      <c r="B190" s="618">
        <v>53.660000000000004</v>
      </c>
      <c r="C190" s="392"/>
      <c r="D190" s="395">
        <f t="shared" si="48"/>
        <v>54.998868311038798</v>
      </c>
      <c r="E190" s="387">
        <f t="shared" si="72"/>
        <v>58.327006492493155</v>
      </c>
      <c r="F190" s="387">
        <f t="shared" si="49"/>
        <v>58.333269226080525</v>
      </c>
      <c r="G190" s="110">
        <f t="shared" si="73"/>
        <v>0.90554019245187134</v>
      </c>
      <c r="H190" s="414" t="b">
        <f>Wh_hp&gt;='2020'!Maxi_hp</f>
        <v>1</v>
      </c>
      <c r="I190" s="382">
        <f>IF(H190,Wh_hp,'2020'!Maxi_hp)</f>
        <v>58.333269226080525</v>
      </c>
      <c r="J190" s="85">
        <f>IF(H190,An,'2020'!An_max)</f>
        <v>2021</v>
      </c>
      <c r="K190" s="199">
        <f t="shared" si="50"/>
        <v>44372</v>
      </c>
      <c r="L190" s="147">
        <f>IF(t&lt;Tvie,1-EXP((T0-t)*PertePVj)+'2020'!Pspv,1-EXP((T0-t)*PertePVj)+Pspv)</f>
        <v>2.4343561097784794E-2</v>
      </c>
      <c r="M190" s="870"/>
      <c r="N190" s="870"/>
      <c r="O190" s="48">
        <f>IF(t&lt;Tnet,'2020'!Resal+('2020'!Salim-'2020'!Resal)*(1-EXP(('2020'!Tnet-t)/('2020'!Tau_j))),Resal+(Salim-Resal)*(1-EXP((Tnet-t)/(Tau_j))))*Salcycl</f>
        <v>5.7059986129799026E-2</v>
      </c>
      <c r="P190" s="171">
        <f>(INDEX(Models!$BJ190:$BT190,,T190)*(1-R190)+INDEX(Models!$BJ190:$BT190,,T190+1)*R190-ERP_i)*Q190*Ramure*Pc/MaxiM</f>
        <v>1.2410572337798751E-4</v>
      </c>
      <c r="Q190" s="307">
        <f t="shared" si="51"/>
        <v>1</v>
      </c>
      <c r="R190" s="179">
        <f t="shared" si="52"/>
        <v>0.7541701619791803</v>
      </c>
      <c r="S190" s="837">
        <f t="shared" si="53"/>
        <v>-1</v>
      </c>
      <c r="T190" s="178">
        <f t="shared" si="54"/>
        <v>5</v>
      </c>
      <c r="U190" s="253">
        <f t="shared" si="55"/>
        <v>-0.2458298380208197</v>
      </c>
      <c r="V190" s="385">
        <f t="shared" si="56"/>
        <v>59.256454703142118</v>
      </c>
      <c r="W190" s="404"/>
      <c r="X190" s="157">
        <f t="shared" si="57"/>
        <v>44372</v>
      </c>
      <c r="Y190" s="387">
        <f t="shared" si="58"/>
        <v>48.626528727124565</v>
      </c>
      <c r="Z190" s="387">
        <f t="shared" si="59"/>
        <v>49.839807116773549</v>
      </c>
      <c r="AA190" s="388">
        <f t="shared" si="60"/>
        <v>58.327006492493155</v>
      </c>
      <c r="AB190" s="199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0.14551062854240476</v>
      </c>
      <c r="AD190" s="233">
        <f>(INDEX(Models!$BJ190:$BT190,,AH190)*(1-AF190)+INDEX(Models!$BJ190:$BT190,,AH190+1)*AF190-ERP_i)*AE190*Ramure*Pc/MaxiM</f>
        <v>1.2410572337798751E-4</v>
      </c>
      <c r="AE190" s="307">
        <f t="shared" si="62"/>
        <v>1</v>
      </c>
      <c r="AF190" s="179">
        <f t="shared" si="63"/>
        <v>0.7541701619791803</v>
      </c>
      <c r="AG190" s="837">
        <f t="shared" si="71"/>
        <v>-1</v>
      </c>
      <c r="AH190" s="178">
        <f t="shared" si="64"/>
        <v>5</v>
      </c>
      <c r="AI190" s="227">
        <f t="shared" si="65"/>
        <v>-0.2458298380208197</v>
      </c>
      <c r="AJ190" s="267" t="b">
        <f t="shared" si="66"/>
        <v>0</v>
      </c>
      <c r="AK190" s="267" t="b">
        <f t="shared" si="67"/>
        <v>0</v>
      </c>
      <c r="AL190" s="267"/>
      <c r="AM190" s="267"/>
      <c r="AN190" s="75"/>
    </row>
    <row r="191" spans="1:40" s="6" customFormat="1" ht="11.25" x14ac:dyDescent="0.2">
      <c r="A191" s="56">
        <f t="shared" si="68"/>
        <v>44373</v>
      </c>
      <c r="B191" s="618">
        <v>55.934000000000005</v>
      </c>
      <c r="C191" s="392"/>
      <c r="D191" s="395">
        <f t="shared" si="48"/>
        <v>57.330940960245933</v>
      </c>
      <c r="E191" s="387">
        <f t="shared" si="72"/>
        <v>60.828504395358856</v>
      </c>
      <c r="F191" s="387">
        <f t="shared" si="49"/>
        <v>60.835522203975074</v>
      </c>
      <c r="G191" s="110">
        <f t="shared" si="73"/>
        <v>0.94531749663743259</v>
      </c>
      <c r="H191" s="414" t="b">
        <f>Wh_hp&gt;='2020'!Maxi_hp</f>
        <v>0</v>
      </c>
      <c r="I191" s="382">
        <f>IF(H191,Wh_hp,'2020'!Maxi_hp)</f>
        <v>61.173275923851143</v>
      </c>
      <c r="J191" s="85">
        <f>IF(H191,An,'2020'!An_max)</f>
        <v>2019</v>
      </c>
      <c r="K191" s="199">
        <f t="shared" si="50"/>
        <v>44373</v>
      </c>
      <c r="L191" s="147">
        <f>IF(t&lt;Tvie,1-EXP((T0-t)*PertePVj)+'2020'!Pspv,1-EXP((T0-t)*PertePVj)+Pspv)</f>
        <v>2.4366266048460372E-2</v>
      </c>
      <c r="M191" s="870"/>
      <c r="N191" s="870"/>
      <c r="O191" s="48">
        <f>IF(t&lt;Tnet,'2020'!Resal+('2020'!Salim-'2020'!Resal)*(1-EXP(('2020'!Tnet-t)/('2020'!Tau_j))),Resal+(Salim-Resal)*(1-EXP((Tnet-t)/(Tau_j))))*Salcycl</f>
        <v>5.7498757693930452E-2</v>
      </c>
      <c r="P191" s="171">
        <f>(INDEX(Models!$BJ191:$BT191,,T191)*(1-R191)+INDEX(Models!$BJ191:$BT191,,T191+1)*R191-ERP_i)*Q191*Ramure*Pc/MaxiM</f>
        <v>1.2513035054285252E-4</v>
      </c>
      <c r="Q191" s="307">
        <f t="shared" si="51"/>
        <v>1</v>
      </c>
      <c r="R191" s="179">
        <f t="shared" si="52"/>
        <v>0.76069011925634555</v>
      </c>
      <c r="S191" s="837">
        <f t="shared" si="53"/>
        <v>-1</v>
      </c>
      <c r="T191" s="178">
        <f t="shared" si="54"/>
        <v>5</v>
      </c>
      <c r="U191" s="253">
        <f t="shared" si="55"/>
        <v>-0.2393098807436545</v>
      </c>
      <c r="V191" s="385">
        <f t="shared" si="56"/>
        <v>59.16896014107224</v>
      </c>
      <c r="W191" s="404"/>
      <c r="X191" s="157">
        <f t="shared" si="57"/>
        <v>44373</v>
      </c>
      <c r="Y191" s="387">
        <f t="shared" si="58"/>
        <v>50.699339132977563</v>
      </c>
      <c r="Z191" s="387">
        <f t="shared" si="59"/>
        <v>51.965545438485044</v>
      </c>
      <c r="AA191" s="388">
        <f t="shared" si="60"/>
        <v>60.828504395358856</v>
      </c>
      <c r="AB191" s="199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0.14570404196145323</v>
      </c>
      <c r="AD191" s="233">
        <f>(INDEX(Models!$BJ191:$BT191,,AH191)*(1-AF191)+INDEX(Models!$BJ191:$BT191,,AH191+1)*AF191-ERP_i)*AE191*Ramure*Pc/MaxiM</f>
        <v>1.2513035054285252E-4</v>
      </c>
      <c r="AE191" s="307">
        <f t="shared" si="62"/>
        <v>1</v>
      </c>
      <c r="AF191" s="179">
        <f t="shared" si="63"/>
        <v>0.76069011925634555</v>
      </c>
      <c r="AG191" s="837">
        <f t="shared" si="71"/>
        <v>-1</v>
      </c>
      <c r="AH191" s="178">
        <f t="shared" si="64"/>
        <v>5</v>
      </c>
      <c r="AI191" s="227">
        <f t="shared" si="65"/>
        <v>-0.2393098807436545</v>
      </c>
      <c r="AJ191" s="267" t="b">
        <f t="shared" si="66"/>
        <v>0</v>
      </c>
      <c r="AK191" s="267" t="b">
        <f t="shared" si="67"/>
        <v>0</v>
      </c>
      <c r="AL191" s="267"/>
      <c r="AM191" s="267"/>
      <c r="AN191" s="75"/>
    </row>
    <row r="192" spans="1:40" s="6" customFormat="1" ht="11.25" x14ac:dyDescent="0.2">
      <c r="A192" s="56">
        <f t="shared" si="68"/>
        <v>44374</v>
      </c>
      <c r="B192" s="618">
        <v>8.2379999999999995</v>
      </c>
      <c r="C192" s="392"/>
      <c r="D192" s="395">
        <f t="shared" si="48"/>
        <v>8.4439389784011105</v>
      </c>
      <c r="E192" s="387">
        <f t="shared" si="72"/>
        <v>8.9632218265791348</v>
      </c>
      <c r="F192" s="387">
        <f t="shared" si="49"/>
        <v>8.9632218265791348</v>
      </c>
      <c r="G192" s="110">
        <f t="shared" si="73"/>
        <v>0.1394203872440076</v>
      </c>
      <c r="H192" s="414" t="b">
        <f>Wh_hp&gt;='2020'!Maxi_hp</f>
        <v>0</v>
      </c>
      <c r="I192" s="382">
        <f>IF(H192,Wh_hp,'2020'!Maxi_hp)</f>
        <v>60.985394415911713</v>
      </c>
      <c r="J192" s="85">
        <f>IF(H192,An,'2020'!An_max)</f>
        <v>2019</v>
      </c>
      <c r="K192" s="199">
        <f t="shared" si="50"/>
        <v>44374</v>
      </c>
      <c r="L192" s="147">
        <f>IF(t&lt;Tvie,1-EXP((T0-t)*PertePVj)+'2020'!Pspv,1-EXP((T0-t)*PertePVj)+Pspv)</f>
        <v>2.4388970470758498E-2</v>
      </c>
      <c r="M192" s="870"/>
      <c r="N192" s="870"/>
      <c r="O192" s="48">
        <f>IF(t&lt;Tnet,'2020'!Resal+('2020'!Salim-'2020'!Resal)*(1-EXP(('2020'!Tnet-t)/('2020'!Tau_j))),Resal+(Salim-Resal)*(1-EXP((Tnet-t)/(Tau_j))))*Salcycl</f>
        <v>5.7934842875155247E-2</v>
      </c>
      <c r="P192" s="171">
        <f>(INDEX(Models!$BJ192:$BT192,,T192)*(1-R192)+INDEX(Models!$BJ192:$BT192,,T192+1)*R192-ERP_i)*Q192*Ramure*Pc/MaxiM</f>
        <v>1.2655000401526857E-4</v>
      </c>
      <c r="Q192" s="307">
        <f t="shared" si="51"/>
        <v>1</v>
      </c>
      <c r="R192" s="179">
        <f t="shared" si="52"/>
        <v>0.76712559084114951</v>
      </c>
      <c r="S192" s="837">
        <f t="shared" si="53"/>
        <v>-1</v>
      </c>
      <c r="T192" s="178">
        <f t="shared" si="54"/>
        <v>5</v>
      </c>
      <c r="U192" s="253">
        <f t="shared" si="55"/>
        <v>-0.23287440915885049</v>
      </c>
      <c r="V192" s="385">
        <f t="shared" si="56"/>
        <v>59.080007191853156</v>
      </c>
      <c r="W192" s="404"/>
      <c r="X192" s="157">
        <f t="shared" si="57"/>
        <v>44374</v>
      </c>
      <c r="Y192" s="387">
        <f t="shared" si="58"/>
        <v>7.4688427236396251</v>
      </c>
      <c r="Z192" s="387">
        <f t="shared" si="59"/>
        <v>7.6555537991852569</v>
      </c>
      <c r="AA192" s="388">
        <f t="shared" si="60"/>
        <v>8.9632218265791348</v>
      </c>
      <c r="AB192" s="199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0.14589263243671802</v>
      </c>
      <c r="AD192" s="233">
        <f>(INDEX(Models!$BJ192:$BT192,,AH192)*(1-AF192)+INDEX(Models!$BJ192:$BT192,,AH192+1)*AF192-ERP_i)*AE192*Ramure*Pc/MaxiM</f>
        <v>1.2655000401526857E-4</v>
      </c>
      <c r="AE192" s="307">
        <f t="shared" si="62"/>
        <v>1</v>
      </c>
      <c r="AF192" s="179">
        <f t="shared" si="63"/>
        <v>0.76712559084114951</v>
      </c>
      <c r="AG192" s="837">
        <f t="shared" si="71"/>
        <v>-1</v>
      </c>
      <c r="AH192" s="178">
        <f t="shared" si="64"/>
        <v>5</v>
      </c>
      <c r="AI192" s="227">
        <f t="shared" si="65"/>
        <v>-0.23287440915885049</v>
      </c>
      <c r="AJ192" s="267" t="b">
        <f t="shared" si="66"/>
        <v>0</v>
      </c>
      <c r="AK192" s="267" t="b">
        <f t="shared" si="67"/>
        <v>0</v>
      </c>
      <c r="AL192" s="267"/>
      <c r="AM192" s="267"/>
      <c r="AN192" s="75"/>
    </row>
    <row r="193" spans="1:40" s="6" customFormat="1" ht="11.25" x14ac:dyDescent="0.2">
      <c r="A193" s="56">
        <f t="shared" si="68"/>
        <v>44375</v>
      </c>
      <c r="B193" s="618">
        <v>24.722999999999999</v>
      </c>
      <c r="C193" s="392"/>
      <c r="D193" s="395">
        <f t="shared" si="48"/>
        <v>25.341631659952728</v>
      </c>
      <c r="E193" s="387">
        <f t="shared" si="72"/>
        <v>26.912464395751535</v>
      </c>
      <c r="F193" s="387">
        <f t="shared" si="49"/>
        <v>26.91305187988619</v>
      </c>
      <c r="G193" s="110">
        <f t="shared" si="73"/>
        <v>0.41906460640917342</v>
      </c>
      <c r="H193" s="414" t="b">
        <f>Wh_hp&gt;='2020'!Maxi_hp</f>
        <v>0</v>
      </c>
      <c r="I193" s="382">
        <f>IF(H193,Wh_hp,'2020'!Maxi_hp)</f>
        <v>60.915377399741978</v>
      </c>
      <c r="J193" s="85">
        <f>IF(H193,An,'2020'!An_max)</f>
        <v>2019</v>
      </c>
      <c r="K193" s="199">
        <f t="shared" si="50"/>
        <v>44375</v>
      </c>
      <c r="L193" s="147">
        <f>IF(t&lt;Tvie,1-EXP((T0-t)*PertePVj)+'2020'!Pspv,1-EXP((T0-t)*PertePVj)+Pspv)</f>
        <v>2.4411674364691716E-2</v>
      </c>
      <c r="M193" s="870"/>
      <c r="N193" s="870"/>
      <c r="O193" s="48">
        <f>IF(t&lt;Tnet,'2020'!Resal+('2020'!Salim-'2020'!Resal)*(1-EXP(('2020'!Tnet-t)/('2020'!Tau_j))),Resal+(Salim-Resal)*(1-EXP((Tnet-t)/(Tau_j))))*Salcycl</f>
        <v>5.8368223463280529E-2</v>
      </c>
      <c r="P193" s="171">
        <f>(INDEX(Models!$BJ193:$BT193,,T193)*(1-R193)+INDEX(Models!$BJ193:$BT193,,T193+1)*R193-ERP_i)*Q193*Ramure*Pc/MaxiM</f>
        <v>1.282879407930635E-4</v>
      </c>
      <c r="Q193" s="307">
        <f t="shared" si="51"/>
        <v>1</v>
      </c>
      <c r="R193" s="179">
        <f t="shared" si="52"/>
        <v>0.77347288218431087</v>
      </c>
      <c r="S193" s="837">
        <f t="shared" si="53"/>
        <v>-1</v>
      </c>
      <c r="T193" s="178">
        <f t="shared" si="54"/>
        <v>5</v>
      </c>
      <c r="U193" s="253">
        <f t="shared" si="55"/>
        <v>-0.22652711781568918</v>
      </c>
      <c r="V193" s="385">
        <f t="shared" si="56"/>
        <v>58.989395857524329</v>
      </c>
      <c r="W193" s="404"/>
      <c r="X193" s="157">
        <f t="shared" si="57"/>
        <v>44375</v>
      </c>
      <c r="Y193" s="387">
        <f t="shared" si="58"/>
        <v>22.420178267184184</v>
      </c>
      <c r="Z193" s="387">
        <f t="shared" si="59"/>
        <v>22.981187533772552</v>
      </c>
      <c r="AA193" s="388">
        <f t="shared" si="60"/>
        <v>26.912464395751535</v>
      </c>
      <c r="AB193" s="199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0.14607643522231961</v>
      </c>
      <c r="AD193" s="233">
        <f>(INDEX(Models!$BJ193:$BT193,,AH193)*(1-AF193)+INDEX(Models!$BJ193:$BT193,,AH193+1)*AF193-ERP_i)*AE193*Ramure*Pc/MaxiM</f>
        <v>1.282879407930635E-4</v>
      </c>
      <c r="AE193" s="307">
        <f t="shared" si="62"/>
        <v>1</v>
      </c>
      <c r="AF193" s="179">
        <f t="shared" si="63"/>
        <v>0.77347288218431087</v>
      </c>
      <c r="AG193" s="837">
        <f t="shared" si="71"/>
        <v>-1</v>
      </c>
      <c r="AH193" s="178">
        <f t="shared" si="64"/>
        <v>5</v>
      </c>
      <c r="AI193" s="227">
        <f t="shared" si="65"/>
        <v>-0.22652711781568918</v>
      </c>
      <c r="AJ193" s="267" t="b">
        <f t="shared" si="66"/>
        <v>0</v>
      </c>
      <c r="AK193" s="267" t="b">
        <f t="shared" si="67"/>
        <v>0</v>
      </c>
      <c r="AL193" s="267"/>
      <c r="AM193" s="267"/>
      <c r="AN193" s="75"/>
    </row>
    <row r="194" spans="1:40" s="6" customFormat="1" ht="11.25" x14ac:dyDescent="0.2">
      <c r="A194" s="56">
        <f t="shared" si="68"/>
        <v>44376</v>
      </c>
      <c r="B194" s="618">
        <v>37.445999999999998</v>
      </c>
      <c r="C194" s="392"/>
      <c r="D194" s="395">
        <f t="shared" si="48"/>
        <v>38.383886378528814</v>
      </c>
      <c r="E194" s="387">
        <f t="shared" si="72"/>
        <v>40.781811491331439</v>
      </c>
      <c r="F194" s="387">
        <f t="shared" si="49"/>
        <v>40.784361680402924</v>
      </c>
      <c r="G194" s="110">
        <f t="shared" si="73"/>
        <v>0.635745627955839</v>
      </c>
      <c r="H194" s="414" t="b">
        <f>Wh_hp&gt;='2020'!Maxi_hp</f>
        <v>0</v>
      </c>
      <c r="I194" s="382">
        <f>IF(H194,Wh_hp,'2020'!Maxi_hp)</f>
        <v>58.681985586481595</v>
      </c>
      <c r="J194" s="85">
        <f>IF(H194,An,'2020'!An_max)</f>
        <v>2019</v>
      </c>
      <c r="K194" s="199">
        <f t="shared" si="50"/>
        <v>44376</v>
      </c>
      <c r="L194" s="147">
        <f>IF(t&lt;Tvie,1-EXP((T0-t)*PertePVj)+'2020'!Pspv,1-EXP((T0-t)*PertePVj)+Pspv)</f>
        <v>2.4434377730272017E-2</v>
      </c>
      <c r="M194" s="870"/>
      <c r="N194" s="870"/>
      <c r="O194" s="48">
        <f>IF(t&lt;Tnet,'2020'!Resal+('2020'!Salim-'2020'!Resal)*(1-EXP(('2020'!Tnet-t)/('2020'!Tau_j))),Resal+(Salim-Resal)*(1-EXP((Tnet-t)/(Tau_j))))*Salcycl</f>
        <v>5.8798886687814904E-2</v>
      </c>
      <c r="P194" s="171">
        <f>(INDEX(Models!$BJ194:$BT194,,T194)*(1-R194)+INDEX(Models!$BJ194:$BT194,,T194+1)*R194-ERP_i)*Q194*Ramure*Pc/MaxiM</f>
        <v>1.3034987173789593E-4</v>
      </c>
      <c r="Q194" s="307">
        <f t="shared" si="51"/>
        <v>1</v>
      </c>
      <c r="R194" s="179">
        <f t="shared" si="52"/>
        <v>0.77972854604879205</v>
      </c>
      <c r="S194" s="837">
        <f t="shared" si="53"/>
        <v>-1</v>
      </c>
      <c r="T194" s="178">
        <f t="shared" si="54"/>
        <v>5</v>
      </c>
      <c r="U194" s="253">
        <f t="shared" si="55"/>
        <v>-0.22027145395120795</v>
      </c>
      <c r="V194" s="385">
        <f t="shared" si="56"/>
        <v>58.896921283241028</v>
      </c>
      <c r="W194" s="404"/>
      <c r="X194" s="157">
        <f t="shared" si="57"/>
        <v>44376</v>
      </c>
      <c r="Y194" s="387">
        <f t="shared" si="58"/>
        <v>33.966509590948611</v>
      </c>
      <c r="Z194" s="387">
        <f t="shared" si="59"/>
        <v>34.817247364583153</v>
      </c>
      <c r="AA194" s="388">
        <f t="shared" si="60"/>
        <v>40.781811491331439</v>
      </c>
      <c r="AB194" s="199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0.1462554974542048</v>
      </c>
      <c r="AD194" s="233">
        <f>(INDEX(Models!$BJ194:$BT194,,AH194)*(1-AF194)+INDEX(Models!$BJ194:$BT194,,AH194+1)*AF194-ERP_i)*AE194*Ramure*Pc/MaxiM</f>
        <v>1.3034987173789593E-4</v>
      </c>
      <c r="AE194" s="307">
        <f t="shared" si="62"/>
        <v>1</v>
      </c>
      <c r="AF194" s="179">
        <f t="shared" si="63"/>
        <v>0.77972854604879205</v>
      </c>
      <c r="AG194" s="837">
        <f t="shared" si="71"/>
        <v>-1</v>
      </c>
      <c r="AH194" s="178">
        <f t="shared" si="64"/>
        <v>5</v>
      </c>
      <c r="AI194" s="227">
        <f t="shared" si="65"/>
        <v>-0.22027145395120795</v>
      </c>
      <c r="AJ194" s="267" t="b">
        <f t="shared" si="66"/>
        <v>0</v>
      </c>
      <c r="AK194" s="267" t="b">
        <f t="shared" si="67"/>
        <v>0</v>
      </c>
      <c r="AL194" s="267"/>
      <c r="AM194" s="267"/>
      <c r="AN194" s="75"/>
    </row>
    <row r="195" spans="1:40" s="6" customFormat="1" ht="11.25" x14ac:dyDescent="0.2">
      <c r="A195" s="56">
        <f t="shared" si="68"/>
        <v>44377</v>
      </c>
      <c r="B195" s="618">
        <v>48.052</v>
      </c>
      <c r="C195" s="392"/>
      <c r="D195" s="395">
        <f t="shared" si="48"/>
        <v>49.256674455649524</v>
      </c>
      <c r="E195" s="387">
        <f t="shared" si="72"/>
        <v>52.357651953091043</v>
      </c>
      <c r="F195" s="387">
        <f t="shared" si="49"/>
        <v>52.36278731739052</v>
      </c>
      <c r="G195" s="110">
        <f t="shared" si="73"/>
        <v>0.81714949359947697</v>
      </c>
      <c r="H195" s="414" t="b">
        <f>Wh_hp&gt;='2020'!Maxi_hp</f>
        <v>0</v>
      </c>
      <c r="I195" s="382">
        <f>IF(H195,Wh_hp,'2020'!Maxi_hp)</f>
        <v>57.491267700625883</v>
      </c>
      <c r="J195" s="85">
        <f>IF(H195,An,'2020'!An_max)</f>
        <v>2019</v>
      </c>
      <c r="K195" s="199">
        <f t="shared" si="50"/>
        <v>44377</v>
      </c>
      <c r="L195" s="147">
        <f>IF(t&lt;Tvie,1-EXP((T0-t)*PertePVj)+'2020'!Pspv,1-EXP((T0-t)*PertePVj)+Pspv)</f>
        <v>2.4457080567511835E-2</v>
      </c>
      <c r="M195" s="870"/>
      <c r="N195" s="870"/>
      <c r="O195" s="48">
        <f>IF(t&lt;Tnet,'2020'!Resal+('2020'!Salim-'2020'!Resal)*(1-EXP(('2020'!Tnet-t)/('2020'!Tau_j))),Resal+(Salim-Resal)*(1-EXP((Tnet-t)/(Tau_j))))*Salcycl</f>
        <v>5.9226825149068789E-2</v>
      </c>
      <c r="P195" s="171">
        <f>(INDEX(Models!$BJ195:$BT195,,T195)*(1-R195)+INDEX(Models!$BJ195:$BT195,,T195+1)*R195-ERP_i)*Q195*Ramure*Pc/MaxiM</f>
        <v>1.3274147657315539E-4</v>
      </c>
      <c r="Q195" s="307">
        <f t="shared" si="51"/>
        <v>1</v>
      </c>
      <c r="R195" s="179">
        <f t="shared" si="52"/>
        <v>0.78588938639256989</v>
      </c>
      <c r="S195" s="837">
        <f t="shared" si="53"/>
        <v>-1</v>
      </c>
      <c r="T195" s="178">
        <f t="shared" si="54"/>
        <v>5</v>
      </c>
      <c r="U195" s="253">
        <f t="shared" si="55"/>
        <v>-0.21411061360743011</v>
      </c>
      <c r="V195" s="385">
        <f t="shared" si="56"/>
        <v>58.802378650328684</v>
      </c>
      <c r="W195" s="404"/>
      <c r="X195" s="157">
        <f t="shared" si="57"/>
        <v>44377</v>
      </c>
      <c r="Y195" s="387">
        <f t="shared" si="58"/>
        <v>43.597917772475022</v>
      </c>
      <c r="Z195" s="387">
        <f t="shared" si="59"/>
        <v>44.690927384145901</v>
      </c>
      <c r="AA195" s="388">
        <f t="shared" si="60"/>
        <v>52.357651953091043</v>
      </c>
      <c r="AB195" s="199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0.14642987763878362</v>
      </c>
      <c r="AD195" s="233">
        <f>(INDEX(Models!$BJ195:$BT195,,AH195)*(1-AF195)+INDEX(Models!$BJ195:$BT195,,AH195+1)*AF195-ERP_i)*AE195*Ramure*Pc/MaxiM</f>
        <v>1.3274147657315539E-4</v>
      </c>
      <c r="AE195" s="307">
        <f t="shared" si="62"/>
        <v>1</v>
      </c>
      <c r="AF195" s="179">
        <f t="shared" si="63"/>
        <v>0.78588938639256989</v>
      </c>
      <c r="AG195" s="837">
        <f t="shared" si="71"/>
        <v>-1</v>
      </c>
      <c r="AH195" s="178">
        <f t="shared" si="64"/>
        <v>5</v>
      </c>
      <c r="AI195" s="227">
        <f t="shared" si="65"/>
        <v>-0.21411061360743011</v>
      </c>
      <c r="AJ195" s="267" t="b">
        <f t="shared" si="66"/>
        <v>0</v>
      </c>
      <c r="AK195" s="267" t="b">
        <f t="shared" si="67"/>
        <v>0</v>
      </c>
      <c r="AL195" s="267"/>
      <c r="AM195" s="267"/>
      <c r="AN195" s="75"/>
    </row>
    <row r="196" spans="1:40" s="6" customFormat="1" ht="11.25" x14ac:dyDescent="0.2">
      <c r="A196" s="56">
        <f t="shared" si="68"/>
        <v>44378</v>
      </c>
      <c r="B196" s="618">
        <v>54.118000000000002</v>
      </c>
      <c r="C196" s="392"/>
      <c r="D196" s="395">
        <f t="shared" si="48"/>
        <v>55.476041449527912</v>
      </c>
      <c r="E196" s="387">
        <f t="shared" si="72"/>
        <v>58.995226890041941</v>
      </c>
      <c r="F196" s="387">
        <f t="shared" si="49"/>
        <v>59.002327539581458</v>
      </c>
      <c r="G196" s="110">
        <f t="shared" si="73"/>
        <v>0.92184076836526185</v>
      </c>
      <c r="H196" s="414" t="b">
        <f>Wh_hp&gt;='2020'!Maxi_hp</f>
        <v>0</v>
      </c>
      <c r="I196" s="382">
        <f>IF(H196,Wh_hp,'2020'!Maxi_hp)</f>
        <v>59.664996150956185</v>
      </c>
      <c r="J196" s="85">
        <f>IF(H196,An,'2020'!An_max)</f>
        <v>2020</v>
      </c>
      <c r="K196" s="199">
        <f t="shared" si="50"/>
        <v>44378</v>
      </c>
      <c r="L196" s="147">
        <f>IF(t&lt;Tvie,1-EXP((T0-t)*PertePVj)+'2020'!Pspv,1-EXP((T0-t)*PertePVj)+Pspv)</f>
        <v>2.4479782876423495E-2</v>
      </c>
      <c r="M196" s="870"/>
      <c r="N196" s="870"/>
      <c r="O196" s="48">
        <f>IF(t&lt;Tnet,'2020'!Resal+('2020'!Salim-'2020'!Resal)*(1-EXP(('2020'!Tnet-t)/('2020'!Tau_j))),Resal+(Salim-Resal)*(1-EXP((Tnet-t)/(Tau_j))))*Salcycl</f>
        <v>5.9652036716008418E-2</v>
      </c>
      <c r="P196" s="171">
        <f>(INDEX(Models!$BJ196:$BT196,,T196)*(1-R196)+INDEX(Models!$BJ196:$BT196,,T196+1)*R196-ERP_i)*Q196*Ramure*Pc/MaxiM</f>
        <v>1.3546841355736148E-4</v>
      </c>
      <c r="Q196" s="307">
        <f t="shared" si="51"/>
        <v>1</v>
      </c>
      <c r="R196" s="179">
        <f t="shared" si="52"/>
        <v>0.79195246092188998</v>
      </c>
      <c r="S196" s="837">
        <f t="shared" si="53"/>
        <v>-1</v>
      </c>
      <c r="T196" s="178">
        <f t="shared" si="54"/>
        <v>5</v>
      </c>
      <c r="U196" s="253">
        <f t="shared" si="55"/>
        <v>-0.20804753907811008</v>
      </c>
      <c r="V196" s="385">
        <f t="shared" si="56"/>
        <v>58.70556317638642</v>
      </c>
      <c r="W196" s="404"/>
      <c r="X196" s="157">
        <f t="shared" si="57"/>
        <v>44378</v>
      </c>
      <c r="Y196" s="387">
        <f t="shared" si="58"/>
        <v>49.114075013363923</v>
      </c>
      <c r="Z196" s="387">
        <f t="shared" si="59"/>
        <v>50.346547566366091</v>
      </c>
      <c r="AA196" s="388">
        <f t="shared" si="60"/>
        <v>58.995226890041941</v>
      </c>
      <c r="AB196" s="199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0.1465996450830786</v>
      </c>
      <c r="AD196" s="233">
        <f>(INDEX(Models!$BJ196:$BT196,,AH196)*(1-AF196)+INDEX(Models!$BJ196:$BT196,,AH196+1)*AF196-ERP_i)*AE196*Ramure*Pc/MaxiM</f>
        <v>1.3546841355736148E-4</v>
      </c>
      <c r="AE196" s="307">
        <f t="shared" si="62"/>
        <v>1</v>
      </c>
      <c r="AF196" s="179">
        <f t="shared" si="63"/>
        <v>0.79195246092188998</v>
      </c>
      <c r="AG196" s="837">
        <f t="shared" si="71"/>
        <v>-1</v>
      </c>
      <c r="AH196" s="178">
        <f t="shared" si="64"/>
        <v>5</v>
      </c>
      <c r="AI196" s="227">
        <f t="shared" si="65"/>
        <v>-0.20804753907811008</v>
      </c>
      <c r="AJ196" s="267" t="b">
        <f t="shared" si="66"/>
        <v>0</v>
      </c>
      <c r="AK196" s="267" t="b">
        <f t="shared" si="67"/>
        <v>0</v>
      </c>
      <c r="AL196" s="267"/>
      <c r="AM196" s="267"/>
      <c r="AN196" s="75"/>
    </row>
    <row r="197" spans="1:40" s="6" customFormat="1" ht="11.25" x14ac:dyDescent="0.2">
      <c r="A197" s="56">
        <f t="shared" si="68"/>
        <v>44379</v>
      </c>
      <c r="B197" s="618">
        <v>52.317999999999998</v>
      </c>
      <c r="C197" s="392"/>
      <c r="D197" s="395">
        <f t="shared" si="48"/>
        <v>53.632120202382289</v>
      </c>
      <c r="E197" s="387">
        <f t="shared" si="72"/>
        <v>57.059970810644238</v>
      </c>
      <c r="F197" s="387">
        <f t="shared" si="49"/>
        <v>57.066664805016352</v>
      </c>
      <c r="G197" s="110">
        <f t="shared" si="73"/>
        <v>0.89268415802804879</v>
      </c>
      <c r="H197" s="414" t="b">
        <f>Wh_hp&gt;='2020'!Maxi_hp</f>
        <v>1</v>
      </c>
      <c r="I197" s="382">
        <f>IF(H197,Wh_hp,'2020'!Maxi_hp)</f>
        <v>57.066664805016352</v>
      </c>
      <c r="J197" s="85">
        <f>IF(H197,An,'2020'!An_max)</f>
        <v>2021</v>
      </c>
      <c r="K197" s="199">
        <f t="shared" si="50"/>
        <v>44379</v>
      </c>
      <c r="L197" s="147">
        <f>IF(t&lt;Tvie,1-EXP((T0-t)*PertePVj)+'2020'!Pspv,1-EXP((T0-t)*PertePVj)+Pspv)</f>
        <v>2.4502484657019319E-2</v>
      </c>
      <c r="M197" s="870"/>
      <c r="N197" s="870"/>
      <c r="O197" s="48">
        <f>IF(t&lt;Tnet,'2020'!Resal+('2020'!Salim-'2020'!Resal)*(1-EXP(('2020'!Tnet-t)/('2020'!Tau_j))),Resal+(Salim-Resal)*(1-EXP((Tnet-t)/(Tau_j))))*Salcycl</f>
        <v>6.0074524391843895E-2</v>
      </c>
      <c r="P197" s="171">
        <f>(INDEX(Models!$BJ197:$BT197,,T197)*(1-R197)+INDEX(Models!$BJ197:$BT197,,T197+1)*R197-ERP_i)*Q197*Ramure*Pc/MaxiM</f>
        <v>1.3853633062271608E-4</v>
      </c>
      <c r="Q197" s="307">
        <f t="shared" si="51"/>
        <v>1</v>
      </c>
      <c r="R197" s="179">
        <f t="shared" si="52"/>
        <v>0.79791508235261488</v>
      </c>
      <c r="S197" s="837">
        <f t="shared" si="53"/>
        <v>-1</v>
      </c>
      <c r="T197" s="178">
        <f t="shared" si="54"/>
        <v>5</v>
      </c>
      <c r="U197" s="253">
        <f t="shared" si="55"/>
        <v>-0.20208491764738518</v>
      </c>
      <c r="V197" s="385">
        <f t="shared" si="56"/>
        <v>58.606270118283291</v>
      </c>
      <c r="W197" s="404"/>
      <c r="X197" s="157">
        <f t="shared" si="57"/>
        <v>44379</v>
      </c>
      <c r="Y197" s="387">
        <f t="shared" si="58"/>
        <v>47.492653624932913</v>
      </c>
      <c r="Z197" s="387">
        <f t="shared" si="59"/>
        <v>48.685571083422701</v>
      </c>
      <c r="AA197" s="388">
        <f t="shared" si="60"/>
        <v>57.059970810644238</v>
      </c>
      <c r="AB197" s="199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0.1467648792708344</v>
      </c>
      <c r="AD197" s="233">
        <f>(INDEX(Models!$BJ197:$BT197,,AH197)*(1-AF197)+INDEX(Models!$BJ197:$BT197,,AH197+1)*AF197-ERP_i)*AE197*Ramure*Pc/MaxiM</f>
        <v>1.3853633062271608E-4</v>
      </c>
      <c r="AE197" s="307">
        <f t="shared" si="62"/>
        <v>1</v>
      </c>
      <c r="AF197" s="179">
        <f t="shared" si="63"/>
        <v>0.79791508235261488</v>
      </c>
      <c r="AG197" s="837">
        <f t="shared" si="71"/>
        <v>-1</v>
      </c>
      <c r="AH197" s="178">
        <f t="shared" si="64"/>
        <v>5</v>
      </c>
      <c r="AI197" s="227">
        <f t="shared" si="65"/>
        <v>-0.20208491764738518</v>
      </c>
      <c r="AJ197" s="267" t="b">
        <f t="shared" si="66"/>
        <v>0</v>
      </c>
      <c r="AK197" s="267" t="b">
        <f t="shared" si="67"/>
        <v>0</v>
      </c>
      <c r="AL197" s="267"/>
      <c r="AM197" s="267"/>
      <c r="AN197" s="75"/>
    </row>
    <row r="198" spans="1:40" s="6" customFormat="1" ht="11.25" x14ac:dyDescent="0.2">
      <c r="A198" s="56">
        <f t="shared" si="68"/>
        <v>44380</v>
      </c>
      <c r="B198" s="618">
        <v>33.305999999999997</v>
      </c>
      <c r="C198" s="392"/>
      <c r="D198" s="395">
        <f t="shared" si="48"/>
        <v>34.143372559594951</v>
      </c>
      <c r="E198" s="387">
        <f t="shared" si="72"/>
        <v>36.34184701554031</v>
      </c>
      <c r="F198" s="387">
        <f t="shared" si="49"/>
        <v>36.343844921405974</v>
      </c>
      <c r="G198" s="110">
        <f t="shared" si="73"/>
        <v>0.56924201988609047</v>
      </c>
      <c r="H198" s="414" t="b">
        <f>Wh_hp&gt;='2020'!Maxi_hp</f>
        <v>0</v>
      </c>
      <c r="I198" s="382">
        <f>IF(H198,Wh_hp,'2020'!Maxi_hp)</f>
        <v>51.612823612045531</v>
      </c>
      <c r="J198" s="85">
        <f>IF(H198,An,'2020'!An_max)</f>
        <v>2019</v>
      </c>
      <c r="K198" s="199">
        <f t="shared" si="50"/>
        <v>44380</v>
      </c>
      <c r="L198" s="147">
        <f>IF(t&lt;Tvie,1-EXP((T0-t)*PertePVj)+'2020'!Pspv,1-EXP((T0-t)*PertePVj)+Pspv)</f>
        <v>2.452518590931152E-2</v>
      </c>
      <c r="M198" s="870"/>
      <c r="N198" s="870"/>
      <c r="O198" s="48">
        <f>IF(t&lt;Tnet,'2020'!Resal+('2020'!Salim-'2020'!Resal)*(1-EXP(('2020'!Tnet-t)/('2020'!Tau_j))),Resal+(Salim-Resal)*(1-EXP((Tnet-t)/(Tau_j))))*Salcycl</f>
        <v>6.0494296148604125E-2</v>
      </c>
      <c r="P198" s="171">
        <f>(INDEX(Models!$BJ198:$BT198,,T198)*(1-R198)+INDEX(Models!$BJ198:$BT198,,T198+1)*R198-ERP_i)*Q198*Ramure*Pc/MaxiM</f>
        <v>1.428955209003234E-4</v>
      </c>
      <c r="Q198" s="307">
        <f t="shared" si="51"/>
        <v>1</v>
      </c>
      <c r="R198" s="179">
        <f t="shared" si="52"/>
        <v>0.80377481842682985</v>
      </c>
      <c r="S198" s="837">
        <f t="shared" si="53"/>
        <v>-1</v>
      </c>
      <c r="T198" s="178">
        <f t="shared" si="54"/>
        <v>5</v>
      </c>
      <c r="U198" s="253">
        <f t="shared" si="55"/>
        <v>-0.19622518157317015</v>
      </c>
      <c r="V198" s="385">
        <f t="shared" si="56"/>
        <v>58.504239507664309</v>
      </c>
      <c r="W198" s="404"/>
      <c r="X198" s="157">
        <f t="shared" si="57"/>
        <v>44380</v>
      </c>
      <c r="Y198" s="387">
        <f t="shared" si="58"/>
        <v>30.241959729996911</v>
      </c>
      <c r="Z198" s="387">
        <f t="shared" si="59"/>
        <v>31.002296823201586</v>
      </c>
      <c r="AA198" s="388">
        <f t="shared" si="60"/>
        <v>36.34184701554031</v>
      </c>
      <c r="AB198" s="199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0.14692566918944586</v>
      </c>
      <c r="AD198" s="233">
        <f>(INDEX(Models!$BJ198:$BT198,,AH198)*(1-AF198)+INDEX(Models!$BJ198:$BT198,,AH198+1)*AF198-ERP_i)*AE198*Ramure*Pc/MaxiM</f>
        <v>1.428955209003234E-4</v>
      </c>
      <c r="AE198" s="307">
        <f t="shared" si="62"/>
        <v>1</v>
      </c>
      <c r="AF198" s="179">
        <f t="shared" si="63"/>
        <v>0.80377481842682985</v>
      </c>
      <c r="AG198" s="837">
        <f t="shared" si="71"/>
        <v>-1</v>
      </c>
      <c r="AH198" s="178">
        <f t="shared" si="64"/>
        <v>5</v>
      </c>
      <c r="AI198" s="227">
        <f t="shared" si="65"/>
        <v>-0.19622518157317015</v>
      </c>
      <c r="AJ198" s="267" t="b">
        <f t="shared" si="66"/>
        <v>0</v>
      </c>
      <c r="AK198" s="267" t="b">
        <f t="shared" si="67"/>
        <v>0</v>
      </c>
      <c r="AL198" s="267"/>
      <c r="AM198" s="267"/>
      <c r="AN198" s="75"/>
    </row>
    <row r="199" spans="1:40" s="6" customFormat="1" ht="11.25" x14ac:dyDescent="0.2">
      <c r="A199" s="56">
        <f t="shared" si="68"/>
        <v>44381</v>
      </c>
      <c r="B199" s="618">
        <v>34.670999999999999</v>
      </c>
      <c r="C199" s="392"/>
      <c r="D199" s="395">
        <f t="shared" si="48"/>
        <v>35.543518256714904</v>
      </c>
      <c r="E199" s="387">
        <f t="shared" si="72"/>
        <v>37.848949419539451</v>
      </c>
      <c r="F199" s="387">
        <f t="shared" si="49"/>
        <v>37.851307307115533</v>
      </c>
      <c r="G199" s="110">
        <f t="shared" si="73"/>
        <v>0.59363774469495934</v>
      </c>
      <c r="H199" s="414" t="b">
        <f>Wh_hp&gt;='2020'!Maxi_hp</f>
        <v>0</v>
      </c>
      <c r="I199" s="382">
        <f>IF(H199,Wh_hp,'2020'!Maxi_hp)</f>
        <v>59.307857255602293</v>
      </c>
      <c r="J199" s="85">
        <f>IF(H199,An,'2020'!An_max)</f>
        <v>2019</v>
      </c>
      <c r="K199" s="199">
        <f t="shared" si="50"/>
        <v>44381</v>
      </c>
      <c r="L199" s="147">
        <f>IF(t&lt;Tvie,1-EXP((T0-t)*PertePVj)+'2020'!Pspv,1-EXP((T0-t)*PertePVj)+Pspv)</f>
        <v>2.4547886633312421E-2</v>
      </c>
      <c r="M199" s="870"/>
      <c r="N199" s="870"/>
      <c r="O199" s="48">
        <f>IF(t&lt;Tnet,'2020'!Resal+('2020'!Salim-'2020'!Resal)*(1-EXP(('2020'!Tnet-t)/('2020'!Tau_j))),Resal+(Salim-Resal)*(1-EXP((Tnet-t)/(Tau_j))))*Salcycl</f>
        <v>6.0911364732210233E-2</v>
      </c>
      <c r="P199" s="171">
        <f>(INDEX(Models!$BJ199:$BT199,,T199)*(1-R199)+INDEX(Models!$BJ199:$BT199,,T199+1)*R199-ERP_i)*Q199*Ramure*Pc/MaxiM</f>
        <v>1.4847478286974923E-4</v>
      </c>
      <c r="Q199" s="307">
        <f t="shared" si="51"/>
        <v>1</v>
      </c>
      <c r="R199" s="179">
        <f t="shared" si="52"/>
        <v>0.80952949074036984</v>
      </c>
      <c r="S199" s="837">
        <f t="shared" si="53"/>
        <v>-1</v>
      </c>
      <c r="T199" s="178">
        <f t="shared" si="54"/>
        <v>5</v>
      </c>
      <c r="U199" s="253">
        <f t="shared" si="55"/>
        <v>-0.19047050925963016</v>
      </c>
      <c r="V199" s="385">
        <f t="shared" si="56"/>
        <v>58.399271491428507</v>
      </c>
      <c r="W199" s="404"/>
      <c r="X199" s="157">
        <f t="shared" si="57"/>
        <v>44381</v>
      </c>
      <c r="Y199" s="387">
        <f t="shared" si="58"/>
        <v>31.489589973756296</v>
      </c>
      <c r="Z199" s="387">
        <f t="shared" si="59"/>
        <v>32.282045978733628</v>
      </c>
      <c r="AA199" s="388">
        <f t="shared" si="60"/>
        <v>37.848949419539451</v>
      </c>
      <c r="AB199" s="199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0.14708211261293078</v>
      </c>
      <c r="AD199" s="233">
        <f>(INDEX(Models!$BJ199:$BT199,,AH199)*(1-AF199)+INDEX(Models!$BJ199:$BT199,,AH199+1)*AF199-ERP_i)*AE199*Ramure*Pc/MaxiM</f>
        <v>1.4847478286974923E-4</v>
      </c>
      <c r="AE199" s="307">
        <f t="shared" si="62"/>
        <v>1</v>
      </c>
      <c r="AF199" s="179">
        <f t="shared" si="63"/>
        <v>0.80952949074036984</v>
      </c>
      <c r="AG199" s="837">
        <f t="shared" si="71"/>
        <v>-1</v>
      </c>
      <c r="AH199" s="178">
        <f t="shared" si="64"/>
        <v>5</v>
      </c>
      <c r="AI199" s="227">
        <f t="shared" si="65"/>
        <v>-0.19047050925963016</v>
      </c>
      <c r="AJ199" s="267" t="b">
        <f t="shared" si="66"/>
        <v>0</v>
      </c>
      <c r="AK199" s="267" t="b">
        <f t="shared" si="67"/>
        <v>0</v>
      </c>
      <c r="AL199" s="267"/>
      <c r="AM199" s="267"/>
      <c r="AN199" s="75"/>
    </row>
    <row r="200" spans="1:40" s="6" customFormat="1" ht="11.25" x14ac:dyDescent="0.2">
      <c r="A200" s="56">
        <f t="shared" si="68"/>
        <v>44382</v>
      </c>
      <c r="B200" s="618">
        <v>57.122</v>
      </c>
      <c r="C200" s="392"/>
      <c r="D200" s="395">
        <f t="shared" si="48"/>
        <v>58.560875065583133</v>
      </c>
      <c r="E200" s="387">
        <f t="shared" si="72"/>
        <v>62.386791696758351</v>
      </c>
      <c r="F200" s="387">
        <f t="shared" si="49"/>
        <v>62.396203571574965</v>
      </c>
      <c r="G200" s="110">
        <f t="shared" si="73"/>
        <v>0.9799383754410913</v>
      </c>
      <c r="H200" s="414" t="b">
        <f>Wh_hp&gt;='2020'!Maxi_hp</f>
        <v>1</v>
      </c>
      <c r="I200" s="382">
        <f>IF(H200,Wh_hp,'2020'!Maxi_hp)</f>
        <v>62.396203571574965</v>
      </c>
      <c r="J200" s="85">
        <f>IF(H200,An,'2020'!An_max)</f>
        <v>2021</v>
      </c>
      <c r="K200" s="199">
        <f t="shared" si="50"/>
        <v>44382</v>
      </c>
      <c r="L200" s="147">
        <f>IF(t&lt;Tvie,1-EXP((T0-t)*PertePVj)+'2020'!Pspv,1-EXP((T0-t)*PertePVj)+Pspv)</f>
        <v>2.4570586829034236E-2</v>
      </c>
      <c r="M200" s="870"/>
      <c r="N200" s="870"/>
      <c r="O200" s="48">
        <f>IF(t&lt;Tnet,'2020'!Resal+('2020'!Salim-'2020'!Resal)*(1-EXP(('2020'!Tnet-t)/('2020'!Tau_j))),Resal+(Salim-Resal)*(1-EXP((Tnet-t)/(Tau_j))))*Salcycl</f>
        <v>6.1325747439806504E-2</v>
      </c>
      <c r="P200" s="171">
        <f>(INDEX(Models!$BJ200:$BT200,,T200)*(1-R200)+INDEX(Models!$BJ200:$BT200,,T200+1)*R200-ERP_i)*Q200*Ramure*Pc/MaxiM</f>
        <v>1.5529006693360215E-4</v>
      </c>
      <c r="Q200" s="307">
        <f t="shared" si="51"/>
        <v>1</v>
      </c>
      <c r="R200" s="179">
        <f t="shared" si="52"/>
        <v>0.81517717244433319</v>
      </c>
      <c r="S200" s="837">
        <f t="shared" si="53"/>
        <v>-1</v>
      </c>
      <c r="T200" s="178">
        <f t="shared" si="54"/>
        <v>5</v>
      </c>
      <c r="U200" s="253">
        <f t="shared" si="55"/>
        <v>-0.18482282755566681</v>
      </c>
      <c r="V200" s="385">
        <f t="shared" si="56"/>
        <v>58.291161184528669</v>
      </c>
      <c r="W200" s="404"/>
      <c r="X200" s="157">
        <f t="shared" si="57"/>
        <v>44382</v>
      </c>
      <c r="Y200" s="387">
        <f t="shared" si="58"/>
        <v>51.894127601687728</v>
      </c>
      <c r="Z200" s="387">
        <f t="shared" si="59"/>
        <v>53.201315134621765</v>
      </c>
      <c r="AA200" s="388">
        <f t="shared" si="60"/>
        <v>62.386791696758351</v>
      </c>
      <c r="AB200" s="199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0.14723431534649462</v>
      </c>
      <c r="AD200" s="233">
        <f>(INDEX(Models!$BJ200:$BT200,,AH200)*(1-AF200)+INDEX(Models!$BJ200:$BT200,,AH200+1)*AF200-ERP_i)*AE200*Ramure*Pc/MaxiM</f>
        <v>1.5529006693360215E-4</v>
      </c>
      <c r="AE200" s="307">
        <f t="shared" si="62"/>
        <v>1</v>
      </c>
      <c r="AF200" s="179">
        <f t="shared" si="63"/>
        <v>0.81517717244433319</v>
      </c>
      <c r="AG200" s="837">
        <f t="shared" si="71"/>
        <v>-1</v>
      </c>
      <c r="AH200" s="178">
        <f t="shared" si="64"/>
        <v>5</v>
      </c>
      <c r="AI200" s="227">
        <f t="shared" si="65"/>
        <v>-0.18482282755566681</v>
      </c>
      <c r="AJ200" s="267" t="b">
        <f t="shared" si="66"/>
        <v>0</v>
      </c>
      <c r="AK200" s="267" t="b">
        <f t="shared" si="67"/>
        <v>0</v>
      </c>
      <c r="AL200" s="267"/>
      <c r="AM200" s="267"/>
      <c r="AN200" s="75"/>
    </row>
    <row r="201" spans="1:40" s="6" customFormat="1" ht="11.25" x14ac:dyDescent="0.2">
      <c r="A201" s="56">
        <f t="shared" si="68"/>
        <v>44383</v>
      </c>
      <c r="B201" s="618">
        <v>21.157</v>
      </c>
      <c r="C201" s="392"/>
      <c r="D201" s="395">
        <f t="shared" si="48"/>
        <v>21.690439185114194</v>
      </c>
      <c r="E201" s="387">
        <f t="shared" si="72"/>
        <v>23.117665254807882</v>
      </c>
      <c r="F201" s="387">
        <f t="shared" si="49"/>
        <v>23.118008641944609</v>
      </c>
      <c r="G201" s="110">
        <f t="shared" si="73"/>
        <v>0.36359514876515553</v>
      </c>
      <c r="H201" s="414" t="b">
        <f>Wh_hp&gt;='2020'!Maxi_hp</f>
        <v>0</v>
      </c>
      <c r="I201" s="382">
        <f>IF(H201,Wh_hp,'2020'!Maxi_hp)</f>
        <v>61.545383485754634</v>
      </c>
      <c r="J201" s="85">
        <f>IF(H201,An,'2020'!An_max)</f>
        <v>2020</v>
      </c>
      <c r="K201" s="199">
        <f t="shared" si="50"/>
        <v>44383</v>
      </c>
      <c r="L201" s="147">
        <f>IF(t&lt;Tvie,1-EXP((T0-t)*PertePVj)+'2020'!Pspv,1-EXP((T0-t)*PertePVj)+Pspv)</f>
        <v>2.4593286496489397E-2</v>
      </c>
      <c r="M201" s="870"/>
      <c r="N201" s="870"/>
      <c r="O201" s="48">
        <f>IF(t&lt;Tnet,'2020'!Resal+('2020'!Salim-'2020'!Resal)*(1-EXP(('2020'!Tnet-t)/('2020'!Tau_j))),Resal+(Salim-Resal)*(1-EXP((Tnet-t)/(Tau_j))))*Salcycl</f>
        <v>6.1737465871336675E-2</v>
      </c>
      <c r="P201" s="171">
        <f>(INDEX(Models!$BJ201:$BT201,,T201)*(1-R201)+INDEX(Models!$BJ201:$BT201,,T201+1)*R201-ERP_i)*Q201*Ramure*Pc/MaxiM</f>
        <v>1.6335747540208235E-4</v>
      </c>
      <c r="Q201" s="307">
        <f t="shared" si="51"/>
        <v>1</v>
      </c>
      <c r="R201" s="179">
        <f t="shared" si="52"/>
        <v>0.82071618488990972</v>
      </c>
      <c r="S201" s="837">
        <f t="shared" si="53"/>
        <v>-1</v>
      </c>
      <c r="T201" s="178">
        <f t="shared" si="54"/>
        <v>5</v>
      </c>
      <c r="U201" s="253">
        <f t="shared" si="55"/>
        <v>-0.17928381511009028</v>
      </c>
      <c r="V201" s="385">
        <f t="shared" si="56"/>
        <v>58.179703799787688</v>
      </c>
      <c r="W201" s="404"/>
      <c r="X201" s="157">
        <f t="shared" si="57"/>
        <v>44383</v>
      </c>
      <c r="Y201" s="387">
        <f t="shared" si="58"/>
        <v>19.225781814089729</v>
      </c>
      <c r="Z201" s="387">
        <f t="shared" si="59"/>
        <v>19.710528488197177</v>
      </c>
      <c r="AA201" s="388">
        <f t="shared" si="60"/>
        <v>23.117665254807882</v>
      </c>
      <c r="AB201" s="199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0.14738239043850274</v>
      </c>
      <c r="AD201" s="233">
        <f>(INDEX(Models!$BJ201:$BT201,,AH201)*(1-AF201)+INDEX(Models!$BJ201:$BT201,,AH201+1)*AF201-ERP_i)*AE201*Ramure*Pc/MaxiM</f>
        <v>1.6335747540208235E-4</v>
      </c>
      <c r="AE201" s="307">
        <f t="shared" si="62"/>
        <v>1</v>
      </c>
      <c r="AF201" s="179">
        <f t="shared" si="63"/>
        <v>0.82071618488990972</v>
      </c>
      <c r="AG201" s="837">
        <f t="shared" si="71"/>
        <v>-1</v>
      </c>
      <c r="AH201" s="178">
        <f t="shared" si="64"/>
        <v>5</v>
      </c>
      <c r="AI201" s="227">
        <f t="shared" si="65"/>
        <v>-0.17928381511009028</v>
      </c>
      <c r="AJ201" s="267" t="b">
        <f t="shared" si="66"/>
        <v>0</v>
      </c>
      <c r="AK201" s="267" t="b">
        <f t="shared" si="67"/>
        <v>0</v>
      </c>
      <c r="AL201" s="267"/>
      <c r="AM201" s="267"/>
      <c r="AN201" s="75"/>
    </row>
    <row r="202" spans="1:40" s="6" customFormat="1" ht="11.25" x14ac:dyDescent="0.2">
      <c r="A202" s="56">
        <f t="shared" si="68"/>
        <v>44384</v>
      </c>
      <c r="B202" s="618">
        <v>35.736000000000004</v>
      </c>
      <c r="C202" s="392"/>
      <c r="D202" s="395">
        <f t="shared" si="48"/>
        <v>36.637877465410732</v>
      </c>
      <c r="E202" s="387">
        <f t="shared" si="72"/>
        <v>39.065674168784611</v>
      </c>
      <c r="F202" s="387">
        <f t="shared" si="49"/>
        <v>39.068714627681743</v>
      </c>
      <c r="G202" s="110">
        <f t="shared" si="73"/>
        <v>0.61539304867474331</v>
      </c>
      <c r="H202" s="414" t="b">
        <f>Wh_hp&gt;='2020'!Maxi_hp</f>
        <v>0</v>
      </c>
      <c r="I202" s="382">
        <f>IF(H202,Wh_hp,'2020'!Maxi_hp)</f>
        <v>53.108795063091954</v>
      </c>
      <c r="J202" s="85">
        <f>IF(H202,An,'2020'!An_max)</f>
        <v>2019</v>
      </c>
      <c r="K202" s="199">
        <f t="shared" si="50"/>
        <v>44384</v>
      </c>
      <c r="L202" s="147">
        <f>IF(t&lt;Tvie,1-EXP((T0-t)*PertePVj)+'2020'!Pspv,1-EXP((T0-t)*PertePVj)+Pspv)</f>
        <v>2.4615985635690119E-2</v>
      </c>
      <c r="M202" s="870"/>
      <c r="N202" s="870"/>
      <c r="O202" s="48">
        <f>IF(t&lt;Tnet,'2020'!Resal+('2020'!Salim-'2020'!Resal)*(1-EXP(('2020'!Tnet-t)/('2020'!Tau_j))),Resal+(Salim-Resal)*(1-EXP((Tnet-t)/(Tau_j))))*Salcycl</f>
        <v>6.2146545657563695E-2</v>
      </c>
      <c r="P202" s="171">
        <f>(INDEX(Models!$BJ202:$BT202,,T202)*(1-R202)+INDEX(Models!$BJ202:$BT202,,T202+1)*R202-ERP_i)*Q202*Ramure*Pc/MaxiM</f>
        <v>1.7269331965985053E-4</v>
      </c>
      <c r="Q202" s="307">
        <f t="shared" si="51"/>
        <v>1</v>
      </c>
      <c r="R202" s="179">
        <f t="shared" si="52"/>
        <v>0.82614509329096519</v>
      </c>
      <c r="S202" s="837">
        <f t="shared" si="53"/>
        <v>-1</v>
      </c>
      <c r="T202" s="178">
        <f t="shared" si="54"/>
        <v>5</v>
      </c>
      <c r="U202" s="253">
        <f t="shared" si="55"/>
        <v>-0.17385490670903481</v>
      </c>
      <c r="V202" s="385">
        <f t="shared" si="56"/>
        <v>58.064694653996376</v>
      </c>
      <c r="W202" s="404"/>
      <c r="X202" s="157">
        <f t="shared" si="57"/>
        <v>44384</v>
      </c>
      <c r="Y202" s="387">
        <f t="shared" si="58"/>
        <v>32.482680933272086</v>
      </c>
      <c r="Z202" s="387">
        <f t="shared" si="59"/>
        <v>33.302453654053501</v>
      </c>
      <c r="AA202" s="388">
        <f t="shared" si="60"/>
        <v>39.065674168784611</v>
      </c>
      <c r="AB202" s="199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0.14752645736589409</v>
      </c>
      <c r="AD202" s="233">
        <f>(INDEX(Models!$BJ202:$BT202,,AH202)*(1-AF202)+INDEX(Models!$BJ202:$BT202,,AH202+1)*AF202-ERP_i)*AE202*Ramure*Pc/MaxiM</f>
        <v>1.7269331965985053E-4</v>
      </c>
      <c r="AE202" s="307">
        <f t="shared" si="62"/>
        <v>1</v>
      </c>
      <c r="AF202" s="179">
        <f t="shared" si="63"/>
        <v>0.82614509329096519</v>
      </c>
      <c r="AG202" s="837">
        <f t="shared" si="71"/>
        <v>-1</v>
      </c>
      <c r="AH202" s="178">
        <f t="shared" si="64"/>
        <v>5</v>
      </c>
      <c r="AI202" s="227">
        <f t="shared" si="65"/>
        <v>-0.17385490670903481</v>
      </c>
      <c r="AJ202" s="267" t="b">
        <f t="shared" si="66"/>
        <v>0</v>
      </c>
      <c r="AK202" s="267" t="b">
        <f t="shared" si="67"/>
        <v>0</v>
      </c>
      <c r="AL202" s="267"/>
      <c r="AM202" s="267"/>
      <c r="AN202" s="75"/>
    </row>
    <row r="203" spans="1:40" s="6" customFormat="1" ht="11.25" x14ac:dyDescent="0.2">
      <c r="A203" s="56">
        <f t="shared" si="68"/>
        <v>44385</v>
      </c>
      <c r="B203" s="618">
        <v>50.313000000000002</v>
      </c>
      <c r="C203" s="392"/>
      <c r="D203" s="395">
        <f t="shared" si="48"/>
        <v>51.583960925433217</v>
      </c>
      <c r="E203" s="387">
        <f t="shared" si="72"/>
        <v>55.026003406095754</v>
      </c>
      <c r="F203" s="387">
        <f t="shared" si="49"/>
        <v>55.034193505251444</v>
      </c>
      <c r="G203" s="110">
        <f t="shared" si="73"/>
        <v>0.86824501498202644</v>
      </c>
      <c r="H203" s="414" t="b">
        <f>Wh_hp&gt;='2020'!Maxi_hp</f>
        <v>0</v>
      </c>
      <c r="I203" s="382">
        <f>IF(H203,Wh_hp,'2020'!Maxi_hp)</f>
        <v>62.964795608698509</v>
      </c>
      <c r="J203" s="85">
        <f>IF(H203,An,'2020'!An_max)</f>
        <v>2020</v>
      </c>
      <c r="K203" s="199">
        <f t="shared" si="50"/>
        <v>44385</v>
      </c>
      <c r="L203" s="147">
        <f>IF(t&lt;Tvie,1-EXP((T0-t)*PertePVj)+'2020'!Pspv,1-EXP((T0-t)*PertePVj)+Pspv)</f>
        <v>2.4638684246648723E-2</v>
      </c>
      <c r="M203" s="870"/>
      <c r="N203" s="870"/>
      <c r="O203" s="48">
        <f>IF(t&lt;Tnet,'2020'!Resal+('2020'!Salim-'2020'!Resal)*(1-EXP(('2020'!Tnet-t)/('2020'!Tau_j))),Resal+(Salim-Resal)*(1-EXP((Tnet-t)/(Tau_j))))*Salcycl</f>
        <v>6.2553016166920619E-2</v>
      </c>
      <c r="P203" s="171">
        <f>(INDEX(Models!$BJ203:$BT203,,T203)*(1-R203)+INDEX(Models!$BJ203:$BT203,,T203+1)*R203-ERP_i)*Q203*Ramure*Pc/MaxiM</f>
        <v>1.8331418169641468E-4</v>
      </c>
      <c r="Q203" s="307">
        <f t="shared" si="51"/>
        <v>1</v>
      </c>
      <c r="R203" s="179">
        <f t="shared" si="52"/>
        <v>0.83146270148280854</v>
      </c>
      <c r="S203" s="837">
        <f t="shared" si="53"/>
        <v>-1</v>
      </c>
      <c r="T203" s="178">
        <f t="shared" si="54"/>
        <v>5</v>
      </c>
      <c r="U203" s="253">
        <f t="shared" si="55"/>
        <v>-0.16853729851719146</v>
      </c>
      <c r="V203" s="385">
        <f t="shared" si="56"/>
        <v>57.945929185795599</v>
      </c>
      <c r="W203" s="404"/>
      <c r="X203" s="157">
        <f t="shared" si="57"/>
        <v>44385</v>
      </c>
      <c r="Y203" s="387">
        <f t="shared" si="58"/>
        <v>45.744931735765107</v>
      </c>
      <c r="Z203" s="387">
        <f t="shared" si="59"/>
        <v>46.900498304500168</v>
      </c>
      <c r="AA203" s="388">
        <f t="shared" si="60"/>
        <v>55.026003406095754</v>
      </c>
      <c r="AB203" s="199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0.14766664119923062</v>
      </c>
      <c r="AD203" s="233">
        <f>(INDEX(Models!$BJ203:$BT203,,AH203)*(1-AF203)+INDEX(Models!$BJ203:$BT203,,AH203+1)*AF203-ERP_i)*AE203*Ramure*Pc/MaxiM</f>
        <v>1.8331418169641468E-4</v>
      </c>
      <c r="AE203" s="307">
        <f t="shared" si="62"/>
        <v>1</v>
      </c>
      <c r="AF203" s="179">
        <f t="shared" si="63"/>
        <v>0.83146270148280854</v>
      </c>
      <c r="AG203" s="837">
        <f t="shared" si="71"/>
        <v>-1</v>
      </c>
      <c r="AH203" s="178">
        <f t="shared" si="64"/>
        <v>5</v>
      </c>
      <c r="AI203" s="227">
        <f t="shared" si="65"/>
        <v>-0.16853729851719146</v>
      </c>
      <c r="AJ203" s="267" t="b">
        <f t="shared" si="66"/>
        <v>0</v>
      </c>
      <c r="AK203" s="267" t="b">
        <f t="shared" si="67"/>
        <v>0</v>
      </c>
      <c r="AL203" s="267"/>
      <c r="AM203" s="267"/>
      <c r="AN203" s="75"/>
    </row>
    <row r="204" spans="1:40" s="6" customFormat="1" ht="11.25" x14ac:dyDescent="0.2">
      <c r="A204" s="56">
        <f t="shared" si="68"/>
        <v>44386</v>
      </c>
      <c r="B204" s="618">
        <v>56.79</v>
      </c>
      <c r="C204" s="392"/>
      <c r="D204" s="395">
        <f t="shared" si="48"/>
        <v>58.225931969791347</v>
      </c>
      <c r="E204" s="387">
        <f t="shared" si="72"/>
        <v>62.137944992295154</v>
      </c>
      <c r="F204" s="387">
        <f t="shared" si="49"/>
        <v>62.149769192838704</v>
      </c>
      <c r="G204" s="110">
        <f t="shared" si="73"/>
        <v>0.98212679345929776</v>
      </c>
      <c r="H204" s="414" t="b">
        <f>Wh_hp&gt;='2020'!Maxi_hp</f>
        <v>1</v>
      </c>
      <c r="I204" s="382">
        <f>IF(H204,Wh_hp,'2020'!Maxi_hp)</f>
        <v>62.149769192838704</v>
      </c>
      <c r="J204" s="85">
        <f>IF(H204,An,'2020'!An_max)</f>
        <v>2021</v>
      </c>
      <c r="K204" s="199">
        <f t="shared" si="50"/>
        <v>44386</v>
      </c>
      <c r="L204" s="147">
        <f>IF(t&lt;Tvie,1-EXP((T0-t)*PertePVj)+'2020'!Pspv,1-EXP((T0-t)*PertePVj)+Pspv)</f>
        <v>2.4661382329377424E-2</v>
      </c>
      <c r="M204" s="870"/>
      <c r="N204" s="870"/>
      <c r="O204" s="48">
        <f>IF(t&lt;Tnet,'2020'!Resal+('2020'!Salim-'2020'!Resal)*(1-EXP(('2020'!Tnet-t)/('2020'!Tau_j))),Resal+(Salim-Resal)*(1-EXP((Tnet-t)/(Tau_j))))*Salcycl</f>
        <v>6.2956910193745233E-2</v>
      </c>
      <c r="P204" s="171">
        <f>(INDEX(Models!$BJ204:$BT204,,T204)*(1-R204)+INDEX(Models!$BJ204:$BT204,,T204+1)*R204-ERP_i)*Q204*Ramure*Pc/MaxiM</f>
        <v>1.9523698004780715E-4</v>
      </c>
      <c r="Q204" s="307">
        <f t="shared" si="51"/>
        <v>1</v>
      </c>
      <c r="R204" s="179">
        <f t="shared" si="52"/>
        <v>0.83666804585844146</v>
      </c>
      <c r="S204" s="837">
        <f t="shared" si="53"/>
        <v>-1</v>
      </c>
      <c r="T204" s="178">
        <f t="shared" si="54"/>
        <v>5</v>
      </c>
      <c r="U204" s="253">
        <f t="shared" si="55"/>
        <v>-0.16333195414155854</v>
      </c>
      <c r="V204" s="385">
        <f t="shared" si="56"/>
        <v>57.823202974257853</v>
      </c>
      <c r="W204" s="404"/>
      <c r="X204" s="157">
        <f t="shared" si="57"/>
        <v>44386</v>
      </c>
      <c r="Y204" s="387">
        <f t="shared" si="58"/>
        <v>51.647852784566204</v>
      </c>
      <c r="Z204" s="387">
        <f t="shared" si="59"/>
        <v>52.953765849972712</v>
      </c>
      <c r="AA204" s="388">
        <f t="shared" si="60"/>
        <v>62.137944992295154</v>
      </c>
      <c r="AB204" s="199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0.14780307175368035</v>
      </c>
      <c r="AD204" s="233">
        <f>(INDEX(Models!$BJ204:$BT204,,AH204)*(1-AF204)+INDEX(Models!$BJ204:$BT204,,AH204+1)*AF204-ERP_i)*AE204*Ramure*Pc/MaxiM</f>
        <v>1.9523698004780715E-4</v>
      </c>
      <c r="AE204" s="307">
        <f t="shared" si="62"/>
        <v>1</v>
      </c>
      <c r="AF204" s="179">
        <f t="shared" si="63"/>
        <v>0.83666804585844146</v>
      </c>
      <c r="AG204" s="837">
        <f t="shared" si="71"/>
        <v>-1</v>
      </c>
      <c r="AH204" s="178">
        <f t="shared" si="64"/>
        <v>5</v>
      </c>
      <c r="AI204" s="227">
        <f t="shared" si="65"/>
        <v>-0.16333195414155854</v>
      </c>
      <c r="AJ204" s="267" t="b">
        <f t="shared" si="66"/>
        <v>0</v>
      </c>
      <c r="AK204" s="267" t="b">
        <f t="shared" si="67"/>
        <v>0</v>
      </c>
      <c r="AL204" s="267"/>
      <c r="AM204" s="267"/>
      <c r="AN204" s="75"/>
    </row>
    <row r="205" spans="1:40" s="6" customFormat="1" ht="11.25" x14ac:dyDescent="0.2">
      <c r="A205" s="56">
        <f t="shared" si="68"/>
        <v>44387</v>
      </c>
      <c r="B205" s="618">
        <v>49.432000000000002</v>
      </c>
      <c r="C205" s="392"/>
      <c r="D205" s="395">
        <f t="shared" si="48"/>
        <v>50.683064820796858</v>
      </c>
      <c r="E205" s="387">
        <f t="shared" si="72"/>
        <v>54.111473846183266</v>
      </c>
      <c r="F205" s="387">
        <f t="shared" si="49"/>
        <v>54.120448008326875</v>
      </c>
      <c r="G205" s="110">
        <f t="shared" si="73"/>
        <v>0.85672429272060091</v>
      </c>
      <c r="H205" s="414" t="b">
        <f>Wh_hp&gt;='2020'!Maxi_hp</f>
        <v>0</v>
      </c>
      <c r="I205" s="382">
        <f>IF(H205,Wh_hp,'2020'!Maxi_hp)</f>
        <v>63.097862001735528</v>
      </c>
      <c r="J205" s="85">
        <f>IF(H205,An,'2020'!An_max)</f>
        <v>2019</v>
      </c>
      <c r="K205" s="199">
        <f t="shared" si="50"/>
        <v>44387</v>
      </c>
      <c r="L205" s="147">
        <f>IF(t&lt;Tvie,1-EXP((T0-t)*PertePVj)+'2020'!Pspv,1-EXP((T0-t)*PertePVj)+Pspv)</f>
        <v>2.4684079883888654E-2</v>
      </c>
      <c r="M205" s="870"/>
      <c r="N205" s="870"/>
      <c r="O205" s="48">
        <f>IF(t&lt;Tnet,'2020'!Resal+('2020'!Salim-'2020'!Resal)*(1-EXP(('2020'!Tnet-t)/('2020'!Tau_j))),Resal+(Salim-Resal)*(1-EXP((Tnet-t)/(Tau_j))))*Salcycl</f>
        <v>6.3358263630592784E-2</v>
      </c>
      <c r="P205" s="171">
        <f>(INDEX(Models!$BJ205:$BT205,,T205)*(1-R205)+INDEX(Models!$BJ205:$BT205,,T205+1)*R205-ERP_i)*Q205*Ramure*Pc/MaxiM</f>
        <v>2.0847879151576767E-4</v>
      </c>
      <c r="Q205" s="307">
        <f t="shared" si="51"/>
        <v>1</v>
      </c>
      <c r="R205" s="179">
        <f t="shared" si="52"/>
        <v>0.8417603885654017</v>
      </c>
      <c r="S205" s="837">
        <f t="shared" si="53"/>
        <v>-1</v>
      </c>
      <c r="T205" s="178">
        <f t="shared" si="54"/>
        <v>5</v>
      </c>
      <c r="U205" s="253">
        <f t="shared" si="55"/>
        <v>-0.1582396114345983</v>
      </c>
      <c r="V205" s="385">
        <f t="shared" si="56"/>
        <v>57.696380595457832</v>
      </c>
      <c r="W205" s="404"/>
      <c r="X205" s="157">
        <f t="shared" si="57"/>
        <v>44387</v>
      </c>
      <c r="Y205" s="387">
        <f t="shared" si="58"/>
        <v>44.968350020403328</v>
      </c>
      <c r="Z205" s="387">
        <f t="shared" si="59"/>
        <v>46.106445196803357</v>
      </c>
      <c r="AA205" s="388">
        <f t="shared" si="60"/>
        <v>54.111473846183266</v>
      </c>
      <c r="AB205" s="199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0.147935882732282</v>
      </c>
      <c r="AD205" s="233">
        <f>(INDEX(Models!$BJ205:$BT205,,AH205)*(1-AF205)+INDEX(Models!$BJ205:$BT205,,AH205+1)*AF205-ERP_i)*AE205*Ramure*Pc/MaxiM</f>
        <v>2.0847879151576767E-4</v>
      </c>
      <c r="AE205" s="307">
        <f t="shared" si="62"/>
        <v>1</v>
      </c>
      <c r="AF205" s="179">
        <f t="shared" si="63"/>
        <v>0.8417603885654017</v>
      </c>
      <c r="AG205" s="837">
        <f t="shared" si="71"/>
        <v>-1</v>
      </c>
      <c r="AH205" s="178">
        <f t="shared" si="64"/>
        <v>5</v>
      </c>
      <c r="AI205" s="227">
        <f t="shared" si="65"/>
        <v>-0.1582396114345983</v>
      </c>
      <c r="AJ205" s="267" t="b">
        <f t="shared" si="66"/>
        <v>0</v>
      </c>
      <c r="AK205" s="267" t="b">
        <f t="shared" si="67"/>
        <v>0</v>
      </c>
      <c r="AL205" s="267"/>
      <c r="AM205" s="267"/>
      <c r="AN205" s="75"/>
    </row>
    <row r="206" spans="1:40" s="6" customFormat="1" ht="11.25" x14ac:dyDescent="0.2">
      <c r="A206" s="56">
        <f t="shared" si="68"/>
        <v>44388</v>
      </c>
      <c r="B206" s="618">
        <v>48.47</v>
      </c>
      <c r="C206" s="392"/>
      <c r="D206" s="395">
        <f t="shared" si="48"/>
        <v>49.697874293069773</v>
      </c>
      <c r="E206" s="387">
        <f t="shared" si="72"/>
        <v>53.082245105482656</v>
      </c>
      <c r="F206" s="387">
        <f t="shared" si="49"/>
        <v>53.091450985561622</v>
      </c>
      <c r="G206" s="110">
        <f t="shared" si="73"/>
        <v>0.84195406555254593</v>
      </c>
      <c r="H206" s="414" t="b">
        <f>Wh_hp&gt;='2020'!Maxi_hp</f>
        <v>0</v>
      </c>
      <c r="I206" s="382">
        <f>IF(H206,Wh_hp,'2020'!Maxi_hp)</f>
        <v>62.66471285413887</v>
      </c>
      <c r="J206" s="85">
        <f>IF(H206,An,'2020'!An_max)</f>
        <v>2019</v>
      </c>
      <c r="K206" s="199">
        <f t="shared" si="50"/>
        <v>44388</v>
      </c>
      <c r="L206" s="147">
        <f>IF(t&lt;Tvie,1-EXP((T0-t)*PertePVj)+'2020'!Pspv,1-EXP((T0-t)*PertePVj)+Pspv)</f>
        <v>2.4706776910194628E-2</v>
      </c>
      <c r="M206" s="870"/>
      <c r="N206" s="870"/>
      <c r="O206" s="48">
        <f>IF(t&lt;Tnet,'2020'!Resal+('2020'!Salim-'2020'!Resal)*(1-EXP(('2020'!Tnet-t)/('2020'!Tau_j))),Resal+(Salim-Resal)*(1-EXP((Tnet-t)/(Tau_j))))*Salcycl</f>
        <v>6.3757115127433178E-2</v>
      </c>
      <c r="P206" s="171">
        <f>(INDEX(Models!$BJ206:$BT206,,T206)*(1-R206)+INDEX(Models!$BJ206:$BT206,,T206+1)*R206-ERP_i)*Q206*Ramure*Pc/MaxiM</f>
        <v>2.2394541148888371E-4</v>
      </c>
      <c r="Q206" s="307">
        <f t="shared" si="51"/>
        <v>1</v>
      </c>
      <c r="R206" s="179">
        <f t="shared" si="52"/>
        <v>0.84673921004711172</v>
      </c>
      <c r="S206" s="837">
        <f t="shared" si="53"/>
        <v>-1</v>
      </c>
      <c r="T206" s="178">
        <f t="shared" si="54"/>
        <v>5</v>
      </c>
      <c r="U206" s="253">
        <f t="shared" si="55"/>
        <v>-0.15326078995288828</v>
      </c>
      <c r="V206" s="385">
        <f t="shared" si="56"/>
        <v>57.565550734784843</v>
      </c>
      <c r="W206" s="404"/>
      <c r="X206" s="157">
        <f t="shared" si="57"/>
        <v>44388</v>
      </c>
      <c r="Y206" s="387">
        <f t="shared" si="58"/>
        <v>44.105306322148593</v>
      </c>
      <c r="Z206" s="387">
        <f t="shared" si="59"/>
        <v>45.222611290601947</v>
      </c>
      <c r="AA206" s="388">
        <f t="shared" si="60"/>
        <v>53.082245105482656</v>
      </c>
      <c r="AB206" s="199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0.14806521086782226</v>
      </c>
      <c r="AD206" s="233">
        <f>(INDEX(Models!$BJ206:$BT206,,AH206)*(1-AF206)+INDEX(Models!$BJ206:$BT206,,AH206+1)*AF206-ERP_i)*AE206*Ramure*Pc/MaxiM</f>
        <v>2.2394541148888371E-4</v>
      </c>
      <c r="AE206" s="307">
        <f t="shared" si="62"/>
        <v>1</v>
      </c>
      <c r="AF206" s="179">
        <f t="shared" si="63"/>
        <v>0.84673921004711172</v>
      </c>
      <c r="AG206" s="837">
        <f t="shared" si="71"/>
        <v>-1</v>
      </c>
      <c r="AH206" s="178">
        <f t="shared" si="64"/>
        <v>5</v>
      </c>
      <c r="AI206" s="227">
        <f t="shared" si="65"/>
        <v>-0.15326078995288828</v>
      </c>
      <c r="AJ206" s="267" t="b">
        <f t="shared" si="66"/>
        <v>0</v>
      </c>
      <c r="AK206" s="267" t="b">
        <f t="shared" si="67"/>
        <v>0</v>
      </c>
      <c r="AL206" s="267"/>
      <c r="AM206" s="267"/>
      <c r="AN206" s="75"/>
    </row>
    <row r="207" spans="1:40" s="6" customFormat="1" ht="11.25" x14ac:dyDescent="0.2">
      <c r="A207" s="56">
        <f t="shared" si="68"/>
        <v>44389</v>
      </c>
      <c r="B207" s="618">
        <v>13.351000000000001</v>
      </c>
      <c r="C207" s="392"/>
      <c r="D207" s="395">
        <f t="shared" ref="D207:D270" si="74">Wh/(1-Ppv)</f>
        <v>13.689534991545523</v>
      </c>
      <c r="E207" s="387">
        <f t="shared" si="72"/>
        <v>14.627970586543032</v>
      </c>
      <c r="F207" s="387">
        <f t="shared" ref="F207:F270" si="75">Wh_sa/(1-Pvg*MEDIAN((-Sdif+Wh/Env_an)/Csdif,0,1))</f>
        <v>14.627970586543032</v>
      </c>
      <c r="G207" s="110">
        <f t="shared" si="73"/>
        <v>0.23241440714210704</v>
      </c>
      <c r="H207" s="414" t="b">
        <f>Wh_hp&gt;='2020'!Maxi_hp</f>
        <v>0</v>
      </c>
      <c r="I207" s="382">
        <f>IF(H207,Wh_hp,'2020'!Maxi_hp)</f>
        <v>63.499999412795624</v>
      </c>
      <c r="J207" s="85">
        <f>IF(H207,An,'2020'!An_max)</f>
        <v>2019</v>
      </c>
      <c r="K207" s="199">
        <f t="shared" ref="K207:K270" si="76">t</f>
        <v>44389</v>
      </c>
      <c r="L207" s="147">
        <f>IF(t&lt;Tvie,1-EXP((T0-t)*PertePVj)+'2020'!Pspv,1-EXP((T0-t)*PertePVj)+Pspv)</f>
        <v>2.4729473408307667E-2</v>
      </c>
      <c r="M207" s="870"/>
      <c r="N207" s="870"/>
      <c r="O207" s="48">
        <f>IF(t&lt;Tnet,'2020'!Resal+('2020'!Salim-'2020'!Resal)*(1-EXP(('2020'!Tnet-t)/('2020'!Tau_j))),Resal+(Salim-Resal)*(1-EXP((Tnet-t)/(Tau_j))))*Salcycl</f>
        <v>6.4153505740626851E-2</v>
      </c>
      <c r="P207" s="171">
        <f>(INDEX(Models!$BJ207:$BT207,,T207)*(1-R207)+INDEX(Models!$BJ207:$BT207,,T207+1)*R207-ERP_i)*Q207*Ramure*Pc/MaxiM</f>
        <v>2.4142918436627952E-4</v>
      </c>
      <c r="Q207" s="307">
        <f t="shared" ref="Q207:Q270" si="77">IF(OR(t&lt;Ttai,Notai),Dd+PousD*Croivg,Dens+PousD*(Croivg-Croi_tai))</f>
        <v>1</v>
      </c>
      <c r="R207" s="179">
        <f t="shared" ref="R207:R270" si="78">(Hp_vg-S207)/(INDEX(Echel_vg,T207+1)-S207)</f>
        <v>0.85160420101251721</v>
      </c>
      <c r="S207" s="837">
        <f t="shared" ref="S207:S270" si="79">INDEX(Echel_vg,T207)</f>
        <v>-1</v>
      </c>
      <c r="T207" s="178">
        <f t="shared" ref="T207:T270" si="80">MIN(MATCH(Hp_vg,Echel_vg),10)</f>
        <v>5</v>
      </c>
      <c r="U207" s="253">
        <f t="shared" ref="U207:U270" si="81">IF(OR(t&lt;Ttai,Notai),Hdd+PousH*Croivg,Hdtf+PousH*(Croivg-Croi_tai))</f>
        <v>-0.14839579898748279</v>
      </c>
      <c r="V207" s="385">
        <f t="shared" ref="V207:V270" si="82">MaxiM*(1-Ppv)*(1-Pvg)*(1-Psa)</f>
        <v>57.43093486798427</v>
      </c>
      <c r="W207" s="404"/>
      <c r="X207" s="157">
        <f t="shared" ref="X207:X270" si="83">t</f>
        <v>44389</v>
      </c>
      <c r="Y207" s="387">
        <f t="shared" ref="Y207:Y270" si="84">Wh_pvt_s*(1-Ppv)</f>
        <v>12.152099114958004</v>
      </c>
      <c r="Z207" s="387">
        <f t="shared" ref="Z207:Z270" si="85">Wh_sa_s*(1-Psa_s)</f>
        <v>12.460234143880381</v>
      </c>
      <c r="AA207" s="388">
        <f t="shared" ref="AA207:AA270" si="86">Wh_hp*(1-Pvg_s*MEDIAN((-Sdif+Wh/Env_an)/Csdif,0,1))</f>
        <v>14.627970586543032</v>
      </c>
      <c r="AB207" s="199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0.14819119506959191</v>
      </c>
      <c r="AD207" s="233">
        <f>(INDEX(Models!$BJ207:$BT207,,AH207)*(1-AF207)+INDEX(Models!$BJ207:$BT207,,AH207+1)*AF207-ERP_i)*AE207*Ramure*Pc/MaxiM</f>
        <v>2.4142918436627952E-4</v>
      </c>
      <c r="AE207" s="307">
        <f t="shared" ref="AE207:AE270" si="88">IF(OR(t&lt;Ttai,Notai),Dd_s+PousD*Croivg,Dens_s+PousD*(Croivg-Croi_tai))</f>
        <v>1</v>
      </c>
      <c r="AF207" s="179">
        <f t="shared" ref="AF207:AF270" si="89">(Hp_vg_s-AG207)/(INDEX(Echel_vg,AH207+1)-AG207)</f>
        <v>0.85160420101251721</v>
      </c>
      <c r="AG207" s="837">
        <f t="shared" si="71"/>
        <v>-1</v>
      </c>
      <c r="AH207" s="178">
        <f t="shared" ref="AH207:AH270" si="90">MIN(MATCH(Hp_vg_s,Echel_vg),10)</f>
        <v>5</v>
      </c>
      <c r="AI207" s="227">
        <f t="shared" ref="AI207:AI270" si="91">IF(OR(t&lt;Ttai,Notai),Hdd_s+PousH*Croivg,Hdtai_s+PousH*(Croivg-Croi_tai))</f>
        <v>-0.14839579898748279</v>
      </c>
      <c r="AJ207" s="267" t="b">
        <f t="shared" ref="AJ207:AJ270" si="92">t&lt;Tnet</f>
        <v>0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4">A207+1</f>
        <v>44390</v>
      </c>
      <c r="B208" s="618">
        <v>29.574999999999999</v>
      </c>
      <c r="C208" s="392"/>
      <c r="D208" s="395">
        <f t="shared" si="74"/>
        <v>30.325625006665987</v>
      </c>
      <c r="E208" s="387">
        <f t="shared" si="72"/>
        <v>32.418133803795989</v>
      </c>
      <c r="F208" s="387">
        <f t="shared" si="75"/>
        <v>32.420746923890874</v>
      </c>
      <c r="G208" s="110">
        <f t="shared" si="73"/>
        <v>0.51611539798734918</v>
      </c>
      <c r="H208" s="414" t="b">
        <f>Wh_hp&gt;='2020'!Maxi_hp</f>
        <v>0</v>
      </c>
      <c r="I208" s="382">
        <f>IF(H208,Wh_hp,'2020'!Maxi_hp)</f>
        <v>54.781416262344493</v>
      </c>
      <c r="J208" s="85">
        <f>IF(H208,An,'2020'!An_max)</f>
        <v>2019</v>
      </c>
      <c r="K208" s="199">
        <f t="shared" si="76"/>
        <v>44390</v>
      </c>
      <c r="L208" s="147">
        <f>IF(t&lt;Tvie,1-EXP((T0-t)*PertePVj)+'2020'!Pspv,1-EXP((T0-t)*PertePVj)+Pspv)</f>
        <v>2.4752169378239985E-2</v>
      </c>
      <c r="M208" s="870"/>
      <c r="N208" s="870"/>
      <c r="O208" s="48">
        <f>IF(t&lt;Tnet,'2020'!Resal+('2020'!Salim-'2020'!Resal)*(1-EXP(('2020'!Tnet-t)/('2020'!Tau_j))),Resal+(Salim-Resal)*(1-EXP((Tnet-t)/(Tau_j))))*Salcycl</f>
        <v>6.4547478574629738E-2</v>
      </c>
      <c r="P208" s="171">
        <f>(INDEX(Models!$BJ208:$BT208,,T208)*(1-R208)+INDEX(Models!$BJ208:$BT208,,T208+1)*R208-ERP_i)*Q208*Ramure*Pc/MaxiM</f>
        <v>2.6095259498863953E-4</v>
      </c>
      <c r="Q208" s="307">
        <f t="shared" si="77"/>
        <v>1</v>
      </c>
      <c r="R208" s="179">
        <f t="shared" si="78"/>
        <v>0.85635525391680078</v>
      </c>
      <c r="S208" s="837">
        <f t="shared" si="79"/>
        <v>-1</v>
      </c>
      <c r="T208" s="178">
        <f t="shared" si="80"/>
        <v>5</v>
      </c>
      <c r="U208" s="253">
        <f t="shared" si="81"/>
        <v>-0.14364474608319922</v>
      </c>
      <c r="V208" s="385">
        <f t="shared" si="82"/>
        <v>57.292740663354643</v>
      </c>
      <c r="W208" s="404"/>
      <c r="X208" s="157">
        <f t="shared" si="83"/>
        <v>44390</v>
      </c>
      <c r="Y208" s="387">
        <f t="shared" si="84"/>
        <v>26.926662332158578</v>
      </c>
      <c r="Z208" s="387">
        <f t="shared" si="85"/>
        <v>27.610071498433111</v>
      </c>
      <c r="AA208" s="388">
        <f t="shared" si="86"/>
        <v>32.418133803795989</v>
      </c>
      <c r="AB208" s="199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0.14831397558115703</v>
      </c>
      <c r="AD208" s="233">
        <f>(INDEX(Models!$BJ208:$BT208,,AH208)*(1-AF208)+INDEX(Models!$BJ208:$BT208,,AH208+1)*AF208-ERP_i)*AE208*Ramure*Pc/MaxiM</f>
        <v>2.6095259498863953E-4</v>
      </c>
      <c r="AE208" s="307">
        <f t="shared" si="88"/>
        <v>1</v>
      </c>
      <c r="AF208" s="179">
        <f t="shared" si="89"/>
        <v>0.85635525391680078</v>
      </c>
      <c r="AG208" s="837">
        <f t="shared" ref="AG208:AG271" si="95">INDEX(Echel_vg,AH208)</f>
        <v>-1</v>
      </c>
      <c r="AH208" s="178">
        <f t="shared" si="90"/>
        <v>5</v>
      </c>
      <c r="AI208" s="227">
        <f t="shared" si="91"/>
        <v>-0.14364474608319922</v>
      </c>
      <c r="AJ208" s="267" t="b">
        <f t="shared" si="92"/>
        <v>0</v>
      </c>
      <c r="AK208" s="267" t="b">
        <f t="shared" si="93"/>
        <v>0</v>
      </c>
      <c r="AL208" s="267"/>
      <c r="AM208" s="267"/>
      <c r="AN208" s="75"/>
    </row>
    <row r="209" spans="1:40" s="6" customFormat="1" ht="11.25" x14ac:dyDescent="0.2">
      <c r="A209" s="56">
        <f t="shared" si="94"/>
        <v>44391</v>
      </c>
      <c r="B209" s="618">
        <v>30.906000000000002</v>
      </c>
      <c r="C209" s="392"/>
      <c r="D209" s="395">
        <f t="shared" si="74"/>
        <v>31.691143803728686</v>
      </c>
      <c r="E209" s="387">
        <f t="shared" si="72"/>
        <v>33.892063150451271</v>
      </c>
      <c r="F209" s="387">
        <f t="shared" si="75"/>
        <v>33.895357224060092</v>
      </c>
      <c r="G209" s="110">
        <f t="shared" si="73"/>
        <v>0.54067603513312235</v>
      </c>
      <c r="H209" s="414" t="b">
        <f>Wh_hp&gt;='2020'!Maxi_hp</f>
        <v>0</v>
      </c>
      <c r="I209" s="382">
        <f>IF(H209,Wh_hp,'2020'!Maxi_hp)</f>
        <v>62.42092802890074</v>
      </c>
      <c r="J209" s="85">
        <f>IF(H209,An,'2020'!An_max)</f>
        <v>2019</v>
      </c>
      <c r="K209" s="199">
        <f t="shared" si="76"/>
        <v>44391</v>
      </c>
      <c r="L209" s="147">
        <f>IF(t&lt;Tvie,1-EXP((T0-t)*PertePVj)+'2020'!Pspv,1-EXP((T0-t)*PertePVj)+Pspv)</f>
        <v>2.4774864820003906E-2</v>
      </c>
      <c r="M209" s="870"/>
      <c r="N209" s="870"/>
      <c r="O209" s="48">
        <f>IF(t&lt;Tnet,'2020'!Resal+('2020'!Salim-'2020'!Resal)*(1-EXP(('2020'!Tnet-t)/('2020'!Tau_j))),Resal+(Salim-Resal)*(1-EXP((Tnet-t)/(Tau_j))))*Salcycl</f>
        <v>6.4939078419405091E-2</v>
      </c>
      <c r="P209" s="171">
        <f>(INDEX(Models!$BJ209:$BT209,,T209)*(1-R209)+INDEX(Models!$BJ209:$BT209,,T209+1)*R209-ERP_i)*Q209*Ramure*Pc/MaxiM</f>
        <v>2.8253836225574389E-4</v>
      </c>
      <c r="Q209" s="307">
        <f t="shared" si="77"/>
        <v>1</v>
      </c>
      <c r="R209" s="179">
        <f t="shared" si="78"/>
        <v>0.86099245403418689</v>
      </c>
      <c r="S209" s="837">
        <f t="shared" si="79"/>
        <v>-1</v>
      </c>
      <c r="T209" s="178">
        <f t="shared" si="80"/>
        <v>5</v>
      </c>
      <c r="U209" s="253">
        <f t="shared" si="81"/>
        <v>-0.13900754596581311</v>
      </c>
      <c r="V209" s="385">
        <f t="shared" si="82"/>
        <v>57.151175309692682</v>
      </c>
      <c r="W209" s="404"/>
      <c r="X209" s="157">
        <f t="shared" si="83"/>
        <v>44391</v>
      </c>
      <c r="Y209" s="387">
        <f t="shared" si="84"/>
        <v>28.146303274935942</v>
      </c>
      <c r="Z209" s="387">
        <f t="shared" si="85"/>
        <v>28.861339048383954</v>
      </c>
      <c r="AA209" s="388">
        <f t="shared" si="86"/>
        <v>33.892063150451271</v>
      </c>
      <c r="AB209" s="199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0.14843369315509886</v>
      </c>
      <c r="AD209" s="233">
        <f>(INDEX(Models!$BJ209:$BT209,,AH209)*(1-AF209)+INDEX(Models!$BJ209:$BT209,,AH209+1)*AF209-ERP_i)*AE209*Ramure*Pc/MaxiM</f>
        <v>2.8253836225574389E-4</v>
      </c>
      <c r="AE209" s="307">
        <f t="shared" si="88"/>
        <v>1</v>
      </c>
      <c r="AF209" s="179">
        <f t="shared" si="89"/>
        <v>0.86099245403418689</v>
      </c>
      <c r="AG209" s="837">
        <f t="shared" si="95"/>
        <v>-1</v>
      </c>
      <c r="AH209" s="178">
        <f t="shared" si="90"/>
        <v>5</v>
      </c>
      <c r="AI209" s="227">
        <f t="shared" si="91"/>
        <v>-0.13900754596581311</v>
      </c>
      <c r="AJ209" s="267" t="b">
        <f t="shared" si="92"/>
        <v>0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4"/>
        <v>44392</v>
      </c>
      <c r="B210" s="618">
        <v>36.911999999999999</v>
      </c>
      <c r="C210" s="392"/>
      <c r="D210" s="395">
        <f t="shared" si="74"/>
        <v>37.850602578390848</v>
      </c>
      <c r="E210" s="387">
        <f t="shared" si="72"/>
        <v>40.496149246143823</v>
      </c>
      <c r="F210" s="387">
        <f t="shared" si="75"/>
        <v>40.502306147652227</v>
      </c>
      <c r="G210" s="110">
        <f t="shared" si="73"/>
        <v>0.64740586977544279</v>
      </c>
      <c r="H210" s="414" t="b">
        <f>Wh_hp&gt;='2020'!Maxi_hp</f>
        <v>0</v>
      </c>
      <c r="I210" s="382">
        <f>IF(H210,Wh_hp,'2020'!Maxi_hp)</f>
        <v>64.059383068495961</v>
      </c>
      <c r="J210" s="85">
        <f>IF(H210,An,'2020'!An_max)</f>
        <v>2019</v>
      </c>
      <c r="K210" s="199">
        <f t="shared" si="76"/>
        <v>44392</v>
      </c>
      <c r="L210" s="147">
        <f>IF(t&lt;Tvie,1-EXP((T0-t)*PertePVj)+'2020'!Pspv,1-EXP((T0-t)*PertePVj)+Pspv)</f>
        <v>2.4797559733611751E-2</v>
      </c>
      <c r="M210" s="870"/>
      <c r="N210" s="870"/>
      <c r="O210" s="48">
        <f>IF(t&lt;Tnet,'2020'!Resal+('2020'!Salim-'2020'!Resal)*(1-EXP(('2020'!Tnet-t)/('2020'!Tau_j))),Resal+(Salim-Resal)*(1-EXP((Tnet-t)/(Tau_j))))*Salcycl</f>
        <v>6.5328351386518324E-2</v>
      </c>
      <c r="P210" s="171">
        <f>(INDEX(Models!$BJ210:$BT210,,T210)*(1-R210)+INDEX(Models!$BJ210:$BT210,,T210+1)*R210-ERP_i)*Q210*Ramure*Pc/MaxiM</f>
        <v>3.0620940608107241E-4</v>
      </c>
      <c r="Q210" s="307">
        <f t="shared" si="77"/>
        <v>1</v>
      </c>
      <c r="R210" s="179">
        <f t="shared" si="78"/>
        <v>0.8655160702014002</v>
      </c>
      <c r="S210" s="837">
        <f t="shared" si="79"/>
        <v>-1</v>
      </c>
      <c r="T210" s="178">
        <f t="shared" si="80"/>
        <v>5</v>
      </c>
      <c r="U210" s="253">
        <f t="shared" si="81"/>
        <v>-0.1344839297985998</v>
      </c>
      <c r="V210" s="385">
        <f t="shared" si="82"/>
        <v>57.006445542412919</v>
      </c>
      <c r="W210" s="404"/>
      <c r="X210" s="157">
        <f t="shared" si="83"/>
        <v>44392</v>
      </c>
      <c r="Y210" s="387">
        <f t="shared" si="84"/>
        <v>33.625396067508845</v>
      </c>
      <c r="Z210" s="387">
        <f t="shared" si="85"/>
        <v>34.480426503366488</v>
      </c>
      <c r="AA210" s="388">
        <f t="shared" si="86"/>
        <v>40.496149246143823</v>
      </c>
      <c r="AB210" s="199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0.14855048825043959</v>
      </c>
      <c r="AD210" s="233">
        <f>(INDEX(Models!$BJ210:$BT210,,AH210)*(1-AF210)+INDEX(Models!$BJ210:$BT210,,AH210+1)*AF210-ERP_i)*AE210*Ramure*Pc/MaxiM</f>
        <v>3.0620940608107241E-4</v>
      </c>
      <c r="AE210" s="307">
        <f t="shared" si="88"/>
        <v>1</v>
      </c>
      <c r="AF210" s="179">
        <f t="shared" si="89"/>
        <v>0.8655160702014002</v>
      </c>
      <c r="AG210" s="837">
        <f t="shared" si="95"/>
        <v>-1</v>
      </c>
      <c r="AH210" s="178">
        <f t="shared" si="90"/>
        <v>5</v>
      </c>
      <c r="AI210" s="227">
        <f t="shared" si="91"/>
        <v>-0.1344839297985998</v>
      </c>
      <c r="AJ210" s="267" t="b">
        <f t="shared" si="92"/>
        <v>0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4"/>
        <v>44393</v>
      </c>
      <c r="B211" s="618">
        <v>39.752000000000002</v>
      </c>
      <c r="C211" s="392"/>
      <c r="D211" s="395">
        <f t="shared" si="74"/>
        <v>40.763767057210785</v>
      </c>
      <c r="E211" s="387">
        <f t="shared" si="72"/>
        <v>43.630992780717129</v>
      </c>
      <c r="F211" s="387">
        <f t="shared" si="75"/>
        <v>43.639253607994306</v>
      </c>
      <c r="G211" s="110">
        <f t="shared" si="73"/>
        <v>0.69903614350580168</v>
      </c>
      <c r="H211" s="414" t="b">
        <f>Wh_hp&gt;='2020'!Maxi_hp</f>
        <v>0</v>
      </c>
      <c r="I211" s="382">
        <f>IF(H211,Wh_hp,'2020'!Maxi_hp)</f>
        <v>61.939106503544039</v>
      </c>
      <c r="J211" s="85">
        <f>IF(H211,An,'2020'!An_max)</f>
        <v>2019</v>
      </c>
      <c r="K211" s="199">
        <f t="shared" si="76"/>
        <v>44393</v>
      </c>
      <c r="L211" s="147">
        <f>IF(t&lt;Tvie,1-EXP((T0-t)*PertePVj)+'2020'!Pspv,1-EXP((T0-t)*PertePVj)+Pspv)</f>
        <v>2.4820254119075846E-2</v>
      </c>
      <c r="M211" s="870"/>
      <c r="N211" s="870"/>
      <c r="O211" s="48">
        <f>IF(t&lt;Tnet,'2020'!Resal+('2020'!Salim-'2020'!Resal)*(1-EXP(('2020'!Tnet-t)/('2020'!Tau_j))),Resal+(Salim-Resal)*(1-EXP((Tnet-t)/(Tau_j))))*Salcycl</f>
        <v>6.571534454685897E-2</v>
      </c>
      <c r="P211" s="171">
        <f>(INDEX(Models!$BJ211:$BT211,,T211)*(1-R211)+INDEX(Models!$BJ211:$BT211,,T211+1)*R211-ERP_i)*Q211*Ramure*Pc/MaxiM</f>
        <v>3.3198881437200524E-4</v>
      </c>
      <c r="Q211" s="307">
        <f t="shared" si="77"/>
        <v>1</v>
      </c>
      <c r="R211" s="179">
        <f t="shared" si="78"/>
        <v>0.8699265453072782</v>
      </c>
      <c r="S211" s="837">
        <f t="shared" si="79"/>
        <v>-1</v>
      </c>
      <c r="T211" s="178">
        <f t="shared" si="80"/>
        <v>5</v>
      </c>
      <c r="U211" s="253">
        <f t="shared" si="81"/>
        <v>-0.1300734546927218</v>
      </c>
      <c r="V211" s="385">
        <f t="shared" si="82"/>
        <v>56.858757667334181</v>
      </c>
      <c r="W211" s="404"/>
      <c r="X211" s="157">
        <f t="shared" si="83"/>
        <v>44393</v>
      </c>
      <c r="Y211" s="387">
        <f t="shared" si="84"/>
        <v>36.222674308316428</v>
      </c>
      <c r="Z211" s="387">
        <f t="shared" si="85"/>
        <v>37.144613043203478</v>
      </c>
      <c r="AA211" s="388">
        <f t="shared" si="86"/>
        <v>43.630992780717129</v>
      </c>
      <c r="AB211" s="199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0.14866450025818179</v>
      </c>
      <c r="AD211" s="233">
        <f>(INDEX(Models!$BJ211:$BT211,,AH211)*(1-AF211)+INDEX(Models!$BJ211:$BT211,,AH211+1)*AF211-ERP_i)*AE211*Ramure*Pc/MaxiM</f>
        <v>3.3198881437200524E-4</v>
      </c>
      <c r="AE211" s="307">
        <f t="shared" si="88"/>
        <v>1</v>
      </c>
      <c r="AF211" s="179">
        <f t="shared" si="89"/>
        <v>0.8699265453072782</v>
      </c>
      <c r="AG211" s="837">
        <f t="shared" si="95"/>
        <v>-1</v>
      </c>
      <c r="AH211" s="178">
        <f t="shared" si="90"/>
        <v>5</v>
      </c>
      <c r="AI211" s="227">
        <f t="shared" si="91"/>
        <v>-0.1300734546927218</v>
      </c>
      <c r="AJ211" s="267" t="b">
        <f t="shared" si="92"/>
        <v>0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4"/>
        <v>44394</v>
      </c>
      <c r="B212" s="618">
        <v>55.93</v>
      </c>
      <c r="C212" s="392"/>
      <c r="D212" s="395">
        <f t="shared" si="74"/>
        <v>57.354863900063258</v>
      </c>
      <c r="E212" s="387">
        <f t="shared" si="72"/>
        <v>61.414359550009166</v>
      </c>
      <c r="F212" s="387">
        <f t="shared" si="75"/>
        <v>61.436079600146336</v>
      </c>
      <c r="G212" s="110">
        <f t="shared" si="73"/>
        <v>0.98626879589452487</v>
      </c>
      <c r="H212" s="414" t="b">
        <f>Wh_hp&gt;='2020'!Maxi_hp</f>
        <v>1</v>
      </c>
      <c r="I212" s="382">
        <f>IF(H212,Wh_hp,'2020'!Maxi_hp)</f>
        <v>61.436079600146336</v>
      </c>
      <c r="J212" s="85">
        <f>IF(H212,An,'2020'!An_max)</f>
        <v>2021</v>
      </c>
      <c r="K212" s="199">
        <f t="shared" si="76"/>
        <v>44394</v>
      </c>
      <c r="L212" s="147">
        <f>IF(t&lt;Tvie,1-EXP((T0-t)*PertePVj)+'2020'!Pspv,1-EXP((T0-t)*PertePVj)+Pspv)</f>
        <v>2.4842947976408403E-2</v>
      </c>
      <c r="M212" s="870"/>
      <c r="N212" s="870"/>
      <c r="O212" s="48">
        <f>IF(t&lt;Tnet,'2020'!Resal+('2020'!Salim-'2020'!Resal)*(1-EXP(('2020'!Tnet-t)/('2020'!Tau_j))),Resal+(Salim-Resal)*(1-EXP((Tnet-t)/(Tau_j))))*Salcycl</f>
        <v>6.6100105572871687E-2</v>
      </c>
      <c r="P212" s="171">
        <f>(INDEX(Models!$BJ212:$BT212,,T212)*(1-R212)+INDEX(Models!$BJ212:$BT212,,T212+1)*R212-ERP_i)*Q212*Ramure*Pc/MaxiM</f>
        <v>3.6060911691637476E-4</v>
      </c>
      <c r="Q212" s="307">
        <f t="shared" si="77"/>
        <v>1</v>
      </c>
      <c r="R212" s="179">
        <f t="shared" si="78"/>
        <v>0.87422448660048513</v>
      </c>
      <c r="S212" s="837">
        <f t="shared" si="79"/>
        <v>-1</v>
      </c>
      <c r="T212" s="178">
        <f t="shared" si="80"/>
        <v>5</v>
      </c>
      <c r="U212" s="253">
        <f t="shared" si="81"/>
        <v>-0.12577551339951487</v>
      </c>
      <c r="V212" s="385">
        <f t="shared" si="82"/>
        <v>56.708277359394842</v>
      </c>
      <c r="W212" s="404"/>
      <c r="X212" s="157">
        <f t="shared" si="83"/>
        <v>44394</v>
      </c>
      <c r="Y212" s="387">
        <f t="shared" si="84"/>
        <v>50.978660621130651</v>
      </c>
      <c r="Z212" s="387">
        <f t="shared" si="85"/>
        <v>52.277384976443102</v>
      </c>
      <c r="AA212" s="388">
        <f t="shared" si="86"/>
        <v>61.414359550009166</v>
      </c>
      <c r="AB212" s="199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0.14877586676005156</v>
      </c>
      <c r="AD212" s="233">
        <f>(INDEX(Models!$BJ212:$BT212,,AH212)*(1-AF212)+INDEX(Models!$BJ212:$BT212,,AH212+1)*AF212-ERP_i)*AE212*Ramure*Pc/MaxiM</f>
        <v>3.6060911691637476E-4</v>
      </c>
      <c r="AE212" s="307">
        <f t="shared" si="88"/>
        <v>1</v>
      </c>
      <c r="AF212" s="179">
        <f t="shared" si="89"/>
        <v>0.87422448660048513</v>
      </c>
      <c r="AG212" s="837">
        <f t="shared" si="95"/>
        <v>-1</v>
      </c>
      <c r="AH212" s="178">
        <f t="shared" si="90"/>
        <v>5</v>
      </c>
      <c r="AI212" s="227">
        <f t="shared" si="91"/>
        <v>-0.12577551339951487</v>
      </c>
      <c r="AJ212" s="267" t="b">
        <f t="shared" si="92"/>
        <v>0</v>
      </c>
      <c r="AK212" s="267" t="b">
        <f t="shared" si="93"/>
        <v>0</v>
      </c>
      <c r="AL212" s="267"/>
      <c r="AM212" s="267"/>
      <c r="AN212" s="75"/>
    </row>
    <row r="213" spans="1:40" s="6" customFormat="1" ht="11.25" x14ac:dyDescent="0.2">
      <c r="A213" s="56">
        <f t="shared" si="94"/>
        <v>44395</v>
      </c>
      <c r="B213" s="618">
        <v>50.512</v>
      </c>
      <c r="C213" s="392"/>
      <c r="D213" s="395">
        <f t="shared" si="74"/>
        <v>51.800041245220051</v>
      </c>
      <c r="E213" s="387">
        <f t="shared" si="72"/>
        <v>55.489105845120221</v>
      </c>
      <c r="F213" s="387">
        <f t="shared" si="75"/>
        <v>55.507500825501708</v>
      </c>
      <c r="G213" s="110">
        <f t="shared" si="73"/>
        <v>0.89309070926235778</v>
      </c>
      <c r="H213" s="414" t="b">
        <f>Wh_hp&gt;='2020'!Maxi_hp</f>
        <v>1</v>
      </c>
      <c r="I213" s="382">
        <f>IF(H213,Wh_hp,'2020'!Maxi_hp)</f>
        <v>55.507500825501708</v>
      </c>
      <c r="J213" s="85">
        <f>IF(H213,An,'2020'!An_max)</f>
        <v>2021</v>
      </c>
      <c r="K213" s="199">
        <f t="shared" si="76"/>
        <v>44395</v>
      </c>
      <c r="L213" s="147">
        <f>IF(t&lt;Tvie,1-EXP((T0-t)*PertePVj)+'2020'!Pspv,1-EXP((T0-t)*PertePVj)+Pspv)</f>
        <v>2.4865641305621744E-2</v>
      </c>
      <c r="M213" s="870"/>
      <c r="N213" s="870"/>
      <c r="O213" s="48">
        <f>IF(t&lt;Tnet,'2020'!Resal+('2020'!Salim-'2020'!Resal)*(1-EXP(('2020'!Tnet-t)/('2020'!Tau_j))),Resal+(Salim-Resal)*(1-EXP((Tnet-t)/(Tau_j))))*Salcycl</f>
        <v>6.6482682388088896E-2</v>
      </c>
      <c r="P213" s="171">
        <f>(INDEX(Models!$BJ213:$BT213,,T213)*(1-R213)+INDEX(Models!$BJ213:$BT213,,T213+1)*R213-ERP_i)*Q213*Ramure*Pc/MaxiM</f>
        <v>3.9109793004456266E-4</v>
      </c>
      <c r="Q213" s="307">
        <f t="shared" si="77"/>
        <v>1</v>
      </c>
      <c r="R213" s="179">
        <f t="shared" si="78"/>
        <v>0.8784106558832917</v>
      </c>
      <c r="S213" s="837">
        <f t="shared" si="79"/>
        <v>-1</v>
      </c>
      <c r="T213" s="178">
        <f t="shared" si="80"/>
        <v>5</v>
      </c>
      <c r="U213" s="253">
        <f t="shared" si="81"/>
        <v>-0.1215893441167083</v>
      </c>
      <c r="V213" s="385">
        <f t="shared" si="82"/>
        <v>56.555266814119655</v>
      </c>
      <c r="W213" s="404"/>
      <c r="X213" s="157">
        <f t="shared" si="83"/>
        <v>44395</v>
      </c>
      <c r="Y213" s="387">
        <f t="shared" si="84"/>
        <v>46.053280501142844</v>
      </c>
      <c r="Z213" s="387">
        <f t="shared" si="85"/>
        <v>47.227625701553841</v>
      </c>
      <c r="AA213" s="388">
        <f t="shared" si="86"/>
        <v>55.489105845120221</v>
      </c>
      <c r="AB213" s="199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0.14888472282515436</v>
      </c>
      <c r="AD213" s="233">
        <f>(INDEX(Models!$BJ213:$BT213,,AH213)*(1-AF213)+INDEX(Models!$BJ213:$BT213,,AH213+1)*AF213-ERP_i)*AE213*Ramure*Pc/MaxiM</f>
        <v>3.9109793004456266E-4</v>
      </c>
      <c r="AE213" s="307">
        <f t="shared" si="88"/>
        <v>1</v>
      </c>
      <c r="AF213" s="179">
        <f t="shared" si="89"/>
        <v>0.8784106558832917</v>
      </c>
      <c r="AG213" s="837">
        <f t="shared" si="95"/>
        <v>-1</v>
      </c>
      <c r="AH213" s="178">
        <f t="shared" si="90"/>
        <v>5</v>
      </c>
      <c r="AI213" s="227">
        <f t="shared" si="91"/>
        <v>-0.1215893441167083</v>
      </c>
      <c r="AJ213" s="267" t="b">
        <f t="shared" si="92"/>
        <v>0</v>
      </c>
      <c r="AK213" s="267" t="b">
        <f t="shared" si="93"/>
        <v>0</v>
      </c>
      <c r="AL213" s="267"/>
      <c r="AM213" s="267"/>
      <c r="AN213" s="75"/>
    </row>
    <row r="214" spans="1:40" s="6" customFormat="1" ht="11.25" x14ac:dyDescent="0.2">
      <c r="A214" s="56">
        <f t="shared" si="94"/>
        <v>44396</v>
      </c>
      <c r="B214" s="618">
        <v>55.09</v>
      </c>
      <c r="C214" s="392"/>
      <c r="D214" s="395">
        <f t="shared" si="74"/>
        <v>56.496093654600713</v>
      </c>
      <c r="E214" s="387">
        <f t="shared" si="72"/>
        <v>60.54427280351139</v>
      </c>
      <c r="F214" s="387">
        <f t="shared" si="75"/>
        <v>60.569071427398995</v>
      </c>
      <c r="G214" s="110">
        <f t="shared" si="73"/>
        <v>0.97676051218787574</v>
      </c>
      <c r="H214" s="414" t="b">
        <f>Wh_hp&gt;='2020'!Maxi_hp</f>
        <v>0</v>
      </c>
      <c r="I214" s="382">
        <f>IF(H214,Wh_hp,'2020'!Maxi_hp)</f>
        <v>60.900356316381583</v>
      </c>
      <c r="J214" s="85">
        <f>IF(H214,An,'2020'!An_max)</f>
        <v>2020</v>
      </c>
      <c r="K214" s="199">
        <f t="shared" si="76"/>
        <v>44396</v>
      </c>
      <c r="L214" s="147">
        <f>IF(t&lt;Tvie,1-EXP((T0-t)*PertePVj)+'2020'!Pspv,1-EXP((T0-t)*PertePVj)+Pspv)</f>
        <v>2.4888334106728194E-2</v>
      </c>
      <c r="M214" s="870"/>
      <c r="N214" s="870"/>
      <c r="O214" s="48">
        <f>IF(t&lt;Tnet,'2020'!Resal+('2020'!Salim-'2020'!Resal)*(1-EXP(('2020'!Tnet-t)/('2020'!Tau_j))),Resal+(Salim-Resal)*(1-EXP((Tnet-t)/(Tau_j))))*Salcycl</f>
        <v>6.6863122826638324E-2</v>
      </c>
      <c r="P214" s="171">
        <f>(INDEX(Models!$BJ214:$BT214,,T214)*(1-R214)+INDEX(Models!$BJ214:$BT214,,T214+1)*R214-ERP_i)*Q214*Ramure*Pc/MaxiM</f>
        <v>4.2347803079714958E-4</v>
      </c>
      <c r="Q214" s="307">
        <f t="shared" si="77"/>
        <v>1</v>
      </c>
      <c r="R214" s="179">
        <f t="shared" si="78"/>
        <v>0.88248595965508092</v>
      </c>
      <c r="S214" s="837">
        <f t="shared" si="79"/>
        <v>-1</v>
      </c>
      <c r="T214" s="178">
        <f t="shared" si="80"/>
        <v>5</v>
      </c>
      <c r="U214" s="253">
        <f t="shared" si="81"/>
        <v>-0.11751404034491908</v>
      </c>
      <c r="V214" s="385">
        <f t="shared" si="82"/>
        <v>56.399931133558894</v>
      </c>
      <c r="W214" s="404"/>
      <c r="X214" s="157">
        <f t="shared" si="83"/>
        <v>44396</v>
      </c>
      <c r="Y214" s="387">
        <f t="shared" si="84"/>
        <v>50.241369642144342</v>
      </c>
      <c r="Z214" s="387">
        <f t="shared" si="85"/>
        <v>51.523708924269371</v>
      </c>
      <c r="AA214" s="388">
        <f t="shared" si="86"/>
        <v>60.54427280351139</v>
      </c>
      <c r="AB214" s="199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0.14899120034882729</v>
      </c>
      <c r="AD214" s="233">
        <f>(INDEX(Models!$BJ214:$BT214,,AH214)*(1-AF214)+INDEX(Models!$BJ214:$BT214,,AH214+1)*AF214-ERP_i)*AE214*Ramure*Pc/MaxiM</f>
        <v>4.2347803079714958E-4</v>
      </c>
      <c r="AE214" s="307">
        <f t="shared" si="88"/>
        <v>1</v>
      </c>
      <c r="AF214" s="179">
        <f t="shared" si="89"/>
        <v>0.88248595965508092</v>
      </c>
      <c r="AG214" s="837">
        <f t="shared" si="95"/>
        <v>-1</v>
      </c>
      <c r="AH214" s="178">
        <f t="shared" si="90"/>
        <v>5</v>
      </c>
      <c r="AI214" s="227">
        <f t="shared" si="91"/>
        <v>-0.11751404034491908</v>
      </c>
      <c r="AJ214" s="267" t="b">
        <f t="shared" si="92"/>
        <v>0</v>
      </c>
      <c r="AK214" s="267" t="b">
        <f t="shared" si="93"/>
        <v>0</v>
      </c>
      <c r="AL214" s="267"/>
      <c r="AM214" s="267"/>
      <c r="AN214" s="75"/>
    </row>
    <row r="215" spans="1:40" s="6" customFormat="1" ht="11.25" x14ac:dyDescent="0.2">
      <c r="A215" s="56">
        <f t="shared" si="94"/>
        <v>44397</v>
      </c>
      <c r="B215" s="618">
        <v>43.725000000000001</v>
      </c>
      <c r="C215" s="392"/>
      <c r="D215" s="395">
        <f t="shared" si="74"/>
        <v>44.842061784023748</v>
      </c>
      <c r="E215" s="387">
        <f t="shared" si="72"/>
        <v>48.074673721823267</v>
      </c>
      <c r="F215" s="387">
        <f t="shared" si="75"/>
        <v>48.089688522784783</v>
      </c>
      <c r="G215" s="110">
        <f t="shared" si="73"/>
        <v>0.77732414666483518</v>
      </c>
      <c r="H215" s="414" t="b">
        <f>Wh_hp&gt;='2020'!Maxi_hp</f>
        <v>0</v>
      </c>
      <c r="I215" s="382">
        <f>IF(H215,Wh_hp,'2020'!Maxi_hp)</f>
        <v>59.452822712934505</v>
      </c>
      <c r="J215" s="85">
        <f>IF(H215,An,'2020'!An_max)</f>
        <v>2020</v>
      </c>
      <c r="K215" s="199">
        <f t="shared" si="76"/>
        <v>44397</v>
      </c>
      <c r="L215" s="147">
        <f>IF(t&lt;Tvie,1-EXP((T0-t)*PertePVj)+'2020'!Pspv,1-EXP((T0-t)*PertePVj)+Pspv)</f>
        <v>2.4911026379739964E-2</v>
      </c>
      <c r="M215" s="870"/>
      <c r="N215" s="870"/>
      <c r="O215" s="48">
        <f>IF(t&lt;Tnet,'2020'!Resal+('2020'!Salim-'2020'!Resal)*(1-EXP(('2020'!Tnet-t)/('2020'!Tau_j))),Resal+(Salim-Resal)*(1-EXP((Tnet-t)/(Tau_j))))*Salcycl</f>
        <v>6.7241474305255358E-2</v>
      </c>
      <c r="P215" s="171">
        <f>(INDEX(Models!$BJ215:$BT215,,T215)*(1-R215)+INDEX(Models!$BJ215:$BT215,,T215+1)*R215-ERP_i)*Q215*Ramure*Pc/MaxiM</f>
        <v>4.5777205504265826E-4</v>
      </c>
      <c r="Q215" s="307">
        <f t="shared" si="77"/>
        <v>1</v>
      </c>
      <c r="R215" s="179">
        <f t="shared" si="78"/>
        <v>0.88645143926469006</v>
      </c>
      <c r="S215" s="837">
        <f t="shared" si="79"/>
        <v>-1</v>
      </c>
      <c r="T215" s="178">
        <f t="shared" si="80"/>
        <v>5</v>
      </c>
      <c r="U215" s="253">
        <f t="shared" si="81"/>
        <v>-0.11354856073530994</v>
      </c>
      <c r="V215" s="385">
        <f t="shared" si="82"/>
        <v>56.242475102708141</v>
      </c>
      <c r="W215" s="404"/>
      <c r="X215" s="157">
        <f t="shared" si="83"/>
        <v>44397</v>
      </c>
      <c r="Y215" s="387">
        <f t="shared" si="84"/>
        <v>39.887925342288163</v>
      </c>
      <c r="Z215" s="387">
        <f t="shared" si="85"/>
        <v>40.906959694349055</v>
      </c>
      <c r="AA215" s="388">
        <f t="shared" si="86"/>
        <v>48.074673721823267</v>
      </c>
      <c r="AB215" s="199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0.14909542743751297</v>
      </c>
      <c r="AD215" s="233">
        <f>(INDEX(Models!$BJ215:$BT215,,AH215)*(1-AF215)+INDEX(Models!$BJ215:$BT215,,AH215+1)*AF215-ERP_i)*AE215*Ramure*Pc/MaxiM</f>
        <v>4.5777205504265826E-4</v>
      </c>
      <c r="AE215" s="307">
        <f t="shared" si="88"/>
        <v>1</v>
      </c>
      <c r="AF215" s="179">
        <f t="shared" si="89"/>
        <v>0.88645143926469006</v>
      </c>
      <c r="AG215" s="837">
        <f t="shared" si="95"/>
        <v>-1</v>
      </c>
      <c r="AH215" s="178">
        <f t="shared" si="90"/>
        <v>5</v>
      </c>
      <c r="AI215" s="227">
        <f t="shared" si="91"/>
        <v>-0.11354856073530994</v>
      </c>
      <c r="AJ215" s="267" t="b">
        <f t="shared" si="92"/>
        <v>0</v>
      </c>
      <c r="AK215" s="267" t="b">
        <f t="shared" si="93"/>
        <v>0</v>
      </c>
      <c r="AL215" s="267"/>
      <c r="AM215" s="267"/>
      <c r="AN215" s="75"/>
    </row>
    <row r="216" spans="1:40" s="6" customFormat="1" ht="11.25" x14ac:dyDescent="0.2">
      <c r="A216" s="56">
        <f t="shared" si="94"/>
        <v>44398</v>
      </c>
      <c r="B216" s="618">
        <v>45.905999999999999</v>
      </c>
      <c r="C216" s="392"/>
      <c r="D216" s="395">
        <f t="shared" si="74"/>
        <v>47.07987636667086</v>
      </c>
      <c r="E216" s="387">
        <f t="shared" si="72"/>
        <v>50.494180963589642</v>
      </c>
      <c r="F216" s="387">
        <f t="shared" si="75"/>
        <v>50.512665548279784</v>
      </c>
      <c r="G216" s="110">
        <f t="shared" si="73"/>
        <v>0.81843044278003418</v>
      </c>
      <c r="H216" s="414" t="b">
        <f>Wh_hp&gt;='2020'!Maxi_hp</f>
        <v>1</v>
      </c>
      <c r="I216" s="382">
        <f>IF(H216,Wh_hp,'2020'!Maxi_hp)</f>
        <v>50.512665548279784</v>
      </c>
      <c r="J216" s="85">
        <f>IF(H216,An,'2020'!An_max)</f>
        <v>2021</v>
      </c>
      <c r="K216" s="199">
        <f t="shared" si="76"/>
        <v>44398</v>
      </c>
      <c r="L216" s="147">
        <f>IF(t&lt;Tvie,1-EXP((T0-t)*PertePVj)+'2020'!Pspv,1-EXP((T0-t)*PertePVj)+Pspv)</f>
        <v>2.4933718124669491E-2</v>
      </c>
      <c r="M216" s="870"/>
      <c r="N216" s="870"/>
      <c r="O216" s="48">
        <f>IF(t&lt;Tnet,'2020'!Resal+('2020'!Salim-'2020'!Resal)*(1-EXP(('2020'!Tnet-t)/('2020'!Tau_j))),Resal+(Salim-Resal)*(1-EXP((Tnet-t)/(Tau_j))))*Salcycl</f>
        <v>6.7617783510158666E-2</v>
      </c>
      <c r="P216" s="171">
        <f>(INDEX(Models!$BJ216:$BT216,,T216)*(1-R216)+INDEX(Models!$BJ216:$BT216,,T216+1)*R216-ERP_i)*Q216*Ramure*Pc/MaxiM</f>
        <v>4.9400246879704372E-4</v>
      </c>
      <c r="Q216" s="307">
        <f t="shared" si="77"/>
        <v>1</v>
      </c>
      <c r="R216" s="179">
        <f t="shared" si="78"/>
        <v>0.89030826112597405</v>
      </c>
      <c r="S216" s="837">
        <f t="shared" si="79"/>
        <v>-1</v>
      </c>
      <c r="T216" s="178">
        <f t="shared" si="80"/>
        <v>5</v>
      </c>
      <c r="U216" s="253">
        <f t="shared" si="81"/>
        <v>-0.10969173887402595</v>
      </c>
      <c r="V216" s="385">
        <f t="shared" si="82"/>
        <v>56.083103211554089</v>
      </c>
      <c r="W216" s="404"/>
      <c r="X216" s="157">
        <f t="shared" si="83"/>
        <v>44398</v>
      </c>
      <c r="Y216" s="387">
        <f t="shared" si="84"/>
        <v>41.889407150941068</v>
      </c>
      <c r="Z216" s="387">
        <f t="shared" si="85"/>
        <v>42.960573993365657</v>
      </c>
      <c r="AA216" s="388">
        <f t="shared" si="86"/>
        <v>50.494180963589642</v>
      </c>
      <c r="AB216" s="199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0.14919752784298684</v>
      </c>
      <c r="AD216" s="233">
        <f>(INDEX(Models!$BJ216:$BT216,,AH216)*(1-AF216)+INDEX(Models!$BJ216:$BT216,,AH216+1)*AF216-ERP_i)*AE216*Ramure*Pc/MaxiM</f>
        <v>4.9400246879704372E-4</v>
      </c>
      <c r="AE216" s="307">
        <f t="shared" si="88"/>
        <v>1</v>
      </c>
      <c r="AF216" s="179">
        <f t="shared" si="89"/>
        <v>0.89030826112597405</v>
      </c>
      <c r="AG216" s="837">
        <f t="shared" si="95"/>
        <v>-1</v>
      </c>
      <c r="AH216" s="178">
        <f t="shared" si="90"/>
        <v>5</v>
      </c>
      <c r="AI216" s="227">
        <f t="shared" si="91"/>
        <v>-0.10969173887402595</v>
      </c>
      <c r="AJ216" s="267" t="b">
        <f t="shared" si="92"/>
        <v>0</v>
      </c>
      <c r="AK216" s="267" t="b">
        <f t="shared" si="93"/>
        <v>0</v>
      </c>
      <c r="AL216" s="267"/>
      <c r="AM216" s="267"/>
      <c r="AN216" s="75"/>
    </row>
    <row r="217" spans="1:40" s="6" customFormat="1" ht="11.25" x14ac:dyDescent="0.2">
      <c r="A217" s="56">
        <f t="shared" si="94"/>
        <v>44399</v>
      </c>
      <c r="B217" s="618">
        <v>51.035000000000004</v>
      </c>
      <c r="C217" s="392"/>
      <c r="D217" s="395">
        <f t="shared" si="74"/>
        <v>52.341249651756392</v>
      </c>
      <c r="E217" s="387">
        <f t="shared" si="72"/>
        <v>56.159662844904439</v>
      </c>
      <c r="F217" s="387">
        <f t="shared" si="75"/>
        <v>56.185831469090324</v>
      </c>
      <c r="G217" s="110">
        <f t="shared" si="73"/>
        <v>0.91254943825095003</v>
      </c>
      <c r="H217" s="414" t="b">
        <f>Wh_hp&gt;='2020'!Maxi_hp</f>
        <v>1</v>
      </c>
      <c r="I217" s="382">
        <f>IF(H217,Wh_hp,'2020'!Maxi_hp)</f>
        <v>56.185831469090324</v>
      </c>
      <c r="J217" s="85">
        <f>IF(H217,An,'2020'!An_max)</f>
        <v>2021</v>
      </c>
      <c r="K217" s="199">
        <f t="shared" si="76"/>
        <v>44399</v>
      </c>
      <c r="L217" s="147">
        <f>IF(t&lt;Tvie,1-EXP((T0-t)*PertePVj)+'2020'!Pspv,1-EXP((T0-t)*PertePVj)+Pspv)</f>
        <v>2.4956409341528873E-2</v>
      </c>
      <c r="M217" s="870"/>
      <c r="N217" s="870"/>
      <c r="O217" s="48">
        <f>IF(t&lt;Tnet,'2020'!Resal+('2020'!Salim-'2020'!Resal)*(1-EXP(('2020'!Tnet-t)/('2020'!Tau_j))),Resal+(Salim-Resal)*(1-EXP((Tnet-t)/(Tau_j))))*Salcycl</f>
        <v>6.7992096100956273E-2</v>
      </c>
      <c r="P217" s="171">
        <f>(INDEX(Models!$BJ217:$BT217,,T217)*(1-R217)+INDEX(Models!$BJ217:$BT217,,T217+1)*R217-ERP_i)*Q217*Ramure*Pc/MaxiM</f>
        <v>5.3219153818952268E-4</v>
      </c>
      <c r="Q217" s="307">
        <f t="shared" si="77"/>
        <v>1</v>
      </c>
      <c r="R217" s="179">
        <f t="shared" si="78"/>
        <v>0.89405770704616483</v>
      </c>
      <c r="S217" s="837">
        <f t="shared" si="79"/>
        <v>-1</v>
      </c>
      <c r="T217" s="178">
        <f t="shared" si="80"/>
        <v>5</v>
      </c>
      <c r="U217" s="253">
        <f t="shared" si="81"/>
        <v>-0.10594229295383517</v>
      </c>
      <c r="V217" s="385">
        <f t="shared" si="82"/>
        <v>55.922019677514108</v>
      </c>
      <c r="W217" s="404"/>
      <c r="X217" s="157">
        <f t="shared" si="83"/>
        <v>44399</v>
      </c>
      <c r="Y217" s="387">
        <f t="shared" si="84"/>
        <v>46.582862397163538</v>
      </c>
      <c r="Z217" s="387">
        <f t="shared" si="85"/>
        <v>47.775158816956043</v>
      </c>
      <c r="AA217" s="388">
        <f t="shared" si="86"/>
        <v>56.159662844904439</v>
      </c>
      <c r="AB217" s="199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0.14929762044875153</v>
      </c>
      <c r="AD217" s="233">
        <f>(INDEX(Models!$BJ217:$BT217,,AH217)*(1-AF217)+INDEX(Models!$BJ217:$BT217,,AH217+1)*AF217-ERP_i)*AE217*Ramure*Pc/MaxiM</f>
        <v>5.3219153818952268E-4</v>
      </c>
      <c r="AE217" s="307">
        <f t="shared" si="88"/>
        <v>1</v>
      </c>
      <c r="AF217" s="179">
        <f t="shared" si="89"/>
        <v>0.89405770704616483</v>
      </c>
      <c r="AG217" s="837">
        <f t="shared" si="95"/>
        <v>-1</v>
      </c>
      <c r="AH217" s="178">
        <f t="shared" si="90"/>
        <v>5</v>
      </c>
      <c r="AI217" s="227">
        <f t="shared" si="91"/>
        <v>-0.10594229295383517</v>
      </c>
      <c r="AJ217" s="267" t="b">
        <f t="shared" si="92"/>
        <v>0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4"/>
        <v>44400</v>
      </c>
      <c r="B218" s="618">
        <v>41.771999999999998</v>
      </c>
      <c r="C218" s="392"/>
      <c r="D218" s="395">
        <f t="shared" si="74"/>
        <v>42.842158564292745</v>
      </c>
      <c r="E218" s="387">
        <f t="shared" si="72"/>
        <v>45.985963996484493</v>
      </c>
      <c r="F218" s="387">
        <f t="shared" si="75"/>
        <v>46.002858498427479</v>
      </c>
      <c r="G218" s="110">
        <f t="shared" si="73"/>
        <v>0.74899313083789887</v>
      </c>
      <c r="H218" s="414" t="b">
        <f>Wh_hp&gt;='2020'!Maxi_hp</f>
        <v>0</v>
      </c>
      <c r="I218" s="382">
        <f>IF(H218,Wh_hp,'2020'!Maxi_hp)</f>
        <v>56.993648476218958</v>
      </c>
      <c r="J218" s="85">
        <f>IF(H218,An,'2020'!An_max)</f>
        <v>2019</v>
      </c>
      <c r="K218" s="199">
        <f t="shared" si="76"/>
        <v>44400</v>
      </c>
      <c r="L218" s="147">
        <f>IF(t&lt;Tvie,1-EXP((T0-t)*PertePVj)+'2020'!Pspv,1-EXP((T0-t)*PertePVj)+Pspv)</f>
        <v>2.4979100030330437E-2</v>
      </c>
      <c r="M218" s="870"/>
      <c r="N218" s="870"/>
      <c r="O218" s="48">
        <f>IF(t&lt;Tnet,'2020'!Resal+('2020'!Salim-'2020'!Resal)*(1-EXP(('2020'!Tnet-t)/('2020'!Tau_j))),Resal+(Salim-Resal)*(1-EXP((Tnet-t)/(Tau_j))))*Salcycl</f>
        <v>6.8364456433534448E-2</v>
      </c>
      <c r="P218" s="171">
        <f>(INDEX(Models!$BJ218:$BT218,,T218)*(1-R218)+INDEX(Models!$BJ218:$BT218,,T218+1)*R218-ERP_i)*Q218*Ramure*Pc/MaxiM</f>
        <v>5.7236129789362173E-4</v>
      </c>
      <c r="Q218" s="307">
        <f t="shared" si="77"/>
        <v>1</v>
      </c>
      <c r="R218" s="179">
        <f t="shared" si="78"/>
        <v>0.89770116471174977</v>
      </c>
      <c r="S218" s="837">
        <f t="shared" si="79"/>
        <v>-1</v>
      </c>
      <c r="T218" s="178">
        <f t="shared" si="80"/>
        <v>5</v>
      </c>
      <c r="U218" s="253">
        <f t="shared" si="81"/>
        <v>-0.10229883528825023</v>
      </c>
      <c r="V218" s="385">
        <f t="shared" si="82"/>
        <v>55.759428464951704</v>
      </c>
      <c r="W218" s="404"/>
      <c r="X218" s="157">
        <f t="shared" si="83"/>
        <v>44400</v>
      </c>
      <c r="Y218" s="387">
        <f t="shared" si="84"/>
        <v>38.138774440283406</v>
      </c>
      <c r="Z218" s="387">
        <f t="shared" si="85"/>
        <v>39.115853251422415</v>
      </c>
      <c r="AA218" s="388">
        <f t="shared" si="86"/>
        <v>45.985963996484493</v>
      </c>
      <c r="AB218" s="199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0.14939581881087188</v>
      </c>
      <c r="AD218" s="233">
        <f>(INDEX(Models!$BJ218:$BT218,,AH218)*(1-AF218)+INDEX(Models!$BJ218:$BT218,,AH218+1)*AF218-ERP_i)*AE218*Ramure*Pc/MaxiM</f>
        <v>5.7236129789362173E-4</v>
      </c>
      <c r="AE218" s="307">
        <f t="shared" si="88"/>
        <v>1</v>
      </c>
      <c r="AF218" s="179">
        <f t="shared" si="89"/>
        <v>0.89770116471174977</v>
      </c>
      <c r="AG218" s="837">
        <f t="shared" si="95"/>
        <v>-1</v>
      </c>
      <c r="AH218" s="178">
        <f t="shared" si="90"/>
        <v>5</v>
      </c>
      <c r="AI218" s="227">
        <f t="shared" si="91"/>
        <v>-0.10229883528825023</v>
      </c>
      <c r="AJ218" s="267" t="b">
        <f t="shared" si="92"/>
        <v>0</v>
      </c>
      <c r="AK218" s="267" t="b">
        <f t="shared" si="93"/>
        <v>0</v>
      </c>
      <c r="AL218" s="267"/>
      <c r="AM218" s="267"/>
      <c r="AN218" s="75"/>
    </row>
    <row r="219" spans="1:40" s="6" customFormat="1" ht="11.25" x14ac:dyDescent="0.2">
      <c r="A219" s="56">
        <f t="shared" si="94"/>
        <v>44401</v>
      </c>
      <c r="B219" s="618">
        <v>32.413000000000004</v>
      </c>
      <c r="C219" s="392"/>
      <c r="D219" s="395">
        <f t="shared" si="74"/>
        <v>33.244163603492687</v>
      </c>
      <c r="E219" s="387">
        <f t="shared" si="72"/>
        <v>35.69785216284523</v>
      </c>
      <c r="F219" s="387">
        <f t="shared" si="75"/>
        <v>35.70672386807351</v>
      </c>
      <c r="G219" s="110">
        <f t="shared" si="73"/>
        <v>0.58280170102700901</v>
      </c>
      <c r="H219" s="414" t="b">
        <f>Wh_hp&gt;='2020'!Maxi_hp</f>
        <v>0</v>
      </c>
      <c r="I219" s="382">
        <f>IF(H219,Wh_hp,'2020'!Maxi_hp)</f>
        <v>57.250617661501515</v>
      </c>
      <c r="J219" s="85">
        <f>IF(H219,An,'2020'!An_max)</f>
        <v>2019</v>
      </c>
      <c r="K219" s="199">
        <f t="shared" si="76"/>
        <v>44401</v>
      </c>
      <c r="L219" s="147">
        <f>IF(t&lt;Tvie,1-EXP((T0-t)*PertePVj)+'2020'!Pspv,1-EXP((T0-t)*PertePVj)+Pspv)</f>
        <v>2.5001790191086615E-2</v>
      </c>
      <c r="M219" s="870"/>
      <c r="N219" s="870"/>
      <c r="O219" s="48">
        <f>IF(t&lt;Tnet,'2020'!Resal+('2020'!Salim-'2020'!Resal)*(1-EXP(('2020'!Tnet-t)/('2020'!Tau_j))),Resal+(Salim-Resal)*(1-EXP((Tnet-t)/(Tau_j))))*Salcycl</f>
        <v>6.8734907303649284E-2</v>
      </c>
      <c r="P219" s="171">
        <f>(INDEX(Models!$BJ219:$BT219,,T219)*(1-R219)+INDEX(Models!$BJ219:$BT219,,T219+1)*R219-ERP_i)*Q219*Ramure*Pc/MaxiM</f>
        <v>6.1453328135581149E-4</v>
      </c>
      <c r="Q219" s="307">
        <f t="shared" si="77"/>
        <v>1</v>
      </c>
      <c r="R219" s="179">
        <f t="shared" si="78"/>
        <v>0.90124011837177798</v>
      </c>
      <c r="S219" s="837">
        <f t="shared" si="79"/>
        <v>-1</v>
      </c>
      <c r="T219" s="178">
        <f t="shared" si="80"/>
        <v>5</v>
      </c>
      <c r="U219" s="253">
        <f t="shared" si="81"/>
        <v>-9.8759881628222024E-2</v>
      </c>
      <c r="V219" s="385">
        <f t="shared" si="82"/>
        <v>55.595464927851502</v>
      </c>
      <c r="W219" s="404"/>
      <c r="X219" s="157">
        <f t="shared" si="83"/>
        <v>44401</v>
      </c>
      <c r="Y219" s="387">
        <f t="shared" si="84"/>
        <v>29.602213742084221</v>
      </c>
      <c r="Z219" s="387">
        <f t="shared" si="85"/>
        <v>30.361300609860461</v>
      </c>
      <c r="AA219" s="388">
        <f t="shared" si="86"/>
        <v>35.69785216284523</v>
      </c>
      <c r="AB219" s="199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0.14949223075496729</v>
      </c>
      <c r="AD219" s="233">
        <f>(INDEX(Models!$BJ219:$BT219,,AH219)*(1-AF219)+INDEX(Models!$BJ219:$BT219,,AH219+1)*AF219-ERP_i)*AE219*Ramure*Pc/MaxiM</f>
        <v>6.1453328135581149E-4</v>
      </c>
      <c r="AE219" s="307">
        <f t="shared" si="88"/>
        <v>1</v>
      </c>
      <c r="AF219" s="179">
        <f t="shared" si="89"/>
        <v>0.90124011837177798</v>
      </c>
      <c r="AG219" s="837">
        <f t="shared" si="95"/>
        <v>-1</v>
      </c>
      <c r="AH219" s="178">
        <f t="shared" si="90"/>
        <v>5</v>
      </c>
      <c r="AI219" s="227">
        <f t="shared" si="91"/>
        <v>-9.8759881628222024E-2</v>
      </c>
      <c r="AJ219" s="267" t="b">
        <f t="shared" si="92"/>
        <v>0</v>
      </c>
      <c r="AK219" s="267" t="b">
        <f t="shared" si="93"/>
        <v>0</v>
      </c>
      <c r="AL219" s="267"/>
      <c r="AM219" s="267"/>
      <c r="AN219" s="75"/>
    </row>
    <row r="220" spans="1:40" s="6" customFormat="1" ht="11.25" x14ac:dyDescent="0.2">
      <c r="A220" s="56">
        <f t="shared" si="94"/>
        <v>44402</v>
      </c>
      <c r="B220" s="618">
        <v>35.039000000000001</v>
      </c>
      <c r="C220" s="392"/>
      <c r="D220" s="395">
        <f t="shared" si="74"/>
        <v>35.938338219679622</v>
      </c>
      <c r="E220" s="387">
        <f t="shared" si="72"/>
        <v>38.606158496166032</v>
      </c>
      <c r="F220" s="387">
        <f t="shared" si="75"/>
        <v>38.618272083895491</v>
      </c>
      <c r="G220" s="110">
        <f t="shared" si="73"/>
        <v>0.6319125314641012</v>
      </c>
      <c r="H220" s="414" t="b">
        <f>Wh_hp&gt;='2020'!Maxi_hp</f>
        <v>0</v>
      </c>
      <c r="I220" s="382">
        <f>IF(H220,Wh_hp,'2020'!Maxi_hp)</f>
        <v>58.935772550617891</v>
      </c>
      <c r="J220" s="85">
        <f>IF(H220,An,'2020'!An_max)</f>
        <v>2020</v>
      </c>
      <c r="K220" s="199">
        <f t="shared" si="76"/>
        <v>44402</v>
      </c>
      <c r="L220" s="147">
        <f>IF(t&lt;Tvie,1-EXP((T0-t)*PertePVj)+'2020'!Pspv,1-EXP((T0-t)*PertePVj)+Pspv)</f>
        <v>2.502447982380962E-2</v>
      </c>
      <c r="M220" s="870"/>
      <c r="N220" s="870"/>
      <c r="O220" s="48">
        <f>IF(t&lt;Tnet,'2020'!Resal+('2020'!Salim-'2020'!Resal)*(1-EXP(('2020'!Tnet-t)/('2020'!Tau_j))),Resal+(Salim-Resal)*(1-EXP((Tnet-t)/(Tau_j))))*Salcycl</f>
        <v>6.9103489712693131E-2</v>
      </c>
      <c r="P220" s="171">
        <f>(INDEX(Models!$BJ220:$BT220,,T220)*(1-R220)+INDEX(Models!$BJ220:$BT220,,T220+1)*R220-ERP_i)*Q220*Ramure*Pc/MaxiM</f>
        <v>6.6109973673436574E-4</v>
      </c>
      <c r="Q220" s="307">
        <f t="shared" si="77"/>
        <v>1</v>
      </c>
      <c r="R220" s="179">
        <f t="shared" si="78"/>
        <v>0.90467613975376693</v>
      </c>
      <c r="S220" s="837">
        <f t="shared" si="79"/>
        <v>-1</v>
      </c>
      <c r="T220" s="178">
        <f t="shared" si="80"/>
        <v>5</v>
      </c>
      <c r="U220" s="253">
        <f t="shared" si="81"/>
        <v>-9.5323860246233072E-2</v>
      </c>
      <c r="V220" s="385">
        <f t="shared" si="82"/>
        <v>55.429859390380535</v>
      </c>
      <c r="W220" s="404"/>
      <c r="X220" s="157">
        <f t="shared" si="83"/>
        <v>44402</v>
      </c>
      <c r="Y220" s="387">
        <f t="shared" si="84"/>
        <v>32.009597466825049</v>
      </c>
      <c r="Z220" s="387">
        <f t="shared" si="85"/>
        <v>32.83118068548071</v>
      </c>
      <c r="AA220" s="388">
        <f t="shared" si="86"/>
        <v>38.606158496166032</v>
      </c>
      <c r="AB220" s="199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0.14958695803051286</v>
      </c>
      <c r="AD220" s="233">
        <f>(INDEX(Models!$BJ220:$BT220,,AH220)*(1-AF220)+INDEX(Models!$BJ220:$BT220,,AH220+1)*AF220-ERP_i)*AE220*Ramure*Pc/MaxiM</f>
        <v>6.6109973673436574E-4</v>
      </c>
      <c r="AE220" s="307">
        <f t="shared" si="88"/>
        <v>1</v>
      </c>
      <c r="AF220" s="179">
        <f t="shared" si="89"/>
        <v>0.90467613975376693</v>
      </c>
      <c r="AG220" s="837">
        <f t="shared" si="95"/>
        <v>-1</v>
      </c>
      <c r="AH220" s="178">
        <f t="shared" si="90"/>
        <v>5</v>
      </c>
      <c r="AI220" s="227">
        <f t="shared" si="91"/>
        <v>-9.5323860246233072E-2</v>
      </c>
      <c r="AJ220" s="267" t="b">
        <f t="shared" si="92"/>
        <v>0</v>
      </c>
      <c r="AK220" s="267" t="b">
        <f t="shared" si="93"/>
        <v>0</v>
      </c>
      <c r="AL220" s="267"/>
      <c r="AM220" s="267"/>
      <c r="AN220" s="75"/>
    </row>
    <row r="221" spans="1:40" s="6" customFormat="1" ht="11.25" x14ac:dyDescent="0.2">
      <c r="A221" s="56">
        <f t="shared" si="94"/>
        <v>44403</v>
      </c>
      <c r="B221" s="618">
        <v>33.027000000000001</v>
      </c>
      <c r="C221" s="392"/>
      <c r="D221" s="395">
        <f t="shared" si="74"/>
        <v>33.875484995210293</v>
      </c>
      <c r="E221" s="387">
        <f t="shared" si="72"/>
        <v>36.404515522353044</v>
      </c>
      <c r="F221" s="387">
        <f t="shared" si="75"/>
        <v>36.415527306933342</v>
      </c>
      <c r="G221" s="110">
        <f t="shared" si="73"/>
        <v>0.59739462904254692</v>
      </c>
      <c r="H221" s="414" t="b">
        <f>Wh_hp&gt;='2020'!Maxi_hp</f>
        <v>0</v>
      </c>
      <c r="I221" s="382">
        <f>IF(H221,Wh_hp,'2020'!Maxi_hp)</f>
        <v>58.260765425485459</v>
      </c>
      <c r="J221" s="85">
        <f>IF(H221,An,'2020'!An_max)</f>
        <v>2020</v>
      </c>
      <c r="K221" s="199">
        <f t="shared" si="76"/>
        <v>44403</v>
      </c>
      <c r="L221" s="147">
        <f>IF(t&lt;Tvie,1-EXP((T0-t)*PertePVj)+'2020'!Pspv,1-EXP((T0-t)*PertePVj)+Pspv)</f>
        <v>2.5047168928511665E-2</v>
      </c>
      <c r="M221" s="870"/>
      <c r="N221" s="870"/>
      <c r="O221" s="48">
        <f>IF(t&lt;Tnet,'2020'!Resal+('2020'!Salim-'2020'!Resal)*(1-EXP(('2020'!Tnet-t)/('2020'!Tau_j))),Resal+(Salim-Resal)*(1-EXP((Tnet-t)/(Tau_j))))*Salcycl</f>
        <v>6.9470242656845219E-2</v>
      </c>
      <c r="P221" s="171">
        <f>(INDEX(Models!$BJ221:$BT221,,T221)*(1-R221)+INDEX(Models!$BJ221:$BT221,,T221+1)*R221-ERP_i)*Q221*Ramure*Pc/MaxiM</f>
        <v>7.1117960318615471E-4</v>
      </c>
      <c r="Q221" s="307">
        <f t="shared" si="77"/>
        <v>1</v>
      </c>
      <c r="R221" s="179">
        <f t="shared" si="78"/>
        <v>0.90801087924276935</v>
      </c>
      <c r="S221" s="837">
        <f t="shared" si="79"/>
        <v>-1</v>
      </c>
      <c r="T221" s="178">
        <f t="shared" si="80"/>
        <v>5</v>
      </c>
      <c r="U221" s="253">
        <f t="shared" si="81"/>
        <v>-9.1989120757230647E-2</v>
      </c>
      <c r="V221" s="385">
        <f t="shared" si="82"/>
        <v>55.262456844389867</v>
      </c>
      <c r="W221" s="404"/>
      <c r="X221" s="157">
        <f t="shared" si="83"/>
        <v>44403</v>
      </c>
      <c r="Y221" s="387">
        <f t="shared" si="84"/>
        <v>30.180136902694333</v>
      </c>
      <c r="Z221" s="387">
        <f t="shared" si="85"/>
        <v>30.955484143295315</v>
      </c>
      <c r="AA221" s="388">
        <f t="shared" si="86"/>
        <v>36.404515522353044</v>
      </c>
      <c r="AB221" s="199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0.14968009602303109</v>
      </c>
      <c r="AD221" s="233">
        <f>(INDEX(Models!$BJ221:$BT221,,AH221)*(1-AF221)+INDEX(Models!$BJ221:$BT221,,AH221+1)*AF221-ERP_i)*AE221*Ramure*Pc/MaxiM</f>
        <v>7.1117960318615471E-4</v>
      </c>
      <c r="AE221" s="307">
        <f t="shared" si="88"/>
        <v>1</v>
      </c>
      <c r="AF221" s="179">
        <f t="shared" si="89"/>
        <v>0.90801087924276935</v>
      </c>
      <c r="AG221" s="837">
        <f t="shared" si="95"/>
        <v>-1</v>
      </c>
      <c r="AH221" s="178">
        <f t="shared" si="90"/>
        <v>5</v>
      </c>
      <c r="AI221" s="227">
        <f t="shared" si="91"/>
        <v>-9.1989120757230647E-2</v>
      </c>
      <c r="AJ221" s="267" t="b">
        <f t="shared" si="92"/>
        <v>0</v>
      </c>
      <c r="AK221" s="267" t="b">
        <f t="shared" si="93"/>
        <v>0</v>
      </c>
      <c r="AL221" s="267"/>
      <c r="AM221" s="267"/>
      <c r="AN221" s="75"/>
    </row>
    <row r="222" spans="1:40" s="6" customFormat="1" ht="11.25" x14ac:dyDescent="0.2">
      <c r="A222" s="56">
        <f t="shared" si="94"/>
        <v>44404</v>
      </c>
      <c r="B222" s="618">
        <v>45.777000000000001</v>
      </c>
      <c r="C222" s="392"/>
      <c r="D222" s="395">
        <f t="shared" si="74"/>
        <v>46.95413343448287</v>
      </c>
      <c r="E222" s="387">
        <f t="shared" si="72"/>
        <v>50.479370518987281</v>
      </c>
      <c r="F222" s="387">
        <f t="shared" si="75"/>
        <v>50.508668868399489</v>
      </c>
      <c r="G222" s="110">
        <f t="shared" si="73"/>
        <v>0.83074973526685725</v>
      </c>
      <c r="H222" s="414" t="b">
        <f>Wh_hp&gt;='2020'!Maxi_hp</f>
        <v>1</v>
      </c>
      <c r="I222" s="382">
        <f>IF(H222,Wh_hp,'2020'!Maxi_hp)</f>
        <v>50.508668868399489</v>
      </c>
      <c r="J222" s="85">
        <f>IF(H222,An,'2020'!An_max)</f>
        <v>2021</v>
      </c>
      <c r="K222" s="199">
        <f t="shared" si="76"/>
        <v>44404</v>
      </c>
      <c r="L222" s="147">
        <f>IF(t&lt;Tvie,1-EXP((T0-t)*PertePVj)+'2020'!Pspv,1-EXP((T0-t)*PertePVj)+Pspv)</f>
        <v>2.5069857505205073E-2</v>
      </c>
      <c r="M222" s="870"/>
      <c r="N222" s="870"/>
      <c r="O222" s="48">
        <f>IF(t&lt;Tnet,'2020'!Resal+('2020'!Salim-'2020'!Resal)*(1-EXP(('2020'!Tnet-t)/('2020'!Tau_j))),Resal+(Salim-Resal)*(1-EXP((Tnet-t)/(Tau_j))))*Salcycl</f>
        <v>6.9835202940544475E-2</v>
      </c>
      <c r="P222" s="171">
        <f>(INDEX(Models!$BJ222:$BT222,,T222)*(1-R222)+INDEX(Models!$BJ222:$BT222,,T222+1)*R222-ERP_i)*Q222*Ramure*Pc/MaxiM</f>
        <v>7.6482101937365226E-4</v>
      </c>
      <c r="Q222" s="307">
        <f t="shared" si="77"/>
        <v>1</v>
      </c>
      <c r="R222" s="179">
        <f t="shared" si="78"/>
        <v>0.91124605734972164</v>
      </c>
      <c r="S222" s="837">
        <f t="shared" si="79"/>
        <v>-1</v>
      </c>
      <c r="T222" s="178">
        <f t="shared" si="80"/>
        <v>5</v>
      </c>
      <c r="U222" s="253">
        <f t="shared" si="81"/>
        <v>-8.8753942650278361E-2</v>
      </c>
      <c r="V222" s="385">
        <f t="shared" si="82"/>
        <v>55.093051019786067</v>
      </c>
      <c r="W222" s="404"/>
      <c r="X222" s="157">
        <f t="shared" si="83"/>
        <v>44404</v>
      </c>
      <c r="Y222" s="387">
        <f t="shared" si="84"/>
        <v>41.843014783514271</v>
      </c>
      <c r="Z222" s="387">
        <f t="shared" si="85"/>
        <v>42.918987689148885</v>
      </c>
      <c r="AA222" s="388">
        <f t="shared" si="86"/>
        <v>50.479370518987281</v>
      </c>
      <c r="AB222" s="199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0.14977173352418571</v>
      </c>
      <c r="AD222" s="233">
        <f>(INDEX(Models!$BJ222:$BT222,,AH222)*(1-AF222)+INDEX(Models!$BJ222:$BT222,,AH222+1)*AF222-ERP_i)*AE222*Ramure*Pc/MaxiM</f>
        <v>7.6482101937365226E-4</v>
      </c>
      <c r="AE222" s="307">
        <f t="shared" si="88"/>
        <v>1</v>
      </c>
      <c r="AF222" s="179">
        <f t="shared" si="89"/>
        <v>0.91124605734972164</v>
      </c>
      <c r="AG222" s="837">
        <f t="shared" si="95"/>
        <v>-1</v>
      </c>
      <c r="AH222" s="178">
        <f t="shared" si="90"/>
        <v>5</v>
      </c>
      <c r="AI222" s="227">
        <f t="shared" si="91"/>
        <v>-8.8753942650278361E-2</v>
      </c>
      <c r="AJ222" s="267" t="b">
        <f t="shared" si="92"/>
        <v>0</v>
      </c>
      <c r="AK222" s="267" t="b">
        <f t="shared" si="93"/>
        <v>0</v>
      </c>
      <c r="AL222" s="267"/>
      <c r="AM222" s="267"/>
      <c r="AN222" s="75"/>
    </row>
    <row r="223" spans="1:40" s="6" customFormat="1" ht="11.25" x14ac:dyDescent="0.2">
      <c r="A223" s="56">
        <f t="shared" si="94"/>
        <v>44405</v>
      </c>
      <c r="B223" s="618">
        <v>26.85</v>
      </c>
      <c r="C223" s="392"/>
      <c r="D223" s="395">
        <f t="shared" si="74"/>
        <v>27.541075696518359</v>
      </c>
      <c r="E223" s="387">
        <f t="shared" si="72"/>
        <v>29.620379062654731</v>
      </c>
      <c r="F223" s="387">
        <f t="shared" si="75"/>
        <v>29.626950884809094</v>
      </c>
      <c r="G223" s="110">
        <f t="shared" si="73"/>
        <v>0.48858663331376356</v>
      </c>
      <c r="H223" s="414" t="b">
        <f>Wh_hp&gt;='2020'!Maxi_hp</f>
        <v>0</v>
      </c>
      <c r="I223" s="382">
        <f>IF(H223,Wh_hp,'2020'!Maxi_hp)</f>
        <v>61.483978261170357</v>
      </c>
      <c r="J223" s="85">
        <f>IF(H223,An,'2020'!An_max)</f>
        <v>2019</v>
      </c>
      <c r="K223" s="199">
        <f t="shared" si="76"/>
        <v>44405</v>
      </c>
      <c r="L223" s="147">
        <f>IF(t&lt;Tvie,1-EXP((T0-t)*PertePVj)+'2020'!Pspv,1-EXP((T0-t)*PertePVj)+Pspv)</f>
        <v>2.5092545553902279E-2</v>
      </c>
      <c r="M223" s="870"/>
      <c r="N223" s="870"/>
      <c r="O223" s="48">
        <f>IF(t&lt;Tnet,'2020'!Resal+('2020'!Salim-'2020'!Resal)*(1-EXP(('2020'!Tnet-t)/('2020'!Tau_j))),Resal+(Salim-Resal)*(1-EXP((Tnet-t)/(Tau_j))))*Salcycl</f>
        <v>7.0198405014942858E-2</v>
      </c>
      <c r="P223" s="171">
        <f>(INDEX(Models!$BJ223:$BT223,,T223)*(1-R223)+INDEX(Models!$BJ223:$BT223,,T223+1)*R223-ERP_i)*Q223*Ramure*Pc/MaxiM</f>
        <v>8.2207333916073139E-4</v>
      </c>
      <c r="Q223" s="307">
        <f t="shared" si="77"/>
        <v>1</v>
      </c>
      <c r="R223" s="179">
        <f t="shared" si="78"/>
        <v>0.91438345649093578</v>
      </c>
      <c r="S223" s="837">
        <f t="shared" si="79"/>
        <v>-1</v>
      </c>
      <c r="T223" s="178">
        <f t="shared" si="80"/>
        <v>5</v>
      </c>
      <c r="U223" s="253">
        <f t="shared" si="81"/>
        <v>-8.5616543509064225E-2</v>
      </c>
      <c r="V223" s="385">
        <f t="shared" si="82"/>
        <v>54.921436173102705</v>
      </c>
      <c r="W223" s="404"/>
      <c r="X223" s="157">
        <f t="shared" si="83"/>
        <v>44405</v>
      </c>
      <c r="Y223" s="387">
        <f t="shared" si="84"/>
        <v>24.549545512611722</v>
      </c>
      <c r="Z223" s="387">
        <f t="shared" si="85"/>
        <v>25.181411220780706</v>
      </c>
      <c r="AA223" s="388">
        <f t="shared" si="86"/>
        <v>29.620379062654731</v>
      </c>
      <c r="AB223" s="199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0.14986195255923168</v>
      </c>
      <c r="AD223" s="233">
        <f>(INDEX(Models!$BJ223:$BT223,,AH223)*(1-AF223)+INDEX(Models!$BJ223:$BT223,,AH223+1)*AF223-ERP_i)*AE223*Ramure*Pc/MaxiM</f>
        <v>8.2207333916073139E-4</v>
      </c>
      <c r="AE223" s="307">
        <f t="shared" si="88"/>
        <v>1</v>
      </c>
      <c r="AF223" s="179">
        <f t="shared" si="89"/>
        <v>0.91438345649093578</v>
      </c>
      <c r="AG223" s="837">
        <f t="shared" si="95"/>
        <v>-1</v>
      </c>
      <c r="AH223" s="178">
        <f t="shared" si="90"/>
        <v>5</v>
      </c>
      <c r="AI223" s="227">
        <f t="shared" si="91"/>
        <v>-8.5616543509064225E-2</v>
      </c>
      <c r="AJ223" s="267" t="b">
        <f t="shared" si="92"/>
        <v>0</v>
      </c>
      <c r="AK223" s="267" t="b">
        <f t="shared" si="93"/>
        <v>0</v>
      </c>
      <c r="AL223" s="267"/>
      <c r="AM223" s="267"/>
      <c r="AN223" s="75"/>
    </row>
    <row r="224" spans="1:40" s="6" customFormat="1" ht="11.25" x14ac:dyDescent="0.2">
      <c r="A224" s="56">
        <f t="shared" si="94"/>
        <v>44406</v>
      </c>
      <c r="B224" s="618">
        <v>51.692999999999998</v>
      </c>
      <c r="C224" s="392"/>
      <c r="D224" s="395">
        <f t="shared" si="74"/>
        <v>53.024728412805793</v>
      </c>
      <c r="E224" s="387">
        <f t="shared" si="72"/>
        <v>57.050182491396818</v>
      </c>
      <c r="F224" s="387">
        <f t="shared" si="75"/>
        <v>57.096579863746257</v>
      </c>
      <c r="G224" s="110">
        <f t="shared" si="73"/>
        <v>0.94414259748666651</v>
      </c>
      <c r="H224" s="414" t="b">
        <f>Wh_hp&gt;='2020'!Maxi_hp</f>
        <v>0</v>
      </c>
      <c r="I224" s="382">
        <f>IF(H224,Wh_hp,'2020'!Maxi_hp)</f>
        <v>60.214404913663586</v>
      </c>
      <c r="J224" s="85">
        <f>IF(H224,An,'2020'!An_max)</f>
        <v>2019</v>
      </c>
      <c r="K224" s="199">
        <f t="shared" si="76"/>
        <v>44406</v>
      </c>
      <c r="L224" s="147">
        <f>IF(t&lt;Tvie,1-EXP((T0-t)*PertePVj)+'2020'!Pspv,1-EXP((T0-t)*PertePVj)+Pspv)</f>
        <v>2.5115233074615273E-2</v>
      </c>
      <c r="M224" s="870"/>
      <c r="N224" s="870"/>
      <c r="O224" s="48">
        <f>IF(t&lt;Tnet,'2020'!Resal+('2020'!Salim-'2020'!Resal)*(1-EXP(('2020'!Tnet-t)/('2020'!Tau_j))),Resal+(Salim-Resal)*(1-EXP((Tnet-t)/(Tau_j))))*Salcycl</f>
        <v>7.0559880841714481E-2</v>
      </c>
      <c r="P224" s="171">
        <f>(INDEX(Models!$BJ224:$BT224,,T224)*(1-R224)+INDEX(Models!$BJ224:$BT224,,T224+1)*R224-ERP_i)*Q224*Ramure*Pc/MaxiM</f>
        <v>8.8298733746146178E-4</v>
      </c>
      <c r="Q224" s="307">
        <f t="shared" si="77"/>
        <v>1</v>
      </c>
      <c r="R224" s="179">
        <f t="shared" si="78"/>
        <v>0.91742491309658247</v>
      </c>
      <c r="S224" s="837">
        <f t="shared" si="79"/>
        <v>-1</v>
      </c>
      <c r="T224" s="178">
        <f t="shared" si="80"/>
        <v>5</v>
      </c>
      <c r="U224" s="253">
        <f t="shared" si="81"/>
        <v>-8.2575086903417527E-2</v>
      </c>
      <c r="V224" s="385">
        <f t="shared" si="82"/>
        <v>54.747407089200436</v>
      </c>
      <c r="W224" s="404"/>
      <c r="X224" s="157">
        <f t="shared" si="83"/>
        <v>44406</v>
      </c>
      <c r="Y224" s="387">
        <f t="shared" si="84"/>
        <v>47.277485583466664</v>
      </c>
      <c r="Z224" s="387">
        <f t="shared" si="85"/>
        <v>48.495460373815817</v>
      </c>
      <c r="AA224" s="388">
        <f t="shared" si="86"/>
        <v>57.050182491396818</v>
      </c>
      <c r="AB224" s="199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0.14995082827072556</v>
      </c>
      <c r="AD224" s="233">
        <f>(INDEX(Models!$BJ224:$BT224,,AH224)*(1-AF224)+INDEX(Models!$BJ224:$BT224,,AH224+1)*AF224-ERP_i)*AE224*Ramure*Pc/MaxiM</f>
        <v>8.8298733746146178E-4</v>
      </c>
      <c r="AE224" s="307">
        <f t="shared" si="88"/>
        <v>1</v>
      </c>
      <c r="AF224" s="179">
        <f t="shared" si="89"/>
        <v>0.91742491309658247</v>
      </c>
      <c r="AG224" s="837">
        <f t="shared" si="95"/>
        <v>-1</v>
      </c>
      <c r="AH224" s="178">
        <f t="shared" si="90"/>
        <v>5</v>
      </c>
      <c r="AI224" s="227">
        <f t="shared" si="91"/>
        <v>-8.2575086903417527E-2</v>
      </c>
      <c r="AJ224" s="267" t="b">
        <f t="shared" si="92"/>
        <v>0</v>
      </c>
      <c r="AK224" s="267" t="b">
        <f t="shared" si="93"/>
        <v>0</v>
      </c>
      <c r="AL224" s="267"/>
      <c r="AM224" s="267"/>
      <c r="AN224" s="75"/>
    </row>
    <row r="225" spans="1:40" s="6" customFormat="1" ht="11.25" x14ac:dyDescent="0.2">
      <c r="A225" s="56">
        <f t="shared" si="94"/>
        <v>44407</v>
      </c>
      <c r="B225" s="618">
        <v>17.55</v>
      </c>
      <c r="C225" s="392"/>
      <c r="D225" s="395">
        <f t="shared" si="74"/>
        <v>18.00254657685792</v>
      </c>
      <c r="E225" s="387">
        <f t="shared" si="72"/>
        <v>19.376738262096698</v>
      </c>
      <c r="F225" s="387">
        <f t="shared" si="75"/>
        <v>19.377304889236626</v>
      </c>
      <c r="G225" s="110">
        <f t="shared" si="73"/>
        <v>0.32130544577815934</v>
      </c>
      <c r="H225" s="414" t="b">
        <f>Wh_hp&gt;='2020'!Maxi_hp</f>
        <v>0</v>
      </c>
      <c r="I225" s="382">
        <f>IF(H225,Wh_hp,'2020'!Maxi_hp)</f>
        <v>52.174946254120343</v>
      </c>
      <c r="J225" s="85">
        <f>IF(H225,An,'2020'!An_max)</f>
        <v>2020</v>
      </c>
      <c r="K225" s="199">
        <f t="shared" si="76"/>
        <v>44407</v>
      </c>
      <c r="L225" s="147">
        <f>IF(t&lt;Tvie,1-EXP((T0-t)*PertePVj)+'2020'!Pspv,1-EXP((T0-t)*PertePVj)+Pspv)</f>
        <v>2.5137920067356601E-2</v>
      </c>
      <c r="M225" s="870"/>
      <c r="N225" s="870"/>
      <c r="O225" s="48">
        <f>IF(t&lt;Tnet,'2020'!Resal+('2020'!Salim-'2020'!Resal)*(1-EXP(('2020'!Tnet-t)/('2020'!Tau_j))),Resal+(Salim-Resal)*(1-EXP((Tnet-t)/(Tau_j))))*Salcycl</f>
        <v>7.0919659782310643E-2</v>
      </c>
      <c r="P225" s="171">
        <f>(INDEX(Models!$BJ225:$BT225,,T225)*(1-R225)+INDEX(Models!$BJ225:$BT225,,T225+1)*R225-ERP_i)*Q225*Ramure*Pc/MaxiM</f>
        <v>9.4761542419733108E-4</v>
      </c>
      <c r="Q225" s="307">
        <f t="shared" si="77"/>
        <v>1</v>
      </c>
      <c r="R225" s="179">
        <f t="shared" si="78"/>
        <v>0.92037231006221787</v>
      </c>
      <c r="S225" s="837">
        <f t="shared" si="79"/>
        <v>-1</v>
      </c>
      <c r="T225" s="178">
        <f t="shared" si="80"/>
        <v>5</v>
      </c>
      <c r="U225" s="253">
        <f t="shared" si="81"/>
        <v>-7.9627689937782131E-2</v>
      </c>
      <c r="V225" s="385">
        <f t="shared" si="82"/>
        <v>54.570759076279991</v>
      </c>
      <c r="W225" s="404"/>
      <c r="X225" s="157">
        <f t="shared" si="83"/>
        <v>44407</v>
      </c>
      <c r="Y225" s="387">
        <f t="shared" si="84"/>
        <v>16.055474352268337</v>
      </c>
      <c r="Z225" s="387">
        <f t="shared" si="85"/>
        <v>16.469482896880823</v>
      </c>
      <c r="AA225" s="388">
        <f t="shared" si="86"/>
        <v>19.376738262096698</v>
      </c>
      <c r="AB225" s="199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0.15003842885687452</v>
      </c>
      <c r="AD225" s="233">
        <f>(INDEX(Models!$BJ225:$BT225,,AH225)*(1-AF225)+INDEX(Models!$BJ225:$BT225,,AH225+1)*AF225-ERP_i)*AE225*Ramure*Pc/MaxiM</f>
        <v>9.4761542419733108E-4</v>
      </c>
      <c r="AE225" s="307">
        <f t="shared" si="88"/>
        <v>1</v>
      </c>
      <c r="AF225" s="179">
        <f t="shared" si="89"/>
        <v>0.92037231006221787</v>
      </c>
      <c r="AG225" s="837">
        <f t="shared" si="95"/>
        <v>-1</v>
      </c>
      <c r="AH225" s="178">
        <f t="shared" si="90"/>
        <v>5</v>
      </c>
      <c r="AI225" s="227">
        <f t="shared" si="91"/>
        <v>-7.9627689937782131E-2</v>
      </c>
      <c r="AJ225" s="267" t="b">
        <f t="shared" si="92"/>
        <v>0</v>
      </c>
      <c r="AK225" s="267" t="b">
        <f t="shared" si="93"/>
        <v>0</v>
      </c>
      <c r="AL225" s="267"/>
      <c r="AM225" s="267"/>
      <c r="AN225" s="75"/>
    </row>
    <row r="226" spans="1:40" s="6" customFormat="1" ht="11.25" x14ac:dyDescent="0.2">
      <c r="A226" s="56">
        <f t="shared" si="94"/>
        <v>44408</v>
      </c>
      <c r="B226" s="618">
        <v>12.67</v>
      </c>
      <c r="C226" s="392"/>
      <c r="D226" s="395">
        <f t="shared" si="74"/>
        <v>12.997012723222191</v>
      </c>
      <c r="E226" s="387">
        <f t="shared" si="72"/>
        <v>13.994510180298944</v>
      </c>
      <c r="F226" s="387">
        <f t="shared" si="75"/>
        <v>13.994510180298944</v>
      </c>
      <c r="G226" s="110">
        <f t="shared" si="73"/>
        <v>0.23270504527652533</v>
      </c>
      <c r="H226" s="414" t="b">
        <f>Wh_hp&gt;='2020'!Maxi_hp</f>
        <v>0</v>
      </c>
      <c r="I226" s="382">
        <f>IF(H226,Wh_hp,'2020'!Maxi_hp)</f>
        <v>54.744789701316236</v>
      </c>
      <c r="J226" s="85">
        <f>IF(H226,An,'2020'!An_max)</f>
        <v>2019</v>
      </c>
      <c r="K226" s="199">
        <f t="shared" si="76"/>
        <v>44408</v>
      </c>
      <c r="L226" s="147">
        <f>IF(t&lt;Tvie,1-EXP((T0-t)*PertePVj)+'2020'!Pspv,1-EXP((T0-t)*PertePVj)+Pspv)</f>
        <v>2.5160606532138474E-2</v>
      </c>
      <c r="M226" s="870"/>
      <c r="N226" s="870"/>
      <c r="O226" s="48">
        <f>IF(t&lt;Tnet,'2020'!Resal+('2020'!Salim-'2020'!Resal)*(1-EXP(('2020'!Tnet-t)/('2020'!Tau_j))),Resal+(Salim-Resal)*(1-EXP((Tnet-t)/(Tau_j))))*Salcycl</f>
        <v>7.1277768512469877E-2</v>
      </c>
      <c r="P226" s="171">
        <f>(INDEX(Models!$BJ226:$BT226,,T226)*(1-R226)+INDEX(Models!$BJ226:$BT226,,T226+1)*R226-ERP_i)*Q226*Ramure*Pc/MaxiM</f>
        <v>1.0195451404964645E-3</v>
      </c>
      <c r="Q226" s="307">
        <f t="shared" si="77"/>
        <v>1</v>
      </c>
      <c r="R226" s="179">
        <f t="shared" si="78"/>
        <v>0.92322756955388019</v>
      </c>
      <c r="S226" s="837">
        <f t="shared" si="79"/>
        <v>-1</v>
      </c>
      <c r="T226" s="178">
        <f t="shared" si="80"/>
        <v>5</v>
      </c>
      <c r="U226" s="253">
        <f t="shared" si="81"/>
        <v>-7.677243044611981E-2</v>
      </c>
      <c r="V226" s="385">
        <f t="shared" si="82"/>
        <v>54.391095594981167</v>
      </c>
      <c r="W226" s="404"/>
      <c r="X226" s="157">
        <f t="shared" si="83"/>
        <v>44408</v>
      </c>
      <c r="Y226" s="387">
        <f t="shared" si="84"/>
        <v>11.594337059830567</v>
      </c>
      <c r="Z226" s="387">
        <f t="shared" si="85"/>
        <v>11.893586920595457</v>
      </c>
      <c r="AA226" s="388">
        <f t="shared" si="86"/>
        <v>13.994510180298944</v>
      </c>
      <c r="AB226" s="199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0.15012481556239854</v>
      </c>
      <c r="AD226" s="233">
        <f>(INDEX(Models!$BJ226:$BT226,,AH226)*(1-AF226)+INDEX(Models!$BJ226:$BT226,,AH226+1)*AF226-ERP_i)*AE226*Ramure*Pc/MaxiM</f>
        <v>1.0195451404964645E-3</v>
      </c>
      <c r="AE226" s="307">
        <f t="shared" si="88"/>
        <v>1</v>
      </c>
      <c r="AF226" s="179">
        <f t="shared" si="89"/>
        <v>0.92322756955388019</v>
      </c>
      <c r="AG226" s="837">
        <f t="shared" si="95"/>
        <v>-1</v>
      </c>
      <c r="AH226" s="178">
        <f t="shared" si="90"/>
        <v>5</v>
      </c>
      <c r="AI226" s="227">
        <f t="shared" si="91"/>
        <v>-7.677243044611981E-2</v>
      </c>
      <c r="AJ226" s="267" t="b">
        <f t="shared" si="92"/>
        <v>0</v>
      </c>
      <c r="AK226" s="267" t="b">
        <f t="shared" si="93"/>
        <v>0</v>
      </c>
      <c r="AL226" s="267"/>
      <c r="AM226" s="267"/>
      <c r="AN226" s="75"/>
    </row>
    <row r="227" spans="1:40" s="6" customFormat="1" ht="11.25" x14ac:dyDescent="0.2">
      <c r="A227" s="56">
        <f t="shared" si="94"/>
        <v>44409</v>
      </c>
      <c r="B227" s="618">
        <v>44.197000000000003</v>
      </c>
      <c r="C227" s="392"/>
      <c r="D227" s="395">
        <f t="shared" si="74"/>
        <v>45.338779750646907</v>
      </c>
      <c r="E227" s="387">
        <f t="shared" si="72"/>
        <v>48.837194630306783</v>
      </c>
      <c r="F227" s="387">
        <f t="shared" si="75"/>
        <v>48.876705913029411</v>
      </c>
      <c r="G227" s="110">
        <f t="shared" si="73"/>
        <v>0.81508223163747417</v>
      </c>
      <c r="H227" s="414" t="b">
        <f>Wh_hp&gt;='2020'!Maxi_hp</f>
        <v>0</v>
      </c>
      <c r="I227" s="382">
        <f>IF(H227,Wh_hp,'2020'!Maxi_hp)</f>
        <v>52.828011188286666</v>
      </c>
      <c r="J227" s="85">
        <f>IF(H227,An,'2020'!An_max)</f>
        <v>2020</v>
      </c>
      <c r="K227" s="199">
        <f t="shared" si="76"/>
        <v>44409</v>
      </c>
      <c r="L227" s="147">
        <f>IF(t&lt;Tvie,1-EXP((T0-t)*PertePVj)+'2020'!Pspv,1-EXP((T0-t)*PertePVj)+Pspv)</f>
        <v>2.5183292468973217E-2</v>
      </c>
      <c r="M227" s="870"/>
      <c r="N227" s="870"/>
      <c r="O227" s="48">
        <f>IF(t&lt;Tnet,'2020'!Resal+('2020'!Salim-'2020'!Resal)*(1-EXP(('2020'!Tnet-t)/('2020'!Tau_j))),Resal+(Salim-Resal)*(1-EXP((Tnet-t)/(Tau_j))))*Salcycl</f>
        <v>7.163423096151543E-2</v>
      </c>
      <c r="P227" s="171">
        <f>(INDEX(Models!$BJ227:$BT227,,T227)*(1-R227)+INDEX(Models!$BJ227:$BT227,,T227+1)*R227-ERP_i)*Q227*Ramure*Pc/MaxiM</f>
        <v>1.0980987490745004E-3</v>
      </c>
      <c r="Q227" s="307">
        <f t="shared" si="77"/>
        <v>1</v>
      </c>
      <c r="R227" s="179">
        <f t="shared" si="78"/>
        <v>0.92599264617401711</v>
      </c>
      <c r="S227" s="837">
        <f t="shared" si="79"/>
        <v>-1</v>
      </c>
      <c r="T227" s="178">
        <f t="shared" si="80"/>
        <v>5</v>
      </c>
      <c r="U227" s="253">
        <f t="shared" si="81"/>
        <v>-7.4007353825982891E-2</v>
      </c>
      <c r="V227" s="385">
        <f t="shared" si="82"/>
        <v>54.208254732638125</v>
      </c>
      <c r="W227" s="404"/>
      <c r="X227" s="157">
        <f t="shared" si="83"/>
        <v>44409</v>
      </c>
      <c r="Y227" s="387">
        <f t="shared" si="84"/>
        <v>40.456216713843325</v>
      </c>
      <c r="Z227" s="387">
        <f t="shared" si="85"/>
        <v>41.501357538597247</v>
      </c>
      <c r="AA227" s="388">
        <f t="shared" si="86"/>
        <v>48.837194630306783</v>
      </c>
      <c r="AB227" s="199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0.15021004271930782</v>
      </c>
      <c r="AD227" s="233">
        <f>(INDEX(Models!$BJ227:$BT227,,AH227)*(1-AF227)+INDEX(Models!$BJ227:$BT227,,AH227+1)*AF227-ERP_i)*AE227*Ramure*Pc/MaxiM</f>
        <v>1.0980987490745004E-3</v>
      </c>
      <c r="AE227" s="307">
        <f t="shared" si="88"/>
        <v>1</v>
      </c>
      <c r="AF227" s="179">
        <f t="shared" si="89"/>
        <v>0.92599264617401711</v>
      </c>
      <c r="AG227" s="837">
        <f t="shared" si="95"/>
        <v>-1</v>
      </c>
      <c r="AH227" s="178">
        <f t="shared" si="90"/>
        <v>5</v>
      </c>
      <c r="AI227" s="227">
        <f t="shared" si="91"/>
        <v>-7.4007353825982891E-2</v>
      </c>
      <c r="AJ227" s="267" t="b">
        <f t="shared" si="92"/>
        <v>0</v>
      </c>
      <c r="AK227" s="267" t="b">
        <f t="shared" si="93"/>
        <v>0</v>
      </c>
      <c r="AL227" s="267"/>
      <c r="AM227" s="267"/>
      <c r="AN227" s="75"/>
    </row>
    <row r="228" spans="1:40" s="6" customFormat="1" ht="11.25" x14ac:dyDescent="0.2">
      <c r="A228" s="56">
        <f t="shared" si="94"/>
        <v>44410</v>
      </c>
      <c r="B228" s="618">
        <v>51.238</v>
      </c>
      <c r="C228" s="392"/>
      <c r="D228" s="395">
        <f t="shared" si="74"/>
        <v>52.562899276356717</v>
      </c>
      <c r="E228" s="387">
        <f t="shared" si="72"/>
        <v>56.640388037985659</v>
      </c>
      <c r="F228" s="387">
        <f t="shared" si="75"/>
        <v>56.70254763966323</v>
      </c>
      <c r="G228" s="110">
        <f t="shared" si="73"/>
        <v>0.94838212980039582</v>
      </c>
      <c r="H228" s="414" t="b">
        <f>Wh_hp&gt;='2020'!Maxi_hp</f>
        <v>0</v>
      </c>
      <c r="I228" s="382">
        <f>IF(H228,Wh_hp,'2020'!Maxi_hp)</f>
        <v>57.146708679264712</v>
      </c>
      <c r="J228" s="85">
        <f>IF(H228,An,'2020'!An_max)</f>
        <v>2019</v>
      </c>
      <c r="K228" s="199">
        <f t="shared" si="76"/>
        <v>44410</v>
      </c>
      <c r="L228" s="147">
        <f>IF(t&lt;Tvie,1-EXP((T0-t)*PertePVj)+'2020'!Pspv,1-EXP((T0-t)*PertePVj)+Pspv)</f>
        <v>2.5205977877873043E-2</v>
      </c>
      <c r="M228" s="870"/>
      <c r="N228" s="870"/>
      <c r="O228" s="48">
        <f>IF(t&lt;Tnet,'2020'!Resal+('2020'!Salim-'2020'!Resal)*(1-EXP(('2020'!Tnet-t)/('2020'!Tau_j))),Resal+(Salim-Resal)*(1-EXP((Tnet-t)/(Tau_j))))*Salcycl</f>
        <v>7.1989068275704393E-2</v>
      </c>
      <c r="P228" s="171">
        <f>(INDEX(Models!$BJ228:$BT228,,T228)*(1-R228)+INDEX(Models!$BJ228:$BT228,,T228+1)*R228-ERP_i)*Q228*Ramure*Pc/MaxiM</f>
        <v>1.1833609925917575E-3</v>
      </c>
      <c r="Q228" s="307">
        <f t="shared" si="77"/>
        <v>1</v>
      </c>
      <c r="R228" s="179">
        <f t="shared" si="78"/>
        <v>0.92866952049250862</v>
      </c>
      <c r="S228" s="837">
        <f t="shared" si="79"/>
        <v>-1</v>
      </c>
      <c r="T228" s="178">
        <f t="shared" si="80"/>
        <v>5</v>
      </c>
      <c r="U228" s="253">
        <f t="shared" si="81"/>
        <v>-7.1330479507491384E-2</v>
      </c>
      <c r="V228" s="385">
        <f t="shared" si="82"/>
        <v>54.02203351011498</v>
      </c>
      <c r="W228" s="404"/>
      <c r="X228" s="157">
        <f t="shared" si="83"/>
        <v>44410</v>
      </c>
      <c r="Y228" s="387">
        <f t="shared" si="84"/>
        <v>46.91456366788519</v>
      </c>
      <c r="Z228" s="387">
        <f t="shared" si="85"/>
        <v>48.127668618394033</v>
      </c>
      <c r="AA228" s="388">
        <f t="shared" si="86"/>
        <v>56.640388037985659</v>
      </c>
      <c r="AB228" s="199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0.15029415783455807</v>
      </c>
      <c r="AD228" s="233">
        <f>(INDEX(Models!$BJ228:$BT228,,AH228)*(1-AF228)+INDEX(Models!$BJ228:$BT228,,AH228+1)*AF228-ERP_i)*AE228*Ramure*Pc/MaxiM</f>
        <v>1.1833609925917575E-3</v>
      </c>
      <c r="AE228" s="307">
        <f t="shared" si="88"/>
        <v>1</v>
      </c>
      <c r="AF228" s="179">
        <f t="shared" si="89"/>
        <v>0.92866952049250862</v>
      </c>
      <c r="AG228" s="837">
        <f t="shared" si="95"/>
        <v>-1</v>
      </c>
      <c r="AH228" s="178">
        <f t="shared" si="90"/>
        <v>5</v>
      </c>
      <c r="AI228" s="227">
        <f t="shared" si="91"/>
        <v>-7.1330479507491384E-2</v>
      </c>
      <c r="AJ228" s="267" t="b">
        <f t="shared" si="92"/>
        <v>0</v>
      </c>
      <c r="AK228" s="267" t="b">
        <f t="shared" si="93"/>
        <v>0</v>
      </c>
      <c r="AL228" s="267"/>
      <c r="AM228" s="267"/>
      <c r="AN228" s="75"/>
    </row>
    <row r="229" spans="1:40" s="6" customFormat="1" ht="11.25" x14ac:dyDescent="0.2">
      <c r="A229" s="56">
        <f t="shared" si="94"/>
        <v>44411</v>
      </c>
      <c r="B229" s="618">
        <v>34.192</v>
      </c>
      <c r="C229" s="392"/>
      <c r="D229" s="395">
        <f t="shared" si="74"/>
        <v>35.076944400901276</v>
      </c>
      <c r="E229" s="387">
        <f t="shared" si="72"/>
        <v>37.812378807076996</v>
      </c>
      <c r="F229" s="387">
        <f t="shared" si="75"/>
        <v>37.835483755529921</v>
      </c>
      <c r="G229" s="110">
        <f t="shared" si="73"/>
        <v>0.63473605426933977</v>
      </c>
      <c r="H229" s="414" t="b">
        <f>Wh_hp&gt;='2020'!Maxi_hp</f>
        <v>0</v>
      </c>
      <c r="I229" s="382">
        <f>IF(H229,Wh_hp,'2020'!Maxi_hp)</f>
        <v>57.449799256977776</v>
      </c>
      <c r="J229" s="85">
        <f>IF(H229,An,'2020'!An_max)</f>
        <v>2019</v>
      </c>
      <c r="K229" s="199">
        <f t="shared" si="76"/>
        <v>44411</v>
      </c>
      <c r="L229" s="147">
        <f>IF(t&lt;Tvie,1-EXP((T0-t)*PertePVj)+'2020'!Pspv,1-EXP((T0-t)*PertePVj)+Pspv)</f>
        <v>2.5228662758850162E-2</v>
      </c>
      <c r="M229" s="870"/>
      <c r="N229" s="870"/>
      <c r="O229" s="48">
        <f>IF(t&lt;Tnet,'2020'!Resal+('2020'!Salim-'2020'!Resal)*(1-EXP(('2020'!Tnet-t)/('2020'!Tau_j))),Resal+(Salim-Resal)*(1-EXP((Tnet-t)/(Tau_j))))*Salcycl</f>
        <v>7.2342298804637814E-2</v>
      </c>
      <c r="P229" s="171">
        <f>(INDEX(Models!$BJ229:$BT229,,T229)*(1-R229)+INDEX(Models!$BJ229:$BT229,,T229+1)*R229-ERP_i)*Q229*Ramure*Pc/MaxiM</f>
        <v>1.2754207233447287E-3</v>
      </c>
      <c r="Q229" s="307">
        <f t="shared" si="77"/>
        <v>1</v>
      </c>
      <c r="R229" s="179">
        <f t="shared" si="78"/>
        <v>0.93126019294432083</v>
      </c>
      <c r="S229" s="837">
        <f t="shared" si="79"/>
        <v>-1</v>
      </c>
      <c r="T229" s="178">
        <f t="shared" si="80"/>
        <v>5</v>
      </c>
      <c r="U229" s="253">
        <f t="shared" si="81"/>
        <v>-6.873980705567917E-2</v>
      </c>
      <c r="V229" s="385">
        <f t="shared" si="82"/>
        <v>53.832229448766149</v>
      </c>
      <c r="W229" s="404"/>
      <c r="X229" s="157">
        <f t="shared" si="83"/>
        <v>44411</v>
      </c>
      <c r="Y229" s="387">
        <f t="shared" si="84"/>
        <v>31.315756535322041</v>
      </c>
      <c r="Z229" s="387">
        <f t="shared" si="85"/>
        <v>32.126259091648691</v>
      </c>
      <c r="AA229" s="388">
        <f t="shared" si="86"/>
        <v>37.812378807076996</v>
      </c>
      <c r="AB229" s="199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0.15037720172114871</v>
      </c>
      <c r="AD229" s="233">
        <f>(INDEX(Models!$BJ229:$BT229,,AH229)*(1-AF229)+INDEX(Models!$BJ229:$BT229,,AH229+1)*AF229-ERP_i)*AE229*Ramure*Pc/MaxiM</f>
        <v>1.2754207233447287E-3</v>
      </c>
      <c r="AE229" s="307">
        <f t="shared" si="88"/>
        <v>1</v>
      </c>
      <c r="AF229" s="179">
        <f t="shared" si="89"/>
        <v>0.93126019294432083</v>
      </c>
      <c r="AG229" s="837">
        <f t="shared" si="95"/>
        <v>-1</v>
      </c>
      <c r="AH229" s="178">
        <f t="shared" si="90"/>
        <v>5</v>
      </c>
      <c r="AI229" s="227">
        <f t="shared" si="91"/>
        <v>-6.873980705567917E-2</v>
      </c>
      <c r="AJ229" s="267" t="b">
        <f t="shared" si="92"/>
        <v>0</v>
      </c>
      <c r="AK229" s="267" t="b">
        <f t="shared" si="93"/>
        <v>0</v>
      </c>
      <c r="AL229" s="267"/>
      <c r="AM229" s="267"/>
      <c r="AN229" s="75"/>
    </row>
    <row r="230" spans="1:40" s="6" customFormat="1" ht="11.25" x14ac:dyDescent="0.2">
      <c r="A230" s="56">
        <f t="shared" si="94"/>
        <v>44412</v>
      </c>
      <c r="B230" s="618">
        <v>32.395000000000003</v>
      </c>
      <c r="C230" s="392"/>
      <c r="D230" s="395">
        <f t="shared" si="74"/>
        <v>33.234208535725443</v>
      </c>
      <c r="E230" s="387">
        <f t="shared" si="72"/>
        <v>35.839524728190383</v>
      </c>
      <c r="F230" s="387">
        <f t="shared" si="75"/>
        <v>35.860925437254558</v>
      </c>
      <c r="G230" s="110">
        <f t="shared" si="73"/>
        <v>0.6034790256957</v>
      </c>
      <c r="H230" s="414" t="b">
        <f>Wh_hp&gt;='2020'!Maxi_hp</f>
        <v>0</v>
      </c>
      <c r="I230" s="382">
        <f>IF(H230,Wh_hp,'2020'!Maxi_hp)</f>
        <v>53.047340954372693</v>
      </c>
      <c r="J230" s="85">
        <f>IF(H230,An,'2020'!An_max)</f>
        <v>2019</v>
      </c>
      <c r="K230" s="199">
        <f t="shared" si="76"/>
        <v>44412</v>
      </c>
      <c r="L230" s="147">
        <f>IF(t&lt;Tvie,1-EXP((T0-t)*PertePVj)+'2020'!Pspv,1-EXP((T0-t)*PertePVj)+Pspv)</f>
        <v>2.5251347111917122E-2</v>
      </c>
      <c r="M230" s="870"/>
      <c r="N230" s="870"/>
      <c r="O230" s="48">
        <f>IF(t&lt;Tnet,'2020'!Resal+('2020'!Salim-'2020'!Resal)*(1-EXP(('2020'!Tnet-t)/('2020'!Tau_j))),Resal+(Salim-Resal)*(1-EXP((Tnet-t)/(Tau_j))))*Salcycl</f>
        <v>7.2693938109499187E-2</v>
      </c>
      <c r="P230" s="171">
        <f>(INDEX(Models!$BJ230:$BT230,,T230)*(1-R230)+INDEX(Models!$BJ230:$BT230,,T230+1)*R230-ERP_i)*Q230*Ramure*Pc/MaxiM</f>
        <v>1.3743713077201607E-3</v>
      </c>
      <c r="Q230" s="307">
        <f t="shared" si="77"/>
        <v>1</v>
      </c>
      <c r="R230" s="179">
        <f t="shared" si="78"/>
        <v>0.93376667809286829</v>
      </c>
      <c r="S230" s="837">
        <f t="shared" si="79"/>
        <v>-1</v>
      </c>
      <c r="T230" s="178">
        <f t="shared" si="80"/>
        <v>5</v>
      </c>
      <c r="U230" s="253">
        <f t="shared" si="81"/>
        <v>-6.6233321907131715E-2</v>
      </c>
      <c r="V230" s="385">
        <f t="shared" si="82"/>
        <v>53.63864056841846</v>
      </c>
      <c r="W230" s="404"/>
      <c r="X230" s="157">
        <f t="shared" si="83"/>
        <v>44412</v>
      </c>
      <c r="Y230" s="387">
        <f t="shared" si="84"/>
        <v>29.678306943303085</v>
      </c>
      <c r="Z230" s="387">
        <f t="shared" si="85"/>
        <v>30.447138198518385</v>
      </c>
      <c r="AA230" s="388">
        <f t="shared" si="86"/>
        <v>35.839524728190383</v>
      </c>
      <c r="AB230" s="199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0.15045920866887205</v>
      </c>
      <c r="AD230" s="233">
        <f>(INDEX(Models!$BJ230:$BT230,,AH230)*(1-AF230)+INDEX(Models!$BJ230:$BT230,,AH230+1)*AF230-ERP_i)*AE230*Ramure*Pc/MaxiM</f>
        <v>1.3743713077201607E-3</v>
      </c>
      <c r="AE230" s="307">
        <f t="shared" si="88"/>
        <v>1</v>
      </c>
      <c r="AF230" s="179">
        <f t="shared" si="89"/>
        <v>0.93376667809286829</v>
      </c>
      <c r="AG230" s="837">
        <f t="shared" si="95"/>
        <v>-1</v>
      </c>
      <c r="AH230" s="178">
        <f t="shared" si="90"/>
        <v>5</v>
      </c>
      <c r="AI230" s="227">
        <f t="shared" si="91"/>
        <v>-6.6233321907131715E-2</v>
      </c>
      <c r="AJ230" s="267" t="b">
        <f t="shared" si="92"/>
        <v>0</v>
      </c>
      <c r="AK230" s="267" t="b">
        <f t="shared" si="93"/>
        <v>0</v>
      </c>
      <c r="AL230" s="267"/>
      <c r="AM230" s="267"/>
      <c r="AN230" s="75"/>
    </row>
    <row r="231" spans="1:40" s="6" customFormat="1" ht="11.25" x14ac:dyDescent="0.2">
      <c r="A231" s="56">
        <f t="shared" si="94"/>
        <v>44413</v>
      </c>
      <c r="B231" s="618">
        <v>45.670999999999999</v>
      </c>
      <c r="C231" s="392"/>
      <c r="D231" s="395">
        <f t="shared" si="74"/>
        <v>46.855220287100146</v>
      </c>
      <c r="E231" s="387">
        <f t="shared" si="72"/>
        <v>50.547404878043274</v>
      </c>
      <c r="F231" s="387">
        <f t="shared" si="75"/>
        <v>50.606758498745549</v>
      </c>
      <c r="G231" s="110">
        <f t="shared" si="73"/>
        <v>0.85434189363320223</v>
      </c>
      <c r="H231" s="414" t="b">
        <f>Wh_hp&gt;='2020'!Maxi_hp</f>
        <v>0</v>
      </c>
      <c r="I231" s="382">
        <f>IF(H231,Wh_hp,'2020'!Maxi_hp)</f>
        <v>58.00298989323845</v>
      </c>
      <c r="J231" s="85">
        <f>IF(H231,An,'2020'!An_max)</f>
        <v>2020</v>
      </c>
      <c r="K231" s="199">
        <f t="shared" si="76"/>
        <v>44413</v>
      </c>
      <c r="L231" s="147">
        <f>IF(t&lt;Tvie,1-EXP((T0-t)*PertePVj)+'2020'!Pspv,1-EXP((T0-t)*PertePVj)+Pspv)</f>
        <v>2.5274030937085912E-2</v>
      </c>
      <c r="M231" s="870"/>
      <c r="N231" s="870"/>
      <c r="O231" s="48">
        <f>IF(t&lt;Tnet,'2020'!Resal+('2020'!Salim-'2020'!Resal)*(1-EXP(('2020'!Tnet-t)/('2020'!Tau_j))),Resal+(Salim-Resal)*(1-EXP((Tnet-t)/(Tau_j))))*Salcycl</f>
        <v>7.304399899166597E-2</v>
      </c>
      <c r="P231" s="171">
        <f>(INDEX(Models!$BJ231:$BT231,,T231)*(1-R231)+INDEX(Models!$BJ231:$BT231,,T231+1)*R231-ERP_i)*Q231*Ramure*Pc/MaxiM</f>
        <v>1.4803110484170351E-3</v>
      </c>
      <c r="Q231" s="307">
        <f t="shared" si="77"/>
        <v>1</v>
      </c>
      <c r="R231" s="179">
        <f t="shared" si="78"/>
        <v>0.9361909992559676</v>
      </c>
      <c r="S231" s="837">
        <f t="shared" si="79"/>
        <v>-1</v>
      </c>
      <c r="T231" s="178">
        <f t="shared" si="80"/>
        <v>5</v>
      </c>
      <c r="U231" s="253">
        <f t="shared" si="81"/>
        <v>-6.3809000744032396E-2</v>
      </c>
      <c r="V231" s="385">
        <f t="shared" si="82"/>
        <v>53.441065376830323</v>
      </c>
      <c r="W231" s="404"/>
      <c r="X231" s="157">
        <f t="shared" si="83"/>
        <v>44413</v>
      </c>
      <c r="Y231" s="387">
        <f t="shared" si="84"/>
        <v>41.852772062382911</v>
      </c>
      <c r="Z231" s="387">
        <f t="shared" si="85"/>
        <v>42.937988102050362</v>
      </c>
      <c r="AA231" s="388">
        <f t="shared" si="86"/>
        <v>50.547404878043274</v>
      </c>
      <c r="AB231" s="199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0.15054020665061449</v>
      </c>
      <c r="AD231" s="233">
        <f>(INDEX(Models!$BJ231:$BT231,,AH231)*(1-AF231)+INDEX(Models!$BJ231:$BT231,,AH231+1)*AF231-ERP_i)*AE231*Ramure*Pc/MaxiM</f>
        <v>1.4803110484170351E-3</v>
      </c>
      <c r="AE231" s="307">
        <f t="shared" si="88"/>
        <v>1</v>
      </c>
      <c r="AF231" s="179">
        <f t="shared" si="89"/>
        <v>0.9361909992559676</v>
      </c>
      <c r="AG231" s="837">
        <f t="shared" si="95"/>
        <v>-1</v>
      </c>
      <c r="AH231" s="178">
        <f t="shared" si="90"/>
        <v>5</v>
      </c>
      <c r="AI231" s="227">
        <f t="shared" si="91"/>
        <v>-6.3809000744032396E-2</v>
      </c>
      <c r="AJ231" s="267" t="b">
        <f t="shared" si="92"/>
        <v>0</v>
      </c>
      <c r="AK231" s="267" t="b">
        <f t="shared" si="93"/>
        <v>0</v>
      </c>
      <c r="AL231" s="267"/>
      <c r="AM231" s="267"/>
      <c r="AN231" s="75"/>
    </row>
    <row r="232" spans="1:40" s="6" customFormat="1" ht="11.25" x14ac:dyDescent="0.2">
      <c r="A232" s="56">
        <f t="shared" si="94"/>
        <v>44414</v>
      </c>
      <c r="B232" s="618">
        <v>19.554000000000002</v>
      </c>
      <c r="C232" s="392"/>
      <c r="D232" s="395">
        <f t="shared" si="74"/>
        <v>20.061489773926741</v>
      </c>
      <c r="E232" s="387">
        <f t="shared" si="72"/>
        <v>21.65047184570005</v>
      </c>
      <c r="F232" s="387">
        <f t="shared" si="75"/>
        <v>21.653788222516809</v>
      </c>
      <c r="G232" s="110">
        <f t="shared" si="73"/>
        <v>0.36675600887429277</v>
      </c>
      <c r="H232" s="414" t="b">
        <f>Wh_hp&gt;='2020'!Maxi_hp</f>
        <v>0</v>
      </c>
      <c r="I232" s="382">
        <f>IF(H232,Wh_hp,'2020'!Maxi_hp)</f>
        <v>57.070736386069342</v>
      </c>
      <c r="J232" s="85">
        <f>IF(H232,An,'2020'!An_max)</f>
        <v>2020</v>
      </c>
      <c r="K232" s="199">
        <f t="shared" si="76"/>
        <v>44414</v>
      </c>
      <c r="L232" s="147">
        <f>IF(t&lt;Tvie,1-EXP((T0-t)*PertePVj)+'2020'!Pspv,1-EXP((T0-t)*PertePVj)+Pspv)</f>
        <v>2.5296714234368967E-2</v>
      </c>
      <c r="M232" s="870"/>
      <c r="N232" s="870"/>
      <c r="O232" s="48">
        <f>IF(t&lt;Tnet,'2020'!Resal+('2020'!Salim-'2020'!Resal)*(1-EXP(('2020'!Tnet-t)/('2020'!Tau_j))),Resal+(Salim-Resal)*(1-EXP((Tnet-t)/(Tau_j))))*Salcycl</f>
        <v>7.339249154003509E-2</v>
      </c>
      <c r="P232" s="171">
        <f>(INDEX(Models!$BJ232:$BT232,,T232)*(1-R232)+INDEX(Models!$BJ232:$BT232,,T232+1)*R232-ERP_i)*Q232*Ramure*Pc/MaxiM</f>
        <v>1.5933436259431711E-3</v>
      </c>
      <c r="Q232" s="307">
        <f t="shared" si="77"/>
        <v>1</v>
      </c>
      <c r="R232" s="179">
        <f t="shared" si="78"/>
        <v>0.93853518348931175</v>
      </c>
      <c r="S232" s="837">
        <f t="shared" si="79"/>
        <v>-1</v>
      </c>
      <c r="T232" s="178">
        <f t="shared" si="80"/>
        <v>5</v>
      </c>
      <c r="U232" s="253">
        <f t="shared" si="81"/>
        <v>-6.1464816510688247E-2</v>
      </c>
      <c r="V232" s="385">
        <f t="shared" si="82"/>
        <v>53.239302853112733</v>
      </c>
      <c r="W232" s="404"/>
      <c r="X232" s="157">
        <f t="shared" si="83"/>
        <v>44414</v>
      </c>
      <c r="Y232" s="387">
        <f t="shared" si="84"/>
        <v>17.924279820955373</v>
      </c>
      <c r="Z232" s="387">
        <f t="shared" si="85"/>
        <v>18.389473066027289</v>
      </c>
      <c r="AA232" s="388">
        <f t="shared" si="86"/>
        <v>21.65047184570005</v>
      </c>
      <c r="AB232" s="199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0.15062021755985061</v>
      </c>
      <c r="AD232" s="233">
        <f>(INDEX(Models!$BJ232:$BT232,,AH232)*(1-AF232)+INDEX(Models!$BJ232:$BT232,,AH232+1)*AF232-ERP_i)*AE232*Ramure*Pc/MaxiM</f>
        <v>1.5933436259431711E-3</v>
      </c>
      <c r="AE232" s="307">
        <f t="shared" si="88"/>
        <v>1</v>
      </c>
      <c r="AF232" s="179">
        <f t="shared" si="89"/>
        <v>0.93853518348931175</v>
      </c>
      <c r="AG232" s="837">
        <f t="shared" si="95"/>
        <v>-1</v>
      </c>
      <c r="AH232" s="178">
        <f t="shared" si="90"/>
        <v>5</v>
      </c>
      <c r="AI232" s="227">
        <f t="shared" si="91"/>
        <v>-6.1464816510688247E-2</v>
      </c>
      <c r="AJ232" s="267" t="b">
        <f t="shared" si="92"/>
        <v>0</v>
      </c>
      <c r="AK232" s="267" t="b">
        <f t="shared" si="93"/>
        <v>0</v>
      </c>
      <c r="AL232" s="267"/>
      <c r="AM232" s="267"/>
      <c r="AN232" s="75"/>
    </row>
    <row r="233" spans="1:40" s="6" customFormat="1" ht="11.25" x14ac:dyDescent="0.2">
      <c r="A233" s="56">
        <f t="shared" si="94"/>
        <v>44415</v>
      </c>
      <c r="B233" s="618">
        <v>22.836000000000002</v>
      </c>
      <c r="C233" s="392"/>
      <c r="D233" s="395">
        <f t="shared" si="74"/>
        <v>23.429213559601877</v>
      </c>
      <c r="E233" s="387">
        <f t="shared" ref="E233:E296" si="96">Wh_pvt/(1-Psa)</f>
        <v>25.294408664593231</v>
      </c>
      <c r="F233" s="387">
        <f t="shared" si="75"/>
        <v>25.302496992400574</v>
      </c>
      <c r="G233" s="110">
        <f t="shared" ref="G233:G296" si="97">+Wh_hp/MaxiM</f>
        <v>0.42998687877293845</v>
      </c>
      <c r="H233" s="414" t="b">
        <f>Wh_hp&gt;='2020'!Maxi_hp</f>
        <v>0</v>
      </c>
      <c r="I233" s="382">
        <f>IF(H233,Wh_hp,'2020'!Maxi_hp)</f>
        <v>55.121750694107661</v>
      </c>
      <c r="J233" s="85">
        <f>IF(H233,An,'2020'!An_max)</f>
        <v>2020</v>
      </c>
      <c r="K233" s="199">
        <f t="shared" si="76"/>
        <v>44415</v>
      </c>
      <c r="L233" s="147">
        <f>IF(t&lt;Tvie,1-EXP((T0-t)*PertePVj)+'2020'!Pspv,1-EXP((T0-t)*PertePVj)+Pspv)</f>
        <v>2.531939700377861E-2</v>
      </c>
      <c r="M233" s="870"/>
      <c r="N233" s="870"/>
      <c r="O233" s="48">
        <f>IF(t&lt;Tnet,'2020'!Resal+('2020'!Salim-'2020'!Resal)*(1-EXP(('2020'!Tnet-t)/('2020'!Tau_j))),Resal+(Salim-Resal)*(1-EXP((Tnet-t)/(Tau_j))))*Salcycl</f>
        <v>7.3739423195223003E-2</v>
      </c>
      <c r="P233" s="171">
        <f>(INDEX(Models!$BJ233:$BT233,,T233)*(1-R233)+INDEX(Models!$BJ233:$BT233,,T233+1)*R233-ERP_i)*Q233*Ramure*Pc/MaxiM</f>
        <v>1.7135335703708115E-3</v>
      </c>
      <c r="Q233" s="307">
        <f t="shared" si="77"/>
        <v>1</v>
      </c>
      <c r="R233" s="179">
        <f t="shared" si="78"/>
        <v>0.94080125692070071</v>
      </c>
      <c r="S233" s="837">
        <f t="shared" si="79"/>
        <v>-1</v>
      </c>
      <c r="T233" s="178">
        <f t="shared" si="80"/>
        <v>5</v>
      </c>
      <c r="U233" s="253">
        <f t="shared" si="81"/>
        <v>-5.9198743079299287E-2</v>
      </c>
      <c r="V233" s="385">
        <f t="shared" si="82"/>
        <v>53.034547260358949</v>
      </c>
      <c r="W233" s="404"/>
      <c r="X233" s="157">
        <f t="shared" si="83"/>
        <v>44415</v>
      </c>
      <c r="Y233" s="387">
        <f t="shared" si="84"/>
        <v>20.938634593744478</v>
      </c>
      <c r="Z233" s="387">
        <f t="shared" si="85"/>
        <v>21.482560060575711</v>
      </c>
      <c r="AA233" s="388">
        <f t="shared" si="86"/>
        <v>25.294408664593231</v>
      </c>
      <c r="AB233" s="199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0.15069925747476731</v>
      </c>
      <c r="AD233" s="233">
        <f>(INDEX(Models!$BJ233:$BT233,,AH233)*(1-AF233)+INDEX(Models!$BJ233:$BT233,,AH233+1)*AF233-ERP_i)*AE233*Ramure*Pc/MaxiM</f>
        <v>1.7135335703708115E-3</v>
      </c>
      <c r="AE233" s="307">
        <f t="shared" si="88"/>
        <v>1</v>
      </c>
      <c r="AF233" s="179">
        <f t="shared" si="89"/>
        <v>0.94080125692070071</v>
      </c>
      <c r="AG233" s="837">
        <f t="shared" si="95"/>
        <v>-1</v>
      </c>
      <c r="AH233" s="178">
        <f t="shared" si="90"/>
        <v>5</v>
      </c>
      <c r="AI233" s="227">
        <f t="shared" si="91"/>
        <v>-5.9198743079299287E-2</v>
      </c>
      <c r="AJ233" s="267" t="b">
        <f t="shared" si="92"/>
        <v>0</v>
      </c>
      <c r="AK233" s="267" t="b">
        <f t="shared" si="93"/>
        <v>0</v>
      </c>
      <c r="AL233" s="267"/>
      <c r="AM233" s="267"/>
      <c r="AN233" s="75"/>
    </row>
    <row r="234" spans="1:40" s="6" customFormat="1" ht="11.25" x14ac:dyDescent="0.2">
      <c r="A234" s="56">
        <f t="shared" si="94"/>
        <v>44416</v>
      </c>
      <c r="B234" s="618">
        <v>33.94</v>
      </c>
      <c r="C234" s="392"/>
      <c r="D234" s="395">
        <f t="shared" si="74"/>
        <v>34.822473892912519</v>
      </c>
      <c r="E234" s="387">
        <f t="shared" si="96"/>
        <v>37.608707416034818</v>
      </c>
      <c r="F234" s="387">
        <f t="shared" si="75"/>
        <v>37.642647617188551</v>
      </c>
      <c r="G234" s="110">
        <f t="shared" si="97"/>
        <v>0.64186008178516274</v>
      </c>
      <c r="H234" s="414" t="b">
        <f>Wh_hp&gt;='2020'!Maxi_hp</f>
        <v>0</v>
      </c>
      <c r="I234" s="382">
        <f>IF(H234,Wh_hp,'2020'!Maxi_hp)</f>
        <v>54.584859154150735</v>
      </c>
      <c r="J234" s="85">
        <f>IF(H234,An,'2020'!An_max)</f>
        <v>2019</v>
      </c>
      <c r="K234" s="199">
        <f t="shared" si="76"/>
        <v>44416</v>
      </c>
      <c r="L234" s="147">
        <f>IF(t&lt;Tvie,1-EXP((T0-t)*PertePVj)+'2020'!Pspv,1-EXP((T0-t)*PertePVj)+Pspv)</f>
        <v>2.5342079245327054E-2</v>
      </c>
      <c r="M234" s="870"/>
      <c r="N234" s="870"/>
      <c r="O234" s="48">
        <f>IF(t&lt;Tnet,'2020'!Resal+('2020'!Salim-'2020'!Resal)*(1-EXP(('2020'!Tnet-t)/('2020'!Tau_j))),Resal+(Salim-Resal)*(1-EXP((Tnet-t)/(Tau_j))))*Salcycl</f>
        <v>7.4084798828644688E-2</v>
      </c>
      <c r="P234" s="171">
        <f>(INDEX(Models!$BJ234:$BT234,,T234)*(1-R234)+INDEX(Models!$BJ234:$BT234,,T234+1)*R234-ERP_i)*Q234*Ramure*Pc/MaxiM</f>
        <v>1.8429586919980483E-3</v>
      </c>
      <c r="Q234" s="307">
        <f t="shared" si="77"/>
        <v>1</v>
      </c>
      <c r="R234" s="179">
        <f t="shared" si="78"/>
        <v>0.94299124042679083</v>
      </c>
      <c r="S234" s="837">
        <f t="shared" si="79"/>
        <v>-1</v>
      </c>
      <c r="T234" s="178">
        <f t="shared" si="80"/>
        <v>5</v>
      </c>
      <c r="U234" s="253">
        <f t="shared" si="81"/>
        <v>-5.7008759573209167E-2</v>
      </c>
      <c r="V234" s="385">
        <f t="shared" si="82"/>
        <v>52.827748367574031</v>
      </c>
      <c r="W234" s="404"/>
      <c r="X234" s="157">
        <f t="shared" si="83"/>
        <v>44416</v>
      </c>
      <c r="Y234" s="387">
        <f t="shared" si="84"/>
        <v>31.128787115329267</v>
      </c>
      <c r="Z234" s="387">
        <f t="shared" si="85"/>
        <v>31.938166665927668</v>
      </c>
      <c r="AA234" s="388">
        <f t="shared" si="86"/>
        <v>37.608707416034818</v>
      </c>
      <c r="AB234" s="199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0.1507773369443019</v>
      </c>
      <c r="AD234" s="233">
        <f>(INDEX(Models!$BJ234:$BT234,,AH234)*(1-AF234)+INDEX(Models!$BJ234:$BT234,,AH234+1)*AF234-ERP_i)*AE234*Ramure*Pc/MaxiM</f>
        <v>1.8429586919980483E-3</v>
      </c>
      <c r="AE234" s="307">
        <f t="shared" si="88"/>
        <v>1</v>
      </c>
      <c r="AF234" s="179">
        <f t="shared" si="89"/>
        <v>0.94299124042679083</v>
      </c>
      <c r="AG234" s="837">
        <f t="shared" si="95"/>
        <v>-1</v>
      </c>
      <c r="AH234" s="178">
        <f t="shared" si="90"/>
        <v>5</v>
      </c>
      <c r="AI234" s="227">
        <f t="shared" si="91"/>
        <v>-5.7008759573209167E-2</v>
      </c>
      <c r="AJ234" s="267" t="b">
        <f t="shared" si="92"/>
        <v>0</v>
      </c>
      <c r="AK234" s="267" t="b">
        <f t="shared" si="93"/>
        <v>0</v>
      </c>
      <c r="AL234" s="267"/>
      <c r="AM234" s="267"/>
      <c r="AN234" s="75"/>
    </row>
    <row r="235" spans="1:40" s="6" customFormat="1" ht="11.25" x14ac:dyDescent="0.2">
      <c r="A235" s="56">
        <f t="shared" si="94"/>
        <v>44417</v>
      </c>
      <c r="B235" s="618">
        <v>50.850999999999999</v>
      </c>
      <c r="C235" s="392"/>
      <c r="D235" s="395">
        <f t="shared" si="74"/>
        <v>52.174390954750038</v>
      </c>
      <c r="E235" s="387">
        <f t="shared" si="96"/>
        <v>56.369926868073755</v>
      </c>
      <c r="F235" s="387">
        <f t="shared" si="75"/>
        <v>56.476341657102651</v>
      </c>
      <c r="G235" s="110">
        <f t="shared" si="97"/>
        <v>0.96631474685115371</v>
      </c>
      <c r="H235" s="414" t="b">
        <f>Wh_hp&gt;='2020'!Maxi_hp</f>
        <v>1</v>
      </c>
      <c r="I235" s="382">
        <f>IF(H235,Wh_hp,'2020'!Maxi_hp)</f>
        <v>56.476341657102651</v>
      </c>
      <c r="J235" s="85">
        <f>IF(H235,An,'2020'!An_max)</f>
        <v>2021</v>
      </c>
      <c r="K235" s="199">
        <f t="shared" si="76"/>
        <v>44417</v>
      </c>
      <c r="L235" s="147">
        <f>IF(t&lt;Tvie,1-EXP((T0-t)*PertePVj)+'2020'!Pspv,1-EXP((T0-t)*PertePVj)+Pspv)</f>
        <v>2.5364760959026622E-2</v>
      </c>
      <c r="M235" s="870"/>
      <c r="N235" s="870"/>
      <c r="O235" s="48">
        <f>IF(t&lt;Tnet,'2020'!Resal+('2020'!Salim-'2020'!Resal)*(1-EXP(('2020'!Tnet-t)/('2020'!Tau_j))),Resal+(Salim-Resal)*(1-EXP((Tnet-t)/(Tau_j))))*Salcycl</f>
        <v>7.4428620834346759E-2</v>
      </c>
      <c r="P235" s="171">
        <f>(INDEX(Models!$BJ235:$BT235,,T235)*(1-R235)+INDEX(Models!$BJ235:$BT235,,T235+1)*R235-ERP_i)*Q235*Ramure*Pc/MaxiM</f>
        <v>1.9792201708018604E-3</v>
      </c>
      <c r="Q235" s="307">
        <f t="shared" si="77"/>
        <v>1</v>
      </c>
      <c r="R235" s="179">
        <f t="shared" si="78"/>
        <v>0.94510714564287046</v>
      </c>
      <c r="S235" s="837">
        <f t="shared" si="79"/>
        <v>-1</v>
      </c>
      <c r="T235" s="178">
        <f t="shared" si="80"/>
        <v>5</v>
      </c>
      <c r="U235" s="253">
        <f t="shared" si="81"/>
        <v>-5.4892854357129539E-2</v>
      </c>
      <c r="V235" s="385">
        <f t="shared" si="82"/>
        <v>52.618632839047393</v>
      </c>
      <c r="W235" s="404"/>
      <c r="X235" s="157">
        <f t="shared" si="83"/>
        <v>44417</v>
      </c>
      <c r="Y235" s="387">
        <f t="shared" si="84"/>
        <v>46.652155372177695</v>
      </c>
      <c r="Z235" s="387">
        <f t="shared" si="85"/>
        <v>47.866271917361331</v>
      </c>
      <c r="AA235" s="388">
        <f t="shared" si="86"/>
        <v>56.369926868073755</v>
      </c>
      <c r="AB235" s="199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0.15085446129128549</v>
      </c>
      <c r="AD235" s="233">
        <f>(INDEX(Models!$BJ235:$BT235,,AH235)*(1-AF235)+INDEX(Models!$BJ235:$BT235,,AH235+1)*AF235-ERP_i)*AE235*Ramure*Pc/MaxiM</f>
        <v>1.9792201708018604E-3</v>
      </c>
      <c r="AE235" s="307">
        <f t="shared" si="88"/>
        <v>1</v>
      </c>
      <c r="AF235" s="179">
        <f t="shared" si="89"/>
        <v>0.94510714564287046</v>
      </c>
      <c r="AG235" s="837">
        <f t="shared" si="95"/>
        <v>-1</v>
      </c>
      <c r="AH235" s="178">
        <f t="shared" si="90"/>
        <v>5</v>
      </c>
      <c r="AI235" s="227">
        <f t="shared" si="91"/>
        <v>-5.4892854357129539E-2</v>
      </c>
      <c r="AJ235" s="267" t="b">
        <f t="shared" si="92"/>
        <v>0</v>
      </c>
      <c r="AK235" s="267" t="b">
        <f t="shared" si="93"/>
        <v>0</v>
      </c>
      <c r="AL235" s="267"/>
      <c r="AM235" s="267"/>
      <c r="AN235" s="75"/>
    </row>
    <row r="236" spans="1:40" s="6" customFormat="1" ht="11.25" x14ac:dyDescent="0.2">
      <c r="A236" s="56">
        <f t="shared" si="94"/>
        <v>44418</v>
      </c>
      <c r="B236" s="618">
        <v>46.613</v>
      </c>
      <c r="C236" s="392"/>
      <c r="D236" s="395">
        <f t="shared" si="74"/>
        <v>47.827210540549657</v>
      </c>
      <c r="E236" s="387">
        <f t="shared" si="96"/>
        <v>51.692288951887114</v>
      </c>
      <c r="F236" s="387">
        <f t="shared" si="75"/>
        <v>51.784839824946872</v>
      </c>
      <c r="G236" s="110">
        <f t="shared" si="97"/>
        <v>0.88914705076150169</v>
      </c>
      <c r="H236" s="414" t="b">
        <f>Wh_hp&gt;='2020'!Maxi_hp</f>
        <v>1</v>
      </c>
      <c r="I236" s="382">
        <f>IF(H236,Wh_hp,'2020'!Maxi_hp)</f>
        <v>51.784839824946872</v>
      </c>
      <c r="J236" s="85">
        <f>IF(H236,An,'2020'!An_max)</f>
        <v>2021</v>
      </c>
      <c r="K236" s="199">
        <f t="shared" si="76"/>
        <v>44418</v>
      </c>
      <c r="L236" s="147">
        <f>IF(t&lt;Tvie,1-EXP((T0-t)*PertePVj)+'2020'!Pspv,1-EXP((T0-t)*PertePVj)+Pspv)</f>
        <v>2.5387442144889527E-2</v>
      </c>
      <c r="M236" s="870"/>
      <c r="N236" s="870"/>
      <c r="O236" s="48">
        <f>IF(t&lt;Tnet,'2020'!Resal+('2020'!Salim-'2020'!Resal)*(1-EXP(('2020'!Tnet-t)/('2020'!Tau_j))),Resal+(Salim-Resal)*(1-EXP((Tnet-t)/(Tau_j))))*Salcycl</f>
        <v>7.4770889231368737E-2</v>
      </c>
      <c r="P236" s="171">
        <f>(INDEX(Models!$BJ236:$BT236,,T236)*(1-R236)+INDEX(Models!$BJ236:$BT236,,T236+1)*R236-ERP_i)*Q236*Ramure*Pc/MaxiM</f>
        <v>2.1224237474958959E-3</v>
      </c>
      <c r="Q236" s="307">
        <f t="shared" si="77"/>
        <v>1</v>
      </c>
      <c r="R236" s="179">
        <f t="shared" si="78"/>
        <v>0.94715097129512649</v>
      </c>
      <c r="S236" s="837">
        <f t="shared" si="79"/>
        <v>-1</v>
      </c>
      <c r="T236" s="178">
        <f t="shared" si="80"/>
        <v>5</v>
      </c>
      <c r="U236" s="253">
        <f t="shared" si="81"/>
        <v>-5.2849028704873513E-2</v>
      </c>
      <c r="V236" s="385">
        <f t="shared" si="82"/>
        <v>52.406794924628393</v>
      </c>
      <c r="W236" s="404"/>
      <c r="X236" s="157">
        <f t="shared" si="83"/>
        <v>44418</v>
      </c>
      <c r="Y236" s="387">
        <f t="shared" si="84"/>
        <v>42.776075719971026</v>
      </c>
      <c r="Z236" s="387">
        <f t="shared" si="85"/>
        <v>43.890339166274394</v>
      </c>
      <c r="AA236" s="388">
        <f t="shared" si="86"/>
        <v>51.692288951887114</v>
      </c>
      <c r="AB236" s="199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0.15093063092784353</v>
      </c>
      <c r="AD236" s="233">
        <f>(INDEX(Models!$BJ236:$BT236,,AH236)*(1-AF236)+INDEX(Models!$BJ236:$BT236,,AH236+1)*AF236-ERP_i)*AE236*Ramure*Pc/MaxiM</f>
        <v>2.1224237474958959E-3</v>
      </c>
      <c r="AE236" s="307">
        <f t="shared" si="88"/>
        <v>1</v>
      </c>
      <c r="AF236" s="179">
        <f t="shared" si="89"/>
        <v>0.94715097129512649</v>
      </c>
      <c r="AG236" s="837">
        <f t="shared" si="95"/>
        <v>-1</v>
      </c>
      <c r="AH236" s="178">
        <f t="shared" si="90"/>
        <v>5</v>
      </c>
      <c r="AI236" s="227">
        <f t="shared" si="91"/>
        <v>-5.2849028704873513E-2</v>
      </c>
      <c r="AJ236" s="267" t="b">
        <f t="shared" si="92"/>
        <v>0</v>
      </c>
      <c r="AK236" s="267" t="b">
        <f t="shared" si="93"/>
        <v>0</v>
      </c>
      <c r="AL236" s="267"/>
      <c r="AM236" s="267"/>
      <c r="AN236" s="75"/>
    </row>
    <row r="237" spans="1:40" s="6" customFormat="1" ht="11.25" x14ac:dyDescent="0.2">
      <c r="A237" s="56">
        <f t="shared" si="94"/>
        <v>44419</v>
      </c>
      <c r="B237" s="618">
        <v>46.283999999999999</v>
      </c>
      <c r="C237" s="392"/>
      <c r="D237" s="395">
        <f t="shared" si="74"/>
        <v>47.490745679724427</v>
      </c>
      <c r="E237" s="387">
        <f t="shared" si="96"/>
        <v>51.347541790806488</v>
      </c>
      <c r="F237" s="387">
        <f t="shared" si="75"/>
        <v>51.445554600155653</v>
      </c>
      <c r="G237" s="110">
        <f t="shared" si="97"/>
        <v>0.88647894026290708</v>
      </c>
      <c r="H237" s="414" t="b">
        <f>Wh_hp&gt;='2020'!Maxi_hp</f>
        <v>1</v>
      </c>
      <c r="I237" s="382">
        <f>IF(H237,Wh_hp,'2020'!Maxi_hp)</f>
        <v>51.445554600155653</v>
      </c>
      <c r="J237" s="85">
        <f>IF(H237,An,'2020'!An_max)</f>
        <v>2021</v>
      </c>
      <c r="K237" s="199">
        <f t="shared" si="76"/>
        <v>44419</v>
      </c>
      <c r="L237" s="147">
        <f>IF(t&lt;Tvie,1-EXP((T0-t)*PertePVj)+'2020'!Pspv,1-EXP((T0-t)*PertePVj)+Pspv)</f>
        <v>2.5410122802928092E-2</v>
      </c>
      <c r="M237" s="870"/>
      <c r="N237" s="870"/>
      <c r="O237" s="48">
        <f>IF(t&lt;Tnet,'2020'!Resal+('2020'!Salim-'2020'!Resal)*(1-EXP(('2020'!Tnet-t)/('2020'!Tau_j))),Resal+(Salim-Resal)*(1-EXP((Tnet-t)/(Tau_j))))*Salcycl</f>
        <v>7.5111601774334583E-2</v>
      </c>
      <c r="P237" s="171">
        <f>(INDEX(Models!$BJ237:$BT237,,T237)*(1-R237)+INDEX(Models!$BJ237:$BT237,,T237+1)*R237-ERP_i)*Q237*Ramure*Pc/MaxiM</f>
        <v>2.2726830377966969E-3</v>
      </c>
      <c r="Q237" s="307">
        <f t="shared" si="77"/>
        <v>1</v>
      </c>
      <c r="R237" s="179">
        <f t="shared" si="78"/>
        <v>0.94912469984400605</v>
      </c>
      <c r="S237" s="837">
        <f t="shared" si="79"/>
        <v>-1</v>
      </c>
      <c r="T237" s="178">
        <f t="shared" si="80"/>
        <v>5</v>
      </c>
      <c r="U237" s="253">
        <f t="shared" si="81"/>
        <v>-5.0875300155993952E-2</v>
      </c>
      <c r="V237" s="385">
        <f t="shared" si="82"/>
        <v>52.191829620078117</v>
      </c>
      <c r="W237" s="404"/>
      <c r="X237" s="157">
        <f t="shared" si="83"/>
        <v>44419</v>
      </c>
      <c r="Y237" s="387">
        <f t="shared" si="84"/>
        <v>42.486040152681646</v>
      </c>
      <c r="Z237" s="387">
        <f t="shared" si="85"/>
        <v>43.593763024577918</v>
      </c>
      <c r="AA237" s="388">
        <f t="shared" si="86"/>
        <v>51.347541790806488</v>
      </c>
      <c r="AB237" s="199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0.15100584167822506</v>
      </c>
      <c r="AD237" s="233">
        <f>(INDEX(Models!$BJ237:$BT237,,AH237)*(1-AF237)+INDEX(Models!$BJ237:$BT237,,AH237+1)*AF237-ERP_i)*AE237*Ramure*Pc/MaxiM</f>
        <v>2.2726830377966969E-3</v>
      </c>
      <c r="AE237" s="307">
        <f t="shared" si="88"/>
        <v>1</v>
      </c>
      <c r="AF237" s="179">
        <f t="shared" si="89"/>
        <v>0.94912469984400605</v>
      </c>
      <c r="AG237" s="837">
        <f t="shared" si="95"/>
        <v>-1</v>
      </c>
      <c r="AH237" s="178">
        <f t="shared" si="90"/>
        <v>5</v>
      </c>
      <c r="AI237" s="227">
        <f t="shared" si="91"/>
        <v>-5.0875300155993952E-2</v>
      </c>
      <c r="AJ237" s="267" t="b">
        <f t="shared" si="92"/>
        <v>0</v>
      </c>
      <c r="AK237" s="267" t="b">
        <f t="shared" si="93"/>
        <v>0</v>
      </c>
      <c r="AL237" s="267"/>
      <c r="AM237" s="267"/>
      <c r="AN237" s="75"/>
    </row>
    <row r="238" spans="1:40" s="6" customFormat="1" ht="11.25" x14ac:dyDescent="0.2">
      <c r="A238" s="56">
        <f t="shared" si="94"/>
        <v>44420</v>
      </c>
      <c r="B238" s="618">
        <v>44.838000000000001</v>
      </c>
      <c r="C238" s="392"/>
      <c r="D238" s="395">
        <f t="shared" si="74"/>
        <v>46.008115330527147</v>
      </c>
      <c r="E238" s="387">
        <f t="shared" si="96"/>
        <v>49.762752533797759</v>
      </c>
      <c r="F238" s="387">
        <f t="shared" si="75"/>
        <v>49.860154846078544</v>
      </c>
      <c r="G238" s="110">
        <f t="shared" si="97"/>
        <v>0.86229967628232151</v>
      </c>
      <c r="H238" s="414" t="b">
        <f>Wh_hp&gt;='2020'!Maxi_hp</f>
        <v>1</v>
      </c>
      <c r="I238" s="382">
        <f>IF(H238,Wh_hp,'2020'!Maxi_hp)</f>
        <v>49.860154846078544</v>
      </c>
      <c r="J238" s="85">
        <f>IF(H238,An,'2020'!An_max)</f>
        <v>2021</v>
      </c>
      <c r="K238" s="199">
        <f t="shared" si="76"/>
        <v>44420</v>
      </c>
      <c r="L238" s="147">
        <f>IF(t&lt;Tvie,1-EXP((T0-t)*PertePVj)+'2020'!Pspv,1-EXP((T0-t)*PertePVj)+Pspv)</f>
        <v>2.5432802933154641E-2</v>
      </c>
      <c r="M238" s="870"/>
      <c r="N238" s="870"/>
      <c r="O238" s="48">
        <f>IF(t&lt;Tnet,'2020'!Resal+('2020'!Salim-'2020'!Resal)*(1-EXP(('2020'!Tnet-t)/('2020'!Tau_j))),Resal+(Salim-Resal)*(1-EXP((Tnet-t)/(Tau_j))))*Salcycl</f>
        <v>7.5450754069935094E-2</v>
      </c>
      <c r="P238" s="171">
        <f>(INDEX(Models!$BJ238:$BT238,,T238)*(1-R238)+INDEX(Models!$BJ238:$BT238,,T238+1)*R238-ERP_i)*Q238*Ramure*Pc/MaxiM</f>
        <v>2.4301202870818206E-3</v>
      </c>
      <c r="Q238" s="307">
        <f t="shared" si="77"/>
        <v>1</v>
      </c>
      <c r="R238" s="179">
        <f t="shared" si="78"/>
        <v>0.95103029442659848</v>
      </c>
      <c r="S238" s="837">
        <f t="shared" si="79"/>
        <v>-1</v>
      </c>
      <c r="T238" s="178">
        <f t="shared" si="80"/>
        <v>5</v>
      </c>
      <c r="U238" s="253">
        <f t="shared" si="81"/>
        <v>-4.8969705573401523E-2</v>
      </c>
      <c r="V238" s="385">
        <f t="shared" si="82"/>
        <v>51.973332651037822</v>
      </c>
      <c r="W238" s="404"/>
      <c r="X238" s="157">
        <f t="shared" si="83"/>
        <v>44420</v>
      </c>
      <c r="Y238" s="387">
        <f t="shared" si="84"/>
        <v>41.170193271643484</v>
      </c>
      <c r="Z238" s="387">
        <f t="shared" si="85"/>
        <v>42.244591645966949</v>
      </c>
      <c r="AA238" s="388">
        <f t="shared" si="86"/>
        <v>49.762752533797759</v>
      </c>
      <c r="AB238" s="199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0.15108008510430845</v>
      </c>
      <c r="AD238" s="233">
        <f>(INDEX(Models!$BJ238:$BT238,,AH238)*(1-AF238)+INDEX(Models!$BJ238:$BT238,,AH238+1)*AF238-ERP_i)*AE238*Ramure*Pc/MaxiM</f>
        <v>2.4301202870818206E-3</v>
      </c>
      <c r="AE238" s="307">
        <f t="shared" si="88"/>
        <v>1</v>
      </c>
      <c r="AF238" s="179">
        <f t="shared" si="89"/>
        <v>0.95103029442659848</v>
      </c>
      <c r="AG238" s="837">
        <f t="shared" si="95"/>
        <v>-1</v>
      </c>
      <c r="AH238" s="178">
        <f t="shared" si="90"/>
        <v>5</v>
      </c>
      <c r="AI238" s="227">
        <f t="shared" si="91"/>
        <v>-4.8969705573401523E-2</v>
      </c>
      <c r="AJ238" s="267" t="b">
        <f t="shared" si="92"/>
        <v>0</v>
      </c>
      <c r="AK238" s="267" t="b">
        <f t="shared" si="93"/>
        <v>0</v>
      </c>
      <c r="AL238" s="267"/>
      <c r="AM238" s="267"/>
      <c r="AN238" s="75"/>
    </row>
    <row r="239" spans="1:40" s="6" customFormat="1" ht="11.25" x14ac:dyDescent="0.2">
      <c r="A239" s="56">
        <f t="shared" si="94"/>
        <v>44421</v>
      </c>
      <c r="B239" s="618">
        <v>30.603000000000002</v>
      </c>
      <c r="C239" s="392"/>
      <c r="D239" s="395">
        <f t="shared" si="74"/>
        <v>31.402362284714556</v>
      </c>
      <c r="E239" s="387">
        <f t="shared" si="96"/>
        <v>33.977457365575468</v>
      </c>
      <c r="F239" s="387">
        <f t="shared" si="75"/>
        <v>34.01419365755509</v>
      </c>
      <c r="G239" s="110">
        <f t="shared" si="97"/>
        <v>0.59045525773608321</v>
      </c>
      <c r="H239" s="414" t="b">
        <f>Wh_hp&gt;='2020'!Maxi_hp</f>
        <v>0</v>
      </c>
      <c r="I239" s="382">
        <f>IF(H239,Wh_hp,'2020'!Maxi_hp)</f>
        <v>52.158181392668176</v>
      </c>
      <c r="J239" s="85">
        <f>IF(H239,An,'2020'!An_max)</f>
        <v>2019</v>
      </c>
      <c r="K239" s="199">
        <f t="shared" si="76"/>
        <v>44421</v>
      </c>
      <c r="L239" s="147">
        <f>IF(t&lt;Tvie,1-EXP((T0-t)*PertePVj)+'2020'!Pspv,1-EXP((T0-t)*PertePVj)+Pspv)</f>
        <v>2.5455482535581497E-2</v>
      </c>
      <c r="M239" s="870"/>
      <c r="N239" s="870"/>
      <c r="O239" s="48">
        <f>IF(t&lt;Tnet,'2020'!Resal+('2020'!Salim-'2020'!Resal)*(1-EXP(('2020'!Tnet-t)/('2020'!Tau_j))),Resal+(Salim-Resal)*(1-EXP((Tnet-t)/(Tau_j))))*Salcycl</f>
        <v>7.5788339696951271E-2</v>
      </c>
      <c r="P239" s="171">
        <f>(INDEX(Models!$BJ239:$BT239,,T239)*(1-R239)+INDEX(Models!$BJ239:$BT239,,T239+1)*R239-ERP_i)*Q239*Ramure*Pc/MaxiM</f>
        <v>2.5948671663009342E-3</v>
      </c>
      <c r="Q239" s="307">
        <f t="shared" si="77"/>
        <v>1</v>
      </c>
      <c r="R239" s="179">
        <f t="shared" si="78"/>
        <v>0.95286969608543959</v>
      </c>
      <c r="S239" s="837">
        <f t="shared" si="79"/>
        <v>-1</v>
      </c>
      <c r="T239" s="178">
        <f t="shared" si="80"/>
        <v>5</v>
      </c>
      <c r="U239" s="253">
        <f t="shared" si="81"/>
        <v>-4.7130303914560412E-2</v>
      </c>
      <c r="V239" s="385">
        <f t="shared" si="82"/>
        <v>51.750900450595196</v>
      </c>
      <c r="W239" s="404"/>
      <c r="X239" s="157">
        <f t="shared" si="83"/>
        <v>44421</v>
      </c>
      <c r="Y239" s="387">
        <f t="shared" si="84"/>
        <v>28.107472759284615</v>
      </c>
      <c r="Z239" s="387">
        <f t="shared" si="85"/>
        <v>28.84165090006865</v>
      </c>
      <c r="AA239" s="388">
        <f t="shared" si="86"/>
        <v>33.977457365575468</v>
      </c>
      <c r="AB239" s="199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0.15115334882916229</v>
      </c>
      <c r="AD239" s="233">
        <f>(INDEX(Models!$BJ239:$BT239,,AH239)*(1-AF239)+INDEX(Models!$BJ239:$BT239,,AH239+1)*AF239-ERP_i)*AE239*Ramure*Pc/MaxiM</f>
        <v>2.5948671663009342E-3</v>
      </c>
      <c r="AE239" s="307">
        <f t="shared" si="88"/>
        <v>1</v>
      </c>
      <c r="AF239" s="179">
        <f t="shared" si="89"/>
        <v>0.95286969608543959</v>
      </c>
      <c r="AG239" s="837">
        <f t="shared" si="95"/>
        <v>-1</v>
      </c>
      <c r="AH239" s="178">
        <f t="shared" si="90"/>
        <v>5</v>
      </c>
      <c r="AI239" s="227">
        <f t="shared" si="91"/>
        <v>-4.7130303914560412E-2</v>
      </c>
      <c r="AJ239" s="267" t="b">
        <f t="shared" si="92"/>
        <v>0</v>
      </c>
      <c r="AK239" s="267" t="b">
        <f t="shared" si="93"/>
        <v>0</v>
      </c>
      <c r="AL239" s="267"/>
      <c r="AM239" s="267"/>
      <c r="AN239" s="75"/>
    </row>
    <row r="240" spans="1:40" s="6" customFormat="1" ht="11.25" x14ac:dyDescent="0.2">
      <c r="A240" s="56">
        <f t="shared" si="94"/>
        <v>44422</v>
      </c>
      <c r="B240" s="618">
        <v>44.997</v>
      </c>
      <c r="C240" s="392"/>
      <c r="D240" s="395">
        <f t="shared" si="74"/>
        <v>46.173413696248602</v>
      </c>
      <c r="E240" s="387">
        <f t="shared" si="96"/>
        <v>49.977952890755191</v>
      </c>
      <c r="F240" s="387">
        <f t="shared" si="75"/>
        <v>50.091420748990146</v>
      </c>
      <c r="G240" s="110">
        <f t="shared" si="97"/>
        <v>0.8728796943903202</v>
      </c>
      <c r="H240" s="414" t="b">
        <f>Wh_hp&gt;='2020'!Maxi_hp</f>
        <v>0</v>
      </c>
      <c r="I240" s="382">
        <f>IF(H240,Wh_hp,'2020'!Maxi_hp)</f>
        <v>56.516623137013951</v>
      </c>
      <c r="J240" s="85">
        <f>IF(H240,An,'2020'!An_max)</f>
        <v>2019</v>
      </c>
      <c r="K240" s="199">
        <f t="shared" si="76"/>
        <v>44422</v>
      </c>
      <c r="L240" s="147">
        <f>IF(t&lt;Tvie,1-EXP((T0-t)*PertePVj)+'2020'!Pspv,1-EXP((T0-t)*PertePVj)+Pspv)</f>
        <v>2.5478161610220762E-2</v>
      </c>
      <c r="M240" s="870"/>
      <c r="N240" s="870"/>
      <c r="O240" s="48">
        <f>IF(t&lt;Tnet,'2020'!Resal+('2020'!Salim-'2020'!Resal)*(1-EXP(('2020'!Tnet-t)/('2020'!Tau_j))),Resal+(Salim-Resal)*(1-EXP((Tnet-t)/(Tau_j))))*Salcycl</f>
        <v>7.6124350327489029E-2</v>
      </c>
      <c r="P240" s="171">
        <f>(INDEX(Models!$BJ240:$BT240,,T240)*(1-R240)+INDEX(Models!$BJ240:$BT240,,T240+1)*R240-ERP_i)*Q240*Ramure*Pc/MaxiM</f>
        <v>2.7657448717330773E-3</v>
      </c>
      <c r="Q240" s="307">
        <f t="shared" si="77"/>
        <v>1</v>
      </c>
      <c r="R240" s="179">
        <f t="shared" si="78"/>
        <v>0.95464482127076811</v>
      </c>
      <c r="S240" s="837">
        <f t="shared" si="79"/>
        <v>-1</v>
      </c>
      <c r="T240" s="178">
        <f t="shared" si="80"/>
        <v>5</v>
      </c>
      <c r="U240" s="253">
        <f t="shared" si="81"/>
        <v>-4.5355178729231893E-2</v>
      </c>
      <c r="V240" s="385">
        <f t="shared" si="82"/>
        <v>51.524198387407644</v>
      </c>
      <c r="W240" s="404"/>
      <c r="X240" s="157">
        <f t="shared" si="83"/>
        <v>44422</v>
      </c>
      <c r="Y240" s="387">
        <f t="shared" si="84"/>
        <v>41.33922236390638</v>
      </c>
      <c r="Z240" s="387">
        <f t="shared" si="85"/>
        <v>42.4200061357393</v>
      </c>
      <c r="AA240" s="388">
        <f t="shared" si="86"/>
        <v>49.977952890755191</v>
      </c>
      <c r="AB240" s="199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0.15122561685422581</v>
      </c>
      <c r="AD240" s="233">
        <f>(INDEX(Models!$BJ240:$BT240,,AH240)*(1-AF240)+INDEX(Models!$BJ240:$BT240,,AH240+1)*AF240-ERP_i)*AE240*Ramure*Pc/MaxiM</f>
        <v>2.7657448717330773E-3</v>
      </c>
      <c r="AE240" s="307">
        <f t="shared" si="88"/>
        <v>1</v>
      </c>
      <c r="AF240" s="179">
        <f t="shared" si="89"/>
        <v>0.95464482127076811</v>
      </c>
      <c r="AG240" s="837">
        <f t="shared" si="95"/>
        <v>-1</v>
      </c>
      <c r="AH240" s="178">
        <f t="shared" si="90"/>
        <v>5</v>
      </c>
      <c r="AI240" s="227">
        <f t="shared" si="91"/>
        <v>-4.5355178729231893E-2</v>
      </c>
      <c r="AJ240" s="267" t="b">
        <f t="shared" si="92"/>
        <v>0</v>
      </c>
      <c r="AK240" s="267" t="b">
        <f t="shared" si="93"/>
        <v>0</v>
      </c>
      <c r="AL240" s="267"/>
      <c r="AM240" s="267"/>
      <c r="AN240" s="75"/>
    </row>
    <row r="241" spans="1:40" s="6" customFormat="1" ht="11.25" x14ac:dyDescent="0.2">
      <c r="A241" s="56">
        <f t="shared" si="94"/>
        <v>44423</v>
      </c>
      <c r="B241" s="618">
        <v>20.007999999999999</v>
      </c>
      <c r="C241" s="392"/>
      <c r="D241" s="395">
        <f t="shared" si="74"/>
        <v>20.531572344531522</v>
      </c>
      <c r="E241" s="387">
        <f t="shared" si="96"/>
        <v>22.231354494613651</v>
      </c>
      <c r="F241" s="387">
        <f t="shared" si="75"/>
        <v>22.239765449347118</v>
      </c>
      <c r="G241" s="110">
        <f t="shared" si="97"/>
        <v>0.38907325639422091</v>
      </c>
      <c r="H241" s="414" t="b">
        <f>Wh_hp&gt;='2020'!Maxi_hp</f>
        <v>0</v>
      </c>
      <c r="I241" s="382">
        <f>IF(H241,Wh_hp,'2020'!Maxi_hp)</f>
        <v>51.583884574540299</v>
      </c>
      <c r="J241" s="85">
        <f>IF(H241,An,'2020'!An_max)</f>
        <v>2020</v>
      </c>
      <c r="K241" s="199">
        <f t="shared" si="76"/>
        <v>44423</v>
      </c>
      <c r="L241" s="147">
        <f>IF(t&lt;Tvie,1-EXP((T0-t)*PertePVj)+'2020'!Pspv,1-EXP((T0-t)*PertePVj)+Pspv)</f>
        <v>2.550084015708487E-2</v>
      </c>
      <c r="M241" s="870"/>
      <c r="N241" s="870"/>
      <c r="O241" s="48">
        <f>IF(t&lt;Tnet,'2020'!Resal+('2020'!Salim-'2020'!Resal)*(1-EXP(('2020'!Tnet-t)/('2020'!Tau_j))),Resal+(Salim-Resal)*(1-EXP((Tnet-t)/(Tau_j))))*Salcycl</f>
        <v>7.645877584714697E-2</v>
      </c>
      <c r="P241" s="171">
        <f>(INDEX(Models!$BJ241:$BT241,,T241)*(1-R241)+INDEX(Models!$BJ241:$BT241,,T241+1)*R241-ERP_i)*Q241*Ramure*Pc/MaxiM</f>
        <v>2.9391414271491586E-3</v>
      </c>
      <c r="Q241" s="307">
        <f t="shared" si="77"/>
        <v>1</v>
      </c>
      <c r="R241" s="179">
        <f t="shared" si="78"/>
        <v>0.95635755960302438</v>
      </c>
      <c r="S241" s="837">
        <f t="shared" si="79"/>
        <v>-1</v>
      </c>
      <c r="T241" s="178">
        <f t="shared" si="80"/>
        <v>5</v>
      </c>
      <c r="U241" s="253">
        <f t="shared" si="81"/>
        <v>-4.3642440396975624E-2</v>
      </c>
      <c r="V241" s="385">
        <f t="shared" si="82"/>
        <v>51.293017081206351</v>
      </c>
      <c r="W241" s="404"/>
      <c r="X241" s="157">
        <f t="shared" si="83"/>
        <v>44423</v>
      </c>
      <c r="Y241" s="387">
        <f t="shared" si="84"/>
        <v>18.386674881025549</v>
      </c>
      <c r="Z241" s="387">
        <f t="shared" si="85"/>
        <v>18.867820146699149</v>
      </c>
      <c r="AA241" s="388">
        <f t="shared" si="86"/>
        <v>22.231354494613651</v>
      </c>
      <c r="AB241" s="199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0.15129686986591112</v>
      </c>
      <c r="AD241" s="233">
        <f>(INDEX(Models!$BJ241:$BT241,,AH241)*(1-AF241)+INDEX(Models!$BJ241:$BT241,,AH241+1)*AF241-ERP_i)*AE241*Ramure*Pc/MaxiM</f>
        <v>2.9391414271491586E-3</v>
      </c>
      <c r="AE241" s="307">
        <f t="shared" si="88"/>
        <v>1</v>
      </c>
      <c r="AF241" s="179">
        <f t="shared" si="89"/>
        <v>0.95635755960302438</v>
      </c>
      <c r="AG241" s="837">
        <f t="shared" si="95"/>
        <v>-1</v>
      </c>
      <c r="AH241" s="178">
        <f t="shared" si="90"/>
        <v>5</v>
      </c>
      <c r="AI241" s="227">
        <f t="shared" si="91"/>
        <v>-4.3642440396975624E-2</v>
      </c>
      <c r="AJ241" s="267" t="b">
        <f t="shared" si="92"/>
        <v>0</v>
      </c>
      <c r="AK241" s="267" t="b">
        <f t="shared" si="93"/>
        <v>0</v>
      </c>
      <c r="AL241" s="267"/>
      <c r="AM241" s="267"/>
      <c r="AN241" s="75"/>
    </row>
    <row r="242" spans="1:40" s="6" customFormat="1" ht="11.25" x14ac:dyDescent="0.2">
      <c r="A242" s="56">
        <f t="shared" si="94"/>
        <v>44424</v>
      </c>
      <c r="B242" s="618">
        <v>30.35</v>
      </c>
      <c r="C242" s="392"/>
      <c r="D242" s="395">
        <f t="shared" si="74"/>
        <v>31.144928139463609</v>
      </c>
      <c r="E242" s="387">
        <f t="shared" si="96"/>
        <v>33.735533916639241</v>
      </c>
      <c r="F242" s="387">
        <f t="shared" si="75"/>
        <v>33.779795443634875</v>
      </c>
      <c r="G242" s="110">
        <f t="shared" si="97"/>
        <v>0.5933599191765434</v>
      </c>
      <c r="H242" s="414" t="b">
        <f>Wh_hp&gt;='2020'!Maxi_hp</f>
        <v>0</v>
      </c>
      <c r="I242" s="382">
        <f>IF(H242,Wh_hp,'2020'!Maxi_hp)</f>
        <v>55.530808319610884</v>
      </c>
      <c r="J242" s="85">
        <f>IF(H242,An,'2020'!An_max)</f>
        <v>2019</v>
      </c>
      <c r="K242" s="199">
        <f t="shared" si="76"/>
        <v>44424</v>
      </c>
      <c r="L242" s="147">
        <f>IF(t&lt;Tvie,1-EXP((T0-t)*PertePVj)+'2020'!Pspv,1-EXP((T0-t)*PertePVj)+Pspv)</f>
        <v>2.5523518176186033E-2</v>
      </c>
      <c r="M242" s="870"/>
      <c r="N242" s="870"/>
      <c r="O242" s="48">
        <f>IF(t&lt;Tnet,'2020'!Resal+('2020'!Salim-'2020'!Resal)*(1-EXP(('2020'!Tnet-t)/('2020'!Tau_j))),Resal+(Salim-Resal)*(1-EXP((Tnet-t)/(Tau_j))))*Salcycl</f>
        <v>7.6791604471920863E-2</v>
      </c>
      <c r="P242" s="171">
        <f>(INDEX(Models!$BJ242:$BT242,,T242)*(1-R242)+INDEX(Models!$BJ242:$BT242,,T242+1)*R242-ERP_i)*Q242*Ramure*Pc/MaxiM</f>
        <v>3.1151514894670012E-3</v>
      </c>
      <c r="Q242" s="307">
        <f t="shared" si="77"/>
        <v>1</v>
      </c>
      <c r="R242" s="179">
        <f t="shared" si="78"/>
        <v>0.95800977188225067</v>
      </c>
      <c r="S242" s="837">
        <f t="shared" si="79"/>
        <v>-1</v>
      </c>
      <c r="T242" s="178">
        <f t="shared" si="80"/>
        <v>5</v>
      </c>
      <c r="U242" s="253">
        <f t="shared" si="81"/>
        <v>-4.1990228117749329E-2</v>
      </c>
      <c r="V242" s="385">
        <f t="shared" si="82"/>
        <v>51.056955120503645</v>
      </c>
      <c r="W242" s="404"/>
      <c r="X242" s="157">
        <f t="shared" si="83"/>
        <v>44424</v>
      </c>
      <c r="Y242" s="387">
        <f t="shared" si="84"/>
        <v>27.898369511145255</v>
      </c>
      <c r="Z242" s="387">
        <f t="shared" si="85"/>
        <v>28.629084468956226</v>
      </c>
      <c r="AA242" s="388">
        <f t="shared" si="86"/>
        <v>33.735533916639241</v>
      </c>
      <c r="AB242" s="199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0.15136708552771355</v>
      </c>
      <c r="AD242" s="233">
        <f>(INDEX(Models!$BJ242:$BT242,,AH242)*(1-AF242)+INDEX(Models!$BJ242:$BT242,,AH242+1)*AF242-ERP_i)*AE242*Ramure*Pc/MaxiM</f>
        <v>3.1151514894670012E-3</v>
      </c>
      <c r="AE242" s="307">
        <f t="shared" si="88"/>
        <v>1</v>
      </c>
      <c r="AF242" s="179">
        <f t="shared" si="89"/>
        <v>0.95800977188225067</v>
      </c>
      <c r="AG242" s="837">
        <f t="shared" si="95"/>
        <v>-1</v>
      </c>
      <c r="AH242" s="178">
        <f t="shared" si="90"/>
        <v>5</v>
      </c>
      <c r="AI242" s="227">
        <f t="shared" si="91"/>
        <v>-4.1990228117749329E-2</v>
      </c>
      <c r="AJ242" s="267" t="b">
        <f t="shared" si="92"/>
        <v>0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4"/>
        <v>44425</v>
      </c>
      <c r="B243" s="618">
        <v>39.215000000000003</v>
      </c>
      <c r="C243" s="392"/>
      <c r="D243" s="395">
        <f t="shared" si="74"/>
        <v>40.243057008601568</v>
      </c>
      <c r="E243" s="387">
        <f t="shared" si="96"/>
        <v>43.606081074953494</v>
      </c>
      <c r="F243" s="387">
        <f t="shared" si="75"/>
        <v>43.703087005260628</v>
      </c>
      <c r="G243" s="110">
        <f t="shared" si="97"/>
        <v>0.77088082599710561</v>
      </c>
      <c r="H243" s="414" t="b">
        <f>Wh_hp&gt;='2020'!Maxi_hp</f>
        <v>0</v>
      </c>
      <c r="I243" s="382">
        <f>IF(H243,Wh_hp,'2020'!Maxi_hp)</f>
        <v>54.275394990879882</v>
      </c>
      <c r="J243" s="85">
        <f>IF(H243,An,'2020'!An_max)</f>
        <v>2019</v>
      </c>
      <c r="K243" s="199">
        <f t="shared" si="76"/>
        <v>44425</v>
      </c>
      <c r="L243" s="147">
        <f>IF(t&lt;Tvie,1-EXP((T0-t)*PertePVj)+'2020'!Pspv,1-EXP((T0-t)*PertePVj)+Pspv)</f>
        <v>2.5546195667536575E-2</v>
      </c>
      <c r="M243" s="870"/>
      <c r="N243" s="870"/>
      <c r="O243" s="48">
        <f>IF(t&lt;Tnet,'2020'!Resal+('2020'!Salim-'2020'!Resal)*(1-EXP(('2020'!Tnet-t)/('2020'!Tau_j))),Resal+(Salim-Resal)*(1-EXP((Tnet-t)/(Tau_j))))*Salcycl</f>
        <v>7.7122822859758855E-2</v>
      </c>
      <c r="P243" s="171">
        <f>(INDEX(Models!$BJ243:$BT243,,T243)*(1-R243)+INDEX(Models!$BJ243:$BT243,,T243+1)*R243-ERP_i)*Q243*Ramure*Pc/MaxiM</f>
        <v>3.2938786875551939E-3</v>
      </c>
      <c r="Q243" s="307">
        <f t="shared" si="77"/>
        <v>1</v>
      </c>
      <c r="R243" s="179">
        <f t="shared" si="78"/>
        <v>0.95960328833104436</v>
      </c>
      <c r="S243" s="837">
        <f t="shared" si="79"/>
        <v>-1</v>
      </c>
      <c r="T243" s="178">
        <f t="shared" si="80"/>
        <v>5</v>
      </c>
      <c r="U243" s="253">
        <f t="shared" si="81"/>
        <v>-4.0396711668955643E-2</v>
      </c>
      <c r="V243" s="385">
        <f t="shared" si="82"/>
        <v>50.815611730807582</v>
      </c>
      <c r="W243" s="404"/>
      <c r="X243" s="157">
        <f t="shared" si="83"/>
        <v>44425</v>
      </c>
      <c r="Y243" s="387">
        <f t="shared" si="84"/>
        <v>36.057266038767139</v>
      </c>
      <c r="Z243" s="387">
        <f t="shared" si="85"/>
        <v>37.002540170149665</v>
      </c>
      <c r="AA243" s="388">
        <f t="shared" si="86"/>
        <v>43.606081074953494</v>
      </c>
      <c r="AB243" s="199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0.15143623875424986</v>
      </c>
      <c r="AD243" s="233">
        <f>(INDEX(Models!$BJ243:$BT243,,AH243)*(1-AF243)+INDEX(Models!$BJ243:$BT243,,AH243+1)*AF243-ERP_i)*AE243*Ramure*Pc/MaxiM</f>
        <v>3.2938786875551939E-3</v>
      </c>
      <c r="AE243" s="307">
        <f t="shared" si="88"/>
        <v>1</v>
      </c>
      <c r="AF243" s="179">
        <f t="shared" si="89"/>
        <v>0.95960328833104436</v>
      </c>
      <c r="AG243" s="837">
        <f t="shared" si="95"/>
        <v>-1</v>
      </c>
      <c r="AH243" s="178">
        <f t="shared" si="90"/>
        <v>5</v>
      </c>
      <c r="AI243" s="227">
        <f t="shared" si="91"/>
        <v>-4.0396711668955643E-2</v>
      </c>
      <c r="AJ243" s="267" t="b">
        <f t="shared" si="92"/>
        <v>0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4"/>
        <v>44426</v>
      </c>
      <c r="B244" s="618">
        <v>48.224000000000004</v>
      </c>
      <c r="C244" s="392"/>
      <c r="D244" s="395">
        <f t="shared" si="74"/>
        <v>49.489387854649046</v>
      </c>
      <c r="E244" s="387">
        <f t="shared" si="96"/>
        <v>53.644265861708696</v>
      </c>
      <c r="F244" s="387">
        <f t="shared" si="75"/>
        <v>53.81892121253842</v>
      </c>
      <c r="G244" s="110">
        <f t="shared" si="97"/>
        <v>0.95341527243525104</v>
      </c>
      <c r="H244" s="414" t="b">
        <f>Wh_hp&gt;='2020'!Maxi_hp</f>
        <v>1</v>
      </c>
      <c r="I244" s="382">
        <f>IF(H244,Wh_hp,'2020'!Maxi_hp)</f>
        <v>53.81892121253842</v>
      </c>
      <c r="J244" s="85">
        <f>IF(H244,An,'2020'!An_max)</f>
        <v>2021</v>
      </c>
      <c r="K244" s="199">
        <f t="shared" si="76"/>
        <v>44426</v>
      </c>
      <c r="L244" s="147">
        <f>IF(t&lt;Tvie,1-EXP((T0-t)*PertePVj)+'2020'!Pspv,1-EXP((T0-t)*PertePVj)+Pspv)</f>
        <v>2.556887263114882E-2</v>
      </c>
      <c r="M244" s="870"/>
      <c r="N244" s="870"/>
      <c r="O244" s="48">
        <f>IF(t&lt;Tnet,'2020'!Resal+('2020'!Salim-'2020'!Resal)*(1-EXP(('2020'!Tnet-t)/('2020'!Tau_j))),Resal+(Salim-Resal)*(1-EXP((Tnet-t)/(Tau_j))))*Salcycl</f>
        <v>7.745241621482242E-2</v>
      </c>
      <c r="P244" s="171">
        <f>(INDEX(Models!$BJ244:$BT244,,T244)*(1-R244)+INDEX(Models!$BJ244:$BT244,,T244+1)*R244-ERP_i)*Q244*Ramure*Pc/MaxiM</f>
        <v>3.4754361120695864E-3</v>
      </c>
      <c r="Q244" s="307">
        <f t="shared" si="77"/>
        <v>1</v>
      </c>
      <c r="R244" s="179">
        <f t="shared" si="78"/>
        <v>0.9611399070577834</v>
      </c>
      <c r="S244" s="837">
        <f t="shared" si="79"/>
        <v>-1</v>
      </c>
      <c r="T244" s="178">
        <f t="shared" si="80"/>
        <v>5</v>
      </c>
      <c r="U244" s="253">
        <f t="shared" si="81"/>
        <v>-3.8860092942216595E-2</v>
      </c>
      <c r="V244" s="385">
        <f t="shared" si="82"/>
        <v>50.568586748492251</v>
      </c>
      <c r="W244" s="404"/>
      <c r="X244" s="157">
        <f t="shared" si="83"/>
        <v>44426</v>
      </c>
      <c r="Y244" s="387">
        <f t="shared" si="84"/>
        <v>44.353112252706644</v>
      </c>
      <c r="Z244" s="387">
        <f t="shared" si="85"/>
        <v>45.516928807958401</v>
      </c>
      <c r="AA244" s="388">
        <f t="shared" si="86"/>
        <v>53.644265861708696</v>
      </c>
      <c r="AB244" s="199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0.15150430196401646</v>
      </c>
      <c r="AD244" s="233">
        <f>(INDEX(Models!$BJ244:$BT244,,AH244)*(1-AF244)+INDEX(Models!$BJ244:$BT244,,AH244+1)*AF244-ERP_i)*AE244*Ramure*Pc/MaxiM</f>
        <v>3.4754361120695864E-3</v>
      </c>
      <c r="AE244" s="307">
        <f t="shared" si="88"/>
        <v>1</v>
      </c>
      <c r="AF244" s="179">
        <f t="shared" si="89"/>
        <v>0.9611399070577834</v>
      </c>
      <c r="AG244" s="837">
        <f t="shared" si="95"/>
        <v>-1</v>
      </c>
      <c r="AH244" s="178">
        <f t="shared" si="90"/>
        <v>5</v>
      </c>
      <c r="AI244" s="227">
        <f t="shared" si="91"/>
        <v>-3.8860092942216595E-2</v>
      </c>
      <c r="AJ244" s="267" t="b">
        <f t="shared" si="92"/>
        <v>0</v>
      </c>
      <c r="AK244" s="267" t="b">
        <f t="shared" si="93"/>
        <v>0</v>
      </c>
      <c r="AL244" s="267"/>
      <c r="AM244" s="267"/>
      <c r="AN244" s="75"/>
    </row>
    <row r="245" spans="1:40" s="6" customFormat="1" ht="11.25" x14ac:dyDescent="0.2">
      <c r="A245" s="56">
        <f t="shared" si="94"/>
        <v>44427</v>
      </c>
      <c r="B245" s="618">
        <v>43.695</v>
      </c>
      <c r="C245" s="392"/>
      <c r="D245" s="395">
        <f t="shared" si="74"/>
        <v>44.842591377531086</v>
      </c>
      <c r="E245" s="387">
        <f t="shared" si="96"/>
        <v>48.624633265385071</v>
      </c>
      <c r="F245" s="387">
        <f t="shared" si="75"/>
        <v>48.769575691470848</v>
      </c>
      <c r="G245" s="110">
        <f t="shared" si="97"/>
        <v>0.86782138121317665</v>
      </c>
      <c r="H245" s="414" t="b">
        <f>Wh_hp&gt;='2020'!Maxi_hp</f>
        <v>1</v>
      </c>
      <c r="I245" s="382">
        <f>IF(H245,Wh_hp,'2020'!Maxi_hp)</f>
        <v>48.769575691470848</v>
      </c>
      <c r="J245" s="85">
        <f>IF(H245,An,'2020'!An_max)</f>
        <v>2021</v>
      </c>
      <c r="K245" s="199">
        <f t="shared" si="76"/>
        <v>44427</v>
      </c>
      <c r="L245" s="147">
        <f>IF(t&lt;Tvie,1-EXP((T0-t)*PertePVj)+'2020'!Pspv,1-EXP((T0-t)*PertePVj)+Pspv)</f>
        <v>2.559154906703498E-2</v>
      </c>
      <c r="M245" s="870"/>
      <c r="N245" s="870"/>
      <c r="O245" s="48">
        <f>IF(t&lt;Tnet,'2020'!Resal+('2020'!Salim-'2020'!Resal)*(1-EXP(('2020'!Tnet-t)/('2020'!Tau_j))),Resal+(Salim-Resal)*(1-EXP((Tnet-t)/(Tau_j))))*Salcycl</f>
        <v>7.7780368382672063E-2</v>
      </c>
      <c r="P245" s="171">
        <f>(INDEX(Models!$BJ245:$BT245,,T245)*(1-R245)+INDEX(Models!$BJ245:$BT245,,T245+1)*R245-ERP_i)*Q245*Ramure*Pc/MaxiM</f>
        <v>3.6599468491758705E-3</v>
      </c>
      <c r="Q245" s="307">
        <f t="shared" si="77"/>
        <v>1</v>
      </c>
      <c r="R245" s="179">
        <f t="shared" si="78"/>
        <v>0.96262139272699843</v>
      </c>
      <c r="S245" s="837">
        <f t="shared" si="79"/>
        <v>-1</v>
      </c>
      <c r="T245" s="178">
        <f t="shared" si="80"/>
        <v>5</v>
      </c>
      <c r="U245" s="253">
        <f t="shared" si="81"/>
        <v>-3.7378607273001574E-2</v>
      </c>
      <c r="V245" s="385">
        <f t="shared" si="82"/>
        <v>50.315480613265599</v>
      </c>
      <c r="W245" s="404"/>
      <c r="X245" s="157">
        <f t="shared" si="83"/>
        <v>44427</v>
      </c>
      <c r="Y245" s="387">
        <f t="shared" si="84"/>
        <v>40.198769539582841</v>
      </c>
      <c r="Z245" s="387">
        <f t="shared" si="85"/>
        <v>41.254537048702524</v>
      </c>
      <c r="AA245" s="388">
        <f t="shared" si="86"/>
        <v>48.624633265385071</v>
      </c>
      <c r="AB245" s="199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0.15157124530806845</v>
      </c>
      <c r="AD245" s="233">
        <f>(INDEX(Models!$BJ245:$BT245,,AH245)*(1-AF245)+INDEX(Models!$BJ245:$BT245,,AH245+1)*AF245-ERP_i)*AE245*Ramure*Pc/MaxiM</f>
        <v>3.6599468491758705E-3</v>
      </c>
      <c r="AE245" s="307">
        <f t="shared" si="88"/>
        <v>1</v>
      </c>
      <c r="AF245" s="179">
        <f t="shared" si="89"/>
        <v>0.96262139272699843</v>
      </c>
      <c r="AG245" s="837">
        <f t="shared" si="95"/>
        <v>-1</v>
      </c>
      <c r="AH245" s="178">
        <f t="shared" si="90"/>
        <v>5</v>
      </c>
      <c r="AI245" s="227">
        <f t="shared" si="91"/>
        <v>-3.7378607273001574E-2</v>
      </c>
      <c r="AJ245" s="267" t="b">
        <f t="shared" si="92"/>
        <v>0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4"/>
        <v>44428</v>
      </c>
      <c r="B246" s="618">
        <v>47.02</v>
      </c>
      <c r="C246" s="392"/>
      <c r="D246" s="395">
        <f t="shared" si="74"/>
        <v>48.256041092968132</v>
      </c>
      <c r="E246" s="387">
        <f t="shared" si="96"/>
        <v>52.344494856903623</v>
      </c>
      <c r="F246" s="387">
        <f t="shared" si="75"/>
        <v>52.529091636366658</v>
      </c>
      <c r="G246" s="110">
        <f t="shared" si="97"/>
        <v>0.93903566425361651</v>
      </c>
      <c r="H246" s="414" t="b">
        <f>Wh_hp&gt;='2020'!Maxi_hp</f>
        <v>1</v>
      </c>
      <c r="I246" s="382">
        <f>IF(H246,Wh_hp,'2020'!Maxi_hp)</f>
        <v>52.529091636366658</v>
      </c>
      <c r="J246" s="85">
        <f>IF(H246,An,'2020'!An_max)</f>
        <v>2021</v>
      </c>
      <c r="K246" s="199">
        <f t="shared" si="76"/>
        <v>44428</v>
      </c>
      <c r="L246" s="147">
        <f>IF(t&lt;Tvie,1-EXP((T0-t)*PertePVj)+'2020'!Pspv,1-EXP((T0-t)*PertePVj)+Pspv)</f>
        <v>2.5614224975207267E-2</v>
      </c>
      <c r="M246" s="870"/>
      <c r="N246" s="870"/>
      <c r="O246" s="48">
        <f>IF(t&lt;Tnet,'2020'!Resal+('2020'!Salim-'2020'!Resal)*(1-EXP(('2020'!Tnet-t)/('2020'!Tau_j))),Resal+(Salim-Resal)*(1-EXP((Tnet-t)/(Tau_j))))*Salcycl</f>
        <v>7.8106661934789309E-2</v>
      </c>
      <c r="P246" s="171">
        <f>(INDEX(Models!$BJ246:$BT246,,T246)*(1-R246)+INDEX(Models!$BJ246:$BT246,,T246+1)*R246-ERP_i)*Q246*Ramure*Pc/MaxiM</f>
        <v>3.8475445648655806E-3</v>
      </c>
      <c r="Q246" s="307">
        <f t="shared" si="77"/>
        <v>1</v>
      </c>
      <c r="R246" s="179">
        <f t="shared" si="78"/>
        <v>0.96404947542399777</v>
      </c>
      <c r="S246" s="837">
        <f t="shared" si="79"/>
        <v>-1</v>
      </c>
      <c r="T246" s="178">
        <f t="shared" si="80"/>
        <v>5</v>
      </c>
      <c r="U246" s="253">
        <f t="shared" si="81"/>
        <v>-3.595052457600223E-2</v>
      </c>
      <c r="V246" s="385">
        <f t="shared" si="82"/>
        <v>50.055894355820932</v>
      </c>
      <c r="W246" s="404"/>
      <c r="X246" s="157">
        <f t="shared" si="83"/>
        <v>44428</v>
      </c>
      <c r="Y246" s="387">
        <f t="shared" si="84"/>
        <v>43.26967652243129</v>
      </c>
      <c r="Z246" s="387">
        <f t="shared" si="85"/>
        <v>44.407130760227197</v>
      </c>
      <c r="AA246" s="388">
        <f t="shared" si="86"/>
        <v>52.344494856903623</v>
      </c>
      <c r="AB246" s="199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0.1516370368722659</v>
      </c>
      <c r="AD246" s="233">
        <f>(INDEX(Models!$BJ246:$BT246,,AH246)*(1-AF246)+INDEX(Models!$BJ246:$BT246,,AH246+1)*AF246-ERP_i)*AE246*Ramure*Pc/MaxiM</f>
        <v>3.8475445648655806E-3</v>
      </c>
      <c r="AE246" s="307">
        <f t="shared" si="88"/>
        <v>1</v>
      </c>
      <c r="AF246" s="179">
        <f t="shared" si="89"/>
        <v>0.96404947542399777</v>
      </c>
      <c r="AG246" s="837">
        <f t="shared" si="95"/>
        <v>-1</v>
      </c>
      <c r="AH246" s="178">
        <f t="shared" si="90"/>
        <v>5</v>
      </c>
      <c r="AI246" s="227">
        <f t="shared" si="91"/>
        <v>-3.595052457600223E-2</v>
      </c>
      <c r="AJ246" s="267" t="b">
        <f t="shared" si="92"/>
        <v>0</v>
      </c>
      <c r="AK246" s="267" t="b">
        <f t="shared" si="93"/>
        <v>0</v>
      </c>
      <c r="AL246" s="267"/>
      <c r="AM246" s="267"/>
      <c r="AN246" s="75"/>
    </row>
    <row r="247" spans="1:40" s="6" customFormat="1" ht="11.25" x14ac:dyDescent="0.2">
      <c r="A247" s="56">
        <f t="shared" si="94"/>
        <v>44429</v>
      </c>
      <c r="B247" s="618">
        <v>43.865000000000002</v>
      </c>
      <c r="C247" s="392"/>
      <c r="D247" s="395">
        <f t="shared" si="74"/>
        <v>45.019151501131695</v>
      </c>
      <c r="E247" s="387">
        <f t="shared" si="96"/>
        <v>48.850563651082311</v>
      </c>
      <c r="F247" s="387">
        <f t="shared" si="75"/>
        <v>49.014844935373311</v>
      </c>
      <c r="G247" s="110">
        <f t="shared" si="97"/>
        <v>0.88037763788006618</v>
      </c>
      <c r="H247" s="414" t="b">
        <f>Wh_hp&gt;='2020'!Maxi_hp</f>
        <v>0</v>
      </c>
      <c r="I247" s="382">
        <f>IF(H247,Wh_hp,'2020'!Maxi_hp)</f>
        <v>51.419921349849517</v>
      </c>
      <c r="J247" s="85">
        <f>IF(H247,An,'2020'!An_max)</f>
        <v>2020</v>
      </c>
      <c r="K247" s="199">
        <f t="shared" si="76"/>
        <v>44429</v>
      </c>
      <c r="L247" s="147">
        <f>IF(t&lt;Tvie,1-EXP((T0-t)*PertePVj)+'2020'!Pspv,1-EXP((T0-t)*PertePVj)+Pspv)</f>
        <v>2.5636900355678116E-2</v>
      </c>
      <c r="M247" s="870"/>
      <c r="N247" s="870"/>
      <c r="O247" s="48">
        <f>IF(t&lt;Tnet,'2020'!Resal+('2020'!Salim-'2020'!Resal)*(1-EXP(('2020'!Tnet-t)/('2020'!Tau_j))),Resal+(Salim-Resal)*(1-EXP((Tnet-t)/(Tau_j))))*Salcycl</f>
        <v>7.8431278241059318E-2</v>
      </c>
      <c r="P247" s="171">
        <f>(INDEX(Models!$BJ247:$BT247,,T247)*(1-R247)+INDEX(Models!$BJ247:$BT247,,T247+1)*R247-ERP_i)*Q247*Ramure*Pc/MaxiM</f>
        <v>4.0382566149430432E-3</v>
      </c>
      <c r="Q247" s="307">
        <f t="shared" si="77"/>
        <v>1</v>
      </c>
      <c r="R247" s="179">
        <f t="shared" si="78"/>
        <v>0.96542584970112777</v>
      </c>
      <c r="S247" s="837">
        <f t="shared" si="79"/>
        <v>-1</v>
      </c>
      <c r="T247" s="178">
        <f t="shared" si="80"/>
        <v>5</v>
      </c>
      <c r="U247" s="253">
        <f t="shared" si="81"/>
        <v>-3.457415029887223E-2</v>
      </c>
      <c r="V247" s="385">
        <f t="shared" si="82"/>
        <v>49.790884547506479</v>
      </c>
      <c r="W247" s="404"/>
      <c r="X247" s="157">
        <f t="shared" si="83"/>
        <v>44429</v>
      </c>
      <c r="Y247" s="387">
        <f t="shared" si="84"/>
        <v>40.377463511685306</v>
      </c>
      <c r="Z247" s="387">
        <f t="shared" si="85"/>
        <v>41.439852891005984</v>
      </c>
      <c r="AA247" s="388">
        <f t="shared" si="86"/>
        <v>48.850563651082311</v>
      </c>
      <c r="AB247" s="199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0.1517016428512005</v>
      </c>
      <c r="AD247" s="233">
        <f>(INDEX(Models!$BJ247:$BT247,,AH247)*(1-AF247)+INDEX(Models!$BJ247:$BT247,,AH247+1)*AF247-ERP_i)*AE247*Ramure*Pc/MaxiM</f>
        <v>4.0382566149430432E-3</v>
      </c>
      <c r="AE247" s="307">
        <f t="shared" si="88"/>
        <v>1</v>
      </c>
      <c r="AF247" s="179">
        <f t="shared" si="89"/>
        <v>0.96542584970112777</v>
      </c>
      <c r="AG247" s="837">
        <f t="shared" si="95"/>
        <v>-1</v>
      </c>
      <c r="AH247" s="178">
        <f t="shared" si="90"/>
        <v>5</v>
      </c>
      <c r="AI247" s="227">
        <f t="shared" si="91"/>
        <v>-3.457415029887223E-2</v>
      </c>
      <c r="AJ247" s="267" t="b">
        <f t="shared" si="92"/>
        <v>0</v>
      </c>
      <c r="AK247" s="267" t="b">
        <f t="shared" si="93"/>
        <v>0</v>
      </c>
      <c r="AL247" s="267"/>
      <c r="AM247" s="267"/>
      <c r="AN247" s="75"/>
    </row>
    <row r="248" spans="1:40" s="6" customFormat="1" ht="11.25" x14ac:dyDescent="0.2">
      <c r="A248" s="56">
        <f t="shared" si="94"/>
        <v>44430</v>
      </c>
      <c r="B248" s="618">
        <v>18.937000000000001</v>
      </c>
      <c r="C248" s="392"/>
      <c r="D248" s="395">
        <f t="shared" si="74"/>
        <v>19.435712116790768</v>
      </c>
      <c r="E248" s="387">
        <f t="shared" si="96"/>
        <v>21.097205615114959</v>
      </c>
      <c r="F248" s="387">
        <f t="shared" si="75"/>
        <v>21.107713810787146</v>
      </c>
      <c r="G248" s="110">
        <f t="shared" si="97"/>
        <v>0.38096978927557618</v>
      </c>
      <c r="H248" s="414" t="b">
        <f>Wh_hp&gt;='2020'!Maxi_hp</f>
        <v>0</v>
      </c>
      <c r="I248" s="382">
        <f>IF(H248,Wh_hp,'2020'!Maxi_hp)</f>
        <v>55.310874432474641</v>
      </c>
      <c r="J248" s="85">
        <f>IF(H248,An,'2020'!An_max)</f>
        <v>2019</v>
      </c>
      <c r="K248" s="199">
        <f t="shared" si="76"/>
        <v>44430</v>
      </c>
      <c r="L248" s="147">
        <f>IF(t&lt;Tvie,1-EXP((T0-t)*PertePVj)+'2020'!Pspv,1-EXP((T0-t)*PertePVj)+Pspv)</f>
        <v>2.5659575208459739E-2</v>
      </c>
      <c r="M248" s="870"/>
      <c r="N248" s="870"/>
      <c r="O248" s="48">
        <f>IF(t&lt;Tnet,'2020'!Resal+('2020'!Salim-'2020'!Resal)*(1-EXP(('2020'!Tnet-t)/('2020'!Tau_j))),Resal+(Salim-Resal)*(1-EXP((Tnet-t)/(Tau_j))))*Salcycl</f>
        <v>7.8754197529071118E-2</v>
      </c>
      <c r="P248" s="171">
        <f>(INDEX(Models!$BJ248:$BT248,,T248)*(1-R248)+INDEX(Models!$BJ248:$BT248,,T248+1)*R248-ERP_i)*Q248*Ramure*Pc/MaxiM</f>
        <v>4.2293284966019012E-3</v>
      </c>
      <c r="Q248" s="307">
        <f t="shared" si="77"/>
        <v>1</v>
      </c>
      <c r="R248" s="179">
        <f t="shared" si="78"/>
        <v>0.96675217379339351</v>
      </c>
      <c r="S248" s="837">
        <f t="shared" si="79"/>
        <v>-1</v>
      </c>
      <c r="T248" s="178">
        <f t="shared" si="80"/>
        <v>5</v>
      </c>
      <c r="U248" s="253">
        <f t="shared" si="81"/>
        <v>-3.324782620660649E-2</v>
      </c>
      <c r="V248" s="385">
        <f t="shared" si="82"/>
        <v>49.521778565186771</v>
      </c>
      <c r="W248" s="404"/>
      <c r="X248" s="157">
        <f t="shared" si="83"/>
        <v>44430</v>
      </c>
      <c r="Y248" s="387">
        <f t="shared" si="84"/>
        <v>17.436199576166562</v>
      </c>
      <c r="Z248" s="387">
        <f t="shared" si="85"/>
        <v>17.895387620704572</v>
      </c>
      <c r="AA248" s="388">
        <f t="shared" si="86"/>
        <v>21.097205615114959</v>
      </c>
      <c r="AB248" s="199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0.15176502769240996</v>
      </c>
      <c r="AD248" s="233">
        <f>(INDEX(Models!$BJ248:$BT248,,AH248)*(1-AF248)+INDEX(Models!$BJ248:$BT248,,AH248+1)*AF248-ERP_i)*AE248*Ramure*Pc/MaxiM</f>
        <v>4.2293284966019012E-3</v>
      </c>
      <c r="AE248" s="307">
        <f t="shared" si="88"/>
        <v>1</v>
      </c>
      <c r="AF248" s="179">
        <f t="shared" si="89"/>
        <v>0.96675217379339351</v>
      </c>
      <c r="AG248" s="837">
        <f t="shared" si="95"/>
        <v>-1</v>
      </c>
      <c r="AH248" s="178">
        <f t="shared" si="90"/>
        <v>5</v>
      </c>
      <c r="AI248" s="227">
        <f t="shared" si="91"/>
        <v>-3.324782620660649E-2</v>
      </c>
      <c r="AJ248" s="267" t="b">
        <f t="shared" si="92"/>
        <v>0</v>
      </c>
      <c r="AK248" s="267" t="b">
        <f t="shared" si="93"/>
        <v>0</v>
      </c>
      <c r="AL248" s="267"/>
      <c r="AM248" s="267"/>
      <c r="AN248" s="75"/>
    </row>
    <row r="249" spans="1:40" s="6" customFormat="1" ht="11.25" x14ac:dyDescent="0.2">
      <c r="A249" s="56">
        <f t="shared" si="94"/>
        <v>44431</v>
      </c>
      <c r="B249" s="618">
        <v>44.185000000000002</v>
      </c>
      <c r="C249" s="392"/>
      <c r="D249" s="395">
        <f t="shared" si="74"/>
        <v>45.349681845421877</v>
      </c>
      <c r="E249" s="387">
        <f t="shared" si="96"/>
        <v>49.243642522633124</v>
      </c>
      <c r="F249" s="387">
        <f t="shared" si="75"/>
        <v>49.429976318574305</v>
      </c>
      <c r="G249" s="110">
        <f t="shared" si="97"/>
        <v>0.8966004613660904</v>
      </c>
      <c r="H249" s="414" t="b">
        <f>Wh_hp&gt;='2020'!Maxi_hp</f>
        <v>0</v>
      </c>
      <c r="I249" s="382">
        <f>IF(H249,Wh_hp,'2020'!Maxi_hp)</f>
        <v>52.494512682759208</v>
      </c>
      <c r="J249" s="85">
        <f>IF(H249,An,'2020'!An_max)</f>
        <v>2019</v>
      </c>
      <c r="K249" s="199">
        <f t="shared" si="76"/>
        <v>44431</v>
      </c>
      <c r="L249" s="147">
        <f>IF(t&lt;Tvie,1-EXP((T0-t)*PertePVj)+'2020'!Pspv,1-EXP((T0-t)*PertePVj)+Pspv)</f>
        <v>2.568224953356435E-2</v>
      </c>
      <c r="M249" s="870"/>
      <c r="N249" s="870"/>
      <c r="O249" s="48">
        <f>IF(t&lt;Tnet,'2020'!Resal+('2020'!Salim-'2020'!Resal)*(1-EXP(('2020'!Tnet-t)/('2020'!Tau_j))),Resal+(Salim-Resal)*(1-EXP((Tnet-t)/(Tau_j))))*Salcycl</f>
        <v>7.9075398929344495E-2</v>
      </c>
      <c r="P249" s="171">
        <f>(INDEX(Models!$BJ249:$BT249,,T249)*(1-R249)+INDEX(Models!$BJ249:$BT249,,T249+1)*R249-ERP_i)*Q249*Ramure*Pc/MaxiM</f>
        <v>4.4186583103469007E-3</v>
      </c>
      <c r="Q249" s="307">
        <f t="shared" si="77"/>
        <v>1</v>
      </c>
      <c r="R249" s="179">
        <f t="shared" si="78"/>
        <v>0.96803006899153432</v>
      </c>
      <c r="S249" s="837">
        <f t="shared" si="79"/>
        <v>-1</v>
      </c>
      <c r="T249" s="178">
        <f t="shared" si="80"/>
        <v>5</v>
      </c>
      <c r="U249" s="253">
        <f t="shared" si="81"/>
        <v>-3.196993100846568E-2</v>
      </c>
      <c r="V249" s="385">
        <f t="shared" si="82"/>
        <v>49.24848585091307</v>
      </c>
      <c r="W249" s="404"/>
      <c r="X249" s="157">
        <f t="shared" si="83"/>
        <v>44431</v>
      </c>
      <c r="Y249" s="387">
        <f t="shared" si="84"/>
        <v>40.694446806678528</v>
      </c>
      <c r="Z249" s="387">
        <f t="shared" si="85"/>
        <v>41.767120415487511</v>
      </c>
      <c r="AA249" s="388">
        <f t="shared" si="86"/>
        <v>49.243642522633124</v>
      </c>
      <c r="AB249" s="199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0.15182715420999349</v>
      </c>
      <c r="AD249" s="233">
        <f>(INDEX(Models!$BJ249:$BT249,,AH249)*(1-AF249)+INDEX(Models!$BJ249:$BT249,,AH249+1)*AF249-ERP_i)*AE249*Ramure*Pc/MaxiM</f>
        <v>4.4186583103469007E-3</v>
      </c>
      <c r="AE249" s="307">
        <f t="shared" si="88"/>
        <v>1</v>
      </c>
      <c r="AF249" s="179">
        <f t="shared" si="89"/>
        <v>0.96803006899153432</v>
      </c>
      <c r="AG249" s="837">
        <f t="shared" si="95"/>
        <v>-1</v>
      </c>
      <c r="AH249" s="178">
        <f t="shared" si="90"/>
        <v>5</v>
      </c>
      <c r="AI249" s="227">
        <f t="shared" si="91"/>
        <v>-3.196993100846568E-2</v>
      </c>
      <c r="AJ249" s="267" t="b">
        <f t="shared" si="92"/>
        <v>0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4"/>
        <v>44432</v>
      </c>
      <c r="B250" s="618">
        <v>41.091000000000001</v>
      </c>
      <c r="C250" s="392"/>
      <c r="D250" s="395">
        <f t="shared" si="74"/>
        <v>42.175107915443306</v>
      </c>
      <c r="E250" s="387">
        <f t="shared" si="96"/>
        <v>45.812375041288369</v>
      </c>
      <c r="F250" s="387">
        <f t="shared" si="75"/>
        <v>45.975470259546199</v>
      </c>
      <c r="G250" s="110">
        <f t="shared" si="97"/>
        <v>0.83820008679981484</v>
      </c>
      <c r="H250" s="414" t="b">
        <f>Wh_hp&gt;='2020'!Maxi_hp</f>
        <v>0</v>
      </c>
      <c r="I250" s="382">
        <f>IF(H250,Wh_hp,'2020'!Maxi_hp)</f>
        <v>52.36810981673333</v>
      </c>
      <c r="J250" s="85">
        <f>IF(H250,An,'2020'!An_max)</f>
        <v>2019</v>
      </c>
      <c r="K250" s="199">
        <f t="shared" si="76"/>
        <v>44432</v>
      </c>
      <c r="L250" s="147">
        <f>IF(t&lt;Tvie,1-EXP((T0-t)*PertePVj)+'2020'!Pspv,1-EXP((T0-t)*PertePVj)+Pspv)</f>
        <v>2.5704923331004381E-2</v>
      </c>
      <c r="M250" s="870"/>
      <c r="N250" s="870"/>
      <c r="O250" s="48">
        <f>IF(t&lt;Tnet,'2020'!Resal+('2020'!Salim-'2020'!Resal)*(1-EXP(('2020'!Tnet-t)/('2020'!Tau_j))),Resal+(Salim-Resal)*(1-EXP((Tnet-t)/(Tau_j))))*Salcycl</f>
        <v>7.9394860505856257E-2</v>
      </c>
      <c r="P250" s="171">
        <f>(INDEX(Models!$BJ250:$BT250,,T250)*(1-R250)+INDEX(Models!$BJ250:$BT250,,T250+1)*R250-ERP_i)*Q250*Ramure*Pc/MaxiM</f>
        <v>4.6062810324003301E-3</v>
      </c>
      <c r="Q250" s="307">
        <f t="shared" si="77"/>
        <v>1</v>
      </c>
      <c r="R250" s="179">
        <f t="shared" si="78"/>
        <v>0.96926111916106428</v>
      </c>
      <c r="S250" s="837">
        <f t="shared" si="79"/>
        <v>-1</v>
      </c>
      <c r="T250" s="178">
        <f t="shared" si="80"/>
        <v>5</v>
      </c>
      <c r="U250" s="253">
        <f t="shared" si="81"/>
        <v>-3.0738880838935723E-2</v>
      </c>
      <c r="V250" s="385">
        <f t="shared" si="82"/>
        <v>48.970808893421122</v>
      </c>
      <c r="W250" s="404"/>
      <c r="X250" s="157">
        <f t="shared" si="83"/>
        <v>44432</v>
      </c>
      <c r="Y250" s="387">
        <f t="shared" si="84"/>
        <v>37.855286015759056</v>
      </c>
      <c r="Z250" s="387">
        <f t="shared" si="85"/>
        <v>38.854025769258719</v>
      </c>
      <c r="AA250" s="388">
        <f t="shared" si="86"/>
        <v>45.812375041288369</v>
      </c>
      <c r="AB250" s="199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0.15188798366726103</v>
      </c>
      <c r="AD250" s="233">
        <f>(INDEX(Models!$BJ250:$BT250,,AH250)*(1-AF250)+INDEX(Models!$BJ250:$BT250,,AH250+1)*AF250-ERP_i)*AE250*Ramure*Pc/MaxiM</f>
        <v>4.6062810324003301E-3</v>
      </c>
      <c r="AE250" s="307">
        <f t="shared" si="88"/>
        <v>1</v>
      </c>
      <c r="AF250" s="179">
        <f t="shared" si="89"/>
        <v>0.96926111916106428</v>
      </c>
      <c r="AG250" s="837">
        <f t="shared" si="95"/>
        <v>-1</v>
      </c>
      <c r="AH250" s="178">
        <f t="shared" si="90"/>
        <v>5</v>
      </c>
      <c r="AI250" s="227">
        <f t="shared" si="91"/>
        <v>-3.0738880838935723E-2</v>
      </c>
      <c r="AJ250" s="267" t="b">
        <f t="shared" si="92"/>
        <v>0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4"/>
        <v>44433</v>
      </c>
      <c r="B251" s="618">
        <v>43.957999999999998</v>
      </c>
      <c r="C251" s="392"/>
      <c r="D251" s="395">
        <f t="shared" si="74"/>
        <v>45.118798240237346</v>
      </c>
      <c r="E251" s="387">
        <f t="shared" si="96"/>
        <v>49.026854266882133</v>
      </c>
      <c r="F251" s="387">
        <f t="shared" si="75"/>
        <v>49.230030482850516</v>
      </c>
      <c r="G251" s="110">
        <f t="shared" si="97"/>
        <v>0.9022375795179971</v>
      </c>
      <c r="H251" s="414" t="b">
        <f>Wh_hp&gt;='2020'!Maxi_hp</f>
        <v>1</v>
      </c>
      <c r="I251" s="382">
        <f>IF(H251,Wh_hp,'2020'!Maxi_hp)</f>
        <v>49.230030482850516</v>
      </c>
      <c r="J251" s="85">
        <f>IF(H251,An,'2020'!An_max)</f>
        <v>2021</v>
      </c>
      <c r="K251" s="199">
        <f t="shared" si="76"/>
        <v>44433</v>
      </c>
      <c r="L251" s="147">
        <f>IF(t&lt;Tvie,1-EXP((T0-t)*PertePVj)+'2020'!Pspv,1-EXP((T0-t)*PertePVj)+Pspv)</f>
        <v>2.5727596600791935E-2</v>
      </c>
      <c r="M251" s="870"/>
      <c r="N251" s="870"/>
      <c r="O251" s="48">
        <f>IF(t&lt;Tnet,'2020'!Resal+('2020'!Salim-'2020'!Resal)*(1-EXP(('2020'!Tnet-t)/('2020'!Tau_j))),Resal+(Salim-Resal)*(1-EXP((Tnet-t)/(Tau_j))))*Salcycl</f>
        <v>7.9712559271515285E-2</v>
      </c>
      <c r="P251" s="171">
        <f>(INDEX(Models!$BJ251:$BT251,,T251)*(1-R251)+INDEX(Models!$BJ251:$BT251,,T251+1)*R251-ERP_i)*Q251*Ramure*Pc/MaxiM</f>
        <v>4.7922372360043848E-3</v>
      </c>
      <c r="Q251" s="307">
        <f t="shared" si="77"/>
        <v>1</v>
      </c>
      <c r="R251" s="179">
        <f t="shared" si="78"/>
        <v>0.97044687039621469</v>
      </c>
      <c r="S251" s="837">
        <f t="shared" si="79"/>
        <v>-1</v>
      </c>
      <c r="T251" s="178">
        <f t="shared" si="80"/>
        <v>5</v>
      </c>
      <c r="U251" s="253">
        <f t="shared" si="81"/>
        <v>-2.9553129603785311E-2</v>
      </c>
      <c r="V251" s="385">
        <f t="shared" si="82"/>
        <v>48.688550323745844</v>
      </c>
      <c r="W251" s="404"/>
      <c r="X251" s="157">
        <f t="shared" si="83"/>
        <v>44433</v>
      </c>
      <c r="Y251" s="387">
        <f t="shared" si="84"/>
        <v>40.507662288663312</v>
      </c>
      <c r="Z251" s="387">
        <f t="shared" si="85"/>
        <v>41.577347513214228</v>
      </c>
      <c r="AA251" s="388">
        <f t="shared" si="86"/>
        <v>49.026854266882133</v>
      </c>
      <c r="AB251" s="199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0.1519474758285701</v>
      </c>
      <c r="AD251" s="233">
        <f>(INDEX(Models!$BJ251:$BT251,,AH251)*(1-AF251)+INDEX(Models!$BJ251:$BT251,,AH251+1)*AF251-ERP_i)*AE251*Ramure*Pc/MaxiM</f>
        <v>4.7922372360043848E-3</v>
      </c>
      <c r="AE251" s="307">
        <f t="shared" si="88"/>
        <v>1</v>
      </c>
      <c r="AF251" s="179">
        <f t="shared" si="89"/>
        <v>0.97044687039621469</v>
      </c>
      <c r="AG251" s="837">
        <f t="shared" si="95"/>
        <v>-1</v>
      </c>
      <c r="AH251" s="178">
        <f t="shared" si="90"/>
        <v>5</v>
      </c>
      <c r="AI251" s="227">
        <f t="shared" si="91"/>
        <v>-2.9553129603785311E-2</v>
      </c>
      <c r="AJ251" s="267" t="b">
        <f t="shared" si="92"/>
        <v>0</v>
      </c>
      <c r="AK251" s="267" t="b">
        <f t="shared" si="93"/>
        <v>0</v>
      </c>
      <c r="AL251" s="267"/>
      <c r="AM251" s="267"/>
      <c r="AN251" s="75"/>
    </row>
    <row r="252" spans="1:40" s="6" customFormat="1" ht="11.25" x14ac:dyDescent="0.2">
      <c r="A252" s="56">
        <f t="shared" si="94"/>
        <v>44434</v>
      </c>
      <c r="B252" s="618">
        <v>45.865000000000002</v>
      </c>
      <c r="C252" s="392"/>
      <c r="D252" s="395">
        <f t="shared" si="74"/>
        <v>47.077251916782565</v>
      </c>
      <c r="E252" s="387">
        <f t="shared" si="96"/>
        <v>51.172509629294808</v>
      </c>
      <c r="F252" s="387">
        <f t="shared" si="75"/>
        <v>51.409197401417927</v>
      </c>
      <c r="G252" s="110">
        <f t="shared" si="97"/>
        <v>0.94723966219532063</v>
      </c>
      <c r="H252" s="414" t="b">
        <f>Wh_hp&gt;='2020'!Maxi_hp</f>
        <v>1</v>
      </c>
      <c r="I252" s="382">
        <f>IF(H252,Wh_hp,'2020'!Maxi_hp)</f>
        <v>51.409197401417927</v>
      </c>
      <c r="J252" s="85">
        <f>IF(H252,An,'2020'!An_max)</f>
        <v>2021</v>
      </c>
      <c r="K252" s="199">
        <f t="shared" si="76"/>
        <v>44434</v>
      </c>
      <c r="L252" s="147">
        <f>IF(t&lt;Tvie,1-EXP((T0-t)*PertePVj)+'2020'!Pspv,1-EXP((T0-t)*PertePVj)+Pspv)</f>
        <v>2.5750269342939447E-2</v>
      </c>
      <c r="M252" s="870"/>
      <c r="N252" s="870"/>
      <c r="O252" s="48">
        <f>IF(t&lt;Tnet,'2020'!Resal+('2020'!Salim-'2020'!Resal)*(1-EXP(('2020'!Tnet-t)/('2020'!Tau_j))),Resal+(Salim-Resal)*(1-EXP((Tnet-t)/(Tau_j))))*Salcycl</f>
        <v>8.0028471188519315E-2</v>
      </c>
      <c r="P252" s="171">
        <f>(INDEX(Models!$BJ252:$BT252,,T252)*(1-R252)+INDEX(Models!$BJ252:$BT252,,T252+1)*R252-ERP_i)*Q252*Ramure*Pc/MaxiM</f>
        <v>4.9765685682045813E-3</v>
      </c>
      <c r="Q252" s="307">
        <f t="shared" si="77"/>
        <v>1</v>
      </c>
      <c r="R252" s="179">
        <f t="shared" si="78"/>
        <v>0.97158883079817981</v>
      </c>
      <c r="S252" s="837">
        <f t="shared" si="79"/>
        <v>-1</v>
      </c>
      <c r="T252" s="178">
        <f t="shared" si="80"/>
        <v>5</v>
      </c>
      <c r="U252" s="253">
        <f t="shared" si="81"/>
        <v>-2.8411169201820186E-2</v>
      </c>
      <c r="V252" s="385">
        <f t="shared" si="82"/>
        <v>48.401513134745613</v>
      </c>
      <c r="W252" s="404"/>
      <c r="X252" s="157">
        <f t="shared" si="83"/>
        <v>44434</v>
      </c>
      <c r="Y252" s="387">
        <f t="shared" si="84"/>
        <v>42.276594919879606</v>
      </c>
      <c r="Z252" s="387">
        <f t="shared" si="85"/>
        <v>43.394002163456712</v>
      </c>
      <c r="AA252" s="388">
        <f t="shared" si="86"/>
        <v>51.172509629294808</v>
      </c>
      <c r="AB252" s="199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0.15200558898102434</v>
      </c>
      <c r="AD252" s="233">
        <f>(INDEX(Models!$BJ252:$BT252,,AH252)*(1-AF252)+INDEX(Models!$BJ252:$BT252,,AH252+1)*AF252-ERP_i)*AE252*Ramure*Pc/MaxiM</f>
        <v>4.9765685682045813E-3</v>
      </c>
      <c r="AE252" s="307">
        <f t="shared" si="88"/>
        <v>1</v>
      </c>
      <c r="AF252" s="179">
        <f t="shared" si="89"/>
        <v>0.97158883079817981</v>
      </c>
      <c r="AG252" s="837">
        <f t="shared" si="95"/>
        <v>-1</v>
      </c>
      <c r="AH252" s="178">
        <f t="shared" si="90"/>
        <v>5</v>
      </c>
      <c r="AI252" s="227">
        <f t="shared" si="91"/>
        <v>-2.8411169201820186E-2</v>
      </c>
      <c r="AJ252" s="267" t="b">
        <f t="shared" si="92"/>
        <v>0</v>
      </c>
      <c r="AK252" s="267" t="b">
        <f t="shared" si="93"/>
        <v>0</v>
      </c>
      <c r="AL252" s="267"/>
      <c r="AM252" s="267"/>
      <c r="AN252" s="75"/>
    </row>
    <row r="253" spans="1:40" s="6" customFormat="1" ht="11.25" x14ac:dyDescent="0.2">
      <c r="A253" s="56">
        <f t="shared" si="94"/>
        <v>44435</v>
      </c>
      <c r="B253" s="618">
        <v>41.984999999999999</v>
      </c>
      <c r="C253" s="392"/>
      <c r="D253" s="395">
        <f t="shared" si="74"/>
        <v>43.095703035717143</v>
      </c>
      <c r="E253" s="387">
        <f t="shared" si="96"/>
        <v>46.860604485939483</v>
      </c>
      <c r="F253" s="387">
        <f t="shared" si="75"/>
        <v>47.059243270687695</v>
      </c>
      <c r="G253" s="110">
        <f t="shared" si="97"/>
        <v>0.87187434266947306</v>
      </c>
      <c r="H253" s="414" t="b">
        <f>Wh_hp&gt;='2020'!Maxi_hp</f>
        <v>1</v>
      </c>
      <c r="I253" s="382">
        <f>IF(H253,Wh_hp,'2020'!Maxi_hp)</f>
        <v>47.059243270687695</v>
      </c>
      <c r="J253" s="85">
        <f>IF(H253,An,'2020'!An_max)</f>
        <v>2021</v>
      </c>
      <c r="K253" s="199">
        <f t="shared" si="76"/>
        <v>44435</v>
      </c>
      <c r="L253" s="147">
        <f>IF(t&lt;Tvie,1-EXP((T0-t)*PertePVj)+'2020'!Pspv,1-EXP((T0-t)*PertePVj)+Pspv)</f>
        <v>2.5772941557459017E-2</v>
      </c>
      <c r="M253" s="870"/>
      <c r="N253" s="870"/>
      <c r="O253" s="48">
        <f>IF(t&lt;Tnet,'2020'!Resal+('2020'!Salim-'2020'!Resal)*(1-EXP(('2020'!Tnet-t)/('2020'!Tau_j))),Resal+(Salim-Resal)*(1-EXP((Tnet-t)/(Tau_j))))*Salcycl</f>
        <v>8.0342571153814282E-2</v>
      </c>
      <c r="P253" s="171">
        <f>(INDEX(Models!$BJ253:$BT253,,T253)*(1-R253)+INDEX(Models!$BJ253:$BT253,,T253+1)*R253-ERP_i)*Q253*Ramure*Pc/MaxiM</f>
        <v>5.1593204947180376E-3</v>
      </c>
      <c r="Q253" s="307">
        <f t="shared" si="77"/>
        <v>1</v>
      </c>
      <c r="R253" s="179">
        <f t="shared" si="78"/>
        <v>0.97268847036752593</v>
      </c>
      <c r="S253" s="837">
        <f t="shared" si="79"/>
        <v>-1</v>
      </c>
      <c r="T253" s="178">
        <f t="shared" si="80"/>
        <v>5</v>
      </c>
      <c r="U253" s="253">
        <f t="shared" si="81"/>
        <v>-2.7311529632474074E-2</v>
      </c>
      <c r="V253" s="385">
        <f t="shared" si="82"/>
        <v>48.109500540421827</v>
      </c>
      <c r="W253" s="404"/>
      <c r="X253" s="157">
        <f t="shared" si="83"/>
        <v>44435</v>
      </c>
      <c r="Y253" s="387">
        <f t="shared" si="84"/>
        <v>38.710789540319091</v>
      </c>
      <c r="Z253" s="387">
        <f t="shared" si="85"/>
        <v>39.734874129039824</v>
      </c>
      <c r="AA253" s="388">
        <f t="shared" si="86"/>
        <v>46.860604485939483</v>
      </c>
      <c r="AB253" s="199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0.15206227992721971</v>
      </c>
      <c r="AD253" s="233">
        <f>(INDEX(Models!$BJ253:$BT253,,AH253)*(1-AF253)+INDEX(Models!$BJ253:$BT253,,AH253+1)*AF253-ERP_i)*AE253*Ramure*Pc/MaxiM</f>
        <v>5.1593204947180376E-3</v>
      </c>
      <c r="AE253" s="307">
        <f t="shared" si="88"/>
        <v>1</v>
      </c>
      <c r="AF253" s="179">
        <f t="shared" si="89"/>
        <v>0.97268847036752593</v>
      </c>
      <c r="AG253" s="837">
        <f t="shared" si="95"/>
        <v>-1</v>
      </c>
      <c r="AH253" s="178">
        <f t="shared" si="90"/>
        <v>5</v>
      </c>
      <c r="AI253" s="227">
        <f t="shared" si="91"/>
        <v>-2.7311529632474074E-2</v>
      </c>
      <c r="AJ253" s="267" t="b">
        <f t="shared" si="92"/>
        <v>0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4"/>
        <v>44436</v>
      </c>
      <c r="B254" s="618">
        <v>47.134</v>
      </c>
      <c r="C254" s="392"/>
      <c r="D254" s="395">
        <f t="shared" si="74"/>
        <v>48.382044508102581</v>
      </c>
      <c r="E254" s="387">
        <f t="shared" si="96"/>
        <v>52.626637136095958</v>
      </c>
      <c r="F254" s="387">
        <f t="shared" si="75"/>
        <v>52.903282092675809</v>
      </c>
      <c r="G254" s="110">
        <f t="shared" si="97"/>
        <v>0.98570266317895661</v>
      </c>
      <c r="H254" s="414" t="b">
        <f>Wh_hp&gt;='2020'!Maxi_hp</f>
        <v>1</v>
      </c>
      <c r="I254" s="382">
        <f>IF(H254,Wh_hp,'2020'!Maxi_hp)</f>
        <v>52.903282092675809</v>
      </c>
      <c r="J254" s="85">
        <f>IF(H254,An,'2020'!An_max)</f>
        <v>2021</v>
      </c>
      <c r="K254" s="199">
        <f t="shared" si="76"/>
        <v>44436</v>
      </c>
      <c r="L254" s="147">
        <f>IF(t&lt;Tvie,1-EXP((T0-t)*PertePVj)+'2020'!Pspv,1-EXP((T0-t)*PertePVj)+Pspv)</f>
        <v>2.5795613244363191E-2</v>
      </c>
      <c r="M254" s="870"/>
      <c r="N254" s="870"/>
      <c r="O254" s="48">
        <f>IF(t&lt;Tnet,'2020'!Resal+('2020'!Salim-'2020'!Resal)*(1-EXP(('2020'!Tnet-t)/('2020'!Tau_j))),Resal+(Salim-Resal)*(1-EXP((Tnet-t)/(Tau_j))))*Salcycl</f>
        <v>8.0654832970166401E-2</v>
      </c>
      <c r="P254" s="171">
        <f>(INDEX(Models!$BJ254:$BT254,,T254)*(1-R254)+INDEX(Models!$BJ254:$BT254,,T254+1)*R254-ERP_i)*Q254*Ramure*Pc/MaxiM</f>
        <v>5.337457609678407E-3</v>
      </c>
      <c r="Q254" s="307">
        <f t="shared" si="77"/>
        <v>1</v>
      </c>
      <c r="R254" s="179">
        <f t="shared" si="78"/>
        <v>0.97374722100110966</v>
      </c>
      <c r="S254" s="837">
        <f t="shared" si="79"/>
        <v>-1</v>
      </c>
      <c r="T254" s="178">
        <f t="shared" si="80"/>
        <v>5</v>
      </c>
      <c r="U254" s="253">
        <f t="shared" si="81"/>
        <v>-2.6252778998890336E-2</v>
      </c>
      <c r="V254" s="385">
        <f t="shared" si="82"/>
        <v>47.812464257267543</v>
      </c>
      <c r="W254" s="404"/>
      <c r="X254" s="157">
        <f t="shared" si="83"/>
        <v>44436</v>
      </c>
      <c r="Y254" s="387">
        <f t="shared" si="84"/>
        <v>43.470173121049079</v>
      </c>
      <c r="Z254" s="387">
        <f t="shared" si="85"/>
        <v>44.621204453632643</v>
      </c>
      <c r="AA254" s="388">
        <f t="shared" si="86"/>
        <v>52.626637136095958</v>
      </c>
      <c r="AB254" s="199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0.1521175039507224</v>
      </c>
      <c r="AD254" s="233">
        <f>(INDEX(Models!$BJ254:$BT254,,AH254)*(1-AF254)+INDEX(Models!$BJ254:$BT254,,AH254+1)*AF254-ERP_i)*AE254*Ramure*Pc/MaxiM</f>
        <v>5.337457609678407E-3</v>
      </c>
      <c r="AE254" s="307">
        <f t="shared" si="88"/>
        <v>1</v>
      </c>
      <c r="AF254" s="179">
        <f t="shared" si="89"/>
        <v>0.97374722100110966</v>
      </c>
      <c r="AG254" s="837">
        <f t="shared" si="95"/>
        <v>-1</v>
      </c>
      <c r="AH254" s="178">
        <f t="shared" si="90"/>
        <v>5</v>
      </c>
      <c r="AI254" s="227">
        <f t="shared" si="91"/>
        <v>-2.6252778998890336E-2</v>
      </c>
      <c r="AJ254" s="267" t="b">
        <f t="shared" si="92"/>
        <v>0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4"/>
        <v>44437</v>
      </c>
      <c r="B255" s="618">
        <v>46.454000000000001</v>
      </c>
      <c r="C255" s="392"/>
      <c r="D255" s="395">
        <f t="shared" si="74"/>
        <v>47.685148731788324</v>
      </c>
      <c r="E255" s="387">
        <f t="shared" si="96"/>
        <v>51.886120364800774</v>
      </c>
      <c r="F255" s="387">
        <f t="shared" si="75"/>
        <v>52.164540919966655</v>
      </c>
      <c r="G255" s="110">
        <f t="shared" si="97"/>
        <v>0.9775981467819177</v>
      </c>
      <c r="H255" s="414" t="b">
        <f>Wh_hp&gt;='2020'!Maxi_hp</f>
        <v>1</v>
      </c>
      <c r="I255" s="382">
        <f>IF(H255,Wh_hp,'2020'!Maxi_hp)</f>
        <v>52.164540919966655</v>
      </c>
      <c r="J255" s="85">
        <f>IF(H255,An,'2020'!An_max)</f>
        <v>2021</v>
      </c>
      <c r="K255" s="199">
        <f t="shared" si="76"/>
        <v>44437</v>
      </c>
      <c r="L255" s="147">
        <f>IF(t&lt;Tvie,1-EXP((T0-t)*PertePVj)+'2020'!Pspv,1-EXP((T0-t)*PertePVj)+Pspv)</f>
        <v>2.581828440366396E-2</v>
      </c>
      <c r="M255" s="870"/>
      <c r="N255" s="870"/>
      <c r="O255" s="48">
        <f>IF(t&lt;Tnet,'2020'!Resal+('2020'!Salim-'2020'!Resal)*(1-EXP(('2020'!Tnet-t)/('2020'!Tau_j))),Resal+(Salim-Resal)*(1-EXP((Tnet-t)/(Tau_j))))*Salcycl</f>
        <v>8.0965229303641709E-2</v>
      </c>
      <c r="P255" s="171">
        <f>(INDEX(Models!$BJ255:$BT255,,T255)*(1-R255)+INDEX(Models!$BJ255:$BT255,,T255+1)*R255-ERP_i)*Q255*Ramure*Pc/MaxiM</f>
        <v>5.5124092907467013E-3</v>
      </c>
      <c r="Q255" s="307">
        <f t="shared" si="77"/>
        <v>1</v>
      </c>
      <c r="R255" s="179">
        <f t="shared" si="78"/>
        <v>0.97476647658432214</v>
      </c>
      <c r="S255" s="837">
        <f t="shared" si="79"/>
        <v>-1</v>
      </c>
      <c r="T255" s="178">
        <f t="shared" si="80"/>
        <v>5</v>
      </c>
      <c r="U255" s="253">
        <f t="shared" si="81"/>
        <v>-2.5233523415677861E-2</v>
      </c>
      <c r="V255" s="385">
        <f t="shared" si="82"/>
        <v>47.510139456582245</v>
      </c>
      <c r="W255" s="404"/>
      <c r="X255" s="157">
        <f t="shared" si="83"/>
        <v>44437</v>
      </c>
      <c r="Y255" s="387">
        <f t="shared" si="84"/>
        <v>42.854785961865304</v>
      </c>
      <c r="Z255" s="387">
        <f t="shared" si="85"/>
        <v>43.990546399890249</v>
      </c>
      <c r="AA255" s="388">
        <f t="shared" si="86"/>
        <v>51.886120364800774</v>
      </c>
      <c r="AB255" s="199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0.15217121475643866</v>
      </c>
      <c r="AD255" s="233">
        <f>(INDEX(Models!$BJ255:$BT255,,AH255)*(1-AF255)+INDEX(Models!$BJ255:$BT255,,AH255+1)*AF255-ERP_i)*AE255*Ramure*Pc/MaxiM</f>
        <v>5.5124092907467013E-3</v>
      </c>
      <c r="AE255" s="307">
        <f t="shared" si="88"/>
        <v>1</v>
      </c>
      <c r="AF255" s="179">
        <f t="shared" si="89"/>
        <v>0.97476647658432214</v>
      </c>
      <c r="AG255" s="837">
        <f t="shared" si="95"/>
        <v>-1</v>
      </c>
      <c r="AH255" s="178">
        <f t="shared" si="90"/>
        <v>5</v>
      </c>
      <c r="AI255" s="227">
        <f t="shared" si="91"/>
        <v>-2.5233523415677861E-2</v>
      </c>
      <c r="AJ255" s="267" t="b">
        <f t="shared" si="92"/>
        <v>0</v>
      </c>
      <c r="AK255" s="267" t="b">
        <f t="shared" si="93"/>
        <v>0</v>
      </c>
      <c r="AL255" s="267"/>
      <c r="AM255" s="267"/>
      <c r="AN255" s="75"/>
    </row>
    <row r="256" spans="1:40" s="6" customFormat="1" ht="11.25" x14ac:dyDescent="0.2">
      <c r="A256" s="56">
        <f t="shared" si="94"/>
        <v>44438</v>
      </c>
      <c r="B256" s="618">
        <v>44.889000000000003</v>
      </c>
      <c r="C256" s="392"/>
      <c r="D256" s="395">
        <f t="shared" si="74"/>
        <v>46.079744608468957</v>
      </c>
      <c r="E256" s="387">
        <f t="shared" si="96"/>
        <v>50.156119613464035</v>
      </c>
      <c r="F256" s="387">
        <f t="shared" si="75"/>
        <v>50.422665541987861</v>
      </c>
      <c r="G256" s="110">
        <f t="shared" si="97"/>
        <v>0.95061071626140825</v>
      </c>
      <c r="H256" s="414" t="b">
        <f>Wh_hp&gt;='2020'!Maxi_hp</f>
        <v>1</v>
      </c>
      <c r="I256" s="382">
        <f>IF(H256,Wh_hp,'2020'!Maxi_hp)</f>
        <v>50.422665541987861</v>
      </c>
      <c r="J256" s="85">
        <f>IF(H256,An,'2020'!An_max)</f>
        <v>2021</v>
      </c>
      <c r="K256" s="199">
        <f t="shared" si="76"/>
        <v>44438</v>
      </c>
      <c r="L256" s="147">
        <f>IF(t&lt;Tvie,1-EXP((T0-t)*PertePVj)+'2020'!Pspv,1-EXP((T0-t)*PertePVj)+Pspv)</f>
        <v>2.5840955035373758E-2</v>
      </c>
      <c r="M256" s="870"/>
      <c r="N256" s="870"/>
      <c r="O256" s="48">
        <f>IF(t&lt;Tnet,'2020'!Resal+('2020'!Salim-'2020'!Resal)*(1-EXP(('2020'!Tnet-t)/('2020'!Tau_j))),Resal+(Salim-Resal)*(1-EXP((Tnet-t)/(Tau_j))))*Salcycl</f>
        <v>8.1273731628568935E-2</v>
      </c>
      <c r="P256" s="171">
        <f>(INDEX(Models!$BJ256:$BT256,,T256)*(1-R256)+INDEX(Models!$BJ256:$BT256,,T256+1)*R256-ERP_i)*Q256*Ramure*Pc/MaxiM</f>
        <v>5.6841977975192921E-3</v>
      </c>
      <c r="Q256" s="307">
        <f t="shared" si="77"/>
        <v>1</v>
      </c>
      <c r="R256" s="179">
        <f t="shared" si="78"/>
        <v>0.97574759316996673</v>
      </c>
      <c r="S256" s="837">
        <f t="shared" si="79"/>
        <v>-1</v>
      </c>
      <c r="T256" s="178">
        <f t="shared" si="80"/>
        <v>5</v>
      </c>
      <c r="U256" s="253">
        <f t="shared" si="81"/>
        <v>-2.4252406830033268E-2</v>
      </c>
      <c r="V256" s="385">
        <f t="shared" si="82"/>
        <v>47.202330067794989</v>
      </c>
      <c r="W256" s="404"/>
      <c r="X256" s="157">
        <f t="shared" si="83"/>
        <v>44438</v>
      </c>
      <c r="Y256" s="387">
        <f t="shared" si="84"/>
        <v>41.422398276936512</v>
      </c>
      <c r="Z256" s="387">
        <f t="shared" si="85"/>
        <v>42.521186341231008</v>
      </c>
      <c r="AA256" s="388">
        <f t="shared" si="86"/>
        <v>50.156119613464035</v>
      </c>
      <c r="AB256" s="199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0.15222336438848999</v>
      </c>
      <c r="AD256" s="233">
        <f>(INDEX(Models!$BJ256:$BT256,,AH256)*(1-AF256)+INDEX(Models!$BJ256:$BT256,,AH256+1)*AF256-ERP_i)*AE256*Ramure*Pc/MaxiM</f>
        <v>5.6841977975192921E-3</v>
      </c>
      <c r="AE256" s="307">
        <f t="shared" si="88"/>
        <v>1</v>
      </c>
      <c r="AF256" s="179">
        <f t="shared" si="89"/>
        <v>0.97574759316996673</v>
      </c>
      <c r="AG256" s="837">
        <f t="shared" si="95"/>
        <v>-1</v>
      </c>
      <c r="AH256" s="178">
        <f t="shared" si="90"/>
        <v>5</v>
      </c>
      <c r="AI256" s="227">
        <f t="shared" si="91"/>
        <v>-2.4252406830033268E-2</v>
      </c>
      <c r="AJ256" s="267" t="b">
        <f t="shared" si="92"/>
        <v>0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4"/>
        <v>44439</v>
      </c>
      <c r="B257" s="618">
        <v>44.777000000000001</v>
      </c>
      <c r="C257" s="392"/>
      <c r="D257" s="395">
        <f t="shared" si="74"/>
        <v>45.965843341403264</v>
      </c>
      <c r="E257" s="387">
        <f t="shared" si="96"/>
        <v>50.048843518890116</v>
      </c>
      <c r="F257" s="387">
        <f t="shared" si="75"/>
        <v>50.324433414295505</v>
      </c>
      <c r="G257" s="110">
        <f t="shared" si="97"/>
        <v>0.95459910450780339</v>
      </c>
      <c r="H257" s="414" t="b">
        <f>Wh_hp&gt;='2020'!Maxi_hp</f>
        <v>1</v>
      </c>
      <c r="I257" s="382">
        <f>IF(H257,Wh_hp,'2020'!Maxi_hp)</f>
        <v>50.324433414295505</v>
      </c>
      <c r="J257" s="85">
        <f>IF(H257,An,'2020'!An_max)</f>
        <v>2021</v>
      </c>
      <c r="K257" s="199">
        <f t="shared" si="76"/>
        <v>44439</v>
      </c>
      <c r="L257" s="147">
        <f>IF(t&lt;Tvie,1-EXP((T0-t)*PertePVj)+'2020'!Pspv,1-EXP((T0-t)*PertePVj)+Pspv)</f>
        <v>2.5863625139504909E-2</v>
      </c>
      <c r="M257" s="870"/>
      <c r="N257" s="870"/>
      <c r="O257" s="48">
        <f>IF(t&lt;Tnet,'2020'!Resal+('2020'!Salim-'2020'!Resal)*(1-EXP(('2020'!Tnet-t)/('2020'!Tau_j))),Resal+(Salim-Resal)*(1-EXP((Tnet-t)/(Tau_j))))*Salcycl</f>
        <v>8.1580310161328509E-2</v>
      </c>
      <c r="P257" s="171">
        <f>(INDEX(Models!$BJ257:$BT257,,T257)*(1-R257)+INDEX(Models!$BJ257:$BT257,,T257+1)*R257-ERP_i)*Q257*Ramure*Pc/MaxiM</f>
        <v>5.8528472516060194E-3</v>
      </c>
      <c r="Q257" s="307">
        <f t="shared" si="77"/>
        <v>1</v>
      </c>
      <c r="R257" s="179">
        <f t="shared" si="78"/>
        <v>0.97669188923554706</v>
      </c>
      <c r="S257" s="837">
        <f t="shared" si="79"/>
        <v>-1</v>
      </c>
      <c r="T257" s="178">
        <f t="shared" si="80"/>
        <v>5</v>
      </c>
      <c r="U257" s="253">
        <f t="shared" si="81"/>
        <v>-2.3308110764452938E-2</v>
      </c>
      <c r="V257" s="385">
        <f t="shared" si="82"/>
        <v>46.888840227001893</v>
      </c>
      <c r="W257" s="404"/>
      <c r="X257" s="157">
        <f t="shared" si="83"/>
        <v>44439</v>
      </c>
      <c r="Y257" s="387">
        <f t="shared" si="84"/>
        <v>41.330376362333105</v>
      </c>
      <c r="Z257" s="387">
        <f t="shared" si="85"/>
        <v>42.427710769194896</v>
      </c>
      <c r="AA257" s="388">
        <f t="shared" si="86"/>
        <v>50.048843518890116</v>
      </c>
      <c r="AB257" s="199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0.15227390312862568</v>
      </c>
      <c r="AD257" s="233">
        <f>(INDEX(Models!$BJ257:$BT257,,AH257)*(1-AF257)+INDEX(Models!$BJ257:$BT257,,AH257+1)*AF257-ERP_i)*AE257*Ramure*Pc/MaxiM</f>
        <v>5.8528472516060194E-3</v>
      </c>
      <c r="AE257" s="307">
        <f t="shared" si="88"/>
        <v>1</v>
      </c>
      <c r="AF257" s="179">
        <f t="shared" si="89"/>
        <v>0.97669188923554706</v>
      </c>
      <c r="AG257" s="837">
        <f t="shared" si="95"/>
        <v>-1</v>
      </c>
      <c r="AH257" s="178">
        <f t="shared" si="90"/>
        <v>5</v>
      </c>
      <c r="AI257" s="227">
        <f t="shared" si="91"/>
        <v>-2.3308110764452938E-2</v>
      </c>
      <c r="AJ257" s="267" t="b">
        <f t="shared" si="92"/>
        <v>0</v>
      </c>
      <c r="AK257" s="267" t="b">
        <f t="shared" si="93"/>
        <v>0</v>
      </c>
      <c r="AL257" s="267"/>
      <c r="AM257" s="267"/>
      <c r="AN257" s="75"/>
    </row>
    <row r="258" spans="1:40" s="6" customFormat="1" ht="11.25" x14ac:dyDescent="0.2">
      <c r="A258" s="56">
        <f t="shared" si="94"/>
        <v>44440</v>
      </c>
      <c r="B258" s="618">
        <v>27.41</v>
      </c>
      <c r="C258" s="392"/>
      <c r="D258" s="395">
        <f t="shared" si="74"/>
        <v>28.138398886411984</v>
      </c>
      <c r="E258" s="387">
        <f t="shared" si="96"/>
        <v>30.648009080606272</v>
      </c>
      <c r="F258" s="387">
        <f t="shared" si="75"/>
        <v>30.724240444572839</v>
      </c>
      <c r="G258" s="110">
        <f t="shared" si="97"/>
        <v>0.58649584554146617</v>
      </c>
      <c r="H258" s="414" t="b">
        <f>Wh_hp&gt;='2020'!Maxi_hp</f>
        <v>0</v>
      </c>
      <c r="I258" s="382">
        <f>IF(H258,Wh_hp,'2020'!Maxi_hp)</f>
        <v>42.810038562102854</v>
      </c>
      <c r="J258" s="85">
        <f>IF(H258,An,'2020'!An_max)</f>
        <v>2020</v>
      </c>
      <c r="K258" s="199">
        <f t="shared" si="76"/>
        <v>44440</v>
      </c>
      <c r="L258" s="147">
        <f>IF(t&lt;Tvie,1-EXP((T0-t)*PertePVj)+'2020'!Pspv,1-EXP((T0-t)*PertePVj)+Pspv)</f>
        <v>2.5886294716069513E-2</v>
      </c>
      <c r="M258" s="870"/>
      <c r="N258" s="870"/>
      <c r="O258" s="48">
        <f>IF(t&lt;Tnet,'2020'!Resal+('2020'!Salim-'2020'!Resal)*(1-EXP(('2020'!Tnet-t)/('2020'!Tau_j))),Resal+(Salim-Resal)*(1-EXP((Tnet-t)/(Tau_j))))*Salcycl</f>
        <v>8.1884933784568223E-2</v>
      </c>
      <c r="P258" s="171">
        <f>(INDEX(Models!$BJ258:$BT258,,T258)*(1-R258)+INDEX(Models!$BJ258:$BT258,,T258+1)*R258-ERP_i)*Q258*Ramure*Pc/MaxiM</f>
        <v>6.0183835230277682E-3</v>
      </c>
      <c r="Q258" s="307">
        <f t="shared" si="77"/>
        <v>1</v>
      </c>
      <c r="R258" s="179">
        <f t="shared" si="78"/>
        <v>0.9776006460112171</v>
      </c>
      <c r="S258" s="837">
        <f t="shared" si="79"/>
        <v>-1</v>
      </c>
      <c r="T258" s="178">
        <f t="shared" si="80"/>
        <v>5</v>
      </c>
      <c r="U258" s="253">
        <f t="shared" si="81"/>
        <v>-2.23993539887829E-2</v>
      </c>
      <c r="V258" s="385">
        <f t="shared" si="82"/>
        <v>46.569474278731903</v>
      </c>
      <c r="W258" s="404"/>
      <c r="X258" s="157">
        <f t="shared" si="83"/>
        <v>44440</v>
      </c>
      <c r="Y258" s="387">
        <f t="shared" si="84"/>
        <v>25.307103076969778</v>
      </c>
      <c r="Z258" s="387">
        <f t="shared" si="85"/>
        <v>25.979619155028079</v>
      </c>
      <c r="AA258" s="388">
        <f t="shared" si="86"/>
        <v>30.648009080606272</v>
      </c>
      <c r="AB258" s="199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0.1523227793785894</v>
      </c>
      <c r="AD258" s="233">
        <f>(INDEX(Models!$BJ258:$BT258,,AH258)*(1-AF258)+INDEX(Models!$BJ258:$BT258,,AH258+1)*AF258-ERP_i)*AE258*Ramure*Pc/MaxiM</f>
        <v>6.0183835230277682E-3</v>
      </c>
      <c r="AE258" s="307">
        <f t="shared" si="88"/>
        <v>1</v>
      </c>
      <c r="AF258" s="179">
        <f t="shared" si="89"/>
        <v>0.9776006460112171</v>
      </c>
      <c r="AG258" s="837">
        <f t="shared" si="95"/>
        <v>-1</v>
      </c>
      <c r="AH258" s="178">
        <f t="shared" si="90"/>
        <v>5</v>
      </c>
      <c r="AI258" s="227">
        <f t="shared" si="91"/>
        <v>-2.23993539887829E-2</v>
      </c>
      <c r="AJ258" s="267" t="b">
        <f t="shared" si="92"/>
        <v>0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4"/>
        <v>44441</v>
      </c>
      <c r="B259" s="618">
        <v>20.096</v>
      </c>
      <c r="C259" s="392"/>
      <c r="D259" s="395">
        <f t="shared" si="74"/>
        <v>20.630515272654126</v>
      </c>
      <c r="E259" s="387">
        <f t="shared" si="96"/>
        <v>22.477920975463139</v>
      </c>
      <c r="F259" s="387">
        <f t="shared" si="75"/>
        <v>22.50466032545075</v>
      </c>
      <c r="G259" s="110">
        <f t="shared" si="97"/>
        <v>0.43239192447056918</v>
      </c>
      <c r="H259" s="414" t="b">
        <f>Wh_hp&gt;='2020'!Maxi_hp</f>
        <v>0</v>
      </c>
      <c r="I259" s="382">
        <f>IF(H259,Wh_hp,'2020'!Maxi_hp)</f>
        <v>49.191044286339199</v>
      </c>
      <c r="J259" s="85">
        <f>IF(H259,An,'2020'!An_max)</f>
        <v>2019</v>
      </c>
      <c r="K259" s="199">
        <f t="shared" si="76"/>
        <v>44441</v>
      </c>
      <c r="L259" s="147">
        <f>IF(t&lt;Tvie,1-EXP((T0-t)*PertePVj)+'2020'!Pspv,1-EXP((T0-t)*PertePVj)+Pspv)</f>
        <v>2.5908963765080006E-2</v>
      </c>
      <c r="M259" s="870"/>
      <c r="N259" s="870"/>
      <c r="O259" s="48">
        <f>IF(t&lt;Tnet,'2020'!Resal+('2020'!Salim-'2020'!Resal)*(1-EXP(('2020'!Tnet-t)/('2020'!Tau_j))),Resal+(Salim-Resal)*(1-EXP((Tnet-t)/(Tau_j))))*Salcycl</f>
        <v>8.2187569963682983E-2</v>
      </c>
      <c r="P259" s="171">
        <f>(INDEX(Models!$BJ259:$BT259,,T259)*(1-R259)+INDEX(Models!$BJ259:$BT259,,T259+1)*R259-ERP_i)*Q259*Ramure*Pc/MaxiM</f>
        <v>6.1808341204376022E-3</v>
      </c>
      <c r="Q259" s="307">
        <f t="shared" si="77"/>
        <v>1</v>
      </c>
      <c r="R259" s="179">
        <f t="shared" si="78"/>
        <v>0.97847510787110636</v>
      </c>
      <c r="S259" s="837">
        <f t="shared" si="79"/>
        <v>-1</v>
      </c>
      <c r="T259" s="178">
        <f t="shared" si="80"/>
        <v>5</v>
      </c>
      <c r="U259" s="253">
        <f t="shared" si="81"/>
        <v>-2.1524892128893636E-2</v>
      </c>
      <c r="V259" s="385">
        <f t="shared" si="82"/>
        <v>46.244036776196523</v>
      </c>
      <c r="W259" s="404"/>
      <c r="X259" s="157">
        <f t="shared" si="83"/>
        <v>44441</v>
      </c>
      <c r="Y259" s="387">
        <f t="shared" si="84"/>
        <v>18.559319026140365</v>
      </c>
      <c r="Z259" s="387">
        <f t="shared" si="85"/>
        <v>19.052961515667253</v>
      </c>
      <c r="AA259" s="388">
        <f t="shared" si="86"/>
        <v>22.477920975463139</v>
      </c>
      <c r="AB259" s="199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0.15236993953019792</v>
      </c>
      <c r="AD259" s="233">
        <f>(INDEX(Models!$BJ259:$BT259,,AH259)*(1-AF259)+INDEX(Models!$BJ259:$BT259,,AH259+1)*AF259-ERP_i)*AE259*Ramure*Pc/MaxiM</f>
        <v>6.1808341204376022E-3</v>
      </c>
      <c r="AE259" s="307">
        <f t="shared" si="88"/>
        <v>1</v>
      </c>
      <c r="AF259" s="179">
        <f t="shared" si="89"/>
        <v>0.97847510787110636</v>
      </c>
      <c r="AG259" s="837">
        <f t="shared" si="95"/>
        <v>-1</v>
      </c>
      <c r="AH259" s="178">
        <f t="shared" si="90"/>
        <v>5</v>
      </c>
      <c r="AI259" s="227">
        <f t="shared" si="91"/>
        <v>-2.1524892128893636E-2</v>
      </c>
      <c r="AJ259" s="267" t="b">
        <f t="shared" si="92"/>
        <v>0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4"/>
        <v>44442</v>
      </c>
      <c r="B260" s="618">
        <v>26.44</v>
      </c>
      <c r="C260" s="392"/>
      <c r="D260" s="395">
        <f t="shared" si="74"/>
        <v>27.14388525116139</v>
      </c>
      <c r="E260" s="387">
        <f t="shared" si="96"/>
        <v>29.584235098958597</v>
      </c>
      <c r="F260" s="387">
        <f t="shared" si="75"/>
        <v>29.658344648139611</v>
      </c>
      <c r="G260" s="110">
        <f t="shared" si="97"/>
        <v>0.57366237229617412</v>
      </c>
      <c r="H260" s="414" t="b">
        <f>Wh_hp&gt;='2020'!Maxi_hp</f>
        <v>0</v>
      </c>
      <c r="I260" s="382">
        <f>IF(H260,Wh_hp,'2020'!Maxi_hp)</f>
        <v>51.164853972749853</v>
      </c>
      <c r="J260" s="85">
        <f>IF(H260,An,'2020'!An_max)</f>
        <v>2019</v>
      </c>
      <c r="K260" s="199">
        <f t="shared" si="76"/>
        <v>44442</v>
      </c>
      <c r="L260" s="147">
        <f>IF(t&lt;Tvie,1-EXP((T0-t)*PertePVj)+'2020'!Pspv,1-EXP((T0-t)*PertePVj)+Pspv)</f>
        <v>2.59316322865486E-2</v>
      </c>
      <c r="M260" s="870"/>
      <c r="N260" s="870"/>
      <c r="O260" s="48">
        <f>IF(t&lt;Tnet,'2020'!Resal+('2020'!Salim-'2020'!Resal)*(1-EXP(('2020'!Tnet-t)/('2020'!Tau_j))),Resal+(Salim-Resal)*(1-EXP((Tnet-t)/(Tau_j))))*Salcycl</f>
        <v>8.248818465761551E-2</v>
      </c>
      <c r="P260" s="171">
        <f>(INDEX(Models!$BJ260:$BT260,,T260)*(1-R260)+INDEX(Models!$BJ260:$BT260,,T260+1)*R260-ERP_i)*Q260*Ramure*Pc/MaxiM</f>
        <v>6.3402280857526834E-3</v>
      </c>
      <c r="Q260" s="307">
        <f t="shared" si="77"/>
        <v>1</v>
      </c>
      <c r="R260" s="179">
        <f t="shared" si="78"/>
        <v>0.979316482781182</v>
      </c>
      <c r="S260" s="837">
        <f t="shared" si="79"/>
        <v>-1</v>
      </c>
      <c r="T260" s="178">
        <f t="shared" si="80"/>
        <v>5</v>
      </c>
      <c r="U260" s="253">
        <f t="shared" si="81"/>
        <v>-2.0683517218818004E-2</v>
      </c>
      <c r="V260" s="385">
        <f t="shared" si="82"/>
        <v>45.912332476225636</v>
      </c>
      <c r="W260" s="404"/>
      <c r="X260" s="157">
        <f t="shared" si="83"/>
        <v>44442</v>
      </c>
      <c r="Y260" s="387">
        <f t="shared" si="84"/>
        <v>24.424904788704524</v>
      </c>
      <c r="Z260" s="387">
        <f t="shared" si="85"/>
        <v>25.07514420783426</v>
      </c>
      <c r="AA260" s="388">
        <f t="shared" si="86"/>
        <v>29.584235098958597</v>
      </c>
      <c r="AB260" s="199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0.15241532782718667</v>
      </c>
      <c r="AD260" s="233">
        <f>(INDEX(Models!$BJ260:$BT260,,AH260)*(1-AF260)+INDEX(Models!$BJ260:$BT260,,AH260+1)*AF260-ERP_i)*AE260*Ramure*Pc/MaxiM</f>
        <v>6.3402280857526834E-3</v>
      </c>
      <c r="AE260" s="307">
        <f t="shared" si="88"/>
        <v>1</v>
      </c>
      <c r="AF260" s="179">
        <f t="shared" si="89"/>
        <v>0.979316482781182</v>
      </c>
      <c r="AG260" s="837">
        <f t="shared" si="95"/>
        <v>-1</v>
      </c>
      <c r="AH260" s="178">
        <f t="shared" si="90"/>
        <v>5</v>
      </c>
      <c r="AI260" s="227">
        <f t="shared" si="91"/>
        <v>-2.0683517218818004E-2</v>
      </c>
      <c r="AJ260" s="267" t="b">
        <f t="shared" si="92"/>
        <v>0</v>
      </c>
      <c r="AK260" s="267" t="b">
        <f t="shared" si="93"/>
        <v>0</v>
      </c>
      <c r="AL260" s="267"/>
      <c r="AM260" s="267"/>
      <c r="AN260" s="75"/>
    </row>
    <row r="261" spans="1:40" s="6" customFormat="1" ht="11.25" x14ac:dyDescent="0.2">
      <c r="A261" s="56">
        <f t="shared" si="94"/>
        <v>44443</v>
      </c>
      <c r="B261" s="618">
        <v>38.380000000000003</v>
      </c>
      <c r="C261" s="392"/>
      <c r="D261" s="395">
        <f t="shared" si="74"/>
        <v>39.402668695166938</v>
      </c>
      <c r="E261" s="387">
        <f t="shared" si="96"/>
        <v>42.959113773391998</v>
      </c>
      <c r="F261" s="387">
        <f t="shared" si="75"/>
        <v>43.176365210244711</v>
      </c>
      <c r="G261" s="110">
        <f t="shared" si="97"/>
        <v>0.84091469078544845</v>
      </c>
      <c r="H261" s="414" t="b">
        <f>Wh_hp&gt;='2020'!Maxi_hp</f>
        <v>0</v>
      </c>
      <c r="I261" s="382">
        <f>IF(H261,Wh_hp,'2020'!Maxi_hp)</f>
        <v>50.630743838713244</v>
      </c>
      <c r="J261" s="85">
        <f>IF(H261,An,'2020'!An_max)</f>
        <v>2019</v>
      </c>
      <c r="K261" s="199">
        <f t="shared" si="76"/>
        <v>44443</v>
      </c>
      <c r="L261" s="147">
        <f>IF(t&lt;Tvie,1-EXP((T0-t)*PertePVj)+'2020'!Pspv,1-EXP((T0-t)*PertePVj)+Pspv)</f>
        <v>2.5954300280487619E-2</v>
      </c>
      <c r="M261" s="870"/>
      <c r="N261" s="870"/>
      <c r="O261" s="48">
        <f>IF(t&lt;Tnet,'2020'!Resal+('2020'!Salim-'2020'!Resal)*(1-EXP(('2020'!Tnet-t)/('2020'!Tau_j))),Resal+(Salim-Resal)*(1-EXP((Tnet-t)/(Tau_j))))*Salcycl</f>
        <v>8.2786742226229268E-2</v>
      </c>
      <c r="P261" s="171">
        <f>(INDEX(Models!$BJ261:$BT261,,T261)*(1-R261)+INDEX(Models!$BJ261:$BT261,,T261+1)*R261-ERP_i)*Q261*Ramure*Pc/MaxiM</f>
        <v>6.496679330530386E-3</v>
      </c>
      <c r="Q261" s="307">
        <f t="shared" si="77"/>
        <v>1</v>
      </c>
      <c r="R261" s="179">
        <f t="shared" si="78"/>
        <v>0.98012594279725196</v>
      </c>
      <c r="S261" s="837">
        <f t="shared" si="79"/>
        <v>-1</v>
      </c>
      <c r="T261" s="178">
        <f t="shared" si="80"/>
        <v>5</v>
      </c>
      <c r="U261" s="253">
        <f t="shared" si="81"/>
        <v>-1.9874057202748041E-2</v>
      </c>
      <c r="V261" s="385">
        <f t="shared" si="82"/>
        <v>45.573577190836716</v>
      </c>
      <c r="W261" s="404"/>
      <c r="X261" s="157">
        <f t="shared" si="83"/>
        <v>44443</v>
      </c>
      <c r="Y261" s="387">
        <f t="shared" si="84"/>
        <v>35.464629050073789</v>
      </c>
      <c r="Z261" s="387">
        <f t="shared" si="85"/>
        <v>36.409615134368167</v>
      </c>
      <c r="AA261" s="388">
        <f t="shared" si="86"/>
        <v>42.959113773391998</v>
      </c>
      <c r="AB261" s="199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0.15245888622312451</v>
      </c>
      <c r="AD261" s="233">
        <f>(INDEX(Models!$BJ261:$BT261,,AH261)*(1-AF261)+INDEX(Models!$BJ261:$BT261,,AH261+1)*AF261-ERP_i)*AE261*Ramure*Pc/MaxiM</f>
        <v>6.496679330530386E-3</v>
      </c>
      <c r="AE261" s="307">
        <f t="shared" si="88"/>
        <v>1</v>
      </c>
      <c r="AF261" s="179">
        <f t="shared" si="89"/>
        <v>0.98012594279725196</v>
      </c>
      <c r="AG261" s="837">
        <f t="shared" si="95"/>
        <v>-1</v>
      </c>
      <c r="AH261" s="178">
        <f t="shared" si="90"/>
        <v>5</v>
      </c>
      <c r="AI261" s="227">
        <f t="shared" si="91"/>
        <v>-1.9874057202748041E-2</v>
      </c>
      <c r="AJ261" s="267" t="b">
        <f t="shared" si="92"/>
        <v>0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4"/>
        <v>44444</v>
      </c>
      <c r="B262" s="618">
        <v>39.279000000000003</v>
      </c>
      <c r="C262" s="392"/>
      <c r="D262" s="395">
        <f t="shared" si="74"/>
        <v>40.326561795094925</v>
      </c>
      <c r="E262" s="387">
        <f t="shared" si="96"/>
        <v>43.980612013876417</v>
      </c>
      <c r="F262" s="387">
        <f t="shared" si="75"/>
        <v>44.219343746564888</v>
      </c>
      <c r="G262" s="110">
        <f t="shared" si="97"/>
        <v>0.86738408337510842</v>
      </c>
      <c r="H262" s="414" t="b">
        <f>Wh_hp&gt;='2020'!Maxi_hp</f>
        <v>0</v>
      </c>
      <c r="I262" s="382">
        <f>IF(H262,Wh_hp,'2020'!Maxi_hp)</f>
        <v>48.60501068816032</v>
      </c>
      <c r="J262" s="85">
        <f>IF(H262,An,'2020'!An_max)</f>
        <v>2020</v>
      </c>
      <c r="K262" s="199">
        <f t="shared" si="76"/>
        <v>44444</v>
      </c>
      <c r="L262" s="147">
        <f>IF(t&lt;Tvie,1-EXP((T0-t)*PertePVj)+'2020'!Pspv,1-EXP((T0-t)*PertePVj)+Pspv)</f>
        <v>2.5976967746909274E-2</v>
      </c>
      <c r="M262" s="870"/>
      <c r="N262" s="870"/>
      <c r="O262" s="48">
        <f>IF(t&lt;Tnet,'2020'!Resal+('2020'!Salim-'2020'!Resal)*(1-EXP(('2020'!Tnet-t)/('2020'!Tau_j))),Resal+(Salim-Resal)*(1-EXP((Tnet-t)/(Tau_j))))*Salcycl</f>
        <v>8.3083205336674112E-2</v>
      </c>
      <c r="P262" s="171">
        <f>(INDEX(Models!$BJ262:$BT262,,T262)*(1-R262)+INDEX(Models!$BJ262:$BT262,,T262+1)*R262-ERP_i)*Q262*Ramure*Pc/MaxiM</f>
        <v>6.6479033207383414E-3</v>
      </c>
      <c r="Q262" s="307">
        <f t="shared" si="77"/>
        <v>1</v>
      </c>
      <c r="R262" s="179">
        <f t="shared" si="78"/>
        <v>0.98090462460713257</v>
      </c>
      <c r="S262" s="837">
        <f t="shared" si="79"/>
        <v>-1</v>
      </c>
      <c r="T262" s="178">
        <f t="shared" si="80"/>
        <v>5</v>
      </c>
      <c r="U262" s="253">
        <f t="shared" si="81"/>
        <v>-1.9095375392867431E-2</v>
      </c>
      <c r="V262" s="385">
        <f t="shared" si="82"/>
        <v>45.227565508226299</v>
      </c>
      <c r="W262" s="404"/>
      <c r="X262" s="157">
        <f t="shared" si="83"/>
        <v>44444</v>
      </c>
      <c r="Y262" s="387">
        <f t="shared" si="84"/>
        <v>36.305290647701931</v>
      </c>
      <c r="Z262" s="387">
        <f t="shared" si="85"/>
        <v>37.273544305950601</v>
      </c>
      <c r="AA262" s="388">
        <f t="shared" si="86"/>
        <v>43.980612013876417</v>
      </c>
      <c r="AB262" s="199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0.15250055423989234</v>
      </c>
      <c r="AD262" s="233">
        <f>(INDEX(Models!$BJ262:$BT262,,AH262)*(1-AF262)+INDEX(Models!$BJ262:$BT262,,AH262+1)*AF262-ERP_i)*AE262*Ramure*Pc/MaxiM</f>
        <v>6.6479033207383414E-3</v>
      </c>
      <c r="AE262" s="307">
        <f t="shared" si="88"/>
        <v>1</v>
      </c>
      <c r="AF262" s="179">
        <f t="shared" si="89"/>
        <v>0.98090462460713257</v>
      </c>
      <c r="AG262" s="837">
        <f t="shared" si="95"/>
        <v>-1</v>
      </c>
      <c r="AH262" s="178">
        <f t="shared" si="90"/>
        <v>5</v>
      </c>
      <c r="AI262" s="227">
        <f t="shared" si="91"/>
        <v>-1.9095375392867431E-2</v>
      </c>
      <c r="AJ262" s="267" t="b">
        <f t="shared" si="92"/>
        <v>0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4"/>
        <v>44445</v>
      </c>
      <c r="B263" s="618">
        <v>42.808999999999997</v>
      </c>
      <c r="C263" s="392"/>
      <c r="D263" s="395">
        <f t="shared" si="74"/>
        <v>43.951728895082603</v>
      </c>
      <c r="E263" s="387">
        <f t="shared" si="96"/>
        <v>47.949652738340582</v>
      </c>
      <c r="F263" s="387">
        <f t="shared" si="75"/>
        <v>48.256072532467769</v>
      </c>
      <c r="G263" s="110">
        <f t="shared" si="97"/>
        <v>0.95353885929148618</v>
      </c>
      <c r="H263" s="414" t="b">
        <f>Wh_hp&gt;='2020'!Maxi_hp</f>
        <v>0</v>
      </c>
      <c r="I263" s="382">
        <f>IF(H263,Wh_hp,'2020'!Maxi_hp)</f>
        <v>51.979212378770349</v>
      </c>
      <c r="J263" s="85">
        <f>IF(H263,An,'2020'!An_max)</f>
        <v>2019</v>
      </c>
      <c r="K263" s="199">
        <f t="shared" si="76"/>
        <v>44445</v>
      </c>
      <c r="L263" s="147">
        <f>IF(t&lt;Tvie,1-EXP((T0-t)*PertePVj)+'2020'!Pspv,1-EXP((T0-t)*PertePVj)+Pspv)</f>
        <v>2.599963468582589E-2</v>
      </c>
      <c r="M263" s="870"/>
      <c r="N263" s="870"/>
      <c r="O263" s="48">
        <f>IF(t&lt;Tnet,'2020'!Resal+('2020'!Salim-'2020'!Resal)*(1-EXP(('2020'!Tnet-t)/('2020'!Tau_j))),Resal+(Salim-Resal)*(1-EXP((Tnet-t)/(Tau_j))))*Salcycl</f>
        <v>8.3377534871305392E-2</v>
      </c>
      <c r="P263" s="171">
        <f>(INDEX(Models!$BJ263:$BT263,,T263)*(1-R263)+INDEX(Models!$BJ263:$BT263,,T263+1)*R263-ERP_i)*Q263*Ramure*Pc/MaxiM</f>
        <v>6.7968299775852427E-3</v>
      </c>
      <c r="Q263" s="307">
        <f t="shared" si="77"/>
        <v>1</v>
      </c>
      <c r="R263" s="179">
        <f t="shared" si="78"/>
        <v>0.98165363011141682</v>
      </c>
      <c r="S263" s="837">
        <f t="shared" si="79"/>
        <v>-1</v>
      </c>
      <c r="T263" s="178">
        <f t="shared" si="80"/>
        <v>5</v>
      </c>
      <c r="U263" s="253">
        <f t="shared" si="81"/>
        <v>-1.8346369888583181E-2</v>
      </c>
      <c r="V263" s="385">
        <f t="shared" si="82"/>
        <v>44.874672285457777</v>
      </c>
      <c r="W263" s="404"/>
      <c r="X263" s="157">
        <f t="shared" si="83"/>
        <v>44445</v>
      </c>
      <c r="Y263" s="387">
        <f t="shared" si="84"/>
        <v>39.578894268650437</v>
      </c>
      <c r="Z263" s="387">
        <f t="shared" si="85"/>
        <v>40.635399819263768</v>
      </c>
      <c r="AA263" s="388">
        <f t="shared" si="86"/>
        <v>47.949652738340582</v>
      </c>
      <c r="AB263" s="199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0.15254026883135965</v>
      </c>
      <c r="AD263" s="233">
        <f>(INDEX(Models!$BJ263:$BT263,,AH263)*(1-AF263)+INDEX(Models!$BJ263:$BT263,,AH263+1)*AF263-ERP_i)*AE263*Ramure*Pc/MaxiM</f>
        <v>6.7968299775852427E-3</v>
      </c>
      <c r="AE263" s="307">
        <f t="shared" si="88"/>
        <v>1</v>
      </c>
      <c r="AF263" s="179">
        <f t="shared" si="89"/>
        <v>0.98165363011141682</v>
      </c>
      <c r="AG263" s="837">
        <f t="shared" si="95"/>
        <v>-1</v>
      </c>
      <c r="AH263" s="178">
        <f t="shared" si="90"/>
        <v>5</v>
      </c>
      <c r="AI263" s="227">
        <f t="shared" si="91"/>
        <v>-1.8346369888583181E-2</v>
      </c>
      <c r="AJ263" s="267" t="b">
        <f t="shared" si="92"/>
        <v>0</v>
      </c>
      <c r="AK263" s="267" t="b">
        <f t="shared" si="93"/>
        <v>0</v>
      </c>
      <c r="AL263" s="267"/>
      <c r="AM263" s="267"/>
      <c r="AN263" s="75"/>
    </row>
    <row r="264" spans="1:40" s="6" customFormat="1" ht="11.25" x14ac:dyDescent="0.2">
      <c r="A264" s="56">
        <f t="shared" si="94"/>
        <v>44446</v>
      </c>
      <c r="B264" s="618">
        <v>33.24</v>
      </c>
      <c r="C264" s="392"/>
      <c r="D264" s="395">
        <f t="shared" si="74"/>
        <v>34.128091472163106</v>
      </c>
      <c r="E264" s="387">
        <f t="shared" si="96"/>
        <v>37.244311460348378</v>
      </c>
      <c r="F264" s="387">
        <f t="shared" si="75"/>
        <v>37.410073890143579</v>
      </c>
      <c r="G264" s="110">
        <f t="shared" si="97"/>
        <v>0.74482331537210633</v>
      </c>
      <c r="H264" s="414" t="b">
        <f>Wh_hp&gt;='2020'!Maxi_hp</f>
        <v>0</v>
      </c>
      <c r="I264" s="382">
        <f>IF(H264,Wh_hp,'2020'!Maxi_hp)</f>
        <v>50.735283993858943</v>
      </c>
      <c r="J264" s="85">
        <f>IF(H264,An,'2020'!An_max)</f>
        <v>2019</v>
      </c>
      <c r="K264" s="199">
        <f t="shared" si="76"/>
        <v>44446</v>
      </c>
      <c r="L264" s="147">
        <f>IF(t&lt;Tvie,1-EXP((T0-t)*PertePVj)+'2020'!Pspv,1-EXP((T0-t)*PertePVj)+Pspv)</f>
        <v>2.6022301097249678E-2</v>
      </c>
      <c r="M264" s="870"/>
      <c r="N264" s="870"/>
      <c r="O264" s="48">
        <f>IF(t&lt;Tnet,'2020'!Resal+('2020'!Salim-'2020'!Resal)*(1-EXP(('2020'!Tnet-t)/('2020'!Tau_j))),Resal+(Salim-Resal)*(1-EXP((Tnet-t)/(Tau_j))))*Salcycl</f>
        <v>8.3669689839827296E-2</v>
      </c>
      <c r="P264" s="171">
        <f>(INDEX(Models!$BJ264:$BT264,,T264)*(1-R264)+INDEX(Models!$BJ264:$BT264,,T264+1)*R264-ERP_i)*Q264*Ramure*Pc/MaxiM</f>
        <v>6.9433988859793688E-3</v>
      </c>
      <c r="Q264" s="307">
        <f t="shared" si="77"/>
        <v>1</v>
      </c>
      <c r="R264" s="179">
        <f t="shared" si="78"/>
        <v>0.98237402703766952</v>
      </c>
      <c r="S264" s="837">
        <f t="shared" si="79"/>
        <v>-1</v>
      </c>
      <c r="T264" s="178">
        <f t="shared" si="80"/>
        <v>5</v>
      </c>
      <c r="U264" s="253">
        <f t="shared" si="81"/>
        <v>-1.7625972962330483E-2</v>
      </c>
      <c r="V264" s="385">
        <f t="shared" si="82"/>
        <v>44.515409300893658</v>
      </c>
      <c r="W264" s="404"/>
      <c r="X264" s="157">
        <f t="shared" si="83"/>
        <v>44446</v>
      </c>
      <c r="Y264" s="387">
        <f t="shared" si="84"/>
        <v>30.740343471967485</v>
      </c>
      <c r="Z264" s="387">
        <f t="shared" si="85"/>
        <v>31.561650237575762</v>
      </c>
      <c r="AA264" s="388">
        <f t="shared" si="86"/>
        <v>37.244311460348378</v>
      </c>
      <c r="AB264" s="199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0.15257796425697329</v>
      </c>
      <c r="AD264" s="233">
        <f>(INDEX(Models!$BJ264:$BT264,,AH264)*(1-AF264)+INDEX(Models!$BJ264:$BT264,,AH264+1)*AF264-ERP_i)*AE264*Ramure*Pc/MaxiM</f>
        <v>6.9433988859793688E-3</v>
      </c>
      <c r="AE264" s="307">
        <f t="shared" si="88"/>
        <v>1</v>
      </c>
      <c r="AF264" s="179">
        <f t="shared" si="89"/>
        <v>0.98237402703766952</v>
      </c>
      <c r="AG264" s="837">
        <f t="shared" si="95"/>
        <v>-1</v>
      </c>
      <c r="AH264" s="178">
        <f t="shared" si="90"/>
        <v>5</v>
      </c>
      <c r="AI264" s="227">
        <f t="shared" si="91"/>
        <v>-1.7625972962330483E-2</v>
      </c>
      <c r="AJ264" s="267" t="b">
        <f t="shared" si="92"/>
        <v>0</v>
      </c>
      <c r="AK264" s="267" t="b">
        <f t="shared" si="93"/>
        <v>0</v>
      </c>
      <c r="AL264" s="267"/>
      <c r="AM264" s="267"/>
      <c r="AN264" s="75"/>
    </row>
    <row r="265" spans="1:40" s="6" customFormat="1" ht="11.25" x14ac:dyDescent="0.2">
      <c r="A265" s="56">
        <f t="shared" si="94"/>
        <v>44447</v>
      </c>
      <c r="B265" s="618">
        <v>28.942</v>
      </c>
      <c r="C265" s="392"/>
      <c r="D265" s="395">
        <f t="shared" si="74"/>
        <v>29.715950961609877</v>
      </c>
      <c r="E265" s="387">
        <f t="shared" si="96"/>
        <v>32.439564725702404</v>
      </c>
      <c r="F265" s="387">
        <f t="shared" si="75"/>
        <v>32.556762504832996</v>
      </c>
      <c r="G265" s="110">
        <f t="shared" si="97"/>
        <v>0.65323907748573895</v>
      </c>
      <c r="H265" s="414" t="b">
        <f>Wh_hp&gt;='2020'!Maxi_hp</f>
        <v>0</v>
      </c>
      <c r="I265" s="382">
        <f>IF(H265,Wh_hp,'2020'!Maxi_hp)</f>
        <v>44.572005255446598</v>
      </c>
      <c r="J265" s="85">
        <f>IF(H265,An,'2020'!An_max)</f>
        <v>2019</v>
      </c>
      <c r="K265" s="199">
        <f t="shared" si="76"/>
        <v>44447</v>
      </c>
      <c r="L265" s="147">
        <f>IF(t&lt;Tvie,1-EXP((T0-t)*PertePVj)+'2020'!Pspv,1-EXP((T0-t)*PertePVj)+Pspv)</f>
        <v>2.6044966981192963E-2</v>
      </c>
      <c r="M265" s="870"/>
      <c r="N265" s="870"/>
      <c r="O265" s="48">
        <f>IF(t&lt;Tnet,'2020'!Resal+('2020'!Salim-'2020'!Resal)*(1-EXP(('2020'!Tnet-t)/('2020'!Tau_j))),Resal+(Salim-Resal)*(1-EXP((Tnet-t)/(Tau_j))))*Salcycl</f>
        <v>8.3959627298407058E-2</v>
      </c>
      <c r="P265" s="171">
        <f>(INDEX(Models!$BJ265:$BT265,,T265)*(1-R265)+INDEX(Models!$BJ265:$BT265,,T265+1)*R265-ERP_i)*Q265*Ramure*Pc/MaxiM</f>
        <v>7.0875392294681757E-3</v>
      </c>
      <c r="Q265" s="307">
        <f t="shared" si="77"/>
        <v>1</v>
      </c>
      <c r="R265" s="179">
        <f t="shared" si="78"/>
        <v>0.98306684958325363</v>
      </c>
      <c r="S265" s="837">
        <f t="shared" si="79"/>
        <v>-1</v>
      </c>
      <c r="T265" s="178">
        <f t="shared" si="80"/>
        <v>5</v>
      </c>
      <c r="U265" s="253">
        <f t="shared" si="81"/>
        <v>-1.6933150416746368E-2</v>
      </c>
      <c r="V265" s="385">
        <f t="shared" si="82"/>
        <v>44.150287563022104</v>
      </c>
      <c r="W265" s="404"/>
      <c r="X265" s="157">
        <f t="shared" si="83"/>
        <v>44447</v>
      </c>
      <c r="Y265" s="387">
        <f t="shared" si="84"/>
        <v>26.772900770426762</v>
      </c>
      <c r="Z265" s="387">
        <f t="shared" si="85"/>
        <v>27.488846879761212</v>
      </c>
      <c r="AA265" s="388">
        <f t="shared" si="86"/>
        <v>32.439564725702404</v>
      </c>
      <c r="AB265" s="199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0.15261357196999181</v>
      </c>
      <c r="AD265" s="233">
        <f>(INDEX(Models!$BJ265:$BT265,,AH265)*(1-AF265)+INDEX(Models!$BJ265:$BT265,,AH265+1)*AF265-ERP_i)*AE265*Ramure*Pc/MaxiM</f>
        <v>7.0875392294681757E-3</v>
      </c>
      <c r="AE265" s="307">
        <f t="shared" si="88"/>
        <v>1</v>
      </c>
      <c r="AF265" s="179">
        <f t="shared" si="89"/>
        <v>0.98306684958325363</v>
      </c>
      <c r="AG265" s="837">
        <f t="shared" si="95"/>
        <v>-1</v>
      </c>
      <c r="AH265" s="178">
        <f t="shared" si="90"/>
        <v>5</v>
      </c>
      <c r="AI265" s="227">
        <f t="shared" si="91"/>
        <v>-1.6933150416746368E-2</v>
      </c>
      <c r="AJ265" s="267" t="b">
        <f t="shared" si="92"/>
        <v>0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4"/>
        <v>44448</v>
      </c>
      <c r="B266" s="618">
        <v>17.519000000000002</v>
      </c>
      <c r="C266" s="392"/>
      <c r="D266" s="395">
        <f t="shared" si="74"/>
        <v>17.987902016286558</v>
      </c>
      <c r="E266" s="387">
        <f t="shared" si="96"/>
        <v>19.642750778723929</v>
      </c>
      <c r="F266" s="387">
        <f t="shared" si="75"/>
        <v>19.663090416993615</v>
      </c>
      <c r="G266" s="110">
        <f t="shared" si="97"/>
        <v>0.39768008743477934</v>
      </c>
      <c r="H266" s="414" t="b">
        <f>Wh_hp&gt;='2020'!Maxi_hp</f>
        <v>0</v>
      </c>
      <c r="I266" s="382">
        <f>IF(H266,Wh_hp,'2020'!Maxi_hp)</f>
        <v>45.910285028445344</v>
      </c>
      <c r="J266" s="85">
        <f>IF(H266,An,'2020'!An_max)</f>
        <v>2020</v>
      </c>
      <c r="K266" s="199">
        <f t="shared" si="76"/>
        <v>44448</v>
      </c>
      <c r="L266" s="147">
        <f>IF(t&lt;Tvie,1-EXP((T0-t)*PertePVj)+'2020'!Pspv,1-EXP((T0-t)*PertePVj)+Pspv)</f>
        <v>2.6067632337668067E-2</v>
      </c>
      <c r="M266" s="870"/>
      <c r="N266" s="870"/>
      <c r="O266" s="48">
        <f>IF(t&lt;Tnet,'2020'!Resal+('2020'!Salim-'2020'!Resal)*(1-EXP(('2020'!Tnet-t)/('2020'!Tau_j))),Resal+(Salim-Resal)*(1-EXP((Tnet-t)/(Tau_j))))*Salcycl</f>
        <v>8.4247302278549624E-2</v>
      </c>
      <c r="P266" s="171">
        <f>(INDEX(Models!$BJ266:$BT266,,T266)*(1-R266)+INDEX(Models!$BJ266:$BT266,,T266+1)*R266-ERP_i)*Q266*Ramure*Pc/MaxiM</f>
        <v>7.2291695097215832E-3</v>
      </c>
      <c r="Q266" s="307">
        <f t="shared" si="77"/>
        <v>1</v>
      </c>
      <c r="R266" s="179">
        <f t="shared" si="78"/>
        <v>0.98373309908235096</v>
      </c>
      <c r="S266" s="837">
        <f t="shared" si="79"/>
        <v>-1</v>
      </c>
      <c r="T266" s="178">
        <f t="shared" si="80"/>
        <v>5</v>
      </c>
      <c r="U266" s="253">
        <f t="shared" si="81"/>
        <v>-1.6266900917649041E-2</v>
      </c>
      <c r="V266" s="385">
        <f t="shared" si="82"/>
        <v>43.779817318654771</v>
      </c>
      <c r="W266" s="404"/>
      <c r="X266" s="157">
        <f t="shared" si="83"/>
        <v>44448</v>
      </c>
      <c r="Y266" s="387">
        <f t="shared" si="84"/>
        <v>16.21046477324915</v>
      </c>
      <c r="Z266" s="387">
        <f t="shared" si="85"/>
        <v>16.644343397435389</v>
      </c>
      <c r="AA266" s="388">
        <f t="shared" si="86"/>
        <v>19.642750778723929</v>
      </c>
      <c r="AB266" s="199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0.15264702052506154</v>
      </c>
      <c r="AD266" s="233">
        <f>(INDEX(Models!$BJ266:$BT266,,AH266)*(1-AF266)+INDEX(Models!$BJ266:$BT266,,AH266+1)*AF266-ERP_i)*AE266*Ramure*Pc/MaxiM</f>
        <v>7.2291695097215832E-3</v>
      </c>
      <c r="AE266" s="307">
        <f t="shared" si="88"/>
        <v>1</v>
      </c>
      <c r="AF266" s="179">
        <f t="shared" si="89"/>
        <v>0.98373309908235096</v>
      </c>
      <c r="AG266" s="837">
        <f t="shared" si="95"/>
        <v>-1</v>
      </c>
      <c r="AH266" s="178">
        <f t="shared" si="90"/>
        <v>5</v>
      </c>
      <c r="AI266" s="227">
        <f t="shared" si="91"/>
        <v>-1.6266900917649041E-2</v>
      </c>
      <c r="AJ266" s="267" t="b">
        <f t="shared" si="92"/>
        <v>0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4"/>
        <v>44449</v>
      </c>
      <c r="B267" s="618">
        <v>36.542000000000002</v>
      </c>
      <c r="C267" s="392"/>
      <c r="D267" s="395">
        <f t="shared" si="74"/>
        <v>37.520932272973013</v>
      </c>
      <c r="E267" s="387">
        <f t="shared" si="96"/>
        <v>40.985550166902797</v>
      </c>
      <c r="F267" s="387">
        <f t="shared" si="75"/>
        <v>41.220671863023284</v>
      </c>
      <c r="G267" s="110">
        <f t="shared" si="97"/>
        <v>0.84048498093601209</v>
      </c>
      <c r="H267" s="414" t="b">
        <f>Wh_hp&gt;='2020'!Maxi_hp</f>
        <v>1</v>
      </c>
      <c r="I267" s="382">
        <f>IF(H267,Wh_hp,'2020'!Maxi_hp)</f>
        <v>41.220671863023284</v>
      </c>
      <c r="J267" s="85">
        <f>IF(H267,An,'2020'!An_max)</f>
        <v>2021</v>
      </c>
      <c r="K267" s="199">
        <f t="shared" si="76"/>
        <v>44449</v>
      </c>
      <c r="L267" s="147">
        <f>IF(t&lt;Tvie,1-EXP((T0-t)*PertePVj)+'2020'!Pspv,1-EXP((T0-t)*PertePVj)+Pspv)</f>
        <v>2.6090297166687204E-2</v>
      </c>
      <c r="M267" s="870"/>
      <c r="N267" s="870"/>
      <c r="O267" s="48">
        <f>IF(t&lt;Tnet,'2020'!Resal+('2020'!Salim-'2020'!Resal)*(1-EXP(('2020'!Tnet-t)/('2020'!Tau_j))),Resal+(Salim-Resal)*(1-EXP((Tnet-t)/(Tau_j))))*Salcycl</f>
        <v>8.4532667728529701E-2</v>
      </c>
      <c r="P267" s="171">
        <f>(INDEX(Models!$BJ267:$BT267,,T267)*(1-R267)+INDEX(Models!$BJ267:$BT267,,T267+1)*R267-ERP_i)*Q267*Ramure*Pc/MaxiM</f>
        <v>7.3681972479739616E-3</v>
      </c>
      <c r="Q267" s="307">
        <f t="shared" si="77"/>
        <v>1</v>
      </c>
      <c r="R267" s="179">
        <f t="shared" si="78"/>
        <v>0.98437374469308181</v>
      </c>
      <c r="S267" s="837">
        <f t="shared" si="79"/>
        <v>-1</v>
      </c>
      <c r="T267" s="178">
        <f t="shared" si="80"/>
        <v>5</v>
      </c>
      <c r="U267" s="253">
        <f t="shared" si="81"/>
        <v>-1.5626255306918191E-2</v>
      </c>
      <c r="V267" s="385">
        <f t="shared" si="82"/>
        <v>43.404508062950953</v>
      </c>
      <c r="W267" s="404"/>
      <c r="X267" s="157">
        <f t="shared" si="83"/>
        <v>44449</v>
      </c>
      <c r="Y267" s="387">
        <f t="shared" si="84"/>
        <v>33.821886184816798</v>
      </c>
      <c r="Z267" s="387">
        <f t="shared" si="85"/>
        <v>34.727948686024646</v>
      </c>
      <c r="AA267" s="388">
        <f t="shared" si="86"/>
        <v>40.985550166902797</v>
      </c>
      <c r="AB267" s="199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0.15267823550972778</v>
      </c>
      <c r="AD267" s="233">
        <f>(INDEX(Models!$BJ267:$BT267,,AH267)*(1-AF267)+INDEX(Models!$BJ267:$BT267,,AH267+1)*AF267-ERP_i)*AE267*Ramure*Pc/MaxiM</f>
        <v>7.3681972479739616E-3</v>
      </c>
      <c r="AE267" s="307">
        <f t="shared" si="88"/>
        <v>1</v>
      </c>
      <c r="AF267" s="179">
        <f t="shared" si="89"/>
        <v>0.98437374469308181</v>
      </c>
      <c r="AG267" s="837">
        <f t="shared" si="95"/>
        <v>-1</v>
      </c>
      <c r="AH267" s="178">
        <f t="shared" si="90"/>
        <v>5</v>
      </c>
      <c r="AI267" s="227">
        <f t="shared" si="91"/>
        <v>-1.5626255306918191E-2</v>
      </c>
      <c r="AJ267" s="267" t="b">
        <f t="shared" si="92"/>
        <v>0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4"/>
        <v>44450</v>
      </c>
      <c r="B268" s="618">
        <v>36.712000000000003</v>
      </c>
      <c r="C268" s="392"/>
      <c r="D268" s="395">
        <f t="shared" si="74"/>
        <v>37.696363692598439</v>
      </c>
      <c r="E268" s="387">
        <f t="shared" si="96"/>
        <v>41.18991403264458</v>
      </c>
      <c r="F268" s="387">
        <f t="shared" si="75"/>
        <v>41.43560726345671</v>
      </c>
      <c r="G268" s="110">
        <f t="shared" si="97"/>
        <v>0.85192203843073733</v>
      </c>
      <c r="H268" s="414" t="b">
        <f>Wh_hp&gt;='2020'!Maxi_hp</f>
        <v>0</v>
      </c>
      <c r="I268" s="382">
        <f>IF(H268,Wh_hp,'2020'!Maxi_hp)</f>
        <v>41.604525510884223</v>
      </c>
      <c r="J268" s="85">
        <f>IF(H268,An,'2020'!An_max)</f>
        <v>2019</v>
      </c>
      <c r="K268" s="199">
        <f t="shared" si="76"/>
        <v>44450</v>
      </c>
      <c r="L268" s="147">
        <f>IF(t&lt;Tvie,1-EXP((T0-t)*PertePVj)+'2020'!Pspv,1-EXP((T0-t)*PertePVj)+Pspv)</f>
        <v>2.6112961468262585E-2</v>
      </c>
      <c r="M268" s="870"/>
      <c r="N268" s="870"/>
      <c r="O268" s="48">
        <f>IF(t&lt;Tnet,'2020'!Resal+('2020'!Salim-'2020'!Resal)*(1-EXP(('2020'!Tnet-t)/('2020'!Tau_j))),Resal+(Salim-Resal)*(1-EXP((Tnet-t)/(Tau_j))))*Salcycl</f>
        <v>8.4815674470147456E-2</v>
      </c>
      <c r="P268" s="171">
        <f>(INDEX(Models!$BJ268:$BT268,,T268)*(1-R268)+INDEX(Models!$BJ268:$BT268,,T268+1)*R268-ERP_i)*Q268*Ramure*Pc/MaxiM</f>
        <v>7.5020329896149963E-3</v>
      </c>
      <c r="Q268" s="307">
        <f t="shared" si="77"/>
        <v>1</v>
      </c>
      <c r="R268" s="179">
        <f t="shared" si="78"/>
        <v>0.9849897241009532</v>
      </c>
      <c r="S268" s="837">
        <f t="shared" si="79"/>
        <v>-1</v>
      </c>
      <c r="T268" s="178">
        <f t="shared" si="80"/>
        <v>5</v>
      </c>
      <c r="U268" s="253">
        <f t="shared" si="81"/>
        <v>-1.5010275899046799E-2</v>
      </c>
      <c r="V268" s="385">
        <f t="shared" si="82"/>
        <v>43.024976310380232</v>
      </c>
      <c r="W268" s="404"/>
      <c r="X268" s="157">
        <f t="shared" si="83"/>
        <v>44450</v>
      </c>
      <c r="Y268" s="387">
        <f t="shared" si="84"/>
        <v>33.988579815884258</v>
      </c>
      <c r="Z268" s="387">
        <f t="shared" si="85"/>
        <v>34.899920084290784</v>
      </c>
      <c r="AA268" s="388">
        <f t="shared" si="86"/>
        <v>41.18991403264458</v>
      </c>
      <c r="AB268" s="199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0.15270713950431494</v>
      </c>
      <c r="AD268" s="233">
        <f>(INDEX(Models!$BJ268:$BT268,,AH268)*(1-AF268)+INDEX(Models!$BJ268:$BT268,,AH268+1)*AF268-ERP_i)*AE268*Ramure*Pc/MaxiM</f>
        <v>7.5020329896149963E-3</v>
      </c>
      <c r="AE268" s="307">
        <f t="shared" si="88"/>
        <v>1</v>
      </c>
      <c r="AF268" s="179">
        <f t="shared" si="89"/>
        <v>0.9849897241009532</v>
      </c>
      <c r="AG268" s="837">
        <f t="shared" si="95"/>
        <v>-1</v>
      </c>
      <c r="AH268" s="178">
        <f t="shared" si="90"/>
        <v>5</v>
      </c>
      <c r="AI268" s="227">
        <f t="shared" si="91"/>
        <v>-1.5010275899046799E-2</v>
      </c>
      <c r="AJ268" s="267" t="b">
        <f t="shared" si="92"/>
        <v>0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4"/>
        <v>44451</v>
      </c>
      <c r="B269" s="618">
        <v>40.073999999999998</v>
      </c>
      <c r="C269" s="392"/>
      <c r="D269" s="395">
        <f t="shared" si="74"/>
        <v>41.149467049736678</v>
      </c>
      <c r="E269" s="387">
        <f t="shared" si="96"/>
        <v>44.976827346104933</v>
      </c>
      <c r="F269" s="387">
        <f t="shared" si="75"/>
        <v>45.292848865283851</v>
      </c>
      <c r="G269" s="110">
        <f t="shared" si="97"/>
        <v>0.93916545137305318</v>
      </c>
      <c r="H269" s="414" t="b">
        <f>Wh_hp&gt;='2020'!Maxi_hp</f>
        <v>0</v>
      </c>
      <c r="I269" s="382">
        <f>IF(H269,Wh_hp,'2020'!Maxi_hp)</f>
        <v>47.332460641090549</v>
      </c>
      <c r="J269" s="85">
        <f>IF(H269,An,'2020'!An_max)</f>
        <v>2019</v>
      </c>
      <c r="K269" s="199">
        <f t="shared" si="76"/>
        <v>44451</v>
      </c>
      <c r="L269" s="147">
        <f>IF(t&lt;Tvie,1-EXP((T0-t)*PertePVj)+'2020'!Pspv,1-EXP((T0-t)*PertePVj)+Pspv)</f>
        <v>2.6135625242406646E-2</v>
      </c>
      <c r="M269" s="870"/>
      <c r="N269" s="870"/>
      <c r="O269" s="48">
        <f>IF(t&lt;Tnet,'2020'!Resal+('2020'!Salim-'2020'!Resal)*(1-EXP(('2020'!Tnet-t)/('2020'!Tau_j))),Resal+(Salim-Resal)*(1-EXP((Tnet-t)/(Tau_j))))*Salcycl</f>
        <v>8.5096271173509305E-2</v>
      </c>
      <c r="P269" s="171">
        <f>(INDEX(Models!$BJ269:$BT269,,T269)*(1-R269)+INDEX(Models!$BJ269:$BT269,,T269+1)*R269-ERP_i)*Q269*Ramure*Pc/MaxiM</f>
        <v>7.6339569692753621E-3</v>
      </c>
      <c r="Q269" s="307">
        <f t="shared" si="77"/>
        <v>1</v>
      </c>
      <c r="R269" s="179">
        <f t="shared" si="78"/>
        <v>0.98558194423517498</v>
      </c>
      <c r="S269" s="837">
        <f t="shared" si="79"/>
        <v>-1</v>
      </c>
      <c r="T269" s="178">
        <f t="shared" si="80"/>
        <v>5</v>
      </c>
      <c r="U269" s="253">
        <f t="shared" si="81"/>
        <v>-1.4418055764825022E-2</v>
      </c>
      <c r="V269" s="385">
        <f t="shared" si="82"/>
        <v>42.641581340310744</v>
      </c>
      <c r="W269" s="404"/>
      <c r="X269" s="157">
        <f t="shared" si="83"/>
        <v>44451</v>
      </c>
      <c r="Y269" s="387">
        <f t="shared" si="84"/>
        <v>37.111392769511923</v>
      </c>
      <c r="Z269" s="387">
        <f t="shared" si="85"/>
        <v>38.107352246815061</v>
      </c>
      <c r="AA269" s="388">
        <f t="shared" si="86"/>
        <v>44.976827346104933</v>
      </c>
      <c r="AB269" s="199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0.15273365207438941</v>
      </c>
      <c r="AD269" s="233">
        <f>(INDEX(Models!$BJ269:$BT269,,AH269)*(1-AF269)+INDEX(Models!$BJ269:$BT269,,AH269+1)*AF269-ERP_i)*AE269*Ramure*Pc/MaxiM</f>
        <v>7.6339569692753621E-3</v>
      </c>
      <c r="AE269" s="307">
        <f t="shared" si="88"/>
        <v>1</v>
      </c>
      <c r="AF269" s="179">
        <f t="shared" si="89"/>
        <v>0.98558194423517498</v>
      </c>
      <c r="AG269" s="837">
        <f t="shared" si="95"/>
        <v>-1</v>
      </c>
      <c r="AH269" s="178">
        <f t="shared" si="90"/>
        <v>5</v>
      </c>
      <c r="AI269" s="227">
        <f t="shared" si="91"/>
        <v>-1.4418055764825022E-2</v>
      </c>
      <c r="AJ269" s="267" t="b">
        <f t="shared" si="92"/>
        <v>0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4"/>
        <v>44452</v>
      </c>
      <c r="B270" s="618">
        <v>28.632000000000001</v>
      </c>
      <c r="C270" s="392"/>
      <c r="D270" s="395">
        <f t="shared" si="74"/>
        <v>29.401081984441632</v>
      </c>
      <c r="E270" s="387">
        <f t="shared" si="96"/>
        <v>32.145483490023295</v>
      </c>
      <c r="F270" s="387">
        <f t="shared" si="75"/>
        <v>32.280677722651326</v>
      </c>
      <c r="G270" s="110">
        <f t="shared" si="97"/>
        <v>0.67516985291455855</v>
      </c>
      <c r="H270" s="414" t="b">
        <f>Wh_hp&gt;='2020'!Maxi_hp</f>
        <v>0</v>
      </c>
      <c r="I270" s="382">
        <f>IF(H270,Wh_hp,'2020'!Maxi_hp)</f>
        <v>44.332714285498227</v>
      </c>
      <c r="J270" s="85">
        <f>IF(H270,An,'2020'!An_max)</f>
        <v>2020</v>
      </c>
      <c r="K270" s="199">
        <f t="shared" si="76"/>
        <v>44452</v>
      </c>
      <c r="L270" s="147">
        <f>IF(t&lt;Tvie,1-EXP((T0-t)*PertePVj)+'2020'!Pspv,1-EXP((T0-t)*PertePVj)+Pspv)</f>
        <v>2.6158288489131487E-2</v>
      </c>
      <c r="M270" s="870"/>
      <c r="N270" s="870"/>
      <c r="O270" s="48">
        <f>IF(t&lt;Tnet,'2020'!Resal+('2020'!Salim-'2020'!Resal)*(1-EXP(('2020'!Tnet-t)/('2020'!Tau_j))),Resal+(Salim-Resal)*(1-EXP((Tnet-t)/(Tau_j))))*Salcycl</f>
        <v>8.5374404352431696E-2</v>
      </c>
      <c r="P270" s="171">
        <f>(INDEX(Models!$BJ270:$BT270,,T270)*(1-R270)+INDEX(Models!$BJ270:$BT270,,T270+1)*R270-ERP_i)*Q270*Ramure*Pc/MaxiM</f>
        <v>7.7638675968854445E-3</v>
      </c>
      <c r="Q270" s="307">
        <f t="shared" si="77"/>
        <v>1</v>
      </c>
      <c r="R270" s="179">
        <f t="shared" si="78"/>
        <v>0.98615128199466906</v>
      </c>
      <c r="S270" s="837">
        <f t="shared" si="79"/>
        <v>-1</v>
      </c>
      <c r="T270" s="178">
        <f t="shared" si="80"/>
        <v>5</v>
      </c>
      <c r="U270" s="253">
        <f t="shared" si="81"/>
        <v>-1.384871800533094E-2</v>
      </c>
      <c r="V270" s="385">
        <f t="shared" si="82"/>
        <v>42.254830383459073</v>
      </c>
      <c r="W270" s="404"/>
      <c r="X270" s="157">
        <f t="shared" si="83"/>
        <v>44452</v>
      </c>
      <c r="Y270" s="387">
        <f t="shared" si="84"/>
        <v>26.522592349363034</v>
      </c>
      <c r="Z270" s="387">
        <f t="shared" si="85"/>
        <v>27.235013694591608</v>
      </c>
      <c r="AA270" s="388">
        <f t="shared" si="86"/>
        <v>32.145483490023295</v>
      </c>
      <c r="AB270" s="199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0.15275768979974147</v>
      </c>
      <c r="AD270" s="233">
        <f>(INDEX(Models!$BJ270:$BT270,,AH270)*(1-AF270)+INDEX(Models!$BJ270:$BT270,,AH270+1)*AF270-ERP_i)*AE270*Ramure*Pc/MaxiM</f>
        <v>7.7638675968854445E-3</v>
      </c>
      <c r="AE270" s="307">
        <f t="shared" si="88"/>
        <v>1</v>
      </c>
      <c r="AF270" s="179">
        <f t="shared" si="89"/>
        <v>0.98615128199466906</v>
      </c>
      <c r="AG270" s="837">
        <f t="shared" si="95"/>
        <v>-1</v>
      </c>
      <c r="AH270" s="178">
        <f t="shared" si="90"/>
        <v>5</v>
      </c>
      <c r="AI270" s="227">
        <f t="shared" si="91"/>
        <v>-1.384871800533094E-2</v>
      </c>
      <c r="AJ270" s="267" t="b">
        <f t="shared" si="92"/>
        <v>0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4"/>
        <v>44453</v>
      </c>
      <c r="B271" s="618">
        <v>18.204000000000001</v>
      </c>
      <c r="C271" s="392"/>
      <c r="D271" s="395">
        <f t="shared" ref="D271:D334" si="98">Wh/(1-Ppv)</f>
        <v>18.693411288873477</v>
      </c>
      <c r="E271" s="387">
        <f t="shared" si="96"/>
        <v>20.444481505662914</v>
      </c>
      <c r="F271" s="387">
        <f t="shared" ref="F271:F334" si="99">Wh_sa/(1-Pvg*MEDIAN((-Sdif+Wh/Env_an)/Csdif,0,1))</f>
        <v>20.475603922385876</v>
      </c>
      <c r="G271" s="110">
        <f t="shared" si="97"/>
        <v>0.43204906416800121</v>
      </c>
      <c r="H271" s="414" t="b">
        <f>Wh_hp&gt;='2020'!Maxi_hp</f>
        <v>0</v>
      </c>
      <c r="I271" s="382">
        <f>IF(H271,Wh_hp,'2020'!Maxi_hp)</f>
        <v>43.753374021516187</v>
      </c>
      <c r="J271" s="85">
        <f>IF(H271,An,'2020'!An_max)</f>
        <v>2020</v>
      </c>
      <c r="K271" s="199">
        <f t="shared" ref="K271:K334" si="100">t</f>
        <v>44453</v>
      </c>
      <c r="L271" s="147">
        <f>IF(t&lt;Tvie,1-EXP((T0-t)*PertePVj)+'2020'!Pspv,1-EXP((T0-t)*PertePVj)+Pspv)</f>
        <v>2.6180951208449543E-2</v>
      </c>
      <c r="M271" s="870"/>
      <c r="N271" s="870"/>
      <c r="O271" s="48">
        <f>IF(t&lt;Tnet,'2020'!Resal+('2020'!Salim-'2020'!Resal)*(1-EXP(('2020'!Tnet-t)/('2020'!Tau_j))),Resal+(Salim-Resal)*(1-EXP((Tnet-t)/(Tau_j))))*Salcycl</f>
        <v>8.565001838292681E-2</v>
      </c>
      <c r="P271" s="171">
        <f>(INDEX(Models!$BJ271:$BT271,,T271)*(1-R271)+INDEX(Models!$BJ271:$BT271,,T271+1)*R271-ERP_i)*Q271*Ramure*Pc/MaxiM</f>
        <v>7.8916523524023632E-3</v>
      </c>
      <c r="Q271" s="307">
        <f t="shared" ref="Q271:Q334" si="101">IF(OR(t&lt;Ttai,Notai),Dd+PousD*Croivg,Dens+PousD*(Croivg-Croi_tai))</f>
        <v>1</v>
      </c>
      <c r="R271" s="179">
        <f t="shared" ref="R271:R334" si="102">(Hp_vg-S271)/(INDEX(Echel_vg,T271+1)-S271)</f>
        <v>0.98669858498087892</v>
      </c>
      <c r="S271" s="837">
        <f t="shared" ref="S271:S334" si="103">INDEX(Echel_vg,T271)</f>
        <v>-1</v>
      </c>
      <c r="T271" s="178">
        <f t="shared" ref="T271:T334" si="104">MIN(MATCH(Hp_vg,Echel_vg),10)</f>
        <v>5</v>
      </c>
      <c r="U271" s="253">
        <f t="shared" ref="U271:U334" si="105">IF(OR(t&lt;Ttai,Notai),Hdd+PousH*Croivg,Hdtf+PousH*(Croivg-Croi_tai))</f>
        <v>-1.3301415019121077E-2</v>
      </c>
      <c r="V271" s="385">
        <f t="shared" ref="V271:V334" si="106">MaxiM*(1-Ppv)*(1-Pvg)*(1-Psa)</f>
        <v>41.865229958146521</v>
      </c>
      <c r="W271" s="404"/>
      <c r="X271" s="157">
        <f t="shared" ref="X271:X334" si="107">t</f>
        <v>44453</v>
      </c>
      <c r="Y271" s="387">
        <f t="shared" ref="Y271:Y334" si="108">Wh_pvt_s*(1-Ppv)</f>
        <v>16.867510653423</v>
      </c>
      <c r="Z271" s="387">
        <f t="shared" ref="Z271:Z334" si="109">Wh_sa_s*(1-Psa_s)</f>
        <v>17.32099066490283</v>
      </c>
      <c r="AA271" s="388">
        <f t="shared" ref="AA271:AA334" si="110">Wh_hp*(1-Pvg_s*MEDIAN((-Sdif+Wh/Env_an)/Csdif,0,1))</f>
        <v>20.444481505662914</v>
      </c>
      <c r="AB271" s="199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0.1527791663434902</v>
      </c>
      <c r="AD271" s="233">
        <f>(INDEX(Models!$BJ271:$BT271,,AH271)*(1-AF271)+INDEX(Models!$BJ271:$BT271,,AH271+1)*AF271-ERP_i)*AE271*Ramure*Pc/MaxiM</f>
        <v>7.8916523524023632E-3</v>
      </c>
      <c r="AE271" s="307">
        <f t="shared" ref="AE271:AE334" si="112">IF(OR(t&lt;Ttai,Notai),Dd_s+PousD*Croivg,Dens_s+PousD*(Croivg-Croi_tai))</f>
        <v>1</v>
      </c>
      <c r="AF271" s="179">
        <f t="shared" ref="AF271:AF334" si="113">(Hp_vg_s-AG271)/(INDEX(Echel_vg,AH271+1)-AG271)</f>
        <v>0.98669858498087892</v>
      </c>
      <c r="AG271" s="837">
        <f t="shared" si="95"/>
        <v>-1</v>
      </c>
      <c r="AH271" s="178">
        <f t="shared" ref="AH271:AH334" si="114">MIN(MATCH(Hp_vg_s,Echel_vg),10)</f>
        <v>5</v>
      </c>
      <c r="AI271" s="227">
        <f t="shared" ref="AI271:AI334" si="115">IF(OR(t&lt;Ttai,Notai),Hdd_s+PousH*Croivg,Hdtai_s+PousH*(Croivg-Croi_tai))</f>
        <v>-1.3301415019121077E-2</v>
      </c>
      <c r="AJ271" s="267" t="b">
        <f t="shared" ref="AJ271:AJ334" si="116">t&lt;Tnet</f>
        <v>0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18">A271+1</f>
        <v>44454</v>
      </c>
      <c r="B272" s="618">
        <v>26.949000000000002</v>
      </c>
      <c r="C272" s="392"/>
      <c r="D272" s="395">
        <f t="shared" si="98"/>
        <v>27.674163070272296</v>
      </c>
      <c r="E272" s="387">
        <f t="shared" si="96"/>
        <v>30.275529033099801</v>
      </c>
      <c r="F272" s="387">
        <f t="shared" si="99"/>
        <v>30.397306994087256</v>
      </c>
      <c r="G272" s="110">
        <f t="shared" si="97"/>
        <v>0.64717498960660969</v>
      </c>
      <c r="H272" s="414" t="b">
        <f>Wh_hp&gt;='2020'!Maxi_hp</f>
        <v>0</v>
      </c>
      <c r="I272" s="382">
        <f>IF(H272,Wh_hp,'2020'!Maxi_hp)</f>
        <v>44.298163479728281</v>
      </c>
      <c r="J272" s="85">
        <f>IF(H272,An,'2020'!An_max)</f>
        <v>2020</v>
      </c>
      <c r="K272" s="199">
        <f t="shared" si="100"/>
        <v>44454</v>
      </c>
      <c r="L272" s="147">
        <f>IF(t&lt;Tvie,1-EXP((T0-t)*PertePVj)+'2020'!Pspv,1-EXP((T0-t)*PertePVj)+Pspv)</f>
        <v>2.6203613400373027E-2</v>
      </c>
      <c r="M272" s="870"/>
      <c r="N272" s="870"/>
      <c r="O272" s="48">
        <f>IF(t&lt;Tnet,'2020'!Resal+('2020'!Salim-'2020'!Resal)*(1-EXP(('2020'!Tnet-t)/('2020'!Tau_j))),Resal+(Salim-Resal)*(1-EXP((Tnet-t)/(Tau_j))))*Salcycl</f>
        <v>8.592305554705483E-2</v>
      </c>
      <c r="P272" s="171">
        <f>(INDEX(Models!$BJ272:$BT272,,T272)*(1-R272)+INDEX(Models!$BJ272:$BT272,,T272+1)*R272-ERP_i)*Q272*Ramure*Pc/MaxiM</f>
        <v>8.0171874254865768E-3</v>
      </c>
      <c r="Q272" s="307">
        <f t="shared" si="101"/>
        <v>1</v>
      </c>
      <c r="R272" s="179">
        <f t="shared" si="102"/>
        <v>0.9872246722347362</v>
      </c>
      <c r="S272" s="837">
        <f t="shared" si="103"/>
        <v>-1</v>
      </c>
      <c r="T272" s="178">
        <f t="shared" si="104"/>
        <v>5</v>
      </c>
      <c r="U272" s="253">
        <f t="shared" si="105"/>
        <v>-1.27753277652638E-2</v>
      </c>
      <c r="V272" s="385">
        <f t="shared" si="106"/>
        <v>41.473285880382633</v>
      </c>
      <c r="W272" s="404"/>
      <c r="X272" s="157">
        <f t="shared" si="107"/>
        <v>44454</v>
      </c>
      <c r="Y272" s="387">
        <f t="shared" si="108"/>
        <v>24.977379680047036</v>
      </c>
      <c r="Z272" s="387">
        <f t="shared" si="109"/>
        <v>25.649488973013</v>
      </c>
      <c r="AA272" s="388">
        <f t="shared" si="110"/>
        <v>30.275529033099801</v>
      </c>
      <c r="AB272" s="199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0.15279799256453025</v>
      </c>
      <c r="AD272" s="233">
        <f>(INDEX(Models!$BJ272:$BT272,,AH272)*(1-AF272)+INDEX(Models!$BJ272:$BT272,,AH272+1)*AF272-ERP_i)*AE272*Ramure*Pc/MaxiM</f>
        <v>8.0171874254865768E-3</v>
      </c>
      <c r="AE272" s="307">
        <f t="shared" si="112"/>
        <v>1</v>
      </c>
      <c r="AF272" s="179">
        <f t="shared" si="113"/>
        <v>0.9872246722347362</v>
      </c>
      <c r="AG272" s="837">
        <f t="shared" ref="AG272:AG335" si="119">INDEX(Echel_vg,AH272)</f>
        <v>-1</v>
      </c>
      <c r="AH272" s="178">
        <f t="shared" si="114"/>
        <v>5</v>
      </c>
      <c r="AI272" s="227">
        <f t="shared" si="115"/>
        <v>-1.27753277652638E-2</v>
      </c>
      <c r="AJ272" s="267" t="b">
        <f t="shared" si="116"/>
        <v>0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si="118"/>
        <v>44455</v>
      </c>
      <c r="B273" s="618">
        <v>20.657</v>
      </c>
      <c r="C273" s="392"/>
      <c r="D273" s="395">
        <f t="shared" si="98"/>
        <v>21.213347075448198</v>
      </c>
      <c r="E273" s="387">
        <f t="shared" si="96"/>
        <v>23.214264788486311</v>
      </c>
      <c r="F273" s="387">
        <f t="shared" si="99"/>
        <v>23.269156778271316</v>
      </c>
      <c r="G273" s="110">
        <f t="shared" si="97"/>
        <v>0.49994013885551308</v>
      </c>
      <c r="H273" s="414" t="b">
        <f>Wh_hp&gt;='2020'!Maxi_hp</f>
        <v>0</v>
      </c>
      <c r="I273" s="382">
        <f>IF(H273,Wh_hp,'2020'!Maxi_hp)</f>
        <v>41.309842416196986</v>
      </c>
      <c r="J273" s="85">
        <f>IF(H273,An,'2020'!An_max)</f>
        <v>2019</v>
      </c>
      <c r="K273" s="199">
        <f t="shared" si="100"/>
        <v>44455</v>
      </c>
      <c r="L273" s="147">
        <f>IF(t&lt;Tvie,1-EXP((T0-t)*PertePVj)+'2020'!Pspv,1-EXP((T0-t)*PertePVj)+Pspv)</f>
        <v>2.6226275064914151E-2</v>
      </c>
      <c r="M273" s="870"/>
      <c r="N273" s="870"/>
      <c r="O273" s="48">
        <f>IF(t&lt;Tnet,'2020'!Resal+('2020'!Salim-'2020'!Resal)*(1-EXP(('2020'!Tnet-t)/('2020'!Tau_j))),Resal+(Salim-Resal)*(1-EXP((Tnet-t)/(Tau_j))))*Salcycl</f>
        <v>8.619345610421901E-2</v>
      </c>
      <c r="P273" s="171">
        <f>(INDEX(Models!$BJ273:$BT273,,T273)*(1-R273)+INDEX(Models!$BJ273:$BT273,,T273+1)*R273-ERP_i)*Q273*Ramure*Pc/MaxiM</f>
        <v>8.14033735270904E-3</v>
      </c>
      <c r="Q273" s="307">
        <f t="shared" si="101"/>
        <v>1</v>
      </c>
      <c r="R273" s="179">
        <f t="shared" si="102"/>
        <v>0.98773033497539009</v>
      </c>
      <c r="S273" s="837">
        <f t="shared" si="103"/>
        <v>-1</v>
      </c>
      <c r="T273" s="178">
        <f t="shared" si="104"/>
        <v>5</v>
      </c>
      <c r="U273" s="253">
        <f t="shared" si="105"/>
        <v>-1.226966502460991E-2</v>
      </c>
      <c r="V273" s="385">
        <f t="shared" si="106"/>
        <v>41.0795032675031</v>
      </c>
      <c r="W273" s="404"/>
      <c r="X273" s="157">
        <f t="shared" si="107"/>
        <v>44455</v>
      </c>
      <c r="Y273" s="387">
        <f t="shared" si="108"/>
        <v>19.151011485968912</v>
      </c>
      <c r="Z273" s="387">
        <f t="shared" si="109"/>
        <v>19.666798349119109</v>
      </c>
      <c r="AA273" s="388">
        <f t="shared" si="110"/>
        <v>23.214264788486311</v>
      </c>
      <c r="AB273" s="199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0.1528140766761073</v>
      </c>
      <c r="AD273" s="233">
        <f>(INDEX(Models!$BJ273:$BT273,,AH273)*(1-AF273)+INDEX(Models!$BJ273:$BT273,,AH273+1)*AF273-ERP_i)*AE273*Ramure*Pc/MaxiM</f>
        <v>8.14033735270904E-3</v>
      </c>
      <c r="AE273" s="307">
        <f t="shared" si="112"/>
        <v>1</v>
      </c>
      <c r="AF273" s="179">
        <f t="shared" si="113"/>
        <v>0.98773033497539009</v>
      </c>
      <c r="AG273" s="837">
        <f t="shared" si="119"/>
        <v>-1</v>
      </c>
      <c r="AH273" s="178">
        <f t="shared" si="114"/>
        <v>5</v>
      </c>
      <c r="AI273" s="227">
        <f t="shared" si="115"/>
        <v>-1.226966502460991E-2</v>
      </c>
      <c r="AJ273" s="267" t="b">
        <f t="shared" si="116"/>
        <v>0</v>
      </c>
      <c r="AK273" s="267" t="b">
        <f t="shared" si="117"/>
        <v>0</v>
      </c>
      <c r="AL273" s="267"/>
      <c r="AM273" s="267"/>
      <c r="AN273" s="75"/>
    </row>
    <row r="274" spans="1:40" s="6" customFormat="1" ht="11.25" x14ac:dyDescent="0.2">
      <c r="A274" s="56">
        <f t="shared" si="118"/>
        <v>44456</v>
      </c>
      <c r="B274" s="618">
        <v>38.264000000000003</v>
      </c>
      <c r="C274" s="392"/>
      <c r="D274" s="395">
        <f t="shared" si="98"/>
        <v>39.295464131006113</v>
      </c>
      <c r="E274" s="387">
        <f t="shared" si="96"/>
        <v>43.01455213642307</v>
      </c>
      <c r="F274" s="387">
        <f t="shared" si="99"/>
        <v>43.342169987619108</v>
      </c>
      <c r="G274" s="110">
        <f t="shared" si="97"/>
        <v>0.93984287556038915</v>
      </c>
      <c r="H274" s="414" t="b">
        <f>Wh_hp&gt;='2020'!Maxi_hp</f>
        <v>1</v>
      </c>
      <c r="I274" s="382">
        <f>IF(H274,Wh_hp,'2020'!Maxi_hp)</f>
        <v>43.342169987619108</v>
      </c>
      <c r="J274" s="85">
        <f>IF(H274,An,'2020'!An_max)</f>
        <v>2021</v>
      </c>
      <c r="K274" s="199">
        <f t="shared" si="100"/>
        <v>44456</v>
      </c>
      <c r="L274" s="147">
        <f>IF(t&lt;Tvie,1-EXP((T0-t)*PertePVj)+'2020'!Pspv,1-EXP((T0-t)*PertePVj)+Pspv)</f>
        <v>2.6248936202085238E-2</v>
      </c>
      <c r="M274" s="870"/>
      <c r="N274" s="870"/>
      <c r="O274" s="48">
        <f>IF(t&lt;Tnet,'2020'!Resal+('2020'!Salim-'2020'!Resal)*(1-EXP(('2020'!Tnet-t)/('2020'!Tau_j))),Resal+(Salim-Resal)*(1-EXP((Tnet-t)/(Tau_j))))*Salcycl</f>
        <v>8.6461158391738208E-2</v>
      </c>
      <c r="P274" s="171">
        <f>(INDEX(Models!$BJ274:$BT274,,T274)*(1-R274)+INDEX(Models!$BJ274:$BT274,,T274+1)*R274-ERP_i)*Q274*Ramure*Pc/MaxiM</f>
        <v>8.2609546547142108E-3</v>
      </c>
      <c r="Q274" s="307">
        <f t="shared" si="101"/>
        <v>1</v>
      </c>
      <c r="R274" s="179">
        <f t="shared" si="102"/>
        <v>0.98821633733852776</v>
      </c>
      <c r="S274" s="837">
        <f t="shared" si="103"/>
        <v>-1</v>
      </c>
      <c r="T274" s="178">
        <f t="shared" si="104"/>
        <v>5</v>
      </c>
      <c r="U274" s="253">
        <f t="shared" si="105"/>
        <v>-1.1783662661472238E-2</v>
      </c>
      <c r="V274" s="385">
        <f t="shared" si="106"/>
        <v>40.684386544696473</v>
      </c>
      <c r="W274" s="404"/>
      <c r="X274" s="157">
        <f t="shared" si="107"/>
        <v>44456</v>
      </c>
      <c r="Y274" s="387">
        <f t="shared" si="108"/>
        <v>35.484222214425976</v>
      </c>
      <c r="Z274" s="387">
        <f t="shared" si="109"/>
        <v>36.440753220876701</v>
      </c>
      <c r="AA274" s="388">
        <f t="shared" si="110"/>
        <v>43.01455213642307</v>
      </c>
      <c r="AB274" s="199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0.15282732445283151</v>
      </c>
      <c r="AD274" s="233">
        <f>(INDEX(Models!$BJ274:$BT274,,AH274)*(1-AF274)+INDEX(Models!$BJ274:$BT274,,AH274+1)*AF274-ERP_i)*AE274*Ramure*Pc/MaxiM</f>
        <v>8.2609546547142108E-3</v>
      </c>
      <c r="AE274" s="307">
        <f t="shared" si="112"/>
        <v>1</v>
      </c>
      <c r="AF274" s="179">
        <f t="shared" si="113"/>
        <v>0.98821633733852776</v>
      </c>
      <c r="AG274" s="837">
        <f t="shared" si="119"/>
        <v>-1</v>
      </c>
      <c r="AH274" s="178">
        <f t="shared" si="114"/>
        <v>5</v>
      </c>
      <c r="AI274" s="227">
        <f t="shared" si="115"/>
        <v>-1.1783662661472238E-2</v>
      </c>
      <c r="AJ274" s="267" t="b">
        <f t="shared" si="116"/>
        <v>0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8"/>
        <v>44457</v>
      </c>
      <c r="B275" s="618">
        <v>8.2919999999999998</v>
      </c>
      <c r="C275" s="392"/>
      <c r="D275" s="395">
        <f t="shared" si="98"/>
        <v>8.515721604557303</v>
      </c>
      <c r="E275" s="387">
        <f t="shared" si="96"/>
        <v>9.3243895339887377</v>
      </c>
      <c r="F275" s="387">
        <f t="shared" si="99"/>
        <v>9.3243895339887377</v>
      </c>
      <c r="G275" s="110">
        <f t="shared" si="97"/>
        <v>0.2041075194196631</v>
      </c>
      <c r="H275" s="414" t="b">
        <f>Wh_hp&gt;='2020'!Maxi_hp</f>
        <v>0</v>
      </c>
      <c r="I275" s="382">
        <f>IF(H275,Wh_hp,'2020'!Maxi_hp)</f>
        <v>39.942133992731698</v>
      </c>
      <c r="J275" s="85">
        <f>IF(H275,An,'2020'!An_max)</f>
        <v>2020</v>
      </c>
      <c r="K275" s="199">
        <f t="shared" si="100"/>
        <v>44457</v>
      </c>
      <c r="L275" s="147">
        <f>IF(t&lt;Tvie,1-EXP((T0-t)*PertePVj)+'2020'!Pspv,1-EXP((T0-t)*PertePVj)+Pspv)</f>
        <v>2.6271596811898612E-2</v>
      </c>
      <c r="M275" s="870"/>
      <c r="N275" s="870"/>
      <c r="O275" s="48">
        <f>IF(t&lt;Tnet,'2020'!Resal+('2020'!Salim-'2020'!Resal)*(1-EXP(('2020'!Tnet-t)/('2020'!Tau_j))),Resal+(Salim-Resal)*(1-EXP((Tnet-t)/(Tau_j))))*Salcycl</f>
        <v>8.6726098956261211E-2</v>
      </c>
      <c r="P275" s="171">
        <f>(INDEX(Models!$BJ275:$BT275,,T275)*(1-R275)+INDEX(Models!$BJ275:$BT275,,T275+1)*R275-ERP_i)*Q275*Ramure*Pc/MaxiM</f>
        <v>8.3795429657126386E-3</v>
      </c>
      <c r="Q275" s="307">
        <f t="shared" si="101"/>
        <v>1</v>
      </c>
      <c r="R275" s="179">
        <f t="shared" si="102"/>
        <v>0.98868341711232866</v>
      </c>
      <c r="S275" s="837">
        <f t="shared" si="103"/>
        <v>-1</v>
      </c>
      <c r="T275" s="178">
        <f t="shared" si="104"/>
        <v>5</v>
      </c>
      <c r="U275" s="253">
        <f t="shared" si="105"/>
        <v>-1.1316582887671345E-2</v>
      </c>
      <c r="V275" s="385">
        <f t="shared" si="106"/>
        <v>40.285222480324649</v>
      </c>
      <c r="W275" s="404"/>
      <c r="X275" s="157">
        <f t="shared" si="107"/>
        <v>44457</v>
      </c>
      <c r="Y275" s="387">
        <f t="shared" si="108"/>
        <v>7.6917453628511581</v>
      </c>
      <c r="Z275" s="387">
        <f t="shared" si="109"/>
        <v>7.8992718479480297</v>
      </c>
      <c r="AA275" s="388">
        <f t="shared" si="110"/>
        <v>9.3243895339887377</v>
      </c>
      <c r="AB275" s="199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0.15283763948792031</v>
      </c>
      <c r="AD275" s="233">
        <f>(INDEX(Models!$BJ275:$BT275,,AH275)*(1-AF275)+INDEX(Models!$BJ275:$BT275,,AH275+1)*AF275-ERP_i)*AE275*Ramure*Pc/MaxiM</f>
        <v>8.3795429657126386E-3</v>
      </c>
      <c r="AE275" s="307">
        <f t="shared" si="112"/>
        <v>1</v>
      </c>
      <c r="AF275" s="179">
        <f t="shared" si="113"/>
        <v>0.98868341711232866</v>
      </c>
      <c r="AG275" s="837">
        <f t="shared" si="119"/>
        <v>-1</v>
      </c>
      <c r="AH275" s="178">
        <f t="shared" si="114"/>
        <v>5</v>
      </c>
      <c r="AI275" s="227">
        <f t="shared" si="115"/>
        <v>-1.1316582887671345E-2</v>
      </c>
      <c r="AJ275" s="267" t="b">
        <f t="shared" si="116"/>
        <v>0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8"/>
        <v>44458</v>
      </c>
      <c r="B276" s="618">
        <v>26.262</v>
      </c>
      <c r="C276" s="392"/>
      <c r="D276" s="395">
        <f t="shared" si="98"/>
        <v>26.971187328357924</v>
      </c>
      <c r="E276" s="387">
        <f t="shared" si="96"/>
        <v>29.540897175740756</v>
      </c>
      <c r="F276" s="387">
        <f t="shared" si="99"/>
        <v>29.669946282912303</v>
      </c>
      <c r="G276" s="110">
        <f t="shared" si="97"/>
        <v>0.65578975327978128</v>
      </c>
      <c r="H276" s="414" t="b">
        <f>Wh_hp&gt;='2020'!Maxi_hp</f>
        <v>0</v>
      </c>
      <c r="I276" s="382">
        <f>IF(H276,Wh_hp,'2020'!Maxi_hp)</f>
        <v>40.768684466734584</v>
      </c>
      <c r="J276" s="85">
        <f>IF(H276,An,'2020'!An_max)</f>
        <v>2019</v>
      </c>
      <c r="K276" s="199">
        <f t="shared" si="100"/>
        <v>44458</v>
      </c>
      <c r="L276" s="147">
        <f>IF(t&lt;Tvie,1-EXP((T0-t)*PertePVj)+'2020'!Pspv,1-EXP((T0-t)*PertePVj)+Pspv)</f>
        <v>2.6294256894366375E-2</v>
      </c>
      <c r="M276" s="870"/>
      <c r="N276" s="870"/>
      <c r="O276" s="48">
        <f>IF(t&lt;Tnet,'2020'!Resal+('2020'!Salim-'2020'!Resal)*(1-EXP(('2020'!Tnet-t)/('2020'!Tau_j))),Resal+(Salim-Resal)*(1-EXP((Tnet-t)/(Tau_j))))*Salcycl</f>
        <v>8.6988212717286698E-2</v>
      </c>
      <c r="P276" s="171">
        <f>(INDEX(Models!$BJ276:$BT276,,T276)*(1-R276)+INDEX(Models!$BJ276:$BT276,,T276+1)*R276-ERP_i)*Q276*Ramure*Pc/MaxiM</f>
        <v>8.4920238284866209E-3</v>
      </c>
      <c r="Q276" s="307">
        <f t="shared" si="101"/>
        <v>1</v>
      </c>
      <c r="R276" s="179">
        <f t="shared" si="102"/>
        <v>0.98913228646929496</v>
      </c>
      <c r="S276" s="837">
        <f t="shared" si="103"/>
        <v>-1</v>
      </c>
      <c r="T276" s="178">
        <f t="shared" si="104"/>
        <v>5</v>
      </c>
      <c r="U276" s="253">
        <f t="shared" si="105"/>
        <v>-1.0867713530705037E-2</v>
      </c>
      <c r="V276" s="385">
        <f t="shared" si="106"/>
        <v>39.879753180065769</v>
      </c>
      <c r="W276" s="404"/>
      <c r="X276" s="157">
        <f t="shared" si="107"/>
        <v>44458</v>
      </c>
      <c r="Y276" s="387">
        <f t="shared" si="108"/>
        <v>24.36768826961891</v>
      </c>
      <c r="Z276" s="387">
        <f t="shared" si="109"/>
        <v>25.025721006736788</v>
      </c>
      <c r="AA276" s="388">
        <f t="shared" si="110"/>
        <v>29.540897175740756</v>
      </c>
      <c r="AB276" s="199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0.15284492350191284</v>
      </c>
      <c r="AD276" s="233">
        <f>(INDEX(Models!$BJ276:$BT276,,AH276)*(1-AF276)+INDEX(Models!$BJ276:$BT276,,AH276+1)*AF276-ERP_i)*AE276*Ramure*Pc/MaxiM</f>
        <v>8.4920238284866209E-3</v>
      </c>
      <c r="AE276" s="307">
        <f t="shared" si="112"/>
        <v>1</v>
      </c>
      <c r="AF276" s="179">
        <f t="shared" si="113"/>
        <v>0.98913228646929496</v>
      </c>
      <c r="AG276" s="837">
        <f t="shared" si="119"/>
        <v>-1</v>
      </c>
      <c r="AH276" s="178">
        <f t="shared" si="114"/>
        <v>5</v>
      </c>
      <c r="AI276" s="227">
        <f t="shared" si="115"/>
        <v>-1.0867713530705037E-2</v>
      </c>
      <c r="AJ276" s="267" t="b">
        <f t="shared" si="116"/>
        <v>0</v>
      </c>
      <c r="AK276" s="267" t="b">
        <f t="shared" si="117"/>
        <v>0</v>
      </c>
      <c r="AL276" s="267"/>
      <c r="AM276" s="267"/>
      <c r="AN276" s="75"/>
    </row>
    <row r="277" spans="1:40" s="6" customFormat="1" ht="11.25" x14ac:dyDescent="0.2">
      <c r="A277" s="56">
        <f t="shared" si="118"/>
        <v>44459</v>
      </c>
      <c r="B277" s="618">
        <v>25.257000000000001</v>
      </c>
      <c r="C277" s="392"/>
      <c r="D277" s="395">
        <f t="shared" si="98"/>
        <v>25.939651645072537</v>
      </c>
      <c r="E277" s="387">
        <f t="shared" si="96"/>
        <v>28.419149490845086</v>
      </c>
      <c r="F277" s="387">
        <f t="shared" si="99"/>
        <v>28.538341952991143</v>
      </c>
      <c r="G277" s="110">
        <f t="shared" si="97"/>
        <v>0.63708046218036885</v>
      </c>
      <c r="H277" s="414" t="b">
        <f>Wh_hp&gt;='2020'!Maxi_hp</f>
        <v>0</v>
      </c>
      <c r="I277" s="382">
        <f>IF(H277,Wh_hp,'2020'!Maxi_hp)</f>
        <v>41.687468761411431</v>
      </c>
      <c r="J277" s="85">
        <f>IF(H277,An,'2020'!An_max)</f>
        <v>2019</v>
      </c>
      <c r="K277" s="199">
        <f t="shared" si="100"/>
        <v>44459</v>
      </c>
      <c r="L277" s="147">
        <f>IF(t&lt;Tvie,1-EXP((T0-t)*PertePVj)+'2020'!Pspv,1-EXP((T0-t)*PertePVj)+Pspv)</f>
        <v>2.631691644950096E-2</v>
      </c>
      <c r="M277" s="870"/>
      <c r="N277" s="870"/>
      <c r="O277" s="48">
        <f>IF(t&lt;Tnet,'2020'!Resal+('2020'!Salim-'2020'!Resal)*(1-EXP(('2020'!Tnet-t)/('2020'!Tau_j))),Resal+(Salim-Resal)*(1-EXP((Tnet-t)/(Tau_j))))*Salcycl</f>
        <v>8.7247433163729779E-2</v>
      </c>
      <c r="P277" s="171">
        <f>(INDEX(Models!$BJ277:$BT277,,T277)*(1-R277)+INDEX(Models!$BJ277:$BT277,,T277+1)*R277-ERP_i)*Q277*Ramure*Pc/MaxiM</f>
        <v>8.6007620161762041E-3</v>
      </c>
      <c r="Q277" s="307">
        <f t="shared" si="101"/>
        <v>1</v>
      </c>
      <c r="R277" s="179">
        <f t="shared" si="102"/>
        <v>0.98956363269237724</v>
      </c>
      <c r="S277" s="837">
        <f t="shared" si="103"/>
        <v>-1</v>
      </c>
      <c r="T277" s="178">
        <f t="shared" si="104"/>
        <v>5</v>
      </c>
      <c r="U277" s="253">
        <f t="shared" si="105"/>
        <v>-1.0436367307622763E-2</v>
      </c>
      <c r="V277" s="385">
        <f t="shared" si="106"/>
        <v>39.468781559328463</v>
      </c>
      <c r="W277" s="404"/>
      <c r="X277" s="157">
        <f t="shared" si="107"/>
        <v>44459</v>
      </c>
      <c r="Y277" s="387">
        <f t="shared" si="108"/>
        <v>23.441720842114496</v>
      </c>
      <c r="Z277" s="387">
        <f t="shared" si="109"/>
        <v>24.075308730470223</v>
      </c>
      <c r="AA277" s="388">
        <f t="shared" si="110"/>
        <v>28.419149490845086</v>
      </c>
      <c r="AB277" s="199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0.15284907670351588</v>
      </c>
      <c r="AD277" s="233">
        <f>(INDEX(Models!$BJ277:$BT277,,AH277)*(1-AF277)+INDEX(Models!$BJ277:$BT277,,AH277+1)*AF277-ERP_i)*AE277*Ramure*Pc/MaxiM</f>
        <v>8.6007620161762041E-3</v>
      </c>
      <c r="AE277" s="307">
        <f t="shared" si="112"/>
        <v>1</v>
      </c>
      <c r="AF277" s="179">
        <f t="shared" si="113"/>
        <v>0.98956363269237724</v>
      </c>
      <c r="AG277" s="837">
        <f t="shared" si="119"/>
        <v>-1</v>
      </c>
      <c r="AH277" s="178">
        <f t="shared" si="114"/>
        <v>5</v>
      </c>
      <c r="AI277" s="227">
        <f t="shared" si="115"/>
        <v>-1.0436367307622763E-2</v>
      </c>
      <c r="AJ277" s="267" t="b">
        <f t="shared" si="116"/>
        <v>0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8"/>
        <v>44460</v>
      </c>
      <c r="B278" s="618">
        <v>12.683</v>
      </c>
      <c r="C278" s="392"/>
      <c r="D278" s="395">
        <f t="shared" si="98"/>
        <v>13.026101996717747</v>
      </c>
      <c r="E278" s="387">
        <f t="shared" si="96"/>
        <v>14.275238037517976</v>
      </c>
      <c r="F278" s="387">
        <f t="shared" si="99"/>
        <v>14.279635456346535</v>
      </c>
      <c r="G278" s="110">
        <f t="shared" si="97"/>
        <v>0.3220339423512672</v>
      </c>
      <c r="H278" s="414" t="b">
        <f>Wh_hp&gt;='2020'!Maxi_hp</f>
        <v>0</v>
      </c>
      <c r="I278" s="382">
        <f>IF(H278,Wh_hp,'2020'!Maxi_hp)</f>
        <v>35.312947782879434</v>
      </c>
      <c r="J278" s="85">
        <f>IF(H278,An,'2020'!An_max)</f>
        <v>2020</v>
      </c>
      <c r="K278" s="199">
        <f t="shared" si="100"/>
        <v>44460</v>
      </c>
      <c r="L278" s="147">
        <f>IF(t&lt;Tvie,1-EXP((T0-t)*PertePVj)+'2020'!Pspv,1-EXP((T0-t)*PertePVj)+Pspv)</f>
        <v>2.6339575477314692E-2</v>
      </c>
      <c r="M278" s="870"/>
      <c r="N278" s="870"/>
      <c r="O278" s="48">
        <f>IF(t&lt;Tnet,'2020'!Resal+('2020'!Salim-'2020'!Resal)*(1-EXP(('2020'!Tnet-t)/('2020'!Tau_j))),Resal+(Salim-Resal)*(1-EXP((Tnet-t)/(Tau_j))))*Salcycl</f>
        <v>8.7503692584128351E-2</v>
      </c>
      <c r="P278" s="171">
        <f>(INDEX(Models!$BJ278:$BT278,,T278)*(1-R278)+INDEX(Models!$BJ278:$BT278,,T278+1)*R278-ERP_i)*Q278*Ramure*Pc/MaxiM</f>
        <v>8.7054916165697528E-3</v>
      </c>
      <c r="Q278" s="307">
        <f t="shared" si="101"/>
        <v>1</v>
      </c>
      <c r="R278" s="179">
        <f t="shared" si="102"/>
        <v>0.98997811889399989</v>
      </c>
      <c r="S278" s="837">
        <f t="shared" si="103"/>
        <v>-1</v>
      </c>
      <c r="T278" s="178">
        <f t="shared" si="104"/>
        <v>5</v>
      </c>
      <c r="U278" s="253">
        <f t="shared" si="105"/>
        <v>-1.0021881106000108E-2</v>
      </c>
      <c r="V278" s="385">
        <f t="shared" si="106"/>
        <v>39.053216203559806</v>
      </c>
      <c r="W278" s="404"/>
      <c r="X278" s="157">
        <f t="shared" si="107"/>
        <v>44460</v>
      </c>
      <c r="Y278" s="387">
        <f t="shared" si="108"/>
        <v>11.774736385754093</v>
      </c>
      <c r="Z278" s="387">
        <f t="shared" si="109"/>
        <v>12.093267929141094</v>
      </c>
      <c r="AA278" s="388">
        <f t="shared" si="110"/>
        <v>14.275238037517976</v>
      </c>
      <c r="AB278" s="199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0.15284999820264014</v>
      </c>
      <c r="AD278" s="233">
        <f>(INDEX(Models!$BJ278:$BT278,,AH278)*(1-AF278)+INDEX(Models!$BJ278:$BT278,,AH278+1)*AF278-ERP_i)*AE278*Ramure*Pc/MaxiM</f>
        <v>8.7054916165697528E-3</v>
      </c>
      <c r="AE278" s="307">
        <f t="shared" si="112"/>
        <v>1</v>
      </c>
      <c r="AF278" s="179">
        <f t="shared" si="113"/>
        <v>0.98997811889399989</v>
      </c>
      <c r="AG278" s="837">
        <f t="shared" si="119"/>
        <v>-1</v>
      </c>
      <c r="AH278" s="178">
        <f t="shared" si="114"/>
        <v>5</v>
      </c>
      <c r="AI278" s="227">
        <f t="shared" si="115"/>
        <v>-1.0021881106000108E-2</v>
      </c>
      <c r="AJ278" s="267" t="b">
        <f t="shared" si="116"/>
        <v>0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8"/>
        <v>44461</v>
      </c>
      <c r="B279" s="618">
        <v>35.630000000000003</v>
      </c>
      <c r="C279" s="392"/>
      <c r="D279" s="395">
        <f t="shared" si="98"/>
        <v>36.594718532300973</v>
      </c>
      <c r="E279" s="387">
        <f t="shared" si="96"/>
        <v>40.115095886282845</v>
      </c>
      <c r="F279" s="387">
        <f t="shared" si="99"/>
        <v>40.43158543007678</v>
      </c>
      <c r="G279" s="110">
        <f t="shared" si="97"/>
        <v>0.92133629948944074</v>
      </c>
      <c r="H279" s="414" t="b">
        <f>Wh_hp&gt;='2020'!Maxi_hp</f>
        <v>1</v>
      </c>
      <c r="I279" s="382">
        <f>IF(H279,Wh_hp,'2020'!Maxi_hp)</f>
        <v>40.43158543007678</v>
      </c>
      <c r="J279" s="85">
        <f>IF(H279,An,'2020'!An_max)</f>
        <v>2021</v>
      </c>
      <c r="K279" s="199">
        <f t="shared" si="100"/>
        <v>44461</v>
      </c>
      <c r="L279" s="147">
        <f>IF(t&lt;Tvie,1-EXP((T0-t)*PertePVj)+'2020'!Pspv,1-EXP((T0-t)*PertePVj)+Pspv)</f>
        <v>2.6362233977819671E-2</v>
      </c>
      <c r="M279" s="870"/>
      <c r="N279" s="870"/>
      <c r="O279" s="48">
        <f>IF(t&lt;Tnet,'2020'!Resal+('2020'!Salim-'2020'!Resal)*(1-EXP(('2020'!Tnet-t)/('2020'!Tau_j))),Resal+(Salim-Resal)*(1-EXP((Tnet-t)/(Tau_j))))*Salcycl</f>
        <v>8.7756922330719037E-2</v>
      </c>
      <c r="P279" s="171">
        <f>(INDEX(Models!$BJ279:$BT279,,T279)*(1-R279)+INDEX(Models!$BJ279:$BT279,,T279+1)*R279-ERP_i)*Q279*Ramure*Pc/MaxiM</f>
        <v>8.805922666498045E-3</v>
      </c>
      <c r="Q279" s="307">
        <f t="shared" si="101"/>
        <v>1</v>
      </c>
      <c r="R279" s="179">
        <f t="shared" si="102"/>
        <v>0.99037638472673417</v>
      </c>
      <c r="S279" s="837">
        <f t="shared" si="103"/>
        <v>-1</v>
      </c>
      <c r="T279" s="178">
        <f t="shared" si="104"/>
        <v>5</v>
      </c>
      <c r="U279" s="253">
        <f t="shared" si="105"/>
        <v>-9.6236152732658287E-3</v>
      </c>
      <c r="V279" s="385">
        <f t="shared" si="106"/>
        <v>38.633964412160523</v>
      </c>
      <c r="W279" s="404"/>
      <c r="X279" s="157">
        <f t="shared" si="107"/>
        <v>44461</v>
      </c>
      <c r="Y279" s="387">
        <f t="shared" si="108"/>
        <v>33.08771667636173</v>
      </c>
      <c r="Z279" s="387">
        <f t="shared" si="109"/>
        <v>33.983600298848678</v>
      </c>
      <c r="AA279" s="388">
        <f t="shared" si="110"/>
        <v>40.115095886282845</v>
      </c>
      <c r="AB279" s="199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0.15284758647506555</v>
      </c>
      <c r="AD279" s="233">
        <f>(INDEX(Models!$BJ279:$BT279,,AH279)*(1-AF279)+INDEX(Models!$BJ279:$BT279,,AH279+1)*AF279-ERP_i)*AE279*Ramure*Pc/MaxiM</f>
        <v>8.805922666498045E-3</v>
      </c>
      <c r="AE279" s="307">
        <f t="shared" si="112"/>
        <v>1</v>
      </c>
      <c r="AF279" s="179">
        <f t="shared" si="113"/>
        <v>0.99037638472673417</v>
      </c>
      <c r="AG279" s="837">
        <f t="shared" si="119"/>
        <v>-1</v>
      </c>
      <c r="AH279" s="178">
        <f t="shared" si="114"/>
        <v>5</v>
      </c>
      <c r="AI279" s="227">
        <f t="shared" si="115"/>
        <v>-9.6236152732658287E-3</v>
      </c>
      <c r="AJ279" s="267" t="b">
        <f t="shared" si="116"/>
        <v>0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8"/>
        <v>44462</v>
      </c>
      <c r="B280" s="618">
        <v>29.523</v>
      </c>
      <c r="C280" s="392"/>
      <c r="D280" s="395">
        <f t="shared" si="98"/>
        <v>30.323070950656433</v>
      </c>
      <c r="E280" s="387">
        <f t="shared" si="96"/>
        <v>33.249238444553768</v>
      </c>
      <c r="F280" s="387">
        <f t="shared" si="99"/>
        <v>33.450279049374153</v>
      </c>
      <c r="G280" s="110">
        <f t="shared" si="97"/>
        <v>0.77036446901160671</v>
      </c>
      <c r="H280" s="414" t="b">
        <f>Wh_hp&gt;='2020'!Maxi_hp</f>
        <v>0</v>
      </c>
      <c r="I280" s="382">
        <f>IF(H280,Wh_hp,'2020'!Maxi_hp)</f>
        <v>39.136561933282216</v>
      </c>
      <c r="J280" s="85">
        <f>IF(H280,An,'2020'!An_max)</f>
        <v>2019</v>
      </c>
      <c r="K280" s="199">
        <f t="shared" si="100"/>
        <v>44462</v>
      </c>
      <c r="L280" s="147">
        <f>IF(t&lt;Tvie,1-EXP((T0-t)*PertePVj)+'2020'!Pspv,1-EXP((T0-t)*PertePVj)+Pspv)</f>
        <v>2.6384891951028222E-2</v>
      </c>
      <c r="M280" s="870"/>
      <c r="N280" s="870"/>
      <c r="O280" s="48">
        <f>IF(t&lt;Tnet,'2020'!Resal+('2020'!Salim-'2020'!Resal)*(1-EXP(('2020'!Tnet-t)/('2020'!Tau_j))),Resal+(Salim-Resal)*(1-EXP((Tnet-t)/(Tau_j))))*Salcycl</f>
        <v>8.8007053117231365E-2</v>
      </c>
      <c r="P280" s="171">
        <f>(INDEX(Models!$BJ280:$BT280,,T280)*(1-R280)+INDEX(Models!$BJ280:$BT280,,T280+1)*R280-ERP_i)*Q280*Ramure*Pc/MaxiM</f>
        <v>8.9017877616143441E-3</v>
      </c>
      <c r="Q280" s="307">
        <f t="shared" si="101"/>
        <v>1</v>
      </c>
      <c r="R280" s="179">
        <f t="shared" si="102"/>
        <v>0.99075904708452545</v>
      </c>
      <c r="S280" s="837">
        <f t="shared" si="103"/>
        <v>-1</v>
      </c>
      <c r="T280" s="178">
        <f t="shared" si="104"/>
        <v>5</v>
      </c>
      <c r="U280" s="253">
        <f t="shared" si="105"/>
        <v>-9.240952915474554E-3</v>
      </c>
      <c r="V280" s="385">
        <f t="shared" si="106"/>
        <v>38.211930394645186</v>
      </c>
      <c r="W280" s="404"/>
      <c r="X280" s="157">
        <f t="shared" si="107"/>
        <v>44462</v>
      </c>
      <c r="Y280" s="387">
        <f t="shared" si="108"/>
        <v>27.424174056480105</v>
      </c>
      <c r="Z280" s="387">
        <f t="shared" si="109"/>
        <v>28.167366991084837</v>
      </c>
      <c r="AA280" s="388">
        <f t="shared" si="110"/>
        <v>33.249238444553768</v>
      </c>
      <c r="AB280" s="199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0.15284173987754426</v>
      </c>
      <c r="AD280" s="233">
        <f>(INDEX(Models!$BJ280:$BT280,,AH280)*(1-AF280)+INDEX(Models!$BJ280:$BT280,,AH280+1)*AF280-ERP_i)*AE280*Ramure*Pc/MaxiM</f>
        <v>8.9017877616143441E-3</v>
      </c>
      <c r="AE280" s="307">
        <f t="shared" si="112"/>
        <v>1</v>
      </c>
      <c r="AF280" s="179">
        <f t="shared" si="113"/>
        <v>0.99075904708452545</v>
      </c>
      <c r="AG280" s="837">
        <f t="shared" si="119"/>
        <v>-1</v>
      </c>
      <c r="AH280" s="178">
        <f t="shared" si="114"/>
        <v>5</v>
      </c>
      <c r="AI280" s="227">
        <f t="shared" si="115"/>
        <v>-9.240952915474554E-3</v>
      </c>
      <c r="AJ280" s="267" t="b">
        <f t="shared" si="116"/>
        <v>0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8"/>
        <v>44463</v>
      </c>
      <c r="B281" s="618">
        <v>31.622</v>
      </c>
      <c r="C281" s="392"/>
      <c r="D281" s="395">
        <f t="shared" si="98"/>
        <v>32.479709533915546</v>
      </c>
      <c r="E281" s="387">
        <f t="shared" si="96"/>
        <v>35.623638689649731</v>
      </c>
      <c r="F281" s="387">
        <f t="shared" si="99"/>
        <v>35.871023448312265</v>
      </c>
      <c r="G281" s="110">
        <f t="shared" si="97"/>
        <v>0.83505971509389409</v>
      </c>
      <c r="H281" s="414" t="b">
        <f>Wh_hp&gt;='2020'!Maxi_hp</f>
        <v>1</v>
      </c>
      <c r="I281" s="382">
        <f>IF(H281,Wh_hp,'2020'!Maxi_hp)</f>
        <v>35.871023448312265</v>
      </c>
      <c r="J281" s="85">
        <f>IF(H281,An,'2020'!An_max)</f>
        <v>2021</v>
      </c>
      <c r="K281" s="199">
        <f t="shared" si="100"/>
        <v>44463</v>
      </c>
      <c r="L281" s="147">
        <f>IF(t&lt;Tvie,1-EXP((T0-t)*PertePVj)+'2020'!Pspv,1-EXP((T0-t)*PertePVj)+Pspv)</f>
        <v>2.6407549396952668E-2</v>
      </c>
      <c r="M281" s="870"/>
      <c r="N281" s="870"/>
      <c r="O281" s="48">
        <f>IF(t&lt;Tnet,'2020'!Resal+('2020'!Salim-'2020'!Resal)*(1-EXP(('2020'!Tnet-t)/('2020'!Tau_j))),Resal+(Salim-Resal)*(1-EXP((Tnet-t)/(Tau_j))))*Salcycl</f>
        <v>8.8254015349859272E-2</v>
      </c>
      <c r="P281" s="171">
        <f>(INDEX(Models!$BJ281:$BT281,,T281)*(1-R281)+INDEX(Models!$BJ281:$BT281,,T281+1)*R281-ERP_i)*Q281*Ramure*Pc/MaxiM</f>
        <v>8.9927720202394694E-3</v>
      </c>
      <c r="Q281" s="307">
        <f t="shared" si="101"/>
        <v>1</v>
      </c>
      <c r="R281" s="179">
        <f t="shared" si="102"/>
        <v>0.99112670079351595</v>
      </c>
      <c r="S281" s="837">
        <f t="shared" si="103"/>
        <v>-1</v>
      </c>
      <c r="T281" s="178">
        <f t="shared" si="104"/>
        <v>5</v>
      </c>
      <c r="U281" s="253">
        <f t="shared" si="105"/>
        <v>-8.8732992064840532E-3</v>
      </c>
      <c r="V281" s="385">
        <f t="shared" si="106"/>
        <v>37.788018031753928</v>
      </c>
      <c r="W281" s="404"/>
      <c r="X281" s="157">
        <f t="shared" si="107"/>
        <v>44463</v>
      </c>
      <c r="Y281" s="387">
        <f t="shared" si="108"/>
        <v>29.382235459514526</v>
      </c>
      <c r="Z281" s="387">
        <f t="shared" si="109"/>
        <v>30.179194016259107</v>
      </c>
      <c r="AA281" s="388">
        <f t="shared" si="110"/>
        <v>35.623638689649731</v>
      </c>
      <c r="AB281" s="199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0.15283235721151861</v>
      </c>
      <c r="AD281" s="233">
        <f>(INDEX(Models!$BJ281:$BT281,,AH281)*(1-AF281)+INDEX(Models!$BJ281:$BT281,,AH281+1)*AF281-ERP_i)*AE281*Ramure*Pc/MaxiM</f>
        <v>8.9927720202394694E-3</v>
      </c>
      <c r="AE281" s="307">
        <f t="shared" si="112"/>
        <v>1</v>
      </c>
      <c r="AF281" s="179">
        <f t="shared" si="113"/>
        <v>0.99112670079351595</v>
      </c>
      <c r="AG281" s="837">
        <f t="shared" si="119"/>
        <v>-1</v>
      </c>
      <c r="AH281" s="178">
        <f t="shared" si="114"/>
        <v>5</v>
      </c>
      <c r="AI281" s="227">
        <f t="shared" si="115"/>
        <v>-8.8732992064840532E-3</v>
      </c>
      <c r="AJ281" s="267" t="b">
        <f t="shared" si="116"/>
        <v>0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8"/>
        <v>44464</v>
      </c>
      <c r="B282" s="618">
        <v>26.774000000000001</v>
      </c>
      <c r="C282" s="392"/>
      <c r="D282" s="395">
        <f t="shared" si="98"/>
        <v>27.500853224580851</v>
      </c>
      <c r="E282" s="387">
        <f t="shared" si="96"/>
        <v>30.170910612122771</v>
      </c>
      <c r="F282" s="387">
        <f t="shared" si="99"/>
        <v>30.33496439291245</v>
      </c>
      <c r="G282" s="110">
        <f t="shared" si="97"/>
        <v>0.71394427520238368</v>
      </c>
      <c r="H282" s="414" t="b">
        <f>Wh_hp&gt;='2020'!Maxi_hp</f>
        <v>1</v>
      </c>
      <c r="I282" s="382">
        <f>IF(H282,Wh_hp,'2020'!Maxi_hp)</f>
        <v>30.33496439291245</v>
      </c>
      <c r="J282" s="85">
        <f>IF(H282,An,'2020'!An_max)</f>
        <v>2021</v>
      </c>
      <c r="K282" s="199">
        <f t="shared" si="100"/>
        <v>44464</v>
      </c>
      <c r="L282" s="147">
        <f>IF(t&lt;Tvie,1-EXP((T0-t)*PertePVj)+'2020'!Pspv,1-EXP((T0-t)*PertePVj)+Pspv)</f>
        <v>2.643020631560522E-2</v>
      </c>
      <c r="M282" s="870"/>
      <c r="N282" s="870"/>
      <c r="O282" s="48">
        <f>IF(t&lt;Tnet,'2020'!Resal+('2020'!Salim-'2020'!Resal)*(1-EXP(('2020'!Tnet-t)/('2020'!Tau_j))),Resal+(Salim-Resal)*(1-EXP((Tnet-t)/(Tau_j))))*Salcycl</f>
        <v>8.8497739490470767E-2</v>
      </c>
      <c r="P282" s="171">
        <f>(INDEX(Models!$BJ282:$BT282,,T282)*(1-R282)+INDEX(Models!$BJ282:$BT282,,T282+1)*R282-ERP_i)*Q282*Ramure*Pc/MaxiM</f>
        <v>9.0871299416704111E-3</v>
      </c>
      <c r="Q282" s="307">
        <f t="shared" si="101"/>
        <v>1</v>
      </c>
      <c r="R282" s="179">
        <f t="shared" si="102"/>
        <v>0.99147991929162149</v>
      </c>
      <c r="S282" s="837">
        <f t="shared" si="103"/>
        <v>-1</v>
      </c>
      <c r="T282" s="178">
        <f t="shared" si="104"/>
        <v>5</v>
      </c>
      <c r="U282" s="253">
        <f t="shared" si="105"/>
        <v>-8.5200807083785079E-3</v>
      </c>
      <c r="V282" s="385">
        <f t="shared" si="106"/>
        <v>37.362805918199349</v>
      </c>
      <c r="W282" s="404"/>
      <c r="X282" s="157">
        <f t="shared" si="107"/>
        <v>44464</v>
      </c>
      <c r="Y282" s="387">
        <f t="shared" si="108"/>
        <v>24.884650338434465</v>
      </c>
      <c r="Z282" s="387">
        <f t="shared" si="109"/>
        <v>25.560212015474058</v>
      </c>
      <c r="AA282" s="388">
        <f t="shared" si="110"/>
        <v>30.170910612122771</v>
      </c>
      <c r="AB282" s="199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0.15281933833300076</v>
      </c>
      <c r="AD282" s="233">
        <f>(INDEX(Models!$BJ282:$BT282,,AH282)*(1-AF282)+INDEX(Models!$BJ282:$BT282,,AH282+1)*AF282-ERP_i)*AE282*Ramure*Pc/MaxiM</f>
        <v>9.0871299416704111E-3</v>
      </c>
      <c r="AE282" s="307">
        <f t="shared" si="112"/>
        <v>1</v>
      </c>
      <c r="AF282" s="179">
        <f t="shared" si="113"/>
        <v>0.99147991929162149</v>
      </c>
      <c r="AG282" s="837">
        <f t="shared" si="119"/>
        <v>-1</v>
      </c>
      <c r="AH282" s="178">
        <f t="shared" si="114"/>
        <v>5</v>
      </c>
      <c r="AI282" s="227">
        <f t="shared" si="115"/>
        <v>-8.5200807083785079E-3</v>
      </c>
      <c r="AJ282" s="267" t="b">
        <f t="shared" si="116"/>
        <v>0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8"/>
        <v>44465</v>
      </c>
      <c r="B283" s="618">
        <v>28.007999999999999</v>
      </c>
      <c r="C283" s="392"/>
      <c r="D283" s="395">
        <f t="shared" si="98"/>
        <v>28.769023016058259</v>
      </c>
      <c r="E283" s="387">
        <f t="shared" si="96"/>
        <v>31.570534001517597</v>
      </c>
      <c r="F283" s="387">
        <f t="shared" si="99"/>
        <v>31.76157342305665</v>
      </c>
      <c r="G283" s="110">
        <f t="shared" si="97"/>
        <v>0.75584183350251422</v>
      </c>
      <c r="H283" s="414" t="b">
        <f>Wh_hp&gt;='2020'!Maxi_hp</f>
        <v>1</v>
      </c>
      <c r="I283" s="382">
        <f>IF(H283,Wh_hp,'2020'!Maxi_hp)</f>
        <v>31.76157342305665</v>
      </c>
      <c r="J283" s="85">
        <f>IF(H283,An,'2020'!An_max)</f>
        <v>2021</v>
      </c>
      <c r="K283" s="199">
        <f t="shared" si="100"/>
        <v>44465</v>
      </c>
      <c r="L283" s="147">
        <f>IF(t&lt;Tvie,1-EXP((T0-t)*PertePVj)+'2020'!Pspv,1-EXP((T0-t)*PertePVj)+Pspv)</f>
        <v>2.6452862706998204E-2</v>
      </c>
      <c r="M283" s="870"/>
      <c r="N283" s="870"/>
      <c r="O283" s="48">
        <f>IF(t&lt;Tnet,'2020'!Resal+('2020'!Salim-'2020'!Resal)*(1-EXP(('2020'!Tnet-t)/('2020'!Tau_j))),Resal+(Salim-Resal)*(1-EXP((Tnet-t)/(Tau_j))))*Salcycl</f>
        <v>8.8738156450716532E-2</v>
      </c>
      <c r="P283" s="171">
        <f>(INDEX(Models!$BJ283:$BT283,,T283)*(1-R283)+INDEX(Models!$BJ283:$BT283,,T283+1)*R283-ERP_i)*Q283*Ramure*Pc/MaxiM</f>
        <v>9.1876604939839113E-3</v>
      </c>
      <c r="Q283" s="307">
        <f t="shared" si="101"/>
        <v>1</v>
      </c>
      <c r="R283" s="179">
        <f t="shared" si="102"/>
        <v>0.99181925529615067</v>
      </c>
      <c r="S283" s="837">
        <f t="shared" si="103"/>
        <v>-1</v>
      </c>
      <c r="T283" s="178">
        <f t="shared" si="104"/>
        <v>5</v>
      </c>
      <c r="U283" s="253">
        <f t="shared" si="105"/>
        <v>-8.1807447038493297E-3</v>
      </c>
      <c r="V283" s="385">
        <f t="shared" si="106"/>
        <v>36.937088506449705</v>
      </c>
      <c r="W283" s="404"/>
      <c r="X283" s="157">
        <f t="shared" si="107"/>
        <v>44465</v>
      </c>
      <c r="Y283" s="387">
        <f t="shared" si="108"/>
        <v>26.03895397655052</v>
      </c>
      <c r="Z283" s="387">
        <f t="shared" si="109"/>
        <v>26.746474802394449</v>
      </c>
      <c r="AA283" s="388">
        <f t="shared" si="110"/>
        <v>31.570534001517597</v>
      </c>
      <c r="AB283" s="199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0.15280258480554235</v>
      </c>
      <c r="AD283" s="233">
        <f>(INDEX(Models!$BJ283:$BT283,,AH283)*(1-AF283)+INDEX(Models!$BJ283:$BT283,,AH283+1)*AF283-ERP_i)*AE283*Ramure*Pc/MaxiM</f>
        <v>9.1876604939839113E-3</v>
      </c>
      <c r="AE283" s="307">
        <f t="shared" si="112"/>
        <v>1</v>
      </c>
      <c r="AF283" s="179">
        <f t="shared" si="113"/>
        <v>0.99181925529615067</v>
      </c>
      <c r="AG283" s="837">
        <f t="shared" si="119"/>
        <v>-1</v>
      </c>
      <c r="AH283" s="178">
        <f t="shared" si="114"/>
        <v>5</v>
      </c>
      <c r="AI283" s="227">
        <f t="shared" si="115"/>
        <v>-8.1807447038493297E-3</v>
      </c>
      <c r="AJ283" s="267" t="b">
        <f t="shared" si="116"/>
        <v>0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8"/>
        <v>44466</v>
      </c>
      <c r="B284" s="618">
        <v>22.265000000000001</v>
      </c>
      <c r="C284" s="392"/>
      <c r="D284" s="395">
        <f t="shared" si="98"/>
        <v>22.870508574495563</v>
      </c>
      <c r="E284" s="387">
        <f t="shared" si="96"/>
        <v>25.104155808570031</v>
      </c>
      <c r="F284" s="387">
        <f t="shared" si="99"/>
        <v>25.207847329773248</v>
      </c>
      <c r="G284" s="110">
        <f t="shared" si="97"/>
        <v>0.60663103474563462</v>
      </c>
      <c r="H284" s="414" t="b">
        <f>Wh_hp&gt;='2020'!Maxi_hp</f>
        <v>0</v>
      </c>
      <c r="I284" s="382">
        <f>IF(H284,Wh_hp,'2020'!Maxi_hp)</f>
        <v>32.510091909422549</v>
      </c>
      <c r="J284" s="85">
        <f>IF(H284,An,'2020'!An_max)</f>
        <v>2019</v>
      </c>
      <c r="K284" s="199">
        <f t="shared" si="100"/>
        <v>44466</v>
      </c>
      <c r="L284" s="147">
        <f>IF(t&lt;Tvie,1-EXP((T0-t)*PertePVj)+'2020'!Pspv,1-EXP((T0-t)*PertePVj)+Pspv)</f>
        <v>2.647551857114383E-2</v>
      </c>
      <c r="M284" s="870"/>
      <c r="N284" s="870"/>
      <c r="O284" s="48">
        <f>IF(t&lt;Tnet,'2020'!Resal+('2020'!Salim-'2020'!Resal)*(1-EXP(('2020'!Tnet-t)/('2020'!Tau_j))),Resal+(Salim-Resal)*(1-EXP((Tnet-t)/(Tau_j))))*Salcycl</f>
        <v>8.8975198015300141E-2</v>
      </c>
      <c r="P284" s="171">
        <f>(INDEX(Models!$BJ284:$BT284,,T284)*(1-R284)+INDEX(Models!$BJ284:$BT284,,T284+1)*R284-ERP_i)*Q284*Ramure*Pc/MaxiM</f>
        <v>9.2943565799371661E-3</v>
      </c>
      <c r="Q284" s="307">
        <f t="shared" si="101"/>
        <v>1</v>
      </c>
      <c r="R284" s="179">
        <f t="shared" si="102"/>
        <v>0.99214524145884753</v>
      </c>
      <c r="S284" s="837">
        <f t="shared" si="103"/>
        <v>-1</v>
      </c>
      <c r="T284" s="178">
        <f t="shared" si="104"/>
        <v>5</v>
      </c>
      <c r="U284" s="253">
        <f t="shared" si="105"/>
        <v>-7.8547585411524734E-3</v>
      </c>
      <c r="V284" s="385">
        <f t="shared" si="106"/>
        <v>36.511766880136911</v>
      </c>
      <c r="W284" s="404"/>
      <c r="X284" s="157">
        <f t="shared" si="107"/>
        <v>44466</v>
      </c>
      <c r="Y284" s="387">
        <f t="shared" si="108"/>
        <v>20.705592993418961</v>
      </c>
      <c r="Z284" s="387">
        <f t="shared" si="109"/>
        <v>21.268692660947835</v>
      </c>
      <c r="AA284" s="388">
        <f t="shared" si="110"/>
        <v>25.104155808570031</v>
      </c>
      <c r="AB284" s="199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0.15278200059262101</v>
      </c>
      <c r="AD284" s="233">
        <f>(INDEX(Models!$BJ284:$BT284,,AH284)*(1-AF284)+INDEX(Models!$BJ284:$BT284,,AH284+1)*AF284-ERP_i)*AE284*Ramure*Pc/MaxiM</f>
        <v>9.2943565799371661E-3</v>
      </c>
      <c r="AE284" s="307">
        <f t="shared" si="112"/>
        <v>1</v>
      </c>
      <c r="AF284" s="179">
        <f t="shared" si="113"/>
        <v>0.99214524145884753</v>
      </c>
      <c r="AG284" s="837">
        <f t="shared" si="119"/>
        <v>-1</v>
      </c>
      <c r="AH284" s="178">
        <f t="shared" si="114"/>
        <v>5</v>
      </c>
      <c r="AI284" s="227">
        <f t="shared" si="115"/>
        <v>-7.8547585411524734E-3</v>
      </c>
      <c r="AJ284" s="267" t="b">
        <f t="shared" si="116"/>
        <v>0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8"/>
        <v>44467</v>
      </c>
      <c r="B285" s="618">
        <v>22.994</v>
      </c>
      <c r="C285" s="392"/>
      <c r="D285" s="395">
        <f t="shared" si="98"/>
        <v>23.619883788310691</v>
      </c>
      <c r="E285" s="387">
        <f t="shared" si="96"/>
        <v>25.933368392327864</v>
      </c>
      <c r="F285" s="387">
        <f t="shared" si="99"/>
        <v>26.051411761873958</v>
      </c>
      <c r="G285" s="110">
        <f t="shared" si="97"/>
        <v>0.63404828418551051</v>
      </c>
      <c r="H285" s="414" t="b">
        <f>Wh_hp&gt;='2020'!Maxi_hp</f>
        <v>0</v>
      </c>
      <c r="I285" s="382">
        <f>IF(H285,Wh_hp,'2020'!Maxi_hp)</f>
        <v>28.599911688914776</v>
      </c>
      <c r="J285" s="85">
        <f>IF(H285,An,'2020'!An_max)</f>
        <v>2019</v>
      </c>
      <c r="K285" s="199">
        <f t="shared" si="100"/>
        <v>44467</v>
      </c>
      <c r="L285" s="147">
        <f>IF(t&lt;Tvie,1-EXP((T0-t)*PertePVj)+'2020'!Pspv,1-EXP((T0-t)*PertePVj)+Pspv)</f>
        <v>2.6498173908054423E-2</v>
      </c>
      <c r="M285" s="870"/>
      <c r="N285" s="870"/>
      <c r="O285" s="48">
        <f>IF(t&lt;Tnet,'2020'!Resal+('2020'!Salim-'2020'!Resal)*(1-EXP(('2020'!Tnet-t)/('2020'!Tau_j))),Resal+(Salim-Resal)*(1-EXP((Tnet-t)/(Tau_j))))*Salcycl</f>
        <v>8.9208797292279096E-2</v>
      </c>
      <c r="P285" s="171">
        <f>(INDEX(Models!$BJ285:$BT285,,T285)*(1-R285)+INDEX(Models!$BJ285:$BT285,,T285+1)*R285-ERP_i)*Q285*Ramure*Pc/MaxiM</f>
        <v>9.4071999014078075E-3</v>
      </c>
      <c r="Q285" s="307">
        <f t="shared" si="101"/>
        <v>1</v>
      </c>
      <c r="R285" s="179">
        <f t="shared" si="102"/>
        <v>0.99245839100784894</v>
      </c>
      <c r="S285" s="837">
        <f t="shared" si="103"/>
        <v>-1</v>
      </c>
      <c r="T285" s="178">
        <f t="shared" si="104"/>
        <v>5</v>
      </c>
      <c r="U285" s="253">
        <f t="shared" si="105"/>
        <v>-7.541608992151061E-3</v>
      </c>
      <c r="V285" s="385">
        <f t="shared" si="106"/>
        <v>36.087740932826392</v>
      </c>
      <c r="W285" s="404"/>
      <c r="X285" s="157">
        <f t="shared" si="107"/>
        <v>44467</v>
      </c>
      <c r="Y285" s="387">
        <f t="shared" si="108"/>
        <v>21.389638100346286</v>
      </c>
      <c r="Z285" s="387">
        <f t="shared" si="109"/>
        <v>21.971852057241104</v>
      </c>
      <c r="AA285" s="388">
        <f t="shared" si="110"/>
        <v>25.933368392327864</v>
      </c>
      <c r="AB285" s="199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0.15275749278519235</v>
      </c>
      <c r="AD285" s="233">
        <f>(INDEX(Models!$BJ285:$BT285,,AH285)*(1-AF285)+INDEX(Models!$BJ285:$BT285,,AH285+1)*AF285-ERP_i)*AE285*Ramure*Pc/MaxiM</f>
        <v>9.4071999014078075E-3</v>
      </c>
      <c r="AE285" s="307">
        <f t="shared" si="112"/>
        <v>1</v>
      </c>
      <c r="AF285" s="179">
        <f t="shared" si="113"/>
        <v>0.99245839100784894</v>
      </c>
      <c r="AG285" s="837">
        <f t="shared" si="119"/>
        <v>-1</v>
      </c>
      <c r="AH285" s="178">
        <f t="shared" si="114"/>
        <v>5</v>
      </c>
      <c r="AI285" s="227">
        <f t="shared" si="115"/>
        <v>-7.541608992151061E-3</v>
      </c>
      <c r="AJ285" s="267" t="b">
        <f t="shared" si="116"/>
        <v>0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8"/>
        <v>44468</v>
      </c>
      <c r="B286" s="618">
        <v>22.952999999999999</v>
      </c>
      <c r="C286" s="392"/>
      <c r="D286" s="395">
        <f t="shared" si="98"/>
        <v>23.578316493168025</v>
      </c>
      <c r="E286" s="387">
        <f t="shared" si="96"/>
        <v>25.894271359929807</v>
      </c>
      <c r="F286" s="387">
        <f t="shared" si="99"/>
        <v>26.015905617462145</v>
      </c>
      <c r="G286" s="110">
        <f t="shared" si="97"/>
        <v>0.6404193101077944</v>
      </c>
      <c r="H286" s="414" t="b">
        <f>Wh_hp&gt;='2020'!Maxi_hp</f>
        <v>0</v>
      </c>
      <c r="I286" s="382">
        <f>IF(H286,Wh_hp,'2020'!Maxi_hp)</f>
        <v>39.642846116741424</v>
      </c>
      <c r="J286" s="85">
        <f>IF(H286,An,'2020'!An_max)</f>
        <v>2019</v>
      </c>
      <c r="K286" s="199">
        <f t="shared" si="100"/>
        <v>44468</v>
      </c>
      <c r="L286" s="147">
        <f>IF(t&lt;Tvie,1-EXP((T0-t)*PertePVj)+'2020'!Pspv,1-EXP((T0-t)*PertePVj)+Pspv)</f>
        <v>2.6520828717742195E-2</v>
      </c>
      <c r="M286" s="870"/>
      <c r="N286" s="870"/>
      <c r="O286" s="48">
        <f>IF(t&lt;Tnet,'2020'!Resal+('2020'!Salim-'2020'!Resal)*(1-EXP(('2020'!Tnet-t)/('2020'!Tau_j))),Resal+(Salim-Resal)*(1-EXP((Tnet-t)/(Tau_j))))*Salcycl</f>
        <v>8.9438889187884812E-2</v>
      </c>
      <c r="P286" s="171">
        <f>(INDEX(Models!$BJ286:$BT286,,T286)*(1-R286)+INDEX(Models!$BJ286:$BT286,,T286+1)*R286-ERP_i)*Q286*Ramure*Pc/MaxiM</f>
        <v>9.5261587875863155E-3</v>
      </c>
      <c r="Q286" s="307">
        <f t="shared" si="101"/>
        <v>1</v>
      </c>
      <c r="R286" s="179">
        <f t="shared" si="102"/>
        <v>0.99275919837612325</v>
      </c>
      <c r="S286" s="837">
        <f t="shared" si="103"/>
        <v>-1</v>
      </c>
      <c r="T286" s="178">
        <f t="shared" si="104"/>
        <v>5</v>
      </c>
      <c r="U286" s="253">
        <f t="shared" si="105"/>
        <v>-7.240801623876747E-3</v>
      </c>
      <c r="V286" s="385">
        <f t="shared" si="106"/>
        <v>35.665909387050434</v>
      </c>
      <c r="W286" s="404"/>
      <c r="X286" s="157">
        <f t="shared" si="107"/>
        <v>44468</v>
      </c>
      <c r="Y286" s="387">
        <f t="shared" si="108"/>
        <v>21.357613087698287</v>
      </c>
      <c r="Z286" s="387">
        <f t="shared" si="109"/>
        <v>21.939465905126902</v>
      </c>
      <c r="AA286" s="388">
        <f t="shared" si="110"/>
        <v>25.894271359929807</v>
      </c>
      <c r="AB286" s="199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0.15272897235960792</v>
      </c>
      <c r="AD286" s="233">
        <f>(INDEX(Models!$BJ286:$BT286,,AH286)*(1-AF286)+INDEX(Models!$BJ286:$BT286,,AH286+1)*AF286-ERP_i)*AE286*Ramure*Pc/MaxiM</f>
        <v>9.5261587875863155E-3</v>
      </c>
      <c r="AE286" s="307">
        <f t="shared" si="112"/>
        <v>1</v>
      </c>
      <c r="AF286" s="179">
        <f t="shared" si="113"/>
        <v>0.99275919837612325</v>
      </c>
      <c r="AG286" s="837">
        <f t="shared" si="119"/>
        <v>-1</v>
      </c>
      <c r="AH286" s="178">
        <f t="shared" si="114"/>
        <v>5</v>
      </c>
      <c r="AI286" s="227">
        <f t="shared" si="115"/>
        <v>-7.240801623876747E-3</v>
      </c>
      <c r="AJ286" s="267" t="b">
        <f t="shared" si="116"/>
        <v>0</v>
      </c>
      <c r="AK286" s="267" t="b">
        <f t="shared" si="117"/>
        <v>0</v>
      </c>
      <c r="AL286" s="267"/>
      <c r="AM286" s="267"/>
      <c r="AN286" s="75"/>
    </row>
    <row r="287" spans="1:40" s="6" customFormat="1" ht="11.25" x14ac:dyDescent="0.2">
      <c r="A287" s="56">
        <f t="shared" si="118"/>
        <v>44469</v>
      </c>
      <c r="B287" s="618">
        <v>19.527999999999999</v>
      </c>
      <c r="C287" s="392"/>
      <c r="D287" s="395">
        <f t="shared" si="98"/>
        <v>20.060474873788738</v>
      </c>
      <c r="E287" s="387">
        <f t="shared" si="96"/>
        <v>22.036375541532696</v>
      </c>
      <c r="F287" s="387">
        <f t="shared" si="99"/>
        <v>22.113827441299364</v>
      </c>
      <c r="G287" s="110">
        <f t="shared" si="97"/>
        <v>0.5506117219399187</v>
      </c>
      <c r="H287" s="414" t="b">
        <f>Wh_hp&gt;='2020'!Maxi_hp</f>
        <v>0</v>
      </c>
      <c r="I287" s="382">
        <f>IF(H287,Wh_hp,'2020'!Maxi_hp)</f>
        <v>32.062263093878606</v>
      </c>
      <c r="J287" s="85">
        <f>IF(H287,An,'2020'!An_max)</f>
        <v>2020</v>
      </c>
      <c r="K287" s="199">
        <f t="shared" si="100"/>
        <v>44469</v>
      </c>
      <c r="L287" s="147">
        <f>IF(t&lt;Tvie,1-EXP((T0-t)*PertePVj)+'2020'!Pspv,1-EXP((T0-t)*PertePVj)+Pspv)</f>
        <v>2.654348300021947E-2</v>
      </c>
      <c r="M287" s="870"/>
      <c r="N287" s="870"/>
      <c r="O287" s="48">
        <f>IF(t&lt;Tnet,'2020'!Resal+('2020'!Salim-'2020'!Resal)*(1-EXP(('2020'!Tnet-t)/('2020'!Tau_j))),Resal+(Salim-Resal)*(1-EXP((Tnet-t)/(Tau_j))))*Salcycl</f>
        <v>8.9665410902982259E-2</v>
      </c>
      <c r="P287" s="171">
        <f>(INDEX(Models!$BJ287:$BT287,,T287)*(1-R287)+INDEX(Models!$BJ287:$BT287,,T287+1)*R287-ERP_i)*Q287*Ramure*Pc/MaxiM</f>
        <v>9.6511858881147689E-3</v>
      </c>
      <c r="Q287" s="307">
        <f t="shared" si="101"/>
        <v>1</v>
      </c>
      <c r="R287" s="179">
        <f t="shared" si="102"/>
        <v>0.99304813981605577</v>
      </c>
      <c r="S287" s="837">
        <f t="shared" si="103"/>
        <v>-1</v>
      </c>
      <c r="T287" s="178">
        <f t="shared" si="104"/>
        <v>5</v>
      </c>
      <c r="U287" s="253">
        <f t="shared" si="105"/>
        <v>-6.9518601839442251E-3</v>
      </c>
      <c r="V287" s="385">
        <f t="shared" si="106"/>
        <v>35.247169814121548</v>
      </c>
      <c r="W287" s="404"/>
      <c r="X287" s="157">
        <f t="shared" si="107"/>
        <v>44469</v>
      </c>
      <c r="Y287" s="387">
        <f t="shared" si="108"/>
        <v>18.1758946419273</v>
      </c>
      <c r="Z287" s="387">
        <f t="shared" si="109"/>
        <v>18.671501319797933</v>
      </c>
      <c r="AA287" s="388">
        <f t="shared" si="110"/>
        <v>22.036375541532696</v>
      </c>
      <c r="AB287" s="199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0.15269635496059095</v>
      </c>
      <c r="AD287" s="233">
        <f>(INDEX(Models!$BJ287:$BT287,,AH287)*(1-AF287)+INDEX(Models!$BJ287:$BT287,,AH287+1)*AF287-ERP_i)*AE287*Ramure*Pc/MaxiM</f>
        <v>9.6511858881147689E-3</v>
      </c>
      <c r="AE287" s="307">
        <f t="shared" si="112"/>
        <v>1</v>
      </c>
      <c r="AF287" s="179">
        <f t="shared" si="113"/>
        <v>0.99304813981605577</v>
      </c>
      <c r="AG287" s="837">
        <f t="shared" si="119"/>
        <v>-1</v>
      </c>
      <c r="AH287" s="178">
        <f t="shared" si="114"/>
        <v>5</v>
      </c>
      <c r="AI287" s="227">
        <f t="shared" si="115"/>
        <v>-6.9518601839442251E-3</v>
      </c>
      <c r="AJ287" s="267" t="b">
        <f t="shared" si="116"/>
        <v>0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8"/>
        <v>44470</v>
      </c>
      <c r="B288" s="618">
        <v>26.873000000000001</v>
      </c>
      <c r="C288" s="392"/>
      <c r="D288" s="395">
        <f t="shared" si="98"/>
        <v>27.606395272125638</v>
      </c>
      <c r="E288" s="387">
        <f t="shared" si="96"/>
        <v>30.332974893498221</v>
      </c>
      <c r="F288" s="387">
        <f t="shared" si="99"/>
        <v>30.534162547858664</v>
      </c>
      <c r="G288" s="110">
        <f t="shared" si="97"/>
        <v>0.76901400678487064</v>
      </c>
      <c r="H288" s="414" t="b">
        <f>Wh_hp&gt;='2020'!Maxi_hp</f>
        <v>0</v>
      </c>
      <c r="I288" s="382">
        <f>IF(H288,Wh_hp,'2020'!Maxi_hp)</f>
        <v>38.101768879016269</v>
      </c>
      <c r="J288" s="85">
        <f>IF(H288,An,'2020'!An_max)</f>
        <v>2020</v>
      </c>
      <c r="K288" s="199">
        <f t="shared" si="100"/>
        <v>44470</v>
      </c>
      <c r="L288" s="147">
        <f>IF(t&lt;Tvie,1-EXP((T0-t)*PertePVj)+'2020'!Pspv,1-EXP((T0-t)*PertePVj)+Pspv)</f>
        <v>2.656613675549846E-2</v>
      </c>
      <c r="M288" s="870"/>
      <c r="N288" s="870"/>
      <c r="O288" s="48">
        <f>IF(t&lt;Tnet,'2020'!Resal+('2020'!Salim-'2020'!Resal)*(1-EXP(('2020'!Tnet-t)/('2020'!Tau_j))),Resal+(Salim-Resal)*(1-EXP((Tnet-t)/(Tau_j))))*Salcycl</f>
        <v>8.9888302447941465E-2</v>
      </c>
      <c r="P288" s="171">
        <f>(INDEX(Models!$BJ288:$BT288,,T288)*(1-R288)+INDEX(Models!$BJ288:$BT288,,T288+1)*R288-ERP_i)*Q288*Ramure*Pc/MaxiM</f>
        <v>9.782215734498027E-3</v>
      </c>
      <c r="Q288" s="307">
        <f t="shared" si="101"/>
        <v>1</v>
      </c>
      <c r="R288" s="179">
        <f t="shared" si="102"/>
        <v>0.99332567399990335</v>
      </c>
      <c r="S288" s="837">
        <f t="shared" si="103"/>
        <v>-1</v>
      </c>
      <c r="T288" s="178">
        <f t="shared" si="104"/>
        <v>5</v>
      </c>
      <c r="U288" s="253">
        <f t="shared" si="105"/>
        <v>-6.6743260000966531E-3</v>
      </c>
      <c r="V288" s="385">
        <f t="shared" si="106"/>
        <v>34.832418656779694</v>
      </c>
      <c r="W288" s="404"/>
      <c r="X288" s="157">
        <f t="shared" si="107"/>
        <v>44470</v>
      </c>
      <c r="Y288" s="387">
        <f t="shared" si="108"/>
        <v>25.019543930254347</v>
      </c>
      <c r="Z288" s="387">
        <f t="shared" si="109"/>
        <v>25.702356241093785</v>
      </c>
      <c r="AA288" s="388">
        <f t="shared" si="110"/>
        <v>30.332974893498221</v>
      </c>
      <c r="AB288" s="199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0.15265956170349107</v>
      </c>
      <c r="AD288" s="233">
        <f>(INDEX(Models!$BJ288:$BT288,,AH288)*(1-AF288)+INDEX(Models!$BJ288:$BT288,,AH288+1)*AF288-ERP_i)*AE288*Ramure*Pc/MaxiM</f>
        <v>9.782215734498027E-3</v>
      </c>
      <c r="AE288" s="307">
        <f t="shared" si="112"/>
        <v>1</v>
      </c>
      <c r="AF288" s="179">
        <f t="shared" si="113"/>
        <v>0.99332567399990335</v>
      </c>
      <c r="AG288" s="837">
        <f t="shared" si="119"/>
        <v>-1</v>
      </c>
      <c r="AH288" s="178">
        <f t="shared" si="114"/>
        <v>5</v>
      </c>
      <c r="AI288" s="227">
        <f t="shared" si="115"/>
        <v>-6.6743260000966531E-3</v>
      </c>
      <c r="AJ288" s="267" t="b">
        <f t="shared" si="116"/>
        <v>0</v>
      </c>
      <c r="AK288" s="267" t="b">
        <f t="shared" si="117"/>
        <v>0</v>
      </c>
      <c r="AL288" s="267"/>
      <c r="AM288" s="267"/>
      <c r="AN288" s="75"/>
    </row>
    <row r="289" spans="1:40" s="6" customFormat="1" ht="11.25" x14ac:dyDescent="0.2">
      <c r="A289" s="56">
        <f t="shared" si="118"/>
        <v>44471</v>
      </c>
      <c r="B289" s="618">
        <v>32.999000000000002</v>
      </c>
      <c r="C289" s="392"/>
      <c r="D289" s="395">
        <f t="shared" si="98"/>
        <v>33.900369813332794</v>
      </c>
      <c r="E289" s="387">
        <f t="shared" si="96"/>
        <v>37.257555239281245</v>
      </c>
      <c r="F289" s="387">
        <f t="shared" si="99"/>
        <v>37.60867290734209</v>
      </c>
      <c r="G289" s="110">
        <f t="shared" si="97"/>
        <v>0.9582024502933767</v>
      </c>
      <c r="H289" s="414" t="b">
        <f>Wh_hp&gt;='2020'!Maxi_hp</f>
        <v>1</v>
      </c>
      <c r="I289" s="382">
        <f>IF(H289,Wh_hp,'2020'!Maxi_hp)</f>
        <v>37.60867290734209</v>
      </c>
      <c r="J289" s="85">
        <f>IF(H289,An,'2020'!An_max)</f>
        <v>2021</v>
      </c>
      <c r="K289" s="199">
        <f t="shared" si="100"/>
        <v>44471</v>
      </c>
      <c r="L289" s="147">
        <f>IF(t&lt;Tvie,1-EXP((T0-t)*PertePVj)+'2020'!Pspv,1-EXP((T0-t)*PertePVj)+Pspv)</f>
        <v>2.6588789983591488E-2</v>
      </c>
      <c r="M289" s="870"/>
      <c r="N289" s="870"/>
      <c r="O289" s="48">
        <f>IF(t&lt;Tnet,'2020'!Resal+('2020'!Salim-'2020'!Resal)*(1-EXP(('2020'!Tnet-t)/('2020'!Tau_j))),Resal+(Salim-Resal)*(1-EXP((Tnet-t)/(Tau_j))))*Salcycl</f>
        <v>9.0107507172368637E-2</v>
      </c>
      <c r="P289" s="171">
        <f>(INDEX(Models!$BJ289:$BT289,,T289)*(1-R289)+INDEX(Models!$BJ289:$BT289,,T289+1)*R289-ERP_i)*Q289*Ramure*Pc/MaxiM</f>
        <v>9.9204239963793378E-3</v>
      </c>
      <c r="Q289" s="307">
        <f t="shared" si="101"/>
        <v>1</v>
      </c>
      <c r="R289" s="179">
        <f t="shared" si="102"/>
        <v>0.99359224260592227</v>
      </c>
      <c r="S289" s="837">
        <f t="shared" si="103"/>
        <v>-1</v>
      </c>
      <c r="T289" s="178">
        <f t="shared" si="104"/>
        <v>5</v>
      </c>
      <c r="U289" s="253">
        <f t="shared" si="105"/>
        <v>-6.4077573940777288E-3</v>
      </c>
      <c r="V289" s="385">
        <f t="shared" si="106"/>
        <v>34.418129049040843</v>
      </c>
      <c r="W289" s="404"/>
      <c r="X289" s="157">
        <f t="shared" si="107"/>
        <v>44471</v>
      </c>
      <c r="Y289" s="387">
        <f t="shared" si="108"/>
        <v>30.731917978533868</v>
      </c>
      <c r="Z289" s="387">
        <f t="shared" si="109"/>
        <v>31.571362300230579</v>
      </c>
      <c r="AA289" s="388">
        <f t="shared" si="110"/>
        <v>37.257555239281245</v>
      </c>
      <c r="AB289" s="199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0.15261851998962142</v>
      </c>
      <c r="AD289" s="233">
        <f>(INDEX(Models!$BJ289:$BT289,,AH289)*(1-AF289)+INDEX(Models!$BJ289:$BT289,,AH289+1)*AF289-ERP_i)*AE289*Ramure*Pc/MaxiM</f>
        <v>9.9204239963793378E-3</v>
      </c>
      <c r="AE289" s="307">
        <f t="shared" si="112"/>
        <v>1</v>
      </c>
      <c r="AF289" s="179">
        <f t="shared" si="113"/>
        <v>0.99359224260592227</v>
      </c>
      <c r="AG289" s="837">
        <f t="shared" si="119"/>
        <v>-1</v>
      </c>
      <c r="AH289" s="178">
        <f t="shared" si="114"/>
        <v>5</v>
      </c>
      <c r="AI289" s="227">
        <f t="shared" si="115"/>
        <v>-6.4077573940777288E-3</v>
      </c>
      <c r="AJ289" s="267" t="b">
        <f t="shared" si="116"/>
        <v>0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8"/>
        <v>44472</v>
      </c>
      <c r="B290" s="618">
        <v>5.9610000000000003</v>
      </c>
      <c r="C290" s="392"/>
      <c r="D290" s="395">
        <f t="shared" si="98"/>
        <v>6.1239676131388459</v>
      </c>
      <c r="E290" s="387">
        <f t="shared" si="96"/>
        <v>6.7320240334768675</v>
      </c>
      <c r="F290" s="387">
        <f t="shared" si="99"/>
        <v>6.7320240334768675</v>
      </c>
      <c r="G290" s="110">
        <f t="shared" si="97"/>
        <v>0.17355422380818561</v>
      </c>
      <c r="H290" s="414" t="b">
        <f>Wh_hp&gt;='2020'!Maxi_hp</f>
        <v>0</v>
      </c>
      <c r="I290" s="382">
        <f>IF(H290,Wh_hp,'2020'!Maxi_hp)</f>
        <v>36.052378620144729</v>
      </c>
      <c r="J290" s="85">
        <f>IF(H290,An,'2020'!An_max)</f>
        <v>2018</v>
      </c>
      <c r="K290" s="199">
        <f t="shared" si="100"/>
        <v>44472</v>
      </c>
      <c r="L290" s="147">
        <f>IF(t&lt;Tvie,1-EXP((T0-t)*PertePVj)+'2020'!Pspv,1-EXP((T0-t)*PertePVj)+Pspv)</f>
        <v>2.6611442684510878E-2</v>
      </c>
      <c r="M290" s="870"/>
      <c r="N290" s="870"/>
      <c r="O290" s="48">
        <f>IF(t&lt;Tnet,'2020'!Resal+('2020'!Salim-'2020'!Resal)*(1-EXP(('2020'!Tnet-t)/('2020'!Tau_j))),Resal+(Salim-Resal)*(1-EXP((Tnet-t)/(Tau_j))))*Salcycl</f>
        <v>9.0322972305846058E-2</v>
      </c>
      <c r="P290" s="171">
        <f>(INDEX(Models!$BJ290:$BT290,,T290)*(1-R290)+INDEX(Models!$BJ290:$BT290,,T290+1)*R290-ERP_i)*Q290*Ramure*Pc/MaxiM</f>
        <v>1.0095077894141085E-2</v>
      </c>
      <c r="Q290" s="307">
        <f t="shared" si="101"/>
        <v>1</v>
      </c>
      <c r="R290" s="179">
        <f t="shared" si="102"/>
        <v>0.99384827089002559</v>
      </c>
      <c r="S290" s="837">
        <f t="shared" si="103"/>
        <v>-1</v>
      </c>
      <c r="T290" s="178">
        <f t="shared" si="104"/>
        <v>5</v>
      </c>
      <c r="U290" s="253">
        <f t="shared" si="105"/>
        <v>-6.1517291099744131E-3</v>
      </c>
      <c r="V290" s="385">
        <f t="shared" si="106"/>
        <v>33.999882637225198</v>
      </c>
      <c r="W290" s="404"/>
      <c r="X290" s="157">
        <f t="shared" si="107"/>
        <v>44472</v>
      </c>
      <c r="Y290" s="387">
        <f t="shared" si="108"/>
        <v>5.5530822628825387</v>
      </c>
      <c r="Z290" s="387">
        <f t="shared" si="109"/>
        <v>5.7048978243563893</v>
      </c>
      <c r="AA290" s="388">
        <f t="shared" si="110"/>
        <v>6.7320240334768675</v>
      </c>
      <c r="AB290" s="199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0.15257316432811396</v>
      </c>
      <c r="AD290" s="233">
        <f>(INDEX(Models!$BJ290:$BT290,,AH290)*(1-AF290)+INDEX(Models!$BJ290:$BT290,,AH290+1)*AF290-ERP_i)*AE290*Ramure*Pc/MaxiM</f>
        <v>1.0095077894141085E-2</v>
      </c>
      <c r="AE290" s="307">
        <f t="shared" si="112"/>
        <v>1</v>
      </c>
      <c r="AF290" s="179">
        <f t="shared" si="113"/>
        <v>0.99384827089002559</v>
      </c>
      <c r="AG290" s="837">
        <f t="shared" si="119"/>
        <v>-1</v>
      </c>
      <c r="AH290" s="178">
        <f t="shared" si="114"/>
        <v>5</v>
      </c>
      <c r="AI290" s="227">
        <f t="shared" si="115"/>
        <v>-6.1517291099744131E-3</v>
      </c>
      <c r="AJ290" s="267" t="b">
        <f t="shared" si="116"/>
        <v>0</v>
      </c>
      <c r="AK290" s="267" t="b">
        <f t="shared" si="117"/>
        <v>0</v>
      </c>
      <c r="AL290" s="267"/>
      <c r="AM290" s="267"/>
      <c r="AN290" s="75"/>
    </row>
    <row r="291" spans="1:40" s="6" customFormat="1" ht="11.25" x14ac:dyDescent="0.2">
      <c r="A291" s="56">
        <f t="shared" si="118"/>
        <v>44473</v>
      </c>
      <c r="B291" s="618">
        <v>30.236000000000001</v>
      </c>
      <c r="C291" s="392"/>
      <c r="D291" s="395">
        <f t="shared" si="98"/>
        <v>31.063344052098632</v>
      </c>
      <c r="E291" s="387">
        <f t="shared" si="96"/>
        <v>34.155610255202014</v>
      </c>
      <c r="F291" s="387">
        <f t="shared" si="99"/>
        <v>34.46045539093469</v>
      </c>
      <c r="G291" s="110">
        <f t="shared" si="97"/>
        <v>0.89912499786988187</v>
      </c>
      <c r="H291" s="414" t="b">
        <f>Wh_hp&gt;='2020'!Maxi_hp</f>
        <v>0</v>
      </c>
      <c r="I291" s="382">
        <f>IF(H291,Wh_hp,'2020'!Maxi_hp)</f>
        <v>35.933691414169608</v>
      </c>
      <c r="J291" s="85">
        <f>IF(H291,An,'2020'!An_max)</f>
        <v>2018</v>
      </c>
      <c r="K291" s="199">
        <f t="shared" si="100"/>
        <v>44473</v>
      </c>
      <c r="L291" s="147">
        <f>IF(t&lt;Tvie,1-EXP((T0-t)*PertePVj)+'2020'!Pspv,1-EXP((T0-t)*PertePVj)+Pspv)</f>
        <v>2.6634094858268731E-2</v>
      </c>
      <c r="M291" s="870"/>
      <c r="N291" s="870"/>
      <c r="O291" s="48">
        <f>IF(t&lt;Tnet,'2020'!Resal+('2020'!Salim-'2020'!Resal)*(1-EXP(('2020'!Tnet-t)/('2020'!Tau_j))),Resal+(Salim-Resal)*(1-EXP((Tnet-t)/(Tau_j))))*Salcycl</f>
        <v>9.0534649505564668E-2</v>
      </c>
      <c r="P291" s="171">
        <f>(INDEX(Models!$BJ291:$BT291,,T291)*(1-R291)+INDEX(Models!$BJ291:$BT291,,T291+1)*R291-ERP_i)*Q291*Ramure*Pc/MaxiM</f>
        <v>1.0312742109016589E-2</v>
      </c>
      <c r="Q291" s="307">
        <f t="shared" si="101"/>
        <v>1</v>
      </c>
      <c r="R291" s="179">
        <f t="shared" si="102"/>
        <v>0.99409416824288821</v>
      </c>
      <c r="S291" s="837">
        <f t="shared" si="103"/>
        <v>-1</v>
      </c>
      <c r="T291" s="178">
        <f t="shared" si="104"/>
        <v>5</v>
      </c>
      <c r="U291" s="253">
        <f t="shared" si="105"/>
        <v>-5.9058317571117902E-3</v>
      </c>
      <c r="V291" s="385">
        <f t="shared" si="106"/>
        <v>33.578493395966554</v>
      </c>
      <c r="W291" s="404"/>
      <c r="X291" s="157">
        <f t="shared" si="107"/>
        <v>44473</v>
      </c>
      <c r="Y291" s="387">
        <f t="shared" si="108"/>
        <v>28.175126562191085</v>
      </c>
      <c r="Z291" s="387">
        <f t="shared" si="109"/>
        <v>28.946079180869315</v>
      </c>
      <c r="AA291" s="388">
        <f t="shared" si="110"/>
        <v>34.155610255202014</v>
      </c>
      <c r="AB291" s="199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0.15252343715742192</v>
      </c>
      <c r="AD291" s="233">
        <f>(INDEX(Models!$BJ291:$BT291,,AH291)*(1-AF291)+INDEX(Models!$BJ291:$BT291,,AH291+1)*AF291-ERP_i)*AE291*Ramure*Pc/MaxiM</f>
        <v>1.0312742109016589E-2</v>
      </c>
      <c r="AE291" s="307">
        <f t="shared" si="112"/>
        <v>1</v>
      </c>
      <c r="AF291" s="179">
        <f t="shared" si="113"/>
        <v>0.99409416824288821</v>
      </c>
      <c r="AG291" s="837">
        <f t="shared" si="119"/>
        <v>-1</v>
      </c>
      <c r="AH291" s="178">
        <f t="shared" si="114"/>
        <v>5</v>
      </c>
      <c r="AI291" s="227">
        <f t="shared" si="115"/>
        <v>-5.9058317571117902E-3</v>
      </c>
      <c r="AJ291" s="267" t="b">
        <f t="shared" si="116"/>
        <v>0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8"/>
        <v>44474</v>
      </c>
      <c r="B292" s="618">
        <v>11.391999999999999</v>
      </c>
      <c r="C292" s="392"/>
      <c r="D292" s="395">
        <f t="shared" si="98"/>
        <v>11.703990302591732</v>
      </c>
      <c r="E292" s="387">
        <f t="shared" si="96"/>
        <v>12.872030468227136</v>
      </c>
      <c r="F292" s="387">
        <f t="shared" si="99"/>
        <v>12.880514074725532</v>
      </c>
      <c r="G292" s="110">
        <f t="shared" si="97"/>
        <v>0.34018925815330009</v>
      </c>
      <c r="H292" s="414" t="b">
        <f>Wh_hp&gt;='2020'!Maxi_hp</f>
        <v>0</v>
      </c>
      <c r="I292" s="382">
        <f>IF(H292,Wh_hp,'2020'!Maxi_hp)</f>
        <v>35.379752101796598</v>
      </c>
      <c r="J292" s="85">
        <f>IF(H292,An,'2020'!An_max)</f>
        <v>2018</v>
      </c>
      <c r="K292" s="199">
        <f t="shared" si="100"/>
        <v>44474</v>
      </c>
      <c r="L292" s="147">
        <f>IF(t&lt;Tvie,1-EXP((T0-t)*PertePVj)+'2020'!Pspv,1-EXP((T0-t)*PertePVj)+Pspv)</f>
        <v>2.6656746504877482E-2</v>
      </c>
      <c r="M292" s="870"/>
      <c r="N292" s="870"/>
      <c r="O292" s="48">
        <f>IF(t&lt;Tnet,'2020'!Resal+('2020'!Salim-'2020'!Resal)*(1-EXP(('2020'!Tnet-t)/('2020'!Tau_j))),Resal+(Salim-Resal)*(1-EXP((Tnet-t)/(Tau_j))))*Salcycl</f>
        <v>9.0742495406498022E-2</v>
      </c>
      <c r="P292" s="171">
        <f>(INDEX(Models!$BJ292:$BT292,,T292)*(1-R292)+INDEX(Models!$BJ292:$BT292,,T292+1)*R292-ERP_i)*Q292*Ramure*Pc/MaxiM</f>
        <v>1.0574795958323766E-2</v>
      </c>
      <c r="Q292" s="307">
        <f t="shared" si="101"/>
        <v>1</v>
      </c>
      <c r="R292" s="179">
        <f t="shared" si="102"/>
        <v>0.99433032873246263</v>
      </c>
      <c r="S292" s="837">
        <f t="shared" si="103"/>
        <v>-1</v>
      </c>
      <c r="T292" s="178">
        <f t="shared" si="104"/>
        <v>5</v>
      </c>
      <c r="U292" s="253">
        <f t="shared" si="105"/>
        <v>-5.6696712675373684E-3</v>
      </c>
      <c r="V292" s="385">
        <f t="shared" si="106"/>
        <v>33.154958351553077</v>
      </c>
      <c r="W292" s="404"/>
      <c r="X292" s="157">
        <f t="shared" si="107"/>
        <v>44474</v>
      </c>
      <c r="Y292" s="387">
        <f t="shared" si="108"/>
        <v>10.618630919650347</v>
      </c>
      <c r="Z292" s="387">
        <f t="shared" si="109"/>
        <v>10.909441126263026</v>
      </c>
      <c r="AA292" s="388">
        <f t="shared" si="110"/>
        <v>12.872030468227136</v>
      </c>
      <c r="AB292" s="199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0.15246928965935055</v>
      </c>
      <c r="AD292" s="233">
        <f>(INDEX(Models!$BJ292:$BT292,,AH292)*(1-AF292)+INDEX(Models!$BJ292:$BT292,,AH292+1)*AF292-ERP_i)*AE292*Ramure*Pc/MaxiM</f>
        <v>1.0574795958323766E-2</v>
      </c>
      <c r="AE292" s="307">
        <f t="shared" si="112"/>
        <v>1</v>
      </c>
      <c r="AF292" s="179">
        <f t="shared" si="113"/>
        <v>0.99433032873246263</v>
      </c>
      <c r="AG292" s="837">
        <f t="shared" si="119"/>
        <v>-1</v>
      </c>
      <c r="AH292" s="178">
        <f t="shared" si="114"/>
        <v>5</v>
      </c>
      <c r="AI292" s="227">
        <f t="shared" si="115"/>
        <v>-5.6696712675373684E-3</v>
      </c>
      <c r="AJ292" s="267" t="b">
        <f t="shared" si="116"/>
        <v>0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8"/>
        <v>44475</v>
      </c>
      <c r="B293" s="618">
        <v>27.939</v>
      </c>
      <c r="C293" s="392"/>
      <c r="D293" s="395">
        <f t="shared" si="98"/>
        <v>28.704827506792064</v>
      </c>
      <c r="E293" s="387">
        <f t="shared" si="96"/>
        <v>31.57660866824844</v>
      </c>
      <c r="F293" s="387">
        <f t="shared" si="99"/>
        <v>31.85074301914954</v>
      </c>
      <c r="G293" s="110">
        <f t="shared" si="97"/>
        <v>0.85165386733337289</v>
      </c>
      <c r="H293" s="414" t="b">
        <f>Wh_hp&gt;='2020'!Maxi_hp</f>
        <v>0</v>
      </c>
      <c r="I293" s="382">
        <f>IF(H293,Wh_hp,'2020'!Maxi_hp)</f>
        <v>33.993896318509428</v>
      </c>
      <c r="J293" s="85">
        <f>IF(H293,An,'2020'!An_max)</f>
        <v>2018</v>
      </c>
      <c r="K293" s="199">
        <f t="shared" si="100"/>
        <v>44475</v>
      </c>
      <c r="L293" s="147">
        <f>IF(t&lt;Tvie,1-EXP((T0-t)*PertePVj)+'2020'!Pspv,1-EXP((T0-t)*PertePVj)+Pspv)</f>
        <v>2.6679397624349233E-2</v>
      </c>
      <c r="M293" s="870"/>
      <c r="N293" s="870"/>
      <c r="O293" s="48">
        <f>IF(t&lt;Tnet,'2020'!Resal+('2020'!Salim-'2020'!Resal)*(1-EXP(('2020'!Tnet-t)/('2020'!Tau_j))),Resal+(Salim-Resal)*(1-EXP((Tnet-t)/(Tau_j))))*Salcycl</f>
        <v>9.0946472169573689E-2</v>
      </c>
      <c r="P293" s="171">
        <f>(INDEX(Models!$BJ293:$BT293,,T293)*(1-R293)+INDEX(Models!$BJ293:$BT293,,T293+1)*R293-ERP_i)*Q293*Ramure*Pc/MaxiM</f>
        <v>1.0882666802767437E-2</v>
      </c>
      <c r="Q293" s="307">
        <f t="shared" si="101"/>
        <v>1</v>
      </c>
      <c r="R293" s="179">
        <f t="shared" si="102"/>
        <v>0.99455713163191739</v>
      </c>
      <c r="S293" s="837">
        <f t="shared" si="103"/>
        <v>-1</v>
      </c>
      <c r="T293" s="178">
        <f t="shared" si="104"/>
        <v>5</v>
      </c>
      <c r="U293" s="253">
        <f t="shared" si="105"/>
        <v>-5.4428683680826095E-3</v>
      </c>
      <c r="V293" s="385">
        <f t="shared" si="106"/>
        <v>32.730273204731127</v>
      </c>
      <c r="W293" s="404"/>
      <c r="X293" s="157">
        <f t="shared" si="107"/>
        <v>44475</v>
      </c>
      <c r="Y293" s="387">
        <f t="shared" si="108"/>
        <v>26.049948891921044</v>
      </c>
      <c r="Z293" s="387">
        <f t="shared" si="109"/>
        <v>26.763996188243766</v>
      </c>
      <c r="AA293" s="388">
        <f t="shared" si="110"/>
        <v>31.57660866824844</v>
      </c>
      <c r="AB293" s="199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0.15241068255831891</v>
      </c>
      <c r="AD293" s="233">
        <f>(INDEX(Models!$BJ293:$BT293,,AH293)*(1-AF293)+INDEX(Models!$BJ293:$BT293,,AH293+1)*AF293-ERP_i)*AE293*Ramure*Pc/MaxiM</f>
        <v>1.0882666802767437E-2</v>
      </c>
      <c r="AE293" s="307">
        <f t="shared" si="112"/>
        <v>1</v>
      </c>
      <c r="AF293" s="179">
        <f t="shared" si="113"/>
        <v>0.99455713163191739</v>
      </c>
      <c r="AG293" s="837">
        <f t="shared" si="119"/>
        <v>-1</v>
      </c>
      <c r="AH293" s="178">
        <f t="shared" si="114"/>
        <v>5</v>
      </c>
      <c r="AI293" s="227">
        <f t="shared" si="115"/>
        <v>-5.4428683680826095E-3</v>
      </c>
      <c r="AJ293" s="267" t="b">
        <f t="shared" si="116"/>
        <v>0</v>
      </c>
      <c r="AK293" s="267" t="b">
        <f t="shared" si="117"/>
        <v>0</v>
      </c>
      <c r="AL293" s="267"/>
      <c r="AM293" s="267"/>
      <c r="AN293" s="75"/>
    </row>
    <row r="294" spans="1:40" s="6" customFormat="1" ht="11.25" x14ac:dyDescent="0.2">
      <c r="A294" s="56">
        <f t="shared" si="118"/>
        <v>44476</v>
      </c>
      <c r="B294" s="618">
        <v>32.383000000000003</v>
      </c>
      <c r="C294" s="392"/>
      <c r="D294" s="395">
        <f t="shared" si="98"/>
        <v>33.271414925580565</v>
      </c>
      <c r="E294" s="387">
        <f t="shared" si="96"/>
        <v>36.608118562141669</v>
      </c>
      <c r="F294" s="387">
        <f t="shared" si="99"/>
        <v>37.024189714848987</v>
      </c>
      <c r="G294" s="110">
        <f t="shared" si="97"/>
        <v>1.0024010706867699</v>
      </c>
      <c r="H294" s="414" t="b">
        <f>Wh_hp&gt;='2020'!Maxi_hp</f>
        <v>1</v>
      </c>
      <c r="I294" s="382">
        <f>IF(H294,Wh_hp,'2020'!Maxi_hp)</f>
        <v>37.024189714848987</v>
      </c>
      <c r="J294" s="85">
        <f>IF(H294,An,'2020'!An_max)</f>
        <v>2021</v>
      </c>
      <c r="K294" s="199">
        <f t="shared" si="100"/>
        <v>44476</v>
      </c>
      <c r="L294" s="147">
        <f>IF(t&lt;Tvie,1-EXP((T0-t)*PertePVj)+'2020'!Pspv,1-EXP((T0-t)*PertePVj)+Pspv)</f>
        <v>2.6702048216696417E-2</v>
      </c>
      <c r="M294" s="870"/>
      <c r="N294" s="870"/>
      <c r="O294" s="48">
        <f>IF(t&lt;Tnet,'2020'!Resal+('2020'!Salim-'2020'!Resal)*(1-EXP(('2020'!Tnet-t)/('2020'!Tau_j))),Resal+(Salim-Resal)*(1-EXP((Tnet-t)/(Tau_j))))*Salcycl</f>
        <v>9.1146548023141608E-2</v>
      </c>
      <c r="P294" s="171">
        <f>(INDEX(Models!$BJ294:$BT294,,T294)*(1-R294)+INDEX(Models!$BJ294:$BT294,,T294+1)*R294-ERP_i)*Q294*Ramure*Pc/MaxiM</f>
        <v>1.1237819271989332E-2</v>
      </c>
      <c r="Q294" s="307">
        <f t="shared" si="101"/>
        <v>1</v>
      </c>
      <c r="R294" s="179">
        <f t="shared" si="102"/>
        <v>0.99477494193304938</v>
      </c>
      <c r="S294" s="837">
        <f t="shared" si="103"/>
        <v>-1</v>
      </c>
      <c r="T294" s="178">
        <f t="shared" si="104"/>
        <v>5</v>
      </c>
      <c r="U294" s="253">
        <f t="shared" si="105"/>
        <v>-5.2250580669506164E-3</v>
      </c>
      <c r="V294" s="385">
        <f t="shared" si="106"/>
        <v>32.305432373305031</v>
      </c>
      <c r="W294" s="404"/>
      <c r="X294" s="157">
        <f t="shared" si="107"/>
        <v>44476</v>
      </c>
      <c r="Y294" s="387">
        <f t="shared" si="108"/>
        <v>30.20236984715401</v>
      </c>
      <c r="Z294" s="387">
        <f t="shared" si="109"/>
        <v>31.030960038307271</v>
      </c>
      <c r="AA294" s="388">
        <f t="shared" si="110"/>
        <v>36.608118562141669</v>
      </c>
      <c r="AB294" s="199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0.15234758689844338</v>
      </c>
      <c r="AD294" s="233">
        <f>(INDEX(Models!$BJ294:$BT294,,AH294)*(1-AF294)+INDEX(Models!$BJ294:$BT294,,AH294+1)*AF294-ERP_i)*AE294*Ramure*Pc/MaxiM</f>
        <v>1.1237819271989332E-2</v>
      </c>
      <c r="AE294" s="307">
        <f t="shared" si="112"/>
        <v>1</v>
      </c>
      <c r="AF294" s="179">
        <f t="shared" si="113"/>
        <v>0.99477494193304938</v>
      </c>
      <c r="AG294" s="837">
        <f t="shared" si="119"/>
        <v>-1</v>
      </c>
      <c r="AH294" s="178">
        <f t="shared" si="114"/>
        <v>5</v>
      </c>
      <c r="AI294" s="227">
        <f t="shared" si="115"/>
        <v>-5.2250580669506164E-3</v>
      </c>
      <c r="AJ294" s="267" t="b">
        <f t="shared" si="116"/>
        <v>0</v>
      </c>
      <c r="AK294" s="267" t="b">
        <f t="shared" si="117"/>
        <v>0</v>
      </c>
      <c r="AL294" s="267"/>
      <c r="AM294" s="267"/>
      <c r="AN294" s="75"/>
    </row>
    <row r="295" spans="1:40" s="6" customFormat="1" ht="11.25" x14ac:dyDescent="0.2">
      <c r="A295" s="56">
        <f t="shared" si="118"/>
        <v>44477</v>
      </c>
      <c r="B295" s="618">
        <v>31.577000000000002</v>
      </c>
      <c r="C295" s="392"/>
      <c r="D295" s="395">
        <f t="shared" si="98"/>
        <v>32.444057651785556</v>
      </c>
      <c r="E295" s="387">
        <f t="shared" si="96"/>
        <v>35.705493779647099</v>
      </c>
      <c r="F295" s="387">
        <f t="shared" si="99"/>
        <v>36.120260428293889</v>
      </c>
      <c r="G295" s="110">
        <f t="shared" si="97"/>
        <v>0.99029209369366311</v>
      </c>
      <c r="H295" s="414" t="b">
        <f>Wh_hp&gt;='2020'!Maxi_hp</f>
        <v>1</v>
      </c>
      <c r="I295" s="382">
        <f>IF(H295,Wh_hp,'2020'!Maxi_hp)</f>
        <v>36.120260428293889</v>
      </c>
      <c r="J295" s="85">
        <f>IF(H295,An,'2020'!An_max)</f>
        <v>2021</v>
      </c>
      <c r="K295" s="199">
        <f t="shared" si="100"/>
        <v>44477</v>
      </c>
      <c r="L295" s="147">
        <f>IF(t&lt;Tvie,1-EXP((T0-t)*PertePVj)+'2020'!Pspv,1-EXP((T0-t)*PertePVj)+Pspv)</f>
        <v>2.6724698281931247E-2</v>
      </c>
      <c r="M295" s="870"/>
      <c r="N295" s="870"/>
      <c r="O295" s="48">
        <f>IF(t&lt;Tnet,'2020'!Resal+('2020'!Salim-'2020'!Resal)*(1-EXP(('2020'!Tnet-t)/('2020'!Tau_j))),Resal+(Salim-Resal)*(1-EXP((Tnet-t)/(Tau_j))))*Salcycl</f>
        <v>9.1342697792927044E-2</v>
      </c>
      <c r="P295" s="171">
        <f>(INDEX(Models!$BJ295:$BT295,,T295)*(1-R295)+INDEX(Models!$BJ295:$BT295,,T295+1)*R295-ERP_i)*Q295*Ramure*Pc/MaxiM</f>
        <v>1.1641742767296062E-2</v>
      </c>
      <c r="Q295" s="307">
        <f t="shared" si="101"/>
        <v>1</v>
      </c>
      <c r="R295" s="179">
        <f t="shared" si="102"/>
        <v>0.99498411084525507</v>
      </c>
      <c r="S295" s="837">
        <f t="shared" si="103"/>
        <v>-1</v>
      </c>
      <c r="T295" s="178">
        <f t="shared" si="104"/>
        <v>5</v>
      </c>
      <c r="U295" s="253">
        <f t="shared" si="105"/>
        <v>-5.0158891547449347E-3</v>
      </c>
      <c r="V295" s="385">
        <f t="shared" si="106"/>
        <v>31.88142904175858</v>
      </c>
      <c r="W295" s="404"/>
      <c r="X295" s="157">
        <f t="shared" si="107"/>
        <v>44477</v>
      </c>
      <c r="Y295" s="387">
        <f t="shared" si="108"/>
        <v>29.459351567676755</v>
      </c>
      <c r="Z295" s="387">
        <f t="shared" si="109"/>
        <v>30.268261729927598</v>
      </c>
      <c r="AA295" s="388">
        <f t="shared" si="110"/>
        <v>35.705493779647099</v>
      </c>
      <c r="AB295" s="199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0.15227998479099142</v>
      </c>
      <c r="AD295" s="233">
        <f>(INDEX(Models!$BJ295:$BT295,,AH295)*(1-AF295)+INDEX(Models!$BJ295:$BT295,,AH295+1)*AF295-ERP_i)*AE295*Ramure*Pc/MaxiM</f>
        <v>1.1641742767296062E-2</v>
      </c>
      <c r="AE295" s="307">
        <f t="shared" si="112"/>
        <v>1</v>
      </c>
      <c r="AF295" s="179">
        <f t="shared" si="113"/>
        <v>0.99498411084525507</v>
      </c>
      <c r="AG295" s="837">
        <f t="shared" si="119"/>
        <v>-1</v>
      </c>
      <c r="AH295" s="178">
        <f t="shared" si="114"/>
        <v>5</v>
      </c>
      <c r="AI295" s="227">
        <f t="shared" si="115"/>
        <v>-5.0158891547449347E-3</v>
      </c>
      <c r="AJ295" s="267" t="b">
        <f t="shared" si="116"/>
        <v>0</v>
      </c>
      <c r="AK295" s="267" t="b">
        <f t="shared" si="117"/>
        <v>0</v>
      </c>
      <c r="AL295" s="267"/>
      <c r="AM295" s="267"/>
      <c r="AN295" s="75"/>
    </row>
    <row r="296" spans="1:40" s="6" customFormat="1" ht="11.25" x14ac:dyDescent="0.2">
      <c r="A296" s="56">
        <f t="shared" si="118"/>
        <v>44478</v>
      </c>
      <c r="B296" s="618">
        <v>14.040000000000001</v>
      </c>
      <c r="C296" s="392"/>
      <c r="D296" s="395">
        <f t="shared" si="98"/>
        <v>14.425853316251018</v>
      </c>
      <c r="E296" s="387">
        <f t="shared" si="96"/>
        <v>15.879369906987527</v>
      </c>
      <c r="F296" s="387">
        <f t="shared" si="99"/>
        <v>15.919675757786173</v>
      </c>
      <c r="G296" s="110">
        <f t="shared" si="97"/>
        <v>0.44201234114040211</v>
      </c>
      <c r="H296" s="414" t="b">
        <f>Wh_hp&gt;='2020'!Maxi_hp</f>
        <v>0</v>
      </c>
      <c r="I296" s="382">
        <f>IF(H296,Wh_hp,'2020'!Maxi_hp)</f>
        <v>32.482014216157026</v>
      </c>
      <c r="J296" s="85">
        <f>IF(H296,An,'2020'!An_max)</f>
        <v>2020</v>
      </c>
      <c r="K296" s="199">
        <f t="shared" si="100"/>
        <v>44478</v>
      </c>
      <c r="L296" s="147">
        <f>IF(t&lt;Tvie,1-EXP((T0-t)*PertePVj)+'2020'!Pspv,1-EXP((T0-t)*PertePVj)+Pspv)</f>
        <v>2.6747347820065936E-2</v>
      </c>
      <c r="M296" s="870"/>
      <c r="N296" s="870"/>
      <c r="O296" s="48">
        <f>IF(t&lt;Tnet,'2020'!Resal+('2020'!Salim-'2020'!Resal)*(1-EXP(('2020'!Tnet-t)/('2020'!Tau_j))),Resal+(Salim-Resal)*(1-EXP((Tnet-t)/(Tau_j))))*Salcycl</f>
        <v>9.1534903415588717E-2</v>
      </c>
      <c r="P296" s="171">
        <f>(INDEX(Models!$BJ296:$BT296,,T296)*(1-R296)+INDEX(Models!$BJ296:$BT296,,T296+1)*R296-ERP_i)*Q296*Ramure*Pc/MaxiM</f>
        <v>1.2114023068294739E-2</v>
      </c>
      <c r="Q296" s="307">
        <f t="shared" si="101"/>
        <v>1</v>
      </c>
      <c r="R296" s="179">
        <f t="shared" si="102"/>
        <v>0.99518497628018265</v>
      </c>
      <c r="S296" s="837">
        <f t="shared" si="103"/>
        <v>-1</v>
      </c>
      <c r="T296" s="178">
        <f t="shared" si="104"/>
        <v>5</v>
      </c>
      <c r="U296" s="253">
        <f t="shared" si="105"/>
        <v>-4.8150237198173462E-3</v>
      </c>
      <c r="V296" s="385">
        <f t="shared" si="106"/>
        <v>31.458679270121291</v>
      </c>
      <c r="W296" s="404"/>
      <c r="X296" s="157">
        <f t="shared" si="107"/>
        <v>44478</v>
      </c>
      <c r="Y296" s="387">
        <f t="shared" si="108"/>
        <v>13.102321209917816</v>
      </c>
      <c r="Z296" s="387">
        <f t="shared" si="109"/>
        <v>13.462404834521294</v>
      </c>
      <c r="AA296" s="388">
        <f t="shared" si="110"/>
        <v>15.879369906987527</v>
      </c>
      <c r="AB296" s="199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0.15220787012478854</v>
      </c>
      <c r="AD296" s="233">
        <f>(INDEX(Models!$BJ296:$BT296,,AH296)*(1-AF296)+INDEX(Models!$BJ296:$BT296,,AH296+1)*AF296-ERP_i)*AE296*Ramure*Pc/MaxiM</f>
        <v>1.2114023068294739E-2</v>
      </c>
      <c r="AE296" s="307">
        <f t="shared" si="112"/>
        <v>1</v>
      </c>
      <c r="AF296" s="179">
        <f t="shared" si="113"/>
        <v>0.99518497628018265</v>
      </c>
      <c r="AG296" s="837">
        <f t="shared" si="119"/>
        <v>-1</v>
      </c>
      <c r="AH296" s="178">
        <f t="shared" si="114"/>
        <v>5</v>
      </c>
      <c r="AI296" s="227">
        <f t="shared" si="115"/>
        <v>-4.8150237198173462E-3</v>
      </c>
      <c r="AJ296" s="267" t="b">
        <f t="shared" si="116"/>
        <v>0</v>
      </c>
      <c r="AK296" s="267" t="b">
        <f t="shared" si="117"/>
        <v>0</v>
      </c>
      <c r="AL296" s="267"/>
      <c r="AM296" s="267"/>
      <c r="AN296" s="75"/>
    </row>
    <row r="297" spans="1:40" s="6" customFormat="1" ht="11.25" x14ac:dyDescent="0.2">
      <c r="A297" s="56">
        <f t="shared" si="118"/>
        <v>44479</v>
      </c>
      <c r="B297" s="618">
        <v>21.03</v>
      </c>
      <c r="C297" s="392"/>
      <c r="D297" s="395">
        <f t="shared" si="98"/>
        <v>21.608458361872561</v>
      </c>
      <c r="E297" s="387">
        <f t="shared" ref="E297:E360" si="120">Wh_pvt/(1-Psa)</f>
        <v>23.790607970783661</v>
      </c>
      <c r="F297" s="387">
        <f t="shared" si="99"/>
        <v>23.953994967685293</v>
      </c>
      <c r="G297" s="110">
        <f t="shared" ref="G297:G360" si="121">+Wh_hp/MaxiM</f>
        <v>0.67357139786654652</v>
      </c>
      <c r="H297" s="414" t="b">
        <f>Wh_hp&gt;='2020'!Maxi_hp</f>
        <v>0</v>
      </c>
      <c r="I297" s="382">
        <f>IF(H297,Wh_hp,'2020'!Maxi_hp)</f>
        <v>25.658013979312674</v>
      </c>
      <c r="J297" s="85">
        <f>IF(H297,An,'2020'!An_max)</f>
        <v>2020</v>
      </c>
      <c r="K297" s="199">
        <f t="shared" si="100"/>
        <v>44479</v>
      </c>
      <c r="L297" s="147">
        <f>IF(t&lt;Tvie,1-EXP((T0-t)*PertePVj)+'2020'!Pspv,1-EXP((T0-t)*PertePVj)+Pspv)</f>
        <v>2.6769996831112697E-2</v>
      </c>
      <c r="M297" s="870"/>
      <c r="N297" s="870"/>
      <c r="O297" s="48">
        <f>IF(t&lt;Tnet,'2020'!Resal+('2020'!Salim-'2020'!Resal)*(1-EXP(('2020'!Tnet-t)/('2020'!Tau_j))),Resal+(Salim-Resal)*(1-EXP((Tnet-t)/(Tau_j))))*Salcycl</f>
        <v>9.1723154430980294E-2</v>
      </c>
      <c r="P297" s="171">
        <f>(INDEX(Models!$BJ297:$BT297,,T297)*(1-R297)+INDEX(Models!$BJ297:$BT297,,T297+1)*R297-ERP_i)*Q297*Ramure*Pc/MaxiM</f>
        <v>1.2646436542393174E-2</v>
      </c>
      <c r="Q297" s="307">
        <f t="shared" si="101"/>
        <v>1</v>
      </c>
      <c r="R297" s="179">
        <f t="shared" si="102"/>
        <v>0.99537786332221012</v>
      </c>
      <c r="S297" s="837">
        <f t="shared" si="103"/>
        <v>-1</v>
      </c>
      <c r="T297" s="178">
        <f t="shared" si="104"/>
        <v>5</v>
      </c>
      <c r="U297" s="253">
        <f t="shared" si="105"/>
        <v>-4.6221366777898787E-3</v>
      </c>
      <c r="V297" s="385">
        <f t="shared" si="106"/>
        <v>31.03850155869436</v>
      </c>
      <c r="W297" s="404"/>
      <c r="X297" s="157">
        <f t="shared" si="107"/>
        <v>44479</v>
      </c>
      <c r="Y297" s="387">
        <f t="shared" si="108"/>
        <v>19.631327073492542</v>
      </c>
      <c r="Z297" s="387">
        <f t="shared" si="109"/>
        <v>20.171313060193299</v>
      </c>
      <c r="AA297" s="388">
        <f t="shared" si="110"/>
        <v>23.790607970783661</v>
      </c>
      <c r="AB297" s="199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0.15213124923226348</v>
      </c>
      <c r="AD297" s="233">
        <f>(INDEX(Models!$BJ297:$BT297,,AH297)*(1-AF297)+INDEX(Models!$BJ297:$BT297,,AH297+1)*AF297-ERP_i)*AE297*Ramure*Pc/MaxiM</f>
        <v>1.2646436542393174E-2</v>
      </c>
      <c r="AE297" s="307">
        <f t="shared" si="112"/>
        <v>1</v>
      </c>
      <c r="AF297" s="179">
        <f t="shared" si="113"/>
        <v>0.99537786332221012</v>
      </c>
      <c r="AG297" s="837">
        <f t="shared" si="119"/>
        <v>-1</v>
      </c>
      <c r="AH297" s="178">
        <f t="shared" si="114"/>
        <v>5</v>
      </c>
      <c r="AI297" s="227">
        <f t="shared" si="115"/>
        <v>-4.6221366777898787E-3</v>
      </c>
      <c r="AJ297" s="267" t="b">
        <f t="shared" si="116"/>
        <v>0</v>
      </c>
      <c r="AK297" s="267" t="b">
        <f t="shared" si="117"/>
        <v>0</v>
      </c>
      <c r="AL297" s="267"/>
      <c r="AM297" s="267"/>
      <c r="AN297" s="75"/>
    </row>
    <row r="298" spans="1:40" s="6" customFormat="1" ht="11.25" x14ac:dyDescent="0.2">
      <c r="A298" s="56">
        <f t="shared" si="118"/>
        <v>44480</v>
      </c>
      <c r="B298" s="618">
        <v>30.654</v>
      </c>
      <c r="C298" s="392"/>
      <c r="D298" s="395">
        <f t="shared" si="98"/>
        <v>31.497912394963855</v>
      </c>
      <c r="E298" s="387">
        <f t="shared" si="120"/>
        <v>34.685795342269749</v>
      </c>
      <c r="F298" s="387">
        <f t="shared" si="99"/>
        <v>35.151224581110363</v>
      </c>
      <c r="G298" s="110">
        <f t="shared" si="121"/>
        <v>1.0010487363523495</v>
      </c>
      <c r="H298" s="414" t="b">
        <f>Wh_hp&gt;='2020'!Maxi_hp</f>
        <v>0</v>
      </c>
      <c r="I298" s="382">
        <f>IF(H298,Wh_hp,'2020'!Maxi_hp)</f>
        <v>35.228282069749262</v>
      </c>
      <c r="J298" s="85">
        <f>IF(H298,An,'2020'!An_max)</f>
        <v>2019</v>
      </c>
      <c r="K298" s="199">
        <f t="shared" si="100"/>
        <v>44480</v>
      </c>
      <c r="L298" s="147">
        <f>IF(t&lt;Tvie,1-EXP((T0-t)*PertePVj)+'2020'!Pspv,1-EXP((T0-t)*PertePVj)+Pspv)</f>
        <v>2.6792645315083963E-2</v>
      </c>
      <c r="M298" s="870"/>
      <c r="N298" s="870"/>
      <c r="O298" s="48">
        <f>IF(t&lt;Tnet,'2020'!Resal+('2020'!Salim-'2020'!Resal)*(1-EXP(('2020'!Tnet-t)/('2020'!Tau_j))),Resal+(Salim-Resal)*(1-EXP((Tnet-t)/(Tau_j))))*Salcycl</f>
        <v>9.1907448448240961E-2</v>
      </c>
      <c r="P298" s="171">
        <f>(INDEX(Models!$BJ298:$BT298,,T298)*(1-R298)+INDEX(Models!$BJ298:$BT298,,T298+1)*R298-ERP_i)*Q298*Ramure*Pc/MaxiM</f>
        <v>1.3240768832011772E-2</v>
      </c>
      <c r="Q298" s="307">
        <f t="shared" si="101"/>
        <v>1</v>
      </c>
      <c r="R298" s="179">
        <f t="shared" si="102"/>
        <v>0.99556308468492294</v>
      </c>
      <c r="S298" s="837">
        <f t="shared" si="103"/>
        <v>-1</v>
      </c>
      <c r="T298" s="178">
        <f t="shared" si="104"/>
        <v>5</v>
      </c>
      <c r="U298" s="253">
        <f t="shared" si="105"/>
        <v>-4.4369153150770613E-3</v>
      </c>
      <c r="V298" s="385">
        <f t="shared" si="106"/>
        <v>30.621885715272914</v>
      </c>
      <c r="W298" s="404"/>
      <c r="X298" s="157">
        <f t="shared" si="107"/>
        <v>44480</v>
      </c>
      <c r="Y298" s="387">
        <f t="shared" si="108"/>
        <v>28.623794918171331</v>
      </c>
      <c r="Z298" s="387">
        <f t="shared" si="109"/>
        <v>29.411815252298954</v>
      </c>
      <c r="AA298" s="388">
        <f t="shared" si="110"/>
        <v>34.685795342269749</v>
      </c>
      <c r="AB298" s="199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0.15205014150399693</v>
      </c>
      <c r="AD298" s="233">
        <f>(INDEX(Models!$BJ298:$BT298,,AH298)*(1-AF298)+INDEX(Models!$BJ298:$BT298,,AH298+1)*AF298-ERP_i)*AE298*Ramure*Pc/MaxiM</f>
        <v>1.3240768832011772E-2</v>
      </c>
      <c r="AE298" s="307">
        <f t="shared" si="112"/>
        <v>1</v>
      </c>
      <c r="AF298" s="179">
        <f t="shared" si="113"/>
        <v>0.99556308468492294</v>
      </c>
      <c r="AG298" s="837">
        <f t="shared" si="119"/>
        <v>-1</v>
      </c>
      <c r="AH298" s="178">
        <f t="shared" si="114"/>
        <v>5</v>
      </c>
      <c r="AI298" s="227">
        <f t="shared" si="115"/>
        <v>-4.4369153150770613E-3</v>
      </c>
      <c r="AJ298" s="267" t="b">
        <f t="shared" si="116"/>
        <v>0</v>
      </c>
      <c r="AK298" s="267" t="b">
        <f t="shared" si="117"/>
        <v>0</v>
      </c>
      <c r="AL298" s="267"/>
      <c r="AM298" s="267"/>
      <c r="AN298" s="75"/>
    </row>
    <row r="299" spans="1:40" s="6" customFormat="1" ht="11.25" x14ac:dyDescent="0.2">
      <c r="A299" s="56">
        <f t="shared" si="118"/>
        <v>44481</v>
      </c>
      <c r="B299" s="618">
        <v>29.843</v>
      </c>
      <c r="C299" s="392"/>
      <c r="D299" s="395">
        <f t="shared" si="98"/>
        <v>30.665298985571415</v>
      </c>
      <c r="E299" s="387">
        <f t="shared" si="120"/>
        <v>33.775621366484032</v>
      </c>
      <c r="F299" s="387">
        <f t="shared" si="99"/>
        <v>34.24330519553645</v>
      </c>
      <c r="G299" s="110">
        <f t="shared" si="121"/>
        <v>0.98761611136130933</v>
      </c>
      <c r="H299" s="414" t="b">
        <f>Wh_hp&gt;='2020'!Maxi_hp</f>
        <v>1</v>
      </c>
      <c r="I299" s="382">
        <f>IF(H299,Wh_hp,'2020'!Maxi_hp)</f>
        <v>34.24330519553645</v>
      </c>
      <c r="J299" s="85">
        <f>IF(H299,An,'2020'!An_max)</f>
        <v>2021</v>
      </c>
      <c r="K299" s="199">
        <f t="shared" si="100"/>
        <v>44481</v>
      </c>
      <c r="L299" s="147">
        <f>IF(t&lt;Tvie,1-EXP((T0-t)*PertePVj)+'2020'!Pspv,1-EXP((T0-t)*PertePVj)+Pspv)</f>
        <v>2.6815293271991947E-2</v>
      </c>
      <c r="M299" s="870"/>
      <c r="N299" s="870"/>
      <c r="O299" s="48">
        <f>IF(t&lt;Tnet,'2020'!Resal+('2020'!Salim-'2020'!Resal)*(1-EXP(('2020'!Tnet-t)/('2020'!Tau_j))),Resal+(Salim-Resal)*(1-EXP((Tnet-t)/(Tau_j))))*Salcycl</f>
        <v>9.2087791580913028E-2</v>
      </c>
      <c r="P299" s="171">
        <f>(INDEX(Models!$BJ299:$BT299,,T299)*(1-R299)+INDEX(Models!$BJ299:$BT299,,T299+1)*R299-ERP_i)*Q299*Ramure*Pc/MaxiM</f>
        <v>1.3898764407119783E-2</v>
      </c>
      <c r="Q299" s="307">
        <f t="shared" si="101"/>
        <v>1</v>
      </c>
      <c r="R299" s="179">
        <f t="shared" si="102"/>
        <v>0.99574094115378509</v>
      </c>
      <c r="S299" s="837">
        <f t="shared" si="103"/>
        <v>-1</v>
      </c>
      <c r="T299" s="178">
        <f t="shared" si="104"/>
        <v>5</v>
      </c>
      <c r="U299" s="253">
        <f t="shared" si="105"/>
        <v>-4.2590588462149137E-3</v>
      </c>
      <c r="V299" s="385">
        <f t="shared" si="106"/>
        <v>30.209820504352827</v>
      </c>
      <c r="W299" s="404"/>
      <c r="X299" s="157">
        <f t="shared" si="107"/>
        <v>44481</v>
      </c>
      <c r="Y299" s="387">
        <f t="shared" si="108"/>
        <v>27.874854865948365</v>
      </c>
      <c r="Z299" s="387">
        <f t="shared" si="109"/>
        <v>28.642923253148705</v>
      </c>
      <c r="AA299" s="388">
        <f t="shared" si="110"/>
        <v>33.775621366484032</v>
      </c>
      <c r="AB299" s="199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0.15196457994488793</v>
      </c>
      <c r="AD299" s="233">
        <f>(INDEX(Models!$BJ299:$BT299,,AH299)*(1-AF299)+INDEX(Models!$BJ299:$BT299,,AH299+1)*AF299-ERP_i)*AE299*Ramure*Pc/MaxiM</f>
        <v>1.3898764407119783E-2</v>
      </c>
      <c r="AE299" s="307">
        <f t="shared" si="112"/>
        <v>1</v>
      </c>
      <c r="AF299" s="179">
        <f t="shared" si="113"/>
        <v>0.99574094115378509</v>
      </c>
      <c r="AG299" s="837">
        <f t="shared" si="119"/>
        <v>-1</v>
      </c>
      <c r="AH299" s="178">
        <f t="shared" si="114"/>
        <v>5</v>
      </c>
      <c r="AI299" s="227">
        <f t="shared" si="115"/>
        <v>-4.2590588462149137E-3</v>
      </c>
      <c r="AJ299" s="267" t="b">
        <f t="shared" si="116"/>
        <v>0</v>
      </c>
      <c r="AK299" s="267" t="b">
        <f t="shared" si="117"/>
        <v>0</v>
      </c>
      <c r="AL299" s="267"/>
      <c r="AM299" s="267"/>
      <c r="AN299" s="75"/>
    </row>
    <row r="300" spans="1:40" s="6" customFormat="1" ht="11.25" x14ac:dyDescent="0.2">
      <c r="A300" s="56">
        <f t="shared" si="118"/>
        <v>44482</v>
      </c>
      <c r="B300" s="618">
        <v>28.673999999999999</v>
      </c>
      <c r="C300" s="392"/>
      <c r="D300" s="395">
        <f t="shared" si="98"/>
        <v>29.464773853472892</v>
      </c>
      <c r="E300" s="387">
        <f t="shared" si="120"/>
        <v>32.459636180513918</v>
      </c>
      <c r="F300" s="387">
        <f t="shared" si="99"/>
        <v>32.914868339815627</v>
      </c>
      <c r="G300" s="110">
        <f t="shared" si="121"/>
        <v>0.96133623099220744</v>
      </c>
      <c r="H300" s="414" t="b">
        <f>Wh_hp&gt;='2020'!Maxi_hp</f>
        <v>1</v>
      </c>
      <c r="I300" s="382">
        <f>IF(H300,Wh_hp,'2020'!Maxi_hp)</f>
        <v>32.914868339815627</v>
      </c>
      <c r="J300" s="85">
        <f>IF(H300,An,'2020'!An_max)</f>
        <v>2021</v>
      </c>
      <c r="K300" s="199">
        <f t="shared" si="100"/>
        <v>44482</v>
      </c>
      <c r="L300" s="147">
        <f>IF(t&lt;Tvie,1-EXP((T0-t)*PertePVj)+'2020'!Pspv,1-EXP((T0-t)*PertePVj)+Pspv)</f>
        <v>2.6837940701848861E-2</v>
      </c>
      <c r="M300" s="870"/>
      <c r="N300" s="870"/>
      <c r="O300" s="48">
        <f>IF(t&lt;Tnet,'2020'!Resal+('2020'!Salim-'2020'!Resal)*(1-EXP(('2020'!Tnet-t)/('2020'!Tau_j))),Resal+(Salim-Resal)*(1-EXP((Tnet-t)/(Tau_j))))*Salcycl</f>
        <v>9.226419884640899E-2</v>
      </c>
      <c r="P300" s="171">
        <f>(INDEX(Models!$BJ300:$BT300,,T300)*(1-R300)+INDEX(Models!$BJ300:$BT300,,T300+1)*R300-ERP_i)*Q300*Ramure*Pc/MaxiM</f>
        <v>1.4622099600890543E-2</v>
      </c>
      <c r="Q300" s="307">
        <f t="shared" si="101"/>
        <v>1</v>
      </c>
      <c r="R300" s="179">
        <f t="shared" si="102"/>
        <v>0.99591172201521683</v>
      </c>
      <c r="S300" s="837">
        <f t="shared" si="103"/>
        <v>-1</v>
      </c>
      <c r="T300" s="178">
        <f t="shared" si="104"/>
        <v>5</v>
      </c>
      <c r="U300" s="253">
        <f t="shared" si="105"/>
        <v>-4.0882779847831729E-3</v>
      </c>
      <c r="V300" s="385">
        <f t="shared" si="106"/>
        <v>29.803293717289659</v>
      </c>
      <c r="W300" s="404"/>
      <c r="X300" s="157">
        <f t="shared" si="107"/>
        <v>44482</v>
      </c>
      <c r="Y300" s="387">
        <f t="shared" si="108"/>
        <v>26.790997285995722</v>
      </c>
      <c r="Z300" s="387">
        <f t="shared" si="109"/>
        <v>27.52984154079898</v>
      </c>
      <c r="AA300" s="388">
        <f t="shared" si="110"/>
        <v>32.459636180513918</v>
      </c>
      <c r="AB300" s="199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0.15187461166537594</v>
      </c>
      <c r="AD300" s="233">
        <f>(INDEX(Models!$BJ300:$BT300,,AH300)*(1-AF300)+INDEX(Models!$BJ300:$BT300,,AH300+1)*AF300-ERP_i)*AE300*Ramure*Pc/MaxiM</f>
        <v>1.4622099600890543E-2</v>
      </c>
      <c r="AE300" s="307">
        <f t="shared" si="112"/>
        <v>1</v>
      </c>
      <c r="AF300" s="179">
        <f t="shared" si="113"/>
        <v>0.99591172201521683</v>
      </c>
      <c r="AG300" s="837">
        <f t="shared" si="119"/>
        <v>-1</v>
      </c>
      <c r="AH300" s="178">
        <f t="shared" si="114"/>
        <v>5</v>
      </c>
      <c r="AI300" s="227">
        <f t="shared" si="115"/>
        <v>-4.0882779847831729E-3</v>
      </c>
      <c r="AJ300" s="267" t="b">
        <f t="shared" si="116"/>
        <v>0</v>
      </c>
      <c r="AK300" s="267" t="b">
        <f t="shared" si="117"/>
        <v>0</v>
      </c>
      <c r="AL300" s="267"/>
      <c r="AM300" s="267"/>
      <c r="AN300" s="75"/>
    </row>
    <row r="301" spans="1:40" s="6" customFormat="1" ht="11.25" x14ac:dyDescent="0.2">
      <c r="A301" s="56">
        <f t="shared" si="118"/>
        <v>44483</v>
      </c>
      <c r="B301" s="618">
        <v>30.28</v>
      </c>
      <c r="C301" s="392"/>
      <c r="D301" s="395">
        <f t="shared" si="98"/>
        <v>31.115788359108102</v>
      </c>
      <c r="E301" s="387">
        <f t="shared" si="120"/>
        <v>34.284978437767116</v>
      </c>
      <c r="F301" s="387">
        <f t="shared" si="99"/>
        <v>34.821662172601158</v>
      </c>
      <c r="G301" s="110">
        <f t="shared" si="121"/>
        <v>1.0298166533034236</v>
      </c>
      <c r="H301" s="414" t="b">
        <f>Wh_hp&gt;='2020'!Maxi_hp</f>
        <v>1</v>
      </c>
      <c r="I301" s="382">
        <f>IF(H301,Wh_hp,'2020'!Maxi_hp)</f>
        <v>34.821662172601158</v>
      </c>
      <c r="J301" s="85">
        <f>IF(H301,An,'2020'!An_max)</f>
        <v>2021</v>
      </c>
      <c r="K301" s="199">
        <f t="shared" si="100"/>
        <v>44483</v>
      </c>
      <c r="L301" s="147">
        <f>IF(t&lt;Tvie,1-EXP((T0-t)*PertePVj)+'2020'!Pspv,1-EXP((T0-t)*PertePVj)+Pspv)</f>
        <v>2.686058760466703E-2</v>
      </c>
      <c r="M301" s="870"/>
      <c r="N301" s="870"/>
      <c r="O301" s="48">
        <f>IF(t&lt;Tnet,'2020'!Resal+('2020'!Salim-'2020'!Resal)*(1-EXP(('2020'!Tnet-t)/('2020'!Tau_j))),Resal+(Salim-Resal)*(1-EXP((Tnet-t)/(Tau_j))))*Salcycl</f>
        <v>9.2436694525318691E-2</v>
      </c>
      <c r="P301" s="171">
        <f>(INDEX(Models!$BJ301:$BT301,,T301)*(1-R301)+INDEX(Models!$BJ301:$BT301,,T301+1)*R301-ERP_i)*Q301*Ramure*Pc/MaxiM</f>
        <v>1.5412352580237274E-2</v>
      </c>
      <c r="Q301" s="307">
        <f t="shared" si="101"/>
        <v>1</v>
      </c>
      <c r="R301" s="179">
        <f t="shared" si="102"/>
        <v>0.99607570547230995</v>
      </c>
      <c r="S301" s="837">
        <f t="shared" si="103"/>
        <v>-1</v>
      </c>
      <c r="T301" s="178">
        <f t="shared" si="104"/>
        <v>5</v>
      </c>
      <c r="U301" s="253">
        <f t="shared" si="105"/>
        <v>-3.9242945276900532E-3</v>
      </c>
      <c r="V301" s="385">
        <f t="shared" si="106"/>
        <v>29.40329222961045</v>
      </c>
      <c r="W301" s="404"/>
      <c r="X301" s="157">
        <f t="shared" si="107"/>
        <v>44483</v>
      </c>
      <c r="Y301" s="387">
        <f t="shared" si="108"/>
        <v>28.300056219214049</v>
      </c>
      <c r="Z301" s="387">
        <f t="shared" si="109"/>
        <v>29.081194183220784</v>
      </c>
      <c r="AA301" s="388">
        <f t="shared" si="110"/>
        <v>34.284978437767116</v>
      </c>
      <c r="AB301" s="199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0.15178029830154507</v>
      </c>
      <c r="AD301" s="233">
        <f>(INDEX(Models!$BJ301:$BT301,,AH301)*(1-AF301)+INDEX(Models!$BJ301:$BT301,,AH301+1)*AF301-ERP_i)*AE301*Ramure*Pc/MaxiM</f>
        <v>1.5412352580237274E-2</v>
      </c>
      <c r="AE301" s="307">
        <f t="shared" si="112"/>
        <v>1</v>
      </c>
      <c r="AF301" s="179">
        <f t="shared" si="113"/>
        <v>0.99607570547230995</v>
      </c>
      <c r="AG301" s="837">
        <f t="shared" si="119"/>
        <v>-1</v>
      </c>
      <c r="AH301" s="178">
        <f t="shared" si="114"/>
        <v>5</v>
      </c>
      <c r="AI301" s="227">
        <f t="shared" si="115"/>
        <v>-3.9242945276900532E-3</v>
      </c>
      <c r="AJ301" s="267" t="b">
        <f t="shared" si="116"/>
        <v>0</v>
      </c>
      <c r="AK301" s="267" t="b">
        <f t="shared" si="117"/>
        <v>0</v>
      </c>
      <c r="AL301" s="267"/>
      <c r="AM301" s="267"/>
      <c r="AN301" s="75"/>
    </row>
    <row r="302" spans="1:40" s="6" customFormat="1" ht="11.25" x14ac:dyDescent="0.2">
      <c r="A302" s="56">
        <f t="shared" si="118"/>
        <v>44484</v>
      </c>
      <c r="B302" s="618">
        <v>26.427</v>
      </c>
      <c r="C302" s="392"/>
      <c r="D302" s="395">
        <f t="shared" si="98"/>
        <v>27.15706986336038</v>
      </c>
      <c r="E302" s="387">
        <f t="shared" si="120"/>
        <v>29.928618975576757</v>
      </c>
      <c r="F302" s="387">
        <f t="shared" si="99"/>
        <v>30.359750436412689</v>
      </c>
      <c r="G302" s="110">
        <f t="shared" si="121"/>
        <v>0.90902355323535344</v>
      </c>
      <c r="H302" s="414" t="b">
        <f>Wh_hp&gt;='2020'!Maxi_hp</f>
        <v>1</v>
      </c>
      <c r="I302" s="382">
        <f>IF(H302,Wh_hp,'2020'!Maxi_hp)</f>
        <v>30.359750436412689</v>
      </c>
      <c r="J302" s="85">
        <f>IF(H302,An,'2020'!An_max)</f>
        <v>2021</v>
      </c>
      <c r="K302" s="199">
        <f t="shared" si="100"/>
        <v>44484</v>
      </c>
      <c r="L302" s="147">
        <f>IF(t&lt;Tvie,1-EXP((T0-t)*PertePVj)+'2020'!Pspv,1-EXP((T0-t)*PertePVj)+Pspv)</f>
        <v>2.6883233980458665E-2</v>
      </c>
      <c r="M302" s="870"/>
      <c r="N302" s="870"/>
      <c r="O302" s="48">
        <f>IF(t&lt;Tnet,'2020'!Resal+('2020'!Salim-'2020'!Resal)*(1-EXP(('2020'!Tnet-t)/('2020'!Tau_j))),Resal+(Salim-Resal)*(1-EXP((Tnet-t)/(Tau_j))))*Salcycl</f>
        <v>9.2605312476265633E-2</v>
      </c>
      <c r="P302" s="171">
        <f>(INDEX(Models!$BJ302:$BT302,,T302)*(1-R302)+INDEX(Models!$BJ302:$BT302,,T302+1)*R302-ERP_i)*Q302*Ramure*Pc/MaxiM</f>
        <v>1.6270970186249629E-2</v>
      </c>
      <c r="Q302" s="307">
        <f t="shared" si="101"/>
        <v>1</v>
      </c>
      <c r="R302" s="179">
        <f t="shared" si="102"/>
        <v>0.99623315904742238</v>
      </c>
      <c r="S302" s="837">
        <f t="shared" si="103"/>
        <v>-1</v>
      </c>
      <c r="T302" s="178">
        <f t="shared" si="104"/>
        <v>5</v>
      </c>
      <c r="U302" s="253">
        <f t="shared" si="105"/>
        <v>-3.7668409525776214E-3</v>
      </c>
      <c r="V302" s="385">
        <f t="shared" si="106"/>
        <v>29.010802078266703</v>
      </c>
      <c r="W302" s="404"/>
      <c r="X302" s="157">
        <f t="shared" si="107"/>
        <v>44484</v>
      </c>
      <c r="Y302" s="387">
        <f t="shared" si="108"/>
        <v>24.706456396583516</v>
      </c>
      <c r="Z302" s="387">
        <f t="shared" si="109"/>
        <v>25.388994681124814</v>
      </c>
      <c r="AA302" s="388">
        <f t="shared" si="110"/>
        <v>29.928618975576757</v>
      </c>
      <c r="AB302" s="199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0.15168171635839611</v>
      </c>
      <c r="AD302" s="233">
        <f>(INDEX(Models!$BJ302:$BT302,,AH302)*(1-AF302)+INDEX(Models!$BJ302:$BT302,,AH302+1)*AF302-ERP_i)*AE302*Ramure*Pc/MaxiM</f>
        <v>1.6270970186249629E-2</v>
      </c>
      <c r="AE302" s="307">
        <f t="shared" si="112"/>
        <v>1</v>
      </c>
      <c r="AF302" s="179">
        <f t="shared" si="113"/>
        <v>0.99623315904742238</v>
      </c>
      <c r="AG302" s="837">
        <f t="shared" si="119"/>
        <v>-1</v>
      </c>
      <c r="AH302" s="178">
        <f t="shared" si="114"/>
        <v>5</v>
      </c>
      <c r="AI302" s="227">
        <f t="shared" si="115"/>
        <v>-3.7668409525776214E-3</v>
      </c>
      <c r="AJ302" s="267" t="b">
        <f t="shared" si="116"/>
        <v>0</v>
      </c>
      <c r="AK302" s="267" t="b">
        <f t="shared" si="117"/>
        <v>0</v>
      </c>
      <c r="AL302" s="267"/>
      <c r="AM302" s="267"/>
      <c r="AN302" s="75"/>
    </row>
    <row r="303" spans="1:40" s="6" customFormat="1" ht="11.25" x14ac:dyDescent="0.2">
      <c r="A303" s="56">
        <f t="shared" si="118"/>
        <v>44485</v>
      </c>
      <c r="B303" s="618">
        <v>27.669</v>
      </c>
      <c r="C303" s="392"/>
      <c r="D303" s="395">
        <f t="shared" si="98"/>
        <v>28.434042942469418</v>
      </c>
      <c r="E303" s="387">
        <f t="shared" si="120"/>
        <v>31.341606829438959</v>
      </c>
      <c r="F303" s="387">
        <f t="shared" si="99"/>
        <v>31.863522294539795</v>
      </c>
      <c r="G303" s="110">
        <f t="shared" si="121"/>
        <v>0.96579748668113852</v>
      </c>
      <c r="H303" s="414" t="b">
        <f>Wh_hp&gt;='2020'!Maxi_hp</f>
        <v>1</v>
      </c>
      <c r="I303" s="382">
        <f>IF(H303,Wh_hp,'2020'!Maxi_hp)</f>
        <v>31.863522294539795</v>
      </c>
      <c r="J303" s="85">
        <f>IF(H303,An,'2020'!An_max)</f>
        <v>2021</v>
      </c>
      <c r="K303" s="199">
        <f t="shared" si="100"/>
        <v>44485</v>
      </c>
      <c r="L303" s="147">
        <f>IF(t&lt;Tvie,1-EXP((T0-t)*PertePVj)+'2020'!Pspv,1-EXP((T0-t)*PertePVj)+Pspv)</f>
        <v>2.6905879829235979E-2</v>
      </c>
      <c r="M303" s="870"/>
      <c r="N303" s="870"/>
      <c r="O303" s="48">
        <f>IF(t&lt;Tnet,'2020'!Resal+('2020'!Salim-'2020'!Resal)*(1-EXP(('2020'!Tnet-t)/('2020'!Tau_j))),Resal+(Salim-Resal)*(1-EXP((Tnet-t)/(Tau_j))))*Salcycl</f>
        <v>9.2770096402284133E-2</v>
      </c>
      <c r="P303" s="171">
        <f>(INDEX(Models!$BJ303:$BT303,,T303)*(1-R303)+INDEX(Models!$BJ303:$BT303,,T303+1)*R303-ERP_i)*Q303*Ramure*Pc/MaxiM</f>
        <v>1.7200321950941407E-2</v>
      </c>
      <c r="Q303" s="307">
        <f t="shared" si="101"/>
        <v>1</v>
      </c>
      <c r="R303" s="179">
        <f t="shared" si="102"/>
        <v>0.99638433997190856</v>
      </c>
      <c r="S303" s="837">
        <f t="shared" si="103"/>
        <v>-1</v>
      </c>
      <c r="T303" s="178">
        <f t="shared" si="104"/>
        <v>5</v>
      </c>
      <c r="U303" s="253">
        <f t="shared" si="105"/>
        <v>-3.6156600280914386E-3</v>
      </c>
      <c r="V303" s="385">
        <f t="shared" si="106"/>
        <v>28.62496222220236</v>
      </c>
      <c r="W303" s="404"/>
      <c r="X303" s="157">
        <f t="shared" si="107"/>
        <v>44485</v>
      </c>
      <c r="Y303" s="387">
        <f t="shared" si="108"/>
        <v>25.875427752811024</v>
      </c>
      <c r="Z303" s="387">
        <f t="shared" si="109"/>
        <v>26.590878740763802</v>
      </c>
      <c r="AA303" s="388">
        <f t="shared" si="110"/>
        <v>31.341606829438959</v>
      </c>
      <c r="AB303" s="199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0.15157895747109024</v>
      </c>
      <c r="AD303" s="233">
        <f>(INDEX(Models!$BJ303:$BT303,,AH303)*(1-AF303)+INDEX(Models!$BJ303:$BT303,,AH303+1)*AF303-ERP_i)*AE303*Ramure*Pc/MaxiM</f>
        <v>1.7200321950941407E-2</v>
      </c>
      <c r="AE303" s="307">
        <f t="shared" si="112"/>
        <v>1</v>
      </c>
      <c r="AF303" s="179">
        <f t="shared" si="113"/>
        <v>0.99638433997190856</v>
      </c>
      <c r="AG303" s="837">
        <f t="shared" si="119"/>
        <v>-1</v>
      </c>
      <c r="AH303" s="178">
        <f t="shared" si="114"/>
        <v>5</v>
      </c>
      <c r="AI303" s="227">
        <f t="shared" si="115"/>
        <v>-3.6156600280914386E-3</v>
      </c>
      <c r="AJ303" s="267" t="b">
        <f t="shared" si="116"/>
        <v>0</v>
      </c>
      <c r="AK303" s="267" t="b">
        <f t="shared" si="117"/>
        <v>0</v>
      </c>
      <c r="AL303" s="267"/>
      <c r="AM303" s="267"/>
      <c r="AN303" s="75"/>
    </row>
    <row r="304" spans="1:40" s="6" customFormat="1" ht="11.25" x14ac:dyDescent="0.2">
      <c r="A304" s="56">
        <f t="shared" si="118"/>
        <v>44486</v>
      </c>
      <c r="B304" s="618">
        <v>25.927</v>
      </c>
      <c r="C304" s="392"/>
      <c r="D304" s="395">
        <f t="shared" si="98"/>
        <v>26.644497007810884</v>
      </c>
      <c r="E304" s="387">
        <f t="shared" si="120"/>
        <v>29.374281280859819</v>
      </c>
      <c r="F304" s="387">
        <f t="shared" si="99"/>
        <v>29.854260667658959</v>
      </c>
      <c r="G304" s="110">
        <f t="shared" si="121"/>
        <v>0.91597983989218434</v>
      </c>
      <c r="H304" s="414" t="b">
        <f>Wh_hp&gt;='2020'!Maxi_hp</f>
        <v>1</v>
      </c>
      <c r="I304" s="382">
        <f>IF(H304,Wh_hp,'2020'!Maxi_hp)</f>
        <v>29.854260667658959</v>
      </c>
      <c r="J304" s="85">
        <f>IF(H304,An,'2020'!An_max)</f>
        <v>2021</v>
      </c>
      <c r="K304" s="199">
        <f t="shared" si="100"/>
        <v>44486</v>
      </c>
      <c r="L304" s="147">
        <f>IF(t&lt;Tvie,1-EXP((T0-t)*PertePVj)+'2020'!Pspv,1-EXP((T0-t)*PertePVj)+Pspv)</f>
        <v>2.6928525151011407E-2</v>
      </c>
      <c r="M304" s="870"/>
      <c r="N304" s="870"/>
      <c r="O304" s="48">
        <f>IF(t&lt;Tnet,'2020'!Resal+('2020'!Salim-'2020'!Resal)*(1-EXP(('2020'!Tnet-t)/('2020'!Tau_j))),Resal+(Salim-Resal)*(1-EXP((Tnet-t)/(Tau_j))))*Salcycl</f>
        <v>9.2931100064996386E-2</v>
      </c>
      <c r="P304" s="171">
        <f>(INDEX(Models!$BJ304:$BT304,,T304)*(1-R304)+INDEX(Models!$BJ304:$BT304,,T304+1)*R304-ERP_i)*Q304*Ramure*Pc/MaxiM</f>
        <v>1.821152363959868E-2</v>
      </c>
      <c r="Q304" s="307">
        <f t="shared" si="101"/>
        <v>1</v>
      </c>
      <c r="R304" s="179">
        <f t="shared" si="102"/>
        <v>0.99652949556325132</v>
      </c>
      <c r="S304" s="837">
        <f t="shared" si="103"/>
        <v>-1</v>
      </c>
      <c r="T304" s="178">
        <f t="shared" si="104"/>
        <v>5</v>
      </c>
      <c r="U304" s="253">
        <f t="shared" si="105"/>
        <v>-3.4705044367486781E-3</v>
      </c>
      <c r="V304" s="385">
        <f t="shared" si="106"/>
        <v>28.243814727660776</v>
      </c>
      <c r="W304" s="404"/>
      <c r="X304" s="157">
        <f t="shared" si="107"/>
        <v>44486</v>
      </c>
      <c r="Y304" s="387">
        <f t="shared" si="108"/>
        <v>24.253705670974369</v>
      </c>
      <c r="Z304" s="387">
        <f t="shared" si="109"/>
        <v>24.924896369753633</v>
      </c>
      <c r="AA304" s="388">
        <f t="shared" si="110"/>
        <v>29.374281280859819</v>
      </c>
      <c r="AB304" s="199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0.15147212857954734</v>
      </c>
      <c r="AD304" s="233">
        <f>(INDEX(Models!$BJ304:$BT304,,AH304)*(1-AF304)+INDEX(Models!$BJ304:$BT304,,AH304+1)*AF304-ERP_i)*AE304*Ramure*Pc/MaxiM</f>
        <v>1.821152363959868E-2</v>
      </c>
      <c r="AE304" s="307">
        <f t="shared" si="112"/>
        <v>1</v>
      </c>
      <c r="AF304" s="179">
        <f t="shared" si="113"/>
        <v>0.99652949556325132</v>
      </c>
      <c r="AG304" s="837">
        <f t="shared" si="119"/>
        <v>-1</v>
      </c>
      <c r="AH304" s="178">
        <f t="shared" si="114"/>
        <v>5</v>
      </c>
      <c r="AI304" s="227">
        <f t="shared" si="115"/>
        <v>-3.4705044367486781E-3</v>
      </c>
      <c r="AJ304" s="267" t="b">
        <f t="shared" si="116"/>
        <v>0</v>
      </c>
      <c r="AK304" s="267" t="b">
        <f t="shared" si="117"/>
        <v>0</v>
      </c>
      <c r="AL304" s="267"/>
      <c r="AM304" s="267"/>
      <c r="AN304" s="75"/>
    </row>
    <row r="305" spans="1:40" s="6" customFormat="1" ht="11.25" x14ac:dyDescent="0.2">
      <c r="A305" s="56">
        <f t="shared" si="118"/>
        <v>44487</v>
      </c>
      <c r="B305" s="618">
        <v>26.995000000000001</v>
      </c>
      <c r="C305" s="392"/>
      <c r="D305" s="395">
        <f t="shared" si="98"/>
        <v>27.742698173221445</v>
      </c>
      <c r="E305" s="387">
        <f t="shared" si="120"/>
        <v>30.590299858448887</v>
      </c>
      <c r="F305" s="387">
        <f t="shared" si="99"/>
        <v>31.164048633566598</v>
      </c>
      <c r="G305" s="110">
        <f t="shared" si="121"/>
        <v>0.96782194195415638</v>
      </c>
      <c r="H305" s="414" t="b">
        <f>Wh_hp&gt;='2020'!Maxi_hp</f>
        <v>0</v>
      </c>
      <c r="I305" s="382">
        <f>IF(H305,Wh_hp,'2020'!Maxi_hp)</f>
        <v>32.364301744109355</v>
      </c>
      <c r="J305" s="85">
        <f>IF(H305,An,'2020'!An_max)</f>
        <v>2020</v>
      </c>
      <c r="K305" s="199">
        <f t="shared" si="100"/>
        <v>44487</v>
      </c>
      <c r="L305" s="147">
        <f>IF(t&lt;Tvie,1-EXP((T0-t)*PertePVj)+'2020'!Pspv,1-EXP((T0-t)*PertePVj)+Pspv)</f>
        <v>2.6951169945797049E-2</v>
      </c>
      <c r="M305" s="870"/>
      <c r="N305" s="870"/>
      <c r="O305" s="48">
        <f>IF(t&lt;Tnet,'2020'!Resal+('2020'!Salim-'2020'!Resal)*(1-EXP(('2020'!Tnet-t)/('2020'!Tau_j))),Resal+(Salim-Resal)*(1-EXP((Tnet-t)/(Tau_j))))*Salcycl</f>
        <v>9.3088387443215861E-2</v>
      </c>
      <c r="P305" s="171">
        <f>(INDEX(Models!$BJ305:$BT305,,T305)*(1-R305)+INDEX(Models!$BJ305:$BT305,,T305+1)*R305-ERP_i)*Q305*Ramure*Pc/MaxiM</f>
        <v>1.9273122195318126E-2</v>
      </c>
      <c r="Q305" s="307">
        <f t="shared" si="101"/>
        <v>1</v>
      </c>
      <c r="R305" s="179">
        <f t="shared" si="102"/>
        <v>0.99666886358986806</v>
      </c>
      <c r="S305" s="837">
        <f t="shared" si="103"/>
        <v>-1</v>
      </c>
      <c r="T305" s="178">
        <f t="shared" si="104"/>
        <v>5</v>
      </c>
      <c r="U305" s="253">
        <f t="shared" si="105"/>
        <v>-3.3311364101319407E-3</v>
      </c>
      <c r="V305" s="385">
        <f t="shared" si="106"/>
        <v>27.868018159015534</v>
      </c>
      <c r="W305" s="404"/>
      <c r="X305" s="157">
        <f t="shared" si="107"/>
        <v>44487</v>
      </c>
      <c r="Y305" s="387">
        <f t="shared" si="108"/>
        <v>25.260455357760165</v>
      </c>
      <c r="Z305" s="387">
        <f t="shared" si="109"/>
        <v>25.960110713408955</v>
      </c>
      <c r="AA305" s="388">
        <f t="shared" si="110"/>
        <v>30.590299858448887</v>
      </c>
      <c r="AB305" s="199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0.15136135201241241</v>
      </c>
      <c r="AD305" s="233">
        <f>(INDEX(Models!$BJ305:$BT305,,AH305)*(1-AF305)+INDEX(Models!$BJ305:$BT305,,AH305+1)*AF305-ERP_i)*AE305*Ramure*Pc/MaxiM</f>
        <v>1.9273122195318126E-2</v>
      </c>
      <c r="AE305" s="307">
        <f t="shared" si="112"/>
        <v>1</v>
      </c>
      <c r="AF305" s="179">
        <f t="shared" si="113"/>
        <v>0.99666886358986806</v>
      </c>
      <c r="AG305" s="837">
        <f t="shared" si="119"/>
        <v>-1</v>
      </c>
      <c r="AH305" s="178">
        <f t="shared" si="114"/>
        <v>5</v>
      </c>
      <c r="AI305" s="227">
        <f t="shared" si="115"/>
        <v>-3.3311364101319407E-3</v>
      </c>
      <c r="AJ305" s="267" t="b">
        <f t="shared" si="116"/>
        <v>0</v>
      </c>
      <c r="AK305" s="267" t="b">
        <f t="shared" si="117"/>
        <v>0</v>
      </c>
      <c r="AL305" s="267"/>
      <c r="AM305" s="267"/>
      <c r="AN305" s="75"/>
    </row>
    <row r="306" spans="1:40" s="6" customFormat="1" ht="11.25" x14ac:dyDescent="0.2">
      <c r="A306" s="56">
        <f t="shared" si="118"/>
        <v>44488</v>
      </c>
      <c r="B306" s="618">
        <v>25.779</v>
      </c>
      <c r="C306" s="392"/>
      <c r="D306" s="395">
        <f t="shared" si="98"/>
        <v>26.493634371376704</v>
      </c>
      <c r="E306" s="387">
        <f t="shared" si="120"/>
        <v>29.217978039003107</v>
      </c>
      <c r="F306" s="387">
        <f t="shared" si="99"/>
        <v>29.770719717751714</v>
      </c>
      <c r="G306" s="110">
        <f t="shared" si="121"/>
        <v>0.9357730123350062</v>
      </c>
      <c r="H306" s="414" t="b">
        <f>Wh_hp&gt;='2020'!Maxi_hp</f>
        <v>0</v>
      </c>
      <c r="I306" s="382">
        <f>IF(H306,Wh_hp,'2020'!Maxi_hp)</f>
        <v>30.618334526163864</v>
      </c>
      <c r="J306" s="85">
        <f>IF(H306,An,'2020'!An_max)</f>
        <v>2020</v>
      </c>
      <c r="K306" s="199">
        <f t="shared" si="100"/>
        <v>44488</v>
      </c>
      <c r="L306" s="147">
        <f>IF(t&lt;Tvie,1-EXP((T0-t)*PertePVj)+'2020'!Pspv,1-EXP((T0-t)*PertePVj)+Pspv)</f>
        <v>2.697381421360534E-2</v>
      </c>
      <c r="M306" s="870"/>
      <c r="N306" s="870"/>
      <c r="O306" s="48">
        <f>IF(t&lt;Tnet,'2020'!Resal+('2020'!Salim-'2020'!Resal)*(1-EXP(('2020'!Tnet-t)/('2020'!Tau_j))),Resal+(Salim-Resal)*(1-EXP((Tnet-t)/(Tau_j))))*Salcycl</f>
        <v>9.3242032832993246E-2</v>
      </c>
      <c r="P306" s="171">
        <f>(INDEX(Models!$BJ306:$BT306,,T306)*(1-R306)+INDEX(Models!$BJ306:$BT306,,T306+1)*R306-ERP_i)*Q306*Ramure*Pc/MaxiM</f>
        <v>2.0386511884308792E-2</v>
      </c>
      <c r="Q306" s="307">
        <f t="shared" si="101"/>
        <v>1</v>
      </c>
      <c r="R306" s="179">
        <f t="shared" si="102"/>
        <v>0.99680267262387023</v>
      </c>
      <c r="S306" s="837">
        <f t="shared" si="103"/>
        <v>-1</v>
      </c>
      <c r="T306" s="178">
        <f t="shared" si="104"/>
        <v>5</v>
      </c>
      <c r="U306" s="253">
        <f t="shared" si="105"/>
        <v>-3.197327376129766E-3</v>
      </c>
      <c r="V306" s="385">
        <f t="shared" si="106"/>
        <v>27.497263941839911</v>
      </c>
      <c r="W306" s="404"/>
      <c r="X306" s="157">
        <f t="shared" si="107"/>
        <v>44488</v>
      </c>
      <c r="Y306" s="387">
        <f t="shared" si="108"/>
        <v>24.129933703396254</v>
      </c>
      <c r="Z306" s="387">
        <f t="shared" si="109"/>
        <v>24.798853366823391</v>
      </c>
      <c r="AA306" s="388">
        <f t="shared" si="110"/>
        <v>29.217978039003107</v>
      </c>
      <c r="AB306" s="199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0.15124676547708485</v>
      </c>
      <c r="AD306" s="233">
        <f>(INDEX(Models!$BJ306:$BT306,,AH306)*(1-AF306)+INDEX(Models!$BJ306:$BT306,,AH306+1)*AF306-ERP_i)*AE306*Ramure*Pc/MaxiM</f>
        <v>2.0386511884308792E-2</v>
      </c>
      <c r="AE306" s="307">
        <f t="shared" si="112"/>
        <v>1</v>
      </c>
      <c r="AF306" s="179">
        <f t="shared" si="113"/>
        <v>0.99680267262387023</v>
      </c>
      <c r="AG306" s="837">
        <f t="shared" si="119"/>
        <v>-1</v>
      </c>
      <c r="AH306" s="178">
        <f t="shared" si="114"/>
        <v>5</v>
      </c>
      <c r="AI306" s="227">
        <f t="shared" si="115"/>
        <v>-3.197327376129766E-3</v>
      </c>
      <c r="AJ306" s="267" t="b">
        <f t="shared" si="116"/>
        <v>0</v>
      </c>
      <c r="AK306" s="267" t="b">
        <f t="shared" si="117"/>
        <v>0</v>
      </c>
      <c r="AL306" s="267"/>
      <c r="AM306" s="267"/>
      <c r="AN306" s="75"/>
    </row>
    <row r="307" spans="1:40" s="6" customFormat="1" ht="11.25" x14ac:dyDescent="0.2">
      <c r="A307" s="56">
        <f t="shared" si="118"/>
        <v>44489</v>
      </c>
      <c r="B307" s="618">
        <v>20.817</v>
      </c>
      <c r="C307" s="392"/>
      <c r="D307" s="395">
        <f t="shared" si="98"/>
        <v>21.39457782058664</v>
      </c>
      <c r="E307" s="387">
        <f t="shared" si="120"/>
        <v>23.598490939112178</v>
      </c>
      <c r="F307" s="387">
        <f t="shared" si="99"/>
        <v>23.942966696494526</v>
      </c>
      <c r="G307" s="110">
        <f t="shared" si="121"/>
        <v>0.76169203424312415</v>
      </c>
      <c r="H307" s="414" t="b">
        <f>Wh_hp&gt;='2020'!Maxi_hp</f>
        <v>0</v>
      </c>
      <c r="I307" s="382">
        <f>IF(H307,Wh_hp,'2020'!Maxi_hp)</f>
        <v>26.917739526991838</v>
      </c>
      <c r="J307" s="85">
        <f>IF(H307,An,'2020'!An_max)</f>
        <v>2020</v>
      </c>
      <c r="K307" s="199">
        <f t="shared" si="100"/>
        <v>44489</v>
      </c>
      <c r="L307" s="147">
        <f>IF(t&lt;Tvie,1-EXP((T0-t)*PertePVj)+'2020'!Pspv,1-EXP((T0-t)*PertePVj)+Pspv)</f>
        <v>2.6996457954448272E-2</v>
      </c>
      <c r="M307" s="870"/>
      <c r="N307" s="870"/>
      <c r="O307" s="48">
        <f>IF(t&lt;Tnet,'2020'!Resal+('2020'!Salim-'2020'!Resal)*(1-EXP(('2020'!Tnet-t)/('2020'!Tau_j))),Resal+(Salim-Resal)*(1-EXP((Tnet-t)/(Tau_j))))*Salcycl</f>
        <v>9.3392120886542307E-2</v>
      </c>
      <c r="P307" s="171">
        <f>(INDEX(Models!$BJ307:$BT307,,T307)*(1-R307)+INDEX(Models!$BJ307:$BT307,,T307+1)*R307-ERP_i)*Q307*Ramure*Pc/MaxiM</f>
        <v>2.1553136541534918E-2</v>
      </c>
      <c r="Q307" s="307">
        <f t="shared" si="101"/>
        <v>1</v>
      </c>
      <c r="R307" s="179">
        <f t="shared" si="102"/>
        <v>0.99693114238206093</v>
      </c>
      <c r="S307" s="837">
        <f t="shared" si="103"/>
        <v>-1</v>
      </c>
      <c r="T307" s="178">
        <f t="shared" si="104"/>
        <v>5</v>
      </c>
      <c r="U307" s="253">
        <f t="shared" si="105"/>
        <v>-3.0688576179390692E-3</v>
      </c>
      <c r="V307" s="385">
        <f t="shared" si="106"/>
        <v>27.131243765967103</v>
      </c>
      <c r="W307" s="404"/>
      <c r="X307" s="157">
        <f t="shared" si="107"/>
        <v>44489</v>
      </c>
      <c r="Y307" s="387">
        <f t="shared" si="108"/>
        <v>19.491290518872987</v>
      </c>
      <c r="Z307" s="387">
        <f t="shared" si="109"/>
        <v>20.032085883157546</v>
      </c>
      <c r="AA307" s="388">
        <f t="shared" si="110"/>
        <v>23.598490939112178</v>
      </c>
      <c r="AB307" s="199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0.15112852195322657</v>
      </c>
      <c r="AD307" s="233">
        <f>(INDEX(Models!$BJ307:$BT307,,AH307)*(1-AF307)+INDEX(Models!$BJ307:$BT307,,AH307+1)*AF307-ERP_i)*AE307*Ramure*Pc/MaxiM</f>
        <v>2.1553136541534918E-2</v>
      </c>
      <c r="AE307" s="307">
        <f t="shared" si="112"/>
        <v>1</v>
      </c>
      <c r="AF307" s="179">
        <f t="shared" si="113"/>
        <v>0.99693114238206093</v>
      </c>
      <c r="AG307" s="837">
        <f t="shared" si="119"/>
        <v>-1</v>
      </c>
      <c r="AH307" s="178">
        <f t="shared" si="114"/>
        <v>5</v>
      </c>
      <c r="AI307" s="227">
        <f t="shared" si="115"/>
        <v>-3.0688576179390692E-3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x14ac:dyDescent="0.2">
      <c r="A308" s="56">
        <f t="shared" si="118"/>
        <v>44490</v>
      </c>
      <c r="B308" s="618">
        <v>9.918000000000001</v>
      </c>
      <c r="C308" s="392"/>
      <c r="D308" s="395">
        <f t="shared" si="98"/>
        <v>10.193416964206966</v>
      </c>
      <c r="E308" s="387">
        <f t="shared" si="120"/>
        <v>11.245287016778025</v>
      </c>
      <c r="F308" s="387">
        <f t="shared" si="99"/>
        <v>11.271137691327803</v>
      </c>
      <c r="G308" s="110">
        <f t="shared" si="121"/>
        <v>0.36288868047053091</v>
      </c>
      <c r="H308" s="414" t="b">
        <f>Wh_hp&gt;='2020'!Maxi_hp</f>
        <v>0</v>
      </c>
      <c r="I308" s="382">
        <f>IF(H308,Wh_hp,'2020'!Maxi_hp)</f>
        <v>22.474187536944374</v>
      </c>
      <c r="J308" s="85">
        <f>IF(H308,An,'2020'!An_max)</f>
        <v>2019</v>
      </c>
      <c r="K308" s="199">
        <f t="shared" si="100"/>
        <v>44490</v>
      </c>
      <c r="L308" s="147">
        <f>IF(t&lt;Tvie,1-EXP((T0-t)*PertePVj)+'2020'!Pspv,1-EXP((T0-t)*PertePVj)+Pspv)</f>
        <v>2.7019101168338389E-2</v>
      </c>
      <c r="M308" s="870"/>
      <c r="N308" s="870"/>
      <c r="O308" s="48">
        <f>IF(t&lt;Tnet,'2020'!Resal+('2020'!Salim-'2020'!Resal)*(1-EXP(('2020'!Tnet-t)/('2020'!Tau_j))),Resal+(Salim-Resal)*(1-EXP((Tnet-t)/(Tau_j))))*Salcycl</f>
        <v>9.353874658794066E-2</v>
      </c>
      <c r="P308" s="171">
        <f>(INDEX(Models!$BJ308:$BT308,,T308)*(1-R308)+INDEX(Models!$BJ308:$BT308,,T308+1)*R308-ERP_i)*Q308*Ramure*Pc/MaxiM</f>
        <v>2.2774495098645941E-2</v>
      </c>
      <c r="Q308" s="307">
        <f t="shared" si="101"/>
        <v>1</v>
      </c>
      <c r="R308" s="179">
        <f t="shared" si="102"/>
        <v>0.99705448405546038</v>
      </c>
      <c r="S308" s="837">
        <f t="shared" si="103"/>
        <v>-1</v>
      </c>
      <c r="T308" s="178">
        <f t="shared" si="104"/>
        <v>5</v>
      </c>
      <c r="U308" s="253">
        <f t="shared" si="105"/>
        <v>-2.9455159445396228E-3</v>
      </c>
      <c r="V308" s="385">
        <f t="shared" si="106"/>
        <v>26.769649590330101</v>
      </c>
      <c r="W308" s="404"/>
      <c r="X308" s="157">
        <f t="shared" si="107"/>
        <v>44490</v>
      </c>
      <c r="Y308" s="387">
        <f t="shared" si="108"/>
        <v>9.2892163125157552</v>
      </c>
      <c r="Z308" s="387">
        <f t="shared" si="109"/>
        <v>9.5471723275041498</v>
      </c>
      <c r="AA308" s="388">
        <f t="shared" si="110"/>
        <v>11.245287016778025</v>
      </c>
      <c r="AB308" s="199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0.15100678948792323</v>
      </c>
      <c r="AD308" s="233">
        <f>(INDEX(Models!$BJ308:$BT308,,AH308)*(1-AF308)+INDEX(Models!$BJ308:$BT308,,AH308+1)*AF308-ERP_i)*AE308*Ramure*Pc/MaxiM</f>
        <v>2.2774495098645941E-2</v>
      </c>
      <c r="AE308" s="307">
        <f t="shared" si="112"/>
        <v>1</v>
      </c>
      <c r="AF308" s="179">
        <f t="shared" si="113"/>
        <v>0.99705448405546038</v>
      </c>
      <c r="AG308" s="837">
        <f t="shared" si="119"/>
        <v>-1</v>
      </c>
      <c r="AH308" s="178">
        <f t="shared" si="114"/>
        <v>5</v>
      </c>
      <c r="AI308" s="227">
        <f t="shared" si="115"/>
        <v>-2.9455159445396228E-3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x14ac:dyDescent="0.2">
      <c r="A309" s="56">
        <f t="shared" si="118"/>
        <v>44491</v>
      </c>
      <c r="B309" s="618">
        <v>11.723000000000001</v>
      </c>
      <c r="C309" s="392"/>
      <c r="D309" s="395">
        <f t="shared" si="98"/>
        <v>12.048821134887815</v>
      </c>
      <c r="E309" s="387">
        <f t="shared" si="120"/>
        <v>13.294253602468073</v>
      </c>
      <c r="F309" s="387">
        <f t="shared" si="99"/>
        <v>13.360288968906016</v>
      </c>
      <c r="G309" s="110">
        <f t="shared" si="121"/>
        <v>0.43532451604187655</v>
      </c>
      <c r="H309" s="414" t="b">
        <f>Wh_hp&gt;='2020'!Maxi_hp</f>
        <v>0</v>
      </c>
      <c r="I309" s="382">
        <f>IF(H309,Wh_hp,'2020'!Maxi_hp)</f>
        <v>22.445591068478908</v>
      </c>
      <c r="J309" s="85">
        <f>IF(H309,An,'2020'!An_max)</f>
        <v>2020</v>
      </c>
      <c r="K309" s="199">
        <f t="shared" si="100"/>
        <v>44491</v>
      </c>
      <c r="L309" s="147">
        <f>IF(t&lt;Tvie,1-EXP((T0-t)*PertePVj)+'2020'!Pspv,1-EXP((T0-t)*PertePVj)+Pspv)</f>
        <v>2.7041743855287792E-2</v>
      </c>
      <c r="M309" s="870"/>
      <c r="N309" s="870"/>
      <c r="O309" s="48">
        <f>IF(t&lt;Tnet,'2020'!Resal+('2020'!Salim-'2020'!Resal)*(1-EXP(('2020'!Tnet-t)/('2020'!Tau_j))),Resal+(Salim-Resal)*(1-EXP((Tnet-t)/(Tau_j))))*Salcycl</f>
        <v>9.3682015163983653E-2</v>
      </c>
      <c r="P309" s="171">
        <f>(INDEX(Models!$BJ309:$BT309,,T309)*(1-R309)+INDEX(Models!$BJ309:$BT309,,T309+1)*R309-ERP_i)*Q309*Ramure*Pc/MaxiM</f>
        <v>2.4052147682314645E-2</v>
      </c>
      <c r="Q309" s="307">
        <f t="shared" si="101"/>
        <v>1</v>
      </c>
      <c r="R309" s="179">
        <f t="shared" si="102"/>
        <v>0.99717290062764463</v>
      </c>
      <c r="S309" s="837">
        <f t="shared" si="103"/>
        <v>-1</v>
      </c>
      <c r="T309" s="178">
        <f t="shared" si="104"/>
        <v>5</v>
      </c>
      <c r="U309" s="253">
        <f t="shared" si="105"/>
        <v>-2.8270993723553683E-3</v>
      </c>
      <c r="V309" s="385">
        <f t="shared" si="106"/>
        <v>26.412173666820401</v>
      </c>
      <c r="W309" s="404"/>
      <c r="X309" s="157">
        <f t="shared" si="107"/>
        <v>44491</v>
      </c>
      <c r="Y309" s="387">
        <f t="shared" si="108"/>
        <v>10.983135500836889</v>
      </c>
      <c r="Z309" s="387">
        <f t="shared" si="109"/>
        <v>11.288393342132574</v>
      </c>
      <c r="AA309" s="388">
        <f t="shared" si="110"/>
        <v>13.294253602468073</v>
      </c>
      <c r="AB309" s="199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0.15088175089146122</v>
      </c>
      <c r="AD309" s="233">
        <f>(INDEX(Models!$BJ309:$BT309,,AH309)*(1-AF309)+INDEX(Models!$BJ309:$BT309,,AH309+1)*AF309-ERP_i)*AE309*Ramure*Pc/MaxiM</f>
        <v>2.4052147682314645E-2</v>
      </c>
      <c r="AE309" s="307">
        <f t="shared" si="112"/>
        <v>1</v>
      </c>
      <c r="AF309" s="179">
        <f t="shared" si="113"/>
        <v>0.99717290062764463</v>
      </c>
      <c r="AG309" s="837">
        <f t="shared" si="119"/>
        <v>-1</v>
      </c>
      <c r="AH309" s="178">
        <f t="shared" si="114"/>
        <v>5</v>
      </c>
      <c r="AI309" s="227">
        <f t="shared" si="115"/>
        <v>-2.8270993723553683E-3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x14ac:dyDescent="0.2">
      <c r="A310" s="56">
        <f t="shared" si="118"/>
        <v>44492</v>
      </c>
      <c r="B310" s="618">
        <v>26.516999999999999</v>
      </c>
      <c r="C310" s="392"/>
      <c r="D310" s="395">
        <f t="shared" si="98"/>
        <v>27.25462982221271</v>
      </c>
      <c r="E310" s="387">
        <f t="shared" si="120"/>
        <v>30.076465201418674</v>
      </c>
      <c r="F310" s="387">
        <f t="shared" si="99"/>
        <v>30.859930652265835</v>
      </c>
      <c r="G310" s="110">
        <f t="shared" si="121"/>
        <v>1.0175947634363671</v>
      </c>
      <c r="H310" s="414" t="b">
        <f>Wh_hp&gt;='2020'!Maxi_hp</f>
        <v>1</v>
      </c>
      <c r="I310" s="382">
        <f>IF(H310,Wh_hp,'2020'!Maxi_hp)</f>
        <v>30.859930652265835</v>
      </c>
      <c r="J310" s="85">
        <f>IF(H310,An,'2020'!An_max)</f>
        <v>2021</v>
      </c>
      <c r="K310" s="199">
        <f t="shared" si="100"/>
        <v>44492</v>
      </c>
      <c r="L310" s="147">
        <f>IF(t&lt;Tvie,1-EXP((T0-t)*PertePVj)+'2020'!Pspv,1-EXP((T0-t)*PertePVj)+Pspv)</f>
        <v>2.7064386015308806E-2</v>
      </c>
      <c r="M310" s="870"/>
      <c r="N310" s="870"/>
      <c r="O310" s="48">
        <f>IF(t&lt;Tnet,'2020'!Resal+('2020'!Salim-'2020'!Resal)*(1-EXP(('2020'!Tnet-t)/('2020'!Tau_j))),Resal+(Salim-Resal)*(1-EXP((Tnet-t)/(Tau_j))))*Salcycl</f>
        <v>9.3822041929078184E-2</v>
      </c>
      <c r="P310" s="171">
        <f>(INDEX(Models!$BJ310:$BT310,,T310)*(1-R310)+INDEX(Models!$BJ310:$BT310,,T310+1)*R310-ERP_i)*Q310*Ramure*Pc/MaxiM</f>
        <v>2.5387790389918983E-2</v>
      </c>
      <c r="Q310" s="307">
        <f t="shared" si="101"/>
        <v>1</v>
      </c>
      <c r="R310" s="179">
        <f t="shared" si="102"/>
        <v>0.99728658718219509</v>
      </c>
      <c r="S310" s="837">
        <f t="shared" si="103"/>
        <v>-1</v>
      </c>
      <c r="T310" s="178">
        <f t="shared" si="104"/>
        <v>5</v>
      </c>
      <c r="U310" s="253">
        <f t="shared" si="105"/>
        <v>-2.7134128178049055E-3</v>
      </c>
      <c r="V310" s="385">
        <f t="shared" si="106"/>
        <v>26.058506738432303</v>
      </c>
      <c r="W310" s="404"/>
      <c r="X310" s="157">
        <f t="shared" si="107"/>
        <v>44492</v>
      </c>
      <c r="Y310" s="387">
        <f t="shared" si="108"/>
        <v>24.8510422261268</v>
      </c>
      <c r="Z310" s="387">
        <f t="shared" si="109"/>
        <v>25.542329696770484</v>
      </c>
      <c r="AA310" s="388">
        <f t="shared" si="110"/>
        <v>30.076465201418674</v>
      </c>
      <c r="AB310" s="199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0.15075360333349017</v>
      </c>
      <c r="AD310" s="233">
        <f>(INDEX(Models!$BJ310:$BT310,,AH310)*(1-AF310)+INDEX(Models!$BJ310:$BT310,,AH310+1)*AF310-ERP_i)*AE310*Ramure*Pc/MaxiM</f>
        <v>2.5387790389918983E-2</v>
      </c>
      <c r="AE310" s="307">
        <f t="shared" si="112"/>
        <v>1</v>
      </c>
      <c r="AF310" s="179">
        <f t="shared" si="113"/>
        <v>0.99728658718219509</v>
      </c>
      <c r="AG310" s="837">
        <f t="shared" si="119"/>
        <v>-1</v>
      </c>
      <c r="AH310" s="178">
        <f t="shared" si="114"/>
        <v>5</v>
      </c>
      <c r="AI310" s="227">
        <f t="shared" si="115"/>
        <v>-2.7134128178049055E-3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x14ac:dyDescent="0.2">
      <c r="A311" s="56">
        <f t="shared" si="118"/>
        <v>44493</v>
      </c>
      <c r="B311" s="618">
        <v>26.676000000000002</v>
      </c>
      <c r="C311" s="392"/>
      <c r="D311" s="395">
        <f t="shared" si="98"/>
        <v>27.418690836779149</v>
      </c>
      <c r="E311" s="387">
        <f t="shared" si="120"/>
        <v>30.262084592334674</v>
      </c>
      <c r="F311" s="387">
        <f t="shared" si="99"/>
        <v>31.094214113391882</v>
      </c>
      <c r="G311" s="110">
        <f t="shared" si="121"/>
        <v>1.0376168549381632</v>
      </c>
      <c r="H311" s="414" t="b">
        <f>Wh_hp&gt;='2020'!Maxi_hp</f>
        <v>1</v>
      </c>
      <c r="I311" s="382">
        <f>IF(H311,Wh_hp,'2020'!Maxi_hp)</f>
        <v>31.094214113391882</v>
      </c>
      <c r="J311" s="85">
        <f>IF(H311,An,'2020'!An_max)</f>
        <v>2021</v>
      </c>
      <c r="K311" s="199">
        <f t="shared" si="100"/>
        <v>44493</v>
      </c>
      <c r="L311" s="147">
        <f>IF(t&lt;Tvie,1-EXP((T0-t)*PertePVj)+'2020'!Pspv,1-EXP((T0-t)*PertePVj)+Pspv)</f>
        <v>2.7087027648413753E-2</v>
      </c>
      <c r="M311" s="870"/>
      <c r="N311" s="870"/>
      <c r="O311" s="48">
        <f>IF(t&lt;Tnet,'2020'!Resal+('2020'!Salim-'2020'!Resal)*(1-EXP(('2020'!Tnet-t)/('2020'!Tau_j))),Resal+(Salim-Resal)*(1-EXP((Tnet-t)/(Tau_j))))*Salcycl</f>
        <v>9.3958952063591519E-2</v>
      </c>
      <c r="P311" s="171">
        <f>(INDEX(Models!$BJ311:$BT311,,T311)*(1-R311)+INDEX(Models!$BJ311:$BT311,,T311+1)*R311-ERP_i)*Q311*Ramure*Pc/MaxiM</f>
        <v>2.6761554996137429E-2</v>
      </c>
      <c r="Q311" s="307">
        <f t="shared" si="101"/>
        <v>1</v>
      </c>
      <c r="R311" s="179">
        <f t="shared" si="102"/>
        <v>0.99739573119954483</v>
      </c>
      <c r="S311" s="837">
        <f t="shared" si="103"/>
        <v>-1</v>
      </c>
      <c r="T311" s="178">
        <f t="shared" si="104"/>
        <v>5</v>
      </c>
      <c r="U311" s="253">
        <f t="shared" si="105"/>
        <v>-2.6042688004551673E-3</v>
      </c>
      <c r="V311" s="385">
        <f t="shared" si="106"/>
        <v>25.708911601662212</v>
      </c>
      <c r="W311" s="404"/>
      <c r="X311" s="157">
        <f t="shared" si="107"/>
        <v>44493</v>
      </c>
      <c r="Y311" s="387">
        <f t="shared" si="108"/>
        <v>25.007688888556824</v>
      </c>
      <c r="Z311" s="387">
        <f t="shared" si="109"/>
        <v>25.703932005461713</v>
      </c>
      <c r="AA311" s="388">
        <f t="shared" si="110"/>
        <v>30.262084592334674</v>
      </c>
      <c r="AB311" s="199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0.15062255784016726</v>
      </c>
      <c r="AD311" s="233">
        <f>(INDEX(Models!$BJ311:$BT311,,AH311)*(1-AF311)+INDEX(Models!$BJ311:$BT311,,AH311+1)*AF311-ERP_i)*AE311*Ramure*Pc/MaxiM</f>
        <v>2.6761554996137429E-2</v>
      </c>
      <c r="AE311" s="307">
        <f t="shared" si="112"/>
        <v>1</v>
      </c>
      <c r="AF311" s="179">
        <f t="shared" si="113"/>
        <v>0.99739573119954483</v>
      </c>
      <c r="AG311" s="837">
        <f t="shared" si="119"/>
        <v>-1</v>
      </c>
      <c r="AH311" s="178">
        <f t="shared" si="114"/>
        <v>5</v>
      </c>
      <c r="AI311" s="227">
        <f t="shared" si="115"/>
        <v>-2.6042688004551673E-3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x14ac:dyDescent="0.2">
      <c r="A312" s="56">
        <f t="shared" si="118"/>
        <v>44494</v>
      </c>
      <c r="B312" s="618">
        <v>25.524000000000001</v>
      </c>
      <c r="C312" s="392"/>
      <c r="D312" s="395">
        <f t="shared" si="98"/>
        <v>26.235228350277708</v>
      </c>
      <c r="E312" s="387">
        <f t="shared" si="120"/>
        <v>28.960174592410205</v>
      </c>
      <c r="F312" s="387">
        <f t="shared" si="99"/>
        <v>29.799774376559132</v>
      </c>
      <c r="G312" s="110">
        <f t="shared" si="121"/>
        <v>1.006344863789099</v>
      </c>
      <c r="H312" s="414" t="b">
        <f>Wh_hp&gt;='2020'!Maxi_hp</f>
        <v>1</v>
      </c>
      <c r="I312" s="382">
        <f>IF(H312,Wh_hp,'2020'!Maxi_hp)</f>
        <v>29.799774376559132</v>
      </c>
      <c r="J312" s="85">
        <f>IF(H312,An,'2020'!An_max)</f>
        <v>2021</v>
      </c>
      <c r="K312" s="199">
        <f t="shared" si="100"/>
        <v>44494</v>
      </c>
      <c r="L312" s="147">
        <f>IF(t&lt;Tvie,1-EXP((T0-t)*PertePVj)+'2020'!Pspv,1-EXP((T0-t)*PertePVj)+Pspv)</f>
        <v>2.7109668754614735E-2</v>
      </c>
      <c r="M312" s="870"/>
      <c r="N312" s="870"/>
      <c r="O312" s="48">
        <f>IF(t&lt;Tnet,'2020'!Resal+('2020'!Salim-'2020'!Resal)*(1-EXP(('2020'!Tnet-t)/('2020'!Tau_j))),Resal+(Salim-Resal)*(1-EXP((Tnet-t)/(Tau_j))))*Salcycl</f>
        <v>9.4092880325612416E-2</v>
      </c>
      <c r="P312" s="171">
        <f>(INDEX(Models!$BJ312:$BT312,,T312)*(1-R312)+INDEX(Models!$BJ312:$BT312,,T312+1)*R312-ERP_i)*Q312*Ramure*Pc/MaxiM</f>
        <v>2.8174702718869172E-2</v>
      </c>
      <c r="Q312" s="307">
        <f t="shared" si="101"/>
        <v>1</v>
      </c>
      <c r="R312" s="179">
        <f t="shared" si="102"/>
        <v>0.99750051284351637</v>
      </c>
      <c r="S312" s="837">
        <f t="shared" si="103"/>
        <v>-1</v>
      </c>
      <c r="T312" s="178">
        <f t="shared" si="104"/>
        <v>5</v>
      </c>
      <c r="U312" s="253">
        <f t="shared" si="105"/>
        <v>-2.4994871564836263E-3</v>
      </c>
      <c r="V312" s="385">
        <f t="shared" si="106"/>
        <v>25.363074745467276</v>
      </c>
      <c r="W312" s="404"/>
      <c r="X312" s="157">
        <f t="shared" si="107"/>
        <v>44494</v>
      </c>
      <c r="Y312" s="387">
        <f t="shared" si="108"/>
        <v>23.935039708017026</v>
      </c>
      <c r="Z312" s="387">
        <f t="shared" si="109"/>
        <v>24.601991549631364</v>
      </c>
      <c r="AA312" s="388">
        <f t="shared" si="110"/>
        <v>28.960174592410205</v>
      </c>
      <c r="AB312" s="199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0.15048883869370802</v>
      </c>
      <c r="AD312" s="233">
        <f>(INDEX(Models!$BJ312:$BT312,,AH312)*(1-AF312)+INDEX(Models!$BJ312:$BT312,,AH312+1)*AF312-ERP_i)*AE312*Ramure*Pc/MaxiM</f>
        <v>2.8174702718869172E-2</v>
      </c>
      <c r="AE312" s="307">
        <f t="shared" si="112"/>
        <v>1</v>
      </c>
      <c r="AF312" s="179">
        <f t="shared" si="113"/>
        <v>0.99750051284351637</v>
      </c>
      <c r="AG312" s="837">
        <f t="shared" si="119"/>
        <v>-1</v>
      </c>
      <c r="AH312" s="178">
        <f t="shared" si="114"/>
        <v>5</v>
      </c>
      <c r="AI312" s="227">
        <f t="shared" si="115"/>
        <v>-2.4994871564836263E-3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x14ac:dyDescent="0.2">
      <c r="A313" s="56">
        <f t="shared" si="118"/>
        <v>44495</v>
      </c>
      <c r="B313" s="618">
        <v>18.208000000000002</v>
      </c>
      <c r="C313" s="392"/>
      <c r="D313" s="395">
        <f t="shared" si="98"/>
        <v>18.715802955213629</v>
      </c>
      <c r="E313" s="387">
        <f t="shared" si="120"/>
        <v>20.662727152989483</v>
      </c>
      <c r="F313" s="387">
        <f t="shared" si="99"/>
        <v>21.043695695387203</v>
      </c>
      <c r="G313" s="110">
        <f t="shared" si="121"/>
        <v>0.7191764409726954</v>
      </c>
      <c r="H313" s="414" t="b">
        <f>Wh_hp&gt;='2020'!Maxi_hp</f>
        <v>0</v>
      </c>
      <c r="I313" s="382">
        <f>IF(H313,Wh_hp,'2020'!Maxi_hp)</f>
        <v>29.263227957076836</v>
      </c>
      <c r="J313" s="85">
        <f>IF(H313,An,'2020'!An_max)</f>
        <v>2019</v>
      </c>
      <c r="K313" s="199">
        <f t="shared" si="100"/>
        <v>44495</v>
      </c>
      <c r="L313" s="147">
        <f>IF(t&lt;Tvie,1-EXP((T0-t)*PertePVj)+'2020'!Pspv,1-EXP((T0-t)*PertePVj)+Pspv)</f>
        <v>2.7132309333924076E-2</v>
      </c>
      <c r="M313" s="870"/>
      <c r="N313" s="870"/>
      <c r="O313" s="48">
        <f>IF(t&lt;Tnet,'2020'!Resal+('2020'!Salim-'2020'!Resal)*(1-EXP(('2020'!Tnet-t)/('2020'!Tau_j))),Resal+(Salim-Resal)*(1-EXP((Tnet-t)/(Tau_j))))*Salcycl</f>
        <v>9.4223970696635434E-2</v>
      </c>
      <c r="P313" s="171">
        <f>(INDEX(Models!$BJ313:$BT313,,T313)*(1-R313)+INDEX(Models!$BJ313:$BT313,,T313+1)*R313-ERP_i)*Q313*Ramure*Pc/MaxiM</f>
        <v>2.9628374813700363E-2</v>
      </c>
      <c r="Q313" s="307">
        <f t="shared" si="101"/>
        <v>1</v>
      </c>
      <c r="R313" s="179">
        <f t="shared" si="102"/>
        <v>0.99760110523783774</v>
      </c>
      <c r="S313" s="837">
        <f t="shared" si="103"/>
        <v>-1</v>
      </c>
      <c r="T313" s="178">
        <f t="shared" si="104"/>
        <v>5</v>
      </c>
      <c r="U313" s="253">
        <f t="shared" si="105"/>
        <v>-2.3988947621622625E-3</v>
      </c>
      <c r="V313" s="385">
        <f t="shared" si="106"/>
        <v>25.020688340111533</v>
      </c>
      <c r="W313" s="404"/>
      <c r="X313" s="157">
        <f t="shared" si="107"/>
        <v>44495</v>
      </c>
      <c r="Y313" s="387">
        <f t="shared" si="108"/>
        <v>17.079695037447948</v>
      </c>
      <c r="Z313" s="387">
        <f t="shared" si="109"/>
        <v>17.55603069288312</v>
      </c>
      <c r="AA313" s="388">
        <f t="shared" si="110"/>
        <v>20.662727152989483</v>
      </c>
      <c r="AB313" s="199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0.15035268273660024</v>
      </c>
      <c r="AD313" s="233">
        <f>(INDEX(Models!$BJ313:$BT313,,AH313)*(1-AF313)+INDEX(Models!$BJ313:$BT313,,AH313+1)*AF313-ERP_i)*AE313*Ramure*Pc/MaxiM</f>
        <v>2.9628374813700363E-2</v>
      </c>
      <c r="AE313" s="307">
        <f t="shared" si="112"/>
        <v>1</v>
      </c>
      <c r="AF313" s="179">
        <f t="shared" si="113"/>
        <v>0.99760110523783774</v>
      </c>
      <c r="AG313" s="837">
        <f t="shared" si="119"/>
        <v>-1</v>
      </c>
      <c r="AH313" s="178">
        <f t="shared" si="114"/>
        <v>5</v>
      </c>
      <c r="AI313" s="227">
        <f t="shared" si="115"/>
        <v>-2.3988947621622625E-3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x14ac:dyDescent="0.2">
      <c r="A314" s="56">
        <f t="shared" si="118"/>
        <v>44496</v>
      </c>
      <c r="B314" s="618">
        <v>25.305</v>
      </c>
      <c r="C314" s="392"/>
      <c r="D314" s="395">
        <f t="shared" si="98"/>
        <v>26.011336526858258</v>
      </c>
      <c r="E314" s="387">
        <f t="shared" si="120"/>
        <v>28.721255195137164</v>
      </c>
      <c r="F314" s="387">
        <f t="shared" si="99"/>
        <v>29.643885541046256</v>
      </c>
      <c r="G314" s="110">
        <f t="shared" si="121"/>
        <v>1.0252641263850932</v>
      </c>
      <c r="H314" s="414" t="b">
        <f>Wh_hp&gt;='2020'!Maxi_hp</f>
        <v>1</v>
      </c>
      <c r="I314" s="382">
        <f>IF(H314,Wh_hp,'2020'!Maxi_hp)</f>
        <v>29.643885541046256</v>
      </c>
      <c r="J314" s="85">
        <f>IF(H314,An,'2020'!An_max)</f>
        <v>2021</v>
      </c>
      <c r="K314" s="199">
        <f t="shared" si="100"/>
        <v>44496</v>
      </c>
      <c r="L314" s="147">
        <f>IF(t&lt;Tvie,1-EXP((T0-t)*PertePVj)+'2020'!Pspv,1-EXP((T0-t)*PertePVj)+Pspv)</f>
        <v>2.7154949386354099E-2</v>
      </c>
      <c r="M314" s="870"/>
      <c r="N314" s="870"/>
      <c r="O314" s="48">
        <f>IF(t&lt;Tnet,'2020'!Resal+('2020'!Salim-'2020'!Resal)*(1-EXP(('2020'!Tnet-t)/('2020'!Tau_j))),Resal+(Salim-Resal)*(1-EXP((Tnet-t)/(Tau_j))))*Salcycl</f>
        <v>9.4352375962236029E-2</v>
      </c>
      <c r="P314" s="171">
        <f>(INDEX(Models!$BJ314:$BT314,,T314)*(1-R314)+INDEX(Models!$BJ314:$BT314,,T314+1)*R314-ERP_i)*Q314*Ramure*Pc/MaxiM</f>
        <v>3.112379936265694E-2</v>
      </c>
      <c r="Q314" s="307">
        <f t="shared" si="101"/>
        <v>1</v>
      </c>
      <c r="R314" s="179">
        <f t="shared" si="102"/>
        <v>0.99769767473292592</v>
      </c>
      <c r="S314" s="837">
        <f t="shared" si="103"/>
        <v>-1</v>
      </c>
      <c r="T314" s="178">
        <f t="shared" si="104"/>
        <v>5</v>
      </c>
      <c r="U314" s="253">
        <f t="shared" si="105"/>
        <v>-2.302325267074079E-3</v>
      </c>
      <c r="V314" s="385">
        <f t="shared" si="106"/>
        <v>24.681444857747163</v>
      </c>
      <c r="W314" s="404"/>
      <c r="X314" s="157">
        <f t="shared" si="107"/>
        <v>44496</v>
      </c>
      <c r="Y314" s="387">
        <f t="shared" si="108"/>
        <v>23.744142414099024</v>
      </c>
      <c r="Z314" s="387">
        <f t="shared" si="109"/>
        <v>24.406910842710072</v>
      </c>
      <c r="AA314" s="388">
        <f t="shared" si="110"/>
        <v>28.721255195137164</v>
      </c>
      <c r="AB314" s="199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0.15021433858355751</v>
      </c>
      <c r="AD314" s="233">
        <f>(INDEX(Models!$BJ314:$BT314,,AH314)*(1-AF314)+INDEX(Models!$BJ314:$BT314,,AH314+1)*AF314-ERP_i)*AE314*Ramure*Pc/MaxiM</f>
        <v>3.112379936265694E-2</v>
      </c>
      <c r="AE314" s="307">
        <f t="shared" si="112"/>
        <v>1</v>
      </c>
      <c r="AF314" s="179">
        <f t="shared" si="113"/>
        <v>0.99769767473292592</v>
      </c>
      <c r="AG314" s="837">
        <f t="shared" si="119"/>
        <v>-1</v>
      </c>
      <c r="AH314" s="178">
        <f t="shared" si="114"/>
        <v>5</v>
      </c>
      <c r="AI314" s="227">
        <f t="shared" si="115"/>
        <v>-2.302325267074079E-3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x14ac:dyDescent="0.2">
      <c r="A315" s="56">
        <f t="shared" si="118"/>
        <v>44497</v>
      </c>
      <c r="B315" s="618">
        <v>24.492000000000001</v>
      </c>
      <c r="C315" s="392"/>
      <c r="D315" s="395">
        <f t="shared" si="98"/>
        <v>25.17622920776072</v>
      </c>
      <c r="E315" s="387">
        <f t="shared" si="120"/>
        <v>27.80300904838424</v>
      </c>
      <c r="F315" s="387">
        <f t="shared" si="99"/>
        <v>28.741781736753882</v>
      </c>
      <c r="G315" s="110">
        <f t="shared" si="121"/>
        <v>1.006036667605541</v>
      </c>
      <c r="H315" s="414" t="b">
        <f>Wh_hp&gt;='2020'!Maxi_hp</f>
        <v>1</v>
      </c>
      <c r="I315" s="382">
        <f>IF(H315,Wh_hp,'2020'!Maxi_hp)</f>
        <v>28.741781736753882</v>
      </c>
      <c r="J315" s="85">
        <f>IF(H315,An,'2020'!An_max)</f>
        <v>2021</v>
      </c>
      <c r="K315" s="199">
        <f t="shared" si="100"/>
        <v>44497</v>
      </c>
      <c r="L315" s="147">
        <f>IF(t&lt;Tvie,1-EXP((T0-t)*PertePVj)+'2020'!Pspv,1-EXP((T0-t)*PertePVj)+Pspv)</f>
        <v>2.7177588911917017E-2</v>
      </c>
      <c r="M315" s="870"/>
      <c r="N315" s="870"/>
      <c r="O315" s="48">
        <f>IF(t&lt;Tnet,'2020'!Resal+('2020'!Salim-'2020'!Resal)*(1-EXP(('2020'!Tnet-t)/('2020'!Tau_j))),Resal+(Salim-Resal)*(1-EXP((Tnet-t)/(Tau_j))))*Salcycl</f>
        <v>9.4478257229361789E-2</v>
      </c>
      <c r="P315" s="171">
        <f>(INDEX(Models!$BJ315:$BT315,,T315)*(1-R315)+INDEX(Models!$BJ315:$BT315,,T315+1)*R315-ERP_i)*Q315*Ramure*Pc/MaxiM</f>
        <v>3.2662299678143339E-2</v>
      </c>
      <c r="Q315" s="307">
        <f t="shared" si="101"/>
        <v>1</v>
      </c>
      <c r="R315" s="179">
        <f t="shared" si="102"/>
        <v>0.99779038116322083</v>
      </c>
      <c r="S315" s="837">
        <f t="shared" si="103"/>
        <v>-1</v>
      </c>
      <c r="T315" s="178">
        <f t="shared" si="104"/>
        <v>5</v>
      </c>
      <c r="U315" s="253">
        <f t="shared" si="105"/>
        <v>-2.2096188367791703E-3</v>
      </c>
      <c r="V315" s="385">
        <f t="shared" si="106"/>
        <v>24.345037103163641</v>
      </c>
      <c r="W315" s="404"/>
      <c r="X315" s="157">
        <f t="shared" si="107"/>
        <v>44497</v>
      </c>
      <c r="Y315" s="387">
        <f t="shared" si="108"/>
        <v>22.988278468144689</v>
      </c>
      <c r="Z315" s="387">
        <f t="shared" si="109"/>
        <v>23.63049844054553</v>
      </c>
      <c r="AA315" s="388">
        <f t="shared" si="110"/>
        <v>27.80300904838424</v>
      </c>
      <c r="AB315" s="199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0.15007406574509574</v>
      </c>
      <c r="AD315" s="233">
        <f>(INDEX(Models!$BJ315:$BT315,,AH315)*(1-AF315)+INDEX(Models!$BJ315:$BT315,,AH315+1)*AF315-ERP_i)*AE315*Ramure*Pc/MaxiM</f>
        <v>3.2662299678143339E-2</v>
      </c>
      <c r="AE315" s="307">
        <f t="shared" si="112"/>
        <v>1</v>
      </c>
      <c r="AF315" s="179">
        <f t="shared" si="113"/>
        <v>0.99779038116322083</v>
      </c>
      <c r="AG315" s="837">
        <f t="shared" si="119"/>
        <v>-1</v>
      </c>
      <c r="AH315" s="178">
        <f t="shared" si="114"/>
        <v>5</v>
      </c>
      <c r="AI315" s="227">
        <f t="shared" si="115"/>
        <v>-2.2096188367791703E-3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x14ac:dyDescent="0.2">
      <c r="A316" s="56">
        <f t="shared" si="118"/>
        <v>44498</v>
      </c>
      <c r="B316" s="618">
        <v>14.891</v>
      </c>
      <c r="C316" s="392"/>
      <c r="D316" s="395">
        <f t="shared" si="98"/>
        <v>15.307363783625462</v>
      </c>
      <c r="E316" s="387">
        <f t="shared" si="120"/>
        <v>16.906774834184237</v>
      </c>
      <c r="F316" s="387">
        <f t="shared" si="99"/>
        <v>17.175804834647206</v>
      </c>
      <c r="G316" s="110">
        <f t="shared" si="121"/>
        <v>0.60846263080116314</v>
      </c>
      <c r="H316" s="414" t="b">
        <f>Wh_hp&gt;='2020'!Maxi_hp</f>
        <v>0</v>
      </c>
      <c r="I316" s="382">
        <f>IF(H316,Wh_hp,'2020'!Maxi_hp)</f>
        <v>25.210255189313802</v>
      </c>
      <c r="J316" s="85">
        <f>IF(H316,An,'2020'!An_max)</f>
        <v>2019</v>
      </c>
      <c r="K316" s="199">
        <f t="shared" si="100"/>
        <v>44498</v>
      </c>
      <c r="L316" s="147">
        <f>IF(t&lt;Tvie,1-EXP((T0-t)*PertePVj)+'2020'!Pspv,1-EXP((T0-t)*PertePVj)+Pspv)</f>
        <v>2.7200227910625152E-2</v>
      </c>
      <c r="M316" s="870"/>
      <c r="N316" s="870"/>
      <c r="O316" s="48">
        <f>IF(t&lt;Tnet,'2020'!Resal+('2020'!Salim-'2020'!Resal)*(1-EXP(('2020'!Tnet-t)/('2020'!Tau_j))),Resal+(Salim-Resal)*(1-EXP((Tnet-t)/(Tau_j))))*Salcycl</f>
        <v>9.4601783382415677E-2</v>
      </c>
      <c r="P316" s="171">
        <f>(INDEX(Models!$BJ316:$BT316,,T316)*(1-R316)+INDEX(Models!$BJ316:$BT316,,T316+1)*R316-ERP_i)*Q316*Ramure*Pc/MaxiM</f>
        <v>3.4245303488466973E-2</v>
      </c>
      <c r="Q316" s="307">
        <f t="shared" si="101"/>
        <v>1</v>
      </c>
      <c r="R316" s="179">
        <f t="shared" si="102"/>
        <v>0.99787937809535143</v>
      </c>
      <c r="S316" s="837">
        <f t="shared" si="103"/>
        <v>-1</v>
      </c>
      <c r="T316" s="178">
        <f t="shared" si="104"/>
        <v>5</v>
      </c>
      <c r="U316" s="253">
        <f t="shared" si="105"/>
        <v>-2.1206219046485675E-3</v>
      </c>
      <c r="V316" s="385">
        <f t="shared" si="106"/>
        <v>24.011158220082574</v>
      </c>
      <c r="W316" s="404"/>
      <c r="X316" s="157">
        <f t="shared" si="107"/>
        <v>44498</v>
      </c>
      <c r="Y316" s="387">
        <f t="shared" si="108"/>
        <v>13.980986890882475</v>
      </c>
      <c r="Z316" s="387">
        <f t="shared" si="109"/>
        <v>14.371906009860771</v>
      </c>
      <c r="AA316" s="388">
        <f t="shared" si="110"/>
        <v>16.906774834184237</v>
      </c>
      <c r="AB316" s="199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0.14993213366739527</v>
      </c>
      <c r="AD316" s="233">
        <f>(INDEX(Models!$BJ316:$BT316,,AH316)*(1-AF316)+INDEX(Models!$BJ316:$BT316,,AH316+1)*AF316-ERP_i)*AE316*Ramure*Pc/MaxiM</f>
        <v>3.4245303488466973E-2</v>
      </c>
      <c r="AE316" s="307">
        <f t="shared" si="112"/>
        <v>1</v>
      </c>
      <c r="AF316" s="179">
        <f t="shared" si="113"/>
        <v>0.99787937809535143</v>
      </c>
      <c r="AG316" s="837">
        <f t="shared" si="119"/>
        <v>-1</v>
      </c>
      <c r="AH316" s="178">
        <f t="shared" si="114"/>
        <v>5</v>
      </c>
      <c r="AI316" s="227">
        <f t="shared" si="115"/>
        <v>-2.1206219046485675E-3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x14ac:dyDescent="0.2">
      <c r="A317" s="56">
        <f t="shared" si="118"/>
        <v>44499</v>
      </c>
      <c r="B317" s="618">
        <v>10.71</v>
      </c>
      <c r="C317" s="392"/>
      <c r="D317" s="395">
        <f t="shared" si="98"/>
        <v>11.009716028348908</v>
      </c>
      <c r="E317" s="387">
        <f t="shared" si="120"/>
        <v>12.161711404596966</v>
      </c>
      <c r="F317" s="387">
        <f t="shared" si="99"/>
        <v>12.257378631148566</v>
      </c>
      <c r="G317" s="110">
        <f t="shared" si="121"/>
        <v>0.43949658930048441</v>
      </c>
      <c r="H317" s="414" t="b">
        <f>Wh_hp&gt;='2020'!Maxi_hp</f>
        <v>0</v>
      </c>
      <c r="I317" s="382">
        <f>IF(H317,Wh_hp,'2020'!Maxi_hp)</f>
        <v>25.555453874343382</v>
      </c>
      <c r="J317" s="85">
        <f>IF(H317,An,'2020'!An_max)</f>
        <v>2020</v>
      </c>
      <c r="K317" s="199">
        <f t="shared" si="100"/>
        <v>44499</v>
      </c>
      <c r="L317" s="147">
        <f>IF(t&lt;Tvie,1-EXP((T0-t)*PertePVj)+'2020'!Pspv,1-EXP((T0-t)*PertePVj)+Pspv)</f>
        <v>2.7222866382490607E-2</v>
      </c>
      <c r="M317" s="870"/>
      <c r="N317" s="870"/>
      <c r="O317" s="48">
        <f>IF(t&lt;Tnet,'2020'!Resal+('2020'!Salim-'2020'!Resal)*(1-EXP(('2020'!Tnet-t)/('2020'!Tau_j))),Resal+(Salim-Resal)*(1-EXP((Tnet-t)/(Tau_j))))*Salcycl</f>
        <v>9.4723130480848183E-2</v>
      </c>
      <c r="P317" s="171">
        <f>(INDEX(Models!$BJ317:$BT317,,T317)*(1-R317)+INDEX(Models!$BJ317:$BT317,,T317+1)*R317-ERP_i)*Q317*Ramure*Pc/MaxiM</f>
        <v>3.5874522571588761E-2</v>
      </c>
      <c r="Q317" s="307">
        <f t="shared" si="101"/>
        <v>1</v>
      </c>
      <c r="R317" s="179">
        <f t="shared" si="102"/>
        <v>0.99796481306741125</v>
      </c>
      <c r="S317" s="837">
        <f t="shared" si="103"/>
        <v>-1</v>
      </c>
      <c r="T317" s="178">
        <f t="shared" si="104"/>
        <v>5</v>
      </c>
      <c r="U317" s="253">
        <f t="shared" si="105"/>
        <v>-2.0351869325887506E-3</v>
      </c>
      <c r="V317" s="385">
        <f t="shared" si="106"/>
        <v>23.67938558194971</v>
      </c>
      <c r="W317" s="404"/>
      <c r="X317" s="157">
        <f t="shared" si="107"/>
        <v>44499</v>
      </c>
      <c r="Y317" s="387">
        <f t="shared" si="108"/>
        <v>10.05853793127992</v>
      </c>
      <c r="Z317" s="387">
        <f t="shared" si="109"/>
        <v>10.340022995683286</v>
      </c>
      <c r="AA317" s="388">
        <f t="shared" si="110"/>
        <v>12.161711404596966</v>
      </c>
      <c r="AB317" s="199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0.14978882069386273</v>
      </c>
      <c r="AD317" s="233">
        <f>(INDEX(Models!$BJ317:$BT317,,AH317)*(1-AF317)+INDEX(Models!$BJ317:$BT317,,AH317+1)*AF317-ERP_i)*AE317*Ramure*Pc/MaxiM</f>
        <v>3.5874522571588761E-2</v>
      </c>
      <c r="AE317" s="307">
        <f t="shared" si="112"/>
        <v>1</v>
      </c>
      <c r="AF317" s="179">
        <f t="shared" si="113"/>
        <v>0.99796481306741125</v>
      </c>
      <c r="AG317" s="837">
        <f t="shared" si="119"/>
        <v>-1</v>
      </c>
      <c r="AH317" s="178">
        <f t="shared" si="114"/>
        <v>5</v>
      </c>
      <c r="AI317" s="227">
        <f t="shared" si="115"/>
        <v>-2.0351869325887506E-3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x14ac:dyDescent="0.2">
      <c r="A318" s="56">
        <f t="shared" si="118"/>
        <v>44500</v>
      </c>
      <c r="B318" s="618">
        <v>15.945</v>
      </c>
      <c r="C318" s="392"/>
      <c r="D318" s="395">
        <f t="shared" si="98"/>
        <v>16.391597336157336</v>
      </c>
      <c r="E318" s="387">
        <f t="shared" si="120"/>
        <v>18.109110286245524</v>
      </c>
      <c r="F318" s="387">
        <f t="shared" si="99"/>
        <v>18.488588855953036</v>
      </c>
      <c r="G318" s="110">
        <f t="shared" si="121"/>
        <v>0.67100599270825967</v>
      </c>
      <c r="H318" s="414" t="b">
        <f>Wh_hp&gt;='2020'!Maxi_hp</f>
        <v>0</v>
      </c>
      <c r="I318" s="382">
        <f>IF(H318,Wh_hp,'2020'!Maxi_hp)</f>
        <v>27.871025086088434</v>
      </c>
      <c r="J318" s="85">
        <f>IF(H318,An,'2020'!An_max)</f>
        <v>2020</v>
      </c>
      <c r="K318" s="199">
        <f t="shared" si="100"/>
        <v>44500</v>
      </c>
      <c r="L318" s="147">
        <f>IF(t&lt;Tvie,1-EXP((T0-t)*PertePVj)+'2020'!Pspv,1-EXP((T0-t)*PertePVj)+Pspv)</f>
        <v>2.7245504327525816E-2</v>
      </c>
      <c r="M318" s="870"/>
      <c r="N318" s="870"/>
      <c r="O318" s="48">
        <f>IF(t&lt;Tnet,'2020'!Resal+('2020'!Salim-'2020'!Resal)*(1-EXP(('2020'!Tnet-t)/('2020'!Tau_j))),Resal+(Salim-Resal)*(1-EXP((Tnet-t)/(Tau_j))))*Salcycl</f>
        <v>9.4842481101498302E-2</v>
      </c>
      <c r="P318" s="171">
        <f>(INDEX(Models!$BJ318:$BT318,,T318)*(1-R318)+INDEX(Models!$BJ318:$BT318,,T318+1)*R318-ERP_i)*Q318*Ramure*Pc/MaxiM</f>
        <v>3.7526882559968222E-2</v>
      </c>
      <c r="Q318" s="307">
        <f t="shared" si="101"/>
        <v>1</v>
      </c>
      <c r="R318" s="179">
        <f t="shared" si="102"/>
        <v>0.99804682781961651</v>
      </c>
      <c r="S318" s="837">
        <f t="shared" si="103"/>
        <v>-1</v>
      </c>
      <c r="T318" s="178">
        <f t="shared" si="104"/>
        <v>5</v>
      </c>
      <c r="U318" s="253">
        <f t="shared" si="105"/>
        <v>-1.9531721803834889E-3</v>
      </c>
      <c r="V318" s="385">
        <f t="shared" si="106"/>
        <v>23.350349436417549</v>
      </c>
      <c r="W318" s="404"/>
      <c r="X318" s="157">
        <f t="shared" si="107"/>
        <v>44500</v>
      </c>
      <c r="Y318" s="387">
        <f t="shared" si="108"/>
        <v>14.979624598313311</v>
      </c>
      <c r="Z318" s="387">
        <f t="shared" si="109"/>
        <v>15.399183108331727</v>
      </c>
      <c r="AA318" s="388">
        <f t="shared" si="110"/>
        <v>18.109110286245524</v>
      </c>
      <c r="AB318" s="199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0.14964441295451589</v>
      </c>
      <c r="AD318" s="233">
        <f>(INDEX(Models!$BJ318:$BT318,,AH318)*(1-AF318)+INDEX(Models!$BJ318:$BT318,,AH318+1)*AF318-ERP_i)*AE318*Ramure*Pc/MaxiM</f>
        <v>3.7526882559968222E-2</v>
      </c>
      <c r="AE318" s="307">
        <f t="shared" si="112"/>
        <v>1</v>
      </c>
      <c r="AF318" s="179">
        <f t="shared" si="113"/>
        <v>0.99804682781961651</v>
      </c>
      <c r="AG318" s="837">
        <f t="shared" si="119"/>
        <v>-1</v>
      </c>
      <c r="AH318" s="178">
        <f t="shared" si="114"/>
        <v>5</v>
      </c>
      <c r="AI318" s="227">
        <f t="shared" si="115"/>
        <v>-1.9531721803834889E-3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x14ac:dyDescent="0.2">
      <c r="A319" s="56">
        <f t="shared" si="118"/>
        <v>44501</v>
      </c>
      <c r="B319" s="618">
        <v>14.865</v>
      </c>
      <c r="C319" s="392"/>
      <c r="D319" s="395">
        <f t="shared" si="98"/>
        <v>15.281703661559854</v>
      </c>
      <c r="E319" s="387">
        <f t="shared" si="120"/>
        <v>16.885114536976747</v>
      </c>
      <c r="F319" s="387">
        <f t="shared" si="99"/>
        <v>17.21829698010686</v>
      </c>
      <c r="G319" s="110">
        <f t="shared" si="121"/>
        <v>0.63254883623472757</v>
      </c>
      <c r="H319" s="414" t="b">
        <f>Wh_hp&gt;='2020'!Maxi_hp</f>
        <v>0</v>
      </c>
      <c r="I319" s="382">
        <f>IF(H319,Wh_hp,'2020'!Maxi_hp)</f>
        <v>26.847448093899022</v>
      </c>
      <c r="J319" s="85">
        <f>IF(H319,An,'2020'!An_max)</f>
        <v>2020</v>
      </c>
      <c r="K319" s="199">
        <f t="shared" si="100"/>
        <v>44501</v>
      </c>
      <c r="L319" s="147">
        <f>IF(t&lt;Tvie,1-EXP((T0-t)*PertePVj)+'2020'!Pspv,1-EXP((T0-t)*PertePVj)+Pspv)</f>
        <v>2.7268141745742991E-2</v>
      </c>
      <c r="M319" s="870"/>
      <c r="N319" s="870"/>
      <c r="O319" s="48">
        <f>IF(t&lt;Tnet,'2020'!Resal+('2020'!Salim-'2020'!Resal)*(1-EXP(('2020'!Tnet-t)/('2020'!Tau_j))),Resal+(Salim-Resal)*(1-EXP((Tnet-t)/(Tau_j))))*Salcycl</f>
        <v>9.4960023629427071E-2</v>
      </c>
      <c r="P319" s="171">
        <f>(INDEX(Models!$BJ319:$BT319,,T319)*(1-R319)+INDEX(Models!$BJ319:$BT319,,T319+1)*R319-ERP_i)*Q319*Ramure*Pc/MaxiM</f>
        <v>3.9192362661749115E-2</v>
      </c>
      <c r="Q319" s="307">
        <f t="shared" si="101"/>
        <v>1</v>
      </c>
      <c r="R319" s="179">
        <f t="shared" si="102"/>
        <v>0.99812555851661477</v>
      </c>
      <c r="S319" s="837">
        <f t="shared" si="103"/>
        <v>-1</v>
      </c>
      <c r="T319" s="178">
        <f t="shared" si="104"/>
        <v>5</v>
      </c>
      <c r="U319" s="253">
        <f t="shared" si="105"/>
        <v>-1.8744414833852252E-3</v>
      </c>
      <c r="V319" s="385">
        <f t="shared" si="106"/>
        <v>23.024673601542911</v>
      </c>
      <c r="W319" s="404"/>
      <c r="X319" s="157">
        <f t="shared" si="107"/>
        <v>44501</v>
      </c>
      <c r="Y319" s="387">
        <f t="shared" si="108"/>
        <v>13.969210946107768</v>
      </c>
      <c r="Z319" s="387">
        <f t="shared" si="109"/>
        <v>14.360803367927149</v>
      </c>
      <c r="AA319" s="388">
        <f t="shared" si="110"/>
        <v>16.885114536976747</v>
      </c>
      <c r="AB319" s="199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0.1494992031899815</v>
      </c>
      <c r="AD319" s="233">
        <f>(INDEX(Models!$BJ319:$BT319,,AH319)*(1-AF319)+INDEX(Models!$BJ319:$BT319,,AH319+1)*AF319-ERP_i)*AE319*Ramure*Pc/MaxiM</f>
        <v>3.9192362661749115E-2</v>
      </c>
      <c r="AE319" s="307">
        <f t="shared" si="112"/>
        <v>1</v>
      </c>
      <c r="AF319" s="179">
        <f t="shared" si="113"/>
        <v>0.99812555851661477</v>
      </c>
      <c r="AG319" s="837">
        <f t="shared" si="119"/>
        <v>-1</v>
      </c>
      <c r="AH319" s="178">
        <f t="shared" si="114"/>
        <v>5</v>
      </c>
      <c r="AI319" s="227">
        <f t="shared" si="115"/>
        <v>-1.8744414833852252E-3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x14ac:dyDescent="0.2">
      <c r="A320" s="56">
        <f t="shared" si="118"/>
        <v>44502</v>
      </c>
      <c r="B320" s="618">
        <v>22.253</v>
      </c>
      <c r="C320" s="392"/>
      <c r="D320" s="395">
        <f t="shared" si="98"/>
        <v>22.877340433579644</v>
      </c>
      <c r="E320" s="387">
        <f t="shared" si="120"/>
        <v>25.280950894760778</v>
      </c>
      <c r="F320" s="387">
        <f t="shared" si="99"/>
        <v>26.326466731477012</v>
      </c>
      <c r="G320" s="110">
        <f t="shared" si="121"/>
        <v>0.97900902936193912</v>
      </c>
      <c r="H320" s="414" t="b">
        <f>Wh_hp&gt;='2020'!Maxi_hp</f>
        <v>1</v>
      </c>
      <c r="I320" s="382">
        <f>IF(H320,Wh_hp,'2020'!Maxi_hp)</f>
        <v>26.326466731477012</v>
      </c>
      <c r="J320" s="85">
        <f>IF(H320,An,'2020'!An_max)</f>
        <v>2021</v>
      </c>
      <c r="K320" s="199">
        <f t="shared" si="100"/>
        <v>44502</v>
      </c>
      <c r="L320" s="147">
        <f>IF(t&lt;Tvie,1-EXP((T0-t)*PertePVj)+'2020'!Pspv,1-EXP((T0-t)*PertePVj)+Pspv)</f>
        <v>2.7290778637154345E-2</v>
      </c>
      <c r="M320" s="870"/>
      <c r="N320" s="870"/>
      <c r="O320" s="48">
        <f>IF(t&lt;Tnet,'2020'!Resal+('2020'!Salim-'2020'!Resal)*(1-EXP(('2020'!Tnet-t)/('2020'!Tau_j))),Resal+(Salim-Resal)*(1-EXP((Tnet-t)/(Tau_j))))*Salcycl</f>
        <v>9.5075951501462599E-2</v>
      </c>
      <c r="P320" s="171">
        <f>(INDEX(Models!$BJ320:$BT320,,T320)*(1-R320)+INDEX(Models!$BJ320:$BT320,,T320+1)*R320-ERP_i)*Q320*Ramure*Pc/MaxiM</f>
        <v>4.0870133975394296E-2</v>
      </c>
      <c r="Q320" s="307">
        <f t="shared" si="101"/>
        <v>1</v>
      </c>
      <c r="R320" s="179">
        <f t="shared" si="102"/>
        <v>0.99820113596171056</v>
      </c>
      <c r="S320" s="837">
        <f t="shared" si="103"/>
        <v>-1</v>
      </c>
      <c r="T320" s="178">
        <f t="shared" si="104"/>
        <v>5</v>
      </c>
      <c r="U320" s="253">
        <f t="shared" si="105"/>
        <v>-1.7988640382894383E-3</v>
      </c>
      <c r="V320" s="385">
        <f t="shared" si="106"/>
        <v>22.702749466366392</v>
      </c>
      <c r="W320" s="404"/>
      <c r="X320" s="157">
        <f t="shared" si="107"/>
        <v>44502</v>
      </c>
      <c r="Y320" s="387">
        <f t="shared" si="108"/>
        <v>20.918260299496826</v>
      </c>
      <c r="Z320" s="387">
        <f t="shared" si="109"/>
        <v>21.505152660307488</v>
      </c>
      <c r="AA320" s="388">
        <f t="shared" si="110"/>
        <v>25.280950894760778</v>
      </c>
      <c r="AB320" s="199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0.14935348951750821</v>
      </c>
      <c r="AD320" s="233">
        <f>(INDEX(Models!$BJ320:$BT320,,AH320)*(1-AF320)+INDEX(Models!$BJ320:$BT320,,AH320+1)*AF320-ERP_i)*AE320*Ramure*Pc/MaxiM</f>
        <v>4.0870133975394296E-2</v>
      </c>
      <c r="AE320" s="307">
        <f t="shared" si="112"/>
        <v>1</v>
      </c>
      <c r="AF320" s="179">
        <f t="shared" si="113"/>
        <v>0.99820113596171056</v>
      </c>
      <c r="AG320" s="837">
        <f t="shared" si="119"/>
        <v>-1</v>
      </c>
      <c r="AH320" s="178">
        <f t="shared" si="114"/>
        <v>5</v>
      </c>
      <c r="AI320" s="227">
        <f t="shared" si="115"/>
        <v>-1.7988640382894383E-3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x14ac:dyDescent="0.2">
      <c r="A321" s="56">
        <f t="shared" si="118"/>
        <v>44503</v>
      </c>
      <c r="B321" s="618">
        <v>14.064</v>
      </c>
      <c r="C321" s="392"/>
      <c r="D321" s="395">
        <f t="shared" si="98"/>
        <v>14.458922552145227</v>
      </c>
      <c r="E321" s="387">
        <f t="shared" si="120"/>
        <v>15.980073099816337</v>
      </c>
      <c r="F321" s="387">
        <f t="shared" si="99"/>
        <v>16.305514404735046</v>
      </c>
      <c r="G321" s="110">
        <f t="shared" si="121"/>
        <v>0.61379033311130116</v>
      </c>
      <c r="H321" s="414" t="b">
        <f>Wh_hp&gt;='2020'!Maxi_hp</f>
        <v>0</v>
      </c>
      <c r="I321" s="382">
        <f>IF(H321,Wh_hp,'2020'!Maxi_hp)</f>
        <v>25.417463869453393</v>
      </c>
      <c r="J321" s="85">
        <f>IF(H321,An,'2020'!An_max)</f>
        <v>2020</v>
      </c>
      <c r="K321" s="199">
        <f t="shared" si="100"/>
        <v>44503</v>
      </c>
      <c r="L321" s="147">
        <f>IF(t&lt;Tvie,1-EXP((T0-t)*PertePVj)+'2020'!Pspv,1-EXP((T0-t)*PertePVj)+Pspv)</f>
        <v>2.7313415001772201E-2</v>
      </c>
      <c r="M321" s="870"/>
      <c r="N321" s="870"/>
      <c r="O321" s="48">
        <f>IF(t&lt;Tnet,'2020'!Resal+('2020'!Salim-'2020'!Resal)*(1-EXP(('2020'!Tnet-t)/('2020'!Tau_j))),Resal+(Salim-Resal)*(1-EXP((Tnet-t)/(Tau_j))))*Salcycl</f>
        <v>9.5190462407120979E-2</v>
      </c>
      <c r="P321" s="171">
        <f>(INDEX(Models!$BJ321:$BT321,,T321)*(1-R321)+INDEX(Models!$BJ321:$BT321,,T321+1)*R321-ERP_i)*Q321*Ramure*Pc/MaxiM</f>
        <v>4.2559198311682686E-2</v>
      </c>
      <c r="Q321" s="307">
        <f t="shared" si="101"/>
        <v>1</v>
      </c>
      <c r="R321" s="179">
        <f t="shared" si="102"/>
        <v>0.99827368580326115</v>
      </c>
      <c r="S321" s="837">
        <f t="shared" si="103"/>
        <v>-1</v>
      </c>
      <c r="T321" s="178">
        <f t="shared" si="104"/>
        <v>5</v>
      </c>
      <c r="U321" s="253">
        <f t="shared" si="105"/>
        <v>-1.726314196738854E-3</v>
      </c>
      <c r="V321" s="385">
        <f t="shared" si="106"/>
        <v>22.384968493621312</v>
      </c>
      <c r="W321" s="404"/>
      <c r="X321" s="157">
        <f t="shared" si="107"/>
        <v>44503</v>
      </c>
      <c r="Y321" s="387">
        <f t="shared" si="108"/>
        <v>13.224379474413965</v>
      </c>
      <c r="Z321" s="387">
        <f t="shared" si="109"/>
        <v>13.595725157901771</v>
      </c>
      <c r="AA321" s="388">
        <f t="shared" si="110"/>
        <v>15.980073099816339</v>
      </c>
      <c r="AB321" s="199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0.14920757414695252</v>
      </c>
      <c r="AD321" s="233">
        <f>(INDEX(Models!$BJ321:$BT321,,AH321)*(1-AF321)+INDEX(Models!$BJ321:$BT321,,AH321+1)*AF321-ERP_i)*AE321*Ramure*Pc/MaxiM</f>
        <v>4.2559198311682686E-2</v>
      </c>
      <c r="AE321" s="307">
        <f t="shared" si="112"/>
        <v>1</v>
      </c>
      <c r="AF321" s="179">
        <f t="shared" si="113"/>
        <v>0.99827368580326115</v>
      </c>
      <c r="AG321" s="837">
        <f t="shared" si="119"/>
        <v>-1</v>
      </c>
      <c r="AH321" s="178">
        <f t="shared" si="114"/>
        <v>5</v>
      </c>
      <c r="AI321" s="227">
        <f t="shared" si="115"/>
        <v>-1.726314196738854E-3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x14ac:dyDescent="0.2">
      <c r="A322" s="56">
        <f t="shared" si="118"/>
        <v>44504</v>
      </c>
      <c r="B322" s="618">
        <v>12.248000000000001</v>
      </c>
      <c r="C322" s="392"/>
      <c r="D322" s="395">
        <f t="shared" si="98"/>
        <v>12.592221610117802</v>
      </c>
      <c r="E322" s="387">
        <f t="shared" si="120"/>
        <v>13.91872875989025</v>
      </c>
      <c r="F322" s="387">
        <f t="shared" si="99"/>
        <v>14.146739133164385</v>
      </c>
      <c r="G322" s="110">
        <f t="shared" si="121"/>
        <v>0.53904649843197527</v>
      </c>
      <c r="H322" s="414" t="b">
        <f>Wh_hp&gt;='2020'!Maxi_hp</f>
        <v>0</v>
      </c>
      <c r="I322" s="382">
        <f>IF(H322,Wh_hp,'2020'!Maxi_hp)</f>
        <v>18.882274393596006</v>
      </c>
      <c r="J322" s="85">
        <f>IF(H322,An,'2020'!An_max)</f>
        <v>2018</v>
      </c>
      <c r="K322" s="199">
        <f t="shared" si="100"/>
        <v>44504</v>
      </c>
      <c r="L322" s="147">
        <f>IF(t&lt;Tvie,1-EXP((T0-t)*PertePVj)+'2020'!Pspv,1-EXP((T0-t)*PertePVj)+Pspv)</f>
        <v>2.7336050839608772E-2</v>
      </c>
      <c r="M322" s="870"/>
      <c r="N322" s="870"/>
      <c r="O322" s="48">
        <f>IF(t&lt;Tnet,'2020'!Resal+('2020'!Salim-'2020'!Resal)*(1-EXP(('2020'!Tnet-t)/('2020'!Tau_j))),Resal+(Salim-Resal)*(1-EXP((Tnet-t)/(Tau_j))))*Salcycl</f>
        <v>9.5303757451977875E-2</v>
      </c>
      <c r="P322" s="171">
        <f>(INDEX(Models!$BJ322:$BT322,,T322)*(1-R322)+INDEX(Models!$BJ322:$BT322,,T322+1)*R322-ERP_i)*Q322*Ramure*Pc/MaxiM</f>
        <v>4.4258377209170544E-2</v>
      </c>
      <c r="Q322" s="307">
        <f t="shared" si="101"/>
        <v>1</v>
      </c>
      <c r="R322" s="179">
        <f t="shared" si="102"/>
        <v>0.9983433287335024</v>
      </c>
      <c r="S322" s="837">
        <f t="shared" si="103"/>
        <v>-1</v>
      </c>
      <c r="T322" s="178">
        <f t="shared" si="104"/>
        <v>5</v>
      </c>
      <c r="U322" s="253">
        <f t="shared" si="105"/>
        <v>-1.6566712664976002E-3</v>
      </c>
      <c r="V322" s="385">
        <f t="shared" si="106"/>
        <v>22.071722232855269</v>
      </c>
      <c r="W322" s="404"/>
      <c r="X322" s="157">
        <f t="shared" si="107"/>
        <v>44504</v>
      </c>
      <c r="Y322" s="387">
        <f t="shared" si="108"/>
        <v>11.520210926260001</v>
      </c>
      <c r="Z322" s="387">
        <f t="shared" si="109"/>
        <v>11.843978525372828</v>
      </c>
      <c r="AA322" s="388">
        <f t="shared" si="110"/>
        <v>13.91872875989025</v>
      </c>
      <c r="AB322" s="199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0.14906176205518507</v>
      </c>
      <c r="AD322" s="233">
        <f>(INDEX(Models!$BJ322:$BT322,,AH322)*(1-AF322)+INDEX(Models!$BJ322:$BT322,,AH322+1)*AF322-ERP_i)*AE322*Ramure*Pc/MaxiM</f>
        <v>4.4258377209170544E-2</v>
      </c>
      <c r="AE322" s="307">
        <f t="shared" si="112"/>
        <v>1</v>
      </c>
      <c r="AF322" s="179">
        <f t="shared" si="113"/>
        <v>0.9983433287335024</v>
      </c>
      <c r="AG322" s="837">
        <f t="shared" si="119"/>
        <v>-1</v>
      </c>
      <c r="AH322" s="178">
        <f t="shared" si="114"/>
        <v>5</v>
      </c>
      <c r="AI322" s="227">
        <f t="shared" si="115"/>
        <v>-1.6566712664976002E-3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x14ac:dyDescent="0.2">
      <c r="A323" s="56">
        <f t="shared" si="118"/>
        <v>44505</v>
      </c>
      <c r="B323" s="618">
        <v>10.967000000000001</v>
      </c>
      <c r="C323" s="392"/>
      <c r="D323" s="395">
        <f t="shared" si="98"/>
        <v>11.27548238373406</v>
      </c>
      <c r="E323" s="387">
        <f t="shared" si="120"/>
        <v>12.464826799864516</v>
      </c>
      <c r="F323" s="387">
        <f t="shared" si="99"/>
        <v>12.634003673509259</v>
      </c>
      <c r="G323" s="110">
        <f t="shared" si="121"/>
        <v>0.48728104558789759</v>
      </c>
      <c r="H323" s="414" t="b">
        <f>Wh_hp&gt;='2020'!Maxi_hp</f>
        <v>0</v>
      </c>
      <c r="I323" s="382">
        <f>IF(H323,Wh_hp,'2020'!Maxi_hp)</f>
        <v>14.120962117738355</v>
      </c>
      <c r="J323" s="85">
        <f>IF(H323,An,'2020'!An_max)</f>
        <v>2020</v>
      </c>
      <c r="K323" s="199">
        <f t="shared" si="100"/>
        <v>44505</v>
      </c>
      <c r="L323" s="147">
        <f>IF(t&lt;Tvie,1-EXP((T0-t)*PertePVj)+'2020'!Pspv,1-EXP((T0-t)*PertePVj)+Pspv)</f>
        <v>2.735868615067627E-2</v>
      </c>
      <c r="M323" s="870"/>
      <c r="N323" s="870"/>
      <c r="O323" s="48">
        <f>IF(t&lt;Tnet,'2020'!Resal+('2020'!Salim-'2020'!Resal)*(1-EXP(('2020'!Tnet-t)/('2020'!Tau_j))),Resal+(Salim-Resal)*(1-EXP((Tnet-t)/(Tau_j))))*Salcycl</f>
        <v>9.5416040288934037E-2</v>
      </c>
      <c r="P323" s="171">
        <f>(INDEX(Models!$BJ323:$BT323,,T323)*(1-R323)+INDEX(Models!$BJ323:$BT323,,T323+1)*R323-ERP_i)*Q323*Ramure*Pc/MaxiM</f>
        <v>4.5966300876181802E-2</v>
      </c>
      <c r="Q323" s="307">
        <f t="shared" si="101"/>
        <v>1</v>
      </c>
      <c r="R323" s="179">
        <f t="shared" si="102"/>
        <v>0.99841018068004761</v>
      </c>
      <c r="S323" s="837">
        <f t="shared" si="103"/>
        <v>-1</v>
      </c>
      <c r="T323" s="178">
        <f t="shared" si="104"/>
        <v>5</v>
      </c>
      <c r="U323" s="253">
        <f t="shared" si="105"/>
        <v>-1.5898193199523902E-3</v>
      </c>
      <c r="V323" s="385">
        <f t="shared" si="106"/>
        <v>21.763402346911572</v>
      </c>
      <c r="W323" s="404"/>
      <c r="X323" s="157">
        <f t="shared" si="107"/>
        <v>44505</v>
      </c>
      <c r="Y323" s="387">
        <f t="shared" si="108"/>
        <v>10.318372533317266</v>
      </c>
      <c r="Z323" s="387">
        <f t="shared" si="109"/>
        <v>10.608610169437787</v>
      </c>
      <c r="AA323" s="388">
        <f t="shared" si="110"/>
        <v>12.464826799864516</v>
      </c>
      <c r="AB323" s="199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0.14891635962778924</v>
      </c>
      <c r="AD323" s="233">
        <f>(INDEX(Models!$BJ323:$BT323,,AH323)*(1-AF323)+INDEX(Models!$BJ323:$BT323,,AH323+1)*AF323-ERP_i)*AE323*Ramure*Pc/MaxiM</f>
        <v>4.5966300876181802E-2</v>
      </c>
      <c r="AE323" s="307">
        <f t="shared" si="112"/>
        <v>1</v>
      </c>
      <c r="AF323" s="179">
        <f t="shared" si="113"/>
        <v>0.99841018068004761</v>
      </c>
      <c r="AG323" s="837">
        <f t="shared" si="119"/>
        <v>-1</v>
      </c>
      <c r="AH323" s="178">
        <f t="shared" si="114"/>
        <v>5</v>
      </c>
      <c r="AI323" s="227">
        <f t="shared" si="115"/>
        <v>-1.5898193199523902E-3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x14ac:dyDescent="0.2">
      <c r="A324" s="56">
        <f t="shared" si="118"/>
        <v>44506</v>
      </c>
      <c r="B324" s="618">
        <v>16.545999999999999</v>
      </c>
      <c r="C324" s="392"/>
      <c r="D324" s="395">
        <f t="shared" si="98"/>
        <v>17.011805711880648</v>
      </c>
      <c r="E324" s="387">
        <f t="shared" si="120"/>
        <v>18.808538697433388</v>
      </c>
      <c r="F324" s="387">
        <f t="shared" si="99"/>
        <v>19.431542768292143</v>
      </c>
      <c r="G324" s="110">
        <f t="shared" si="121"/>
        <v>0.75855956834307625</v>
      </c>
      <c r="H324" s="414" t="b">
        <f>Wh_hp&gt;='2020'!Maxi_hp</f>
        <v>0</v>
      </c>
      <c r="I324" s="382">
        <f>IF(H324,Wh_hp,'2020'!Maxi_hp)</f>
        <v>20.364606283027438</v>
      </c>
      <c r="J324" s="85">
        <f>IF(H324,An,'2020'!An_max)</f>
        <v>2020</v>
      </c>
      <c r="K324" s="199">
        <f t="shared" si="100"/>
        <v>44506</v>
      </c>
      <c r="L324" s="147">
        <f>IF(t&lt;Tvie,1-EXP((T0-t)*PertePVj)+'2020'!Pspv,1-EXP((T0-t)*PertePVj)+Pspv)</f>
        <v>2.7381320934987019E-2</v>
      </c>
      <c r="M324" s="870"/>
      <c r="N324" s="870"/>
      <c r="O324" s="48">
        <f>IF(t&lt;Tnet,'2020'!Resal+('2020'!Salim-'2020'!Resal)*(1-EXP(('2020'!Tnet-t)/('2020'!Tau_j))),Resal+(Salim-Resal)*(1-EXP((Tnet-t)/(Tau_j))))*Salcycl</f>
        <v>9.5527516223146092E-2</v>
      </c>
      <c r="P324" s="171">
        <f>(INDEX(Models!$BJ324:$BT324,,T324)*(1-R324)+INDEX(Models!$BJ324:$BT324,,T324+1)*R324-ERP_i)*Q324*Ramure*Pc/MaxiM</f>
        <v>4.7652021224934372E-2</v>
      </c>
      <c r="Q324" s="307">
        <f t="shared" si="101"/>
        <v>1</v>
      </c>
      <c r="R324" s="179">
        <f t="shared" si="102"/>
        <v>0.9984743529903044</v>
      </c>
      <c r="S324" s="837">
        <f t="shared" si="103"/>
        <v>-1</v>
      </c>
      <c r="T324" s="178">
        <f t="shared" si="104"/>
        <v>5</v>
      </c>
      <c r="U324" s="253">
        <f t="shared" si="105"/>
        <v>-1.5256470096955965E-3</v>
      </c>
      <c r="V324" s="385">
        <f t="shared" si="106"/>
        <v>21.461062601443171</v>
      </c>
      <c r="W324" s="404"/>
      <c r="X324" s="157">
        <f t="shared" si="107"/>
        <v>44506</v>
      </c>
      <c r="Y324" s="387">
        <f t="shared" si="108"/>
        <v>15.571976092784137</v>
      </c>
      <c r="Z324" s="387">
        <f t="shared" si="109"/>
        <v>16.010360923515901</v>
      </c>
      <c r="AA324" s="388">
        <f t="shared" si="110"/>
        <v>18.808538697433388</v>
      </c>
      <c r="AB324" s="199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0.14877167327727198</v>
      </c>
      <c r="AD324" s="233">
        <f>(INDEX(Models!$BJ324:$BT324,,AH324)*(1-AF324)+INDEX(Models!$BJ324:$BT324,,AH324+1)*AF324-ERP_i)*AE324*Ramure*Pc/MaxiM</f>
        <v>4.7652021224934372E-2</v>
      </c>
      <c r="AE324" s="307">
        <f t="shared" si="112"/>
        <v>1</v>
      </c>
      <c r="AF324" s="179">
        <f t="shared" si="113"/>
        <v>0.9984743529903044</v>
      </c>
      <c r="AG324" s="837">
        <f t="shared" si="119"/>
        <v>-1</v>
      </c>
      <c r="AH324" s="178">
        <f t="shared" si="114"/>
        <v>5</v>
      </c>
      <c r="AI324" s="227">
        <f t="shared" si="115"/>
        <v>-1.5256470096955965E-3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x14ac:dyDescent="0.2">
      <c r="A325" s="56">
        <f t="shared" si="118"/>
        <v>44507</v>
      </c>
      <c r="B325" s="618">
        <v>8.8729999999999993</v>
      </c>
      <c r="C325" s="392"/>
      <c r="D325" s="395">
        <f t="shared" si="98"/>
        <v>9.1230064602582921</v>
      </c>
      <c r="E325" s="387">
        <f t="shared" si="120"/>
        <v>10.087786094036918</v>
      </c>
      <c r="F325" s="387">
        <f t="shared" si="99"/>
        <v>10.173233065527109</v>
      </c>
      <c r="G325" s="110">
        <f t="shared" si="121"/>
        <v>0.40193062047430789</v>
      </c>
      <c r="H325" s="414" t="b">
        <f>Wh_hp&gt;='2020'!Maxi_hp</f>
        <v>0</v>
      </c>
      <c r="I325" s="382">
        <f>IF(H325,Wh_hp,'2020'!Maxi_hp)</f>
        <v>13.964340858235088</v>
      </c>
      <c r="J325" s="85">
        <f>IF(H325,An,'2020'!An_max)</f>
        <v>2020</v>
      </c>
      <c r="K325" s="199">
        <f t="shared" si="100"/>
        <v>44507</v>
      </c>
      <c r="L325" s="147">
        <f>IF(t&lt;Tvie,1-EXP((T0-t)*PertePVj)+'2020'!Pspv,1-EXP((T0-t)*PertePVj)+Pspv)</f>
        <v>2.7403955192553342E-2</v>
      </c>
      <c r="M325" s="870"/>
      <c r="N325" s="870"/>
      <c r="O325" s="48">
        <f>IF(t&lt;Tnet,'2020'!Resal+('2020'!Salim-'2020'!Resal)*(1-EXP(('2020'!Tnet-t)/('2020'!Tau_j))),Resal+(Salim-Resal)*(1-EXP((Tnet-t)/(Tau_j))))*Salcycl</f>
        <v>9.5638391296671649E-2</v>
      </c>
      <c r="P325" s="171">
        <f>(INDEX(Models!$BJ325:$BT325,,T325)*(1-R325)+INDEX(Models!$BJ325:$BT325,,T325+1)*R325-ERP_i)*Q325*Ramure*Pc/MaxiM</f>
        <v>4.9312576402787189E-2</v>
      </c>
      <c r="Q325" s="307">
        <f t="shared" si="101"/>
        <v>1</v>
      </c>
      <c r="R325" s="179">
        <f t="shared" si="102"/>
        <v>0.99853595260904393</v>
      </c>
      <c r="S325" s="837">
        <f t="shared" si="103"/>
        <v>-1</v>
      </c>
      <c r="T325" s="178">
        <f t="shared" si="104"/>
        <v>5</v>
      </c>
      <c r="U325" s="253">
        <f t="shared" si="105"/>
        <v>-1.4640473909560692E-3</v>
      </c>
      <c r="V325" s="385">
        <f t="shared" si="106"/>
        <v>21.165097148959205</v>
      </c>
      <c r="W325" s="404"/>
      <c r="X325" s="157">
        <f t="shared" si="107"/>
        <v>44507</v>
      </c>
      <c r="Y325" s="387">
        <f t="shared" si="108"/>
        <v>8.353100808235018</v>
      </c>
      <c r="Z325" s="387">
        <f t="shared" si="109"/>
        <v>8.5884585412731695</v>
      </c>
      <c r="AA325" s="388">
        <f t="shared" si="110"/>
        <v>10.087786094036918</v>
      </c>
      <c r="AB325" s="199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0.14862800804727902</v>
      </c>
      <c r="AD325" s="233">
        <f>(INDEX(Models!$BJ325:$BT325,,AH325)*(1-AF325)+INDEX(Models!$BJ325:$BT325,,AH325+1)*AF325-ERP_i)*AE325*Ramure*Pc/MaxiM</f>
        <v>4.9312576402787189E-2</v>
      </c>
      <c r="AE325" s="307">
        <f t="shared" si="112"/>
        <v>1</v>
      </c>
      <c r="AF325" s="179">
        <f t="shared" si="113"/>
        <v>0.99853595260904393</v>
      </c>
      <c r="AG325" s="837">
        <f t="shared" si="119"/>
        <v>-1</v>
      </c>
      <c r="AH325" s="178">
        <f t="shared" si="114"/>
        <v>5</v>
      </c>
      <c r="AI325" s="227">
        <f t="shared" si="115"/>
        <v>-1.4640473909560692E-3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x14ac:dyDescent="0.2">
      <c r="A326" s="56">
        <f t="shared" si="118"/>
        <v>44508</v>
      </c>
      <c r="B326" s="618">
        <v>17.332000000000001</v>
      </c>
      <c r="C326" s="392"/>
      <c r="D326" s="395">
        <f t="shared" si="98"/>
        <v>17.820762733801185</v>
      </c>
      <c r="E326" s="387">
        <f t="shared" si="120"/>
        <v>19.707758353131577</v>
      </c>
      <c r="F326" s="387">
        <f t="shared" si="99"/>
        <v>20.498806693630254</v>
      </c>
      <c r="G326" s="110">
        <f t="shared" si="121"/>
        <v>0.81957047695188279</v>
      </c>
      <c r="H326" s="414" t="b">
        <f>Wh_hp&gt;='2020'!Maxi_hp</f>
        <v>1</v>
      </c>
      <c r="I326" s="382">
        <f>IF(H326,Wh_hp,'2020'!Maxi_hp)</f>
        <v>20.498806693630254</v>
      </c>
      <c r="J326" s="85">
        <f>IF(H326,An,'2020'!An_max)</f>
        <v>2021</v>
      </c>
      <c r="K326" s="199">
        <f t="shared" si="100"/>
        <v>44508</v>
      </c>
      <c r="L326" s="147">
        <f>IF(t&lt;Tvie,1-EXP((T0-t)*PertePVj)+'2020'!Pspv,1-EXP((T0-t)*PertePVj)+Pspv)</f>
        <v>2.7426588923387341E-2</v>
      </c>
      <c r="M326" s="870"/>
      <c r="N326" s="870"/>
      <c r="O326" s="48">
        <f>IF(t&lt;Tnet,'2020'!Resal+('2020'!Salim-'2020'!Resal)*(1-EXP(('2020'!Tnet-t)/('2020'!Tau_j))),Resal+(Salim-Resal)*(1-EXP((Tnet-t)/(Tau_j))))*Salcycl</f>
        <v>9.5748871359108534E-2</v>
      </c>
      <c r="P326" s="171">
        <f>(INDEX(Models!$BJ326:$BT326,,T326)*(1-R326)+INDEX(Models!$BJ326:$BT326,,T326+1)*R326-ERP_i)*Q326*Ramure*Pc/MaxiM</f>
        <v>5.0944843850193398E-2</v>
      </c>
      <c r="Q326" s="307">
        <f t="shared" si="101"/>
        <v>1</v>
      </c>
      <c r="R326" s="179">
        <f t="shared" si="102"/>
        <v>0.99859508224935645</v>
      </c>
      <c r="S326" s="837">
        <f t="shared" si="103"/>
        <v>-1</v>
      </c>
      <c r="T326" s="178">
        <f t="shared" si="104"/>
        <v>5</v>
      </c>
      <c r="U326" s="253">
        <f t="shared" si="105"/>
        <v>-1.4049177506435528E-3</v>
      </c>
      <c r="V326" s="385">
        <f t="shared" si="106"/>
        <v>20.875898626607672</v>
      </c>
      <c r="W326" s="404"/>
      <c r="X326" s="157">
        <f t="shared" si="107"/>
        <v>44508</v>
      </c>
      <c r="Y326" s="387">
        <f t="shared" si="108"/>
        <v>16.321181103071652</v>
      </c>
      <c r="Z326" s="387">
        <f t="shared" si="109"/>
        <v>16.781438724511851</v>
      </c>
      <c r="AA326" s="388">
        <f t="shared" si="110"/>
        <v>19.707758353131577</v>
      </c>
      <c r="AB326" s="199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0.14848566621250117</v>
      </c>
      <c r="AD326" s="233">
        <f>(INDEX(Models!$BJ326:$BT326,,AH326)*(1-AF326)+INDEX(Models!$BJ326:$BT326,,AH326+1)*AF326-ERP_i)*AE326*Ramure*Pc/MaxiM</f>
        <v>5.0944843850193398E-2</v>
      </c>
      <c r="AE326" s="307">
        <f t="shared" si="112"/>
        <v>1</v>
      </c>
      <c r="AF326" s="179">
        <f t="shared" si="113"/>
        <v>0.99859508224935645</v>
      </c>
      <c r="AG326" s="837">
        <f t="shared" si="119"/>
        <v>-1</v>
      </c>
      <c r="AH326" s="178">
        <f t="shared" si="114"/>
        <v>5</v>
      </c>
      <c r="AI326" s="227">
        <f t="shared" si="115"/>
        <v>-1.4049177506435528E-3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x14ac:dyDescent="0.2">
      <c r="A327" s="56">
        <f t="shared" si="118"/>
        <v>44509</v>
      </c>
      <c r="B327" s="618">
        <v>15.175000000000001</v>
      </c>
      <c r="C327" s="392"/>
      <c r="D327" s="395">
        <f t="shared" si="98"/>
        <v>15.603298403807811</v>
      </c>
      <c r="E327" s="387">
        <f t="shared" si="120"/>
        <v>17.257597193951224</v>
      </c>
      <c r="F327" s="387">
        <f t="shared" si="99"/>
        <v>17.842725024026088</v>
      </c>
      <c r="G327" s="110">
        <f t="shared" si="121"/>
        <v>0.72182210889360698</v>
      </c>
      <c r="H327" s="414" t="b">
        <f>Wh_hp&gt;='2020'!Maxi_hp</f>
        <v>0</v>
      </c>
      <c r="I327" s="382">
        <f>IF(H327,Wh_hp,'2020'!Maxi_hp)</f>
        <v>19.612077061652013</v>
      </c>
      <c r="J327" s="85">
        <f>IF(H327,An,'2020'!An_max)</f>
        <v>2020</v>
      </c>
      <c r="K327" s="199">
        <f t="shared" si="100"/>
        <v>44509</v>
      </c>
      <c r="L327" s="147">
        <f>IF(t&lt;Tvie,1-EXP((T0-t)*PertePVj)+'2020'!Pspv,1-EXP((T0-t)*PertePVj)+Pspv)</f>
        <v>2.7449222127501449E-2</v>
      </c>
      <c r="M327" s="870"/>
      <c r="N327" s="870"/>
      <c r="O327" s="48">
        <f>IF(t&lt;Tnet,'2020'!Resal+('2020'!Salim-'2020'!Resal)*(1-EXP(('2020'!Tnet-t)/('2020'!Tau_j))),Resal+(Salim-Resal)*(1-EXP((Tnet-t)/(Tau_j))))*Salcycl</f>
        <v>9.5859161130684004E-2</v>
      </c>
      <c r="P327" s="171">
        <f>(INDEX(Models!$BJ327:$BT327,,T327)*(1-R327)+INDEX(Models!$BJ327:$BT327,,T327+1)*R327-ERP_i)*Q327*Ramure*Pc/MaxiM</f>
        <v>5.25454683250835E-2</v>
      </c>
      <c r="Q327" s="307">
        <f t="shared" si="101"/>
        <v>1</v>
      </c>
      <c r="R327" s="179">
        <f t="shared" si="102"/>
        <v>0.99865184055721368</v>
      </c>
      <c r="S327" s="837">
        <f t="shared" si="103"/>
        <v>-1</v>
      </c>
      <c r="T327" s="178">
        <f t="shared" si="104"/>
        <v>5</v>
      </c>
      <c r="U327" s="253">
        <f t="shared" si="105"/>
        <v>-1.348159442786323E-3</v>
      </c>
      <c r="V327" s="385">
        <f t="shared" si="106"/>
        <v>20.593859792096275</v>
      </c>
      <c r="W327" s="404"/>
      <c r="X327" s="157">
        <f t="shared" si="107"/>
        <v>44509</v>
      </c>
      <c r="Y327" s="387">
        <f t="shared" si="108"/>
        <v>14.294084384432139</v>
      </c>
      <c r="Z327" s="387">
        <f t="shared" si="109"/>
        <v>14.697519872125477</v>
      </c>
      <c r="AA327" s="388">
        <f t="shared" si="110"/>
        <v>17.257597193951224</v>
      </c>
      <c r="AB327" s="199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0.14834494588406838</v>
      </c>
      <c r="AD327" s="233">
        <f>(INDEX(Models!$BJ327:$BT327,,AH327)*(1-AF327)+INDEX(Models!$BJ327:$BT327,,AH327+1)*AF327-ERP_i)*AE327*Ramure*Pc/MaxiM</f>
        <v>5.25454683250835E-2</v>
      </c>
      <c r="AE327" s="307">
        <f t="shared" si="112"/>
        <v>1</v>
      </c>
      <c r="AF327" s="179">
        <f t="shared" si="113"/>
        <v>0.99865184055721368</v>
      </c>
      <c r="AG327" s="837">
        <f t="shared" si="119"/>
        <v>-1</v>
      </c>
      <c r="AH327" s="178">
        <f t="shared" si="114"/>
        <v>5</v>
      </c>
      <c r="AI327" s="227">
        <f t="shared" si="115"/>
        <v>-1.348159442786323E-3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x14ac:dyDescent="0.2">
      <c r="A328" s="56">
        <f t="shared" si="118"/>
        <v>44510</v>
      </c>
      <c r="B328" s="618">
        <v>5.6959999999999997</v>
      </c>
      <c r="C328" s="392"/>
      <c r="D328" s="395">
        <f t="shared" si="98"/>
        <v>5.8568999037630567</v>
      </c>
      <c r="E328" s="387">
        <f t="shared" si="120"/>
        <v>6.478652728824617</v>
      </c>
      <c r="F328" s="387">
        <f t="shared" si="99"/>
        <v>6.478652728824617</v>
      </c>
      <c r="G328" s="110">
        <f t="shared" si="121"/>
        <v>0.26515505138323525</v>
      </c>
      <c r="H328" s="414" t="b">
        <f>Wh_hp&gt;='2020'!Maxi_hp</f>
        <v>0</v>
      </c>
      <c r="I328" s="382">
        <f>IF(H328,Wh_hp,'2020'!Maxi_hp)</f>
        <v>19.761633702872928</v>
      </c>
      <c r="J328" s="85">
        <f>IF(H328,An,'2020'!An_max)</f>
        <v>2020</v>
      </c>
      <c r="K328" s="199">
        <f t="shared" si="100"/>
        <v>44510</v>
      </c>
      <c r="L328" s="147">
        <f>IF(t&lt;Tvie,1-EXP((T0-t)*PertePVj)+'2020'!Pspv,1-EXP((T0-t)*PertePVj)+Pspv)</f>
        <v>2.7471854804907769E-2</v>
      </c>
      <c r="M328" s="870"/>
      <c r="N328" s="870"/>
      <c r="O328" s="48">
        <f>IF(t&lt;Tnet,'2020'!Resal+('2020'!Salim-'2020'!Resal)*(1-EXP(('2020'!Tnet-t)/('2020'!Tau_j))),Resal+(Salim-Resal)*(1-EXP((Tnet-t)/(Tau_j))))*Salcycl</f>
        <v>9.5969463264372404E-2</v>
      </c>
      <c r="P328" s="171">
        <f>(INDEX(Models!$BJ328:$BT328,,T328)*(1-R328)+INDEX(Models!$BJ328:$BT328,,T328+1)*R328-ERP_i)*Q328*Ramure*Pc/MaxiM</f>
        <v>5.4110862583254322E-2</v>
      </c>
      <c r="Q328" s="307">
        <f t="shared" si="101"/>
        <v>1</v>
      </c>
      <c r="R328" s="179">
        <f t="shared" si="102"/>
        <v>0.998706322269863</v>
      </c>
      <c r="S328" s="837">
        <f t="shared" si="103"/>
        <v>-1</v>
      </c>
      <c r="T328" s="178">
        <f t="shared" si="104"/>
        <v>5</v>
      </c>
      <c r="U328" s="253">
        <f t="shared" si="105"/>
        <v>-1.2936777301369995E-3</v>
      </c>
      <c r="V328" s="385">
        <f t="shared" si="106"/>
        <v>20.319373508516279</v>
      </c>
      <c r="W328" s="404"/>
      <c r="X328" s="157">
        <f t="shared" si="107"/>
        <v>44510</v>
      </c>
      <c r="Y328" s="387">
        <f t="shared" si="108"/>
        <v>5.3668738294898048</v>
      </c>
      <c r="Z328" s="387">
        <f t="shared" si="109"/>
        <v>5.5184766178804967</v>
      </c>
      <c r="AA328" s="388">
        <f t="shared" si="110"/>
        <v>6.478652728824617</v>
      </c>
      <c r="AB328" s="199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0.14820613963025595</v>
      </c>
      <c r="AD328" s="233">
        <f>(INDEX(Models!$BJ328:$BT328,,AH328)*(1-AF328)+INDEX(Models!$BJ328:$BT328,,AH328+1)*AF328-ERP_i)*AE328*Ramure*Pc/MaxiM</f>
        <v>5.4110862583254322E-2</v>
      </c>
      <c r="AE328" s="307">
        <f t="shared" si="112"/>
        <v>1</v>
      </c>
      <c r="AF328" s="179">
        <f t="shared" si="113"/>
        <v>0.998706322269863</v>
      </c>
      <c r="AG328" s="837">
        <f t="shared" si="119"/>
        <v>-1</v>
      </c>
      <c r="AH328" s="178">
        <f t="shared" si="114"/>
        <v>5</v>
      </c>
      <c r="AI328" s="227">
        <f t="shared" si="115"/>
        <v>-1.2936777301369995E-3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x14ac:dyDescent="0.2">
      <c r="A329" s="56">
        <f t="shared" si="118"/>
        <v>44511</v>
      </c>
      <c r="B329" s="618">
        <v>7.9379999999999997</v>
      </c>
      <c r="C329" s="392"/>
      <c r="D329" s="395">
        <f t="shared" si="98"/>
        <v>8.1624215940436944</v>
      </c>
      <c r="E329" s="387">
        <f t="shared" si="120"/>
        <v>9.0300263187988765</v>
      </c>
      <c r="F329" s="387">
        <f t="shared" si="99"/>
        <v>9.0993512296238279</v>
      </c>
      <c r="G329" s="110">
        <f t="shared" si="121"/>
        <v>0.37670001918600848</v>
      </c>
      <c r="H329" s="414" t="b">
        <f>Wh_hp&gt;='2020'!Maxi_hp</f>
        <v>0</v>
      </c>
      <c r="I329" s="382">
        <f>IF(H329,Wh_hp,'2020'!Maxi_hp)</f>
        <v>20.963040267417192</v>
      </c>
      <c r="J329" s="85">
        <f>IF(H329,An,'2020'!An_max)</f>
        <v>2019</v>
      </c>
      <c r="K329" s="199">
        <f t="shared" si="100"/>
        <v>44511</v>
      </c>
      <c r="L329" s="147">
        <f>IF(t&lt;Tvie,1-EXP((T0-t)*PertePVj)+'2020'!Pspv,1-EXP((T0-t)*PertePVj)+Pspv)</f>
        <v>2.7494486955618624E-2</v>
      </c>
      <c r="M329" s="870"/>
      <c r="N329" s="870"/>
      <c r="O329" s="48">
        <f>IF(t&lt;Tnet,'2020'!Resal+('2020'!Salim-'2020'!Resal)*(1-EXP(('2020'!Tnet-t)/('2020'!Tau_j))),Resal+(Salim-Resal)*(1-EXP((Tnet-t)/(Tau_j))))*Salcycl</f>
        <v>9.6079977413685555E-2</v>
      </c>
      <c r="P329" s="171">
        <f>(INDEX(Models!$BJ329:$BT329,,T329)*(1-R329)+INDEX(Models!$BJ329:$BT329,,T329+1)*R329-ERP_i)*Q329*Ramure*Pc/MaxiM</f>
        <v>5.5637210323984103E-2</v>
      </c>
      <c r="Q329" s="307">
        <f t="shared" si="101"/>
        <v>1</v>
      </c>
      <c r="R329" s="179">
        <f t="shared" si="102"/>
        <v>0.99875861836825897</v>
      </c>
      <c r="S329" s="837">
        <f t="shared" si="103"/>
        <v>-1</v>
      </c>
      <c r="T329" s="178">
        <f t="shared" si="104"/>
        <v>5</v>
      </c>
      <c r="U329" s="253">
        <f t="shared" si="105"/>
        <v>-1.2413816317410342E-3</v>
      </c>
      <c r="V329" s="385">
        <f t="shared" si="106"/>
        <v>20.052832741905718</v>
      </c>
      <c r="W329" s="404"/>
      <c r="X329" s="157">
        <f t="shared" si="107"/>
        <v>44511</v>
      </c>
      <c r="Y329" s="387">
        <f t="shared" si="108"/>
        <v>7.4814406995057467</v>
      </c>
      <c r="Z329" s="387">
        <f t="shared" si="109"/>
        <v>7.6929545376925006</v>
      </c>
      <c r="AA329" s="388">
        <f t="shared" si="110"/>
        <v>9.0300263187988765</v>
      </c>
      <c r="AB329" s="199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0.14806953312227181</v>
      </c>
      <c r="AD329" s="233">
        <f>(INDEX(Models!$BJ329:$BT329,,AH329)*(1-AF329)+INDEX(Models!$BJ329:$BT329,,AH329+1)*AF329-ERP_i)*AE329*Ramure*Pc/MaxiM</f>
        <v>5.5637210323984103E-2</v>
      </c>
      <c r="AE329" s="307">
        <f t="shared" si="112"/>
        <v>1</v>
      </c>
      <c r="AF329" s="179">
        <f t="shared" si="113"/>
        <v>0.99875861836825897</v>
      </c>
      <c r="AG329" s="837">
        <f t="shared" si="119"/>
        <v>-1</v>
      </c>
      <c r="AH329" s="178">
        <f t="shared" si="114"/>
        <v>5</v>
      </c>
      <c r="AI329" s="227">
        <f t="shared" si="115"/>
        <v>-1.2413816317410342E-3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x14ac:dyDescent="0.2">
      <c r="A330" s="56">
        <f t="shared" si="118"/>
        <v>44512</v>
      </c>
      <c r="B330" s="618">
        <v>7.7620000000000005</v>
      </c>
      <c r="C330" s="392"/>
      <c r="D330" s="395">
        <f t="shared" si="98"/>
        <v>7.9816315004571194</v>
      </c>
      <c r="E330" s="387">
        <f t="shared" si="120"/>
        <v>8.831103265488581</v>
      </c>
      <c r="F330" s="387">
        <f t="shared" si="99"/>
        <v>8.8979947221643645</v>
      </c>
      <c r="G330" s="110">
        <f t="shared" si="121"/>
        <v>0.37252860417177136</v>
      </c>
      <c r="H330" s="414" t="b">
        <f>Wh_hp&gt;='2020'!Maxi_hp</f>
        <v>0</v>
      </c>
      <c r="I330" s="382">
        <f>IF(H330,Wh_hp,'2020'!Maxi_hp)</f>
        <v>21.432672952690233</v>
      </c>
      <c r="J330" s="85">
        <f>IF(H330,An,'2020'!An_max)</f>
        <v>2018</v>
      </c>
      <c r="K330" s="199">
        <f t="shared" si="100"/>
        <v>44512</v>
      </c>
      <c r="L330" s="147">
        <f>IF(t&lt;Tvie,1-EXP((T0-t)*PertePVj)+'2020'!Pspv,1-EXP((T0-t)*PertePVj)+Pspv)</f>
        <v>2.7517118579646338E-2</v>
      </c>
      <c r="M330" s="870"/>
      <c r="N330" s="870"/>
      <c r="O330" s="48">
        <f>IF(t&lt;Tnet,'2020'!Resal+('2020'!Salim-'2020'!Resal)*(1-EXP(('2020'!Tnet-t)/('2020'!Tau_j))),Resal+(Salim-Resal)*(1-EXP((Tnet-t)/(Tau_j))))*Salcycl</f>
        <v>9.6190899312789888E-2</v>
      </c>
      <c r="P330" s="171">
        <f>(INDEX(Models!$BJ330:$BT330,,T330)*(1-R330)+INDEX(Models!$BJ330:$BT330,,T330+1)*R330-ERP_i)*Q330*Ramure*Pc/MaxiM</f>
        <v>5.7120471792819663E-2</v>
      </c>
      <c r="Q330" s="307">
        <f t="shared" si="101"/>
        <v>1</v>
      </c>
      <c r="R330" s="179">
        <f t="shared" si="102"/>
        <v>0.9988088162237474</v>
      </c>
      <c r="S330" s="837">
        <f t="shared" si="103"/>
        <v>-1</v>
      </c>
      <c r="T330" s="178">
        <f t="shared" si="104"/>
        <v>5</v>
      </c>
      <c r="U330" s="253">
        <f t="shared" si="105"/>
        <v>-1.1911837762526023E-3</v>
      </c>
      <c r="V330" s="385">
        <f t="shared" si="106"/>
        <v>19.794630545706109</v>
      </c>
      <c r="W330" s="404"/>
      <c r="X330" s="157">
        <f t="shared" si="107"/>
        <v>44512</v>
      </c>
      <c r="Y330" s="387">
        <f t="shared" si="108"/>
        <v>7.3176131890696219</v>
      </c>
      <c r="Z330" s="387">
        <f t="shared" si="109"/>
        <v>7.524670437778739</v>
      </c>
      <c r="AA330" s="388">
        <f t="shared" si="110"/>
        <v>8.831103265488581</v>
      </c>
      <c r="AB330" s="199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0.14793540381475362</v>
      </c>
      <c r="AD330" s="233">
        <f>(INDEX(Models!$BJ330:$BT330,,AH330)*(1-AF330)+INDEX(Models!$BJ330:$BT330,,AH330+1)*AF330-ERP_i)*AE330*Ramure*Pc/MaxiM</f>
        <v>5.7120471792819663E-2</v>
      </c>
      <c r="AE330" s="307">
        <f t="shared" si="112"/>
        <v>1</v>
      </c>
      <c r="AF330" s="179">
        <f t="shared" si="113"/>
        <v>0.9988088162237474</v>
      </c>
      <c r="AG330" s="837">
        <f t="shared" si="119"/>
        <v>-1</v>
      </c>
      <c r="AH330" s="178">
        <f t="shared" si="114"/>
        <v>5</v>
      </c>
      <c r="AI330" s="227">
        <f t="shared" si="115"/>
        <v>-1.1911837762526023E-3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x14ac:dyDescent="0.2">
      <c r="A331" s="56">
        <f t="shared" si="118"/>
        <v>44513</v>
      </c>
      <c r="B331" s="618">
        <v>5.4409999999999998</v>
      </c>
      <c r="C331" s="392"/>
      <c r="D331" s="395">
        <f t="shared" si="98"/>
        <v>5.5950873037667126</v>
      </c>
      <c r="E331" s="387">
        <f t="shared" si="120"/>
        <v>6.1913270842179644</v>
      </c>
      <c r="F331" s="387">
        <f t="shared" si="99"/>
        <v>6.1913270842179644</v>
      </c>
      <c r="G331" s="110">
        <f t="shared" si="121"/>
        <v>0.26208434483038273</v>
      </c>
      <c r="H331" s="414" t="b">
        <f>Wh_hp&gt;='2020'!Maxi_hp</f>
        <v>0</v>
      </c>
      <c r="I331" s="382">
        <f>IF(H331,Wh_hp,'2020'!Maxi_hp)</f>
        <v>23.471862617221571</v>
      </c>
      <c r="J331" s="85">
        <f>IF(H331,An,'2020'!An_max)</f>
        <v>2020</v>
      </c>
      <c r="K331" s="199">
        <f t="shared" si="100"/>
        <v>44513</v>
      </c>
      <c r="L331" s="147">
        <f>IF(t&lt;Tvie,1-EXP((T0-t)*PertePVj)+'2020'!Pspv,1-EXP((T0-t)*PertePVj)+Pspv)</f>
        <v>2.7539749677003011E-2</v>
      </c>
      <c r="M331" s="870"/>
      <c r="N331" s="870"/>
      <c r="O331" s="48">
        <f>IF(t&lt;Tnet,'2020'!Resal+('2020'!Salim-'2020'!Resal)*(1-EXP(('2020'!Tnet-t)/('2020'!Tau_j))),Resal+(Salim-Resal)*(1-EXP((Tnet-t)/(Tau_j))))*Salcycl</f>
        <v>9.6302419875554712E-2</v>
      </c>
      <c r="P331" s="171">
        <f>(INDEX(Models!$BJ331:$BT331,,T331)*(1-R331)+INDEX(Models!$BJ331:$BT331,,T331+1)*R331-ERP_i)*Q331*Ramure*Pc/MaxiM</f>
        <v>5.855737311831221E-2</v>
      </c>
      <c r="Q331" s="307">
        <f t="shared" si="101"/>
        <v>1</v>
      </c>
      <c r="R331" s="179">
        <f t="shared" si="102"/>
        <v>0.99885699973919839</v>
      </c>
      <c r="S331" s="837">
        <f t="shared" si="103"/>
        <v>-1</v>
      </c>
      <c r="T331" s="178">
        <f t="shared" si="104"/>
        <v>5</v>
      </c>
      <c r="U331" s="253">
        <f t="shared" si="105"/>
        <v>-1.1430002608016077E-3</v>
      </c>
      <c r="V331" s="385">
        <f t="shared" si="106"/>
        <v>19.544812324362223</v>
      </c>
      <c r="W331" s="404"/>
      <c r="X331" s="157">
        <f t="shared" si="107"/>
        <v>44513</v>
      </c>
      <c r="Y331" s="387">
        <f t="shared" si="108"/>
        <v>5.1309181643874</v>
      </c>
      <c r="Z331" s="387">
        <f t="shared" si="109"/>
        <v>5.2762240540764473</v>
      </c>
      <c r="AA331" s="388">
        <f t="shared" si="110"/>
        <v>6.1913270842179644</v>
      </c>
      <c r="AB331" s="199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0.14780401967038137</v>
      </c>
      <c r="AD331" s="233">
        <f>(INDEX(Models!$BJ331:$BT331,,AH331)*(1-AF331)+INDEX(Models!$BJ331:$BT331,,AH331+1)*AF331-ERP_i)*AE331*Ramure*Pc/MaxiM</f>
        <v>5.855737311831221E-2</v>
      </c>
      <c r="AE331" s="307">
        <f t="shared" si="112"/>
        <v>1</v>
      </c>
      <c r="AF331" s="179">
        <f t="shared" si="113"/>
        <v>0.99885699973919839</v>
      </c>
      <c r="AG331" s="837">
        <f t="shared" si="119"/>
        <v>-1</v>
      </c>
      <c r="AH331" s="178">
        <f t="shared" si="114"/>
        <v>5</v>
      </c>
      <c r="AI331" s="227">
        <f t="shared" si="115"/>
        <v>-1.1430002608016077E-3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x14ac:dyDescent="0.2">
      <c r="A332" s="56">
        <f t="shared" si="118"/>
        <v>44514</v>
      </c>
      <c r="B332" s="618">
        <v>4.6850000000000005</v>
      </c>
      <c r="C332" s="392"/>
      <c r="D332" s="395">
        <f t="shared" si="98"/>
        <v>4.817789753129226</v>
      </c>
      <c r="E332" s="387">
        <f t="shared" si="120"/>
        <v>5.3318595187418545</v>
      </c>
      <c r="F332" s="387">
        <f t="shared" si="99"/>
        <v>5.3318595187418545</v>
      </c>
      <c r="G332" s="110">
        <f t="shared" si="121"/>
        <v>0.22815947852772755</v>
      </c>
      <c r="H332" s="414" t="b">
        <f>Wh_hp&gt;='2020'!Maxi_hp</f>
        <v>0</v>
      </c>
      <c r="I332" s="382">
        <f>IF(H332,Wh_hp,'2020'!Maxi_hp)</f>
        <v>17.097007227824616</v>
      </c>
      <c r="J332" s="85">
        <f>IF(H332,An,'2020'!An_max)</f>
        <v>2020</v>
      </c>
      <c r="K332" s="199">
        <f t="shared" si="100"/>
        <v>44514</v>
      </c>
      <c r="L332" s="147">
        <f>IF(t&lt;Tvie,1-EXP((T0-t)*PertePVj)+'2020'!Pspv,1-EXP((T0-t)*PertePVj)+Pspv)</f>
        <v>2.7562380247701079E-2</v>
      </c>
      <c r="M332" s="870"/>
      <c r="N332" s="870"/>
      <c r="O332" s="48">
        <f>IF(t&lt;Tnet,'2020'!Resal+('2020'!Salim-'2020'!Resal)*(1-EXP(('2020'!Tnet-t)/('2020'!Tau_j))),Resal+(Salim-Resal)*(1-EXP((Tnet-t)/(Tau_j))))*Salcycl</f>
        <v>9.6414724320030995E-2</v>
      </c>
      <c r="P332" s="171">
        <f>(INDEX(Models!$BJ332:$BT332,,T332)*(1-R332)+INDEX(Models!$BJ332:$BT332,,T332+1)*R332-ERP_i)*Q332*Ramure*Pc/MaxiM</f>
        <v>5.9925850423060222E-2</v>
      </c>
      <c r="Q332" s="307">
        <f t="shared" si="101"/>
        <v>1</v>
      </c>
      <c r="R332" s="179">
        <f t="shared" si="102"/>
        <v>0.99890324948478482</v>
      </c>
      <c r="S332" s="837">
        <f t="shared" si="103"/>
        <v>-1</v>
      </c>
      <c r="T332" s="178">
        <f t="shared" si="104"/>
        <v>5</v>
      </c>
      <c r="U332" s="253">
        <f t="shared" si="105"/>
        <v>-1.0967505152151835E-3</v>
      </c>
      <c r="V332" s="385">
        <f t="shared" si="106"/>
        <v>19.30337244451901</v>
      </c>
      <c r="W332" s="404"/>
      <c r="X332" s="157">
        <f t="shared" si="107"/>
        <v>44514</v>
      </c>
      <c r="Y332" s="387">
        <f t="shared" si="108"/>
        <v>4.4192172490381862</v>
      </c>
      <c r="Z332" s="387">
        <f t="shared" si="109"/>
        <v>4.5444737629174172</v>
      </c>
      <c r="AA332" s="388">
        <f t="shared" si="110"/>
        <v>5.3318595187418545</v>
      </c>
      <c r="AB332" s="199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0.14767563793770666</v>
      </c>
      <c r="AD332" s="233">
        <f>(INDEX(Models!$BJ332:$BT332,,AH332)*(1-AF332)+INDEX(Models!$BJ332:$BT332,,AH332+1)*AF332-ERP_i)*AE332*Ramure*Pc/MaxiM</f>
        <v>5.9925850423060222E-2</v>
      </c>
      <c r="AE332" s="307">
        <f t="shared" si="112"/>
        <v>1</v>
      </c>
      <c r="AF332" s="179">
        <f t="shared" si="113"/>
        <v>0.99890324948478482</v>
      </c>
      <c r="AG332" s="837">
        <f t="shared" si="119"/>
        <v>-1</v>
      </c>
      <c r="AH332" s="178">
        <f t="shared" si="114"/>
        <v>5</v>
      </c>
      <c r="AI332" s="227">
        <f t="shared" si="115"/>
        <v>-1.0967505152151835E-3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x14ac:dyDescent="0.2">
      <c r="A333" s="56">
        <f t="shared" si="118"/>
        <v>44515</v>
      </c>
      <c r="B333" s="618">
        <v>5.8710000000000004</v>
      </c>
      <c r="C333" s="392"/>
      <c r="D333" s="395">
        <f t="shared" si="98"/>
        <v>6.0375457619811792</v>
      </c>
      <c r="E333" s="387">
        <f t="shared" si="120"/>
        <v>6.6826041139155983</v>
      </c>
      <c r="F333" s="387">
        <f t="shared" si="99"/>
        <v>6.6872122524434694</v>
      </c>
      <c r="G333" s="110">
        <f t="shared" si="121"/>
        <v>0.28921643691888571</v>
      </c>
      <c r="H333" s="414" t="b">
        <f>Wh_hp&gt;='2020'!Maxi_hp</f>
        <v>0</v>
      </c>
      <c r="I333" s="382">
        <f>IF(H333,Wh_hp,'2020'!Maxi_hp)</f>
        <v>21.895850327793376</v>
      </c>
      <c r="J333" s="85">
        <f>IF(H333,An,'2020'!An_max)</f>
        <v>2020</v>
      </c>
      <c r="K333" s="199">
        <f t="shared" si="100"/>
        <v>44515</v>
      </c>
      <c r="L333" s="147">
        <f>IF(t&lt;Tvie,1-EXP((T0-t)*PertePVj)+'2020'!Pspv,1-EXP((T0-t)*PertePVj)+Pspv)</f>
        <v>2.7585010291752643E-2</v>
      </c>
      <c r="M333" s="870"/>
      <c r="N333" s="870"/>
      <c r="O333" s="48">
        <f>IF(t&lt;Tnet,'2020'!Resal+('2020'!Salim-'2020'!Resal)*(1-EXP(('2020'!Tnet-t)/('2020'!Tau_j))),Resal+(Salim-Resal)*(1-EXP((Tnet-t)/(Tau_j))))*Salcycl</f>
        <v>9.6527991324695514E-2</v>
      </c>
      <c r="P333" s="171">
        <f>(INDEX(Models!$BJ333:$BT333,,T333)*(1-R333)+INDEX(Models!$BJ333:$BT333,,T333+1)*R333-ERP_i)*Q333*Ramure*Pc/MaxiM</f>
        <v>6.1252073571425786E-2</v>
      </c>
      <c r="Q333" s="307">
        <f t="shared" si="101"/>
        <v>1</v>
      </c>
      <c r="R333" s="179">
        <f t="shared" si="102"/>
        <v>0.99894764282859794</v>
      </c>
      <c r="S333" s="837">
        <f t="shared" si="103"/>
        <v>-1</v>
      </c>
      <c r="T333" s="178">
        <f t="shared" si="104"/>
        <v>5</v>
      </c>
      <c r="U333" s="253">
        <f t="shared" si="105"/>
        <v>-1.052357171402063E-3</v>
      </c>
      <c r="V333" s="385">
        <f t="shared" si="106"/>
        <v>19.069419552795317</v>
      </c>
      <c r="W333" s="404"/>
      <c r="X333" s="157">
        <f t="shared" si="107"/>
        <v>44515</v>
      </c>
      <c r="Y333" s="387">
        <f t="shared" si="108"/>
        <v>5.5394422217987618</v>
      </c>
      <c r="Z333" s="387">
        <f t="shared" si="109"/>
        <v>5.6965825089355677</v>
      </c>
      <c r="AA333" s="388">
        <f t="shared" si="110"/>
        <v>6.6826041139155983</v>
      </c>
      <c r="AB333" s="199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0.14755050399091829</v>
      </c>
      <c r="AD333" s="233">
        <f>(INDEX(Models!$BJ333:$BT333,,AH333)*(1-AF333)+INDEX(Models!$BJ333:$BT333,,AH333+1)*AF333-ERP_i)*AE333*Ramure*Pc/MaxiM</f>
        <v>6.1252073571425786E-2</v>
      </c>
      <c r="AE333" s="307">
        <f t="shared" si="112"/>
        <v>1</v>
      </c>
      <c r="AF333" s="179">
        <f t="shared" si="113"/>
        <v>0.99894764282859794</v>
      </c>
      <c r="AG333" s="837">
        <f t="shared" si="119"/>
        <v>-1</v>
      </c>
      <c r="AH333" s="178">
        <f t="shared" si="114"/>
        <v>5</v>
      </c>
      <c r="AI333" s="227">
        <f t="shared" si="115"/>
        <v>-1.052357171402063E-3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x14ac:dyDescent="0.2">
      <c r="A334" s="56">
        <f t="shared" si="118"/>
        <v>44516</v>
      </c>
      <c r="B334" s="618">
        <v>7.9169999999999998</v>
      </c>
      <c r="C334" s="392"/>
      <c r="D334" s="395">
        <f t="shared" si="98"/>
        <v>8.1417751970473162</v>
      </c>
      <c r="E334" s="387">
        <f t="shared" si="120"/>
        <v>9.0127930810025028</v>
      </c>
      <c r="F334" s="387">
        <f t="shared" si="99"/>
        <v>9.1105932812373265</v>
      </c>
      <c r="G334" s="110">
        <f t="shared" si="121"/>
        <v>0.39816336586713363</v>
      </c>
      <c r="H334" s="414" t="b">
        <f>Wh_hp&gt;='2020'!Maxi_hp</f>
        <v>0</v>
      </c>
      <c r="I334" s="382">
        <f>IF(H334,Wh_hp,'2020'!Maxi_hp)</f>
        <v>20.784423459176622</v>
      </c>
      <c r="J334" s="85">
        <f>IF(H334,An,'2020'!An_max)</f>
        <v>2018</v>
      </c>
      <c r="K334" s="199">
        <f t="shared" si="100"/>
        <v>44516</v>
      </c>
      <c r="L334" s="147">
        <f>IF(t&lt;Tvie,1-EXP((T0-t)*PertePVj)+'2020'!Pspv,1-EXP((T0-t)*PertePVj)+Pspv)</f>
        <v>2.7607639809170026E-2</v>
      </c>
      <c r="M334" s="870"/>
      <c r="N334" s="870"/>
      <c r="O334" s="48">
        <f>IF(t&lt;Tnet,'2020'!Resal+('2020'!Salim-'2020'!Resal)*(1-EXP(('2020'!Tnet-t)/('2020'!Tau_j))),Resal+(Salim-Resal)*(1-EXP((Tnet-t)/(Tau_j))))*Salcycl</f>
        <v>9.6642392222578657E-2</v>
      </c>
      <c r="P334" s="171">
        <f>(INDEX(Models!$BJ334:$BT334,,T334)*(1-R334)+INDEX(Models!$BJ334:$BT334,,T334+1)*R334-ERP_i)*Q334*Ramure*Pc/MaxiM</f>
        <v>6.2534195292150457E-2</v>
      </c>
      <c r="Q334" s="307">
        <f t="shared" si="101"/>
        <v>1</v>
      </c>
      <c r="R334" s="179">
        <f t="shared" si="102"/>
        <v>0.99899025406228337</v>
      </c>
      <c r="S334" s="837">
        <f t="shared" si="103"/>
        <v>-1</v>
      </c>
      <c r="T334" s="178">
        <f t="shared" si="104"/>
        <v>5</v>
      </c>
      <c r="U334" s="253">
        <f t="shared" si="105"/>
        <v>-1.0097459377166329E-3</v>
      </c>
      <c r="V334" s="385">
        <f t="shared" si="106"/>
        <v>18.842652538954706</v>
      </c>
      <c r="W334" s="404"/>
      <c r="X334" s="157">
        <f t="shared" si="107"/>
        <v>44516</v>
      </c>
      <c r="Y334" s="387">
        <f t="shared" si="108"/>
        <v>7.4719089478400207</v>
      </c>
      <c r="Z334" s="387">
        <f t="shared" si="109"/>
        <v>7.6840473596210428</v>
      </c>
      <c r="AA334" s="388">
        <f t="shared" si="110"/>
        <v>9.0127930810025028</v>
      </c>
      <c r="AB334" s="199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0.14742885023980401</v>
      </c>
      <c r="AD334" s="233">
        <f>(INDEX(Models!$BJ334:$BT334,,AH334)*(1-AF334)+INDEX(Models!$BJ334:$BT334,,AH334+1)*AF334-ERP_i)*AE334*Ramure*Pc/MaxiM</f>
        <v>6.2534195292150457E-2</v>
      </c>
      <c r="AE334" s="307">
        <f t="shared" si="112"/>
        <v>1</v>
      </c>
      <c r="AF334" s="179">
        <f t="shared" si="113"/>
        <v>0.99899025406228337</v>
      </c>
      <c r="AG334" s="837">
        <f t="shared" si="119"/>
        <v>-1</v>
      </c>
      <c r="AH334" s="178">
        <f t="shared" si="114"/>
        <v>5</v>
      </c>
      <c r="AI334" s="227">
        <f t="shared" si="115"/>
        <v>-1.0097459377166329E-3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x14ac:dyDescent="0.2">
      <c r="A335" s="56">
        <f t="shared" si="118"/>
        <v>44517</v>
      </c>
      <c r="B335" s="618">
        <v>2.8559999999999999</v>
      </c>
      <c r="C335" s="392"/>
      <c r="D335" s="395">
        <f t="shared" ref="D335:D379" si="122">Wh/(1-Ppv)</f>
        <v>2.9371543646009148</v>
      </c>
      <c r="E335" s="387">
        <f t="shared" si="120"/>
        <v>3.2517914999963615</v>
      </c>
      <c r="F335" s="387">
        <f t="shared" ref="F335:F379" si="123">Wh_sa/(1-Pvg*MEDIAN((-Sdif+Wh/Env_an)/Csdif,0,1))</f>
        <v>3.2517914999963615</v>
      </c>
      <c r="G335" s="110">
        <f t="shared" si="121"/>
        <v>0.14358076129812383</v>
      </c>
      <c r="H335" s="414" t="b">
        <f>Wh_hp&gt;='2020'!Maxi_hp</f>
        <v>0</v>
      </c>
      <c r="I335" s="382">
        <f>IF(H335,Wh_hp,'2020'!Maxi_hp)</f>
        <v>21.938135822618069</v>
      </c>
      <c r="J335" s="85">
        <f>IF(H335,An,'2020'!An_max)</f>
        <v>2018</v>
      </c>
      <c r="K335" s="199">
        <f t="shared" ref="K335:K379" si="124">t</f>
        <v>44517</v>
      </c>
      <c r="L335" s="147">
        <f>IF(t&lt;Tvie,1-EXP((T0-t)*PertePVj)+'2020'!Pspv,1-EXP((T0-t)*PertePVj)+Pspv)</f>
        <v>2.7630268799965441E-2</v>
      </c>
      <c r="M335" s="870"/>
      <c r="N335" s="870"/>
      <c r="O335" s="48">
        <f>IF(t&lt;Tnet,'2020'!Resal+('2020'!Salim-'2020'!Resal)*(1-EXP(('2020'!Tnet-t)/('2020'!Tau_j))),Resal+(Salim-Resal)*(1-EXP((Tnet-t)/(Tau_j))))*Salcycl</f>
        <v>9.6758090239118619E-2</v>
      </c>
      <c r="P335" s="171">
        <f>(INDEX(Models!$BJ335:$BT335,,T335)*(1-R335)+INDEX(Models!$BJ335:$BT335,,T335+1)*R335-ERP_i)*Q335*Ramure*Pc/MaxiM</f>
        <v>6.3770449697295409E-2</v>
      </c>
      <c r="Q335" s="307">
        <f t="shared" ref="Q335:Q379" si="125">IF(OR(t&lt;Ttai,Notai),Dd+PousD*Croivg,Dens+PousD*(Croivg-Croi_tai))</f>
        <v>1</v>
      </c>
      <c r="R335" s="179">
        <f t="shared" ref="R335:R379" si="126">(Hp_vg-S335)/(INDEX(Echel_vg,T335+1)-S335)</f>
        <v>0.9990311545218753</v>
      </c>
      <c r="S335" s="837">
        <f t="shared" ref="S335:S379" si="127">INDEX(Echel_vg,T335)</f>
        <v>-1</v>
      </c>
      <c r="T335" s="178">
        <f t="shared" ref="T335:T379" si="128">MIN(MATCH(Hp_vg,Echel_vg),10)</f>
        <v>5</v>
      </c>
      <c r="U335" s="253">
        <f t="shared" ref="U335:U379" si="129">IF(OR(t&lt;Ttai,Notai),Hdd+PousH*Croivg,Hdtf+PousH*(Croivg-Croi_tai))</f>
        <v>-9.6884547812470245E-4</v>
      </c>
      <c r="V335" s="385">
        <f t="shared" ref="V335:V379" si="130">MaxiM*(1-Ppv)*(1-Pvg)*(1-Psa)</f>
        <v>18.62277070750887</v>
      </c>
      <c r="W335" s="404"/>
      <c r="X335" s="157">
        <f t="shared" ref="X335:X379" si="131">t</f>
        <v>44517</v>
      </c>
      <c r="Y335" s="387">
        <f t="shared" ref="Y335:Y379" si="132">Wh_pvt_s*(1-Ppv)</f>
        <v>2.6961548807990132</v>
      </c>
      <c r="Z335" s="387">
        <f t="shared" ref="Z335:Z379" si="133">Wh_sa_s*(1-Psa_s)</f>
        <v>2.7727671833959668</v>
      </c>
      <c r="AA335" s="388">
        <f t="shared" ref="AA335:AA379" si="134">Wh_hp*(1-Pvg_s*MEDIAN((-Sdif+Wh/Env_an)/Csdif,0,1))</f>
        <v>3.2517914999963615</v>
      </c>
      <c r="AB335" s="199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0.14731089511763915</v>
      </c>
      <c r="AD335" s="233">
        <f>(INDEX(Models!$BJ335:$BT335,,AH335)*(1-AF335)+INDEX(Models!$BJ335:$BT335,,AH335+1)*AF335-ERP_i)*AE335*Ramure*Pc/MaxiM</f>
        <v>6.3770449697295409E-2</v>
      </c>
      <c r="AE335" s="307">
        <f t="shared" ref="AE335:AE379" si="136">IF(OR(t&lt;Ttai,Notai),Dd_s+PousD*Croivg,Dens_s+PousD*(Croivg-Croi_tai))</f>
        <v>1</v>
      </c>
      <c r="AF335" s="179">
        <f t="shared" ref="AF335:AF379" si="137">(Hp_vg_s-AG335)/(INDEX(Echel_vg,AH335+1)-AG335)</f>
        <v>0.9990311545218753</v>
      </c>
      <c r="AG335" s="837">
        <f t="shared" si="119"/>
        <v>-1</v>
      </c>
      <c r="AH335" s="178">
        <f t="shared" ref="AH335:AH379" si="138">MIN(MATCH(Hp_vg_s,Echel_vg),10)</f>
        <v>5</v>
      </c>
      <c r="AI335" s="227">
        <f t="shared" ref="AI335:AI379" si="139">IF(OR(t&lt;Ttai,Notai),Hdd_s+PousH*Croivg,Hdtai_s+PousH*(Croivg-Croi_tai))</f>
        <v>-9.6884547812470245E-4</v>
      </c>
      <c r="AJ335" s="267" t="b">
        <f t="shared" ref="AJ335:AJ380" si="140">t&lt;Tnet</f>
        <v>0</v>
      </c>
      <c r="AK335" s="267" t="b">
        <f t="shared" ref="AK335:AK380" si="141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2">A335+1</f>
        <v>44518</v>
      </c>
      <c r="B336" s="618">
        <v>15.101000000000001</v>
      </c>
      <c r="C336" s="392"/>
      <c r="D336" s="395">
        <f t="shared" si="122"/>
        <v>15.530462277833712</v>
      </c>
      <c r="E336" s="387">
        <f t="shared" si="120"/>
        <v>17.196364181221028</v>
      </c>
      <c r="F336" s="387">
        <f t="shared" si="123"/>
        <v>18.068755190258464</v>
      </c>
      <c r="G336" s="110">
        <f t="shared" si="121"/>
        <v>0.8059099449122944</v>
      </c>
      <c r="H336" s="414" t="b">
        <f>Wh_hp&gt;='2020'!Maxi_hp</f>
        <v>0</v>
      </c>
      <c r="I336" s="382">
        <f>IF(H336,Wh_hp,'2020'!Maxi_hp)</f>
        <v>20.856889266520181</v>
      </c>
      <c r="J336" s="85">
        <f>IF(H336,An,'2020'!An_max)</f>
        <v>2020</v>
      </c>
      <c r="K336" s="199">
        <f t="shared" si="124"/>
        <v>44518</v>
      </c>
      <c r="L336" s="147">
        <f>IF(t&lt;Tvie,1-EXP((T0-t)*PertePVj)+'2020'!Pspv,1-EXP((T0-t)*PertePVj)+Pspv)</f>
        <v>2.7652897264151211E-2</v>
      </c>
      <c r="M336" s="870"/>
      <c r="N336" s="870"/>
      <c r="O336" s="48">
        <f>IF(t&lt;Tnet,'2020'!Resal+('2020'!Salim-'2020'!Resal)*(1-EXP(('2020'!Tnet-t)/('2020'!Tau_j))),Resal+(Salim-Resal)*(1-EXP((Tnet-t)/(Tau_j))))*Salcycl</f>
        <v>9.6875239779262878E-2</v>
      </c>
      <c r="P336" s="171">
        <f>(INDEX(Models!$BJ336:$BT336,,T336)*(1-R336)+INDEX(Models!$BJ336:$BT336,,T336+1)*R336-ERP_i)*Q336*Ramure*Pc/MaxiM</f>
        <v>6.49591556023488E-2</v>
      </c>
      <c r="Q336" s="307">
        <f t="shared" si="125"/>
        <v>1</v>
      </c>
      <c r="R336" s="179">
        <f t="shared" si="126"/>
        <v>0.99907041270400399</v>
      </c>
      <c r="S336" s="837">
        <f t="shared" si="127"/>
        <v>-1</v>
      </c>
      <c r="T336" s="178">
        <f t="shared" si="128"/>
        <v>5</v>
      </c>
      <c r="U336" s="253">
        <f t="shared" si="129"/>
        <v>-9.2958729599601497E-4</v>
      </c>
      <c r="V336" s="385">
        <f t="shared" si="130"/>
        <v>18.409473770853445</v>
      </c>
      <c r="W336" s="404"/>
      <c r="X336" s="157">
        <f t="shared" si="131"/>
        <v>44518</v>
      </c>
      <c r="Y336" s="387">
        <f t="shared" si="132"/>
        <v>14.259580795329736</v>
      </c>
      <c r="Z336" s="387">
        <f t="shared" si="133"/>
        <v>14.665113677212801</v>
      </c>
      <c r="AA336" s="388">
        <f t="shared" si="134"/>
        <v>17.196364181221028</v>
      </c>
      <c r="AB336" s="199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0.14719684215413589</v>
      </c>
      <c r="AD336" s="233">
        <f>(INDEX(Models!$BJ336:$BT336,,AH336)*(1-AF336)+INDEX(Models!$BJ336:$BT336,,AH336+1)*AF336-ERP_i)*AE336*Ramure*Pc/MaxiM</f>
        <v>6.49591556023488E-2</v>
      </c>
      <c r="AE336" s="307">
        <f t="shared" si="136"/>
        <v>1</v>
      </c>
      <c r="AF336" s="179">
        <f t="shared" si="137"/>
        <v>0.99907041270400399</v>
      </c>
      <c r="AG336" s="837">
        <f t="shared" ref="AG336:AG379" si="143">INDEX(Echel_vg,AH336)</f>
        <v>-1</v>
      </c>
      <c r="AH336" s="178">
        <f t="shared" si="138"/>
        <v>5</v>
      </c>
      <c r="AI336" s="227">
        <f t="shared" si="139"/>
        <v>-9.2958729599601497E-4</v>
      </c>
      <c r="AJ336" s="267" t="b">
        <f t="shared" si="140"/>
        <v>0</v>
      </c>
      <c r="AK336" s="267" t="b">
        <f t="shared" si="141"/>
        <v>0</v>
      </c>
      <c r="AL336" s="267"/>
      <c r="AM336" s="267"/>
      <c r="AN336" s="75"/>
    </row>
    <row r="337" spans="1:40" s="6" customFormat="1" ht="11.25" x14ac:dyDescent="0.2">
      <c r="A337" s="56">
        <f t="shared" si="142"/>
        <v>44519</v>
      </c>
      <c r="B337" s="618">
        <v>18.172000000000001</v>
      </c>
      <c r="C337" s="392"/>
      <c r="D337" s="395">
        <f t="shared" si="122"/>
        <v>18.689234377001934</v>
      </c>
      <c r="E337" s="387">
        <f t="shared" si="120"/>
        <v>20.696688706904023</v>
      </c>
      <c r="F337" s="387">
        <f t="shared" si="123"/>
        <v>22.157788716528341</v>
      </c>
      <c r="G337" s="110">
        <f t="shared" si="121"/>
        <v>0.9981576035749864</v>
      </c>
      <c r="H337" s="414" t="b">
        <f>Wh_hp&gt;='2020'!Maxi_hp</f>
        <v>1</v>
      </c>
      <c r="I337" s="382">
        <f>IF(H337,Wh_hp,'2020'!Maxi_hp)</f>
        <v>22.157788716528341</v>
      </c>
      <c r="J337" s="85">
        <f>IF(H337,An,'2020'!An_max)</f>
        <v>2021</v>
      </c>
      <c r="K337" s="199">
        <f t="shared" si="124"/>
        <v>44519</v>
      </c>
      <c r="L337" s="147">
        <f>IF(t&lt;Tvie,1-EXP((T0-t)*PertePVj)+'2020'!Pspv,1-EXP((T0-t)*PertePVj)+Pspv)</f>
        <v>2.7675525201739548E-2</v>
      </c>
      <c r="M337" s="870"/>
      <c r="N337" s="870"/>
      <c r="O337" s="48">
        <f>IF(t&lt;Tnet,'2020'!Resal+('2020'!Salim-'2020'!Resal)*(1-EXP(('2020'!Tnet-t)/('2020'!Tau_j))),Resal+(Salim-Resal)*(1-EXP((Tnet-t)/(Tau_j))))*Salcycl</f>
        <v>9.699398576896226E-2</v>
      </c>
      <c r="P337" s="171">
        <f>(INDEX(Models!$BJ337:$BT337,,T337)*(1-R337)+INDEX(Models!$BJ337:$BT337,,T337+1)*R337-ERP_i)*Q337*Ramure*Pc/MaxiM</f>
        <v>6.6098719197792116E-2</v>
      </c>
      <c r="Q337" s="307">
        <f t="shared" si="125"/>
        <v>1</v>
      </c>
      <c r="R337" s="179">
        <f t="shared" si="126"/>
        <v>0.9991080943776427</v>
      </c>
      <c r="S337" s="837">
        <f t="shared" si="127"/>
        <v>-1</v>
      </c>
      <c r="T337" s="178">
        <f t="shared" si="128"/>
        <v>5</v>
      </c>
      <c r="U337" s="253">
        <f t="shared" si="129"/>
        <v>-8.9190562235730297E-4</v>
      </c>
      <c r="V337" s="385">
        <f t="shared" si="130"/>
        <v>18.2024618300822</v>
      </c>
      <c r="W337" s="404"/>
      <c r="X337" s="157">
        <f t="shared" si="131"/>
        <v>44519</v>
      </c>
      <c r="Y337" s="387">
        <f t="shared" si="132"/>
        <v>17.163935774522663</v>
      </c>
      <c r="Z337" s="387">
        <f t="shared" si="133"/>
        <v>17.652477356474922</v>
      </c>
      <c r="AA337" s="388">
        <f t="shared" si="134"/>
        <v>20.696688706904023</v>
      </c>
      <c r="AB337" s="199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0.14708687913992793</v>
      </c>
      <c r="AD337" s="233">
        <f>(INDEX(Models!$BJ337:$BT337,,AH337)*(1-AF337)+INDEX(Models!$BJ337:$BT337,,AH337+1)*AF337-ERP_i)*AE337*Ramure*Pc/MaxiM</f>
        <v>6.6098719197792116E-2</v>
      </c>
      <c r="AE337" s="307">
        <f t="shared" si="136"/>
        <v>1</v>
      </c>
      <c r="AF337" s="179">
        <f t="shared" si="137"/>
        <v>0.9991080943776427</v>
      </c>
      <c r="AG337" s="837">
        <f t="shared" si="143"/>
        <v>-1</v>
      </c>
      <c r="AH337" s="178">
        <f t="shared" si="138"/>
        <v>5</v>
      </c>
      <c r="AI337" s="227">
        <f t="shared" si="139"/>
        <v>-8.9190562235730297E-4</v>
      </c>
      <c r="AJ337" s="267" t="b">
        <f t="shared" si="140"/>
        <v>0</v>
      </c>
      <c r="AK337" s="267" t="b">
        <f t="shared" si="141"/>
        <v>0</v>
      </c>
      <c r="AL337" s="267"/>
      <c r="AM337" s="267"/>
      <c r="AN337" s="75"/>
    </row>
    <row r="338" spans="1:40" s="6" customFormat="1" ht="11.25" x14ac:dyDescent="0.2">
      <c r="A338" s="56">
        <f t="shared" si="142"/>
        <v>44520</v>
      </c>
      <c r="B338" s="618">
        <v>14.737</v>
      </c>
      <c r="C338" s="392"/>
      <c r="D338" s="395">
        <f t="shared" si="122"/>
        <v>15.15681579707049</v>
      </c>
      <c r="E338" s="387">
        <f t="shared" si="120"/>
        <v>16.787084493974959</v>
      </c>
      <c r="F338" s="387">
        <f t="shared" si="123"/>
        <v>17.666625115342882</v>
      </c>
      <c r="G338" s="110">
        <f t="shared" si="121"/>
        <v>0.80366408216998397</v>
      </c>
      <c r="H338" s="414" t="b">
        <f>Wh_hp&gt;='2020'!Maxi_hp</f>
        <v>0</v>
      </c>
      <c r="I338" s="382">
        <f>IF(H338,Wh_hp,'2020'!Maxi_hp)</f>
        <v>22.532430665642437</v>
      </c>
      <c r="J338" s="85">
        <f>IF(H338,An,'2020'!An_max)</f>
        <v>2019</v>
      </c>
      <c r="K338" s="199">
        <f t="shared" si="124"/>
        <v>44520</v>
      </c>
      <c r="L338" s="147">
        <f>IF(t&lt;Tvie,1-EXP((T0-t)*PertePVj)+'2020'!Pspv,1-EXP((T0-t)*PertePVj)+Pspv)</f>
        <v>2.7698152612742777E-2</v>
      </c>
      <c r="M338" s="870"/>
      <c r="N338" s="870"/>
      <c r="O338" s="48">
        <f>IF(t&lt;Tnet,'2020'!Resal+('2020'!Salim-'2020'!Resal)*(1-EXP(('2020'!Tnet-t)/('2020'!Tau_j))),Resal+(Salim-Resal)*(1-EXP((Tnet-t)/(Tau_j))))*Salcycl</f>
        <v>9.7114463055784833E-2</v>
      </c>
      <c r="P338" s="171">
        <f>(INDEX(Models!$BJ338:$BT338,,T338)*(1-R338)+INDEX(Models!$BJ338:$BT338,,T338+1)*R338-ERP_i)*Q338*Ramure*Pc/MaxiM</f>
        <v>6.7191913797498115E-2</v>
      </c>
      <c r="Q338" s="307">
        <f t="shared" si="125"/>
        <v>1</v>
      </c>
      <c r="R338" s="179">
        <f t="shared" si="126"/>
        <v>0.99914426269155732</v>
      </c>
      <c r="S338" s="837">
        <f t="shared" si="127"/>
        <v>-1</v>
      </c>
      <c r="T338" s="178">
        <f t="shared" si="128"/>
        <v>5</v>
      </c>
      <c r="U338" s="253">
        <f t="shared" si="129"/>
        <v>-8.5573730844268336E-4</v>
      </c>
      <c r="V338" s="385">
        <f t="shared" si="130"/>
        <v>18.001352810285848</v>
      </c>
      <c r="W338" s="404"/>
      <c r="X338" s="157">
        <f t="shared" si="131"/>
        <v>44520</v>
      </c>
      <c r="Y338" s="387">
        <f t="shared" si="132"/>
        <v>13.923069840473657</v>
      </c>
      <c r="Z338" s="387">
        <f t="shared" si="133"/>
        <v>14.319699050132783</v>
      </c>
      <c r="AA338" s="388">
        <f t="shared" si="134"/>
        <v>16.787084493974959</v>
      </c>
      <c r="AB338" s="199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0.1469811773883514</v>
      </c>
      <c r="AD338" s="233">
        <f>(INDEX(Models!$BJ338:$BT338,,AH338)*(1-AF338)+INDEX(Models!$BJ338:$BT338,,AH338+1)*AF338-ERP_i)*AE338*Ramure*Pc/MaxiM</f>
        <v>6.7191913797498115E-2</v>
      </c>
      <c r="AE338" s="307">
        <f t="shared" si="136"/>
        <v>1</v>
      </c>
      <c r="AF338" s="179">
        <f t="shared" si="137"/>
        <v>0.99914426269155732</v>
      </c>
      <c r="AG338" s="837">
        <f t="shared" si="143"/>
        <v>-1</v>
      </c>
      <c r="AH338" s="178">
        <f t="shared" si="138"/>
        <v>5</v>
      </c>
      <c r="AI338" s="227">
        <f t="shared" si="139"/>
        <v>-8.5573730844268336E-4</v>
      </c>
      <c r="AJ338" s="267" t="b">
        <f t="shared" si="140"/>
        <v>0</v>
      </c>
      <c r="AK338" s="267" t="b">
        <f t="shared" si="141"/>
        <v>0</v>
      </c>
      <c r="AL338" s="267"/>
      <c r="AM338" s="267"/>
      <c r="AN338" s="75"/>
    </row>
    <row r="339" spans="1:40" s="6" customFormat="1" ht="11.25" x14ac:dyDescent="0.2">
      <c r="A339" s="56">
        <f t="shared" si="142"/>
        <v>44521</v>
      </c>
      <c r="B339" s="618">
        <v>7.8289999999999997</v>
      </c>
      <c r="C339" s="392"/>
      <c r="D339" s="395">
        <f t="shared" si="122"/>
        <v>8.0522136387437442</v>
      </c>
      <c r="E339" s="387">
        <f t="shared" si="120"/>
        <v>8.9195190964054873</v>
      </c>
      <c r="F339" s="387">
        <f t="shared" si="123"/>
        <v>9.0427309889449674</v>
      </c>
      <c r="G339" s="110">
        <f t="shared" si="121"/>
        <v>0.41534316132910265</v>
      </c>
      <c r="H339" s="414" t="b">
        <f>Wh_hp&gt;='2020'!Maxi_hp</f>
        <v>0</v>
      </c>
      <c r="I339" s="382">
        <f>IF(H339,Wh_hp,'2020'!Maxi_hp)</f>
        <v>21.71388989490131</v>
      </c>
      <c r="J339" s="85">
        <f>IF(H339,An,'2020'!An_max)</f>
        <v>2019</v>
      </c>
      <c r="K339" s="199">
        <f t="shared" si="124"/>
        <v>44521</v>
      </c>
      <c r="L339" s="147">
        <f>IF(t&lt;Tvie,1-EXP((T0-t)*PertePVj)+'2020'!Pspv,1-EXP((T0-t)*PertePVj)+Pspv)</f>
        <v>2.7720779497172998E-2</v>
      </c>
      <c r="M339" s="870"/>
      <c r="N339" s="870"/>
      <c r="O339" s="48">
        <f>IF(t&lt;Tnet,'2020'!Resal+('2020'!Salim-'2020'!Resal)*(1-EXP(('2020'!Tnet-t)/('2020'!Tau_j))),Resal+(Salim-Resal)*(1-EXP((Tnet-t)/(Tau_j))))*Salcycl</f>
        <v>9.723679587291445E-2</v>
      </c>
      <c r="P339" s="171">
        <f>(INDEX(Models!$BJ339:$BT339,,T339)*(1-R339)+INDEX(Models!$BJ339:$BT339,,T339+1)*R339-ERP_i)*Q339*Ramure*Pc/MaxiM</f>
        <v>6.8272217430419169E-2</v>
      </c>
      <c r="Q339" s="307">
        <f t="shared" si="125"/>
        <v>1</v>
      </c>
      <c r="R339" s="179">
        <f t="shared" si="126"/>
        <v>0.99917897827761648</v>
      </c>
      <c r="S339" s="837">
        <f t="shared" si="127"/>
        <v>-1</v>
      </c>
      <c r="T339" s="178">
        <f t="shared" si="128"/>
        <v>5</v>
      </c>
      <c r="U339" s="253">
        <f t="shared" si="129"/>
        <v>-8.2102172238351923E-4</v>
      </c>
      <c r="V339" s="385">
        <f t="shared" si="130"/>
        <v>17.805183183557538</v>
      </c>
      <c r="W339" s="404"/>
      <c r="X339" s="157">
        <f t="shared" si="131"/>
        <v>44521</v>
      </c>
      <c r="Y339" s="387">
        <f t="shared" si="132"/>
        <v>7.3984820183717117</v>
      </c>
      <c r="Z339" s="387">
        <f t="shared" si="133"/>
        <v>7.6094211028653778</v>
      </c>
      <c r="AA339" s="388">
        <f t="shared" si="134"/>
        <v>8.9195190964054873</v>
      </c>
      <c r="AB339" s="199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0.14687989109951807</v>
      </c>
      <c r="AD339" s="233">
        <f>(INDEX(Models!$BJ339:$BT339,,AH339)*(1-AF339)+INDEX(Models!$BJ339:$BT339,,AH339+1)*AF339-ERP_i)*AE339*Ramure*Pc/MaxiM</f>
        <v>6.8272217430419169E-2</v>
      </c>
      <c r="AE339" s="307">
        <f t="shared" si="136"/>
        <v>1</v>
      </c>
      <c r="AF339" s="179">
        <f t="shared" si="137"/>
        <v>0.99917897827761648</v>
      </c>
      <c r="AG339" s="837">
        <f t="shared" si="143"/>
        <v>-1</v>
      </c>
      <c r="AH339" s="178">
        <f t="shared" si="138"/>
        <v>5</v>
      </c>
      <c r="AI339" s="227">
        <f t="shared" si="139"/>
        <v>-8.2102172238351923E-4</v>
      </c>
      <c r="AJ339" s="267" t="b">
        <f t="shared" si="140"/>
        <v>0</v>
      </c>
      <c r="AK339" s="267" t="b">
        <f t="shared" si="141"/>
        <v>0</v>
      </c>
      <c r="AL339" s="267"/>
      <c r="AM339" s="267"/>
      <c r="AN339" s="75"/>
    </row>
    <row r="340" spans="1:40" s="6" customFormat="1" ht="11.25" x14ac:dyDescent="0.2">
      <c r="A340" s="56">
        <f t="shared" si="142"/>
        <v>44522</v>
      </c>
      <c r="B340" s="618">
        <v>13.764000000000001</v>
      </c>
      <c r="C340" s="392"/>
      <c r="D340" s="395">
        <f t="shared" si="122"/>
        <v>14.156756645198824</v>
      </c>
      <c r="E340" s="387">
        <f t="shared" si="120"/>
        <v>15.683743082594031</v>
      </c>
      <c r="F340" s="387">
        <f t="shared" si="123"/>
        <v>16.469150571954522</v>
      </c>
      <c r="G340" s="110">
        <f t="shared" si="121"/>
        <v>0.7636739687688715</v>
      </c>
      <c r="H340" s="414" t="b">
        <f>Wh_hp&gt;='2020'!Maxi_hp</f>
        <v>0</v>
      </c>
      <c r="I340" s="382">
        <f>IF(H340,Wh_hp,'2020'!Maxi_hp)</f>
        <v>22.055020906483698</v>
      </c>
      <c r="J340" s="85">
        <f>IF(H340,An,'2020'!An_max)</f>
        <v>2020</v>
      </c>
      <c r="K340" s="199">
        <f t="shared" si="124"/>
        <v>44522</v>
      </c>
      <c r="L340" s="147">
        <f>IF(t&lt;Tvie,1-EXP((T0-t)*PertePVj)+'2020'!Pspv,1-EXP((T0-t)*PertePVj)+Pspv)</f>
        <v>2.7743405855042647E-2</v>
      </c>
      <c r="M340" s="870"/>
      <c r="N340" s="870"/>
      <c r="O340" s="48">
        <f>IF(t&lt;Tnet,'2020'!Resal+('2020'!Salim-'2020'!Resal)*(1-EXP(('2020'!Tnet-t)/('2020'!Tau_j))),Resal+(Salim-Resal)*(1-EXP((Tnet-t)/(Tau_j))))*Salcycl</f>
        <v>9.736109737030002E-2</v>
      </c>
      <c r="P340" s="171">
        <f>(INDEX(Models!$BJ340:$BT340,,T340)*(1-R340)+INDEX(Models!$BJ340:$BT340,,T340+1)*R340-ERP_i)*Q340*Ramure*Pc/MaxiM</f>
        <v>6.9339453348308336E-2</v>
      </c>
      <c r="Q340" s="307">
        <f t="shared" si="125"/>
        <v>1</v>
      </c>
      <c r="R340" s="179">
        <f t="shared" si="126"/>
        <v>0.99921229935011258</v>
      </c>
      <c r="S340" s="837">
        <f t="shared" si="127"/>
        <v>-1</v>
      </c>
      <c r="T340" s="178">
        <f t="shared" si="128"/>
        <v>5</v>
      </c>
      <c r="U340" s="253">
        <f t="shared" si="129"/>
        <v>-7.8770064988742394E-4</v>
      </c>
      <c r="V340" s="385">
        <f t="shared" si="130"/>
        <v>17.613653999702546</v>
      </c>
      <c r="W340" s="404"/>
      <c r="X340" s="157">
        <f t="shared" si="131"/>
        <v>44522</v>
      </c>
      <c r="Y340" s="387">
        <f t="shared" si="132"/>
        <v>13.010381665543651</v>
      </c>
      <c r="Z340" s="387">
        <f t="shared" si="133"/>
        <v>13.38163376200654</v>
      </c>
      <c r="AA340" s="388">
        <f t="shared" si="134"/>
        <v>15.683743082594029</v>
      </c>
      <c r="AB340" s="199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0.14678315683087101</v>
      </c>
      <c r="AD340" s="233">
        <f>(INDEX(Models!$BJ340:$BT340,,AH340)*(1-AF340)+INDEX(Models!$BJ340:$BT340,,AH340+1)*AF340-ERP_i)*AE340*Ramure*Pc/MaxiM</f>
        <v>6.9339453348308336E-2</v>
      </c>
      <c r="AE340" s="307">
        <f t="shared" si="136"/>
        <v>1</v>
      </c>
      <c r="AF340" s="179">
        <f t="shared" si="137"/>
        <v>0.99921229935011258</v>
      </c>
      <c r="AG340" s="837">
        <f t="shared" si="143"/>
        <v>-1</v>
      </c>
      <c r="AH340" s="178">
        <f t="shared" si="138"/>
        <v>5</v>
      </c>
      <c r="AI340" s="227">
        <f t="shared" si="139"/>
        <v>-7.8770064988742394E-4</v>
      </c>
      <c r="AJ340" s="267" t="b">
        <f t="shared" si="140"/>
        <v>0</v>
      </c>
      <c r="AK340" s="267" t="b">
        <f t="shared" si="141"/>
        <v>0</v>
      </c>
      <c r="AL340" s="267"/>
      <c r="AM340" s="267"/>
      <c r="AN340" s="75"/>
    </row>
    <row r="341" spans="1:40" s="6" customFormat="1" ht="11.25" x14ac:dyDescent="0.2">
      <c r="A341" s="56">
        <f t="shared" si="142"/>
        <v>44523</v>
      </c>
      <c r="B341" s="618">
        <v>10.104000000000001</v>
      </c>
      <c r="C341" s="392"/>
      <c r="D341" s="395">
        <f t="shared" si="122"/>
        <v>10.392560154553783</v>
      </c>
      <c r="E341" s="387">
        <f t="shared" si="120"/>
        <v>11.515142228028767</v>
      </c>
      <c r="F341" s="387">
        <f t="shared" si="123"/>
        <v>11.848534778031295</v>
      </c>
      <c r="G341" s="110">
        <f t="shared" si="121"/>
        <v>0.55459822744729959</v>
      </c>
      <c r="H341" s="414" t="b">
        <f>Wh_hp&gt;='2020'!Maxi_hp</f>
        <v>0</v>
      </c>
      <c r="I341" s="382">
        <f>IF(H341,Wh_hp,'2020'!Maxi_hp)</f>
        <v>21.439200666327118</v>
      </c>
      <c r="J341" s="85">
        <f>IF(H341,An,'2020'!An_max)</f>
        <v>2020</v>
      </c>
      <c r="K341" s="199">
        <f t="shared" si="124"/>
        <v>44523</v>
      </c>
      <c r="L341" s="147">
        <f>IF(t&lt;Tvie,1-EXP((T0-t)*PertePVj)+'2020'!Pspv,1-EXP((T0-t)*PertePVj)+Pspv)</f>
        <v>2.7766031686363823E-2</v>
      </c>
      <c r="M341" s="870"/>
      <c r="N341" s="870"/>
      <c r="O341" s="48">
        <f>IF(t&lt;Tnet,'2020'!Resal+('2020'!Salim-'2020'!Resal)*(1-EXP(('2020'!Tnet-t)/('2020'!Tau_j))),Resal+(Salim-Resal)*(1-EXP((Tnet-t)/(Tau_j))))*Salcycl</f>
        <v>9.7487469216188213E-2</v>
      </c>
      <c r="P341" s="171">
        <f>(INDEX(Models!$BJ341:$BT341,,T341)*(1-R341)+INDEX(Models!$BJ341:$BT341,,T341+1)*R341-ERP_i)*Q341*Ramure*Pc/MaxiM</f>
        <v>7.0393086796538468E-2</v>
      </c>
      <c r="Q341" s="307">
        <f t="shared" si="125"/>
        <v>1</v>
      </c>
      <c r="R341" s="179">
        <f t="shared" si="126"/>
        <v>0.99924428180124214</v>
      </c>
      <c r="S341" s="837">
        <f t="shared" si="127"/>
        <v>-1</v>
      </c>
      <c r="T341" s="178">
        <f t="shared" si="128"/>
        <v>5</v>
      </c>
      <c r="U341" s="253">
        <f t="shared" si="129"/>
        <v>-7.5571819875785984E-4</v>
      </c>
      <c r="V341" s="385">
        <f t="shared" si="130"/>
        <v>17.42647494770539</v>
      </c>
      <c r="W341" s="404"/>
      <c r="X341" s="157">
        <f t="shared" si="131"/>
        <v>44523</v>
      </c>
      <c r="Y341" s="387">
        <f t="shared" si="132"/>
        <v>9.5531451381138872</v>
      </c>
      <c r="Z341" s="387">
        <f t="shared" si="133"/>
        <v>9.8259734276555406</v>
      </c>
      <c r="AA341" s="388">
        <f t="shared" si="134"/>
        <v>11.515142228028767</v>
      </c>
      <c r="AB341" s="199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0.14669109307757008</v>
      </c>
      <c r="AD341" s="233">
        <f>(INDEX(Models!$BJ341:$BT341,,AH341)*(1-AF341)+INDEX(Models!$BJ341:$BT341,,AH341+1)*AF341-ERP_i)*AE341*Ramure*Pc/MaxiM</f>
        <v>7.0393086796538468E-2</v>
      </c>
      <c r="AE341" s="307">
        <f t="shared" si="136"/>
        <v>1</v>
      </c>
      <c r="AF341" s="179">
        <f t="shared" si="137"/>
        <v>0.99924428180124214</v>
      </c>
      <c r="AG341" s="837">
        <f t="shared" si="143"/>
        <v>-1</v>
      </c>
      <c r="AH341" s="178">
        <f t="shared" si="138"/>
        <v>5</v>
      </c>
      <c r="AI341" s="227">
        <f t="shared" si="139"/>
        <v>-7.5571819875785984E-4</v>
      </c>
      <c r="AJ341" s="267" t="b">
        <f t="shared" si="140"/>
        <v>0</v>
      </c>
      <c r="AK341" s="267" t="b">
        <f t="shared" si="141"/>
        <v>0</v>
      </c>
      <c r="AL341" s="267"/>
      <c r="AM341" s="267"/>
      <c r="AN341" s="75"/>
    </row>
    <row r="342" spans="1:40" s="6" customFormat="1" ht="11.25" x14ac:dyDescent="0.2">
      <c r="A342" s="56">
        <f t="shared" si="142"/>
        <v>44524</v>
      </c>
      <c r="B342" s="618">
        <v>0.99299999999999999</v>
      </c>
      <c r="C342" s="392"/>
      <c r="D342" s="395">
        <f t="shared" si="122"/>
        <v>1.0213828578946746</v>
      </c>
      <c r="E342" s="387">
        <f t="shared" si="120"/>
        <v>1.1318716414897503</v>
      </c>
      <c r="F342" s="387">
        <f t="shared" si="123"/>
        <v>1.1318716414897503</v>
      </c>
      <c r="G342" s="110">
        <f t="shared" si="121"/>
        <v>5.347377693967003E-2</v>
      </c>
      <c r="H342" s="414" t="b">
        <f>Wh_hp&gt;='2020'!Maxi_hp</f>
        <v>0</v>
      </c>
      <c r="I342" s="382">
        <f>IF(H342,Wh_hp,'2020'!Maxi_hp)</f>
        <v>20.206281401845153</v>
      </c>
      <c r="J342" s="85">
        <f>IF(H342,An,'2020'!An_max)</f>
        <v>2020</v>
      </c>
      <c r="K342" s="199">
        <f t="shared" si="124"/>
        <v>44524</v>
      </c>
      <c r="L342" s="147">
        <f>IF(t&lt;Tvie,1-EXP((T0-t)*PertePVj)+'2020'!Pspv,1-EXP((T0-t)*PertePVj)+Pspv)</f>
        <v>2.7788656991148963E-2</v>
      </c>
      <c r="M342" s="870"/>
      <c r="N342" s="870"/>
      <c r="O342" s="48">
        <f>IF(t&lt;Tnet,'2020'!Resal+('2020'!Salim-'2020'!Resal)*(1-EXP(('2020'!Tnet-t)/('2020'!Tau_j))),Resal+(Salim-Resal)*(1-EXP((Tnet-t)/(Tau_j))))*Salcycl</f>
        <v>9.7616001271709663E-2</v>
      </c>
      <c r="P342" s="171">
        <f>(INDEX(Models!$BJ342:$BT342,,T342)*(1-R342)+INDEX(Models!$BJ342:$BT342,,T342+1)*R342-ERP_i)*Q342*Ramure*Pc/MaxiM</f>
        <v>7.1432935437695341E-2</v>
      </c>
      <c r="Q342" s="307">
        <f t="shared" si="125"/>
        <v>1</v>
      </c>
      <c r="R342" s="179">
        <f t="shared" si="126"/>
        <v>0.99927497929288933</v>
      </c>
      <c r="S342" s="837">
        <f t="shared" si="127"/>
        <v>-1</v>
      </c>
      <c r="T342" s="178">
        <f t="shared" si="128"/>
        <v>5</v>
      </c>
      <c r="U342" s="253">
        <f t="shared" si="129"/>
        <v>-7.2502070711066846E-4</v>
      </c>
      <c r="V342" s="385">
        <f t="shared" si="130"/>
        <v>17.243350813814018</v>
      </c>
      <c r="W342" s="404"/>
      <c r="X342" s="157">
        <f t="shared" si="131"/>
        <v>44524</v>
      </c>
      <c r="Y342" s="387">
        <f t="shared" si="132"/>
        <v>0.93909292255716592</v>
      </c>
      <c r="Z342" s="387">
        <f t="shared" si="133"/>
        <v>0.9659349577745221</v>
      </c>
      <c r="AA342" s="388">
        <f t="shared" si="134"/>
        <v>1.1318716414897503</v>
      </c>
      <c r="AB342" s="199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0.14660379996518438</v>
      </c>
      <c r="AD342" s="233">
        <f>(INDEX(Models!$BJ342:$BT342,,AH342)*(1-AF342)+INDEX(Models!$BJ342:$BT342,,AH342+1)*AF342-ERP_i)*AE342*Ramure*Pc/MaxiM</f>
        <v>7.1432935437695341E-2</v>
      </c>
      <c r="AE342" s="307">
        <f t="shared" si="136"/>
        <v>1</v>
      </c>
      <c r="AF342" s="179">
        <f t="shared" si="137"/>
        <v>0.99927497929288933</v>
      </c>
      <c r="AG342" s="837">
        <f t="shared" si="143"/>
        <v>-1</v>
      </c>
      <c r="AH342" s="178">
        <f t="shared" si="138"/>
        <v>5</v>
      </c>
      <c r="AI342" s="227">
        <f t="shared" si="139"/>
        <v>-7.2502070711066846E-4</v>
      </c>
      <c r="AJ342" s="267" t="b">
        <f t="shared" si="140"/>
        <v>0</v>
      </c>
      <c r="AK342" s="267" t="b">
        <f t="shared" si="141"/>
        <v>0</v>
      </c>
      <c r="AL342" s="267"/>
      <c r="AM342" s="267"/>
      <c r="AN342" s="75"/>
    </row>
    <row r="343" spans="1:40" s="6" customFormat="1" ht="11.25" x14ac:dyDescent="0.2">
      <c r="A343" s="56">
        <f t="shared" si="142"/>
        <v>44525</v>
      </c>
      <c r="B343" s="618">
        <v>11.627000000000001</v>
      </c>
      <c r="C343" s="392"/>
      <c r="D343" s="395">
        <f t="shared" si="122"/>
        <v>11.959612143166462</v>
      </c>
      <c r="E343" s="387">
        <f t="shared" si="120"/>
        <v>13.255272204386063</v>
      </c>
      <c r="F343" s="387">
        <f t="shared" si="123"/>
        <v>13.800064897049323</v>
      </c>
      <c r="G343" s="110">
        <f t="shared" si="121"/>
        <v>0.65798017575565382</v>
      </c>
      <c r="H343" s="414" t="b">
        <f>Wh_hp&gt;='2020'!Maxi_hp</f>
        <v>0</v>
      </c>
      <c r="I343" s="382">
        <f>IF(H343,Wh_hp,'2020'!Maxi_hp)</f>
        <v>18.507554622634164</v>
      </c>
      <c r="J343" s="85">
        <f>IF(H343,An,'2020'!An_max)</f>
        <v>2020</v>
      </c>
      <c r="K343" s="199">
        <f t="shared" si="124"/>
        <v>44525</v>
      </c>
      <c r="L343" s="147">
        <f>IF(t&lt;Tvie,1-EXP((T0-t)*PertePVj)+'2020'!Pspv,1-EXP((T0-t)*PertePVj)+Pspv)</f>
        <v>2.7811281769410168E-2</v>
      </c>
      <c r="M343" s="870"/>
      <c r="N343" s="870"/>
      <c r="O343" s="48">
        <f>IF(t&lt;Tnet,'2020'!Resal+('2020'!Salim-'2020'!Resal)*(1-EXP(('2020'!Tnet-t)/('2020'!Tau_j))),Resal+(Salim-Resal)*(1-EXP((Tnet-t)/(Tau_j))))*Salcycl</f>
        <v>9.7746771340604915E-2</v>
      </c>
      <c r="P343" s="171">
        <f>(INDEX(Models!$BJ343:$BT343,,T343)*(1-R343)+INDEX(Models!$BJ343:$BT343,,T343+1)*R343-ERP_i)*Q343*Ramure*Pc/MaxiM</f>
        <v>7.2459264387276373E-2</v>
      </c>
      <c r="Q343" s="307">
        <f t="shared" si="125"/>
        <v>1</v>
      </c>
      <c r="R343" s="179">
        <f t="shared" si="126"/>
        <v>0.99930444334484558</v>
      </c>
      <c r="S343" s="837">
        <f t="shared" si="127"/>
        <v>-1</v>
      </c>
      <c r="T343" s="178">
        <f t="shared" si="128"/>
        <v>5</v>
      </c>
      <c r="U343" s="253">
        <f t="shared" si="129"/>
        <v>-6.9555665515441678E-4</v>
      </c>
      <c r="V343" s="385">
        <f t="shared" si="130"/>
        <v>17.06398000648117</v>
      </c>
      <c r="W343" s="404"/>
      <c r="X343" s="157">
        <f t="shared" si="131"/>
        <v>44525</v>
      </c>
      <c r="Y343" s="387">
        <f t="shared" si="132"/>
        <v>10.998460125210331</v>
      </c>
      <c r="Z343" s="387">
        <f t="shared" si="133"/>
        <v>11.313091706338488</v>
      </c>
      <c r="AA343" s="388">
        <f t="shared" si="134"/>
        <v>13.255272204386063</v>
      </c>
      <c r="AB343" s="199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0.14652135905627972</v>
      </c>
      <c r="AD343" s="233">
        <f>(INDEX(Models!$BJ343:$BT343,,AH343)*(1-AF343)+INDEX(Models!$BJ343:$BT343,,AH343+1)*AF343-ERP_i)*AE343*Ramure*Pc/MaxiM</f>
        <v>7.2459264387276373E-2</v>
      </c>
      <c r="AE343" s="307">
        <f t="shared" si="136"/>
        <v>1</v>
      </c>
      <c r="AF343" s="179">
        <f t="shared" si="137"/>
        <v>0.99930444334484558</v>
      </c>
      <c r="AG343" s="837">
        <f t="shared" si="143"/>
        <v>-1</v>
      </c>
      <c r="AH343" s="178">
        <f t="shared" si="138"/>
        <v>5</v>
      </c>
      <c r="AI343" s="227">
        <f t="shared" si="139"/>
        <v>-6.9555665515441678E-4</v>
      </c>
      <c r="AJ343" s="267" t="b">
        <f t="shared" si="140"/>
        <v>0</v>
      </c>
      <c r="AK343" s="267" t="b">
        <f t="shared" si="141"/>
        <v>0</v>
      </c>
      <c r="AL343" s="267"/>
      <c r="AM343" s="267"/>
      <c r="AN343" s="75"/>
    </row>
    <row r="344" spans="1:40" s="6" customFormat="1" ht="11.25" x14ac:dyDescent="0.2">
      <c r="A344" s="56">
        <f t="shared" si="142"/>
        <v>44526</v>
      </c>
      <c r="B344" s="618">
        <v>6.7160000000000002</v>
      </c>
      <c r="C344" s="392"/>
      <c r="D344" s="395">
        <f t="shared" si="122"/>
        <v>6.9082845427297705</v>
      </c>
      <c r="E344" s="387">
        <f t="shared" si="120"/>
        <v>7.6578319466721689</v>
      </c>
      <c r="F344" s="387">
        <f t="shared" si="123"/>
        <v>7.737155423691771</v>
      </c>
      <c r="G344" s="110">
        <f t="shared" si="121"/>
        <v>0.37227573081083609</v>
      </c>
      <c r="H344" s="414" t="b">
        <f>Wh_hp&gt;='2020'!Maxi_hp</f>
        <v>0</v>
      </c>
      <c r="I344" s="382">
        <f>IF(H344,Wh_hp,'2020'!Maxi_hp)</f>
        <v>20.367586395989942</v>
      </c>
      <c r="J344" s="85">
        <f>IF(H344,An,'2020'!An_max)</f>
        <v>2020</v>
      </c>
      <c r="K344" s="199">
        <f t="shared" si="124"/>
        <v>44526</v>
      </c>
      <c r="L344" s="147">
        <f>IF(t&lt;Tvie,1-EXP((T0-t)*PertePVj)+'2020'!Pspv,1-EXP((T0-t)*PertePVj)+Pspv)</f>
        <v>2.7833906021159649E-2</v>
      </c>
      <c r="M344" s="870"/>
      <c r="N344" s="870"/>
      <c r="O344" s="48">
        <f>IF(t&lt;Tnet,'2020'!Resal+('2020'!Salim-'2020'!Resal)*(1-EXP(('2020'!Tnet-t)/('2020'!Tau_j))),Resal+(Salim-Resal)*(1-EXP((Tnet-t)/(Tau_j))))*Salcycl</f>
        <v>9.7879844995570328E-2</v>
      </c>
      <c r="P344" s="171">
        <f>(INDEX(Models!$BJ344:$BT344,,T344)*(1-R344)+INDEX(Models!$BJ344:$BT344,,T344+1)*R344-ERP_i)*Q344*Ramure*Pc/MaxiM</f>
        <v>7.347243739222109E-2</v>
      </c>
      <c r="Q344" s="307">
        <f t="shared" si="125"/>
        <v>1</v>
      </c>
      <c r="R344" s="179">
        <f t="shared" si="126"/>
        <v>0.99933272341960333</v>
      </c>
      <c r="S344" s="837">
        <f t="shared" si="127"/>
        <v>-1</v>
      </c>
      <c r="T344" s="178">
        <f t="shared" si="128"/>
        <v>5</v>
      </c>
      <c r="U344" s="253">
        <f t="shared" si="129"/>
        <v>-6.6727658039666959E-4</v>
      </c>
      <c r="V344" s="385">
        <f t="shared" si="130"/>
        <v>16.888061257614563</v>
      </c>
      <c r="W344" s="404"/>
      <c r="X344" s="157">
        <f t="shared" si="131"/>
        <v>44526</v>
      </c>
      <c r="Y344" s="387">
        <f t="shared" si="132"/>
        <v>6.3544564257295439</v>
      </c>
      <c r="Z344" s="387">
        <f t="shared" si="133"/>
        <v>6.5363896818518867</v>
      </c>
      <c r="AA344" s="388">
        <f t="shared" si="134"/>
        <v>7.6578319466721689</v>
      </c>
      <c r="AB344" s="199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0.14644383327158572</v>
      </c>
      <c r="AD344" s="233">
        <f>(INDEX(Models!$BJ344:$BT344,,AH344)*(1-AF344)+INDEX(Models!$BJ344:$BT344,,AH344+1)*AF344-ERP_i)*AE344*Ramure*Pc/MaxiM</f>
        <v>7.347243739222109E-2</v>
      </c>
      <c r="AE344" s="307">
        <f t="shared" si="136"/>
        <v>1</v>
      </c>
      <c r="AF344" s="179">
        <f t="shared" si="137"/>
        <v>0.99933272341960333</v>
      </c>
      <c r="AG344" s="837">
        <f t="shared" si="143"/>
        <v>-1</v>
      </c>
      <c r="AH344" s="178">
        <f t="shared" si="138"/>
        <v>5</v>
      </c>
      <c r="AI344" s="227">
        <f t="shared" si="139"/>
        <v>-6.6727658039666959E-4</v>
      </c>
      <c r="AJ344" s="267" t="b">
        <f t="shared" si="140"/>
        <v>0</v>
      </c>
      <c r="AK344" s="267" t="b">
        <f t="shared" si="141"/>
        <v>0</v>
      </c>
      <c r="AL344" s="267"/>
      <c r="AM344" s="267"/>
      <c r="AN344" s="75"/>
    </row>
    <row r="345" spans="1:40" s="6" customFormat="1" ht="11.25" x14ac:dyDescent="0.2">
      <c r="A345" s="56">
        <f t="shared" si="142"/>
        <v>44527</v>
      </c>
      <c r="B345" s="618">
        <v>9.4039999999999999</v>
      </c>
      <c r="C345" s="392"/>
      <c r="D345" s="395">
        <f t="shared" si="122"/>
        <v>9.6734692848853925</v>
      </c>
      <c r="E345" s="387">
        <f t="shared" si="120"/>
        <v>10.724648679672066</v>
      </c>
      <c r="F345" s="387">
        <f t="shared" si="123"/>
        <v>11.032952733872154</v>
      </c>
      <c r="G345" s="110">
        <f t="shared" si="121"/>
        <v>0.53570417365604139</v>
      </c>
      <c r="H345" s="414" t="b">
        <f>Wh_hp&gt;='2020'!Maxi_hp</f>
        <v>0</v>
      </c>
      <c r="I345" s="382">
        <f>IF(H345,Wh_hp,'2020'!Maxi_hp)</f>
        <v>18.723509974078482</v>
      </c>
      <c r="J345" s="85">
        <f>IF(H345,An,'2020'!An_max)</f>
        <v>2018</v>
      </c>
      <c r="K345" s="199">
        <f t="shared" si="124"/>
        <v>44527</v>
      </c>
      <c r="L345" s="147">
        <f>IF(t&lt;Tvie,1-EXP((T0-t)*PertePVj)+'2020'!Pspv,1-EXP((T0-t)*PertePVj)+Pspv)</f>
        <v>2.7856529746409842E-2</v>
      </c>
      <c r="M345" s="870"/>
      <c r="N345" s="870"/>
      <c r="O345" s="48">
        <f>IF(t&lt;Tnet,'2020'!Resal+('2020'!Salim-'2020'!Resal)*(1-EXP(('2020'!Tnet-t)/('2020'!Tau_j))),Resal+(Salim-Resal)*(1-EXP((Tnet-t)/(Tau_j))))*Salcycl</f>
        <v>9.8015275482088493E-2</v>
      </c>
      <c r="P345" s="171">
        <f>(INDEX(Models!$BJ345:$BT345,,T345)*(1-R345)+INDEX(Models!$BJ345:$BT345,,T345+1)*R345-ERP_i)*Q345*Ramure*Pc/MaxiM</f>
        <v>7.4477823588063152E-2</v>
      </c>
      <c r="Q345" s="307">
        <f t="shared" si="125"/>
        <v>1</v>
      </c>
      <c r="R345" s="179">
        <f t="shared" si="126"/>
        <v>0.99935986700384816</v>
      </c>
      <c r="S345" s="837">
        <f t="shared" si="127"/>
        <v>-1</v>
      </c>
      <c r="T345" s="178">
        <f t="shared" si="128"/>
        <v>5</v>
      </c>
      <c r="U345" s="253">
        <f t="shared" si="129"/>
        <v>-6.4013299615184316E-4</v>
      </c>
      <c r="V345" s="385">
        <f t="shared" si="130"/>
        <v>16.714104112605614</v>
      </c>
      <c r="W345" s="404"/>
      <c r="X345" s="157">
        <f t="shared" si="131"/>
        <v>44527</v>
      </c>
      <c r="Y345" s="387">
        <f t="shared" si="132"/>
        <v>8.8998454049462001</v>
      </c>
      <c r="Z345" s="387">
        <f t="shared" si="133"/>
        <v>9.1548682650973472</v>
      </c>
      <c r="AA345" s="388">
        <f t="shared" si="134"/>
        <v>10.724648679672066</v>
      </c>
      <c r="AB345" s="199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0.1463712669255213</v>
      </c>
      <c r="AD345" s="233">
        <f>(INDEX(Models!$BJ345:$BT345,,AH345)*(1-AF345)+INDEX(Models!$BJ345:$BT345,,AH345+1)*AF345-ERP_i)*AE345*Ramure*Pc/MaxiM</f>
        <v>7.4477823588063152E-2</v>
      </c>
      <c r="AE345" s="307">
        <f t="shared" si="136"/>
        <v>1</v>
      </c>
      <c r="AF345" s="179">
        <f t="shared" si="137"/>
        <v>0.99935986700384816</v>
      </c>
      <c r="AG345" s="837">
        <f t="shared" si="143"/>
        <v>-1</v>
      </c>
      <c r="AH345" s="178">
        <f t="shared" si="138"/>
        <v>5</v>
      </c>
      <c r="AI345" s="227">
        <f t="shared" si="139"/>
        <v>-6.4013299615184316E-4</v>
      </c>
      <c r="AJ345" s="267" t="b">
        <f t="shared" si="140"/>
        <v>0</v>
      </c>
      <c r="AK345" s="267" t="b">
        <f t="shared" si="141"/>
        <v>0</v>
      </c>
      <c r="AL345" s="267"/>
      <c r="AM345" s="267"/>
      <c r="AN345" s="75"/>
    </row>
    <row r="346" spans="1:40" s="6" customFormat="1" ht="11.25" x14ac:dyDescent="0.2">
      <c r="A346" s="56">
        <f t="shared" si="142"/>
        <v>44528</v>
      </c>
      <c r="B346" s="618">
        <v>5.681</v>
      </c>
      <c r="C346" s="392"/>
      <c r="D346" s="395">
        <f t="shared" si="122"/>
        <v>5.8439236409869872</v>
      </c>
      <c r="E346" s="387">
        <f t="shared" si="120"/>
        <v>6.4799509373073194</v>
      </c>
      <c r="F346" s="387">
        <f t="shared" si="123"/>
        <v>6.5104484561592431</v>
      </c>
      <c r="G346" s="110">
        <f t="shared" si="121"/>
        <v>0.31901319572954262</v>
      </c>
      <c r="H346" s="414" t="b">
        <f>Wh_hp&gt;='2020'!Maxi_hp</f>
        <v>0</v>
      </c>
      <c r="I346" s="382">
        <f>IF(H346,Wh_hp,'2020'!Maxi_hp)</f>
        <v>15.043607934783193</v>
      </c>
      <c r="J346" s="85">
        <f>IF(H346,An,'2020'!An_max)</f>
        <v>2018</v>
      </c>
      <c r="K346" s="199">
        <f t="shared" si="124"/>
        <v>44528</v>
      </c>
      <c r="L346" s="147">
        <f>IF(t&lt;Tvie,1-EXP((T0-t)*PertePVj)+'2020'!Pspv,1-EXP((T0-t)*PertePVj)+Pspv)</f>
        <v>2.7879152945172847E-2</v>
      </c>
      <c r="M346" s="870"/>
      <c r="N346" s="870"/>
      <c r="O346" s="48">
        <f>IF(t&lt;Tnet,'2020'!Resal+('2020'!Salim-'2020'!Resal)*(1-EXP(('2020'!Tnet-t)/('2020'!Tau_j))),Resal+(Salim-Resal)*(1-EXP((Tnet-t)/(Tau_j))))*Salcycl</f>
        <v>9.8153103699983757E-2</v>
      </c>
      <c r="P346" s="171">
        <f>(INDEX(Models!$BJ346:$BT346,,T346)*(1-R346)+INDEX(Models!$BJ346:$BT346,,T346+1)*R346-ERP_i)*Q346*Ramure*Pc/MaxiM</f>
        <v>7.5481262728848211E-2</v>
      </c>
      <c r="Q346" s="307">
        <f t="shared" si="125"/>
        <v>1</v>
      </c>
      <c r="R346" s="179">
        <f t="shared" si="126"/>
        <v>0.9993859196867767</v>
      </c>
      <c r="S346" s="837">
        <f t="shared" si="127"/>
        <v>-1</v>
      </c>
      <c r="T346" s="178">
        <f t="shared" si="128"/>
        <v>5</v>
      </c>
      <c r="U346" s="253">
        <f t="shared" si="129"/>
        <v>-6.1408031322329748E-4</v>
      </c>
      <c r="V346" s="385">
        <f t="shared" si="130"/>
        <v>16.541353629504972</v>
      </c>
      <c r="W346" s="404"/>
      <c r="X346" s="157">
        <f t="shared" si="131"/>
        <v>44528</v>
      </c>
      <c r="Y346" s="387">
        <f t="shared" si="132"/>
        <v>5.3776852594844202</v>
      </c>
      <c r="Z346" s="387">
        <f t="shared" si="133"/>
        <v>5.5319102308903796</v>
      </c>
      <c r="AA346" s="388">
        <f t="shared" si="134"/>
        <v>6.4799509373073194</v>
      </c>
      <c r="AB346" s="199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0.1463036858749564</v>
      </c>
      <c r="AD346" s="233">
        <f>(INDEX(Models!$BJ346:$BT346,,AH346)*(1-AF346)+INDEX(Models!$BJ346:$BT346,,AH346+1)*AF346-ERP_i)*AE346*Ramure*Pc/MaxiM</f>
        <v>7.5481262728848211E-2</v>
      </c>
      <c r="AE346" s="307">
        <f t="shared" si="136"/>
        <v>1</v>
      </c>
      <c r="AF346" s="179">
        <f t="shared" si="137"/>
        <v>0.9993859196867767</v>
      </c>
      <c r="AG346" s="837">
        <f t="shared" si="143"/>
        <v>-1</v>
      </c>
      <c r="AH346" s="178">
        <f t="shared" si="138"/>
        <v>5</v>
      </c>
      <c r="AI346" s="227">
        <f t="shared" si="139"/>
        <v>-6.1408031322329748E-4</v>
      </c>
      <c r="AJ346" s="267" t="b">
        <f t="shared" si="140"/>
        <v>0</v>
      </c>
      <c r="AK346" s="267" t="b">
        <f t="shared" si="141"/>
        <v>0</v>
      </c>
      <c r="AL346" s="267"/>
      <c r="AM346" s="267"/>
      <c r="AN346" s="75"/>
    </row>
    <row r="347" spans="1:40" s="6" customFormat="1" ht="11.25" x14ac:dyDescent="0.2">
      <c r="A347" s="56">
        <f t="shared" si="142"/>
        <v>44529</v>
      </c>
      <c r="B347" s="618">
        <v>6.4290000000000003</v>
      </c>
      <c r="C347" s="392"/>
      <c r="D347" s="395">
        <f t="shared" si="122"/>
        <v>6.6135292080011725</v>
      </c>
      <c r="E347" s="387">
        <f t="shared" si="120"/>
        <v>7.3344576848809773</v>
      </c>
      <c r="F347" s="387">
        <f t="shared" si="123"/>
        <v>7.4095434957598787</v>
      </c>
      <c r="G347" s="110">
        <f t="shared" si="121"/>
        <v>0.36639242600109928</v>
      </c>
      <c r="H347" s="414" t="b">
        <f>Wh_hp&gt;='2020'!Maxi_hp</f>
        <v>0</v>
      </c>
      <c r="I347" s="382">
        <f>IF(H347,Wh_hp,'2020'!Maxi_hp)</f>
        <v>19.948122922418964</v>
      </c>
      <c r="J347" s="85">
        <f>IF(H347,An,'2020'!An_max)</f>
        <v>2018</v>
      </c>
      <c r="K347" s="199">
        <f t="shared" si="124"/>
        <v>44529</v>
      </c>
      <c r="L347" s="147">
        <f>IF(t&lt;Tvie,1-EXP((T0-t)*PertePVj)+'2020'!Pspv,1-EXP((T0-t)*PertePVj)+Pspv)</f>
        <v>2.7901775617460878E-2</v>
      </c>
      <c r="M347" s="870"/>
      <c r="N347" s="870"/>
      <c r="O347" s="48">
        <f>IF(t&lt;Tnet,'2020'!Resal+('2020'!Salim-'2020'!Resal)*(1-EXP(('2020'!Tnet-t)/('2020'!Tau_j))),Resal+(Salim-Resal)*(1-EXP((Tnet-t)/(Tau_j))))*Salcycl</f>
        <v>9.8293358262316319E-2</v>
      </c>
      <c r="P347" s="171">
        <f>(INDEX(Models!$BJ347:$BT347,,T347)*(1-R347)+INDEX(Models!$BJ347:$BT347,,T347+1)*R347-ERP_i)*Q347*Ramure*Pc/MaxiM</f>
        <v>7.6502135055933215E-2</v>
      </c>
      <c r="Q347" s="307">
        <f t="shared" si="125"/>
        <v>1</v>
      </c>
      <c r="R347" s="179">
        <f t="shared" si="126"/>
        <v>0.99941092523535757</v>
      </c>
      <c r="S347" s="837">
        <f t="shared" si="127"/>
        <v>-1</v>
      </c>
      <c r="T347" s="178">
        <f t="shared" si="128"/>
        <v>5</v>
      </c>
      <c r="U347" s="253">
        <f t="shared" si="129"/>
        <v>-5.890747646424277E-4</v>
      </c>
      <c r="V347" s="385">
        <f t="shared" si="130"/>
        <v>16.370286438222465</v>
      </c>
      <c r="W347" s="404"/>
      <c r="X347" s="157">
        <f t="shared" si="131"/>
        <v>44529</v>
      </c>
      <c r="Y347" s="387">
        <f t="shared" si="132"/>
        <v>6.0871415694576907</v>
      </c>
      <c r="Z347" s="387">
        <f t="shared" si="133"/>
        <v>6.2618585414289214</v>
      </c>
      <c r="AA347" s="388">
        <f t="shared" si="134"/>
        <v>7.3344576848809773</v>
      </c>
      <c r="AB347" s="199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0.14624109777919619</v>
      </c>
      <c r="AD347" s="233">
        <f>(INDEX(Models!$BJ347:$BT347,,AH347)*(1-AF347)+INDEX(Models!$BJ347:$BT347,,AH347+1)*AF347-ERP_i)*AE347*Ramure*Pc/MaxiM</f>
        <v>7.6502135055933215E-2</v>
      </c>
      <c r="AE347" s="307">
        <f t="shared" si="136"/>
        <v>1</v>
      </c>
      <c r="AF347" s="179">
        <f t="shared" si="137"/>
        <v>0.99941092523535757</v>
      </c>
      <c r="AG347" s="837">
        <f t="shared" si="143"/>
        <v>-1</v>
      </c>
      <c r="AH347" s="178">
        <f t="shared" si="138"/>
        <v>5</v>
      </c>
      <c r="AI347" s="227">
        <f t="shared" si="139"/>
        <v>-5.890747646424277E-4</v>
      </c>
      <c r="AJ347" s="267" t="b">
        <f t="shared" si="140"/>
        <v>0</v>
      </c>
      <c r="AK347" s="267" t="b">
        <f t="shared" si="141"/>
        <v>0</v>
      </c>
      <c r="AL347" s="267"/>
      <c r="AM347" s="267"/>
      <c r="AN347" s="75"/>
    </row>
    <row r="348" spans="1:40" s="6" customFormat="1" ht="11.25" x14ac:dyDescent="0.2">
      <c r="A348" s="56">
        <f t="shared" si="142"/>
        <v>44530</v>
      </c>
      <c r="B348" s="618">
        <v>16.058</v>
      </c>
      <c r="C348" s="392"/>
      <c r="D348" s="395">
        <f t="shared" si="122"/>
        <v>16.519291259909288</v>
      </c>
      <c r="E348" s="387">
        <f t="shared" si="120"/>
        <v>18.322928021998354</v>
      </c>
      <c r="F348" s="387">
        <f t="shared" si="123"/>
        <v>19.841900082377851</v>
      </c>
      <c r="G348" s="110">
        <f t="shared" si="121"/>
        <v>0.99006983506405966</v>
      </c>
      <c r="H348" s="414" t="b">
        <f>Wh_hp&gt;='2020'!Maxi_hp</f>
        <v>1</v>
      </c>
      <c r="I348" s="382">
        <f>IF(H348,Wh_hp,'2020'!Maxi_hp)</f>
        <v>19.841900082377851</v>
      </c>
      <c r="J348" s="85">
        <f>IF(H348,An,'2020'!An_max)</f>
        <v>2021</v>
      </c>
      <c r="K348" s="199">
        <f t="shared" si="124"/>
        <v>44530</v>
      </c>
      <c r="L348" s="147">
        <f>IF(t&lt;Tvie,1-EXP((T0-t)*PertePVj)+'2020'!Pspv,1-EXP((T0-t)*PertePVj)+Pspv)</f>
        <v>2.7924397763286368E-2</v>
      </c>
      <c r="M348" s="870"/>
      <c r="N348" s="870"/>
      <c r="O348" s="48">
        <f>IF(t&lt;Tnet,'2020'!Resal+('2020'!Salim-'2020'!Resal)*(1-EXP(('2020'!Tnet-t)/('2020'!Tau_j))),Resal+(Salim-Resal)*(1-EXP((Tnet-t)/(Tau_j))))*Salcycl</f>
        <v>9.8436055630608602E-2</v>
      </c>
      <c r="P348" s="171">
        <f>(INDEX(Models!$BJ348:$BT348,,T348)*(1-R348)+INDEX(Models!$BJ348:$BT348,,T348+1)*R348-ERP_i)*Q348*Ramure*Pc/MaxiM</f>
        <v>7.75368223897165E-2</v>
      </c>
      <c r="Q348" s="307">
        <f t="shared" si="125"/>
        <v>1</v>
      </c>
      <c r="R348" s="179">
        <f t="shared" si="126"/>
        <v>0.99943492566665026</v>
      </c>
      <c r="S348" s="837">
        <f t="shared" si="127"/>
        <v>-1</v>
      </c>
      <c r="T348" s="178">
        <f t="shared" si="128"/>
        <v>5</v>
      </c>
      <c r="U348" s="253">
        <f t="shared" si="129"/>
        <v>-5.6507433334973545E-4</v>
      </c>
      <c r="V348" s="385">
        <f t="shared" si="130"/>
        <v>16.201791790114573</v>
      </c>
      <c r="W348" s="404"/>
      <c r="X348" s="157">
        <f t="shared" si="131"/>
        <v>44530</v>
      </c>
      <c r="Y348" s="387">
        <f t="shared" si="132"/>
        <v>15.207557448999305</v>
      </c>
      <c r="Z348" s="387">
        <f t="shared" si="133"/>
        <v>15.644418411497234</v>
      </c>
      <c r="AA348" s="388">
        <f t="shared" si="134"/>
        <v>18.322928021998354</v>
      </c>
      <c r="AB348" s="199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0.14618349246830656</v>
      </c>
      <c r="AD348" s="233">
        <f>(INDEX(Models!$BJ348:$BT348,,AH348)*(1-AF348)+INDEX(Models!$BJ348:$BT348,,AH348+1)*AF348-ERP_i)*AE348*Ramure*Pc/MaxiM</f>
        <v>7.75368223897165E-2</v>
      </c>
      <c r="AE348" s="307">
        <f t="shared" si="136"/>
        <v>1</v>
      </c>
      <c r="AF348" s="179">
        <f t="shared" si="137"/>
        <v>0.99943492566665026</v>
      </c>
      <c r="AG348" s="837">
        <f t="shared" si="143"/>
        <v>-1</v>
      </c>
      <c r="AH348" s="178">
        <f t="shared" si="138"/>
        <v>5</v>
      </c>
      <c r="AI348" s="227">
        <f t="shared" si="139"/>
        <v>-5.6507433334973545E-4</v>
      </c>
      <c r="AJ348" s="267" t="b">
        <f t="shared" si="140"/>
        <v>0</v>
      </c>
      <c r="AK348" s="267" t="b">
        <f t="shared" si="141"/>
        <v>0</v>
      </c>
      <c r="AL348" s="267"/>
      <c r="AM348" s="267"/>
      <c r="AN348" s="75"/>
    </row>
    <row r="349" spans="1:40" s="6" customFormat="1" ht="11.25" x14ac:dyDescent="0.2">
      <c r="A349" s="56">
        <f t="shared" si="142"/>
        <v>44531</v>
      </c>
      <c r="B349" s="618">
        <v>4.2450000000000001</v>
      </c>
      <c r="C349" s="392"/>
      <c r="D349" s="395">
        <f t="shared" si="122"/>
        <v>4.367045916884134</v>
      </c>
      <c r="E349" s="387">
        <f t="shared" si="120"/>
        <v>4.8446359433124728</v>
      </c>
      <c r="F349" s="387">
        <f t="shared" si="123"/>
        <v>4.8446359433124728</v>
      </c>
      <c r="G349" s="110">
        <f t="shared" si="121"/>
        <v>0.2439035404005909</v>
      </c>
      <c r="H349" s="414" t="b">
        <f>Wh_hp&gt;='2020'!Maxi_hp</f>
        <v>0</v>
      </c>
      <c r="I349" s="382">
        <f>IF(H349,Wh_hp,'2020'!Maxi_hp)</f>
        <v>18.774902602934571</v>
      </c>
      <c r="J349" s="85">
        <f>IF(H349,An,'2020'!An_max)</f>
        <v>2020</v>
      </c>
      <c r="K349" s="199">
        <f t="shared" si="124"/>
        <v>44531</v>
      </c>
      <c r="L349" s="147">
        <f>IF(t&lt;Tvie,1-EXP((T0-t)*PertePVj)+'2020'!Pspv,1-EXP((T0-t)*PertePVj)+Pspv)</f>
        <v>2.7947019382661531E-2</v>
      </c>
      <c r="M349" s="870"/>
      <c r="N349" s="870"/>
      <c r="O349" s="48">
        <f>IF(t&lt;Tnet,'2020'!Resal+('2020'!Salim-'2020'!Resal)*(1-EXP(('2020'!Tnet-t)/('2020'!Tau_j))),Resal+(Salim-Resal)*(1-EXP((Tnet-t)/(Tau_j))))*Salcycl</f>
        <v>9.8581200324784554E-2</v>
      </c>
      <c r="P349" s="171">
        <f>(INDEX(Models!$BJ349:$BT349,,T349)*(1-R349)+INDEX(Models!$BJ349:$BT349,,T349+1)*R349-ERP_i)*Q349*Ramure*Pc/MaxiM</f>
        <v>7.8581351780265749E-2</v>
      </c>
      <c r="Q349" s="307">
        <f t="shared" si="125"/>
        <v>1</v>
      </c>
      <c r="R349" s="179">
        <f t="shared" si="126"/>
        <v>0.99945796131729603</v>
      </c>
      <c r="S349" s="837">
        <f t="shared" si="127"/>
        <v>-1</v>
      </c>
      <c r="T349" s="178">
        <f t="shared" si="128"/>
        <v>5</v>
      </c>
      <c r="U349" s="253">
        <f t="shared" si="129"/>
        <v>-5.4203868270397138E-4</v>
      </c>
      <c r="V349" s="385">
        <f t="shared" si="130"/>
        <v>16.036758446673606</v>
      </c>
      <c r="W349" s="404"/>
      <c r="X349" s="157">
        <f t="shared" si="131"/>
        <v>44531</v>
      </c>
      <c r="Y349" s="387">
        <f t="shared" si="132"/>
        <v>4.0210771899252826</v>
      </c>
      <c r="Z349" s="387">
        <f t="shared" si="133"/>
        <v>4.1366852117171096</v>
      </c>
      <c r="AA349" s="388">
        <f t="shared" si="134"/>
        <v>4.8446359433124728</v>
      </c>
      <c r="AB349" s="199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0.14613084241605753</v>
      </c>
      <c r="AD349" s="233">
        <f>(INDEX(Models!$BJ349:$BT349,,AH349)*(1-AF349)+INDEX(Models!$BJ349:$BT349,,AH349+1)*AF349-ERP_i)*AE349*Ramure*Pc/MaxiM</f>
        <v>7.8581351780265749E-2</v>
      </c>
      <c r="AE349" s="307">
        <f t="shared" si="136"/>
        <v>1</v>
      </c>
      <c r="AF349" s="179">
        <f t="shared" si="137"/>
        <v>0.99945796131729603</v>
      </c>
      <c r="AG349" s="837">
        <f t="shared" si="143"/>
        <v>-1</v>
      </c>
      <c r="AH349" s="178">
        <f t="shared" si="138"/>
        <v>5</v>
      </c>
      <c r="AI349" s="227">
        <f t="shared" si="139"/>
        <v>-5.4203868270397138E-4</v>
      </c>
      <c r="AJ349" s="267" t="b">
        <f t="shared" si="140"/>
        <v>0</v>
      </c>
      <c r="AK349" s="267" t="b">
        <f t="shared" si="141"/>
        <v>0</v>
      </c>
      <c r="AL349" s="267"/>
      <c r="AM349" s="267"/>
      <c r="AN349" s="75"/>
    </row>
    <row r="350" spans="1:40" s="6" customFormat="1" ht="11.25" x14ac:dyDescent="0.2">
      <c r="A350" s="56">
        <f t="shared" si="142"/>
        <v>44532</v>
      </c>
      <c r="B350" s="618">
        <v>7.1390000000000002</v>
      </c>
      <c r="C350" s="392"/>
      <c r="D350" s="395">
        <f t="shared" si="122"/>
        <v>7.344420809544463</v>
      </c>
      <c r="E350" s="387">
        <f t="shared" si="120"/>
        <v>8.1489574824820572</v>
      </c>
      <c r="F350" s="387">
        <f t="shared" si="123"/>
        <v>8.2901078959824659</v>
      </c>
      <c r="G350" s="110">
        <f t="shared" si="121"/>
        <v>0.42103110693539253</v>
      </c>
      <c r="H350" s="414" t="b">
        <f>Wh_hp&gt;='2020'!Maxi_hp</f>
        <v>1</v>
      </c>
      <c r="I350" s="382">
        <f>IF(H350,Wh_hp,'2020'!Maxi_hp)</f>
        <v>8.2901078959824659</v>
      </c>
      <c r="J350" s="85">
        <f>IF(H350,An,'2020'!An_max)</f>
        <v>2021</v>
      </c>
      <c r="K350" s="199">
        <f t="shared" si="124"/>
        <v>44532</v>
      </c>
      <c r="L350" s="147">
        <f>IF(t&lt;Tvie,1-EXP((T0-t)*PertePVj)+'2020'!Pspv,1-EXP((T0-t)*PertePVj)+Pspv)</f>
        <v>2.7969640475598467E-2</v>
      </c>
      <c r="M350" s="870"/>
      <c r="N350" s="870"/>
      <c r="O350" s="48">
        <f>IF(t&lt;Tnet,'2020'!Resal+('2020'!Salim-'2020'!Resal)*(1-EXP(('2020'!Tnet-t)/('2020'!Tau_j))),Resal+(Salim-Resal)*(1-EXP((Tnet-t)/(Tau_j))))*Salcycl</f>
        <v>9.8728785205606961E-2</v>
      </c>
      <c r="P350" s="171">
        <f>(INDEX(Models!$BJ350:$BT350,,T350)*(1-R350)+INDEX(Models!$BJ350:$BT350,,T350+1)*R350-ERP_i)*Q350*Ramure*Pc/MaxiM</f>
        <v>7.9631380445300909E-2</v>
      </c>
      <c r="Q350" s="307">
        <f t="shared" si="125"/>
        <v>1</v>
      </c>
      <c r="R350" s="179">
        <f t="shared" si="126"/>
        <v>0.99948007091028668</v>
      </c>
      <c r="S350" s="837">
        <f t="shared" si="127"/>
        <v>-1</v>
      </c>
      <c r="T350" s="178">
        <f t="shared" si="128"/>
        <v>5</v>
      </c>
      <c r="U350" s="253">
        <f t="shared" si="129"/>
        <v>-5.1992908971332241E-4</v>
      </c>
      <c r="V350" s="385">
        <f t="shared" si="130"/>
        <v>15.876074635023041</v>
      </c>
      <c r="W350" s="404"/>
      <c r="X350" s="157">
        <f t="shared" si="131"/>
        <v>44532</v>
      </c>
      <c r="Y350" s="387">
        <f t="shared" si="132"/>
        <v>6.7639048328416012</v>
      </c>
      <c r="Z350" s="387">
        <f t="shared" si="133"/>
        <v>6.9585324846757546</v>
      </c>
      <c r="AA350" s="388">
        <f t="shared" si="134"/>
        <v>8.1489574824820572</v>
      </c>
      <c r="AB350" s="199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0.14608310331295477</v>
      </c>
      <c r="AD350" s="233">
        <f>(INDEX(Models!$BJ350:$BT350,,AH350)*(1-AF350)+INDEX(Models!$BJ350:$BT350,,AH350+1)*AF350-ERP_i)*AE350*Ramure*Pc/MaxiM</f>
        <v>7.9631380445300909E-2</v>
      </c>
      <c r="AE350" s="307">
        <f t="shared" si="136"/>
        <v>1</v>
      </c>
      <c r="AF350" s="179">
        <f t="shared" si="137"/>
        <v>0.99948007091028668</v>
      </c>
      <c r="AG350" s="837">
        <f t="shared" si="143"/>
        <v>-1</v>
      </c>
      <c r="AH350" s="178">
        <f t="shared" si="138"/>
        <v>5</v>
      </c>
      <c r="AI350" s="227">
        <f t="shared" si="139"/>
        <v>-5.1992908971332241E-4</v>
      </c>
      <c r="AJ350" s="267" t="b">
        <f t="shared" si="140"/>
        <v>0</v>
      </c>
      <c r="AK350" s="267" t="b">
        <f t="shared" si="141"/>
        <v>0</v>
      </c>
      <c r="AL350" s="267"/>
      <c r="AM350" s="267"/>
      <c r="AN350" s="75"/>
    </row>
    <row r="351" spans="1:40" s="6" customFormat="1" ht="11.25" x14ac:dyDescent="0.2">
      <c r="A351" s="56">
        <f t="shared" si="142"/>
        <v>44533</v>
      </c>
      <c r="B351" s="618">
        <v>11.233000000000001</v>
      </c>
      <c r="C351" s="392"/>
      <c r="D351" s="395">
        <f t="shared" si="122"/>
        <v>11.556492350609401</v>
      </c>
      <c r="E351" s="387">
        <f t="shared" si="120"/>
        <v>12.824570374986077</v>
      </c>
      <c r="F351" s="387">
        <f t="shared" si="123"/>
        <v>13.468073041251417</v>
      </c>
      <c r="G351" s="110">
        <f t="shared" si="121"/>
        <v>0.68984922652134928</v>
      </c>
      <c r="H351" s="414" t="b">
        <f>Wh_hp&gt;='2020'!Maxi_hp</f>
        <v>1</v>
      </c>
      <c r="I351" s="382">
        <f>IF(H351,Wh_hp,'2020'!Maxi_hp)</f>
        <v>13.468073041251417</v>
      </c>
      <c r="J351" s="85">
        <f>IF(H351,An,'2020'!An_max)</f>
        <v>2021</v>
      </c>
      <c r="K351" s="199">
        <f t="shared" si="124"/>
        <v>44533</v>
      </c>
      <c r="L351" s="147">
        <f>IF(t&lt;Tvie,1-EXP((T0-t)*PertePVj)+'2020'!Pspv,1-EXP((T0-t)*PertePVj)+Pspv)</f>
        <v>2.7992261042109612E-2</v>
      </c>
      <c r="M351" s="870"/>
      <c r="N351" s="870"/>
      <c r="O351" s="48">
        <f>IF(t&lt;Tnet,'2020'!Resal+('2020'!Salim-'2020'!Resal)*(1-EXP(('2020'!Tnet-t)/('2020'!Tau_j))),Resal+(Salim-Resal)*(1-EXP((Tnet-t)/(Tau_j))))*Salcycl</f>
        <v>9.887879182682191E-2</v>
      </c>
      <c r="P351" s="171">
        <f>(INDEX(Models!$BJ351:$BT351,,T351)*(1-R351)+INDEX(Models!$BJ351:$BT351,,T351+1)*R351-ERP_i)*Q351*Ramure*Pc/MaxiM</f>
        <v>8.0682185370579237E-2</v>
      </c>
      <c r="Q351" s="307">
        <f t="shared" si="125"/>
        <v>1</v>
      </c>
      <c r="R351" s="179">
        <f t="shared" si="126"/>
        <v>0.99950129161911427</v>
      </c>
      <c r="S351" s="837">
        <f t="shared" si="127"/>
        <v>-1</v>
      </c>
      <c r="T351" s="178">
        <f t="shared" si="128"/>
        <v>5</v>
      </c>
      <c r="U351" s="253">
        <f t="shared" si="129"/>
        <v>-4.9870838088572622E-4</v>
      </c>
      <c r="V351" s="385">
        <f t="shared" si="130"/>
        <v>15.720628003270136</v>
      </c>
      <c r="W351" s="404"/>
      <c r="X351" s="157">
        <f t="shared" si="131"/>
        <v>44533</v>
      </c>
      <c r="Y351" s="387">
        <f t="shared" si="132"/>
        <v>10.645105431864083</v>
      </c>
      <c r="Z351" s="387">
        <f t="shared" si="133"/>
        <v>10.951667363550953</v>
      </c>
      <c r="AA351" s="388">
        <f t="shared" si="134"/>
        <v>12.824570374986077</v>
      </c>
      <c r="AB351" s="199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0.14604021473406723</v>
      </c>
      <c r="AD351" s="233">
        <f>(INDEX(Models!$BJ351:$BT351,,AH351)*(1-AF351)+INDEX(Models!$BJ351:$BT351,,AH351+1)*AF351-ERP_i)*AE351*Ramure*Pc/MaxiM</f>
        <v>8.0682185370579237E-2</v>
      </c>
      <c r="AE351" s="307">
        <f t="shared" si="136"/>
        <v>1</v>
      </c>
      <c r="AF351" s="179">
        <f t="shared" si="137"/>
        <v>0.99950129161911427</v>
      </c>
      <c r="AG351" s="837">
        <f t="shared" si="143"/>
        <v>-1</v>
      </c>
      <c r="AH351" s="178">
        <f t="shared" si="138"/>
        <v>5</v>
      </c>
      <c r="AI351" s="227">
        <f t="shared" si="139"/>
        <v>-4.9870838088572622E-4</v>
      </c>
      <c r="AJ351" s="267" t="b">
        <f t="shared" si="140"/>
        <v>0</v>
      </c>
      <c r="AK351" s="267" t="b">
        <f t="shared" si="141"/>
        <v>0</v>
      </c>
      <c r="AL351" s="267"/>
      <c r="AM351" s="267"/>
      <c r="AN351" s="75"/>
    </row>
    <row r="352" spans="1:40" s="6" customFormat="1" ht="11.25" x14ac:dyDescent="0.2">
      <c r="A352" s="56">
        <f t="shared" si="142"/>
        <v>44534</v>
      </c>
      <c r="B352" s="618">
        <v>5.8159999999999998</v>
      </c>
      <c r="C352" s="392"/>
      <c r="D352" s="395">
        <f t="shared" si="122"/>
        <v>5.9836307025724089</v>
      </c>
      <c r="E352" s="387">
        <f t="shared" si="120"/>
        <v>6.6413294687103761</v>
      </c>
      <c r="F352" s="387">
        <f t="shared" si="123"/>
        <v>6.698802785400761</v>
      </c>
      <c r="G352" s="110">
        <f t="shared" si="121"/>
        <v>0.34594938856967833</v>
      </c>
      <c r="H352" s="414" t="b">
        <f>Wh_hp&gt;='2020'!Maxi_hp</f>
        <v>0</v>
      </c>
      <c r="I352" s="382">
        <f>IF(H352,Wh_hp,'2020'!Maxi_hp)</f>
        <v>12.13714686154451</v>
      </c>
      <c r="J352" s="85">
        <f>IF(H352,An,'2020'!An_max)</f>
        <v>2020</v>
      </c>
      <c r="K352" s="199">
        <f t="shared" si="124"/>
        <v>44534</v>
      </c>
      <c r="L352" s="147">
        <f>IF(t&lt;Tvie,1-EXP((T0-t)*PertePVj)+'2020'!Pspv,1-EXP((T0-t)*PertePVj)+Pspv)</f>
        <v>2.8014881082207066E-2</v>
      </c>
      <c r="M352" s="870"/>
      <c r="N352" s="870"/>
      <c r="O352" s="48">
        <f>IF(t&lt;Tnet,'2020'!Resal+('2020'!Salim-'2020'!Resal)*(1-EXP(('2020'!Tnet-t)/('2020'!Tau_j))),Resal+(Salim-Resal)*(1-EXP((Tnet-t)/(Tau_j))))*Salcycl</f>
        <v>9.9031190853671056E-2</v>
      </c>
      <c r="P352" s="171">
        <f>(INDEX(Models!$BJ352:$BT352,,T352)*(1-R352)+INDEX(Models!$BJ352:$BT352,,T352+1)*R352-ERP_i)*Q352*Ramure*Pc/MaxiM</f>
        <v>8.171063033614176E-2</v>
      </c>
      <c r="Q352" s="307">
        <f t="shared" si="125"/>
        <v>1</v>
      </c>
      <c r="R352" s="179">
        <f t="shared" si="126"/>
        <v>0.99952165912940327</v>
      </c>
      <c r="S352" s="837">
        <f t="shared" si="127"/>
        <v>-1</v>
      </c>
      <c r="T352" s="178">
        <f t="shared" si="128"/>
        <v>5</v>
      </c>
      <c r="U352" s="253">
        <f t="shared" si="129"/>
        <v>-4.7834087059672736E-4</v>
      </c>
      <c r="V352" s="385">
        <f t="shared" si="130"/>
        <v>15.571611287702481</v>
      </c>
      <c r="W352" s="404"/>
      <c r="X352" s="157">
        <f t="shared" si="131"/>
        <v>44534</v>
      </c>
      <c r="Y352" s="387">
        <f t="shared" si="132"/>
        <v>5.5127899332020576</v>
      </c>
      <c r="Z352" s="387">
        <f t="shared" si="133"/>
        <v>5.6716814135385025</v>
      </c>
      <c r="AA352" s="388">
        <f t="shared" si="134"/>
        <v>6.6413294687103761</v>
      </c>
      <c r="AB352" s="199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0.14600210089564508</v>
      </c>
      <c r="AD352" s="233">
        <f>(INDEX(Models!$BJ352:$BT352,,AH352)*(1-AF352)+INDEX(Models!$BJ352:$BT352,,AH352+1)*AF352-ERP_i)*AE352*Ramure*Pc/MaxiM</f>
        <v>8.171063033614176E-2</v>
      </c>
      <c r="AE352" s="307">
        <f t="shared" si="136"/>
        <v>1</v>
      </c>
      <c r="AF352" s="179">
        <f t="shared" si="137"/>
        <v>0.99952165912940327</v>
      </c>
      <c r="AG352" s="837">
        <f t="shared" si="143"/>
        <v>-1</v>
      </c>
      <c r="AH352" s="178">
        <f t="shared" si="138"/>
        <v>5</v>
      </c>
      <c r="AI352" s="227">
        <f t="shared" si="139"/>
        <v>-4.7834087059672736E-4</v>
      </c>
      <c r="AJ352" s="267" t="b">
        <f t="shared" si="140"/>
        <v>0</v>
      </c>
      <c r="AK352" s="267" t="b">
        <f t="shared" si="141"/>
        <v>0</v>
      </c>
      <c r="AL352" s="267"/>
      <c r="AM352" s="267"/>
      <c r="AN352" s="75"/>
    </row>
    <row r="353" spans="1:40" s="6" customFormat="1" ht="11.25" x14ac:dyDescent="0.2">
      <c r="A353" s="56">
        <f t="shared" si="142"/>
        <v>44535</v>
      </c>
      <c r="B353" s="618">
        <v>6.2350000000000003</v>
      </c>
      <c r="C353" s="392"/>
      <c r="D353" s="395">
        <f t="shared" si="122"/>
        <v>6.4148565441800827</v>
      </c>
      <c r="E353" s="387">
        <f t="shared" si="120"/>
        <v>7.1211772186323801</v>
      </c>
      <c r="F353" s="387">
        <f t="shared" si="123"/>
        <v>7.2098406359810179</v>
      </c>
      <c r="G353" s="110">
        <f t="shared" si="121"/>
        <v>0.37527808052288275</v>
      </c>
      <c r="H353" s="414" t="b">
        <f>Wh_hp&gt;='2020'!Maxi_hp</f>
        <v>0</v>
      </c>
      <c r="I353" s="382">
        <f>IF(H353,Wh_hp,'2020'!Maxi_hp)</f>
        <v>15.942256021610223</v>
      </c>
      <c r="J353" s="85">
        <f>IF(H353,An,'2020'!An_max)</f>
        <v>2018</v>
      </c>
      <c r="K353" s="199">
        <f t="shared" si="124"/>
        <v>44535</v>
      </c>
      <c r="L353" s="147">
        <f>IF(t&lt;Tvie,1-EXP((T0-t)*PertePVj)+'2020'!Pspv,1-EXP((T0-t)*PertePVj)+Pspv)</f>
        <v>2.8037500595903153E-2</v>
      </c>
      <c r="M353" s="870"/>
      <c r="N353" s="870"/>
      <c r="O353" s="48">
        <f>IF(t&lt;Tnet,'2020'!Resal+('2020'!Salim-'2020'!Resal)*(1-EXP(('2020'!Tnet-t)/('2020'!Tau_j))),Resal+(Salim-Resal)*(1-EXP((Tnet-t)/(Tau_j))))*Salcycl</f>
        <v>9.9185942543913524E-2</v>
      </c>
      <c r="P353" s="171">
        <f>(INDEX(Models!$BJ353:$BT353,,T353)*(1-R353)+INDEX(Models!$BJ353:$BT353,,T353+1)*R353-ERP_i)*Q353*Ramure*Pc/MaxiM</f>
        <v>8.2705896651351002E-2</v>
      </c>
      <c r="Q353" s="307">
        <f t="shared" si="125"/>
        <v>1</v>
      </c>
      <c r="R353" s="179">
        <f t="shared" si="126"/>
        <v>0.99954120769811983</v>
      </c>
      <c r="S353" s="837">
        <f t="shared" si="127"/>
        <v>-1</v>
      </c>
      <c r="T353" s="178">
        <f t="shared" si="128"/>
        <v>5</v>
      </c>
      <c r="U353" s="253">
        <f t="shared" si="129"/>
        <v>-4.5879230188017317E-4</v>
      </c>
      <c r="V353" s="385">
        <f t="shared" si="130"/>
        <v>15.429993120840571</v>
      </c>
      <c r="W353" s="404"/>
      <c r="X353" s="157">
        <f t="shared" si="131"/>
        <v>44535</v>
      </c>
      <c r="Y353" s="387">
        <f t="shared" si="132"/>
        <v>5.9111925365300459</v>
      </c>
      <c r="Z353" s="387">
        <f t="shared" si="133"/>
        <v>6.0817084405562509</v>
      </c>
      <c r="AA353" s="388">
        <f t="shared" si="134"/>
        <v>7.1211772186323801</v>
      </c>
      <c r="AB353" s="199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0.14596867149386275</v>
      </c>
      <c r="AD353" s="233">
        <f>(INDEX(Models!$BJ353:$BT353,,AH353)*(1-AF353)+INDEX(Models!$BJ353:$BT353,,AH353+1)*AF353-ERP_i)*AE353*Ramure*Pc/MaxiM</f>
        <v>8.2705896651351002E-2</v>
      </c>
      <c r="AE353" s="307">
        <f t="shared" si="136"/>
        <v>1</v>
      </c>
      <c r="AF353" s="179">
        <f t="shared" si="137"/>
        <v>0.99954120769811983</v>
      </c>
      <c r="AG353" s="837">
        <f t="shared" si="143"/>
        <v>-1</v>
      </c>
      <c r="AH353" s="178">
        <f t="shared" si="138"/>
        <v>5</v>
      </c>
      <c r="AI353" s="227">
        <f t="shared" si="139"/>
        <v>-4.5879230188017317E-4</v>
      </c>
      <c r="AJ353" s="267" t="b">
        <f t="shared" si="140"/>
        <v>0</v>
      </c>
      <c r="AK353" s="267" t="b">
        <f t="shared" si="141"/>
        <v>0</v>
      </c>
      <c r="AL353" s="267"/>
      <c r="AM353" s="267"/>
      <c r="AN353" s="75"/>
    </row>
    <row r="354" spans="1:40" s="6" customFormat="1" ht="11.25" x14ac:dyDescent="0.2">
      <c r="A354" s="56">
        <f t="shared" si="142"/>
        <v>44536</v>
      </c>
      <c r="B354" s="618">
        <v>8.8949999999999996</v>
      </c>
      <c r="C354" s="392"/>
      <c r="D354" s="395">
        <f t="shared" si="122"/>
        <v>9.1518006197930895</v>
      </c>
      <c r="E354" s="387">
        <f t="shared" si="120"/>
        <v>10.161249612478223</v>
      </c>
      <c r="F354" s="387">
        <f t="shared" si="123"/>
        <v>10.515015400463989</v>
      </c>
      <c r="G354" s="110">
        <f t="shared" si="121"/>
        <v>0.55140161974268154</v>
      </c>
      <c r="H354" s="414" t="b">
        <f>Wh_hp&gt;='2020'!Maxi_hp</f>
        <v>0</v>
      </c>
      <c r="I354" s="382">
        <f>IF(H354,Wh_hp,'2020'!Maxi_hp)</f>
        <v>16.269133792401302</v>
      </c>
      <c r="J354" s="85">
        <f>IF(H354,An,'2020'!An_max)</f>
        <v>2020</v>
      </c>
      <c r="K354" s="199">
        <f t="shared" si="124"/>
        <v>44536</v>
      </c>
      <c r="L354" s="147">
        <f>IF(t&lt;Tvie,1-EXP((T0-t)*PertePVj)+'2020'!Pspv,1-EXP((T0-t)*PertePVj)+Pspv)</f>
        <v>2.8060119583210086E-2</v>
      </c>
      <c r="M354" s="870"/>
      <c r="N354" s="870"/>
      <c r="O354" s="48">
        <f>IF(t&lt;Tnet,'2020'!Resal+('2020'!Salim-'2020'!Resal)*(1-EXP(('2020'!Tnet-t)/('2020'!Tau_j))),Resal+(Salim-Resal)*(1-EXP((Tnet-t)/(Tau_j))))*Salcycl</f>
        <v>9.9342997287017662E-2</v>
      </c>
      <c r="P354" s="171">
        <f>(INDEX(Models!$BJ354:$BT354,,T354)*(1-R354)+INDEX(Models!$BJ354:$BT354,,T354+1)*R354-ERP_i)*Q354*Ramure*Pc/MaxiM</f>
        <v>8.3661622435110619E-2</v>
      </c>
      <c r="Q354" s="307">
        <f t="shared" si="125"/>
        <v>1</v>
      </c>
      <c r="R354" s="179">
        <f t="shared" si="126"/>
        <v>0.99955997021045195</v>
      </c>
      <c r="S354" s="837">
        <f t="shared" si="127"/>
        <v>-1</v>
      </c>
      <c r="T354" s="178">
        <f t="shared" si="128"/>
        <v>5</v>
      </c>
      <c r="U354" s="253">
        <f t="shared" si="129"/>
        <v>-4.400297895480465E-4</v>
      </c>
      <c r="V354" s="385">
        <f t="shared" si="130"/>
        <v>15.296658947922943</v>
      </c>
      <c r="W354" s="404"/>
      <c r="X354" s="157">
        <f t="shared" si="131"/>
        <v>44536</v>
      </c>
      <c r="Y354" s="387">
        <f t="shared" si="132"/>
        <v>8.4348039874509642</v>
      </c>
      <c r="Z354" s="387">
        <f t="shared" si="133"/>
        <v>8.6783186464515971</v>
      </c>
      <c r="AA354" s="388">
        <f t="shared" si="134"/>
        <v>10.161249612478223</v>
      </c>
      <c r="AB354" s="199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0.14593982261842645</v>
      </c>
      <c r="AD354" s="233">
        <f>(INDEX(Models!$BJ354:$BT354,,AH354)*(1-AF354)+INDEX(Models!$BJ354:$BT354,,AH354+1)*AF354-ERP_i)*AE354*Ramure*Pc/MaxiM</f>
        <v>8.3661622435110619E-2</v>
      </c>
      <c r="AE354" s="307">
        <f t="shared" si="136"/>
        <v>1</v>
      </c>
      <c r="AF354" s="179">
        <f t="shared" si="137"/>
        <v>0.99955997021045195</v>
      </c>
      <c r="AG354" s="837">
        <f t="shared" si="143"/>
        <v>-1</v>
      </c>
      <c r="AH354" s="178">
        <f t="shared" si="138"/>
        <v>5</v>
      </c>
      <c r="AI354" s="227">
        <f t="shared" si="139"/>
        <v>-4.400297895480465E-4</v>
      </c>
      <c r="AJ354" s="267" t="b">
        <f t="shared" si="140"/>
        <v>0</v>
      </c>
      <c r="AK354" s="267" t="b">
        <f t="shared" si="141"/>
        <v>0</v>
      </c>
      <c r="AL354" s="267"/>
      <c r="AM354" s="267"/>
      <c r="AN354" s="75"/>
    </row>
    <row r="355" spans="1:40" s="6" customFormat="1" ht="11.25" x14ac:dyDescent="0.2">
      <c r="A355" s="56">
        <f t="shared" si="142"/>
        <v>44537</v>
      </c>
      <c r="B355" s="618">
        <v>5.351</v>
      </c>
      <c r="C355" s="392"/>
      <c r="D355" s="395">
        <f t="shared" si="122"/>
        <v>5.5056126786263606</v>
      </c>
      <c r="E355" s="387">
        <f t="shared" si="120"/>
        <v>6.1139663714558683</v>
      </c>
      <c r="F355" s="387">
        <f t="shared" si="123"/>
        <v>6.1531267467885611</v>
      </c>
      <c r="G355" s="110">
        <f t="shared" si="121"/>
        <v>0.32491921781286015</v>
      </c>
      <c r="H355" s="414" t="b">
        <f>Wh_hp&gt;='2020'!Maxi_hp</f>
        <v>0</v>
      </c>
      <c r="I355" s="382">
        <f>IF(H355,Wh_hp,'2020'!Maxi_hp)</f>
        <v>16.590596066014591</v>
      </c>
      <c r="J355" s="85">
        <f>IF(H355,An,'2020'!An_max)</f>
        <v>2018</v>
      </c>
      <c r="K355" s="199">
        <f t="shared" si="124"/>
        <v>44537</v>
      </c>
      <c r="L355" s="147">
        <f>IF(t&lt;Tvie,1-EXP((T0-t)*PertePVj)+'2020'!Pspv,1-EXP((T0-t)*PertePVj)+Pspv)</f>
        <v>2.8082738044140187E-2</v>
      </c>
      <c r="M355" s="870"/>
      <c r="N355" s="870"/>
      <c r="O355" s="48">
        <f>IF(t&lt;Tnet,'2020'!Resal+('2020'!Salim-'2020'!Resal)*(1-EXP(('2020'!Tnet-t)/('2020'!Tau_j))),Resal+(Salim-Resal)*(1-EXP((Tnet-t)/(Tau_j))))*Salcycl</f>
        <v>9.9502296196739698E-2</v>
      </c>
      <c r="P355" s="171">
        <f>(INDEX(Models!$BJ355:$BT355,,T355)*(1-R355)+INDEX(Models!$BJ355:$BT355,,T355+1)*R355-ERP_i)*Q355*Ramure*Pc/MaxiM</f>
        <v>8.4571157276122591E-2</v>
      </c>
      <c r="Q355" s="307">
        <f t="shared" si="125"/>
        <v>1</v>
      </c>
      <c r="R355" s="179">
        <f t="shared" si="126"/>
        <v>0.99957797823445105</v>
      </c>
      <c r="S355" s="837">
        <f t="shared" si="127"/>
        <v>-1</v>
      </c>
      <c r="T355" s="178">
        <f t="shared" si="128"/>
        <v>5</v>
      </c>
      <c r="U355" s="253">
        <f t="shared" si="129"/>
        <v>-4.2202176554895221E-4</v>
      </c>
      <c r="V355" s="385">
        <f t="shared" si="130"/>
        <v>15.172493465601121</v>
      </c>
      <c r="W355" s="404"/>
      <c r="X355" s="157">
        <f t="shared" si="131"/>
        <v>44537</v>
      </c>
      <c r="Y355" s="387">
        <f t="shared" si="132"/>
        <v>5.0752006067167583</v>
      </c>
      <c r="Z355" s="387">
        <f t="shared" si="133"/>
        <v>5.2218442920784875</v>
      </c>
      <c r="AA355" s="388">
        <f t="shared" si="134"/>
        <v>6.1139663714558683</v>
      </c>
      <c r="AB355" s="199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0.14591543773325449</v>
      </c>
      <c r="AD355" s="233">
        <f>(INDEX(Models!$BJ355:$BT355,,AH355)*(1-AF355)+INDEX(Models!$BJ355:$BT355,,AH355+1)*AF355-ERP_i)*AE355*Ramure*Pc/MaxiM</f>
        <v>8.4571157276122591E-2</v>
      </c>
      <c r="AE355" s="307">
        <f t="shared" si="136"/>
        <v>1</v>
      </c>
      <c r="AF355" s="179">
        <f t="shared" si="137"/>
        <v>0.99957797823445105</v>
      </c>
      <c r="AG355" s="837">
        <f t="shared" si="143"/>
        <v>-1</v>
      </c>
      <c r="AH355" s="178">
        <f t="shared" si="138"/>
        <v>5</v>
      </c>
      <c r="AI355" s="227">
        <f t="shared" si="139"/>
        <v>-4.2202176554895221E-4</v>
      </c>
      <c r="AJ355" s="267" t="b">
        <f t="shared" si="140"/>
        <v>0</v>
      </c>
      <c r="AK355" s="267" t="b">
        <f t="shared" si="141"/>
        <v>0</v>
      </c>
      <c r="AL355" s="267"/>
      <c r="AM355" s="267"/>
      <c r="AN355" s="75"/>
    </row>
    <row r="356" spans="1:40" s="6" customFormat="1" ht="11.25" x14ac:dyDescent="0.2">
      <c r="A356" s="56">
        <f t="shared" si="142"/>
        <v>44538</v>
      </c>
      <c r="B356" s="618">
        <v>8.3759999999999994</v>
      </c>
      <c r="C356" s="392"/>
      <c r="D356" s="395">
        <f t="shared" si="122"/>
        <v>8.6182180872441148</v>
      </c>
      <c r="E356" s="387">
        <f t="shared" si="120"/>
        <v>9.5722218176356026</v>
      </c>
      <c r="F356" s="387">
        <f t="shared" si="123"/>
        <v>9.8812152201849415</v>
      </c>
      <c r="G356" s="110">
        <f t="shared" si="121"/>
        <v>0.52513878021231208</v>
      </c>
      <c r="H356" s="414" t="b">
        <f>Wh_hp&gt;='2020'!Maxi_hp</f>
        <v>0</v>
      </c>
      <c r="I356" s="382">
        <f>IF(H356,Wh_hp,'2020'!Maxi_hp)</f>
        <v>15.197501570723485</v>
      </c>
      <c r="J356" s="85">
        <f>IF(H356,An,'2020'!An_max)</f>
        <v>2019</v>
      </c>
      <c r="K356" s="199">
        <f t="shared" si="124"/>
        <v>44538</v>
      </c>
      <c r="L356" s="147">
        <f>IF(t&lt;Tvie,1-EXP((T0-t)*PertePVj)+'2020'!Pspv,1-EXP((T0-t)*PertePVj)+Pspv)</f>
        <v>2.810535597870556E-2</v>
      </c>
      <c r="M356" s="870"/>
      <c r="N356" s="870"/>
      <c r="O356" s="48">
        <f>IF(t&lt;Tnet,'2020'!Resal+('2020'!Salim-'2020'!Resal)*(1-EXP(('2020'!Tnet-t)/('2020'!Tau_j))),Resal+(Salim-Resal)*(1-EXP((Tnet-t)/(Tau_j))))*Salcycl</f>
        <v>9.9663771751909935E-2</v>
      </c>
      <c r="P356" s="171">
        <f>(INDEX(Models!$BJ356:$BT356,,T356)*(1-R356)+INDEX(Models!$BJ356:$BT356,,T356+1)*R356-ERP_i)*Q356*Ramure*Pc/MaxiM</f>
        <v>8.5427608452944476E-2</v>
      </c>
      <c r="Q356" s="307">
        <f t="shared" si="125"/>
        <v>1</v>
      </c>
      <c r="R356" s="179">
        <f t="shared" si="126"/>
        <v>0.99959526207351868</v>
      </c>
      <c r="S356" s="837">
        <f t="shared" si="127"/>
        <v>-1</v>
      </c>
      <c r="T356" s="178">
        <f t="shared" si="128"/>
        <v>5</v>
      </c>
      <c r="U356" s="253">
        <f t="shared" si="129"/>
        <v>-4.0473792648132445E-4</v>
      </c>
      <c r="V356" s="385">
        <f t="shared" si="130"/>
        <v>15.058380587308145</v>
      </c>
      <c r="W356" s="404"/>
      <c r="X356" s="157">
        <f t="shared" si="131"/>
        <v>44538</v>
      </c>
      <c r="Y356" s="387">
        <f t="shared" si="132"/>
        <v>7.9458984317841637</v>
      </c>
      <c r="Z356" s="387">
        <f t="shared" si="133"/>
        <v>8.1756787946760898</v>
      </c>
      <c r="AA356" s="388">
        <f t="shared" si="134"/>
        <v>9.5722218176356026</v>
      </c>
      <c r="AB356" s="199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0.14589538871597821</v>
      </c>
      <c r="AD356" s="233">
        <f>(INDEX(Models!$BJ356:$BT356,,AH356)*(1-AF356)+INDEX(Models!$BJ356:$BT356,,AH356+1)*AF356-ERP_i)*AE356*Ramure*Pc/MaxiM</f>
        <v>8.5427608452944476E-2</v>
      </c>
      <c r="AE356" s="307">
        <f t="shared" si="136"/>
        <v>1</v>
      </c>
      <c r="AF356" s="179">
        <f t="shared" si="137"/>
        <v>0.99959526207351868</v>
      </c>
      <c r="AG356" s="837">
        <f t="shared" si="143"/>
        <v>-1</v>
      </c>
      <c r="AH356" s="178">
        <f t="shared" si="138"/>
        <v>5</v>
      </c>
      <c r="AI356" s="227">
        <f t="shared" si="139"/>
        <v>-4.0473792648132445E-4</v>
      </c>
      <c r="AJ356" s="267" t="b">
        <f t="shared" si="140"/>
        <v>0</v>
      </c>
      <c r="AK356" s="267" t="b">
        <f t="shared" si="141"/>
        <v>0</v>
      </c>
      <c r="AL356" s="267"/>
      <c r="AM356" s="267"/>
      <c r="AN356" s="75"/>
    </row>
    <row r="357" spans="1:40" s="6" customFormat="1" ht="11.25" x14ac:dyDescent="0.2">
      <c r="A357" s="56">
        <f t="shared" si="142"/>
        <v>44539</v>
      </c>
      <c r="B357" s="618">
        <v>7.0200000000000005</v>
      </c>
      <c r="C357" s="392"/>
      <c r="D357" s="395">
        <f t="shared" si="122"/>
        <v>7.2231732242199627</v>
      </c>
      <c r="E357" s="387">
        <f t="shared" si="120"/>
        <v>8.024208702655347</v>
      </c>
      <c r="F357" s="387">
        <f t="shared" si="123"/>
        <v>8.1952133854067846</v>
      </c>
      <c r="G357" s="110">
        <f t="shared" si="121"/>
        <v>0.4380691128343922</v>
      </c>
      <c r="H357" s="414" t="b">
        <f>Wh_hp&gt;='2020'!Maxi_hp</f>
        <v>0</v>
      </c>
      <c r="I357" s="382">
        <f>IF(H357,Wh_hp,'2020'!Maxi_hp)</f>
        <v>9.1861126811797025</v>
      </c>
      <c r="J357" s="85">
        <f>IF(H357,An,'2020'!An_max)</f>
        <v>2020</v>
      </c>
      <c r="K357" s="199">
        <f t="shared" si="124"/>
        <v>44539</v>
      </c>
      <c r="L357" s="147">
        <f>IF(t&lt;Tvie,1-EXP((T0-t)*PertePVj)+'2020'!Pspv,1-EXP((T0-t)*PertePVj)+Pspv)</f>
        <v>2.8127973386918637E-2</v>
      </c>
      <c r="M357" s="870"/>
      <c r="N357" s="870"/>
      <c r="O357" s="48">
        <f>IF(t&lt;Tnet,'2020'!Resal+('2020'!Salim-'2020'!Resal)*(1-EXP(('2020'!Tnet-t)/('2020'!Tau_j))),Resal+(Salim-Resal)*(1-EXP((Tnet-t)/(Tau_j))))*Salcycl</f>
        <v>9.9827348479895356E-2</v>
      </c>
      <c r="P357" s="171">
        <f>(INDEX(Models!$BJ357:$BT357,,T357)*(1-R357)+INDEX(Models!$BJ357:$BT357,,T357+1)*R357-ERP_i)*Q357*Ramure*Pc/MaxiM</f>
        <v>8.6223898440986282E-2</v>
      </c>
      <c r="Q357" s="307">
        <f t="shared" si="125"/>
        <v>1</v>
      </c>
      <c r="R357" s="179">
        <f t="shared" si="126"/>
        <v>0.9996118508168228</v>
      </c>
      <c r="S357" s="837">
        <f t="shared" si="127"/>
        <v>-1</v>
      </c>
      <c r="T357" s="178">
        <f t="shared" si="128"/>
        <v>5</v>
      </c>
      <c r="U357" s="253">
        <f t="shared" si="129"/>
        <v>-3.8814918317719993E-4</v>
      </c>
      <c r="V357" s="385">
        <f t="shared" si="130"/>
        <v>14.955203424709119</v>
      </c>
      <c r="W357" s="404"/>
      <c r="X357" s="157">
        <f t="shared" si="131"/>
        <v>44539</v>
      </c>
      <c r="Y357" s="387">
        <f t="shared" si="132"/>
        <v>6.6608618252314651</v>
      </c>
      <c r="Z357" s="387">
        <f t="shared" si="133"/>
        <v>6.8536408527408579</v>
      </c>
      <c r="AA357" s="388">
        <f t="shared" si="134"/>
        <v>8.024208702655347</v>
      </c>
      <c r="AB357" s="199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0.14587953694762806</v>
      </c>
      <c r="AD357" s="233">
        <f>(INDEX(Models!$BJ357:$BT357,,AH357)*(1-AF357)+INDEX(Models!$BJ357:$BT357,,AH357+1)*AF357-ERP_i)*AE357*Ramure*Pc/MaxiM</f>
        <v>8.6223898440986282E-2</v>
      </c>
      <c r="AE357" s="307">
        <f t="shared" si="136"/>
        <v>1</v>
      </c>
      <c r="AF357" s="179">
        <f t="shared" si="137"/>
        <v>0.9996118508168228</v>
      </c>
      <c r="AG357" s="837">
        <f t="shared" si="143"/>
        <v>-1</v>
      </c>
      <c r="AH357" s="178">
        <f t="shared" si="138"/>
        <v>5</v>
      </c>
      <c r="AI357" s="227">
        <f t="shared" si="139"/>
        <v>-3.8814918317719993E-4</v>
      </c>
      <c r="AJ357" s="267" t="b">
        <f t="shared" si="140"/>
        <v>0</v>
      </c>
      <c r="AK357" s="267" t="b">
        <f t="shared" si="141"/>
        <v>0</v>
      </c>
      <c r="AL357" s="267"/>
      <c r="AM357" s="267"/>
      <c r="AN357" s="75"/>
    </row>
    <row r="358" spans="1:40" s="6" customFormat="1" ht="11.25" x14ac:dyDescent="0.2">
      <c r="A358" s="56">
        <f t="shared" si="142"/>
        <v>44540</v>
      </c>
      <c r="B358" s="618">
        <v>2.39</v>
      </c>
      <c r="C358" s="392"/>
      <c r="D358" s="395">
        <f t="shared" si="122"/>
        <v>2.4592287406554276</v>
      </c>
      <c r="E358" s="387">
        <f t="shared" si="120"/>
        <v>2.7324549550782571</v>
      </c>
      <c r="F358" s="387">
        <f t="shared" si="123"/>
        <v>2.7324549550782571</v>
      </c>
      <c r="G358" s="110">
        <f t="shared" si="121"/>
        <v>0.14681146331544262</v>
      </c>
      <c r="H358" s="414" t="b">
        <f>Wh_hp&gt;='2020'!Maxi_hp</f>
        <v>0</v>
      </c>
      <c r="I358" s="382">
        <f>IF(H358,Wh_hp,'2020'!Maxi_hp)</f>
        <v>16.709769802628212</v>
      </c>
      <c r="J358" s="85">
        <f>IF(H358,An,'2020'!An_max)</f>
        <v>2019</v>
      </c>
      <c r="K358" s="199">
        <f t="shared" si="124"/>
        <v>44540</v>
      </c>
      <c r="L358" s="147">
        <f>IF(t&lt;Tvie,1-EXP((T0-t)*PertePVj)+'2020'!Pspv,1-EXP((T0-t)*PertePVj)+Pspv)</f>
        <v>2.8150590268791631E-2</v>
      </c>
      <c r="M358" s="870"/>
      <c r="N358" s="870"/>
      <c r="O358" s="48">
        <f>IF(t&lt;Tnet,'2020'!Resal+('2020'!Salim-'2020'!Resal)*(1-EXP(('2020'!Tnet-t)/('2020'!Tau_j))),Resal+(Salim-Resal)*(1-EXP((Tnet-t)/(Tau_j))))*Salcycl</f>
        <v>9.9992943676908447E-2</v>
      </c>
      <c r="P358" s="171">
        <f>(INDEX(Models!$BJ358:$BT358,,T358)*(1-R358)+INDEX(Models!$BJ358:$BT358,,T358+1)*R358-ERP_i)*Q358*Ramure*Pc/MaxiM</f>
        <v>8.6952834097502499E-2</v>
      </c>
      <c r="Q358" s="307">
        <f t="shared" si="125"/>
        <v>1</v>
      </c>
      <c r="R358" s="179">
        <f t="shared" si="126"/>
        <v>0.99962777238772516</v>
      </c>
      <c r="S358" s="837">
        <f t="shared" si="127"/>
        <v>-1</v>
      </c>
      <c r="T358" s="178">
        <f t="shared" si="128"/>
        <v>5</v>
      </c>
      <c r="U358" s="253">
        <f t="shared" si="129"/>
        <v>-3.7222761227484469E-4</v>
      </c>
      <c r="V358" s="385">
        <f t="shared" si="130"/>
        <v>14.863844261386314</v>
      </c>
      <c r="W358" s="404"/>
      <c r="X358" s="157">
        <f t="shared" si="131"/>
        <v>44540</v>
      </c>
      <c r="Y358" s="387">
        <f t="shared" si="132"/>
        <v>2.2681778996486677</v>
      </c>
      <c r="Z358" s="387">
        <f t="shared" si="133"/>
        <v>2.33387794131191</v>
      </c>
      <c r="AA358" s="388">
        <f t="shared" si="134"/>
        <v>2.7324549550782571</v>
      </c>
      <c r="AB358" s="199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0.1458677344435608</v>
      </c>
      <c r="AD358" s="233">
        <f>(INDEX(Models!$BJ358:$BT358,,AH358)*(1-AF358)+INDEX(Models!$BJ358:$BT358,,AH358+1)*AF358-ERP_i)*AE358*Ramure*Pc/MaxiM</f>
        <v>8.6952834097502499E-2</v>
      </c>
      <c r="AE358" s="307">
        <f t="shared" si="136"/>
        <v>1</v>
      </c>
      <c r="AF358" s="179">
        <f t="shared" si="137"/>
        <v>0.99962777238772516</v>
      </c>
      <c r="AG358" s="837">
        <f t="shared" si="143"/>
        <v>-1</v>
      </c>
      <c r="AH358" s="178">
        <f t="shared" si="138"/>
        <v>5</v>
      </c>
      <c r="AI358" s="227">
        <f t="shared" si="139"/>
        <v>-3.7222761227484469E-4</v>
      </c>
      <c r="AJ358" s="267" t="b">
        <f t="shared" si="140"/>
        <v>0</v>
      </c>
      <c r="AK358" s="267" t="b">
        <f t="shared" si="141"/>
        <v>0</v>
      </c>
      <c r="AL358" s="267"/>
      <c r="AM358" s="267"/>
      <c r="AN358" s="75"/>
    </row>
    <row r="359" spans="1:40" s="6" customFormat="1" ht="11.25" x14ac:dyDescent="0.2">
      <c r="A359" s="56">
        <f t="shared" si="142"/>
        <v>44541</v>
      </c>
      <c r="B359" s="618">
        <v>9.0969999999999995</v>
      </c>
      <c r="C359" s="392"/>
      <c r="D359" s="395">
        <f t="shared" si="122"/>
        <v>9.3607215421601566</v>
      </c>
      <c r="E359" s="387">
        <f t="shared" si="120"/>
        <v>10.402656485884505</v>
      </c>
      <c r="F359" s="387">
        <f t="shared" si="123"/>
        <v>10.830198860420701</v>
      </c>
      <c r="G359" s="110">
        <f t="shared" si="121"/>
        <v>0.58453632519952603</v>
      </c>
      <c r="H359" s="414" t="b">
        <f>Wh_hp&gt;='2020'!Maxi_hp</f>
        <v>0</v>
      </c>
      <c r="I359" s="382">
        <f>IF(H359,Wh_hp,'2020'!Maxi_hp)</f>
        <v>15.16428753732999</v>
      </c>
      <c r="J359" s="85">
        <f>IF(H359,An,'2020'!An_max)</f>
        <v>2018</v>
      </c>
      <c r="K359" s="199">
        <f t="shared" si="124"/>
        <v>44541</v>
      </c>
      <c r="L359" s="147">
        <f>IF(t&lt;Tvie,1-EXP((T0-t)*PertePVj)+'2020'!Pspv,1-EXP((T0-t)*PertePVj)+Pspv)</f>
        <v>2.8173206624336644E-2</v>
      </c>
      <c r="M359" s="870"/>
      <c r="N359" s="870"/>
      <c r="O359" s="48">
        <f>IF(t&lt;Tnet,'2020'!Resal+('2020'!Salim-'2020'!Resal)*(1-EXP(('2020'!Tnet-t)/('2020'!Tau_j))),Resal+(Salim-Resal)*(1-EXP((Tnet-t)/(Tau_j))))*Salcycl</f>
        <v>0.1001604681590863</v>
      </c>
      <c r="P359" s="171">
        <f>(INDEX(Models!$BJ359:$BT359,,T359)*(1-R359)+INDEX(Models!$BJ359:$BT359,,T359+1)*R359-ERP_i)*Q359*Ramure*Pc/MaxiM</f>
        <v>8.7620508247567563E-2</v>
      </c>
      <c r="Q359" s="307">
        <f t="shared" si="125"/>
        <v>1</v>
      </c>
      <c r="R359" s="179">
        <f t="shared" si="126"/>
        <v>0.99964305359029304</v>
      </c>
      <c r="S359" s="837">
        <f t="shared" si="127"/>
        <v>-1</v>
      </c>
      <c r="T359" s="178">
        <f t="shared" si="128"/>
        <v>5</v>
      </c>
      <c r="U359" s="253">
        <f t="shared" si="129"/>
        <v>-3.5694640970695968E-4</v>
      </c>
      <c r="V359" s="385">
        <f t="shared" si="130"/>
        <v>14.782720919434654</v>
      </c>
      <c r="W359" s="404"/>
      <c r="X359" s="157">
        <f t="shared" si="131"/>
        <v>44541</v>
      </c>
      <c r="Y359" s="387">
        <f t="shared" si="132"/>
        <v>8.6349986824084137</v>
      </c>
      <c r="Z359" s="387">
        <f t="shared" si="133"/>
        <v>8.8853268311470828</v>
      </c>
      <c r="AA359" s="388">
        <f t="shared" si="134"/>
        <v>10.402656485884505</v>
      </c>
      <c r="AB359" s="199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0.14585982501645672</v>
      </c>
      <c r="AD359" s="233">
        <f>(INDEX(Models!$BJ359:$BT359,,AH359)*(1-AF359)+INDEX(Models!$BJ359:$BT359,,AH359+1)*AF359-ERP_i)*AE359*Ramure*Pc/MaxiM</f>
        <v>8.7620508247567563E-2</v>
      </c>
      <c r="AE359" s="307">
        <f t="shared" si="136"/>
        <v>1</v>
      </c>
      <c r="AF359" s="179">
        <f t="shared" si="137"/>
        <v>0.99964305359029304</v>
      </c>
      <c r="AG359" s="837">
        <f t="shared" si="143"/>
        <v>-1</v>
      </c>
      <c r="AH359" s="178">
        <f t="shared" si="138"/>
        <v>5</v>
      </c>
      <c r="AI359" s="227">
        <f t="shared" si="139"/>
        <v>-3.5694640970695968E-4</v>
      </c>
      <c r="AJ359" s="267" t="b">
        <f t="shared" si="140"/>
        <v>0</v>
      </c>
      <c r="AK359" s="267" t="b">
        <f t="shared" si="141"/>
        <v>0</v>
      </c>
      <c r="AL359" s="267"/>
      <c r="AM359" s="267"/>
      <c r="AN359" s="75"/>
    </row>
    <row r="360" spans="1:40" s="6" customFormat="1" ht="11.25" x14ac:dyDescent="0.2">
      <c r="A360" s="56">
        <f t="shared" si="142"/>
        <v>44542</v>
      </c>
      <c r="B360" s="618">
        <v>14.519</v>
      </c>
      <c r="C360" s="392"/>
      <c r="D360" s="395">
        <f t="shared" si="122"/>
        <v>14.940252712904464</v>
      </c>
      <c r="E360" s="387">
        <f t="shared" si="120"/>
        <v>16.606366601793184</v>
      </c>
      <c r="F360" s="387">
        <f t="shared" si="123"/>
        <v>18.180866502884243</v>
      </c>
      <c r="G360" s="110">
        <f t="shared" si="121"/>
        <v>0.98526733604804029</v>
      </c>
      <c r="H360" s="414" t="b">
        <f>Wh_hp&gt;='2020'!Maxi_hp</f>
        <v>1</v>
      </c>
      <c r="I360" s="382">
        <f>IF(H360,Wh_hp,'2020'!Maxi_hp)</f>
        <v>18.180866502884243</v>
      </c>
      <c r="J360" s="85">
        <f>IF(H360,An,'2020'!An_max)</f>
        <v>2021</v>
      </c>
      <c r="K360" s="199">
        <f t="shared" si="124"/>
        <v>44542</v>
      </c>
      <c r="L360" s="147">
        <f>IF(t&lt;Tvie,1-EXP((T0-t)*PertePVj)+'2020'!Pspv,1-EXP((T0-t)*PertePVj)+Pspv)</f>
        <v>2.8195822453566111E-2</v>
      </c>
      <c r="M360" s="870"/>
      <c r="N360" s="870"/>
      <c r="O360" s="48">
        <f>IF(t&lt;Tnet,'2020'!Resal+('2020'!Salim-'2020'!Resal)*(1-EXP(('2020'!Tnet-t)/('2020'!Tau_j))),Resal+(Salim-Resal)*(1-EXP((Tnet-t)/(Tau_j))))*Salcycl</f>
        <v>0.10032982703807171</v>
      </c>
      <c r="P360" s="171">
        <f>(INDEX(Models!$BJ360:$BT360,,T360)*(1-R360)+INDEX(Models!$BJ360:$BT360,,T360+1)*R360-ERP_i)*Q360*Ramure*Pc/MaxiM</f>
        <v>8.8236475981925924E-2</v>
      </c>
      <c r="Q360" s="307">
        <f t="shared" si="125"/>
        <v>1</v>
      </c>
      <c r="R360" s="179">
        <f t="shared" si="126"/>
        <v>0.99965772015397358</v>
      </c>
      <c r="S360" s="837">
        <f t="shared" si="127"/>
        <v>-1</v>
      </c>
      <c r="T360" s="178">
        <f t="shared" si="128"/>
        <v>5</v>
      </c>
      <c r="U360" s="253">
        <f t="shared" si="129"/>
        <v>-3.4227984602641648E-4</v>
      </c>
      <c r="V360" s="385">
        <f t="shared" si="130"/>
        <v>14.709733030240628</v>
      </c>
      <c r="W360" s="404"/>
      <c r="X360" s="157">
        <f t="shared" si="131"/>
        <v>44542</v>
      </c>
      <c r="Y360" s="387">
        <f t="shared" si="132"/>
        <v>13.784298130845103</v>
      </c>
      <c r="Z360" s="387">
        <f t="shared" si="133"/>
        <v>14.18423428230887</v>
      </c>
      <c r="AA360" s="388">
        <f t="shared" si="134"/>
        <v>16.606366601793184</v>
      </c>
      <c r="AB360" s="199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0.14585564546207044</v>
      </c>
      <c r="AD360" s="233">
        <f>(INDEX(Models!$BJ360:$BT360,,AH360)*(1-AF360)+INDEX(Models!$BJ360:$BT360,,AH360+1)*AF360-ERP_i)*AE360*Ramure*Pc/MaxiM</f>
        <v>8.8236475981925924E-2</v>
      </c>
      <c r="AE360" s="307">
        <f t="shared" si="136"/>
        <v>1</v>
      </c>
      <c r="AF360" s="179">
        <f t="shared" si="137"/>
        <v>0.99965772015397358</v>
      </c>
      <c r="AG360" s="837">
        <f t="shared" si="143"/>
        <v>-1</v>
      </c>
      <c r="AH360" s="178">
        <f t="shared" si="138"/>
        <v>5</v>
      </c>
      <c r="AI360" s="227">
        <f t="shared" si="139"/>
        <v>-3.4227984602641648E-4</v>
      </c>
      <c r="AJ360" s="267" t="b">
        <f t="shared" si="140"/>
        <v>0</v>
      </c>
      <c r="AK360" s="267" t="b">
        <f t="shared" si="141"/>
        <v>0</v>
      </c>
      <c r="AL360" s="267"/>
      <c r="AM360" s="267"/>
      <c r="AN360" s="75"/>
    </row>
    <row r="361" spans="1:40" s="6" customFormat="1" ht="11.25" x14ac:dyDescent="0.2">
      <c r="A361" s="56">
        <f t="shared" si="142"/>
        <v>44543</v>
      </c>
      <c r="B361" s="618">
        <v>14.739000000000001</v>
      </c>
      <c r="C361" s="392"/>
      <c r="D361" s="395">
        <f t="shared" si="122"/>
        <v>15.166988727356323</v>
      </c>
      <c r="E361" s="387">
        <f t="shared" ref="E361:E379" si="144">Wh_pvt/(1-Psa)</f>
        <v>16.861594495499553</v>
      </c>
      <c r="F361" s="387">
        <f t="shared" si="123"/>
        <v>18.504532146725122</v>
      </c>
      <c r="G361" s="110">
        <f t="shared" ref="G361:G379" si="145">+Wh_hp/MaxiM</f>
        <v>1.006405161837101</v>
      </c>
      <c r="H361" s="414" t="b">
        <f>Wh_hp&gt;='2020'!Maxi_hp</f>
        <v>1</v>
      </c>
      <c r="I361" s="382">
        <f>IF(H361,Wh_hp,'2020'!Maxi_hp)</f>
        <v>18.504532146725122</v>
      </c>
      <c r="J361" s="85">
        <f>IF(H361,An,'2020'!An_max)</f>
        <v>2021</v>
      </c>
      <c r="K361" s="199">
        <f t="shared" si="124"/>
        <v>44543</v>
      </c>
      <c r="L361" s="147">
        <f>IF(t&lt;Tvie,1-EXP((T0-t)*PertePVj)+'2020'!Pspv,1-EXP((T0-t)*PertePVj)+Pspv)</f>
        <v>2.8218437756492132E-2</v>
      </c>
      <c r="M361" s="870"/>
      <c r="N361" s="870"/>
      <c r="O361" s="48">
        <f>IF(t&lt;Tnet,'2020'!Resal+('2020'!Salim-'2020'!Resal)*(1-EXP(('2020'!Tnet-t)/('2020'!Tau_j))),Resal+(Salim-Resal)*(1-EXP((Tnet-t)/(Tau_j))))*Salcycl</f>
        <v>0.10050092051469559</v>
      </c>
      <c r="P361" s="171">
        <f>(INDEX(Models!$BJ361:$BT361,,T361)*(1-R361)+INDEX(Models!$BJ361:$BT361,,T361+1)*R361-ERP_i)*Q361*Ramure*Pc/MaxiM</f>
        <v>8.878568980823065E-2</v>
      </c>
      <c r="Q361" s="307">
        <f t="shared" si="125"/>
        <v>1</v>
      </c>
      <c r="R361" s="179">
        <f t="shared" si="126"/>
        <v>0.99967179677649987</v>
      </c>
      <c r="S361" s="837">
        <f t="shared" si="127"/>
        <v>-1</v>
      </c>
      <c r="T361" s="178">
        <f t="shared" si="128"/>
        <v>5</v>
      </c>
      <c r="U361" s="253">
        <f t="shared" si="129"/>
        <v>-3.282032235001342E-4</v>
      </c>
      <c r="V361" s="385">
        <f t="shared" si="130"/>
        <v>14.645195154896959</v>
      </c>
      <c r="W361" s="404"/>
      <c r="X361" s="157">
        <f t="shared" si="131"/>
        <v>44543</v>
      </c>
      <c r="Y361" s="387">
        <f t="shared" si="132"/>
        <v>13.995837291809341</v>
      </c>
      <c r="Z361" s="387">
        <f t="shared" si="133"/>
        <v>14.402246179169925</v>
      </c>
      <c r="AA361" s="388">
        <f t="shared" si="134"/>
        <v>16.861594495499553</v>
      </c>
      <c r="AB361" s="199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0.14585502675835549</v>
      </c>
      <c r="AD361" s="233">
        <f>(INDEX(Models!$BJ361:$BT361,,AH361)*(1-AF361)+INDEX(Models!$BJ361:$BT361,,AH361+1)*AF361-ERP_i)*AE361*Ramure*Pc/MaxiM</f>
        <v>8.878568980823065E-2</v>
      </c>
      <c r="AE361" s="307">
        <f t="shared" si="136"/>
        <v>1</v>
      </c>
      <c r="AF361" s="179">
        <f t="shared" si="137"/>
        <v>0.99967179677649987</v>
      </c>
      <c r="AG361" s="837">
        <f t="shared" si="143"/>
        <v>-1</v>
      </c>
      <c r="AH361" s="178">
        <f t="shared" si="138"/>
        <v>5</v>
      </c>
      <c r="AI361" s="227">
        <f t="shared" si="139"/>
        <v>-3.282032235001342E-4</v>
      </c>
      <c r="AJ361" s="267" t="b">
        <f t="shared" si="140"/>
        <v>0</v>
      </c>
      <c r="AK361" s="267" t="b">
        <f t="shared" si="141"/>
        <v>0</v>
      </c>
      <c r="AL361" s="267"/>
      <c r="AM361" s="267"/>
      <c r="AN361" s="75"/>
    </row>
    <row r="362" spans="1:40" s="6" customFormat="1" ht="11.25" x14ac:dyDescent="0.2">
      <c r="A362" s="56">
        <f t="shared" si="142"/>
        <v>44544</v>
      </c>
      <c r="B362" s="618">
        <v>14.703000000000001</v>
      </c>
      <c r="C362" s="392"/>
      <c r="D362" s="395">
        <f t="shared" si="122"/>
        <v>15.130295469187047</v>
      </c>
      <c r="E362" s="387">
        <f t="shared" si="144"/>
        <v>16.824032098865157</v>
      </c>
      <c r="F362" s="387">
        <f t="shared" si="123"/>
        <v>18.47305077116031</v>
      </c>
      <c r="G362" s="110">
        <f t="shared" si="145"/>
        <v>1.0077995121441325</v>
      </c>
      <c r="H362" s="414" t="b">
        <f>Wh_hp&gt;='2020'!Maxi_hp</f>
        <v>1</v>
      </c>
      <c r="I362" s="382">
        <f>IF(H362,Wh_hp,'2020'!Maxi_hp)</f>
        <v>18.47305077116031</v>
      </c>
      <c r="J362" s="85">
        <f>IF(H362,An,'2020'!An_max)</f>
        <v>2021</v>
      </c>
      <c r="K362" s="199">
        <f t="shared" si="124"/>
        <v>44544</v>
      </c>
      <c r="L362" s="147">
        <f>IF(t&lt;Tvie,1-EXP((T0-t)*PertePVj)+'2020'!Pspv,1-EXP((T0-t)*PertePVj)+Pspv)</f>
        <v>2.8241052533127031E-2</v>
      </c>
      <c r="M362" s="870"/>
      <c r="N362" s="870"/>
      <c r="O362" s="48">
        <f>IF(t&lt;Tnet,'2020'!Resal+('2020'!Salim-'2020'!Resal)*(1-EXP(('2020'!Tnet-t)/('2020'!Tau_j))),Resal+(Salim-Resal)*(1-EXP((Tnet-t)/(Tau_j))))*Salcycl</f>
        <v>0.10067364468428218</v>
      </c>
      <c r="P362" s="171">
        <f>(INDEX(Models!$BJ362:$BT362,,T362)*(1-R362)+INDEX(Models!$BJ362:$BT362,,T362+1)*R362-ERP_i)*Q362*Ramure*Pc/MaxiM</f>
        <v>8.9266179838013687E-2</v>
      </c>
      <c r="Q362" s="307">
        <f t="shared" si="125"/>
        <v>1</v>
      </c>
      <c r="R362" s="179">
        <f t="shared" si="126"/>
        <v>0.99968530716509696</v>
      </c>
      <c r="S362" s="837">
        <f t="shared" si="127"/>
        <v>-1</v>
      </c>
      <c r="T362" s="178">
        <f t="shared" si="128"/>
        <v>5</v>
      </c>
      <c r="U362" s="253">
        <f t="shared" si="129"/>
        <v>-3.146928349030409E-4</v>
      </c>
      <c r="V362" s="385">
        <f t="shared" si="130"/>
        <v>14.589211269529986</v>
      </c>
      <c r="W362" s="404"/>
      <c r="X362" s="157">
        <f t="shared" si="131"/>
        <v>44544</v>
      </c>
      <c r="Y362" s="387">
        <f t="shared" si="132"/>
        <v>13.964288672221764</v>
      </c>
      <c r="Z362" s="387">
        <f t="shared" si="133"/>
        <v>14.370115869396514</v>
      </c>
      <c r="AA362" s="388">
        <f t="shared" si="134"/>
        <v>16.824032098865157</v>
      </c>
      <c r="AB362" s="199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0.14585779526860088</v>
      </c>
      <c r="AD362" s="233">
        <f>(INDEX(Models!$BJ362:$BT362,,AH362)*(1-AF362)+INDEX(Models!$BJ362:$BT362,,AH362+1)*AF362-ERP_i)*AE362*Ramure*Pc/MaxiM</f>
        <v>8.9266179838013687E-2</v>
      </c>
      <c r="AE362" s="307">
        <f t="shared" si="136"/>
        <v>1</v>
      </c>
      <c r="AF362" s="179">
        <f t="shared" si="137"/>
        <v>0.99968530716509696</v>
      </c>
      <c r="AG362" s="837">
        <f t="shared" si="143"/>
        <v>-1</v>
      </c>
      <c r="AH362" s="178">
        <f t="shared" si="138"/>
        <v>5</v>
      </c>
      <c r="AI362" s="227">
        <f t="shared" si="139"/>
        <v>-3.146928349030409E-4</v>
      </c>
      <c r="AJ362" s="267" t="b">
        <f t="shared" si="140"/>
        <v>0</v>
      </c>
      <c r="AK362" s="267" t="b">
        <f t="shared" si="141"/>
        <v>0</v>
      </c>
      <c r="AL362" s="267"/>
      <c r="AM362" s="267"/>
      <c r="AN362" s="75"/>
    </row>
    <row r="363" spans="1:40" s="6" customFormat="1" ht="11.25" x14ac:dyDescent="0.2">
      <c r="A363" s="56">
        <f t="shared" si="142"/>
        <v>44545</v>
      </c>
      <c r="B363" s="618">
        <v>14.256</v>
      </c>
      <c r="C363" s="392"/>
      <c r="D363" s="395">
        <f t="shared" si="122"/>
        <v>14.670646257315108</v>
      </c>
      <c r="E363" s="387">
        <f t="shared" si="144"/>
        <v>16.316089494146102</v>
      </c>
      <c r="F363" s="387">
        <f t="shared" si="123"/>
        <v>17.873939107740306</v>
      </c>
      <c r="G363" s="110">
        <f t="shared" si="145"/>
        <v>0.97763579401427869</v>
      </c>
      <c r="H363" s="414" t="b">
        <f>Wh_hp&gt;='2020'!Maxi_hp</f>
        <v>1</v>
      </c>
      <c r="I363" s="382">
        <f>IF(H363,Wh_hp,'2020'!Maxi_hp)</f>
        <v>17.873939107740306</v>
      </c>
      <c r="J363" s="85">
        <f>IF(H363,An,'2020'!An_max)</f>
        <v>2021</v>
      </c>
      <c r="K363" s="199">
        <f t="shared" si="124"/>
        <v>44545</v>
      </c>
      <c r="L363" s="147">
        <f>IF(t&lt;Tvie,1-EXP((T0-t)*PertePVj)+'2020'!Pspv,1-EXP((T0-t)*PertePVj)+Pspv)</f>
        <v>2.8263666783483021E-2</v>
      </c>
      <c r="M363" s="870"/>
      <c r="N363" s="870"/>
      <c r="O363" s="48">
        <f>IF(t&lt;Tnet,'2020'!Resal+('2020'!Salim-'2020'!Resal)*(1-EXP(('2020'!Tnet-t)/('2020'!Tau_j))),Resal+(Salim-Resal)*(1-EXP((Tnet-t)/(Tau_j))))*Salcycl</f>
        <v>0.10084789234708161</v>
      </c>
      <c r="P363" s="171">
        <f>(INDEX(Models!$BJ363:$BT363,,T363)*(1-R363)+INDEX(Models!$BJ363:$BT363,,T363+1)*R363-ERP_i)*Q363*Ramure*Pc/MaxiM</f>
        <v>8.967614457059217E-2</v>
      </c>
      <c r="Q363" s="307">
        <f t="shared" si="125"/>
        <v>1</v>
      </c>
      <c r="R363" s="179">
        <f t="shared" si="126"/>
        <v>0.99969827407605605</v>
      </c>
      <c r="S363" s="837">
        <f t="shared" si="127"/>
        <v>-1</v>
      </c>
      <c r="T363" s="178">
        <f t="shared" si="128"/>
        <v>5</v>
      </c>
      <c r="U363" s="253">
        <f t="shared" si="129"/>
        <v>-3.0172592394395181E-4</v>
      </c>
      <c r="V363" s="385">
        <f t="shared" si="130"/>
        <v>14.541885199741426</v>
      </c>
      <c r="W363" s="404"/>
      <c r="X363" s="157">
        <f t="shared" si="131"/>
        <v>44545</v>
      </c>
      <c r="Y363" s="387">
        <f t="shared" si="132"/>
        <v>13.542276034369618</v>
      </c>
      <c r="Z363" s="387">
        <f t="shared" si="133"/>
        <v>13.936163104598252</v>
      </c>
      <c r="AA363" s="388">
        <f t="shared" si="134"/>
        <v>16.316089494146102</v>
      </c>
      <c r="AB363" s="199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0.14586377393932051</v>
      </c>
      <c r="AD363" s="233">
        <f>(INDEX(Models!$BJ363:$BT363,,AH363)*(1-AF363)+INDEX(Models!$BJ363:$BT363,,AH363+1)*AF363-ERP_i)*AE363*Ramure*Pc/MaxiM</f>
        <v>8.967614457059217E-2</v>
      </c>
      <c r="AE363" s="307">
        <f t="shared" si="136"/>
        <v>1</v>
      </c>
      <c r="AF363" s="179">
        <f t="shared" si="137"/>
        <v>0.99969827407605605</v>
      </c>
      <c r="AG363" s="837">
        <f t="shared" si="143"/>
        <v>-1</v>
      </c>
      <c r="AH363" s="178">
        <f t="shared" si="138"/>
        <v>5</v>
      </c>
      <c r="AI363" s="227">
        <f t="shared" si="139"/>
        <v>-3.0172592394395181E-4</v>
      </c>
      <c r="AJ363" s="267" t="b">
        <f t="shared" si="140"/>
        <v>0</v>
      </c>
      <c r="AK363" s="267" t="b">
        <f t="shared" si="141"/>
        <v>0</v>
      </c>
      <c r="AL363" s="267"/>
      <c r="AM363" s="267"/>
      <c r="AN363" s="75"/>
    </row>
    <row r="364" spans="1:40" s="6" customFormat="1" ht="11.25" x14ac:dyDescent="0.2">
      <c r="A364" s="56">
        <f t="shared" si="142"/>
        <v>44546</v>
      </c>
      <c r="B364" s="618">
        <v>14.348000000000001</v>
      </c>
      <c r="C364" s="392"/>
      <c r="D364" s="395">
        <f t="shared" si="122"/>
        <v>14.765665763672294</v>
      </c>
      <c r="E364" s="387">
        <f t="shared" si="144"/>
        <v>16.424975121842806</v>
      </c>
      <c r="F364" s="387">
        <f t="shared" si="123"/>
        <v>18.022426039936903</v>
      </c>
      <c r="G364" s="110">
        <f t="shared" si="145"/>
        <v>0.98779580640621123</v>
      </c>
      <c r="H364" s="414" t="b">
        <f>Wh_hp&gt;='2020'!Maxi_hp</f>
        <v>1</v>
      </c>
      <c r="I364" s="382">
        <f>IF(H364,Wh_hp,'2020'!Maxi_hp)</f>
        <v>18.022426039936903</v>
      </c>
      <c r="J364" s="85">
        <f>IF(H364,An,'2020'!An_max)</f>
        <v>2021</v>
      </c>
      <c r="K364" s="199">
        <f t="shared" si="124"/>
        <v>44546</v>
      </c>
      <c r="L364" s="147">
        <f>IF(t&lt;Tvie,1-EXP((T0-t)*PertePVj)+'2020'!Pspv,1-EXP((T0-t)*PertePVj)+Pspv)</f>
        <v>2.8286280507572426E-2</v>
      </c>
      <c r="M364" s="870"/>
      <c r="N364" s="870"/>
      <c r="O364" s="48">
        <f>IF(t&lt;Tnet,'2020'!Resal+('2020'!Salim-'2020'!Resal)*(1-EXP(('2020'!Tnet-t)/('2020'!Tau_j))),Resal+(Salim-Resal)*(1-EXP((Tnet-t)/(Tau_j))))*Salcycl</f>
        <v>0.10102355381737374</v>
      </c>
      <c r="P364" s="171">
        <f>(INDEX(Models!$BJ364:$BT364,,T364)*(1-R364)+INDEX(Models!$BJ364:$BT364,,T364+1)*R364-ERP_i)*Q364*Ramure*Pc/MaxiM</f>
        <v>9.0013966951967964E-2</v>
      </c>
      <c r="Q364" s="307">
        <f t="shared" si="125"/>
        <v>1</v>
      </c>
      <c r="R364" s="179">
        <f t="shared" si="126"/>
        <v>0.99971071935273936</v>
      </c>
      <c r="S364" s="837">
        <f t="shared" si="127"/>
        <v>-1</v>
      </c>
      <c r="T364" s="178">
        <f t="shared" si="128"/>
        <v>5</v>
      </c>
      <c r="U364" s="253">
        <f t="shared" si="129"/>
        <v>-2.8928064726063685E-4</v>
      </c>
      <c r="V364" s="385">
        <f t="shared" si="130"/>
        <v>14.503320625484101</v>
      </c>
      <c r="W364" s="404"/>
      <c r="X364" s="157">
        <f t="shared" si="131"/>
        <v>44546</v>
      </c>
      <c r="Y364" s="387">
        <f t="shared" si="132"/>
        <v>13.632189535791952</v>
      </c>
      <c r="Z364" s="387">
        <f t="shared" si="133"/>
        <v>14.029018282167195</v>
      </c>
      <c r="AA364" s="388">
        <f t="shared" si="134"/>
        <v>16.424975121842806</v>
      </c>
      <c r="AB364" s="199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0.1458727834838143</v>
      </c>
      <c r="AD364" s="233">
        <f>(INDEX(Models!$BJ364:$BT364,,AH364)*(1-AF364)+INDEX(Models!$BJ364:$BT364,,AH364+1)*AF364-ERP_i)*AE364*Ramure*Pc/MaxiM</f>
        <v>9.0013966951967964E-2</v>
      </c>
      <c r="AE364" s="307">
        <f t="shared" si="136"/>
        <v>1</v>
      </c>
      <c r="AF364" s="179">
        <f t="shared" si="137"/>
        <v>0.99971071935273936</v>
      </c>
      <c r="AG364" s="837">
        <f t="shared" si="143"/>
        <v>-1</v>
      </c>
      <c r="AH364" s="178">
        <f t="shared" si="138"/>
        <v>5</v>
      </c>
      <c r="AI364" s="227">
        <f t="shared" si="139"/>
        <v>-2.8928064726063685E-4</v>
      </c>
      <c r="AJ364" s="267" t="b">
        <f t="shared" si="140"/>
        <v>0</v>
      </c>
      <c r="AK364" s="267" t="b">
        <f t="shared" si="141"/>
        <v>0</v>
      </c>
      <c r="AL364" s="267"/>
      <c r="AM364" s="267"/>
      <c r="AN364" s="75"/>
    </row>
    <row r="365" spans="1:40" s="6" customFormat="1" ht="11.25" x14ac:dyDescent="0.2">
      <c r="A365" s="56">
        <f t="shared" si="142"/>
        <v>44547</v>
      </c>
      <c r="B365" s="618">
        <v>14.338000000000001</v>
      </c>
      <c r="C365" s="392"/>
      <c r="D365" s="395">
        <f t="shared" si="122"/>
        <v>14.75571805393583</v>
      </c>
      <c r="E365" s="387">
        <f t="shared" si="144"/>
        <v>16.417141247773031</v>
      </c>
      <c r="F365" s="387">
        <f t="shared" si="123"/>
        <v>18.022391356123773</v>
      </c>
      <c r="G365" s="110">
        <f t="shared" si="145"/>
        <v>0.98931557590419494</v>
      </c>
      <c r="H365" s="414" t="b">
        <f>Wh_hp&gt;='2020'!Maxi_hp</f>
        <v>1</v>
      </c>
      <c r="I365" s="382">
        <f>IF(H365,Wh_hp,'2020'!Maxi_hp)</f>
        <v>18.022391356123773</v>
      </c>
      <c r="J365" s="85">
        <f>IF(H365,An,'2020'!An_max)</f>
        <v>2021</v>
      </c>
      <c r="K365" s="199">
        <f t="shared" si="124"/>
        <v>44547</v>
      </c>
      <c r="L365" s="147">
        <f>IF(t&lt;Tvie,1-EXP((T0-t)*PertePVj)+'2020'!Pspv,1-EXP((T0-t)*PertePVj)+Pspv)</f>
        <v>2.8308893705407345E-2</v>
      </c>
      <c r="M365" s="870"/>
      <c r="N365" s="870"/>
      <c r="O365" s="48">
        <f>IF(t&lt;Tnet,'2020'!Resal+('2020'!Salim-'2020'!Resal)*(1-EXP(('2020'!Tnet-t)/('2020'!Tau_j))),Resal+(Salim-Resal)*(1-EXP((Tnet-t)/(Tau_j))))*Salcycl</f>
        <v>0.10120051772488538</v>
      </c>
      <c r="P365" s="171">
        <f>(INDEX(Models!$BJ365:$BT365,,T365)*(1-R365)+INDEX(Models!$BJ365:$BT365,,T365+1)*R365-ERP_i)*Q365*Ramure*Pc/MaxiM</f>
        <v>9.027822954531782E-2</v>
      </c>
      <c r="Q365" s="307">
        <f t="shared" si="125"/>
        <v>1</v>
      </c>
      <c r="R365" s="179">
        <f t="shared" si="126"/>
        <v>0.99972266396207676</v>
      </c>
      <c r="S365" s="837">
        <f t="shared" si="127"/>
        <v>-1</v>
      </c>
      <c r="T365" s="178">
        <f t="shared" si="128"/>
        <v>5</v>
      </c>
      <c r="U365" s="253">
        <f t="shared" si="129"/>
        <v>-2.7733603792323702E-4</v>
      </c>
      <c r="V365" s="385">
        <f t="shared" si="130"/>
        <v>14.473621081967762</v>
      </c>
      <c r="W365" s="404"/>
      <c r="X365" s="157">
        <f t="shared" si="131"/>
        <v>44547</v>
      </c>
      <c r="Y365" s="387">
        <f t="shared" si="132"/>
        <v>13.625181391835731</v>
      </c>
      <c r="Z365" s="387">
        <f t="shared" si="133"/>
        <v>14.022132448853467</v>
      </c>
      <c r="AA365" s="388">
        <f t="shared" si="134"/>
        <v>16.417141247773031</v>
      </c>
      <c r="AB365" s="199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0.14588464354258046</v>
      </c>
      <c r="AD365" s="233">
        <f>(INDEX(Models!$BJ365:$BT365,,AH365)*(1-AF365)+INDEX(Models!$BJ365:$BT365,,AH365+1)*AF365-ERP_i)*AE365*Ramure*Pc/MaxiM</f>
        <v>9.027822954531782E-2</v>
      </c>
      <c r="AE365" s="307">
        <f t="shared" si="136"/>
        <v>1</v>
      </c>
      <c r="AF365" s="179">
        <f t="shared" si="137"/>
        <v>0.99972266396207676</v>
      </c>
      <c r="AG365" s="837">
        <f t="shared" si="143"/>
        <v>-1</v>
      </c>
      <c r="AH365" s="178">
        <f t="shared" si="138"/>
        <v>5</v>
      </c>
      <c r="AI365" s="227">
        <f t="shared" si="139"/>
        <v>-2.7733603792323702E-4</v>
      </c>
      <c r="AJ365" s="267" t="b">
        <f t="shared" si="140"/>
        <v>0</v>
      </c>
      <c r="AK365" s="267" t="b">
        <f t="shared" si="141"/>
        <v>0</v>
      </c>
      <c r="AL365" s="267"/>
      <c r="AM365" s="267"/>
      <c r="AN365" s="75"/>
    </row>
    <row r="366" spans="1:40" s="6" customFormat="1" ht="11.25" x14ac:dyDescent="0.2">
      <c r="A366" s="56">
        <f t="shared" si="142"/>
        <v>44548</v>
      </c>
      <c r="B366" s="618">
        <v>14.623000000000001</v>
      </c>
      <c r="C366" s="392"/>
      <c r="D366" s="395">
        <f t="shared" si="122"/>
        <v>15.049371360674805</v>
      </c>
      <c r="E366" s="387">
        <f t="shared" si="144"/>
        <v>16.747178025318522</v>
      </c>
      <c r="F366" s="387">
        <f t="shared" si="123"/>
        <v>18.412762938360004</v>
      </c>
      <c r="G366" s="110">
        <f t="shared" si="145"/>
        <v>1.0117593382526804</v>
      </c>
      <c r="H366" s="414" t="b">
        <f>Wh_hp&gt;='2020'!Maxi_hp</f>
        <v>1</v>
      </c>
      <c r="I366" s="382">
        <f>IF(H366,Wh_hp,'2020'!Maxi_hp)</f>
        <v>18.412762938360004</v>
      </c>
      <c r="J366" s="85">
        <f>IF(H366,An,'2020'!An_max)</f>
        <v>2021</v>
      </c>
      <c r="K366" s="199">
        <f t="shared" si="124"/>
        <v>44548</v>
      </c>
      <c r="L366" s="147">
        <f>IF(t&lt;Tvie,1-EXP((T0-t)*PertePVj)+'2020'!Pspv,1-EXP((T0-t)*PertePVj)+Pspv)</f>
        <v>2.8331506377000215E-2</v>
      </c>
      <c r="M366" s="870"/>
      <c r="N366" s="870"/>
      <c r="O366" s="48">
        <f>IF(t&lt;Tnet,'2020'!Resal+('2020'!Salim-'2020'!Resal)*(1-EXP(('2020'!Tnet-t)/('2020'!Tau_j))),Resal+(Salim-Resal)*(1-EXP((Tnet-t)/(Tau_j))))*Salcycl</f>
        <v>0.10137867180231558</v>
      </c>
      <c r="P366" s="171">
        <f>(INDEX(Models!$BJ366:$BT366,,T366)*(1-R366)+INDEX(Models!$BJ366:$BT366,,T366+1)*R366-ERP_i)*Q366*Ramure*Pc/MaxiM</f>
        <v>9.0458173964294425E-2</v>
      </c>
      <c r="Q366" s="307">
        <f t="shared" si="125"/>
        <v>1</v>
      </c>
      <c r="R366" s="179">
        <f t="shared" si="126"/>
        <v>0.99973412802961381</v>
      </c>
      <c r="S366" s="837">
        <f t="shared" si="127"/>
        <v>-1</v>
      </c>
      <c r="T366" s="178">
        <f t="shared" si="128"/>
        <v>5</v>
      </c>
      <c r="U366" s="253">
        <f t="shared" si="129"/>
        <v>-2.6587197038618893E-4</v>
      </c>
      <c r="V366" s="385">
        <f t="shared" si="130"/>
        <v>14.453041792778594</v>
      </c>
      <c r="W366" s="404"/>
      <c r="X366" s="157">
        <f t="shared" si="131"/>
        <v>44548</v>
      </c>
      <c r="Y366" s="387">
        <f t="shared" si="132"/>
        <v>13.898530993466796</v>
      </c>
      <c r="Z366" s="387">
        <f t="shared" si="133"/>
        <v>14.303778587740567</v>
      </c>
      <c r="AA366" s="388">
        <f t="shared" si="134"/>
        <v>16.747178025318522</v>
      </c>
      <c r="AB366" s="199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0.14589917381208958</v>
      </c>
      <c r="AD366" s="233">
        <f>(INDEX(Models!$BJ366:$BT366,,AH366)*(1-AF366)+INDEX(Models!$BJ366:$BT366,,AH366+1)*AF366-ERP_i)*AE366*Ramure*Pc/MaxiM</f>
        <v>9.0458173964294425E-2</v>
      </c>
      <c r="AE366" s="307">
        <f t="shared" si="136"/>
        <v>1</v>
      </c>
      <c r="AF366" s="179">
        <f t="shared" si="137"/>
        <v>0.99973412802961381</v>
      </c>
      <c r="AG366" s="837">
        <f t="shared" si="143"/>
        <v>-1</v>
      </c>
      <c r="AH366" s="178">
        <f t="shared" si="138"/>
        <v>5</v>
      </c>
      <c r="AI366" s="227">
        <f t="shared" si="139"/>
        <v>-2.6587197038618893E-4</v>
      </c>
      <c r="AJ366" s="267" t="b">
        <f t="shared" si="140"/>
        <v>0</v>
      </c>
      <c r="AK366" s="267" t="b">
        <f t="shared" si="141"/>
        <v>0</v>
      </c>
      <c r="AL366" s="267"/>
      <c r="AM366" s="267"/>
      <c r="AN366" s="75"/>
    </row>
    <row r="367" spans="1:40" s="6" customFormat="1" ht="11.25" x14ac:dyDescent="0.2">
      <c r="A367" s="56">
        <f t="shared" si="142"/>
        <v>44549</v>
      </c>
      <c r="B367" s="618">
        <v>14.279</v>
      </c>
      <c r="C367" s="392"/>
      <c r="D367" s="395">
        <f t="shared" si="122"/>
        <v>14.69568314156297</v>
      </c>
      <c r="E367" s="387">
        <f t="shared" si="144"/>
        <v>16.356850598735413</v>
      </c>
      <c r="F367" s="387">
        <f t="shared" si="123"/>
        <v>17.957139739546754</v>
      </c>
      <c r="G367" s="110">
        <f t="shared" si="145"/>
        <v>0.98717661471130103</v>
      </c>
      <c r="H367" s="414" t="b">
        <f>Wh_hp&gt;='2020'!Maxi_hp</f>
        <v>1</v>
      </c>
      <c r="I367" s="382">
        <f>IF(H367,Wh_hp,'2020'!Maxi_hp)</f>
        <v>17.957139739546754</v>
      </c>
      <c r="J367" s="85">
        <f>IF(H367,An,'2020'!An_max)</f>
        <v>2021</v>
      </c>
      <c r="K367" s="199">
        <f t="shared" si="124"/>
        <v>44549</v>
      </c>
      <c r="L367" s="147">
        <f>IF(t&lt;Tvie,1-EXP((T0-t)*PertePVj)+'2020'!Pspv,1-EXP((T0-t)*PertePVj)+Pspv)</f>
        <v>2.8354118522363136E-2</v>
      </c>
      <c r="M367" s="870"/>
      <c r="N367" s="870"/>
      <c r="O367" s="48">
        <f>IF(t&lt;Tnet,'2020'!Resal+('2020'!Salim-'2020'!Resal)*(1-EXP(('2020'!Tnet-t)/('2020'!Tau_j))),Resal+(Salim-Resal)*(1-EXP((Tnet-t)/(Tau_j))))*Salcycl</f>
        <v>0.10155790365297286</v>
      </c>
      <c r="P367" s="171">
        <f>(INDEX(Models!$BJ367:$BT367,,T367)*(1-R367)+INDEX(Models!$BJ367:$BT367,,T367+1)*R367-ERP_i)*Q367*Ramure*Pc/MaxiM</f>
        <v>9.057201518593036E-2</v>
      </c>
      <c r="Q367" s="307">
        <f t="shared" si="125"/>
        <v>1</v>
      </c>
      <c r="R367" s="179">
        <f t="shared" si="126"/>
        <v>0.99974513087316652</v>
      </c>
      <c r="S367" s="837">
        <f t="shared" si="127"/>
        <v>-1</v>
      </c>
      <c r="T367" s="178">
        <f t="shared" si="128"/>
        <v>5</v>
      </c>
      <c r="U367" s="253">
        <f t="shared" si="129"/>
        <v>-2.5486912683347906E-4</v>
      </c>
      <c r="V367" s="385">
        <f t="shared" si="130"/>
        <v>14.441380946465943</v>
      </c>
      <c r="W367" s="404"/>
      <c r="X367" s="157">
        <f t="shared" si="131"/>
        <v>44549</v>
      </c>
      <c r="Y367" s="387">
        <f t="shared" si="132"/>
        <v>13.574010722860635</v>
      </c>
      <c r="Z367" s="387">
        <f t="shared" si="133"/>
        <v>13.970121194995309</v>
      </c>
      <c r="AA367" s="388">
        <f t="shared" si="134"/>
        <v>16.356850598735413</v>
      </c>
      <c r="AB367" s="199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0.14591619513383741</v>
      </c>
      <c r="AD367" s="233">
        <f>(INDEX(Models!$BJ367:$BT367,,AH367)*(1-AF367)+INDEX(Models!$BJ367:$BT367,,AH367+1)*AF367-ERP_i)*AE367*Ramure*Pc/MaxiM</f>
        <v>9.057201518593036E-2</v>
      </c>
      <c r="AE367" s="307">
        <f t="shared" si="136"/>
        <v>1</v>
      </c>
      <c r="AF367" s="179">
        <f t="shared" si="137"/>
        <v>0.99974513087316652</v>
      </c>
      <c r="AG367" s="837">
        <f t="shared" si="143"/>
        <v>-1</v>
      </c>
      <c r="AH367" s="178">
        <f t="shared" si="138"/>
        <v>5</v>
      </c>
      <c r="AI367" s="227">
        <f t="shared" si="139"/>
        <v>-2.5486912683347906E-4</v>
      </c>
      <c r="AJ367" s="267" t="b">
        <f t="shared" si="140"/>
        <v>0</v>
      </c>
      <c r="AK367" s="267" t="b">
        <f t="shared" si="141"/>
        <v>0</v>
      </c>
      <c r="AL367" s="267"/>
      <c r="AM367" s="267"/>
      <c r="AN367" s="75"/>
    </row>
    <row r="368" spans="1:40" s="6" customFormat="1" ht="11.25" x14ac:dyDescent="0.2">
      <c r="A368" s="56">
        <f t="shared" si="142"/>
        <v>44550</v>
      </c>
      <c r="B368" s="618">
        <v>14.923</v>
      </c>
      <c r="C368" s="392"/>
      <c r="D368" s="395">
        <f t="shared" si="122"/>
        <v>15.358833472744434</v>
      </c>
      <c r="E368" s="387">
        <f t="shared" si="144"/>
        <v>17.098391346965386</v>
      </c>
      <c r="F368" s="387">
        <f t="shared" si="123"/>
        <v>18.802231330650311</v>
      </c>
      <c r="G368" s="110">
        <f t="shared" si="145"/>
        <v>1.0335388151465685</v>
      </c>
      <c r="H368" s="414" t="b">
        <f>Wh_hp&gt;='2020'!Maxi_hp</f>
        <v>1</v>
      </c>
      <c r="I368" s="382">
        <f>IF(H368,Wh_hp,'2020'!Maxi_hp)</f>
        <v>18.802231330650311</v>
      </c>
      <c r="J368" s="85">
        <f>IF(H368,An,'2020'!An_max)</f>
        <v>2021</v>
      </c>
      <c r="K368" s="199">
        <f t="shared" si="124"/>
        <v>44550</v>
      </c>
      <c r="L368" s="147">
        <f>IF(t&lt;Tvie,1-EXP((T0-t)*PertePVj)+'2020'!Pspv,1-EXP((T0-t)*PertePVj)+Pspv)</f>
        <v>2.8376730141508322E-2</v>
      </c>
      <c r="M368" s="870"/>
      <c r="N368" s="870"/>
      <c r="O368" s="48">
        <f>IF(t&lt;Tnet,'2020'!Resal+('2020'!Salim-'2020'!Resal)*(1-EXP(('2020'!Tnet-t)/('2020'!Tau_j))),Resal+(Salim-Resal)*(1-EXP((Tnet-t)/(Tau_j))))*Salcycl</f>
        <v>0.10173810149278667</v>
      </c>
      <c r="P368" s="171">
        <f>(INDEX(Models!$BJ368:$BT368,,T368)*(1-R368)+INDEX(Models!$BJ368:$BT368,,T368+1)*R368-ERP_i)*Q368*Ramure*Pc/MaxiM</f>
        <v>9.0619030992743113E-2</v>
      </c>
      <c r="Q368" s="307">
        <f t="shared" si="125"/>
        <v>1</v>
      </c>
      <c r="R368" s="179">
        <f t="shared" si="126"/>
        <v>0.99975569103514017</v>
      </c>
      <c r="S368" s="837">
        <f t="shared" si="127"/>
        <v>-1</v>
      </c>
      <c r="T368" s="178">
        <f t="shared" si="128"/>
        <v>5</v>
      </c>
      <c r="U368" s="253">
        <f t="shared" si="129"/>
        <v>-2.4430896485982956E-4</v>
      </c>
      <c r="V368" s="385">
        <f t="shared" si="130"/>
        <v>14.438741710812026</v>
      </c>
      <c r="W368" s="404"/>
      <c r="X368" s="157">
        <f t="shared" si="131"/>
        <v>44550</v>
      </c>
      <c r="Y368" s="387">
        <f t="shared" si="132"/>
        <v>14.188739496789431</v>
      </c>
      <c r="Z368" s="387">
        <f t="shared" si="133"/>
        <v>14.603128534432789</v>
      </c>
      <c r="AA368" s="388">
        <f t="shared" si="134"/>
        <v>17.098391346965386</v>
      </c>
      <c r="AB368" s="199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0.14593553053606143</v>
      </c>
      <c r="AD368" s="233">
        <f>(INDEX(Models!$BJ368:$BT368,,AH368)*(1-AF368)+INDEX(Models!$BJ368:$BT368,,AH368+1)*AF368-ERP_i)*AE368*Ramure*Pc/MaxiM</f>
        <v>9.0619030992743113E-2</v>
      </c>
      <c r="AE368" s="307">
        <f t="shared" si="136"/>
        <v>1</v>
      </c>
      <c r="AF368" s="179">
        <f t="shared" si="137"/>
        <v>0.99975569103514017</v>
      </c>
      <c r="AG368" s="837">
        <f t="shared" si="143"/>
        <v>-1</v>
      </c>
      <c r="AH368" s="178">
        <f t="shared" si="138"/>
        <v>5</v>
      </c>
      <c r="AI368" s="227">
        <f t="shared" si="139"/>
        <v>-2.4430896485982956E-4</v>
      </c>
      <c r="AJ368" s="267" t="b">
        <f t="shared" si="140"/>
        <v>0</v>
      </c>
      <c r="AK368" s="267" t="b">
        <f t="shared" si="141"/>
        <v>0</v>
      </c>
      <c r="AL368" s="267"/>
      <c r="AM368" s="267"/>
      <c r="AN368" s="75"/>
    </row>
    <row r="369" spans="1:40" s="18" customFormat="1" ht="11.25" x14ac:dyDescent="0.2">
      <c r="A369" s="56">
        <f t="shared" si="142"/>
        <v>44551</v>
      </c>
      <c r="B369" s="618">
        <v>12.535</v>
      </c>
      <c r="C369" s="392"/>
      <c r="D369" s="395">
        <f t="shared" si="122"/>
        <v>12.901391005566113</v>
      </c>
      <c r="E369" s="387">
        <f t="shared" si="144"/>
        <v>14.365511830477949</v>
      </c>
      <c r="F369" s="387">
        <f t="shared" si="123"/>
        <v>15.504861969813501</v>
      </c>
      <c r="G369" s="110">
        <f t="shared" si="145"/>
        <v>0.85173075146218935</v>
      </c>
      <c r="H369" s="414" t="b">
        <f>Wh_hp&gt;='2020'!Maxi_hp</f>
        <v>0</v>
      </c>
      <c r="I369" s="382">
        <f>IF(H369,Wh_hp,'2020'!Maxi_hp)</f>
        <v>15.753026690424752</v>
      </c>
      <c r="J369" s="85">
        <f>IF(H369,An,'2020'!An_max)</f>
        <v>2019</v>
      </c>
      <c r="K369" s="199">
        <f t="shared" si="124"/>
        <v>44551</v>
      </c>
      <c r="L369" s="147">
        <f>IF(t&lt;Tvie,1-EXP((T0-t)*PertePVj)+'2020'!Pspv,1-EXP((T0-t)*PertePVj)+Pspv)</f>
        <v>2.8399341234448205E-2</v>
      </c>
      <c r="M369" s="870"/>
      <c r="N369" s="870"/>
      <c r="O369" s="48">
        <f>IF(t&lt;Tnet,'2020'!Resal+('2020'!Salim-'2020'!Resal)*(1-EXP(('2020'!Tnet-t)/('2020'!Tau_j))),Resal+(Salim-Resal)*(1-EXP((Tnet-t)/(Tau_j))))*Salcycl</f>
        <v>0.10191915486126631</v>
      </c>
      <c r="P369" s="171">
        <f>(INDEX(Models!$BJ369:$BT369,,T369)*(1-R369)+INDEX(Models!$BJ369:$BT369,,T369+1)*R369-ERP_i)*Q369*Ramure*Pc/MaxiM</f>
        <v>9.0598715124455262E-2</v>
      </c>
      <c r="Q369" s="307">
        <f t="shared" si="125"/>
        <v>1</v>
      </c>
      <c r="R369" s="179">
        <f t="shared" si="126"/>
        <v>0.99976582631356181</v>
      </c>
      <c r="S369" s="837">
        <f t="shared" si="127"/>
        <v>-1</v>
      </c>
      <c r="T369" s="178">
        <f t="shared" si="128"/>
        <v>5</v>
      </c>
      <c r="U369" s="253">
        <f t="shared" si="129"/>
        <v>-2.3417368643818826E-4</v>
      </c>
      <c r="V369" s="385">
        <f t="shared" si="130"/>
        <v>14.445227113593347</v>
      </c>
      <c r="W369" s="404"/>
      <c r="X369" s="157">
        <f t="shared" si="131"/>
        <v>44551</v>
      </c>
      <c r="Y369" s="387">
        <f t="shared" si="132"/>
        <v>11.920339894751342</v>
      </c>
      <c r="Z369" s="387">
        <f t="shared" si="133"/>
        <v>12.268764730868437</v>
      </c>
      <c r="AA369" s="388">
        <f t="shared" si="134"/>
        <v>14.365511830477949</v>
      </c>
      <c r="AB369" s="199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0.14595700622104132</v>
      </c>
      <c r="AD369" s="233">
        <f>(INDEX(Models!$BJ369:$BT369,,AH369)*(1-AF369)+INDEX(Models!$BJ369:$BT369,,AH369+1)*AF369-ERP_i)*AE369*Ramure*Pc/MaxiM</f>
        <v>9.0598715124455262E-2</v>
      </c>
      <c r="AE369" s="307">
        <f t="shared" si="136"/>
        <v>1</v>
      </c>
      <c r="AF369" s="179">
        <f t="shared" si="137"/>
        <v>0.99976582631356181</v>
      </c>
      <c r="AG369" s="837">
        <f t="shared" si="143"/>
        <v>-1</v>
      </c>
      <c r="AH369" s="178">
        <f t="shared" si="138"/>
        <v>5</v>
      </c>
      <c r="AI369" s="227">
        <f t="shared" si="139"/>
        <v>-2.3417368643818826E-4</v>
      </c>
      <c r="AJ369" s="267" t="b">
        <f t="shared" si="140"/>
        <v>0</v>
      </c>
      <c r="AK369" s="267" t="b">
        <f t="shared" si="141"/>
        <v>0</v>
      </c>
      <c r="AL369" s="267"/>
      <c r="AM369" s="267"/>
      <c r="AN369" s="267"/>
    </row>
    <row r="370" spans="1:40" s="18" customFormat="1" ht="11.25" x14ac:dyDescent="0.2">
      <c r="A370" s="56">
        <f t="shared" si="142"/>
        <v>44552</v>
      </c>
      <c r="B370" s="618">
        <v>14.135</v>
      </c>
      <c r="C370" s="392"/>
      <c r="D370" s="395">
        <f t="shared" si="122"/>
        <v>14.548496671167774</v>
      </c>
      <c r="E370" s="387">
        <f t="shared" si="144"/>
        <v>16.202820079811115</v>
      </c>
      <c r="F370" s="387">
        <f t="shared" si="123"/>
        <v>17.758391649876643</v>
      </c>
      <c r="G370" s="110">
        <f t="shared" si="145"/>
        <v>0.97433849395633199</v>
      </c>
      <c r="H370" s="414" t="b">
        <f>Wh_hp&gt;='2020'!Maxi_hp</f>
        <v>1</v>
      </c>
      <c r="I370" s="382">
        <f>IF(H370,Wh_hp,'2020'!Maxi_hp)</f>
        <v>17.758391649876643</v>
      </c>
      <c r="J370" s="85">
        <f>IF(H370,An,'2020'!An_max)</f>
        <v>2021</v>
      </c>
      <c r="K370" s="199">
        <f t="shared" si="124"/>
        <v>44552</v>
      </c>
      <c r="L370" s="147">
        <f>IF(t&lt;Tvie,1-EXP((T0-t)*PertePVj)+'2020'!Pspv,1-EXP((T0-t)*PertePVj)+Pspv)</f>
        <v>2.8421951801194889E-2</v>
      </c>
      <c r="M370" s="870"/>
      <c r="N370" s="870"/>
      <c r="O370" s="48">
        <f>IF(t&lt;Tnet,'2020'!Resal+('2020'!Salim-'2020'!Resal)*(1-EXP(('2020'!Tnet-t)/('2020'!Tau_j))),Resal+(Salim-Resal)*(1-EXP((Tnet-t)/(Tau_j))))*Salcycl</f>
        <v>0.10210095529633426</v>
      </c>
      <c r="P370" s="171">
        <f>(INDEX(Models!$BJ370:$BT370,,T370)*(1-R370)+INDEX(Models!$BJ370:$BT370,,T370+1)*R370-ERP_i)*Q370*Ramure*Pc/MaxiM</f>
        <v>9.0510784139161762E-2</v>
      </c>
      <c r="Q370" s="307">
        <f t="shared" si="125"/>
        <v>1</v>
      </c>
      <c r="R370" s="179">
        <f t="shared" si="126"/>
        <v>0.99977555379187799</v>
      </c>
      <c r="S370" s="837">
        <f t="shared" si="127"/>
        <v>-1</v>
      </c>
      <c r="T370" s="178">
        <f t="shared" si="128"/>
        <v>5</v>
      </c>
      <c r="U370" s="253">
        <f t="shared" si="129"/>
        <v>-2.2444620812200888E-4</v>
      </c>
      <c r="V370" s="385">
        <f t="shared" si="130"/>
        <v>14.460940063697874</v>
      </c>
      <c r="W370" s="404"/>
      <c r="X370" s="157">
        <f t="shared" si="131"/>
        <v>44552</v>
      </c>
      <c r="Y370" s="387">
        <f t="shared" si="132"/>
        <v>13.444235602251661</v>
      </c>
      <c r="Z370" s="387">
        <f t="shared" si="133"/>
        <v>13.837525072922078</v>
      </c>
      <c r="AA370" s="388">
        <f t="shared" si="134"/>
        <v>16.202820079811115</v>
      </c>
      <c r="AB370" s="199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0.14598045249149064</v>
      </c>
      <c r="AD370" s="233">
        <f>(INDEX(Models!$BJ370:$BT370,,AH370)*(1-AF370)+INDEX(Models!$BJ370:$BT370,,AH370+1)*AF370-ERP_i)*AE370*Ramure*Pc/MaxiM</f>
        <v>9.0510784139161762E-2</v>
      </c>
      <c r="AE370" s="307">
        <f t="shared" si="136"/>
        <v>1</v>
      </c>
      <c r="AF370" s="179">
        <f t="shared" si="137"/>
        <v>0.99977555379187799</v>
      </c>
      <c r="AG370" s="837">
        <f t="shared" si="143"/>
        <v>-1</v>
      </c>
      <c r="AH370" s="178">
        <f t="shared" si="138"/>
        <v>5</v>
      </c>
      <c r="AI370" s="227">
        <f t="shared" si="139"/>
        <v>-2.2444620812200888E-4</v>
      </c>
      <c r="AJ370" s="267" t="b">
        <f t="shared" si="140"/>
        <v>0</v>
      </c>
      <c r="AK370" s="267" t="b">
        <f t="shared" si="141"/>
        <v>0</v>
      </c>
      <c r="AL370" s="267"/>
      <c r="AM370" s="267"/>
      <c r="AN370" s="267"/>
    </row>
    <row r="371" spans="1:40" s="6" customFormat="1" ht="11.25" x14ac:dyDescent="0.2">
      <c r="A371" s="56">
        <f t="shared" si="142"/>
        <v>44553</v>
      </c>
      <c r="B371" s="618">
        <v>5.45</v>
      </c>
      <c r="C371" s="392"/>
      <c r="D371" s="395">
        <f t="shared" si="122"/>
        <v>5.6095615195479427</v>
      </c>
      <c r="E371" s="387">
        <f t="shared" si="144"/>
        <v>6.248699757366774</v>
      </c>
      <c r="F371" s="387">
        <f t="shared" si="123"/>
        <v>6.3107921308873838</v>
      </c>
      <c r="G371" s="110">
        <f t="shared" si="145"/>
        <v>0.3456325122836939</v>
      </c>
      <c r="H371" s="414" t="b">
        <f>Wh_hp&gt;='2020'!Maxi_hp</f>
        <v>0</v>
      </c>
      <c r="I371" s="382">
        <f>IF(H371,Wh_hp,'2020'!Maxi_hp)</f>
        <v>16.140767818767696</v>
      </c>
      <c r="J371" s="85">
        <f>IF(H371,An,'2020'!An_max)</f>
        <v>2020</v>
      </c>
      <c r="K371" s="199">
        <f t="shared" si="124"/>
        <v>44553</v>
      </c>
      <c r="L371" s="147">
        <f>IF(t&lt;Tvie,1-EXP((T0-t)*PertePVj)+'2020'!Pspv,1-EXP((T0-t)*PertePVj)+Pspv)</f>
        <v>2.8444561841760696E-2</v>
      </c>
      <c r="M371" s="870"/>
      <c r="N371" s="870"/>
      <c r="O371" s="48">
        <f>IF(t&lt;Tnet,'2020'!Resal+('2020'!Salim-'2020'!Resal)*(1-EXP(('2020'!Tnet-t)/('2020'!Tau_j))),Resal+(Salim-Resal)*(1-EXP((Tnet-t)/(Tau_j))))*Salcycl</f>
        <v>0.10228339696835859</v>
      </c>
      <c r="P371" s="171">
        <f>(INDEX(Models!$BJ371:$BT371,,T371)*(1-R371)+INDEX(Models!$BJ371:$BT371,,T371+1)*R371-ERP_i)*Q371*Ramure*Pc/MaxiM</f>
        <v>9.0354851726455687E-2</v>
      </c>
      <c r="Q371" s="307">
        <f t="shared" si="125"/>
        <v>1</v>
      </c>
      <c r="R371" s="179">
        <f t="shared" si="126"/>
        <v>0.99977555379187799</v>
      </c>
      <c r="S371" s="837">
        <f t="shared" si="127"/>
        <v>-1</v>
      </c>
      <c r="T371" s="178">
        <f t="shared" si="128"/>
        <v>5</v>
      </c>
      <c r="U371" s="253">
        <f t="shared" si="129"/>
        <v>-2.2444620812200888E-4</v>
      </c>
      <c r="V371" s="385">
        <f t="shared" si="130"/>
        <v>14.485988602422042</v>
      </c>
      <c r="W371" s="404"/>
      <c r="X371" s="157">
        <f t="shared" si="131"/>
        <v>44553</v>
      </c>
      <c r="Y371" s="387">
        <f t="shared" si="132"/>
        <v>5.1845636965571815</v>
      </c>
      <c r="Z371" s="387">
        <f t="shared" si="133"/>
        <v>5.3363539463949357</v>
      </c>
      <c r="AA371" s="388">
        <f t="shared" si="134"/>
        <v>6.248699757366774</v>
      </c>
      <c r="AB371" s="199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0.14600570461018667</v>
      </c>
      <c r="AD371" s="233">
        <f>(INDEX(Models!$BJ371:$BT371,,AH371)*(1-AF371)+INDEX(Models!$BJ371:$BT371,,AH371+1)*AF371-ERP_i)*AE371*Ramure*Pc/MaxiM</f>
        <v>9.0354851726455687E-2</v>
      </c>
      <c r="AE371" s="307">
        <f t="shared" si="136"/>
        <v>1</v>
      </c>
      <c r="AF371" s="179">
        <f t="shared" si="137"/>
        <v>0.99977555379187799</v>
      </c>
      <c r="AG371" s="837">
        <f t="shared" si="143"/>
        <v>-1</v>
      </c>
      <c r="AH371" s="178">
        <f t="shared" si="138"/>
        <v>5</v>
      </c>
      <c r="AI371" s="227">
        <f t="shared" si="139"/>
        <v>-2.2444620812200888E-4</v>
      </c>
      <c r="AJ371" s="267" t="b">
        <f t="shared" si="140"/>
        <v>0</v>
      </c>
      <c r="AK371" s="267" t="b">
        <f t="shared" si="141"/>
        <v>0</v>
      </c>
      <c r="AL371" s="267"/>
      <c r="AM371" s="267"/>
      <c r="AN371" s="75"/>
    </row>
    <row r="372" spans="1:40" s="6" customFormat="1" ht="11.25" x14ac:dyDescent="0.2">
      <c r="A372" s="56">
        <f t="shared" si="142"/>
        <v>44554</v>
      </c>
      <c r="B372" s="618">
        <v>8.6</v>
      </c>
      <c r="C372" s="392"/>
      <c r="D372" s="395">
        <f t="shared" si="122"/>
        <v>8.8519911488783105</v>
      </c>
      <c r="E372" s="387">
        <f t="shared" si="144"/>
        <v>9.8625733061064143</v>
      </c>
      <c r="F372" s="387">
        <f t="shared" si="123"/>
        <v>10.248235301132292</v>
      </c>
      <c r="G372" s="110">
        <f t="shared" si="145"/>
        <v>0.55995778010491193</v>
      </c>
      <c r="H372" s="414" t="b">
        <f>Wh_hp&gt;='2020'!Maxi_hp</f>
        <v>0</v>
      </c>
      <c r="I372" s="382">
        <f>IF(H372,Wh_hp,'2020'!Maxi_hp)</f>
        <v>13.85135011242434</v>
      </c>
      <c r="J372" s="85">
        <f>IF(H372,An,'2020'!An_max)</f>
        <v>2019</v>
      </c>
      <c r="K372" s="199">
        <f t="shared" si="124"/>
        <v>44554</v>
      </c>
      <c r="L372" s="147">
        <f>IF(t&lt;Tvie,1-EXP((T0-t)*PertePVj)+'2020'!Pspv,1-EXP((T0-t)*PertePVj)+Pspv)</f>
        <v>2.8467171356157728E-2</v>
      </c>
      <c r="M372" s="870"/>
      <c r="N372" s="870"/>
      <c r="O372" s="48">
        <f>IF(t&lt;Tnet,'2020'!Resal+('2020'!Salim-'2020'!Resal)*(1-EXP(('2020'!Tnet-t)/('2020'!Tau_j))),Resal+(Salim-Resal)*(1-EXP((Tnet-t)/(Tau_j))))*Salcycl</f>
        <v>0.10246637726914556</v>
      </c>
      <c r="P372" s="171">
        <f>(INDEX(Models!$BJ372:$BT372,,T372)*(1-R372)+INDEX(Models!$BJ372:$BT372,,T372+1)*R372-ERP_i)*Q372*Ramure*Pc/MaxiM</f>
        <v>9.0131302873186492E-2</v>
      </c>
      <c r="Q372" s="307">
        <f t="shared" si="125"/>
        <v>1</v>
      </c>
      <c r="R372" s="179">
        <f t="shared" si="126"/>
        <v>0.99977555379187799</v>
      </c>
      <c r="S372" s="837">
        <f t="shared" si="127"/>
        <v>-1</v>
      </c>
      <c r="T372" s="178">
        <f t="shared" si="128"/>
        <v>5</v>
      </c>
      <c r="U372" s="253">
        <f t="shared" si="129"/>
        <v>-2.2444620812200888E-4</v>
      </c>
      <c r="V372" s="385">
        <f t="shared" si="130"/>
        <v>14.520472080999898</v>
      </c>
      <c r="W372" s="404"/>
      <c r="X372" s="157">
        <f t="shared" si="131"/>
        <v>44554</v>
      </c>
      <c r="Y372" s="387">
        <f t="shared" si="132"/>
        <v>8.1825565339832931</v>
      </c>
      <c r="Z372" s="387">
        <f t="shared" si="133"/>
        <v>8.4223160481414538</v>
      </c>
      <c r="AA372" s="388">
        <f t="shared" si="134"/>
        <v>9.8625733061064143</v>
      </c>
      <c r="AB372" s="199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0.14603260358766859</v>
      </c>
      <c r="AD372" s="233">
        <f>(INDEX(Models!$BJ372:$BT372,,AH372)*(1-AF372)+INDEX(Models!$BJ372:$BT372,,AH372+1)*AF372-ERP_i)*AE372*Ramure*Pc/MaxiM</f>
        <v>9.0131302873186492E-2</v>
      </c>
      <c r="AE372" s="307">
        <f t="shared" si="136"/>
        <v>1</v>
      </c>
      <c r="AF372" s="179">
        <f t="shared" si="137"/>
        <v>0.99977555379187799</v>
      </c>
      <c r="AG372" s="837">
        <f t="shared" si="143"/>
        <v>-1</v>
      </c>
      <c r="AH372" s="178">
        <f t="shared" si="138"/>
        <v>5</v>
      </c>
      <c r="AI372" s="227">
        <f t="shared" si="139"/>
        <v>-2.2444620812200888E-4</v>
      </c>
      <c r="AJ372" s="267" t="b">
        <f t="shared" si="140"/>
        <v>0</v>
      </c>
      <c r="AK372" s="267" t="b">
        <f t="shared" si="141"/>
        <v>0</v>
      </c>
      <c r="AL372" s="267"/>
      <c r="AM372" s="267"/>
      <c r="AN372" s="75"/>
    </row>
    <row r="373" spans="1:40" s="6" customFormat="1" ht="11.25" x14ac:dyDescent="0.2">
      <c r="A373" s="56">
        <f t="shared" si="142"/>
        <v>44555</v>
      </c>
      <c r="B373" s="618">
        <v>8.06</v>
      </c>
      <c r="C373" s="392"/>
      <c r="D373" s="395">
        <f t="shared" si="122"/>
        <v>8.2963615172851757</v>
      </c>
      <c r="E373" s="387">
        <f t="shared" si="144"/>
        <v>9.2453999484309293</v>
      </c>
      <c r="F373" s="387">
        <f t="shared" si="123"/>
        <v>9.556170020916408</v>
      </c>
      <c r="G373" s="110">
        <f t="shared" si="145"/>
        <v>0.52060479806186311</v>
      </c>
      <c r="H373" s="414" t="b">
        <f>Wh_hp&gt;='2020'!Maxi_hp</f>
        <v>0</v>
      </c>
      <c r="I373" s="382">
        <f>IF(H373,Wh_hp,'2020'!Maxi_hp)</f>
        <v>13.907050225818837</v>
      </c>
      <c r="J373" s="85">
        <f>IF(H373,An,'2020'!An_max)</f>
        <v>2018</v>
      </c>
      <c r="K373" s="199">
        <f t="shared" si="124"/>
        <v>44555</v>
      </c>
      <c r="L373" s="147">
        <f>IF(t&lt;Tvie,1-EXP((T0-t)*PertePVj)+'2020'!Pspv,1-EXP((T0-t)*PertePVj)+Pspv)</f>
        <v>2.8489780344398419E-2</v>
      </c>
      <c r="M373" s="870"/>
      <c r="N373" s="870"/>
      <c r="O373" s="48">
        <f>IF(t&lt;Tnet,'2020'!Resal+('2020'!Salim-'2020'!Resal)*(1-EXP(('2020'!Tnet-t)/('2020'!Tau_j))),Resal+(Salim-Resal)*(1-EXP((Tnet-t)/(Tau_j))))*Salcycl</f>
        <v>0.10264979735212186</v>
      </c>
      <c r="P373" s="171">
        <f>(INDEX(Models!$BJ373:$BT373,,T373)*(1-R373)+INDEX(Models!$BJ373:$BT373,,T373+1)*R373-ERP_i)*Q373*Ramure*Pc/MaxiM</f>
        <v>8.983865096644035E-2</v>
      </c>
      <c r="Q373" s="307">
        <f t="shared" si="125"/>
        <v>1</v>
      </c>
      <c r="R373" s="179">
        <f t="shared" si="126"/>
        <v>0.99977555379187799</v>
      </c>
      <c r="S373" s="837">
        <f t="shared" si="127"/>
        <v>-1</v>
      </c>
      <c r="T373" s="178">
        <f t="shared" si="128"/>
        <v>5</v>
      </c>
      <c r="U373" s="253">
        <f t="shared" si="129"/>
        <v>-2.2444620812200888E-4</v>
      </c>
      <c r="V373" s="385">
        <f t="shared" si="130"/>
        <v>14.564763233489339</v>
      </c>
      <c r="W373" s="404"/>
      <c r="X373" s="157">
        <f t="shared" si="131"/>
        <v>44555</v>
      </c>
      <c r="Y373" s="387">
        <f t="shared" si="132"/>
        <v>7.6700805825067215</v>
      </c>
      <c r="Z373" s="387">
        <f t="shared" si="133"/>
        <v>7.8950076152835011</v>
      </c>
      <c r="AA373" s="388">
        <f t="shared" si="134"/>
        <v>9.2453999484309293</v>
      </c>
      <c r="AB373" s="199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0.1460609968935534</v>
      </c>
      <c r="AD373" s="233">
        <f>(INDEX(Models!$BJ373:$BT373,,AH373)*(1-AF373)+INDEX(Models!$BJ373:$BT373,,AH373+1)*AF373-ERP_i)*AE373*Ramure*Pc/MaxiM</f>
        <v>8.983865096644035E-2</v>
      </c>
      <c r="AE373" s="307">
        <f t="shared" si="136"/>
        <v>1</v>
      </c>
      <c r="AF373" s="179">
        <f t="shared" si="137"/>
        <v>0.99977555379187799</v>
      </c>
      <c r="AG373" s="837">
        <f t="shared" si="143"/>
        <v>-1</v>
      </c>
      <c r="AH373" s="178">
        <f t="shared" si="138"/>
        <v>5</v>
      </c>
      <c r="AI373" s="227">
        <f t="shared" si="139"/>
        <v>-2.2444620812200888E-4</v>
      </c>
      <c r="AJ373" s="267" t="b">
        <f t="shared" si="140"/>
        <v>0</v>
      </c>
      <c r="AK373" s="267" t="b">
        <f t="shared" si="141"/>
        <v>0</v>
      </c>
      <c r="AL373" s="267"/>
      <c r="AM373" s="267"/>
      <c r="AN373" s="75"/>
    </row>
    <row r="374" spans="1:40" s="6" customFormat="1" ht="11.25" x14ac:dyDescent="0.2">
      <c r="A374" s="56">
        <f t="shared" si="142"/>
        <v>44556</v>
      </c>
      <c r="B374" s="618">
        <v>9.5839999999999996</v>
      </c>
      <c r="C374" s="392"/>
      <c r="D374" s="395">
        <f t="shared" si="122"/>
        <v>9.8652827782597594</v>
      </c>
      <c r="E374" s="387">
        <f t="shared" si="144"/>
        <v>10.996045290185153</v>
      </c>
      <c r="F374" s="387">
        <f t="shared" si="123"/>
        <v>11.519640153261831</v>
      </c>
      <c r="G374" s="110">
        <f t="shared" si="145"/>
        <v>0.62534871246705581</v>
      </c>
      <c r="H374" s="414" t="b">
        <f>Wh_hp&gt;='2020'!Maxi_hp</f>
        <v>0</v>
      </c>
      <c r="I374" s="382">
        <f>IF(H374,Wh_hp,'2020'!Maxi_hp)</f>
        <v>17.58318067946076</v>
      </c>
      <c r="J374" s="85">
        <f>IF(H374,An,'2020'!An_max)</f>
        <v>2018</v>
      </c>
      <c r="K374" s="199">
        <f t="shared" si="124"/>
        <v>44556</v>
      </c>
      <c r="L374" s="147">
        <f>IF(t&lt;Tvie,1-EXP((T0-t)*PertePVj)+'2020'!Pspv,1-EXP((T0-t)*PertePVj)+Pspv)</f>
        <v>2.8512388806494871E-2</v>
      </c>
      <c r="M374" s="870"/>
      <c r="N374" s="870"/>
      <c r="O374" s="48">
        <f>IF(t&lt;Tnet,'2020'!Resal+('2020'!Salim-'2020'!Resal)*(1-EXP(('2020'!Tnet-t)/('2020'!Tau_j))),Resal+(Salim-Resal)*(1-EXP((Tnet-t)/(Tau_j))))*Salcycl</f>
        <v>0.10283356262043485</v>
      </c>
      <c r="P374" s="171">
        <f>(INDEX(Models!$BJ374:$BT374,,T374)*(1-R374)+INDEX(Models!$BJ374:$BT374,,T374+1)*R374-ERP_i)*Q374*Ramure*Pc/MaxiM</f>
        <v>8.947696009493615E-2</v>
      </c>
      <c r="Q374" s="307">
        <f t="shared" si="125"/>
        <v>1</v>
      </c>
      <c r="R374" s="179">
        <f t="shared" si="126"/>
        <v>0.99977555379187799</v>
      </c>
      <c r="S374" s="837">
        <f t="shared" si="127"/>
        <v>-1</v>
      </c>
      <c r="T374" s="178">
        <f t="shared" si="128"/>
        <v>5</v>
      </c>
      <c r="U374" s="253">
        <f t="shared" si="129"/>
        <v>-2.2444620812200888E-4</v>
      </c>
      <c r="V374" s="385">
        <f t="shared" si="130"/>
        <v>14.619007123451681</v>
      </c>
      <c r="W374" s="404"/>
      <c r="X374" s="157">
        <f t="shared" si="131"/>
        <v>44556</v>
      </c>
      <c r="Y374" s="387">
        <f t="shared" si="132"/>
        <v>9.1219042706124522</v>
      </c>
      <c r="Z374" s="387">
        <f t="shared" si="133"/>
        <v>9.3896249066994137</v>
      </c>
      <c r="AA374" s="388">
        <f t="shared" si="134"/>
        <v>10.996045290185153</v>
      </c>
      <c r="AB374" s="199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0.14609073908776984</v>
      </c>
      <c r="AD374" s="233">
        <f>(INDEX(Models!$BJ374:$BT374,,AH374)*(1-AF374)+INDEX(Models!$BJ374:$BT374,,AH374+1)*AF374-ERP_i)*AE374*Ramure*Pc/MaxiM</f>
        <v>8.947696009493615E-2</v>
      </c>
      <c r="AE374" s="307">
        <f t="shared" si="136"/>
        <v>1</v>
      </c>
      <c r="AF374" s="179">
        <f t="shared" si="137"/>
        <v>0.99977555379187799</v>
      </c>
      <c r="AG374" s="837">
        <f t="shared" si="143"/>
        <v>-1</v>
      </c>
      <c r="AH374" s="178">
        <f t="shared" si="138"/>
        <v>5</v>
      </c>
      <c r="AI374" s="227">
        <f t="shared" si="139"/>
        <v>-2.2444620812200888E-4</v>
      </c>
      <c r="AJ374" s="267" t="b">
        <f t="shared" si="140"/>
        <v>0</v>
      </c>
      <c r="AK374" s="267" t="b">
        <f t="shared" si="141"/>
        <v>0</v>
      </c>
      <c r="AL374" s="267"/>
      <c r="AM374" s="267"/>
      <c r="AN374" s="75"/>
    </row>
    <row r="375" spans="1:40" s="6" customFormat="1" ht="11.25" x14ac:dyDescent="0.2">
      <c r="A375" s="56">
        <f t="shared" si="142"/>
        <v>44557</v>
      </c>
      <c r="B375" s="618">
        <v>9.8140000000000001</v>
      </c>
      <c r="C375" s="392"/>
      <c r="D375" s="395">
        <f t="shared" si="122"/>
        <v>10.102268189889962</v>
      </c>
      <c r="E375" s="387">
        <f t="shared" si="144"/>
        <v>11.262504147497086</v>
      </c>
      <c r="F375" s="387">
        <f t="shared" si="123"/>
        <v>11.816118132842899</v>
      </c>
      <c r="G375" s="110">
        <f t="shared" si="145"/>
        <v>0.63880329126221413</v>
      </c>
      <c r="H375" s="414" t="b">
        <f>Wh_hp&gt;='2020'!Maxi_hp</f>
        <v>0</v>
      </c>
      <c r="I375" s="382">
        <f>IF(H375,Wh_hp,'2020'!Maxi_hp)</f>
        <v>17.819544852558497</v>
      </c>
      <c r="J375" s="85">
        <f>IF(H375,An,'2020'!An_max)</f>
        <v>2018</v>
      </c>
      <c r="K375" s="199">
        <f t="shared" si="124"/>
        <v>44557</v>
      </c>
      <c r="L375" s="147">
        <f>IF(t&lt;Tvie,1-EXP((T0-t)*PertePVj)+'2020'!Pspv,1-EXP((T0-t)*PertePVj)+Pspv)</f>
        <v>2.8534996742459406E-2</v>
      </c>
      <c r="M375" s="870"/>
      <c r="N375" s="870"/>
      <c r="O375" s="48">
        <f>IF(t&lt;Tnet,'2020'!Resal+('2020'!Salim-'2020'!Resal)*(1-EXP(('2020'!Tnet-t)/('2020'!Tau_j))),Resal+(Salim-Resal)*(1-EXP((Tnet-t)/(Tau_j))))*Salcycl</f>
        <v>0.1030175831602218</v>
      </c>
      <c r="P375" s="171">
        <f>(INDEX(Models!$BJ375:$BT375,,T375)*(1-R375)+INDEX(Models!$BJ375:$BT375,,T375+1)*R375-ERP_i)*Q375*Ramure*Pc/MaxiM</f>
        <v>8.9029700553752283E-2</v>
      </c>
      <c r="Q375" s="307">
        <f t="shared" si="125"/>
        <v>1</v>
      </c>
      <c r="R375" s="179">
        <f t="shared" si="126"/>
        <v>0.99977555379187799</v>
      </c>
      <c r="S375" s="837">
        <f t="shared" si="127"/>
        <v>-1</v>
      </c>
      <c r="T375" s="178">
        <f t="shared" si="128"/>
        <v>5</v>
      </c>
      <c r="U375" s="253">
        <f t="shared" si="129"/>
        <v>-2.2444620812200888E-4</v>
      </c>
      <c r="V375" s="385">
        <f t="shared" si="130"/>
        <v>14.683276826709605</v>
      </c>
      <c r="W375" s="404"/>
      <c r="X375" s="157">
        <f t="shared" si="131"/>
        <v>44557</v>
      </c>
      <c r="Y375" s="387">
        <f t="shared" si="132"/>
        <v>9.3423923967392764</v>
      </c>
      <c r="Z375" s="387">
        <f t="shared" si="133"/>
        <v>9.6168079811543734</v>
      </c>
      <c r="AA375" s="388">
        <f t="shared" si="134"/>
        <v>11.262504147497086</v>
      </c>
      <c r="AB375" s="199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0.14612169236878303</v>
      </c>
      <c r="AD375" s="233">
        <f>(INDEX(Models!$BJ375:$BT375,,AH375)*(1-AF375)+INDEX(Models!$BJ375:$BT375,,AH375+1)*AF375-ERP_i)*AE375*Ramure*Pc/MaxiM</f>
        <v>8.9029700553752283E-2</v>
      </c>
      <c r="AE375" s="307">
        <f t="shared" si="136"/>
        <v>1</v>
      </c>
      <c r="AF375" s="179">
        <f t="shared" si="137"/>
        <v>0.99977555379187799</v>
      </c>
      <c r="AG375" s="837">
        <f t="shared" si="143"/>
        <v>-1</v>
      </c>
      <c r="AH375" s="178">
        <f t="shared" si="138"/>
        <v>5</v>
      </c>
      <c r="AI375" s="227">
        <f t="shared" si="139"/>
        <v>-2.2444620812200888E-4</v>
      </c>
      <c r="AJ375" s="267" t="b">
        <f t="shared" si="140"/>
        <v>0</v>
      </c>
      <c r="AK375" s="267" t="b">
        <f t="shared" si="141"/>
        <v>0</v>
      </c>
      <c r="AL375" s="267"/>
      <c r="AM375" s="267"/>
      <c r="AN375" s="75"/>
    </row>
    <row r="376" spans="1:40" s="6" customFormat="1" ht="11.25" x14ac:dyDescent="0.2">
      <c r="A376" s="56">
        <f t="shared" si="142"/>
        <v>44558</v>
      </c>
      <c r="B376" s="618">
        <v>5.0460000000000003</v>
      </c>
      <c r="C376" s="392"/>
      <c r="D376" s="395">
        <f t="shared" si="122"/>
        <v>5.1943378439817653</v>
      </c>
      <c r="E376" s="387">
        <f t="shared" si="144"/>
        <v>5.7920920158672518</v>
      </c>
      <c r="F376" s="387">
        <f t="shared" si="123"/>
        <v>5.8229673213826203</v>
      </c>
      <c r="G376" s="110">
        <f t="shared" si="145"/>
        <v>0.31333208348164859</v>
      </c>
      <c r="H376" s="414" t="b">
        <f>Wh_hp&gt;='2020'!Maxi_hp</f>
        <v>0</v>
      </c>
      <c r="I376" s="382">
        <f>IF(H376,Wh_hp,'2020'!Maxi_hp)</f>
        <v>6.5268163851434409</v>
      </c>
      <c r="J376" s="85">
        <f>IF(H376,An,'2020'!An_max)</f>
        <v>2020</v>
      </c>
      <c r="K376" s="199">
        <f t="shared" si="124"/>
        <v>44558</v>
      </c>
      <c r="L376" s="147">
        <f>IF(t&lt;Tvie,1-EXP((T0-t)*PertePVj)+'2020'!Pspv,1-EXP((T0-t)*PertePVj)+Pspv)</f>
        <v>2.8557604152304239E-2</v>
      </c>
      <c r="M376" s="870"/>
      <c r="N376" s="870"/>
      <c r="O376" s="48">
        <f>IF(t&lt;Tnet,'2020'!Resal+('2020'!Salim-'2020'!Resal)*(1-EXP(('2020'!Tnet-t)/('2020'!Tau_j))),Resal+(Salim-Resal)*(1-EXP((Tnet-t)/(Tau_j))))*Salcycl</f>
        <v>0.10320177411684024</v>
      </c>
      <c r="P376" s="171">
        <f>(INDEX(Models!$BJ376:$BT376,,T376)*(1-R376)+INDEX(Models!$BJ376:$BT376,,T376+1)*R376-ERP_i)*Q376*Ramure*Pc/MaxiM</f>
        <v>8.8509076041521348E-2</v>
      </c>
      <c r="Q376" s="307">
        <f t="shared" si="125"/>
        <v>1</v>
      </c>
      <c r="R376" s="179">
        <f t="shared" si="126"/>
        <v>0.99977555379187799</v>
      </c>
      <c r="S376" s="837">
        <f t="shared" si="127"/>
        <v>-1</v>
      </c>
      <c r="T376" s="178">
        <f t="shared" si="128"/>
        <v>5</v>
      </c>
      <c r="U376" s="253">
        <f t="shared" si="129"/>
        <v>-2.2444620812200888E-4</v>
      </c>
      <c r="V376" s="385">
        <f t="shared" si="130"/>
        <v>14.757188625515955</v>
      </c>
      <c r="W376" s="404"/>
      <c r="X376" s="157">
        <f t="shared" si="131"/>
        <v>44558</v>
      </c>
      <c r="Y376" s="387">
        <f t="shared" si="132"/>
        <v>4.8043229446958176</v>
      </c>
      <c r="Z376" s="387">
        <f t="shared" si="133"/>
        <v>4.945556180408917</v>
      </c>
      <c r="AA376" s="388">
        <f t="shared" si="134"/>
        <v>5.7920920158672518</v>
      </c>
      <c r="AB376" s="199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0.14615372703666943</v>
      </c>
      <c r="AD376" s="233">
        <f>(INDEX(Models!$BJ376:$BT376,,AH376)*(1-AF376)+INDEX(Models!$BJ376:$BT376,,AH376+1)*AF376-ERP_i)*AE376*Ramure*Pc/MaxiM</f>
        <v>8.8509076041521348E-2</v>
      </c>
      <c r="AE376" s="307">
        <f t="shared" si="136"/>
        <v>1</v>
      </c>
      <c r="AF376" s="179">
        <f t="shared" si="137"/>
        <v>0.99977555379187799</v>
      </c>
      <c r="AG376" s="837">
        <f t="shared" si="143"/>
        <v>-1</v>
      </c>
      <c r="AH376" s="178">
        <f t="shared" si="138"/>
        <v>5</v>
      </c>
      <c r="AI376" s="227">
        <f t="shared" si="139"/>
        <v>-2.2444620812200888E-4</v>
      </c>
      <c r="AJ376" s="267" t="b">
        <f t="shared" si="140"/>
        <v>0</v>
      </c>
      <c r="AK376" s="267" t="b">
        <f t="shared" si="141"/>
        <v>0</v>
      </c>
      <c r="AL376" s="267"/>
      <c r="AM376" s="267"/>
      <c r="AN376" s="75"/>
    </row>
    <row r="377" spans="1:40" s="6" customFormat="1" ht="11.25" x14ac:dyDescent="0.2">
      <c r="A377" s="56">
        <f t="shared" si="142"/>
        <v>44559</v>
      </c>
      <c r="B377" s="618">
        <v>5.1290000000000004</v>
      </c>
      <c r="C377" s="392"/>
      <c r="D377" s="395">
        <f t="shared" si="122"/>
        <v>5.2799006755567506</v>
      </c>
      <c r="E377" s="387">
        <f t="shared" si="144"/>
        <v>5.8887113132269215</v>
      </c>
      <c r="F377" s="387">
        <f t="shared" si="123"/>
        <v>5.9226375973599072</v>
      </c>
      <c r="G377" s="110">
        <f t="shared" si="145"/>
        <v>0.31703896492430511</v>
      </c>
      <c r="H377" s="414" t="b">
        <f>Wh_hp&gt;='2020'!Maxi_hp</f>
        <v>0</v>
      </c>
      <c r="I377" s="382">
        <f>IF(H377,Wh_hp,'2020'!Maxi_hp)</f>
        <v>19.042847861253957</v>
      </c>
      <c r="J377" s="85">
        <f>IF(H377,An,'2020'!An_max)</f>
        <v>2019</v>
      </c>
      <c r="K377" s="199">
        <f t="shared" si="124"/>
        <v>44559</v>
      </c>
      <c r="L377" s="147">
        <f>IF(t&lt;Tvie,1-EXP((T0-t)*PertePVj)+'2020'!Pspv,1-EXP((T0-t)*PertePVj)+Pspv)</f>
        <v>2.8580211036041581E-2</v>
      </c>
      <c r="M377" s="870"/>
      <c r="N377" s="870"/>
      <c r="O377" s="48">
        <f>IF(t&lt;Tnet,'2020'!Resal+('2020'!Salim-'2020'!Resal)*(1-EXP(('2020'!Tnet-t)/('2020'!Tau_j))),Resal+(Salim-Resal)*(1-EXP((Tnet-t)/(Tau_j))))*Salcycl</f>
        <v>0.10338605601240655</v>
      </c>
      <c r="P377" s="171">
        <f>(INDEX(Models!$BJ377:$BT377,,T377)*(1-R377)+INDEX(Models!$BJ377:$BT377,,T377+1)*R377-ERP_i)*Q377*Ramure*Pc/MaxiM</f>
        <v>8.7917974633643786E-2</v>
      </c>
      <c r="Q377" s="307">
        <f t="shared" si="125"/>
        <v>1</v>
      </c>
      <c r="R377" s="179">
        <f t="shared" si="126"/>
        <v>0.99977555379187799</v>
      </c>
      <c r="S377" s="837">
        <f t="shared" si="127"/>
        <v>-1</v>
      </c>
      <c r="T377" s="178">
        <f t="shared" si="128"/>
        <v>5</v>
      </c>
      <c r="U377" s="253">
        <f t="shared" si="129"/>
        <v>-2.2444620812200888E-4</v>
      </c>
      <c r="V377" s="385">
        <f t="shared" si="130"/>
        <v>14.84051081776947</v>
      </c>
      <c r="W377" s="404"/>
      <c r="X377" s="157">
        <f t="shared" si="131"/>
        <v>44559</v>
      </c>
      <c r="Y377" s="387">
        <f t="shared" si="132"/>
        <v>4.8841626130129754</v>
      </c>
      <c r="Z377" s="387">
        <f t="shared" si="133"/>
        <v>5.0278599103092674</v>
      </c>
      <c r="AA377" s="388">
        <f t="shared" si="134"/>
        <v>5.8887113132269215</v>
      </c>
      <c r="AB377" s="199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0.14618672186969908</v>
      </c>
      <c r="AD377" s="233">
        <f>(INDEX(Models!$BJ377:$BT377,,AH377)*(1-AF377)+INDEX(Models!$BJ377:$BT377,,AH377+1)*AF377-ERP_i)*AE377*Ramure*Pc/MaxiM</f>
        <v>8.7917974633643786E-2</v>
      </c>
      <c r="AE377" s="307">
        <f t="shared" si="136"/>
        <v>1</v>
      </c>
      <c r="AF377" s="179">
        <f t="shared" si="137"/>
        <v>0.99977555379187799</v>
      </c>
      <c r="AG377" s="837">
        <f t="shared" si="143"/>
        <v>-1</v>
      </c>
      <c r="AH377" s="178">
        <f t="shared" si="138"/>
        <v>5</v>
      </c>
      <c r="AI377" s="227">
        <f t="shared" si="139"/>
        <v>-2.2444620812200888E-4</v>
      </c>
      <c r="AJ377" s="267" t="b">
        <f t="shared" si="140"/>
        <v>0</v>
      </c>
      <c r="AK377" s="267" t="b">
        <f t="shared" si="141"/>
        <v>0</v>
      </c>
      <c r="AL377" s="267"/>
      <c r="AM377" s="267"/>
      <c r="AN377" s="75"/>
    </row>
    <row r="378" spans="1:40" s="6" customFormat="1" ht="11.25" x14ac:dyDescent="0.2">
      <c r="A378" s="56">
        <f t="shared" si="142"/>
        <v>44560</v>
      </c>
      <c r="B378" s="618">
        <v>12.805</v>
      </c>
      <c r="C378" s="392"/>
      <c r="D378" s="395">
        <f t="shared" si="122"/>
        <v>13.182043585553156</v>
      </c>
      <c r="E378" s="387">
        <f t="shared" si="144"/>
        <v>14.705050930801606</v>
      </c>
      <c r="F378" s="387">
        <f t="shared" si="123"/>
        <v>15.803308493876765</v>
      </c>
      <c r="G378" s="110">
        <f t="shared" si="145"/>
        <v>0.84112591406301263</v>
      </c>
      <c r="H378" s="414" t="b">
        <f>Wh_hp&gt;='2020'!Maxi_hp</f>
        <v>0</v>
      </c>
      <c r="I378" s="382">
        <f>IF(H378,Wh_hp,'2020'!Maxi_hp)</f>
        <v>18.153924992563482</v>
      </c>
      <c r="J378" s="85">
        <f>IF(H378,An,'2020'!An_max)</f>
        <v>2019</v>
      </c>
      <c r="K378" s="199">
        <f t="shared" si="124"/>
        <v>44560</v>
      </c>
      <c r="L378" s="147">
        <f>IF(t&lt;Tvie,1-EXP((T0-t)*PertePVj)+'2020'!Pspv,1-EXP((T0-t)*PertePVj)+Pspv)</f>
        <v>2.8602817393683755E-2</v>
      </c>
      <c r="M378" s="870"/>
      <c r="N378" s="870"/>
      <c r="O378" s="48">
        <f>IF(t&lt;Tnet,'2020'!Resal+('2020'!Salim-'2020'!Resal)*(1-EXP(('2020'!Tnet-t)/('2020'!Tau_j))),Resal+(Salim-Resal)*(1-EXP((Tnet-t)/(Tau_j))))*Salcycl</f>
        <v>0.10357035500355302</v>
      </c>
      <c r="P378" s="171">
        <f>(INDEX(Models!$BJ378:$BT378,,T378)*(1-R378)+INDEX(Models!$BJ378:$BT378,,T378+1)*R378-ERP_i)*Q378*Ramure*Pc/MaxiM</f>
        <v>8.7259427982587082E-2</v>
      </c>
      <c r="Q378" s="307">
        <f t="shared" si="125"/>
        <v>1</v>
      </c>
      <c r="R378" s="179">
        <f t="shared" si="126"/>
        <v>0.99977555379187799</v>
      </c>
      <c r="S378" s="837">
        <f t="shared" si="127"/>
        <v>-1</v>
      </c>
      <c r="T378" s="178">
        <f t="shared" si="128"/>
        <v>5</v>
      </c>
      <c r="U378" s="253">
        <f t="shared" si="129"/>
        <v>-2.2444620812200888E-4</v>
      </c>
      <c r="V378" s="385">
        <f t="shared" si="130"/>
        <v>14.933011865568492</v>
      </c>
      <c r="W378" s="404"/>
      <c r="X378" s="157">
        <f t="shared" si="131"/>
        <v>44560</v>
      </c>
      <c r="Y378" s="387">
        <f t="shared" si="132"/>
        <v>12.195765427551924</v>
      </c>
      <c r="Z378" s="387">
        <f t="shared" si="133"/>
        <v>12.554870083964998</v>
      </c>
      <c r="AA378" s="388">
        <f t="shared" si="134"/>
        <v>14.705050930801606</v>
      </c>
      <c r="AB378" s="199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0.14622056441387629</v>
      </c>
      <c r="AD378" s="233">
        <f>(INDEX(Models!$BJ378:$BT378,,AH378)*(1-AF378)+INDEX(Models!$BJ378:$BT378,,AH378+1)*AF378-ERP_i)*AE378*Ramure*Pc/MaxiM</f>
        <v>8.7259427982587082E-2</v>
      </c>
      <c r="AE378" s="307">
        <f t="shared" si="136"/>
        <v>1</v>
      </c>
      <c r="AF378" s="179">
        <f t="shared" si="137"/>
        <v>0.99977555379187799</v>
      </c>
      <c r="AG378" s="837">
        <f t="shared" si="143"/>
        <v>-1</v>
      </c>
      <c r="AH378" s="178">
        <f t="shared" si="138"/>
        <v>5</v>
      </c>
      <c r="AI378" s="227">
        <f t="shared" si="139"/>
        <v>-2.2444620812200888E-4</v>
      </c>
      <c r="AJ378" s="267" t="b">
        <f t="shared" si="140"/>
        <v>0</v>
      </c>
      <c r="AK378" s="267" t="b">
        <f t="shared" si="141"/>
        <v>0</v>
      </c>
      <c r="AL378" s="267"/>
      <c r="AM378" s="267"/>
      <c r="AN378" s="75"/>
    </row>
    <row r="379" spans="1:40" s="18" customFormat="1" ht="12.75" x14ac:dyDescent="0.2">
      <c r="A379" s="56">
        <f t="shared" si="142"/>
        <v>44561</v>
      </c>
      <c r="B379" s="618">
        <v>14.612</v>
      </c>
      <c r="C379" s="392"/>
      <c r="D379" s="395">
        <f t="shared" si="122"/>
        <v>15.042600814730031</v>
      </c>
      <c r="E379" s="387">
        <f t="shared" si="144"/>
        <v>16.784020165019552</v>
      </c>
      <c r="F379" s="387">
        <f t="shared" si="123"/>
        <v>18.304438481335758</v>
      </c>
      <c r="G379" s="110">
        <f t="shared" si="145"/>
        <v>0.96821854345291158</v>
      </c>
      <c r="H379" s="414" t="b">
        <f>Wh_hp&gt;='2020'!Maxi_hp</f>
        <v>1</v>
      </c>
      <c r="I379" s="382">
        <f>IF(H379,Wh_hp,'2020'!Maxi_hp)</f>
        <v>18.304438481335758</v>
      </c>
      <c r="J379" s="85">
        <f>IF(H379,An,'2020'!An_max)</f>
        <v>2021</v>
      </c>
      <c r="K379" s="199">
        <f t="shared" si="124"/>
        <v>44561</v>
      </c>
      <c r="L379" s="147">
        <f>IF(t&lt;Tvie,1-EXP((T0-t)*PertePVj)+'2020'!Pspv,1-EXP((T0-t)*PertePVj)+Pspv)</f>
        <v>2.8625423225242974E-2</v>
      </c>
      <c r="M379" s="870"/>
      <c r="N379" s="870"/>
      <c r="O379" s="48">
        <f>IF(t&lt;Tnet,'2020'!Resal+('2020'!Salim-'2020'!Resal)*(1-EXP(('2020'!Tnet-t)/('2020'!Tau_j))),Resal+(Salim-Resal)*(1-EXP((Tnet-t)/(Tau_j))))*Salcycl</f>
        <v>0.10375460307887995</v>
      </c>
      <c r="P379" s="171">
        <f>(INDEX(Models!$BJ379:$BT379,,T379)*(1-R379)+INDEX(Models!$BJ379:$BT379,,T379+1)*R379-ERP_i)*Q379*Ramure*Pc/MaxiM</f>
        <v>8.6536582315209248E-2</v>
      </c>
      <c r="Q379" s="308">
        <f t="shared" si="125"/>
        <v>1</v>
      </c>
      <c r="R379" s="179">
        <f t="shared" si="126"/>
        <v>0.99977555379187799</v>
      </c>
      <c r="S379" s="837">
        <f t="shared" si="127"/>
        <v>-1</v>
      </c>
      <c r="T379" s="178">
        <f t="shared" si="128"/>
        <v>5</v>
      </c>
      <c r="U379" s="309">
        <f t="shared" si="129"/>
        <v>-2.2444620812200888E-4</v>
      </c>
      <c r="V379" s="385">
        <f t="shared" si="130"/>
        <v>15.034460383518725</v>
      </c>
      <c r="W379" s="404"/>
      <c r="X379" s="157">
        <f t="shared" si="131"/>
        <v>44561</v>
      </c>
      <c r="Y379" s="387">
        <f t="shared" si="132"/>
        <v>13.919089318316233</v>
      </c>
      <c r="Z379" s="387">
        <f t="shared" si="133"/>
        <v>14.32927075828113</v>
      </c>
      <c r="AA379" s="388">
        <f t="shared" si="134"/>
        <v>16.784020165019552</v>
      </c>
      <c r="AB379" s="199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0.14625515118567906</v>
      </c>
      <c r="AD379" s="233">
        <f>(INDEX(Models!$BJ379:$BT379,,AH379)*(1-AF379)+INDEX(Models!$BJ379:$BT379,,AH379+1)*AF379-ERP_i)*AE379*Ramure*Pc/MaxiM</f>
        <v>8.6536582315209248E-2</v>
      </c>
      <c r="AE379" s="308">
        <f t="shared" si="136"/>
        <v>1</v>
      </c>
      <c r="AF379" s="179">
        <f t="shared" si="137"/>
        <v>0.99977555379187799</v>
      </c>
      <c r="AG379" s="837">
        <f t="shared" si="143"/>
        <v>-1</v>
      </c>
      <c r="AH379" s="178">
        <f t="shared" si="138"/>
        <v>5</v>
      </c>
      <c r="AI379" s="224">
        <f t="shared" si="139"/>
        <v>-2.2444620812200888E-4</v>
      </c>
      <c r="AJ379" s="267" t="b">
        <f t="shared" si="140"/>
        <v>0</v>
      </c>
      <c r="AK379" s="267" t="b">
        <f t="shared" si="141"/>
        <v>0</v>
      </c>
      <c r="AL379" s="267"/>
      <c r="AM379" s="267"/>
      <c r="AN379" s="267"/>
    </row>
    <row r="380" spans="1:40" s="18" customFormat="1" ht="12" thickBot="1" x14ac:dyDescent="0.25">
      <c r="A380" s="121"/>
      <c r="B380" s="732"/>
      <c r="C380" s="396"/>
      <c r="D380" s="403"/>
      <c r="E380" s="389"/>
      <c r="F380" s="389"/>
      <c r="G380" s="122"/>
      <c r="H380" s="414" t="b">
        <f>Wh_hp&gt;='2020'!Maxi_hp</f>
        <v>0</v>
      </c>
      <c r="I380" s="382">
        <f>IF(H380,Wh_hp,'2020'!Maxi_hp)</f>
        <v>13.062281165272948</v>
      </c>
      <c r="J380" s="85">
        <f>IF(H380,An,'2020'!An_max)</f>
        <v>2020</v>
      </c>
      <c r="K380" s="236"/>
      <c r="L380" s="216"/>
      <c r="M380" s="875"/>
      <c r="N380" s="875"/>
      <c r="O380" s="153"/>
      <c r="P380" s="324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0"/>
        <v>1</v>
      </c>
      <c r="AK380" s="267" t="b">
        <f t="shared" si="141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0.99299999999999999</v>
      </c>
      <c r="C381" s="377"/>
      <c r="D381" s="375">
        <f>MIN(D15:D380)</f>
        <v>1.0213828578946746</v>
      </c>
      <c r="E381" s="375">
        <f>MIN(E15:E380)</f>
        <v>1.1318716414897503</v>
      </c>
      <c r="F381" s="376">
        <f>MIN(F15:F380)</f>
        <v>1.1318716414897503</v>
      </c>
      <c r="G381" s="125">
        <f>+MIN(G15:G380)</f>
        <v>5.347377693967003E-2</v>
      </c>
      <c r="H381" s="94"/>
      <c r="I381" s="376">
        <f>MIN(I15:I380)</f>
        <v>6.5268163851434409</v>
      </c>
      <c r="J381" s="57">
        <f>MIN(J15:J380)</f>
        <v>2018</v>
      </c>
      <c r="K381" s="202" t="s">
        <v>7</v>
      </c>
      <c r="L381" s="146">
        <f t="shared" ref="L381:T381" si="146">MIN(L15:L380)</f>
        <v>2.0362046534201816E-2</v>
      </c>
      <c r="M381" s="872"/>
      <c r="N381" s="872"/>
      <c r="O381" s="47">
        <f t="shared" si="146"/>
        <v>2.5331942498913129E-2</v>
      </c>
      <c r="P381" s="170">
        <f t="shared" si="146"/>
        <v>1.2146406767071417E-4</v>
      </c>
      <c r="Q381" s="312">
        <f t="shared" si="146"/>
        <v>1</v>
      </c>
      <c r="R381" s="313">
        <f t="shared" si="146"/>
        <v>0.29977733604251733</v>
      </c>
      <c r="S381" s="837">
        <f t="shared" si="146"/>
        <v>-1</v>
      </c>
      <c r="T381" s="178">
        <f t="shared" si="146"/>
        <v>5</v>
      </c>
      <c r="U381" s="254">
        <f>+MIN(U15:U380)</f>
        <v>-0.70022266395748267</v>
      </c>
      <c r="V381" s="57">
        <f>MIN(V15:V380)</f>
        <v>14.438741710812026</v>
      </c>
      <c r="W381" s="58"/>
      <c r="X381" s="112" t="s">
        <v>7</v>
      </c>
      <c r="Y381" s="375">
        <f>MIN(Y15:Y380)</f>
        <v>0.93909292255716592</v>
      </c>
      <c r="Z381" s="375">
        <f>MIN(Z15:Z380)</f>
        <v>0.9659349577745221</v>
      </c>
      <c r="AA381" s="375">
        <f>MIN(AA15:AA380)</f>
        <v>1.1318716414897503</v>
      </c>
      <c r="AB381" s="202" t="s">
        <v>7</v>
      </c>
      <c r="AC381" s="47">
        <f t="shared" ref="AC381:AH381" si="147">MIN(AC15:AC380)</f>
        <v>0.1221492169032059</v>
      </c>
      <c r="AD381" s="170">
        <f t="shared" si="147"/>
        <v>1.2146406767071417E-4</v>
      </c>
      <c r="AE381" s="312">
        <f t="shared" si="147"/>
        <v>1</v>
      </c>
      <c r="AF381" s="313">
        <f t="shared" si="147"/>
        <v>0.29977733604251733</v>
      </c>
      <c r="AG381" s="837">
        <f t="shared" si="147"/>
        <v>-1</v>
      </c>
      <c r="AH381" s="178">
        <f t="shared" si="147"/>
        <v>5</v>
      </c>
      <c r="AI381" s="228">
        <f>MIN(AI15:AI380)</f>
        <v>-0.70022266395748267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27.064526027397275</v>
      </c>
      <c r="C382" s="377"/>
      <c r="D382" s="377">
        <f>AVERAGE(D15:D380)</f>
        <v>27.740156175355878</v>
      </c>
      <c r="E382" s="377">
        <f>AVERAGE(E15:E380)</f>
        <v>30.203230099379713</v>
      </c>
      <c r="F382" s="378">
        <f>AVERAGE(F15:F380)</f>
        <v>30.419914723209821</v>
      </c>
      <c r="G382" s="126">
        <f>AVERAGE(G15:G380)</f>
        <v>0.676751597489331</v>
      </c>
      <c r="H382" s="94"/>
      <c r="I382" s="378">
        <f>AVERAGE(I15:I380)</f>
        <v>39.691536494922012</v>
      </c>
      <c r="J382" s="59">
        <f>AVERAGE(J15:J380)</f>
        <v>2019.8661202185792</v>
      </c>
      <c r="K382" s="202" t="s">
        <v>8</v>
      </c>
      <c r="L382" s="147">
        <f t="shared" ref="L382:V382" si="148">AVERAGE(L15:L380)</f>
        <v>2.4499552041093085E-2</v>
      </c>
      <c r="M382" s="870"/>
      <c r="N382" s="870"/>
      <c r="O382" s="48">
        <f t="shared" si="148"/>
        <v>8.91760762943936E-2</v>
      </c>
      <c r="P382" s="171">
        <f t="shared" si="148"/>
        <v>2.1206704821620379E-2</v>
      </c>
      <c r="Q382" s="314">
        <f t="shared" si="148"/>
        <v>1</v>
      </c>
      <c r="R382" s="179">
        <f t="shared" si="148"/>
        <v>0.69161437184131946</v>
      </c>
      <c r="S382" s="837">
        <f t="shared" si="148"/>
        <v>-1</v>
      </c>
      <c r="T382" s="178">
        <f t="shared" si="148"/>
        <v>5</v>
      </c>
      <c r="U382" s="253">
        <f t="shared" si="148"/>
        <v>-0.30838562815868159</v>
      </c>
      <c r="V382" s="59">
        <f t="shared" si="148"/>
        <v>38.838088491209767</v>
      </c>
      <c r="X382" s="112" t="s">
        <v>8</v>
      </c>
      <c r="Y382" s="377">
        <f>AVERAGE(Y15:Y380)</f>
        <v>25.324628041365944</v>
      </c>
      <c r="Z382" s="377">
        <f>AVERAGE(Z15:Z380)</f>
        <v>25.95591099928027</v>
      </c>
      <c r="AA382" s="377">
        <f>AVERAGE(AA15:AA380)</f>
        <v>30.203230099379713</v>
      </c>
      <c r="AB382" s="202" t="s">
        <v>8</v>
      </c>
      <c r="AC382" s="48">
        <f t="shared" ref="AC382:AH382" si="149">AVERAGE(AC15:AC380)</f>
        <v>0.13978223646543053</v>
      </c>
      <c r="AD382" s="171">
        <f t="shared" si="149"/>
        <v>2.1206704821620379E-2</v>
      </c>
      <c r="AE382" s="314">
        <f t="shared" si="149"/>
        <v>1</v>
      </c>
      <c r="AF382" s="179">
        <f t="shared" si="149"/>
        <v>0.69161437184131946</v>
      </c>
      <c r="AG382" s="837">
        <f t="shared" si="149"/>
        <v>-1</v>
      </c>
      <c r="AH382" s="178">
        <f t="shared" si="149"/>
        <v>5</v>
      </c>
      <c r="AI382" s="227">
        <f>AVERAGE(AI15:AI380)</f>
        <v>-0.30838562815868159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59.570999999999998</v>
      </c>
      <c r="C383" s="379"/>
      <c r="D383" s="379">
        <f>MAX(D15:D380)</f>
        <v>61.006222062278042</v>
      </c>
      <c r="E383" s="379">
        <f>MAX(E15:E380)</f>
        <v>64.003973879258865</v>
      </c>
      <c r="F383" s="380">
        <f>MAX(F15:F380)</f>
        <v>64.013081985000142</v>
      </c>
      <c r="G383" s="127">
        <f>+MAX(G15:G380)</f>
        <v>1.0376168549381632</v>
      </c>
      <c r="H383" s="94"/>
      <c r="I383" s="380">
        <f>MAX(I15:I380)</f>
        <v>66.080309605009333</v>
      </c>
      <c r="J383" s="60">
        <f>MAX(J15:J380)</f>
        <v>2021</v>
      </c>
      <c r="K383" s="202" t="s">
        <v>9</v>
      </c>
      <c r="L383" s="148">
        <f t="shared" ref="L383:T383" si="150">MAX(L15:L380)</f>
        <v>2.8625423225242974E-2</v>
      </c>
      <c r="M383" s="873"/>
      <c r="N383" s="873"/>
      <c r="O383" s="49">
        <f t="shared" si="150"/>
        <v>0.12820627512146998</v>
      </c>
      <c r="P383" s="172">
        <f t="shared" si="150"/>
        <v>9.0619030992743113E-2</v>
      </c>
      <c r="Q383" s="315">
        <f t="shared" si="150"/>
        <v>1</v>
      </c>
      <c r="R383" s="316">
        <f t="shared" si="150"/>
        <v>0.99977555379187799</v>
      </c>
      <c r="S383" s="838">
        <f t="shared" si="150"/>
        <v>-1</v>
      </c>
      <c r="T383" s="235">
        <f t="shared" si="150"/>
        <v>5</v>
      </c>
      <c r="U383" s="255">
        <f>+MAX(U15:U380)</f>
        <v>-2.2444620812200888E-4</v>
      </c>
      <c r="V383" s="60">
        <f>MAX(V15:V380)</f>
        <v>60.598735733052713</v>
      </c>
      <c r="X383" s="112" t="s">
        <v>9</v>
      </c>
      <c r="Y383" s="379">
        <f>MAX(Y15:Y380)</f>
        <v>53.630171081239183</v>
      </c>
      <c r="Z383" s="379">
        <f>MAX(Z15:Z380)</f>
        <v>54.946552907269989</v>
      </c>
      <c r="AA383" s="379">
        <f>MAX(AA15:AA380)</f>
        <v>64.003973879258865</v>
      </c>
      <c r="AB383" s="202" t="s">
        <v>9</v>
      </c>
      <c r="AC383" s="49">
        <f t="shared" ref="AC383:AH383" si="151">MAX(AC15:AC380)</f>
        <v>0.15284999820264014</v>
      </c>
      <c r="AD383" s="172">
        <f t="shared" si="151"/>
        <v>9.0619030992743113E-2</v>
      </c>
      <c r="AE383" s="315">
        <f t="shared" si="151"/>
        <v>1</v>
      </c>
      <c r="AF383" s="316">
        <f t="shared" si="151"/>
        <v>0.99977555379187799</v>
      </c>
      <c r="AG383" s="838">
        <f t="shared" si="151"/>
        <v>-1</v>
      </c>
      <c r="AH383" s="235">
        <f t="shared" si="151"/>
        <v>5</v>
      </c>
      <c r="AI383" s="229">
        <f>MAX(AI15:AI380)</f>
        <v>-2.2444620812200888E-4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20" priority="7" stopIfTrue="1" operator="lessThan">
      <formula>0.01</formula>
    </cfRule>
    <cfRule type="cellIs" dxfId="19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9"/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5" sqref="B15: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4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2">
        <f>'2021'!An+1</f>
        <v>2022</v>
      </c>
      <c r="K1" s="1263"/>
      <c r="L1" s="113" t="str">
        <f>"Calcul pertes et enveloppes en "&amp;TEXT(An,0)</f>
        <v>Calcul pertes et enveloppes en 2022</v>
      </c>
      <c r="M1" s="245"/>
      <c r="N1" s="245"/>
      <c r="V1" s="458"/>
      <c r="W1" s="456"/>
      <c r="X1" s="487" t="str">
        <f>"Prévision sans nettoyage ni taille végétation en "&amp;TEXT(An,0)</f>
        <v>Prévision sans nettoyage ni taille végétation en 2022</v>
      </c>
      <c r="Y1" s="488"/>
      <c r="Z1" s="489"/>
      <c r="AA1" s="490"/>
      <c r="AB1" s="491"/>
      <c r="AC1" s="492"/>
      <c r="AD1" s="492"/>
      <c r="AE1" s="492"/>
      <c r="AF1" s="492"/>
      <c r="AG1" s="492"/>
      <c r="AH1" s="492"/>
      <c r="AI1" s="492"/>
      <c r="AL1" s="854" t="s">
        <v>269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4" t="s">
        <v>24</v>
      </c>
      <c r="P2" s="18"/>
      <c r="Q2" s="810"/>
      <c r="R2" s="18"/>
      <c r="S2" s="495"/>
      <c r="T2" s="495"/>
      <c r="U2" s="296" t="s">
        <v>79</v>
      </c>
      <c r="V2" s="496">
        <f>PertePVan</f>
        <v>8.5000000000000006E-3</v>
      </c>
      <c r="W2" s="450" t="s">
        <v>14</v>
      </c>
      <c r="X2" s="497"/>
      <c r="Y2" s="498"/>
      <c r="Z2" s="462"/>
      <c r="AA2" s="462"/>
      <c r="AB2" s="462"/>
      <c r="AC2" s="462"/>
      <c r="AD2" s="462"/>
      <c r="AE2" s="462"/>
      <c r="AF2" s="462"/>
      <c r="AG2" s="462"/>
      <c r="AH2" s="462"/>
      <c r="AI2" s="462"/>
      <c r="AJ2" s="860" t="s">
        <v>261</v>
      </c>
      <c r="AK2" s="860" t="s">
        <v>263</v>
      </c>
      <c r="AL2" s="860" t="s">
        <v>262</v>
      </c>
      <c r="AM2" s="860" t="s">
        <v>264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2">
        <f>Tmaj</f>
        <v>44947</v>
      </c>
      <c r="F3" s="1272"/>
      <c r="G3" s="8"/>
      <c r="H3" s="26"/>
      <c r="I3" s="6"/>
      <c r="J3" s="34"/>
      <c r="K3" s="193"/>
      <c r="L3" s="54"/>
      <c r="M3" s="34"/>
      <c r="N3" s="34"/>
      <c r="O3" s="501"/>
      <c r="P3" s="34"/>
      <c r="Q3" s="501"/>
      <c r="R3" s="34"/>
      <c r="S3" s="513"/>
      <c r="T3" s="450"/>
      <c r="U3" s="211" t="s">
        <v>165</v>
      </c>
      <c r="V3" s="635">
        <f>Salim_i</f>
        <v>0.21</v>
      </c>
      <c r="W3" s="450"/>
      <c r="X3" s="502" t="s">
        <v>96</v>
      </c>
      <c r="Y3" s="503"/>
      <c r="Z3" s="504"/>
      <c r="AA3" s="498"/>
      <c r="AB3" s="498"/>
      <c r="AC3" s="428"/>
      <c r="AD3" s="428"/>
      <c r="AE3" s="428"/>
      <c r="AF3" s="428"/>
      <c r="AG3" s="428"/>
      <c r="AH3" s="428"/>
      <c r="AI3" s="428"/>
      <c r="AJ3" s="858">
        <f>AL11-AJ11</f>
        <v>268.63130157295677</v>
      </c>
      <c r="AK3" s="859">
        <f>AM11-AK11</f>
        <v>0</v>
      </c>
      <c r="AL3" s="858"/>
      <c r="AM3" s="859"/>
      <c r="AN3" s="857" t="s">
        <v>270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2" t="str">
        <f>Station</f>
        <v>Crèche Ayguesvives</v>
      </c>
      <c r="F4" s="1213"/>
      <c r="G4" s="1213"/>
      <c r="H4" s="1213"/>
      <c r="I4" s="1214"/>
      <c r="J4" s="158"/>
      <c r="K4" s="193"/>
      <c r="L4" s="506"/>
      <c r="M4" s="505"/>
      <c r="N4" s="505"/>
      <c r="O4" s="428"/>
      <c r="P4" s="34"/>
      <c r="Q4" s="505"/>
      <c r="R4" s="34"/>
      <c r="S4" s="495"/>
      <c r="T4" s="411"/>
      <c r="U4" s="297" t="s">
        <v>82</v>
      </c>
      <c r="V4" s="634">
        <f>Persistant</f>
        <v>1</v>
      </c>
      <c r="W4" s="508" t="s">
        <v>54</v>
      </c>
      <c r="X4" s="509"/>
      <c r="Y4" s="510"/>
      <c r="Z4" s="511" t="s">
        <v>27</v>
      </c>
      <c r="AA4" s="512" t="s">
        <v>28</v>
      </c>
      <c r="AB4" s="505"/>
      <c r="AC4" s="428"/>
      <c r="AD4" s="428"/>
      <c r="AE4" s="428"/>
      <c r="AF4" s="428"/>
      <c r="AG4" s="428"/>
      <c r="AH4" s="428"/>
      <c r="AI4" s="428"/>
      <c r="AJ4" s="858">
        <f>AL12-AJ12</f>
        <v>105.04486995575107</v>
      </c>
      <c r="AK4" s="859">
        <f>AM12-AK12</f>
        <v>-4.2503623111645794</v>
      </c>
      <c r="AL4" s="858"/>
      <c r="AM4" s="859"/>
      <c r="AN4" s="857" t="s">
        <v>271</v>
      </c>
    </row>
    <row r="5" spans="1:40" s="35" customFormat="1" ht="16.5" customHeight="1" x14ac:dyDescent="0.25">
      <c r="D5" s="161" t="s">
        <v>20</v>
      </c>
      <c r="E5" s="1273">
        <f>T0</f>
        <v>43313</v>
      </c>
      <c r="F5" s="1273"/>
      <c r="G5" s="34"/>
      <c r="H5" s="158"/>
      <c r="I5" s="158"/>
      <c r="K5" s="194"/>
      <c r="L5" s="506"/>
      <c r="M5" s="505"/>
      <c r="N5" s="505"/>
      <c r="O5" s="19"/>
      <c r="R5" s="39"/>
      <c r="S5" s="180"/>
      <c r="T5" s="180"/>
      <c r="U5" s="41"/>
      <c r="V5" s="507"/>
      <c r="W5" s="508"/>
      <c r="X5" s="509"/>
      <c r="Y5" s="510"/>
      <c r="Z5" s="238">
        <f>Wh_Psa_s-Wh_Psa</f>
        <v>374.03532286829932</v>
      </c>
      <c r="AA5" s="239">
        <f>Wh_Pvg_s-Wh_Pvg</f>
        <v>-4.291747278890341</v>
      </c>
      <c r="AB5" s="514" t="s">
        <v>6</v>
      </c>
      <c r="AC5" s="508"/>
      <c r="AD5" s="508"/>
      <c r="AE5" s="508"/>
      <c r="AF5" s="508"/>
      <c r="AG5" s="508"/>
      <c r="AH5" s="508"/>
      <c r="AI5" s="508"/>
      <c r="AJ5" s="516">
        <f>SUMIF(AJ15:AJ380,"VRAI",Wh)</f>
        <v>8866.1600000000035</v>
      </c>
      <c r="AK5" s="516">
        <f>SUMIF(AK15:AK380,"VRAI",Wh)</f>
        <v>3.6450000000000005</v>
      </c>
      <c r="AL5" s="516">
        <f>SUMIF(AJ15:AJ380,"VRAI",Wh_s)</f>
        <v>8593.2096533538152</v>
      </c>
      <c r="AM5" s="516">
        <f>SUMIF(AK15:AK380,"VRAI",Wh_s)</f>
        <v>0</v>
      </c>
      <c r="AN5" s="857" t="s">
        <v>267</v>
      </c>
    </row>
    <row r="6" spans="1:40" s="6" customFormat="1" ht="16.5" customHeight="1" x14ac:dyDescent="0.2">
      <c r="B6" s="8"/>
      <c r="C6" s="8"/>
      <c r="D6" s="161" t="s">
        <v>11</v>
      </c>
      <c r="E6" s="1274">
        <f>Tservice</f>
        <v>43354</v>
      </c>
      <c r="F6" s="1274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0"/>
      <c r="W6" s="462"/>
      <c r="X6" s="497"/>
      <c r="Y6" s="498"/>
      <c r="Z6" s="462"/>
      <c r="AA6" s="462"/>
      <c r="AB6" s="516"/>
      <c r="AC6" s="462"/>
      <c r="AD6" s="462"/>
      <c r="AE6" s="462"/>
      <c r="AF6" s="462"/>
      <c r="AG6" s="462"/>
      <c r="AH6" s="462"/>
      <c r="AI6" s="462"/>
      <c r="AJ6" s="516">
        <f>SUMIF(AJ15:AJ380,"FAUX",Wh)</f>
        <v>895.60300000000007</v>
      </c>
      <c r="AK6" s="516">
        <f>SUMIF(AK15:AK380,"FAUX",Wh)</f>
        <v>9758.1180000000058</v>
      </c>
      <c r="AL6" s="516">
        <f>SUMIF(AJ15:AJ380,"FAUX",Wh_s)</f>
        <v>790.55573806475127</v>
      </c>
      <c r="AM6" s="516">
        <f>SUMIF(AK15:AK380,"FAUX",Wh_s)</f>
        <v>9383.7653914185685</v>
      </c>
      <c r="AN6" s="857" t="s">
        <v>268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AND(YEAR(Tnet)=An,Resal_2022="I")</f>
        <v>0</v>
      </c>
      <c r="F7" s="322" t="b">
        <f>YEAR(Tnet)=An</f>
        <v>1</v>
      </c>
      <c r="J7" s="180"/>
      <c r="K7" s="193"/>
      <c r="L7" s="191" t="s">
        <v>81</v>
      </c>
      <c r="M7" s="868"/>
      <c r="N7" s="868"/>
      <c r="O7" s="18"/>
      <c r="P7" s="118"/>
      <c r="Q7" s="118"/>
      <c r="R7" s="141"/>
      <c r="S7" s="141"/>
      <c r="T7" s="141"/>
      <c r="U7" s="141"/>
      <c r="V7" s="428"/>
      <c r="W7" s="518"/>
      <c r="X7" s="519"/>
      <c r="Y7" s="250"/>
      <c r="Z7" s="518"/>
      <c r="AA7" s="518"/>
      <c r="AB7" s="518"/>
      <c r="AC7" s="518"/>
      <c r="AD7" s="250"/>
      <c r="AE7" s="250"/>
      <c r="AF7" s="493"/>
      <c r="AG7" s="493"/>
      <c r="AH7" s="493"/>
      <c r="AI7" s="518"/>
      <c r="AJ7" s="516">
        <f>SUMIF(AJ15:AJ380,"VRAI",Wh_pvt)</f>
        <v>9158.1972385631416</v>
      </c>
      <c r="AK7" s="516">
        <f>SUMIF(AK15:AK380,"VRAI",Wh_sa)</f>
        <v>0</v>
      </c>
      <c r="AL7" s="516">
        <f>SUMIF(AJ15:AJ380,"VRAI",Wh_pvt_s)</f>
        <v>8879.9995324711963</v>
      </c>
      <c r="AM7" s="516">
        <f>SUMIF(AK15:AK380,"VRAI",Wh_sa_s)</f>
        <v>0</v>
      </c>
      <c r="AN7" s="857" t="s">
        <v>259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AND(YEAR(Tnet)=An,Resal_2022&lt;&gt;"I")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8"/>
      <c r="W8" s="406"/>
      <c r="X8" s="1260" t="s">
        <v>102</v>
      </c>
      <c r="Y8" s="1261"/>
      <c r="Z8" s="498"/>
      <c r="AA8" s="498"/>
      <c r="AB8" s="462"/>
      <c r="AC8" s="520" t="s">
        <v>61</v>
      </c>
      <c r="AD8" s="462"/>
      <c r="AE8" s="462"/>
      <c r="AF8" s="462"/>
      <c r="AG8" s="462"/>
      <c r="AH8" s="462"/>
      <c r="AI8" s="462"/>
      <c r="AJ8" s="516">
        <f>SUMIF(AJ15:AJ380,"FAUX",Wh_pvt)</f>
        <v>928.98252939812414</v>
      </c>
      <c r="AK8" s="516">
        <f>SUMIF(AK15:AK380,"FAUX",Wh_sa)</f>
        <v>11543.604067029913</v>
      </c>
      <c r="AL8" s="516">
        <f>SUMIF(AJ15:AJ380,"FAUX",Wh_pvt_s)</f>
        <v>820.0222277641393</v>
      </c>
      <c r="AM8" s="516">
        <f>SUMIF(AK15:AK380,"FAUX",Wh_sa_s)</f>
        <v>11543.604067029913</v>
      </c>
      <c r="AN8" s="857" t="s">
        <v>260</v>
      </c>
    </row>
    <row r="9" spans="1:40" s="19" customFormat="1" ht="15" customHeight="1" x14ac:dyDescent="0.25">
      <c r="A9" s="34"/>
      <c r="B9" s="212"/>
      <c r="C9" s="212"/>
      <c r="D9" s="186">
        <f>SUM(D$15:D$380)</f>
        <v>10087.179767961266</v>
      </c>
      <c r="E9" s="186">
        <f>SUM(E$15:E$380)</f>
        <v>11543.604067029913</v>
      </c>
      <c r="F9" s="186">
        <f>SUM(F$15:F$380)</f>
        <v>11674.669000295462</v>
      </c>
      <c r="H9" s="1264">
        <f>+SUM(Wh)</f>
        <v>9761.7630000000063</v>
      </c>
      <c r="I9" s="1265"/>
      <c r="J9" s="1266"/>
      <c r="K9" s="193"/>
      <c r="L9" s="234"/>
      <c r="M9" s="234"/>
      <c r="N9" s="234"/>
      <c r="O9" s="225">
        <f>Tnet_2022</f>
        <v>44854</v>
      </c>
      <c r="P9" s="246" t="s">
        <v>91</v>
      </c>
      <c r="Q9" s="247"/>
      <c r="R9" s="247"/>
      <c r="S9" s="247"/>
      <c r="T9" s="247"/>
      <c r="U9" s="248"/>
      <c r="V9" s="462"/>
      <c r="W9" s="521"/>
      <c r="X9" s="1258">
        <f>+SUM(Wh_s)</f>
        <v>9383.7653914185685</v>
      </c>
      <c r="Y9" s="1259"/>
      <c r="Z9" s="516">
        <f>SUM(Z$15:Z$380)</f>
        <v>9700.0217602353423</v>
      </c>
      <c r="AA9" s="516">
        <f>SUM(AA$15:AA$380)</f>
        <v>11543.604067029913</v>
      </c>
      <c r="AB9" s="516">
        <f>F9</f>
        <v>11674.669000295462</v>
      </c>
      <c r="AC9" s="327">
        <f>IF(An_Tnet,Tnet,'2021'!Tnet_s)</f>
        <v>44854</v>
      </c>
      <c r="AD9" s="318" t="s">
        <v>91</v>
      </c>
      <c r="AE9" s="318"/>
      <c r="AF9" s="318"/>
      <c r="AG9" s="318"/>
      <c r="AH9" s="318"/>
      <c r="AI9" s="319"/>
      <c r="AJ9" s="516">
        <f>SUMIF(AJ15:AJ380,"VRAI",Wh_sa)</f>
        <v>10583.590579594022</v>
      </c>
      <c r="AK9" s="516">
        <f>SUMIF(AK15:AK380,"VRAI",Wh_hp)</f>
        <v>0</v>
      </c>
      <c r="AL9" s="516">
        <f>SUMIF(AJ15:AJ380,"VRAI",Wh_sa_s)</f>
        <v>10583.590579594022</v>
      </c>
      <c r="AM9" s="516">
        <f>SUMIF(AK15:AK380,"VRAI",Wh_hp)</f>
        <v>0</v>
      </c>
      <c r="AN9" s="857" t="s">
        <v>265</v>
      </c>
    </row>
    <row r="10" spans="1:40" s="19" customFormat="1" ht="15" customHeight="1" x14ac:dyDescent="0.25">
      <c r="A10" s="208"/>
      <c r="B10" s="209"/>
      <c r="C10" s="864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IF(Inflex,'2021'!Resal+('2021'!Salim-'2021'!Resal)*(1-EXP(-(Tnet-'2021'!Tnet)/('2021'!Tau_j))),IF(An_Tnet,Resal_2022,'2021'!Resal))</f>
        <v>2.5000000000000001E-2</v>
      </c>
      <c r="P10" s="421" t="b">
        <f>NOT(Acti_tai)</f>
        <v>1</v>
      </c>
      <c r="Q10" s="259">
        <f>IF(Acti_tai,'2021'!PousD,Dens-Dd)</f>
        <v>0</v>
      </c>
      <c r="R10" s="276"/>
      <c r="S10" s="277"/>
      <c r="T10" s="278"/>
      <c r="U10" s="268">
        <f>IF(Acti_tai,'2021'!PousH,Hdtf-Hdd)</f>
        <v>0.70000000000000018</v>
      </c>
      <c r="V10" s="428"/>
      <c r="W10" s="505"/>
      <c r="X10" s="506"/>
      <c r="Y10" s="522" t="s">
        <v>26</v>
      </c>
      <c r="Z10" s="512" t="s">
        <v>27</v>
      </c>
      <c r="AA10" s="512" t="s">
        <v>28</v>
      </c>
      <c r="AB10" s="428"/>
      <c r="AC10" s="320">
        <f>IF(OR(Inflex,GainD),'2021'!Resal_s+('2021'!Salim-'2021'!Resal_s)*(1-EXP(('2021'!Tnet_s-Tnet)/('2021'!Tau_j))),IF(Acti_net,'2021'!Resal+('2021'!Salim-'2021'!Resal)*(1-EXP(('2021'!Tnet-Tnet)/'2021'!Tau_j)),'2021'!Resal_s))</f>
        <v>0.13933249934842373</v>
      </c>
      <c r="AD10" s="428"/>
      <c r="AE10" s="428"/>
      <c r="AF10" s="262"/>
      <c r="AG10" s="263"/>
      <c r="AH10" s="264"/>
      <c r="AI10" s="473"/>
      <c r="AJ10" s="516">
        <f>SUMIF(AJ15:AJ380,"FAUX",Wh_sa)</f>
        <v>960.01348743589585</v>
      </c>
      <c r="AK10" s="516">
        <f>SUMIF(AK15:AK380,"FAUX",Wh_hp)</f>
        <v>11674.669000295462</v>
      </c>
      <c r="AL10" s="516">
        <f>SUMIF(AJ15:AJ380,"FAUX",Wh_sa_s)</f>
        <v>960.01348743589585</v>
      </c>
      <c r="AM10" s="516">
        <f>SUMIF(AK15:AK380,"FAUX",Wh_hp)</f>
        <v>11674.669000295462</v>
      </c>
      <c r="AN10" s="857" t="s">
        <v>266</v>
      </c>
    </row>
    <row r="11" spans="1:40" s="40" customFormat="1" ht="15" customHeight="1" x14ac:dyDescent="0.25">
      <c r="A11" s="218"/>
      <c r="B11" s="219" t="s">
        <v>43</v>
      </c>
      <c r="C11" s="865"/>
      <c r="D11" s="50">
        <f>D$9-Prod_an</f>
        <v>325.41676796126012</v>
      </c>
      <c r="E11" s="51">
        <f>(E$9-D$9)*Prod_an/D$9</f>
        <v>1409.4394233069897</v>
      </c>
      <c r="F11" s="188">
        <f>(F$9-E$9)*Prod_an/E$9</f>
        <v>110.83408688654788</v>
      </c>
      <c r="G11" s="187" t="s">
        <v>6</v>
      </c>
      <c r="K11" s="196"/>
      <c r="L11" s="213">
        <f>Tvie_2022</f>
        <v>43313</v>
      </c>
      <c r="M11" s="869"/>
      <c r="N11" s="869"/>
      <c r="O11" s="204">
        <f>IF(An_Tnet,Salim_2022,'2021'!Salim)</f>
        <v>0.22</v>
      </c>
      <c r="P11" s="258">
        <f>Ttai_2022</f>
        <v>43101</v>
      </c>
      <c r="Q11" s="274">
        <f>Dens_2022</f>
        <v>1</v>
      </c>
      <c r="R11" s="279"/>
      <c r="S11" s="232"/>
      <c r="T11" s="232"/>
      <c r="U11" s="268">
        <f>Htf_2022</f>
        <v>0.69977555379187817</v>
      </c>
      <c r="V11" s="19"/>
      <c r="W11" s="861"/>
      <c r="X11" s="237" t="s">
        <v>43</v>
      </c>
      <c r="Y11" s="50">
        <f>Z$9-Prod_an_s</f>
        <v>316.25636881677383</v>
      </c>
      <c r="Z11" s="51">
        <f>(AA$9-Z$9)*Prod_an_s/Z$9</f>
        <v>1783.4747461752891</v>
      </c>
      <c r="AA11" s="188">
        <f>(AB$9-AA$9)*Prod_an_s/AA$9</f>
        <v>106.54233960765754</v>
      </c>
      <c r="AB11" s="187" t="s">
        <v>6</v>
      </c>
      <c r="AC11" s="327"/>
      <c r="AD11" s="19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58">
        <f>IF($AJ7=0,0,($AJ9-$AJ7)*$AJ5/$AJ7)</f>
        <v>1379.9402977803884</v>
      </c>
      <c r="AK11" s="859">
        <f>IF($AK7=0,0,($AK9-$AK7)*$AK5/$AK7)</f>
        <v>0</v>
      </c>
      <c r="AL11" s="858">
        <f>IF($AL7=0,0,($AL9-$AL7)*$AL5/$AL7)</f>
        <v>1648.5715993533452</v>
      </c>
      <c r="AM11" s="859">
        <f>IF($AM7=0,0,($AM9-$AM7)*$AM5/$AM7)</f>
        <v>0</v>
      </c>
      <c r="AN11" s="857" t="s">
        <v>272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3.6719640791316177E-2</v>
      </c>
      <c r="K12" s="193"/>
      <c r="L12" s="214">
        <f>Pspv_2022</f>
        <v>0</v>
      </c>
      <c r="M12" s="214"/>
      <c r="N12" s="214"/>
      <c r="O12" s="207">
        <f>IF(An_Tnet,Tau_2022*365,'2021'!Tau_j)</f>
        <v>912.5</v>
      </c>
      <c r="P12" s="283">
        <f>INDEX(Croivg,MIN(MAX(Ttai-$A$15,0)+1,366))</f>
        <v>2.3909964587625958E-6</v>
      </c>
      <c r="Q12" s="282">
        <f>'2021'!Df</f>
        <v>1</v>
      </c>
      <c r="R12" s="280"/>
      <c r="S12" s="281"/>
      <c r="T12" s="281"/>
      <c r="U12" s="269">
        <f>'2021'!Hdf</f>
        <v>-2.2444620812200888E-4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'2021'!Df_s</f>
        <v>1</v>
      </c>
      <c r="AF12" s="205"/>
      <c r="AG12" s="205"/>
      <c r="AH12" s="205"/>
      <c r="AI12" s="299">
        <f>'2021'!Hdf_s</f>
        <v>-2.2444620812200888E-4</v>
      </c>
      <c r="AJ12" s="858">
        <f>IF($AJ8=0,0,($AJ10-$AJ8)*$AJ6/$AJ8)</f>
        <v>29.915976062012881</v>
      </c>
      <c r="AK12" s="859">
        <f>IF($AK8=0,0,($AK10-$AK8)*$AK6/$AK8)</f>
        <v>110.79270191882212</v>
      </c>
      <c r="AL12" s="858">
        <f>IF($AL8=0,0,($AL10-$AL8)*$AL6/$AL8)</f>
        <v>134.96084601776394</v>
      </c>
      <c r="AM12" s="859">
        <f>IF($AM8=0,0,($AM10-$AM8)*$AM6/$AM8)</f>
        <v>106.54233960765754</v>
      </c>
      <c r="AN12" s="857" t="s">
        <v>273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204</v>
      </c>
      <c r="V13" s="124" t="s">
        <v>41</v>
      </c>
      <c r="W13" s="862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208</v>
      </c>
      <c r="AJ13" s="73">
        <f>+AJ11+AJ12</f>
        <v>1409.8562738424014</v>
      </c>
      <c r="AK13" s="73">
        <f>+AK11+AK12</f>
        <v>110.79270191882212</v>
      </c>
      <c r="AL13" s="73">
        <f>+AL11+AL12</f>
        <v>1783.5324453711091</v>
      </c>
      <c r="AM13" s="73">
        <f>+AM11+AM12</f>
        <v>106.54233960765754</v>
      </c>
      <c r="AN13" s="856" t="s">
        <v>274</v>
      </c>
    </row>
    <row r="14" spans="1:40" s="46" customFormat="1" ht="40.5" customHeight="1" thickBot="1" x14ac:dyDescent="0.25">
      <c r="A14" s="45" t="s">
        <v>2</v>
      </c>
      <c r="B14" s="1275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205</v>
      </c>
      <c r="S14" s="174" t="s">
        <v>206</v>
      </c>
      <c r="T14" s="174" t="s">
        <v>207</v>
      </c>
      <c r="U14" s="108" t="s">
        <v>203</v>
      </c>
      <c r="V14" s="45" t="str">
        <f>"Enveloppe "&amp; TEXT(An,0)</f>
        <v>Enveloppe 2022</v>
      </c>
      <c r="W14" s="863"/>
      <c r="X14" s="260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205</v>
      </c>
      <c r="AG14" s="174" t="s">
        <v>206</v>
      </c>
      <c r="AH14" s="174" t="s">
        <v>207</v>
      </c>
      <c r="AI14" s="108" t="s">
        <v>210</v>
      </c>
      <c r="AJ14" s="703" t="s">
        <v>257</v>
      </c>
      <c r="AK14" s="703" t="s">
        <v>258</v>
      </c>
      <c r="AL14" s="267"/>
      <c r="AM14" s="267"/>
      <c r="AN14" s="75"/>
    </row>
    <row r="15" spans="1:40" s="6" customFormat="1" ht="11.25" x14ac:dyDescent="0.2">
      <c r="A15" s="56">
        <f>DATE(An,1,1)</f>
        <v>44562</v>
      </c>
      <c r="B15" s="617">
        <v>15.487</v>
      </c>
      <c r="C15" s="866"/>
      <c r="D15" s="395">
        <f t="shared" ref="D15:D78" si="0">Wh/(1-Ppv)</f>
        <v>15.94375721148158</v>
      </c>
      <c r="E15" s="402">
        <f t="shared" ref="E15:E79" si="1">Wh_pvt/(1-Psa)</f>
        <v>17.793155324430867</v>
      </c>
      <c r="F15" s="402">
        <f t="shared" ref="F15:F78" si="2">Wh_sa/(1-Pvg*MEDIAN((-Sdif+Wh/Env_an)/Csdif,0,1))</f>
        <v>19.462082173692245</v>
      </c>
      <c r="G15" s="123">
        <f>+Wh_hp/MaxiM</f>
        <v>1.0226070984630116</v>
      </c>
      <c r="H15" s="414" t="b">
        <f>Wh_hp&gt;='2021'!Maxi_hp</f>
        <v>1</v>
      </c>
      <c r="I15" s="381">
        <f>IF(H15,Wh_hp,'2021'!Maxi_hp)</f>
        <v>19.462082173692245</v>
      </c>
      <c r="J15" s="84">
        <f>IF(H15,An,'2021'!An_max)</f>
        <v>2022</v>
      </c>
      <c r="K15" s="199">
        <f t="shared" ref="K15:K78" si="3">t</f>
        <v>44562</v>
      </c>
      <c r="L15" s="146">
        <f>IF(t&lt;Tvie,1-EXP((T0-t)*PertePVj)+'2021'!Pspv,1-EXP((T0-t)*PertePVj)+Pspv)</f>
        <v>2.8648028530731451E-2</v>
      </c>
      <c r="M15" s="870"/>
      <c r="N15" s="870"/>
      <c r="O15" s="48">
        <f>IF(t&lt;Tnet,'2021'!Resal+('2021'!Salim-'2021'!Resal)*(1-EXP(('2021'!Tnet-t)/('2021'!Tau_j))),Resal+(Salim-Resal)*(1-EXP((Tnet-t)/(Tau_j))))*Salcycl</f>
        <v>0.10393873819614062</v>
      </c>
      <c r="P15" s="340">
        <f>(INDEX(Models!$BJ15:$BT15,,T15)*(1-R15)+INDEX(Models!$BJ15:$BT15,,T15+1)*R15-ERP_i)*Q15*Ramure*Pc/MaxiM</f>
        <v>8.5752738805991824E-2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0.99977722748939912</v>
      </c>
      <c r="S15" s="836">
        <f t="shared" ref="S15:S78" si="6">INDEX(Echel_vg,T15)</f>
        <v>-1</v>
      </c>
      <c r="T15" s="251">
        <f t="shared" ref="T15:T78" si="7">MIN(MATCH(Hp_vg,Echel_vg),10)</f>
        <v>5</v>
      </c>
      <c r="U15" s="252">
        <f>IF(OR(t&lt;Ttai,Notai),Hdd+PousH*Croivg,Hdtf+PousH*(Croivg-Croi_tai))</f>
        <v>-2.2277251060087507E-4</v>
      </c>
      <c r="V15" s="384">
        <f t="shared" ref="V15:V78" si="8">MaxiM*(1-Ppv)*(1-Pvg)*(1-Psa)</f>
        <v>15.144623994178326</v>
      </c>
      <c r="W15" s="404"/>
      <c r="X15" s="156">
        <f t="shared" ref="X15:X78" si="9">t</f>
        <v>44562</v>
      </c>
      <c r="Y15" s="387">
        <f t="shared" ref="Y15:Y78" si="10">Wh_pvt_s*(1-Ppv)</f>
        <v>14.755018800495423</v>
      </c>
      <c r="Z15" s="387">
        <f>Wh_sa_s*(1-Psa_s)</f>
        <v>15.190187732029779</v>
      </c>
      <c r="AA15" s="388">
        <f t="shared" ref="AA15:AA78" si="11">Wh_hp*(1-Pvg_s*MEDIAN((-Sdif+Wh/Env_an)/Csdif,0,1))</f>
        <v>17.793155324430867</v>
      </c>
      <c r="AB15" s="199">
        <f t="shared" ref="AB15:AB78" si="12">t</f>
        <v>44562</v>
      </c>
      <c r="AC15" s="119">
        <f>IF(OR(t&lt;Tnet,NoTnet),'2021'!Resal_s+('2021'!Salim-'2021'!Resal_s)*(1-EXP(('2021'!Tnet_s-t)/'2021'!Tau_j)),Resal_s+(Salim-Resal_s)*(1-EXP((Tnet_s-t)/Tau_j)))*Salcycl</f>
        <v>0.14629038778901052</v>
      </c>
      <c r="AD15" s="233">
        <f>(INDEX(Models!$BJ15:$BT15,,AH15)*(1-AF15)+INDEX(Models!$BJ15:$BT15,,AH15+1)*AF15-ERP_i)*AE15*Ramure*Pc/MaxiM</f>
        <v>8.5752738805991824E-2</v>
      </c>
      <c r="AE15" s="305">
        <f t="shared" ref="AE15:AE78" si="13">IF(OR(t&lt;Ttai,Notai),Dd_s+PousD*Croivg,Dens_s+PousD*(Croivg-Croi_tai))</f>
        <v>1</v>
      </c>
      <c r="AF15" s="306">
        <f>(Hp_vg_s-AG15)/(INDEX(Echel_vg,AH15+1)-AG15)</f>
        <v>0.99977722748939912</v>
      </c>
      <c r="AG15" s="836">
        <f>INDEX(Echel_vg,AH15)</f>
        <v>-1</v>
      </c>
      <c r="AH15" s="251">
        <f t="shared" ref="AH15:AH78" si="14">MIN(MATCH(Hp_vg_s,Echel_vg),10)</f>
        <v>5</v>
      </c>
      <c r="AI15" s="226">
        <f>IF(OR(t&lt;Ttai,Notai),Hdd_s+PousH*Croivg,Hdtai_s+PousH*(Croivg-Croi_tai))</f>
        <v>-2.2277251060087507E-4</v>
      </c>
      <c r="AJ15" s="267" t="b">
        <f t="shared" ref="AJ15:AJ78" si="15">t&lt;Tnet</f>
        <v>1</v>
      </c>
      <c r="AK15" s="267" t="b">
        <f t="shared" ref="AK15:AK78" si="16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17">A15+1</f>
        <v>44563</v>
      </c>
      <c r="B16" s="618">
        <v>13.262</v>
      </c>
      <c r="C16" s="866"/>
      <c r="D16" s="395">
        <f t="shared" si="0"/>
        <v>13.653453148642189</v>
      </c>
      <c r="E16" s="387">
        <f t="shared" si="1"/>
        <v>15.24031607351389</v>
      </c>
      <c r="F16" s="387">
        <f t="shared" si="2"/>
        <v>16.370179781192952</v>
      </c>
      <c r="G16" s="110">
        <f t="shared" ref="G16:G79" si="18">+Wh_hp/MaxiM</f>
        <v>0.85405160284088155</v>
      </c>
      <c r="H16" s="414" t="b">
        <f>Wh_hp&gt;='2021'!Maxi_hp</f>
        <v>0</v>
      </c>
      <c r="I16" s="382">
        <f>IF(H16,Wh_hp,'2021'!Maxi_hp)</f>
        <v>17.82763006390077</v>
      </c>
      <c r="J16" s="85">
        <f>IF(H16,An,'2021'!An_max)</f>
        <v>2020</v>
      </c>
      <c r="K16" s="199">
        <f t="shared" si="3"/>
        <v>44563</v>
      </c>
      <c r="L16" s="147">
        <f>IF(t&lt;Tvie,1-EXP((T0-t)*PertePVj)+'2021'!Pspv,1-EXP((T0-t)*PertePVj)+Pspv)</f>
        <v>2.8670633310161397E-2</v>
      </c>
      <c r="M16" s="870"/>
      <c r="N16" s="870"/>
      <c r="O16" s="48">
        <f>IF(t&lt;Tnet,'2021'!Resal+('2021'!Salim-'2021'!Resal)*(1-EXP(('2021'!Tnet-t)/('2021'!Tau_j))),Resal+(Salim-Resal)*(1-EXP((Tnet-t)/(Tau_j))))*Salcycl</f>
        <v>0.10412270435975443</v>
      </c>
      <c r="P16" s="341">
        <f>(INDEX(Models!$BJ16:$BT16,,T16)*(1-R16)+INDEX(Models!$BJ16:$BT16,,T16+1)*R16-ERP_i)*Q16*Ramure*Pc/MaxiM</f>
        <v>8.4925340325469917E-2</v>
      </c>
      <c r="Q16" s="307">
        <f t="shared" si="4"/>
        <v>1</v>
      </c>
      <c r="R16" s="179">
        <f t="shared" si="5"/>
        <v>0.99981812794899105</v>
      </c>
      <c r="S16" s="837">
        <f t="shared" si="6"/>
        <v>-1</v>
      </c>
      <c r="T16" s="178">
        <f t="shared" si="7"/>
        <v>5</v>
      </c>
      <c r="U16" s="253">
        <f t="shared" ref="U16:U78" si="19">IF(OR(t&lt;Ttai,Notai),Hdd+PousH*Croivg,Hdtf+PousH*(Croivg-Croi_tai))</f>
        <v>-1.8187205100894067E-4</v>
      </c>
      <c r="V16" s="385">
        <f t="shared" si="8"/>
        <v>15.263035536928287</v>
      </c>
      <c r="W16" s="404"/>
      <c r="X16" s="157">
        <f t="shared" si="9"/>
        <v>44563</v>
      </c>
      <c r="Y16" s="387">
        <f t="shared" si="10"/>
        <v>12.637246347535768</v>
      </c>
      <c r="Z16" s="387">
        <f t="shared" ref="Z16:Z78" si="20">Wh_sa_s*(1-Psa_s)</f>
        <v>13.01025870411169</v>
      </c>
      <c r="AA16" s="388">
        <f t="shared" si="11"/>
        <v>15.240316073513888</v>
      </c>
      <c r="AB16" s="199">
        <f t="shared" si="12"/>
        <v>44563</v>
      </c>
      <c r="AC16" s="119">
        <f>IF(OR(t&lt;Tnet,NoTnet),'2021'!Resal_s+('2021'!Salim-'2021'!Resal_s)*(1-EXP(('2021'!Tnet_s-t)/'2021'!Tau_j)),Resal_s+(Salim-Resal_s)*(1-EXP((Tnet_s-t)/Tau_j)))*Salcycl</f>
        <v>0.14632618894812893</v>
      </c>
      <c r="AD16" s="233">
        <f>(INDEX(Models!$BJ16:$BT16,,AH16)*(1-AF16)+INDEX(Models!$BJ16:$BT16,,AH16+1)*AF16-ERP_i)*AE16*Ramure*Pc/MaxiM</f>
        <v>8.4925340325469917E-2</v>
      </c>
      <c r="AE16" s="307">
        <f>IF(OR(t&lt;Ttai,Notai),Dd_s+PousD*Croivg,Dens_s+PousD*(Croivg-Croi_tai))</f>
        <v>1</v>
      </c>
      <c r="AF16" s="179">
        <f t="shared" ref="AF16:AF78" si="21">(Hp_vg_s-AG16)/(INDEX(Echel_vg,AH16+1)-AG16)</f>
        <v>0.99981812794899105</v>
      </c>
      <c r="AG16" s="837">
        <f t="shared" ref="AG16:AG79" si="22">INDEX(Echel_vg,AH16)</f>
        <v>-1</v>
      </c>
      <c r="AH16" s="178">
        <f t="shared" si="14"/>
        <v>5</v>
      </c>
      <c r="AI16" s="227">
        <f t="shared" ref="AI16:AI78" si="23">IF(OR(t&lt;Ttai,Notai),Hdd_s+PousH*Croivg,Hdtai_s+PousH*(Croivg-Croi_tai))</f>
        <v>-1.8187205100894067E-4</v>
      </c>
      <c r="AJ16" s="267" t="b">
        <f t="shared" si="15"/>
        <v>1</v>
      </c>
      <c r="AK16" s="267" t="b">
        <f t="shared" si="16"/>
        <v>0</v>
      </c>
      <c r="AL16" s="267"/>
      <c r="AM16" s="267"/>
      <c r="AN16" s="75"/>
    </row>
    <row r="17" spans="1:40" s="6" customFormat="1" ht="11.25" x14ac:dyDescent="0.2">
      <c r="A17" s="56">
        <f t="shared" si="17"/>
        <v>44564</v>
      </c>
      <c r="B17" s="618">
        <v>12.878</v>
      </c>
      <c r="C17" s="866"/>
      <c r="D17" s="395">
        <f t="shared" si="0"/>
        <v>13.258427201408997</v>
      </c>
      <c r="E17" s="387">
        <f t="shared" si="1"/>
        <v>14.802414537518697</v>
      </c>
      <c r="F17" s="387">
        <f t="shared" si="2"/>
        <v>15.822312167682187</v>
      </c>
      <c r="G17" s="110">
        <f t="shared" si="18"/>
        <v>0.81927663520818406</v>
      </c>
      <c r="H17" s="414" t="b">
        <f>Wh_hp&gt;='2021'!Maxi_hp</f>
        <v>0</v>
      </c>
      <c r="I17" s="382">
        <f>IF(H17,Wh_hp,'2021'!Maxi_hp)</f>
        <v>19.427917678346777</v>
      </c>
      <c r="J17" s="85">
        <f>IF(H17,An,'2021'!An_max)</f>
        <v>2019</v>
      </c>
      <c r="K17" s="199">
        <f t="shared" si="3"/>
        <v>44564</v>
      </c>
      <c r="L17" s="147">
        <f>IF(t&lt;Tvie,1-EXP((T0-t)*PertePVj)+'2021'!Pspv,1-EXP((T0-t)*PertePVj)+Pspv)</f>
        <v>2.8693237563545138E-2</v>
      </c>
      <c r="M17" s="870"/>
      <c r="N17" s="870"/>
      <c r="O17" s="48">
        <f>IF(t&lt;Tnet,'2021'!Resal+('2021'!Salim-'2021'!Resal)*(1-EXP(('2021'!Tnet-t)/('2021'!Tau_j))),Resal+(Salim-Resal)*(1-EXP((Tnet-t)/(Tau_j))))*Salcycl</f>
        <v>0.10430645163978204</v>
      </c>
      <c r="P17" s="341">
        <f>(INDEX(Models!$BJ17:$BT17,,T17)*(1-R17)+INDEX(Models!$BJ17:$BT17,,T17+1)*R17-ERP_i)*Q17*Ramure*Pc/MaxiM</f>
        <v>8.4055900252070451E-2</v>
      </c>
      <c r="Q17" s="307">
        <f t="shared" si="4"/>
        <v>1</v>
      </c>
      <c r="R17" s="179">
        <f t="shared" si="5"/>
        <v>0.99986073918267648</v>
      </c>
      <c r="S17" s="837">
        <f t="shared" si="6"/>
        <v>-1</v>
      </c>
      <c r="T17" s="178">
        <f t="shared" si="7"/>
        <v>5</v>
      </c>
      <c r="U17" s="253">
        <f t="shared" si="19"/>
        <v>-1.3926081732352493E-4</v>
      </c>
      <c r="V17" s="385">
        <f t="shared" si="8"/>
        <v>15.389489265830264</v>
      </c>
      <c r="W17" s="404"/>
      <c r="X17" s="157">
        <f t="shared" si="9"/>
        <v>44564</v>
      </c>
      <c r="Y17" s="387">
        <f t="shared" si="10"/>
        <v>12.27333167971347</v>
      </c>
      <c r="Z17" s="387">
        <f t="shared" si="20"/>
        <v>12.635896458629279</v>
      </c>
      <c r="AA17" s="388">
        <f t="shared" si="11"/>
        <v>14.802414537518697</v>
      </c>
      <c r="AB17" s="199">
        <f t="shared" si="12"/>
        <v>44564</v>
      </c>
      <c r="AC17" s="119">
        <f>IF(OR(t&lt;Tnet,NoTnet),'2021'!Resal_s+('2021'!Salim-'2021'!Resal_s)*(1-EXP(('2021'!Tnet_s-t)/'2021'!Tau_j)),Resal_s+(Salim-Resal_s)*(1-EXP((Tnet_s-t)/Tau_j)))*Salcycl</f>
        <v>0.14636247845904382</v>
      </c>
      <c r="AD17" s="233">
        <f>(INDEX(Models!$BJ17:$BT17,,AH17)*(1-AF17)+INDEX(Models!$BJ17:$BT17,,AH17+1)*AF17-ERP_i)*AE17*Ramure*Pc/MaxiM</f>
        <v>8.4055900252070451E-2</v>
      </c>
      <c r="AE17" s="307">
        <f t="shared" si="13"/>
        <v>1</v>
      </c>
      <c r="AF17" s="179">
        <f>(Hp_vg_s-AG17)/(INDEX(Echel_vg,AH17+1)-AG17)</f>
        <v>0.99986073918267648</v>
      </c>
      <c r="AG17" s="837">
        <f>INDEX(Echel_vg,AH17)</f>
        <v>-1</v>
      </c>
      <c r="AH17" s="178">
        <f t="shared" si="14"/>
        <v>5</v>
      </c>
      <c r="AI17" s="227">
        <f t="shared" si="23"/>
        <v>-1.3926081732352493E-4</v>
      </c>
      <c r="AJ17" s="267" t="b">
        <f t="shared" si="15"/>
        <v>1</v>
      </c>
      <c r="AK17" s="267" t="b">
        <f t="shared" si="16"/>
        <v>0</v>
      </c>
      <c r="AL17" s="267"/>
      <c r="AM17" s="267"/>
      <c r="AN17" s="75"/>
    </row>
    <row r="18" spans="1:40" s="6" customFormat="1" ht="11.25" x14ac:dyDescent="0.2">
      <c r="A18" s="56">
        <f t="shared" si="17"/>
        <v>44565</v>
      </c>
      <c r="B18" s="618">
        <v>13.521000000000001</v>
      </c>
      <c r="C18" s="866"/>
      <c r="D18" s="395">
        <f t="shared" si="0"/>
        <v>13.920745930799717</v>
      </c>
      <c r="E18" s="387">
        <f t="shared" si="1"/>
        <v>15.545046887248711</v>
      </c>
      <c r="F18" s="387">
        <f t="shared" si="2"/>
        <v>16.676070003170381</v>
      </c>
      <c r="G18" s="110">
        <f t="shared" si="18"/>
        <v>0.8566693372683295</v>
      </c>
      <c r="H18" s="414" t="b">
        <f>Wh_hp&gt;='2021'!Maxi_hp</f>
        <v>0</v>
      </c>
      <c r="I18" s="382">
        <f>IF(H18,Wh_hp,'2021'!Maxi_hp)</f>
        <v>19.204055167696065</v>
      </c>
      <c r="J18" s="85">
        <f>IF(H18,An,'2021'!An_max)</f>
        <v>2019</v>
      </c>
      <c r="K18" s="199">
        <f t="shared" si="3"/>
        <v>44565</v>
      </c>
      <c r="L18" s="147">
        <f>IF(t&lt;Tvie,1-EXP((T0-t)*PertePVj)+'2021'!Pspv,1-EXP((T0-t)*PertePVj)+Pspv)</f>
        <v>2.8715841290894883E-2</v>
      </c>
      <c r="M18" s="870"/>
      <c r="N18" s="870"/>
      <c r="O18" s="48">
        <f>IF(t&lt;Tnet,'2021'!Resal+('2021'!Salim-'2021'!Resal)*(1-EXP(('2021'!Tnet-t)/('2021'!Tau_j))),Resal+(Salim-Resal)*(1-EXP((Tnet-t)/(Tau_j))))*Salcycl</f>
        <v>0.10448993613402191</v>
      </c>
      <c r="P18" s="341">
        <f>(INDEX(Models!$BJ18:$BT18,,T18)*(1-R18)+INDEX(Models!$BJ18:$BT18,,T18+1)*R18-ERP_i)*Q18*Ramure*Pc/MaxiM</f>
        <v>8.3147463150758785E-2</v>
      </c>
      <c r="Q18" s="307">
        <f t="shared" si="4"/>
        <v>1</v>
      </c>
      <c r="R18" s="179">
        <f t="shared" si="5"/>
        <v>0.9999051325264896</v>
      </c>
      <c r="S18" s="837">
        <f t="shared" si="6"/>
        <v>-1</v>
      </c>
      <c r="T18" s="178">
        <f t="shared" si="7"/>
        <v>5</v>
      </c>
      <c r="U18" s="253">
        <f t="shared" si="19"/>
        <v>-9.4867473510357577E-5</v>
      </c>
      <c r="V18" s="385">
        <f t="shared" si="8"/>
        <v>15.523754090077679</v>
      </c>
      <c r="W18" s="404"/>
      <c r="X18" s="157">
        <f t="shared" si="9"/>
        <v>44565</v>
      </c>
      <c r="Y18" s="387">
        <f t="shared" si="10"/>
        <v>12.888226531882372</v>
      </c>
      <c r="Z18" s="387">
        <f>Wh_sa_s*(1-Psa_s)</f>
        <v>13.269264629016083</v>
      </c>
      <c r="AA18" s="388">
        <f t="shared" si="11"/>
        <v>15.545046887248713</v>
      </c>
      <c r="AB18" s="199">
        <f>t</f>
        <v>44565</v>
      </c>
      <c r="AC18" s="119">
        <f>IF(OR(t&lt;Tnet,NoTnet),'2021'!Resal_s+('2021'!Salim-'2021'!Resal_s)*(1-EXP(('2021'!Tnet_s-t)/'2021'!Tau_j)),Resal_s+(Salim-Resal_s)*(1-EXP((Tnet_s-t)/Tau_j)))*Salcycl</f>
        <v>0.14639918906255642</v>
      </c>
      <c r="AD18" s="233">
        <f>(INDEX(Models!$BJ18:$BT18,,AH18)*(1-AF18)+INDEX(Models!$BJ18:$BT18,,AH18+1)*AF18-ERP_i)*AE18*Ramure*Pc/MaxiM</f>
        <v>8.3147463150758785E-2</v>
      </c>
      <c r="AE18" s="307">
        <f t="shared" si="13"/>
        <v>1</v>
      </c>
      <c r="AF18" s="179">
        <f t="shared" si="21"/>
        <v>0.9999051325264896</v>
      </c>
      <c r="AG18" s="837">
        <f t="shared" si="22"/>
        <v>-1</v>
      </c>
      <c r="AH18" s="178">
        <f t="shared" si="14"/>
        <v>5</v>
      </c>
      <c r="AI18" s="227">
        <f t="shared" si="23"/>
        <v>-9.4867473510357577E-5</v>
      </c>
      <c r="AJ18" s="267" t="b">
        <f t="shared" si="15"/>
        <v>1</v>
      </c>
      <c r="AK18" s="267" t="b">
        <f t="shared" si="16"/>
        <v>0</v>
      </c>
      <c r="AL18" s="267"/>
      <c r="AM18" s="267"/>
      <c r="AN18" s="75"/>
    </row>
    <row r="19" spans="1:40" s="6" customFormat="1" ht="11.25" x14ac:dyDescent="0.2">
      <c r="A19" s="56">
        <f t="shared" si="17"/>
        <v>44566</v>
      </c>
      <c r="B19" s="618">
        <v>10.683</v>
      </c>
      <c r="C19" s="866"/>
      <c r="D19" s="395">
        <f t="shared" si="0"/>
        <v>10.999096936782298</v>
      </c>
      <c r="E19" s="387">
        <f t="shared" si="1"/>
        <v>12.285006940986067</v>
      </c>
      <c r="F19" s="387">
        <f t="shared" si="2"/>
        <v>12.861892907887105</v>
      </c>
      <c r="G19" s="110">
        <f t="shared" si="18"/>
        <v>0.65527307036990667</v>
      </c>
      <c r="H19" s="414" t="b">
        <f>Wh_hp&gt;='2021'!Maxi_hp</f>
        <v>0</v>
      </c>
      <c r="I19" s="382">
        <f>IF(H19,Wh_hp,'2021'!Maxi_hp)</f>
        <v>19.428700857508826</v>
      </c>
      <c r="J19" s="85">
        <f>IF(H19,An,'2021'!An_max)</f>
        <v>2019</v>
      </c>
      <c r="K19" s="199">
        <f t="shared" si="3"/>
        <v>44566</v>
      </c>
      <c r="L19" s="147">
        <f>IF(t&lt;Tvie,1-EXP((T0-t)*PertePVj)+'2021'!Pspv,1-EXP((T0-t)*PertePVj)+Pspv)</f>
        <v>2.8738444492222959E-2</v>
      </c>
      <c r="M19" s="870"/>
      <c r="N19" s="870"/>
      <c r="O19" s="48">
        <f>IF(t&lt;Tnet,'2021'!Resal+('2021'!Salim-'2021'!Resal)*(1-EXP(('2021'!Tnet-t)/('2021'!Tau_j))),Resal+(Salim-Resal)*(1-EXP((Tnet-t)/(Tau_j))))*Salcycl</f>
        <v>0.10467311987538482</v>
      </c>
      <c r="P19" s="341">
        <f>(INDEX(Models!$BJ19:$BT19,,T19)*(1-R19)+INDEX(Models!$BJ19:$BT19,,T19+1)*R19-ERP_i)*Q19*Ramure*Pc/MaxiM</f>
        <v>8.2203040160020557E-2</v>
      </c>
      <c r="Q19" s="307">
        <f t="shared" si="4"/>
        <v>1</v>
      </c>
      <c r="R19" s="179">
        <f t="shared" si="5"/>
        <v>0.99995138227207603</v>
      </c>
      <c r="S19" s="837">
        <f t="shared" si="6"/>
        <v>-1</v>
      </c>
      <c r="T19" s="178">
        <f t="shared" si="7"/>
        <v>5</v>
      </c>
      <c r="U19" s="253">
        <f t="shared" si="19"/>
        <v>-4.8617727924023994E-5</v>
      </c>
      <c r="V19" s="385">
        <f t="shared" si="8"/>
        <v>15.66559901685002</v>
      </c>
      <c r="W19" s="404"/>
      <c r="X19" s="157">
        <f t="shared" si="9"/>
        <v>44566</v>
      </c>
      <c r="Y19" s="387">
        <f t="shared" si="10"/>
        <v>10.18468406666328</v>
      </c>
      <c r="Z19" s="387">
        <f t="shared" si="20"/>
        <v>10.486036442921609</v>
      </c>
      <c r="AA19" s="388">
        <f t="shared" si="11"/>
        <v>12.285006940986067</v>
      </c>
      <c r="AB19" s="199">
        <f t="shared" si="12"/>
        <v>44566</v>
      </c>
      <c r="AC19" s="119">
        <f>IF(OR(t&lt;Tnet,NoTnet),'2021'!Resal_s+('2021'!Salim-'2021'!Resal_s)*(1-EXP(('2021'!Tnet_s-t)/'2021'!Tau_j)),Resal_s+(Salim-Resal_s)*(1-EXP((Tnet_s-t)/Tau_j)))*Salcycl</f>
        <v>0.14643626224276773</v>
      </c>
      <c r="AD19" s="233">
        <f>(INDEX(Models!$BJ19:$BT19,,AH19)*(1-AF19)+INDEX(Models!$BJ19:$BT19,,AH19+1)*AF19-ERP_i)*AE19*Ramure*Pc/MaxiM</f>
        <v>8.2203040160020557E-2</v>
      </c>
      <c r="AE19" s="307">
        <f t="shared" si="13"/>
        <v>1</v>
      </c>
      <c r="AF19" s="179">
        <f t="shared" si="21"/>
        <v>0.99995138227207603</v>
      </c>
      <c r="AG19" s="837">
        <f t="shared" si="22"/>
        <v>-1</v>
      </c>
      <c r="AH19" s="178">
        <f t="shared" si="14"/>
        <v>5</v>
      </c>
      <c r="AI19" s="227">
        <f t="shared" si="23"/>
        <v>-4.8617727924023994E-5</v>
      </c>
      <c r="AJ19" s="267" t="b">
        <f t="shared" si="15"/>
        <v>1</v>
      </c>
      <c r="AK19" s="267" t="b">
        <f t="shared" si="16"/>
        <v>0</v>
      </c>
      <c r="AL19" s="267"/>
      <c r="AM19" s="267"/>
      <c r="AN19" s="75"/>
    </row>
    <row r="20" spans="1:40" s="6" customFormat="1" ht="11.25" x14ac:dyDescent="0.2">
      <c r="A20" s="56">
        <f t="shared" si="17"/>
        <v>44567</v>
      </c>
      <c r="B20" s="618">
        <v>16.338999999999999</v>
      </c>
      <c r="C20" s="866"/>
      <c r="D20" s="395">
        <f t="shared" si="0"/>
        <v>16.82284256860785</v>
      </c>
      <c r="E20" s="387">
        <f t="shared" si="1"/>
        <v>18.793447777920463</v>
      </c>
      <c r="F20" s="387">
        <f t="shared" si="2"/>
        <v>20.454909959477973</v>
      </c>
      <c r="G20" s="110">
        <f t="shared" si="18"/>
        <v>1.0331466148188095</v>
      </c>
      <c r="H20" s="414" t="b">
        <f>Wh_hp&gt;='2021'!Maxi_hp</f>
        <v>1</v>
      </c>
      <c r="I20" s="382">
        <f>IF(H20,Wh_hp,'2021'!Maxi_hp)</f>
        <v>20.454909959477973</v>
      </c>
      <c r="J20" s="85">
        <f>IF(H20,An,'2021'!An_max)</f>
        <v>2022</v>
      </c>
      <c r="K20" s="199">
        <f t="shared" si="3"/>
        <v>44567</v>
      </c>
      <c r="L20" s="147">
        <f>IF(t&lt;Tvie,1-EXP((T0-t)*PertePVj)+'2021'!Pspv,1-EXP((T0-t)*PertePVj)+Pspv)</f>
        <v>2.8761047167541354E-2</v>
      </c>
      <c r="M20" s="870"/>
      <c r="N20" s="870"/>
      <c r="O20" s="48">
        <f>IF(t&lt;Tnet,'2021'!Resal+('2021'!Salim-'2021'!Resal)*(1-EXP(('2021'!Tnet-t)/('2021'!Tau_j))),Resal+(Salim-Resal)*(1-EXP((Tnet-t)/(Tau_j))))*Salcycl</f>
        <v>0.1048559706871765</v>
      </c>
      <c r="P20" s="341">
        <f>(INDEX(Models!$BJ20:$BT20,,T20)*(1-R20)+INDEX(Models!$BJ20:$BT20,,T20+1)*R20-ERP_i)*Q20*Ramure*Pc/MaxiM</f>
        <v>8.1225592527610121E-2</v>
      </c>
      <c r="Q20" s="307">
        <f t="shared" si="4"/>
        <v>1</v>
      </c>
      <c r="R20" s="179">
        <f t="shared" si="5"/>
        <v>0.99999956578752702</v>
      </c>
      <c r="S20" s="837">
        <f t="shared" si="6"/>
        <v>-1</v>
      </c>
      <c r="T20" s="178">
        <f t="shared" si="7"/>
        <v>5</v>
      </c>
      <c r="U20" s="253">
        <f t="shared" si="19"/>
        <v>-4.3421247302772746E-7</v>
      </c>
      <c r="V20" s="385">
        <f t="shared" si="8"/>
        <v>15.814793143241811</v>
      </c>
      <c r="W20" s="404"/>
      <c r="X20" s="157">
        <f t="shared" si="9"/>
        <v>44567</v>
      </c>
      <c r="Y20" s="387">
        <f t="shared" si="10"/>
        <v>15.579355510823447</v>
      </c>
      <c r="Z20" s="387">
        <f t="shared" si="20"/>
        <v>16.040702924227677</v>
      </c>
      <c r="AA20" s="388">
        <f t="shared" si="11"/>
        <v>18.793447777920463</v>
      </c>
      <c r="AB20" s="199">
        <f t="shared" si="12"/>
        <v>44567</v>
      </c>
      <c r="AC20" s="119">
        <f>IF(OR(t&lt;Tnet,NoTnet),'2021'!Resal_s+('2021'!Salim-'2021'!Resal_s)*(1-EXP(('2021'!Tnet_s-t)/'2021'!Tau_j)),Resal_s+(Salim-Resal_s)*(1-EXP((Tnet_s-t)/Tau_j)))*Salcycl</f>
        <v>0.14647364795547829</v>
      </c>
      <c r="AD20" s="233">
        <f>(INDEX(Models!$BJ20:$BT20,,AH20)*(1-AF20)+INDEX(Models!$BJ20:$BT20,,AH20+1)*AF20-ERP_i)*AE20*Ramure*Pc/MaxiM</f>
        <v>8.1225592527610121E-2</v>
      </c>
      <c r="AE20" s="307">
        <f t="shared" si="13"/>
        <v>1</v>
      </c>
      <c r="AF20" s="179">
        <f t="shared" si="21"/>
        <v>0.99999956578752702</v>
      </c>
      <c r="AG20" s="837">
        <f t="shared" si="22"/>
        <v>-1</v>
      </c>
      <c r="AH20" s="178">
        <f t="shared" si="14"/>
        <v>5</v>
      </c>
      <c r="AI20" s="227">
        <f t="shared" si="23"/>
        <v>-4.3421247302772746E-7</v>
      </c>
      <c r="AJ20" s="267" t="b">
        <f t="shared" si="15"/>
        <v>1</v>
      </c>
      <c r="AK20" s="267" t="b">
        <f t="shared" si="16"/>
        <v>0</v>
      </c>
      <c r="AL20" s="267"/>
      <c r="AM20" s="267"/>
      <c r="AN20" s="75"/>
    </row>
    <row r="21" spans="1:40" s="6" customFormat="1" ht="11.25" x14ac:dyDescent="0.2">
      <c r="A21" s="56">
        <f t="shared" si="17"/>
        <v>44568</v>
      </c>
      <c r="B21" s="618">
        <v>8.1850000000000005</v>
      </c>
      <c r="C21" s="866"/>
      <c r="D21" s="395">
        <f t="shared" si="0"/>
        <v>8.4275764037979872</v>
      </c>
      <c r="E21" s="387">
        <f t="shared" si="1"/>
        <v>9.4166911603052217</v>
      </c>
      <c r="F21" s="387">
        <f t="shared" si="2"/>
        <v>9.6517179552961654</v>
      </c>
      <c r="G21" s="110">
        <f t="shared" si="18"/>
        <v>0.48314211322192308</v>
      </c>
      <c r="H21" s="414" t="b">
        <f>Wh_hp&gt;='2021'!Maxi_hp</f>
        <v>0</v>
      </c>
      <c r="I21" s="382">
        <f>IF(H21,Wh_hp,'2021'!Maxi_hp)</f>
        <v>11.660889123317338</v>
      </c>
      <c r="J21" s="85">
        <f>IF(H21,An,'2021'!An_max)</f>
        <v>2021</v>
      </c>
      <c r="K21" s="199">
        <f t="shared" si="3"/>
        <v>44568</v>
      </c>
      <c r="L21" s="147">
        <f>IF(t&lt;Tvie,1-EXP((T0-t)*PertePVj)+'2021'!Pspv,1-EXP((T0-t)*PertePVj)+Pspv)</f>
        <v>2.8783649316862614E-2</v>
      </c>
      <c r="M21" s="870"/>
      <c r="N21" s="870"/>
      <c r="O21" s="48">
        <f>IF(t&lt;Tnet,'2021'!Resal+('2021'!Salim-'2021'!Resal)*(1-EXP(('2021'!Tnet-t)/('2021'!Tau_j))),Resal+(Salim-Resal)*(1-EXP((Tnet-t)/(Tau_j))))*Salcycl</f>
        <v>0.1050384619893571</v>
      </c>
      <c r="P21" s="341">
        <f>(INDEX(Models!$BJ21:$BT21,,T21)*(1-R21)+INDEX(Models!$BJ21:$BT21,,T21+1)*R21-ERP_i)*Q21*Ramure*Pc/MaxiM</f>
        <v>8.0218698313583817E-2</v>
      </c>
      <c r="Q21" s="307">
        <f t="shared" si="4"/>
        <v>1</v>
      </c>
      <c r="R21" s="179">
        <f t="shared" si="5"/>
        <v>4.9763643015429508E-5</v>
      </c>
      <c r="S21" s="837">
        <f t="shared" si="6"/>
        <v>0</v>
      </c>
      <c r="T21" s="178">
        <f t="shared" si="7"/>
        <v>6</v>
      </c>
      <c r="U21" s="253">
        <f t="shared" si="19"/>
        <v>4.9763643015429508E-5</v>
      </c>
      <c r="V21" s="385">
        <f t="shared" si="8"/>
        <v>15.971093824674707</v>
      </c>
      <c r="W21" s="404"/>
      <c r="X21" s="157">
        <f t="shared" si="9"/>
        <v>44568</v>
      </c>
      <c r="Y21" s="387">
        <f t="shared" si="10"/>
        <v>7.8057041310432105</v>
      </c>
      <c r="Z21" s="387">
        <f t="shared" si="20"/>
        <v>8.0370394562991123</v>
      </c>
      <c r="AA21" s="388">
        <f t="shared" si="11"/>
        <v>9.4166911603052217</v>
      </c>
      <c r="AB21" s="199">
        <f t="shared" si="12"/>
        <v>44568</v>
      </c>
      <c r="AC21" s="119">
        <f>IF(OR(t&lt;Tnet,NoTnet),'2021'!Resal_s+('2021'!Salim-'2021'!Resal_s)*(1-EXP(('2021'!Tnet_s-t)/'2021'!Tau_j)),Resal_s+(Salim-Resal_s)*(1-EXP((Tnet_s-t)/Tau_j)))*Salcycl</f>
        <v>0.14651130429145257</v>
      </c>
      <c r="AD21" s="233">
        <f>(INDEX(Models!$BJ21:$BT21,,AH21)*(1-AF21)+INDEX(Models!$BJ21:$BT21,,AH21+1)*AF21-ERP_i)*AE21*Ramure*Pc/MaxiM</f>
        <v>8.0218698313583817E-2</v>
      </c>
      <c r="AE21" s="307">
        <f t="shared" si="13"/>
        <v>1</v>
      </c>
      <c r="AF21" s="179">
        <f t="shared" si="21"/>
        <v>4.9763643015429508E-5</v>
      </c>
      <c r="AG21" s="837">
        <f t="shared" si="22"/>
        <v>0</v>
      </c>
      <c r="AH21" s="178">
        <f t="shared" si="14"/>
        <v>6</v>
      </c>
      <c r="AI21" s="227">
        <f t="shared" si="23"/>
        <v>4.9763643015429508E-5</v>
      </c>
      <c r="AJ21" s="267" t="b">
        <f t="shared" si="15"/>
        <v>1</v>
      </c>
      <c r="AK21" s="267" t="b">
        <f t="shared" si="16"/>
        <v>0</v>
      </c>
      <c r="AL21" s="267"/>
      <c r="AM21" s="267"/>
      <c r="AN21" s="75"/>
    </row>
    <row r="22" spans="1:40" s="6" customFormat="1" ht="11.25" x14ac:dyDescent="0.2">
      <c r="A22" s="56">
        <f t="shared" si="17"/>
        <v>44569</v>
      </c>
      <c r="B22" s="618">
        <v>6.6420000000000003</v>
      </c>
      <c r="C22" s="866"/>
      <c r="D22" s="395">
        <f t="shared" si="0"/>
        <v>6.8390061266663063</v>
      </c>
      <c r="E22" s="387">
        <f t="shared" si="1"/>
        <v>7.6432313002850725</v>
      </c>
      <c r="F22" s="387">
        <f t="shared" si="2"/>
        <v>7.7410171718030725</v>
      </c>
      <c r="G22" s="110">
        <f t="shared" si="18"/>
        <v>0.38392189512543035</v>
      </c>
      <c r="H22" s="414" t="b">
        <f>Wh_hp&gt;='2021'!Maxi_hp</f>
        <v>0</v>
      </c>
      <c r="I22" s="382">
        <f>IF(H22,Wh_hp,'2021'!Maxi_hp)</f>
        <v>14.685729582313519</v>
      </c>
      <c r="J22" s="85">
        <f>IF(H22,An,'2021'!An_max)</f>
        <v>2021</v>
      </c>
      <c r="K22" s="199">
        <f t="shared" si="3"/>
        <v>44569</v>
      </c>
      <c r="L22" s="147">
        <f>IF(t&lt;Tvie,1-EXP((T0-t)*PertePVj)+'2021'!Pspv,1-EXP((T0-t)*PertePVj)+Pspv)</f>
        <v>2.880625094019873E-2</v>
      </c>
      <c r="M22" s="870"/>
      <c r="N22" s="870"/>
      <c r="O22" s="48">
        <f>IF(t&lt;Tnet,'2021'!Resal+('2021'!Salim-'2021'!Resal)*(1-EXP(('2021'!Tnet-t)/('2021'!Tau_j))),Resal+(Salim-Resal)*(1-EXP((Tnet-t)/(Tau_j))))*Salcycl</f>
        <v>0.10522057255924863</v>
      </c>
      <c r="P22" s="341">
        <f>(INDEX(Models!$BJ22:$BT22,,T22)*(1-R22)+INDEX(Models!$BJ22:$BT22,,T22+1)*R22-ERP_i)*Q22*Ramure*Pc/MaxiM</f>
        <v>7.9184414392980615E-2</v>
      </c>
      <c r="Q22" s="307">
        <f t="shared" si="4"/>
        <v>1</v>
      </c>
      <c r="R22" s="179">
        <f t="shared" si="5"/>
        <v>1.0205974141144314E-4</v>
      </c>
      <c r="S22" s="837">
        <f t="shared" si="6"/>
        <v>0</v>
      </c>
      <c r="T22" s="178">
        <f t="shared" si="7"/>
        <v>6</v>
      </c>
      <c r="U22" s="253">
        <f t="shared" si="19"/>
        <v>1.0205974141144314E-4</v>
      </c>
      <c r="V22" s="385">
        <f t="shared" si="8"/>
        <v>16.134283376211496</v>
      </c>
      <c r="W22" s="404"/>
      <c r="X22" s="157">
        <f t="shared" si="9"/>
        <v>44569</v>
      </c>
      <c r="Y22" s="387">
        <f t="shared" si="10"/>
        <v>6.3352152040508543</v>
      </c>
      <c r="Z22" s="387">
        <f t="shared" si="20"/>
        <v>6.5231218901314856</v>
      </c>
      <c r="AA22" s="388">
        <f t="shared" si="11"/>
        <v>7.6432313002850725</v>
      </c>
      <c r="AB22" s="199">
        <f t="shared" si="12"/>
        <v>44569</v>
      </c>
      <c r="AC22" s="119">
        <f>IF(OR(t&lt;Tnet,NoTnet),'2021'!Resal_s+('2021'!Salim-'2021'!Resal_s)*(1-EXP(('2021'!Tnet_s-t)/'2021'!Tau_j)),Resal_s+(Salim-Resal_s)*(1-EXP((Tnet_s-t)/Tau_j)))*Salcycl</f>
        <v>0.14654919708001113</v>
      </c>
      <c r="AD22" s="233">
        <f>(INDEX(Models!$BJ22:$BT22,,AH22)*(1-AF22)+INDEX(Models!$BJ22:$BT22,,AH22+1)*AF22-ERP_i)*AE22*Ramure*Pc/MaxiM</f>
        <v>7.9184414392980615E-2</v>
      </c>
      <c r="AE22" s="307">
        <f t="shared" si="13"/>
        <v>1</v>
      </c>
      <c r="AF22" s="179">
        <f t="shared" si="21"/>
        <v>1.0205974141144314E-4</v>
      </c>
      <c r="AG22" s="837">
        <f t="shared" si="22"/>
        <v>0</v>
      </c>
      <c r="AH22" s="178">
        <f t="shared" si="14"/>
        <v>6</v>
      </c>
      <c r="AI22" s="227">
        <f t="shared" si="23"/>
        <v>1.0205974141144314E-4</v>
      </c>
      <c r="AJ22" s="267" t="b">
        <f t="shared" si="15"/>
        <v>1</v>
      </c>
      <c r="AK22" s="267" t="b">
        <f t="shared" si="16"/>
        <v>0</v>
      </c>
      <c r="AL22" s="267"/>
      <c r="AM22" s="267"/>
      <c r="AN22" s="75"/>
    </row>
    <row r="23" spans="1:40" s="6" customFormat="1" ht="11.25" x14ac:dyDescent="0.2">
      <c r="A23" s="56">
        <f t="shared" si="17"/>
        <v>44570</v>
      </c>
      <c r="B23" s="618">
        <v>2.0020000000000002</v>
      </c>
      <c r="C23" s="866"/>
      <c r="D23" s="395">
        <f t="shared" si="0"/>
        <v>2.0614286206919235</v>
      </c>
      <c r="E23" s="387">
        <f t="shared" si="1"/>
        <v>2.3043079464757232</v>
      </c>
      <c r="F23" s="387">
        <f t="shared" si="2"/>
        <v>2.3043079464757232</v>
      </c>
      <c r="G23" s="110">
        <f t="shared" si="18"/>
        <v>0.11318493798459288</v>
      </c>
      <c r="H23" s="414" t="b">
        <f>Wh_hp&gt;='2021'!Maxi_hp</f>
        <v>0</v>
      </c>
      <c r="I23" s="382">
        <f>IF(H23,Wh_hp,'2021'!Maxi_hp)</f>
        <v>18.908516116999923</v>
      </c>
      <c r="J23" s="85">
        <f>IF(H23,An,'2021'!An_max)</f>
        <v>2020</v>
      </c>
      <c r="K23" s="199">
        <f t="shared" si="3"/>
        <v>44570</v>
      </c>
      <c r="L23" s="147">
        <f>IF(t&lt;Tvie,1-EXP((T0-t)*PertePVj)+'2021'!Pspv,1-EXP((T0-t)*PertePVj)+Pspv)</f>
        <v>2.8828852037562136E-2</v>
      </c>
      <c r="M23" s="870"/>
      <c r="N23" s="870"/>
      <c r="O23" s="48">
        <f>IF(t&lt;Tnet,'2021'!Resal+('2021'!Salim-'2021'!Resal)*(1-EXP(('2021'!Tnet-t)/('2021'!Tau_j))),Resal+(Salim-Resal)*(1-EXP((Tnet-t)/(Tau_j))))*Salcycl</f>
        <v>0.10540228625052757</v>
      </c>
      <c r="P23" s="341">
        <f>(INDEX(Models!$BJ23:$BT23,,T23)*(1-R23)+INDEX(Models!$BJ23:$BT23,,T23+1)*R23-ERP_i)*Q23*Ramure*Pc/MaxiM</f>
        <v>7.8116528528604151E-2</v>
      </c>
      <c r="Q23" s="307">
        <f t="shared" si="4"/>
        <v>1</v>
      </c>
      <c r="R23" s="179">
        <f t="shared" si="5"/>
        <v>1.5654145406060639E-4</v>
      </c>
      <c r="S23" s="837">
        <f t="shared" si="6"/>
        <v>0</v>
      </c>
      <c r="T23" s="178">
        <f t="shared" si="7"/>
        <v>6</v>
      </c>
      <c r="U23" s="253">
        <f t="shared" si="19"/>
        <v>1.5654145406060639E-4</v>
      </c>
      <c r="V23" s="385">
        <f t="shared" si="8"/>
        <v>16.306151178321674</v>
      </c>
      <c r="W23" s="404"/>
      <c r="X23" s="157">
        <f t="shared" si="9"/>
        <v>44570</v>
      </c>
      <c r="Y23" s="387">
        <f t="shared" si="10"/>
        <v>1.9098329900291857</v>
      </c>
      <c r="Z23" s="387">
        <f t="shared" si="20"/>
        <v>1.9665256675263716</v>
      </c>
      <c r="AA23" s="388">
        <f t="shared" si="11"/>
        <v>2.3043079464757232</v>
      </c>
      <c r="AB23" s="199">
        <f t="shared" si="12"/>
        <v>44570</v>
      </c>
      <c r="AC23" s="119">
        <f>IF(OR(t&lt;Tnet,NoTnet),'2021'!Resal_s+('2021'!Salim-'2021'!Resal_s)*(1-EXP(('2021'!Tnet_s-t)/'2021'!Tau_j)),Resal_s+(Salim-Resal_s)*(1-EXP((Tnet_s-t)/Tau_j)))*Salcycl</f>
        <v>0.1465872994388471</v>
      </c>
      <c r="AD23" s="233">
        <f>(INDEX(Models!$BJ23:$BT23,,AH23)*(1-AF23)+INDEX(Models!$BJ23:$BT23,,AH23+1)*AF23-ERP_i)*AE23*Ramure*Pc/MaxiM</f>
        <v>7.8116528528604151E-2</v>
      </c>
      <c r="AE23" s="307">
        <f t="shared" si="13"/>
        <v>1</v>
      </c>
      <c r="AF23" s="179">
        <f t="shared" si="21"/>
        <v>1.5654145406060639E-4</v>
      </c>
      <c r="AG23" s="837">
        <f t="shared" si="22"/>
        <v>0</v>
      </c>
      <c r="AH23" s="178">
        <f t="shared" si="14"/>
        <v>6</v>
      </c>
      <c r="AI23" s="227">
        <f t="shared" si="23"/>
        <v>1.5654145406060639E-4</v>
      </c>
      <c r="AJ23" s="267" t="b">
        <f t="shared" si="15"/>
        <v>1</v>
      </c>
      <c r="AK23" s="267" t="b">
        <f t="shared" si="16"/>
        <v>0</v>
      </c>
      <c r="AL23" s="267"/>
      <c r="AM23" s="267"/>
      <c r="AN23" s="75"/>
    </row>
    <row r="24" spans="1:40" s="6" customFormat="1" ht="11.25" x14ac:dyDescent="0.2">
      <c r="A24" s="56">
        <f t="shared" si="17"/>
        <v>44571</v>
      </c>
      <c r="B24" s="618">
        <v>1.694</v>
      </c>
      <c r="C24" s="866"/>
      <c r="D24" s="395">
        <f t="shared" si="0"/>
        <v>1.7443263489925267</v>
      </c>
      <c r="E24" s="387">
        <f t="shared" si="1"/>
        <v>1.9502396565583044</v>
      </c>
      <c r="F24" s="387">
        <f t="shared" si="2"/>
        <v>1.9502396565583044</v>
      </c>
      <c r="G24" s="110">
        <f t="shared" si="18"/>
        <v>9.4828009497300844E-2</v>
      </c>
      <c r="H24" s="414" t="b">
        <f>Wh_hp&gt;='2021'!Maxi_hp</f>
        <v>0</v>
      </c>
      <c r="I24" s="382">
        <f>IF(H24,Wh_hp,'2021'!Maxi_hp)</f>
        <v>10.736237354588313</v>
      </c>
      <c r="J24" s="85">
        <f>IF(H24,An,'2021'!An_max)</f>
        <v>2019</v>
      </c>
      <c r="K24" s="199">
        <f t="shared" si="3"/>
        <v>44571</v>
      </c>
      <c r="L24" s="147">
        <f>IF(t&lt;Tvie,1-EXP((T0-t)*PertePVj)+'2021'!Pspv,1-EXP((T0-t)*PertePVj)+Pspv)</f>
        <v>2.8851452608964934E-2</v>
      </c>
      <c r="M24" s="870"/>
      <c r="N24" s="870"/>
      <c r="O24" s="48">
        <f>IF(t&lt;Tnet,'2021'!Resal+('2021'!Salim-'2021'!Resal)*(1-EXP(('2021'!Tnet-t)/('2021'!Tau_j))),Resal+(Salim-Resal)*(1-EXP((Tnet-t)/(Tau_j))))*Salcycl</f>
        <v>0.10558359167465825</v>
      </c>
      <c r="P24" s="341">
        <f>(INDEX(Models!$BJ24:$BT24,,T24)*(1-R24)+INDEX(Models!$BJ24:$BT24,,T24+1)*R24-ERP_i)*Q24*Ramure*Pc/MaxiM</f>
        <v>7.7015418125412183E-2</v>
      </c>
      <c r="Q24" s="307">
        <f t="shared" si="4"/>
        <v>1</v>
      </c>
      <c r="R24" s="179">
        <f t="shared" si="5"/>
        <v>2.1329976191798743E-4</v>
      </c>
      <c r="S24" s="837">
        <f t="shared" si="6"/>
        <v>0</v>
      </c>
      <c r="T24" s="178">
        <f t="shared" si="7"/>
        <v>6</v>
      </c>
      <c r="U24" s="253">
        <f t="shared" si="19"/>
        <v>2.1329976191798743E-4</v>
      </c>
      <c r="V24" s="385">
        <f t="shared" si="8"/>
        <v>16.488122971093851</v>
      </c>
      <c r="W24" s="404"/>
      <c r="X24" s="157">
        <f t="shared" si="9"/>
        <v>44571</v>
      </c>
      <c r="Y24" s="387">
        <f t="shared" si="10"/>
        <v>1.6162675851224522</v>
      </c>
      <c r="Z24" s="387">
        <f t="shared" si="20"/>
        <v>1.6642846137848966</v>
      </c>
      <c r="AA24" s="388">
        <f t="shared" si="11"/>
        <v>1.9502396565583044</v>
      </c>
      <c r="AB24" s="199">
        <f t="shared" si="12"/>
        <v>44571</v>
      </c>
      <c r="AC24" s="119">
        <f>IF(OR(t&lt;Tnet,NoTnet),'2021'!Resal_s+('2021'!Salim-'2021'!Resal_s)*(1-EXP(('2021'!Tnet_s-t)/'2021'!Tau_j)),Resal_s+(Salim-Resal_s)*(1-EXP((Tnet_s-t)/Tau_j)))*Salcycl</f>
        <v>0.14662559127632985</v>
      </c>
      <c r="AD24" s="233">
        <f>(INDEX(Models!$BJ24:$BT24,,AH24)*(1-AF24)+INDEX(Models!$BJ24:$BT24,,AH24+1)*AF24-ERP_i)*AE24*Ramure*Pc/MaxiM</f>
        <v>7.7015418125412183E-2</v>
      </c>
      <c r="AE24" s="307">
        <f t="shared" si="13"/>
        <v>1</v>
      </c>
      <c r="AF24" s="179">
        <f t="shared" si="21"/>
        <v>2.1329976191798743E-4</v>
      </c>
      <c r="AG24" s="837">
        <f t="shared" si="22"/>
        <v>0</v>
      </c>
      <c r="AH24" s="178">
        <f t="shared" si="14"/>
        <v>6</v>
      </c>
      <c r="AI24" s="227">
        <f t="shared" si="23"/>
        <v>2.1329976191798743E-4</v>
      </c>
      <c r="AJ24" s="267" t="b">
        <f t="shared" si="15"/>
        <v>1</v>
      </c>
      <c r="AK24" s="267" t="b">
        <f t="shared" si="16"/>
        <v>0</v>
      </c>
      <c r="AL24" s="267"/>
      <c r="AM24" s="267"/>
      <c r="AN24" s="75"/>
    </row>
    <row r="25" spans="1:40" s="6" customFormat="1" ht="11.25" x14ac:dyDescent="0.2">
      <c r="A25" s="56">
        <f t="shared" si="17"/>
        <v>44572</v>
      </c>
      <c r="B25" s="618">
        <v>17.167000000000002</v>
      </c>
      <c r="C25" s="866"/>
      <c r="D25" s="395">
        <f t="shared" si="0"/>
        <v>17.677418718883256</v>
      </c>
      <c r="E25" s="387">
        <f t="shared" si="1"/>
        <v>19.768191220405328</v>
      </c>
      <c r="F25" s="387">
        <f t="shared" si="2"/>
        <v>21.391910226810385</v>
      </c>
      <c r="G25" s="110">
        <f t="shared" si="18"/>
        <v>1.0292434930581988</v>
      </c>
      <c r="H25" s="414" t="b">
        <f>Wh_hp&gt;='2021'!Maxi_hp</f>
        <v>1</v>
      </c>
      <c r="I25" s="382">
        <f>IF(H25,Wh_hp,'2021'!Maxi_hp)</f>
        <v>21.391910226810385</v>
      </c>
      <c r="J25" s="85">
        <f>IF(H25,An,'2021'!An_max)</f>
        <v>2022</v>
      </c>
      <c r="K25" s="199">
        <f t="shared" si="3"/>
        <v>44572</v>
      </c>
      <c r="L25" s="147">
        <f>IF(t&lt;Tvie,1-EXP((T0-t)*PertePVj)+'2021'!Pspv,1-EXP((T0-t)*PertePVj)+Pspv)</f>
        <v>2.8874052654419446E-2</v>
      </c>
      <c r="M25" s="870"/>
      <c r="N25" s="870"/>
      <c r="O25" s="48">
        <f>IF(t&lt;Tnet,'2021'!Resal+('2021'!Salim-'2021'!Resal)*(1-EXP(('2021'!Tnet-t)/('2021'!Tau_j))),Resal+(Salim-Resal)*(1-EXP((Tnet-t)/(Tau_j))))*Salcycl</f>
        <v>0.10576448184919982</v>
      </c>
      <c r="P25" s="341">
        <f>(INDEX(Models!$BJ25:$BT25,,T25)*(1-R25)+INDEX(Models!$BJ25:$BT25,,T25+1)*R25-ERP_i)*Q25*Ramure*Pc/MaxiM</f>
        <v>7.5903413448793242E-2</v>
      </c>
      <c r="Q25" s="307">
        <f t="shared" si="4"/>
        <v>1</v>
      </c>
      <c r="R25" s="179">
        <f t="shared" si="5"/>
        <v>2.7242940223040678E-4</v>
      </c>
      <c r="S25" s="837">
        <f t="shared" si="6"/>
        <v>0</v>
      </c>
      <c r="T25" s="178">
        <f t="shared" si="7"/>
        <v>6</v>
      </c>
      <c r="U25" s="253">
        <f t="shared" si="19"/>
        <v>2.7242940223040678E-4</v>
      </c>
      <c r="V25" s="385">
        <f t="shared" si="8"/>
        <v>16.679240739226408</v>
      </c>
      <c r="W25" s="404"/>
      <c r="X25" s="157">
        <f t="shared" si="9"/>
        <v>44572</v>
      </c>
      <c r="Y25" s="387">
        <f t="shared" si="10"/>
        <v>16.38183432221852</v>
      </c>
      <c r="Z25" s="387">
        <f t="shared" si="20"/>
        <v>16.868908061818015</v>
      </c>
      <c r="AA25" s="388">
        <f t="shared" si="11"/>
        <v>19.768191220405328</v>
      </c>
      <c r="AB25" s="199">
        <f t="shared" si="12"/>
        <v>44572</v>
      </c>
      <c r="AC25" s="119">
        <f>IF(OR(t&lt;Tnet,NoTnet),'2021'!Resal_s+('2021'!Salim-'2021'!Resal_s)*(1-EXP(('2021'!Tnet_s-t)/'2021'!Tau_j)),Resal_s+(Salim-Resal_s)*(1-EXP((Tnet_s-t)/Tau_j)))*Salcycl</f>
        <v>0.14666405875286065</v>
      </c>
      <c r="AD25" s="233">
        <f>(INDEX(Models!$BJ25:$BT25,,AH25)*(1-AF25)+INDEX(Models!$BJ25:$BT25,,AH25+1)*AF25-ERP_i)*AE25*Ramure*Pc/MaxiM</f>
        <v>7.5903413448793242E-2</v>
      </c>
      <c r="AE25" s="307">
        <f t="shared" si="13"/>
        <v>1</v>
      </c>
      <c r="AF25" s="179">
        <f t="shared" si="21"/>
        <v>2.7242940223040678E-4</v>
      </c>
      <c r="AG25" s="837">
        <f t="shared" si="22"/>
        <v>0</v>
      </c>
      <c r="AH25" s="178">
        <f t="shared" si="14"/>
        <v>6</v>
      </c>
      <c r="AI25" s="227">
        <f t="shared" si="23"/>
        <v>2.7242940223040678E-4</v>
      </c>
      <c r="AJ25" s="267" t="b">
        <f t="shared" si="15"/>
        <v>1</v>
      </c>
      <c r="AK25" s="267" t="b">
        <f t="shared" si="16"/>
        <v>0</v>
      </c>
      <c r="AL25" s="267"/>
      <c r="AM25" s="267"/>
      <c r="AN25" s="75"/>
    </row>
    <row r="26" spans="1:40" s="6" customFormat="1" ht="11.25" x14ac:dyDescent="0.2">
      <c r="A26" s="56">
        <f t="shared" si="17"/>
        <v>44573</v>
      </c>
      <c r="B26" s="618">
        <v>15.641</v>
      </c>
      <c r="C26" s="866"/>
      <c r="D26" s="395">
        <f t="shared" si="0"/>
        <v>16.106421664608984</v>
      </c>
      <c r="E26" s="387">
        <f t="shared" si="1"/>
        <v>18.015022378525785</v>
      </c>
      <c r="F26" s="387">
        <f t="shared" si="2"/>
        <v>19.307670606358542</v>
      </c>
      <c r="G26" s="110">
        <f t="shared" si="18"/>
        <v>0.91888105349256144</v>
      </c>
      <c r="H26" s="414" t="b">
        <f>Wh_hp&gt;='2021'!Maxi_hp</f>
        <v>0</v>
      </c>
      <c r="I26" s="382">
        <f>IF(H26,Wh_hp,'2021'!Maxi_hp)</f>
        <v>20.743234517449725</v>
      </c>
      <c r="J26" s="85">
        <f>IF(H26,An,'2021'!An_max)</f>
        <v>2020</v>
      </c>
      <c r="K26" s="199">
        <f t="shared" si="3"/>
        <v>44573</v>
      </c>
      <c r="L26" s="147">
        <f>IF(t&lt;Tvie,1-EXP((T0-t)*PertePVj)+'2021'!Pspv,1-EXP((T0-t)*PertePVj)+Pspv)</f>
        <v>2.8896652173937887E-2</v>
      </c>
      <c r="M26" s="870"/>
      <c r="N26" s="870"/>
      <c r="O26" s="48">
        <f>IF(t&lt;Tnet,'2021'!Resal+('2021'!Salim-'2021'!Resal)*(1-EXP(('2021'!Tnet-t)/('2021'!Tau_j))),Resal+(Salim-Resal)*(1-EXP((Tnet-t)/(Tau_j))))*Salcycl</f>
        <v>0.10594495381764761</v>
      </c>
      <c r="P26" s="341">
        <f>(INDEX(Models!$BJ26:$BT26,,T26)*(1-R26)+INDEX(Models!$BJ26:$BT26,,T26+1)*R26-ERP_i)*Q26*Ramure*Pc/MaxiM</f>
        <v>7.4785054787950736E-2</v>
      </c>
      <c r="Q26" s="307">
        <f t="shared" si="4"/>
        <v>1</v>
      </c>
      <c r="R26" s="179">
        <f t="shared" si="5"/>
        <v>3.3402902096996698E-4</v>
      </c>
      <c r="S26" s="837">
        <f t="shared" si="6"/>
        <v>0</v>
      </c>
      <c r="T26" s="178">
        <f t="shared" si="7"/>
        <v>6</v>
      </c>
      <c r="U26" s="253">
        <f t="shared" si="19"/>
        <v>3.3402902096996698E-4</v>
      </c>
      <c r="V26" s="385">
        <f t="shared" si="8"/>
        <v>16.878853109022103</v>
      </c>
      <c r="W26" s="404"/>
      <c r="X26" s="157">
        <f t="shared" si="9"/>
        <v>44573</v>
      </c>
      <c r="Y26" s="387">
        <f t="shared" si="10"/>
        <v>14.927965816759993</v>
      </c>
      <c r="Z26" s="387">
        <f t="shared" si="20"/>
        <v>15.372170068384726</v>
      </c>
      <c r="AA26" s="388">
        <f t="shared" si="11"/>
        <v>18.015022378525785</v>
      </c>
      <c r="AB26" s="199">
        <f t="shared" si="12"/>
        <v>44573</v>
      </c>
      <c r="AC26" s="119">
        <f>IF(OR(t&lt;Tnet,NoTnet),'2021'!Resal_s+('2021'!Salim-'2021'!Resal_s)*(1-EXP(('2021'!Tnet_s-t)/'2021'!Tau_j)),Resal_s+(Salim-Resal_s)*(1-EXP((Tnet_s-t)/Tau_j)))*Salcycl</f>
        <v>0.14670269370807915</v>
      </c>
      <c r="AD26" s="233">
        <f>(INDEX(Models!$BJ26:$BT26,,AH26)*(1-AF26)+INDEX(Models!$BJ26:$BT26,,AH26+1)*AF26-ERP_i)*AE26*Ramure*Pc/MaxiM</f>
        <v>7.4785054787950736E-2</v>
      </c>
      <c r="AE26" s="307">
        <f t="shared" si="13"/>
        <v>1</v>
      </c>
      <c r="AF26" s="179">
        <f t="shared" si="21"/>
        <v>3.3402902096996698E-4</v>
      </c>
      <c r="AG26" s="837">
        <f t="shared" si="22"/>
        <v>0</v>
      </c>
      <c r="AH26" s="178">
        <f t="shared" si="14"/>
        <v>6</v>
      </c>
      <c r="AI26" s="227">
        <f t="shared" si="23"/>
        <v>3.3402902096996698E-4</v>
      </c>
      <c r="AJ26" s="267" t="b">
        <f t="shared" si="15"/>
        <v>1</v>
      </c>
      <c r="AK26" s="267" t="b">
        <f t="shared" si="16"/>
        <v>0</v>
      </c>
      <c r="AL26" s="267"/>
      <c r="AM26" s="267"/>
      <c r="AN26" s="75"/>
    </row>
    <row r="27" spans="1:40" s="6" customFormat="1" ht="11.25" x14ac:dyDescent="0.2">
      <c r="A27" s="56">
        <f t="shared" si="17"/>
        <v>44574</v>
      </c>
      <c r="B27" s="618">
        <v>5.75</v>
      </c>
      <c r="C27" s="866"/>
      <c r="D27" s="395">
        <f t="shared" si="0"/>
        <v>5.921237762063801</v>
      </c>
      <c r="E27" s="387">
        <f t="shared" si="1"/>
        <v>6.624234727098206</v>
      </c>
      <c r="F27" s="387">
        <f t="shared" si="2"/>
        <v>6.6497958429817778</v>
      </c>
      <c r="G27" s="110">
        <f t="shared" si="18"/>
        <v>0.31293955762874953</v>
      </c>
      <c r="H27" s="414" t="b">
        <f>Wh_hp&gt;='2021'!Maxi_hp</f>
        <v>0</v>
      </c>
      <c r="I27" s="382">
        <f>IF(H27,Wh_hp,'2021'!Maxi_hp)</f>
        <v>14.753138664755877</v>
      </c>
      <c r="J27" s="85">
        <f>IF(H27,An,'2021'!An_max)</f>
        <v>2020</v>
      </c>
      <c r="K27" s="199">
        <f t="shared" si="3"/>
        <v>44574</v>
      </c>
      <c r="L27" s="147">
        <f>IF(t&lt;Tvie,1-EXP((T0-t)*PertePVj)+'2021'!Pspv,1-EXP((T0-t)*PertePVj)+Pspv)</f>
        <v>2.8919251167532467E-2</v>
      </c>
      <c r="M27" s="870"/>
      <c r="N27" s="870"/>
      <c r="O27" s="48">
        <f>IF(t&lt;Tnet,'2021'!Resal+('2021'!Salim-'2021'!Resal)*(1-EXP(('2021'!Tnet-t)/('2021'!Tau_j))),Resal+(Salim-Resal)*(1-EXP((Tnet-t)/(Tau_j))))*Salcycl</f>
        <v>0.10612500824564791</v>
      </c>
      <c r="P27" s="341">
        <f>(INDEX(Models!$BJ27:$BT27,,T27)*(1-R27)+INDEX(Models!$BJ27:$BT27,,T27+1)*R27-ERP_i)*Q27*Ramure*Pc/MaxiM</f>
        <v>7.3664555996264647E-2</v>
      </c>
      <c r="Q27" s="307">
        <f t="shared" si="4"/>
        <v>1</v>
      </c>
      <c r="R27" s="179">
        <f t="shared" si="5"/>
        <v>3.9820133122673402E-4</v>
      </c>
      <c r="S27" s="837">
        <f t="shared" si="6"/>
        <v>0</v>
      </c>
      <c r="T27" s="178">
        <f t="shared" si="7"/>
        <v>6</v>
      </c>
      <c r="U27" s="253">
        <f t="shared" si="19"/>
        <v>3.9820133122673402E-4</v>
      </c>
      <c r="V27" s="385">
        <f t="shared" si="8"/>
        <v>17.08630919073822</v>
      </c>
      <c r="W27" s="404"/>
      <c r="X27" s="157">
        <f t="shared" si="9"/>
        <v>44574</v>
      </c>
      <c r="Y27" s="387">
        <f t="shared" si="10"/>
        <v>5.4887276858151832</v>
      </c>
      <c r="Z27" s="387">
        <f t="shared" si="20"/>
        <v>5.6521846328580727</v>
      </c>
      <c r="AA27" s="388">
        <f t="shared" si="11"/>
        <v>6.624234727098206</v>
      </c>
      <c r="AB27" s="199">
        <f t="shared" si="12"/>
        <v>44574</v>
      </c>
      <c r="AC27" s="119">
        <f>IF(OR(t&lt;Tnet,NoTnet),'2021'!Resal_s+('2021'!Salim-'2021'!Resal_s)*(1-EXP(('2021'!Tnet_s-t)/'2021'!Tau_j)),Resal_s+(Salim-Resal_s)*(1-EXP((Tnet_s-t)/Tau_j)))*Salcycl</f>
        <v>0.14674149306088169</v>
      </c>
      <c r="AD27" s="233">
        <f>(INDEX(Models!$BJ27:$BT27,,AH27)*(1-AF27)+INDEX(Models!$BJ27:$BT27,,AH27+1)*AF27-ERP_i)*AE27*Ramure*Pc/MaxiM</f>
        <v>7.3664555996264647E-2</v>
      </c>
      <c r="AE27" s="307">
        <f t="shared" si="13"/>
        <v>1</v>
      </c>
      <c r="AF27" s="179">
        <f t="shared" si="21"/>
        <v>3.9820133122673402E-4</v>
      </c>
      <c r="AG27" s="837">
        <f t="shared" si="22"/>
        <v>0</v>
      </c>
      <c r="AH27" s="178">
        <f t="shared" si="14"/>
        <v>6</v>
      </c>
      <c r="AI27" s="227">
        <f t="shared" si="23"/>
        <v>3.9820133122673402E-4</v>
      </c>
      <c r="AJ27" s="267" t="b">
        <f t="shared" si="15"/>
        <v>1</v>
      </c>
      <c r="AK27" s="267" t="b">
        <f t="shared" si="16"/>
        <v>0</v>
      </c>
      <c r="AL27" s="267"/>
      <c r="AM27" s="267"/>
      <c r="AN27" s="75"/>
    </row>
    <row r="28" spans="1:40" s="6" customFormat="1" ht="11.25" x14ac:dyDescent="0.2">
      <c r="A28" s="56">
        <f t="shared" si="17"/>
        <v>44575</v>
      </c>
      <c r="B28" s="618">
        <v>17.759</v>
      </c>
      <c r="C28" s="866"/>
      <c r="D28" s="395">
        <f t="shared" si="0"/>
        <v>18.288297146086165</v>
      </c>
      <c r="E28" s="387">
        <f t="shared" si="1"/>
        <v>20.463681640049845</v>
      </c>
      <c r="F28" s="387">
        <f t="shared" si="2"/>
        <v>22.064358181548073</v>
      </c>
      <c r="G28" s="110">
        <f t="shared" si="18"/>
        <v>1.0264749148684351</v>
      </c>
      <c r="H28" s="414" t="b">
        <f>Wh_hp&gt;='2021'!Maxi_hp</f>
        <v>1</v>
      </c>
      <c r="I28" s="382">
        <f>IF(H28,Wh_hp,'2021'!Maxi_hp)</f>
        <v>22.064358181548073</v>
      </c>
      <c r="J28" s="85">
        <f>IF(H28,An,'2021'!An_max)</f>
        <v>2022</v>
      </c>
      <c r="K28" s="199">
        <f t="shared" si="3"/>
        <v>44575</v>
      </c>
      <c r="L28" s="147">
        <f>IF(t&lt;Tvie,1-EXP((T0-t)*PertePVj)+'2021'!Pspv,1-EXP((T0-t)*PertePVj)+Pspv)</f>
        <v>2.8941849635215511E-2</v>
      </c>
      <c r="M28" s="870"/>
      <c r="N28" s="870"/>
      <c r="O28" s="48">
        <f>IF(t&lt;Tnet,'2021'!Resal+('2021'!Salim-'2021'!Resal)*(1-EXP(('2021'!Tnet-t)/('2021'!Tau_j))),Resal+(Salim-Resal)*(1-EXP((Tnet-t)/(Tau_j))))*Salcycl</f>
        <v>0.10630464899855536</v>
      </c>
      <c r="P28" s="341">
        <f>(INDEX(Models!$BJ28:$BT28,,T28)*(1-R28)+INDEX(Models!$BJ28:$BT28,,T28+1)*R28-ERP_i)*Q28*Ramure*Pc/MaxiM</f>
        <v>7.254580116619197E-2</v>
      </c>
      <c r="Q28" s="307">
        <f t="shared" si="4"/>
        <v>1</v>
      </c>
      <c r="R28" s="179">
        <f t="shared" si="5"/>
        <v>4.650532777720071E-4</v>
      </c>
      <c r="S28" s="837">
        <f t="shared" si="6"/>
        <v>0</v>
      </c>
      <c r="T28" s="178">
        <f t="shared" si="7"/>
        <v>6</v>
      </c>
      <c r="U28" s="253">
        <f t="shared" si="19"/>
        <v>4.650532777720071E-4</v>
      </c>
      <c r="V28" s="385">
        <f t="shared" si="8"/>
        <v>17.300958594079425</v>
      </c>
      <c r="W28" s="404"/>
      <c r="X28" s="157">
        <f t="shared" si="9"/>
        <v>44575</v>
      </c>
      <c r="Y28" s="387">
        <f t="shared" si="10"/>
        <v>16.954687999704703</v>
      </c>
      <c r="Z28" s="387">
        <f t="shared" si="20"/>
        <v>17.460013072683196</v>
      </c>
      <c r="AA28" s="388">
        <f t="shared" si="11"/>
        <v>20.463681640049845</v>
      </c>
      <c r="AB28" s="199">
        <f t="shared" si="12"/>
        <v>44575</v>
      </c>
      <c r="AC28" s="119">
        <f>IF(OR(t&lt;Tnet,NoTnet),'2021'!Resal_s+('2021'!Salim-'2021'!Resal_s)*(1-EXP(('2021'!Tnet_s-t)/'2021'!Tau_j)),Resal_s+(Salim-Resal_s)*(1-EXP((Tnet_s-t)/Tau_j)))*Salcycl</f>
        <v>0.14678045818930818</v>
      </c>
      <c r="AD28" s="233">
        <f>(INDEX(Models!$BJ28:$BT28,,AH28)*(1-AF28)+INDEX(Models!$BJ28:$BT28,,AH28+1)*AF28-ERP_i)*AE28*Ramure*Pc/MaxiM</f>
        <v>7.254580116619197E-2</v>
      </c>
      <c r="AE28" s="307">
        <f t="shared" si="13"/>
        <v>1</v>
      </c>
      <c r="AF28" s="179">
        <f t="shared" si="21"/>
        <v>4.650532777720071E-4</v>
      </c>
      <c r="AG28" s="837">
        <f t="shared" si="22"/>
        <v>0</v>
      </c>
      <c r="AH28" s="178">
        <f t="shared" si="14"/>
        <v>6</v>
      </c>
      <c r="AI28" s="227">
        <f t="shared" si="23"/>
        <v>4.650532777720071E-4</v>
      </c>
      <c r="AJ28" s="267" t="b">
        <f t="shared" si="15"/>
        <v>1</v>
      </c>
      <c r="AK28" s="267" t="b">
        <f t="shared" si="16"/>
        <v>0</v>
      </c>
      <c r="AL28" s="267"/>
      <c r="AM28" s="267"/>
      <c r="AN28" s="75"/>
    </row>
    <row r="29" spans="1:40" s="6" customFormat="1" ht="11.25" x14ac:dyDescent="0.2">
      <c r="A29" s="56">
        <f t="shared" si="17"/>
        <v>44576</v>
      </c>
      <c r="B29" s="618">
        <v>17.904</v>
      </c>
      <c r="C29" s="866"/>
      <c r="D29" s="395">
        <f t="shared" si="0"/>
        <v>18.438047870981237</v>
      </c>
      <c r="E29" s="387">
        <f t="shared" si="1"/>
        <v>20.635383642331778</v>
      </c>
      <c r="F29" s="387">
        <f t="shared" si="2"/>
        <v>22.222811190623492</v>
      </c>
      <c r="G29" s="110">
        <f t="shared" si="18"/>
        <v>1.0217923336363661</v>
      </c>
      <c r="H29" s="414" t="b">
        <f>Wh_hp&gt;='2021'!Maxi_hp</f>
        <v>1</v>
      </c>
      <c r="I29" s="382">
        <f>IF(H29,Wh_hp,'2021'!Maxi_hp)</f>
        <v>22.222811190623492</v>
      </c>
      <c r="J29" s="85">
        <f>IF(H29,An,'2021'!An_max)</f>
        <v>2022</v>
      </c>
      <c r="K29" s="199">
        <f t="shared" si="3"/>
        <v>44576</v>
      </c>
      <c r="L29" s="147">
        <f>IF(t&lt;Tvie,1-EXP((T0-t)*PertePVj)+'2021'!Pspv,1-EXP((T0-t)*PertePVj)+Pspv)</f>
        <v>2.8964447576999119E-2</v>
      </c>
      <c r="M29" s="870"/>
      <c r="N29" s="870"/>
      <c r="O29" s="48">
        <f>IF(t&lt;Tnet,'2021'!Resal+('2021'!Salim-'2021'!Resal)*(1-EXP(('2021'!Tnet-t)/('2021'!Tau_j))),Resal+(Salim-Resal)*(1-EXP((Tnet-t)/(Tau_j))))*Salcycl</f>
        <v>0.10648388270537834</v>
      </c>
      <c r="P29" s="341">
        <f>(INDEX(Models!$BJ29:$BT29,,T29)*(1-R29)+INDEX(Models!$BJ29:$BT29,,T29+1)*R29-ERP_i)*Q29*Ramure*Pc/MaxiM</f>
        <v>7.1432346460356913E-2</v>
      </c>
      <c r="Q29" s="307">
        <f t="shared" si="4"/>
        <v>1</v>
      </c>
      <c r="R29" s="179">
        <f t="shared" si="5"/>
        <v>5.3469620801323292E-4</v>
      </c>
      <c r="S29" s="837">
        <f t="shared" si="6"/>
        <v>0</v>
      </c>
      <c r="T29" s="178">
        <f t="shared" si="7"/>
        <v>6</v>
      </c>
      <c r="U29" s="253">
        <f t="shared" si="19"/>
        <v>5.3469620801323292E-4</v>
      </c>
      <c r="V29" s="385">
        <f t="shared" si="8"/>
        <v>17.52215143001029</v>
      </c>
      <c r="W29" s="404"/>
      <c r="X29" s="157">
        <f t="shared" si="9"/>
        <v>44576</v>
      </c>
      <c r="Y29" s="387">
        <f t="shared" si="10"/>
        <v>17.095765468618833</v>
      </c>
      <c r="Z29" s="387">
        <f t="shared" si="20"/>
        <v>17.605704987793899</v>
      </c>
      <c r="AA29" s="388">
        <f t="shared" si="11"/>
        <v>20.635383642331778</v>
      </c>
      <c r="AB29" s="199">
        <f t="shared" si="12"/>
        <v>44576</v>
      </c>
      <c r="AC29" s="119">
        <f>IF(OR(t&lt;Tnet,NoTnet),'2021'!Resal_s+('2021'!Salim-'2021'!Resal_s)*(1-EXP(('2021'!Tnet_s-t)/'2021'!Tau_j)),Resal_s+(Salim-Resal_s)*(1-EXP((Tnet_s-t)/Tau_j)))*Salcycl</f>
        <v>0.14681959429737679</v>
      </c>
      <c r="AD29" s="233">
        <f>(INDEX(Models!$BJ29:$BT29,,AH29)*(1-AF29)+INDEX(Models!$BJ29:$BT29,,AH29+1)*AF29-ERP_i)*AE29*Ramure*Pc/MaxiM</f>
        <v>7.1432346460356913E-2</v>
      </c>
      <c r="AE29" s="307">
        <f t="shared" si="13"/>
        <v>1</v>
      </c>
      <c r="AF29" s="179">
        <f t="shared" si="21"/>
        <v>5.3469620801323292E-4</v>
      </c>
      <c r="AG29" s="837">
        <f t="shared" si="22"/>
        <v>0</v>
      </c>
      <c r="AH29" s="178">
        <f t="shared" si="14"/>
        <v>6</v>
      </c>
      <c r="AI29" s="227">
        <f t="shared" si="23"/>
        <v>5.3469620801323292E-4</v>
      </c>
      <c r="AJ29" s="267" t="b">
        <f t="shared" si="15"/>
        <v>1</v>
      </c>
      <c r="AK29" s="267" t="b">
        <f t="shared" si="16"/>
        <v>0</v>
      </c>
      <c r="AL29" s="267"/>
      <c r="AM29" s="267"/>
      <c r="AN29" s="75"/>
    </row>
    <row r="30" spans="1:40" s="6" customFormat="1" ht="11.25" x14ac:dyDescent="0.2">
      <c r="A30" s="56">
        <f t="shared" si="17"/>
        <v>44577</v>
      </c>
      <c r="B30" s="618">
        <v>17.887</v>
      </c>
      <c r="C30" s="866"/>
      <c r="D30" s="395">
        <f t="shared" si="0"/>
        <v>18.420969470864712</v>
      </c>
      <c r="E30" s="387">
        <f t="shared" si="1"/>
        <v>20.620397075673992</v>
      </c>
      <c r="F30" s="387">
        <f t="shared" si="2"/>
        <v>22.179762474374062</v>
      </c>
      <c r="G30" s="110">
        <f t="shared" si="18"/>
        <v>1.0077380862491623</v>
      </c>
      <c r="H30" s="414" t="b">
        <f>Wh_hp&gt;='2021'!Maxi_hp</f>
        <v>1</v>
      </c>
      <c r="I30" s="382">
        <f>IF(H30,Wh_hp,'2021'!Maxi_hp)</f>
        <v>22.179762474374062</v>
      </c>
      <c r="J30" s="85">
        <f>IF(H30,An,'2021'!An_max)</f>
        <v>2022</v>
      </c>
      <c r="K30" s="199">
        <f t="shared" si="3"/>
        <v>44577</v>
      </c>
      <c r="L30" s="147">
        <f>IF(t&lt;Tvie,1-EXP((T0-t)*PertePVj)+'2021'!Pspv,1-EXP((T0-t)*PertePVj)+Pspv)</f>
        <v>2.8987044992895616E-2</v>
      </c>
      <c r="M30" s="870"/>
      <c r="N30" s="870"/>
      <c r="O30" s="48">
        <f>IF(t&lt;Tnet,'2021'!Resal+('2021'!Salim-'2021'!Resal)*(1-EXP(('2021'!Tnet-t)/('2021'!Tau_j))),Resal+(Salim-Resal)*(1-EXP((Tnet-t)/(Tau_j))))*Salcycl</f>
        <v>0.10666271831418606</v>
      </c>
      <c r="P30" s="341">
        <f>(INDEX(Models!$BJ30:$BT30,,T30)*(1-R30)+INDEX(Models!$BJ30:$BT30,,T30+1)*R30-ERP_i)*Q30*Ramure*Pc/MaxiM</f>
        <v>7.0305775388790695E-2</v>
      </c>
      <c r="Q30" s="307">
        <f t="shared" si="4"/>
        <v>1</v>
      </c>
      <c r="R30" s="179">
        <f t="shared" si="5"/>
        <v>6.0724604956383663E-4</v>
      </c>
      <c r="S30" s="837">
        <f t="shared" si="6"/>
        <v>0</v>
      </c>
      <c r="T30" s="178">
        <f t="shared" si="7"/>
        <v>6</v>
      </c>
      <c r="U30" s="253">
        <f t="shared" si="19"/>
        <v>6.0724604956383663E-4</v>
      </c>
      <c r="V30" s="385">
        <f t="shared" si="8"/>
        <v>17.749651664527303</v>
      </c>
      <c r="W30" s="404"/>
      <c r="X30" s="157">
        <f t="shared" si="9"/>
        <v>44577</v>
      </c>
      <c r="Y30" s="387">
        <f t="shared" si="10"/>
        <v>17.082164814661162</v>
      </c>
      <c r="Z30" s="387">
        <f t="shared" si="20"/>
        <v>17.592108041994333</v>
      </c>
      <c r="AA30" s="388">
        <f t="shared" si="11"/>
        <v>20.620397075673992</v>
      </c>
      <c r="AB30" s="199">
        <f t="shared" si="12"/>
        <v>44577</v>
      </c>
      <c r="AC30" s="119">
        <f>IF(OR(t&lt;Tnet,NoTnet),'2021'!Resal_s+('2021'!Salim-'2021'!Resal_s)*(1-EXP(('2021'!Tnet_s-t)/'2021'!Tau_j)),Resal_s+(Salim-Resal_s)*(1-EXP((Tnet_s-t)/Tau_j)))*Salcycl</f>
        <v>0.14685890977590094</v>
      </c>
      <c r="AD30" s="233">
        <f>(INDEX(Models!$BJ30:$BT30,,AH30)*(1-AF30)+INDEX(Models!$BJ30:$BT30,,AH30+1)*AF30-ERP_i)*AE30*Ramure*Pc/MaxiM</f>
        <v>7.0305775388790695E-2</v>
      </c>
      <c r="AE30" s="307">
        <f t="shared" si="13"/>
        <v>1</v>
      </c>
      <c r="AF30" s="179">
        <f t="shared" si="21"/>
        <v>6.0724604956383663E-4</v>
      </c>
      <c r="AG30" s="837">
        <f t="shared" si="22"/>
        <v>0</v>
      </c>
      <c r="AH30" s="178">
        <f t="shared" si="14"/>
        <v>6</v>
      </c>
      <c r="AI30" s="227">
        <f t="shared" si="23"/>
        <v>6.0724604956383663E-4</v>
      </c>
      <c r="AJ30" s="267" t="b">
        <f t="shared" si="15"/>
        <v>1</v>
      </c>
      <c r="AK30" s="267" t="b">
        <f t="shared" si="16"/>
        <v>0</v>
      </c>
      <c r="AL30" s="267"/>
      <c r="AM30" s="267"/>
      <c r="AN30" s="75"/>
    </row>
    <row r="31" spans="1:40" s="6" customFormat="1" ht="11.25" x14ac:dyDescent="0.2">
      <c r="A31" s="56">
        <f t="shared" si="17"/>
        <v>44578</v>
      </c>
      <c r="B31" s="618">
        <v>14.324</v>
      </c>
      <c r="C31" s="866"/>
      <c r="D31" s="395">
        <f t="shared" si="0"/>
        <v>14.75194875032199</v>
      </c>
      <c r="E31" s="387">
        <f t="shared" si="1"/>
        <v>16.516601750321069</v>
      </c>
      <c r="F31" s="387">
        <f t="shared" si="2"/>
        <v>17.368757233641855</v>
      </c>
      <c r="G31" s="110">
        <f t="shared" si="18"/>
        <v>0.77969593776675328</v>
      </c>
      <c r="H31" s="414" t="b">
        <f>Wh_hp&gt;='2021'!Maxi_hp</f>
        <v>1</v>
      </c>
      <c r="I31" s="382">
        <f>IF(H31,Wh_hp,'2021'!Maxi_hp)</f>
        <v>17.368757233641855</v>
      </c>
      <c r="J31" s="85">
        <f>IF(H31,An,'2021'!An_max)</f>
        <v>2022</v>
      </c>
      <c r="K31" s="199">
        <f t="shared" si="3"/>
        <v>44578</v>
      </c>
      <c r="L31" s="147">
        <f>IF(t&lt;Tvie,1-EXP((T0-t)*PertePVj)+'2021'!Pspv,1-EXP((T0-t)*PertePVj)+Pspv)</f>
        <v>2.9009641882917325E-2</v>
      </c>
      <c r="M31" s="870"/>
      <c r="N31" s="870"/>
      <c r="O31" s="48">
        <f>IF(t&lt;Tnet,'2021'!Resal+('2021'!Salim-'2021'!Resal)*(1-EXP(('2021'!Tnet-t)/('2021'!Tau_j))),Resal+(Salim-Resal)*(1-EXP((Tnet-t)/(Tau_j))))*Salcycl</f>
        <v>0.10684116664402682</v>
      </c>
      <c r="P31" s="341">
        <f>(INDEX(Models!$BJ31:$BT31,,T31)*(1-R31)+INDEX(Models!$BJ31:$BT31,,T31+1)*R31-ERP_i)*Q31*Ramure*Pc/MaxiM</f>
        <v>6.9166770573418121E-2</v>
      </c>
      <c r="Q31" s="307">
        <f t="shared" si="4"/>
        <v>1</v>
      </c>
      <c r="R31" s="179">
        <f t="shared" si="5"/>
        <v>6.8282349465960943E-4</v>
      </c>
      <c r="S31" s="837">
        <f t="shared" si="6"/>
        <v>0</v>
      </c>
      <c r="T31" s="178">
        <f t="shared" si="7"/>
        <v>6</v>
      </c>
      <c r="U31" s="253">
        <f t="shared" si="19"/>
        <v>6.8282349465960943E-4</v>
      </c>
      <c r="V31" s="385">
        <f t="shared" si="8"/>
        <v>17.982868446398122</v>
      </c>
      <c r="W31" s="404"/>
      <c r="X31" s="157">
        <f t="shared" si="9"/>
        <v>44578</v>
      </c>
      <c r="Y31" s="387">
        <f t="shared" si="10"/>
        <v>13.681583430735618</v>
      </c>
      <c r="Z31" s="387">
        <f t="shared" si="20"/>
        <v>14.090339122693825</v>
      </c>
      <c r="AA31" s="388">
        <f t="shared" si="11"/>
        <v>16.516601750321069</v>
      </c>
      <c r="AB31" s="199">
        <f t="shared" si="12"/>
        <v>44578</v>
      </c>
      <c r="AC31" s="119">
        <f>IF(OR(t&lt;Tnet,NoTnet),'2021'!Resal_s+('2021'!Salim-'2021'!Resal_s)*(1-EXP(('2021'!Tnet_s-t)/'2021'!Tau_j)),Resal_s+(Salim-Resal_s)*(1-EXP((Tnet_s-t)/Tau_j)))*Salcycl</f>
        <v>0.14689841556421124</v>
      </c>
      <c r="AD31" s="233">
        <f>(INDEX(Models!$BJ31:$BT31,,AH31)*(1-AF31)+INDEX(Models!$BJ31:$BT31,,AH31+1)*AF31-ERP_i)*AE31*Ramure*Pc/MaxiM</f>
        <v>6.9166770573418121E-2</v>
      </c>
      <c r="AE31" s="307">
        <f t="shared" si="13"/>
        <v>1</v>
      </c>
      <c r="AF31" s="179">
        <f t="shared" si="21"/>
        <v>6.8282349465960943E-4</v>
      </c>
      <c r="AG31" s="837">
        <f t="shared" si="22"/>
        <v>0</v>
      </c>
      <c r="AH31" s="178">
        <f t="shared" si="14"/>
        <v>6</v>
      </c>
      <c r="AI31" s="227">
        <f t="shared" si="23"/>
        <v>6.8282349465960943E-4</v>
      </c>
      <c r="AJ31" s="267" t="b">
        <f t="shared" si="15"/>
        <v>1</v>
      </c>
      <c r="AK31" s="267" t="b">
        <f t="shared" si="16"/>
        <v>0</v>
      </c>
      <c r="AL31" s="267"/>
      <c r="AM31" s="267"/>
      <c r="AN31" s="75"/>
    </row>
    <row r="32" spans="1:40" s="6" customFormat="1" ht="11.25" x14ac:dyDescent="0.2">
      <c r="A32" s="56">
        <f t="shared" si="17"/>
        <v>44579</v>
      </c>
      <c r="B32" s="618">
        <v>3.9670000000000001</v>
      </c>
      <c r="C32" s="866"/>
      <c r="D32" s="395">
        <f t="shared" si="0"/>
        <v>4.0856145345528567</v>
      </c>
      <c r="E32" s="387">
        <f t="shared" si="1"/>
        <v>4.575254828861838</v>
      </c>
      <c r="F32" s="387">
        <f t="shared" si="2"/>
        <v>4.575254828861838</v>
      </c>
      <c r="G32" s="110">
        <f t="shared" si="18"/>
        <v>0.20290534057058851</v>
      </c>
      <c r="H32" s="414" t="b">
        <f>Wh_hp&gt;='2021'!Maxi_hp</f>
        <v>0</v>
      </c>
      <c r="I32" s="382">
        <f>IF(H32,Wh_hp,'2021'!Maxi_hp)</f>
        <v>21.743395935695009</v>
      </c>
      <c r="J32" s="85">
        <f>IF(H32,An,'2021'!An_max)</f>
        <v>2021</v>
      </c>
      <c r="K32" s="199">
        <f t="shared" si="3"/>
        <v>44579</v>
      </c>
      <c r="L32" s="147">
        <f>IF(t&lt;Tvie,1-EXP((T0-t)*PertePVj)+'2021'!Pspv,1-EXP((T0-t)*PertePVj)+Pspv)</f>
        <v>2.9032238247076347E-2</v>
      </c>
      <c r="M32" s="870"/>
      <c r="N32" s="870"/>
      <c r="O32" s="48">
        <f>IF(t&lt;Tnet,'2021'!Resal+('2021'!Salim-'2021'!Resal)*(1-EXP(('2021'!Tnet-t)/('2021'!Tau_j))),Resal+(Salim-Resal)*(1-EXP((Tnet-t)/(Tau_j))))*Salcycl</f>
        <v>0.1070192399383328</v>
      </c>
      <c r="P32" s="341">
        <f>(INDEX(Models!$BJ32:$BT32,,T32)*(1-R32)+INDEX(Models!$BJ32:$BT32,,T32+1)*R32-ERP_i)*Q32*Ramure*Pc/MaxiM</f>
        <v>6.8018841970543129E-2</v>
      </c>
      <c r="Q32" s="307">
        <f t="shared" si="4"/>
        <v>1</v>
      </c>
      <c r="R32" s="179">
        <f t="shared" si="5"/>
        <v>7.615541916579662E-4</v>
      </c>
      <c r="S32" s="837">
        <f t="shared" si="6"/>
        <v>0</v>
      </c>
      <c r="T32" s="178">
        <f t="shared" si="7"/>
        <v>6</v>
      </c>
      <c r="U32" s="253">
        <f t="shared" si="19"/>
        <v>7.615541916579662E-4</v>
      </c>
      <c r="V32" s="385">
        <f t="shared" si="8"/>
        <v>18.221152994327678</v>
      </c>
      <c r="W32" s="404"/>
      <c r="X32" s="157">
        <f t="shared" si="9"/>
        <v>44579</v>
      </c>
      <c r="Y32" s="387">
        <f t="shared" si="10"/>
        <v>3.7896633515344087</v>
      </c>
      <c r="Z32" s="387">
        <f t="shared" si="20"/>
        <v>3.9029754651099751</v>
      </c>
      <c r="AA32" s="388">
        <f t="shared" si="11"/>
        <v>4.575254828861838</v>
      </c>
      <c r="AB32" s="199">
        <f t="shared" si="12"/>
        <v>44579</v>
      </c>
      <c r="AC32" s="119">
        <f>IF(OR(t&lt;Tnet,NoTnet),'2021'!Resal_s+('2021'!Salim-'2021'!Resal_s)*(1-EXP(('2021'!Tnet_s-t)/'2021'!Tau_j)),Resal_s+(Salim-Resal_s)*(1-EXP((Tnet_s-t)/Tau_j)))*Salcycl</f>
        <v>0.14693812451952593</v>
      </c>
      <c r="AD32" s="233">
        <f>(INDEX(Models!$BJ32:$BT32,,AH32)*(1-AF32)+INDEX(Models!$BJ32:$BT32,,AH32+1)*AF32-ERP_i)*AE32*Ramure*Pc/MaxiM</f>
        <v>6.8018841970543129E-2</v>
      </c>
      <c r="AE32" s="307">
        <f t="shared" si="13"/>
        <v>1</v>
      </c>
      <c r="AF32" s="179">
        <f t="shared" si="21"/>
        <v>7.615541916579662E-4</v>
      </c>
      <c r="AG32" s="837">
        <f t="shared" si="22"/>
        <v>0</v>
      </c>
      <c r="AH32" s="178">
        <f t="shared" si="14"/>
        <v>6</v>
      </c>
      <c r="AI32" s="227">
        <f t="shared" si="23"/>
        <v>7.615541916579662E-4</v>
      </c>
      <c r="AJ32" s="267" t="b">
        <f t="shared" si="15"/>
        <v>1</v>
      </c>
      <c r="AK32" s="267" t="b">
        <f t="shared" si="16"/>
        <v>0</v>
      </c>
      <c r="AL32" s="267"/>
      <c r="AM32" s="267"/>
      <c r="AN32" s="75"/>
    </row>
    <row r="33" spans="1:40" s="6" customFormat="1" ht="11.25" x14ac:dyDescent="0.2">
      <c r="A33" s="56">
        <f t="shared" si="17"/>
        <v>44580</v>
      </c>
      <c r="B33" s="618">
        <v>9.7170000000000005</v>
      </c>
      <c r="C33" s="866"/>
      <c r="D33" s="395">
        <f t="shared" si="0"/>
        <v>10.007774219511912</v>
      </c>
      <c r="E33" s="387">
        <f t="shared" si="1"/>
        <v>11.209386253196103</v>
      </c>
      <c r="F33" s="387">
        <f t="shared" si="2"/>
        <v>11.45701631060977</v>
      </c>
      <c r="G33" s="110">
        <f t="shared" si="18"/>
        <v>0.50193081298472864</v>
      </c>
      <c r="H33" s="414" t="b">
        <f>Wh_hp&gt;='2021'!Maxi_hp</f>
        <v>0</v>
      </c>
      <c r="I33" s="382">
        <f>IF(H33,Wh_hp,'2021'!Maxi_hp)</f>
        <v>22.082454622527671</v>
      </c>
      <c r="J33" s="85">
        <f>IF(H33,An,'2021'!An_max)</f>
        <v>2021</v>
      </c>
      <c r="K33" s="199">
        <f t="shared" si="3"/>
        <v>44580</v>
      </c>
      <c r="L33" s="147">
        <f>IF(t&lt;Tvie,1-EXP((T0-t)*PertePVj)+'2021'!Pspv,1-EXP((T0-t)*PertePVj)+Pspv)</f>
        <v>2.9054834085384895E-2</v>
      </c>
      <c r="M33" s="870"/>
      <c r="N33" s="870"/>
      <c r="O33" s="48">
        <f>IF(t&lt;Tnet,'2021'!Resal+('2021'!Salim-'2021'!Resal)*(1-EXP(('2021'!Tnet-t)/('2021'!Tau_j))),Resal+(Salim-Resal)*(1-EXP((Tnet-t)/(Tau_j))))*Salcycl</f>
        <v>0.1071969514246668</v>
      </c>
      <c r="P33" s="341">
        <f>(INDEX(Models!$BJ33:$BT33,,T33)*(1-R33)+INDEX(Models!$BJ33:$BT33,,T33+1)*R33-ERP_i)*Q33*Ramure*Pc/MaxiM</f>
        <v>6.6865205708903031E-2</v>
      </c>
      <c r="Q33" s="307">
        <f t="shared" si="4"/>
        <v>1</v>
      </c>
      <c r="R33" s="179">
        <f t="shared" si="5"/>
        <v>8.4356894386319902E-4</v>
      </c>
      <c r="S33" s="837">
        <f t="shared" si="6"/>
        <v>0</v>
      </c>
      <c r="T33" s="178">
        <f t="shared" si="7"/>
        <v>6</v>
      </c>
      <c r="U33" s="253">
        <f t="shared" si="19"/>
        <v>8.4356894386319902E-4</v>
      </c>
      <c r="V33" s="385">
        <f t="shared" si="8"/>
        <v>18.463856912728279</v>
      </c>
      <c r="W33" s="404"/>
      <c r="X33" s="157">
        <f t="shared" si="9"/>
        <v>44580</v>
      </c>
      <c r="Y33" s="387">
        <f t="shared" si="10"/>
        <v>9.2840344727747688</v>
      </c>
      <c r="Z33" s="387">
        <f t="shared" si="20"/>
        <v>9.5618525110317165</v>
      </c>
      <c r="AA33" s="388">
        <f t="shared" si="11"/>
        <v>11.209386253196103</v>
      </c>
      <c r="AB33" s="199">
        <f t="shared" si="12"/>
        <v>44580</v>
      </c>
      <c r="AC33" s="119">
        <f>IF(OR(t&lt;Tnet,NoTnet),'2021'!Resal_s+('2021'!Salim-'2021'!Resal_s)*(1-EXP(('2021'!Tnet_s-t)/'2021'!Tau_j)),Resal_s+(Salim-Resal_s)*(1-EXP((Tnet_s-t)/Tau_j)))*Salcycl</f>
        <v>0.14697805080047355</v>
      </c>
      <c r="AD33" s="233">
        <f>(INDEX(Models!$BJ33:$BT33,,AH33)*(1-AF33)+INDEX(Models!$BJ33:$BT33,,AH33+1)*AF33-ERP_i)*AE33*Ramure*Pc/MaxiM</f>
        <v>6.6865205708903031E-2</v>
      </c>
      <c r="AE33" s="307">
        <f t="shared" si="13"/>
        <v>1</v>
      </c>
      <c r="AF33" s="179">
        <f t="shared" si="21"/>
        <v>8.4356894386319902E-4</v>
      </c>
      <c r="AG33" s="837">
        <f t="shared" si="22"/>
        <v>0</v>
      </c>
      <c r="AH33" s="178">
        <f t="shared" si="14"/>
        <v>6</v>
      </c>
      <c r="AI33" s="227">
        <f t="shared" si="23"/>
        <v>8.4356894386319902E-4</v>
      </c>
      <c r="AJ33" s="267" t="b">
        <f t="shared" si="15"/>
        <v>1</v>
      </c>
      <c r="AK33" s="267" t="b">
        <f t="shared" si="16"/>
        <v>0</v>
      </c>
      <c r="AL33" s="267"/>
      <c r="AM33" s="267"/>
      <c r="AN33" s="75"/>
    </row>
    <row r="34" spans="1:40" s="6" customFormat="1" ht="11.25" x14ac:dyDescent="0.2">
      <c r="A34" s="56">
        <f t="shared" si="17"/>
        <v>44581</v>
      </c>
      <c r="B34" s="618">
        <v>5.7350000000000003</v>
      </c>
      <c r="C34" s="866"/>
      <c r="D34" s="395">
        <f t="shared" si="0"/>
        <v>5.9067531991179072</v>
      </c>
      <c r="E34" s="387">
        <f t="shared" si="1"/>
        <v>6.6172789979264444</v>
      </c>
      <c r="F34" s="387">
        <f t="shared" si="2"/>
        <v>6.6213285263832553</v>
      </c>
      <c r="G34" s="110">
        <f t="shared" si="18"/>
        <v>0.28654964633048663</v>
      </c>
      <c r="H34" s="414" t="b">
        <f>Wh_hp&gt;='2021'!Maxi_hp</f>
        <v>0</v>
      </c>
      <c r="I34" s="382">
        <f>IF(H34,Wh_hp,'2021'!Maxi_hp)</f>
        <v>9.8589933408516792</v>
      </c>
      <c r="J34" s="85">
        <f>IF(H34,An,'2021'!An_max)</f>
        <v>2020</v>
      </c>
      <c r="K34" s="199">
        <f t="shared" si="3"/>
        <v>44581</v>
      </c>
      <c r="L34" s="147">
        <f>IF(t&lt;Tvie,1-EXP((T0-t)*PertePVj)+'2021'!Pspv,1-EXP((T0-t)*PertePVj)+Pspv)</f>
        <v>2.9077429397855292E-2</v>
      </c>
      <c r="M34" s="870"/>
      <c r="N34" s="870"/>
      <c r="O34" s="48">
        <f>IF(t&lt;Tnet,'2021'!Resal+('2021'!Salim-'2021'!Resal)*(1-EXP(('2021'!Tnet-t)/('2021'!Tau_j))),Resal+(Salim-Resal)*(1-EXP((Tnet-t)/(Tau_j))))*Salcycl</f>
        <v>0.10737431488549658</v>
      </c>
      <c r="P34" s="341">
        <f>(INDEX(Models!$BJ34:$BT34,,T34)*(1-R34)+INDEX(Models!$BJ34:$BT34,,T34+1)*R34-ERP_i)*Q34*Ramure*Pc/MaxiM</f>
        <v>6.5709158896525205E-2</v>
      </c>
      <c r="Q34" s="307">
        <f t="shared" si="4"/>
        <v>1</v>
      </c>
      <c r="R34" s="179">
        <f t="shared" si="5"/>
        <v>9.2900391592290878E-4</v>
      </c>
      <c r="S34" s="837">
        <f t="shared" si="6"/>
        <v>0</v>
      </c>
      <c r="T34" s="178">
        <f t="shared" si="7"/>
        <v>6</v>
      </c>
      <c r="U34" s="253">
        <f t="shared" si="19"/>
        <v>9.2900391592290878E-4</v>
      </c>
      <c r="V34" s="385">
        <f t="shared" si="8"/>
        <v>18.710324844716133</v>
      </c>
      <c r="W34" s="404"/>
      <c r="X34" s="157">
        <f t="shared" si="9"/>
        <v>44581</v>
      </c>
      <c r="Y34" s="387">
        <f t="shared" si="10"/>
        <v>5.480293309287263</v>
      </c>
      <c r="Z34" s="387">
        <f t="shared" si="20"/>
        <v>5.6444184894048828</v>
      </c>
      <c r="AA34" s="388">
        <f t="shared" si="11"/>
        <v>6.6172789979264444</v>
      </c>
      <c r="AB34" s="199">
        <f t="shared" si="12"/>
        <v>44581</v>
      </c>
      <c r="AC34" s="119">
        <f>IF(OR(t&lt;Tnet,NoTnet),'2021'!Resal_s+('2021'!Salim-'2021'!Resal_s)*(1-EXP(('2021'!Tnet_s-t)/'2021'!Tau_j)),Resal_s+(Salim-Resal_s)*(1-EXP((Tnet_s-t)/Tau_j)))*Salcycl</f>
        <v>0.14701820927097251</v>
      </c>
      <c r="AD34" s="233">
        <f>(INDEX(Models!$BJ34:$BT34,,AH34)*(1-AF34)+INDEX(Models!$BJ34:$BT34,,AH34+1)*AF34-ERP_i)*AE34*Ramure*Pc/MaxiM</f>
        <v>6.5709158896525205E-2</v>
      </c>
      <c r="AE34" s="307">
        <f t="shared" si="13"/>
        <v>1</v>
      </c>
      <c r="AF34" s="179">
        <f t="shared" si="21"/>
        <v>9.2900391592290878E-4</v>
      </c>
      <c r="AG34" s="837">
        <f t="shared" si="22"/>
        <v>0</v>
      </c>
      <c r="AH34" s="178">
        <f t="shared" si="14"/>
        <v>6</v>
      </c>
      <c r="AI34" s="227">
        <f t="shared" si="23"/>
        <v>9.2900391592290878E-4</v>
      </c>
      <c r="AJ34" s="267" t="b">
        <f t="shared" si="15"/>
        <v>1</v>
      </c>
      <c r="AK34" s="267" t="b">
        <f t="shared" si="16"/>
        <v>0</v>
      </c>
      <c r="AL34" s="267"/>
      <c r="AM34" s="267"/>
      <c r="AN34" s="75"/>
    </row>
    <row r="35" spans="1:40" s="6" customFormat="1" ht="11.25" x14ac:dyDescent="0.2">
      <c r="A35" s="56">
        <f t="shared" si="17"/>
        <v>44582</v>
      </c>
      <c r="B35" s="618">
        <v>14.041</v>
      </c>
      <c r="C35" s="866"/>
      <c r="D35" s="395">
        <f t="shared" si="0"/>
        <v>14.461839890567891</v>
      </c>
      <c r="E35" s="387">
        <f t="shared" si="1"/>
        <v>16.204674405974426</v>
      </c>
      <c r="F35" s="387">
        <f t="shared" si="2"/>
        <v>16.890929824623914</v>
      </c>
      <c r="G35" s="110">
        <f t="shared" si="18"/>
        <v>0.72209454214299496</v>
      </c>
      <c r="H35" s="414" t="b">
        <f>Wh_hp&gt;='2021'!Maxi_hp</f>
        <v>1</v>
      </c>
      <c r="I35" s="382">
        <f>IF(H35,Wh_hp,'2021'!Maxi_hp)</f>
        <v>16.890929824623914</v>
      </c>
      <c r="J35" s="85">
        <f>IF(H35,An,'2021'!An_max)</f>
        <v>2022</v>
      </c>
      <c r="K35" s="199">
        <f t="shared" si="3"/>
        <v>44582</v>
      </c>
      <c r="L35" s="147">
        <f>IF(t&lt;Tvie,1-EXP((T0-t)*PertePVj)+'2021'!Pspv,1-EXP((T0-t)*PertePVj)+Pspv)</f>
        <v>2.9100024184499862E-2</v>
      </c>
      <c r="M35" s="870"/>
      <c r="N35" s="870"/>
      <c r="O35" s="48">
        <f>IF(t&lt;Tnet,'2021'!Resal+('2021'!Salim-'2021'!Resal)*(1-EXP(('2021'!Tnet-t)/('2021'!Tau_j))),Resal+(Salim-Resal)*(1-EXP((Tnet-t)/(Tau_j))))*Salcycl</f>
        <v>0.10755134424447169</v>
      </c>
      <c r="P35" s="341">
        <f>(INDEX(Models!$BJ35:$BT35,,T35)*(1-R35)+INDEX(Models!$BJ35:$BT35,,T35+1)*R35-ERP_i)*Q35*Ramure*Pc/MaxiM</f>
        <v>6.455386051067695E-2</v>
      </c>
      <c r="Q35" s="307">
        <f t="shared" si="4"/>
        <v>1</v>
      </c>
      <c r="R35" s="179">
        <f t="shared" si="5"/>
        <v>1.018000848053576E-3</v>
      </c>
      <c r="S35" s="837">
        <f t="shared" si="6"/>
        <v>0</v>
      </c>
      <c r="T35" s="178">
        <f t="shared" si="7"/>
        <v>6</v>
      </c>
      <c r="U35" s="253">
        <f t="shared" si="19"/>
        <v>1.018000848053576E-3</v>
      </c>
      <c r="V35" s="385">
        <f t="shared" si="8"/>
        <v>18.959898679950722</v>
      </c>
      <c r="W35" s="404"/>
      <c r="X35" s="157">
        <f t="shared" si="9"/>
        <v>44582</v>
      </c>
      <c r="Y35" s="387">
        <f t="shared" si="10"/>
        <v>13.419427448881837</v>
      </c>
      <c r="Z35" s="387">
        <f t="shared" si="20"/>
        <v>13.821637432435088</v>
      </c>
      <c r="AA35" s="388">
        <f t="shared" si="11"/>
        <v>16.204674405974426</v>
      </c>
      <c r="AB35" s="199">
        <f t="shared" si="12"/>
        <v>44582</v>
      </c>
      <c r="AC35" s="119">
        <f>IF(OR(t&lt;Tnet,NoTnet),'2021'!Resal_s+('2021'!Salim-'2021'!Resal_s)*(1-EXP(('2021'!Tnet_s-t)/'2021'!Tau_j)),Resal_s+(Salim-Resal_s)*(1-EXP((Tnet_s-t)/Tau_j)))*Salcycl</f>
        <v>0.14705861493031597</v>
      </c>
      <c r="AD35" s="233">
        <f>(INDEX(Models!$BJ35:$BT35,,AH35)*(1-AF35)+INDEX(Models!$BJ35:$BT35,,AH35+1)*AF35-ERP_i)*AE35*Ramure*Pc/MaxiM</f>
        <v>6.455386051067695E-2</v>
      </c>
      <c r="AE35" s="307">
        <f t="shared" si="13"/>
        <v>1</v>
      </c>
      <c r="AF35" s="179">
        <f t="shared" si="21"/>
        <v>1.018000848053576E-3</v>
      </c>
      <c r="AG35" s="837">
        <f t="shared" si="22"/>
        <v>0</v>
      </c>
      <c r="AH35" s="178">
        <f t="shared" si="14"/>
        <v>6</v>
      </c>
      <c r="AI35" s="227">
        <f t="shared" si="23"/>
        <v>1.018000848053576E-3</v>
      </c>
      <c r="AJ35" s="267" t="b">
        <f t="shared" si="15"/>
        <v>1</v>
      </c>
      <c r="AK35" s="267" t="b">
        <f t="shared" si="16"/>
        <v>0</v>
      </c>
      <c r="AL35" s="267"/>
      <c r="AM35" s="267"/>
      <c r="AN35" s="75"/>
    </row>
    <row r="36" spans="1:40" s="6" customFormat="1" ht="11.25" x14ac:dyDescent="0.2">
      <c r="A36" s="56">
        <f t="shared" si="17"/>
        <v>44583</v>
      </c>
      <c r="B36" s="618">
        <v>19.2</v>
      </c>
      <c r="C36" s="866"/>
      <c r="D36" s="395">
        <f t="shared" si="0"/>
        <v>19.775926769717273</v>
      </c>
      <c r="E36" s="387">
        <f t="shared" si="1"/>
        <v>22.163564415568025</v>
      </c>
      <c r="F36" s="387">
        <f t="shared" si="2"/>
        <v>23.662480027421342</v>
      </c>
      <c r="G36" s="110">
        <f t="shared" si="18"/>
        <v>0.99931921770378151</v>
      </c>
      <c r="H36" s="414" t="b">
        <f>Wh_hp&gt;='2021'!Maxi_hp</f>
        <v>1</v>
      </c>
      <c r="I36" s="382">
        <f>IF(H36,Wh_hp,'2021'!Maxi_hp)</f>
        <v>23.662480027421342</v>
      </c>
      <c r="J36" s="85">
        <f>IF(H36,An,'2021'!An_max)</f>
        <v>2022</v>
      </c>
      <c r="K36" s="199">
        <f t="shared" si="3"/>
        <v>44583</v>
      </c>
      <c r="L36" s="147">
        <f>IF(t&lt;Tvie,1-EXP((T0-t)*PertePVj)+'2021'!Pspv,1-EXP((T0-t)*PertePVj)+Pspv)</f>
        <v>2.9122618445330595E-2</v>
      </c>
      <c r="M36" s="870"/>
      <c r="N36" s="870"/>
      <c r="O36" s="48">
        <f>IF(t&lt;Tnet,'2021'!Resal+('2021'!Salim-'2021'!Resal)*(1-EXP(('2021'!Tnet-t)/('2021'!Tau_j))),Resal+(Salim-Resal)*(1-EXP((Tnet-t)/(Tau_j))))*Salcycl</f>
        <v>0.10772805317242388</v>
      </c>
      <c r="P36" s="341">
        <f>(INDEX(Models!$BJ36:$BT36,,T36)*(1-R36)+INDEX(Models!$BJ36:$BT36,,T36+1)*R36-ERP_i)*Q36*Ramure*Pc/MaxiM</f>
        <v>6.3401895805491909E-2</v>
      </c>
      <c r="Q36" s="307">
        <f t="shared" si="4"/>
        <v>1</v>
      </c>
      <c r="R36" s="179">
        <f t="shared" si="5"/>
        <v>1.1107072783485097E-3</v>
      </c>
      <c r="S36" s="837">
        <f t="shared" si="6"/>
        <v>0</v>
      </c>
      <c r="T36" s="178">
        <f t="shared" si="7"/>
        <v>6</v>
      </c>
      <c r="U36" s="253">
        <f t="shared" si="19"/>
        <v>1.1107072783485097E-3</v>
      </c>
      <c r="V36" s="385">
        <f t="shared" si="8"/>
        <v>19.211926561250262</v>
      </c>
      <c r="W36" s="404"/>
      <c r="X36" s="157">
        <f t="shared" si="9"/>
        <v>44583</v>
      </c>
      <c r="Y36" s="387">
        <f t="shared" si="10"/>
        <v>18.352805819598689</v>
      </c>
      <c r="Z36" s="387">
        <f t="shared" si="20"/>
        <v>18.903319995167955</v>
      </c>
      <c r="AA36" s="388">
        <f t="shared" si="11"/>
        <v>22.163564415568025</v>
      </c>
      <c r="AB36" s="199">
        <f t="shared" si="12"/>
        <v>44583</v>
      </c>
      <c r="AC36" s="119">
        <f>IF(OR(t&lt;Tnet,NoTnet),'2021'!Resal_s+('2021'!Salim-'2021'!Resal_s)*(1-EXP(('2021'!Tnet_s-t)/'2021'!Tau_j)),Resal_s+(Salim-Resal_s)*(1-EXP((Tnet_s-t)/Tau_j)))*Salcycl</f>
        <v>0.14709928237490641</v>
      </c>
      <c r="AD36" s="233">
        <f>(INDEX(Models!$BJ36:$BT36,,AH36)*(1-AF36)+INDEX(Models!$BJ36:$BT36,,AH36+1)*AF36-ERP_i)*AE36*Ramure*Pc/MaxiM</f>
        <v>6.3401895805491909E-2</v>
      </c>
      <c r="AE36" s="307">
        <f t="shared" si="13"/>
        <v>1</v>
      </c>
      <c r="AF36" s="179">
        <f t="shared" si="21"/>
        <v>1.1107072783485097E-3</v>
      </c>
      <c r="AG36" s="837">
        <f t="shared" si="22"/>
        <v>0</v>
      </c>
      <c r="AH36" s="178">
        <f t="shared" si="14"/>
        <v>6</v>
      </c>
      <c r="AI36" s="227">
        <f t="shared" si="23"/>
        <v>1.1107072783485097E-3</v>
      </c>
      <c r="AJ36" s="267" t="b">
        <f t="shared" si="15"/>
        <v>1</v>
      </c>
      <c r="AK36" s="267" t="b">
        <f t="shared" si="16"/>
        <v>0</v>
      </c>
      <c r="AL36" s="267"/>
      <c r="AM36" s="267"/>
      <c r="AN36" s="75"/>
    </row>
    <row r="37" spans="1:40" s="6" customFormat="1" ht="11.25" x14ac:dyDescent="0.2">
      <c r="A37" s="56">
        <f t="shared" si="17"/>
        <v>44584</v>
      </c>
      <c r="B37" s="618">
        <v>19.242000000000001</v>
      </c>
      <c r="C37" s="866"/>
      <c r="D37" s="395">
        <f t="shared" si="0"/>
        <v>19.819647841685949</v>
      </c>
      <c r="E37" s="387">
        <f t="shared" si="1"/>
        <v>22.216956408406936</v>
      </c>
      <c r="F37" s="387">
        <f t="shared" si="2"/>
        <v>23.66568550843968</v>
      </c>
      <c r="G37" s="110">
        <f t="shared" si="18"/>
        <v>0.98730372504134201</v>
      </c>
      <c r="H37" s="414" t="b">
        <f>Wh_hp&gt;='2021'!Maxi_hp</f>
        <v>1</v>
      </c>
      <c r="I37" s="382">
        <f>IF(H37,Wh_hp,'2021'!Maxi_hp)</f>
        <v>23.66568550843968</v>
      </c>
      <c r="J37" s="85">
        <f>IF(H37,An,'2021'!An_max)</f>
        <v>2022</v>
      </c>
      <c r="K37" s="199">
        <f t="shared" si="3"/>
        <v>44584</v>
      </c>
      <c r="L37" s="147">
        <f>IF(t&lt;Tvie,1-EXP((T0-t)*PertePVj)+'2021'!Pspv,1-EXP((T0-t)*PertePVj)+Pspv)</f>
        <v>2.9145212180359925E-2</v>
      </c>
      <c r="M37" s="870"/>
      <c r="N37" s="870"/>
      <c r="O37" s="48">
        <f>IF(t&lt;Tnet,'2021'!Resal+('2021'!Salim-'2021'!Resal)*(1-EXP(('2021'!Tnet-t)/('2021'!Tau_j))),Resal+(Salim-Resal)*(1-EXP((Tnet-t)/(Tau_j))))*Salcycl</f>
        <v>0.10790445471702147</v>
      </c>
      <c r="P37" s="341">
        <f>(INDEX(Models!$BJ37:$BT37,,T37)*(1-R37)+INDEX(Models!$BJ37:$BT37,,T37+1)*R37-ERP_i)*Q37*Ramure*Pc/MaxiM</f>
        <v>6.2248826007746297E-2</v>
      </c>
      <c r="Q37" s="307">
        <f t="shared" si="4"/>
        <v>1</v>
      </c>
      <c r="R37" s="179">
        <f t="shared" si="5"/>
        <v>1.2072767734367207E-3</v>
      </c>
      <c r="S37" s="837">
        <f t="shared" si="6"/>
        <v>0</v>
      </c>
      <c r="T37" s="178">
        <f t="shared" si="7"/>
        <v>6</v>
      </c>
      <c r="U37" s="253">
        <f t="shared" si="19"/>
        <v>1.2072767734367207E-3</v>
      </c>
      <c r="V37" s="385">
        <f t="shared" si="8"/>
        <v>19.468010744374745</v>
      </c>
      <c r="W37" s="404"/>
      <c r="X37" s="157">
        <f t="shared" si="9"/>
        <v>44584</v>
      </c>
      <c r="Y37" s="387">
        <f t="shared" si="10"/>
        <v>18.395706459487602</v>
      </c>
      <c r="Z37" s="387">
        <f t="shared" si="20"/>
        <v>18.947948437068483</v>
      </c>
      <c r="AA37" s="388">
        <f t="shared" si="11"/>
        <v>22.216956408406936</v>
      </c>
      <c r="AB37" s="199">
        <f t="shared" si="12"/>
        <v>44584</v>
      </c>
      <c r="AC37" s="119">
        <f>IF(OR(t&lt;Tnet,NoTnet),'2021'!Resal_s+('2021'!Salim-'2021'!Resal_s)*(1-EXP(('2021'!Tnet_s-t)/'2021'!Tau_j)),Resal_s+(Salim-Resal_s)*(1-EXP((Tnet_s-t)/Tau_j)))*Salcycl</f>
        <v>0.14714022529663223</v>
      </c>
      <c r="AD37" s="233">
        <f>(INDEX(Models!$BJ37:$BT37,,AH37)*(1-AF37)+INDEX(Models!$BJ37:$BT37,,AH37+1)*AF37-ERP_i)*AE37*Ramure*Pc/MaxiM</f>
        <v>6.2248826007746297E-2</v>
      </c>
      <c r="AE37" s="307">
        <f t="shared" si="13"/>
        <v>1</v>
      </c>
      <c r="AF37" s="179">
        <f t="shared" si="21"/>
        <v>1.2072767734367207E-3</v>
      </c>
      <c r="AG37" s="837">
        <f t="shared" si="22"/>
        <v>0</v>
      </c>
      <c r="AH37" s="178">
        <f t="shared" si="14"/>
        <v>6</v>
      </c>
      <c r="AI37" s="227">
        <f t="shared" si="23"/>
        <v>1.2072767734367207E-3</v>
      </c>
      <c r="AJ37" s="267" t="b">
        <f t="shared" si="15"/>
        <v>1</v>
      </c>
      <c r="AK37" s="267" t="b">
        <f t="shared" si="16"/>
        <v>0</v>
      </c>
      <c r="AL37" s="267"/>
      <c r="AM37" s="267"/>
      <c r="AN37" s="75"/>
    </row>
    <row r="38" spans="1:40" s="6" customFormat="1" ht="11.25" x14ac:dyDescent="0.2">
      <c r="A38" s="56">
        <f t="shared" si="17"/>
        <v>44585</v>
      </c>
      <c r="B38" s="618">
        <v>19.664000000000001</v>
      </c>
      <c r="C38" s="866"/>
      <c r="D38" s="395">
        <f t="shared" si="0"/>
        <v>20.254787706016764</v>
      </c>
      <c r="E38" s="387">
        <f t="shared" si="1"/>
        <v>22.709212087372332</v>
      </c>
      <c r="F38" s="387">
        <f t="shared" si="2"/>
        <v>24.178380916845647</v>
      </c>
      <c r="G38" s="110">
        <f t="shared" si="18"/>
        <v>0.99630916747718834</v>
      </c>
      <c r="H38" s="414" t="b">
        <f>Wh_hp&gt;='2021'!Maxi_hp</f>
        <v>1</v>
      </c>
      <c r="I38" s="382">
        <f>IF(H38,Wh_hp,'2021'!Maxi_hp)</f>
        <v>24.178380916845647</v>
      </c>
      <c r="J38" s="85">
        <f>IF(H38,An,'2021'!An_max)</f>
        <v>2022</v>
      </c>
      <c r="K38" s="199">
        <f t="shared" si="3"/>
        <v>44585</v>
      </c>
      <c r="L38" s="147">
        <f>IF(t&lt;Tvie,1-EXP((T0-t)*PertePVj)+'2021'!Pspv,1-EXP((T0-t)*PertePVj)+Pspv)</f>
        <v>2.9167805389600066E-2</v>
      </c>
      <c r="M38" s="870"/>
      <c r="N38" s="870"/>
      <c r="O38" s="48">
        <f>IF(t&lt;Tnet,'2021'!Resal+('2021'!Salim-'2021'!Resal)*(1-EXP(('2021'!Tnet-t)/('2021'!Tau_j))),Resal+(Salim-Resal)*(1-EXP((Tnet-t)/(Tau_j))))*Salcycl</f>
        <v>0.10808056095968092</v>
      </c>
      <c r="P38" s="341">
        <f>(INDEX(Models!$BJ38:$BT38,,T38)*(1-R38)+INDEX(Models!$BJ38:$BT38,,T38+1)*R38-ERP_i)*Q38*Ramure*Pc/MaxiM</f>
        <v>6.1058403826909073E-2</v>
      </c>
      <c r="Q38" s="307">
        <f t="shared" si="4"/>
        <v>1</v>
      </c>
      <c r="R38" s="179">
        <f t="shared" si="5"/>
        <v>1.3078691677579882E-3</v>
      </c>
      <c r="S38" s="837">
        <f t="shared" si="6"/>
        <v>0</v>
      </c>
      <c r="T38" s="178">
        <f t="shared" si="7"/>
        <v>6</v>
      </c>
      <c r="U38" s="253">
        <f t="shared" si="19"/>
        <v>1.3078691677579882E-3</v>
      </c>
      <c r="V38" s="385">
        <f t="shared" si="8"/>
        <v>19.730653389193666</v>
      </c>
      <c r="W38" s="404"/>
      <c r="X38" s="157">
        <f t="shared" si="9"/>
        <v>44585</v>
      </c>
      <c r="Y38" s="387">
        <f t="shared" si="10"/>
        <v>18.801949049142472</v>
      </c>
      <c r="Z38" s="387">
        <f t="shared" si="20"/>
        <v>19.366837187231717</v>
      </c>
      <c r="AA38" s="388">
        <f t="shared" si="11"/>
        <v>22.709212087372332</v>
      </c>
      <c r="AB38" s="199">
        <f t="shared" si="12"/>
        <v>44585</v>
      </c>
      <c r="AC38" s="119">
        <f>IF(OR(t&lt;Tnet,NoTnet),'2021'!Resal_s+('2021'!Salim-'2021'!Resal_s)*(1-EXP(('2021'!Tnet_s-t)/'2021'!Tau_j)),Resal_s+(Salim-Resal_s)*(1-EXP((Tnet_s-t)/Tau_j)))*Salcycl</f>
        <v>0.14718145602238555</v>
      </c>
      <c r="AD38" s="233">
        <f>(INDEX(Models!$BJ38:$BT38,,AH38)*(1-AF38)+INDEX(Models!$BJ38:$BT38,,AH38+1)*AF38-ERP_i)*AE38*Ramure*Pc/MaxiM</f>
        <v>6.1058403826909073E-2</v>
      </c>
      <c r="AE38" s="307">
        <f t="shared" si="13"/>
        <v>1</v>
      </c>
      <c r="AF38" s="179">
        <f t="shared" si="21"/>
        <v>1.3078691677579882E-3</v>
      </c>
      <c r="AG38" s="837">
        <f t="shared" si="22"/>
        <v>0</v>
      </c>
      <c r="AH38" s="178">
        <f t="shared" si="14"/>
        <v>6</v>
      </c>
      <c r="AI38" s="227">
        <f t="shared" si="23"/>
        <v>1.3078691677579882E-3</v>
      </c>
      <c r="AJ38" s="267" t="b">
        <f t="shared" si="15"/>
        <v>1</v>
      </c>
      <c r="AK38" s="267" t="b">
        <f t="shared" si="16"/>
        <v>0</v>
      </c>
      <c r="AL38" s="267"/>
      <c r="AM38" s="267"/>
      <c r="AN38" s="75"/>
    </row>
    <row r="39" spans="1:40" s="6" customFormat="1" ht="11.25" x14ac:dyDescent="0.2">
      <c r="A39" s="56">
        <f t="shared" si="17"/>
        <v>44586</v>
      </c>
      <c r="B39" s="618">
        <v>19.893000000000001</v>
      </c>
      <c r="C39" s="866"/>
      <c r="D39" s="395">
        <f t="shared" si="0"/>
        <v>20.491144669886722</v>
      </c>
      <c r="E39" s="387">
        <f t="shared" si="1"/>
        <v>22.978739934240171</v>
      </c>
      <c r="F39" s="387">
        <f t="shared" si="2"/>
        <v>24.429204367487987</v>
      </c>
      <c r="G39" s="110">
        <f t="shared" si="18"/>
        <v>0.99418608836439215</v>
      </c>
      <c r="H39" s="414" t="b">
        <f>Wh_hp&gt;='2021'!Maxi_hp</f>
        <v>1</v>
      </c>
      <c r="I39" s="382">
        <f>IF(H39,Wh_hp,'2021'!Maxi_hp)</f>
        <v>24.429204367487987</v>
      </c>
      <c r="J39" s="85">
        <f>IF(H39,An,'2021'!An_max)</f>
        <v>2022</v>
      </c>
      <c r="K39" s="199">
        <f t="shared" si="3"/>
        <v>44586</v>
      </c>
      <c r="L39" s="147">
        <f>IF(t&lt;Tvie,1-EXP((T0-t)*PertePVj)+'2021'!Pspv,1-EXP((T0-t)*PertePVj)+Pspv)</f>
        <v>2.9190398073063228E-2</v>
      </c>
      <c r="M39" s="870"/>
      <c r="N39" s="870"/>
      <c r="O39" s="48">
        <f>IF(t&lt;Tnet,'2021'!Resal+('2021'!Salim-'2021'!Resal)*(1-EXP(('2021'!Tnet-t)/('2021'!Tau_j))),Resal+(Salim-Resal)*(1-EXP((Tnet-t)/(Tau_j))))*Salcycl</f>
        <v>0.10825638270298407</v>
      </c>
      <c r="P39" s="341">
        <f>(INDEX(Models!$BJ39:$BT39,,T39)*(1-R39)+INDEX(Models!$BJ39:$BT39,,T39+1)*R39-ERP_i)*Q39*Ramure*Pc/MaxiM</f>
        <v>5.9829931408326632E-2</v>
      </c>
      <c r="Q39" s="307">
        <f t="shared" si="4"/>
        <v>1</v>
      </c>
      <c r="R39" s="179">
        <f t="shared" si="5"/>
        <v>1.4126508117295147E-3</v>
      </c>
      <c r="S39" s="837">
        <f t="shared" si="6"/>
        <v>0</v>
      </c>
      <c r="T39" s="178">
        <f t="shared" si="7"/>
        <v>6</v>
      </c>
      <c r="U39" s="253">
        <f t="shared" si="19"/>
        <v>1.4126508117295147E-3</v>
      </c>
      <c r="V39" s="385">
        <f t="shared" si="8"/>
        <v>19.999637979045694</v>
      </c>
      <c r="W39" s="404"/>
      <c r="X39" s="157">
        <f t="shared" si="9"/>
        <v>44586</v>
      </c>
      <c r="Y39" s="387">
        <f t="shared" si="10"/>
        <v>19.023733759768856</v>
      </c>
      <c r="Z39" s="387">
        <f t="shared" si="20"/>
        <v>19.595741247314717</v>
      </c>
      <c r="AA39" s="388">
        <f t="shared" si="11"/>
        <v>22.978739934240171</v>
      </c>
      <c r="AB39" s="199">
        <f t="shared" si="12"/>
        <v>44586</v>
      </c>
      <c r="AC39" s="119">
        <f>IF(OR(t&lt;Tnet,NoTnet),'2021'!Resal_s+('2021'!Salim-'2021'!Resal_s)*(1-EXP(('2021'!Tnet_s-t)/'2021'!Tau_j)),Resal_s+(Salim-Resal_s)*(1-EXP((Tnet_s-t)/Tau_j)))*Salcycl</f>
        <v>0.14722298509869608</v>
      </c>
      <c r="AD39" s="233">
        <f>(INDEX(Models!$BJ39:$BT39,,AH39)*(1-AF39)+INDEX(Models!$BJ39:$BT39,,AH39+1)*AF39-ERP_i)*AE39*Ramure*Pc/MaxiM</f>
        <v>5.9829931408326632E-2</v>
      </c>
      <c r="AE39" s="307">
        <f t="shared" si="13"/>
        <v>1</v>
      </c>
      <c r="AF39" s="179">
        <f t="shared" si="21"/>
        <v>1.4126508117295147E-3</v>
      </c>
      <c r="AG39" s="837">
        <f t="shared" si="22"/>
        <v>0</v>
      </c>
      <c r="AH39" s="178">
        <f t="shared" si="14"/>
        <v>6</v>
      </c>
      <c r="AI39" s="227">
        <f t="shared" si="23"/>
        <v>1.4126508117295147E-3</v>
      </c>
      <c r="AJ39" s="267" t="b">
        <f t="shared" si="15"/>
        <v>1</v>
      </c>
      <c r="AK39" s="267" t="b">
        <f t="shared" si="16"/>
        <v>0</v>
      </c>
      <c r="AL39" s="267"/>
      <c r="AM39" s="267"/>
      <c r="AN39" s="75"/>
    </row>
    <row r="40" spans="1:40" s="6" customFormat="1" ht="11.25" x14ac:dyDescent="0.2">
      <c r="A40" s="56">
        <f t="shared" si="17"/>
        <v>44587</v>
      </c>
      <c r="B40" s="618">
        <v>19.984000000000002</v>
      </c>
      <c r="C40" s="866"/>
      <c r="D40" s="395">
        <f t="shared" si="0"/>
        <v>20.5853599181867</v>
      </c>
      <c r="E40" s="387">
        <f t="shared" si="1"/>
        <v>23.088938009543647</v>
      </c>
      <c r="F40" s="387">
        <f t="shared" si="2"/>
        <v>24.494094497904509</v>
      </c>
      <c r="G40" s="110">
        <f t="shared" si="18"/>
        <v>0.98440943477622878</v>
      </c>
      <c r="H40" s="414" t="b">
        <f>Wh_hp&gt;='2021'!Maxi_hp</f>
        <v>1</v>
      </c>
      <c r="I40" s="382">
        <f>IF(H40,Wh_hp,'2021'!Maxi_hp)</f>
        <v>24.494094497904509</v>
      </c>
      <c r="J40" s="85">
        <f>IF(H40,An,'2021'!An_max)</f>
        <v>2022</v>
      </c>
      <c r="K40" s="199">
        <f t="shared" si="3"/>
        <v>44587</v>
      </c>
      <c r="L40" s="147">
        <f>IF(t&lt;Tvie,1-EXP((T0-t)*PertePVj)+'2021'!Pspv,1-EXP((T0-t)*PertePVj)+Pspv)</f>
        <v>2.9212990230761626E-2</v>
      </c>
      <c r="M40" s="870"/>
      <c r="N40" s="870"/>
      <c r="O40" s="48">
        <f>IF(t&lt;Tnet,'2021'!Resal+('2021'!Salim-'2021'!Resal)*(1-EXP(('2021'!Tnet-t)/('2021'!Tau_j))),Resal+(Salim-Resal)*(1-EXP((Tnet-t)/(Tau_j))))*Salcycl</f>
        <v>0.10843192919146434</v>
      </c>
      <c r="P40" s="341">
        <f>(INDEX(Models!$BJ40:$BT40,,T40)*(1-R40)+INDEX(Models!$BJ40:$BT40,,T40+1)*R40-ERP_i)*Q40*Ramure*Pc/MaxiM</f>
        <v>5.8566626599095145E-2</v>
      </c>
      <c r="Q40" s="307">
        <f t="shared" si="4"/>
        <v>1</v>
      </c>
      <c r="R40" s="179">
        <f t="shared" si="5"/>
        <v>1.5217948290792507E-3</v>
      </c>
      <c r="S40" s="837">
        <f t="shared" si="6"/>
        <v>0</v>
      </c>
      <c r="T40" s="178">
        <f t="shared" si="7"/>
        <v>6</v>
      </c>
      <c r="U40" s="253">
        <f t="shared" si="19"/>
        <v>1.5217948290792507E-3</v>
      </c>
      <c r="V40" s="385">
        <f t="shared" si="8"/>
        <v>20.274664422853103</v>
      </c>
      <c r="W40" s="404"/>
      <c r="X40" s="157">
        <f t="shared" si="9"/>
        <v>44587</v>
      </c>
      <c r="Y40" s="387">
        <f t="shared" si="10"/>
        <v>19.113582435924226</v>
      </c>
      <c r="Z40" s="387">
        <f t="shared" si="20"/>
        <v>19.68874968822217</v>
      </c>
      <c r="AA40" s="388">
        <f t="shared" si="11"/>
        <v>23.088938009543647</v>
      </c>
      <c r="AB40" s="199">
        <f t="shared" si="12"/>
        <v>44587</v>
      </c>
      <c r="AC40" s="119">
        <f>IF(OR(t&lt;Tnet,NoTnet),'2021'!Resal_s+('2021'!Salim-'2021'!Resal_s)*(1-EXP(('2021'!Tnet_s-t)/'2021'!Tau_j)),Resal_s+(Salim-Resal_s)*(1-EXP((Tnet_s-t)/Tau_j)))*Salcycl</f>
        <v>0.14726482092489634</v>
      </c>
      <c r="AD40" s="233">
        <f>(INDEX(Models!$BJ40:$BT40,,AH40)*(1-AF40)+INDEX(Models!$BJ40:$BT40,,AH40+1)*AF40-ERP_i)*AE40*Ramure*Pc/MaxiM</f>
        <v>5.8566626599095145E-2</v>
      </c>
      <c r="AE40" s="307">
        <f t="shared" si="13"/>
        <v>1</v>
      </c>
      <c r="AF40" s="179">
        <f t="shared" si="21"/>
        <v>1.5217948290792507E-3</v>
      </c>
      <c r="AG40" s="837">
        <f t="shared" si="22"/>
        <v>0</v>
      </c>
      <c r="AH40" s="178">
        <f t="shared" si="14"/>
        <v>6</v>
      </c>
      <c r="AI40" s="227">
        <f t="shared" si="23"/>
        <v>1.5217948290792507E-3</v>
      </c>
      <c r="AJ40" s="267" t="b">
        <f t="shared" si="15"/>
        <v>1</v>
      </c>
      <c r="AK40" s="267" t="b">
        <f t="shared" si="16"/>
        <v>0</v>
      </c>
      <c r="AL40" s="267"/>
      <c r="AM40" s="267"/>
      <c r="AN40" s="75"/>
    </row>
    <row r="41" spans="1:40" s="6" customFormat="1" ht="11.25" x14ac:dyDescent="0.2">
      <c r="A41" s="56">
        <f t="shared" si="17"/>
        <v>44588</v>
      </c>
      <c r="B41" s="618">
        <v>19.498999999999999</v>
      </c>
      <c r="C41" s="866"/>
      <c r="D41" s="395">
        <f t="shared" si="0"/>
        <v>20.086232700426716</v>
      </c>
      <c r="E41" s="387">
        <f t="shared" si="1"/>
        <v>22.533537266315772</v>
      </c>
      <c r="F41" s="387">
        <f t="shared" si="2"/>
        <v>23.796328277938077</v>
      </c>
      <c r="G41" s="110">
        <f t="shared" si="18"/>
        <v>0.94439333376899515</v>
      </c>
      <c r="H41" s="414" t="b">
        <f>Wh_hp&gt;='2021'!Maxi_hp</f>
        <v>1</v>
      </c>
      <c r="I41" s="382">
        <f>IF(H41,Wh_hp,'2021'!Maxi_hp)</f>
        <v>23.796328277938077</v>
      </c>
      <c r="J41" s="85">
        <f>IF(H41,An,'2021'!An_max)</f>
        <v>2022</v>
      </c>
      <c r="K41" s="199">
        <f t="shared" si="3"/>
        <v>44588</v>
      </c>
      <c r="L41" s="147">
        <f>IF(t&lt;Tvie,1-EXP((T0-t)*PertePVj)+'2021'!Pspv,1-EXP((T0-t)*PertePVj)+Pspv)</f>
        <v>2.9235581862707472E-2</v>
      </c>
      <c r="M41" s="870"/>
      <c r="N41" s="870"/>
      <c r="O41" s="48">
        <f>IF(t&lt;Tnet,'2021'!Resal+('2021'!Salim-'2021'!Resal)*(1-EXP(('2021'!Tnet-t)/('2021'!Tau_j))),Resal+(Salim-Resal)*(1-EXP((Tnet-t)/(Tau_j))))*Salcycl</f>
        <v>0.10860720786822078</v>
      </c>
      <c r="P41" s="341">
        <f>(INDEX(Models!$BJ41:$BT41,,T41)*(1-R41)+INDEX(Models!$BJ41:$BT41,,T41+1)*R41-ERP_i)*Q41*Ramure*Pc/MaxiM</f>
        <v>5.7271536411004298E-2</v>
      </c>
      <c r="Q41" s="307">
        <f t="shared" si="4"/>
        <v>1</v>
      </c>
      <c r="R41" s="179">
        <f t="shared" si="5"/>
        <v>1.6354813836296899E-3</v>
      </c>
      <c r="S41" s="837">
        <f t="shared" si="6"/>
        <v>0</v>
      </c>
      <c r="T41" s="178">
        <f t="shared" si="7"/>
        <v>6</v>
      </c>
      <c r="U41" s="253">
        <f t="shared" si="19"/>
        <v>1.6354813836296899E-3</v>
      </c>
      <c r="V41" s="385">
        <f t="shared" si="8"/>
        <v>20.555432833550736</v>
      </c>
      <c r="W41" s="404"/>
      <c r="X41" s="157">
        <f t="shared" si="9"/>
        <v>44588</v>
      </c>
      <c r="Y41" s="387">
        <f t="shared" si="10"/>
        <v>18.652452150944821</v>
      </c>
      <c r="Z41" s="387">
        <f t="shared" si="20"/>
        <v>19.214190180904279</v>
      </c>
      <c r="AA41" s="388">
        <f t="shared" si="11"/>
        <v>22.533537266315772</v>
      </c>
      <c r="AB41" s="199">
        <f t="shared" si="12"/>
        <v>44588</v>
      </c>
      <c r="AC41" s="119">
        <f>IF(OR(t&lt;Tnet,NoTnet),'2021'!Resal_s+('2021'!Salim-'2021'!Resal_s)*(1-EXP(('2021'!Tnet_s-t)/'2021'!Tau_j)),Resal_s+(Salim-Resal_s)*(1-EXP((Tnet_s-t)/Tau_j)))*Salcycl</f>
        <v>0.14730696943765742</v>
      </c>
      <c r="AD41" s="233">
        <f>(INDEX(Models!$BJ41:$BT41,,AH41)*(1-AF41)+INDEX(Models!$BJ41:$BT41,,AH41+1)*AF41-ERP_i)*AE41*Ramure*Pc/MaxiM</f>
        <v>5.7271536411004298E-2</v>
      </c>
      <c r="AE41" s="307">
        <f t="shared" si="13"/>
        <v>1</v>
      </c>
      <c r="AF41" s="179">
        <f t="shared" si="21"/>
        <v>1.6354813836296899E-3</v>
      </c>
      <c r="AG41" s="837">
        <f t="shared" si="22"/>
        <v>0</v>
      </c>
      <c r="AH41" s="178">
        <f t="shared" si="14"/>
        <v>6</v>
      </c>
      <c r="AI41" s="227">
        <f t="shared" si="23"/>
        <v>1.6354813836296899E-3</v>
      </c>
      <c r="AJ41" s="267" t="b">
        <f t="shared" si="15"/>
        <v>1</v>
      </c>
      <c r="AK41" s="267" t="b">
        <f t="shared" si="16"/>
        <v>0</v>
      </c>
      <c r="AL41" s="267"/>
      <c r="AM41" s="267"/>
      <c r="AN41" s="75"/>
    </row>
    <row r="42" spans="1:40" s="6" customFormat="1" ht="11.25" x14ac:dyDescent="0.2">
      <c r="A42" s="56">
        <f t="shared" si="17"/>
        <v>44589</v>
      </c>
      <c r="B42" s="618">
        <v>4.0780000000000003</v>
      </c>
      <c r="C42" s="866"/>
      <c r="D42" s="395">
        <f t="shared" si="0"/>
        <v>4.2009109800822531</v>
      </c>
      <c r="E42" s="387">
        <f t="shared" si="1"/>
        <v>4.7136750343282277</v>
      </c>
      <c r="F42" s="387">
        <f t="shared" si="2"/>
        <v>4.7136750343282277</v>
      </c>
      <c r="G42" s="110">
        <f t="shared" si="18"/>
        <v>0.18471892302980761</v>
      </c>
      <c r="H42" s="414" t="b">
        <f>Wh_hp&gt;='2021'!Maxi_hp</f>
        <v>0</v>
      </c>
      <c r="I42" s="382">
        <f>IF(H42,Wh_hp,'2021'!Maxi_hp)</f>
        <v>17.198833933173557</v>
      </c>
      <c r="J42" s="85">
        <f>IF(H42,An,'2021'!An_max)</f>
        <v>2020</v>
      </c>
      <c r="K42" s="199">
        <f t="shared" si="3"/>
        <v>44589</v>
      </c>
      <c r="L42" s="147">
        <f>IF(t&lt;Tvie,1-EXP((T0-t)*PertePVj)+'2021'!Pspv,1-EXP((T0-t)*PertePVj)+Pspv)</f>
        <v>2.9258172968913088E-2</v>
      </c>
      <c r="M42" s="870"/>
      <c r="N42" s="870"/>
      <c r="O42" s="48">
        <f>IF(t&lt;Tnet,'2021'!Resal+('2021'!Salim-'2021'!Resal)*(1-EXP(('2021'!Tnet-t)/('2021'!Tau_j))),Resal+(Salim-Resal)*(1-EXP((Tnet-t)/(Tau_j))))*Salcycl</f>
        <v>0.10878222416939509</v>
      </c>
      <c r="P42" s="341">
        <f>(INDEX(Models!$BJ42:$BT42,,T42)*(1-R42)+INDEX(Models!$BJ42:$BT42,,T42+1)*R42-ERP_i)*Q42*Ramure*Pc/MaxiM</f>
        <v>5.5947535651898132E-2</v>
      </c>
      <c r="Q42" s="307">
        <f t="shared" si="4"/>
        <v>1</v>
      </c>
      <c r="R42" s="179">
        <f t="shared" si="5"/>
        <v>1.7538979558140229E-3</v>
      </c>
      <c r="S42" s="837">
        <f t="shared" si="6"/>
        <v>0</v>
      </c>
      <c r="T42" s="178">
        <f t="shared" si="7"/>
        <v>6</v>
      </c>
      <c r="U42" s="253">
        <f t="shared" si="19"/>
        <v>1.7538979558140229E-3</v>
      </c>
      <c r="V42" s="385">
        <f t="shared" si="8"/>
        <v>20.841643543960679</v>
      </c>
      <c r="W42" s="404"/>
      <c r="X42" s="157">
        <f t="shared" si="9"/>
        <v>44589</v>
      </c>
      <c r="Y42" s="387">
        <f t="shared" si="10"/>
        <v>3.9015256462121117</v>
      </c>
      <c r="Z42" s="387">
        <f t="shared" si="20"/>
        <v>4.0191176866711542</v>
      </c>
      <c r="AA42" s="388">
        <f t="shared" si="11"/>
        <v>4.7136750343282277</v>
      </c>
      <c r="AB42" s="199">
        <f t="shared" si="12"/>
        <v>44589</v>
      </c>
      <c r="AC42" s="119">
        <f>IF(OR(t&lt;Tnet,NoTnet),'2021'!Resal_s+('2021'!Salim-'2021'!Resal_s)*(1-EXP(('2021'!Tnet_s-t)/'2021'!Tau_j)),Resal_s+(Salim-Resal_s)*(1-EXP((Tnet_s-t)/Tau_j)))*Salcycl</f>
        <v>0.14734943384913651</v>
      </c>
      <c r="AD42" s="233">
        <f>(INDEX(Models!$BJ42:$BT42,,AH42)*(1-AF42)+INDEX(Models!$BJ42:$BT42,,AH42+1)*AF42-ERP_i)*AE42*Ramure*Pc/MaxiM</f>
        <v>5.5947535651898132E-2</v>
      </c>
      <c r="AE42" s="307">
        <f t="shared" si="13"/>
        <v>1</v>
      </c>
      <c r="AF42" s="179">
        <f t="shared" si="21"/>
        <v>1.7538979558140229E-3</v>
      </c>
      <c r="AG42" s="837">
        <f t="shared" si="22"/>
        <v>0</v>
      </c>
      <c r="AH42" s="178">
        <f t="shared" si="14"/>
        <v>6</v>
      </c>
      <c r="AI42" s="227">
        <f t="shared" si="23"/>
        <v>1.7538979558140229E-3</v>
      </c>
      <c r="AJ42" s="267" t="b">
        <f t="shared" si="15"/>
        <v>1</v>
      </c>
      <c r="AK42" s="267" t="b">
        <f t="shared" si="16"/>
        <v>0</v>
      </c>
      <c r="AL42" s="267"/>
      <c r="AM42" s="267"/>
      <c r="AN42" s="75"/>
    </row>
    <row r="43" spans="1:40" s="6" customFormat="1" ht="11.25" x14ac:dyDescent="0.2">
      <c r="A43" s="56">
        <f t="shared" si="17"/>
        <v>44590</v>
      </c>
      <c r="B43" s="618">
        <v>6.3760000000000003</v>
      </c>
      <c r="C43" s="866"/>
      <c r="D43" s="395">
        <f t="shared" si="0"/>
        <v>6.5683255884714455</v>
      </c>
      <c r="E43" s="387">
        <f t="shared" si="1"/>
        <v>7.3715022182461531</v>
      </c>
      <c r="F43" s="387">
        <f t="shared" si="2"/>
        <v>7.3724845172264093</v>
      </c>
      <c r="G43" s="110">
        <f t="shared" si="18"/>
        <v>0.28527381427885323</v>
      </c>
      <c r="H43" s="414" t="b">
        <f>Wh_hp&gt;='2021'!Maxi_hp</f>
        <v>0</v>
      </c>
      <c r="I43" s="382">
        <f>IF(H43,Wh_hp,'2021'!Maxi_hp)</f>
        <v>20.008035676598013</v>
      </c>
      <c r="J43" s="85">
        <f>IF(H43,An,'2021'!An_max)</f>
        <v>2020</v>
      </c>
      <c r="K43" s="199">
        <f t="shared" si="3"/>
        <v>44590</v>
      </c>
      <c r="L43" s="147">
        <f>IF(t&lt;Tvie,1-EXP((T0-t)*PertePVj)+'2021'!Pspv,1-EXP((T0-t)*PertePVj)+Pspv)</f>
        <v>2.9280763549390687E-2</v>
      </c>
      <c r="M43" s="870"/>
      <c r="N43" s="870"/>
      <c r="O43" s="48">
        <f>IF(t&lt;Tnet,'2021'!Resal+('2021'!Salim-'2021'!Resal)*(1-EXP(('2021'!Tnet-t)/('2021'!Tau_j))),Resal+(Salim-Resal)*(1-EXP((Tnet-t)/(Tau_j))))*Salcycl</f>
        <v>0.10895698135810925</v>
      </c>
      <c r="P43" s="341">
        <f>(INDEX(Models!$BJ43:$BT43,,T43)*(1-R43)+INDEX(Models!$BJ43:$BT43,,T43+1)*R43-ERP_i)*Q43*Ramure*Pc/MaxiM</f>
        <v>5.4597326980606556E-2</v>
      </c>
      <c r="Q43" s="307">
        <f t="shared" si="4"/>
        <v>1</v>
      </c>
      <c r="R43" s="179">
        <f t="shared" si="5"/>
        <v>1.8772396292134055E-3</v>
      </c>
      <c r="S43" s="837">
        <f t="shared" si="6"/>
        <v>0</v>
      </c>
      <c r="T43" s="178">
        <f t="shared" si="7"/>
        <v>6</v>
      </c>
      <c r="U43" s="253">
        <f t="shared" si="19"/>
        <v>1.8772396292134055E-3</v>
      </c>
      <c r="V43" s="385">
        <f t="shared" si="8"/>
        <v>21.132997125173194</v>
      </c>
      <c r="W43" s="404"/>
      <c r="X43" s="157">
        <f t="shared" si="9"/>
        <v>44590</v>
      </c>
      <c r="Y43" s="387">
        <f t="shared" si="10"/>
        <v>6.1009705782937065</v>
      </c>
      <c r="Z43" s="387">
        <f t="shared" si="20"/>
        <v>6.2850001825467343</v>
      </c>
      <c r="AA43" s="388">
        <f t="shared" si="11"/>
        <v>7.3715022182461531</v>
      </c>
      <c r="AB43" s="199">
        <f t="shared" si="12"/>
        <v>44590</v>
      </c>
      <c r="AC43" s="119">
        <f>IF(OR(t&lt;Tnet,NoTnet),'2021'!Resal_s+('2021'!Salim-'2021'!Resal_s)*(1-EXP(('2021'!Tnet_s-t)/'2021'!Tau_j)),Resal_s+(Salim-Resal_s)*(1-EXP((Tnet_s-t)/Tau_j)))*Salcycl</f>
        <v>0.14739221444037248</v>
      </c>
      <c r="AD43" s="233">
        <f>(INDEX(Models!$BJ43:$BT43,,AH43)*(1-AF43)+INDEX(Models!$BJ43:$BT43,,AH43+1)*AF43-ERP_i)*AE43*Ramure*Pc/MaxiM</f>
        <v>5.4597326980606556E-2</v>
      </c>
      <c r="AE43" s="307">
        <f t="shared" si="13"/>
        <v>1</v>
      </c>
      <c r="AF43" s="179">
        <f t="shared" si="21"/>
        <v>1.8772396292134055E-3</v>
      </c>
      <c r="AG43" s="837">
        <f t="shared" si="22"/>
        <v>0</v>
      </c>
      <c r="AH43" s="178">
        <f t="shared" si="14"/>
        <v>6</v>
      </c>
      <c r="AI43" s="227">
        <f t="shared" si="23"/>
        <v>1.8772396292134055E-3</v>
      </c>
      <c r="AJ43" s="267" t="b">
        <f t="shared" si="15"/>
        <v>1</v>
      </c>
      <c r="AK43" s="267" t="b">
        <f t="shared" si="16"/>
        <v>0</v>
      </c>
      <c r="AL43" s="267"/>
      <c r="AM43" s="267"/>
      <c r="AN43" s="75"/>
    </row>
    <row r="44" spans="1:40" s="6" customFormat="1" ht="11.25" x14ac:dyDescent="0.2">
      <c r="A44" s="56">
        <f t="shared" si="17"/>
        <v>44591</v>
      </c>
      <c r="B44" s="618">
        <v>4.6399999999999997</v>
      </c>
      <c r="C44" s="866"/>
      <c r="D44" s="395">
        <f t="shared" si="0"/>
        <v>4.7800721442977148</v>
      </c>
      <c r="E44" s="387">
        <f t="shared" si="1"/>
        <v>5.3656314474314293</v>
      </c>
      <c r="F44" s="387">
        <f t="shared" si="2"/>
        <v>5.3656314474314293</v>
      </c>
      <c r="G44" s="110">
        <f t="shared" si="18"/>
        <v>0.20500272408814935</v>
      </c>
      <c r="H44" s="414" t="b">
        <f>Wh_hp&gt;='2021'!Maxi_hp</f>
        <v>0</v>
      </c>
      <c r="I44" s="382">
        <f>IF(H44,Wh_hp,'2021'!Maxi_hp)</f>
        <v>10.958880369584882</v>
      </c>
      <c r="J44" s="85">
        <f>IF(H44,An,'2021'!An_max)</f>
        <v>2020</v>
      </c>
      <c r="K44" s="199">
        <f t="shared" si="3"/>
        <v>44591</v>
      </c>
      <c r="L44" s="147">
        <f>IF(t&lt;Tvie,1-EXP((T0-t)*PertePVj)+'2021'!Pspv,1-EXP((T0-t)*PertePVj)+Pspv)</f>
        <v>2.9303353604152371E-2</v>
      </c>
      <c r="M44" s="870"/>
      <c r="N44" s="870"/>
      <c r="O44" s="48">
        <f>IF(t&lt;Tnet,'2021'!Resal+('2021'!Salim-'2021'!Resal)*(1-EXP(('2021'!Tnet-t)/('2021'!Tau_j))),Resal+(Salim-Resal)*(1-EXP((Tnet-t)/(Tau_j))))*Salcycl</f>
        <v>0.10913148039901742</v>
      </c>
      <c r="P44" s="341">
        <f>(INDEX(Models!$BJ44:$BT44,,T44)*(1-R44)+INDEX(Models!$BJ44:$BT44,,T44+1)*R44-ERP_i)*Q44*Ramure*Pc/MaxiM</f>
        <v>5.3197267753063708E-2</v>
      </c>
      <c r="Q44" s="307">
        <f t="shared" si="4"/>
        <v>1</v>
      </c>
      <c r="R44" s="179">
        <f t="shared" si="5"/>
        <v>2.0057093874042658E-3</v>
      </c>
      <c r="S44" s="837">
        <f t="shared" si="6"/>
        <v>0</v>
      </c>
      <c r="T44" s="178">
        <f t="shared" si="7"/>
        <v>6</v>
      </c>
      <c r="U44" s="253">
        <f t="shared" si="19"/>
        <v>2.0057093874042658E-3</v>
      </c>
      <c r="V44" s="385">
        <f t="shared" si="8"/>
        <v>21.429786834133786</v>
      </c>
      <c r="W44" s="404"/>
      <c r="X44" s="157">
        <f t="shared" si="9"/>
        <v>44591</v>
      </c>
      <c r="Y44" s="387">
        <f t="shared" si="10"/>
        <v>4.440498324876275</v>
      </c>
      <c r="Z44" s="387">
        <f t="shared" si="20"/>
        <v>4.5745479201598593</v>
      </c>
      <c r="AA44" s="388">
        <f t="shared" si="11"/>
        <v>5.3656314474314293</v>
      </c>
      <c r="AB44" s="199">
        <f t="shared" si="12"/>
        <v>44591</v>
      </c>
      <c r="AC44" s="119">
        <f>IF(OR(t&lt;Tnet,NoTnet),'2021'!Resal_s+('2021'!Salim-'2021'!Resal_s)*(1-EXP(('2021'!Tnet_s-t)/'2021'!Tau_j)),Resal_s+(Salim-Resal_s)*(1-EXP((Tnet_s-t)/Tau_j)))*Salcycl</f>
        <v>0.14743530841095462</v>
      </c>
      <c r="AD44" s="233">
        <f>(INDEX(Models!$BJ44:$BT44,,AH44)*(1-AF44)+INDEX(Models!$BJ44:$BT44,,AH44+1)*AF44-ERP_i)*AE44*Ramure*Pc/MaxiM</f>
        <v>5.3197267753063708E-2</v>
      </c>
      <c r="AE44" s="307">
        <f t="shared" si="13"/>
        <v>1</v>
      </c>
      <c r="AF44" s="179">
        <f t="shared" si="21"/>
        <v>2.0057093874042658E-3</v>
      </c>
      <c r="AG44" s="837">
        <f t="shared" si="22"/>
        <v>0</v>
      </c>
      <c r="AH44" s="178">
        <f t="shared" si="14"/>
        <v>6</v>
      </c>
      <c r="AI44" s="227">
        <f t="shared" si="23"/>
        <v>2.0057093874042658E-3</v>
      </c>
      <c r="AJ44" s="267" t="b">
        <f t="shared" si="15"/>
        <v>1</v>
      </c>
      <c r="AK44" s="267" t="b">
        <f t="shared" si="16"/>
        <v>0</v>
      </c>
      <c r="AL44" s="267"/>
      <c r="AM44" s="267"/>
      <c r="AN44" s="75"/>
    </row>
    <row r="45" spans="1:40" s="6" customFormat="1" ht="11.25" x14ac:dyDescent="0.2">
      <c r="A45" s="56">
        <f t="shared" si="17"/>
        <v>44592</v>
      </c>
      <c r="B45" s="618">
        <v>10.402000000000001</v>
      </c>
      <c r="C45" s="866"/>
      <c r="D45" s="395">
        <f t="shared" si="0"/>
        <v>10.716264565240689</v>
      </c>
      <c r="E45" s="387">
        <f t="shared" si="1"/>
        <v>12.031361157643063</v>
      </c>
      <c r="F45" s="387">
        <f t="shared" si="2"/>
        <v>12.192462051221067</v>
      </c>
      <c r="G45" s="110">
        <f t="shared" si="18"/>
        <v>0.45996210785051556</v>
      </c>
      <c r="H45" s="414" t="b">
        <f>Wh_hp&gt;='2021'!Maxi_hp</f>
        <v>0</v>
      </c>
      <c r="I45" s="382">
        <f>IF(H45,Wh_hp,'2021'!Maxi_hp)</f>
        <v>19.380623642476806</v>
      </c>
      <c r="J45" s="85">
        <f>IF(H45,An,'2021'!An_max)</f>
        <v>2020</v>
      </c>
      <c r="K45" s="199">
        <f t="shared" si="3"/>
        <v>44592</v>
      </c>
      <c r="L45" s="147">
        <f>IF(t&lt;Tvie,1-EXP((T0-t)*PertePVj)+'2021'!Pspv,1-EXP((T0-t)*PertePVj)+Pspv)</f>
        <v>2.9325943133210575E-2</v>
      </c>
      <c r="M45" s="870"/>
      <c r="N45" s="870"/>
      <c r="O45" s="48">
        <f>IF(t&lt;Tnet,'2021'!Resal+('2021'!Salim-'2021'!Resal)*(1-EXP(('2021'!Tnet-t)/('2021'!Tau_j))),Resal+(Salim-Resal)*(1-EXP((Tnet-t)/(Tau_j))))*Salcycl</f>
        <v>0.10930571987417605</v>
      </c>
      <c r="P45" s="341">
        <f>(INDEX(Models!$BJ45:$BT45,,T45)*(1-R45)+INDEX(Models!$BJ45:$BT45,,T45+1)*R45-ERP_i)*Q45*Ramure*Pc/MaxiM</f>
        <v>5.1768628847773515E-2</v>
      </c>
      <c r="Q45" s="307">
        <f t="shared" si="4"/>
        <v>1</v>
      </c>
      <c r="R45" s="179">
        <f t="shared" si="5"/>
        <v>2.1395184214063503E-3</v>
      </c>
      <c r="S45" s="837">
        <f t="shared" si="6"/>
        <v>0</v>
      </c>
      <c r="T45" s="178">
        <f t="shared" si="7"/>
        <v>6</v>
      </c>
      <c r="U45" s="253">
        <f t="shared" si="19"/>
        <v>2.1395184214063503E-3</v>
      </c>
      <c r="V45" s="385">
        <f t="shared" si="8"/>
        <v>21.73130274624382</v>
      </c>
      <c r="W45" s="404"/>
      <c r="X45" s="157">
        <f t="shared" si="9"/>
        <v>44592</v>
      </c>
      <c r="Y45" s="387">
        <f t="shared" si="10"/>
        <v>9.9561955866155678</v>
      </c>
      <c r="Z45" s="387">
        <f t="shared" si="20"/>
        <v>10.256991537151906</v>
      </c>
      <c r="AA45" s="388">
        <f t="shared" si="11"/>
        <v>12.031361157643063</v>
      </c>
      <c r="AB45" s="199">
        <f t="shared" si="12"/>
        <v>44592</v>
      </c>
      <c r="AC45" s="119">
        <f>IF(OR(t&lt;Tnet,NoTnet),'2021'!Resal_s+('2021'!Salim-'2021'!Resal_s)*(1-EXP(('2021'!Tnet_s-t)/'2021'!Tau_j)),Resal_s+(Salim-Resal_s)*(1-EXP((Tnet_s-t)/Tau_j)))*Salcycl</f>
        <v>0.14747870978538188</v>
      </c>
      <c r="AD45" s="233">
        <f>(INDEX(Models!$BJ45:$BT45,,AH45)*(1-AF45)+INDEX(Models!$BJ45:$BT45,,AH45+1)*AF45-ERP_i)*AE45*Ramure*Pc/MaxiM</f>
        <v>5.1768628847773515E-2</v>
      </c>
      <c r="AE45" s="307">
        <f t="shared" si="13"/>
        <v>1</v>
      </c>
      <c r="AF45" s="179">
        <f t="shared" si="21"/>
        <v>2.1395184214063503E-3</v>
      </c>
      <c r="AG45" s="837">
        <f t="shared" si="22"/>
        <v>0</v>
      </c>
      <c r="AH45" s="178">
        <f t="shared" si="14"/>
        <v>6</v>
      </c>
      <c r="AI45" s="227">
        <f t="shared" si="23"/>
        <v>2.1395184214063503E-3</v>
      </c>
      <c r="AJ45" s="267" t="b">
        <f t="shared" si="15"/>
        <v>1</v>
      </c>
      <c r="AK45" s="267" t="b">
        <f t="shared" si="16"/>
        <v>0</v>
      </c>
      <c r="AL45" s="267"/>
      <c r="AM45" s="267"/>
      <c r="AN45" s="75"/>
    </row>
    <row r="46" spans="1:40" s="6" customFormat="1" ht="11.25" x14ac:dyDescent="0.2">
      <c r="A46" s="56">
        <f t="shared" si="17"/>
        <v>44593</v>
      </c>
      <c r="B46" s="618">
        <v>10.226000000000001</v>
      </c>
      <c r="C46" s="866"/>
      <c r="D46" s="395">
        <f t="shared" si="0"/>
        <v>10.535192433705637</v>
      </c>
      <c r="E46" s="387">
        <f t="shared" si="1"/>
        <v>11.830378696229678</v>
      </c>
      <c r="F46" s="387">
        <f t="shared" si="2"/>
        <v>11.971524869952926</v>
      </c>
      <c r="G46" s="110">
        <f t="shared" si="18"/>
        <v>0.44594302521600893</v>
      </c>
      <c r="H46" s="414" t="b">
        <f>Wh_hp&gt;='2021'!Maxi_hp</f>
        <v>0</v>
      </c>
      <c r="I46" s="382">
        <f>IF(H46,Wh_hp,'2021'!Maxi_hp)</f>
        <v>21.672609398761253</v>
      </c>
      <c r="J46" s="85">
        <f>IF(H46,An,'2021'!An_max)</f>
        <v>2019</v>
      </c>
      <c r="K46" s="199">
        <f t="shared" si="3"/>
        <v>44593</v>
      </c>
      <c r="L46" s="147">
        <f>IF(t&lt;Tvie,1-EXP((T0-t)*PertePVj)+'2021'!Pspv,1-EXP((T0-t)*PertePVj)+Pspv)</f>
        <v>2.9348532136577399E-2</v>
      </c>
      <c r="M46" s="870"/>
      <c r="N46" s="870"/>
      <c r="O46" s="48">
        <f>IF(t&lt;Tnet,'2021'!Resal+('2021'!Salim-'2021'!Resal)*(1-EXP(('2021'!Tnet-t)/('2021'!Tau_j))),Resal+(Salim-Resal)*(1-EXP((Tnet-t)/(Tau_j))))*Salcycl</f>
        <v>0.10947969594048709</v>
      </c>
      <c r="P46" s="341">
        <f>(INDEX(Models!$BJ46:$BT46,,T46)*(1-R46)+INDEX(Models!$BJ46:$BT46,,T46+1)*R46-ERP_i)*Q46*Ramure*Pc/MaxiM</f>
        <v>5.0313858982346867E-2</v>
      </c>
      <c r="Q46" s="307">
        <f t="shared" si="4"/>
        <v>1</v>
      </c>
      <c r="R46" s="179">
        <f t="shared" si="5"/>
        <v>2.2788864480230149E-3</v>
      </c>
      <c r="S46" s="837">
        <f t="shared" si="6"/>
        <v>0</v>
      </c>
      <c r="T46" s="178">
        <f t="shared" si="7"/>
        <v>6</v>
      </c>
      <c r="U46" s="253">
        <f t="shared" si="19"/>
        <v>2.2788864480230149E-3</v>
      </c>
      <c r="V46" s="385">
        <f t="shared" si="8"/>
        <v>22.037246940309057</v>
      </c>
      <c r="W46" s="404"/>
      <c r="X46" s="157">
        <f t="shared" si="9"/>
        <v>44593</v>
      </c>
      <c r="Y46" s="387">
        <f t="shared" si="10"/>
        <v>9.7891488851883111</v>
      </c>
      <c r="Z46" s="387">
        <f t="shared" si="20"/>
        <v>10.0851327271322</v>
      </c>
      <c r="AA46" s="388">
        <f t="shared" si="11"/>
        <v>11.830378696229678</v>
      </c>
      <c r="AB46" s="199">
        <f t="shared" si="12"/>
        <v>44593</v>
      </c>
      <c r="AC46" s="119">
        <f>IF(OR(t&lt;Tnet,NoTnet),'2021'!Resal_s+('2021'!Salim-'2021'!Resal_s)*(1-EXP(('2021'!Tnet_s-t)/'2021'!Tau_j)),Resal_s+(Salim-Resal_s)*(1-EXP((Tnet_s-t)/Tau_j)))*Salcycl</f>
        <v>0.14752240937593025</v>
      </c>
      <c r="AD46" s="233">
        <f>(INDEX(Models!$BJ46:$BT46,,AH46)*(1-AF46)+INDEX(Models!$BJ46:$BT46,,AH46+1)*AF46-ERP_i)*AE46*Ramure*Pc/MaxiM</f>
        <v>5.0313858982346867E-2</v>
      </c>
      <c r="AE46" s="307">
        <f t="shared" si="13"/>
        <v>1</v>
      </c>
      <c r="AF46" s="179">
        <f t="shared" si="21"/>
        <v>2.2788864480230149E-3</v>
      </c>
      <c r="AG46" s="837">
        <f t="shared" si="22"/>
        <v>0</v>
      </c>
      <c r="AH46" s="178">
        <f t="shared" si="14"/>
        <v>6</v>
      </c>
      <c r="AI46" s="227">
        <f t="shared" si="23"/>
        <v>2.2788864480230149E-3</v>
      </c>
      <c r="AJ46" s="267" t="b">
        <f t="shared" si="15"/>
        <v>1</v>
      </c>
      <c r="AK46" s="267" t="b">
        <f t="shared" si="16"/>
        <v>0</v>
      </c>
      <c r="AL46" s="267"/>
      <c r="AM46" s="267"/>
      <c r="AN46" s="75"/>
    </row>
    <row r="47" spans="1:40" s="6" customFormat="1" ht="11.25" x14ac:dyDescent="0.2">
      <c r="A47" s="56">
        <f t="shared" si="17"/>
        <v>44594</v>
      </c>
      <c r="B47" s="618">
        <v>5.3420000000000005</v>
      </c>
      <c r="C47" s="866"/>
      <c r="D47" s="395">
        <f t="shared" si="0"/>
        <v>5.5036483185836174</v>
      </c>
      <c r="E47" s="387">
        <f t="shared" si="1"/>
        <v>6.1814672319491564</v>
      </c>
      <c r="F47" s="387">
        <f t="shared" si="2"/>
        <v>6.1814672319491564</v>
      </c>
      <c r="G47" s="110">
        <f t="shared" si="18"/>
        <v>0.22737051935291563</v>
      </c>
      <c r="H47" s="414" t="b">
        <f>Wh_hp&gt;='2021'!Maxi_hp</f>
        <v>0</v>
      </c>
      <c r="I47" s="382">
        <f>IF(H47,Wh_hp,'2021'!Maxi_hp)</f>
        <v>24.150188849551444</v>
      </c>
      <c r="J47" s="85">
        <f>IF(H47,An,'2021'!An_max)</f>
        <v>2021</v>
      </c>
      <c r="K47" s="199">
        <f t="shared" si="3"/>
        <v>44594</v>
      </c>
      <c r="L47" s="147">
        <f>IF(t&lt;Tvie,1-EXP((T0-t)*PertePVj)+'2021'!Pspv,1-EXP((T0-t)*PertePVj)+Pspv)</f>
        <v>2.9371120614265056E-2</v>
      </c>
      <c r="M47" s="870"/>
      <c r="N47" s="870"/>
      <c r="O47" s="48">
        <f>IF(t&lt;Tnet,'2021'!Resal+('2021'!Salim-'2021'!Resal)*(1-EXP(('2021'!Tnet-t)/('2021'!Tau_j))),Resal+(Salim-Resal)*(1-EXP((Tnet-t)/(Tau_j))))*Salcycl</f>
        <v>0.10965340232852894</v>
      </c>
      <c r="P47" s="341">
        <f>(INDEX(Models!$BJ47:$BT47,,T47)*(1-R47)+INDEX(Models!$BJ47:$BT47,,T47+1)*R47-ERP_i)*Q47*Ramure*Pc/MaxiM</f>
        <v>4.8835234558088476E-2</v>
      </c>
      <c r="Q47" s="307">
        <f t="shared" si="4"/>
        <v>1</v>
      </c>
      <c r="R47" s="179">
        <f t="shared" si="5"/>
        <v>2.4240420393658478E-3</v>
      </c>
      <c r="S47" s="837">
        <f t="shared" si="6"/>
        <v>0</v>
      </c>
      <c r="T47" s="178">
        <f t="shared" si="7"/>
        <v>6</v>
      </c>
      <c r="U47" s="253">
        <f t="shared" si="19"/>
        <v>2.4240420393658478E-3</v>
      </c>
      <c r="V47" s="385">
        <f t="shared" si="8"/>
        <v>22.347321857958079</v>
      </c>
      <c r="W47" s="404"/>
      <c r="X47" s="157">
        <f t="shared" si="9"/>
        <v>44594</v>
      </c>
      <c r="Y47" s="387">
        <f t="shared" si="10"/>
        <v>5.1145254341185655</v>
      </c>
      <c r="Z47" s="387">
        <f t="shared" si="20"/>
        <v>5.2692903979482937</v>
      </c>
      <c r="AA47" s="388">
        <f t="shared" si="11"/>
        <v>6.1814672319491564</v>
      </c>
      <c r="AB47" s="199">
        <f t="shared" si="12"/>
        <v>44594</v>
      </c>
      <c r="AC47" s="119">
        <f>IF(OR(t&lt;Tnet,NoTnet),'2021'!Resal_s+('2021'!Salim-'2021'!Resal_s)*(1-EXP(('2021'!Tnet_s-t)/'2021'!Tau_j)),Resal_s+(Salim-Resal_s)*(1-EXP((Tnet_s-t)/Tau_j)))*Salcycl</f>
        <v>0.14756639480126027</v>
      </c>
      <c r="AD47" s="233">
        <f>(INDEX(Models!$BJ47:$BT47,,AH47)*(1-AF47)+INDEX(Models!$BJ47:$BT47,,AH47+1)*AF47-ERP_i)*AE47*Ramure*Pc/MaxiM</f>
        <v>4.8835234558088476E-2</v>
      </c>
      <c r="AE47" s="307">
        <f t="shared" si="13"/>
        <v>1</v>
      </c>
      <c r="AF47" s="179">
        <f t="shared" si="21"/>
        <v>2.4240420393658478E-3</v>
      </c>
      <c r="AG47" s="837">
        <f t="shared" si="22"/>
        <v>0</v>
      </c>
      <c r="AH47" s="178">
        <f t="shared" si="14"/>
        <v>6</v>
      </c>
      <c r="AI47" s="227">
        <f t="shared" si="23"/>
        <v>2.4240420393658478E-3</v>
      </c>
      <c r="AJ47" s="267" t="b">
        <f t="shared" si="15"/>
        <v>1</v>
      </c>
      <c r="AK47" s="267" t="b">
        <f t="shared" si="16"/>
        <v>0</v>
      </c>
      <c r="AL47" s="267"/>
      <c r="AM47" s="267"/>
      <c r="AN47" s="75"/>
    </row>
    <row r="48" spans="1:40" s="6" customFormat="1" ht="11.25" x14ac:dyDescent="0.2">
      <c r="A48" s="56">
        <f t="shared" si="17"/>
        <v>44595</v>
      </c>
      <c r="B48" s="618">
        <v>12.773</v>
      </c>
      <c r="C48" s="866"/>
      <c r="D48" s="395">
        <f t="shared" si="0"/>
        <v>13.159815790120819</v>
      </c>
      <c r="E48" s="387">
        <f t="shared" si="1"/>
        <v>14.783433425397869</v>
      </c>
      <c r="F48" s="387">
        <f t="shared" si="2"/>
        <v>15.051781566171819</v>
      </c>
      <c r="G48" s="110">
        <f t="shared" si="18"/>
        <v>0.54671664540407761</v>
      </c>
      <c r="H48" s="414" t="b">
        <f>Wh_hp&gt;='2021'!Maxi_hp</f>
        <v>0</v>
      </c>
      <c r="I48" s="382">
        <f>IF(H48,Wh_hp,'2021'!Maxi_hp)</f>
        <v>22.38607837569748</v>
      </c>
      <c r="J48" s="85">
        <f>IF(H48,An,'2021'!An_max)</f>
        <v>2020</v>
      </c>
      <c r="K48" s="199">
        <f t="shared" si="3"/>
        <v>44595</v>
      </c>
      <c r="L48" s="147">
        <f>IF(t&lt;Tvie,1-EXP((T0-t)*PertePVj)+'2021'!Pspv,1-EXP((T0-t)*PertePVj)+Pspv)</f>
        <v>2.939370856628587E-2</v>
      </c>
      <c r="M48" s="870"/>
      <c r="N48" s="870"/>
      <c r="O48" s="48">
        <f>IF(t&lt;Tnet,'2021'!Resal+('2021'!Salim-'2021'!Resal)*(1-EXP(('2021'!Tnet-t)/('2021'!Tau_j))),Resal+(Salim-Resal)*(1-EXP((Tnet-t)/(Tau_j))))*Salcycl</f>
        <v>0.10982683038215481</v>
      </c>
      <c r="P48" s="341">
        <f>(INDEX(Models!$BJ48:$BT48,,T48)*(1-R48)+INDEX(Models!$BJ48:$BT48,,T48+1)*R48-ERP_i)*Q48*Ramure*Pc/MaxiM</f>
        <v>4.7334863361511888E-2</v>
      </c>
      <c r="Q48" s="307">
        <f t="shared" si="4"/>
        <v>1</v>
      </c>
      <c r="R48" s="179">
        <f t="shared" si="5"/>
        <v>2.5752229638520245E-3</v>
      </c>
      <c r="S48" s="837">
        <f t="shared" si="6"/>
        <v>0</v>
      </c>
      <c r="T48" s="178">
        <f t="shared" si="7"/>
        <v>6</v>
      </c>
      <c r="U48" s="253">
        <f t="shared" si="19"/>
        <v>2.5752229638520245E-3</v>
      </c>
      <c r="V48" s="385">
        <f t="shared" si="8"/>
        <v>22.661230329885736</v>
      </c>
      <c r="W48" s="404"/>
      <c r="X48" s="157">
        <f t="shared" si="9"/>
        <v>44595</v>
      </c>
      <c r="Y48" s="387">
        <f t="shared" si="10"/>
        <v>12.230843988567363</v>
      </c>
      <c r="Z48" s="387">
        <f t="shared" si="20"/>
        <v>12.60124119997284</v>
      </c>
      <c r="AA48" s="388">
        <f t="shared" si="11"/>
        <v>14.783433425397869</v>
      </c>
      <c r="AB48" s="199">
        <f t="shared" si="12"/>
        <v>44595</v>
      </c>
      <c r="AC48" s="119">
        <f>IF(OR(t&lt;Tnet,NoTnet),'2021'!Resal_s+('2021'!Salim-'2021'!Resal_s)*(1-EXP(('2021'!Tnet_s-t)/'2021'!Tau_j)),Resal_s+(Salim-Resal_s)*(1-EXP((Tnet_s-t)/Tau_j)))*Salcycl</f>
        <v>0.14761065055943176</v>
      </c>
      <c r="AD48" s="233">
        <f>(INDEX(Models!$BJ48:$BT48,,AH48)*(1-AF48)+INDEX(Models!$BJ48:$BT48,,AH48+1)*AF48-ERP_i)*AE48*Ramure*Pc/MaxiM</f>
        <v>4.7334863361511888E-2</v>
      </c>
      <c r="AE48" s="307">
        <f t="shared" si="13"/>
        <v>1</v>
      </c>
      <c r="AF48" s="179">
        <f t="shared" si="21"/>
        <v>2.5752229638520245E-3</v>
      </c>
      <c r="AG48" s="837">
        <f t="shared" si="22"/>
        <v>0</v>
      </c>
      <c r="AH48" s="178">
        <f t="shared" si="14"/>
        <v>6</v>
      </c>
      <c r="AI48" s="227">
        <f t="shared" si="23"/>
        <v>2.5752229638520245E-3</v>
      </c>
      <c r="AJ48" s="267" t="b">
        <f t="shared" si="15"/>
        <v>1</v>
      </c>
      <c r="AK48" s="267" t="b">
        <f t="shared" si="16"/>
        <v>0</v>
      </c>
      <c r="AL48" s="267"/>
      <c r="AM48" s="267"/>
      <c r="AN48" s="75"/>
    </row>
    <row r="49" spans="1:40" s="6" customFormat="1" ht="11.25" x14ac:dyDescent="0.2">
      <c r="A49" s="56">
        <f t="shared" si="17"/>
        <v>44596</v>
      </c>
      <c r="B49" s="618">
        <v>10.649000000000001</v>
      </c>
      <c r="C49" s="866"/>
      <c r="D49" s="395">
        <f t="shared" si="0"/>
        <v>10.971748192384014</v>
      </c>
      <c r="E49" s="387">
        <f t="shared" si="1"/>
        <v>12.327806530248361</v>
      </c>
      <c r="F49" s="387">
        <f t="shared" si="2"/>
        <v>12.461095380039993</v>
      </c>
      <c r="G49" s="110">
        <f t="shared" si="18"/>
        <v>0.44697884611979233</v>
      </c>
      <c r="H49" s="414" t="b">
        <f>Wh_hp&gt;='2021'!Maxi_hp</f>
        <v>0</v>
      </c>
      <c r="I49" s="382">
        <f>IF(H49,Wh_hp,'2021'!Maxi_hp)</f>
        <v>23.379370808970474</v>
      </c>
      <c r="J49" s="85">
        <f>IF(H49,An,'2021'!An_max)</f>
        <v>2019</v>
      </c>
      <c r="K49" s="199">
        <f t="shared" si="3"/>
        <v>44596</v>
      </c>
      <c r="L49" s="147">
        <f>IF(t&lt;Tvie,1-EXP((T0-t)*PertePVj)+'2021'!Pspv,1-EXP((T0-t)*PertePVj)+Pspv)</f>
        <v>2.9416295992652053E-2</v>
      </c>
      <c r="M49" s="870"/>
      <c r="N49" s="870"/>
      <c r="O49" s="48">
        <f>IF(t&lt;Tnet,'2021'!Resal+('2021'!Salim-'2021'!Resal)*(1-EXP(('2021'!Tnet-t)/('2021'!Tau_j))),Resal+(Salim-Resal)*(1-EXP((Tnet-t)/(Tau_j))))*Salcycl</f>
        <v>0.10999996913782097</v>
      </c>
      <c r="P49" s="341">
        <f>(INDEX(Models!$BJ49:$BT49,,T49)*(1-R49)+INDEX(Models!$BJ49:$BT49,,T49+1)*R49-ERP_i)*Q49*Ramure*Pc/MaxiM</f>
        <v>4.5814688861919001E-2</v>
      </c>
      <c r="Q49" s="307">
        <f t="shared" si="4"/>
        <v>1</v>
      </c>
      <c r="R49" s="179">
        <f t="shared" si="5"/>
        <v>2.7326765389643795E-3</v>
      </c>
      <c r="S49" s="837">
        <f t="shared" si="6"/>
        <v>0</v>
      </c>
      <c r="T49" s="178">
        <f t="shared" si="7"/>
        <v>6</v>
      </c>
      <c r="U49" s="253">
        <f t="shared" si="19"/>
        <v>2.7326765389643795E-3</v>
      </c>
      <c r="V49" s="385">
        <f t="shared" si="8"/>
        <v>22.978675589104032</v>
      </c>
      <c r="W49" s="404"/>
      <c r="X49" s="157">
        <f t="shared" si="9"/>
        <v>44596</v>
      </c>
      <c r="Y49" s="387">
        <f t="shared" si="10"/>
        <v>10.198449332671364</v>
      </c>
      <c r="Z49" s="387">
        <f t="shared" si="20"/>
        <v>10.507542307339373</v>
      </c>
      <c r="AA49" s="388">
        <f t="shared" si="11"/>
        <v>12.327806530248361</v>
      </c>
      <c r="AB49" s="199">
        <f t="shared" si="12"/>
        <v>44596</v>
      </c>
      <c r="AC49" s="119">
        <f>IF(OR(t&lt;Tnet,NoTnet),'2021'!Resal_s+('2021'!Salim-'2021'!Resal_s)*(1-EXP(('2021'!Tnet_s-t)/'2021'!Tau_j)),Resal_s+(Salim-Resal_s)*(1-EXP((Tnet_s-t)/Tau_j)))*Salcycl</f>
        <v>0.14765515815345268</v>
      </c>
      <c r="AD49" s="233">
        <f>(INDEX(Models!$BJ49:$BT49,,AH49)*(1-AF49)+INDEX(Models!$BJ49:$BT49,,AH49+1)*AF49-ERP_i)*AE49*Ramure*Pc/MaxiM</f>
        <v>4.5814688861919001E-2</v>
      </c>
      <c r="AE49" s="307">
        <f t="shared" si="13"/>
        <v>1</v>
      </c>
      <c r="AF49" s="179">
        <f t="shared" si="21"/>
        <v>2.7326765389643795E-3</v>
      </c>
      <c r="AG49" s="837">
        <f t="shared" si="22"/>
        <v>0</v>
      </c>
      <c r="AH49" s="178">
        <f t="shared" si="14"/>
        <v>6</v>
      </c>
      <c r="AI49" s="227">
        <f t="shared" si="23"/>
        <v>2.7326765389643795E-3</v>
      </c>
      <c r="AJ49" s="267" t="b">
        <f t="shared" si="15"/>
        <v>1</v>
      </c>
      <c r="AK49" s="267" t="b">
        <f t="shared" si="16"/>
        <v>0</v>
      </c>
      <c r="AL49" s="267"/>
      <c r="AM49" s="267"/>
      <c r="AN49" s="75"/>
    </row>
    <row r="50" spans="1:40" s="6" customFormat="1" ht="11.25" x14ac:dyDescent="0.2">
      <c r="A50" s="56">
        <f t="shared" si="17"/>
        <v>44597</v>
      </c>
      <c r="B50" s="618">
        <v>9.2240000000000002</v>
      </c>
      <c r="C50" s="866"/>
      <c r="D50" s="395">
        <f t="shared" si="0"/>
        <v>9.5037806866794856</v>
      </c>
      <c r="E50" s="387">
        <f t="shared" si="1"/>
        <v>10.6804790242475</v>
      </c>
      <c r="F50" s="387">
        <f t="shared" si="2"/>
        <v>10.745654538860327</v>
      </c>
      <c r="G50" s="110">
        <f t="shared" si="18"/>
        <v>0.38067090848670049</v>
      </c>
      <c r="H50" s="414" t="b">
        <f>Wh_hp&gt;='2021'!Maxi_hp</f>
        <v>0</v>
      </c>
      <c r="I50" s="382">
        <f>IF(H50,Wh_hp,'2021'!Maxi_hp)</f>
        <v>27.78824906234189</v>
      </c>
      <c r="J50" s="85">
        <f>IF(H50,An,'2021'!An_max)</f>
        <v>2020</v>
      </c>
      <c r="K50" s="199">
        <f t="shared" si="3"/>
        <v>44597</v>
      </c>
      <c r="L50" s="147">
        <f>IF(t&lt;Tvie,1-EXP((T0-t)*PertePVj)+'2021'!Pspv,1-EXP((T0-t)*PertePVj)+Pspv)</f>
        <v>2.9438882893375928E-2</v>
      </c>
      <c r="M50" s="870"/>
      <c r="N50" s="870"/>
      <c r="O50" s="48">
        <f>IF(t&lt;Tnet,'2021'!Resal+('2021'!Salim-'2021'!Resal)*(1-EXP(('2021'!Tnet-t)/('2021'!Tau_j))),Resal+(Salim-Resal)*(1-EXP((Tnet-t)/(Tau_j))))*Salcycl</f>
        <v>0.11017280544220898</v>
      </c>
      <c r="P50" s="341">
        <f>(INDEX(Models!$BJ50:$BT50,,T50)*(1-R50)+INDEX(Models!$BJ50:$BT50,,T50+1)*R50-ERP_i)*Q50*Ramure*Pc/MaxiM</f>
        <v>4.4276494929627305E-2</v>
      </c>
      <c r="Q50" s="307">
        <f t="shared" si="4"/>
        <v>1</v>
      </c>
      <c r="R50" s="179">
        <f t="shared" si="5"/>
        <v>2.8966599960575687E-3</v>
      </c>
      <c r="S50" s="837">
        <f t="shared" si="6"/>
        <v>0</v>
      </c>
      <c r="T50" s="178">
        <f t="shared" si="7"/>
        <v>6</v>
      </c>
      <c r="U50" s="253">
        <f t="shared" si="19"/>
        <v>2.8966599960575687E-3</v>
      </c>
      <c r="V50" s="385">
        <f t="shared" si="8"/>
        <v>23.299361292374378</v>
      </c>
      <c r="W50" s="404"/>
      <c r="X50" s="157">
        <f t="shared" si="9"/>
        <v>44597</v>
      </c>
      <c r="Y50" s="387">
        <f t="shared" si="10"/>
        <v>8.83499201296077</v>
      </c>
      <c r="Z50" s="387">
        <f t="shared" si="20"/>
        <v>9.1029733802844834</v>
      </c>
      <c r="AA50" s="388">
        <f t="shared" si="11"/>
        <v>10.6804790242475</v>
      </c>
      <c r="AB50" s="199">
        <f t="shared" si="12"/>
        <v>44597</v>
      </c>
      <c r="AC50" s="119">
        <f>IF(OR(t&lt;Tnet,NoTnet),'2021'!Resal_s+('2021'!Salim-'2021'!Resal_s)*(1-EXP(('2021'!Tnet_s-t)/'2021'!Tau_j)),Resal_s+(Salim-Resal_s)*(1-EXP((Tnet_s-t)/Tau_j)))*Salcycl</f>
        <v>0.14769989626698049</v>
      </c>
      <c r="AD50" s="233">
        <f>(INDEX(Models!$BJ50:$BT50,,AH50)*(1-AF50)+INDEX(Models!$BJ50:$BT50,,AH50+1)*AF50-ERP_i)*AE50*Ramure*Pc/MaxiM</f>
        <v>4.4276494929627305E-2</v>
      </c>
      <c r="AE50" s="307">
        <f t="shared" si="13"/>
        <v>1</v>
      </c>
      <c r="AF50" s="179">
        <f t="shared" si="21"/>
        <v>2.8966599960575687E-3</v>
      </c>
      <c r="AG50" s="837">
        <f t="shared" si="22"/>
        <v>0</v>
      </c>
      <c r="AH50" s="178">
        <f t="shared" si="14"/>
        <v>6</v>
      </c>
      <c r="AI50" s="227">
        <f t="shared" si="23"/>
        <v>2.8966599960575687E-3</v>
      </c>
      <c r="AJ50" s="267" t="b">
        <f t="shared" si="15"/>
        <v>1</v>
      </c>
      <c r="AK50" s="267" t="b">
        <f t="shared" si="16"/>
        <v>0</v>
      </c>
      <c r="AL50" s="267"/>
      <c r="AM50" s="267"/>
      <c r="AN50" s="75"/>
    </row>
    <row r="51" spans="1:40" s="6" customFormat="1" ht="11.25" x14ac:dyDescent="0.2">
      <c r="A51" s="56">
        <f t="shared" si="17"/>
        <v>44598</v>
      </c>
      <c r="B51" s="618">
        <v>17.120999999999999</v>
      </c>
      <c r="C51" s="866"/>
      <c r="D51" s="395">
        <f t="shared" si="0"/>
        <v>17.640721576602704</v>
      </c>
      <c r="E51" s="387">
        <f t="shared" si="1"/>
        <v>19.828729117713323</v>
      </c>
      <c r="F51" s="387">
        <f t="shared" si="2"/>
        <v>20.356410757847481</v>
      </c>
      <c r="G51" s="110">
        <f t="shared" si="18"/>
        <v>0.7122451744016931</v>
      </c>
      <c r="H51" s="414" t="b">
        <f>Wh_hp&gt;='2021'!Maxi_hp</f>
        <v>0</v>
      </c>
      <c r="I51" s="382">
        <f>IF(H51,Wh_hp,'2021'!Maxi_hp)</f>
        <v>28.842415345268009</v>
      </c>
      <c r="J51" s="85">
        <f>IF(H51,An,'2021'!An_max)</f>
        <v>2020</v>
      </c>
      <c r="K51" s="199">
        <f t="shared" si="3"/>
        <v>44598</v>
      </c>
      <c r="L51" s="147">
        <f>IF(t&lt;Tvie,1-EXP((T0-t)*PertePVj)+'2021'!Pspv,1-EXP((T0-t)*PertePVj)+Pspv)</f>
        <v>2.9461469268469487E-2</v>
      </c>
      <c r="M51" s="870"/>
      <c r="N51" s="870"/>
      <c r="O51" s="48">
        <f>IF(t&lt;Tnet,'2021'!Resal+('2021'!Salim-'2021'!Resal)*(1-EXP(('2021'!Tnet-t)/('2021'!Tau_j))),Resal+(Salim-Resal)*(1-EXP((Tnet-t)/(Tau_j))))*Salcycl</f>
        <v>0.11034532410632589</v>
      </c>
      <c r="P51" s="341">
        <f>(INDEX(Models!$BJ51:$BT51,,T51)*(1-R51)+INDEX(Models!$BJ51:$BT51,,T51+1)*R51-ERP_i)*Q51*Ramure*Pc/MaxiM</f>
        <v>4.2721009650068378E-2</v>
      </c>
      <c r="Q51" s="307">
        <f t="shared" si="4"/>
        <v>1</v>
      </c>
      <c r="R51" s="179">
        <f t="shared" si="5"/>
        <v>3.067440857489378E-3</v>
      </c>
      <c r="S51" s="837">
        <f t="shared" si="6"/>
        <v>0</v>
      </c>
      <c r="T51" s="178">
        <f t="shared" si="7"/>
        <v>6</v>
      </c>
      <c r="U51" s="253">
        <f t="shared" si="19"/>
        <v>3.067440857489378E-3</v>
      </c>
      <c r="V51" s="385">
        <f t="shared" si="8"/>
        <v>23.623512125329665</v>
      </c>
      <c r="W51" s="404"/>
      <c r="X51" s="157">
        <f t="shared" si="9"/>
        <v>44598</v>
      </c>
      <c r="Y51" s="387">
        <f t="shared" si="10"/>
        <v>16.401263291061454</v>
      </c>
      <c r="Z51" s="387">
        <f t="shared" si="20"/>
        <v>16.899136687236126</v>
      </c>
      <c r="AA51" s="388">
        <f t="shared" si="11"/>
        <v>19.828729117713323</v>
      </c>
      <c r="AB51" s="199">
        <f t="shared" si="12"/>
        <v>44598</v>
      </c>
      <c r="AC51" s="119">
        <f>IF(OR(t&lt;Tnet,NoTnet),'2021'!Resal_s+('2021'!Salim-'2021'!Resal_s)*(1-EXP(('2021'!Tnet_s-t)/'2021'!Tau_j)),Resal_s+(Salim-Resal_s)*(1-EXP((Tnet_s-t)/Tau_j)))*Salcycl</f>
        <v>0.14774484098731999</v>
      </c>
      <c r="AD51" s="233">
        <f>(INDEX(Models!$BJ51:$BT51,,AH51)*(1-AF51)+INDEX(Models!$BJ51:$BT51,,AH51+1)*AF51-ERP_i)*AE51*Ramure*Pc/MaxiM</f>
        <v>4.2721009650068378E-2</v>
      </c>
      <c r="AE51" s="307">
        <f t="shared" si="13"/>
        <v>1</v>
      </c>
      <c r="AF51" s="179">
        <f t="shared" si="21"/>
        <v>3.067440857489378E-3</v>
      </c>
      <c r="AG51" s="837">
        <f t="shared" si="22"/>
        <v>0</v>
      </c>
      <c r="AH51" s="178">
        <f t="shared" si="14"/>
        <v>6</v>
      </c>
      <c r="AI51" s="227">
        <f t="shared" si="23"/>
        <v>3.067440857489378E-3</v>
      </c>
      <c r="AJ51" s="267" t="b">
        <f t="shared" si="15"/>
        <v>1</v>
      </c>
      <c r="AK51" s="267" t="b">
        <f t="shared" si="16"/>
        <v>0</v>
      </c>
      <c r="AL51" s="267"/>
      <c r="AM51" s="267"/>
      <c r="AN51" s="75"/>
    </row>
    <row r="52" spans="1:40" s="6" customFormat="1" ht="11.25" x14ac:dyDescent="0.2">
      <c r="A52" s="56">
        <f t="shared" si="17"/>
        <v>44599</v>
      </c>
      <c r="B52" s="618">
        <v>11.866</v>
      </c>
      <c r="C52" s="866"/>
      <c r="D52" s="395">
        <f t="shared" si="0"/>
        <v>12.226486398883488</v>
      </c>
      <c r="E52" s="387">
        <f t="shared" si="1"/>
        <v>13.745617828500734</v>
      </c>
      <c r="F52" s="387">
        <f t="shared" si="2"/>
        <v>13.905352204108702</v>
      </c>
      <c r="G52" s="110">
        <f t="shared" si="18"/>
        <v>0.48055005566016801</v>
      </c>
      <c r="H52" s="414" t="b">
        <f>Wh_hp&gt;='2021'!Maxi_hp</f>
        <v>0</v>
      </c>
      <c r="I52" s="382">
        <f>IF(H52,Wh_hp,'2021'!Maxi_hp)</f>
        <v>20.460774580395299</v>
      </c>
      <c r="J52" s="85">
        <f>IF(H52,An,'2021'!An_max)</f>
        <v>2021</v>
      </c>
      <c r="K52" s="199">
        <f t="shared" si="3"/>
        <v>44599</v>
      </c>
      <c r="L52" s="147">
        <f>IF(t&lt;Tvie,1-EXP((T0-t)*PertePVj)+'2021'!Pspv,1-EXP((T0-t)*PertePVj)+Pspv)</f>
        <v>2.9484055117945163E-2</v>
      </c>
      <c r="M52" s="870"/>
      <c r="N52" s="870"/>
      <c r="O52" s="48">
        <f>IF(t&lt;Tnet,'2021'!Resal+('2021'!Salim-'2021'!Resal)*(1-EXP(('2021'!Tnet-t)/('2021'!Tau_j))),Resal+(Salim-Resal)*(1-EXP((Tnet-t)/(Tau_j))))*Salcycl</f>
        <v>0.11051750809391887</v>
      </c>
      <c r="P52" s="341">
        <f>(INDEX(Models!$BJ52:$BT52,,T52)*(1-R52)+INDEX(Models!$BJ52:$BT52,,T52+1)*R52-ERP_i)*Q52*Ramure*Pc/MaxiM</f>
        <v>4.1148629601392976E-2</v>
      </c>
      <c r="Q52" s="307">
        <f t="shared" si="4"/>
        <v>1</v>
      </c>
      <c r="R52" s="179">
        <f t="shared" si="5"/>
        <v>3.2452973263514318E-3</v>
      </c>
      <c r="S52" s="837">
        <f t="shared" si="6"/>
        <v>0</v>
      </c>
      <c r="T52" s="178">
        <f t="shared" si="7"/>
        <v>6</v>
      </c>
      <c r="U52" s="253">
        <f t="shared" si="19"/>
        <v>3.2452973263514318E-3</v>
      </c>
      <c r="V52" s="385">
        <f t="shared" si="8"/>
        <v>23.951611231965838</v>
      </c>
      <c r="W52" s="404"/>
      <c r="X52" s="157">
        <f t="shared" si="9"/>
        <v>44599</v>
      </c>
      <c r="Y52" s="387">
        <f t="shared" si="10"/>
        <v>11.368772690415481</v>
      </c>
      <c r="Z52" s="387">
        <f t="shared" si="20"/>
        <v>11.714153435982043</v>
      </c>
      <c r="AA52" s="388">
        <f t="shared" si="11"/>
        <v>13.745617828500734</v>
      </c>
      <c r="AB52" s="199">
        <f t="shared" si="12"/>
        <v>44599</v>
      </c>
      <c r="AC52" s="119">
        <f>IF(OR(t&lt;Tnet,NoTnet),'2021'!Resal_s+('2021'!Salim-'2021'!Resal_s)*(1-EXP(('2021'!Tnet_s-t)/'2021'!Tau_j)),Resal_s+(Salim-Resal_s)*(1-EXP((Tnet_s-t)/Tau_j)))*Salcycl</f>
        <v>0.14778996607242845</v>
      </c>
      <c r="AD52" s="233">
        <f>(INDEX(Models!$BJ52:$BT52,,AH52)*(1-AF52)+INDEX(Models!$BJ52:$BT52,,AH52+1)*AF52-ERP_i)*AE52*Ramure*Pc/MaxiM</f>
        <v>4.1148629601392976E-2</v>
      </c>
      <c r="AE52" s="307">
        <f t="shared" si="13"/>
        <v>1</v>
      </c>
      <c r="AF52" s="179">
        <f t="shared" si="21"/>
        <v>3.2452973263514318E-3</v>
      </c>
      <c r="AG52" s="837">
        <f t="shared" si="22"/>
        <v>0</v>
      </c>
      <c r="AH52" s="178">
        <f t="shared" si="14"/>
        <v>6</v>
      </c>
      <c r="AI52" s="227">
        <f t="shared" si="23"/>
        <v>3.2452973263514318E-3</v>
      </c>
      <c r="AJ52" s="267" t="b">
        <f t="shared" si="15"/>
        <v>1</v>
      </c>
      <c r="AK52" s="267" t="b">
        <f t="shared" si="16"/>
        <v>0</v>
      </c>
      <c r="AL52" s="267"/>
      <c r="AM52" s="267"/>
      <c r="AN52" s="75"/>
    </row>
    <row r="53" spans="1:40" s="6" customFormat="1" ht="11.25" x14ac:dyDescent="0.2">
      <c r="A53" s="56">
        <f t="shared" si="17"/>
        <v>44600</v>
      </c>
      <c r="B53" s="618">
        <v>24.670999999999999</v>
      </c>
      <c r="C53" s="866"/>
      <c r="D53" s="395">
        <f t="shared" si="0"/>
        <v>25.42109099152561</v>
      </c>
      <c r="E53" s="387">
        <f t="shared" si="1"/>
        <v>28.585163879130075</v>
      </c>
      <c r="F53" s="387">
        <f t="shared" si="2"/>
        <v>29.763398061400448</v>
      </c>
      <c r="G53" s="110">
        <f t="shared" si="18"/>
        <v>1.0159745529718147</v>
      </c>
      <c r="H53" s="414" t="b">
        <f>Wh_hp&gt;='2021'!Maxi_hp</f>
        <v>1</v>
      </c>
      <c r="I53" s="382">
        <f>IF(H53,Wh_hp,'2021'!Maxi_hp)</f>
        <v>29.763398061400448</v>
      </c>
      <c r="J53" s="85">
        <f>IF(H53,An,'2021'!An_max)</f>
        <v>2022</v>
      </c>
      <c r="K53" s="199">
        <f t="shared" si="3"/>
        <v>44600</v>
      </c>
      <c r="L53" s="147">
        <f>IF(t&lt;Tvie,1-EXP((T0-t)*PertePVj)+'2021'!Pspv,1-EXP((T0-t)*PertePVj)+Pspv)</f>
        <v>2.9506640441815057E-2</v>
      </c>
      <c r="M53" s="870"/>
      <c r="N53" s="870"/>
      <c r="O53" s="48">
        <f>IF(t&lt;Tnet,'2021'!Resal+('2021'!Salim-'2021'!Resal)*(1-EXP(('2021'!Tnet-t)/('2021'!Tau_j))),Resal+(Salim-Resal)*(1-EXP((Tnet-t)/(Tau_j))))*Salcycl</f>
        <v>0.11068933874171505</v>
      </c>
      <c r="P53" s="341">
        <f>(INDEX(Models!$BJ53:$BT53,,T53)*(1-R53)+INDEX(Models!$BJ53:$BT53,,T53+1)*R53-ERP_i)*Q53*Ramure*Pc/MaxiM</f>
        <v>3.9586682267922974E-2</v>
      </c>
      <c r="Q53" s="307">
        <f t="shared" si="4"/>
        <v>1</v>
      </c>
      <c r="R53" s="179">
        <f t="shared" si="5"/>
        <v>3.430518689064199E-3</v>
      </c>
      <c r="S53" s="837">
        <f t="shared" si="6"/>
        <v>0</v>
      </c>
      <c r="T53" s="178">
        <f t="shared" si="7"/>
        <v>6</v>
      </c>
      <c r="U53" s="253">
        <f t="shared" si="19"/>
        <v>3.430518689064199E-3</v>
      </c>
      <c r="V53" s="385">
        <f t="shared" si="8"/>
        <v>24.283088516179028</v>
      </c>
      <c r="W53" s="404"/>
      <c r="X53" s="157">
        <f t="shared" si="9"/>
        <v>44600</v>
      </c>
      <c r="Y53" s="387">
        <f t="shared" si="10"/>
        <v>23.640509025079382</v>
      </c>
      <c r="Z53" s="387">
        <f t="shared" si="20"/>
        <v>24.359269223482038</v>
      </c>
      <c r="AA53" s="388">
        <f t="shared" si="11"/>
        <v>28.585163879130075</v>
      </c>
      <c r="AB53" s="199">
        <f t="shared" si="12"/>
        <v>44600</v>
      </c>
      <c r="AC53" s="119">
        <f>IF(OR(t&lt;Tnet,NoTnet),'2021'!Resal_s+('2021'!Salim-'2021'!Resal_s)*(1-EXP(('2021'!Tnet_s-t)/'2021'!Tau_j)),Resal_s+(Salim-Resal_s)*(1-EXP((Tnet_s-t)/Tau_j)))*Salcycl</f>
        <v>0.14783524325824654</v>
      </c>
      <c r="AD53" s="233">
        <f>(INDEX(Models!$BJ53:$BT53,,AH53)*(1-AF53)+INDEX(Models!$BJ53:$BT53,,AH53+1)*AF53-ERP_i)*AE53*Ramure*Pc/MaxiM</f>
        <v>3.9586682267922974E-2</v>
      </c>
      <c r="AE53" s="307">
        <f t="shared" si="13"/>
        <v>1</v>
      </c>
      <c r="AF53" s="179">
        <f t="shared" si="21"/>
        <v>3.430518689064199E-3</v>
      </c>
      <c r="AG53" s="837">
        <f t="shared" si="22"/>
        <v>0</v>
      </c>
      <c r="AH53" s="178">
        <f t="shared" si="14"/>
        <v>6</v>
      </c>
      <c r="AI53" s="227">
        <f t="shared" si="23"/>
        <v>3.430518689064199E-3</v>
      </c>
      <c r="AJ53" s="267" t="b">
        <f t="shared" si="15"/>
        <v>1</v>
      </c>
      <c r="AK53" s="267" t="b">
        <f t="shared" si="16"/>
        <v>0</v>
      </c>
      <c r="AL53" s="267"/>
      <c r="AM53" s="267"/>
      <c r="AN53" s="75"/>
    </row>
    <row r="54" spans="1:40" s="6" customFormat="1" ht="11.25" x14ac:dyDescent="0.2">
      <c r="A54" s="56">
        <f t="shared" si="17"/>
        <v>44601</v>
      </c>
      <c r="B54" s="618">
        <v>24.707000000000001</v>
      </c>
      <c r="C54" s="866"/>
      <c r="D54" s="395">
        <f t="shared" si="0"/>
        <v>25.458777989592154</v>
      </c>
      <c r="E54" s="387">
        <f t="shared" si="1"/>
        <v>28.633062039452682</v>
      </c>
      <c r="F54" s="387">
        <f t="shared" si="2"/>
        <v>29.765187841712834</v>
      </c>
      <c r="G54" s="110">
        <f t="shared" si="18"/>
        <v>1.0036136555808277</v>
      </c>
      <c r="H54" s="414" t="b">
        <f>Wh_hp&gt;='2021'!Maxi_hp</f>
        <v>1</v>
      </c>
      <c r="I54" s="382">
        <f>IF(H54,Wh_hp,'2021'!Maxi_hp)</f>
        <v>29.765187841712834</v>
      </c>
      <c r="J54" s="85">
        <f>IF(H54,An,'2021'!An_max)</f>
        <v>2022</v>
      </c>
      <c r="K54" s="199">
        <f t="shared" si="3"/>
        <v>44601</v>
      </c>
      <c r="L54" s="147">
        <f>IF(t&lt;Tvie,1-EXP((T0-t)*PertePVj)+'2021'!Pspv,1-EXP((T0-t)*PertePVj)+Pspv)</f>
        <v>2.9529225240091606E-2</v>
      </c>
      <c r="M54" s="870"/>
      <c r="N54" s="870"/>
      <c r="O54" s="48">
        <f>IF(t&lt;Tnet,'2021'!Resal+('2021'!Salim-'2021'!Resal)*(1-EXP(('2021'!Tnet-t)/('2021'!Tau_j))),Resal+(Salim-Resal)*(1-EXP((Tnet-t)/(Tau_j))))*Salcycl</f>
        <v>0.11086079600871088</v>
      </c>
      <c r="P54" s="341">
        <f>(INDEX(Models!$BJ54:$BT54,,T54)*(1-R54)+INDEX(Models!$BJ54:$BT54,,T54+1)*R54-ERP_i)*Q54*Ramure*Pc/MaxiM</f>
        <v>3.8035231233232637E-2</v>
      </c>
      <c r="Q54" s="307">
        <f t="shared" si="4"/>
        <v>1</v>
      </c>
      <c r="R54" s="179">
        <f t="shared" si="5"/>
        <v>3.6234057310917844E-3</v>
      </c>
      <c r="S54" s="837">
        <f t="shared" si="6"/>
        <v>0</v>
      </c>
      <c r="T54" s="178">
        <f t="shared" si="7"/>
        <v>6</v>
      </c>
      <c r="U54" s="253">
        <f t="shared" si="19"/>
        <v>3.6234057310917844E-3</v>
      </c>
      <c r="V54" s="385">
        <f t="shared" si="8"/>
        <v>24.618038886389165</v>
      </c>
      <c r="W54" s="404"/>
      <c r="X54" s="157">
        <f t="shared" si="9"/>
        <v>44601</v>
      </c>
      <c r="Y54" s="387">
        <f t="shared" si="10"/>
        <v>23.678309165445892</v>
      </c>
      <c r="Z54" s="387">
        <f t="shared" si="20"/>
        <v>24.398786425386007</v>
      </c>
      <c r="AA54" s="388">
        <f t="shared" si="11"/>
        <v>28.633062039452682</v>
      </c>
      <c r="AB54" s="199">
        <f t="shared" si="12"/>
        <v>44601</v>
      </c>
      <c r="AC54" s="119">
        <f>IF(OR(t&lt;Tnet,NoTnet),'2021'!Resal_s+('2021'!Salim-'2021'!Resal_s)*(1-EXP(('2021'!Tnet_s-t)/'2021'!Tau_j)),Resal_s+(Salim-Resal_s)*(1-EXP((Tnet_s-t)/Tau_j)))*Salcycl</f>
        <v>0.14788064260233105</v>
      </c>
      <c r="AD54" s="233">
        <f>(INDEX(Models!$BJ54:$BT54,,AH54)*(1-AF54)+INDEX(Models!$BJ54:$BT54,,AH54+1)*AF54-ERP_i)*AE54*Ramure*Pc/MaxiM</f>
        <v>3.8035231233232637E-2</v>
      </c>
      <c r="AE54" s="307">
        <f t="shared" si="13"/>
        <v>1</v>
      </c>
      <c r="AF54" s="179">
        <f t="shared" si="21"/>
        <v>3.6234057310917844E-3</v>
      </c>
      <c r="AG54" s="837">
        <f t="shared" si="22"/>
        <v>0</v>
      </c>
      <c r="AH54" s="178">
        <f t="shared" si="14"/>
        <v>6</v>
      </c>
      <c r="AI54" s="227">
        <f t="shared" si="23"/>
        <v>3.6234057310917844E-3</v>
      </c>
      <c r="AJ54" s="267" t="b">
        <f t="shared" si="15"/>
        <v>1</v>
      </c>
      <c r="AK54" s="267" t="b">
        <f t="shared" si="16"/>
        <v>0</v>
      </c>
      <c r="AL54" s="267"/>
      <c r="AM54" s="267"/>
      <c r="AN54" s="75"/>
    </row>
    <row r="55" spans="1:40" s="6" customFormat="1" ht="11.25" x14ac:dyDescent="0.2">
      <c r="A55" s="56">
        <f t="shared" si="17"/>
        <v>44602</v>
      </c>
      <c r="B55" s="618">
        <v>23.974</v>
      </c>
      <c r="C55" s="866"/>
      <c r="D55" s="395">
        <f t="shared" si="0"/>
        <v>24.704049360908037</v>
      </c>
      <c r="E55" s="387">
        <f t="shared" si="1"/>
        <v>27.78957784270213</v>
      </c>
      <c r="F55" s="387">
        <f t="shared" si="2"/>
        <v>28.780840754960145</v>
      </c>
      <c r="G55" s="110">
        <f t="shared" si="18"/>
        <v>0.958587184072621</v>
      </c>
      <c r="H55" s="414" t="b">
        <f>Wh_hp&gt;='2021'!Maxi_hp</f>
        <v>1</v>
      </c>
      <c r="I55" s="382">
        <f>IF(H55,Wh_hp,'2021'!Maxi_hp)</f>
        <v>28.780840754960145</v>
      </c>
      <c r="J55" s="85">
        <f>IF(H55,An,'2021'!An_max)</f>
        <v>2022</v>
      </c>
      <c r="K55" s="199">
        <f t="shared" si="3"/>
        <v>44602</v>
      </c>
      <c r="L55" s="147">
        <f>IF(t&lt;Tvie,1-EXP((T0-t)*PertePVj)+'2021'!Pspv,1-EXP((T0-t)*PertePVj)+Pspv)</f>
        <v>2.9551809512786797E-2</v>
      </c>
      <c r="M55" s="870"/>
      <c r="N55" s="870"/>
      <c r="O55" s="48">
        <f>IF(t&lt;Tnet,'2021'!Resal+('2021'!Salim-'2021'!Resal)*(1-EXP(('2021'!Tnet-t)/('2021'!Tau_j))),Resal+(Salim-Resal)*(1-EXP((Tnet-t)/(Tau_j))))*Salcycl</f>
        <v>0.11103185875147757</v>
      </c>
      <c r="P55" s="341">
        <f>(INDEX(Models!$BJ55:$BT55,,T55)*(1-R55)+INDEX(Models!$BJ55:$BT55,,T55+1)*R55-ERP_i)*Q55*Ramure*Pc/MaxiM</f>
        <v>3.6494346940282849E-2</v>
      </c>
      <c r="Q55" s="307">
        <f t="shared" si="4"/>
        <v>1</v>
      </c>
      <c r="R55" s="179">
        <f t="shared" si="5"/>
        <v>3.8242711660192944E-3</v>
      </c>
      <c r="S55" s="837">
        <f t="shared" si="6"/>
        <v>0</v>
      </c>
      <c r="T55" s="178">
        <f t="shared" si="7"/>
        <v>6</v>
      </c>
      <c r="U55" s="253">
        <f t="shared" si="19"/>
        <v>3.8242711660192944E-3</v>
      </c>
      <c r="V55" s="385">
        <f t="shared" si="8"/>
        <v>24.956557396276256</v>
      </c>
      <c r="W55" s="404"/>
      <c r="X55" s="157">
        <f t="shared" si="9"/>
        <v>44602</v>
      </c>
      <c r="Y55" s="387">
        <f t="shared" si="10"/>
        <v>22.979022467708759</v>
      </c>
      <c r="Z55" s="387">
        <f t="shared" si="20"/>
        <v>23.678773058634022</v>
      </c>
      <c r="AA55" s="388">
        <f t="shared" si="11"/>
        <v>27.78957784270213</v>
      </c>
      <c r="AB55" s="199">
        <f t="shared" si="12"/>
        <v>44602</v>
      </c>
      <c r="AC55" s="119">
        <f>IF(OR(t&lt;Tnet,NoTnet),'2021'!Resal_s+('2021'!Salim-'2021'!Resal_s)*(1-EXP(('2021'!Tnet_s-t)/'2021'!Tau_j)),Resal_s+(Salim-Resal_s)*(1-EXP((Tnet_s-t)/Tau_j)))*Salcycl</f>
        <v>0.14792613285946885</v>
      </c>
      <c r="AD55" s="233">
        <f>(INDEX(Models!$BJ55:$BT55,,AH55)*(1-AF55)+INDEX(Models!$BJ55:$BT55,,AH55+1)*AF55-ERP_i)*AE55*Ramure*Pc/MaxiM</f>
        <v>3.6494346940282849E-2</v>
      </c>
      <c r="AE55" s="307">
        <f t="shared" si="13"/>
        <v>1</v>
      </c>
      <c r="AF55" s="179">
        <f t="shared" si="21"/>
        <v>3.8242711660192944E-3</v>
      </c>
      <c r="AG55" s="837">
        <f t="shared" si="22"/>
        <v>0</v>
      </c>
      <c r="AH55" s="178">
        <f t="shared" si="14"/>
        <v>6</v>
      </c>
      <c r="AI55" s="227">
        <f t="shared" si="23"/>
        <v>3.8242711660192944E-3</v>
      </c>
      <c r="AJ55" s="267" t="b">
        <f t="shared" si="15"/>
        <v>1</v>
      </c>
      <c r="AK55" s="267" t="b">
        <f t="shared" si="16"/>
        <v>0</v>
      </c>
      <c r="AL55" s="267"/>
      <c r="AM55" s="267"/>
      <c r="AN55" s="75"/>
    </row>
    <row r="56" spans="1:40" s="6" customFormat="1" ht="11.25" x14ac:dyDescent="0.2">
      <c r="A56" s="56">
        <f t="shared" si="17"/>
        <v>44603</v>
      </c>
      <c r="B56" s="618">
        <v>12.641999999999999</v>
      </c>
      <c r="C56" s="866"/>
      <c r="D56" s="395">
        <f t="shared" si="0"/>
        <v>13.027273715980948</v>
      </c>
      <c r="E56" s="387">
        <f t="shared" si="1"/>
        <v>14.657189955634172</v>
      </c>
      <c r="F56" s="387">
        <f t="shared" si="2"/>
        <v>14.804871422331344</v>
      </c>
      <c r="G56" s="110">
        <f t="shared" si="18"/>
        <v>0.4870957025908485</v>
      </c>
      <c r="H56" s="414" t="b">
        <f>Wh_hp&gt;='2021'!Maxi_hp</f>
        <v>0</v>
      </c>
      <c r="I56" s="382">
        <f>IF(H56,Wh_hp,'2021'!Maxi_hp)</f>
        <v>26.884629340458861</v>
      </c>
      <c r="J56" s="85">
        <f>IF(H56,An,'2021'!An_max)</f>
        <v>2021</v>
      </c>
      <c r="K56" s="199">
        <f t="shared" si="3"/>
        <v>44603</v>
      </c>
      <c r="L56" s="147">
        <f>IF(t&lt;Tvie,1-EXP((T0-t)*PertePVj)+'2021'!Pspv,1-EXP((T0-t)*PertePVj)+Pspv)</f>
        <v>2.9574393259912957E-2</v>
      </c>
      <c r="M56" s="870"/>
      <c r="N56" s="870"/>
      <c r="O56" s="48">
        <f>IF(t&lt;Tnet,'2021'!Resal+('2021'!Salim-'2021'!Resal)*(1-EXP(('2021'!Tnet-t)/('2021'!Tau_j))),Resal+(Salim-Resal)*(1-EXP((Tnet-t)/(Tau_j))))*Salcycl</f>
        <v>0.11120250502223239</v>
      </c>
      <c r="P56" s="341">
        <f>(INDEX(Models!$BJ56:$BT56,,T56)*(1-R56)+INDEX(Models!$BJ56:$BT56,,T56+1)*R56-ERP_i)*Q56*Ramure*Pc/MaxiM</f>
        <v>3.4964105432492648E-2</v>
      </c>
      <c r="Q56" s="307">
        <f t="shared" si="4"/>
        <v>1</v>
      </c>
      <c r="R56" s="179">
        <f t="shared" si="5"/>
        <v>4.0334400782249822E-3</v>
      </c>
      <c r="S56" s="837">
        <f t="shared" si="6"/>
        <v>0</v>
      </c>
      <c r="T56" s="178">
        <f t="shared" si="7"/>
        <v>6</v>
      </c>
      <c r="U56" s="253">
        <f t="shared" si="19"/>
        <v>4.0334400782249822E-3</v>
      </c>
      <c r="V56" s="385">
        <f t="shared" si="8"/>
        <v>25.298739251870586</v>
      </c>
      <c r="W56" s="404"/>
      <c r="X56" s="157">
        <f t="shared" si="9"/>
        <v>44603</v>
      </c>
      <c r="Y56" s="387">
        <f t="shared" si="10"/>
        <v>12.119005801071648</v>
      </c>
      <c r="Z56" s="387">
        <f t="shared" si="20"/>
        <v>12.488340906195326</v>
      </c>
      <c r="AA56" s="388">
        <f t="shared" si="11"/>
        <v>14.657189955634172</v>
      </c>
      <c r="AB56" s="199">
        <f t="shared" si="12"/>
        <v>44603</v>
      </c>
      <c r="AC56" s="119">
        <f>IF(OR(t&lt;Tnet,NoTnet),'2021'!Resal_s+('2021'!Salim-'2021'!Resal_s)*(1-EXP(('2021'!Tnet_s-t)/'2021'!Tau_j)),Resal_s+(Salim-Resal_s)*(1-EXP((Tnet_s-t)/Tau_j)))*Salcycl</f>
        <v>0.14797168188470861</v>
      </c>
      <c r="AD56" s="233">
        <f>(INDEX(Models!$BJ56:$BT56,,AH56)*(1-AF56)+INDEX(Models!$BJ56:$BT56,,AH56+1)*AF56-ERP_i)*AE56*Ramure*Pc/MaxiM</f>
        <v>3.4964105432492648E-2</v>
      </c>
      <c r="AE56" s="307">
        <f t="shared" si="13"/>
        <v>1</v>
      </c>
      <c r="AF56" s="179">
        <f t="shared" si="21"/>
        <v>4.0334400782249822E-3</v>
      </c>
      <c r="AG56" s="837">
        <f t="shared" si="22"/>
        <v>0</v>
      </c>
      <c r="AH56" s="178">
        <f t="shared" si="14"/>
        <v>6</v>
      </c>
      <c r="AI56" s="227">
        <f t="shared" si="23"/>
        <v>4.0334400782249822E-3</v>
      </c>
      <c r="AJ56" s="267" t="b">
        <f t="shared" si="15"/>
        <v>1</v>
      </c>
      <c r="AK56" s="267" t="b">
        <f t="shared" si="16"/>
        <v>0</v>
      </c>
      <c r="AL56" s="267"/>
      <c r="AM56" s="267"/>
      <c r="AN56" s="75"/>
    </row>
    <row r="57" spans="1:40" s="6" customFormat="1" ht="11.25" x14ac:dyDescent="0.2">
      <c r="A57" s="56">
        <f t="shared" si="17"/>
        <v>44604</v>
      </c>
      <c r="B57" s="618">
        <v>21.612000000000002</v>
      </c>
      <c r="C57" s="866"/>
      <c r="D57" s="395">
        <f t="shared" si="0"/>
        <v>22.271158968197089</v>
      </c>
      <c r="E57" s="387">
        <f t="shared" si="1"/>
        <v>25.062429748249329</v>
      </c>
      <c r="F57" s="387">
        <f t="shared" si="2"/>
        <v>25.729635186971155</v>
      </c>
      <c r="G57" s="110">
        <f t="shared" si="18"/>
        <v>0.83624761266578473</v>
      </c>
      <c r="H57" s="414" t="b">
        <f>Wh_hp&gt;='2021'!Maxi_hp</f>
        <v>0</v>
      </c>
      <c r="I57" s="382">
        <f>IF(H57,Wh_hp,'2021'!Maxi_hp)</f>
        <v>30.634138699782948</v>
      </c>
      <c r="J57" s="85">
        <f>IF(H57,An,'2021'!An_max)</f>
        <v>2019</v>
      </c>
      <c r="K57" s="199">
        <f t="shared" si="3"/>
        <v>44604</v>
      </c>
      <c r="L57" s="147">
        <f>IF(t&lt;Tvie,1-EXP((T0-t)*PertePVj)+'2021'!Pspv,1-EXP((T0-t)*PertePVj)+Pspv)</f>
        <v>2.9596976481482407E-2</v>
      </c>
      <c r="M57" s="870"/>
      <c r="N57" s="870"/>
      <c r="O57" s="48">
        <f>IF(t&lt;Tnet,'2021'!Resal+('2021'!Salim-'2021'!Resal)*(1-EXP(('2021'!Tnet-t)/('2021'!Tau_j))),Resal+(Salim-Resal)*(1-EXP((Tnet-t)/(Tau_j))))*Salcycl</f>
        <v>0.11137271238624497</v>
      </c>
      <c r="P57" s="341">
        <f>(INDEX(Models!$BJ57:$BT57,,T57)*(1-R57)+INDEX(Models!$BJ57:$BT57,,T57+1)*R57-ERP_i)*Q57*Ramure*Pc/MaxiM</f>
        <v>3.3444587165044962E-2</v>
      </c>
      <c r="Q57" s="307">
        <f t="shared" si="4"/>
        <v>1</v>
      </c>
      <c r="R57" s="179">
        <f t="shared" si="5"/>
        <v>4.2512503793569606E-3</v>
      </c>
      <c r="S57" s="837">
        <f t="shared" si="6"/>
        <v>0</v>
      </c>
      <c r="T57" s="178">
        <f t="shared" si="7"/>
        <v>6</v>
      </c>
      <c r="U57" s="253">
        <f t="shared" si="19"/>
        <v>4.2512503793569606E-3</v>
      </c>
      <c r="V57" s="385">
        <f t="shared" si="8"/>
        <v>25.644679816678703</v>
      </c>
      <c r="W57" s="404"/>
      <c r="X57" s="157">
        <f t="shared" si="9"/>
        <v>44604</v>
      </c>
      <c r="Y57" s="387">
        <f t="shared" si="10"/>
        <v>20.720780575942623</v>
      </c>
      <c r="Z57" s="387">
        <f t="shared" si="20"/>
        <v>21.352757641678167</v>
      </c>
      <c r="AA57" s="388">
        <f t="shared" si="11"/>
        <v>25.062429748249329</v>
      </c>
      <c r="AB57" s="199">
        <f t="shared" si="12"/>
        <v>44604</v>
      </c>
      <c r="AC57" s="119">
        <f>IF(OR(t&lt;Tnet,NoTnet),'2021'!Resal_s+('2021'!Salim-'2021'!Resal_s)*(1-EXP(('2021'!Tnet_s-t)/'2021'!Tau_j)),Resal_s+(Salim-Resal_s)*(1-EXP((Tnet_s-t)/Tau_j)))*Salcycl</f>
        <v>0.14801725705905633</v>
      </c>
      <c r="AD57" s="233">
        <f>(INDEX(Models!$BJ57:$BT57,,AH57)*(1-AF57)+INDEX(Models!$BJ57:$BT57,,AH57+1)*AF57-ERP_i)*AE57*Ramure*Pc/MaxiM</f>
        <v>3.3444587165044962E-2</v>
      </c>
      <c r="AE57" s="307">
        <f t="shared" si="13"/>
        <v>1</v>
      </c>
      <c r="AF57" s="179">
        <f t="shared" si="21"/>
        <v>4.2512503793569606E-3</v>
      </c>
      <c r="AG57" s="837">
        <f t="shared" si="22"/>
        <v>0</v>
      </c>
      <c r="AH57" s="178">
        <f t="shared" si="14"/>
        <v>6</v>
      </c>
      <c r="AI57" s="227">
        <f t="shared" si="23"/>
        <v>4.2512503793569606E-3</v>
      </c>
      <c r="AJ57" s="267" t="b">
        <f t="shared" si="15"/>
        <v>1</v>
      </c>
      <c r="AK57" s="267" t="b">
        <f t="shared" si="16"/>
        <v>0</v>
      </c>
      <c r="AL57" s="267"/>
      <c r="AM57" s="267"/>
      <c r="AN57" s="75"/>
    </row>
    <row r="58" spans="1:40" s="6" customFormat="1" ht="11.25" x14ac:dyDescent="0.2">
      <c r="A58" s="56">
        <f t="shared" si="17"/>
        <v>44605</v>
      </c>
      <c r="B58" s="618">
        <v>25.189</v>
      </c>
      <c r="C58" s="866"/>
      <c r="D58" s="395">
        <f t="shared" si="0"/>
        <v>25.957860381697149</v>
      </c>
      <c r="E58" s="387">
        <f t="shared" si="1"/>
        <v>29.216770821387925</v>
      </c>
      <c r="F58" s="387">
        <f t="shared" si="2"/>
        <v>30.136874935510331</v>
      </c>
      <c r="G58" s="110">
        <f t="shared" si="18"/>
        <v>0.96760924682777427</v>
      </c>
      <c r="H58" s="414" t="b">
        <f>Wh_hp&gt;='2021'!Maxi_hp</f>
        <v>0</v>
      </c>
      <c r="I58" s="382">
        <f>IF(H58,Wh_hp,'2021'!Maxi_hp)</f>
        <v>31.578425450237262</v>
      </c>
      <c r="J58" s="85">
        <f>IF(H58,An,'2021'!An_max)</f>
        <v>2019</v>
      </c>
      <c r="K58" s="199">
        <f t="shared" si="3"/>
        <v>44605</v>
      </c>
      <c r="L58" s="147">
        <f>IF(t&lt;Tvie,1-EXP((T0-t)*PertePVj)+'2021'!Pspv,1-EXP((T0-t)*PertePVj)+Pspv)</f>
        <v>2.9619559177507249E-2</v>
      </c>
      <c r="M58" s="870"/>
      <c r="N58" s="870"/>
      <c r="O58" s="48">
        <f>IF(t&lt;Tnet,'2021'!Resal+('2021'!Salim-'2021'!Resal)*(1-EXP(('2021'!Tnet-t)/('2021'!Tau_j))),Resal+(Salim-Resal)*(1-EXP((Tnet-t)/(Tau_j))))*Salcycl</f>
        <v>0.11154245825500721</v>
      </c>
      <c r="P58" s="341">
        <f>(INDEX(Models!$BJ58:$BT58,,T58)*(1-R58)+INDEX(Models!$BJ58:$BT58,,T58+1)*R58-ERP_i)*Q58*Ramure*Pc/MaxiM</f>
        <v>3.1944509627601723E-2</v>
      </c>
      <c r="Q58" s="307">
        <f t="shared" si="4"/>
        <v>1</v>
      </c>
      <c r="R58" s="179">
        <f t="shared" si="5"/>
        <v>4.4780532788118157E-3</v>
      </c>
      <c r="S58" s="837">
        <f t="shared" si="6"/>
        <v>0</v>
      </c>
      <c r="T58" s="178">
        <f t="shared" si="7"/>
        <v>6</v>
      </c>
      <c r="U58" s="253">
        <f t="shared" si="19"/>
        <v>4.4780532788118157E-3</v>
      </c>
      <c r="V58" s="385">
        <f t="shared" si="8"/>
        <v>25.994242775849532</v>
      </c>
      <c r="W58" s="404"/>
      <c r="X58" s="157">
        <f t="shared" si="9"/>
        <v>44605</v>
      </c>
      <c r="Y58" s="387">
        <f t="shared" si="10"/>
        <v>24.153597076192337</v>
      </c>
      <c r="Z58" s="387">
        <f t="shared" si="20"/>
        <v>24.890853174781419</v>
      </c>
      <c r="AA58" s="388">
        <f t="shared" si="11"/>
        <v>29.216770821387925</v>
      </c>
      <c r="AB58" s="199">
        <f t="shared" si="12"/>
        <v>44605</v>
      </c>
      <c r="AC58" s="119">
        <f>IF(OR(t&lt;Tnet,NoTnet),'2021'!Resal_s+('2021'!Salim-'2021'!Resal_s)*(1-EXP(('2021'!Tnet_s-t)/'2021'!Tau_j)),Resal_s+(Salim-Resal_s)*(1-EXP((Tnet_s-t)/Tau_j)))*Salcycl</f>
        <v>0.14806282573294338</v>
      </c>
      <c r="AD58" s="233">
        <f>(INDEX(Models!$BJ58:$BT58,,AH58)*(1-AF58)+INDEX(Models!$BJ58:$BT58,,AH58+1)*AF58-ERP_i)*AE58*Ramure*Pc/MaxiM</f>
        <v>3.1944509627601723E-2</v>
      </c>
      <c r="AE58" s="307">
        <f t="shared" si="13"/>
        <v>1</v>
      </c>
      <c r="AF58" s="179">
        <f t="shared" si="21"/>
        <v>4.4780532788118157E-3</v>
      </c>
      <c r="AG58" s="837">
        <f t="shared" si="22"/>
        <v>0</v>
      </c>
      <c r="AH58" s="178">
        <f t="shared" si="14"/>
        <v>6</v>
      </c>
      <c r="AI58" s="227">
        <f t="shared" si="23"/>
        <v>4.4780532788118157E-3</v>
      </c>
      <c r="AJ58" s="267" t="b">
        <f t="shared" si="15"/>
        <v>1</v>
      </c>
      <c r="AK58" s="267" t="b">
        <f t="shared" si="16"/>
        <v>0</v>
      </c>
      <c r="AL58" s="267"/>
      <c r="AM58" s="267"/>
      <c r="AN58" s="75"/>
    </row>
    <row r="59" spans="1:40" s="6" customFormat="1" ht="11.25" x14ac:dyDescent="0.2">
      <c r="A59" s="56">
        <f t="shared" si="17"/>
        <v>44606</v>
      </c>
      <c r="B59" s="618">
        <v>14.8</v>
      </c>
      <c r="C59" s="866"/>
      <c r="D59" s="395">
        <f t="shared" si="0"/>
        <v>15.252105053861094</v>
      </c>
      <c r="E59" s="387">
        <f t="shared" si="1"/>
        <v>17.170219850064818</v>
      </c>
      <c r="F59" s="387">
        <f t="shared" si="2"/>
        <v>17.368195288715491</v>
      </c>
      <c r="G59" s="110">
        <f t="shared" si="18"/>
        <v>0.55088994246534873</v>
      </c>
      <c r="H59" s="414" t="b">
        <f>Wh_hp&gt;='2021'!Maxi_hp</f>
        <v>0</v>
      </c>
      <c r="I59" s="382">
        <f>IF(H59,Wh_hp,'2021'!Maxi_hp)</f>
        <v>31.770566290205203</v>
      </c>
      <c r="J59" s="85">
        <f>IF(H59,An,'2021'!An_max)</f>
        <v>2019</v>
      </c>
      <c r="K59" s="199">
        <f t="shared" si="3"/>
        <v>44606</v>
      </c>
      <c r="L59" s="147">
        <f>IF(t&lt;Tvie,1-EXP((T0-t)*PertePVj)+'2021'!Pspv,1-EXP((T0-t)*PertePVj)+Pspv)</f>
        <v>2.9642141347999806E-2</v>
      </c>
      <c r="M59" s="870"/>
      <c r="N59" s="870"/>
      <c r="O59" s="48">
        <f>IF(t&lt;Tnet,'2021'!Resal+('2021'!Salim-'2021'!Resal)*(1-EXP(('2021'!Tnet-t)/('2021'!Tau_j))),Resal+(Salim-Resal)*(1-EXP((Tnet-t)/(Tau_j))))*Salcycl</f>
        <v>0.11171172023149628</v>
      </c>
      <c r="P59" s="341">
        <f>(INDEX(Models!$BJ59:$BT59,,T59)*(1-R59)+INDEX(Models!$BJ59:$BT59,,T59+1)*R59-ERP_i)*Q59*Ramure*Pc/MaxiM</f>
        <v>3.0485439462091445E-2</v>
      </c>
      <c r="Q59" s="307">
        <f t="shared" si="4"/>
        <v>1</v>
      </c>
      <c r="R59" s="179">
        <f t="shared" si="5"/>
        <v>4.7142137683862002E-3</v>
      </c>
      <c r="S59" s="837">
        <f t="shared" si="6"/>
        <v>0</v>
      </c>
      <c r="T59" s="178">
        <f t="shared" si="7"/>
        <v>6</v>
      </c>
      <c r="U59" s="253">
        <f t="shared" si="19"/>
        <v>4.7142137683862002E-3</v>
      </c>
      <c r="V59" s="385">
        <f t="shared" si="8"/>
        <v>26.346931687913013</v>
      </c>
      <c r="W59" s="404"/>
      <c r="X59" s="157">
        <f t="shared" si="9"/>
        <v>44606</v>
      </c>
      <c r="Y59" s="387">
        <f t="shared" si="10"/>
        <v>14.193586274925147</v>
      </c>
      <c r="Z59" s="387">
        <f t="shared" si="20"/>
        <v>14.627166821364817</v>
      </c>
      <c r="AA59" s="388">
        <f t="shared" si="11"/>
        <v>17.170219850064818</v>
      </c>
      <c r="AB59" s="199">
        <f t="shared" si="12"/>
        <v>44606</v>
      </c>
      <c r="AC59" s="119">
        <f>IF(OR(t&lt;Tnet,NoTnet),'2021'!Resal_s+('2021'!Salim-'2021'!Resal_s)*(1-EXP(('2021'!Tnet_s-t)/'2021'!Tau_j)),Resal_s+(Salim-Resal_s)*(1-EXP((Tnet_s-t)/Tau_j)))*Salcycl</f>
        <v>0.14810835568249289</v>
      </c>
      <c r="AD59" s="233">
        <f>(INDEX(Models!$BJ59:$BT59,,AH59)*(1-AF59)+INDEX(Models!$BJ59:$BT59,,AH59+1)*AF59-ERP_i)*AE59*Ramure*Pc/MaxiM</f>
        <v>3.0485439462091445E-2</v>
      </c>
      <c r="AE59" s="307">
        <f t="shared" si="13"/>
        <v>1</v>
      </c>
      <c r="AF59" s="179">
        <f t="shared" si="21"/>
        <v>4.7142137683862002E-3</v>
      </c>
      <c r="AG59" s="837">
        <f t="shared" si="22"/>
        <v>0</v>
      </c>
      <c r="AH59" s="178">
        <f t="shared" si="14"/>
        <v>6</v>
      </c>
      <c r="AI59" s="227">
        <f t="shared" si="23"/>
        <v>4.7142137683862002E-3</v>
      </c>
      <c r="AJ59" s="267" t="b">
        <f t="shared" si="15"/>
        <v>1</v>
      </c>
      <c r="AK59" s="267" t="b">
        <f t="shared" si="16"/>
        <v>0</v>
      </c>
      <c r="AL59" s="267"/>
      <c r="AM59" s="267"/>
      <c r="AN59" s="75"/>
    </row>
    <row r="60" spans="1:40" s="6" customFormat="1" ht="11.25" x14ac:dyDescent="0.2">
      <c r="A60" s="56">
        <f t="shared" si="17"/>
        <v>44607</v>
      </c>
      <c r="B60" s="618">
        <v>18.019000000000002</v>
      </c>
      <c r="C60" s="866"/>
      <c r="D60" s="395">
        <f t="shared" si="0"/>
        <v>18.569870051080805</v>
      </c>
      <c r="E60" s="387">
        <f t="shared" si="1"/>
        <v>20.909201474528658</v>
      </c>
      <c r="F60" s="387">
        <f t="shared" si="2"/>
        <v>21.239752638470424</v>
      </c>
      <c r="G60" s="110">
        <f t="shared" si="18"/>
        <v>0.66554087961278419</v>
      </c>
      <c r="H60" s="414" t="b">
        <f>Wh_hp&gt;='2021'!Maxi_hp</f>
        <v>0</v>
      </c>
      <c r="I60" s="382">
        <f>IF(H60,Wh_hp,'2021'!Maxi_hp)</f>
        <v>31.929826724148288</v>
      </c>
      <c r="J60" s="85">
        <f>IF(H60,An,'2021'!An_max)</f>
        <v>2019</v>
      </c>
      <c r="K60" s="199">
        <f t="shared" si="3"/>
        <v>44607</v>
      </c>
      <c r="L60" s="147">
        <f>IF(t&lt;Tvie,1-EXP((T0-t)*PertePVj)+'2021'!Pspv,1-EXP((T0-t)*PertePVj)+Pspv)</f>
        <v>2.9664722992972181E-2</v>
      </c>
      <c r="M60" s="870"/>
      <c r="N60" s="870"/>
      <c r="O60" s="48">
        <f>IF(t&lt;Tnet,'2021'!Resal+('2021'!Salim-'2021'!Resal)*(1-EXP(('2021'!Tnet-t)/('2021'!Tau_j))),Resal+(Salim-Resal)*(1-EXP((Tnet-t)/(Tau_j))))*Salcycl</f>
        <v>0.11188047646379987</v>
      </c>
      <c r="P60" s="341">
        <f>(INDEX(Models!$BJ60:$BT60,,T60)*(1-R60)+INDEX(Models!$BJ60:$BT60,,T60+1)*R60-ERP_i)*Q60*Ramure*Pc/MaxiM</f>
        <v>2.9066388847542167E-2</v>
      </c>
      <c r="Q60" s="307">
        <f t="shared" si="4"/>
        <v>1</v>
      </c>
      <c r="R60" s="179">
        <f t="shared" si="5"/>
        <v>4.9601111212488162E-3</v>
      </c>
      <c r="S60" s="837">
        <f t="shared" si="6"/>
        <v>0</v>
      </c>
      <c r="T60" s="178">
        <f t="shared" si="7"/>
        <v>6</v>
      </c>
      <c r="U60" s="253">
        <f t="shared" si="19"/>
        <v>4.9601111212488162E-3</v>
      </c>
      <c r="V60" s="385">
        <f t="shared" si="8"/>
        <v>26.702842341250847</v>
      </c>
      <c r="W60" s="404"/>
      <c r="X60" s="157">
        <f t="shared" si="9"/>
        <v>44607</v>
      </c>
      <c r="Y60" s="387">
        <f t="shared" si="10"/>
        <v>17.28305255137651</v>
      </c>
      <c r="Z60" s="387">
        <f t="shared" si="20"/>
        <v>17.811423495480454</v>
      </c>
      <c r="AA60" s="388">
        <f t="shared" si="11"/>
        <v>20.909201474528658</v>
      </c>
      <c r="AB60" s="199">
        <f t="shared" si="12"/>
        <v>44607</v>
      </c>
      <c r="AC60" s="119">
        <f>IF(OR(t&lt;Tnet,NoTnet),'2021'!Resal_s+('2021'!Salim-'2021'!Resal_s)*(1-EXP(('2021'!Tnet_s-t)/'2021'!Tau_j)),Resal_s+(Salim-Resal_s)*(1-EXP((Tnet_s-t)/Tau_j)))*Salcycl</f>
        <v>0.14815381557358276</v>
      </c>
      <c r="AD60" s="233">
        <f>(INDEX(Models!$BJ60:$BT60,,AH60)*(1-AF60)+INDEX(Models!$BJ60:$BT60,,AH60+1)*AF60-ERP_i)*AE60*Ramure*Pc/MaxiM</f>
        <v>2.9066388847542167E-2</v>
      </c>
      <c r="AE60" s="307">
        <f t="shared" si="13"/>
        <v>1</v>
      </c>
      <c r="AF60" s="179">
        <f t="shared" si="21"/>
        <v>4.9601111212488162E-3</v>
      </c>
      <c r="AG60" s="837">
        <f t="shared" si="22"/>
        <v>0</v>
      </c>
      <c r="AH60" s="178">
        <f t="shared" si="14"/>
        <v>6</v>
      </c>
      <c r="AI60" s="227">
        <f t="shared" si="23"/>
        <v>4.9601111212488162E-3</v>
      </c>
      <c r="AJ60" s="267" t="b">
        <f t="shared" si="15"/>
        <v>1</v>
      </c>
      <c r="AK60" s="267" t="b">
        <f t="shared" si="16"/>
        <v>0</v>
      </c>
      <c r="AL60" s="267"/>
      <c r="AM60" s="267"/>
      <c r="AN60" s="75"/>
    </row>
    <row r="61" spans="1:40" s="6" customFormat="1" ht="11.25" x14ac:dyDescent="0.2">
      <c r="A61" s="56">
        <f t="shared" si="17"/>
        <v>44608</v>
      </c>
      <c r="B61" s="618">
        <v>9.1910000000000007</v>
      </c>
      <c r="C61" s="866"/>
      <c r="D61" s="395">
        <f t="shared" si="0"/>
        <v>9.4722042069055075</v>
      </c>
      <c r="E61" s="387">
        <f t="shared" si="1"/>
        <v>10.667481731201015</v>
      </c>
      <c r="F61" s="387">
        <f t="shared" si="2"/>
        <v>10.684227257336291</v>
      </c>
      <c r="G61" s="110">
        <f t="shared" si="18"/>
        <v>0.33074197291042151</v>
      </c>
      <c r="H61" s="414" t="b">
        <f>Wh_hp&gt;='2021'!Maxi_hp</f>
        <v>0</v>
      </c>
      <c r="I61" s="382">
        <f>IF(H61,Wh_hp,'2021'!Maxi_hp)</f>
        <v>32.591538912686424</v>
      </c>
      <c r="J61" s="85">
        <f>IF(H61,An,'2021'!An_max)</f>
        <v>2019</v>
      </c>
      <c r="K61" s="199">
        <f t="shared" si="3"/>
        <v>44608</v>
      </c>
      <c r="L61" s="147">
        <f>IF(t&lt;Tvie,1-EXP((T0-t)*PertePVj)+'2021'!Pspv,1-EXP((T0-t)*PertePVj)+Pspv)</f>
        <v>2.9687304112436697E-2</v>
      </c>
      <c r="M61" s="870"/>
      <c r="N61" s="870"/>
      <c r="O61" s="48">
        <f>IF(t&lt;Tnet,'2021'!Resal+('2021'!Salim-'2021'!Resal)*(1-EXP(('2021'!Tnet-t)/('2021'!Tau_j))),Resal+(Salim-Resal)*(1-EXP((Tnet-t)/(Tau_j))))*Salcycl</f>
        <v>0.11204870600335554</v>
      </c>
      <c r="P61" s="341">
        <f>(INDEX(Models!$BJ61:$BT61,,T61)*(1-R61)+INDEX(Models!$BJ61:$BT61,,T61+1)*R61-ERP_i)*Q61*Ramure*Pc/MaxiM</f>
        <v>2.7686401501293159E-2</v>
      </c>
      <c r="Q61" s="307">
        <f t="shared" si="4"/>
        <v>1</v>
      </c>
      <c r="R61" s="179">
        <f t="shared" si="5"/>
        <v>5.2161394053521267E-3</v>
      </c>
      <c r="S61" s="837">
        <f t="shared" si="6"/>
        <v>0</v>
      </c>
      <c r="T61" s="178">
        <f t="shared" si="7"/>
        <v>6</v>
      </c>
      <c r="U61" s="253">
        <f t="shared" si="19"/>
        <v>5.2161394053521267E-3</v>
      </c>
      <c r="V61" s="385">
        <f t="shared" si="8"/>
        <v>27.062070581458972</v>
      </c>
      <c r="W61" s="404"/>
      <c r="X61" s="157">
        <f t="shared" si="9"/>
        <v>44608</v>
      </c>
      <c r="Y61" s="387">
        <f t="shared" si="10"/>
        <v>8.8168139756820505</v>
      </c>
      <c r="Z61" s="387">
        <f t="shared" si="20"/>
        <v>9.0865697347360221</v>
      </c>
      <c r="AA61" s="388">
        <f t="shared" si="11"/>
        <v>10.667481731201015</v>
      </c>
      <c r="AB61" s="199">
        <f t="shared" si="12"/>
        <v>44608</v>
      </c>
      <c r="AC61" s="119">
        <f>IF(OR(t&lt;Tnet,NoTnet),'2021'!Resal_s+('2021'!Salim-'2021'!Resal_s)*(1-EXP(('2021'!Tnet_s-t)/'2021'!Tau_j)),Resal_s+(Salim-Resal_s)*(1-EXP((Tnet_s-t)/Tau_j)))*Salcycl</f>
        <v>0.14819917542872646</v>
      </c>
      <c r="AD61" s="233">
        <f>(INDEX(Models!$BJ61:$BT61,,AH61)*(1-AF61)+INDEX(Models!$BJ61:$BT61,,AH61+1)*AF61-ERP_i)*AE61*Ramure*Pc/MaxiM</f>
        <v>2.7686401501293159E-2</v>
      </c>
      <c r="AE61" s="307">
        <f t="shared" si="13"/>
        <v>1</v>
      </c>
      <c r="AF61" s="179">
        <f t="shared" si="21"/>
        <v>5.2161394053521267E-3</v>
      </c>
      <c r="AG61" s="837">
        <f t="shared" si="22"/>
        <v>0</v>
      </c>
      <c r="AH61" s="178">
        <f t="shared" si="14"/>
        <v>6</v>
      </c>
      <c r="AI61" s="227">
        <f t="shared" si="23"/>
        <v>5.2161394053521267E-3</v>
      </c>
      <c r="AJ61" s="267" t="b">
        <f t="shared" si="15"/>
        <v>1</v>
      </c>
      <c r="AK61" s="267" t="b">
        <f t="shared" si="16"/>
        <v>0</v>
      </c>
      <c r="AL61" s="267"/>
      <c r="AM61" s="267"/>
      <c r="AN61" s="75"/>
    </row>
    <row r="62" spans="1:40" s="6" customFormat="1" ht="11.25" x14ac:dyDescent="0.2">
      <c r="A62" s="56">
        <f t="shared" si="17"/>
        <v>44609</v>
      </c>
      <c r="B62" s="618">
        <v>10.678000000000001</v>
      </c>
      <c r="C62" s="866"/>
      <c r="D62" s="395">
        <f t="shared" si="0"/>
        <v>11.004955973161705</v>
      </c>
      <c r="E62" s="387">
        <f t="shared" si="1"/>
        <v>12.39598911135519</v>
      </c>
      <c r="F62" s="387">
        <f t="shared" si="2"/>
        <v>12.437816893693334</v>
      </c>
      <c r="G62" s="110">
        <f t="shared" si="18"/>
        <v>0.38037862815326579</v>
      </c>
      <c r="H62" s="414" t="b">
        <f>Wh_hp&gt;='2021'!Maxi_hp</f>
        <v>0</v>
      </c>
      <c r="I62" s="382">
        <f>IF(H62,Wh_hp,'2021'!Maxi_hp)</f>
        <v>33.211013673025583</v>
      </c>
      <c r="J62" s="85">
        <f>IF(H62,An,'2021'!An_max)</f>
        <v>2019</v>
      </c>
      <c r="K62" s="199">
        <f t="shared" si="3"/>
        <v>44609</v>
      </c>
      <c r="L62" s="147">
        <f>IF(t&lt;Tvie,1-EXP((T0-t)*PertePVj)+'2021'!Pspv,1-EXP((T0-t)*PertePVj)+Pspv)</f>
        <v>2.9709884706405676E-2</v>
      </c>
      <c r="M62" s="870"/>
      <c r="N62" s="870"/>
      <c r="O62" s="48">
        <f>IF(t&lt;Tnet,'2021'!Resal+('2021'!Salim-'2021'!Resal)*(1-EXP(('2021'!Tnet-t)/('2021'!Tau_j))),Resal+(Salim-Resal)*(1-EXP((Tnet-t)/(Tau_j))))*Salcycl</f>
        <v>0.11221638916407617</v>
      </c>
      <c r="P62" s="341">
        <f>(INDEX(Models!$BJ62:$BT62,,T62)*(1-R62)+INDEX(Models!$BJ62:$BT62,,T62+1)*R62-ERP_i)*Q62*Ramure*Pc/MaxiM</f>
        <v>2.6344550813411877E-2</v>
      </c>
      <c r="Q62" s="307">
        <f t="shared" si="4"/>
        <v>1</v>
      </c>
      <c r="R62" s="179">
        <f t="shared" si="5"/>
        <v>5.4827080113709946E-3</v>
      </c>
      <c r="S62" s="837">
        <f t="shared" si="6"/>
        <v>0</v>
      </c>
      <c r="T62" s="178">
        <f t="shared" si="7"/>
        <v>6</v>
      </c>
      <c r="U62" s="253">
        <f t="shared" si="19"/>
        <v>5.4827080113709946E-3</v>
      </c>
      <c r="V62" s="385">
        <f t="shared" si="8"/>
        <v>27.42471230507061</v>
      </c>
      <c r="W62" s="404"/>
      <c r="X62" s="157">
        <f t="shared" si="9"/>
        <v>44609</v>
      </c>
      <c r="Y62" s="387">
        <f t="shared" si="10"/>
        <v>10.244665603264794</v>
      </c>
      <c r="Z62" s="387">
        <f t="shared" si="20"/>
        <v>10.558353055225057</v>
      </c>
      <c r="AA62" s="388">
        <f t="shared" si="11"/>
        <v>12.39598911135519</v>
      </c>
      <c r="AB62" s="199">
        <f t="shared" si="12"/>
        <v>44609</v>
      </c>
      <c r="AC62" s="119">
        <f>IF(OR(t&lt;Tnet,NoTnet),'2021'!Resal_s+('2021'!Salim-'2021'!Resal_s)*(1-EXP(('2021'!Tnet_s-t)/'2021'!Tau_j)),Resal_s+(Salim-Resal_s)*(1-EXP((Tnet_s-t)/Tau_j)))*Salcycl</f>
        <v>0.14824440709187059</v>
      </c>
      <c r="AD62" s="233">
        <f>(INDEX(Models!$BJ62:$BT62,,AH62)*(1-AF62)+INDEX(Models!$BJ62:$BT62,,AH62+1)*AF62-ERP_i)*AE62*Ramure*Pc/MaxiM</f>
        <v>2.6344550813411877E-2</v>
      </c>
      <c r="AE62" s="307">
        <f t="shared" si="13"/>
        <v>1</v>
      </c>
      <c r="AF62" s="179">
        <f t="shared" si="21"/>
        <v>5.4827080113709946E-3</v>
      </c>
      <c r="AG62" s="837">
        <f t="shared" si="22"/>
        <v>0</v>
      </c>
      <c r="AH62" s="178">
        <f t="shared" si="14"/>
        <v>6</v>
      </c>
      <c r="AI62" s="227">
        <f t="shared" si="23"/>
        <v>5.4827080113709946E-3</v>
      </c>
      <c r="AJ62" s="267" t="b">
        <f t="shared" si="15"/>
        <v>1</v>
      </c>
      <c r="AK62" s="267" t="b">
        <f t="shared" si="16"/>
        <v>0</v>
      </c>
      <c r="AL62" s="267"/>
      <c r="AM62" s="267"/>
      <c r="AN62" s="75"/>
    </row>
    <row r="63" spans="1:40" s="6" customFormat="1" ht="11.25" x14ac:dyDescent="0.2">
      <c r="A63" s="56">
        <f t="shared" si="17"/>
        <v>44610</v>
      </c>
      <c r="B63" s="618">
        <v>25.205000000000002</v>
      </c>
      <c r="C63" s="866"/>
      <c r="D63" s="395">
        <f t="shared" si="0"/>
        <v>25.977371276420445</v>
      </c>
      <c r="E63" s="387">
        <f t="shared" si="1"/>
        <v>29.266436019386504</v>
      </c>
      <c r="F63" s="387">
        <f t="shared" si="2"/>
        <v>29.915956710750528</v>
      </c>
      <c r="G63" s="110">
        <f t="shared" si="18"/>
        <v>0.90386702960044707</v>
      </c>
      <c r="H63" s="414" t="b">
        <f>Wh_hp&gt;='2021'!Maxi_hp</f>
        <v>0</v>
      </c>
      <c r="I63" s="382">
        <f>IF(H63,Wh_hp,'2021'!Maxi_hp)</f>
        <v>33.126742104724151</v>
      </c>
      <c r="J63" s="85">
        <f>IF(H63,An,'2021'!An_max)</f>
        <v>2019</v>
      </c>
      <c r="K63" s="199">
        <f t="shared" si="3"/>
        <v>44610</v>
      </c>
      <c r="L63" s="147">
        <f>IF(t&lt;Tvie,1-EXP((T0-t)*PertePVj)+'2021'!Pspv,1-EXP((T0-t)*PertePVj)+Pspv)</f>
        <v>2.9732464774891221E-2</v>
      </c>
      <c r="M63" s="870"/>
      <c r="N63" s="870"/>
      <c r="O63" s="48">
        <f>IF(t&lt;Tnet,'2021'!Resal+('2021'!Salim-'2021'!Resal)*(1-EXP(('2021'!Tnet-t)/('2021'!Tau_j))),Resal+(Salim-Resal)*(1-EXP((Tnet-t)/(Tau_j))))*Salcycl</f>
        <v>0.11238350787869539</v>
      </c>
      <c r="P63" s="341">
        <f>(INDEX(Models!$BJ63:$BT63,,T63)*(1-R63)+INDEX(Models!$BJ63:$BT63,,T63+1)*R63-ERP_i)*Q63*Ramure*Pc/MaxiM</f>
        <v>2.5039938136757301E-2</v>
      </c>
      <c r="Q63" s="307">
        <f t="shared" si="4"/>
        <v>1</v>
      </c>
      <c r="R63" s="179">
        <f t="shared" si="5"/>
        <v>5.7602421952185753E-3</v>
      </c>
      <c r="S63" s="837">
        <f t="shared" si="6"/>
        <v>0</v>
      </c>
      <c r="T63" s="178">
        <f t="shared" si="7"/>
        <v>6</v>
      </c>
      <c r="U63" s="253">
        <f t="shared" si="19"/>
        <v>5.7602421952185753E-3</v>
      </c>
      <c r="V63" s="385">
        <f t="shared" si="8"/>
        <v>27.790863436780803</v>
      </c>
      <c r="W63" s="404"/>
      <c r="X63" s="157">
        <f t="shared" si="9"/>
        <v>44610</v>
      </c>
      <c r="Y63" s="387">
        <f t="shared" si="10"/>
        <v>24.185404089525615</v>
      </c>
      <c r="Z63" s="387">
        <f t="shared" si="20"/>
        <v>24.926531303466145</v>
      </c>
      <c r="AA63" s="388">
        <f t="shared" si="11"/>
        <v>29.266436019386504</v>
      </c>
      <c r="AB63" s="199">
        <f t="shared" si="12"/>
        <v>44610</v>
      </c>
      <c r="AC63" s="119">
        <f>IF(OR(t&lt;Tnet,NoTnet),'2021'!Resal_s+('2021'!Salim-'2021'!Resal_s)*(1-EXP(('2021'!Tnet_s-t)/'2021'!Tau_j)),Resal_s+(Salim-Resal_s)*(1-EXP((Tnet_s-t)/Tau_j)))*Salcycl</f>
        <v>0.14828948468633291</v>
      </c>
      <c r="AD63" s="233">
        <f>(INDEX(Models!$BJ63:$BT63,,AH63)*(1-AF63)+INDEX(Models!$BJ63:$BT63,,AH63+1)*AF63-ERP_i)*AE63*Ramure*Pc/MaxiM</f>
        <v>2.5039938136757301E-2</v>
      </c>
      <c r="AE63" s="307">
        <f t="shared" si="13"/>
        <v>1</v>
      </c>
      <c r="AF63" s="179">
        <f t="shared" si="21"/>
        <v>5.7602421952185753E-3</v>
      </c>
      <c r="AG63" s="837">
        <f t="shared" si="22"/>
        <v>0</v>
      </c>
      <c r="AH63" s="178">
        <f t="shared" si="14"/>
        <v>6</v>
      </c>
      <c r="AI63" s="227">
        <f t="shared" si="23"/>
        <v>5.7602421952185753E-3</v>
      </c>
      <c r="AJ63" s="267" t="b">
        <f t="shared" si="15"/>
        <v>1</v>
      </c>
      <c r="AK63" s="267" t="b">
        <f t="shared" si="16"/>
        <v>0</v>
      </c>
      <c r="AL63" s="267"/>
      <c r="AM63" s="267"/>
      <c r="AN63" s="75"/>
    </row>
    <row r="64" spans="1:40" s="6" customFormat="1" ht="11.25" x14ac:dyDescent="0.2">
      <c r="A64" s="56">
        <f t="shared" si="17"/>
        <v>44611</v>
      </c>
      <c r="B64" s="618">
        <v>15.212</v>
      </c>
      <c r="C64" s="866"/>
      <c r="D64" s="395">
        <f t="shared" si="0"/>
        <v>15.678514905862892</v>
      </c>
      <c r="E64" s="387">
        <f t="shared" si="1"/>
        <v>17.666928524878141</v>
      </c>
      <c r="F64" s="387">
        <f t="shared" si="2"/>
        <v>17.812216426169819</v>
      </c>
      <c r="G64" s="110">
        <f t="shared" si="18"/>
        <v>0.53168255922195895</v>
      </c>
      <c r="H64" s="414" t="b">
        <f>Wh_hp&gt;='2021'!Maxi_hp</f>
        <v>0</v>
      </c>
      <c r="I64" s="382">
        <f>IF(H64,Wh_hp,'2021'!Maxi_hp)</f>
        <v>32.228087820026474</v>
      </c>
      <c r="J64" s="85">
        <f>IF(H64,An,'2021'!An_max)</f>
        <v>2021</v>
      </c>
      <c r="K64" s="199">
        <f t="shared" si="3"/>
        <v>44611</v>
      </c>
      <c r="L64" s="147">
        <f>IF(t&lt;Tvie,1-EXP((T0-t)*PertePVj)+'2021'!Pspv,1-EXP((T0-t)*PertePVj)+Pspv)</f>
        <v>2.9755044317905543E-2</v>
      </c>
      <c r="M64" s="870"/>
      <c r="N64" s="870"/>
      <c r="O64" s="48">
        <f>IF(t&lt;Tnet,'2021'!Resal+('2021'!Salim-'2021'!Resal)*(1-EXP(('2021'!Tnet-t)/('2021'!Tau_j))),Resal+(Salim-Resal)*(1-EXP((Tnet-t)/(Tau_j))))*Salcycl</f>
        <v>0.11255004604876363</v>
      </c>
      <c r="P64" s="341">
        <f>(INDEX(Models!$BJ64:$BT64,,T64)*(1-R64)+INDEX(Models!$BJ64:$BT64,,T64+1)*R64-ERP_i)*Q64*Ramure*Pc/MaxiM</f>
        <v>2.3771691197087576E-2</v>
      </c>
      <c r="Q64" s="307">
        <f t="shared" si="4"/>
        <v>1</v>
      </c>
      <c r="R64" s="179">
        <f t="shared" si="5"/>
        <v>6.0491836351511258E-3</v>
      </c>
      <c r="S64" s="837">
        <f t="shared" si="6"/>
        <v>0</v>
      </c>
      <c r="T64" s="178">
        <f t="shared" si="7"/>
        <v>6</v>
      </c>
      <c r="U64" s="253">
        <f t="shared" si="19"/>
        <v>6.0491836351511258E-3</v>
      </c>
      <c r="V64" s="385">
        <f t="shared" si="8"/>
        <v>28.160619914318779</v>
      </c>
      <c r="W64" s="404"/>
      <c r="X64" s="157">
        <f t="shared" si="9"/>
        <v>44611</v>
      </c>
      <c r="Y64" s="387">
        <f t="shared" si="10"/>
        <v>14.598611760319846</v>
      </c>
      <c r="Z64" s="387">
        <f t="shared" si="20"/>
        <v>15.046315546218777</v>
      </c>
      <c r="AA64" s="388">
        <f t="shared" si="11"/>
        <v>17.666928524878141</v>
      </c>
      <c r="AB64" s="199">
        <f t="shared" si="12"/>
        <v>44611</v>
      </c>
      <c r="AC64" s="119">
        <f>IF(OR(t&lt;Tnet,NoTnet),'2021'!Resal_s+('2021'!Salim-'2021'!Resal_s)*(1-EXP(('2021'!Tnet_s-t)/'2021'!Tau_j)),Resal_s+(Salim-Resal_s)*(1-EXP((Tnet_s-t)/Tau_j)))*Salcycl</f>
        <v>0.14833438506127886</v>
      </c>
      <c r="AD64" s="233">
        <f>(INDEX(Models!$BJ64:$BT64,,AH64)*(1-AF64)+INDEX(Models!$BJ64:$BT64,,AH64+1)*AF64-ERP_i)*AE64*Ramure*Pc/MaxiM</f>
        <v>2.3771691197087576E-2</v>
      </c>
      <c r="AE64" s="307">
        <f t="shared" si="13"/>
        <v>1</v>
      </c>
      <c r="AF64" s="179">
        <f t="shared" si="21"/>
        <v>6.0491836351511258E-3</v>
      </c>
      <c r="AG64" s="837">
        <f t="shared" si="22"/>
        <v>0</v>
      </c>
      <c r="AH64" s="178">
        <f t="shared" si="14"/>
        <v>6</v>
      </c>
      <c r="AI64" s="227">
        <f t="shared" si="23"/>
        <v>6.0491836351511258E-3</v>
      </c>
      <c r="AJ64" s="267" t="b">
        <f t="shared" si="15"/>
        <v>1</v>
      </c>
      <c r="AK64" s="267" t="b">
        <f t="shared" si="16"/>
        <v>0</v>
      </c>
      <c r="AL64" s="267"/>
      <c r="AM64" s="267"/>
      <c r="AN64" s="75"/>
    </row>
    <row r="65" spans="1:40" s="6" customFormat="1" ht="11.25" x14ac:dyDescent="0.2">
      <c r="A65" s="56">
        <f t="shared" si="17"/>
        <v>44612</v>
      </c>
      <c r="B65" s="618">
        <v>18.201000000000001</v>
      </c>
      <c r="C65" s="866"/>
      <c r="D65" s="395">
        <f t="shared" si="0"/>
        <v>18.759616803079691</v>
      </c>
      <c r="E65" s="387">
        <f t="shared" si="1"/>
        <v>21.142741883340516</v>
      </c>
      <c r="F65" s="387">
        <f t="shared" si="2"/>
        <v>21.375266768935369</v>
      </c>
      <c r="G65" s="110">
        <f t="shared" si="18"/>
        <v>0.63033608971003896</v>
      </c>
      <c r="H65" s="414" t="b">
        <f>Wh_hp&gt;='2021'!Maxi_hp</f>
        <v>0</v>
      </c>
      <c r="I65" s="382">
        <f>IF(H65,Wh_hp,'2021'!Maxi_hp)</f>
        <v>33.595449120875671</v>
      </c>
      <c r="J65" s="85">
        <f>IF(H65,An,'2021'!An_max)</f>
        <v>2020</v>
      </c>
      <c r="K65" s="199">
        <f t="shared" si="3"/>
        <v>44612</v>
      </c>
      <c r="L65" s="147">
        <f>IF(t&lt;Tvie,1-EXP((T0-t)*PertePVj)+'2021'!Pspv,1-EXP((T0-t)*PertePVj)+Pspv)</f>
        <v>2.9777623335460857E-2</v>
      </c>
      <c r="M65" s="870"/>
      <c r="N65" s="870"/>
      <c r="O65" s="48">
        <f>IF(t&lt;Tnet,'2021'!Resal+('2021'!Salim-'2021'!Resal)*(1-EXP(('2021'!Tnet-t)/('2021'!Tau_j))),Resal+(Salim-Resal)*(1-EXP((Tnet-t)/(Tau_j))))*Salcycl</f>
        <v>0.11271598988486051</v>
      </c>
      <c r="P65" s="341">
        <f>(INDEX(Models!$BJ65:$BT65,,T65)*(1-R65)+INDEX(Models!$BJ65:$BT65,,T65+1)*R65-ERP_i)*Q65*Ramure*Pc/MaxiM</f>
        <v>2.2538499283573939E-2</v>
      </c>
      <c r="Q65" s="307">
        <f t="shared" si="4"/>
        <v>1</v>
      </c>
      <c r="R65" s="179">
        <f t="shared" si="5"/>
        <v>6.3499910034255265E-3</v>
      </c>
      <c r="S65" s="837">
        <f t="shared" si="6"/>
        <v>0</v>
      </c>
      <c r="T65" s="178">
        <f t="shared" si="7"/>
        <v>6</v>
      </c>
      <c r="U65" s="253">
        <f t="shared" si="19"/>
        <v>6.3499910034255265E-3</v>
      </c>
      <c r="V65" s="385">
        <f t="shared" si="8"/>
        <v>28.534677794061214</v>
      </c>
      <c r="W65" s="404"/>
      <c r="X65" s="157">
        <f t="shared" si="9"/>
        <v>44612</v>
      </c>
      <c r="Y65" s="387">
        <f t="shared" si="10"/>
        <v>17.46943711208494</v>
      </c>
      <c r="Z65" s="387">
        <f t="shared" si="20"/>
        <v>18.00560112016991</v>
      </c>
      <c r="AA65" s="388">
        <f t="shared" si="11"/>
        <v>21.142741883340516</v>
      </c>
      <c r="AB65" s="199">
        <f t="shared" si="12"/>
        <v>44612</v>
      </c>
      <c r="AC65" s="119">
        <f>IF(OR(t&lt;Tnet,NoTnet),'2021'!Resal_s+('2021'!Salim-'2021'!Resal_s)*(1-EXP(('2021'!Tnet_s-t)/'2021'!Tau_j)),Resal_s+(Salim-Resal_s)*(1-EXP((Tnet_s-t)/Tau_j)))*Salcycl</f>
        <v>0.14837908822235232</v>
      </c>
      <c r="AD65" s="233">
        <f>(INDEX(Models!$BJ65:$BT65,,AH65)*(1-AF65)+INDEX(Models!$BJ65:$BT65,,AH65+1)*AF65-ERP_i)*AE65*Ramure*Pc/MaxiM</f>
        <v>2.2538499283573939E-2</v>
      </c>
      <c r="AE65" s="307">
        <f t="shared" si="13"/>
        <v>1</v>
      </c>
      <c r="AF65" s="179">
        <f t="shared" si="21"/>
        <v>6.3499910034255265E-3</v>
      </c>
      <c r="AG65" s="837">
        <f t="shared" si="22"/>
        <v>0</v>
      </c>
      <c r="AH65" s="178">
        <f t="shared" si="14"/>
        <v>6</v>
      </c>
      <c r="AI65" s="227">
        <f t="shared" si="23"/>
        <v>6.3499910034255265E-3</v>
      </c>
      <c r="AJ65" s="267" t="b">
        <f t="shared" si="15"/>
        <v>1</v>
      </c>
      <c r="AK65" s="267" t="b">
        <f t="shared" si="16"/>
        <v>0</v>
      </c>
      <c r="AL65" s="267"/>
      <c r="AM65" s="267"/>
      <c r="AN65" s="75"/>
    </row>
    <row r="66" spans="1:40" s="6" customFormat="1" ht="11.25" x14ac:dyDescent="0.2">
      <c r="A66" s="56">
        <f t="shared" si="17"/>
        <v>44613</v>
      </c>
      <c r="B66" s="618">
        <v>18.683</v>
      </c>
      <c r="C66" s="866"/>
      <c r="D66" s="395">
        <f t="shared" si="0"/>
        <v>19.256858262796225</v>
      </c>
      <c r="E66" s="387">
        <f t="shared" si="1"/>
        <v>21.707195300552101</v>
      </c>
      <c r="F66" s="387">
        <f t="shared" si="2"/>
        <v>21.938935416277044</v>
      </c>
      <c r="G66" s="110">
        <f t="shared" si="18"/>
        <v>0.63913301543897094</v>
      </c>
      <c r="H66" s="414" t="b">
        <f>Wh_hp&gt;='2021'!Maxi_hp</f>
        <v>0</v>
      </c>
      <c r="I66" s="382">
        <f>IF(H66,Wh_hp,'2021'!Maxi_hp)</f>
        <v>33.354248852750764</v>
      </c>
      <c r="J66" s="85">
        <f>IF(H66,An,'2021'!An_max)</f>
        <v>2019</v>
      </c>
      <c r="K66" s="199">
        <f t="shared" si="3"/>
        <v>44613</v>
      </c>
      <c r="L66" s="147">
        <f>IF(t&lt;Tvie,1-EXP((T0-t)*PertePVj)+'2021'!Pspv,1-EXP((T0-t)*PertePVj)+Pspv)</f>
        <v>2.9800201827569484E-2</v>
      </c>
      <c r="M66" s="870"/>
      <c r="N66" s="870"/>
      <c r="O66" s="48">
        <f>IF(t&lt;Tnet,'2021'!Resal+('2021'!Salim-'2021'!Resal)*(1-EXP(('2021'!Tnet-t)/('2021'!Tau_j))),Resal+(Salim-Resal)*(1-EXP((Tnet-t)/(Tau_j))))*Salcycl</f>
        <v>0.11288132823375636</v>
      </c>
      <c r="P66" s="341">
        <f>(INDEX(Models!$BJ66:$BT66,,T66)*(1-R66)+INDEX(Models!$BJ66:$BT66,,T66+1)*R66-ERP_i)*Q66*Ramure*Pc/MaxiM</f>
        <v>2.1358818451692539E-2</v>
      </c>
      <c r="Q66" s="307">
        <f t="shared" si="4"/>
        <v>1</v>
      </c>
      <c r="R66" s="179">
        <f t="shared" si="5"/>
        <v>6.6631405524267967E-3</v>
      </c>
      <c r="S66" s="837">
        <f t="shared" si="6"/>
        <v>0</v>
      </c>
      <c r="T66" s="178">
        <f t="shared" si="7"/>
        <v>6</v>
      </c>
      <c r="U66" s="253">
        <f t="shared" si="19"/>
        <v>6.6631405524267967E-3</v>
      </c>
      <c r="V66" s="385">
        <f t="shared" si="8"/>
        <v>28.912835453853237</v>
      </c>
      <c r="W66" s="404"/>
      <c r="X66" s="157">
        <f t="shared" si="9"/>
        <v>44613</v>
      </c>
      <c r="Y66" s="387">
        <f t="shared" si="10"/>
        <v>17.934468976245647</v>
      </c>
      <c r="Z66" s="387">
        <f t="shared" si="20"/>
        <v>18.485335711292542</v>
      </c>
      <c r="AA66" s="388">
        <f t="shared" si="11"/>
        <v>21.707195300552101</v>
      </c>
      <c r="AB66" s="199">
        <f t="shared" si="12"/>
        <v>44613</v>
      </c>
      <c r="AC66" s="119">
        <f>IF(OR(t&lt;Tnet,NoTnet),'2021'!Resal_s+('2021'!Salim-'2021'!Resal_s)*(1-EXP(('2021'!Tnet_s-t)/'2021'!Tau_j)),Resal_s+(Salim-Resal_s)*(1-EXP((Tnet_s-t)/Tau_j)))*Salcycl</f>
        <v>0.14842357774233569</v>
      </c>
      <c r="AD66" s="233">
        <f>(INDEX(Models!$BJ66:$BT66,,AH66)*(1-AF66)+INDEX(Models!$BJ66:$BT66,,AH66+1)*AF66-ERP_i)*AE66*Ramure*Pc/MaxiM</f>
        <v>2.1358818451692539E-2</v>
      </c>
      <c r="AE66" s="307">
        <f t="shared" si="13"/>
        <v>1</v>
      </c>
      <c r="AF66" s="179">
        <f t="shared" si="21"/>
        <v>6.6631405524267967E-3</v>
      </c>
      <c r="AG66" s="837">
        <f t="shared" si="22"/>
        <v>0</v>
      </c>
      <c r="AH66" s="178">
        <f t="shared" si="14"/>
        <v>6</v>
      </c>
      <c r="AI66" s="227">
        <f t="shared" si="23"/>
        <v>6.6631405524267967E-3</v>
      </c>
      <c r="AJ66" s="267" t="b">
        <f t="shared" si="15"/>
        <v>1</v>
      </c>
      <c r="AK66" s="267" t="b">
        <f t="shared" si="16"/>
        <v>0</v>
      </c>
      <c r="AL66" s="267"/>
      <c r="AM66" s="267"/>
      <c r="AN66" s="75"/>
    </row>
    <row r="67" spans="1:40" s="6" customFormat="1" ht="11.25" x14ac:dyDescent="0.2">
      <c r="A67" s="56">
        <f t="shared" si="17"/>
        <v>44614</v>
      </c>
      <c r="B67" s="618">
        <v>27.613</v>
      </c>
      <c r="C67" s="866"/>
      <c r="D67" s="395">
        <f t="shared" si="0"/>
        <v>28.461810301156937</v>
      </c>
      <c r="E67" s="387">
        <f t="shared" si="1"/>
        <v>32.089389075811361</v>
      </c>
      <c r="F67" s="387">
        <f t="shared" si="2"/>
        <v>32.696638010621605</v>
      </c>
      <c r="G67" s="110">
        <f t="shared" si="18"/>
        <v>0.94099992197731819</v>
      </c>
      <c r="H67" s="414" t="b">
        <f>Wh_hp&gt;='2021'!Maxi_hp</f>
        <v>0</v>
      </c>
      <c r="I67" s="382">
        <f>IF(H67,Wh_hp,'2021'!Maxi_hp)</f>
        <v>33.45014285747294</v>
      </c>
      <c r="J67" s="85">
        <f>IF(H67,An,'2021'!An_max)</f>
        <v>2020</v>
      </c>
      <c r="K67" s="199">
        <f t="shared" si="3"/>
        <v>44614</v>
      </c>
      <c r="L67" s="147">
        <f>IF(t&lt;Tvie,1-EXP((T0-t)*PertePVj)+'2021'!Pspv,1-EXP((T0-t)*PertePVj)+Pspv)</f>
        <v>2.9822779794243637E-2</v>
      </c>
      <c r="M67" s="870"/>
      <c r="N67" s="870"/>
      <c r="O67" s="48">
        <f>IF(t&lt;Tnet,'2021'!Resal+('2021'!Salim-'2021'!Resal)*(1-EXP(('2021'!Tnet-t)/('2021'!Tau_j))),Resal+(Salim-Resal)*(1-EXP((Tnet-t)/(Tau_j))))*Salcycl</f>
        <v>0.11304605288945349</v>
      </c>
      <c r="P67" s="341">
        <f>(INDEX(Models!$BJ67:$BT67,,T67)*(1-R67)+INDEX(Models!$BJ67:$BT67,,T67+1)*R67-ERP_i)*Q67*Ramure*Pc/MaxiM</f>
        <v>2.0231375914199264E-2</v>
      </c>
      <c r="Q67" s="307">
        <f t="shared" si="4"/>
        <v>1</v>
      </c>
      <c r="R67" s="179">
        <f t="shared" si="5"/>
        <v>6.9891267151238013E-3</v>
      </c>
      <c r="S67" s="837">
        <f t="shared" si="6"/>
        <v>0</v>
      </c>
      <c r="T67" s="178">
        <f t="shared" si="7"/>
        <v>6</v>
      </c>
      <c r="U67" s="253">
        <f t="shared" si="19"/>
        <v>6.9891267151238013E-3</v>
      </c>
      <c r="V67" s="385">
        <f t="shared" si="8"/>
        <v>29.294708661400467</v>
      </c>
      <c r="W67" s="404"/>
      <c r="X67" s="157">
        <f t="shared" si="9"/>
        <v>44614</v>
      </c>
      <c r="Y67" s="387">
        <f t="shared" si="10"/>
        <v>26.510234921418505</v>
      </c>
      <c r="Z67" s="387">
        <f t="shared" si="20"/>
        <v>27.325146755967104</v>
      </c>
      <c r="AA67" s="388">
        <f t="shared" si="11"/>
        <v>32.089389075811361</v>
      </c>
      <c r="AB67" s="199">
        <f t="shared" si="12"/>
        <v>44614</v>
      </c>
      <c r="AC67" s="119">
        <f>IF(OR(t&lt;Tnet,NoTnet),'2021'!Resal_s+('2021'!Salim-'2021'!Resal_s)*(1-EXP(('2021'!Tnet_s-t)/'2021'!Tau_j)),Resal_s+(Salim-Resal_s)*(1-EXP((Tnet_s-t)/Tau_j)))*Salcycl</f>
        <v>0.14846784114801026</v>
      </c>
      <c r="AD67" s="233">
        <f>(INDEX(Models!$BJ67:$BT67,,AH67)*(1-AF67)+INDEX(Models!$BJ67:$BT67,,AH67+1)*AF67-ERP_i)*AE67*Ramure*Pc/MaxiM</f>
        <v>2.0231375914199264E-2</v>
      </c>
      <c r="AE67" s="307">
        <f t="shared" si="13"/>
        <v>1</v>
      </c>
      <c r="AF67" s="179">
        <f t="shared" si="21"/>
        <v>6.9891267151238013E-3</v>
      </c>
      <c r="AG67" s="837">
        <f t="shared" si="22"/>
        <v>0</v>
      </c>
      <c r="AH67" s="178">
        <f t="shared" si="14"/>
        <v>6</v>
      </c>
      <c r="AI67" s="227">
        <f t="shared" si="23"/>
        <v>6.9891267151238013E-3</v>
      </c>
      <c r="AJ67" s="267" t="b">
        <f t="shared" si="15"/>
        <v>1</v>
      </c>
      <c r="AK67" s="267" t="b">
        <f t="shared" si="16"/>
        <v>0</v>
      </c>
      <c r="AL67" s="267"/>
      <c r="AM67" s="267"/>
      <c r="AN67" s="75"/>
    </row>
    <row r="68" spans="1:40" s="6" customFormat="1" ht="11.25" x14ac:dyDescent="0.2">
      <c r="A68" s="56">
        <f t="shared" si="17"/>
        <v>44615</v>
      </c>
      <c r="B68" s="618">
        <v>29.231999999999999</v>
      </c>
      <c r="C68" s="866"/>
      <c r="D68" s="395">
        <f t="shared" si="0"/>
        <v>30.131278779125299</v>
      </c>
      <c r="E68" s="387">
        <f t="shared" si="1"/>
        <v>33.977925075516161</v>
      </c>
      <c r="F68" s="387">
        <f t="shared" si="2"/>
        <v>34.62690070447799</v>
      </c>
      <c r="G68" s="110">
        <f t="shared" si="18"/>
        <v>0.98449409498365792</v>
      </c>
      <c r="H68" s="414" t="b">
        <f>Wh_hp&gt;='2021'!Maxi_hp</f>
        <v>1</v>
      </c>
      <c r="I68" s="382">
        <f>IF(H68,Wh_hp,'2021'!Maxi_hp)</f>
        <v>34.62690070447799</v>
      </c>
      <c r="J68" s="85">
        <f>IF(H68,An,'2021'!An_max)</f>
        <v>2022</v>
      </c>
      <c r="K68" s="199">
        <f t="shared" si="3"/>
        <v>44615</v>
      </c>
      <c r="L68" s="147">
        <f>IF(t&lt;Tvie,1-EXP((T0-t)*PertePVj)+'2021'!Pspv,1-EXP((T0-t)*PertePVj)+Pspv)</f>
        <v>2.9845357235495529E-2</v>
      </c>
      <c r="M68" s="870"/>
      <c r="N68" s="870"/>
      <c r="O68" s="48">
        <f>IF(t&lt;Tnet,'2021'!Resal+('2021'!Salim-'2021'!Resal)*(1-EXP(('2021'!Tnet-t)/('2021'!Tau_j))),Resal+(Salim-Resal)*(1-EXP((Tnet-t)/(Tau_j))))*Salcycl</f>
        <v>0.11321015888526642</v>
      </c>
      <c r="P68" s="341">
        <f>(INDEX(Models!$BJ68:$BT68,,T68)*(1-R68)+INDEX(Models!$BJ68:$BT68,,T68+1)*R68-ERP_i)*Q68*Ramure*Pc/MaxiM</f>
        <v>1.9154913282876346E-2</v>
      </c>
      <c r="Q68" s="307">
        <f t="shared" si="4"/>
        <v>1</v>
      </c>
      <c r="R68" s="179">
        <f t="shared" si="5"/>
        <v>7.328462719652813E-3</v>
      </c>
      <c r="S68" s="837">
        <f t="shared" si="6"/>
        <v>0</v>
      </c>
      <c r="T68" s="178">
        <f t="shared" si="7"/>
        <v>6</v>
      </c>
      <c r="U68" s="253">
        <f t="shared" si="19"/>
        <v>7.328462719652813E-3</v>
      </c>
      <c r="V68" s="385">
        <f t="shared" si="8"/>
        <v>29.679911566727178</v>
      </c>
      <c r="W68" s="404"/>
      <c r="X68" s="157">
        <f t="shared" si="9"/>
        <v>44615</v>
      </c>
      <c r="Y68" s="387">
        <f t="shared" si="10"/>
        <v>28.068319971611949</v>
      </c>
      <c r="Z68" s="387">
        <f t="shared" si="20"/>
        <v>28.931799874327105</v>
      </c>
      <c r="AA68" s="388">
        <f t="shared" si="11"/>
        <v>33.977925075516161</v>
      </c>
      <c r="AB68" s="199">
        <f t="shared" si="12"/>
        <v>44615</v>
      </c>
      <c r="AC68" s="119">
        <f>IF(OR(t&lt;Tnet,NoTnet),'2021'!Resal_s+('2021'!Salim-'2021'!Resal_s)*(1-EXP(('2021'!Tnet_s-t)/'2021'!Tau_j)),Resal_s+(Salim-Resal_s)*(1-EXP((Tnet_s-t)/Tau_j)))*Salcycl</f>
        <v>0.14851187027971868</v>
      </c>
      <c r="AD68" s="233">
        <f>(INDEX(Models!$BJ68:$BT68,,AH68)*(1-AF68)+INDEX(Models!$BJ68:$BT68,,AH68+1)*AF68-ERP_i)*AE68*Ramure*Pc/MaxiM</f>
        <v>1.9154913282876346E-2</v>
      </c>
      <c r="AE68" s="307">
        <f t="shared" si="13"/>
        <v>1</v>
      </c>
      <c r="AF68" s="179">
        <f t="shared" si="21"/>
        <v>7.328462719652813E-3</v>
      </c>
      <c r="AG68" s="837">
        <f t="shared" si="22"/>
        <v>0</v>
      </c>
      <c r="AH68" s="178">
        <f t="shared" si="14"/>
        <v>6</v>
      </c>
      <c r="AI68" s="227">
        <f t="shared" si="23"/>
        <v>7.328462719652813E-3</v>
      </c>
      <c r="AJ68" s="267" t="b">
        <f t="shared" si="15"/>
        <v>1</v>
      </c>
      <c r="AK68" s="267" t="b">
        <f t="shared" si="16"/>
        <v>0</v>
      </c>
      <c r="AL68" s="267"/>
      <c r="AM68" s="267"/>
      <c r="AN68" s="75"/>
    </row>
    <row r="69" spans="1:40" s="6" customFormat="1" ht="11.25" x14ac:dyDescent="0.2">
      <c r="A69" s="56">
        <f t="shared" si="17"/>
        <v>44616</v>
      </c>
      <c r="B69" s="618">
        <v>17.593</v>
      </c>
      <c r="C69" s="866"/>
      <c r="D69" s="395">
        <f t="shared" si="0"/>
        <v>18.13464436371331</v>
      </c>
      <c r="E69" s="387">
        <f t="shared" si="1"/>
        <v>20.453536325223986</v>
      </c>
      <c r="F69" s="387">
        <f t="shared" si="2"/>
        <v>20.605678943423303</v>
      </c>
      <c r="G69" s="110">
        <f t="shared" si="18"/>
        <v>0.57877245571829272</v>
      </c>
      <c r="H69" s="414" t="b">
        <f>Wh_hp&gt;='2021'!Maxi_hp</f>
        <v>0</v>
      </c>
      <c r="I69" s="382">
        <f>IF(H69,Wh_hp,'2021'!Maxi_hp)</f>
        <v>35.350844224345899</v>
      </c>
      <c r="J69" s="85">
        <f>IF(H69,An,'2021'!An_max)</f>
        <v>2020</v>
      </c>
      <c r="K69" s="199">
        <f t="shared" si="3"/>
        <v>44616</v>
      </c>
      <c r="L69" s="147">
        <f>IF(t&lt;Tvie,1-EXP((T0-t)*PertePVj)+'2021'!Pspv,1-EXP((T0-t)*PertePVj)+Pspv)</f>
        <v>2.9867934151337372E-2</v>
      </c>
      <c r="M69" s="870"/>
      <c r="N69" s="870"/>
      <c r="O69" s="48">
        <f>IF(t&lt;Tnet,'2021'!Resal+('2021'!Salim-'2021'!Resal)*(1-EXP(('2021'!Tnet-t)/('2021'!Tau_j))),Resal+(Salim-Resal)*(1-EXP((Tnet-t)/(Tau_j))))*Salcycl</f>
        <v>0.11337364476435023</v>
      </c>
      <c r="P69" s="341">
        <f>(INDEX(Models!$BJ69:$BT69,,T69)*(1-R69)+INDEX(Models!$BJ69:$BT69,,T69+1)*R69-ERP_i)*Q69*Ramure*Pc/MaxiM</f>
        <v>1.812823898385928E-2</v>
      </c>
      <c r="Q69" s="307">
        <f t="shared" si="4"/>
        <v>1</v>
      </c>
      <c r="R69" s="179">
        <f t="shared" si="5"/>
        <v>7.6816812177584147E-3</v>
      </c>
      <c r="S69" s="837">
        <f t="shared" si="6"/>
        <v>0</v>
      </c>
      <c r="T69" s="178">
        <f t="shared" si="7"/>
        <v>6</v>
      </c>
      <c r="U69" s="253">
        <f t="shared" si="19"/>
        <v>7.6816812177584147E-3</v>
      </c>
      <c r="V69" s="385">
        <f t="shared" si="8"/>
        <v>30.068055302264618</v>
      </c>
      <c r="W69" s="404"/>
      <c r="X69" s="157">
        <f t="shared" si="9"/>
        <v>44616</v>
      </c>
      <c r="Y69" s="387">
        <f t="shared" si="10"/>
        <v>16.894896205887605</v>
      </c>
      <c r="Z69" s="387">
        <f t="shared" si="20"/>
        <v>17.415047703951632</v>
      </c>
      <c r="AA69" s="388">
        <f t="shared" si="11"/>
        <v>20.453536325223986</v>
      </c>
      <c r="AB69" s="199">
        <f t="shared" si="12"/>
        <v>44616</v>
      </c>
      <c r="AC69" s="119">
        <f>IF(OR(t&lt;Tnet,NoTnet),'2021'!Resal_s+('2021'!Salim-'2021'!Resal_s)*(1-EXP(('2021'!Tnet_s-t)/'2021'!Tau_j)),Resal_s+(Salim-Resal_s)*(1-EXP((Tnet_s-t)/Tau_j)))*Salcycl</f>
        <v>0.14855566162048897</v>
      </c>
      <c r="AD69" s="233">
        <f>(INDEX(Models!$BJ69:$BT69,,AH69)*(1-AF69)+INDEX(Models!$BJ69:$BT69,,AH69+1)*AF69-ERP_i)*AE69*Ramure*Pc/MaxiM</f>
        <v>1.812823898385928E-2</v>
      </c>
      <c r="AE69" s="307">
        <f t="shared" si="13"/>
        <v>1</v>
      </c>
      <c r="AF69" s="179">
        <f t="shared" si="21"/>
        <v>7.6816812177584147E-3</v>
      </c>
      <c r="AG69" s="837">
        <f t="shared" si="22"/>
        <v>0</v>
      </c>
      <c r="AH69" s="178">
        <f t="shared" si="14"/>
        <v>6</v>
      </c>
      <c r="AI69" s="227">
        <f t="shared" si="23"/>
        <v>7.6816812177584147E-3</v>
      </c>
      <c r="AJ69" s="267" t="b">
        <f t="shared" si="15"/>
        <v>1</v>
      </c>
      <c r="AK69" s="267" t="b">
        <f t="shared" si="16"/>
        <v>0</v>
      </c>
      <c r="AL69" s="267"/>
      <c r="AM69" s="267"/>
      <c r="AN69" s="75"/>
    </row>
    <row r="70" spans="1:40" s="6" customFormat="1" ht="11.25" x14ac:dyDescent="0.2">
      <c r="A70" s="56">
        <f t="shared" si="17"/>
        <v>44617</v>
      </c>
      <c r="B70" s="618">
        <v>26.035</v>
      </c>
      <c r="C70" s="866"/>
      <c r="D70" s="395">
        <f t="shared" si="0"/>
        <v>26.83717691962779</v>
      </c>
      <c r="E70" s="387">
        <f t="shared" si="1"/>
        <v>30.274430146236789</v>
      </c>
      <c r="F70" s="387">
        <f t="shared" si="2"/>
        <v>30.691583491492494</v>
      </c>
      <c r="G70" s="110">
        <f t="shared" si="18"/>
        <v>0.85167910533040658</v>
      </c>
      <c r="H70" s="414" t="b">
        <f>Wh_hp&gt;='2021'!Maxi_hp</f>
        <v>0</v>
      </c>
      <c r="I70" s="382">
        <f>IF(H70,Wh_hp,'2021'!Maxi_hp)</f>
        <v>35.147494250668068</v>
      </c>
      <c r="J70" s="85">
        <f>IF(H70,An,'2021'!An_max)</f>
        <v>2019</v>
      </c>
      <c r="K70" s="199">
        <f t="shared" si="3"/>
        <v>44617</v>
      </c>
      <c r="L70" s="147">
        <f>IF(t&lt;Tvie,1-EXP((T0-t)*PertePVj)+'2021'!Pspv,1-EXP((T0-t)*PertePVj)+Pspv)</f>
        <v>2.989051054178149E-2</v>
      </c>
      <c r="M70" s="870"/>
      <c r="N70" s="870"/>
      <c r="O70" s="48">
        <f>IF(t&lt;Tnet,'2021'!Resal+('2021'!Salim-'2021'!Resal)*(1-EXP(('2021'!Tnet-t)/('2021'!Tau_j))),Resal+(Salim-Resal)*(1-EXP((Tnet-t)/(Tau_j))))*Salcycl</f>
        <v>0.11353651282636143</v>
      </c>
      <c r="P70" s="341">
        <f>(INDEX(Models!$BJ70:$BT70,,T70)*(1-R70)+INDEX(Models!$BJ70:$BT70,,T70+1)*R70-ERP_i)*Q70*Ramure*Pc/MaxiM</f>
        <v>1.7150126825907348E-2</v>
      </c>
      <c r="Q70" s="307">
        <f t="shared" si="4"/>
        <v>1</v>
      </c>
      <c r="R70" s="179">
        <f t="shared" si="5"/>
        <v>8.0493349267488877E-3</v>
      </c>
      <c r="S70" s="837">
        <f t="shared" si="6"/>
        <v>0</v>
      </c>
      <c r="T70" s="178">
        <f t="shared" si="7"/>
        <v>6</v>
      </c>
      <c r="U70" s="253">
        <f t="shared" si="19"/>
        <v>8.0493349267488877E-3</v>
      </c>
      <c r="V70" s="385">
        <f t="shared" si="8"/>
        <v>30.458751242442229</v>
      </c>
      <c r="W70" s="404"/>
      <c r="X70" s="157">
        <f t="shared" si="9"/>
        <v>44617</v>
      </c>
      <c r="Y70" s="387">
        <f t="shared" si="10"/>
        <v>25.005225501957245</v>
      </c>
      <c r="Z70" s="387">
        <f t="shared" si="20"/>
        <v>25.775673543737859</v>
      </c>
      <c r="AA70" s="388">
        <f t="shared" si="11"/>
        <v>30.274430146236789</v>
      </c>
      <c r="AB70" s="199">
        <f t="shared" si="12"/>
        <v>44617</v>
      </c>
      <c r="AC70" s="119">
        <f>IF(OR(t&lt;Tnet,NoTnet),'2021'!Resal_s+('2021'!Salim-'2021'!Resal_s)*(1-EXP(('2021'!Tnet_s-t)/'2021'!Tau_j)),Resal_s+(Salim-Resal_s)*(1-EXP((Tnet_s-t)/Tau_j)))*Salcycl</f>
        <v>0.14859921659196418</v>
      </c>
      <c r="AD70" s="233">
        <f>(INDEX(Models!$BJ70:$BT70,,AH70)*(1-AF70)+INDEX(Models!$BJ70:$BT70,,AH70+1)*AF70-ERP_i)*AE70*Ramure*Pc/MaxiM</f>
        <v>1.7150126825907348E-2</v>
      </c>
      <c r="AE70" s="307">
        <f t="shared" si="13"/>
        <v>1</v>
      </c>
      <c r="AF70" s="179">
        <f t="shared" si="21"/>
        <v>8.0493349267488877E-3</v>
      </c>
      <c r="AG70" s="837">
        <f t="shared" si="22"/>
        <v>0</v>
      </c>
      <c r="AH70" s="178">
        <f t="shared" si="14"/>
        <v>6</v>
      </c>
      <c r="AI70" s="227">
        <f t="shared" si="23"/>
        <v>8.0493349267488877E-3</v>
      </c>
      <c r="AJ70" s="267" t="b">
        <f t="shared" si="15"/>
        <v>1</v>
      </c>
      <c r="AK70" s="267" t="b">
        <f t="shared" si="16"/>
        <v>0</v>
      </c>
      <c r="AL70" s="267"/>
      <c r="AM70" s="267"/>
      <c r="AN70" s="75"/>
    </row>
    <row r="71" spans="1:40" s="6" customFormat="1" ht="11.25" x14ac:dyDescent="0.2">
      <c r="A71" s="56">
        <f t="shared" si="17"/>
        <v>44618</v>
      </c>
      <c r="B71" s="1276">
        <f>33.44*0.95</f>
        <v>31.767999999999997</v>
      </c>
      <c r="C71" s="866"/>
      <c r="D71" s="395">
        <f t="shared" si="0"/>
        <v>32.747581226853882</v>
      </c>
      <c r="E71" s="387">
        <f t="shared" si="1"/>
        <v>36.948590495323792</v>
      </c>
      <c r="F71" s="387">
        <f t="shared" si="2"/>
        <v>37.557751891620661</v>
      </c>
      <c r="G71" s="110">
        <f t="shared" si="18"/>
        <v>1.0297031171721023</v>
      </c>
      <c r="H71" s="414" t="b">
        <f>Wh_hp&gt;='2021'!Maxi_hp</f>
        <v>1</v>
      </c>
      <c r="I71" s="382">
        <f>IF(H71,Wh_hp,'2021'!Maxi_hp)</f>
        <v>37.557751891620661</v>
      </c>
      <c r="J71" s="85">
        <f>IF(H71,An,'2021'!An_max)</f>
        <v>2022</v>
      </c>
      <c r="K71" s="199">
        <f t="shared" si="3"/>
        <v>44618</v>
      </c>
      <c r="L71" s="147">
        <f>IF(t&lt;Tvie,1-EXP((T0-t)*PertePVj)+'2021'!Pspv,1-EXP((T0-t)*PertePVj)+Pspv)</f>
        <v>2.9913086406839873E-2</v>
      </c>
      <c r="M71" s="870"/>
      <c r="N71" s="870"/>
      <c r="O71" s="48">
        <f>IF(t&lt;Tnet,'2021'!Resal+('2021'!Salim-'2021'!Resal)*(1-EXP(('2021'!Tnet-t)/('2021'!Tau_j))),Resal+(Salim-Resal)*(1-EXP((Tnet-t)/(Tau_j))))*Salcycl</f>
        <v>0.11369876934822683</v>
      </c>
      <c r="P71" s="341">
        <f>(INDEX(Models!$BJ71:$BT71,,T71)*(1-R71)+INDEX(Models!$BJ71:$BT71,,T71+1)*R71-ERP_i)*Q71*Ramure*Pc/MaxiM</f>
        <v>1.6219325322098865E-2</v>
      </c>
      <c r="Q71" s="307">
        <f t="shared" si="4"/>
        <v>1</v>
      </c>
      <c r="R71" s="179">
        <f t="shared" si="5"/>
        <v>8.4319972845403081E-3</v>
      </c>
      <c r="S71" s="837">
        <f t="shared" si="6"/>
        <v>0</v>
      </c>
      <c r="T71" s="178">
        <f t="shared" si="7"/>
        <v>6</v>
      </c>
      <c r="U71" s="253">
        <f t="shared" si="19"/>
        <v>8.4319972845403081E-3</v>
      </c>
      <c r="V71" s="385">
        <f t="shared" si="8"/>
        <v>30.851610983994295</v>
      </c>
      <c r="W71" s="404"/>
      <c r="X71" s="157">
        <f t="shared" si="9"/>
        <v>44618</v>
      </c>
      <c r="Y71" s="387">
        <f t="shared" si="10"/>
        <v>30.515498338797094</v>
      </c>
      <c r="Z71" s="387">
        <f t="shared" si="20"/>
        <v>31.456458087625368</v>
      </c>
      <c r="AA71" s="388">
        <f t="shared" si="11"/>
        <v>36.948590495323792</v>
      </c>
      <c r="AB71" s="199">
        <f t="shared" si="12"/>
        <v>44618</v>
      </c>
      <c r="AC71" s="119">
        <f>IF(OR(t&lt;Tnet,NoTnet),'2021'!Resal_s+('2021'!Salim-'2021'!Resal_s)*(1-EXP(('2021'!Tnet_s-t)/'2021'!Tau_j)),Resal_s+(Salim-Resal_s)*(1-EXP((Tnet_s-t)/Tau_j)))*Salcycl</f>
        <v>0.14864254181478201</v>
      </c>
      <c r="AD71" s="233">
        <f>(INDEX(Models!$BJ71:$BT71,,AH71)*(1-AF71)+INDEX(Models!$BJ71:$BT71,,AH71+1)*AF71-ERP_i)*AE71*Ramure*Pc/MaxiM</f>
        <v>1.6219325322098865E-2</v>
      </c>
      <c r="AE71" s="307">
        <f t="shared" si="13"/>
        <v>1</v>
      </c>
      <c r="AF71" s="179">
        <f t="shared" si="21"/>
        <v>8.4319972845403081E-3</v>
      </c>
      <c r="AG71" s="837">
        <f t="shared" si="22"/>
        <v>0</v>
      </c>
      <c r="AH71" s="178">
        <f t="shared" si="14"/>
        <v>6</v>
      </c>
      <c r="AI71" s="227">
        <f t="shared" si="23"/>
        <v>8.4319972845403081E-3</v>
      </c>
      <c r="AJ71" s="267" t="b">
        <f t="shared" si="15"/>
        <v>1</v>
      </c>
      <c r="AK71" s="267" t="b">
        <f t="shared" si="16"/>
        <v>0</v>
      </c>
      <c r="AL71" s="267"/>
      <c r="AM71" s="267"/>
      <c r="AN71" s="75"/>
    </row>
    <row r="72" spans="1:40" s="6" customFormat="1" ht="11.25" x14ac:dyDescent="0.2">
      <c r="A72" s="56">
        <f t="shared" si="17"/>
        <v>44619</v>
      </c>
      <c r="B72" s="618">
        <v>24.251999999999999</v>
      </c>
      <c r="C72" s="866"/>
      <c r="D72" s="395">
        <f t="shared" si="0"/>
        <v>25.000403626489174</v>
      </c>
      <c r="E72" s="387">
        <f t="shared" si="1"/>
        <v>28.212715384262438</v>
      </c>
      <c r="F72" s="387">
        <f t="shared" si="2"/>
        <v>28.510717509465849</v>
      </c>
      <c r="G72" s="110">
        <f t="shared" si="18"/>
        <v>0.7723277849613116</v>
      </c>
      <c r="H72" s="414" t="b">
        <f>Wh_hp&gt;='2021'!Maxi_hp</f>
        <v>0</v>
      </c>
      <c r="I72" s="382">
        <f>IF(H72,Wh_hp,'2021'!Maxi_hp)</f>
        <v>35.744529564271296</v>
      </c>
      <c r="J72" s="85">
        <f>IF(H72,An,'2021'!An_max)</f>
        <v>2019</v>
      </c>
      <c r="K72" s="199">
        <f t="shared" si="3"/>
        <v>44619</v>
      </c>
      <c r="L72" s="147">
        <f>IF(t&lt;Tvie,1-EXP((T0-t)*PertePVj)+'2021'!Pspv,1-EXP((T0-t)*PertePVj)+Pspv)</f>
        <v>2.9935661746524955E-2</v>
      </c>
      <c r="M72" s="870"/>
      <c r="N72" s="870"/>
      <c r="O72" s="48">
        <f>IF(t&lt;Tnet,'2021'!Resal+('2021'!Salim-'2021'!Resal)*(1-EXP(('2021'!Tnet-t)/('2021'!Tau_j))),Resal+(Salim-Resal)*(1-EXP((Tnet-t)/(Tau_j))))*Salcycl</f>
        <v>0.11386042477730271</v>
      </c>
      <c r="P72" s="341">
        <f>(INDEX(Models!$BJ72:$BT72,,T72)*(1-R72)+INDEX(Models!$BJ72:$BT72,,T72+1)*R72-ERP_i)*Q72*Ramure*Pc/MaxiM</f>
        <v>1.5365152720364596E-2</v>
      </c>
      <c r="Q72" s="307">
        <f t="shared" si="4"/>
        <v>1</v>
      </c>
      <c r="R72" s="179">
        <f t="shared" si="5"/>
        <v>8.8302631172744919E-3</v>
      </c>
      <c r="S72" s="837">
        <f t="shared" si="6"/>
        <v>0</v>
      </c>
      <c r="T72" s="178">
        <f t="shared" si="7"/>
        <v>6</v>
      </c>
      <c r="U72" s="253">
        <f t="shared" si="19"/>
        <v>8.8302631172744919E-3</v>
      </c>
      <c r="V72" s="385">
        <f t="shared" si="8"/>
        <v>31.245275741326598</v>
      </c>
      <c r="W72" s="404"/>
      <c r="X72" s="157">
        <f t="shared" si="9"/>
        <v>44619</v>
      </c>
      <c r="Y72" s="387">
        <f t="shared" si="10"/>
        <v>23.298898062672169</v>
      </c>
      <c r="Z72" s="387">
        <f t="shared" si="20"/>
        <v>24.017889477949485</v>
      </c>
      <c r="AA72" s="388">
        <f t="shared" si="11"/>
        <v>28.212715384262438</v>
      </c>
      <c r="AB72" s="199">
        <f t="shared" si="12"/>
        <v>44619</v>
      </c>
      <c r="AC72" s="119">
        <f>IF(OR(t&lt;Tnet,NoTnet),'2021'!Resal_s+('2021'!Salim-'2021'!Resal_s)*(1-EXP(('2021'!Tnet_s-t)/'2021'!Tau_j)),Resal_s+(Salim-Resal_s)*(1-EXP((Tnet_s-t)/Tau_j)))*Salcycl</f>
        <v>0.14868564933146786</v>
      </c>
      <c r="AD72" s="233">
        <f>(INDEX(Models!$BJ72:$BT72,,AH72)*(1-AF72)+INDEX(Models!$BJ72:$BT72,,AH72+1)*AF72-ERP_i)*AE72*Ramure*Pc/MaxiM</f>
        <v>1.5365152720364596E-2</v>
      </c>
      <c r="AE72" s="307">
        <f t="shared" si="13"/>
        <v>1</v>
      </c>
      <c r="AF72" s="179">
        <f t="shared" si="21"/>
        <v>8.8302631172744919E-3</v>
      </c>
      <c r="AG72" s="837">
        <f t="shared" si="22"/>
        <v>0</v>
      </c>
      <c r="AH72" s="178">
        <f t="shared" si="14"/>
        <v>6</v>
      </c>
      <c r="AI72" s="227">
        <f t="shared" si="23"/>
        <v>8.8302631172744919E-3</v>
      </c>
      <c r="AJ72" s="267" t="b">
        <f t="shared" si="15"/>
        <v>1</v>
      </c>
      <c r="AK72" s="267" t="b">
        <f t="shared" si="16"/>
        <v>0</v>
      </c>
      <c r="AL72" s="267"/>
      <c r="AM72" s="267"/>
      <c r="AN72" s="75"/>
    </row>
    <row r="73" spans="1:40" s="6" customFormat="1" ht="11.25" x14ac:dyDescent="0.2">
      <c r="A73" s="56">
        <f t="shared" si="17"/>
        <v>44620</v>
      </c>
      <c r="B73" s="618">
        <v>28.876000000000001</v>
      </c>
      <c r="C73" s="866"/>
      <c r="D73" s="395">
        <f t="shared" si="0"/>
        <v>29.767790509992139</v>
      </c>
      <c r="E73" s="387">
        <f t="shared" si="1"/>
        <v>33.598772774835084</v>
      </c>
      <c r="F73" s="387">
        <f t="shared" si="2"/>
        <v>34.03299855797831</v>
      </c>
      <c r="G73" s="110">
        <f t="shared" si="18"/>
        <v>0.91097242634093045</v>
      </c>
      <c r="H73" s="414" t="b">
        <f>Wh_hp&gt;='2021'!Maxi_hp</f>
        <v>1</v>
      </c>
      <c r="I73" s="382">
        <f>IF(H73,Wh_hp,'2021'!Maxi_hp)</f>
        <v>34.03299855797831</v>
      </c>
      <c r="J73" s="85">
        <f>IF(H73,An,'2021'!An_max)</f>
        <v>2022</v>
      </c>
      <c r="K73" s="199">
        <f t="shared" si="3"/>
        <v>44620</v>
      </c>
      <c r="L73" s="147">
        <f>IF(t&lt;Tvie,1-EXP((T0-t)*PertePVj)+'2021'!Pspv,1-EXP((T0-t)*PertePVj)+Pspv)</f>
        <v>2.995823656084895E-2</v>
      </c>
      <c r="M73" s="870"/>
      <c r="N73" s="870"/>
      <c r="O73" s="48">
        <f>IF(t&lt;Tnet,'2021'!Resal+('2021'!Salim-'2021'!Resal)*(1-EXP(('2021'!Tnet-t)/('2021'!Tau_j))),Resal+(Salim-Resal)*(1-EXP((Tnet-t)/(Tau_j))))*Salcycl</f>
        <v>0.11402149389552374</v>
      </c>
      <c r="P73" s="341">
        <f>(INDEX(Models!$BJ73:$BT73,,T73)*(1-R73)+INDEX(Models!$BJ73:$BT73,,T73+1)*R73-ERP_i)*Q73*Ramure*Pc/MaxiM</f>
        <v>1.4578006212903331E-2</v>
      </c>
      <c r="Q73" s="307">
        <f t="shared" si="4"/>
        <v>1</v>
      </c>
      <c r="R73" s="179">
        <f t="shared" si="5"/>
        <v>9.2447493188972142E-3</v>
      </c>
      <c r="S73" s="837">
        <f t="shared" si="6"/>
        <v>0</v>
      </c>
      <c r="T73" s="178">
        <f t="shared" si="7"/>
        <v>6</v>
      </c>
      <c r="U73" s="253">
        <f t="shared" si="19"/>
        <v>9.2447493188972142E-3</v>
      </c>
      <c r="V73" s="385">
        <f t="shared" si="8"/>
        <v>31.639590441013244</v>
      </c>
      <c r="W73" s="404"/>
      <c r="X73" s="157">
        <f t="shared" si="9"/>
        <v>44620</v>
      </c>
      <c r="Y73" s="387">
        <f t="shared" si="10"/>
        <v>27.744820020750875</v>
      </c>
      <c r="Z73" s="387">
        <f t="shared" si="20"/>
        <v>28.601675790107628</v>
      </c>
      <c r="AA73" s="388">
        <f t="shared" si="11"/>
        <v>33.598772774835084</v>
      </c>
      <c r="AB73" s="199">
        <f t="shared" si="12"/>
        <v>44620</v>
      </c>
      <c r="AC73" s="119">
        <f>IF(OR(t&lt;Tnet,NoTnet),'2021'!Resal_s+('2021'!Salim-'2021'!Resal_s)*(1-EXP(('2021'!Tnet_s-t)/'2021'!Tau_j)),Resal_s+(Salim-Resal_s)*(1-EXP((Tnet_s-t)/Tau_j)))*Salcycl</f>
        <v>0.14872855679033009</v>
      </c>
      <c r="AD73" s="233">
        <f>(INDEX(Models!$BJ73:$BT73,,AH73)*(1-AF73)+INDEX(Models!$BJ73:$BT73,,AH73+1)*AF73-ERP_i)*AE73*Ramure*Pc/MaxiM</f>
        <v>1.4578006212903331E-2</v>
      </c>
      <c r="AE73" s="307">
        <f t="shared" si="13"/>
        <v>1</v>
      </c>
      <c r="AF73" s="179">
        <f t="shared" si="21"/>
        <v>9.2447493188972142E-3</v>
      </c>
      <c r="AG73" s="837">
        <f t="shared" si="22"/>
        <v>0</v>
      </c>
      <c r="AH73" s="178">
        <f t="shared" si="14"/>
        <v>6</v>
      </c>
      <c r="AI73" s="227">
        <f t="shared" si="23"/>
        <v>9.2447493188972142E-3</v>
      </c>
      <c r="AJ73" s="267" t="b">
        <f t="shared" si="15"/>
        <v>1</v>
      </c>
      <c r="AK73" s="267" t="b">
        <f t="shared" si="16"/>
        <v>0</v>
      </c>
      <c r="AL73" s="267"/>
      <c r="AM73" s="267"/>
      <c r="AN73" s="75"/>
    </row>
    <row r="74" spans="1:40" s="6" customFormat="1" ht="11.25" x14ac:dyDescent="0.2">
      <c r="A74" s="56">
        <f t="shared" si="17"/>
        <v>44621</v>
      </c>
      <c r="B74" s="618">
        <v>31.743000000000002</v>
      </c>
      <c r="C74" s="866"/>
      <c r="D74" s="395">
        <f t="shared" si="0"/>
        <v>32.724094899410929</v>
      </c>
      <c r="E74" s="387">
        <f t="shared" si="1"/>
        <v>36.942232772333455</v>
      </c>
      <c r="F74" s="387">
        <f t="shared" si="2"/>
        <v>37.454455213013745</v>
      </c>
      <c r="G74" s="110">
        <f t="shared" si="18"/>
        <v>0.99072993869067094</v>
      </c>
      <c r="H74" s="414" t="b">
        <f>Wh_hp&gt;='2021'!Maxi_hp</f>
        <v>1</v>
      </c>
      <c r="I74" s="382">
        <f>IF(H74,Wh_hp,'2021'!Maxi_hp)</f>
        <v>37.454455213013745</v>
      </c>
      <c r="J74" s="85">
        <f>IF(H74,An,'2021'!An_max)</f>
        <v>2022</v>
      </c>
      <c r="K74" s="199">
        <f t="shared" si="3"/>
        <v>44621</v>
      </c>
      <c r="L74" s="147">
        <f>IF(t&lt;Tvie,1-EXP((T0-t)*PertePVj)+'2021'!Pspv,1-EXP((T0-t)*PertePVj)+Pspv)</f>
        <v>2.9980810849823958E-2</v>
      </c>
      <c r="M74" s="870"/>
      <c r="N74" s="870"/>
      <c r="O74" s="48">
        <f>IF(t&lt;Tnet,'2021'!Resal+('2021'!Salim-'2021'!Resal)*(1-EXP(('2021'!Tnet-t)/('2021'!Tau_j))),Resal+(Salim-Resal)*(1-EXP((Tnet-t)/(Tau_j))))*Salcycl</f>
        <v>0.11418199595346458</v>
      </c>
      <c r="P74" s="341">
        <f>(INDEX(Models!$BJ74:$BT74,,T74)*(1-R74)+INDEX(Models!$BJ74:$BT74,,T74+1)*R74-ERP_i)*Q74*Ramure*Pc/MaxiM</f>
        <v>1.3855788485558018E-2</v>
      </c>
      <c r="Q74" s="307">
        <f t="shared" si="4"/>
        <v>1</v>
      </c>
      <c r="R74" s="179">
        <f t="shared" si="5"/>
        <v>9.676095541979509E-3</v>
      </c>
      <c r="S74" s="837">
        <f t="shared" si="6"/>
        <v>0</v>
      </c>
      <c r="T74" s="178">
        <f t="shared" si="7"/>
        <v>6</v>
      </c>
      <c r="U74" s="253">
        <f t="shared" si="19"/>
        <v>9.676095541979509E-3</v>
      </c>
      <c r="V74" s="385">
        <f t="shared" si="8"/>
        <v>32.034168520616895</v>
      </c>
      <c r="W74" s="404"/>
      <c r="X74" s="157">
        <f t="shared" si="9"/>
        <v>44621</v>
      </c>
      <c r="Y74" s="387">
        <f t="shared" si="10"/>
        <v>30.50350398684612</v>
      </c>
      <c r="Z74" s="387">
        <f t="shared" si="20"/>
        <v>31.446289236370603</v>
      </c>
      <c r="AA74" s="388">
        <f t="shared" si="11"/>
        <v>36.942232772333455</v>
      </c>
      <c r="AB74" s="199">
        <f t="shared" si="12"/>
        <v>44621</v>
      </c>
      <c r="AC74" s="119">
        <f>IF(OR(t&lt;Tnet,NoTnet),'2021'!Resal_s+('2021'!Salim-'2021'!Resal_s)*(1-EXP(('2021'!Tnet_s-t)/'2021'!Tau_j)),Resal_s+(Salim-Resal_s)*(1-EXP((Tnet_s-t)/Tau_j)))*Salcycl</f>
        <v>0.14877128758927746</v>
      </c>
      <c r="AD74" s="233">
        <f>(INDEX(Models!$BJ74:$BT74,,AH74)*(1-AF74)+INDEX(Models!$BJ74:$BT74,,AH74+1)*AF74-ERP_i)*AE74*Ramure*Pc/MaxiM</f>
        <v>1.3855788485558018E-2</v>
      </c>
      <c r="AE74" s="307">
        <f t="shared" si="13"/>
        <v>1</v>
      </c>
      <c r="AF74" s="179">
        <f t="shared" si="21"/>
        <v>9.676095541979509E-3</v>
      </c>
      <c r="AG74" s="837">
        <f t="shared" si="22"/>
        <v>0</v>
      </c>
      <c r="AH74" s="178">
        <f t="shared" si="14"/>
        <v>6</v>
      </c>
      <c r="AI74" s="227">
        <f t="shared" si="23"/>
        <v>9.676095541979509E-3</v>
      </c>
      <c r="AJ74" s="267" t="b">
        <f t="shared" si="15"/>
        <v>1</v>
      </c>
      <c r="AK74" s="267" t="b">
        <f t="shared" si="16"/>
        <v>0</v>
      </c>
      <c r="AL74" s="267"/>
      <c r="AM74" s="267"/>
      <c r="AN74" s="75"/>
    </row>
    <row r="75" spans="1:40" s="6" customFormat="1" ht="11.25" x14ac:dyDescent="0.2">
      <c r="A75" s="56">
        <f t="shared" si="17"/>
        <v>44622</v>
      </c>
      <c r="B75" s="618">
        <v>14.734</v>
      </c>
      <c r="C75" s="866"/>
      <c r="D75" s="395">
        <f t="shared" si="0"/>
        <v>15.18974372310422</v>
      </c>
      <c r="E75" s="387">
        <f t="shared" si="1"/>
        <v>17.15079968501917</v>
      </c>
      <c r="F75" s="387">
        <f t="shared" si="2"/>
        <v>17.200851517861061</v>
      </c>
      <c r="G75" s="110">
        <f t="shared" si="18"/>
        <v>0.44966432158775194</v>
      </c>
      <c r="H75" s="414" t="b">
        <f>Wh_hp&gt;='2021'!Maxi_hp</f>
        <v>0</v>
      </c>
      <c r="I75" s="382">
        <f>IF(H75,Wh_hp,'2021'!Maxi_hp)</f>
        <v>26.22963515117911</v>
      </c>
      <c r="J75" s="85">
        <f>IF(H75,An,'2021'!An_max)</f>
        <v>2020</v>
      </c>
      <c r="K75" s="199">
        <f t="shared" si="3"/>
        <v>44622</v>
      </c>
      <c r="L75" s="147">
        <f>IF(t&lt;Tvie,1-EXP((T0-t)*PertePVj)+'2021'!Pspv,1-EXP((T0-t)*PertePVj)+Pspv)</f>
        <v>3.0003384613462303E-2</v>
      </c>
      <c r="M75" s="870"/>
      <c r="N75" s="870"/>
      <c r="O75" s="48">
        <f>IF(t&lt;Tnet,'2021'!Resal+('2021'!Salim-'2021'!Resal)*(1-EXP(('2021'!Tnet-t)/('2021'!Tau_j))),Resal+(Salim-Resal)*(1-EXP((Tnet-t)/(Tau_j))))*Salcycl</f>
        <v>0.11434195477356573</v>
      </c>
      <c r="P75" s="341">
        <f>(INDEX(Models!$BJ75:$BT75,,T75)*(1-R75)+INDEX(Models!$BJ75:$BT75,,T75+1)*R75-ERP_i)*Q75*Ramure*Pc/MaxiM</f>
        <v>1.3196436940519623E-2</v>
      </c>
      <c r="Q75" s="307">
        <f t="shared" si="4"/>
        <v>1</v>
      </c>
      <c r="R75" s="179">
        <f t="shared" si="5"/>
        <v>1.0124964898945684E-2</v>
      </c>
      <c r="S75" s="837">
        <f t="shared" si="6"/>
        <v>0</v>
      </c>
      <c r="T75" s="178">
        <f t="shared" si="7"/>
        <v>6</v>
      </c>
      <c r="U75" s="253">
        <f t="shared" si="19"/>
        <v>1.0124964898945684E-2</v>
      </c>
      <c r="V75" s="385">
        <f t="shared" si="8"/>
        <v>32.428623667317289</v>
      </c>
      <c r="W75" s="404"/>
      <c r="X75" s="157">
        <f t="shared" si="9"/>
        <v>44622</v>
      </c>
      <c r="Y75" s="387">
        <f t="shared" si="10"/>
        <v>14.16051769934562</v>
      </c>
      <c r="Z75" s="387">
        <f t="shared" si="20"/>
        <v>14.598522793507625</v>
      </c>
      <c r="AA75" s="388">
        <f t="shared" si="11"/>
        <v>17.15079968501917</v>
      </c>
      <c r="AB75" s="199">
        <f t="shared" si="12"/>
        <v>44622</v>
      </c>
      <c r="AC75" s="119">
        <f>IF(OR(t&lt;Tnet,NoTnet),'2021'!Resal_s+('2021'!Salim-'2021'!Resal_s)*(1-EXP(('2021'!Tnet_s-t)/'2021'!Tau_j)),Resal_s+(Salim-Resal_s)*(1-EXP((Tnet_s-t)/Tau_j)))*Salcycl</f>
        <v>0.14881387097890833</v>
      </c>
      <c r="AD75" s="233">
        <f>(INDEX(Models!$BJ75:$BT75,,AH75)*(1-AF75)+INDEX(Models!$BJ75:$BT75,,AH75+1)*AF75-ERP_i)*AE75*Ramure*Pc/MaxiM</f>
        <v>1.3196436940519623E-2</v>
      </c>
      <c r="AE75" s="307">
        <f t="shared" si="13"/>
        <v>1</v>
      </c>
      <c r="AF75" s="179">
        <f t="shared" si="21"/>
        <v>1.0124964898945684E-2</v>
      </c>
      <c r="AG75" s="837">
        <f t="shared" si="22"/>
        <v>0</v>
      </c>
      <c r="AH75" s="178">
        <f t="shared" si="14"/>
        <v>6</v>
      </c>
      <c r="AI75" s="227">
        <f t="shared" si="23"/>
        <v>1.0124964898945684E-2</v>
      </c>
      <c r="AJ75" s="267" t="b">
        <f t="shared" si="15"/>
        <v>1</v>
      </c>
      <c r="AK75" s="267" t="b">
        <f t="shared" si="16"/>
        <v>0</v>
      </c>
      <c r="AL75" s="267"/>
      <c r="AM75" s="267"/>
      <c r="AN75" s="75"/>
    </row>
    <row r="76" spans="1:40" s="6" customFormat="1" ht="11.25" x14ac:dyDescent="0.2">
      <c r="A76" s="56">
        <f t="shared" si="17"/>
        <v>44623</v>
      </c>
      <c r="B76" s="618">
        <v>30.45</v>
      </c>
      <c r="C76" s="866"/>
      <c r="D76" s="395">
        <f t="shared" si="0"/>
        <v>31.392592664193039</v>
      </c>
      <c r="E76" s="387">
        <f t="shared" si="1"/>
        <v>35.451882840282558</v>
      </c>
      <c r="F76" s="387">
        <f t="shared" si="2"/>
        <v>35.856959587503439</v>
      </c>
      <c r="G76" s="110">
        <f t="shared" si="18"/>
        <v>0.92649462891177226</v>
      </c>
      <c r="H76" s="414" t="b">
        <f>Wh_hp&gt;='2021'!Maxi_hp</f>
        <v>1</v>
      </c>
      <c r="I76" s="382">
        <f>IF(H76,Wh_hp,'2021'!Maxi_hp)</f>
        <v>35.856959587503439</v>
      </c>
      <c r="J76" s="85">
        <f>IF(H76,An,'2021'!An_max)</f>
        <v>2022</v>
      </c>
      <c r="K76" s="199">
        <f t="shared" si="3"/>
        <v>44623</v>
      </c>
      <c r="L76" s="147">
        <f>IF(t&lt;Tvie,1-EXP((T0-t)*PertePVj)+'2021'!Pspv,1-EXP((T0-t)*PertePVj)+Pspv)</f>
        <v>3.0025957851776197E-2</v>
      </c>
      <c r="M76" s="870"/>
      <c r="N76" s="870"/>
      <c r="O76" s="48">
        <f>IF(t&lt;Tnet,'2021'!Resal+('2021'!Salim-'2021'!Resal)*(1-EXP(('2021'!Tnet-t)/('2021'!Tau_j))),Resal+(Salim-Resal)*(1-EXP((Tnet-t)/(Tau_j))))*Salcycl</f>
        <v>0.11450139882209896</v>
      </c>
      <c r="P76" s="341">
        <f>(INDEX(Models!$BJ76:$BT76,,T76)*(1-R76)+INDEX(Models!$BJ76:$BT76,,T76+1)*R76-ERP_i)*Q76*Ramure*Pc/MaxiM</f>
        <v>1.2597929748423569E-2</v>
      </c>
      <c r="Q76" s="307">
        <f t="shared" si="4"/>
        <v>1</v>
      </c>
      <c r="R76" s="179">
        <f t="shared" si="5"/>
        <v>1.059204467274672E-2</v>
      </c>
      <c r="S76" s="837">
        <f t="shared" si="6"/>
        <v>0</v>
      </c>
      <c r="T76" s="178">
        <f t="shared" si="7"/>
        <v>6</v>
      </c>
      <c r="U76" s="253">
        <f t="shared" si="19"/>
        <v>1.059204467274672E-2</v>
      </c>
      <c r="V76" s="385">
        <f t="shared" si="8"/>
        <v>32.822569817592864</v>
      </c>
      <c r="W76" s="404"/>
      <c r="X76" s="157">
        <f t="shared" si="9"/>
        <v>44623</v>
      </c>
      <c r="Y76" s="387">
        <f t="shared" si="10"/>
        <v>29.268622613100632</v>
      </c>
      <c r="Z76" s="387">
        <f t="shared" si="20"/>
        <v>30.174645239246548</v>
      </c>
      <c r="AA76" s="388">
        <f t="shared" si="11"/>
        <v>35.451882840282558</v>
      </c>
      <c r="AB76" s="199">
        <f t="shared" si="12"/>
        <v>44623</v>
      </c>
      <c r="AC76" s="119">
        <f>IF(OR(t&lt;Tnet,NoTnet),'2021'!Resal_s+('2021'!Salim-'2021'!Resal_s)*(1-EXP(('2021'!Tnet_s-t)/'2021'!Tau_j)),Resal_s+(Salim-Resal_s)*(1-EXP((Tnet_s-t)/Tau_j)))*Salcycl</f>
        <v>0.14885634212464718</v>
      </c>
      <c r="AD76" s="233">
        <f>(INDEX(Models!$BJ76:$BT76,,AH76)*(1-AF76)+INDEX(Models!$BJ76:$BT76,,AH76+1)*AF76-ERP_i)*AE76*Ramure*Pc/MaxiM</f>
        <v>1.2597929748423569E-2</v>
      </c>
      <c r="AE76" s="307">
        <f t="shared" si="13"/>
        <v>1</v>
      </c>
      <c r="AF76" s="179">
        <f t="shared" si="21"/>
        <v>1.059204467274672E-2</v>
      </c>
      <c r="AG76" s="837">
        <f t="shared" si="22"/>
        <v>0</v>
      </c>
      <c r="AH76" s="178">
        <f t="shared" si="14"/>
        <v>6</v>
      </c>
      <c r="AI76" s="227">
        <f t="shared" si="23"/>
        <v>1.059204467274672E-2</v>
      </c>
      <c r="AJ76" s="267" t="b">
        <f t="shared" si="15"/>
        <v>1</v>
      </c>
      <c r="AK76" s="267" t="b">
        <f t="shared" si="16"/>
        <v>0</v>
      </c>
      <c r="AL76" s="267"/>
      <c r="AM76" s="267"/>
      <c r="AN76" s="75"/>
    </row>
    <row r="77" spans="1:40" s="6" customFormat="1" ht="11.25" x14ac:dyDescent="0.2">
      <c r="A77" s="56">
        <f t="shared" si="17"/>
        <v>44624</v>
      </c>
      <c r="B77" s="618">
        <v>5.7869999999999999</v>
      </c>
      <c r="C77" s="866"/>
      <c r="D77" s="395">
        <f t="shared" si="0"/>
        <v>5.9662778833353602</v>
      </c>
      <c r="E77" s="387">
        <f t="shared" si="1"/>
        <v>6.7389706980222126</v>
      </c>
      <c r="F77" s="387">
        <f t="shared" si="2"/>
        <v>6.7389706980222126</v>
      </c>
      <c r="G77" s="110">
        <f t="shared" si="18"/>
        <v>0.17212439418452585</v>
      </c>
      <c r="H77" s="414" t="b">
        <f>Wh_hp&gt;='2021'!Maxi_hp</f>
        <v>0</v>
      </c>
      <c r="I77" s="382">
        <f>IF(H77,Wh_hp,'2021'!Maxi_hp)</f>
        <v>29.720518011114656</v>
      </c>
      <c r="J77" s="85">
        <f>IF(H77,An,'2021'!An_max)</f>
        <v>2021</v>
      </c>
      <c r="K77" s="199">
        <f t="shared" si="3"/>
        <v>44624</v>
      </c>
      <c r="L77" s="147">
        <f>IF(t&lt;Tvie,1-EXP((T0-t)*PertePVj)+'2021'!Pspv,1-EXP((T0-t)*PertePVj)+Pspv)</f>
        <v>3.0048530564777853E-2</v>
      </c>
      <c r="M77" s="870"/>
      <c r="N77" s="870"/>
      <c r="O77" s="48">
        <f>IF(t&lt;Tnet,'2021'!Resal+('2021'!Salim-'2021'!Resal)*(1-EXP(('2021'!Tnet-t)/('2021'!Tau_j))),Resal+(Salim-Resal)*(1-EXP((Tnet-t)/(Tau_j))))*Salcycl</f>
        <v>0.11466036124977165</v>
      </c>
      <c r="P77" s="341">
        <f>(INDEX(Models!$BJ77:$BT77,,T77)*(1-R77)+INDEX(Models!$BJ77:$BT77,,T77+1)*R77-ERP_i)*Q77*Ramure*Pc/MaxiM</f>
        <v>1.2058290967995985E-2</v>
      </c>
      <c r="Q77" s="307">
        <f t="shared" si="4"/>
        <v>1</v>
      </c>
      <c r="R77" s="179">
        <f t="shared" si="5"/>
        <v>1.107804703588432E-2</v>
      </c>
      <c r="S77" s="837">
        <f t="shared" si="6"/>
        <v>0</v>
      </c>
      <c r="T77" s="178">
        <f t="shared" si="7"/>
        <v>6</v>
      </c>
      <c r="U77" s="253">
        <f t="shared" si="19"/>
        <v>1.107804703588432E-2</v>
      </c>
      <c r="V77" s="385">
        <f t="shared" si="8"/>
        <v>33.215621163140106</v>
      </c>
      <c r="W77" s="404"/>
      <c r="X77" s="157">
        <f t="shared" si="9"/>
        <v>44624</v>
      </c>
      <c r="Y77" s="387">
        <f t="shared" si="10"/>
        <v>5.5632016954050707</v>
      </c>
      <c r="Z77" s="387">
        <f t="shared" si="20"/>
        <v>5.7355464378484626</v>
      </c>
      <c r="AA77" s="388">
        <f t="shared" si="11"/>
        <v>6.7389706980222126</v>
      </c>
      <c r="AB77" s="199">
        <f t="shared" si="12"/>
        <v>44624</v>
      </c>
      <c r="AC77" s="119">
        <f>IF(OR(t&lt;Tnet,NoTnet),'2021'!Resal_s+('2021'!Salim-'2021'!Resal_s)*(1-EXP(('2021'!Tnet_s-t)/'2021'!Tau_j)),Resal_s+(Salim-Resal_s)*(1-EXP((Tnet_s-t)/Tau_j)))*Salcycl</f>
        <v>0.14889874212811754</v>
      </c>
      <c r="AD77" s="233">
        <f>(INDEX(Models!$BJ77:$BT77,,AH77)*(1-AF77)+INDEX(Models!$BJ77:$BT77,,AH77+1)*AF77-ERP_i)*AE77*Ramure*Pc/MaxiM</f>
        <v>1.2058290967995985E-2</v>
      </c>
      <c r="AE77" s="307">
        <f t="shared" si="13"/>
        <v>1</v>
      </c>
      <c r="AF77" s="179">
        <f t="shared" si="21"/>
        <v>1.107804703588432E-2</v>
      </c>
      <c r="AG77" s="837">
        <f t="shared" si="22"/>
        <v>0</v>
      </c>
      <c r="AH77" s="178">
        <f t="shared" si="14"/>
        <v>6</v>
      </c>
      <c r="AI77" s="227">
        <f t="shared" si="23"/>
        <v>1.107804703588432E-2</v>
      </c>
      <c r="AJ77" s="267" t="b">
        <f t="shared" si="15"/>
        <v>1</v>
      </c>
      <c r="AK77" s="267" t="b">
        <f t="shared" si="16"/>
        <v>0</v>
      </c>
      <c r="AL77" s="267"/>
      <c r="AM77" s="267"/>
      <c r="AN77" s="75"/>
    </row>
    <row r="78" spans="1:40" s="6" customFormat="1" ht="11.25" x14ac:dyDescent="0.2">
      <c r="A78" s="56">
        <f t="shared" si="17"/>
        <v>44625</v>
      </c>
      <c r="B78" s="618">
        <v>12.968</v>
      </c>
      <c r="C78" s="866"/>
      <c r="D78" s="395">
        <f t="shared" si="0"/>
        <v>13.370052213931139</v>
      </c>
      <c r="E78" s="387">
        <f t="shared" si="1"/>
        <v>15.104312451262567</v>
      </c>
      <c r="F78" s="387">
        <f t="shared" si="2"/>
        <v>15.125790365994005</v>
      </c>
      <c r="G78" s="110">
        <f t="shared" si="18"/>
        <v>0.38194318411599754</v>
      </c>
      <c r="H78" s="414" t="b">
        <f>Wh_hp&gt;='2021'!Maxi_hp</f>
        <v>0</v>
      </c>
      <c r="I78" s="382">
        <f>IF(H78,Wh_hp,'2021'!Maxi_hp)</f>
        <v>38.596496043622651</v>
      </c>
      <c r="J78" s="85">
        <f>IF(H78,An,'2021'!An_max)</f>
        <v>2019</v>
      </c>
      <c r="K78" s="199">
        <f t="shared" si="3"/>
        <v>44625</v>
      </c>
      <c r="L78" s="147">
        <f>IF(t&lt;Tvie,1-EXP((T0-t)*PertePVj)+'2021'!Pspv,1-EXP((T0-t)*PertePVj)+Pspv)</f>
        <v>3.0071102752479484E-2</v>
      </c>
      <c r="M78" s="870"/>
      <c r="N78" s="870"/>
      <c r="O78" s="48">
        <f>IF(t&lt;Tnet,'2021'!Resal+('2021'!Salim-'2021'!Resal)*(1-EXP(('2021'!Tnet-t)/('2021'!Tau_j))),Resal+(Salim-Resal)*(1-EXP((Tnet-t)/(Tau_j))))*Salcycl</f>
        <v>0.11481887990118086</v>
      </c>
      <c r="P78" s="341">
        <f>(INDEX(Models!$BJ78:$BT78,,T78)*(1-R78)+INDEX(Models!$BJ78:$BT78,,T78+1)*R78-ERP_i)*Q78*Ramure*Pc/MaxiM</f>
        <v>1.1575594823774141E-2</v>
      </c>
      <c r="Q78" s="307">
        <f t="shared" si="4"/>
        <v>1</v>
      </c>
      <c r="R78" s="179">
        <f t="shared" si="5"/>
        <v>1.1583709776538218E-2</v>
      </c>
      <c r="S78" s="837">
        <f t="shared" si="6"/>
        <v>0</v>
      </c>
      <c r="T78" s="178">
        <f t="shared" si="7"/>
        <v>6</v>
      </c>
      <c r="U78" s="253">
        <f t="shared" si="19"/>
        <v>1.1583709776538218E-2</v>
      </c>
      <c r="V78" s="385">
        <f t="shared" si="8"/>
        <v>33.607392151690249</v>
      </c>
      <c r="W78" s="404"/>
      <c r="X78" s="157">
        <f t="shared" si="9"/>
        <v>44625</v>
      </c>
      <c r="Y78" s="387">
        <f t="shared" si="10"/>
        <v>12.468105488327364</v>
      </c>
      <c r="Z78" s="387">
        <f t="shared" si="20"/>
        <v>12.854659268024234</v>
      </c>
      <c r="AA78" s="388">
        <f t="shared" si="11"/>
        <v>15.104312451262567</v>
      </c>
      <c r="AB78" s="199">
        <f t="shared" si="12"/>
        <v>44625</v>
      </c>
      <c r="AC78" s="119">
        <f>IF(OR(t&lt;Tnet,NoTnet),'2021'!Resal_s+('2021'!Salim-'2021'!Resal_s)*(1-EXP(('2021'!Tnet_s-t)/'2021'!Tau_j)),Resal_s+(Salim-Resal_s)*(1-EXP((Tnet_s-t)/Tau_j)))*Salcycl</f>
        <v>0.14894111800833978</v>
      </c>
      <c r="AD78" s="233">
        <f>(INDEX(Models!$BJ78:$BT78,,AH78)*(1-AF78)+INDEX(Models!$BJ78:$BT78,,AH78+1)*AF78-ERP_i)*AE78*Ramure*Pc/MaxiM</f>
        <v>1.1575594823774141E-2</v>
      </c>
      <c r="AE78" s="307">
        <f t="shared" si="13"/>
        <v>1</v>
      </c>
      <c r="AF78" s="179">
        <f t="shared" si="21"/>
        <v>1.1583709776538218E-2</v>
      </c>
      <c r="AG78" s="837">
        <f t="shared" si="22"/>
        <v>0</v>
      </c>
      <c r="AH78" s="178">
        <f t="shared" si="14"/>
        <v>6</v>
      </c>
      <c r="AI78" s="227">
        <f t="shared" si="23"/>
        <v>1.1583709776538218E-2</v>
      </c>
      <c r="AJ78" s="267" t="b">
        <f t="shared" si="15"/>
        <v>1</v>
      </c>
      <c r="AK78" s="267" t="b">
        <f t="shared" si="16"/>
        <v>0</v>
      </c>
      <c r="AL78" s="267"/>
      <c r="AM78" s="267"/>
      <c r="AN78" s="75"/>
    </row>
    <row r="79" spans="1:40" s="6" customFormat="1" ht="11.25" x14ac:dyDescent="0.2">
      <c r="A79" s="56">
        <f t="shared" si="17"/>
        <v>44626</v>
      </c>
      <c r="B79" s="618">
        <v>19.019000000000002</v>
      </c>
      <c r="C79" s="866"/>
      <c r="D79" s="395">
        <f t="shared" ref="D79:D142" si="24">Wh/(1-Ppv)</f>
        <v>19.609110177239625</v>
      </c>
      <c r="E79" s="387">
        <f t="shared" si="1"/>
        <v>22.156610751670453</v>
      </c>
      <c r="F79" s="387">
        <f t="shared" ref="F79:F142" si="25">Wh_sa/(1-Pvg*MEDIAN((-Sdif+Wh/Env_an)/Csdif,0,1))</f>
        <v>22.24851135598368</v>
      </c>
      <c r="G79" s="110">
        <f t="shared" si="18"/>
        <v>0.55544552921812484</v>
      </c>
      <c r="H79" s="414" t="b">
        <f>Wh_hp&gt;='2021'!Maxi_hp</f>
        <v>0</v>
      </c>
      <c r="I79" s="382">
        <f>IF(H79,Wh_hp,'2021'!Maxi_hp)</f>
        <v>24.169421383322462</v>
      </c>
      <c r="J79" s="85">
        <f>IF(H79,An,'2021'!An_max)</f>
        <v>2019</v>
      </c>
      <c r="K79" s="199">
        <f t="shared" ref="K79:K142" si="26">t</f>
        <v>44626</v>
      </c>
      <c r="L79" s="147">
        <f>IF(t&lt;Tvie,1-EXP((T0-t)*PertePVj)+'2021'!Pspv,1-EXP((T0-t)*PertePVj)+Pspv)</f>
        <v>3.0093674414893412E-2</v>
      </c>
      <c r="M79" s="870"/>
      <c r="N79" s="870"/>
      <c r="O79" s="48">
        <f>IF(t&lt;Tnet,'2021'!Resal+('2021'!Salim-'2021'!Resal)*(1-EXP(('2021'!Tnet-t)/('2021'!Tau_j))),Resal+(Salim-Resal)*(1-EXP((Tnet-t)/(Tau_j))))*Salcycl</f>
        <v>0.11497699729363005</v>
      </c>
      <c r="P79" s="341">
        <f>(INDEX(Models!$BJ79:$BT79,,T79)*(1-R79)+INDEX(Models!$BJ79:$BT79,,T79+1)*R79-ERP_i)*Q79*Ramure*Pc/MaxiM</f>
        <v>1.1147245579504632E-2</v>
      </c>
      <c r="Q79" s="307">
        <f t="shared" ref="Q79:Q142" si="27">IF(OR(t&lt;Ttai,Notai),Dd+PousD*Croivg,Dens+PousD*(Croivg-Croi_tai))</f>
        <v>1</v>
      </c>
      <c r="R79" s="179">
        <f t="shared" ref="R79:R142" si="28">(Hp_vg-S79)/(INDEX(Echel_vg,T79+1)-S79)</f>
        <v>1.2109797030395594E-2</v>
      </c>
      <c r="S79" s="837">
        <f t="shared" ref="S79:S142" si="29">INDEX(Echel_vg,T79)</f>
        <v>0</v>
      </c>
      <c r="T79" s="178">
        <f t="shared" ref="T79:T142" si="30">MIN(MATCH(Hp_vg,Echel_vg),10)</f>
        <v>6</v>
      </c>
      <c r="U79" s="253">
        <f t="shared" ref="U79:U142" si="31">IF(OR(t&lt;Ttai,Notai),Hdd+PousH*Croivg,Hdtf+PousH*(Croivg-Croi_tai))</f>
        <v>1.2109797030395594E-2</v>
      </c>
      <c r="V79" s="385">
        <f t="shared" ref="V79:V142" si="32">MaxiM*(1-Ppv)*(1-Pvg)*(1-Psa)</f>
        <v>33.999729372286261</v>
      </c>
      <c r="W79" s="404"/>
      <c r="X79" s="157">
        <f t="shared" ref="X79:X142" si="33">t</f>
        <v>44626</v>
      </c>
      <c r="Y79" s="387">
        <f t="shared" ref="Y79:Y142" si="34">Wh_pvt_s*(1-Ppv)</f>
        <v>18.288205315957178</v>
      </c>
      <c r="Z79" s="387">
        <f t="shared" ref="Z79:Z142" si="35">Wh_sa_s*(1-Psa_s)</f>
        <v>18.855640832040784</v>
      </c>
      <c r="AA79" s="388">
        <f t="shared" ref="AA79:AA142" si="36">Wh_hp*(1-Pvg_s*MEDIAN((-Sdif+Wh/Env_an)/Csdif,0,1))</f>
        <v>22.156610751670453</v>
      </c>
      <c r="AB79" s="199">
        <f t="shared" ref="AB79:AB142" si="37">t</f>
        <v>44626</v>
      </c>
      <c r="AC79" s="119">
        <f>IF(OR(t&lt;Tnet,NoTnet),'2021'!Resal_s+('2021'!Salim-'2021'!Resal_s)*(1-EXP(('2021'!Tnet_s-t)/'2021'!Tau_j)),Resal_s+(Salim-Resal_s)*(1-EXP((Tnet_s-t)/Tau_j)))*Salcycl</f>
        <v>0.1489835226437238</v>
      </c>
      <c r="AD79" s="233">
        <f>(INDEX(Models!$BJ79:$BT79,,AH79)*(1-AF79)+INDEX(Models!$BJ79:$BT79,,AH79+1)*AF79-ERP_i)*AE79*Ramure*Pc/MaxiM</f>
        <v>1.1147245579504632E-2</v>
      </c>
      <c r="AE79" s="307">
        <f t="shared" ref="AE79:AE142" si="38">IF(OR(t&lt;Ttai,Notai),Dd_s+PousD*Croivg,Dens_s+PousD*(Croivg-Croi_tai))</f>
        <v>1</v>
      </c>
      <c r="AF79" s="179">
        <f t="shared" ref="AF79:AF142" si="39">(Hp_vg_s-AG79)/(INDEX(Echel_vg,AH79+1)-AG79)</f>
        <v>1.2109797030395594E-2</v>
      </c>
      <c r="AG79" s="837">
        <f t="shared" si="22"/>
        <v>0</v>
      </c>
      <c r="AH79" s="178">
        <f t="shared" ref="AH79:AH142" si="40">MIN(MATCH(Hp_vg_s,Echel_vg),10)</f>
        <v>6</v>
      </c>
      <c r="AI79" s="227">
        <f t="shared" ref="AI79:AI142" si="41">IF(OR(t&lt;Ttai,Notai),Hdd_s+PousH*Croivg,Hdtai_s+PousH*(Croivg-Croi_tai))</f>
        <v>1.2109797030395594E-2</v>
      </c>
      <c r="AJ79" s="267" t="b">
        <f t="shared" ref="AJ79:AJ142" si="42">t&lt;Tnet</f>
        <v>1</v>
      </c>
      <c r="AK79" s="267" t="b">
        <f t="shared" ref="AK79:AK142" si="43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4">A79+1</f>
        <v>44627</v>
      </c>
      <c r="B80" s="618">
        <v>32.423000000000002</v>
      </c>
      <c r="C80" s="866"/>
      <c r="D80" s="395">
        <f t="shared" si="24"/>
        <v>33.429779446562954</v>
      </c>
      <c r="E80" s="387">
        <f t="shared" ref="E80:E143" si="45">Wh_pvt/(1-Psa)</f>
        <v>37.779514842226405</v>
      </c>
      <c r="F80" s="387">
        <f t="shared" si="25"/>
        <v>38.157203221065181</v>
      </c>
      <c r="G80" s="110">
        <f t="shared" ref="G80:G143" si="46">+Wh_hp/MaxiM</f>
        <v>0.94185308016524838</v>
      </c>
      <c r="H80" s="414" t="b">
        <f>Wh_hp&gt;='2021'!Maxi_hp</f>
        <v>1</v>
      </c>
      <c r="I80" s="382">
        <f>IF(H80,Wh_hp,'2021'!Maxi_hp)</f>
        <v>38.157203221065181</v>
      </c>
      <c r="J80" s="85">
        <f>IF(H80,An,'2021'!An_max)</f>
        <v>2022</v>
      </c>
      <c r="K80" s="199">
        <f t="shared" si="26"/>
        <v>44627</v>
      </c>
      <c r="L80" s="147">
        <f>IF(t&lt;Tvie,1-EXP((T0-t)*PertePVj)+'2021'!Pspv,1-EXP((T0-t)*PertePVj)+Pspv)</f>
        <v>3.011624555203174E-2</v>
      </c>
      <c r="M80" s="870"/>
      <c r="N80" s="870"/>
      <c r="O80" s="48">
        <f>IF(t&lt;Tnet,'2021'!Resal+('2021'!Salim-'2021'!Resal)*(1-EXP(('2021'!Tnet-t)/('2021'!Tau_j))),Resal+(Salim-Resal)*(1-EXP((Tnet-t)/(Tau_j))))*Salcycl</f>
        <v>0.11513476056610773</v>
      </c>
      <c r="P80" s="341">
        <f>(INDEX(Models!$BJ80:$BT80,,T80)*(1-R80)+INDEX(Models!$BJ80:$BT80,,T80+1)*R80-ERP_i)*Q80*Ramure*Pc/MaxiM</f>
        <v>1.0780807267018109E-2</v>
      </c>
      <c r="Q80" s="307">
        <f t="shared" si="27"/>
        <v>1</v>
      </c>
      <c r="R80" s="179">
        <f t="shared" si="28"/>
        <v>1.265710001660539E-2</v>
      </c>
      <c r="S80" s="837">
        <f t="shared" si="29"/>
        <v>0</v>
      </c>
      <c r="T80" s="178">
        <f t="shared" si="30"/>
        <v>6</v>
      </c>
      <c r="U80" s="253">
        <f t="shared" si="31"/>
        <v>1.265710001660539E-2</v>
      </c>
      <c r="V80" s="385">
        <f t="shared" si="32"/>
        <v>34.394003123723429</v>
      </c>
      <c r="W80" s="404"/>
      <c r="X80" s="157">
        <f t="shared" si="33"/>
        <v>44627</v>
      </c>
      <c r="Y80" s="387">
        <f t="shared" si="34"/>
        <v>31.181165556696548</v>
      </c>
      <c r="Z80" s="387">
        <f t="shared" si="35"/>
        <v>32.149384308889708</v>
      </c>
      <c r="AA80" s="388">
        <f t="shared" si="36"/>
        <v>37.779514842226405</v>
      </c>
      <c r="AB80" s="199">
        <f t="shared" si="37"/>
        <v>44627</v>
      </c>
      <c r="AC80" s="119">
        <f>IF(OR(t&lt;Tnet,NoTnet),'2021'!Resal_s+('2021'!Salim-'2021'!Resal_s)*(1-EXP(('2021'!Tnet_s-t)/'2021'!Tau_j)),Resal_s+(Salim-Resal_s)*(1-EXP((Tnet_s-t)/Tau_j)))*Salcycl</f>
        <v>0.14902601467618287</v>
      </c>
      <c r="AD80" s="233">
        <f>(INDEX(Models!$BJ80:$BT80,,AH80)*(1-AF80)+INDEX(Models!$BJ80:$BT80,,AH80+1)*AF80-ERP_i)*AE80*Ramure*Pc/MaxiM</f>
        <v>1.0780807267018109E-2</v>
      </c>
      <c r="AE80" s="307">
        <f t="shared" si="38"/>
        <v>1</v>
      </c>
      <c r="AF80" s="179">
        <f t="shared" si="39"/>
        <v>1.265710001660539E-2</v>
      </c>
      <c r="AG80" s="837">
        <f t="shared" ref="AG80:AG143" si="47">INDEX(Echel_vg,AH80)</f>
        <v>0</v>
      </c>
      <c r="AH80" s="178">
        <f t="shared" si="40"/>
        <v>6</v>
      </c>
      <c r="AI80" s="227">
        <f t="shared" si="41"/>
        <v>1.265710001660539E-2</v>
      </c>
      <c r="AJ80" s="267" t="b">
        <f t="shared" si="42"/>
        <v>1</v>
      </c>
      <c r="AK80" s="267" t="b">
        <f t="shared" si="43"/>
        <v>0</v>
      </c>
      <c r="AL80" s="267"/>
      <c r="AM80" s="267"/>
      <c r="AN80" s="75"/>
    </row>
    <row r="81" spans="1:40" s="6" customFormat="1" ht="11.25" x14ac:dyDescent="0.2">
      <c r="A81" s="56">
        <f t="shared" si="44"/>
        <v>44628</v>
      </c>
      <c r="B81" s="618">
        <v>26.154</v>
      </c>
      <c r="C81" s="866"/>
      <c r="D81" s="395">
        <f t="shared" si="24"/>
        <v>26.96674579402492</v>
      </c>
      <c r="E81" s="387">
        <f t="shared" si="45"/>
        <v>30.48096382365134</v>
      </c>
      <c r="F81" s="387">
        <f t="shared" si="25"/>
        <v>30.688096258779094</v>
      </c>
      <c r="G81" s="110">
        <f t="shared" si="46"/>
        <v>0.74895645566541924</v>
      </c>
      <c r="H81" s="414" t="b">
        <f>Wh_hp&gt;='2021'!Maxi_hp</f>
        <v>1</v>
      </c>
      <c r="I81" s="382">
        <f>IF(H81,Wh_hp,'2021'!Maxi_hp)</f>
        <v>30.688096258779094</v>
      </c>
      <c r="J81" s="85">
        <f>IF(H81,An,'2021'!An_max)</f>
        <v>2022</v>
      </c>
      <c r="K81" s="199">
        <f t="shared" si="26"/>
        <v>44628</v>
      </c>
      <c r="L81" s="147">
        <f>IF(t&lt;Tvie,1-EXP((T0-t)*PertePVj)+'2021'!Pspv,1-EXP((T0-t)*PertePVj)+Pspv)</f>
        <v>3.0138816163906679E-2</v>
      </c>
      <c r="M81" s="870"/>
      <c r="N81" s="870"/>
      <c r="O81" s="48">
        <f>IF(t&lt;Tnet,'2021'!Resal+('2021'!Salim-'2021'!Resal)*(1-EXP(('2021'!Tnet-t)/('2021'!Tau_j))),Resal+(Salim-Resal)*(1-EXP((Tnet-t)/(Tau_j))))*Salcycl</f>
        <v>0.11529222139949534</v>
      </c>
      <c r="P81" s="341">
        <f>(INDEX(Models!$BJ81:$BT81,,T81)*(1-R81)+INDEX(Models!$BJ81:$BT81,,T81+1)*R81-ERP_i)*Q81*Ramure*Pc/MaxiM</f>
        <v>1.0458394692630348E-2</v>
      </c>
      <c r="Q81" s="307">
        <f t="shared" si="27"/>
        <v>1</v>
      </c>
      <c r="R81" s="179">
        <f t="shared" si="28"/>
        <v>1.3226437776099503E-2</v>
      </c>
      <c r="S81" s="837">
        <f t="shared" si="29"/>
        <v>0</v>
      </c>
      <c r="T81" s="178">
        <f t="shared" si="30"/>
        <v>6</v>
      </c>
      <c r="U81" s="253">
        <f t="shared" si="31"/>
        <v>1.3226437776099503E-2</v>
      </c>
      <c r="V81" s="385">
        <f t="shared" si="32"/>
        <v>34.790194916283085</v>
      </c>
      <c r="W81" s="404"/>
      <c r="X81" s="157">
        <f t="shared" si="33"/>
        <v>44628</v>
      </c>
      <c r="Y81" s="387">
        <f t="shared" si="34"/>
        <v>25.155490713509881</v>
      </c>
      <c r="Z81" s="387">
        <f t="shared" si="35"/>
        <v>25.937207440360002</v>
      </c>
      <c r="AA81" s="388">
        <f t="shared" si="36"/>
        <v>30.48096382365134</v>
      </c>
      <c r="AB81" s="199">
        <f t="shared" si="37"/>
        <v>44628</v>
      </c>
      <c r="AC81" s="119">
        <f>IF(OR(t&lt;Tnet,NoTnet),'2021'!Resal_s+('2021'!Salim-'2021'!Resal_s)*(1-EXP(('2021'!Tnet_s-t)/'2021'!Tau_j)),Resal_s+(Salim-Resal_s)*(1-EXP((Tnet_s-t)/Tau_j)))*Salcycl</f>
        <v>0.14906865837902625</v>
      </c>
      <c r="AD81" s="233">
        <f>(INDEX(Models!$BJ81:$BT81,,AH81)*(1-AF81)+INDEX(Models!$BJ81:$BT81,,AH81+1)*AF81-ERP_i)*AE81*Ramure*Pc/MaxiM</f>
        <v>1.0458394692630348E-2</v>
      </c>
      <c r="AE81" s="307">
        <f t="shared" si="38"/>
        <v>1</v>
      </c>
      <c r="AF81" s="179">
        <f t="shared" si="39"/>
        <v>1.3226437776099503E-2</v>
      </c>
      <c r="AG81" s="837">
        <f t="shared" si="47"/>
        <v>0</v>
      </c>
      <c r="AH81" s="178">
        <f t="shared" si="40"/>
        <v>6</v>
      </c>
      <c r="AI81" s="227">
        <f t="shared" si="41"/>
        <v>1.3226437776099503E-2</v>
      </c>
      <c r="AJ81" s="267" t="b">
        <f t="shared" si="42"/>
        <v>1</v>
      </c>
      <c r="AK81" s="267" t="b">
        <f t="shared" si="43"/>
        <v>0</v>
      </c>
      <c r="AL81" s="267"/>
      <c r="AM81" s="267"/>
      <c r="AN81" s="75"/>
    </row>
    <row r="82" spans="1:40" s="6" customFormat="1" ht="11.25" x14ac:dyDescent="0.2">
      <c r="A82" s="56">
        <f t="shared" si="44"/>
        <v>44629</v>
      </c>
      <c r="B82" s="618">
        <v>27.23</v>
      </c>
      <c r="C82" s="866"/>
      <c r="D82" s="395">
        <f t="shared" si="24"/>
        <v>28.076836304472103</v>
      </c>
      <c r="E82" s="387">
        <f t="shared" si="45"/>
        <v>31.741358204135118</v>
      </c>
      <c r="F82" s="387">
        <f t="shared" si="25"/>
        <v>31.961583374377572</v>
      </c>
      <c r="G82" s="110">
        <f t="shared" si="46"/>
        <v>0.77128706786922818</v>
      </c>
      <c r="H82" s="414" t="b">
        <f>Wh_hp&gt;='2021'!Maxi_hp</f>
        <v>0</v>
      </c>
      <c r="I82" s="382">
        <f>IF(H82,Wh_hp,'2021'!Maxi_hp)</f>
        <v>39.162385004311176</v>
      </c>
      <c r="J82" s="85">
        <f>IF(H82,An,'2021'!An_max)</f>
        <v>2021</v>
      </c>
      <c r="K82" s="199">
        <f t="shared" si="26"/>
        <v>44629</v>
      </c>
      <c r="L82" s="147">
        <f>IF(t&lt;Tvie,1-EXP((T0-t)*PertePVj)+'2021'!Pspv,1-EXP((T0-t)*PertePVj)+Pspv)</f>
        <v>3.0161386250530553E-2</v>
      </c>
      <c r="M82" s="870"/>
      <c r="N82" s="870"/>
      <c r="O82" s="48">
        <f>IF(t&lt;Tnet,'2021'!Resal+('2021'!Salim-'2021'!Resal)*(1-EXP(('2021'!Tnet-t)/('2021'!Tau_j))),Resal+(Salim-Resal)*(1-EXP((Tnet-t)/(Tau_j))))*Salcycl</f>
        <v>0.11544943590931846</v>
      </c>
      <c r="P82" s="341">
        <f>(INDEX(Models!$BJ82:$BT82,,T82)*(1-R82)+INDEX(Models!$BJ82:$BT82,,T82+1)*R82-ERP_i)*Q82*Ramure*Pc/MaxiM</f>
        <v>1.0178792641106021E-2</v>
      </c>
      <c r="Q82" s="307">
        <f t="shared" si="27"/>
        <v>1</v>
      </c>
      <c r="R82" s="179">
        <f t="shared" si="28"/>
        <v>1.3818657910321197E-2</v>
      </c>
      <c r="S82" s="837">
        <f t="shared" si="29"/>
        <v>0</v>
      </c>
      <c r="T82" s="178">
        <f t="shared" si="30"/>
        <v>6</v>
      </c>
      <c r="U82" s="253">
        <f t="shared" si="31"/>
        <v>1.3818657910321197E-2</v>
      </c>
      <c r="V82" s="385">
        <f t="shared" si="32"/>
        <v>35.187719892658798</v>
      </c>
      <c r="W82" s="404"/>
      <c r="X82" s="157">
        <f t="shared" si="33"/>
        <v>44629</v>
      </c>
      <c r="Y82" s="387">
        <f t="shared" si="34"/>
        <v>26.193746469620685</v>
      </c>
      <c r="Z82" s="387">
        <f t="shared" si="35"/>
        <v>27.008355924656041</v>
      </c>
      <c r="AA82" s="388">
        <f t="shared" si="36"/>
        <v>31.741358204135118</v>
      </c>
      <c r="AB82" s="199">
        <f t="shared" si="37"/>
        <v>44629</v>
      </c>
      <c r="AC82" s="119">
        <f>IF(OR(t&lt;Tnet,NoTnet),'2021'!Resal_s+('2021'!Salim-'2021'!Resal_s)*(1-EXP(('2021'!Tnet_s-t)/'2021'!Tau_j)),Resal_s+(Salim-Resal_s)*(1-EXP((Tnet_s-t)/Tau_j)))*Salcycl</f>
        <v>0.14911152349058854</v>
      </c>
      <c r="AD82" s="233">
        <f>(INDEX(Models!$BJ82:$BT82,,AH82)*(1-AF82)+INDEX(Models!$BJ82:$BT82,,AH82+1)*AF82-ERP_i)*AE82*Ramure*Pc/MaxiM</f>
        <v>1.0178792641106021E-2</v>
      </c>
      <c r="AE82" s="307">
        <f t="shared" si="38"/>
        <v>1</v>
      </c>
      <c r="AF82" s="179">
        <f t="shared" si="39"/>
        <v>1.3818657910321197E-2</v>
      </c>
      <c r="AG82" s="837">
        <f t="shared" si="47"/>
        <v>0</v>
      </c>
      <c r="AH82" s="178">
        <f t="shared" si="40"/>
        <v>6</v>
      </c>
      <c r="AI82" s="227">
        <f t="shared" si="41"/>
        <v>1.3818657910321197E-2</v>
      </c>
      <c r="AJ82" s="267" t="b">
        <f t="shared" si="42"/>
        <v>1</v>
      </c>
      <c r="AK82" s="267" t="b">
        <f t="shared" si="43"/>
        <v>0</v>
      </c>
      <c r="AL82" s="267"/>
      <c r="AM82" s="267"/>
      <c r="AN82" s="75"/>
    </row>
    <row r="83" spans="1:40" s="6" customFormat="1" ht="11.25" x14ac:dyDescent="0.2">
      <c r="A83" s="56">
        <f t="shared" si="44"/>
        <v>44630</v>
      </c>
      <c r="B83" s="618">
        <v>19.099</v>
      </c>
      <c r="C83" s="866"/>
      <c r="D83" s="395">
        <f t="shared" si="24"/>
        <v>19.693425484612806</v>
      </c>
      <c r="E83" s="387">
        <f t="shared" si="45"/>
        <v>22.267717587690267</v>
      </c>
      <c r="F83" s="387">
        <f t="shared" si="25"/>
        <v>22.342820964619545</v>
      </c>
      <c r="G83" s="110">
        <f t="shared" si="46"/>
        <v>0.53315685736831131</v>
      </c>
      <c r="H83" s="414" t="b">
        <f>Wh_hp&gt;='2021'!Maxi_hp</f>
        <v>0</v>
      </c>
      <c r="I83" s="382">
        <f>IF(H83,Wh_hp,'2021'!Maxi_hp)</f>
        <v>39.155466400635383</v>
      </c>
      <c r="J83" s="85">
        <f>IF(H83,An,'2021'!An_max)</f>
        <v>2021</v>
      </c>
      <c r="K83" s="199">
        <f t="shared" si="26"/>
        <v>44630</v>
      </c>
      <c r="L83" s="147">
        <f>IF(t&lt;Tvie,1-EXP((T0-t)*PertePVj)+'2021'!Pspv,1-EXP((T0-t)*PertePVj)+Pspv)</f>
        <v>3.0183955811915575E-2</v>
      </c>
      <c r="M83" s="870"/>
      <c r="N83" s="870"/>
      <c r="O83" s="48">
        <f>IF(t&lt;Tnet,'2021'!Resal+('2021'!Salim-'2021'!Resal)*(1-EXP(('2021'!Tnet-t)/('2021'!Tau_j))),Resal+(Salim-Resal)*(1-EXP((Tnet-t)/(Tau_j))))*Salcycl</f>
        <v>0.11560646451257965</v>
      </c>
      <c r="P83" s="341">
        <f>(INDEX(Models!$BJ83:$BT83,,T83)*(1-R83)+INDEX(Models!$BJ83:$BT83,,T83+1)*R83-ERP_i)*Q83*Ramure*Pc/MaxiM</f>
        <v>9.9408009471221755E-3</v>
      </c>
      <c r="Q83" s="307">
        <f t="shared" si="27"/>
        <v>1</v>
      </c>
      <c r="R83" s="179">
        <f t="shared" si="28"/>
        <v>1.443463731819266E-2</v>
      </c>
      <c r="S83" s="837">
        <f t="shared" si="29"/>
        <v>0</v>
      </c>
      <c r="T83" s="178">
        <f t="shared" si="30"/>
        <v>6</v>
      </c>
      <c r="U83" s="253">
        <f t="shared" si="31"/>
        <v>1.443463731819266E-2</v>
      </c>
      <c r="V83" s="385">
        <f t="shared" si="32"/>
        <v>35.585993366175288</v>
      </c>
      <c r="W83" s="404"/>
      <c r="X83" s="157">
        <f t="shared" si="33"/>
        <v>44630</v>
      </c>
      <c r="Y83" s="387">
        <f t="shared" si="34"/>
        <v>18.374506392029122</v>
      </c>
      <c r="Z83" s="387">
        <f t="shared" si="35"/>
        <v>18.946383184877071</v>
      </c>
      <c r="AA83" s="388">
        <f t="shared" si="36"/>
        <v>22.267717587690267</v>
      </c>
      <c r="AB83" s="199">
        <f t="shared" si="37"/>
        <v>44630</v>
      </c>
      <c r="AC83" s="119">
        <f>IF(OR(t&lt;Tnet,NoTnet),'2021'!Resal_s+('2021'!Salim-'2021'!Resal_s)*(1-EXP(('2021'!Tnet_s-t)/'2021'!Tau_j)),Resal_s+(Salim-Resal_s)*(1-EXP((Tnet_s-t)/Tau_j)))*Salcycl</f>
        <v>0.14915468501582083</v>
      </c>
      <c r="AD83" s="233">
        <f>(INDEX(Models!$BJ83:$BT83,,AH83)*(1-AF83)+INDEX(Models!$BJ83:$BT83,,AH83+1)*AF83-ERP_i)*AE83*Ramure*Pc/MaxiM</f>
        <v>9.9408009471221755E-3</v>
      </c>
      <c r="AE83" s="307">
        <f t="shared" si="38"/>
        <v>1</v>
      </c>
      <c r="AF83" s="179">
        <f t="shared" si="39"/>
        <v>1.443463731819266E-2</v>
      </c>
      <c r="AG83" s="837">
        <f t="shared" si="47"/>
        <v>0</v>
      </c>
      <c r="AH83" s="178">
        <f t="shared" si="40"/>
        <v>6</v>
      </c>
      <c r="AI83" s="227">
        <f t="shared" si="41"/>
        <v>1.443463731819266E-2</v>
      </c>
      <c r="AJ83" s="267" t="b">
        <f t="shared" si="42"/>
        <v>1</v>
      </c>
      <c r="AK83" s="267" t="b">
        <f t="shared" si="43"/>
        <v>0</v>
      </c>
      <c r="AL83" s="267"/>
      <c r="AM83" s="267"/>
      <c r="AN83" s="75"/>
    </row>
    <row r="84" spans="1:40" s="6" customFormat="1" ht="11.25" x14ac:dyDescent="0.2">
      <c r="A84" s="56">
        <f t="shared" si="44"/>
        <v>44631</v>
      </c>
      <c r="B84" s="618">
        <v>13.583</v>
      </c>
      <c r="C84" s="866"/>
      <c r="D84" s="395">
        <f t="shared" si="24"/>
        <v>14.006074847917606</v>
      </c>
      <c r="E84" s="387">
        <f t="shared" si="45"/>
        <v>15.839736107698245</v>
      </c>
      <c r="F84" s="387">
        <f t="shared" si="25"/>
        <v>15.856834242707572</v>
      </c>
      <c r="G84" s="110">
        <f t="shared" si="46"/>
        <v>0.37419451980087776</v>
      </c>
      <c r="H84" s="414" t="b">
        <f>Wh_hp&gt;='2021'!Maxi_hp</f>
        <v>0</v>
      </c>
      <c r="I84" s="382">
        <f>IF(H84,Wh_hp,'2021'!Maxi_hp)</f>
        <v>33.082890956820819</v>
      </c>
      <c r="J84" s="85">
        <f>IF(H84,An,'2021'!An_max)</f>
        <v>2019</v>
      </c>
      <c r="K84" s="199">
        <f t="shared" si="26"/>
        <v>44631</v>
      </c>
      <c r="L84" s="147">
        <f>IF(t&lt;Tvie,1-EXP((T0-t)*PertePVj)+'2021'!Pspv,1-EXP((T0-t)*PertePVj)+Pspv)</f>
        <v>3.0206524848073846E-2</v>
      </c>
      <c r="M84" s="870"/>
      <c r="N84" s="870"/>
      <c r="O84" s="48">
        <f>IF(t&lt;Tnet,'2021'!Resal+('2021'!Salim-'2021'!Resal)*(1-EXP(('2021'!Tnet-t)/('2021'!Tau_j))),Resal+(Salim-Resal)*(1-EXP((Tnet-t)/(Tau_j))))*Salcycl</f>
        <v>0.11576337177040875</v>
      </c>
      <c r="P84" s="341">
        <f>(INDEX(Models!$BJ84:$BT84,,T84)*(1-R84)+INDEX(Models!$BJ84:$BT84,,T84+1)*R84-ERP_i)*Q84*Ramure*Pc/MaxiM</f>
        <v>9.7432412062066123E-3</v>
      </c>
      <c r="Q84" s="307">
        <f t="shared" si="27"/>
        <v>1</v>
      </c>
      <c r="R84" s="179">
        <f t="shared" si="28"/>
        <v>1.5075282928923447E-2</v>
      </c>
      <c r="S84" s="837">
        <f t="shared" si="29"/>
        <v>0</v>
      </c>
      <c r="T84" s="178">
        <f t="shared" si="30"/>
        <v>6</v>
      </c>
      <c r="U84" s="253">
        <f t="shared" si="31"/>
        <v>1.5075282928923447E-2</v>
      </c>
      <c r="V84" s="385">
        <f t="shared" si="32"/>
        <v>35.984430815028858</v>
      </c>
      <c r="W84" s="404"/>
      <c r="X84" s="157">
        <f t="shared" si="33"/>
        <v>44631</v>
      </c>
      <c r="Y84" s="387">
        <f t="shared" si="34"/>
        <v>13.069398131756026</v>
      </c>
      <c r="Z84" s="387">
        <f t="shared" si="35"/>
        <v>13.476475627667631</v>
      </c>
      <c r="AA84" s="388">
        <f t="shared" si="36"/>
        <v>15.839736107698245</v>
      </c>
      <c r="AB84" s="199">
        <f t="shared" si="37"/>
        <v>44631</v>
      </c>
      <c r="AC84" s="119">
        <f>IF(OR(t&lt;Tnet,NoTnet),'2021'!Resal_s+('2021'!Salim-'2021'!Resal_s)*(1-EXP(('2021'!Tnet_s-t)/'2021'!Tau_j)),Resal_s+(Salim-Resal_s)*(1-EXP((Tnet_s-t)/Tau_j)))*Salcycl</f>
        <v>0.14919822299830182</v>
      </c>
      <c r="AD84" s="233">
        <f>(INDEX(Models!$BJ84:$BT84,,AH84)*(1-AF84)+INDEX(Models!$BJ84:$BT84,,AH84+1)*AF84-ERP_i)*AE84*Ramure*Pc/MaxiM</f>
        <v>9.7432412062066123E-3</v>
      </c>
      <c r="AE84" s="307">
        <f t="shared" si="38"/>
        <v>1</v>
      </c>
      <c r="AF84" s="179">
        <f t="shared" si="39"/>
        <v>1.5075282928923447E-2</v>
      </c>
      <c r="AG84" s="837">
        <f t="shared" si="47"/>
        <v>0</v>
      </c>
      <c r="AH84" s="178">
        <f t="shared" si="40"/>
        <v>6</v>
      </c>
      <c r="AI84" s="227">
        <f t="shared" si="41"/>
        <v>1.5075282928923447E-2</v>
      </c>
      <c r="AJ84" s="267" t="b">
        <f t="shared" si="42"/>
        <v>1</v>
      </c>
      <c r="AK84" s="267" t="b">
        <f t="shared" si="43"/>
        <v>0</v>
      </c>
      <c r="AL84" s="267"/>
      <c r="AM84" s="267"/>
      <c r="AN84" s="75"/>
    </row>
    <row r="85" spans="1:40" s="6" customFormat="1" ht="11.25" x14ac:dyDescent="0.2">
      <c r="A85" s="56">
        <f t="shared" si="44"/>
        <v>44632</v>
      </c>
      <c r="B85" s="618">
        <v>12.874000000000001</v>
      </c>
      <c r="C85" s="866"/>
      <c r="D85" s="395">
        <f t="shared" si="24"/>
        <v>13.275300291892616</v>
      </c>
      <c r="E85" s="387">
        <f t="shared" si="45"/>
        <v>15.015952955193949</v>
      </c>
      <c r="F85" s="387">
        <f t="shared" si="25"/>
        <v>15.027033651434101</v>
      </c>
      <c r="G85" s="110">
        <f t="shared" si="46"/>
        <v>0.35071890332449784</v>
      </c>
      <c r="H85" s="414" t="b">
        <f>Wh_hp&gt;='2021'!Maxi_hp</f>
        <v>0</v>
      </c>
      <c r="I85" s="382">
        <f>IF(H85,Wh_hp,'2021'!Maxi_hp)</f>
        <v>39.998388958381668</v>
      </c>
      <c r="J85" s="85">
        <f>IF(H85,An,'2021'!An_max)</f>
        <v>2020</v>
      </c>
      <c r="K85" s="199">
        <f t="shared" si="26"/>
        <v>44632</v>
      </c>
      <c r="L85" s="147">
        <f>IF(t&lt;Tvie,1-EXP((T0-t)*PertePVj)+'2021'!Pspv,1-EXP((T0-t)*PertePVj)+Pspv)</f>
        <v>3.0229093359017689E-2</v>
      </c>
      <c r="M85" s="870"/>
      <c r="N85" s="870"/>
      <c r="O85" s="48">
        <f>IF(t&lt;Tnet,'2021'!Resal+('2021'!Salim-'2021'!Resal)*(1-EXP(('2021'!Tnet-t)/('2021'!Tau_j))),Resal+(Salim-Resal)*(1-EXP((Tnet-t)/(Tau_j))))*Salcycl</f>
        <v>0.11592022620843712</v>
      </c>
      <c r="P85" s="341">
        <f>(INDEX(Models!$BJ85:$BT85,,T85)*(1-R85)+INDEX(Models!$BJ85:$BT85,,T85+1)*R85-ERP_i)*Q85*Ramure*Pc/MaxiM</f>
        <v>9.5849626575546035E-3</v>
      </c>
      <c r="Q85" s="307">
        <f t="shared" si="27"/>
        <v>1</v>
      </c>
      <c r="R85" s="179">
        <f t="shared" si="28"/>
        <v>1.5741532428020788E-2</v>
      </c>
      <c r="S85" s="837">
        <f t="shared" si="29"/>
        <v>0</v>
      </c>
      <c r="T85" s="178">
        <f t="shared" si="30"/>
        <v>6</v>
      </c>
      <c r="U85" s="253">
        <f t="shared" si="31"/>
        <v>1.5741532428020788E-2</v>
      </c>
      <c r="V85" s="385">
        <f t="shared" si="32"/>
        <v>36.382447881744397</v>
      </c>
      <c r="W85" s="404"/>
      <c r="X85" s="157">
        <f t="shared" si="33"/>
        <v>44632</v>
      </c>
      <c r="Y85" s="387">
        <f t="shared" si="34"/>
        <v>12.388763950094081</v>
      </c>
      <c r="Z85" s="387">
        <f t="shared" si="35"/>
        <v>12.774938766729274</v>
      </c>
      <c r="AA85" s="388">
        <f t="shared" si="36"/>
        <v>15.015952955193949</v>
      </c>
      <c r="AB85" s="199">
        <f t="shared" si="37"/>
        <v>44632</v>
      </c>
      <c r="AC85" s="119">
        <f>IF(OR(t&lt;Tnet,NoTnet),'2021'!Resal_s+('2021'!Salim-'2021'!Resal_s)*(1-EXP(('2021'!Tnet_s-t)/'2021'!Tau_j)),Resal_s+(Salim-Resal_s)*(1-EXP((Tnet_s-t)/Tau_j)))*Salcycl</f>
        <v>0.14924222226532205</v>
      </c>
      <c r="AD85" s="233">
        <f>(INDEX(Models!$BJ85:$BT85,,AH85)*(1-AF85)+INDEX(Models!$BJ85:$BT85,,AH85+1)*AF85-ERP_i)*AE85*Ramure*Pc/MaxiM</f>
        <v>9.5849626575546035E-3</v>
      </c>
      <c r="AE85" s="307">
        <f t="shared" si="38"/>
        <v>1</v>
      </c>
      <c r="AF85" s="179">
        <f t="shared" si="39"/>
        <v>1.5741532428020788E-2</v>
      </c>
      <c r="AG85" s="837">
        <f t="shared" si="47"/>
        <v>0</v>
      </c>
      <c r="AH85" s="178">
        <f t="shared" si="40"/>
        <v>6</v>
      </c>
      <c r="AI85" s="227">
        <f t="shared" si="41"/>
        <v>1.5741532428020788E-2</v>
      </c>
      <c r="AJ85" s="267" t="b">
        <f t="shared" si="42"/>
        <v>1</v>
      </c>
      <c r="AK85" s="267" t="b">
        <f t="shared" si="43"/>
        <v>0</v>
      </c>
      <c r="AL85" s="267"/>
      <c r="AM85" s="267"/>
      <c r="AN85" s="75"/>
    </row>
    <row r="86" spans="1:40" s="6" customFormat="1" ht="11.25" x14ac:dyDescent="0.2">
      <c r="A86" s="56">
        <f t="shared" si="44"/>
        <v>44633</v>
      </c>
      <c r="B86" s="618">
        <v>8.5</v>
      </c>
      <c r="C86" s="866"/>
      <c r="D86" s="395">
        <f t="shared" si="24"/>
        <v>8.765160672290536</v>
      </c>
      <c r="E86" s="387">
        <f t="shared" si="45"/>
        <v>9.9162049919174695</v>
      </c>
      <c r="F86" s="387">
        <f t="shared" si="25"/>
        <v>9.9162049919174695</v>
      </c>
      <c r="G86" s="110">
        <f t="shared" si="46"/>
        <v>0.22891985670379497</v>
      </c>
      <c r="H86" s="414" t="b">
        <f>Wh_hp&gt;='2021'!Maxi_hp</f>
        <v>0</v>
      </c>
      <c r="I86" s="382">
        <f>IF(H86,Wh_hp,'2021'!Maxi_hp)</f>
        <v>40.074289078669288</v>
      </c>
      <c r="J86" s="85">
        <f>IF(H86,An,'2021'!An_max)</f>
        <v>2021</v>
      </c>
      <c r="K86" s="199">
        <f t="shared" si="26"/>
        <v>44633</v>
      </c>
      <c r="L86" s="147">
        <f>IF(t&lt;Tvie,1-EXP((T0-t)*PertePVj)+'2021'!Pspv,1-EXP((T0-t)*PertePVj)+Pspv)</f>
        <v>3.0251661344759317E-2</v>
      </c>
      <c r="M86" s="870"/>
      <c r="N86" s="870"/>
      <c r="O86" s="48">
        <f>IF(t&lt;Tnet,'2021'!Resal+('2021'!Salim-'2021'!Resal)*(1-EXP(('2021'!Tnet-t)/('2021'!Tau_j))),Resal+(Salim-Resal)*(1-EXP((Tnet-t)/(Tau_j))))*Salcycl</f>
        <v>0.11607710011694299</v>
      </c>
      <c r="P86" s="341">
        <f>(INDEX(Models!$BJ86:$BT86,,T86)*(1-R86)+INDEX(Models!$BJ86:$BT86,,T86+1)*R86-ERP_i)*Q86*Ramure*Pc/MaxiM</f>
        <v>9.4601701684558816E-3</v>
      </c>
      <c r="Q86" s="307">
        <f t="shared" si="27"/>
        <v>1</v>
      </c>
      <c r="R86" s="179">
        <f t="shared" si="28"/>
        <v>1.6434354973604886E-2</v>
      </c>
      <c r="S86" s="837">
        <f t="shared" si="29"/>
        <v>0</v>
      </c>
      <c r="T86" s="178">
        <f t="shared" si="30"/>
        <v>6</v>
      </c>
      <c r="U86" s="253">
        <f t="shared" si="31"/>
        <v>1.6434354973604886E-2</v>
      </c>
      <c r="V86" s="385">
        <f t="shared" si="32"/>
        <v>36.779634037873947</v>
      </c>
      <c r="W86" s="404"/>
      <c r="X86" s="157">
        <f t="shared" si="33"/>
        <v>44633</v>
      </c>
      <c r="Y86" s="387">
        <f t="shared" si="34"/>
        <v>8.1806483774675911</v>
      </c>
      <c r="Z86" s="387">
        <f t="shared" si="35"/>
        <v>8.4358467567078019</v>
      </c>
      <c r="AA86" s="388">
        <f t="shared" si="36"/>
        <v>9.9162049919174695</v>
      </c>
      <c r="AB86" s="199">
        <f t="shared" si="37"/>
        <v>44633</v>
      </c>
      <c r="AC86" s="119">
        <f>IF(OR(t&lt;Tnet,NoTnet),'2021'!Resal_s+('2021'!Salim-'2021'!Resal_s)*(1-EXP(('2021'!Tnet_s-t)/'2021'!Tau_j)),Resal_s+(Salim-Resal_s)*(1-EXP((Tnet_s-t)/Tau_j)))*Salcycl</f>
        <v>0.14928677214884956</v>
      </c>
      <c r="AD86" s="233">
        <f>(INDEX(Models!$BJ86:$BT86,,AH86)*(1-AF86)+INDEX(Models!$BJ86:$BT86,,AH86+1)*AF86-ERP_i)*AE86*Ramure*Pc/MaxiM</f>
        <v>9.4601701684558816E-3</v>
      </c>
      <c r="AE86" s="307">
        <f t="shared" si="38"/>
        <v>1</v>
      </c>
      <c r="AF86" s="179">
        <f t="shared" si="39"/>
        <v>1.6434354973604886E-2</v>
      </c>
      <c r="AG86" s="837">
        <f t="shared" si="47"/>
        <v>0</v>
      </c>
      <c r="AH86" s="178">
        <f t="shared" si="40"/>
        <v>6</v>
      </c>
      <c r="AI86" s="227">
        <f t="shared" si="41"/>
        <v>1.6434354973604886E-2</v>
      </c>
      <c r="AJ86" s="267" t="b">
        <f t="shared" si="42"/>
        <v>1</v>
      </c>
      <c r="AK86" s="267" t="b">
        <f t="shared" si="43"/>
        <v>0</v>
      </c>
      <c r="AL86" s="267"/>
      <c r="AM86" s="267"/>
      <c r="AN86" s="75"/>
    </row>
    <row r="87" spans="1:40" s="6" customFormat="1" ht="11.25" x14ac:dyDescent="0.2">
      <c r="A87" s="56">
        <f t="shared" si="44"/>
        <v>44634</v>
      </c>
      <c r="B87" s="618">
        <v>11.707000000000001</v>
      </c>
      <c r="C87" s="866"/>
      <c r="D87" s="395">
        <f t="shared" si="24"/>
        <v>12.072485178543968</v>
      </c>
      <c r="E87" s="387">
        <f t="shared" si="45"/>
        <v>13.660274468185923</v>
      </c>
      <c r="F87" s="387">
        <f t="shared" si="25"/>
        <v>13.662992245580121</v>
      </c>
      <c r="G87" s="110">
        <f t="shared" si="46"/>
        <v>0.31202449298438967</v>
      </c>
      <c r="H87" s="414" t="b">
        <f>Wh_hp&gt;='2021'!Maxi_hp</f>
        <v>0</v>
      </c>
      <c r="I87" s="382">
        <f>IF(H87,Wh_hp,'2021'!Maxi_hp)</f>
        <v>37.860664680473128</v>
      </c>
      <c r="J87" s="85">
        <f>IF(H87,An,'2021'!An_max)</f>
        <v>2020</v>
      </c>
      <c r="K87" s="199">
        <f t="shared" si="26"/>
        <v>44634</v>
      </c>
      <c r="L87" s="147">
        <f>IF(t&lt;Tvie,1-EXP((T0-t)*PertePVj)+'2021'!Pspv,1-EXP((T0-t)*PertePVj)+Pspv)</f>
        <v>3.0274228805311054E-2</v>
      </c>
      <c r="M87" s="870"/>
      <c r="N87" s="870"/>
      <c r="O87" s="48">
        <f>IF(t&lt;Tnet,'2021'!Resal+('2021'!Salim-'2021'!Resal)*(1-EXP(('2021'!Tnet-t)/('2021'!Tau_j))),Resal+(Salim-Resal)*(1-EXP((Tnet-t)/(Tau_j))))*Salcycl</f>
        <v>0.11623406933292849</v>
      </c>
      <c r="P87" s="341">
        <f>(INDEX(Models!$BJ87:$BT87,,T87)*(1-R87)+INDEX(Models!$BJ87:$BT87,,T87+1)*R87-ERP_i)*Q87*Ramure*Pc/MaxiM</f>
        <v>9.3422826132449725E-3</v>
      </c>
      <c r="Q87" s="307">
        <f t="shared" si="27"/>
        <v>1</v>
      </c>
      <c r="R87" s="179">
        <f t="shared" si="28"/>
        <v>1.7154751899857573E-2</v>
      </c>
      <c r="S87" s="837">
        <f t="shared" si="29"/>
        <v>0</v>
      </c>
      <c r="T87" s="178">
        <f t="shared" si="30"/>
        <v>6</v>
      </c>
      <c r="U87" s="253">
        <f t="shared" si="31"/>
        <v>1.7154751899857573E-2</v>
      </c>
      <c r="V87" s="385">
        <f t="shared" si="32"/>
        <v>37.176367761456781</v>
      </c>
      <c r="W87" s="404"/>
      <c r="X87" s="157">
        <f t="shared" si="33"/>
        <v>44634</v>
      </c>
      <c r="Y87" s="387">
        <f t="shared" si="34"/>
        <v>11.268561421406805</v>
      </c>
      <c r="Z87" s="387">
        <f t="shared" si="35"/>
        <v>11.620358823220807</v>
      </c>
      <c r="AA87" s="388">
        <f t="shared" si="36"/>
        <v>13.660274468185923</v>
      </c>
      <c r="AB87" s="199">
        <f t="shared" si="37"/>
        <v>44634</v>
      </c>
      <c r="AC87" s="119">
        <f>IF(OR(t&lt;Tnet,NoTnet),'2021'!Resal_s+('2021'!Salim-'2021'!Resal_s)*(1-EXP(('2021'!Tnet_s-t)/'2021'!Tau_j)),Resal_s+(Salim-Resal_s)*(1-EXP((Tnet_s-t)/Tau_j)))*Salcycl</f>
        <v>0.14933196618530437</v>
      </c>
      <c r="AD87" s="233">
        <f>(INDEX(Models!$BJ87:$BT87,,AH87)*(1-AF87)+INDEX(Models!$BJ87:$BT87,,AH87+1)*AF87-ERP_i)*AE87*Ramure*Pc/MaxiM</f>
        <v>9.3422826132449725E-3</v>
      </c>
      <c r="AE87" s="307">
        <f t="shared" si="38"/>
        <v>1</v>
      </c>
      <c r="AF87" s="179">
        <f t="shared" si="39"/>
        <v>1.7154751899857573E-2</v>
      </c>
      <c r="AG87" s="837">
        <f t="shared" si="47"/>
        <v>0</v>
      </c>
      <c r="AH87" s="178">
        <f t="shared" si="40"/>
        <v>6</v>
      </c>
      <c r="AI87" s="227">
        <f t="shared" si="41"/>
        <v>1.7154751899857573E-2</v>
      </c>
      <c r="AJ87" s="267" t="b">
        <f t="shared" si="42"/>
        <v>1</v>
      </c>
      <c r="AK87" s="267" t="b">
        <f t="shared" si="43"/>
        <v>0</v>
      </c>
      <c r="AL87" s="267"/>
      <c r="AM87" s="267"/>
      <c r="AN87" s="75"/>
    </row>
    <row r="88" spans="1:40" s="6" customFormat="1" ht="11.25" x14ac:dyDescent="0.2">
      <c r="A88" s="56">
        <f t="shared" si="44"/>
        <v>44635</v>
      </c>
      <c r="B88" s="618">
        <v>13.528</v>
      </c>
      <c r="C88" s="866"/>
      <c r="D88" s="395">
        <f t="shared" si="24"/>
        <v>13.950660305730395</v>
      </c>
      <c r="E88" s="387">
        <f t="shared" si="45"/>
        <v>15.788277019285585</v>
      </c>
      <c r="F88" s="387">
        <f t="shared" si="25"/>
        <v>15.800790864659771</v>
      </c>
      <c r="G88" s="110">
        <f t="shared" si="46"/>
        <v>0.35701374344870135</v>
      </c>
      <c r="H88" s="414" t="b">
        <f>Wh_hp&gt;='2021'!Maxi_hp</f>
        <v>0</v>
      </c>
      <c r="I88" s="382">
        <f>IF(H88,Wh_hp,'2021'!Maxi_hp)</f>
        <v>32.051148513928005</v>
      </c>
      <c r="J88" s="85">
        <f>IF(H88,An,'2021'!An_max)</f>
        <v>2020</v>
      </c>
      <c r="K88" s="199">
        <f t="shared" si="26"/>
        <v>44635</v>
      </c>
      <c r="L88" s="147">
        <f>IF(t&lt;Tvie,1-EXP((T0-t)*PertePVj)+'2021'!Pspv,1-EXP((T0-t)*PertePVj)+Pspv)</f>
        <v>3.029679574068489E-2</v>
      </c>
      <c r="M88" s="870"/>
      <c r="N88" s="870"/>
      <c r="O88" s="48">
        <f>IF(t&lt;Tnet,'2021'!Resal+('2021'!Salim-'2021'!Resal)*(1-EXP(('2021'!Tnet-t)/('2021'!Tau_j))),Resal+(Salim-Resal)*(1-EXP((Tnet-t)/(Tau_j))))*Salcycl</f>
        <v>0.11639121300636657</v>
      </c>
      <c r="P88" s="341">
        <f>(INDEX(Models!$BJ88:$BT88,,T88)*(1-R88)+INDEX(Models!$BJ88:$BT88,,T88+1)*R88-ERP_i)*Q88*Ramure*Pc/MaxiM</f>
        <v>9.2312923675934994E-3</v>
      </c>
      <c r="Q88" s="307">
        <f t="shared" si="27"/>
        <v>1</v>
      </c>
      <c r="R88" s="179">
        <f t="shared" si="28"/>
        <v>1.7903757404141813E-2</v>
      </c>
      <c r="S88" s="837">
        <f t="shared" si="29"/>
        <v>0</v>
      </c>
      <c r="T88" s="178">
        <f t="shared" si="30"/>
        <v>6</v>
      </c>
      <c r="U88" s="253">
        <f t="shared" si="31"/>
        <v>1.7903757404141813E-2</v>
      </c>
      <c r="V88" s="385">
        <f t="shared" si="32"/>
        <v>37.572061814352011</v>
      </c>
      <c r="W88" s="404"/>
      <c r="X88" s="157">
        <f t="shared" si="33"/>
        <v>44635</v>
      </c>
      <c r="Y88" s="387">
        <f t="shared" si="34"/>
        <v>13.022975680945969</v>
      </c>
      <c r="Z88" s="387">
        <f t="shared" si="35"/>
        <v>13.429857325152659</v>
      </c>
      <c r="AA88" s="388">
        <f t="shared" si="36"/>
        <v>15.788277019285585</v>
      </c>
      <c r="AB88" s="199">
        <f t="shared" si="37"/>
        <v>44635</v>
      </c>
      <c r="AC88" s="119">
        <f>IF(OR(t&lt;Tnet,NoTnet),'2021'!Resal_s+('2021'!Salim-'2021'!Resal_s)*(1-EXP(('2021'!Tnet_s-t)/'2021'!Tau_j)),Resal_s+(Salim-Resal_s)*(1-EXP((Tnet_s-t)/Tau_j)))*Salcycl</f>
        <v>0.14937790179714269</v>
      </c>
      <c r="AD88" s="233">
        <f>(INDEX(Models!$BJ88:$BT88,,AH88)*(1-AF88)+INDEX(Models!$BJ88:$BT88,,AH88+1)*AF88-ERP_i)*AE88*Ramure*Pc/MaxiM</f>
        <v>9.2312923675934994E-3</v>
      </c>
      <c r="AE88" s="307">
        <f t="shared" si="38"/>
        <v>1</v>
      </c>
      <c r="AF88" s="179">
        <f t="shared" si="39"/>
        <v>1.7903757404141813E-2</v>
      </c>
      <c r="AG88" s="837">
        <f t="shared" si="47"/>
        <v>0</v>
      </c>
      <c r="AH88" s="178">
        <f t="shared" si="40"/>
        <v>6</v>
      </c>
      <c r="AI88" s="227">
        <f t="shared" si="41"/>
        <v>1.7903757404141813E-2</v>
      </c>
      <c r="AJ88" s="267" t="b">
        <f t="shared" si="42"/>
        <v>1</v>
      </c>
      <c r="AK88" s="267" t="b">
        <f t="shared" si="43"/>
        <v>0</v>
      </c>
      <c r="AL88" s="267"/>
      <c r="AM88" s="267"/>
      <c r="AN88" s="75"/>
    </row>
    <row r="89" spans="1:40" s="6" customFormat="1" ht="11.25" x14ac:dyDescent="0.2">
      <c r="A89" s="56">
        <f t="shared" si="44"/>
        <v>44636</v>
      </c>
      <c r="B89" s="618">
        <v>11.872</v>
      </c>
      <c r="C89" s="866"/>
      <c r="D89" s="395">
        <f t="shared" si="24"/>
        <v>12.243206202749215</v>
      </c>
      <c r="E89" s="387">
        <f t="shared" si="45"/>
        <v>13.858381330086647</v>
      </c>
      <c r="F89" s="387">
        <f t="shared" si="25"/>
        <v>13.860676525489279</v>
      </c>
      <c r="G89" s="110">
        <f t="shared" si="46"/>
        <v>0.30989702083881671</v>
      </c>
      <c r="H89" s="414" t="b">
        <f>Wh_hp&gt;='2021'!Maxi_hp</f>
        <v>0</v>
      </c>
      <c r="I89" s="382">
        <f>IF(H89,Wh_hp,'2021'!Maxi_hp)</f>
        <v>45.887721120206436</v>
      </c>
      <c r="J89" s="85">
        <f>IF(H89,An,'2021'!An_max)</f>
        <v>2020</v>
      </c>
      <c r="K89" s="199">
        <f t="shared" si="26"/>
        <v>44636</v>
      </c>
      <c r="L89" s="147">
        <f>IF(t&lt;Tvie,1-EXP((T0-t)*PertePVj)+'2021'!Pspv,1-EXP((T0-t)*PertePVj)+Pspv)</f>
        <v>3.0319362150893148E-2</v>
      </c>
      <c r="M89" s="870"/>
      <c r="N89" s="870"/>
      <c r="O89" s="48">
        <f>IF(t&lt;Tnet,'2021'!Resal+('2021'!Salim-'2021'!Resal)*(1-EXP(('2021'!Tnet-t)/('2021'!Tau_j))),Resal+(Salim-Resal)*(1-EXP((Tnet-t)/(Tau_j))))*Salcycl</f>
        <v>0.1165486133529083</v>
      </c>
      <c r="P89" s="341">
        <f>(INDEX(Models!$BJ89:$BT89,,T89)*(1-R89)+INDEX(Models!$BJ89:$BT89,,T89+1)*R89-ERP_i)*Q89*Ramure*Pc/MaxiM</f>
        <v>9.1271926561833656E-3</v>
      </c>
      <c r="Q89" s="307">
        <f t="shared" si="27"/>
        <v>1</v>
      </c>
      <c r="R89" s="179">
        <f t="shared" si="28"/>
        <v>1.8682439214022514E-2</v>
      </c>
      <c r="S89" s="837">
        <f t="shared" si="29"/>
        <v>0</v>
      </c>
      <c r="T89" s="178">
        <f t="shared" si="30"/>
        <v>6</v>
      </c>
      <c r="U89" s="253">
        <f t="shared" si="31"/>
        <v>1.8682439214022514E-2</v>
      </c>
      <c r="V89" s="385">
        <f t="shared" si="32"/>
        <v>37.966128896947886</v>
      </c>
      <c r="W89" s="404"/>
      <c r="X89" s="157">
        <f t="shared" si="33"/>
        <v>44636</v>
      </c>
      <c r="Y89" s="387">
        <f t="shared" si="34"/>
        <v>11.43020470865717</v>
      </c>
      <c r="Z89" s="387">
        <f t="shared" si="35"/>
        <v>11.787597135084631</v>
      </c>
      <c r="AA89" s="388">
        <f t="shared" si="36"/>
        <v>13.858381330086647</v>
      </c>
      <c r="AB89" s="199">
        <f t="shared" si="37"/>
        <v>44636</v>
      </c>
      <c r="AC89" s="119">
        <f>IF(OR(t&lt;Tnet,NoTnet),'2021'!Resal_s+('2021'!Salim-'2021'!Resal_s)*(1-EXP(('2021'!Tnet_s-t)/'2021'!Tau_j)),Resal_s+(Salim-Resal_s)*(1-EXP((Tnet_s-t)/Tau_j)))*Salcycl</f>
        <v>0.14942467995929132</v>
      </c>
      <c r="AD89" s="233">
        <f>(INDEX(Models!$BJ89:$BT89,,AH89)*(1-AF89)+INDEX(Models!$BJ89:$BT89,,AH89+1)*AF89-ERP_i)*AE89*Ramure*Pc/MaxiM</f>
        <v>9.1271926561833656E-3</v>
      </c>
      <c r="AE89" s="307">
        <f t="shared" si="38"/>
        <v>1</v>
      </c>
      <c r="AF89" s="179">
        <f t="shared" si="39"/>
        <v>1.8682439214022514E-2</v>
      </c>
      <c r="AG89" s="837">
        <f t="shared" si="47"/>
        <v>0</v>
      </c>
      <c r="AH89" s="178">
        <f t="shared" si="40"/>
        <v>6</v>
      </c>
      <c r="AI89" s="227">
        <f t="shared" si="41"/>
        <v>1.8682439214022514E-2</v>
      </c>
      <c r="AJ89" s="267" t="b">
        <f t="shared" si="42"/>
        <v>1</v>
      </c>
      <c r="AK89" s="267" t="b">
        <f t="shared" si="43"/>
        <v>0</v>
      </c>
      <c r="AL89" s="267"/>
      <c r="AM89" s="267"/>
      <c r="AN89" s="75"/>
    </row>
    <row r="90" spans="1:40" s="6" customFormat="1" ht="11.25" x14ac:dyDescent="0.2">
      <c r="A90" s="56">
        <f t="shared" si="44"/>
        <v>44637</v>
      </c>
      <c r="B90" s="618">
        <v>10.411</v>
      </c>
      <c r="C90" s="866"/>
      <c r="D90" s="395">
        <f t="shared" si="24"/>
        <v>10.736774437315226</v>
      </c>
      <c r="E90" s="387">
        <f t="shared" si="45"/>
        <v>12.155385134827904</v>
      </c>
      <c r="F90" s="387">
        <f t="shared" si="25"/>
        <v>12.155385134827904</v>
      </c>
      <c r="G90" s="110">
        <f t="shared" si="46"/>
        <v>0.26896589571377494</v>
      </c>
      <c r="H90" s="414" t="b">
        <f>Wh_hp&gt;='2021'!Maxi_hp</f>
        <v>0</v>
      </c>
      <c r="I90" s="382">
        <f>IF(H90,Wh_hp,'2021'!Maxi_hp)</f>
        <v>24.980493555127275</v>
      </c>
      <c r="J90" s="85">
        <f>IF(H90,An,'2021'!An_max)</f>
        <v>2021</v>
      </c>
      <c r="K90" s="199">
        <f t="shared" si="26"/>
        <v>44637</v>
      </c>
      <c r="L90" s="147">
        <f>IF(t&lt;Tvie,1-EXP((T0-t)*PertePVj)+'2021'!Pspv,1-EXP((T0-t)*PertePVj)+Pspv)</f>
        <v>3.0341928035948151E-2</v>
      </c>
      <c r="M90" s="870"/>
      <c r="N90" s="870"/>
      <c r="O90" s="48">
        <f>IF(t&lt;Tnet,'2021'!Resal+('2021'!Salim-'2021'!Resal)*(1-EXP(('2021'!Tnet-t)/('2021'!Tau_j))),Resal+(Salim-Resal)*(1-EXP((Tnet-t)/(Tau_j))))*Salcycl</f>
        <v>0.11670635539535812</v>
      </c>
      <c r="P90" s="341">
        <f>(INDEX(Models!$BJ90:$BT90,,T90)*(1-R90)+INDEX(Models!$BJ90:$BT90,,T90+1)*R90-ERP_i)*Q90*Ramure*Pc/MaxiM</f>
        <v>9.0299789716828723E-3</v>
      </c>
      <c r="Q90" s="307">
        <f t="shared" si="27"/>
        <v>1</v>
      </c>
      <c r="R90" s="179">
        <f t="shared" si="28"/>
        <v>1.9491899230092462E-2</v>
      </c>
      <c r="S90" s="837">
        <f t="shared" si="29"/>
        <v>0</v>
      </c>
      <c r="T90" s="178">
        <f t="shared" si="30"/>
        <v>6</v>
      </c>
      <c r="U90" s="253">
        <f t="shared" si="31"/>
        <v>1.9491899230092462E-2</v>
      </c>
      <c r="V90" s="385">
        <f t="shared" si="32"/>
        <v>38.357981637585844</v>
      </c>
      <c r="W90" s="404"/>
      <c r="X90" s="157">
        <f t="shared" si="33"/>
        <v>44637</v>
      </c>
      <c r="Y90" s="387">
        <f t="shared" si="34"/>
        <v>10.024800752454114</v>
      </c>
      <c r="Z90" s="387">
        <f t="shared" si="35"/>
        <v>10.338490486805089</v>
      </c>
      <c r="AA90" s="388">
        <f t="shared" si="36"/>
        <v>12.155385134827904</v>
      </c>
      <c r="AB90" s="199">
        <f t="shared" si="37"/>
        <v>44637</v>
      </c>
      <c r="AC90" s="119">
        <f>IF(OR(t&lt;Tnet,NoTnet),'2021'!Resal_s+('2021'!Salim-'2021'!Resal_s)*(1-EXP(('2021'!Tnet_s-t)/'2021'!Tau_j)),Resal_s+(Salim-Resal_s)*(1-EXP((Tnet_s-t)/Tau_j)))*Salcycl</f>
        <v>0.14947240485346733</v>
      </c>
      <c r="AD90" s="233">
        <f>(INDEX(Models!$BJ90:$BT90,,AH90)*(1-AF90)+INDEX(Models!$BJ90:$BT90,,AH90+1)*AF90-ERP_i)*AE90*Ramure*Pc/MaxiM</f>
        <v>9.0299789716828723E-3</v>
      </c>
      <c r="AE90" s="307">
        <f t="shared" si="38"/>
        <v>1</v>
      </c>
      <c r="AF90" s="179">
        <f t="shared" si="39"/>
        <v>1.9491899230092462E-2</v>
      </c>
      <c r="AG90" s="837">
        <f t="shared" si="47"/>
        <v>0</v>
      </c>
      <c r="AH90" s="178">
        <f t="shared" si="40"/>
        <v>6</v>
      </c>
      <c r="AI90" s="227">
        <f t="shared" si="41"/>
        <v>1.9491899230092462E-2</v>
      </c>
      <c r="AJ90" s="267" t="b">
        <f t="shared" si="42"/>
        <v>1</v>
      </c>
      <c r="AK90" s="267" t="b">
        <f t="shared" si="43"/>
        <v>0</v>
      </c>
      <c r="AL90" s="267"/>
      <c r="AM90" s="267"/>
      <c r="AN90" s="75"/>
    </row>
    <row r="91" spans="1:40" s="6" customFormat="1" ht="11.25" x14ac:dyDescent="0.2">
      <c r="A91" s="56">
        <f t="shared" si="44"/>
        <v>44638</v>
      </c>
      <c r="B91" s="618">
        <v>13.065</v>
      </c>
      <c r="C91" s="866"/>
      <c r="D91" s="395">
        <f t="shared" si="24"/>
        <v>13.47413529209167</v>
      </c>
      <c r="E91" s="387">
        <f t="shared" si="45"/>
        <v>15.257155554725124</v>
      </c>
      <c r="F91" s="387">
        <f t="shared" si="25"/>
        <v>15.264404833803427</v>
      </c>
      <c r="G91" s="110">
        <f t="shared" si="46"/>
        <v>0.33433155541293286</v>
      </c>
      <c r="H91" s="414" t="b">
        <f>Wh_hp&gt;='2021'!Maxi_hp</f>
        <v>0</v>
      </c>
      <c r="I91" s="382">
        <f>IF(H91,Wh_hp,'2021'!Maxi_hp)</f>
        <v>30.158532920094469</v>
      </c>
      <c r="J91" s="85">
        <f>IF(H91,An,'2021'!An_max)</f>
        <v>2019</v>
      </c>
      <c r="K91" s="199">
        <f t="shared" si="26"/>
        <v>44638</v>
      </c>
      <c r="L91" s="147">
        <f>IF(t&lt;Tvie,1-EXP((T0-t)*PertePVj)+'2021'!Pspv,1-EXP((T0-t)*PertePVj)+Pspv)</f>
        <v>3.0364493395862113E-2</v>
      </c>
      <c r="M91" s="870"/>
      <c r="N91" s="870"/>
      <c r="O91" s="48">
        <f>IF(t&lt;Tnet,'2021'!Resal+('2021'!Salim-'2021'!Resal)*(1-EXP(('2021'!Tnet-t)/('2021'!Tau_j))),Resal+(Salim-Resal)*(1-EXP((Tnet-t)/(Tau_j))))*Salcycl</f>
        <v>0.11686452669621329</v>
      </c>
      <c r="P91" s="341">
        <f>(INDEX(Models!$BJ91:$BT91,,T91)*(1-R91)+INDEX(Models!$BJ91:$BT91,,T91+1)*R91-ERP_i)*Q91*Ramure*Pc/MaxiM</f>
        <v>8.9396504270801216E-3</v>
      </c>
      <c r="Q91" s="307">
        <f t="shared" si="27"/>
        <v>1</v>
      </c>
      <c r="R91" s="179">
        <f t="shared" si="28"/>
        <v>2.033327414016806E-2</v>
      </c>
      <c r="S91" s="837">
        <f t="shared" si="29"/>
        <v>0</v>
      </c>
      <c r="T91" s="178">
        <f t="shared" si="30"/>
        <v>6</v>
      </c>
      <c r="U91" s="253">
        <f t="shared" si="31"/>
        <v>2.033327414016806E-2</v>
      </c>
      <c r="V91" s="385">
        <f t="shared" si="32"/>
        <v>38.747032584564913</v>
      </c>
      <c r="W91" s="404"/>
      <c r="X91" s="157">
        <f t="shared" si="33"/>
        <v>44638</v>
      </c>
      <c r="Y91" s="387">
        <f t="shared" si="34"/>
        <v>12.581881345825531</v>
      </c>
      <c r="Z91" s="387">
        <f t="shared" si="35"/>
        <v>12.975887599134913</v>
      </c>
      <c r="AA91" s="388">
        <f t="shared" si="36"/>
        <v>15.257155554725124</v>
      </c>
      <c r="AB91" s="199">
        <f t="shared" si="37"/>
        <v>44638</v>
      </c>
      <c r="AC91" s="119">
        <f>IF(OR(t&lt;Tnet,NoTnet),'2021'!Resal_s+('2021'!Salim-'2021'!Resal_s)*(1-EXP(('2021'!Tnet_s-t)/'2021'!Tau_j)),Resal_s+(Salim-Resal_s)*(1-EXP((Tnet_s-t)/Tau_j)))*Salcycl</f>
        <v>0.14952118351337806</v>
      </c>
      <c r="AD91" s="233">
        <f>(INDEX(Models!$BJ91:$BT91,,AH91)*(1-AF91)+INDEX(Models!$BJ91:$BT91,,AH91+1)*AF91-ERP_i)*AE91*Ramure*Pc/MaxiM</f>
        <v>8.9396504270801216E-3</v>
      </c>
      <c r="AE91" s="307">
        <f t="shared" si="38"/>
        <v>1</v>
      </c>
      <c r="AF91" s="179">
        <f t="shared" si="39"/>
        <v>2.033327414016806E-2</v>
      </c>
      <c r="AG91" s="837">
        <f t="shared" si="47"/>
        <v>0</v>
      </c>
      <c r="AH91" s="178">
        <f t="shared" si="40"/>
        <v>6</v>
      </c>
      <c r="AI91" s="227">
        <f t="shared" si="41"/>
        <v>2.033327414016806E-2</v>
      </c>
      <c r="AJ91" s="267" t="b">
        <f t="shared" si="42"/>
        <v>1</v>
      </c>
      <c r="AK91" s="267" t="b">
        <f t="shared" si="43"/>
        <v>0</v>
      </c>
      <c r="AL91" s="267"/>
      <c r="AM91" s="267"/>
      <c r="AN91" s="75"/>
    </row>
    <row r="92" spans="1:40" s="6" customFormat="1" ht="11.25" x14ac:dyDescent="0.2">
      <c r="A92" s="56">
        <f t="shared" si="44"/>
        <v>44639</v>
      </c>
      <c r="B92" s="618">
        <v>26.310000000000002</v>
      </c>
      <c r="C92" s="866"/>
      <c r="D92" s="395">
        <f t="shared" si="24"/>
        <v>27.13453881090884</v>
      </c>
      <c r="E92" s="387">
        <f t="shared" si="45"/>
        <v>30.730750044506582</v>
      </c>
      <c r="F92" s="387">
        <f t="shared" si="25"/>
        <v>30.87619518418111</v>
      </c>
      <c r="G92" s="110">
        <f t="shared" si="46"/>
        <v>0.6695274389181991</v>
      </c>
      <c r="H92" s="414" t="b">
        <f>Wh_hp&gt;='2021'!Maxi_hp</f>
        <v>0</v>
      </c>
      <c r="I92" s="382">
        <f>IF(H92,Wh_hp,'2021'!Maxi_hp)</f>
        <v>42.613877662343725</v>
      </c>
      <c r="J92" s="85">
        <f>IF(H92,An,'2021'!An_max)</f>
        <v>2020</v>
      </c>
      <c r="K92" s="199">
        <f t="shared" si="26"/>
        <v>44639</v>
      </c>
      <c r="L92" s="147">
        <f>IF(t&lt;Tvie,1-EXP((T0-t)*PertePVj)+'2021'!Pspv,1-EXP((T0-t)*PertePVj)+Pspv)</f>
        <v>3.0387058230647024E-2</v>
      </c>
      <c r="M92" s="870"/>
      <c r="N92" s="870"/>
      <c r="O92" s="48">
        <f>IF(t&lt;Tnet,'2021'!Resal+('2021'!Salim-'2021'!Resal)*(1-EXP(('2021'!Tnet-t)/('2021'!Tau_j))),Resal+(Salim-Resal)*(1-EXP((Tnet-t)/(Tau_j))))*Salcycl</f>
        <v>0.1170232170835218</v>
      </c>
      <c r="P92" s="341">
        <f>(INDEX(Models!$BJ92:$BT92,,T92)*(1-R92)+INDEX(Models!$BJ92:$BT92,,T92+1)*R92-ERP_i)*Q92*Ramure*Pc/MaxiM</f>
        <v>8.8562110495969317E-3</v>
      </c>
      <c r="Q92" s="307">
        <f t="shared" si="27"/>
        <v>1</v>
      </c>
      <c r="R92" s="179">
        <f t="shared" si="28"/>
        <v>2.1207736000057282E-2</v>
      </c>
      <c r="S92" s="837">
        <f t="shared" si="29"/>
        <v>0</v>
      </c>
      <c r="T92" s="178">
        <f t="shared" si="30"/>
        <v>6</v>
      </c>
      <c r="U92" s="253">
        <f t="shared" si="31"/>
        <v>2.1207736000057282E-2</v>
      </c>
      <c r="V92" s="385">
        <f t="shared" si="32"/>
        <v>39.132694199487837</v>
      </c>
      <c r="W92" s="404"/>
      <c r="X92" s="157">
        <f t="shared" si="33"/>
        <v>44639</v>
      </c>
      <c r="Y92" s="387">
        <f t="shared" si="34"/>
        <v>25.340172156220856</v>
      </c>
      <c r="Z92" s="387">
        <f t="shared" si="35"/>
        <v>26.134317174005563</v>
      </c>
      <c r="AA92" s="388">
        <f t="shared" si="36"/>
        <v>30.730750044506582</v>
      </c>
      <c r="AB92" s="199">
        <f t="shared" si="37"/>
        <v>44639</v>
      </c>
      <c r="AC92" s="119">
        <f>IF(OR(t&lt;Tnet,NoTnet),'2021'!Resal_s+('2021'!Salim-'2021'!Resal_s)*(1-EXP(('2021'!Tnet_s-t)/'2021'!Tau_j)),Resal_s+(Salim-Resal_s)*(1-EXP((Tnet_s-t)/Tau_j)))*Salcycl</f>
        <v>0.14957112546371698</v>
      </c>
      <c r="AD92" s="233">
        <f>(INDEX(Models!$BJ92:$BT92,,AH92)*(1-AF92)+INDEX(Models!$BJ92:$BT92,,AH92+1)*AF92-ERP_i)*AE92*Ramure*Pc/MaxiM</f>
        <v>8.8562110495969317E-3</v>
      </c>
      <c r="AE92" s="307">
        <f t="shared" si="38"/>
        <v>1</v>
      </c>
      <c r="AF92" s="179">
        <f t="shared" si="39"/>
        <v>2.1207736000057282E-2</v>
      </c>
      <c r="AG92" s="837">
        <f t="shared" si="47"/>
        <v>0</v>
      </c>
      <c r="AH92" s="178">
        <f t="shared" si="40"/>
        <v>6</v>
      </c>
      <c r="AI92" s="227">
        <f t="shared" si="41"/>
        <v>2.1207736000057282E-2</v>
      </c>
      <c r="AJ92" s="267" t="b">
        <f t="shared" si="42"/>
        <v>1</v>
      </c>
      <c r="AK92" s="267" t="b">
        <f t="shared" si="43"/>
        <v>0</v>
      </c>
      <c r="AL92" s="267"/>
      <c r="AM92" s="267"/>
      <c r="AN92" s="75"/>
    </row>
    <row r="93" spans="1:40" s="6" customFormat="1" ht="11.25" x14ac:dyDescent="0.2">
      <c r="A93" s="56">
        <f t="shared" si="44"/>
        <v>44640</v>
      </c>
      <c r="B93" s="618">
        <v>29.673000000000002</v>
      </c>
      <c r="C93" s="866"/>
      <c r="D93" s="395">
        <f t="shared" si="24"/>
        <v>30.60364530199125</v>
      </c>
      <c r="E93" s="387">
        <f t="shared" si="45"/>
        <v>34.665880477993774</v>
      </c>
      <c r="F93" s="387">
        <f t="shared" si="25"/>
        <v>34.863020319618016</v>
      </c>
      <c r="G93" s="110">
        <f t="shared" si="46"/>
        <v>0.74852306525393697</v>
      </c>
      <c r="H93" s="414" t="b">
        <f>Wh_hp&gt;='2021'!Maxi_hp</f>
        <v>0</v>
      </c>
      <c r="I93" s="382">
        <f>IF(H93,Wh_hp,'2021'!Maxi_hp)</f>
        <v>46.721665369048949</v>
      </c>
      <c r="J93" s="85">
        <f>IF(H93,An,'2021'!An_max)</f>
        <v>2019</v>
      </c>
      <c r="K93" s="199">
        <f t="shared" si="26"/>
        <v>44640</v>
      </c>
      <c r="L93" s="147">
        <f>IF(t&lt;Tvie,1-EXP((T0-t)*PertePVj)+'2021'!Pspv,1-EXP((T0-t)*PertePVj)+Pspv)</f>
        <v>3.0409622540315318E-2</v>
      </c>
      <c r="M93" s="870"/>
      <c r="N93" s="870"/>
      <c r="O93" s="48">
        <f>IF(t&lt;Tnet,'2021'!Resal+('2021'!Salim-'2021'!Resal)*(1-EXP(('2021'!Tnet-t)/('2021'!Tau_j))),Resal+(Salim-Resal)*(1-EXP((Tnet-t)/(Tau_j))))*Salcycl</f>
        <v>0.11718251837224401</v>
      </c>
      <c r="P93" s="341">
        <f>(INDEX(Models!$BJ93:$BT93,,T93)*(1-R93)+INDEX(Models!$BJ93:$BT93,,T93+1)*R93-ERP_i)*Q93*Ramure*Pc/MaxiM</f>
        <v>8.7789823043841302E-3</v>
      </c>
      <c r="Q93" s="307">
        <f t="shared" si="27"/>
        <v>1</v>
      </c>
      <c r="R93" s="179">
        <f t="shared" si="28"/>
        <v>2.2116492775727348E-2</v>
      </c>
      <c r="S93" s="837">
        <f t="shared" si="29"/>
        <v>0</v>
      </c>
      <c r="T93" s="178">
        <f t="shared" si="30"/>
        <v>6</v>
      </c>
      <c r="U93" s="253">
        <f t="shared" si="31"/>
        <v>2.2116492775727348E-2</v>
      </c>
      <c r="V93" s="385">
        <f t="shared" si="32"/>
        <v>39.517507563903543</v>
      </c>
      <c r="W93" s="404"/>
      <c r="X93" s="157">
        <f t="shared" si="33"/>
        <v>44640</v>
      </c>
      <c r="Y93" s="387">
        <f t="shared" si="34"/>
        <v>28.582642233989326</v>
      </c>
      <c r="Z93" s="387">
        <f t="shared" si="35"/>
        <v>29.479090241051598</v>
      </c>
      <c r="AA93" s="388">
        <f t="shared" si="36"/>
        <v>34.665880477993774</v>
      </c>
      <c r="AB93" s="199">
        <f t="shared" si="37"/>
        <v>44640</v>
      </c>
      <c r="AC93" s="119">
        <f>IF(OR(t&lt;Tnet,NoTnet),'2021'!Resal_s+('2021'!Salim-'2021'!Resal_s)*(1-EXP(('2021'!Tnet_s-t)/'2021'!Tau_j)),Resal_s+(Salim-Resal_s)*(1-EXP((Tnet_s-t)/Tau_j)))*Salcycl</f>
        <v>0.14962234235575814</v>
      </c>
      <c r="AD93" s="233">
        <f>(INDEX(Models!$BJ93:$BT93,,AH93)*(1-AF93)+INDEX(Models!$BJ93:$BT93,,AH93+1)*AF93-ERP_i)*AE93*Ramure*Pc/MaxiM</f>
        <v>8.7789823043841302E-3</v>
      </c>
      <c r="AE93" s="307">
        <f t="shared" si="38"/>
        <v>1</v>
      </c>
      <c r="AF93" s="179">
        <f t="shared" si="39"/>
        <v>2.2116492775727348E-2</v>
      </c>
      <c r="AG93" s="837">
        <f t="shared" si="47"/>
        <v>0</v>
      </c>
      <c r="AH93" s="178">
        <f t="shared" si="40"/>
        <v>6</v>
      </c>
      <c r="AI93" s="227">
        <f t="shared" si="41"/>
        <v>2.2116492775727348E-2</v>
      </c>
      <c r="AJ93" s="267" t="b">
        <f t="shared" si="42"/>
        <v>1</v>
      </c>
      <c r="AK93" s="267" t="b">
        <f t="shared" si="43"/>
        <v>0</v>
      </c>
      <c r="AL93" s="267"/>
      <c r="AM93" s="267"/>
      <c r="AN93" s="75"/>
    </row>
    <row r="94" spans="1:40" s="6" customFormat="1" ht="11.25" x14ac:dyDescent="0.2">
      <c r="A94" s="56">
        <f t="shared" si="44"/>
        <v>44641</v>
      </c>
      <c r="B94" s="618">
        <v>39.774999999999999</v>
      </c>
      <c r="C94" s="866"/>
      <c r="D94" s="395">
        <f t="shared" si="24"/>
        <v>41.023432749106973</v>
      </c>
      <c r="E94" s="387">
        <f t="shared" si="45"/>
        <v>46.477182676662842</v>
      </c>
      <c r="F94" s="387">
        <f t="shared" si="25"/>
        <v>46.883402427150301</v>
      </c>
      <c r="G94" s="110">
        <f t="shared" si="46"/>
        <v>0.99672704957656455</v>
      </c>
      <c r="H94" s="414" t="b">
        <f>Wh_hp&gt;='2021'!Maxi_hp</f>
        <v>0</v>
      </c>
      <c r="I94" s="382">
        <f>IF(H94,Wh_hp,'2021'!Maxi_hp)</f>
        <v>47.092775229679972</v>
      </c>
      <c r="J94" s="85">
        <f>IF(H94,An,'2021'!An_max)</f>
        <v>2020</v>
      </c>
      <c r="K94" s="199">
        <f t="shared" si="26"/>
        <v>44641</v>
      </c>
      <c r="L94" s="147">
        <f>IF(t&lt;Tvie,1-EXP((T0-t)*PertePVj)+'2021'!Pspv,1-EXP((T0-t)*PertePVj)+Pspv)</f>
        <v>3.0432186324879207E-2</v>
      </c>
      <c r="M94" s="870"/>
      <c r="N94" s="870"/>
      <c r="O94" s="48">
        <f>IF(t&lt;Tnet,'2021'!Resal+('2021'!Salim-'2021'!Resal)*(1-EXP(('2021'!Tnet-t)/('2021'!Tau_j))),Resal+(Salim-Resal)*(1-EXP((Tnet-t)/(Tau_j))))*Salcycl</f>
        <v>0.11734252408320586</v>
      </c>
      <c r="P94" s="341">
        <f>(INDEX(Models!$BJ94:$BT94,,T94)*(1-R94)+INDEX(Models!$BJ94:$BT94,,T94+1)*R94-ERP_i)*Q94*Ramure*Pc/MaxiM</f>
        <v>8.7046655328589378E-3</v>
      </c>
      <c r="Q94" s="307">
        <f t="shared" si="27"/>
        <v>1</v>
      </c>
      <c r="R94" s="179">
        <f t="shared" si="28"/>
        <v>2.3060788841307637E-2</v>
      </c>
      <c r="S94" s="837">
        <f t="shared" si="29"/>
        <v>0</v>
      </c>
      <c r="T94" s="178">
        <f t="shared" si="30"/>
        <v>6</v>
      </c>
      <c r="U94" s="253">
        <f t="shared" si="31"/>
        <v>2.3060788841307637E-2</v>
      </c>
      <c r="V94" s="385">
        <f t="shared" si="32"/>
        <v>39.903990961844016</v>
      </c>
      <c r="W94" s="404"/>
      <c r="X94" s="157">
        <f t="shared" si="33"/>
        <v>44641</v>
      </c>
      <c r="Y94" s="387">
        <f t="shared" si="34"/>
        <v>38.318011099370757</v>
      </c>
      <c r="Z94" s="387">
        <f t="shared" si="35"/>
        <v>39.520712794835219</v>
      </c>
      <c r="AA94" s="388">
        <f t="shared" si="36"/>
        <v>46.477182676662842</v>
      </c>
      <c r="AB94" s="199">
        <f t="shared" si="37"/>
        <v>44641</v>
      </c>
      <c r="AC94" s="119">
        <f>IF(OR(t&lt;Tnet,NoTnet),'2021'!Resal_s+('2021'!Salim-'2021'!Resal_s)*(1-EXP(('2021'!Tnet_s-t)/'2021'!Tau_j)),Resal_s+(Salim-Resal_s)*(1-EXP((Tnet_s-t)/Tau_j)))*Salcycl</f>
        <v>0.14967494760220496</v>
      </c>
      <c r="AD94" s="233">
        <f>(INDEX(Models!$BJ94:$BT94,,AH94)*(1-AF94)+INDEX(Models!$BJ94:$BT94,,AH94+1)*AF94-ERP_i)*AE94*Ramure*Pc/MaxiM</f>
        <v>8.7046655328589378E-3</v>
      </c>
      <c r="AE94" s="307">
        <f t="shared" si="38"/>
        <v>1</v>
      </c>
      <c r="AF94" s="179">
        <f t="shared" si="39"/>
        <v>2.3060788841307637E-2</v>
      </c>
      <c r="AG94" s="837">
        <f t="shared" si="47"/>
        <v>0</v>
      </c>
      <c r="AH94" s="178">
        <f t="shared" si="40"/>
        <v>6</v>
      </c>
      <c r="AI94" s="227">
        <f t="shared" si="41"/>
        <v>2.3060788841307637E-2</v>
      </c>
      <c r="AJ94" s="267" t="b">
        <f t="shared" si="42"/>
        <v>1</v>
      </c>
      <c r="AK94" s="267" t="b">
        <f t="shared" si="43"/>
        <v>0</v>
      </c>
      <c r="AL94" s="267"/>
      <c r="AM94" s="267"/>
      <c r="AN94" s="75"/>
    </row>
    <row r="95" spans="1:40" s="6" customFormat="1" ht="11.25" x14ac:dyDescent="0.2">
      <c r="A95" s="56">
        <f t="shared" si="44"/>
        <v>44642</v>
      </c>
      <c r="B95" s="618">
        <v>36.786999999999999</v>
      </c>
      <c r="C95" s="866"/>
      <c r="D95" s="395">
        <f t="shared" si="24"/>
        <v>37.942530257591606</v>
      </c>
      <c r="E95" s="387">
        <f t="shared" si="45"/>
        <v>42.994530757317676</v>
      </c>
      <c r="F95" s="387">
        <f t="shared" si="25"/>
        <v>43.321738978568412</v>
      </c>
      <c r="G95" s="110">
        <f t="shared" si="46"/>
        <v>0.91203052240619087</v>
      </c>
      <c r="H95" s="414" t="b">
        <f>Wh_hp&gt;='2021'!Maxi_hp</f>
        <v>0</v>
      </c>
      <c r="I95" s="382">
        <f>IF(H95,Wh_hp,'2021'!Maxi_hp)</f>
        <v>46.552413422501928</v>
      </c>
      <c r="J95" s="85">
        <f>IF(H95,An,'2021'!An_max)</f>
        <v>2020</v>
      </c>
      <c r="K95" s="199">
        <f t="shared" si="26"/>
        <v>44642</v>
      </c>
      <c r="L95" s="147">
        <f>IF(t&lt;Tvie,1-EXP((T0-t)*PertePVj)+'2021'!Pspv,1-EXP((T0-t)*PertePVj)+Pspv)</f>
        <v>3.0454749584350904E-2</v>
      </c>
      <c r="M95" s="870"/>
      <c r="N95" s="870"/>
      <c r="O95" s="48">
        <f>IF(t&lt;Tnet,'2021'!Resal+('2021'!Salim-'2021'!Resal)*(1-EXP(('2021'!Tnet-t)/('2021'!Tau_j))),Resal+(Salim-Resal)*(1-EXP((Tnet-t)/(Tau_j))))*Salcycl</f>
        <v>0.11750332916161006</v>
      </c>
      <c r="P95" s="341">
        <f>(INDEX(Models!$BJ95:$BT95,,T95)*(1-R95)+INDEX(Models!$BJ95:$BT95,,T95+1)*R95-ERP_i)*Q95*Ramure*Pc/MaxiM</f>
        <v>8.6247044505125704E-3</v>
      </c>
      <c r="Q95" s="307">
        <f t="shared" si="27"/>
        <v>1</v>
      </c>
      <c r="R95" s="179">
        <f t="shared" si="28"/>
        <v>2.4041905426952233E-2</v>
      </c>
      <c r="S95" s="837">
        <f t="shared" si="29"/>
        <v>0</v>
      </c>
      <c r="T95" s="178">
        <f t="shared" si="30"/>
        <v>6</v>
      </c>
      <c r="U95" s="253">
        <f t="shared" si="31"/>
        <v>2.4041905426952233E-2</v>
      </c>
      <c r="V95" s="385">
        <f t="shared" si="32"/>
        <v>40.291715592364319</v>
      </c>
      <c r="W95" s="404"/>
      <c r="X95" s="157">
        <f t="shared" si="33"/>
        <v>44642</v>
      </c>
      <c r="Y95" s="387">
        <f t="shared" si="34"/>
        <v>35.443665965000974</v>
      </c>
      <c r="Z95" s="387">
        <f t="shared" si="35"/>
        <v>36.557000253269344</v>
      </c>
      <c r="AA95" s="388">
        <f t="shared" si="36"/>
        <v>42.994530757317676</v>
      </c>
      <c r="AB95" s="199">
        <f t="shared" si="37"/>
        <v>44642</v>
      </c>
      <c r="AC95" s="119">
        <f>IF(OR(t&lt;Tnet,NoTnet),'2021'!Resal_s+('2021'!Salim-'2021'!Resal_s)*(1-EXP(('2021'!Tnet_s-t)/'2021'!Tau_j)),Resal_s+(Salim-Resal_s)*(1-EXP((Tnet_s-t)/Tau_j)))*Salcycl</f>
        <v>0.14972905601377362</v>
      </c>
      <c r="AD95" s="233">
        <f>(INDEX(Models!$BJ95:$BT95,,AH95)*(1-AF95)+INDEX(Models!$BJ95:$BT95,,AH95+1)*AF95-ERP_i)*AE95*Ramure*Pc/MaxiM</f>
        <v>8.6247044505125704E-3</v>
      </c>
      <c r="AE95" s="307">
        <f t="shared" si="38"/>
        <v>1</v>
      </c>
      <c r="AF95" s="179">
        <f t="shared" si="39"/>
        <v>2.4041905426952233E-2</v>
      </c>
      <c r="AG95" s="837">
        <f t="shared" si="47"/>
        <v>0</v>
      </c>
      <c r="AH95" s="178">
        <f t="shared" si="40"/>
        <v>6</v>
      </c>
      <c r="AI95" s="227">
        <f t="shared" si="41"/>
        <v>2.4041905426952233E-2</v>
      </c>
      <c r="AJ95" s="267" t="b">
        <f t="shared" si="42"/>
        <v>1</v>
      </c>
      <c r="AK95" s="267" t="b">
        <f t="shared" si="43"/>
        <v>0</v>
      </c>
      <c r="AL95" s="267"/>
      <c r="AM95" s="267"/>
      <c r="AN95" s="75"/>
    </row>
    <row r="96" spans="1:40" s="6" customFormat="1" ht="11.25" x14ac:dyDescent="0.2">
      <c r="A96" s="56">
        <f t="shared" si="44"/>
        <v>44643</v>
      </c>
      <c r="B96" s="618">
        <v>41.564</v>
      </c>
      <c r="C96" s="866"/>
      <c r="D96" s="395">
        <f t="shared" si="24"/>
        <v>42.870580057704309</v>
      </c>
      <c r="E96" s="387">
        <f t="shared" si="45"/>
        <v>48.587646982844575</v>
      </c>
      <c r="F96" s="387">
        <f t="shared" si="25"/>
        <v>49.00613350547998</v>
      </c>
      <c r="G96" s="110">
        <f t="shared" si="46"/>
        <v>1.0217330990973437</v>
      </c>
      <c r="H96" s="414" t="b">
        <f>Wh_hp&gt;='2021'!Maxi_hp</f>
        <v>1</v>
      </c>
      <c r="I96" s="382">
        <f>IF(H96,Wh_hp,'2021'!Maxi_hp)</f>
        <v>49.00613350547998</v>
      </c>
      <c r="J96" s="85">
        <f>IF(H96,An,'2021'!An_max)</f>
        <v>2022</v>
      </c>
      <c r="K96" s="199">
        <f t="shared" si="26"/>
        <v>44643</v>
      </c>
      <c r="L96" s="147">
        <f>IF(t&lt;Tvie,1-EXP((T0-t)*PertePVj)+'2021'!Pspv,1-EXP((T0-t)*PertePVj)+Pspv)</f>
        <v>3.0477312318742511E-2</v>
      </c>
      <c r="M96" s="870"/>
      <c r="N96" s="870"/>
      <c r="O96" s="48">
        <f>IF(t&lt;Tnet,'2021'!Resal+('2021'!Salim-'2021'!Resal)*(1-EXP(('2021'!Tnet-t)/('2021'!Tau_j))),Resal+(Salim-Resal)*(1-EXP((Tnet-t)/(Tau_j))))*Salcycl</f>
        <v>0.1176650296969282</v>
      </c>
      <c r="P96" s="341">
        <f>(INDEX(Models!$BJ96:$BT96,,T96)*(1-R96)+INDEX(Models!$BJ96:$BT96,,T96+1)*R96-ERP_i)*Q96*Ramure*Pc/MaxiM</f>
        <v>8.5394723619363361E-3</v>
      </c>
      <c r="Q96" s="307">
        <f t="shared" si="27"/>
        <v>1</v>
      </c>
      <c r="R96" s="179">
        <f t="shared" si="28"/>
        <v>2.5061161010164732E-2</v>
      </c>
      <c r="S96" s="837">
        <f t="shared" si="29"/>
        <v>0</v>
      </c>
      <c r="T96" s="178">
        <f t="shared" si="30"/>
        <v>6</v>
      </c>
      <c r="U96" s="253">
        <f t="shared" si="31"/>
        <v>2.5061161010164732E-2</v>
      </c>
      <c r="V96" s="385">
        <f t="shared" si="32"/>
        <v>40.679899708368026</v>
      </c>
      <c r="W96" s="404"/>
      <c r="X96" s="157">
        <f t="shared" si="33"/>
        <v>44643</v>
      </c>
      <c r="Y96" s="387">
        <f t="shared" si="34"/>
        <v>40.050940346352107</v>
      </c>
      <c r="Z96" s="387">
        <f t="shared" si="35"/>
        <v>41.309956801670374</v>
      </c>
      <c r="AA96" s="388">
        <f t="shared" si="36"/>
        <v>48.587646982844575</v>
      </c>
      <c r="AB96" s="199">
        <f t="shared" si="37"/>
        <v>44643</v>
      </c>
      <c r="AC96" s="119">
        <f>IF(OR(t&lt;Tnet,NoTnet),'2021'!Resal_s+('2021'!Salim-'2021'!Resal_s)*(1-EXP(('2021'!Tnet_s-t)/'2021'!Tau_j)),Resal_s+(Salim-Resal_s)*(1-EXP((Tnet_s-t)/Tau_j)))*Salcycl</f>
        <v>0.14978478343978716</v>
      </c>
      <c r="AD96" s="233">
        <f>(INDEX(Models!$BJ96:$BT96,,AH96)*(1-AF96)+INDEX(Models!$BJ96:$BT96,,AH96+1)*AF96-ERP_i)*AE96*Ramure*Pc/MaxiM</f>
        <v>8.5394723619363361E-3</v>
      </c>
      <c r="AE96" s="307">
        <f t="shared" si="38"/>
        <v>1</v>
      </c>
      <c r="AF96" s="179">
        <f t="shared" si="39"/>
        <v>2.5061161010164732E-2</v>
      </c>
      <c r="AG96" s="837">
        <f t="shared" si="47"/>
        <v>0</v>
      </c>
      <c r="AH96" s="178">
        <f t="shared" si="40"/>
        <v>6</v>
      </c>
      <c r="AI96" s="227">
        <f t="shared" si="41"/>
        <v>2.5061161010164732E-2</v>
      </c>
      <c r="AJ96" s="267" t="b">
        <f t="shared" si="42"/>
        <v>1</v>
      </c>
      <c r="AK96" s="267" t="b">
        <f t="shared" si="43"/>
        <v>0</v>
      </c>
      <c r="AL96" s="267"/>
      <c r="AM96" s="267"/>
      <c r="AN96" s="75"/>
    </row>
    <row r="97" spans="1:40" s="6" customFormat="1" ht="11.25" x14ac:dyDescent="0.2">
      <c r="A97" s="56">
        <f t="shared" si="44"/>
        <v>44644</v>
      </c>
      <c r="B97" s="618">
        <v>40.971000000000004</v>
      </c>
      <c r="C97" s="866"/>
      <c r="D97" s="395">
        <f t="shared" si="24"/>
        <v>42.259922328587763</v>
      </c>
      <c r="E97" s="387">
        <f t="shared" si="45"/>
        <v>47.904387174050278</v>
      </c>
      <c r="F97" s="387">
        <f t="shared" si="25"/>
        <v>48.311210366969917</v>
      </c>
      <c r="G97" s="110">
        <f t="shared" si="46"/>
        <v>0.99761523522992346</v>
      </c>
      <c r="H97" s="414" t="b">
        <f>Wh_hp&gt;='2021'!Maxi_hp</f>
        <v>1</v>
      </c>
      <c r="I97" s="382">
        <f>IF(H97,Wh_hp,'2021'!Maxi_hp)</f>
        <v>48.311210366969917</v>
      </c>
      <c r="J97" s="85">
        <f>IF(H97,An,'2021'!An_max)</f>
        <v>2022</v>
      </c>
      <c r="K97" s="199">
        <f t="shared" si="26"/>
        <v>44644</v>
      </c>
      <c r="L97" s="147">
        <f>IF(t&lt;Tvie,1-EXP((T0-t)*PertePVj)+'2021'!Pspv,1-EXP((T0-t)*PertePVj)+Pspv)</f>
        <v>3.0499874528066351E-2</v>
      </c>
      <c r="M97" s="870"/>
      <c r="N97" s="870"/>
      <c r="O97" s="48">
        <f>IF(t&lt;Tnet,'2021'!Resal+('2021'!Salim-'2021'!Resal)*(1-EXP(('2021'!Tnet-t)/('2021'!Tau_j))),Resal+(Salim-Resal)*(1-EXP((Tnet-t)/(Tau_j))))*Salcycl</f>
        <v>0.11782772264583126</v>
      </c>
      <c r="P97" s="341">
        <f>(INDEX(Models!$BJ97:$BT97,,T97)*(1-R97)+INDEX(Models!$BJ97:$BT97,,T97+1)*R97-ERP_i)*Q97*Ramure*Pc/MaxiM</f>
        <v>8.4493257954856189E-3</v>
      </c>
      <c r="Q97" s="307">
        <f t="shared" si="27"/>
        <v>1</v>
      </c>
      <c r="R97" s="179">
        <f t="shared" si="28"/>
        <v>2.6119911643748474E-2</v>
      </c>
      <c r="S97" s="837">
        <f t="shared" si="29"/>
        <v>0</v>
      </c>
      <c r="T97" s="178">
        <f t="shared" si="30"/>
        <v>6</v>
      </c>
      <c r="U97" s="253">
        <f t="shared" si="31"/>
        <v>2.6119911643748474E-2</v>
      </c>
      <c r="V97" s="385">
        <f t="shared" si="32"/>
        <v>41.067761847578709</v>
      </c>
      <c r="W97" s="404"/>
      <c r="X97" s="157">
        <f t="shared" si="33"/>
        <v>44644</v>
      </c>
      <c r="Y97" s="387">
        <f t="shared" si="34"/>
        <v>39.48413956807434</v>
      </c>
      <c r="Z97" s="387">
        <f t="shared" si="35"/>
        <v>40.726286186764789</v>
      </c>
      <c r="AA97" s="388">
        <f t="shared" si="36"/>
        <v>47.904387174050278</v>
      </c>
      <c r="AB97" s="199">
        <f t="shared" si="37"/>
        <v>44644</v>
      </c>
      <c r="AC97" s="119">
        <f>IF(OR(t&lt;Tnet,NoTnet),'2021'!Resal_s+('2021'!Salim-'2021'!Resal_s)*(1-EXP(('2021'!Tnet_s-t)/'2021'!Tau_j)),Resal_s+(Salim-Resal_s)*(1-EXP((Tnet_s-t)/Tau_j)))*Salcycl</f>
        <v>0.1498422464148306</v>
      </c>
      <c r="AD97" s="233">
        <f>(INDEX(Models!$BJ97:$BT97,,AH97)*(1-AF97)+INDEX(Models!$BJ97:$BT97,,AH97+1)*AF97-ERP_i)*AE97*Ramure*Pc/MaxiM</f>
        <v>8.4493257954856189E-3</v>
      </c>
      <c r="AE97" s="307">
        <f t="shared" si="38"/>
        <v>1</v>
      </c>
      <c r="AF97" s="179">
        <f t="shared" si="39"/>
        <v>2.6119911643748474E-2</v>
      </c>
      <c r="AG97" s="837">
        <f t="shared" si="47"/>
        <v>0</v>
      </c>
      <c r="AH97" s="178">
        <f t="shared" si="40"/>
        <v>6</v>
      </c>
      <c r="AI97" s="227">
        <f t="shared" si="41"/>
        <v>2.6119911643748474E-2</v>
      </c>
      <c r="AJ97" s="267" t="b">
        <f t="shared" si="42"/>
        <v>1</v>
      </c>
      <c r="AK97" s="267" t="b">
        <f t="shared" si="43"/>
        <v>0</v>
      </c>
      <c r="AL97" s="267"/>
      <c r="AM97" s="267"/>
      <c r="AN97" s="75"/>
    </row>
    <row r="98" spans="1:40" s="6" customFormat="1" ht="11.25" x14ac:dyDescent="0.2">
      <c r="A98" s="56">
        <f t="shared" si="44"/>
        <v>44645</v>
      </c>
      <c r="B98" s="618">
        <v>37.500999999999998</v>
      </c>
      <c r="C98" s="866"/>
      <c r="D98" s="395">
        <f t="shared" si="24"/>
        <v>38.681658452710153</v>
      </c>
      <c r="E98" s="387">
        <f t="shared" si="45"/>
        <v>43.856333240025883</v>
      </c>
      <c r="F98" s="387">
        <f t="shared" si="25"/>
        <v>44.175116272237041</v>
      </c>
      <c r="G98" s="110">
        <f t="shared" si="46"/>
        <v>0.90359273788015115</v>
      </c>
      <c r="H98" s="414" t="b">
        <f>Wh_hp&gt;='2021'!Maxi_hp</f>
        <v>0</v>
      </c>
      <c r="I98" s="382">
        <f>IF(H98,Wh_hp,'2021'!Maxi_hp)</f>
        <v>46.669924770661282</v>
      </c>
      <c r="J98" s="85">
        <f>IF(H98,An,'2021'!An_max)</f>
        <v>2020</v>
      </c>
      <c r="K98" s="199">
        <f t="shared" si="26"/>
        <v>44645</v>
      </c>
      <c r="L98" s="147">
        <f>IF(t&lt;Tvie,1-EXP((T0-t)*PertePVj)+'2021'!Pspv,1-EXP((T0-t)*PertePVj)+Pspv)</f>
        <v>3.0522436212334525E-2</v>
      </c>
      <c r="M98" s="870"/>
      <c r="N98" s="870"/>
      <c r="O98" s="48">
        <f>IF(t&lt;Tnet,'2021'!Resal+('2021'!Salim-'2021'!Resal)*(1-EXP(('2021'!Tnet-t)/('2021'!Tau_j))),Resal+(Salim-Resal)*(1-EXP((Tnet-t)/(Tau_j))))*Salcycl</f>
        <v>0.11799150555963522</v>
      </c>
      <c r="P98" s="341">
        <f>(INDEX(Models!$BJ98:$BT98,,T98)*(1-R98)+INDEX(Models!$BJ98:$BT98,,T98+1)*R98-ERP_i)*Q98*Ramure*Pc/MaxiM</f>
        <v>8.354604573465001E-3</v>
      </c>
      <c r="Q98" s="307">
        <f t="shared" si="27"/>
        <v>1</v>
      </c>
      <c r="R98" s="179">
        <f t="shared" si="28"/>
        <v>2.7219551213094609E-2</v>
      </c>
      <c r="S98" s="837">
        <f t="shared" si="29"/>
        <v>0</v>
      </c>
      <c r="T98" s="178">
        <f t="shared" si="30"/>
        <v>6</v>
      </c>
      <c r="U98" s="253">
        <f t="shared" si="31"/>
        <v>2.7219551213094609E-2</v>
      </c>
      <c r="V98" s="385">
        <f t="shared" si="32"/>
        <v>41.454520839849756</v>
      </c>
      <c r="W98" s="404"/>
      <c r="X98" s="157">
        <f t="shared" si="33"/>
        <v>44645</v>
      </c>
      <c r="Y98" s="387">
        <f t="shared" si="34"/>
        <v>36.144256808624199</v>
      </c>
      <c r="Z98" s="387">
        <f t="shared" si="35"/>
        <v>37.282200391942744</v>
      </c>
      <c r="AA98" s="388">
        <f t="shared" si="36"/>
        <v>43.856333240025883</v>
      </c>
      <c r="AB98" s="199">
        <f t="shared" si="37"/>
        <v>44645</v>
      </c>
      <c r="AC98" s="119">
        <f>IF(OR(t&lt;Tnet,NoTnet),'2021'!Resal_s+('2021'!Salim-'2021'!Resal_s)*(1-EXP(('2021'!Tnet_s-t)/'2021'!Tau_j)),Resal_s+(Salim-Resal_s)*(1-EXP((Tnet_s-t)/Tau_j)))*Salcycl</f>
        <v>0.14990156181327075</v>
      </c>
      <c r="AD98" s="233">
        <f>(INDEX(Models!$BJ98:$BT98,,AH98)*(1-AF98)+INDEX(Models!$BJ98:$BT98,,AH98+1)*AF98-ERP_i)*AE98*Ramure*Pc/MaxiM</f>
        <v>8.354604573465001E-3</v>
      </c>
      <c r="AE98" s="307">
        <f t="shared" si="38"/>
        <v>1</v>
      </c>
      <c r="AF98" s="179">
        <f t="shared" si="39"/>
        <v>2.7219551213094609E-2</v>
      </c>
      <c r="AG98" s="837">
        <f t="shared" si="47"/>
        <v>0</v>
      </c>
      <c r="AH98" s="178">
        <f t="shared" si="40"/>
        <v>6</v>
      </c>
      <c r="AI98" s="227">
        <f t="shared" si="41"/>
        <v>2.7219551213094609E-2</v>
      </c>
      <c r="AJ98" s="267" t="b">
        <f t="shared" si="42"/>
        <v>1</v>
      </c>
      <c r="AK98" s="267" t="b">
        <f t="shared" si="43"/>
        <v>0</v>
      </c>
      <c r="AL98" s="267"/>
      <c r="AM98" s="267"/>
      <c r="AN98" s="75"/>
    </row>
    <row r="99" spans="1:40" s="6" customFormat="1" ht="11.25" x14ac:dyDescent="0.2">
      <c r="A99" s="56">
        <f t="shared" si="44"/>
        <v>44646</v>
      </c>
      <c r="B99" s="618">
        <v>40.496000000000002</v>
      </c>
      <c r="C99" s="866"/>
      <c r="D99" s="395">
        <f t="shared" si="24"/>
        <v>41.771923287006601</v>
      </c>
      <c r="E99" s="387">
        <f t="shared" si="45"/>
        <v>47.368860988594363</v>
      </c>
      <c r="F99" s="387">
        <f t="shared" si="25"/>
        <v>47.744945696817119</v>
      </c>
      <c r="G99" s="110">
        <f t="shared" si="46"/>
        <v>0.96752217576195154</v>
      </c>
      <c r="H99" s="414" t="b">
        <f>Wh_hp&gt;='2021'!Maxi_hp</f>
        <v>0</v>
      </c>
      <c r="I99" s="382">
        <f>IF(H99,Wh_hp,'2021'!Maxi_hp)</f>
        <v>49.897175948996292</v>
      </c>
      <c r="J99" s="85">
        <f>IF(H99,An,'2021'!An_max)</f>
        <v>2019</v>
      </c>
      <c r="K99" s="199">
        <f t="shared" si="26"/>
        <v>44646</v>
      </c>
      <c r="L99" s="147">
        <f>IF(t&lt;Tvie,1-EXP((T0-t)*PertePVj)+'2021'!Pspv,1-EXP((T0-t)*PertePVj)+Pspv)</f>
        <v>3.0544997371559468E-2</v>
      </c>
      <c r="M99" s="870"/>
      <c r="N99" s="870"/>
      <c r="O99" s="48">
        <f>IF(t&lt;Tnet,'2021'!Resal+('2021'!Salim-'2021'!Resal)*(1-EXP(('2021'!Tnet-t)/('2021'!Tau_j))),Resal+(Salim-Resal)*(1-EXP((Tnet-t)/(Tau_j))))*Salcycl</f>
        <v>0.11815647631754146</v>
      </c>
      <c r="P99" s="341">
        <f>(INDEX(Models!$BJ99:$BT99,,T99)*(1-R99)+INDEX(Models!$BJ99:$BT99,,T99+1)*R99-ERP_i)*Q99*Ramure*Pc/MaxiM</f>
        <v>8.255632010918534E-3</v>
      </c>
      <c r="Q99" s="307">
        <f t="shared" si="27"/>
        <v>1</v>
      </c>
      <c r="R99" s="179">
        <f t="shared" si="28"/>
        <v>2.8361511615059672E-2</v>
      </c>
      <c r="S99" s="837">
        <f t="shared" si="29"/>
        <v>0</v>
      </c>
      <c r="T99" s="178">
        <f t="shared" si="30"/>
        <v>6</v>
      </c>
      <c r="U99" s="253">
        <f t="shared" si="31"/>
        <v>2.8361511615059672E-2</v>
      </c>
      <c r="V99" s="385">
        <f t="shared" si="32"/>
        <v>41.839395819227036</v>
      </c>
      <c r="W99" s="404"/>
      <c r="X99" s="157">
        <f t="shared" si="33"/>
        <v>44646</v>
      </c>
      <c r="Y99" s="387">
        <f t="shared" si="34"/>
        <v>39.035388527724272</v>
      </c>
      <c r="Z99" s="387">
        <f t="shared" si="35"/>
        <v>40.26529175865754</v>
      </c>
      <c r="AA99" s="388">
        <f t="shared" si="36"/>
        <v>47.368860988594363</v>
      </c>
      <c r="AB99" s="199">
        <f t="shared" si="37"/>
        <v>44646</v>
      </c>
      <c r="AC99" s="119">
        <f>IF(OR(t&lt;Tnet,NoTnet),'2021'!Resal_s+('2021'!Salim-'2021'!Resal_s)*(1-EXP(('2021'!Tnet_s-t)/'2021'!Tau_j)),Resal_s+(Salim-Resal_s)*(1-EXP((Tnet_s-t)/Tau_j)))*Salcycl</f>
        <v>0.14996284651318184</v>
      </c>
      <c r="AD99" s="233">
        <f>(INDEX(Models!$BJ99:$BT99,,AH99)*(1-AF99)+INDEX(Models!$BJ99:$BT99,,AH99+1)*AF99-ERP_i)*AE99*Ramure*Pc/MaxiM</f>
        <v>8.255632010918534E-3</v>
      </c>
      <c r="AE99" s="307">
        <f t="shared" si="38"/>
        <v>1</v>
      </c>
      <c r="AF99" s="179">
        <f t="shared" si="39"/>
        <v>2.8361511615059672E-2</v>
      </c>
      <c r="AG99" s="837">
        <f t="shared" si="47"/>
        <v>0</v>
      </c>
      <c r="AH99" s="178">
        <f t="shared" si="40"/>
        <v>6</v>
      </c>
      <c r="AI99" s="227">
        <f t="shared" si="41"/>
        <v>2.8361511615059672E-2</v>
      </c>
      <c r="AJ99" s="267" t="b">
        <f t="shared" si="42"/>
        <v>1</v>
      </c>
      <c r="AK99" s="267" t="b">
        <f t="shared" si="43"/>
        <v>0</v>
      </c>
      <c r="AL99" s="267"/>
      <c r="AM99" s="267"/>
      <c r="AN99" s="75"/>
    </row>
    <row r="100" spans="1:40" s="6" customFormat="1" ht="11.25" x14ac:dyDescent="0.2">
      <c r="A100" s="56">
        <f t="shared" si="44"/>
        <v>44647</v>
      </c>
      <c r="B100" s="618">
        <v>39.975999999999999</v>
      </c>
      <c r="C100" s="866"/>
      <c r="D100" s="395">
        <f t="shared" si="24"/>
        <v>41.236499077505854</v>
      </c>
      <c r="E100" s="387">
        <f t="shared" si="45"/>
        <v>46.770514126540853</v>
      </c>
      <c r="F100" s="387">
        <f t="shared" si="25"/>
        <v>47.125409332658649</v>
      </c>
      <c r="G100" s="110">
        <f t="shared" si="46"/>
        <v>0.94622057133593973</v>
      </c>
      <c r="H100" s="414" t="b">
        <f>Wh_hp&gt;='2021'!Maxi_hp</f>
        <v>0</v>
      </c>
      <c r="I100" s="382">
        <f>IF(H100,Wh_hp,'2021'!Maxi_hp)</f>
        <v>49.221953168491268</v>
      </c>
      <c r="J100" s="85">
        <f>IF(H100,An,'2021'!An_max)</f>
        <v>2019</v>
      </c>
      <c r="K100" s="199">
        <f t="shared" si="26"/>
        <v>44647</v>
      </c>
      <c r="L100" s="147">
        <f>IF(t&lt;Tvie,1-EXP((T0-t)*PertePVj)+'2021'!Pspv,1-EXP((T0-t)*PertePVj)+Pspv)</f>
        <v>3.0567558005753281E-2</v>
      </c>
      <c r="M100" s="870"/>
      <c r="N100" s="870"/>
      <c r="O100" s="48">
        <f>IF(t&lt;Tnet,'2021'!Resal+('2021'!Salim-'2021'!Resal)*(1-EXP(('2021'!Tnet-t)/('2021'!Tau_j))),Resal+(Salim-Resal)*(1-EXP((Tnet-t)/(Tau_j))))*Salcycl</f>
        <v>0.11832273286674463</v>
      </c>
      <c r="P100" s="341">
        <f>(INDEX(Models!$BJ100:$BT100,,T100)*(1-R100)+INDEX(Models!$BJ100:$BT100,,T100+1)*R100-ERP_i)*Q100*Ramure*Pc/MaxiM</f>
        <v>8.1501461776971162E-3</v>
      </c>
      <c r="Q100" s="307">
        <f t="shared" si="27"/>
        <v>1</v>
      </c>
      <c r="R100" s="179">
        <f t="shared" si="28"/>
        <v>2.9547262850210084E-2</v>
      </c>
      <c r="S100" s="837">
        <f t="shared" si="29"/>
        <v>0</v>
      </c>
      <c r="T100" s="178">
        <f t="shared" si="30"/>
        <v>6</v>
      </c>
      <c r="U100" s="253">
        <f t="shared" si="31"/>
        <v>2.9547262850210084E-2</v>
      </c>
      <c r="V100" s="385">
        <f t="shared" si="32"/>
        <v>42.221715600446757</v>
      </c>
      <c r="W100" s="404"/>
      <c r="X100" s="157">
        <f t="shared" si="33"/>
        <v>44647</v>
      </c>
      <c r="Y100" s="387">
        <f t="shared" si="34"/>
        <v>38.538536960187372</v>
      </c>
      <c r="Z100" s="387">
        <f t="shared" si="35"/>
        <v>39.753710821672797</v>
      </c>
      <c r="AA100" s="388">
        <f t="shared" si="36"/>
        <v>46.770514126540853</v>
      </c>
      <c r="AB100" s="199">
        <f t="shared" si="37"/>
        <v>44647</v>
      </c>
      <c r="AC100" s="119">
        <f>IF(OR(t&lt;Tnet,NoTnet),'2021'!Resal_s+('2021'!Salim-'2021'!Resal_s)*(1-EXP(('2021'!Tnet_s-t)/'2021'!Tau_j)),Resal_s+(Salim-Resal_s)*(1-EXP((Tnet_s-t)/Tau_j)))*Salcycl</f>
        <v>0.15002621707094371</v>
      </c>
      <c r="AD100" s="233">
        <f>(INDEX(Models!$BJ100:$BT100,,AH100)*(1-AF100)+INDEX(Models!$BJ100:$BT100,,AH100+1)*AF100-ERP_i)*AE100*Ramure*Pc/MaxiM</f>
        <v>8.1501461776971162E-3</v>
      </c>
      <c r="AE100" s="307">
        <f t="shared" si="38"/>
        <v>1</v>
      </c>
      <c r="AF100" s="179">
        <f t="shared" si="39"/>
        <v>2.9547262850210084E-2</v>
      </c>
      <c r="AG100" s="837">
        <f t="shared" si="47"/>
        <v>0</v>
      </c>
      <c r="AH100" s="178">
        <f t="shared" si="40"/>
        <v>6</v>
      </c>
      <c r="AI100" s="227">
        <f t="shared" si="41"/>
        <v>2.9547262850210084E-2</v>
      </c>
      <c r="AJ100" s="267" t="b">
        <f t="shared" si="42"/>
        <v>1</v>
      </c>
      <c r="AK100" s="267" t="b">
        <f t="shared" si="43"/>
        <v>0</v>
      </c>
      <c r="AL100" s="267"/>
      <c r="AM100" s="267"/>
      <c r="AN100" s="75"/>
    </row>
    <row r="101" spans="1:40" s="6" customFormat="1" ht="11.25" x14ac:dyDescent="0.2">
      <c r="A101" s="56">
        <f t="shared" si="44"/>
        <v>44648</v>
      </c>
      <c r="B101" s="618">
        <v>31.091000000000001</v>
      </c>
      <c r="C101" s="866"/>
      <c r="D101" s="395">
        <f t="shared" si="24"/>
        <v>32.0720889904091</v>
      </c>
      <c r="E101" s="387">
        <f t="shared" si="45"/>
        <v>36.38314092890468</v>
      </c>
      <c r="F101" s="387">
        <f t="shared" si="25"/>
        <v>36.563702443169646</v>
      </c>
      <c r="G101" s="110">
        <f t="shared" si="46"/>
        <v>0.727549835797071</v>
      </c>
      <c r="H101" s="414" t="b">
        <f>Wh_hp&gt;='2021'!Maxi_hp</f>
        <v>0</v>
      </c>
      <c r="I101" s="382">
        <f>IF(H101,Wh_hp,'2021'!Maxi_hp)</f>
        <v>48.35240667023605</v>
      </c>
      <c r="J101" s="85">
        <f>IF(H101,An,'2021'!An_max)</f>
        <v>2021</v>
      </c>
      <c r="K101" s="199">
        <f t="shared" si="26"/>
        <v>44648</v>
      </c>
      <c r="L101" s="147">
        <f>IF(t&lt;Tvie,1-EXP((T0-t)*PertePVj)+'2021'!Pspv,1-EXP((T0-t)*PertePVj)+Pspv)</f>
        <v>3.0590118114928067E-2</v>
      </c>
      <c r="M101" s="870"/>
      <c r="N101" s="870"/>
      <c r="O101" s="48">
        <f>IF(t&lt;Tnet,'2021'!Resal+('2021'!Salim-'2021'!Resal)*(1-EXP(('2021'!Tnet-t)/('2021'!Tau_j))),Resal+(Salim-Resal)*(1-EXP((Tnet-t)/(Tau_j))))*Salcycl</f>
        <v>0.11849037297026364</v>
      </c>
      <c r="P101" s="341">
        <f>(INDEX(Models!$BJ101:$BT101,,T101)*(1-R101)+INDEX(Models!$BJ101:$BT101,,T101+1)*R101-ERP_i)*Q101*Ramure*Pc/MaxiM</f>
        <v>8.042293157588469E-3</v>
      </c>
      <c r="Q101" s="307">
        <f t="shared" si="27"/>
        <v>1</v>
      </c>
      <c r="R101" s="179">
        <f t="shared" si="28"/>
        <v>3.077831301974002E-2</v>
      </c>
      <c r="S101" s="837">
        <f t="shared" si="29"/>
        <v>0</v>
      </c>
      <c r="T101" s="178">
        <f t="shared" si="30"/>
        <v>6</v>
      </c>
      <c r="U101" s="253">
        <f t="shared" si="31"/>
        <v>3.077831301974002E-2</v>
      </c>
      <c r="V101" s="385">
        <f t="shared" si="32"/>
        <v>42.600537330899108</v>
      </c>
      <c r="W101" s="404"/>
      <c r="X101" s="157">
        <f t="shared" si="33"/>
        <v>44648</v>
      </c>
      <c r="Y101" s="387">
        <f t="shared" si="34"/>
        <v>29.976412469333255</v>
      </c>
      <c r="Z101" s="387">
        <f t="shared" si="35"/>
        <v>30.922330202620216</v>
      </c>
      <c r="AA101" s="388">
        <f t="shared" si="36"/>
        <v>36.38314092890468</v>
      </c>
      <c r="AB101" s="199">
        <f t="shared" si="37"/>
        <v>44648</v>
      </c>
      <c r="AC101" s="119">
        <f>IF(OR(t&lt;Tnet,NoTnet),'2021'!Resal_s+('2021'!Salim-'2021'!Resal_s)*(1-EXP(('2021'!Tnet_s-t)/'2021'!Tau_j)),Resal_s+(Salim-Resal_s)*(1-EXP((Tnet_s-t)/Tau_j)))*Salcycl</f>
        <v>0.15009178940749746</v>
      </c>
      <c r="AD101" s="233">
        <f>(INDEX(Models!$BJ101:$BT101,,AH101)*(1-AF101)+INDEX(Models!$BJ101:$BT101,,AH101+1)*AF101-ERP_i)*AE101*Ramure*Pc/MaxiM</f>
        <v>8.042293157588469E-3</v>
      </c>
      <c r="AE101" s="307">
        <f t="shared" si="38"/>
        <v>1</v>
      </c>
      <c r="AF101" s="179">
        <f t="shared" si="39"/>
        <v>3.077831301974002E-2</v>
      </c>
      <c r="AG101" s="837">
        <f t="shared" si="47"/>
        <v>0</v>
      </c>
      <c r="AH101" s="178">
        <f t="shared" si="40"/>
        <v>6</v>
      </c>
      <c r="AI101" s="227">
        <f t="shared" si="41"/>
        <v>3.077831301974002E-2</v>
      </c>
      <c r="AJ101" s="267" t="b">
        <f t="shared" si="42"/>
        <v>1</v>
      </c>
      <c r="AK101" s="267" t="b">
        <f t="shared" si="43"/>
        <v>0</v>
      </c>
      <c r="AL101" s="267"/>
      <c r="AM101" s="267"/>
      <c r="AN101" s="75"/>
    </row>
    <row r="102" spans="1:40" s="6" customFormat="1" ht="11.25" x14ac:dyDescent="0.2">
      <c r="A102" s="56">
        <f t="shared" si="44"/>
        <v>44649</v>
      </c>
      <c r="B102" s="618">
        <v>25.670999999999999</v>
      </c>
      <c r="C102" s="866"/>
      <c r="D102" s="395">
        <f t="shared" si="24"/>
        <v>26.48167498112954</v>
      </c>
      <c r="E102" s="387">
        <f t="shared" si="45"/>
        <v>30.047041750310484</v>
      </c>
      <c r="F102" s="387">
        <f t="shared" si="25"/>
        <v>30.148626368766919</v>
      </c>
      <c r="G102" s="110">
        <f t="shared" si="46"/>
        <v>0.5946113487650494</v>
      </c>
      <c r="H102" s="414" t="b">
        <f>Wh_hp&gt;='2021'!Maxi_hp</f>
        <v>0</v>
      </c>
      <c r="I102" s="382">
        <f>IF(H102,Wh_hp,'2021'!Maxi_hp)</f>
        <v>50.374159928114452</v>
      </c>
      <c r="J102" s="85">
        <f>IF(H102,An,'2021'!An_max)</f>
        <v>2021</v>
      </c>
      <c r="K102" s="199">
        <f t="shared" si="26"/>
        <v>44649</v>
      </c>
      <c r="L102" s="147">
        <f>IF(t&lt;Tvie,1-EXP((T0-t)*PertePVj)+'2021'!Pspv,1-EXP((T0-t)*PertePVj)+Pspv)</f>
        <v>3.0612677699096258E-2</v>
      </c>
      <c r="M102" s="870"/>
      <c r="N102" s="870"/>
      <c r="O102" s="48">
        <f>IF(t&lt;Tnet,'2021'!Resal+('2021'!Salim-'2021'!Resal)*(1-EXP(('2021'!Tnet-t)/('2021'!Tau_j))),Resal+(Salim-Resal)*(1-EXP((Tnet-t)/(Tau_j))))*Salcycl</f>
        <v>0.11865949396313206</v>
      </c>
      <c r="P102" s="341">
        <f>(INDEX(Models!$BJ102:$BT102,,T102)*(1-R102)+INDEX(Models!$BJ102:$BT102,,T102+1)*R102-ERP_i)*Q102*Ramure*Pc/MaxiM</f>
        <v>7.9322461067796533E-3</v>
      </c>
      <c r="Q102" s="307">
        <f t="shared" si="27"/>
        <v>1</v>
      </c>
      <c r="R102" s="179">
        <f t="shared" si="28"/>
        <v>3.2056208217880959E-2</v>
      </c>
      <c r="S102" s="837">
        <f t="shared" si="29"/>
        <v>0</v>
      </c>
      <c r="T102" s="178">
        <f t="shared" si="30"/>
        <v>6</v>
      </c>
      <c r="U102" s="253">
        <f t="shared" si="31"/>
        <v>3.2056208217880959E-2</v>
      </c>
      <c r="V102" s="385">
        <f t="shared" si="32"/>
        <v>42.975084130371471</v>
      </c>
      <c r="W102" s="404"/>
      <c r="X102" s="157">
        <f t="shared" si="33"/>
        <v>44649</v>
      </c>
      <c r="Y102" s="387">
        <f t="shared" si="34"/>
        <v>24.753487152371136</v>
      </c>
      <c r="Z102" s="387">
        <f t="shared" si="35"/>
        <v>25.535187620998723</v>
      </c>
      <c r="AA102" s="388">
        <f t="shared" si="36"/>
        <v>30.047041750310484</v>
      </c>
      <c r="AB102" s="199">
        <f t="shared" si="37"/>
        <v>44649</v>
      </c>
      <c r="AC102" s="119">
        <f>IF(OR(t&lt;Tnet,NoTnet),'2021'!Resal_s+('2021'!Salim-'2021'!Resal_s)*(1-EXP(('2021'!Tnet_s-t)/'2021'!Tau_j)),Resal_s+(Salim-Resal_s)*(1-EXP((Tnet_s-t)/Tau_j)))*Salcycl</f>
        <v>0.15015967850695774</v>
      </c>
      <c r="AD102" s="233">
        <f>(INDEX(Models!$BJ102:$BT102,,AH102)*(1-AF102)+INDEX(Models!$BJ102:$BT102,,AH102+1)*AF102-ERP_i)*AE102*Ramure*Pc/MaxiM</f>
        <v>7.9322461067796533E-3</v>
      </c>
      <c r="AE102" s="307">
        <f t="shared" si="38"/>
        <v>1</v>
      </c>
      <c r="AF102" s="179">
        <f t="shared" si="39"/>
        <v>3.2056208217880959E-2</v>
      </c>
      <c r="AG102" s="837">
        <f t="shared" si="47"/>
        <v>0</v>
      </c>
      <c r="AH102" s="178">
        <f t="shared" si="40"/>
        <v>6</v>
      </c>
      <c r="AI102" s="227">
        <f t="shared" si="41"/>
        <v>3.2056208217880959E-2</v>
      </c>
      <c r="AJ102" s="267" t="b">
        <f t="shared" si="42"/>
        <v>1</v>
      </c>
      <c r="AK102" s="267" t="b">
        <f t="shared" si="43"/>
        <v>0</v>
      </c>
      <c r="AL102" s="267"/>
      <c r="AM102" s="267"/>
      <c r="AN102" s="75"/>
    </row>
    <row r="103" spans="1:40" s="6" customFormat="1" ht="11.25" x14ac:dyDescent="0.2">
      <c r="A103" s="56">
        <f t="shared" si="44"/>
        <v>44650</v>
      </c>
      <c r="B103" s="618">
        <v>7.2350000000000003</v>
      </c>
      <c r="C103" s="866"/>
      <c r="D103" s="395">
        <f t="shared" si="24"/>
        <v>7.4636507064738558</v>
      </c>
      <c r="E103" s="387">
        <f t="shared" si="45"/>
        <v>8.4701616454566349</v>
      </c>
      <c r="F103" s="387">
        <f t="shared" si="25"/>
        <v>8.4701616454566349</v>
      </c>
      <c r="G103" s="110">
        <f t="shared" si="46"/>
        <v>0.165612890280872</v>
      </c>
      <c r="H103" s="414" t="b">
        <f>Wh_hp&gt;='2021'!Maxi_hp</f>
        <v>0</v>
      </c>
      <c r="I103" s="382">
        <f>IF(H103,Wh_hp,'2021'!Maxi_hp)</f>
        <v>50.454310720909646</v>
      </c>
      <c r="J103" s="85">
        <f>IF(H103,An,'2021'!An_max)</f>
        <v>2019</v>
      </c>
      <c r="K103" s="199">
        <f t="shared" si="26"/>
        <v>44650</v>
      </c>
      <c r="L103" s="147">
        <f>IF(t&lt;Tvie,1-EXP((T0-t)*PertePVj)+'2021'!Pspv,1-EXP((T0-t)*PertePVj)+Pspv)</f>
        <v>3.0635236758269957E-2</v>
      </c>
      <c r="M103" s="870"/>
      <c r="N103" s="870"/>
      <c r="O103" s="48">
        <f>IF(t&lt;Tnet,'2021'!Resal+('2021'!Salim-'2021'!Resal)*(1-EXP(('2021'!Tnet-t)/('2021'!Tau_j))),Resal+(Salim-Resal)*(1-EXP((Tnet-t)/(Tau_j))))*Salcycl</f>
        <v>0.11883019251736092</v>
      </c>
      <c r="P103" s="341">
        <f>(INDEX(Models!$BJ103:$BT103,,T103)*(1-R103)+INDEX(Models!$BJ103:$BT103,,T103+1)*R103-ERP_i)*Q103*Ramure*Pc/MaxiM</f>
        <v>7.8201625673551857E-3</v>
      </c>
      <c r="Q103" s="307">
        <f t="shared" si="27"/>
        <v>1</v>
      </c>
      <c r="R103" s="179">
        <f t="shared" si="28"/>
        <v>3.338253231014663E-2</v>
      </c>
      <c r="S103" s="837">
        <f t="shared" si="29"/>
        <v>0</v>
      </c>
      <c r="T103" s="178">
        <f t="shared" si="30"/>
        <v>6</v>
      </c>
      <c r="U103" s="253">
        <f t="shared" si="31"/>
        <v>3.338253231014663E-2</v>
      </c>
      <c r="V103" s="385">
        <f t="shared" si="32"/>
        <v>43.344579710256284</v>
      </c>
      <c r="W103" s="404"/>
      <c r="X103" s="157">
        <f t="shared" si="33"/>
        <v>44650</v>
      </c>
      <c r="Y103" s="387">
        <f t="shared" si="34"/>
        <v>6.9771863621928274</v>
      </c>
      <c r="Z103" s="387">
        <f t="shared" si="35"/>
        <v>7.1976892773158596</v>
      </c>
      <c r="AA103" s="388">
        <f t="shared" si="36"/>
        <v>8.4701616454566349</v>
      </c>
      <c r="AB103" s="199">
        <f t="shared" si="37"/>
        <v>44650</v>
      </c>
      <c r="AC103" s="119">
        <f>IF(OR(t&lt;Tnet,NoTnet),'2021'!Resal_s+('2021'!Salim-'2021'!Resal_s)*(1-EXP(('2021'!Tnet_s-t)/'2021'!Tau_j)),Resal_s+(Salim-Resal_s)*(1-EXP((Tnet_s-t)/Tau_j)))*Salcycl</f>
        <v>0.1502299981279962</v>
      </c>
      <c r="AD103" s="233">
        <f>(INDEX(Models!$BJ103:$BT103,,AH103)*(1-AF103)+INDEX(Models!$BJ103:$BT103,,AH103+1)*AF103-ERP_i)*AE103*Ramure*Pc/MaxiM</f>
        <v>7.8201625673551857E-3</v>
      </c>
      <c r="AE103" s="307">
        <f t="shared" si="38"/>
        <v>1</v>
      </c>
      <c r="AF103" s="179">
        <f t="shared" si="39"/>
        <v>3.338253231014663E-2</v>
      </c>
      <c r="AG103" s="837">
        <f t="shared" si="47"/>
        <v>0</v>
      </c>
      <c r="AH103" s="178">
        <f t="shared" si="40"/>
        <v>6</v>
      </c>
      <c r="AI103" s="227">
        <f t="shared" si="41"/>
        <v>3.338253231014663E-2</v>
      </c>
      <c r="AJ103" s="267" t="b">
        <f t="shared" si="42"/>
        <v>1</v>
      </c>
      <c r="AK103" s="267" t="b">
        <f t="shared" si="43"/>
        <v>0</v>
      </c>
      <c r="AL103" s="267"/>
      <c r="AM103" s="267"/>
      <c r="AN103" s="75"/>
    </row>
    <row r="104" spans="1:40" s="6" customFormat="1" ht="11.25" x14ac:dyDescent="0.2">
      <c r="A104" s="56">
        <f t="shared" si="44"/>
        <v>44651</v>
      </c>
      <c r="B104" s="618">
        <v>25.263999999999999</v>
      </c>
      <c r="C104" s="866"/>
      <c r="D104" s="395">
        <f t="shared" si="24"/>
        <v>26.063035197794189</v>
      </c>
      <c r="E104" s="387">
        <f t="shared" si="45"/>
        <v>29.583553986753024</v>
      </c>
      <c r="F104" s="387">
        <f t="shared" si="25"/>
        <v>29.6743758438306</v>
      </c>
      <c r="G104" s="110">
        <f t="shared" si="46"/>
        <v>0.57532101934957891</v>
      </c>
      <c r="H104" s="414" t="b">
        <f>Wh_hp&gt;='2021'!Maxi_hp</f>
        <v>0</v>
      </c>
      <c r="I104" s="382">
        <f>IF(H104,Wh_hp,'2021'!Maxi_hp)</f>
        <v>45.640923003520236</v>
      </c>
      <c r="J104" s="85">
        <f>IF(H104,An,'2021'!An_max)</f>
        <v>2021</v>
      </c>
      <c r="K104" s="199">
        <f t="shared" si="26"/>
        <v>44651</v>
      </c>
      <c r="L104" s="147">
        <f>IF(t&lt;Tvie,1-EXP((T0-t)*PertePVj)+'2021'!Pspv,1-EXP((T0-t)*PertePVj)+Pspv)</f>
        <v>3.0657795292461376E-2</v>
      </c>
      <c r="M104" s="870"/>
      <c r="N104" s="870"/>
      <c r="O104" s="48">
        <f>IF(t&lt;Tnet,'2021'!Resal+('2021'!Salim-'2021'!Resal)*(1-EXP(('2021'!Tnet-t)/('2021'!Tau_j))),Resal+(Salim-Resal)*(1-EXP((Tnet-t)/(Tau_j))))*Salcycl</f>
        <v>0.11900256441586633</v>
      </c>
      <c r="P104" s="341">
        <f>(INDEX(Models!$BJ104:$BT104,,T104)*(1-R104)+INDEX(Models!$BJ104:$BT104,,T104+1)*R104-ERP_i)*Q104*Ramure*Pc/MaxiM</f>
        <v>7.7061849074882092E-3</v>
      </c>
      <c r="Q104" s="307">
        <f t="shared" si="27"/>
        <v>1</v>
      </c>
      <c r="R104" s="179">
        <f t="shared" si="28"/>
        <v>3.4758906587276595E-2</v>
      </c>
      <c r="S104" s="837">
        <f t="shared" si="29"/>
        <v>0</v>
      </c>
      <c r="T104" s="178">
        <f t="shared" si="30"/>
        <v>6</v>
      </c>
      <c r="U104" s="253">
        <f t="shared" si="31"/>
        <v>3.4758906587276595E-2</v>
      </c>
      <c r="V104" s="385">
        <f t="shared" si="32"/>
        <v>43.708248398459432</v>
      </c>
      <c r="W104" s="404"/>
      <c r="X104" s="157">
        <f t="shared" si="33"/>
        <v>44651</v>
      </c>
      <c r="Y104" s="387">
        <f t="shared" si="34"/>
        <v>24.366414321494695</v>
      </c>
      <c r="Z104" s="387">
        <f t="shared" si="35"/>
        <v>25.137061197955695</v>
      </c>
      <c r="AA104" s="388">
        <f t="shared" si="36"/>
        <v>29.583553986753024</v>
      </c>
      <c r="AB104" s="199">
        <f t="shared" si="37"/>
        <v>44651</v>
      </c>
      <c r="AC104" s="119">
        <f>IF(OR(t&lt;Tnet,NoTnet),'2021'!Resal_s+('2021'!Salim-'2021'!Resal_s)*(1-EXP(('2021'!Tnet_s-t)/'2021'!Tau_j)),Resal_s+(Salim-Resal_s)*(1-EXP((Tnet_s-t)/Tau_j)))*Salcycl</f>
        <v>0.15030286052812944</v>
      </c>
      <c r="AD104" s="233">
        <f>(INDEX(Models!$BJ104:$BT104,,AH104)*(1-AF104)+INDEX(Models!$BJ104:$BT104,,AH104+1)*AF104-ERP_i)*AE104*Ramure*Pc/MaxiM</f>
        <v>7.7061849074882092E-3</v>
      </c>
      <c r="AE104" s="307">
        <f t="shared" si="38"/>
        <v>1</v>
      </c>
      <c r="AF104" s="179">
        <f t="shared" si="39"/>
        <v>3.4758906587276595E-2</v>
      </c>
      <c r="AG104" s="837">
        <f t="shared" si="47"/>
        <v>0</v>
      </c>
      <c r="AH104" s="178">
        <f t="shared" si="40"/>
        <v>6</v>
      </c>
      <c r="AI104" s="227">
        <f t="shared" si="41"/>
        <v>3.4758906587276595E-2</v>
      </c>
      <c r="AJ104" s="267" t="b">
        <f t="shared" si="42"/>
        <v>1</v>
      </c>
      <c r="AK104" s="267" t="b">
        <f t="shared" si="43"/>
        <v>0</v>
      </c>
      <c r="AL104" s="267"/>
      <c r="AM104" s="267"/>
      <c r="AN104" s="75"/>
    </row>
    <row r="105" spans="1:40" s="6" customFormat="1" ht="11.25" x14ac:dyDescent="0.2">
      <c r="A105" s="56">
        <f t="shared" si="44"/>
        <v>44652</v>
      </c>
      <c r="B105" s="618">
        <v>27.538</v>
      </c>
      <c r="C105" s="866"/>
      <c r="D105" s="395">
        <f t="shared" si="24"/>
        <v>28.409617089470476</v>
      </c>
      <c r="E105" s="387">
        <f t="shared" si="45"/>
        <v>32.253480612173043</v>
      </c>
      <c r="F105" s="387">
        <f t="shared" si="25"/>
        <v>32.367525607161127</v>
      </c>
      <c r="G105" s="110">
        <f t="shared" si="46"/>
        <v>0.62238535625106872</v>
      </c>
      <c r="H105" s="414" t="b">
        <f>Wh_hp&gt;='2021'!Maxi_hp</f>
        <v>0</v>
      </c>
      <c r="I105" s="382">
        <f>IF(H105,Wh_hp,'2021'!Maxi_hp)</f>
        <v>47.789967168011586</v>
      </c>
      <c r="J105" s="85">
        <f>IF(H105,An,'2021'!An_max)</f>
        <v>2020</v>
      </c>
      <c r="K105" s="199">
        <f t="shared" si="26"/>
        <v>44652</v>
      </c>
      <c r="L105" s="147">
        <f>IF(t&lt;Tvie,1-EXP((T0-t)*PertePVj)+'2021'!Pspv,1-EXP((T0-t)*PertePVj)+Pspv)</f>
        <v>3.0680353301682728E-2</v>
      </c>
      <c r="M105" s="870"/>
      <c r="N105" s="870"/>
      <c r="O105" s="48">
        <f>IF(t&lt;Tnet,'2021'!Resal+('2021'!Salim-'2021'!Resal)*(1-EXP(('2021'!Tnet-t)/('2021'!Tau_j))),Resal+(Salim-Resal)*(1-EXP((Tnet-t)/(Tau_j))))*Salcycl</f>
        <v>0.11917670433534003</v>
      </c>
      <c r="P105" s="341">
        <f>(INDEX(Models!$BJ105:$BT105,,T105)*(1-R105)+INDEX(Models!$BJ105:$BT105,,T105+1)*R105-ERP_i)*Q105*Ramure*Pc/MaxiM</f>
        <v>7.5904407602863568E-3</v>
      </c>
      <c r="Q105" s="307">
        <f t="shared" si="27"/>
        <v>1</v>
      </c>
      <c r="R105" s="179">
        <f t="shared" si="28"/>
        <v>3.6186989284275925E-2</v>
      </c>
      <c r="S105" s="837">
        <f t="shared" si="29"/>
        <v>0</v>
      </c>
      <c r="T105" s="178">
        <f t="shared" si="30"/>
        <v>6</v>
      </c>
      <c r="U105" s="253">
        <f t="shared" si="31"/>
        <v>3.6186989284275925E-2</v>
      </c>
      <c r="V105" s="385">
        <f t="shared" si="32"/>
        <v>44.065315184250316</v>
      </c>
      <c r="W105" s="404"/>
      <c r="X105" s="157">
        <f t="shared" si="33"/>
        <v>44652</v>
      </c>
      <c r="Y105" s="387">
        <f t="shared" si="34"/>
        <v>26.562513039040368</v>
      </c>
      <c r="Z105" s="387">
        <f t="shared" si="35"/>
        <v>27.403254570891264</v>
      </c>
      <c r="AA105" s="388">
        <f t="shared" si="36"/>
        <v>32.253480612173043</v>
      </c>
      <c r="AB105" s="199">
        <f t="shared" si="37"/>
        <v>44652</v>
      </c>
      <c r="AC105" s="119">
        <f>IF(OR(t&lt;Tnet,NoTnet),'2021'!Resal_s+('2021'!Salim-'2021'!Resal_s)*(1-EXP(('2021'!Tnet_s-t)/'2021'!Tau_j)),Resal_s+(Salim-Resal_s)*(1-EXP((Tnet_s-t)/Tau_j)))*Salcycl</f>
        <v>0.1503783762007756</v>
      </c>
      <c r="AD105" s="233">
        <f>(INDEX(Models!$BJ105:$BT105,,AH105)*(1-AF105)+INDEX(Models!$BJ105:$BT105,,AH105+1)*AF105-ERP_i)*AE105*Ramure*Pc/MaxiM</f>
        <v>7.5904407602863568E-3</v>
      </c>
      <c r="AE105" s="307">
        <f t="shared" si="38"/>
        <v>1</v>
      </c>
      <c r="AF105" s="179">
        <f t="shared" si="39"/>
        <v>3.6186989284275925E-2</v>
      </c>
      <c r="AG105" s="837">
        <f t="shared" si="47"/>
        <v>0</v>
      </c>
      <c r="AH105" s="178">
        <f t="shared" si="40"/>
        <v>6</v>
      </c>
      <c r="AI105" s="227">
        <f t="shared" si="41"/>
        <v>3.6186989284275925E-2</v>
      </c>
      <c r="AJ105" s="267" t="b">
        <f t="shared" si="42"/>
        <v>1</v>
      </c>
      <c r="AK105" s="267" t="b">
        <f t="shared" si="43"/>
        <v>0</v>
      </c>
      <c r="AL105" s="267"/>
      <c r="AM105" s="267"/>
      <c r="AN105" s="75"/>
    </row>
    <row r="106" spans="1:40" s="6" customFormat="1" ht="11.25" x14ac:dyDescent="0.2">
      <c r="A106" s="56">
        <f t="shared" si="44"/>
        <v>44653</v>
      </c>
      <c r="B106" s="618">
        <v>18.657</v>
      </c>
      <c r="C106" s="866"/>
      <c r="D106" s="395">
        <f t="shared" si="24"/>
        <v>19.2479686647237</v>
      </c>
      <c r="E106" s="387">
        <f t="shared" si="45"/>
        <v>21.856614774095871</v>
      </c>
      <c r="F106" s="387">
        <f t="shared" si="25"/>
        <v>21.88466525926237</v>
      </c>
      <c r="G106" s="110">
        <f t="shared" si="46"/>
        <v>0.41745667539065234</v>
      </c>
      <c r="H106" s="414" t="b">
        <f>Wh_hp&gt;='2021'!Maxi_hp</f>
        <v>0</v>
      </c>
      <c r="I106" s="382">
        <f>IF(H106,Wh_hp,'2021'!Maxi_hp)</f>
        <v>42.365894595773121</v>
      </c>
      <c r="J106" s="85">
        <f>IF(H106,An,'2021'!An_max)</f>
        <v>2020</v>
      </c>
      <c r="K106" s="199">
        <f t="shared" si="26"/>
        <v>44653</v>
      </c>
      <c r="L106" s="147">
        <f>IF(t&lt;Tvie,1-EXP((T0-t)*PertePVj)+'2021'!Pspv,1-EXP((T0-t)*PertePVj)+Pspv)</f>
        <v>3.0702910785946225E-2</v>
      </c>
      <c r="M106" s="870"/>
      <c r="N106" s="870"/>
      <c r="O106" s="48">
        <f>IF(t&lt;Tnet,'2021'!Resal+('2021'!Salim-'2021'!Resal)*(1-EXP(('2021'!Tnet-t)/('2021'!Tau_j))),Resal+(Salim-Resal)*(1-EXP((Tnet-t)/(Tau_j))))*Salcycl</f>
        <v>0.11935270563783271</v>
      </c>
      <c r="P106" s="341">
        <f>(INDEX(Models!$BJ106:$BT106,,T106)*(1-R106)+INDEX(Models!$BJ106:$BT106,,T106+1)*R106-ERP_i)*Q106*Ramure*Pc/MaxiM</f>
        <v>7.4730434603982876E-3</v>
      </c>
      <c r="Q106" s="307">
        <f t="shared" si="27"/>
        <v>1</v>
      </c>
      <c r="R106" s="179">
        <f t="shared" si="28"/>
        <v>3.766847495349103E-2</v>
      </c>
      <c r="S106" s="837">
        <f t="shared" si="29"/>
        <v>0</v>
      </c>
      <c r="T106" s="178">
        <f t="shared" si="30"/>
        <v>6</v>
      </c>
      <c r="U106" s="253">
        <f t="shared" si="31"/>
        <v>3.766847495349103E-2</v>
      </c>
      <c r="V106" s="385">
        <f t="shared" si="32"/>
        <v>44.415005743598954</v>
      </c>
      <c r="W106" s="404"/>
      <c r="X106" s="157">
        <f t="shared" si="33"/>
        <v>44653</v>
      </c>
      <c r="Y106" s="387">
        <f t="shared" si="34"/>
        <v>17.998045658908229</v>
      </c>
      <c r="Z106" s="387">
        <f t="shared" si="35"/>
        <v>18.568141655621591</v>
      </c>
      <c r="AA106" s="388">
        <f t="shared" si="36"/>
        <v>21.856614774095871</v>
      </c>
      <c r="AB106" s="199">
        <f t="shared" si="37"/>
        <v>44653</v>
      </c>
      <c r="AC106" s="119">
        <f>IF(OR(t&lt;Tnet,NoTnet),'2021'!Resal_s+('2021'!Salim-'2021'!Resal_s)*(1-EXP(('2021'!Tnet_s-t)/'2021'!Tau_j)),Resal_s+(Salim-Resal_s)*(1-EXP((Tnet_s-t)/Tau_j)))*Salcycl</f>
        <v>0.15045665362468327</v>
      </c>
      <c r="AD106" s="233">
        <f>(INDEX(Models!$BJ106:$BT106,,AH106)*(1-AF106)+INDEX(Models!$BJ106:$BT106,,AH106+1)*AF106-ERP_i)*AE106*Ramure*Pc/MaxiM</f>
        <v>7.4730434603982876E-3</v>
      </c>
      <c r="AE106" s="307">
        <f t="shared" si="38"/>
        <v>1</v>
      </c>
      <c r="AF106" s="179">
        <f t="shared" si="39"/>
        <v>3.766847495349103E-2</v>
      </c>
      <c r="AG106" s="837">
        <f t="shared" si="47"/>
        <v>0</v>
      </c>
      <c r="AH106" s="178">
        <f t="shared" si="40"/>
        <v>6</v>
      </c>
      <c r="AI106" s="227">
        <f t="shared" si="41"/>
        <v>3.766847495349103E-2</v>
      </c>
      <c r="AJ106" s="267" t="b">
        <f t="shared" si="42"/>
        <v>1</v>
      </c>
      <c r="AK106" s="267" t="b">
        <f t="shared" si="43"/>
        <v>0</v>
      </c>
      <c r="AL106" s="267"/>
      <c r="AM106" s="267"/>
      <c r="AN106" s="75"/>
    </row>
    <row r="107" spans="1:40" s="6" customFormat="1" ht="11.25" x14ac:dyDescent="0.2">
      <c r="A107" s="56">
        <f t="shared" si="44"/>
        <v>44654</v>
      </c>
      <c r="B107" s="618">
        <v>23.099</v>
      </c>
      <c r="C107" s="866"/>
      <c r="D107" s="395">
        <f t="shared" si="24"/>
        <v>23.831225552028982</v>
      </c>
      <c r="E107" s="387">
        <f t="shared" si="45"/>
        <v>27.066502459525978</v>
      </c>
      <c r="F107" s="387">
        <f t="shared" si="25"/>
        <v>27.12808074340008</v>
      </c>
      <c r="G107" s="110">
        <f t="shared" si="46"/>
        <v>0.51344422326645822</v>
      </c>
      <c r="H107" s="414" t="b">
        <f>Wh_hp&gt;='2021'!Maxi_hp</f>
        <v>0</v>
      </c>
      <c r="I107" s="382">
        <f>IF(H107,Wh_hp,'2021'!Maxi_hp)</f>
        <v>48.937909271344878</v>
      </c>
      <c r="J107" s="85">
        <f>IF(H107,An,'2021'!An_max)</f>
        <v>2021</v>
      </c>
      <c r="K107" s="199">
        <f t="shared" si="26"/>
        <v>44654</v>
      </c>
      <c r="L107" s="147">
        <f>IF(t&lt;Tvie,1-EXP((T0-t)*PertePVj)+'2021'!Pspv,1-EXP((T0-t)*PertePVj)+Pspv)</f>
        <v>3.072546774526419E-2</v>
      </c>
      <c r="M107" s="870"/>
      <c r="N107" s="870"/>
      <c r="O107" s="48">
        <f>IF(t&lt;Tnet,'2021'!Resal+('2021'!Salim-'2021'!Resal)*(1-EXP(('2021'!Tnet-t)/('2021'!Tau_j))),Resal+(Salim-Resal)*(1-EXP((Tnet-t)/(Tau_j))))*Salcycl</f>
        <v>0.1195306601706254</v>
      </c>
      <c r="P107" s="341">
        <f>(INDEX(Models!$BJ107:$BT107,,T107)*(1-R107)+INDEX(Models!$BJ107:$BT107,,T107+1)*R107-ERP_i)*Q107*Ramure*Pc/MaxiM</f>
        <v>7.3536754918674101E-3</v>
      </c>
      <c r="Q107" s="307">
        <f t="shared" si="27"/>
        <v>1</v>
      </c>
      <c r="R107" s="179">
        <f t="shared" si="28"/>
        <v>3.9205093680230028E-2</v>
      </c>
      <c r="S107" s="837">
        <f t="shared" si="29"/>
        <v>0</v>
      </c>
      <c r="T107" s="178">
        <f t="shared" si="30"/>
        <v>6</v>
      </c>
      <c r="U107" s="253">
        <f t="shared" si="31"/>
        <v>3.9205093680230028E-2</v>
      </c>
      <c r="V107" s="385">
        <f t="shared" si="32"/>
        <v>44.759103097465399</v>
      </c>
      <c r="W107" s="404"/>
      <c r="X107" s="157">
        <f t="shared" si="33"/>
        <v>44654</v>
      </c>
      <c r="Y107" s="387">
        <f t="shared" si="34"/>
        <v>22.285531696222126</v>
      </c>
      <c r="Z107" s="387">
        <f t="shared" si="35"/>
        <v>22.991970751961578</v>
      </c>
      <c r="AA107" s="388">
        <f t="shared" si="36"/>
        <v>27.066502459525978</v>
      </c>
      <c r="AB107" s="199">
        <f t="shared" si="37"/>
        <v>44654</v>
      </c>
      <c r="AC107" s="119">
        <f>IF(OR(t&lt;Tnet,NoTnet),'2021'!Resal_s+('2021'!Salim-'2021'!Resal_s)*(1-EXP(('2021'!Tnet_s-t)/'2021'!Tau_j)),Resal_s+(Salim-Resal_s)*(1-EXP((Tnet_s-t)/Tau_j)))*Salcycl</f>
        <v>0.15053779902509648</v>
      </c>
      <c r="AD107" s="233">
        <f>(INDEX(Models!$BJ107:$BT107,,AH107)*(1-AF107)+INDEX(Models!$BJ107:$BT107,,AH107+1)*AF107-ERP_i)*AE107*Ramure*Pc/MaxiM</f>
        <v>7.3536754918674101E-3</v>
      </c>
      <c r="AE107" s="307">
        <f t="shared" si="38"/>
        <v>1</v>
      </c>
      <c r="AF107" s="179">
        <f t="shared" si="39"/>
        <v>3.9205093680230028E-2</v>
      </c>
      <c r="AG107" s="837">
        <f t="shared" si="47"/>
        <v>0</v>
      </c>
      <c r="AH107" s="178">
        <f t="shared" si="40"/>
        <v>6</v>
      </c>
      <c r="AI107" s="227">
        <f t="shared" si="41"/>
        <v>3.9205093680230028E-2</v>
      </c>
      <c r="AJ107" s="267" t="b">
        <f t="shared" si="42"/>
        <v>1</v>
      </c>
      <c r="AK107" s="267" t="b">
        <f t="shared" si="43"/>
        <v>0</v>
      </c>
      <c r="AL107" s="267"/>
      <c r="AM107" s="267"/>
      <c r="AN107" s="75"/>
    </row>
    <row r="108" spans="1:40" s="6" customFormat="1" ht="11.25" x14ac:dyDescent="0.2">
      <c r="A108" s="56">
        <f t="shared" si="44"/>
        <v>44655</v>
      </c>
      <c r="B108" s="618">
        <v>40.005000000000003</v>
      </c>
      <c r="C108" s="866"/>
      <c r="D108" s="395">
        <f t="shared" si="24"/>
        <v>41.274096930409399</v>
      </c>
      <c r="E108" s="387">
        <f t="shared" si="45"/>
        <v>46.88696655135562</v>
      </c>
      <c r="F108" s="387">
        <f t="shared" si="25"/>
        <v>47.172932800095467</v>
      </c>
      <c r="G108" s="110">
        <f t="shared" si="46"/>
        <v>0.88599044346499378</v>
      </c>
      <c r="H108" s="414" t="b">
        <f>Wh_hp&gt;='2021'!Maxi_hp</f>
        <v>0</v>
      </c>
      <c r="I108" s="382">
        <f>IF(H108,Wh_hp,'2021'!Maxi_hp)</f>
        <v>53.242583375883534</v>
      </c>
      <c r="J108" s="85">
        <f>IF(H108,An,'2021'!An_max)</f>
        <v>2020</v>
      </c>
      <c r="K108" s="199">
        <f t="shared" si="26"/>
        <v>44655</v>
      </c>
      <c r="L108" s="147">
        <f>IF(t&lt;Tvie,1-EXP((T0-t)*PertePVj)+'2021'!Pspv,1-EXP((T0-t)*PertePVj)+Pspv)</f>
        <v>3.0748024179648725E-2</v>
      </c>
      <c r="M108" s="870"/>
      <c r="N108" s="870"/>
      <c r="O108" s="48">
        <f>IF(t&lt;Tnet,'2021'!Resal+('2021'!Salim-'2021'!Resal)*(1-EXP(('2021'!Tnet-t)/('2021'!Tau_j))),Resal+(Salim-Resal)*(1-EXP((Tnet-t)/(Tau_j))))*Salcycl</f>
        <v>0.11971065807378263</v>
      </c>
      <c r="P108" s="341">
        <f>(INDEX(Models!$BJ108:$BT108,,T108)*(1-R108)+INDEX(Models!$BJ108:$BT108,,T108+1)*R108-ERP_i)*Q108*Ramure*Pc/MaxiM</f>
        <v>7.2286715766121511E-3</v>
      </c>
      <c r="Q108" s="307">
        <f t="shared" si="27"/>
        <v>1</v>
      </c>
      <c r="R108" s="179">
        <f t="shared" si="28"/>
        <v>4.079861012902377E-2</v>
      </c>
      <c r="S108" s="837">
        <f t="shared" si="29"/>
        <v>0</v>
      </c>
      <c r="T108" s="178">
        <f t="shared" si="30"/>
        <v>6</v>
      </c>
      <c r="U108" s="253">
        <f t="shared" si="31"/>
        <v>4.079861012902377E-2</v>
      </c>
      <c r="V108" s="385">
        <f t="shared" si="32"/>
        <v>45.099861169108202</v>
      </c>
      <c r="W108" s="404"/>
      <c r="X108" s="157">
        <f t="shared" si="33"/>
        <v>44655</v>
      </c>
      <c r="Y108" s="387">
        <f t="shared" si="34"/>
        <v>38.600229068132265</v>
      </c>
      <c r="Z108" s="387">
        <f t="shared" si="35"/>
        <v>39.824761807126542</v>
      </c>
      <c r="AA108" s="388">
        <f t="shared" si="36"/>
        <v>46.88696655135562</v>
      </c>
      <c r="AB108" s="199">
        <f t="shared" si="37"/>
        <v>44655</v>
      </c>
      <c r="AC108" s="119">
        <f>IF(OR(t&lt;Tnet,NoTnet),'2021'!Resal_s+('2021'!Salim-'2021'!Resal_s)*(1-EXP(('2021'!Tnet_s-t)/'2021'!Tau_j)),Resal_s+(Salim-Resal_s)*(1-EXP((Tnet_s-t)/Tau_j)))*Salcycl</f>
        <v>0.15062191614579712</v>
      </c>
      <c r="AD108" s="233">
        <f>(INDEX(Models!$BJ108:$BT108,,AH108)*(1-AF108)+INDEX(Models!$BJ108:$BT108,,AH108+1)*AF108-ERP_i)*AE108*Ramure*Pc/MaxiM</f>
        <v>7.2286715766121511E-3</v>
      </c>
      <c r="AE108" s="307">
        <f t="shared" si="38"/>
        <v>1</v>
      </c>
      <c r="AF108" s="179">
        <f t="shared" si="39"/>
        <v>4.079861012902377E-2</v>
      </c>
      <c r="AG108" s="837">
        <f t="shared" si="47"/>
        <v>0</v>
      </c>
      <c r="AH108" s="178">
        <f t="shared" si="40"/>
        <v>6</v>
      </c>
      <c r="AI108" s="227">
        <f t="shared" si="41"/>
        <v>4.079861012902377E-2</v>
      </c>
      <c r="AJ108" s="267" t="b">
        <f t="shared" si="42"/>
        <v>1</v>
      </c>
      <c r="AK108" s="267" t="b">
        <f t="shared" si="43"/>
        <v>0</v>
      </c>
      <c r="AL108" s="267"/>
      <c r="AM108" s="267"/>
      <c r="AN108" s="75"/>
    </row>
    <row r="109" spans="1:40" s="6" customFormat="1" ht="11.25" x14ac:dyDescent="0.2">
      <c r="A109" s="56">
        <f t="shared" si="44"/>
        <v>44656</v>
      </c>
      <c r="B109" s="618">
        <v>46.294000000000004</v>
      </c>
      <c r="C109" s="866"/>
      <c r="D109" s="395">
        <f t="shared" si="24"/>
        <v>47.763717288169325</v>
      </c>
      <c r="E109" s="387">
        <f t="shared" si="45"/>
        <v>54.270339584683548</v>
      </c>
      <c r="F109" s="387">
        <f t="shared" si="25"/>
        <v>54.658447129725694</v>
      </c>
      <c r="G109" s="110">
        <f t="shared" si="46"/>
        <v>1.018864081474923</v>
      </c>
      <c r="H109" s="414" t="b">
        <f>Wh_hp&gt;='2021'!Maxi_hp</f>
        <v>0</v>
      </c>
      <c r="I109" s="382">
        <f>IF(H109,Wh_hp,'2021'!Maxi_hp)</f>
        <v>55.141802022819732</v>
      </c>
      <c r="J109" s="85">
        <f>IF(H109,An,'2021'!An_max)</f>
        <v>2020</v>
      </c>
      <c r="K109" s="199">
        <f t="shared" si="26"/>
        <v>44656</v>
      </c>
      <c r="L109" s="147">
        <f>IF(t&lt;Tvie,1-EXP((T0-t)*PertePVj)+'2021'!Pspv,1-EXP((T0-t)*PertePVj)+Pspv)</f>
        <v>3.0770580089112043E-2</v>
      </c>
      <c r="M109" s="870"/>
      <c r="N109" s="870"/>
      <c r="O109" s="48">
        <f>IF(t&lt;Tnet,'2021'!Resal+('2021'!Salim-'2021'!Resal)*(1-EXP(('2021'!Tnet-t)/('2021'!Tau_j))),Resal+(Salim-Resal)*(1-EXP((Tnet-t)/(Tau_j))))*Salcycl</f>
        <v>0.11989278759461745</v>
      </c>
      <c r="P109" s="341">
        <f>(INDEX(Models!$BJ109:$BT109,,T109)*(1-R109)+INDEX(Models!$BJ109:$BT109,,T109+1)*R109-ERP_i)*Q109*Ramure*Pc/MaxiM</f>
        <v>7.1005958899823217E-3</v>
      </c>
      <c r="Q109" s="307">
        <f t="shared" si="27"/>
        <v>1</v>
      </c>
      <c r="R109" s="179">
        <f t="shared" si="28"/>
        <v>4.2450822408249989E-2</v>
      </c>
      <c r="S109" s="837">
        <f t="shared" si="29"/>
        <v>0</v>
      </c>
      <c r="T109" s="178">
        <f t="shared" si="30"/>
        <v>6</v>
      </c>
      <c r="U109" s="253">
        <f t="shared" si="31"/>
        <v>4.2450822408249989E-2</v>
      </c>
      <c r="V109" s="385">
        <f t="shared" si="32"/>
        <v>45.436875086404171</v>
      </c>
      <c r="W109" s="404"/>
      <c r="X109" s="157">
        <f t="shared" si="33"/>
        <v>44656</v>
      </c>
      <c r="Y109" s="387">
        <f t="shared" si="34"/>
        <v>44.67304902313731</v>
      </c>
      <c r="Z109" s="387">
        <f t="shared" si="35"/>
        <v>46.091305221878841</v>
      </c>
      <c r="AA109" s="388">
        <f t="shared" si="36"/>
        <v>54.270339584683548</v>
      </c>
      <c r="AB109" s="199">
        <f t="shared" si="37"/>
        <v>44656</v>
      </c>
      <c r="AC109" s="119">
        <f>IF(OR(t&lt;Tnet,NoTnet),'2021'!Resal_s+('2021'!Salim-'2021'!Resal_s)*(1-EXP(('2021'!Tnet_s-t)/'2021'!Tau_j)),Resal_s+(Salim-Resal_s)*(1-EXP((Tnet_s-t)/Tau_j)))*Salcycl</f>
        <v>0.1507091060309679</v>
      </c>
      <c r="AD109" s="233">
        <f>(INDEX(Models!$BJ109:$BT109,,AH109)*(1-AF109)+INDEX(Models!$BJ109:$BT109,,AH109+1)*AF109-ERP_i)*AE109*Ramure*Pc/MaxiM</f>
        <v>7.1005958899823217E-3</v>
      </c>
      <c r="AE109" s="307">
        <f t="shared" si="38"/>
        <v>1</v>
      </c>
      <c r="AF109" s="179">
        <f t="shared" si="39"/>
        <v>4.2450822408249989E-2</v>
      </c>
      <c r="AG109" s="837">
        <f t="shared" si="47"/>
        <v>0</v>
      </c>
      <c r="AH109" s="178">
        <f t="shared" si="40"/>
        <v>6</v>
      </c>
      <c r="AI109" s="227">
        <f t="shared" si="41"/>
        <v>4.2450822408249989E-2</v>
      </c>
      <c r="AJ109" s="267" t="b">
        <f t="shared" si="42"/>
        <v>1</v>
      </c>
      <c r="AK109" s="267" t="b">
        <f t="shared" si="43"/>
        <v>0</v>
      </c>
      <c r="AL109" s="267"/>
      <c r="AM109" s="267"/>
      <c r="AN109" s="75"/>
    </row>
    <row r="110" spans="1:40" s="6" customFormat="1" ht="11.25" x14ac:dyDescent="0.2">
      <c r="A110" s="56">
        <f t="shared" si="44"/>
        <v>44657</v>
      </c>
      <c r="B110" s="618">
        <v>11.761000000000001</v>
      </c>
      <c r="C110" s="866"/>
      <c r="D110" s="395">
        <f t="shared" si="24"/>
        <v>12.134664363678215</v>
      </c>
      <c r="E110" s="387">
        <f t="shared" si="45"/>
        <v>13.790600114035673</v>
      </c>
      <c r="F110" s="387">
        <f t="shared" si="25"/>
        <v>13.790600114035673</v>
      </c>
      <c r="G110" s="110">
        <f t="shared" si="46"/>
        <v>0.25516865568614761</v>
      </c>
      <c r="H110" s="414" t="b">
        <f>Wh_hp&gt;='2021'!Maxi_hp</f>
        <v>0</v>
      </c>
      <c r="I110" s="382">
        <f>IF(H110,Wh_hp,'2021'!Maxi_hp)</f>
        <v>55.305797154452193</v>
      </c>
      <c r="J110" s="85">
        <f>IF(H110,An,'2021'!An_max)</f>
        <v>2020</v>
      </c>
      <c r="K110" s="199">
        <f t="shared" si="26"/>
        <v>44657</v>
      </c>
      <c r="L110" s="147">
        <f>IF(t&lt;Tvie,1-EXP((T0-t)*PertePVj)+'2021'!Pspv,1-EXP((T0-t)*PertePVj)+Pspv)</f>
        <v>3.0793135473666355E-2</v>
      </c>
      <c r="M110" s="870"/>
      <c r="N110" s="870"/>
      <c r="O110" s="48">
        <f>IF(t&lt;Tnet,'2021'!Resal+('2021'!Salim-'2021'!Resal)*(1-EXP(('2021'!Tnet-t)/('2021'!Tau_j))),Resal+(Salim-Resal)*(1-EXP((Tnet-t)/(Tau_j))))*Salcycl</f>
        <v>0.1200771349081534</v>
      </c>
      <c r="P110" s="341">
        <f>(INDEX(Models!$BJ110:$BT110,,T110)*(1-R110)+INDEX(Models!$BJ110:$BT110,,T110+1)*R110-ERP_i)*Q110*Ramure*Pc/MaxiM</f>
        <v>6.9695248823323716E-3</v>
      </c>
      <c r="Q110" s="307">
        <f t="shared" si="27"/>
        <v>1</v>
      </c>
      <c r="R110" s="179">
        <f t="shared" si="28"/>
        <v>4.4163560740506272E-2</v>
      </c>
      <c r="S110" s="837">
        <f t="shared" si="29"/>
        <v>0</v>
      </c>
      <c r="T110" s="178">
        <f t="shared" si="30"/>
        <v>6</v>
      </c>
      <c r="U110" s="253">
        <f t="shared" si="31"/>
        <v>4.4163560740506272E-2</v>
      </c>
      <c r="V110" s="385">
        <f t="shared" si="32"/>
        <v>45.769851263486956</v>
      </c>
      <c r="W110" s="404"/>
      <c r="X110" s="157">
        <f t="shared" si="33"/>
        <v>44657</v>
      </c>
      <c r="Y110" s="387">
        <f t="shared" si="34"/>
        <v>11.350367023067051</v>
      </c>
      <c r="Z110" s="387">
        <f t="shared" si="35"/>
        <v>11.710984969771289</v>
      </c>
      <c r="AA110" s="388">
        <f t="shared" si="36"/>
        <v>13.790600114035673</v>
      </c>
      <c r="AB110" s="199">
        <f t="shared" si="37"/>
        <v>44657</v>
      </c>
      <c r="AC110" s="119">
        <f>IF(OR(t&lt;Tnet,NoTnet),'2021'!Resal_s+('2021'!Salim-'2021'!Resal_s)*(1-EXP(('2021'!Tnet_s-t)/'2021'!Tau_j)),Resal_s+(Salim-Resal_s)*(1-EXP((Tnet_s-t)/Tau_j)))*Salcycl</f>
        <v>0.15079946681564727</v>
      </c>
      <c r="AD110" s="233">
        <f>(INDEX(Models!$BJ110:$BT110,,AH110)*(1-AF110)+INDEX(Models!$BJ110:$BT110,,AH110+1)*AF110-ERP_i)*AE110*Ramure*Pc/MaxiM</f>
        <v>6.9695248823323716E-3</v>
      </c>
      <c r="AE110" s="307">
        <f t="shared" si="38"/>
        <v>1</v>
      </c>
      <c r="AF110" s="179">
        <f t="shared" si="39"/>
        <v>4.4163560740506272E-2</v>
      </c>
      <c r="AG110" s="837">
        <f t="shared" si="47"/>
        <v>0</v>
      </c>
      <c r="AH110" s="178">
        <f t="shared" si="40"/>
        <v>6</v>
      </c>
      <c r="AI110" s="227">
        <f t="shared" si="41"/>
        <v>4.4163560740506272E-2</v>
      </c>
      <c r="AJ110" s="267" t="b">
        <f t="shared" si="42"/>
        <v>1</v>
      </c>
      <c r="AK110" s="267" t="b">
        <f t="shared" si="43"/>
        <v>0</v>
      </c>
      <c r="AL110" s="267"/>
      <c r="AM110" s="267"/>
      <c r="AN110" s="75"/>
    </row>
    <row r="111" spans="1:40" s="6" customFormat="1" ht="11.25" x14ac:dyDescent="0.2">
      <c r="A111" s="56">
        <f t="shared" si="44"/>
        <v>44658</v>
      </c>
      <c r="B111" s="618">
        <v>35.58</v>
      </c>
      <c r="C111" s="866"/>
      <c r="D111" s="395">
        <f t="shared" si="24"/>
        <v>36.711283545476249</v>
      </c>
      <c r="E111" s="387">
        <f t="shared" si="45"/>
        <v>41.729876382716469</v>
      </c>
      <c r="F111" s="387">
        <f t="shared" si="25"/>
        <v>41.923032379211875</v>
      </c>
      <c r="G111" s="110">
        <f t="shared" si="46"/>
        <v>0.77009791768899361</v>
      </c>
      <c r="H111" s="414" t="b">
        <f>Wh_hp&gt;='2021'!Maxi_hp</f>
        <v>0</v>
      </c>
      <c r="I111" s="382">
        <f>IF(H111,Wh_hp,'2021'!Maxi_hp)</f>
        <v>54.130419749791777</v>
      </c>
      <c r="J111" s="85">
        <f>IF(H111,An,'2021'!An_max)</f>
        <v>2021</v>
      </c>
      <c r="K111" s="199">
        <f t="shared" si="26"/>
        <v>44658</v>
      </c>
      <c r="L111" s="147">
        <f>IF(t&lt;Tvie,1-EXP((T0-t)*PertePVj)+'2021'!Pspv,1-EXP((T0-t)*PertePVj)+Pspv)</f>
        <v>3.0815690333323986E-2</v>
      </c>
      <c r="M111" s="870"/>
      <c r="N111" s="870"/>
      <c r="O111" s="48">
        <f>IF(t&lt;Tnet,'2021'!Resal+('2021'!Salim-'2021'!Resal)*(1-EXP(('2021'!Tnet-t)/('2021'!Tau_j))),Resal+(Salim-Resal)*(1-EXP((Tnet-t)/(Tau_j))))*Salcycl</f>
        <v>0.12026378394254726</v>
      </c>
      <c r="P111" s="341">
        <f>(INDEX(Models!$BJ111:$BT111,,T111)*(1-R111)+INDEX(Models!$BJ111:$BT111,,T111+1)*R111-ERP_i)*Q111*Ramure*Pc/MaxiM</f>
        <v>6.8355275711844262E-3</v>
      </c>
      <c r="Q111" s="307">
        <f t="shared" si="27"/>
        <v>1</v>
      </c>
      <c r="R111" s="179">
        <f t="shared" si="28"/>
        <v>4.5938685925834888E-2</v>
      </c>
      <c r="S111" s="837">
        <f t="shared" si="29"/>
        <v>0</v>
      </c>
      <c r="T111" s="178">
        <f t="shared" si="30"/>
        <v>6</v>
      </c>
      <c r="U111" s="253">
        <f t="shared" si="31"/>
        <v>4.5938685925834888E-2</v>
      </c>
      <c r="V111" s="385">
        <f t="shared" si="32"/>
        <v>46.098496437239149</v>
      </c>
      <c r="W111" s="404"/>
      <c r="X111" s="157">
        <f t="shared" si="33"/>
        <v>44658</v>
      </c>
      <c r="Y111" s="387">
        <f t="shared" si="34"/>
        <v>34.341229997133894</v>
      </c>
      <c r="Z111" s="387">
        <f t="shared" si="35"/>
        <v>35.433126242979114</v>
      </c>
      <c r="AA111" s="388">
        <f t="shared" si="36"/>
        <v>41.729876382716469</v>
      </c>
      <c r="AB111" s="199">
        <f t="shared" si="37"/>
        <v>44658</v>
      </c>
      <c r="AC111" s="119">
        <f>IF(OR(t&lt;Tnet,NoTnet),'2021'!Resal_s+('2021'!Salim-'2021'!Resal_s)*(1-EXP(('2021'!Tnet_s-t)/'2021'!Tau_j)),Resal_s+(Salim-Resal_s)*(1-EXP((Tnet_s-t)/Tau_j)))*Salcycl</f>
        <v>0.1508930935234048</v>
      </c>
      <c r="AD111" s="233">
        <f>(INDEX(Models!$BJ111:$BT111,,AH111)*(1-AF111)+INDEX(Models!$BJ111:$BT111,,AH111+1)*AF111-ERP_i)*AE111*Ramure*Pc/MaxiM</f>
        <v>6.8355275711844262E-3</v>
      </c>
      <c r="AE111" s="307">
        <f t="shared" si="38"/>
        <v>1</v>
      </c>
      <c r="AF111" s="179">
        <f t="shared" si="39"/>
        <v>4.5938685925834888E-2</v>
      </c>
      <c r="AG111" s="837">
        <f t="shared" si="47"/>
        <v>0</v>
      </c>
      <c r="AH111" s="178">
        <f t="shared" si="40"/>
        <v>6</v>
      </c>
      <c r="AI111" s="227">
        <f t="shared" si="41"/>
        <v>4.5938685925834888E-2</v>
      </c>
      <c r="AJ111" s="267" t="b">
        <f t="shared" si="42"/>
        <v>1</v>
      </c>
      <c r="AK111" s="267" t="b">
        <f t="shared" si="43"/>
        <v>0</v>
      </c>
      <c r="AL111" s="267"/>
      <c r="AM111" s="267"/>
      <c r="AN111" s="75"/>
    </row>
    <row r="112" spans="1:40" s="6" customFormat="1" ht="11.25" x14ac:dyDescent="0.2">
      <c r="A112" s="56">
        <f t="shared" si="44"/>
        <v>44659</v>
      </c>
      <c r="B112" s="618">
        <v>27.792999999999999</v>
      </c>
      <c r="C112" s="866"/>
      <c r="D112" s="395">
        <f t="shared" si="24"/>
        <v>28.67735942642712</v>
      </c>
      <c r="E112" s="387">
        <f t="shared" si="45"/>
        <v>32.604685632442283</v>
      </c>
      <c r="F112" s="387">
        <f t="shared" si="25"/>
        <v>32.698149469458571</v>
      </c>
      <c r="G112" s="110">
        <f t="shared" si="46"/>
        <v>0.59639076981564432</v>
      </c>
      <c r="H112" s="414" t="b">
        <f>Wh_hp&gt;='2021'!Maxi_hp</f>
        <v>0</v>
      </c>
      <c r="I112" s="382">
        <f>IF(H112,Wh_hp,'2021'!Maxi_hp)</f>
        <v>52.014022850554703</v>
      </c>
      <c r="J112" s="85">
        <f>IF(H112,An,'2021'!An_max)</f>
        <v>2021</v>
      </c>
      <c r="K112" s="199">
        <f t="shared" si="26"/>
        <v>44659</v>
      </c>
      <c r="L112" s="147">
        <f>IF(t&lt;Tvie,1-EXP((T0-t)*PertePVj)+'2021'!Pspv,1-EXP((T0-t)*PertePVj)+Pspv)</f>
        <v>3.0838244668097148E-2</v>
      </c>
      <c r="M112" s="870"/>
      <c r="N112" s="870"/>
      <c r="O112" s="48">
        <f>IF(t&lt;Tnet,'2021'!Resal+('2021'!Salim-'2021'!Resal)*(1-EXP(('2021'!Tnet-t)/('2021'!Tau_j))),Resal+(Salim-Resal)*(1-EXP((Tnet-t)/(Tau_j))))*Salcycl</f>
        <v>0.12045281620833662</v>
      </c>
      <c r="P112" s="341">
        <f>(INDEX(Models!$BJ112:$BT112,,T112)*(1-R112)+INDEX(Models!$BJ112:$BT112,,T112+1)*R112-ERP_i)*Q112*Ramure*Pc/MaxiM</f>
        <v>6.698665665367802E-3</v>
      </c>
      <c r="Q112" s="307">
        <f t="shared" si="27"/>
        <v>1</v>
      </c>
      <c r="R112" s="179">
        <f t="shared" si="28"/>
        <v>4.7778087584675902E-2</v>
      </c>
      <c r="S112" s="837">
        <f t="shared" si="29"/>
        <v>0</v>
      </c>
      <c r="T112" s="178">
        <f t="shared" si="30"/>
        <v>6</v>
      </c>
      <c r="U112" s="253">
        <f t="shared" si="31"/>
        <v>4.7778087584675902E-2</v>
      </c>
      <c r="V112" s="385">
        <f t="shared" si="32"/>
        <v>46.422517699665818</v>
      </c>
      <c r="W112" s="404"/>
      <c r="X112" s="157">
        <f t="shared" si="33"/>
        <v>44659</v>
      </c>
      <c r="Y112" s="387">
        <f t="shared" si="34"/>
        <v>26.828046522806272</v>
      </c>
      <c r="Z112" s="387">
        <f t="shared" si="35"/>
        <v>27.681701609881042</v>
      </c>
      <c r="AA112" s="388">
        <f t="shared" si="36"/>
        <v>32.604685632442283</v>
      </c>
      <c r="AB112" s="199">
        <f t="shared" si="37"/>
        <v>44659</v>
      </c>
      <c r="AC112" s="119">
        <f>IF(OR(t&lt;Tnet,NoTnet),'2021'!Resal_s+('2021'!Salim-'2021'!Resal_s)*(1-EXP(('2021'!Tnet_s-t)/'2021'!Tau_j)),Resal_s+(Salim-Resal_s)*(1-EXP((Tnet_s-t)/Tau_j)))*Salcycl</f>
        <v>0.15099007786975188</v>
      </c>
      <c r="AD112" s="233">
        <f>(INDEX(Models!$BJ112:$BT112,,AH112)*(1-AF112)+INDEX(Models!$BJ112:$BT112,,AH112+1)*AF112-ERP_i)*AE112*Ramure*Pc/MaxiM</f>
        <v>6.698665665367802E-3</v>
      </c>
      <c r="AE112" s="307">
        <f t="shared" si="38"/>
        <v>1</v>
      </c>
      <c r="AF112" s="179">
        <f t="shared" si="39"/>
        <v>4.7778087584675902E-2</v>
      </c>
      <c r="AG112" s="837">
        <f t="shared" si="47"/>
        <v>0</v>
      </c>
      <c r="AH112" s="178">
        <f t="shared" si="40"/>
        <v>6</v>
      </c>
      <c r="AI112" s="227">
        <f t="shared" si="41"/>
        <v>4.7778087584675902E-2</v>
      </c>
      <c r="AJ112" s="267" t="b">
        <f t="shared" si="42"/>
        <v>1</v>
      </c>
      <c r="AK112" s="267" t="b">
        <f t="shared" si="43"/>
        <v>0</v>
      </c>
      <c r="AL112" s="267"/>
      <c r="AM112" s="267"/>
      <c r="AN112" s="75"/>
    </row>
    <row r="113" spans="1:40" s="6" customFormat="1" ht="11.25" x14ac:dyDescent="0.2">
      <c r="A113" s="56">
        <f t="shared" si="44"/>
        <v>44660</v>
      </c>
      <c r="B113" s="618">
        <v>33.727000000000004</v>
      </c>
      <c r="C113" s="866"/>
      <c r="D113" s="395">
        <f t="shared" si="24"/>
        <v>34.800986222652874</v>
      </c>
      <c r="E113" s="387">
        <f t="shared" si="45"/>
        <v>39.575551330767532</v>
      </c>
      <c r="F113" s="387">
        <f t="shared" si="25"/>
        <v>39.732496137579552</v>
      </c>
      <c r="G113" s="110">
        <f t="shared" si="46"/>
        <v>0.71967246613464819</v>
      </c>
      <c r="H113" s="414" t="b">
        <f>Wh_hp&gt;='2021'!Maxi_hp</f>
        <v>0</v>
      </c>
      <c r="I113" s="382">
        <f>IF(H113,Wh_hp,'2021'!Maxi_hp)</f>
        <v>51.39394262397834</v>
      </c>
      <c r="J113" s="85">
        <f>IF(H113,An,'2021'!An_max)</f>
        <v>2020</v>
      </c>
      <c r="K113" s="199">
        <f t="shared" si="26"/>
        <v>44660</v>
      </c>
      <c r="L113" s="147">
        <f>IF(t&lt;Tvie,1-EXP((T0-t)*PertePVj)+'2021'!Pspv,1-EXP((T0-t)*PertePVj)+Pspv)</f>
        <v>3.0860798477997942E-2</v>
      </c>
      <c r="M113" s="870"/>
      <c r="N113" s="870"/>
      <c r="O113" s="48">
        <f>IF(t&lt;Tnet,'2021'!Resal+('2021'!Salim-'2021'!Resal)*(1-EXP(('2021'!Tnet-t)/('2021'!Tau_j))),Resal+(Salim-Resal)*(1-EXP((Tnet-t)/(Tau_j))))*Salcycl</f>
        <v>0.12064431063030404</v>
      </c>
      <c r="P113" s="341">
        <f>(INDEX(Models!$BJ113:$BT113,,T113)*(1-R113)+INDEX(Models!$BJ113:$BT113,,T113+1)*R113-ERP_i)*Q113*Ramure*Pc/MaxiM</f>
        <v>6.5589936827486458E-3</v>
      </c>
      <c r="Q113" s="307">
        <f t="shared" si="27"/>
        <v>1</v>
      </c>
      <c r="R113" s="179">
        <f t="shared" si="28"/>
        <v>4.9683682167268352E-2</v>
      </c>
      <c r="S113" s="837">
        <f t="shared" si="29"/>
        <v>0</v>
      </c>
      <c r="T113" s="178">
        <f t="shared" si="30"/>
        <v>6</v>
      </c>
      <c r="U113" s="253">
        <f t="shared" si="31"/>
        <v>4.9683682167268352E-2</v>
      </c>
      <c r="V113" s="385">
        <f t="shared" si="32"/>
        <v>46.741622516025501</v>
      </c>
      <c r="W113" s="404"/>
      <c r="X113" s="157">
        <f t="shared" si="33"/>
        <v>44660</v>
      </c>
      <c r="Y113" s="387">
        <f t="shared" si="34"/>
        <v>32.559259899546049</v>
      </c>
      <c r="Z113" s="387">
        <f t="shared" si="35"/>
        <v>33.596061173062417</v>
      </c>
      <c r="AA113" s="388">
        <f t="shared" si="36"/>
        <v>39.575551330767532</v>
      </c>
      <c r="AB113" s="199">
        <f t="shared" si="37"/>
        <v>44660</v>
      </c>
      <c r="AC113" s="119">
        <f>IF(OR(t&lt;Tnet,NoTnet),'2021'!Resal_s+('2021'!Salim-'2021'!Resal_s)*(1-EXP(('2021'!Tnet_s-t)/'2021'!Tau_j)),Resal_s+(Salim-Resal_s)*(1-EXP((Tnet_s-t)/Tau_j)))*Salcycl</f>
        <v>0.15109050806972427</v>
      </c>
      <c r="AD113" s="233">
        <f>(INDEX(Models!$BJ113:$BT113,,AH113)*(1-AF113)+INDEX(Models!$BJ113:$BT113,,AH113+1)*AF113-ERP_i)*AE113*Ramure*Pc/MaxiM</f>
        <v>6.5589936827486458E-3</v>
      </c>
      <c r="AE113" s="307">
        <f t="shared" si="38"/>
        <v>1</v>
      </c>
      <c r="AF113" s="179">
        <f t="shared" si="39"/>
        <v>4.9683682167268352E-2</v>
      </c>
      <c r="AG113" s="837">
        <f t="shared" si="47"/>
        <v>0</v>
      </c>
      <c r="AH113" s="178">
        <f t="shared" si="40"/>
        <v>6</v>
      </c>
      <c r="AI113" s="227">
        <f t="shared" si="41"/>
        <v>4.9683682167268352E-2</v>
      </c>
      <c r="AJ113" s="267" t="b">
        <f t="shared" si="42"/>
        <v>1</v>
      </c>
      <c r="AK113" s="267" t="b">
        <f t="shared" si="43"/>
        <v>0</v>
      </c>
      <c r="AL113" s="267"/>
      <c r="AM113" s="267"/>
      <c r="AN113" s="75"/>
    </row>
    <row r="114" spans="1:40" s="6" customFormat="1" ht="11.25" x14ac:dyDescent="0.2">
      <c r="A114" s="56">
        <f t="shared" si="44"/>
        <v>44661</v>
      </c>
      <c r="B114" s="618">
        <v>47.76</v>
      </c>
      <c r="C114" s="866"/>
      <c r="D114" s="395">
        <f t="shared" si="24"/>
        <v>49.281993129398877</v>
      </c>
      <c r="E114" s="387">
        <f t="shared" si="45"/>
        <v>56.055667075957778</v>
      </c>
      <c r="F114" s="387">
        <f t="shared" si="25"/>
        <v>56.417502682718585</v>
      </c>
      <c r="G114" s="110">
        <f t="shared" si="46"/>
        <v>1.0149681881709369</v>
      </c>
      <c r="H114" s="414" t="b">
        <f>Wh_hp&gt;='2021'!Maxi_hp</f>
        <v>1</v>
      </c>
      <c r="I114" s="382">
        <f>IF(H114,Wh_hp,'2021'!Maxi_hp)</f>
        <v>56.417502682718585</v>
      </c>
      <c r="J114" s="85">
        <f>IF(H114,An,'2021'!An_max)</f>
        <v>2022</v>
      </c>
      <c r="K114" s="199">
        <f t="shared" si="26"/>
        <v>44661</v>
      </c>
      <c r="L114" s="147">
        <f>IF(t&lt;Tvie,1-EXP((T0-t)*PertePVj)+'2021'!Pspv,1-EXP((T0-t)*PertePVj)+Pspv)</f>
        <v>3.088335176303858E-2</v>
      </c>
      <c r="M114" s="870"/>
      <c r="N114" s="870"/>
      <c r="O114" s="48">
        <f>IF(t&lt;Tnet,'2021'!Resal+('2021'!Salim-'2021'!Resal)*(1-EXP(('2021'!Tnet-t)/('2021'!Tau_j))),Resal+(Salim-Resal)*(1-EXP((Tnet-t)/(Tau_j))))*Salcycl</f>
        <v>0.12083834338070215</v>
      </c>
      <c r="P114" s="341">
        <f>(INDEX(Models!$BJ114:$BT114,,T114)*(1-R114)+INDEX(Models!$BJ114:$BT114,,T114+1)*R114-ERP_i)*Q114*Ramure*Pc/MaxiM</f>
        <v>6.4135346223264198E-3</v>
      </c>
      <c r="Q114" s="307">
        <f t="shared" si="27"/>
        <v>1</v>
      </c>
      <c r="R114" s="179">
        <f t="shared" si="28"/>
        <v>5.1657410716147885E-2</v>
      </c>
      <c r="S114" s="837">
        <f t="shared" si="29"/>
        <v>0</v>
      </c>
      <c r="T114" s="178">
        <f t="shared" si="30"/>
        <v>6</v>
      </c>
      <c r="U114" s="253">
        <f t="shared" si="31"/>
        <v>5.1657410716147885E-2</v>
      </c>
      <c r="V114" s="385">
        <f t="shared" si="32"/>
        <v>47.055661996725007</v>
      </c>
      <c r="W114" s="404"/>
      <c r="X114" s="157">
        <f t="shared" si="33"/>
        <v>44661</v>
      </c>
      <c r="Y114" s="387">
        <f t="shared" si="34"/>
        <v>46.110919274229452</v>
      </c>
      <c r="Z114" s="387">
        <f t="shared" si="35"/>
        <v>47.5803602776977</v>
      </c>
      <c r="AA114" s="388">
        <f t="shared" si="36"/>
        <v>56.055667075957778</v>
      </c>
      <c r="AB114" s="199">
        <f t="shared" si="37"/>
        <v>44661</v>
      </c>
      <c r="AC114" s="119">
        <f>IF(OR(t&lt;Tnet,NoTnet),'2021'!Resal_s+('2021'!Salim-'2021'!Resal_s)*(1-EXP(('2021'!Tnet_s-t)/'2021'!Tau_j)),Resal_s+(Salim-Resal_s)*(1-EXP((Tnet_s-t)/Tau_j)))*Salcycl</f>
        <v>0.15119446864802599</v>
      </c>
      <c r="AD114" s="233">
        <f>(INDEX(Models!$BJ114:$BT114,,AH114)*(1-AF114)+INDEX(Models!$BJ114:$BT114,,AH114+1)*AF114-ERP_i)*AE114*Ramure*Pc/MaxiM</f>
        <v>6.4135346223264198E-3</v>
      </c>
      <c r="AE114" s="307">
        <f t="shared" si="38"/>
        <v>1</v>
      </c>
      <c r="AF114" s="179">
        <f t="shared" si="39"/>
        <v>5.1657410716147885E-2</v>
      </c>
      <c r="AG114" s="837">
        <f t="shared" si="47"/>
        <v>0</v>
      </c>
      <c r="AH114" s="178">
        <f t="shared" si="40"/>
        <v>6</v>
      </c>
      <c r="AI114" s="227">
        <f t="shared" si="41"/>
        <v>5.1657410716147885E-2</v>
      </c>
      <c r="AJ114" s="267" t="b">
        <f t="shared" si="42"/>
        <v>1</v>
      </c>
      <c r="AK114" s="267" t="b">
        <f t="shared" si="43"/>
        <v>0</v>
      </c>
      <c r="AL114" s="267"/>
      <c r="AM114" s="267"/>
      <c r="AN114" s="75"/>
    </row>
    <row r="115" spans="1:40" s="6" customFormat="1" ht="11.25" x14ac:dyDescent="0.2">
      <c r="A115" s="56">
        <f t="shared" si="44"/>
        <v>44662</v>
      </c>
      <c r="B115" s="618">
        <v>36.545000000000002</v>
      </c>
      <c r="C115" s="866"/>
      <c r="D115" s="395">
        <f t="shared" si="24"/>
        <v>37.710476382606409</v>
      </c>
      <c r="E115" s="387">
        <f t="shared" si="45"/>
        <v>42.903273572252907</v>
      </c>
      <c r="F115" s="387">
        <f t="shared" si="25"/>
        <v>43.085108840904411</v>
      </c>
      <c r="G115" s="110">
        <f t="shared" si="46"/>
        <v>0.76998972088671991</v>
      </c>
      <c r="H115" s="414" t="b">
        <f>Wh_hp&gt;='2021'!Maxi_hp</f>
        <v>0</v>
      </c>
      <c r="I115" s="382">
        <f>IF(H115,Wh_hp,'2021'!Maxi_hp)</f>
        <v>55.108352473035232</v>
      </c>
      <c r="J115" s="85">
        <f>IF(H115,An,'2021'!An_max)</f>
        <v>2020</v>
      </c>
      <c r="K115" s="199">
        <f t="shared" si="26"/>
        <v>44662</v>
      </c>
      <c r="L115" s="147">
        <f>IF(t&lt;Tvie,1-EXP((T0-t)*PertePVj)+'2021'!Pspv,1-EXP((T0-t)*PertePVj)+Pspv)</f>
        <v>3.0905904523231387E-2</v>
      </c>
      <c r="M115" s="870"/>
      <c r="N115" s="870"/>
      <c r="O115" s="48">
        <f>IF(t&lt;Tnet,'2021'!Resal+('2021'!Salim-'2021'!Resal)*(1-EXP(('2021'!Tnet-t)/('2021'!Tau_j))),Resal+(Salim-Resal)*(1-EXP((Tnet-t)/(Tau_j))))*Salcycl</f>
        <v>0.12103498771256622</v>
      </c>
      <c r="P115" s="341">
        <f>(INDEX(Models!$BJ115:$BT115,,T115)*(1-R115)+INDEX(Models!$BJ115:$BT115,,T115+1)*R115-ERP_i)*Q115*Ramure*Pc/MaxiM</f>
        <v>6.2646866246357184E-3</v>
      </c>
      <c r="Q115" s="307">
        <f t="shared" si="27"/>
        <v>1</v>
      </c>
      <c r="R115" s="179">
        <f t="shared" si="28"/>
        <v>5.3701236368403835E-2</v>
      </c>
      <c r="S115" s="837">
        <f t="shared" si="29"/>
        <v>0</v>
      </c>
      <c r="T115" s="178">
        <f t="shared" si="30"/>
        <v>6</v>
      </c>
      <c r="U115" s="253">
        <f t="shared" si="31"/>
        <v>5.3701236368403835E-2</v>
      </c>
      <c r="V115" s="385">
        <f t="shared" si="32"/>
        <v>47.364234825574719</v>
      </c>
      <c r="W115" s="404"/>
      <c r="X115" s="157">
        <f t="shared" si="33"/>
        <v>44662</v>
      </c>
      <c r="Y115" s="387">
        <f t="shared" si="34"/>
        <v>35.286577401236812</v>
      </c>
      <c r="Z115" s="387">
        <f t="shared" si="35"/>
        <v>36.411920747362259</v>
      </c>
      <c r="AA115" s="388">
        <f t="shared" si="36"/>
        <v>42.903273572252907</v>
      </c>
      <c r="AB115" s="199">
        <f t="shared" si="37"/>
        <v>44662</v>
      </c>
      <c r="AC115" s="119">
        <f>IF(OR(t&lt;Tnet,NoTnet),'2021'!Resal_s+('2021'!Salim-'2021'!Resal_s)*(1-EXP(('2021'!Tnet_s-t)/'2021'!Tau_j)),Resal_s+(Salim-Resal_s)*(1-EXP((Tnet_s-t)/Tau_j)))*Salcycl</f>
        <v>0.15130204025011368</v>
      </c>
      <c r="AD115" s="233">
        <f>(INDEX(Models!$BJ115:$BT115,,AH115)*(1-AF115)+INDEX(Models!$BJ115:$BT115,,AH115+1)*AF115-ERP_i)*AE115*Ramure*Pc/MaxiM</f>
        <v>6.2646866246357184E-3</v>
      </c>
      <c r="AE115" s="307">
        <f t="shared" si="38"/>
        <v>1</v>
      </c>
      <c r="AF115" s="179">
        <f t="shared" si="39"/>
        <v>5.3701236368403835E-2</v>
      </c>
      <c r="AG115" s="837">
        <f t="shared" si="47"/>
        <v>0</v>
      </c>
      <c r="AH115" s="178">
        <f t="shared" si="40"/>
        <v>6</v>
      </c>
      <c r="AI115" s="227">
        <f t="shared" si="41"/>
        <v>5.3701236368403835E-2</v>
      </c>
      <c r="AJ115" s="267" t="b">
        <f t="shared" si="42"/>
        <v>1</v>
      </c>
      <c r="AK115" s="267" t="b">
        <f t="shared" si="43"/>
        <v>0</v>
      </c>
      <c r="AL115" s="267"/>
      <c r="AM115" s="267"/>
      <c r="AN115" s="75"/>
    </row>
    <row r="116" spans="1:40" s="6" customFormat="1" ht="11.25" x14ac:dyDescent="0.2">
      <c r="A116" s="56">
        <f t="shared" si="44"/>
        <v>44663</v>
      </c>
      <c r="B116" s="618">
        <v>33.576000000000001</v>
      </c>
      <c r="C116" s="866"/>
      <c r="D116" s="395">
        <f t="shared" si="24"/>
        <v>34.647596696207671</v>
      </c>
      <c r="E116" s="387">
        <f t="shared" si="45"/>
        <v>39.427571239963946</v>
      </c>
      <c r="F116" s="387">
        <f t="shared" si="25"/>
        <v>39.567289272133642</v>
      </c>
      <c r="G116" s="110">
        <f t="shared" si="46"/>
        <v>0.70256124108515461</v>
      </c>
      <c r="H116" s="414" t="b">
        <f>Wh_hp&gt;='2021'!Maxi_hp</f>
        <v>0</v>
      </c>
      <c r="I116" s="382">
        <f>IF(H116,Wh_hp,'2021'!Maxi_hp)</f>
        <v>55.432889188888424</v>
      </c>
      <c r="J116" s="85">
        <f>IF(H116,An,'2021'!An_max)</f>
        <v>2019</v>
      </c>
      <c r="K116" s="199">
        <f t="shared" si="26"/>
        <v>44663</v>
      </c>
      <c r="L116" s="147">
        <f>IF(t&lt;Tvie,1-EXP((T0-t)*PertePVj)+'2021'!Pspv,1-EXP((T0-t)*PertePVj)+Pspv)</f>
        <v>3.0928456758588463E-2</v>
      </c>
      <c r="M116" s="870"/>
      <c r="N116" s="870"/>
      <c r="O116" s="48">
        <f>IF(t&lt;Tnet,'2021'!Resal+('2021'!Salim-'2021'!Resal)*(1-EXP(('2021'!Tnet-t)/('2021'!Tau_j))),Resal+(Salim-Resal)*(1-EXP((Tnet-t)/(Tau_j))))*Salcycl</f>
        <v>0.12123431379184908</v>
      </c>
      <c r="P116" s="341">
        <f>(INDEX(Models!$BJ116:$BT116,,T116)*(1-R116)+INDEX(Models!$BJ116:$BT116,,T116+1)*R116-ERP_i)*Q116*Ramure*Pc/MaxiM</f>
        <v>6.1124898464899359E-3</v>
      </c>
      <c r="Q116" s="307">
        <f t="shared" si="27"/>
        <v>1</v>
      </c>
      <c r="R116" s="179">
        <f t="shared" si="28"/>
        <v>5.581714158448349E-2</v>
      </c>
      <c r="S116" s="837">
        <f t="shared" si="29"/>
        <v>0</v>
      </c>
      <c r="T116" s="178">
        <f t="shared" si="30"/>
        <v>6</v>
      </c>
      <c r="U116" s="253">
        <f t="shared" si="31"/>
        <v>5.581714158448349E-2</v>
      </c>
      <c r="V116" s="385">
        <f t="shared" si="32"/>
        <v>47.667049988947355</v>
      </c>
      <c r="W116" s="404"/>
      <c r="X116" s="157">
        <f t="shared" si="33"/>
        <v>44663</v>
      </c>
      <c r="Y116" s="387">
        <f t="shared" si="34"/>
        <v>32.422917172063855</v>
      </c>
      <c r="Z116" s="387">
        <f t="shared" si="35"/>
        <v>33.457712589117662</v>
      </c>
      <c r="AA116" s="388">
        <f t="shared" si="36"/>
        <v>39.427571239963946</v>
      </c>
      <c r="AB116" s="199">
        <f t="shared" si="37"/>
        <v>44663</v>
      </c>
      <c r="AC116" s="119">
        <f>IF(OR(t&lt;Tnet,NoTnet),'2021'!Resal_s+('2021'!Salim-'2021'!Resal_s)*(1-EXP(('2021'!Tnet_s-t)/'2021'!Tau_j)),Resal_s+(Salim-Resal_s)*(1-EXP((Tnet_s-t)/Tau_j)))*Salcycl</f>
        <v>0.15141329945262283</v>
      </c>
      <c r="AD116" s="233">
        <f>(INDEX(Models!$BJ116:$BT116,,AH116)*(1-AF116)+INDEX(Models!$BJ116:$BT116,,AH116+1)*AF116-ERP_i)*AE116*Ramure*Pc/MaxiM</f>
        <v>6.1124898464899359E-3</v>
      </c>
      <c r="AE116" s="307">
        <f t="shared" si="38"/>
        <v>1</v>
      </c>
      <c r="AF116" s="179">
        <f t="shared" si="39"/>
        <v>5.581714158448349E-2</v>
      </c>
      <c r="AG116" s="837">
        <f t="shared" si="47"/>
        <v>0</v>
      </c>
      <c r="AH116" s="178">
        <f t="shared" si="40"/>
        <v>6</v>
      </c>
      <c r="AI116" s="227">
        <f t="shared" si="41"/>
        <v>5.581714158448349E-2</v>
      </c>
      <c r="AJ116" s="267" t="b">
        <f t="shared" si="42"/>
        <v>1</v>
      </c>
      <c r="AK116" s="267" t="b">
        <f t="shared" si="43"/>
        <v>0</v>
      </c>
      <c r="AL116" s="267"/>
      <c r="AM116" s="267"/>
      <c r="AN116" s="75"/>
    </row>
    <row r="117" spans="1:40" s="6" customFormat="1" ht="11.25" x14ac:dyDescent="0.2">
      <c r="A117" s="56">
        <f t="shared" si="44"/>
        <v>44664</v>
      </c>
      <c r="B117" s="618">
        <v>7.4</v>
      </c>
      <c r="C117" s="866"/>
      <c r="D117" s="395">
        <f t="shared" si="24"/>
        <v>7.6363528208307363</v>
      </c>
      <c r="E117" s="387">
        <f t="shared" si="45"/>
        <v>8.6918610344320246</v>
      </c>
      <c r="F117" s="387">
        <f t="shared" si="25"/>
        <v>8.6918610344320246</v>
      </c>
      <c r="G117" s="110">
        <f t="shared" si="46"/>
        <v>0.15336390713232281</v>
      </c>
      <c r="H117" s="414" t="b">
        <f>Wh_hp&gt;='2021'!Maxi_hp</f>
        <v>0</v>
      </c>
      <c r="I117" s="382">
        <f>IF(H117,Wh_hp,'2021'!Maxi_hp)</f>
        <v>56.418752922877168</v>
      </c>
      <c r="J117" s="85">
        <f>IF(H117,An,'2021'!An_max)</f>
        <v>2019</v>
      </c>
      <c r="K117" s="199">
        <f t="shared" si="26"/>
        <v>44664</v>
      </c>
      <c r="L117" s="147">
        <f>IF(t&lt;Tvie,1-EXP((T0-t)*PertePVj)+'2021'!Pspv,1-EXP((T0-t)*PertePVj)+Pspv)</f>
        <v>3.0951008469122021E-2</v>
      </c>
      <c r="M117" s="870"/>
      <c r="N117" s="870"/>
      <c r="O117" s="48">
        <f>IF(t&lt;Tnet,'2021'!Resal+('2021'!Salim-'2021'!Resal)*(1-EXP(('2021'!Tnet-t)/('2021'!Tau_j))),Resal+(Salim-Resal)*(1-EXP((Tnet-t)/(Tau_j))))*Salcycl</f>
        <v>0.12143638852715066</v>
      </c>
      <c r="P117" s="341">
        <f>(INDEX(Models!$BJ117:$BT117,,T117)*(1-R117)+INDEX(Models!$BJ117:$BT117,,T117+1)*R117-ERP_i)*Q117*Ramure*Pc/MaxiM</f>
        <v>5.9569765439013355E-3</v>
      </c>
      <c r="Q117" s="307">
        <f t="shared" si="27"/>
        <v>1</v>
      </c>
      <c r="R117" s="179">
        <f t="shared" si="28"/>
        <v>5.8007125090573659E-2</v>
      </c>
      <c r="S117" s="837">
        <f t="shared" si="29"/>
        <v>0</v>
      </c>
      <c r="T117" s="178">
        <f t="shared" si="30"/>
        <v>6</v>
      </c>
      <c r="U117" s="253">
        <f t="shared" si="31"/>
        <v>5.8007125090573659E-2</v>
      </c>
      <c r="V117" s="385">
        <f t="shared" si="32"/>
        <v>47.963816983538521</v>
      </c>
      <c r="W117" s="404"/>
      <c r="X117" s="157">
        <f t="shared" si="33"/>
        <v>44664</v>
      </c>
      <c r="Y117" s="387">
        <f t="shared" si="34"/>
        <v>7.1465405129224484</v>
      </c>
      <c r="Z117" s="387">
        <f t="shared" si="35"/>
        <v>7.3747979466265505</v>
      </c>
      <c r="AA117" s="388">
        <f t="shared" si="36"/>
        <v>8.6918610344320246</v>
      </c>
      <c r="AB117" s="199">
        <f t="shared" si="37"/>
        <v>44664</v>
      </c>
      <c r="AC117" s="119">
        <f>IF(OR(t&lt;Tnet,NoTnet),'2021'!Resal_s+('2021'!Salim-'2021'!Resal_s)*(1-EXP(('2021'!Tnet_s-t)/'2021'!Tau_j)),Resal_s+(Salim-Resal_s)*(1-EXP((Tnet_s-t)/Tau_j)))*Salcycl</f>
        <v>0.1515283185715979</v>
      </c>
      <c r="AD117" s="233">
        <f>(INDEX(Models!$BJ117:$BT117,,AH117)*(1-AF117)+INDEX(Models!$BJ117:$BT117,,AH117+1)*AF117-ERP_i)*AE117*Ramure*Pc/MaxiM</f>
        <v>5.9569765439013355E-3</v>
      </c>
      <c r="AE117" s="307">
        <f t="shared" si="38"/>
        <v>1</v>
      </c>
      <c r="AF117" s="179">
        <f t="shared" si="39"/>
        <v>5.8007125090573659E-2</v>
      </c>
      <c r="AG117" s="837">
        <f t="shared" si="47"/>
        <v>0</v>
      </c>
      <c r="AH117" s="178">
        <f t="shared" si="40"/>
        <v>6</v>
      </c>
      <c r="AI117" s="227">
        <f t="shared" si="41"/>
        <v>5.8007125090573659E-2</v>
      </c>
      <c r="AJ117" s="267" t="b">
        <f t="shared" si="42"/>
        <v>1</v>
      </c>
      <c r="AK117" s="267" t="b">
        <f t="shared" si="43"/>
        <v>0</v>
      </c>
      <c r="AL117" s="267"/>
      <c r="AM117" s="267"/>
      <c r="AN117" s="75"/>
    </row>
    <row r="118" spans="1:40" s="6" customFormat="1" ht="11.25" x14ac:dyDescent="0.2">
      <c r="A118" s="56">
        <f t="shared" si="44"/>
        <v>44665</v>
      </c>
      <c r="B118" s="618">
        <v>36.18</v>
      </c>
      <c r="C118" s="866"/>
      <c r="D118" s="395">
        <f t="shared" si="24"/>
        <v>37.336442530002714</v>
      </c>
      <c r="E118" s="387">
        <f t="shared" si="45"/>
        <v>42.507054901550013</v>
      </c>
      <c r="F118" s="387">
        <f t="shared" si="25"/>
        <v>42.666009753042736</v>
      </c>
      <c r="G118" s="110">
        <f t="shared" si="46"/>
        <v>0.74821877230754741</v>
      </c>
      <c r="H118" s="414" t="b">
        <f>Wh_hp&gt;='2021'!Maxi_hp</f>
        <v>0</v>
      </c>
      <c r="I118" s="382">
        <f>IF(H118,Wh_hp,'2021'!Maxi_hp)</f>
        <v>56.195003771164046</v>
      </c>
      <c r="J118" s="85">
        <f>IF(H118,An,'2021'!An_max)</f>
        <v>2021</v>
      </c>
      <c r="K118" s="199">
        <f t="shared" si="26"/>
        <v>44665</v>
      </c>
      <c r="L118" s="147">
        <f>IF(t&lt;Tvie,1-EXP((T0-t)*PertePVj)+'2021'!Pspv,1-EXP((T0-t)*PertePVj)+Pspv)</f>
        <v>3.0973559654844496E-2</v>
      </c>
      <c r="M118" s="870"/>
      <c r="N118" s="870"/>
      <c r="O118" s="48">
        <f>IF(t&lt;Tnet,'2021'!Resal+('2021'!Salim-'2021'!Resal)*(1-EXP(('2021'!Tnet-t)/('2021'!Tau_j))),Resal+(Salim-Resal)*(1-EXP((Tnet-t)/(Tau_j))))*Salcycl</f>
        <v>0.12164127539588157</v>
      </c>
      <c r="P118" s="341">
        <f>(INDEX(Models!$BJ118:$BT118,,T118)*(1-R118)+INDEX(Models!$BJ118:$BT118,,T118+1)*R118-ERP_i)*Q118*Ramure*Pc/MaxiM</f>
        <v>5.7981711246210465E-3</v>
      </c>
      <c r="Q118" s="307">
        <f t="shared" si="27"/>
        <v>1</v>
      </c>
      <c r="R118" s="179">
        <f t="shared" si="28"/>
        <v>6.0273198521962668E-2</v>
      </c>
      <c r="S118" s="837">
        <f t="shared" si="29"/>
        <v>0</v>
      </c>
      <c r="T118" s="178">
        <f t="shared" si="30"/>
        <v>6</v>
      </c>
      <c r="U118" s="253">
        <f t="shared" si="31"/>
        <v>6.0273198521962668E-2</v>
      </c>
      <c r="V118" s="385">
        <f t="shared" si="32"/>
        <v>48.254245835021607</v>
      </c>
      <c r="W118" s="404"/>
      <c r="X118" s="157">
        <f t="shared" si="33"/>
        <v>44665</v>
      </c>
      <c r="Y118" s="387">
        <f t="shared" si="34"/>
        <v>34.944043582233178</v>
      </c>
      <c r="Z118" s="387">
        <f t="shared" si="35"/>
        <v>36.060980513376428</v>
      </c>
      <c r="AA118" s="388">
        <f t="shared" si="36"/>
        <v>42.507054901550013</v>
      </c>
      <c r="AB118" s="199">
        <f t="shared" si="37"/>
        <v>44665</v>
      </c>
      <c r="AC118" s="119">
        <f>IF(OR(t&lt;Tnet,NoTnet),'2021'!Resal_s+('2021'!Salim-'2021'!Resal_s)*(1-EXP(('2021'!Tnet_s-t)/'2021'!Tau_j)),Resal_s+(Salim-Resal_s)*(1-EXP((Tnet_s-t)/Tau_j)))*Salcycl</f>
        <v>0.15164716546707946</v>
      </c>
      <c r="AD118" s="233">
        <f>(INDEX(Models!$BJ118:$BT118,,AH118)*(1-AF118)+INDEX(Models!$BJ118:$BT118,,AH118+1)*AF118-ERP_i)*AE118*Ramure*Pc/MaxiM</f>
        <v>5.7981711246210465E-3</v>
      </c>
      <c r="AE118" s="307">
        <f t="shared" si="38"/>
        <v>1</v>
      </c>
      <c r="AF118" s="179">
        <f t="shared" si="39"/>
        <v>6.0273198521962668E-2</v>
      </c>
      <c r="AG118" s="837">
        <f t="shared" si="47"/>
        <v>0</v>
      </c>
      <c r="AH118" s="178">
        <f t="shared" si="40"/>
        <v>6</v>
      </c>
      <c r="AI118" s="227">
        <f t="shared" si="41"/>
        <v>6.0273198521962668E-2</v>
      </c>
      <c r="AJ118" s="267" t="b">
        <f t="shared" si="42"/>
        <v>1</v>
      </c>
      <c r="AK118" s="267" t="b">
        <f t="shared" si="43"/>
        <v>0</v>
      </c>
      <c r="AL118" s="267"/>
      <c r="AM118" s="267"/>
      <c r="AN118" s="75"/>
    </row>
    <row r="119" spans="1:40" s="6" customFormat="1" ht="11.25" x14ac:dyDescent="0.2">
      <c r="A119" s="56">
        <f t="shared" si="44"/>
        <v>44666</v>
      </c>
      <c r="B119" s="618">
        <v>40.172000000000004</v>
      </c>
      <c r="C119" s="866"/>
      <c r="D119" s="395">
        <f t="shared" si="24"/>
        <v>41.457005929141097</v>
      </c>
      <c r="E119" s="387">
        <f t="shared" si="45"/>
        <v>47.209429297250132</v>
      </c>
      <c r="F119" s="387">
        <f t="shared" si="25"/>
        <v>47.410845688262292</v>
      </c>
      <c r="G119" s="110">
        <f t="shared" si="46"/>
        <v>0.82648592107454244</v>
      </c>
      <c r="H119" s="414" t="b">
        <f>Wh_hp&gt;='2021'!Maxi_hp</f>
        <v>0</v>
      </c>
      <c r="I119" s="382">
        <f>IF(H119,Wh_hp,'2021'!Maxi_hp)</f>
        <v>56.145689401906232</v>
      </c>
      <c r="J119" s="85">
        <f>IF(H119,An,'2021'!An_max)</f>
        <v>2021</v>
      </c>
      <c r="K119" s="199">
        <f t="shared" si="26"/>
        <v>44666</v>
      </c>
      <c r="L119" s="147">
        <f>IF(t&lt;Tvie,1-EXP((T0-t)*PertePVj)+'2021'!Pspv,1-EXP((T0-t)*PertePVj)+Pspv)</f>
        <v>3.0996110315767766E-2</v>
      </c>
      <c r="M119" s="870"/>
      <c r="N119" s="870"/>
      <c r="O119" s="48">
        <f>IF(t&lt;Tnet,'2021'!Resal+('2021'!Salim-'2021'!Resal)*(1-EXP(('2021'!Tnet-t)/('2021'!Tau_j))),Resal+(Salim-Resal)*(1-EXP((Tnet-t)/(Tau_j))))*Salcycl</f>
        <v>0.12184903426579033</v>
      </c>
      <c r="P119" s="341">
        <f>(INDEX(Models!$BJ119:$BT119,,T119)*(1-R119)+INDEX(Models!$BJ119:$BT119,,T119+1)*R119-ERP_i)*Q119*Ramure*Pc/MaxiM</f>
        <v>5.6360901841579006E-3</v>
      </c>
      <c r="Q119" s="307">
        <f t="shared" si="27"/>
        <v>1</v>
      </c>
      <c r="R119" s="179">
        <f t="shared" si="28"/>
        <v>6.2617382755306775E-2</v>
      </c>
      <c r="S119" s="837">
        <f t="shared" si="29"/>
        <v>0</v>
      </c>
      <c r="T119" s="178">
        <f t="shared" si="30"/>
        <v>6</v>
      </c>
      <c r="U119" s="253">
        <f t="shared" si="31"/>
        <v>6.2617382755306775E-2</v>
      </c>
      <c r="V119" s="385">
        <f t="shared" si="32"/>
        <v>48.538047141582261</v>
      </c>
      <c r="W119" s="404"/>
      <c r="X119" s="157">
        <f t="shared" si="33"/>
        <v>44666</v>
      </c>
      <c r="Y119" s="387">
        <f t="shared" si="34"/>
        <v>38.803236314186833</v>
      </c>
      <c r="Z119" s="387">
        <f t="shared" si="35"/>
        <v>40.044458775941116</v>
      </c>
      <c r="AA119" s="388">
        <f t="shared" si="36"/>
        <v>47.209429297250132</v>
      </c>
      <c r="AB119" s="199">
        <f t="shared" si="37"/>
        <v>44666</v>
      </c>
      <c r="AC119" s="119">
        <f>IF(OR(t&lt;Tnet,NoTnet),'2021'!Resal_s+('2021'!Salim-'2021'!Resal_s)*(1-EXP(('2021'!Tnet_s-t)/'2021'!Tau_j)),Resal_s+(Salim-Resal_s)*(1-EXP((Tnet_s-t)/Tau_j)))*Salcycl</f>
        <v>0.15176990334272816</v>
      </c>
      <c r="AD119" s="233">
        <f>(INDEX(Models!$BJ119:$BT119,,AH119)*(1-AF119)+INDEX(Models!$BJ119:$BT119,,AH119+1)*AF119-ERP_i)*AE119*Ramure*Pc/MaxiM</f>
        <v>5.6360901841579006E-3</v>
      </c>
      <c r="AE119" s="307">
        <f t="shared" si="38"/>
        <v>1</v>
      </c>
      <c r="AF119" s="179">
        <f t="shared" si="39"/>
        <v>6.2617382755306775E-2</v>
      </c>
      <c r="AG119" s="837">
        <f t="shared" si="47"/>
        <v>0</v>
      </c>
      <c r="AH119" s="178">
        <f t="shared" si="40"/>
        <v>6</v>
      </c>
      <c r="AI119" s="227">
        <f t="shared" si="41"/>
        <v>6.2617382755306775E-2</v>
      </c>
      <c r="AJ119" s="267" t="b">
        <f t="shared" si="42"/>
        <v>1</v>
      </c>
      <c r="AK119" s="267" t="b">
        <f t="shared" si="43"/>
        <v>0</v>
      </c>
      <c r="AL119" s="267"/>
      <c r="AM119" s="267"/>
      <c r="AN119" s="75"/>
    </row>
    <row r="120" spans="1:40" s="6" customFormat="1" ht="11.25" x14ac:dyDescent="0.2">
      <c r="A120" s="56">
        <f t="shared" si="44"/>
        <v>44667</v>
      </c>
      <c r="B120" s="618">
        <v>43.076999999999998</v>
      </c>
      <c r="C120" s="866"/>
      <c r="D120" s="395">
        <f t="shared" si="24"/>
        <v>44.455964466859434</v>
      </c>
      <c r="E120" s="387">
        <f t="shared" si="45"/>
        <v>50.636661218204551</v>
      </c>
      <c r="F120" s="387">
        <f t="shared" si="25"/>
        <v>50.868217959412618</v>
      </c>
      <c r="G120" s="110">
        <f t="shared" si="46"/>
        <v>0.88164101481210966</v>
      </c>
      <c r="H120" s="414" t="b">
        <f>Wh_hp&gt;='2021'!Maxi_hp</f>
        <v>1</v>
      </c>
      <c r="I120" s="382">
        <f>IF(H120,Wh_hp,'2021'!Maxi_hp)</f>
        <v>50.868217959412618</v>
      </c>
      <c r="J120" s="85">
        <f>IF(H120,An,'2021'!An_max)</f>
        <v>2022</v>
      </c>
      <c r="K120" s="199">
        <f t="shared" si="26"/>
        <v>44667</v>
      </c>
      <c r="L120" s="147">
        <f>IF(t&lt;Tvie,1-EXP((T0-t)*PertePVj)+'2021'!Pspv,1-EXP((T0-t)*PertePVj)+Pspv)</f>
        <v>3.1018660451904378E-2</v>
      </c>
      <c r="M120" s="870"/>
      <c r="N120" s="870"/>
      <c r="O120" s="48">
        <f>IF(t&lt;Tnet,'2021'!Resal+('2021'!Salim-'2021'!Resal)*(1-EXP(('2021'!Tnet-t)/('2021'!Tau_j))),Resal+(Salim-Resal)*(1-EXP((Tnet-t)/(Tau_j))))*Salcycl</f>
        <v>0.12205972121090543</v>
      </c>
      <c r="P120" s="341">
        <f>(INDEX(Models!$BJ120:$BT120,,T120)*(1-R120)+INDEX(Models!$BJ120:$BT120,,T120+1)*R120-ERP_i)*Q120*Ramure*Pc/MaxiM</f>
        <v>5.4707425300606445E-3</v>
      </c>
      <c r="Q120" s="307">
        <f t="shared" si="27"/>
        <v>1</v>
      </c>
      <c r="R120" s="179">
        <f t="shared" si="28"/>
        <v>6.5041703918406121E-2</v>
      </c>
      <c r="S120" s="837">
        <f t="shared" si="29"/>
        <v>0</v>
      </c>
      <c r="T120" s="178">
        <f t="shared" si="30"/>
        <v>6</v>
      </c>
      <c r="U120" s="253">
        <f t="shared" si="31"/>
        <v>6.5041703918406121E-2</v>
      </c>
      <c r="V120" s="385">
        <f t="shared" si="32"/>
        <v>48.814932096969613</v>
      </c>
      <c r="W120" s="404"/>
      <c r="X120" s="157">
        <f t="shared" si="33"/>
        <v>44667</v>
      </c>
      <c r="Y120" s="387">
        <f t="shared" si="34"/>
        <v>41.6130247717157</v>
      </c>
      <c r="Z120" s="387">
        <f t="shared" si="35"/>
        <v>42.945125022864516</v>
      </c>
      <c r="AA120" s="388">
        <f t="shared" si="36"/>
        <v>50.636661218204551</v>
      </c>
      <c r="AB120" s="199">
        <f t="shared" si="37"/>
        <v>44667</v>
      </c>
      <c r="AC120" s="119">
        <f>IF(OR(t&lt;Tnet,NoTnet),'2021'!Resal_s+('2021'!Salim-'2021'!Resal_s)*(1-EXP(('2021'!Tnet_s-t)/'2021'!Tau_j)),Resal_s+(Salim-Resal_s)*(1-EXP((Tnet_s-t)/Tau_j)))*Salcycl</f>
        <v>0.15189659053932303</v>
      </c>
      <c r="AD120" s="233">
        <f>(INDEX(Models!$BJ120:$BT120,,AH120)*(1-AF120)+INDEX(Models!$BJ120:$BT120,,AH120+1)*AF120-ERP_i)*AE120*Ramure*Pc/MaxiM</f>
        <v>5.4707425300606445E-3</v>
      </c>
      <c r="AE120" s="307">
        <f t="shared" si="38"/>
        <v>1</v>
      </c>
      <c r="AF120" s="179">
        <f t="shared" si="39"/>
        <v>6.5041703918406121E-2</v>
      </c>
      <c r="AG120" s="837">
        <f t="shared" si="47"/>
        <v>0</v>
      </c>
      <c r="AH120" s="178">
        <f t="shared" si="40"/>
        <v>6</v>
      </c>
      <c r="AI120" s="227">
        <f t="shared" si="41"/>
        <v>6.5041703918406121E-2</v>
      </c>
      <c r="AJ120" s="267" t="b">
        <f t="shared" si="42"/>
        <v>1</v>
      </c>
      <c r="AK120" s="267" t="b">
        <f t="shared" si="43"/>
        <v>0</v>
      </c>
      <c r="AL120" s="267"/>
      <c r="AM120" s="267"/>
      <c r="AN120" s="75"/>
    </row>
    <row r="121" spans="1:40" s="6" customFormat="1" ht="11.25" x14ac:dyDescent="0.2">
      <c r="A121" s="56">
        <f t="shared" si="44"/>
        <v>44668</v>
      </c>
      <c r="B121" s="618">
        <v>48.896000000000001</v>
      </c>
      <c r="C121" s="866"/>
      <c r="D121" s="395">
        <f t="shared" si="24"/>
        <v>50.462414405872273</v>
      </c>
      <c r="E121" s="387">
        <f t="shared" si="45"/>
        <v>57.492177785686508</v>
      </c>
      <c r="F121" s="387">
        <f t="shared" si="25"/>
        <v>57.796922044603946</v>
      </c>
      <c r="G121" s="110">
        <f t="shared" si="46"/>
        <v>0.99610073074030481</v>
      </c>
      <c r="H121" s="414" t="b">
        <f>Wh_hp&gt;='2021'!Maxi_hp</f>
        <v>1</v>
      </c>
      <c r="I121" s="382">
        <f>IF(H121,Wh_hp,'2021'!Maxi_hp)</f>
        <v>57.796922044603946</v>
      </c>
      <c r="J121" s="85">
        <f>IF(H121,An,'2021'!An_max)</f>
        <v>2022</v>
      </c>
      <c r="K121" s="199">
        <f t="shared" si="26"/>
        <v>44668</v>
      </c>
      <c r="L121" s="147">
        <f>IF(t&lt;Tvie,1-EXP((T0-t)*PertePVj)+'2021'!Pspv,1-EXP((T0-t)*PertePVj)+Pspv)</f>
        <v>3.1041210063266211E-2</v>
      </c>
      <c r="M121" s="870"/>
      <c r="N121" s="870"/>
      <c r="O121" s="48">
        <f>IF(t&lt;Tnet,'2021'!Resal+('2021'!Salim-'2021'!Resal)*(1-EXP(('2021'!Tnet-t)/('2021'!Tau_j))),Resal+(Salim-Resal)*(1-EXP((Tnet-t)/(Tau_j))))*Salcycl</f>
        <v>0.12227338832108729</v>
      </c>
      <c r="P121" s="341">
        <f>(INDEX(Models!$BJ121:$BT121,,T121)*(1-R121)+INDEX(Models!$BJ121:$BT121,,T121+1)*R121-ERP_i)*Q121*Ramure*Pc/MaxiM</f>
        <v>5.3019845675964369E-3</v>
      </c>
      <c r="Q121" s="307">
        <f t="shared" si="27"/>
        <v>1</v>
      </c>
      <c r="R121" s="179">
        <f t="shared" si="28"/>
        <v>6.7548189066953618E-2</v>
      </c>
      <c r="S121" s="837">
        <f t="shared" si="29"/>
        <v>0</v>
      </c>
      <c r="T121" s="178">
        <f t="shared" si="30"/>
        <v>6</v>
      </c>
      <c r="U121" s="253">
        <f t="shared" si="31"/>
        <v>6.7548189066953618E-2</v>
      </c>
      <c r="V121" s="385">
        <f t="shared" si="32"/>
        <v>49.085958544155552</v>
      </c>
      <c r="W121" s="404"/>
      <c r="X121" s="157">
        <f t="shared" si="33"/>
        <v>44668</v>
      </c>
      <c r="Y121" s="387">
        <f t="shared" si="34"/>
        <v>47.238483543420543</v>
      </c>
      <c r="Z121" s="387">
        <f t="shared" si="35"/>
        <v>48.751798357188015</v>
      </c>
      <c r="AA121" s="388">
        <f t="shared" si="36"/>
        <v>57.492177785686508</v>
      </c>
      <c r="AB121" s="199">
        <f t="shared" si="37"/>
        <v>44668</v>
      </c>
      <c r="AC121" s="119">
        <f>IF(OR(t&lt;Tnet,NoTnet),'2021'!Resal_s+('2021'!Salim-'2021'!Resal_s)*(1-EXP(('2021'!Tnet_s-t)/'2021'!Tau_j)),Resal_s+(Salim-Resal_s)*(1-EXP((Tnet_s-t)/Tau_j)))*Salcycl</f>
        <v>0.15202728032115934</v>
      </c>
      <c r="AD121" s="233">
        <f>(INDEX(Models!$BJ121:$BT121,,AH121)*(1-AF121)+INDEX(Models!$BJ121:$BT121,,AH121+1)*AF121-ERP_i)*AE121*Ramure*Pc/MaxiM</f>
        <v>5.3019845675964369E-3</v>
      </c>
      <c r="AE121" s="307">
        <f t="shared" si="38"/>
        <v>1</v>
      </c>
      <c r="AF121" s="179">
        <f t="shared" si="39"/>
        <v>6.7548189066953618E-2</v>
      </c>
      <c r="AG121" s="837">
        <f t="shared" si="47"/>
        <v>0</v>
      </c>
      <c r="AH121" s="178">
        <f t="shared" si="40"/>
        <v>6</v>
      </c>
      <c r="AI121" s="227">
        <f t="shared" si="41"/>
        <v>6.7548189066953618E-2</v>
      </c>
      <c r="AJ121" s="267" t="b">
        <f t="shared" si="42"/>
        <v>1</v>
      </c>
      <c r="AK121" s="267" t="b">
        <f t="shared" si="43"/>
        <v>0</v>
      </c>
      <c r="AL121" s="267"/>
      <c r="AM121" s="267"/>
      <c r="AN121" s="75"/>
    </row>
    <row r="122" spans="1:40" s="18" customFormat="1" ht="11.25" x14ac:dyDescent="0.2">
      <c r="A122" s="56">
        <f t="shared" si="44"/>
        <v>44669</v>
      </c>
      <c r="B122" s="618">
        <v>39.289000000000001</v>
      </c>
      <c r="C122" s="866"/>
      <c r="D122" s="395">
        <f t="shared" si="24"/>
        <v>40.548591686000158</v>
      </c>
      <c r="E122" s="387">
        <f t="shared" si="45"/>
        <v>46.208699097032351</v>
      </c>
      <c r="F122" s="387">
        <f t="shared" si="25"/>
        <v>46.37724858489505</v>
      </c>
      <c r="G122" s="110">
        <f t="shared" si="46"/>
        <v>0.79489966187505934</v>
      </c>
      <c r="H122" s="414" t="b">
        <f>Wh_hp&gt;='2021'!Maxi_hp</f>
        <v>1</v>
      </c>
      <c r="I122" s="382">
        <f>IF(H122,Wh_hp,'2021'!Maxi_hp)</f>
        <v>46.37724858489505</v>
      </c>
      <c r="J122" s="85">
        <f>IF(H122,An,'2021'!An_max)</f>
        <v>2022</v>
      </c>
      <c r="K122" s="199">
        <f t="shared" si="26"/>
        <v>44669</v>
      </c>
      <c r="L122" s="147">
        <f>IF(t&lt;Tvie,1-EXP((T0-t)*PertePVj)+'2021'!Pspv,1-EXP((T0-t)*PertePVj)+Pspv)</f>
        <v>3.10637591498657E-2</v>
      </c>
      <c r="M122" s="870"/>
      <c r="N122" s="870"/>
      <c r="O122" s="48">
        <f>IF(t&lt;Tnet,'2021'!Resal+('2021'!Salim-'2021'!Resal)*(1-EXP(('2021'!Tnet-t)/('2021'!Tau_j))),Resal+(Salim-Resal)*(1-EXP((Tnet-t)/(Tau_j))))*Salcycl</f>
        <v>0.12249008350455169</v>
      </c>
      <c r="P122" s="341">
        <f>(INDEX(Models!$BJ122:$BT122,,T122)*(1-R122)+INDEX(Models!$BJ122:$BT122,,T122+1)*R122-ERP_i)*Q122*Ramure*Pc/MaxiM</f>
        <v>5.1281087195704051E-3</v>
      </c>
      <c r="Q122" s="307">
        <f t="shared" si="27"/>
        <v>1</v>
      </c>
      <c r="R122" s="179">
        <f t="shared" si="28"/>
        <v>7.0138861518765694E-2</v>
      </c>
      <c r="S122" s="837">
        <f t="shared" si="29"/>
        <v>0</v>
      </c>
      <c r="T122" s="178">
        <f t="shared" si="30"/>
        <v>6</v>
      </c>
      <c r="U122" s="253">
        <f t="shared" si="31"/>
        <v>7.0138861518765694E-2</v>
      </c>
      <c r="V122" s="385">
        <f t="shared" si="32"/>
        <v>49.352261812951156</v>
      </c>
      <c r="W122" s="404"/>
      <c r="X122" s="157">
        <f t="shared" si="33"/>
        <v>44669</v>
      </c>
      <c r="Y122" s="387">
        <f t="shared" si="34"/>
        <v>37.960489954958575</v>
      </c>
      <c r="Z122" s="387">
        <f t="shared" si="35"/>
        <v>39.177490070608201</v>
      </c>
      <c r="AA122" s="388">
        <f t="shared" si="36"/>
        <v>46.208699097032351</v>
      </c>
      <c r="AB122" s="199">
        <f t="shared" si="37"/>
        <v>44669</v>
      </c>
      <c r="AC122" s="119">
        <f>IF(OR(t&lt;Tnet,NoTnet),'2021'!Resal_s+('2021'!Salim-'2021'!Resal_s)*(1-EXP(('2021'!Tnet_s-t)/'2021'!Tau_j)),Resal_s+(Salim-Resal_s)*(1-EXP((Tnet_s-t)/Tau_j)))*Salcycl</f>
        <v>0.1521620206545852</v>
      </c>
      <c r="AD122" s="233">
        <f>(INDEX(Models!$BJ122:$BT122,,AH122)*(1-AF122)+INDEX(Models!$BJ122:$BT122,,AH122+1)*AF122-ERP_i)*AE122*Ramure*Pc/MaxiM</f>
        <v>5.1281087195704051E-3</v>
      </c>
      <c r="AE122" s="307">
        <f t="shared" si="38"/>
        <v>1</v>
      </c>
      <c r="AF122" s="179">
        <f t="shared" si="39"/>
        <v>7.0138861518765694E-2</v>
      </c>
      <c r="AG122" s="837">
        <f t="shared" si="47"/>
        <v>0</v>
      </c>
      <c r="AH122" s="178">
        <f t="shared" si="40"/>
        <v>6</v>
      </c>
      <c r="AI122" s="227">
        <f t="shared" si="41"/>
        <v>7.0138861518765694E-2</v>
      </c>
      <c r="AJ122" s="267" t="b">
        <f t="shared" si="42"/>
        <v>1</v>
      </c>
      <c r="AK122" s="267" t="b">
        <f t="shared" si="43"/>
        <v>0</v>
      </c>
      <c r="AL122" s="267"/>
      <c r="AM122" s="267"/>
      <c r="AN122" s="267"/>
    </row>
    <row r="123" spans="1:40" s="18" customFormat="1" ht="11.25" x14ac:dyDescent="0.2">
      <c r="A123" s="56">
        <f t="shared" si="44"/>
        <v>44670</v>
      </c>
      <c r="B123" s="618">
        <v>10.734999999999999</v>
      </c>
      <c r="C123" s="866"/>
      <c r="D123" s="395">
        <f t="shared" si="24"/>
        <v>11.079418203542087</v>
      </c>
      <c r="E123" s="387">
        <f t="shared" si="45"/>
        <v>12.629137813886402</v>
      </c>
      <c r="F123" s="387">
        <f t="shared" si="25"/>
        <v>12.629137813886402</v>
      </c>
      <c r="G123" s="110">
        <f t="shared" si="46"/>
        <v>0.2153014686109247</v>
      </c>
      <c r="H123" s="414" t="b">
        <f>Wh_hp&gt;='2021'!Maxi_hp</f>
        <v>0</v>
      </c>
      <c r="I123" s="382">
        <f>IF(H123,Wh_hp,'2021'!Maxi_hp)</f>
        <v>56.526054792556174</v>
      </c>
      <c r="J123" s="85">
        <f>IF(H123,An,'2021'!An_max)</f>
        <v>2021</v>
      </c>
      <c r="K123" s="199">
        <f t="shared" si="26"/>
        <v>44670</v>
      </c>
      <c r="L123" s="147">
        <f>IF(t&lt;Tvie,1-EXP((T0-t)*PertePVj)+'2021'!Pspv,1-EXP((T0-t)*PertePVj)+Pspv)</f>
        <v>3.1086307711715055E-2</v>
      </c>
      <c r="M123" s="870"/>
      <c r="N123" s="870"/>
      <c r="O123" s="48">
        <f>IF(t&lt;Tnet,'2021'!Resal+('2021'!Salim-'2021'!Resal)*(1-EXP(('2021'!Tnet-t)/('2021'!Tau_j))),Resal+(Salim-Resal)*(1-EXP((Tnet-t)/(Tau_j))))*Salcycl</f>
        <v>0.12270985028291617</v>
      </c>
      <c r="P123" s="341">
        <f>(INDEX(Models!$BJ123:$BT123,,T123)*(1-R123)+INDEX(Models!$BJ123:$BT123,,T123+1)*R123-ERP_i)*Q123*Ramure*Pc/MaxiM</f>
        <v>4.9521673572766991E-3</v>
      </c>
      <c r="Q123" s="307">
        <f t="shared" si="27"/>
        <v>1</v>
      </c>
      <c r="R123" s="179">
        <f t="shared" si="28"/>
        <v>7.2815735837257298E-2</v>
      </c>
      <c r="S123" s="837">
        <f t="shared" si="29"/>
        <v>0</v>
      </c>
      <c r="T123" s="178">
        <f t="shared" si="30"/>
        <v>6</v>
      </c>
      <c r="U123" s="253">
        <f t="shared" si="31"/>
        <v>7.2815735837257298E-2</v>
      </c>
      <c r="V123" s="385">
        <f t="shared" si="32"/>
        <v>49.613402789755163</v>
      </c>
      <c r="W123" s="404"/>
      <c r="X123" s="157">
        <f t="shared" si="33"/>
        <v>44670</v>
      </c>
      <c r="Y123" s="387">
        <f t="shared" si="34"/>
        <v>10.372908365013746</v>
      </c>
      <c r="Z123" s="387">
        <f t="shared" si="35"/>
        <v>10.705709339823686</v>
      </c>
      <c r="AA123" s="388">
        <f t="shared" si="36"/>
        <v>12.629137813886402</v>
      </c>
      <c r="AB123" s="199">
        <f t="shared" si="37"/>
        <v>44670</v>
      </c>
      <c r="AC123" s="119">
        <f>IF(OR(t&lt;Tnet,NoTnet),'2021'!Resal_s+('2021'!Salim-'2021'!Resal_s)*(1-EXP(('2021'!Tnet_s-t)/'2021'!Tau_j)),Resal_s+(Salim-Resal_s)*(1-EXP((Tnet_s-t)/Tau_j)))*Salcycl</f>
        <v>0.15230085397815551</v>
      </c>
      <c r="AD123" s="233">
        <f>(INDEX(Models!$BJ123:$BT123,,AH123)*(1-AF123)+INDEX(Models!$BJ123:$BT123,,AH123+1)*AF123-ERP_i)*AE123*Ramure*Pc/MaxiM</f>
        <v>4.9521673572766991E-3</v>
      </c>
      <c r="AE123" s="307">
        <f t="shared" si="38"/>
        <v>1</v>
      </c>
      <c r="AF123" s="179">
        <f t="shared" si="39"/>
        <v>7.2815735837257298E-2</v>
      </c>
      <c r="AG123" s="837">
        <f t="shared" si="47"/>
        <v>0</v>
      </c>
      <c r="AH123" s="178">
        <f t="shared" si="40"/>
        <v>6</v>
      </c>
      <c r="AI123" s="227">
        <f t="shared" si="41"/>
        <v>7.2815735837257298E-2</v>
      </c>
      <c r="AJ123" s="267" t="b">
        <f t="shared" si="42"/>
        <v>1</v>
      </c>
      <c r="AK123" s="267" t="b">
        <f t="shared" si="43"/>
        <v>0</v>
      </c>
      <c r="AL123" s="267"/>
      <c r="AM123" s="267"/>
      <c r="AN123" s="267"/>
    </row>
    <row r="124" spans="1:40" s="6" customFormat="1" ht="11.25" x14ac:dyDescent="0.2">
      <c r="A124" s="56">
        <f t="shared" si="44"/>
        <v>44671</v>
      </c>
      <c r="B124" s="618">
        <v>10.134</v>
      </c>
      <c r="C124" s="866"/>
      <c r="D124" s="395">
        <f t="shared" si="24"/>
        <v>10.459379322568026</v>
      </c>
      <c r="E124" s="387">
        <f t="shared" si="45"/>
        <v>11.925401450325474</v>
      </c>
      <c r="F124" s="387">
        <f t="shared" si="25"/>
        <v>11.925401450325474</v>
      </c>
      <c r="G124" s="110">
        <f t="shared" si="46"/>
        <v>0.2022418725506325</v>
      </c>
      <c r="H124" s="414" t="b">
        <f>Wh_hp&gt;='2021'!Maxi_hp</f>
        <v>0</v>
      </c>
      <c r="I124" s="382">
        <f>IF(H124,Wh_hp,'2021'!Maxi_hp)</f>
        <v>48.602789768147602</v>
      </c>
      <c r="J124" s="85">
        <f>IF(H124,An,'2021'!An_max)</f>
        <v>2019</v>
      </c>
      <c r="K124" s="199">
        <f t="shared" si="26"/>
        <v>44671</v>
      </c>
      <c r="L124" s="147">
        <f>IF(t&lt;Tvie,1-EXP((T0-t)*PertePVj)+'2021'!Pspv,1-EXP((T0-t)*PertePVj)+Pspv)</f>
        <v>3.1108855748826381E-2</v>
      </c>
      <c r="M124" s="870"/>
      <c r="N124" s="870"/>
      <c r="O124" s="48">
        <f>IF(t&lt;Tnet,'2021'!Resal+('2021'!Salim-'2021'!Resal)*(1-EXP(('2021'!Tnet-t)/('2021'!Tau_j))),Resal+(Salim-Resal)*(1-EXP((Tnet-t)/(Tau_j))))*Salcycl</f>
        <v>0.12293272757852836</v>
      </c>
      <c r="P124" s="341">
        <f>(INDEX(Models!$BJ124:$BT124,,T124)*(1-R124)+INDEX(Models!$BJ124:$BT124,,T124+1)*R124-ERP_i)*Q124*Ramure*Pc/MaxiM</f>
        <v>4.7741290116244603E-3</v>
      </c>
      <c r="Q124" s="307">
        <f t="shared" si="27"/>
        <v>1</v>
      </c>
      <c r="R124" s="179">
        <f t="shared" si="28"/>
        <v>7.5580812457394203E-2</v>
      </c>
      <c r="S124" s="837">
        <f t="shared" si="29"/>
        <v>0</v>
      </c>
      <c r="T124" s="178">
        <f t="shared" si="30"/>
        <v>6</v>
      </c>
      <c r="U124" s="253">
        <f t="shared" si="31"/>
        <v>7.5580812457394203E-2</v>
      </c>
      <c r="V124" s="385">
        <f t="shared" si="32"/>
        <v>49.869094116853574</v>
      </c>
      <c r="W124" s="404"/>
      <c r="X124" s="157">
        <f t="shared" si="33"/>
        <v>44671</v>
      </c>
      <c r="Y124" s="387">
        <f t="shared" si="34"/>
        <v>9.7930166008496311</v>
      </c>
      <c r="Z124" s="387">
        <f t="shared" si="35"/>
        <v>10.107447734408137</v>
      </c>
      <c r="AA124" s="388">
        <f t="shared" si="36"/>
        <v>11.925401450325474</v>
      </c>
      <c r="AB124" s="199">
        <f t="shared" si="37"/>
        <v>44671</v>
      </c>
      <c r="AC124" s="119">
        <f>IF(OR(t&lt;Tnet,NoTnet),'2021'!Resal_s+('2021'!Salim-'2021'!Resal_s)*(1-EXP(('2021'!Tnet_s-t)/'2021'!Tau_j)),Resal_s+(Salim-Resal_s)*(1-EXP((Tnet_s-t)/Tau_j)))*Salcycl</f>
        <v>0.15244381696414272</v>
      </c>
      <c r="AD124" s="233">
        <f>(INDEX(Models!$BJ124:$BT124,,AH124)*(1-AF124)+INDEX(Models!$BJ124:$BT124,,AH124+1)*AF124-ERP_i)*AE124*Ramure*Pc/MaxiM</f>
        <v>4.7741290116244603E-3</v>
      </c>
      <c r="AE124" s="307">
        <f t="shared" si="38"/>
        <v>1</v>
      </c>
      <c r="AF124" s="179">
        <f t="shared" si="39"/>
        <v>7.5580812457394203E-2</v>
      </c>
      <c r="AG124" s="837">
        <f t="shared" si="47"/>
        <v>0</v>
      </c>
      <c r="AH124" s="178">
        <f t="shared" si="40"/>
        <v>6</v>
      </c>
      <c r="AI124" s="227">
        <f t="shared" si="41"/>
        <v>7.5580812457394203E-2</v>
      </c>
      <c r="AJ124" s="267" t="b">
        <f t="shared" si="42"/>
        <v>1</v>
      </c>
      <c r="AK124" s="267" t="b">
        <f t="shared" si="43"/>
        <v>0</v>
      </c>
      <c r="AL124" s="267"/>
      <c r="AM124" s="267"/>
      <c r="AN124" s="75"/>
    </row>
    <row r="125" spans="1:40" s="6" customFormat="1" ht="11.25" x14ac:dyDescent="0.2">
      <c r="A125" s="56">
        <f t="shared" si="44"/>
        <v>44672</v>
      </c>
      <c r="B125" s="618">
        <v>9.67</v>
      </c>
      <c r="C125" s="866"/>
      <c r="D125" s="395">
        <f t="shared" si="24"/>
        <v>9.980713620556207</v>
      </c>
      <c r="E125" s="387">
        <f t="shared" si="45"/>
        <v>11.382577649942103</v>
      </c>
      <c r="F125" s="387">
        <f t="shared" si="25"/>
        <v>11.382577649942103</v>
      </c>
      <c r="G125" s="110">
        <f t="shared" si="46"/>
        <v>0.19205425096914278</v>
      </c>
      <c r="H125" s="414" t="b">
        <f>Wh_hp&gt;='2021'!Maxi_hp</f>
        <v>0</v>
      </c>
      <c r="I125" s="382">
        <f>IF(H125,Wh_hp,'2021'!Maxi_hp)</f>
        <v>55.33124831385225</v>
      </c>
      <c r="J125" s="85">
        <f>IF(H125,An,'2021'!An_max)</f>
        <v>2021</v>
      </c>
      <c r="K125" s="199">
        <f t="shared" si="26"/>
        <v>44672</v>
      </c>
      <c r="L125" s="147">
        <f>IF(t&lt;Tvie,1-EXP((T0-t)*PertePVj)+'2021'!Pspv,1-EXP((T0-t)*PertePVj)+Pspv)</f>
        <v>3.1131403261211998E-2</v>
      </c>
      <c r="M125" s="870"/>
      <c r="N125" s="870"/>
      <c r="O125" s="48">
        <f>IF(t&lt;Tnet,'2021'!Resal+('2021'!Salim-'2021'!Resal)*(1-EXP(('2021'!Tnet-t)/('2021'!Tau_j))),Resal+(Salim-Resal)*(1-EXP((Tnet-t)/(Tau_j))))*Salcycl</f>
        <v>0.12315874949405915</v>
      </c>
      <c r="P125" s="341">
        <f>(INDEX(Models!$BJ125:$BT125,,T125)*(1-R125)+INDEX(Models!$BJ125:$BT125,,T125+1)*R125-ERP_i)*Q125*Ramure*Pc/MaxiM</f>
        <v>4.5939682154013768E-3</v>
      </c>
      <c r="Q125" s="307">
        <f t="shared" si="27"/>
        <v>1</v>
      </c>
      <c r="R125" s="179">
        <f t="shared" si="28"/>
        <v>7.8436071949056496E-2</v>
      </c>
      <c r="S125" s="837">
        <f t="shared" si="29"/>
        <v>0</v>
      </c>
      <c r="T125" s="178">
        <f t="shared" si="30"/>
        <v>6</v>
      </c>
      <c r="U125" s="253">
        <f t="shared" si="31"/>
        <v>7.8436071949056496E-2</v>
      </c>
      <c r="V125" s="385">
        <f t="shared" si="32"/>
        <v>50.119048543755504</v>
      </c>
      <c r="W125" s="404"/>
      <c r="X125" s="157">
        <f t="shared" si="33"/>
        <v>44672</v>
      </c>
      <c r="Y125" s="387">
        <f t="shared" si="34"/>
        <v>9.3454152651316509</v>
      </c>
      <c r="Z125" s="387">
        <f t="shared" si="35"/>
        <v>9.6456994236249596</v>
      </c>
      <c r="AA125" s="388">
        <f t="shared" si="36"/>
        <v>11.382577649942103</v>
      </c>
      <c r="AB125" s="199">
        <f t="shared" si="37"/>
        <v>44672</v>
      </c>
      <c r="AC125" s="119">
        <f>IF(OR(t&lt;Tnet,NoTnet),'2021'!Resal_s+('2021'!Salim-'2021'!Resal_s)*(1-EXP(('2021'!Tnet_s-t)/'2021'!Tau_j)),Resal_s+(Salim-Resal_s)*(1-EXP((Tnet_s-t)/Tau_j)))*Salcycl</f>
        <v>0.1525909402714225</v>
      </c>
      <c r="AD125" s="233">
        <f>(INDEX(Models!$BJ125:$BT125,,AH125)*(1-AF125)+INDEX(Models!$BJ125:$BT125,,AH125+1)*AF125-ERP_i)*AE125*Ramure*Pc/MaxiM</f>
        <v>4.5939682154013768E-3</v>
      </c>
      <c r="AE125" s="307">
        <f t="shared" si="38"/>
        <v>1</v>
      </c>
      <c r="AF125" s="179">
        <f t="shared" si="39"/>
        <v>7.8436071949056496E-2</v>
      </c>
      <c r="AG125" s="837">
        <f t="shared" si="47"/>
        <v>0</v>
      </c>
      <c r="AH125" s="178">
        <f t="shared" si="40"/>
        <v>6</v>
      </c>
      <c r="AI125" s="227">
        <f t="shared" si="41"/>
        <v>7.8436071949056496E-2</v>
      </c>
      <c r="AJ125" s="267" t="b">
        <f t="shared" si="42"/>
        <v>1</v>
      </c>
      <c r="AK125" s="267" t="b">
        <f t="shared" si="43"/>
        <v>0</v>
      </c>
      <c r="AL125" s="267"/>
      <c r="AM125" s="267"/>
      <c r="AN125" s="75"/>
    </row>
    <row r="126" spans="1:40" s="6" customFormat="1" ht="11.25" x14ac:dyDescent="0.2">
      <c r="A126" s="56">
        <f t="shared" si="44"/>
        <v>44673</v>
      </c>
      <c r="B126" s="618">
        <v>29.245000000000001</v>
      </c>
      <c r="C126" s="866"/>
      <c r="D126" s="395">
        <f t="shared" si="24"/>
        <v>30.185394271373312</v>
      </c>
      <c r="E126" s="387">
        <f t="shared" si="45"/>
        <v>34.434153742370931</v>
      </c>
      <c r="F126" s="387">
        <f t="shared" si="25"/>
        <v>34.495174809453687</v>
      </c>
      <c r="G126" s="110">
        <f t="shared" si="46"/>
        <v>0.57914718576996749</v>
      </c>
      <c r="H126" s="414" t="b">
        <f>Wh_hp&gt;='2021'!Maxi_hp</f>
        <v>0</v>
      </c>
      <c r="I126" s="382">
        <f>IF(H126,Wh_hp,'2021'!Maxi_hp)</f>
        <v>59.287065717944621</v>
      </c>
      <c r="J126" s="85">
        <f>IF(H126,An,'2021'!An_max)</f>
        <v>2021</v>
      </c>
      <c r="K126" s="199">
        <f t="shared" si="26"/>
        <v>44673</v>
      </c>
      <c r="L126" s="147">
        <f>IF(t&lt;Tvie,1-EXP((T0-t)*PertePVj)+'2021'!Pspv,1-EXP((T0-t)*PertePVj)+Pspv)</f>
        <v>3.115395024888401E-2</v>
      </c>
      <c r="M126" s="870"/>
      <c r="N126" s="870"/>
      <c r="O126" s="48">
        <f>IF(t&lt;Tnet,'2021'!Resal+('2021'!Salim-'2021'!Resal)*(1-EXP(('2021'!Tnet-t)/('2021'!Tau_j))),Resal+(Salim-Resal)*(1-EXP((Tnet-t)/(Tau_j))))*Salcycl</f>
        <v>0.1233879450845792</v>
      </c>
      <c r="P126" s="341">
        <f>(INDEX(Models!$BJ126:$BT126,,T126)*(1-R126)+INDEX(Models!$BJ126:$BT126,,T126+1)*R126-ERP_i)*Q126*Ramure*Pc/MaxiM</f>
        <v>4.4116505983898442E-3</v>
      </c>
      <c r="Q126" s="307">
        <f t="shared" si="27"/>
        <v>1</v>
      </c>
      <c r="R126" s="179">
        <f t="shared" si="28"/>
        <v>8.1383468914691934E-2</v>
      </c>
      <c r="S126" s="837">
        <f t="shared" si="29"/>
        <v>0</v>
      </c>
      <c r="T126" s="178">
        <f t="shared" si="30"/>
        <v>6</v>
      </c>
      <c r="U126" s="253">
        <f t="shared" si="31"/>
        <v>8.1383468914691934E-2</v>
      </c>
      <c r="V126" s="385">
        <f t="shared" si="32"/>
        <v>50.36297970834157</v>
      </c>
      <c r="W126" s="404"/>
      <c r="X126" s="157">
        <f t="shared" si="33"/>
        <v>44673</v>
      </c>
      <c r="Y126" s="387">
        <f t="shared" si="34"/>
        <v>28.265699530162589</v>
      </c>
      <c r="Z126" s="387">
        <f t="shared" si="35"/>
        <v>29.174603681796174</v>
      </c>
      <c r="AA126" s="388">
        <f t="shared" si="36"/>
        <v>34.434153742370931</v>
      </c>
      <c r="AB126" s="199">
        <f t="shared" si="37"/>
        <v>44673</v>
      </c>
      <c r="AC126" s="119">
        <f>IF(OR(t&lt;Tnet,NoTnet),'2021'!Resal_s+('2021'!Salim-'2021'!Resal_s)*(1-EXP(('2021'!Tnet_s-t)/'2021'!Tau_j)),Resal_s+(Salim-Resal_s)*(1-EXP((Tnet_s-t)/Tau_j)))*Salcycl</f>
        <v>0.15274224829004371</v>
      </c>
      <c r="AD126" s="233">
        <f>(INDEX(Models!$BJ126:$BT126,,AH126)*(1-AF126)+INDEX(Models!$BJ126:$BT126,,AH126+1)*AF126-ERP_i)*AE126*Ramure*Pc/MaxiM</f>
        <v>4.4116505983898442E-3</v>
      </c>
      <c r="AE126" s="307">
        <f t="shared" si="38"/>
        <v>1</v>
      </c>
      <c r="AF126" s="179">
        <f t="shared" si="39"/>
        <v>8.1383468914691934E-2</v>
      </c>
      <c r="AG126" s="837">
        <f t="shared" si="47"/>
        <v>0</v>
      </c>
      <c r="AH126" s="178">
        <f t="shared" si="40"/>
        <v>6</v>
      </c>
      <c r="AI126" s="227">
        <f t="shared" si="41"/>
        <v>8.1383468914691934E-2</v>
      </c>
      <c r="AJ126" s="267" t="b">
        <f t="shared" si="42"/>
        <v>1</v>
      </c>
      <c r="AK126" s="267" t="b">
        <f t="shared" si="43"/>
        <v>0</v>
      </c>
      <c r="AL126" s="267"/>
      <c r="AM126" s="267"/>
      <c r="AN126" s="75"/>
    </row>
    <row r="127" spans="1:40" s="6" customFormat="1" ht="11.25" x14ac:dyDescent="0.2">
      <c r="A127" s="56">
        <f t="shared" si="44"/>
        <v>44674</v>
      </c>
      <c r="B127" s="618">
        <v>8.4589999999999996</v>
      </c>
      <c r="C127" s="866"/>
      <c r="D127" s="395">
        <f t="shared" si="24"/>
        <v>8.731208492868431</v>
      </c>
      <c r="E127" s="387">
        <f t="shared" si="45"/>
        <v>9.9628150591310121</v>
      </c>
      <c r="F127" s="387">
        <f t="shared" si="25"/>
        <v>9.9628150591310121</v>
      </c>
      <c r="G127" s="110">
        <f t="shared" si="46"/>
        <v>0.16646526567171799</v>
      </c>
      <c r="H127" s="414" t="b">
        <f>Wh_hp&gt;='2021'!Maxi_hp</f>
        <v>0</v>
      </c>
      <c r="I127" s="382">
        <f>IF(H127,Wh_hp,'2021'!Maxi_hp)</f>
        <v>58.481630214798564</v>
      </c>
      <c r="J127" s="85">
        <f>IF(H127,An,'2021'!An_max)</f>
        <v>2021</v>
      </c>
      <c r="K127" s="199">
        <f t="shared" si="26"/>
        <v>44674</v>
      </c>
      <c r="L127" s="147">
        <f>IF(t&lt;Tvie,1-EXP((T0-t)*PertePVj)+'2021'!Pspv,1-EXP((T0-t)*PertePVj)+Pspv)</f>
        <v>3.117649671185474E-2</v>
      </c>
      <c r="M127" s="870"/>
      <c r="N127" s="870"/>
      <c r="O127" s="48">
        <f>IF(t&lt;Tnet,'2021'!Resal+('2021'!Salim-'2021'!Resal)*(1-EXP(('2021'!Tnet-t)/('2021'!Tau_j))),Resal+(Salim-Resal)*(1-EXP((Tnet-t)/(Tau_j))))*Salcycl</f>
        <v>0.12362033812258727</v>
      </c>
      <c r="P127" s="341">
        <f>(INDEX(Models!$BJ127:$BT127,,T127)*(1-R127)+INDEX(Models!$BJ127:$BT127,,T127+1)*R127-ERP_i)*Q127*Ramure*Pc/MaxiM</f>
        <v>4.2271205047109926E-3</v>
      </c>
      <c r="Q127" s="307">
        <f t="shared" si="27"/>
        <v>1</v>
      </c>
      <c r="R127" s="179">
        <f t="shared" si="28"/>
        <v>8.4424925520338673E-2</v>
      </c>
      <c r="S127" s="837">
        <f t="shared" si="29"/>
        <v>0</v>
      </c>
      <c r="T127" s="178">
        <f t="shared" si="30"/>
        <v>6</v>
      </c>
      <c r="U127" s="253">
        <f t="shared" si="31"/>
        <v>8.4424925520338673E-2</v>
      </c>
      <c r="V127" s="385">
        <f t="shared" si="32"/>
        <v>50.60060279639309</v>
      </c>
      <c r="W127" s="404"/>
      <c r="X127" s="157">
        <f t="shared" si="33"/>
        <v>44674</v>
      </c>
      <c r="Y127" s="387">
        <f t="shared" si="34"/>
        <v>8.1764082045214117</v>
      </c>
      <c r="Z127" s="387">
        <f t="shared" si="35"/>
        <v>8.4395229644729248</v>
      </c>
      <c r="AA127" s="388">
        <f t="shared" si="36"/>
        <v>9.9628150591310121</v>
      </c>
      <c r="AB127" s="199">
        <f t="shared" si="37"/>
        <v>44674</v>
      </c>
      <c r="AC127" s="119">
        <f>IF(OR(t&lt;Tnet,NoTnet),'2021'!Resal_s+('2021'!Salim-'2021'!Resal_s)*(1-EXP(('2021'!Tnet_s-t)/'2021'!Tau_j)),Resal_s+(Salim-Resal_s)*(1-EXP((Tnet_s-t)/Tau_j)))*Salcycl</f>
        <v>0.15289775887809701</v>
      </c>
      <c r="AD127" s="233">
        <f>(INDEX(Models!$BJ127:$BT127,,AH127)*(1-AF127)+INDEX(Models!$BJ127:$BT127,,AH127+1)*AF127-ERP_i)*AE127*Ramure*Pc/MaxiM</f>
        <v>4.2271205047109926E-3</v>
      </c>
      <c r="AE127" s="307">
        <f t="shared" si="38"/>
        <v>1</v>
      </c>
      <c r="AF127" s="179">
        <f t="shared" si="39"/>
        <v>8.4424925520338673E-2</v>
      </c>
      <c r="AG127" s="837">
        <f t="shared" si="47"/>
        <v>0</v>
      </c>
      <c r="AH127" s="178">
        <f t="shared" si="40"/>
        <v>6</v>
      </c>
      <c r="AI127" s="227">
        <f t="shared" si="41"/>
        <v>8.4424925520338673E-2</v>
      </c>
      <c r="AJ127" s="267" t="b">
        <f t="shared" si="42"/>
        <v>1</v>
      </c>
      <c r="AK127" s="267" t="b">
        <f t="shared" si="43"/>
        <v>0</v>
      </c>
      <c r="AL127" s="267"/>
      <c r="AM127" s="267"/>
      <c r="AN127" s="75"/>
    </row>
    <row r="128" spans="1:40" s="6" customFormat="1" ht="11.25" x14ac:dyDescent="0.2">
      <c r="A128" s="56">
        <f t="shared" si="44"/>
        <v>44675</v>
      </c>
      <c r="B128" s="618">
        <v>36.160000000000004</v>
      </c>
      <c r="C128" s="866"/>
      <c r="D128" s="395">
        <f t="shared" si="24"/>
        <v>37.324488302442418</v>
      </c>
      <c r="E128" s="387">
        <f t="shared" si="45"/>
        <v>42.600857893785339</v>
      </c>
      <c r="F128" s="387">
        <f t="shared" si="25"/>
        <v>42.702299790166045</v>
      </c>
      <c r="G128" s="110">
        <f t="shared" si="46"/>
        <v>0.71018097161199956</v>
      </c>
      <c r="H128" s="414" t="b">
        <f>Wh_hp&gt;='2021'!Maxi_hp</f>
        <v>0</v>
      </c>
      <c r="I128" s="382">
        <f>IF(H128,Wh_hp,'2021'!Maxi_hp)</f>
        <v>54.722101062954692</v>
      </c>
      <c r="J128" s="85">
        <f>IF(H128,An,'2021'!An_max)</f>
        <v>2021</v>
      </c>
      <c r="K128" s="199">
        <f t="shared" si="26"/>
        <v>44675</v>
      </c>
      <c r="L128" s="147">
        <f>IF(t&lt;Tvie,1-EXP((T0-t)*PertePVj)+'2021'!Pspv,1-EXP((T0-t)*PertePVj)+Pspv)</f>
        <v>3.1199042650136288E-2</v>
      </c>
      <c r="M128" s="870"/>
      <c r="N128" s="870"/>
      <c r="O128" s="48">
        <f>IF(t&lt;Tnet,'2021'!Resal+('2021'!Salim-'2021'!Resal)*(1-EXP(('2021'!Tnet-t)/('2021'!Tau_j))),Resal+(Salim-Resal)*(1-EXP((Tnet-t)/(Tau_j))))*Salcycl</f>
        <v>0.12385594685670975</v>
      </c>
      <c r="P128" s="341">
        <f>(INDEX(Models!$BJ128:$BT128,,T128)*(1-R128)+INDEX(Models!$BJ128:$BT128,,T128+1)*R128-ERP_i)*Q128*Ramure*Pc/MaxiM</f>
        <v>4.0423327510690265E-3</v>
      </c>
      <c r="Q128" s="307">
        <f t="shared" si="27"/>
        <v>1</v>
      </c>
      <c r="R128" s="179">
        <f t="shared" si="28"/>
        <v>8.7562324661552782E-2</v>
      </c>
      <c r="S128" s="837">
        <f t="shared" si="29"/>
        <v>0</v>
      </c>
      <c r="T128" s="178">
        <f t="shared" si="30"/>
        <v>6</v>
      </c>
      <c r="U128" s="253">
        <f t="shared" si="31"/>
        <v>8.7562324661552782E-2</v>
      </c>
      <c r="V128" s="385">
        <f t="shared" si="32"/>
        <v>50.83153089292793</v>
      </c>
      <c r="W128" s="404"/>
      <c r="X128" s="157">
        <f t="shared" si="33"/>
        <v>44675</v>
      </c>
      <c r="Y128" s="387">
        <f t="shared" si="34"/>
        <v>34.954801441072711</v>
      </c>
      <c r="Z128" s="387">
        <f t="shared" si="35"/>
        <v>36.080477807010944</v>
      </c>
      <c r="AA128" s="388">
        <f t="shared" si="36"/>
        <v>42.600857893785339</v>
      </c>
      <c r="AB128" s="199">
        <f t="shared" si="37"/>
        <v>44675</v>
      </c>
      <c r="AC128" s="119">
        <f>IF(OR(t&lt;Tnet,NoTnet),'2021'!Resal_s+('2021'!Salim-'2021'!Resal_s)*(1-EXP(('2021'!Tnet_s-t)/'2021'!Tau_j)),Resal_s+(Salim-Resal_s)*(1-EXP((Tnet_s-t)/Tau_j)))*Salcycl</f>
        <v>0.15305748309180398</v>
      </c>
      <c r="AD128" s="233">
        <f>(INDEX(Models!$BJ128:$BT128,,AH128)*(1-AF128)+INDEX(Models!$BJ128:$BT128,,AH128+1)*AF128-ERP_i)*AE128*Ramure*Pc/MaxiM</f>
        <v>4.0423327510690265E-3</v>
      </c>
      <c r="AE128" s="307">
        <f t="shared" si="38"/>
        <v>1</v>
      </c>
      <c r="AF128" s="179">
        <f t="shared" si="39"/>
        <v>8.7562324661552782E-2</v>
      </c>
      <c r="AG128" s="837">
        <f t="shared" si="47"/>
        <v>0</v>
      </c>
      <c r="AH128" s="178">
        <f t="shared" si="40"/>
        <v>6</v>
      </c>
      <c r="AI128" s="227">
        <f t="shared" si="41"/>
        <v>8.7562324661552782E-2</v>
      </c>
      <c r="AJ128" s="267" t="b">
        <f t="shared" si="42"/>
        <v>1</v>
      </c>
      <c r="AK128" s="267" t="b">
        <f t="shared" si="43"/>
        <v>0</v>
      </c>
      <c r="AL128" s="267"/>
      <c r="AM128" s="267"/>
      <c r="AN128" s="75"/>
    </row>
    <row r="129" spans="1:40" s="6" customFormat="1" ht="11.25" x14ac:dyDescent="0.2">
      <c r="A129" s="56">
        <f t="shared" si="44"/>
        <v>44676</v>
      </c>
      <c r="B129" s="618">
        <v>45.116</v>
      </c>
      <c r="C129" s="866"/>
      <c r="D129" s="395">
        <f t="shared" si="24"/>
        <v>46.569989013099949</v>
      </c>
      <c r="E129" s="387">
        <f t="shared" si="45"/>
        <v>53.167840709157474</v>
      </c>
      <c r="F129" s="387">
        <f t="shared" si="25"/>
        <v>53.339515726199409</v>
      </c>
      <c r="G129" s="110">
        <f t="shared" si="46"/>
        <v>0.88309996081251008</v>
      </c>
      <c r="H129" s="414" t="b">
        <f>Wh_hp&gt;='2021'!Maxi_hp</f>
        <v>0</v>
      </c>
      <c r="I129" s="382">
        <f>IF(H129,Wh_hp,'2021'!Maxi_hp)</f>
        <v>56.337889785916616</v>
      </c>
      <c r="J129" s="85">
        <f>IF(H129,An,'2021'!An_max)</f>
        <v>2020</v>
      </c>
      <c r="K129" s="199">
        <f t="shared" si="26"/>
        <v>44676</v>
      </c>
      <c r="L129" s="147">
        <f>IF(t&lt;Tvie,1-EXP((T0-t)*PertePVj)+'2021'!Pspv,1-EXP((T0-t)*PertePVj)+Pspv)</f>
        <v>3.1221588063740979E-2</v>
      </c>
      <c r="M129" s="870"/>
      <c r="N129" s="870"/>
      <c r="O129" s="48">
        <f>IF(t&lt;Tnet,'2021'!Resal+('2021'!Salim-'2021'!Resal)*(1-EXP(('2021'!Tnet-t)/('2021'!Tau_j))),Resal+(Salim-Resal)*(1-EXP((Tnet-t)/(Tau_j))))*Salcycl</f>
        <v>0.12409478376505016</v>
      </c>
      <c r="P129" s="341">
        <f>(INDEX(Models!$BJ129:$BT129,,T129)*(1-R129)+INDEX(Models!$BJ129:$BT129,,T129+1)*R129-ERP_i)*Q129*Ramure*Pc/MaxiM</f>
        <v>3.8600212970883226E-3</v>
      </c>
      <c r="Q129" s="307">
        <f t="shared" si="27"/>
        <v>1</v>
      </c>
      <c r="R129" s="179">
        <f t="shared" si="28"/>
        <v>9.0797502768504956E-2</v>
      </c>
      <c r="S129" s="837">
        <f t="shared" si="29"/>
        <v>0</v>
      </c>
      <c r="T129" s="178">
        <f t="shared" si="30"/>
        <v>6</v>
      </c>
      <c r="U129" s="253">
        <f t="shared" si="31"/>
        <v>9.0797502768504956E-2</v>
      </c>
      <c r="V129" s="385">
        <f t="shared" si="32"/>
        <v>51.05533596053003</v>
      </c>
      <c r="W129" s="404"/>
      <c r="X129" s="157">
        <f t="shared" si="33"/>
        <v>44676</v>
      </c>
      <c r="Y129" s="387">
        <f t="shared" si="34"/>
        <v>43.615749153742051</v>
      </c>
      <c r="Z129" s="387">
        <f t="shared" si="35"/>
        <v>45.021388396309305</v>
      </c>
      <c r="AA129" s="388">
        <f t="shared" si="36"/>
        <v>53.167840709157474</v>
      </c>
      <c r="AB129" s="199">
        <f t="shared" si="37"/>
        <v>44676</v>
      </c>
      <c r="AC129" s="119">
        <f>IF(OR(t&lt;Tnet,NoTnet),'2021'!Resal_s+('2021'!Salim-'2021'!Resal_s)*(1-EXP(('2021'!Tnet_s-t)/'2021'!Tau_j)),Resal_s+(Salim-Resal_s)*(1-EXP((Tnet_s-t)/Tau_j)))*Salcycl</f>
        <v>0.15322142491005933</v>
      </c>
      <c r="AD129" s="233">
        <f>(INDEX(Models!$BJ129:$BT129,,AH129)*(1-AF129)+INDEX(Models!$BJ129:$BT129,,AH129+1)*AF129-ERP_i)*AE129*Ramure*Pc/MaxiM</f>
        <v>3.8600212970883226E-3</v>
      </c>
      <c r="AE129" s="307">
        <f t="shared" si="38"/>
        <v>1</v>
      </c>
      <c r="AF129" s="179">
        <f t="shared" si="39"/>
        <v>9.0797502768504956E-2</v>
      </c>
      <c r="AG129" s="837">
        <f t="shared" si="47"/>
        <v>0</v>
      </c>
      <c r="AH129" s="178">
        <f t="shared" si="40"/>
        <v>6</v>
      </c>
      <c r="AI129" s="227">
        <f t="shared" si="41"/>
        <v>9.0797502768504956E-2</v>
      </c>
      <c r="AJ129" s="267" t="b">
        <f t="shared" si="42"/>
        <v>1</v>
      </c>
      <c r="AK129" s="267" t="b">
        <f t="shared" si="43"/>
        <v>0</v>
      </c>
      <c r="AL129" s="267"/>
      <c r="AM129" s="267"/>
      <c r="AN129" s="75"/>
    </row>
    <row r="130" spans="1:40" s="6" customFormat="1" ht="11.25" x14ac:dyDescent="0.2">
      <c r="A130" s="56">
        <f t="shared" si="44"/>
        <v>44677</v>
      </c>
      <c r="B130" s="618">
        <v>50.033999999999999</v>
      </c>
      <c r="C130" s="866"/>
      <c r="D130" s="395">
        <f t="shared" si="24"/>
        <v>51.647687205755091</v>
      </c>
      <c r="E130" s="387">
        <f t="shared" si="45"/>
        <v>58.981227562923564</v>
      </c>
      <c r="F130" s="387">
        <f t="shared" si="25"/>
        <v>59.191543258844384</v>
      </c>
      <c r="G130" s="110">
        <f t="shared" si="46"/>
        <v>0.97573500217155329</v>
      </c>
      <c r="H130" s="414" t="b">
        <f>Wh_hp&gt;='2021'!Maxi_hp</f>
        <v>1</v>
      </c>
      <c r="I130" s="382">
        <f>IF(H130,Wh_hp,'2021'!Maxi_hp)</f>
        <v>59.191543258844384</v>
      </c>
      <c r="J130" s="85">
        <f>IF(H130,An,'2021'!An_max)</f>
        <v>2022</v>
      </c>
      <c r="K130" s="199">
        <f t="shared" si="26"/>
        <v>44677</v>
      </c>
      <c r="L130" s="147">
        <f>IF(t&lt;Tvie,1-EXP((T0-t)*PertePVj)+'2021'!Pspv,1-EXP((T0-t)*PertePVj)+Pspv)</f>
        <v>3.1244132952680914E-2</v>
      </c>
      <c r="M130" s="870"/>
      <c r="N130" s="870"/>
      <c r="O130" s="48">
        <f>IF(t&lt;Tnet,'2021'!Resal+('2021'!Salim-'2021'!Resal)*(1-EXP(('2021'!Tnet-t)/('2021'!Tau_j))),Resal+(Salim-Resal)*(1-EXP((Tnet-t)/(Tau_j))))*Salcycl</f>
        <v>0.12433685530442311</v>
      </c>
      <c r="P130" s="341">
        <f>(INDEX(Models!$BJ130:$BT130,,T130)*(1-R130)+INDEX(Models!$BJ130:$BT130,,T130+1)*R130-ERP_i)*Q130*Ramure*Pc/MaxiM</f>
        <v>3.6800504513667749E-3</v>
      </c>
      <c r="Q130" s="307">
        <f t="shared" si="27"/>
        <v>1</v>
      </c>
      <c r="R130" s="179">
        <f t="shared" si="28"/>
        <v>9.4132242257507506E-2</v>
      </c>
      <c r="S130" s="837">
        <f t="shared" si="29"/>
        <v>0</v>
      </c>
      <c r="T130" s="178">
        <f t="shared" si="30"/>
        <v>6</v>
      </c>
      <c r="U130" s="253">
        <f t="shared" si="31"/>
        <v>9.4132242257507506E-2</v>
      </c>
      <c r="V130" s="385">
        <f t="shared" si="32"/>
        <v>51.271735959665435</v>
      </c>
      <c r="W130" s="404"/>
      <c r="X130" s="157">
        <f t="shared" si="33"/>
        <v>44677</v>
      </c>
      <c r="Y130" s="387">
        <f t="shared" si="34"/>
        <v>48.37397344297878</v>
      </c>
      <c r="Z130" s="387">
        <f t="shared" si="35"/>
        <v>49.934121782837103</v>
      </c>
      <c r="AA130" s="388">
        <f t="shared" si="36"/>
        <v>58.981227562923564</v>
      </c>
      <c r="AB130" s="199">
        <f t="shared" si="37"/>
        <v>44677</v>
      </c>
      <c r="AC130" s="119">
        <f>IF(OR(t&lt;Tnet,NoTnet),'2021'!Resal_s+('2021'!Salim-'2021'!Resal_s)*(1-EXP(('2021'!Tnet_s-t)/'2021'!Tau_j)),Resal_s+(Salim-Resal_s)*(1-EXP((Tnet_s-t)/Tau_j)))*Salcycl</f>
        <v>0.15338958095496807</v>
      </c>
      <c r="AD130" s="233">
        <f>(INDEX(Models!$BJ130:$BT130,,AH130)*(1-AF130)+INDEX(Models!$BJ130:$BT130,,AH130+1)*AF130-ERP_i)*AE130*Ramure*Pc/MaxiM</f>
        <v>3.6800504513667749E-3</v>
      </c>
      <c r="AE130" s="307">
        <f t="shared" si="38"/>
        <v>1</v>
      </c>
      <c r="AF130" s="179">
        <f t="shared" si="39"/>
        <v>9.4132242257507506E-2</v>
      </c>
      <c r="AG130" s="837">
        <f t="shared" si="47"/>
        <v>0</v>
      </c>
      <c r="AH130" s="178">
        <f t="shared" si="40"/>
        <v>6</v>
      </c>
      <c r="AI130" s="227">
        <f t="shared" si="41"/>
        <v>9.4132242257507506E-2</v>
      </c>
      <c r="AJ130" s="267" t="b">
        <f t="shared" si="42"/>
        <v>1</v>
      </c>
      <c r="AK130" s="267" t="b">
        <f t="shared" si="43"/>
        <v>0</v>
      </c>
      <c r="AL130" s="267"/>
      <c r="AM130" s="267"/>
      <c r="AN130" s="75"/>
    </row>
    <row r="131" spans="1:40" s="6" customFormat="1" ht="11.25" x14ac:dyDescent="0.2">
      <c r="A131" s="56">
        <f t="shared" si="44"/>
        <v>44678</v>
      </c>
      <c r="B131" s="618">
        <v>35.692</v>
      </c>
      <c r="C131" s="866"/>
      <c r="D131" s="395">
        <f t="shared" si="24"/>
        <v>36.843989118848938</v>
      </c>
      <c r="E131" s="387">
        <f t="shared" si="45"/>
        <v>42.087318198342828</v>
      </c>
      <c r="F131" s="387">
        <f t="shared" si="25"/>
        <v>42.170302647803133</v>
      </c>
      <c r="G131" s="110">
        <f t="shared" si="46"/>
        <v>0.69224579121963858</v>
      </c>
      <c r="H131" s="414" t="b">
        <f>Wh_hp&gt;='2021'!Maxi_hp</f>
        <v>1</v>
      </c>
      <c r="I131" s="382">
        <f>IF(H131,Wh_hp,'2021'!Maxi_hp)</f>
        <v>42.170302647803133</v>
      </c>
      <c r="J131" s="85">
        <f>IF(H131,An,'2021'!An_max)</f>
        <v>2022</v>
      </c>
      <c r="K131" s="199">
        <f t="shared" si="26"/>
        <v>44678</v>
      </c>
      <c r="L131" s="147">
        <f>IF(t&lt;Tvie,1-EXP((T0-t)*PertePVj)+'2021'!Pspv,1-EXP((T0-t)*PertePVj)+Pspv)</f>
        <v>3.1266677316968305E-2</v>
      </c>
      <c r="M131" s="870"/>
      <c r="N131" s="870"/>
      <c r="O131" s="48">
        <f>IF(t&lt;Tnet,'2021'!Resal+('2021'!Salim-'2021'!Resal)*(1-EXP(('2021'!Tnet-t)/('2021'!Tau_j))),Resal+(Salim-Resal)*(1-EXP((Tnet-t)/(Tau_j))))*Salcycl</f>
        <v>0.12458216165696068</v>
      </c>
      <c r="P131" s="341">
        <f>(INDEX(Models!$BJ131:$BT131,,T131)*(1-R131)+INDEX(Models!$BJ131:$BT131,,T131+1)*R131-ERP_i)*Q131*Ramure*Pc/MaxiM</f>
        <v>3.5022821845411911E-3</v>
      </c>
      <c r="Q131" s="307">
        <f t="shared" si="27"/>
        <v>1</v>
      </c>
      <c r="R131" s="179">
        <f t="shared" si="28"/>
        <v>9.756826363949643E-2</v>
      </c>
      <c r="S131" s="837">
        <f t="shared" si="29"/>
        <v>0</v>
      </c>
      <c r="T131" s="178">
        <f t="shared" si="30"/>
        <v>6</v>
      </c>
      <c r="U131" s="253">
        <f t="shared" si="31"/>
        <v>9.756826363949643E-2</v>
      </c>
      <c r="V131" s="385">
        <f t="shared" si="32"/>
        <v>51.480449849695923</v>
      </c>
      <c r="W131" s="404"/>
      <c r="X131" s="157">
        <f t="shared" si="33"/>
        <v>44678</v>
      </c>
      <c r="Y131" s="387">
        <f t="shared" si="34"/>
        <v>34.510454216011105</v>
      </c>
      <c r="Z131" s="387">
        <f t="shared" si="35"/>
        <v>35.624307957560454</v>
      </c>
      <c r="AA131" s="388">
        <f t="shared" si="36"/>
        <v>42.087318198342828</v>
      </c>
      <c r="AB131" s="199">
        <f t="shared" si="37"/>
        <v>44678</v>
      </c>
      <c r="AC131" s="119">
        <f>IF(OR(t&lt;Tnet,NoTnet),'2021'!Resal_s+('2021'!Salim-'2021'!Resal_s)*(1-EXP(('2021'!Tnet_s-t)/'2021'!Tau_j)),Resal_s+(Salim-Resal_s)*(1-EXP((Tnet_s-t)/Tau_j)))*Salcycl</f>
        <v>0.15356194021021891</v>
      </c>
      <c r="AD131" s="233">
        <f>(INDEX(Models!$BJ131:$BT131,,AH131)*(1-AF131)+INDEX(Models!$BJ131:$BT131,,AH131+1)*AF131-ERP_i)*AE131*Ramure*Pc/MaxiM</f>
        <v>3.5022821845411911E-3</v>
      </c>
      <c r="AE131" s="307">
        <f t="shared" si="38"/>
        <v>1</v>
      </c>
      <c r="AF131" s="179">
        <f t="shared" si="39"/>
        <v>9.756826363949643E-2</v>
      </c>
      <c r="AG131" s="837">
        <f t="shared" si="47"/>
        <v>0</v>
      </c>
      <c r="AH131" s="178">
        <f t="shared" si="40"/>
        <v>6</v>
      </c>
      <c r="AI131" s="227">
        <f t="shared" si="41"/>
        <v>9.756826363949643E-2</v>
      </c>
      <c r="AJ131" s="267" t="b">
        <f t="shared" si="42"/>
        <v>1</v>
      </c>
      <c r="AK131" s="267" t="b">
        <f t="shared" si="43"/>
        <v>0</v>
      </c>
      <c r="AL131" s="267"/>
      <c r="AM131" s="267"/>
      <c r="AN131" s="75"/>
    </row>
    <row r="132" spans="1:40" s="6" customFormat="1" ht="11.25" x14ac:dyDescent="0.2">
      <c r="A132" s="56">
        <f t="shared" si="44"/>
        <v>44679</v>
      </c>
      <c r="B132" s="618">
        <v>21.865000000000002</v>
      </c>
      <c r="C132" s="866"/>
      <c r="D132" s="395">
        <f t="shared" si="24"/>
        <v>22.571236407740031</v>
      </c>
      <c r="E132" s="387">
        <f t="shared" si="45"/>
        <v>25.790708514168685</v>
      </c>
      <c r="F132" s="387">
        <f t="shared" si="25"/>
        <v>25.805801844347176</v>
      </c>
      <c r="G132" s="110">
        <f t="shared" si="46"/>
        <v>0.42191394099304635</v>
      </c>
      <c r="H132" s="414" t="b">
        <f>Wh_hp&gt;='2021'!Maxi_hp</f>
        <v>0</v>
      </c>
      <c r="I132" s="382">
        <f>IF(H132,Wh_hp,'2021'!Maxi_hp)</f>
        <v>48.071799484183821</v>
      </c>
      <c r="J132" s="85">
        <f>IF(H132,An,'2021'!An_max)</f>
        <v>2019</v>
      </c>
      <c r="K132" s="199">
        <f t="shared" si="26"/>
        <v>44679</v>
      </c>
      <c r="L132" s="147">
        <f>IF(t&lt;Tvie,1-EXP((T0-t)*PertePVj)+'2021'!Pspv,1-EXP((T0-t)*PertePVj)+Pspv)</f>
        <v>3.1289221156615477E-2</v>
      </c>
      <c r="M132" s="870"/>
      <c r="N132" s="870"/>
      <c r="O132" s="48">
        <f>IF(t&lt;Tnet,'2021'!Resal+('2021'!Salim-'2021'!Resal)*(1-EXP(('2021'!Tnet-t)/('2021'!Tau_j))),Resal+(Salim-Resal)*(1-EXP((Tnet-t)/(Tau_j))))*Salcycl</f>
        <v>0.12483069647582443</v>
      </c>
      <c r="P132" s="341">
        <f>(INDEX(Models!$BJ132:$BT132,,T132)*(1-R132)+INDEX(Models!$BJ132:$BT132,,T132+1)*R132-ERP_i)*Q132*Ramure*Pc/MaxiM</f>
        <v>3.3265760674862162E-3</v>
      </c>
      <c r="Q132" s="307">
        <f t="shared" si="27"/>
        <v>1</v>
      </c>
      <c r="R132" s="179">
        <f t="shared" si="28"/>
        <v>0.10110721729952467</v>
      </c>
      <c r="S132" s="837">
        <f t="shared" si="29"/>
        <v>0</v>
      </c>
      <c r="T132" s="178">
        <f t="shared" si="30"/>
        <v>6</v>
      </c>
      <c r="U132" s="253">
        <f t="shared" si="31"/>
        <v>0.10110721729952467</v>
      </c>
      <c r="V132" s="385">
        <f t="shared" si="32"/>
        <v>51.681197614522574</v>
      </c>
      <c r="W132" s="404"/>
      <c r="X132" s="157">
        <f t="shared" si="33"/>
        <v>44679</v>
      </c>
      <c r="Y132" s="387">
        <f t="shared" si="34"/>
        <v>21.142775436165998</v>
      </c>
      <c r="Z132" s="387">
        <f t="shared" si="35"/>
        <v>21.825684092634877</v>
      </c>
      <c r="AA132" s="388">
        <f t="shared" si="36"/>
        <v>25.790708514168685</v>
      </c>
      <c r="AB132" s="199">
        <f t="shared" si="37"/>
        <v>44679</v>
      </c>
      <c r="AC132" s="119">
        <f>IF(OR(t&lt;Tnet,NoTnet),'2021'!Resal_s+('2021'!Salim-'2021'!Resal_s)*(1-EXP(('2021'!Tnet_s-t)/'2021'!Tau_j)),Resal_s+(Salim-Resal_s)*(1-EXP((Tnet_s-t)/Tau_j)))*Salcycl</f>
        <v>0.15373848373942647</v>
      </c>
      <c r="AD132" s="233">
        <f>(INDEX(Models!$BJ132:$BT132,,AH132)*(1-AF132)+INDEX(Models!$BJ132:$BT132,,AH132+1)*AF132-ERP_i)*AE132*Ramure*Pc/MaxiM</f>
        <v>3.3265760674862162E-3</v>
      </c>
      <c r="AE132" s="307">
        <f t="shared" si="38"/>
        <v>1</v>
      </c>
      <c r="AF132" s="179">
        <f t="shared" si="39"/>
        <v>0.10110721729952467</v>
      </c>
      <c r="AG132" s="837">
        <f t="shared" si="47"/>
        <v>0</v>
      </c>
      <c r="AH132" s="178">
        <f t="shared" si="40"/>
        <v>6</v>
      </c>
      <c r="AI132" s="227">
        <f t="shared" si="41"/>
        <v>0.10110721729952467</v>
      </c>
      <c r="AJ132" s="267" t="b">
        <f t="shared" si="42"/>
        <v>1</v>
      </c>
      <c r="AK132" s="267" t="b">
        <f t="shared" si="43"/>
        <v>0</v>
      </c>
      <c r="AL132" s="267"/>
      <c r="AM132" s="267"/>
      <c r="AN132" s="75"/>
    </row>
    <row r="133" spans="1:40" s="6" customFormat="1" ht="11.25" x14ac:dyDescent="0.2">
      <c r="A133" s="56">
        <f t="shared" si="44"/>
        <v>44680</v>
      </c>
      <c r="B133" s="618">
        <v>41.082000000000001</v>
      </c>
      <c r="C133" s="866"/>
      <c r="D133" s="395">
        <f t="shared" si="24"/>
        <v>42.409929730995501</v>
      </c>
      <c r="E133" s="387">
        <f t="shared" si="45"/>
        <v>48.473058481610991</v>
      </c>
      <c r="F133" s="387">
        <f t="shared" si="25"/>
        <v>48.580703083885624</v>
      </c>
      <c r="G133" s="110">
        <f t="shared" si="46"/>
        <v>0.79121829453174564</v>
      </c>
      <c r="H133" s="414" t="b">
        <f>Wh_hp&gt;='2021'!Maxi_hp</f>
        <v>0</v>
      </c>
      <c r="I133" s="382">
        <f>IF(H133,Wh_hp,'2021'!Maxi_hp)</f>
        <v>54.803359565450826</v>
      </c>
      <c r="J133" s="85">
        <f>IF(H133,An,'2021'!An_max)</f>
        <v>2019</v>
      </c>
      <c r="K133" s="199">
        <f t="shared" si="26"/>
        <v>44680</v>
      </c>
      <c r="L133" s="147">
        <f>IF(t&lt;Tvie,1-EXP((T0-t)*PertePVj)+'2021'!Pspv,1-EXP((T0-t)*PertePVj)+Pspv)</f>
        <v>3.1311764471634529E-2</v>
      </c>
      <c r="M133" s="870"/>
      <c r="N133" s="870"/>
      <c r="O133" s="48">
        <f>IF(t&lt;Tnet,'2021'!Resal+('2021'!Salim-'2021'!Resal)*(1-EXP(('2021'!Tnet-t)/('2021'!Tau_j))),Resal+(Salim-Resal)*(1-EXP((Tnet-t)/(Tau_j))))*Salcycl</f>
        <v>0.12508244663199106</v>
      </c>
      <c r="P133" s="341">
        <f>(INDEX(Models!$BJ133:$BT133,,T133)*(1-R133)+INDEX(Models!$BJ133:$BT133,,T133+1)*R133-ERP_i)*Q133*Ramure*Pc/MaxiM</f>
        <v>3.1527891968367366E-3</v>
      </c>
      <c r="Q133" s="307">
        <f t="shared" si="27"/>
        <v>1</v>
      </c>
      <c r="R133" s="179">
        <f t="shared" si="28"/>
        <v>0.10475067496510959</v>
      </c>
      <c r="S133" s="837">
        <f t="shared" si="29"/>
        <v>0</v>
      </c>
      <c r="T133" s="178">
        <f t="shared" si="30"/>
        <v>6</v>
      </c>
      <c r="U133" s="253">
        <f t="shared" si="31"/>
        <v>0.10475067496510959</v>
      </c>
      <c r="V133" s="385">
        <f t="shared" si="32"/>
        <v>51.873700305505999</v>
      </c>
      <c r="W133" s="404"/>
      <c r="X133" s="157">
        <f t="shared" si="33"/>
        <v>44680</v>
      </c>
      <c r="Y133" s="387">
        <f t="shared" si="34"/>
        <v>39.727962860493264</v>
      </c>
      <c r="Z133" s="387">
        <f t="shared" si="35"/>
        <v>41.012124854416008</v>
      </c>
      <c r="AA133" s="388">
        <f t="shared" si="36"/>
        <v>48.473058481610991</v>
      </c>
      <c r="AB133" s="199">
        <f t="shared" si="37"/>
        <v>44680</v>
      </c>
      <c r="AC133" s="119">
        <f>IF(OR(t&lt;Tnet,NoTnet),'2021'!Resal_s+('2021'!Salim-'2021'!Resal_s)*(1-EXP(('2021'!Tnet_s-t)/'2021'!Tau_j)),Resal_s+(Salim-Resal_s)*(1-EXP((Tnet_s-t)/Tau_j)))*Salcycl</f>
        <v>0.15391918440684746</v>
      </c>
      <c r="AD133" s="233">
        <f>(INDEX(Models!$BJ133:$BT133,,AH133)*(1-AF133)+INDEX(Models!$BJ133:$BT133,,AH133+1)*AF133-ERP_i)*AE133*Ramure*Pc/MaxiM</f>
        <v>3.1527891968367366E-3</v>
      </c>
      <c r="AE133" s="307">
        <f t="shared" si="38"/>
        <v>1</v>
      </c>
      <c r="AF133" s="179">
        <f t="shared" si="39"/>
        <v>0.10475067496510959</v>
      </c>
      <c r="AG133" s="837">
        <f t="shared" si="47"/>
        <v>0</v>
      </c>
      <c r="AH133" s="178">
        <f t="shared" si="40"/>
        <v>6</v>
      </c>
      <c r="AI133" s="227">
        <f t="shared" si="41"/>
        <v>0.10475067496510959</v>
      </c>
      <c r="AJ133" s="267" t="b">
        <f t="shared" si="42"/>
        <v>1</v>
      </c>
      <c r="AK133" s="267" t="b">
        <f t="shared" si="43"/>
        <v>0</v>
      </c>
      <c r="AL133" s="267"/>
      <c r="AM133" s="267"/>
      <c r="AN133" s="75"/>
    </row>
    <row r="134" spans="1:40" s="6" customFormat="1" ht="11.25" x14ac:dyDescent="0.2">
      <c r="A134" s="56">
        <f t="shared" si="44"/>
        <v>44681</v>
      </c>
      <c r="B134" s="618">
        <v>42.902999999999999</v>
      </c>
      <c r="C134" s="866"/>
      <c r="D134" s="395">
        <f t="shared" si="24"/>
        <v>44.290822232728608</v>
      </c>
      <c r="E134" s="387">
        <f t="shared" si="45"/>
        <v>50.637607948276148</v>
      </c>
      <c r="F134" s="387">
        <f t="shared" si="25"/>
        <v>50.750880615042043</v>
      </c>
      <c r="G134" s="110">
        <f t="shared" si="46"/>
        <v>0.82352499280157521</v>
      </c>
      <c r="H134" s="414" t="b">
        <f>Wh_hp&gt;='2021'!Maxi_hp</f>
        <v>0</v>
      </c>
      <c r="I134" s="382">
        <f>IF(H134,Wh_hp,'2021'!Maxi_hp)</f>
        <v>60.871126204254288</v>
      </c>
      <c r="J134" s="85">
        <f>IF(H134,An,'2021'!An_max)</f>
        <v>2019</v>
      </c>
      <c r="K134" s="199">
        <f t="shared" si="26"/>
        <v>44681</v>
      </c>
      <c r="L134" s="147">
        <f>IF(t&lt;Tvie,1-EXP((T0-t)*PertePVj)+'2021'!Pspv,1-EXP((T0-t)*PertePVj)+Pspv)</f>
        <v>3.1334307262037675E-2</v>
      </c>
      <c r="M134" s="870"/>
      <c r="N134" s="870"/>
      <c r="O134" s="48">
        <f>IF(t&lt;Tnet,'2021'!Resal+('2021'!Salim-'2021'!Resal)*(1-EXP(('2021'!Tnet-t)/('2021'!Tau_j))),Resal+(Salim-Resal)*(1-EXP((Tnet-t)/(Tau_j))))*Salcycl</f>
        <v>0.12533739196429808</v>
      </c>
      <c r="P134" s="341">
        <f>(INDEX(Models!$BJ134:$BT134,,T134)*(1-R134)+INDEX(Models!$BJ134:$BT134,,T134+1)*R134-ERP_i)*Q134*Ramure*Pc/MaxiM</f>
        <v>2.9807761107683807E-3</v>
      </c>
      <c r="Q134" s="307">
        <f t="shared" si="27"/>
        <v>1</v>
      </c>
      <c r="R134" s="179">
        <f t="shared" si="28"/>
        <v>0.10850012088530037</v>
      </c>
      <c r="S134" s="837">
        <f t="shared" si="29"/>
        <v>0</v>
      </c>
      <c r="T134" s="178">
        <f t="shared" si="30"/>
        <v>6</v>
      </c>
      <c r="U134" s="253">
        <f t="shared" si="31"/>
        <v>0.10850012088530037</v>
      </c>
      <c r="V134" s="385">
        <f t="shared" si="32"/>
        <v>52.057680067551949</v>
      </c>
      <c r="W134" s="404"/>
      <c r="X134" s="157">
        <f t="shared" si="33"/>
        <v>44681</v>
      </c>
      <c r="Y134" s="387">
        <f t="shared" si="34"/>
        <v>41.491971271309374</v>
      </c>
      <c r="Z134" s="387">
        <f t="shared" si="35"/>
        <v>42.834149678648252</v>
      </c>
      <c r="AA134" s="388">
        <f t="shared" si="36"/>
        <v>50.637607948276148</v>
      </c>
      <c r="AB134" s="199">
        <f t="shared" si="37"/>
        <v>44681</v>
      </c>
      <c r="AC134" s="119">
        <f>IF(OR(t&lt;Tnet,NoTnet),'2021'!Resal_s+('2021'!Salim-'2021'!Resal_s)*(1-EXP(('2021'!Tnet_s-t)/'2021'!Tau_j)),Resal_s+(Salim-Resal_s)*(1-EXP((Tnet_s-t)/Tau_j)))*Salcycl</f>
        <v>0.15410400660313087</v>
      </c>
      <c r="AD134" s="233">
        <f>(INDEX(Models!$BJ134:$BT134,,AH134)*(1-AF134)+INDEX(Models!$BJ134:$BT134,,AH134+1)*AF134-ERP_i)*AE134*Ramure*Pc/MaxiM</f>
        <v>2.9807761107683807E-3</v>
      </c>
      <c r="AE134" s="307">
        <f t="shared" si="38"/>
        <v>1</v>
      </c>
      <c r="AF134" s="179">
        <f t="shared" si="39"/>
        <v>0.10850012088530037</v>
      </c>
      <c r="AG134" s="837">
        <f t="shared" si="47"/>
        <v>0</v>
      </c>
      <c r="AH134" s="178">
        <f t="shared" si="40"/>
        <v>6</v>
      </c>
      <c r="AI134" s="227">
        <f t="shared" si="41"/>
        <v>0.10850012088530037</v>
      </c>
      <c r="AJ134" s="267" t="b">
        <f t="shared" si="42"/>
        <v>1</v>
      </c>
      <c r="AK134" s="267" t="b">
        <f t="shared" si="43"/>
        <v>0</v>
      </c>
      <c r="AL134" s="267"/>
      <c r="AM134" s="267"/>
      <c r="AN134" s="75"/>
    </row>
    <row r="135" spans="1:40" s="6" customFormat="1" ht="11.25" x14ac:dyDescent="0.2">
      <c r="A135" s="56">
        <f t="shared" si="44"/>
        <v>44682</v>
      </c>
      <c r="B135" s="618">
        <v>42.316000000000003</v>
      </c>
      <c r="C135" s="866"/>
      <c r="D135" s="395">
        <f t="shared" si="24"/>
        <v>43.685850645176366</v>
      </c>
      <c r="E135" s="387">
        <f t="shared" si="45"/>
        <v>49.9606885563093</v>
      </c>
      <c r="F135" s="387">
        <f t="shared" si="25"/>
        <v>50.063225438230475</v>
      </c>
      <c r="G135" s="110">
        <f t="shared" si="46"/>
        <v>0.80952428878332505</v>
      </c>
      <c r="H135" s="414" t="b">
        <f>Wh_hp&gt;='2021'!Maxi_hp</f>
        <v>0</v>
      </c>
      <c r="I135" s="382">
        <f>IF(H135,Wh_hp,'2021'!Maxi_hp)</f>
        <v>56.86994403885685</v>
      </c>
      <c r="J135" s="85">
        <f>IF(H135,An,'2021'!An_max)</f>
        <v>2019</v>
      </c>
      <c r="K135" s="199">
        <f t="shared" si="26"/>
        <v>44682</v>
      </c>
      <c r="L135" s="147">
        <f>IF(t&lt;Tvie,1-EXP((T0-t)*PertePVj)+'2021'!Pspv,1-EXP((T0-t)*PertePVj)+Pspv)</f>
        <v>3.1356849527837127E-2</v>
      </c>
      <c r="M135" s="870"/>
      <c r="N135" s="870"/>
      <c r="O135" s="48">
        <f>IF(t&lt;Tnet,'2021'!Resal+('2021'!Salim-'2021'!Resal)*(1-EXP(('2021'!Tnet-t)/('2021'!Tau_j))),Resal+(Salim-Resal)*(1-EXP((Tnet-t)/(Tau_j))))*Salcycl</f>
        <v>0.1255955050351385</v>
      </c>
      <c r="P135" s="341">
        <f>(INDEX(Models!$BJ135:$BT135,,T135)*(1-R135)+INDEX(Models!$BJ135:$BT135,,T135+1)*R135-ERP_i)*Q135*Ramure*Pc/MaxiM</f>
        <v>2.8103946868467352E-3</v>
      </c>
      <c r="Q135" s="307">
        <f t="shared" si="27"/>
        <v>1</v>
      </c>
      <c r="R135" s="179">
        <f t="shared" si="28"/>
        <v>0.11235694274658437</v>
      </c>
      <c r="S135" s="837">
        <f t="shared" si="29"/>
        <v>0</v>
      </c>
      <c r="T135" s="178">
        <f t="shared" si="30"/>
        <v>6</v>
      </c>
      <c r="U135" s="253">
        <f t="shared" si="31"/>
        <v>0.11235694274658437</v>
      </c>
      <c r="V135" s="385">
        <f t="shared" si="32"/>
        <v>52.232748473257267</v>
      </c>
      <c r="W135" s="404"/>
      <c r="X135" s="157">
        <f t="shared" si="33"/>
        <v>44682</v>
      </c>
      <c r="Y135" s="387">
        <f t="shared" si="34"/>
        <v>40.927215718431434</v>
      </c>
      <c r="Z135" s="387">
        <f t="shared" si="35"/>
        <v>42.252108734244963</v>
      </c>
      <c r="AA135" s="388">
        <f t="shared" si="36"/>
        <v>49.9606885563093</v>
      </c>
      <c r="AB135" s="199">
        <f t="shared" si="37"/>
        <v>44682</v>
      </c>
      <c r="AC135" s="119">
        <f>IF(OR(t&lt;Tnet,NoTnet),'2021'!Resal_s+('2021'!Salim-'2021'!Resal_s)*(1-EXP(('2021'!Tnet_s-t)/'2021'!Tau_j)),Resal_s+(Salim-Resal_s)*(1-EXP((Tnet_s-t)/Tau_j)))*Salcycl</f>
        <v>0.15429290597899209</v>
      </c>
      <c r="AD135" s="233">
        <f>(INDEX(Models!$BJ135:$BT135,,AH135)*(1-AF135)+INDEX(Models!$BJ135:$BT135,,AH135+1)*AF135-ERP_i)*AE135*Ramure*Pc/MaxiM</f>
        <v>2.8103946868467352E-3</v>
      </c>
      <c r="AE135" s="307">
        <f t="shared" si="38"/>
        <v>1</v>
      </c>
      <c r="AF135" s="179">
        <f t="shared" si="39"/>
        <v>0.11235694274658437</v>
      </c>
      <c r="AG135" s="837">
        <f t="shared" si="47"/>
        <v>0</v>
      </c>
      <c r="AH135" s="178">
        <f t="shared" si="40"/>
        <v>6</v>
      </c>
      <c r="AI135" s="227">
        <f t="shared" si="41"/>
        <v>0.11235694274658437</v>
      </c>
      <c r="AJ135" s="267" t="b">
        <f t="shared" si="42"/>
        <v>1</v>
      </c>
      <c r="AK135" s="267" t="b">
        <f t="shared" si="43"/>
        <v>0</v>
      </c>
      <c r="AL135" s="267"/>
      <c r="AM135" s="267"/>
      <c r="AN135" s="75"/>
    </row>
    <row r="136" spans="1:40" s="6" customFormat="1" ht="11.25" x14ac:dyDescent="0.2">
      <c r="A136" s="56">
        <f t="shared" si="44"/>
        <v>44683</v>
      </c>
      <c r="B136" s="618">
        <v>25.867000000000001</v>
      </c>
      <c r="C136" s="866"/>
      <c r="D136" s="395">
        <f t="shared" si="24"/>
        <v>26.704986211154267</v>
      </c>
      <c r="E136" s="387">
        <f t="shared" si="45"/>
        <v>30.549896985965692</v>
      </c>
      <c r="F136" s="387">
        <f t="shared" si="25"/>
        <v>30.572270555525556</v>
      </c>
      <c r="G136" s="110">
        <f t="shared" si="46"/>
        <v>0.49271138951633275</v>
      </c>
      <c r="H136" s="414" t="b">
        <f>Wh_hp&gt;='2021'!Maxi_hp</f>
        <v>0</v>
      </c>
      <c r="I136" s="382">
        <f>IF(H136,Wh_hp,'2021'!Maxi_hp)</f>
        <v>39.790318251802034</v>
      </c>
      <c r="J136" s="85">
        <f>IF(H136,An,'2021'!An_max)</f>
        <v>2021</v>
      </c>
      <c r="K136" s="199">
        <f t="shared" si="26"/>
        <v>44683</v>
      </c>
      <c r="L136" s="147">
        <f>IF(t&lt;Tvie,1-EXP((T0-t)*PertePVj)+'2021'!Pspv,1-EXP((T0-t)*PertePVj)+Pspv)</f>
        <v>3.1379391269045209E-2</v>
      </c>
      <c r="M136" s="870"/>
      <c r="N136" s="870"/>
      <c r="O136" s="48">
        <f>IF(t&lt;Tnet,'2021'!Resal+('2021'!Salim-'2021'!Resal)*(1-EXP(('2021'!Tnet-t)/('2021'!Tau_j))),Resal+(Salim-Resal)*(1-EXP((Tnet-t)/(Tau_j))))*Salcycl</f>
        <v>0.12585675089437248</v>
      </c>
      <c r="P136" s="341">
        <f>(INDEX(Models!$BJ136:$BT136,,T136)*(1-R136)+INDEX(Models!$BJ136:$BT136,,T136+1)*R136-ERP_i)*Q136*Ramure*Pc/MaxiM</f>
        <v>2.6452891612580329E-3</v>
      </c>
      <c r="Q136" s="307">
        <f t="shared" si="27"/>
        <v>1</v>
      </c>
      <c r="R136" s="179">
        <f t="shared" si="28"/>
        <v>0.11632242235619349</v>
      </c>
      <c r="S136" s="837">
        <f t="shared" si="29"/>
        <v>0</v>
      </c>
      <c r="T136" s="178">
        <f t="shared" si="30"/>
        <v>6</v>
      </c>
      <c r="U136" s="253">
        <f t="shared" si="31"/>
        <v>0.11632242235619349</v>
      </c>
      <c r="V136" s="385">
        <f t="shared" si="32"/>
        <v>52.398764749847729</v>
      </c>
      <c r="W136" s="404"/>
      <c r="X136" s="157">
        <f t="shared" si="33"/>
        <v>44683</v>
      </c>
      <c r="Y136" s="387">
        <f t="shared" si="34"/>
        <v>25.019829505886875</v>
      </c>
      <c r="Z136" s="387">
        <f t="shared" si="35"/>
        <v>25.83037081842269</v>
      </c>
      <c r="AA136" s="388">
        <f t="shared" si="36"/>
        <v>30.549896985965692</v>
      </c>
      <c r="AB136" s="199">
        <f t="shared" si="37"/>
        <v>44683</v>
      </c>
      <c r="AC136" s="119">
        <f>IF(OR(t&lt;Tnet,NoTnet),'2021'!Resal_s+('2021'!Salim-'2021'!Resal_s)*(1-EXP(('2021'!Tnet_s-t)/'2021'!Tau_j)),Resal_s+(Salim-Resal_s)*(1-EXP((Tnet_s-t)/Tau_j)))*Salcycl</f>
        <v>0.1544858291899022</v>
      </c>
      <c r="AD136" s="233">
        <f>(INDEX(Models!$BJ136:$BT136,,AH136)*(1-AF136)+INDEX(Models!$BJ136:$BT136,,AH136+1)*AF136-ERP_i)*AE136*Ramure*Pc/MaxiM</f>
        <v>2.6452891612580329E-3</v>
      </c>
      <c r="AE136" s="307">
        <f t="shared" si="38"/>
        <v>1</v>
      </c>
      <c r="AF136" s="179">
        <f t="shared" si="39"/>
        <v>0.11632242235619349</v>
      </c>
      <c r="AG136" s="837">
        <f t="shared" si="47"/>
        <v>0</v>
      </c>
      <c r="AH136" s="178">
        <f t="shared" si="40"/>
        <v>6</v>
      </c>
      <c r="AI136" s="227">
        <f t="shared" si="41"/>
        <v>0.11632242235619349</v>
      </c>
      <c r="AJ136" s="267" t="b">
        <f t="shared" si="42"/>
        <v>1</v>
      </c>
      <c r="AK136" s="267" t="b">
        <f t="shared" si="43"/>
        <v>0</v>
      </c>
      <c r="AL136" s="267"/>
      <c r="AM136" s="267"/>
      <c r="AN136" s="75"/>
    </row>
    <row r="137" spans="1:40" s="6" customFormat="1" ht="11.25" x14ac:dyDescent="0.2">
      <c r="A137" s="56">
        <f t="shared" si="44"/>
        <v>44684</v>
      </c>
      <c r="B137" s="618">
        <v>30.568000000000001</v>
      </c>
      <c r="C137" s="866"/>
      <c r="D137" s="395">
        <f t="shared" si="24"/>
        <v>31.559014027815916</v>
      </c>
      <c r="E137" s="387">
        <f t="shared" si="45"/>
        <v>36.113715015972488</v>
      </c>
      <c r="F137" s="387">
        <f t="shared" si="25"/>
        <v>36.149883783492278</v>
      </c>
      <c r="G137" s="110">
        <f t="shared" si="46"/>
        <v>0.58076142572839518</v>
      </c>
      <c r="H137" s="414" t="b">
        <f>Wh_hp&gt;='2021'!Maxi_hp</f>
        <v>0</v>
      </c>
      <c r="I137" s="382">
        <f>IF(H137,Wh_hp,'2021'!Maxi_hp)</f>
        <v>59.817954676163886</v>
      </c>
      <c r="J137" s="85">
        <f>IF(H137,An,'2021'!An_max)</f>
        <v>2021</v>
      </c>
      <c r="K137" s="199">
        <f t="shared" si="26"/>
        <v>44684</v>
      </c>
      <c r="L137" s="147">
        <f>IF(t&lt;Tvie,1-EXP((T0-t)*PertePVj)+'2021'!Pspv,1-EXP((T0-t)*PertePVj)+Pspv)</f>
        <v>3.1401932485674022E-2</v>
      </c>
      <c r="M137" s="870"/>
      <c r="N137" s="870"/>
      <c r="O137" s="48">
        <f>IF(t&lt;Tnet,'2021'!Resal+('2021'!Salim-'2021'!Resal)*(1-EXP(('2021'!Tnet-t)/('2021'!Tau_j))),Resal+(Salim-Resal)*(1-EXP((Tnet-t)/(Tau_j))))*Salcycl</f>
        <v>0.12612108685418011</v>
      </c>
      <c r="P137" s="341">
        <f>(INDEX(Models!$BJ137:$BT137,,T137)*(1-R137)+INDEX(Models!$BJ137:$BT137,,T137+1)*R137-ERP_i)*Q137*Ramure*Pc/MaxiM</f>
        <v>2.4868574354050383E-3</v>
      </c>
      <c r="Q137" s="307">
        <f t="shared" si="27"/>
        <v>1</v>
      </c>
      <c r="R137" s="179">
        <f t="shared" si="28"/>
        <v>0.12039772612798276</v>
      </c>
      <c r="S137" s="837">
        <f t="shared" si="29"/>
        <v>0</v>
      </c>
      <c r="T137" s="178">
        <f t="shared" si="30"/>
        <v>6</v>
      </c>
      <c r="U137" s="253">
        <f t="shared" si="31"/>
        <v>0.12039772612798276</v>
      </c>
      <c r="V137" s="385">
        <f t="shared" si="32"/>
        <v>52.556039113635542</v>
      </c>
      <c r="W137" s="404"/>
      <c r="X137" s="157">
        <f t="shared" si="33"/>
        <v>44684</v>
      </c>
      <c r="Y137" s="387">
        <f t="shared" si="34"/>
        <v>29.568923589166037</v>
      </c>
      <c r="Z137" s="387">
        <f t="shared" si="35"/>
        <v>30.527547577136477</v>
      </c>
      <c r="AA137" s="388">
        <f t="shared" si="36"/>
        <v>36.113715015972488</v>
      </c>
      <c r="AB137" s="199">
        <f t="shared" si="37"/>
        <v>44684</v>
      </c>
      <c r="AC137" s="119">
        <f>IF(OR(t&lt;Tnet,NoTnet),'2021'!Resal_s+('2021'!Salim-'2021'!Resal_s)*(1-EXP(('2021'!Tnet_s-t)/'2021'!Tau_j)),Resal_s+(Salim-Resal_s)*(1-EXP((Tnet_s-t)/Tau_j)))*Salcycl</f>
        <v>0.15468271365505715</v>
      </c>
      <c r="AD137" s="233">
        <f>(INDEX(Models!$BJ137:$BT137,,AH137)*(1-AF137)+INDEX(Models!$BJ137:$BT137,,AH137+1)*AF137-ERP_i)*AE137*Ramure*Pc/MaxiM</f>
        <v>2.4868574354050383E-3</v>
      </c>
      <c r="AE137" s="307">
        <f t="shared" si="38"/>
        <v>1</v>
      </c>
      <c r="AF137" s="179">
        <f t="shared" si="39"/>
        <v>0.12039772612798276</v>
      </c>
      <c r="AG137" s="837">
        <f t="shared" si="47"/>
        <v>0</v>
      </c>
      <c r="AH137" s="178">
        <f t="shared" si="40"/>
        <v>6</v>
      </c>
      <c r="AI137" s="227">
        <f t="shared" si="41"/>
        <v>0.12039772612798276</v>
      </c>
      <c r="AJ137" s="267" t="b">
        <f t="shared" si="42"/>
        <v>1</v>
      </c>
      <c r="AK137" s="267" t="b">
        <f t="shared" si="43"/>
        <v>0</v>
      </c>
      <c r="AL137" s="267"/>
      <c r="AM137" s="267"/>
      <c r="AN137" s="75"/>
    </row>
    <row r="138" spans="1:40" s="6" customFormat="1" ht="11.25" x14ac:dyDescent="0.2">
      <c r="A138" s="56">
        <f t="shared" si="44"/>
        <v>44685</v>
      </c>
      <c r="B138" s="618">
        <v>0.77600000000000002</v>
      </c>
      <c r="C138" s="866"/>
      <c r="D138" s="395">
        <f t="shared" si="24"/>
        <v>0.80117655103874807</v>
      </c>
      <c r="E138" s="387">
        <f t="shared" si="45"/>
        <v>0.91708558832407383</v>
      </c>
      <c r="F138" s="387">
        <f t="shared" si="25"/>
        <v>0.91708558832407383</v>
      </c>
      <c r="G138" s="110">
        <f t="shared" si="46"/>
        <v>1.4689092412221327E-2</v>
      </c>
      <c r="H138" s="414" t="b">
        <f>Wh_hp&gt;='2021'!Maxi_hp</f>
        <v>0</v>
      </c>
      <c r="I138" s="382">
        <f>IF(H138,Wh_hp,'2021'!Maxi_hp)</f>
        <v>56.704587051571465</v>
      </c>
      <c r="J138" s="85">
        <f>IF(H138,An,'2021'!An_max)</f>
        <v>2020</v>
      </c>
      <c r="K138" s="199">
        <f t="shared" si="26"/>
        <v>44685</v>
      </c>
      <c r="L138" s="147">
        <f>IF(t&lt;Tvie,1-EXP((T0-t)*PertePVj)+'2021'!Pspv,1-EXP((T0-t)*PertePVj)+Pspv)</f>
        <v>3.1424473177735779E-2</v>
      </c>
      <c r="M138" s="870"/>
      <c r="N138" s="870"/>
      <c r="O138" s="48">
        <f>IF(t&lt;Tnet,'2021'!Resal+('2021'!Salim-'2021'!Resal)*(1-EXP(('2021'!Tnet-t)/('2021'!Tau_j))),Resal+(Salim-Resal)*(1-EXP((Tnet-t)/(Tau_j))))*Salcycl</f>
        <v>0.12638846227770684</v>
      </c>
      <c r="P138" s="341">
        <f>(INDEX(Models!$BJ138:$BT138,,T138)*(1-R138)+INDEX(Models!$BJ138:$BT138,,T138+1)*R138-ERP_i)*Q138*Ramure*Pc/MaxiM</f>
        <v>2.3349222740345096E-3</v>
      </c>
      <c r="Q138" s="307">
        <f t="shared" si="27"/>
        <v>1</v>
      </c>
      <c r="R138" s="179">
        <f t="shared" si="28"/>
        <v>0.12458389541078933</v>
      </c>
      <c r="S138" s="837">
        <f t="shared" si="29"/>
        <v>0</v>
      </c>
      <c r="T138" s="178">
        <f t="shared" si="30"/>
        <v>6</v>
      </c>
      <c r="U138" s="253">
        <f t="shared" si="31"/>
        <v>0.12458389541078933</v>
      </c>
      <c r="V138" s="385">
        <f t="shared" si="32"/>
        <v>52.704964921537609</v>
      </c>
      <c r="W138" s="404"/>
      <c r="X138" s="157">
        <f t="shared" si="33"/>
        <v>44685</v>
      </c>
      <c r="Y138" s="387">
        <f t="shared" si="34"/>
        <v>0.75068881935630782</v>
      </c>
      <c r="Z138" s="387">
        <f t="shared" si="35"/>
        <v>0.77504417422066552</v>
      </c>
      <c r="AA138" s="388">
        <f t="shared" si="36"/>
        <v>0.91708558832407383</v>
      </c>
      <c r="AB138" s="199">
        <f t="shared" si="37"/>
        <v>44685</v>
      </c>
      <c r="AC138" s="119">
        <f>IF(OR(t&lt;Tnet,NoTnet),'2021'!Resal_s+('2021'!Salim-'2021'!Resal_s)*(1-EXP(('2021'!Tnet_s-t)/'2021'!Tau_j)),Resal_s+(Salim-Resal_s)*(1-EXP((Tnet_s-t)/Tau_j)))*Salcycl</f>
        <v>0.15488348733402485</v>
      </c>
      <c r="AD138" s="233">
        <f>(INDEX(Models!$BJ138:$BT138,,AH138)*(1-AF138)+INDEX(Models!$BJ138:$BT138,,AH138+1)*AF138-ERP_i)*AE138*Ramure*Pc/MaxiM</f>
        <v>2.3349222740345096E-3</v>
      </c>
      <c r="AE138" s="307">
        <f t="shared" si="38"/>
        <v>1</v>
      </c>
      <c r="AF138" s="179">
        <f t="shared" si="39"/>
        <v>0.12458389541078933</v>
      </c>
      <c r="AG138" s="837">
        <f t="shared" si="47"/>
        <v>0</v>
      </c>
      <c r="AH138" s="178">
        <f t="shared" si="40"/>
        <v>6</v>
      </c>
      <c r="AI138" s="227">
        <f t="shared" si="41"/>
        <v>0.12458389541078933</v>
      </c>
      <c r="AJ138" s="267" t="b">
        <f t="shared" si="42"/>
        <v>1</v>
      </c>
      <c r="AK138" s="267" t="b">
        <f t="shared" si="43"/>
        <v>0</v>
      </c>
      <c r="AL138" s="267"/>
      <c r="AM138" s="267"/>
      <c r="AN138" s="75"/>
    </row>
    <row r="139" spans="1:40" s="6" customFormat="1" ht="11.25" x14ac:dyDescent="0.2">
      <c r="A139" s="56">
        <f t="shared" si="44"/>
        <v>44686</v>
      </c>
      <c r="B139" s="618">
        <v>35.660000000000004</v>
      </c>
      <c r="C139" s="866"/>
      <c r="D139" s="395">
        <f t="shared" si="24"/>
        <v>36.817810167685835</v>
      </c>
      <c r="E139" s="387">
        <f t="shared" si="45"/>
        <v>42.15741905079809</v>
      </c>
      <c r="F139" s="387">
        <f t="shared" si="25"/>
        <v>42.206893880698352</v>
      </c>
      <c r="G139" s="110">
        <f t="shared" si="46"/>
        <v>0.67410457233055476</v>
      </c>
      <c r="H139" s="414" t="b">
        <f>Wh_hp&gt;='2021'!Maxi_hp</f>
        <v>0</v>
      </c>
      <c r="I139" s="382">
        <f>IF(H139,Wh_hp,'2021'!Maxi_hp)</f>
        <v>59.050028688885625</v>
      </c>
      <c r="J139" s="85">
        <f>IF(H139,An,'2021'!An_max)</f>
        <v>2020</v>
      </c>
      <c r="K139" s="199">
        <f t="shared" si="26"/>
        <v>44686</v>
      </c>
      <c r="L139" s="147">
        <f>IF(t&lt;Tvie,1-EXP((T0-t)*PertePVj)+'2021'!Pspv,1-EXP((T0-t)*PertePVj)+Pspv)</f>
        <v>3.1447013345242691E-2</v>
      </c>
      <c r="M139" s="870"/>
      <c r="N139" s="870"/>
      <c r="O139" s="48">
        <f>IF(t&lt;Tnet,'2021'!Resal+('2021'!Salim-'2021'!Resal)*(1-EXP(('2021'!Tnet-t)/('2021'!Tau_j))),Resal+(Salim-Resal)*(1-EXP((Tnet-t)/(Tau_j))))*Salcycl</f>
        <v>0.12665881838445162</v>
      </c>
      <c r="P139" s="341">
        <f>(INDEX(Models!$BJ139:$BT139,,T139)*(1-R139)+INDEX(Models!$BJ139:$BT139,,T139+1)*R139-ERP_i)*Q139*Ramure*Pc/MaxiM</f>
        <v>2.1893185996215004E-3</v>
      </c>
      <c r="Q139" s="307">
        <f t="shared" si="27"/>
        <v>1</v>
      </c>
      <c r="R139" s="179">
        <f t="shared" si="28"/>
        <v>0.12888183670399628</v>
      </c>
      <c r="S139" s="837">
        <f t="shared" si="29"/>
        <v>0</v>
      </c>
      <c r="T139" s="178">
        <f t="shared" si="30"/>
        <v>6</v>
      </c>
      <c r="U139" s="253">
        <f t="shared" si="31"/>
        <v>0.12888183670399628</v>
      </c>
      <c r="V139" s="385">
        <f t="shared" si="32"/>
        <v>52.845935734383062</v>
      </c>
      <c r="W139" s="404"/>
      <c r="X139" s="157">
        <f t="shared" si="33"/>
        <v>44686</v>
      </c>
      <c r="Y139" s="387">
        <f t="shared" si="34"/>
        <v>34.499185553896233</v>
      </c>
      <c r="Z139" s="387">
        <f t="shared" si="35"/>
        <v>35.619306356228847</v>
      </c>
      <c r="AA139" s="388">
        <f t="shared" si="36"/>
        <v>42.15741905079809</v>
      </c>
      <c r="AB139" s="199">
        <f t="shared" si="37"/>
        <v>44686</v>
      </c>
      <c r="AC139" s="119">
        <f>IF(OR(t&lt;Tnet,NoTnet),'2021'!Resal_s+('2021'!Salim-'2021'!Resal_s)*(1-EXP(('2021'!Tnet_s-t)/'2021'!Tau_j)),Resal_s+(Salim-Resal_s)*(1-EXP((Tnet_s-t)/Tau_j)))*Salcycl</f>
        <v>0.15508806852457124</v>
      </c>
      <c r="AD139" s="233">
        <f>(INDEX(Models!$BJ139:$BT139,,AH139)*(1-AF139)+INDEX(Models!$BJ139:$BT139,,AH139+1)*AF139-ERP_i)*AE139*Ramure*Pc/MaxiM</f>
        <v>2.1893185996215004E-3</v>
      </c>
      <c r="AE139" s="307">
        <f t="shared" si="38"/>
        <v>1</v>
      </c>
      <c r="AF139" s="179">
        <f t="shared" si="39"/>
        <v>0.12888183670399628</v>
      </c>
      <c r="AG139" s="837">
        <f t="shared" si="47"/>
        <v>0</v>
      </c>
      <c r="AH139" s="178">
        <f t="shared" si="40"/>
        <v>6</v>
      </c>
      <c r="AI139" s="227">
        <f t="shared" si="41"/>
        <v>0.12888183670399628</v>
      </c>
      <c r="AJ139" s="267" t="b">
        <f t="shared" si="42"/>
        <v>1</v>
      </c>
      <c r="AK139" s="267" t="b">
        <f t="shared" si="43"/>
        <v>0</v>
      </c>
      <c r="AL139" s="267"/>
      <c r="AM139" s="267"/>
      <c r="AN139" s="75"/>
    </row>
    <row r="140" spans="1:40" s="6" customFormat="1" ht="11.25" x14ac:dyDescent="0.2">
      <c r="A140" s="56">
        <f t="shared" si="44"/>
        <v>44687</v>
      </c>
      <c r="B140" s="618">
        <v>33.054000000000002</v>
      </c>
      <c r="C140" s="866"/>
      <c r="D140" s="395">
        <f t="shared" si="24"/>
        <v>34.127992673830242</v>
      </c>
      <c r="E140" s="387">
        <f t="shared" si="45"/>
        <v>39.089734266603273</v>
      </c>
      <c r="F140" s="387">
        <f t="shared" si="25"/>
        <v>39.126847056237835</v>
      </c>
      <c r="G140" s="110">
        <f t="shared" si="46"/>
        <v>0.62321571975148915</v>
      </c>
      <c r="H140" s="414" t="b">
        <f>Wh_hp&gt;='2021'!Maxi_hp</f>
        <v>0</v>
      </c>
      <c r="I140" s="382">
        <f>IF(H140,Wh_hp,'2021'!Maxi_hp)</f>
        <v>64.356840251433624</v>
      </c>
      <c r="J140" s="85">
        <f>IF(H140,An,'2021'!An_max)</f>
        <v>2019</v>
      </c>
      <c r="K140" s="199">
        <f t="shared" si="26"/>
        <v>44687</v>
      </c>
      <c r="L140" s="147">
        <f>IF(t&lt;Tvie,1-EXP((T0-t)*PertePVj)+'2021'!Pspv,1-EXP((T0-t)*PertePVj)+Pspv)</f>
        <v>3.1469552988206972E-2</v>
      </c>
      <c r="M140" s="870"/>
      <c r="N140" s="870"/>
      <c r="O140" s="48">
        <f>IF(t&lt;Tnet,'2021'!Resal+('2021'!Salim-'2021'!Resal)*(1-EXP(('2021'!Tnet-t)/('2021'!Tau_j))),Resal+(Salim-Resal)*(1-EXP((Tnet-t)/(Tau_j))))*Salcycl</f>
        <v>0.12693208807541434</v>
      </c>
      <c r="P140" s="341">
        <f>(INDEX(Models!$BJ140:$BT140,,T140)*(1-R140)+INDEX(Models!$BJ140:$BT140,,T140+1)*R140-ERP_i)*Q140*Ramure*Pc/MaxiM</f>
        <v>2.0498926600150706E-3</v>
      </c>
      <c r="Q140" s="307">
        <f t="shared" si="27"/>
        <v>1</v>
      </c>
      <c r="R140" s="179">
        <f t="shared" si="28"/>
        <v>0.13329231180987422</v>
      </c>
      <c r="S140" s="837">
        <f t="shared" si="29"/>
        <v>0</v>
      </c>
      <c r="T140" s="178">
        <f t="shared" si="30"/>
        <v>6</v>
      </c>
      <c r="U140" s="253">
        <f t="shared" si="31"/>
        <v>0.13329231180987422</v>
      </c>
      <c r="V140" s="385">
        <f t="shared" si="32"/>
        <v>52.979345322932176</v>
      </c>
      <c r="W140" s="404"/>
      <c r="X140" s="157">
        <f t="shared" si="33"/>
        <v>44687</v>
      </c>
      <c r="Y140" s="387">
        <f t="shared" si="34"/>
        <v>31.980139857725504</v>
      </c>
      <c r="Z140" s="387">
        <f t="shared" si="35"/>
        <v>33.019240599398636</v>
      </c>
      <c r="AA140" s="388">
        <f t="shared" si="36"/>
        <v>39.089734266603273</v>
      </c>
      <c r="AB140" s="199">
        <f t="shared" si="37"/>
        <v>44687</v>
      </c>
      <c r="AC140" s="119">
        <f>IF(OR(t&lt;Tnet,NoTnet),'2021'!Resal_s+('2021'!Salim-'2021'!Resal_s)*(1-EXP(('2021'!Tnet_s-t)/'2021'!Tau_j)),Resal_s+(Salim-Resal_s)*(1-EXP((Tnet_s-t)/Tau_j)))*Salcycl</f>
        <v>0.15529636568522354</v>
      </c>
      <c r="AD140" s="233">
        <f>(INDEX(Models!$BJ140:$BT140,,AH140)*(1-AF140)+INDEX(Models!$BJ140:$BT140,,AH140+1)*AF140-ERP_i)*AE140*Ramure*Pc/MaxiM</f>
        <v>2.0498926600150706E-3</v>
      </c>
      <c r="AE140" s="307">
        <f t="shared" si="38"/>
        <v>1</v>
      </c>
      <c r="AF140" s="179">
        <f t="shared" si="39"/>
        <v>0.13329231180987422</v>
      </c>
      <c r="AG140" s="837">
        <f t="shared" si="47"/>
        <v>0</v>
      </c>
      <c r="AH140" s="178">
        <f t="shared" si="40"/>
        <v>6</v>
      </c>
      <c r="AI140" s="227">
        <f t="shared" si="41"/>
        <v>0.13329231180987422</v>
      </c>
      <c r="AJ140" s="267" t="b">
        <f t="shared" si="42"/>
        <v>1</v>
      </c>
      <c r="AK140" s="267" t="b">
        <f t="shared" si="43"/>
        <v>0</v>
      </c>
      <c r="AL140" s="267"/>
      <c r="AM140" s="267"/>
      <c r="AN140" s="75"/>
    </row>
    <row r="141" spans="1:40" s="6" customFormat="1" ht="11.25" x14ac:dyDescent="0.2">
      <c r="A141" s="56">
        <f t="shared" si="44"/>
        <v>44688</v>
      </c>
      <c r="B141" s="618">
        <v>45.404000000000003</v>
      </c>
      <c r="C141" s="866"/>
      <c r="D141" s="395">
        <f t="shared" si="24"/>
        <v>46.880360635113547</v>
      </c>
      <c r="E141" s="387">
        <f t="shared" si="45"/>
        <v>53.713108221801185</v>
      </c>
      <c r="F141" s="387">
        <f t="shared" si="25"/>
        <v>53.794846578532855</v>
      </c>
      <c r="G141" s="110">
        <f t="shared" si="46"/>
        <v>0.85463595580803642</v>
      </c>
      <c r="H141" s="414" t="b">
        <f>Wh_hp&gt;='2021'!Maxi_hp</f>
        <v>0</v>
      </c>
      <c r="I141" s="382">
        <f>IF(H141,Wh_hp,'2021'!Maxi_hp)</f>
        <v>59.662433655928183</v>
      </c>
      <c r="J141" s="85">
        <f>IF(H141,An,'2021'!An_max)</f>
        <v>2020</v>
      </c>
      <c r="K141" s="199">
        <f t="shared" si="26"/>
        <v>44688</v>
      </c>
      <c r="L141" s="147">
        <f>IF(t&lt;Tvie,1-EXP((T0-t)*PertePVj)+'2021'!Pspv,1-EXP((T0-t)*PertePVj)+Pspv)</f>
        <v>3.1492092106640945E-2</v>
      </c>
      <c r="M141" s="870"/>
      <c r="N141" s="870"/>
      <c r="O141" s="48">
        <f>IF(t&lt;Tnet,'2021'!Resal+('2021'!Salim-'2021'!Resal)*(1-EXP(('2021'!Tnet-t)/('2021'!Tau_j))),Resal+(Salim-Resal)*(1-EXP((Tnet-t)/(Tau_j))))*Salcycl</f>
        <v>0.12720819578105053</v>
      </c>
      <c r="P141" s="341">
        <f>(INDEX(Models!$BJ141:$BT141,,T141)*(1-R141)+INDEX(Models!$BJ141:$BT141,,T141+1)*R141-ERP_i)*Q141*Ramure*Pc/MaxiM</f>
        <v>1.9165012621928539E-3</v>
      </c>
      <c r="Q141" s="307">
        <f t="shared" si="27"/>
        <v>1</v>
      </c>
      <c r="R141" s="179">
        <f t="shared" si="28"/>
        <v>0.13781592797708747</v>
      </c>
      <c r="S141" s="837">
        <f t="shared" si="29"/>
        <v>0</v>
      </c>
      <c r="T141" s="178">
        <f t="shared" si="30"/>
        <v>6</v>
      </c>
      <c r="U141" s="253">
        <f t="shared" si="31"/>
        <v>0.13781592797708747</v>
      </c>
      <c r="V141" s="385">
        <f t="shared" si="32"/>
        <v>53.105587652625616</v>
      </c>
      <c r="W141" s="404"/>
      <c r="X141" s="157">
        <f t="shared" si="33"/>
        <v>44688</v>
      </c>
      <c r="Y141" s="387">
        <f t="shared" si="34"/>
        <v>43.931785326986052</v>
      </c>
      <c r="Z141" s="387">
        <f t="shared" si="35"/>
        <v>45.360275294544437</v>
      </c>
      <c r="AA141" s="388">
        <f t="shared" si="36"/>
        <v>53.713108221801185</v>
      </c>
      <c r="AB141" s="199">
        <f t="shared" si="37"/>
        <v>44688</v>
      </c>
      <c r="AC141" s="119">
        <f>IF(OR(t&lt;Tnet,NoTnet),'2021'!Resal_s+('2021'!Salim-'2021'!Resal_s)*(1-EXP(('2021'!Tnet_s-t)/'2021'!Tau_j)),Resal_s+(Salim-Resal_s)*(1-EXP((Tnet_s-t)/Tau_j)))*Salcycl</f>
        <v>0.15550827728614819</v>
      </c>
      <c r="AD141" s="233">
        <f>(INDEX(Models!$BJ141:$BT141,,AH141)*(1-AF141)+INDEX(Models!$BJ141:$BT141,,AH141+1)*AF141-ERP_i)*AE141*Ramure*Pc/MaxiM</f>
        <v>1.9165012621928539E-3</v>
      </c>
      <c r="AE141" s="307">
        <f t="shared" si="38"/>
        <v>1</v>
      </c>
      <c r="AF141" s="179">
        <f t="shared" si="39"/>
        <v>0.13781592797708747</v>
      </c>
      <c r="AG141" s="837">
        <f t="shared" si="47"/>
        <v>0</v>
      </c>
      <c r="AH141" s="178">
        <f t="shared" si="40"/>
        <v>6</v>
      </c>
      <c r="AI141" s="227">
        <f t="shared" si="41"/>
        <v>0.13781592797708747</v>
      </c>
      <c r="AJ141" s="267" t="b">
        <f t="shared" si="42"/>
        <v>1</v>
      </c>
      <c r="AK141" s="267" t="b">
        <f t="shared" si="43"/>
        <v>0</v>
      </c>
      <c r="AL141" s="267"/>
      <c r="AM141" s="267"/>
      <c r="AN141" s="75"/>
    </row>
    <row r="142" spans="1:40" s="6" customFormat="1" ht="11.25" x14ac:dyDescent="0.2">
      <c r="A142" s="56">
        <f t="shared" si="44"/>
        <v>44689</v>
      </c>
      <c r="B142" s="618">
        <v>46.183999999999997</v>
      </c>
      <c r="C142" s="866"/>
      <c r="D142" s="395">
        <f t="shared" si="24"/>
        <v>47.686832929037763</v>
      </c>
      <c r="E142" s="387">
        <f t="shared" si="45"/>
        <v>54.65458516109522</v>
      </c>
      <c r="F142" s="387">
        <f t="shared" si="25"/>
        <v>54.734129661247451</v>
      </c>
      <c r="G142" s="110">
        <f t="shared" si="46"/>
        <v>0.86741987958908162</v>
      </c>
      <c r="H142" s="414" t="b">
        <f>Wh_hp&gt;='2021'!Maxi_hp</f>
        <v>0</v>
      </c>
      <c r="I142" s="382">
        <f>IF(H142,Wh_hp,'2021'!Maxi_hp)</f>
        <v>57.592377924413015</v>
      </c>
      <c r="J142" s="85">
        <f>IF(H142,An,'2021'!An_max)</f>
        <v>2021</v>
      </c>
      <c r="K142" s="199">
        <f t="shared" si="26"/>
        <v>44689</v>
      </c>
      <c r="L142" s="147">
        <f>IF(t&lt;Tvie,1-EXP((T0-t)*PertePVj)+'2021'!Pspv,1-EXP((T0-t)*PertePVj)+Pspv)</f>
        <v>3.1514630700556601E-2</v>
      </c>
      <c r="M142" s="870"/>
      <c r="N142" s="870"/>
      <c r="O142" s="48">
        <f>IF(t&lt;Tnet,'2021'!Resal+('2021'!Salim-'2021'!Resal)*(1-EXP(('2021'!Tnet-t)/('2021'!Tau_j))),Resal+(Salim-Resal)*(1-EXP((Tnet-t)/(Tau_j))))*Salcycl</f>
        <v>0.1274870573350782</v>
      </c>
      <c r="P142" s="341">
        <f>(INDEX(Models!$BJ142:$BT142,,T142)*(1-R142)+INDEX(Models!$BJ142:$BT142,,T142+1)*R142-ERP_i)*Q142*Ramure*Pc/MaxiM</f>
        <v>1.7919267922277063E-3</v>
      </c>
      <c r="Q142" s="307">
        <f t="shared" si="27"/>
        <v>1</v>
      </c>
      <c r="R142" s="179">
        <f t="shared" si="28"/>
        <v>0.14245312809447361</v>
      </c>
      <c r="S142" s="837">
        <f t="shared" si="29"/>
        <v>0</v>
      </c>
      <c r="T142" s="178">
        <f t="shared" si="30"/>
        <v>6</v>
      </c>
      <c r="U142" s="253">
        <f t="shared" si="31"/>
        <v>0.14245312809447361</v>
      </c>
      <c r="V142" s="385">
        <f t="shared" si="32"/>
        <v>53.224901422553977</v>
      </c>
      <c r="W142" s="404"/>
      <c r="X142" s="157">
        <f t="shared" si="33"/>
        <v>44689</v>
      </c>
      <c r="Y142" s="387">
        <f t="shared" si="34"/>
        <v>44.689373780299192</v>
      </c>
      <c r="Z142" s="387">
        <f t="shared" si="35"/>
        <v>46.143571391920332</v>
      </c>
      <c r="AA142" s="388">
        <f t="shared" si="36"/>
        <v>54.65458516109522</v>
      </c>
      <c r="AB142" s="199">
        <f t="shared" si="37"/>
        <v>44689</v>
      </c>
      <c r="AC142" s="119">
        <f>IF(OR(t&lt;Tnet,NoTnet),'2021'!Resal_s+('2021'!Salim-'2021'!Resal_s)*(1-EXP(('2021'!Tnet_s-t)/'2021'!Tau_j)),Resal_s+(Salim-Resal_s)*(1-EXP((Tnet_s-t)/Tau_j)))*Salcycl</f>
        <v>0.1557236916918964</v>
      </c>
      <c r="AD142" s="233">
        <f>(INDEX(Models!$BJ142:$BT142,,AH142)*(1-AF142)+INDEX(Models!$BJ142:$BT142,,AH142+1)*AF142-ERP_i)*AE142*Ramure*Pc/MaxiM</f>
        <v>1.7919267922277063E-3</v>
      </c>
      <c r="AE142" s="307">
        <f t="shared" si="38"/>
        <v>1</v>
      </c>
      <c r="AF142" s="179">
        <f t="shared" si="39"/>
        <v>0.14245312809447361</v>
      </c>
      <c r="AG142" s="837">
        <f t="shared" si="47"/>
        <v>0</v>
      </c>
      <c r="AH142" s="178">
        <f t="shared" si="40"/>
        <v>6</v>
      </c>
      <c r="AI142" s="227">
        <f t="shared" si="41"/>
        <v>0.14245312809447361</v>
      </c>
      <c r="AJ142" s="267" t="b">
        <f t="shared" si="42"/>
        <v>1</v>
      </c>
      <c r="AK142" s="267" t="b">
        <f t="shared" si="43"/>
        <v>0</v>
      </c>
      <c r="AL142" s="267"/>
      <c r="AM142" s="267"/>
      <c r="AN142" s="75"/>
    </row>
    <row r="143" spans="1:40" s="6" customFormat="1" ht="11.25" x14ac:dyDescent="0.2">
      <c r="A143" s="56">
        <f t="shared" si="44"/>
        <v>44690</v>
      </c>
      <c r="B143" s="618">
        <v>51.277999999999999</v>
      </c>
      <c r="C143" s="866"/>
      <c r="D143" s="395">
        <f t="shared" ref="D143:D206" si="48">Wh/(1-Ppv)</f>
        <v>52.947824476518512</v>
      </c>
      <c r="E143" s="387">
        <f t="shared" si="45"/>
        <v>60.703871994270258</v>
      </c>
      <c r="F143" s="387">
        <f t="shared" ref="F143:F206" si="49">Wh_sa/(1-Pvg*MEDIAN((-Sdif+Wh/Env_an)/Csdif,0,1))</f>
        <v>60.800047772515065</v>
      </c>
      <c r="G143" s="110">
        <f t="shared" si="46"/>
        <v>0.9612934328923376</v>
      </c>
      <c r="H143" s="414" t="b">
        <f>Wh_hp&gt;='2021'!Maxi_hp</f>
        <v>1</v>
      </c>
      <c r="I143" s="382">
        <f>IF(H143,Wh_hp,'2021'!Maxi_hp)</f>
        <v>60.800047772515065</v>
      </c>
      <c r="J143" s="85">
        <f>IF(H143,An,'2021'!An_max)</f>
        <v>2022</v>
      </c>
      <c r="K143" s="199">
        <f t="shared" ref="K143:K206" si="50">t</f>
        <v>44690</v>
      </c>
      <c r="L143" s="147">
        <f>IF(t&lt;Tvie,1-EXP((T0-t)*PertePVj)+'2021'!Pspv,1-EXP((T0-t)*PertePVj)+Pspv)</f>
        <v>3.1537168769966262E-2</v>
      </c>
      <c r="M143" s="870"/>
      <c r="N143" s="870"/>
      <c r="O143" s="48">
        <f>IF(t&lt;Tnet,'2021'!Resal+('2021'!Salim-'2021'!Resal)*(1-EXP(('2021'!Tnet-t)/('2021'!Tau_j))),Resal+(Salim-Resal)*(1-EXP((Tnet-t)/(Tau_j))))*Salcycl</f>
        <v>0.12776857987714246</v>
      </c>
      <c r="P143" s="341">
        <f>(INDEX(Models!$BJ143:$BT143,,T143)*(1-R143)+INDEX(Models!$BJ143:$BT143,,T143+1)*R143-ERP_i)*Q143*Ramure*Pc/MaxiM</f>
        <v>1.6741995286334312E-3</v>
      </c>
      <c r="Q143" s="307">
        <f t="shared" ref="Q143:Q206" si="51">IF(OR(t&lt;Ttai,Notai),Dd+PousD*Croivg,Dens+PousD*(Croivg-Croi_tai))</f>
        <v>1</v>
      </c>
      <c r="R143" s="179">
        <f t="shared" ref="R143:R206" si="52">(Hp_vg-S143)/(INDEX(Echel_vg,T143+1)-S143)</f>
        <v>0.14720418099875715</v>
      </c>
      <c r="S143" s="837">
        <f t="shared" ref="S143:S206" si="53">INDEX(Echel_vg,T143)</f>
        <v>0</v>
      </c>
      <c r="T143" s="178">
        <f t="shared" ref="T143:T206" si="54">MIN(MATCH(Hp_vg,Echel_vg),10)</f>
        <v>6</v>
      </c>
      <c r="U143" s="253">
        <f t="shared" ref="U143:U206" si="55">IF(OR(t&lt;Ttai,Notai),Hdd+PousH*Croivg,Hdtf+PousH*(Croivg-Croi_tai))</f>
        <v>0.14720418099875715</v>
      </c>
      <c r="V143" s="385">
        <f t="shared" ref="V143:V206" si="56">MaxiM*(1-Ppv)*(1-Pvg)*(1-Psa)</f>
        <v>53.337778650290986</v>
      </c>
      <c r="W143" s="404"/>
      <c r="X143" s="157">
        <f t="shared" ref="X143:X206" si="57">t</f>
        <v>44690</v>
      </c>
      <c r="Y143" s="387">
        <f t="shared" ref="Y143:Y206" si="58">Wh_pvt_s*(1-Ppv)</f>
        <v>49.621671667641792</v>
      </c>
      <c r="Z143" s="387">
        <f t="shared" ref="Z143:Z206" si="59">Wh_sa_s*(1-Psa_s)</f>
        <v>51.237559220128112</v>
      </c>
      <c r="AA143" s="388">
        <f t="shared" ref="AA143:AA206" si="60">Wh_hp*(1-Pvg_s*MEDIAN((-Sdif+Wh/Env_an)/Csdif,0,1))</f>
        <v>60.703871994270258</v>
      </c>
      <c r="AB143" s="199">
        <f t="shared" ref="AB143:AB206" si="61">t</f>
        <v>44690</v>
      </c>
      <c r="AC143" s="119">
        <f>IF(OR(t&lt;Tnet,NoTnet),'2021'!Resal_s+('2021'!Salim-'2021'!Resal_s)*(1-EXP(('2021'!Tnet_s-t)/'2021'!Tau_j)),Resal_s+(Salim-Resal_s)*(1-EXP((Tnet_s-t)/Tau_j)))*Salcycl</f>
        <v>0.15594248707950056</v>
      </c>
      <c r="AD143" s="233">
        <f>(INDEX(Models!$BJ143:$BT143,,AH143)*(1-AF143)+INDEX(Models!$BJ143:$BT143,,AH143+1)*AF143-ERP_i)*AE143*Ramure*Pc/MaxiM</f>
        <v>1.6741995286334312E-3</v>
      </c>
      <c r="AE143" s="307">
        <f t="shared" ref="AE143:AE206" si="62">IF(OR(t&lt;Ttai,Notai),Dd_s+PousD*Croivg,Dens_s+PousD*(Croivg-Croi_tai))</f>
        <v>1</v>
      </c>
      <c r="AF143" s="179">
        <f t="shared" ref="AF143:AF206" si="63">(Hp_vg_s-AG143)/(INDEX(Echel_vg,AH143+1)-AG143)</f>
        <v>0.14720418099875715</v>
      </c>
      <c r="AG143" s="837">
        <f t="shared" si="47"/>
        <v>0</v>
      </c>
      <c r="AH143" s="178">
        <f t="shared" ref="AH143:AH206" si="64">MIN(MATCH(Hp_vg_s,Echel_vg),10)</f>
        <v>6</v>
      </c>
      <c r="AI143" s="227">
        <f t="shared" ref="AI143:AI206" si="65">IF(OR(t&lt;Ttai,Notai),Hdd_s+PousH*Croivg,Hdtai_s+PousH*(Croivg-Croi_tai))</f>
        <v>0.14720418099875715</v>
      </c>
      <c r="AJ143" s="267" t="b">
        <f t="shared" ref="AJ143:AJ206" si="66">t&lt;Tnet</f>
        <v>1</v>
      </c>
      <c r="AK143" s="267" t="b">
        <f t="shared" ref="AK143:AK206" si="67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68">A143+1</f>
        <v>44691</v>
      </c>
      <c r="B144" s="618">
        <v>47.069000000000003</v>
      </c>
      <c r="C144" s="866"/>
      <c r="D144" s="395">
        <f t="shared" si="48"/>
        <v>48.60289303008306</v>
      </c>
      <c r="E144" s="387">
        <f t="shared" ref="E144:E169" si="69">Wh_pvt/(1-Psa)</f>
        <v>55.74062893489225</v>
      </c>
      <c r="F144" s="387">
        <f t="shared" si="49"/>
        <v>55.813009554196178</v>
      </c>
      <c r="G144" s="110">
        <f t="shared" ref="G144:G169" si="70">+Wh_hp/MaxiM</f>
        <v>0.88047126069124981</v>
      </c>
      <c r="H144" s="414" t="b">
        <f>Wh_hp&gt;='2021'!Maxi_hp</f>
        <v>1</v>
      </c>
      <c r="I144" s="382">
        <f>IF(H144,Wh_hp,'2021'!Maxi_hp)</f>
        <v>55.813009554196178</v>
      </c>
      <c r="J144" s="85">
        <f>IF(H144,An,'2021'!An_max)</f>
        <v>2022</v>
      </c>
      <c r="K144" s="199">
        <f t="shared" si="50"/>
        <v>44691</v>
      </c>
      <c r="L144" s="147">
        <f>IF(t&lt;Tvie,1-EXP((T0-t)*PertePVj)+'2021'!Pspv,1-EXP((T0-t)*PertePVj)+Pspv)</f>
        <v>3.1559706314882141E-2</v>
      </c>
      <c r="M144" s="870"/>
      <c r="N144" s="870"/>
      <c r="O144" s="48">
        <f>IF(t&lt;Tnet,'2021'!Resal+('2021'!Salim-'2021'!Resal)*(1-EXP(('2021'!Tnet-t)/('2021'!Tau_j))),Resal+(Salim-Resal)*(1-EXP((Tnet-t)/(Tau_j))))*Salcycl</f>
        <v>0.1280526617872649</v>
      </c>
      <c r="P144" s="341">
        <f>(INDEX(Models!$BJ144:$BT144,,T144)*(1-R144)+INDEX(Models!$BJ144:$BT144,,T144+1)*R144-ERP_i)*Q144*Ramure*Pc/MaxiM</f>
        <v>1.5632499944014473E-3</v>
      </c>
      <c r="Q144" s="307">
        <f t="shared" si="51"/>
        <v>1</v>
      </c>
      <c r="R144" s="179">
        <f t="shared" si="52"/>
        <v>0.1520691719641627</v>
      </c>
      <c r="S144" s="837">
        <f t="shared" si="53"/>
        <v>0</v>
      </c>
      <c r="T144" s="178">
        <f t="shared" si="54"/>
        <v>6</v>
      </c>
      <c r="U144" s="253">
        <f t="shared" si="55"/>
        <v>0.1520691719641627</v>
      </c>
      <c r="V144" s="385">
        <f t="shared" si="56"/>
        <v>53.444611118987858</v>
      </c>
      <c r="W144" s="404"/>
      <c r="X144" s="157">
        <f t="shared" si="57"/>
        <v>44691</v>
      </c>
      <c r="Y144" s="387">
        <f t="shared" si="58"/>
        <v>45.551479924427099</v>
      </c>
      <c r="Z144" s="387">
        <f t="shared" si="59"/>
        <v>47.035919737595997</v>
      </c>
      <c r="AA144" s="388">
        <f t="shared" si="60"/>
        <v>55.74062893489225</v>
      </c>
      <c r="AB144" s="199">
        <f t="shared" si="61"/>
        <v>44691</v>
      </c>
      <c r="AC144" s="119">
        <f>IF(OR(t&lt;Tnet,NoTnet),'2021'!Resal_s+('2021'!Salim-'2021'!Resal_s)*(1-EXP(('2021'!Tnet_s-t)/'2021'!Tau_j)),Resal_s+(Salim-Resal_s)*(1-EXP((Tnet_s-t)/Tau_j)))*Salcycl</f>
        <v>0.15616453139529113</v>
      </c>
      <c r="AD144" s="233">
        <f>(INDEX(Models!$BJ144:$BT144,,AH144)*(1-AF144)+INDEX(Models!$BJ144:$BT144,,AH144+1)*AF144-ERP_i)*AE144*Ramure*Pc/MaxiM</f>
        <v>1.5632499944014473E-3</v>
      </c>
      <c r="AE144" s="307">
        <f t="shared" si="62"/>
        <v>1</v>
      </c>
      <c r="AF144" s="179">
        <f t="shared" si="63"/>
        <v>0.1520691719641627</v>
      </c>
      <c r="AG144" s="837">
        <f t="shared" ref="AG144:AG207" si="71">INDEX(Echel_vg,AH144)</f>
        <v>0</v>
      </c>
      <c r="AH144" s="178">
        <f t="shared" si="64"/>
        <v>6</v>
      </c>
      <c r="AI144" s="227">
        <f t="shared" si="65"/>
        <v>0.1520691719641627</v>
      </c>
      <c r="AJ144" s="267" t="b">
        <f t="shared" si="66"/>
        <v>1</v>
      </c>
      <c r="AK144" s="267" t="b">
        <f t="shared" si="67"/>
        <v>0</v>
      </c>
      <c r="AL144" s="267"/>
      <c r="AM144" s="267"/>
      <c r="AN144" s="75"/>
    </row>
    <row r="145" spans="1:40" s="6" customFormat="1" ht="11.25" x14ac:dyDescent="0.2">
      <c r="A145" s="56">
        <f t="shared" si="68"/>
        <v>44692</v>
      </c>
      <c r="B145" s="618">
        <v>51.579000000000001</v>
      </c>
      <c r="C145" s="866"/>
      <c r="D145" s="395">
        <f t="shared" si="48"/>
        <v>53.261105184236435</v>
      </c>
      <c r="E145" s="387">
        <f t="shared" si="69"/>
        <v>61.103017062862193</v>
      </c>
      <c r="F145" s="387">
        <f t="shared" si="49"/>
        <v>61.187606498630338</v>
      </c>
      <c r="G145" s="110">
        <f t="shared" si="70"/>
        <v>0.96319514705330977</v>
      </c>
      <c r="H145" s="414" t="b">
        <f>Wh_hp&gt;='2021'!Maxi_hp</f>
        <v>1</v>
      </c>
      <c r="I145" s="382">
        <f>IF(H145,Wh_hp,'2021'!Maxi_hp)</f>
        <v>61.187606498630338</v>
      </c>
      <c r="J145" s="85">
        <f>IF(H145,An,'2021'!An_max)</f>
        <v>2022</v>
      </c>
      <c r="K145" s="199">
        <f t="shared" si="50"/>
        <v>44692</v>
      </c>
      <c r="L145" s="147">
        <f>IF(t&lt;Tvie,1-EXP((T0-t)*PertePVj)+'2021'!Pspv,1-EXP((T0-t)*PertePVj)+Pspv)</f>
        <v>3.158224333531634E-2</v>
      </c>
      <c r="M145" s="870"/>
      <c r="N145" s="870"/>
      <c r="O145" s="48">
        <f>IF(t&lt;Tnet,'2021'!Resal+('2021'!Salim-'2021'!Resal)*(1-EXP(('2021'!Tnet-t)/('2021'!Tau_j))),Resal+(Salim-Resal)*(1-EXP((Tnet-t)/(Tau_j))))*Salcycl</f>
        <v>0.12833919265489091</v>
      </c>
      <c r="P145" s="341">
        <f>(INDEX(Models!$BJ145:$BT145,,T145)*(1-R145)+INDEX(Models!$BJ145:$BT145,,T145+1)*R145-ERP_i)*Q145*Ramure*Pc/MaxiM</f>
        <v>1.4590191968140609E-3</v>
      </c>
      <c r="Q145" s="307">
        <f t="shared" si="51"/>
        <v>1</v>
      </c>
      <c r="R145" s="179">
        <f t="shared" si="52"/>
        <v>0.15704799344587264</v>
      </c>
      <c r="S145" s="837">
        <f t="shared" si="53"/>
        <v>0</v>
      </c>
      <c r="T145" s="178">
        <f t="shared" si="54"/>
        <v>6</v>
      </c>
      <c r="U145" s="253">
        <f t="shared" si="55"/>
        <v>0.15704799344587264</v>
      </c>
      <c r="V145" s="385">
        <f t="shared" si="56"/>
        <v>53.545790651959187</v>
      </c>
      <c r="W145" s="404"/>
      <c r="X145" s="157">
        <f t="shared" si="57"/>
        <v>44692</v>
      </c>
      <c r="Y145" s="387">
        <f t="shared" si="58"/>
        <v>49.919161452734393</v>
      </c>
      <c r="Z145" s="387">
        <f t="shared" si="59"/>
        <v>51.547135633551783</v>
      </c>
      <c r="AA145" s="388">
        <f t="shared" si="60"/>
        <v>61.103017062862193</v>
      </c>
      <c r="AB145" s="199">
        <f t="shared" si="61"/>
        <v>44692</v>
      </c>
      <c r="AC145" s="119">
        <f>IF(OR(t&lt;Tnet,NoTnet),'2021'!Resal_s+('2021'!Salim-'2021'!Resal_s)*(1-EXP(('2021'!Tnet_s-t)/'2021'!Tau_j)),Resal_s+(Salim-Resal_s)*(1-EXP((Tnet_s-t)/Tau_j)))*Salcycl</f>
        <v>0.15638968235364573</v>
      </c>
      <c r="AD145" s="233">
        <f>(INDEX(Models!$BJ145:$BT145,,AH145)*(1-AF145)+INDEX(Models!$BJ145:$BT145,,AH145+1)*AF145-ERP_i)*AE145*Ramure*Pc/MaxiM</f>
        <v>1.4590191968140609E-3</v>
      </c>
      <c r="AE145" s="307">
        <f t="shared" si="62"/>
        <v>1</v>
      </c>
      <c r="AF145" s="179">
        <f t="shared" si="63"/>
        <v>0.15704799344587264</v>
      </c>
      <c r="AG145" s="837">
        <f t="shared" si="71"/>
        <v>0</v>
      </c>
      <c r="AH145" s="178">
        <f t="shared" si="64"/>
        <v>6</v>
      </c>
      <c r="AI145" s="227">
        <f t="shared" si="65"/>
        <v>0.15704799344587264</v>
      </c>
      <c r="AJ145" s="267" t="b">
        <f t="shared" si="66"/>
        <v>1</v>
      </c>
      <c r="AK145" s="267" t="b">
        <f t="shared" si="67"/>
        <v>0</v>
      </c>
      <c r="AL145" s="267"/>
      <c r="AM145" s="267"/>
      <c r="AN145" s="75"/>
    </row>
    <row r="146" spans="1:40" s="6" customFormat="1" ht="11.25" x14ac:dyDescent="0.2">
      <c r="A146" s="56">
        <f t="shared" si="68"/>
        <v>44693</v>
      </c>
      <c r="B146" s="618">
        <v>40.228000000000002</v>
      </c>
      <c r="C146" s="866"/>
      <c r="D146" s="395">
        <f t="shared" si="48"/>
        <v>41.540890704717924</v>
      </c>
      <c r="E146" s="387">
        <f t="shared" si="69"/>
        <v>47.672972329821896</v>
      </c>
      <c r="F146" s="387">
        <f t="shared" si="49"/>
        <v>47.714727679799758</v>
      </c>
      <c r="G146" s="110">
        <f t="shared" si="70"/>
        <v>0.74957376432623202</v>
      </c>
      <c r="H146" s="414" t="b">
        <f>Wh_hp&gt;='2021'!Maxi_hp</f>
        <v>0</v>
      </c>
      <c r="I146" s="382">
        <f>IF(H146,Wh_hp,'2021'!Maxi_hp)</f>
        <v>58.723826865317584</v>
      </c>
      <c r="J146" s="85">
        <f>IF(H146,An,'2021'!An_max)</f>
        <v>2019</v>
      </c>
      <c r="K146" s="199">
        <f t="shared" si="50"/>
        <v>44693</v>
      </c>
      <c r="L146" s="147">
        <f>IF(t&lt;Tvie,1-EXP((T0-t)*PertePVj)+'2021'!Pspv,1-EXP((T0-t)*PertePVj)+Pspv)</f>
        <v>3.1604779831281182E-2</v>
      </c>
      <c r="M146" s="870"/>
      <c r="N146" s="870"/>
      <c r="O146" s="48">
        <f>IF(t&lt;Tnet,'2021'!Resal+('2021'!Salim-'2021'!Resal)*(1-EXP(('2021'!Tnet-t)/('2021'!Tau_j))),Resal+(Salim-Resal)*(1-EXP((Tnet-t)/(Tau_j))))*Salcycl</f>
        <v>0.12862805328519533</v>
      </c>
      <c r="P146" s="341">
        <f>(INDEX(Models!$BJ146:$BT146,,T146)*(1-R146)+INDEX(Models!$BJ146:$BT146,,T146+1)*R146-ERP_i)*Q146*Ramure*Pc/MaxiM</f>
        <v>1.3614580182883999E-3</v>
      </c>
      <c r="Q146" s="307">
        <f t="shared" si="51"/>
        <v>1</v>
      </c>
      <c r="R146" s="179">
        <f t="shared" si="52"/>
        <v>0.16214033615283288</v>
      </c>
      <c r="S146" s="837">
        <f t="shared" si="53"/>
        <v>0</v>
      </c>
      <c r="T146" s="178">
        <f t="shared" si="54"/>
        <v>6</v>
      </c>
      <c r="U146" s="253">
        <f t="shared" si="55"/>
        <v>0.16214033615283288</v>
      </c>
      <c r="V146" s="385">
        <f t="shared" si="56"/>
        <v>53.641709099872863</v>
      </c>
      <c r="W146" s="404"/>
      <c r="X146" s="157">
        <f t="shared" si="57"/>
        <v>44693</v>
      </c>
      <c r="Y146" s="387">
        <f t="shared" si="58"/>
        <v>38.935818134998513</v>
      </c>
      <c r="Z146" s="387">
        <f t="shared" si="59"/>
        <v>40.206536880897566</v>
      </c>
      <c r="AA146" s="388">
        <f t="shared" si="60"/>
        <v>47.672972329821896</v>
      </c>
      <c r="AB146" s="199">
        <f t="shared" si="61"/>
        <v>44693</v>
      </c>
      <c r="AC146" s="119">
        <f>IF(OR(t&lt;Tnet,NoTnet),'2021'!Resal_s+('2021'!Salim-'2021'!Resal_s)*(1-EXP(('2021'!Tnet_s-t)/'2021'!Tau_j)),Resal_s+(Salim-Resal_s)*(1-EXP((Tnet_s-t)/Tau_j)))*Salcycl</f>
        <v>0.15661778748067889</v>
      </c>
      <c r="AD146" s="233">
        <f>(INDEX(Models!$BJ146:$BT146,,AH146)*(1-AF146)+INDEX(Models!$BJ146:$BT146,,AH146+1)*AF146-ERP_i)*AE146*Ramure*Pc/MaxiM</f>
        <v>1.3614580182883999E-3</v>
      </c>
      <c r="AE146" s="307">
        <f t="shared" si="62"/>
        <v>1</v>
      </c>
      <c r="AF146" s="179">
        <f t="shared" si="63"/>
        <v>0.16214033615283288</v>
      </c>
      <c r="AG146" s="837">
        <f t="shared" si="71"/>
        <v>0</v>
      </c>
      <c r="AH146" s="178">
        <f t="shared" si="64"/>
        <v>6</v>
      </c>
      <c r="AI146" s="227">
        <f t="shared" si="65"/>
        <v>0.16214033615283288</v>
      </c>
      <c r="AJ146" s="267" t="b">
        <f t="shared" si="66"/>
        <v>1</v>
      </c>
      <c r="AK146" s="267" t="b">
        <f t="shared" si="67"/>
        <v>0</v>
      </c>
      <c r="AL146" s="267"/>
      <c r="AM146" s="267"/>
      <c r="AN146" s="75"/>
    </row>
    <row r="147" spans="1:40" s="6" customFormat="1" ht="11.25" x14ac:dyDescent="0.2">
      <c r="A147" s="56">
        <f t="shared" si="68"/>
        <v>44694</v>
      </c>
      <c r="B147" s="618">
        <v>42.926000000000002</v>
      </c>
      <c r="C147" s="866"/>
      <c r="D147" s="395">
        <f t="shared" si="48"/>
        <v>44.327974859788625</v>
      </c>
      <c r="E147" s="387">
        <f t="shared" si="69"/>
        <v>50.888471623053128</v>
      </c>
      <c r="F147" s="387">
        <f t="shared" si="49"/>
        <v>50.934592147516881</v>
      </c>
      <c r="G147" s="110">
        <f t="shared" si="70"/>
        <v>0.79858762834634978</v>
      </c>
      <c r="H147" s="414" t="b">
        <f>Wh_hp&gt;='2021'!Maxi_hp</f>
        <v>0</v>
      </c>
      <c r="I147" s="382">
        <f>IF(H147,Wh_hp,'2021'!Maxi_hp)</f>
        <v>65.24369285904416</v>
      </c>
      <c r="J147" s="85">
        <f>IF(H147,An,'2021'!An_max)</f>
        <v>2019</v>
      </c>
      <c r="K147" s="199">
        <f t="shared" si="50"/>
        <v>44694</v>
      </c>
      <c r="L147" s="147">
        <f>IF(t&lt;Tvie,1-EXP((T0-t)*PertePVj)+'2021'!Pspv,1-EXP((T0-t)*PertePVj)+Pspv)</f>
        <v>3.162731580278888E-2</v>
      </c>
      <c r="M147" s="870"/>
      <c r="N147" s="870"/>
      <c r="O147" s="48">
        <f>IF(t&lt;Tnet,'2021'!Resal+('2021'!Salim-'2021'!Resal)*(1-EXP(('2021'!Tnet-t)/('2021'!Tau_j))),Resal+(Salim-Resal)*(1-EXP((Tnet-t)/(Tau_j))))*Salcycl</f>
        <v>0.12891911574511733</v>
      </c>
      <c r="P147" s="341">
        <f>(INDEX(Models!$BJ147:$BT147,,T147)*(1-R147)+INDEX(Models!$BJ147:$BT147,,T147+1)*R147-ERP_i)*Q147*Ramure*Pc/MaxiM</f>
        <v>1.2705266281206997E-3</v>
      </c>
      <c r="Q147" s="307">
        <f t="shared" si="51"/>
        <v>1</v>
      </c>
      <c r="R147" s="179">
        <f t="shared" si="52"/>
        <v>0.16734568052846582</v>
      </c>
      <c r="S147" s="837">
        <f t="shared" si="53"/>
        <v>0</v>
      </c>
      <c r="T147" s="178">
        <f t="shared" si="54"/>
        <v>6</v>
      </c>
      <c r="U147" s="253">
        <f t="shared" si="55"/>
        <v>0.16734568052846582</v>
      </c>
      <c r="V147" s="385">
        <f t="shared" si="56"/>
        <v>53.732758323860637</v>
      </c>
      <c r="W147" s="404"/>
      <c r="X147" s="157">
        <f t="shared" si="57"/>
        <v>44694</v>
      </c>
      <c r="Y147" s="387">
        <f t="shared" si="58"/>
        <v>41.54965863215817</v>
      </c>
      <c r="Z147" s="387">
        <f t="shared" si="59"/>
        <v>42.906681807741386</v>
      </c>
      <c r="AA147" s="388">
        <f t="shared" si="60"/>
        <v>50.888471623053128</v>
      </c>
      <c r="AB147" s="199">
        <f t="shared" si="61"/>
        <v>44694</v>
      </c>
      <c r="AC147" s="119">
        <f>IF(OR(t&lt;Tnet,NoTnet),'2021'!Resal_s+('2021'!Salim-'2021'!Resal_s)*(1-EXP(('2021'!Tnet_s-t)/'2021'!Tau_j)),Resal_s+(Salim-Resal_s)*(1-EXP((Tnet_s-t)/Tau_j)))*Salcycl</f>
        <v>0.15684868420563619</v>
      </c>
      <c r="AD147" s="233">
        <f>(INDEX(Models!$BJ147:$BT147,,AH147)*(1-AF147)+INDEX(Models!$BJ147:$BT147,,AH147+1)*AF147-ERP_i)*AE147*Ramure*Pc/MaxiM</f>
        <v>1.2705266281206997E-3</v>
      </c>
      <c r="AE147" s="307">
        <f t="shared" si="62"/>
        <v>1</v>
      </c>
      <c r="AF147" s="179">
        <f t="shared" si="63"/>
        <v>0.16734568052846582</v>
      </c>
      <c r="AG147" s="837">
        <f t="shared" si="71"/>
        <v>0</v>
      </c>
      <c r="AH147" s="178">
        <f t="shared" si="64"/>
        <v>6</v>
      </c>
      <c r="AI147" s="227">
        <f t="shared" si="65"/>
        <v>0.16734568052846582</v>
      </c>
      <c r="AJ147" s="267" t="b">
        <f t="shared" si="66"/>
        <v>1</v>
      </c>
      <c r="AK147" s="267" t="b">
        <f t="shared" si="67"/>
        <v>0</v>
      </c>
      <c r="AL147" s="267"/>
      <c r="AM147" s="267"/>
      <c r="AN147" s="75"/>
    </row>
    <row r="148" spans="1:40" s="6" customFormat="1" ht="11.25" x14ac:dyDescent="0.2">
      <c r="A148" s="56">
        <f t="shared" si="68"/>
        <v>44695</v>
      </c>
      <c r="B148" s="618">
        <v>44.243000000000002</v>
      </c>
      <c r="C148" s="866"/>
      <c r="D148" s="395">
        <f t="shared" si="48"/>
        <v>45.689051689726632</v>
      </c>
      <c r="E148" s="387">
        <f t="shared" si="69"/>
        <v>52.468642727379866</v>
      </c>
      <c r="F148" s="387">
        <f t="shared" si="49"/>
        <v>52.515101381830377</v>
      </c>
      <c r="G148" s="110">
        <f t="shared" si="70"/>
        <v>0.82181713930694622</v>
      </c>
      <c r="H148" s="414" t="b">
        <f>Wh_hp&gt;='2021'!Maxi_hp</f>
        <v>0</v>
      </c>
      <c r="I148" s="382">
        <f>IF(H148,Wh_hp,'2021'!Maxi_hp)</f>
        <v>63.602775441610461</v>
      </c>
      <c r="J148" s="85">
        <f>IF(H148,An,'2021'!An_max)</f>
        <v>2019</v>
      </c>
      <c r="K148" s="199">
        <f t="shared" si="50"/>
        <v>44695</v>
      </c>
      <c r="L148" s="147">
        <f>IF(t&lt;Tvie,1-EXP((T0-t)*PertePVj)+'2021'!Pspv,1-EXP((T0-t)*PertePVj)+Pspv)</f>
        <v>3.1649851249851646E-2</v>
      </c>
      <c r="M148" s="870"/>
      <c r="N148" s="870"/>
      <c r="O148" s="48">
        <f>IF(t&lt;Tnet,'2021'!Resal+('2021'!Salim-'2021'!Resal)*(1-EXP(('2021'!Tnet-t)/('2021'!Tau_j))),Resal+(Salim-Resal)*(1-EXP((Tnet-t)/(Tau_j))))*Salcycl</f>
        <v>0.12921224345137133</v>
      </c>
      <c r="P148" s="341">
        <f>(INDEX(Models!$BJ148:$BT148,,T148)*(1-R148)+INDEX(Models!$BJ148:$BT148,,T148+1)*R148-ERP_i)*Q148*Ramure*Pc/MaxiM</f>
        <v>1.1861939102844673E-3</v>
      </c>
      <c r="Q148" s="307">
        <f t="shared" si="51"/>
        <v>1</v>
      </c>
      <c r="R148" s="179">
        <f t="shared" si="52"/>
        <v>0.17266328872030914</v>
      </c>
      <c r="S148" s="837">
        <f t="shared" si="53"/>
        <v>0</v>
      </c>
      <c r="T148" s="178">
        <f t="shared" si="54"/>
        <v>6</v>
      </c>
      <c r="U148" s="253">
        <f t="shared" si="55"/>
        <v>0.17266328872030914</v>
      </c>
      <c r="V148" s="385">
        <f t="shared" si="56"/>
        <v>53.819330178021403</v>
      </c>
      <c r="W148" s="404"/>
      <c r="X148" s="157">
        <f t="shared" si="57"/>
        <v>44695</v>
      </c>
      <c r="Y148" s="387">
        <f t="shared" si="58"/>
        <v>42.826982746177571</v>
      </c>
      <c r="Z148" s="387">
        <f t="shared" si="59"/>
        <v>44.226752896619523</v>
      </c>
      <c r="AA148" s="388">
        <f t="shared" si="60"/>
        <v>52.468642727379866</v>
      </c>
      <c r="AB148" s="199">
        <f t="shared" si="61"/>
        <v>44695</v>
      </c>
      <c r="AC148" s="119">
        <f>IF(OR(t&lt;Tnet,NoTnet),'2021'!Resal_s+('2021'!Salim-'2021'!Resal_s)*(1-EXP(('2021'!Tnet_s-t)/'2021'!Tau_j)),Resal_s+(Salim-Resal_s)*(1-EXP((Tnet_s-t)/Tau_j)))*Salcycl</f>
        <v>0.15708220000246842</v>
      </c>
      <c r="AD148" s="233">
        <f>(INDEX(Models!$BJ148:$BT148,,AH148)*(1-AF148)+INDEX(Models!$BJ148:$BT148,,AH148+1)*AF148-ERP_i)*AE148*Ramure*Pc/MaxiM</f>
        <v>1.1861939102844673E-3</v>
      </c>
      <c r="AE148" s="307">
        <f t="shared" si="62"/>
        <v>1</v>
      </c>
      <c r="AF148" s="179">
        <f t="shared" si="63"/>
        <v>0.17266328872030914</v>
      </c>
      <c r="AG148" s="837">
        <f t="shared" si="71"/>
        <v>0</v>
      </c>
      <c r="AH148" s="178">
        <f t="shared" si="64"/>
        <v>6</v>
      </c>
      <c r="AI148" s="227">
        <f t="shared" si="65"/>
        <v>0.17266328872030914</v>
      </c>
      <c r="AJ148" s="267" t="b">
        <f t="shared" si="66"/>
        <v>1</v>
      </c>
      <c r="AK148" s="267" t="b">
        <f t="shared" si="67"/>
        <v>0</v>
      </c>
      <c r="AL148" s="267"/>
      <c r="AM148" s="267"/>
      <c r="AN148" s="75"/>
    </row>
    <row r="149" spans="1:40" s="6" customFormat="1" ht="11.25" x14ac:dyDescent="0.2">
      <c r="A149" s="56">
        <f t="shared" si="68"/>
        <v>44696</v>
      </c>
      <c r="B149" s="618">
        <v>47.861000000000004</v>
      </c>
      <c r="C149" s="866"/>
      <c r="D149" s="395">
        <f t="shared" si="48"/>
        <v>49.426453729662157</v>
      </c>
      <c r="E149" s="387">
        <f t="shared" si="69"/>
        <v>56.779859539103278</v>
      </c>
      <c r="F149" s="387">
        <f t="shared" si="49"/>
        <v>56.832773301882746</v>
      </c>
      <c r="G149" s="110">
        <f t="shared" si="70"/>
        <v>0.88779746723982078</v>
      </c>
      <c r="H149" s="414" t="b">
        <f>Wh_hp&gt;='2021'!Maxi_hp</f>
        <v>0</v>
      </c>
      <c r="I149" s="382">
        <f>IF(H149,Wh_hp,'2021'!Maxi_hp)</f>
        <v>64.554726690936292</v>
      </c>
      <c r="J149" s="85">
        <f>IF(H149,An,'2021'!An_max)</f>
        <v>2019</v>
      </c>
      <c r="K149" s="199">
        <f t="shared" si="50"/>
        <v>44696</v>
      </c>
      <c r="L149" s="147">
        <f>IF(t&lt;Tvie,1-EXP((T0-t)*PertePVj)+'2021'!Pspv,1-EXP((T0-t)*PertePVj)+Pspv)</f>
        <v>3.1672386172481581E-2</v>
      </c>
      <c r="M149" s="870"/>
      <c r="N149" s="870"/>
      <c r="O149" s="48">
        <f>IF(t&lt;Tnet,'2021'!Resal+('2021'!Salim-'2021'!Resal)*(1-EXP(('2021'!Tnet-t)/('2021'!Tau_j))),Resal+(Salim-Resal)*(1-EXP((Tnet-t)/(Tau_j))))*Salcycl</f>
        <v>0.1295072913024197</v>
      </c>
      <c r="P149" s="341">
        <f>(INDEX(Models!$BJ149:$BT149,,T149)*(1-R149)+INDEX(Models!$BJ149:$BT149,,T149+1)*R149-ERP_i)*Q149*Ramure*Pc/MaxiM</f>
        <v>1.108469200322811E-3</v>
      </c>
      <c r="Q149" s="307">
        <f t="shared" si="51"/>
        <v>1</v>
      </c>
      <c r="R149" s="179">
        <f t="shared" si="52"/>
        <v>0.17809219712136462</v>
      </c>
      <c r="S149" s="837">
        <f t="shared" si="53"/>
        <v>0</v>
      </c>
      <c r="T149" s="178">
        <f t="shared" si="54"/>
        <v>6</v>
      </c>
      <c r="U149" s="253">
        <f t="shared" si="55"/>
        <v>0.17809219712136462</v>
      </c>
      <c r="V149" s="385">
        <f t="shared" si="56"/>
        <v>53.900244214176027</v>
      </c>
      <c r="W149" s="404"/>
      <c r="X149" s="157">
        <f t="shared" si="57"/>
        <v>44696</v>
      </c>
      <c r="Y149" s="387">
        <f t="shared" si="58"/>
        <v>46.331916966350526</v>
      </c>
      <c r="Z149" s="387">
        <f t="shared" si="59"/>
        <v>47.847356932447568</v>
      </c>
      <c r="AA149" s="388">
        <f t="shared" si="60"/>
        <v>56.779859539103278</v>
      </c>
      <c r="AB149" s="199">
        <f t="shared" si="61"/>
        <v>44696</v>
      </c>
      <c r="AC149" s="119">
        <f>IF(OR(t&lt;Tnet,NoTnet),'2021'!Resal_s+('2021'!Salim-'2021'!Resal_s)*(1-EXP(('2021'!Tnet_s-t)/'2021'!Tau_j)),Resal_s+(Salim-Resal_s)*(1-EXP((Tnet_s-t)/Tau_j)))*Salcycl</f>
        <v>0.15731815258373538</v>
      </c>
      <c r="AD149" s="233">
        <f>(INDEX(Models!$BJ149:$BT149,,AH149)*(1-AF149)+INDEX(Models!$BJ149:$BT149,,AH149+1)*AF149-ERP_i)*AE149*Ramure*Pc/MaxiM</f>
        <v>1.108469200322811E-3</v>
      </c>
      <c r="AE149" s="307">
        <f t="shared" si="62"/>
        <v>1</v>
      </c>
      <c r="AF149" s="179">
        <f t="shared" si="63"/>
        <v>0.17809219712136462</v>
      </c>
      <c r="AG149" s="837">
        <f t="shared" si="71"/>
        <v>0</v>
      </c>
      <c r="AH149" s="178">
        <f t="shared" si="64"/>
        <v>6</v>
      </c>
      <c r="AI149" s="227">
        <f t="shared" si="65"/>
        <v>0.17809219712136462</v>
      </c>
      <c r="AJ149" s="267" t="b">
        <f t="shared" si="66"/>
        <v>1</v>
      </c>
      <c r="AK149" s="267" t="b">
        <f t="shared" si="67"/>
        <v>0</v>
      </c>
      <c r="AL149" s="267"/>
      <c r="AM149" s="267"/>
      <c r="AN149" s="75"/>
    </row>
    <row r="150" spans="1:40" s="6" customFormat="1" ht="11.25" x14ac:dyDescent="0.2">
      <c r="A150" s="56">
        <f t="shared" si="68"/>
        <v>44697</v>
      </c>
      <c r="B150" s="618">
        <v>46.652000000000001</v>
      </c>
      <c r="C150" s="866"/>
      <c r="D150" s="395">
        <f t="shared" si="48"/>
        <v>48.179030546339106</v>
      </c>
      <c r="E150" s="387">
        <f t="shared" si="69"/>
        <v>55.36572956798183</v>
      </c>
      <c r="F150" s="387">
        <f t="shared" si="49"/>
        <v>55.412116441841142</v>
      </c>
      <c r="G150" s="110">
        <f t="shared" si="70"/>
        <v>0.86416473003273486</v>
      </c>
      <c r="H150" s="414" t="b">
        <f>Wh_hp&gt;='2021'!Maxi_hp</f>
        <v>1</v>
      </c>
      <c r="I150" s="382">
        <f>IF(H150,Wh_hp,'2021'!Maxi_hp)</f>
        <v>55.412116441841142</v>
      </c>
      <c r="J150" s="85">
        <f>IF(H150,An,'2021'!An_max)</f>
        <v>2022</v>
      </c>
      <c r="K150" s="199">
        <f t="shared" si="50"/>
        <v>44697</v>
      </c>
      <c r="L150" s="147">
        <f>IF(t&lt;Tvie,1-EXP((T0-t)*PertePVj)+'2021'!Pspv,1-EXP((T0-t)*PertePVj)+Pspv)</f>
        <v>3.1694920570690899E-2</v>
      </c>
      <c r="M150" s="870"/>
      <c r="N150" s="870"/>
      <c r="O150" s="48">
        <f>IF(t&lt;Tnet,'2021'!Resal+('2021'!Salim-'2021'!Resal)*(1-EXP(('2021'!Tnet-t)/('2021'!Tau_j))),Resal+(Salim-Resal)*(1-EXP((Tnet-t)/(Tau_j))))*Salcycl</f>
        <v>0.12980410585610366</v>
      </c>
      <c r="P150" s="341">
        <f>(INDEX(Models!$BJ150:$BT150,,T150)*(1-R150)+INDEX(Models!$BJ150:$BT150,,T150+1)*R150-ERP_i)*Q150*Ramure*Pc/MaxiM</f>
        <v>1.0383612855524105E-3</v>
      </c>
      <c r="Q150" s="307">
        <f t="shared" si="51"/>
        <v>1</v>
      </c>
      <c r="R150" s="179">
        <f t="shared" si="52"/>
        <v>0.18363120956694121</v>
      </c>
      <c r="S150" s="837">
        <f t="shared" si="53"/>
        <v>0</v>
      </c>
      <c r="T150" s="178">
        <f t="shared" si="54"/>
        <v>6</v>
      </c>
      <c r="U150" s="253">
        <f t="shared" si="55"/>
        <v>0.18363120956694121</v>
      </c>
      <c r="V150" s="385">
        <f t="shared" si="56"/>
        <v>53.974204735732158</v>
      </c>
      <c r="W150" s="404"/>
      <c r="X150" s="157">
        <f t="shared" si="57"/>
        <v>44697</v>
      </c>
      <c r="Y150" s="387">
        <f t="shared" si="58"/>
        <v>45.164176730035621</v>
      </c>
      <c r="Z150" s="387">
        <f t="shared" si="59"/>
        <v>46.642507293934756</v>
      </c>
      <c r="AA150" s="388">
        <f t="shared" si="60"/>
        <v>55.36572956798183</v>
      </c>
      <c r="AB150" s="199">
        <f t="shared" si="61"/>
        <v>44697</v>
      </c>
      <c r="AC150" s="119">
        <f>IF(OR(t&lt;Tnet,NoTnet),'2021'!Resal_s+('2021'!Salim-'2021'!Resal_s)*(1-EXP(('2021'!Tnet_s-t)/'2021'!Tau_j)),Resal_s+(Salim-Resal_s)*(1-EXP((Tnet_s-t)/Tau_j)))*Salcycl</f>
        <v>0.15755635014862593</v>
      </c>
      <c r="AD150" s="233">
        <f>(INDEX(Models!$BJ150:$BT150,,AH150)*(1-AF150)+INDEX(Models!$BJ150:$BT150,,AH150+1)*AF150-ERP_i)*AE150*Ramure*Pc/MaxiM</f>
        <v>1.0383612855524105E-3</v>
      </c>
      <c r="AE150" s="307">
        <f t="shared" si="62"/>
        <v>1</v>
      </c>
      <c r="AF150" s="179">
        <f t="shared" si="63"/>
        <v>0.18363120956694121</v>
      </c>
      <c r="AG150" s="837">
        <f t="shared" si="71"/>
        <v>0</v>
      </c>
      <c r="AH150" s="178">
        <f t="shared" si="64"/>
        <v>6</v>
      </c>
      <c r="AI150" s="227">
        <f t="shared" si="65"/>
        <v>0.18363120956694121</v>
      </c>
      <c r="AJ150" s="267" t="b">
        <f t="shared" si="66"/>
        <v>1</v>
      </c>
      <c r="AK150" s="267" t="b">
        <f t="shared" si="67"/>
        <v>0</v>
      </c>
      <c r="AL150" s="267"/>
      <c r="AM150" s="267"/>
      <c r="AN150" s="75"/>
    </row>
    <row r="151" spans="1:40" s="6" customFormat="1" ht="11.25" x14ac:dyDescent="0.2">
      <c r="A151" s="56">
        <f t="shared" si="68"/>
        <v>44698</v>
      </c>
      <c r="B151" s="618">
        <v>50.298000000000002</v>
      </c>
      <c r="C151" s="866"/>
      <c r="D151" s="395">
        <f t="shared" si="48"/>
        <v>51.945581618579951</v>
      </c>
      <c r="E151" s="387">
        <f t="shared" si="69"/>
        <v>59.714602173871114</v>
      </c>
      <c r="F151" s="387">
        <f t="shared" si="49"/>
        <v>59.766951406904127</v>
      </c>
      <c r="G151" s="110">
        <f t="shared" si="70"/>
        <v>0.93063584239557817</v>
      </c>
      <c r="H151" s="414" t="b">
        <f>Wh_hp&gt;='2021'!Maxi_hp</f>
        <v>1</v>
      </c>
      <c r="I151" s="382">
        <f>IF(H151,Wh_hp,'2021'!Maxi_hp)</f>
        <v>59.766951406904127</v>
      </c>
      <c r="J151" s="85">
        <f>IF(H151,An,'2021'!An_max)</f>
        <v>2022</v>
      </c>
      <c r="K151" s="199">
        <f t="shared" si="50"/>
        <v>44698</v>
      </c>
      <c r="L151" s="147">
        <f>IF(t&lt;Tvie,1-EXP((T0-t)*PertePVj)+'2021'!Pspv,1-EXP((T0-t)*PertePVj)+Pspv)</f>
        <v>3.1717454444491922E-2</v>
      </c>
      <c r="M151" s="870"/>
      <c r="N151" s="870"/>
      <c r="O151" s="48">
        <f>IF(t&lt;Tnet,'2021'!Resal+('2021'!Salim-'2021'!Resal)*(1-EXP(('2021'!Tnet-t)/('2021'!Tau_j))),Resal+(Salim-Resal)*(1-EXP((Tnet-t)/(Tau_j))))*Salcycl</f>
        <v>0.13010252555430399</v>
      </c>
      <c r="P151" s="341">
        <f>(INDEX(Models!$BJ151:$BT151,,T151)*(1-R151)+INDEX(Models!$BJ151:$BT151,,T151+1)*R151-ERP_i)*Q151*Ramure*Pc/MaxiM</f>
        <v>9.7209094654014975E-4</v>
      </c>
      <c r="Q151" s="307">
        <f t="shared" si="51"/>
        <v>1</v>
      </c>
      <c r="R151" s="179">
        <f t="shared" si="52"/>
        <v>0.18927889127090453</v>
      </c>
      <c r="S151" s="837">
        <f t="shared" si="53"/>
        <v>0</v>
      </c>
      <c r="T151" s="178">
        <f t="shared" si="54"/>
        <v>6</v>
      </c>
      <c r="U151" s="253">
        <f t="shared" si="55"/>
        <v>0.18927889127090453</v>
      </c>
      <c r="V151" s="385">
        <f t="shared" si="56"/>
        <v>54.041715047240508</v>
      </c>
      <c r="W151" s="404"/>
      <c r="X151" s="157">
        <f t="shared" si="57"/>
        <v>44698</v>
      </c>
      <c r="Y151" s="387">
        <f t="shared" si="58"/>
        <v>48.696712285946234</v>
      </c>
      <c r="Z151" s="387">
        <f t="shared" si="59"/>
        <v>50.291841476920055</v>
      </c>
      <c r="AA151" s="388">
        <f t="shared" si="60"/>
        <v>59.714602173871114</v>
      </c>
      <c r="AB151" s="199">
        <f t="shared" si="61"/>
        <v>44698</v>
      </c>
      <c r="AC151" s="119">
        <f>IF(OR(t&lt;Tnet,NoTnet),'2021'!Resal_s+('2021'!Salim-'2021'!Resal_s)*(1-EXP(('2021'!Tnet_s-t)/'2021'!Tau_j)),Resal_s+(Salim-Resal_s)*(1-EXP((Tnet_s-t)/Tau_j)))*Salcycl</f>
        <v>0.15779659168648202</v>
      </c>
      <c r="AD151" s="233">
        <f>(INDEX(Models!$BJ151:$BT151,,AH151)*(1-AF151)+INDEX(Models!$BJ151:$BT151,,AH151+1)*AF151-ERP_i)*AE151*Ramure*Pc/MaxiM</f>
        <v>9.7209094654014975E-4</v>
      </c>
      <c r="AE151" s="307">
        <f t="shared" si="62"/>
        <v>1</v>
      </c>
      <c r="AF151" s="179">
        <f t="shared" si="63"/>
        <v>0.18927889127090453</v>
      </c>
      <c r="AG151" s="837">
        <f t="shared" si="71"/>
        <v>0</v>
      </c>
      <c r="AH151" s="178">
        <f t="shared" si="64"/>
        <v>6</v>
      </c>
      <c r="AI151" s="227">
        <f t="shared" si="65"/>
        <v>0.18927889127090453</v>
      </c>
      <c r="AJ151" s="267" t="b">
        <f t="shared" si="66"/>
        <v>1</v>
      </c>
      <c r="AK151" s="267" t="b">
        <f t="shared" si="67"/>
        <v>0</v>
      </c>
      <c r="AL151" s="267"/>
      <c r="AM151" s="267"/>
      <c r="AN151" s="75"/>
    </row>
    <row r="152" spans="1:40" s="6" customFormat="1" ht="11.25" x14ac:dyDescent="0.2">
      <c r="A152" s="56">
        <f t="shared" si="68"/>
        <v>44699</v>
      </c>
      <c r="B152" s="618">
        <v>48.944000000000003</v>
      </c>
      <c r="C152" s="866"/>
      <c r="D152" s="395">
        <f t="shared" si="48"/>
        <v>50.548405782538723</v>
      </c>
      <c r="E152" s="387">
        <f t="shared" si="69"/>
        <v>58.128500674156314</v>
      </c>
      <c r="F152" s="387">
        <f t="shared" si="49"/>
        <v>58.174210559219588</v>
      </c>
      <c r="G152" s="110">
        <f t="shared" si="70"/>
        <v>0.90453139736272892</v>
      </c>
      <c r="H152" s="414" t="b">
        <f>Wh_hp&gt;='2021'!Maxi_hp</f>
        <v>0</v>
      </c>
      <c r="I152" s="382">
        <f>IF(H152,Wh_hp,'2021'!Maxi_hp)</f>
        <v>64.833198802654493</v>
      </c>
      <c r="J152" s="85">
        <f>IF(H152,An,'2021'!An_max)</f>
        <v>2020</v>
      </c>
      <c r="K152" s="199">
        <f t="shared" si="50"/>
        <v>44699</v>
      </c>
      <c r="L152" s="147">
        <f>IF(t&lt;Tvie,1-EXP((T0-t)*PertePVj)+'2021'!Pspv,1-EXP((T0-t)*PertePVj)+Pspv)</f>
        <v>3.1739987793896751E-2</v>
      </c>
      <c r="M152" s="870"/>
      <c r="N152" s="870"/>
      <c r="O152" s="48">
        <f>IF(t&lt;Tnet,'2021'!Resal+('2021'!Salim-'2021'!Resal)*(1-EXP(('2021'!Tnet-t)/('2021'!Tau_j))),Resal+(Salim-Resal)*(1-EXP((Tnet-t)/(Tau_j))))*Salcycl</f>
        <v>0.13040238099565626</v>
      </c>
      <c r="P152" s="341">
        <f>(INDEX(Models!$BJ152:$BT152,,T152)*(1-R152)+INDEX(Models!$BJ152:$BT152,,T152+1)*R152-ERP_i)*Q152*Ramure*Pc/MaxiM</f>
        <v>9.0965816171144744E-4</v>
      </c>
      <c r="Q152" s="307">
        <f t="shared" si="51"/>
        <v>1</v>
      </c>
      <c r="R152" s="179">
        <f t="shared" si="52"/>
        <v>0.19503356358444449</v>
      </c>
      <c r="S152" s="837">
        <f t="shared" si="53"/>
        <v>0</v>
      </c>
      <c r="T152" s="178">
        <f t="shared" si="54"/>
        <v>6</v>
      </c>
      <c r="U152" s="253">
        <f t="shared" si="55"/>
        <v>0.19503356358444449</v>
      </c>
      <c r="V152" s="385">
        <f t="shared" si="56"/>
        <v>54.103075239788886</v>
      </c>
      <c r="W152" s="404"/>
      <c r="X152" s="157">
        <f t="shared" si="57"/>
        <v>44699</v>
      </c>
      <c r="Y152" s="387">
        <f t="shared" si="58"/>
        <v>47.388533001103319</v>
      </c>
      <c r="Z152" s="387">
        <f t="shared" si="59"/>
        <v>48.941949893327028</v>
      </c>
      <c r="AA152" s="388">
        <f t="shared" si="60"/>
        <v>58.128500674156314</v>
      </c>
      <c r="AB152" s="199">
        <f t="shared" si="61"/>
        <v>44699</v>
      </c>
      <c r="AC152" s="119">
        <f>IF(OR(t&lt;Tnet,NoTnet),'2021'!Resal_s+('2021'!Salim-'2021'!Resal_s)*(1-EXP(('2021'!Tnet_s-t)/'2021'!Tau_j)),Resal_s+(Salim-Resal_s)*(1-EXP((Tnet_s-t)/Tau_j)))*Salcycl</f>
        <v>0.15803866733678856</v>
      </c>
      <c r="AD152" s="233">
        <f>(INDEX(Models!$BJ152:$BT152,,AH152)*(1-AF152)+INDEX(Models!$BJ152:$BT152,,AH152+1)*AF152-ERP_i)*AE152*Ramure*Pc/MaxiM</f>
        <v>9.0965816171144744E-4</v>
      </c>
      <c r="AE152" s="307">
        <f t="shared" si="62"/>
        <v>1</v>
      </c>
      <c r="AF152" s="179">
        <f t="shared" si="63"/>
        <v>0.19503356358444449</v>
      </c>
      <c r="AG152" s="837">
        <f t="shared" si="71"/>
        <v>0</v>
      </c>
      <c r="AH152" s="178">
        <f t="shared" si="64"/>
        <v>6</v>
      </c>
      <c r="AI152" s="227">
        <f t="shared" si="65"/>
        <v>0.19503356358444449</v>
      </c>
      <c r="AJ152" s="267" t="b">
        <f t="shared" si="66"/>
        <v>1</v>
      </c>
      <c r="AK152" s="267" t="b">
        <f t="shared" si="67"/>
        <v>0</v>
      </c>
      <c r="AL152" s="267"/>
      <c r="AM152" s="267"/>
      <c r="AN152" s="75"/>
    </row>
    <row r="153" spans="1:40" s="6" customFormat="1" ht="11.25" x14ac:dyDescent="0.2">
      <c r="A153" s="56">
        <f t="shared" si="68"/>
        <v>44700</v>
      </c>
      <c r="B153" s="618">
        <v>50.725999999999999</v>
      </c>
      <c r="C153" s="866"/>
      <c r="D153" s="395">
        <f t="shared" si="48"/>
        <v>52.390039716728502</v>
      </c>
      <c r="E153" s="387">
        <f t="shared" si="69"/>
        <v>60.267169407537615</v>
      </c>
      <c r="F153" s="387">
        <f t="shared" si="49"/>
        <v>60.313852968085044</v>
      </c>
      <c r="G153" s="110">
        <f t="shared" si="70"/>
        <v>0.93654750533886844</v>
      </c>
      <c r="H153" s="414" t="b">
        <f>Wh_hp&gt;='2021'!Maxi_hp</f>
        <v>0</v>
      </c>
      <c r="I153" s="382">
        <f>IF(H153,Wh_hp,'2021'!Maxi_hp)</f>
        <v>63.754093188120109</v>
      </c>
      <c r="J153" s="85">
        <f>IF(H153,An,'2021'!An_max)</f>
        <v>2020</v>
      </c>
      <c r="K153" s="199">
        <f t="shared" si="50"/>
        <v>44700</v>
      </c>
      <c r="L153" s="147">
        <f>IF(t&lt;Tvie,1-EXP((T0-t)*PertePVj)+'2021'!Pspv,1-EXP((T0-t)*PertePVj)+Pspv)</f>
        <v>3.17625206189176E-2</v>
      </c>
      <c r="M153" s="870"/>
      <c r="N153" s="870"/>
      <c r="O153" s="48">
        <f>IF(t&lt;Tnet,'2021'!Resal+('2021'!Salim-'2021'!Resal)*(1-EXP(('2021'!Tnet-t)/('2021'!Tau_j))),Resal+(Salim-Resal)*(1-EXP((Tnet-t)/(Tau_j))))*Salcycl</f>
        <v>0.1307034952569702</v>
      </c>
      <c r="P153" s="341">
        <f>(INDEX(Models!$BJ153:$BT153,,T153)*(1-R153)+INDEX(Models!$BJ153:$BT153,,T153+1)*R153-ERP_i)*Q153*Ramure*Pc/MaxiM</f>
        <v>8.5106913623637221E-4</v>
      </c>
      <c r="Q153" s="307">
        <f t="shared" si="51"/>
        <v>1</v>
      </c>
      <c r="R153" s="179">
        <f t="shared" si="52"/>
        <v>0.20089329965865954</v>
      </c>
      <c r="S153" s="837">
        <f t="shared" si="53"/>
        <v>0</v>
      </c>
      <c r="T153" s="178">
        <f t="shared" si="54"/>
        <v>6</v>
      </c>
      <c r="U153" s="253">
        <f t="shared" si="55"/>
        <v>0.20089329965865954</v>
      </c>
      <c r="V153" s="385">
        <f t="shared" si="56"/>
        <v>54.158585454418358</v>
      </c>
      <c r="W153" s="404"/>
      <c r="X153" s="157">
        <f t="shared" si="57"/>
        <v>44700</v>
      </c>
      <c r="Y153" s="387">
        <f t="shared" si="58"/>
        <v>49.116692445256611</v>
      </c>
      <c r="Z153" s="387">
        <f t="shared" si="59"/>
        <v>50.727939675143567</v>
      </c>
      <c r="AA153" s="388">
        <f t="shared" si="60"/>
        <v>60.267169407537615</v>
      </c>
      <c r="AB153" s="199">
        <f t="shared" si="61"/>
        <v>44700</v>
      </c>
      <c r="AC153" s="119">
        <f>IF(OR(t&lt;Tnet,NoTnet),'2021'!Resal_s+('2021'!Salim-'2021'!Resal_s)*(1-EXP(('2021'!Tnet_s-t)/'2021'!Tau_j)),Resal_s+(Salim-Resal_s)*(1-EXP((Tnet_s-t)/Tau_j)))*Salcycl</f>
        <v>0.15828235880613589</v>
      </c>
      <c r="AD153" s="233">
        <f>(INDEX(Models!$BJ153:$BT153,,AH153)*(1-AF153)+INDEX(Models!$BJ153:$BT153,,AH153+1)*AF153-ERP_i)*AE153*Ramure*Pc/MaxiM</f>
        <v>8.5106913623637221E-4</v>
      </c>
      <c r="AE153" s="307">
        <f t="shared" si="62"/>
        <v>1</v>
      </c>
      <c r="AF153" s="179">
        <f t="shared" si="63"/>
        <v>0.20089329965865954</v>
      </c>
      <c r="AG153" s="837">
        <f t="shared" si="71"/>
        <v>0</v>
      </c>
      <c r="AH153" s="178">
        <f t="shared" si="64"/>
        <v>6</v>
      </c>
      <c r="AI153" s="227">
        <f t="shared" si="65"/>
        <v>0.20089329965865954</v>
      </c>
      <c r="AJ153" s="267" t="b">
        <f t="shared" si="66"/>
        <v>1</v>
      </c>
      <c r="AK153" s="267" t="b">
        <f t="shared" si="67"/>
        <v>0</v>
      </c>
      <c r="AL153" s="267"/>
      <c r="AM153" s="267"/>
      <c r="AN153" s="75"/>
    </row>
    <row r="154" spans="1:40" s="6" customFormat="1" ht="11.25" x14ac:dyDescent="0.2">
      <c r="A154" s="56">
        <f t="shared" si="68"/>
        <v>44701</v>
      </c>
      <c r="B154" s="618">
        <v>44.178000000000004</v>
      </c>
      <c r="C154" s="866"/>
      <c r="D154" s="395">
        <f t="shared" si="48"/>
        <v>45.628297862179124</v>
      </c>
      <c r="E154" s="387">
        <f t="shared" si="69"/>
        <v>52.507015334747479</v>
      </c>
      <c r="F154" s="387">
        <f t="shared" si="49"/>
        <v>52.537793789866008</v>
      </c>
      <c r="G154" s="110">
        <f t="shared" si="70"/>
        <v>0.81479210203228836</v>
      </c>
      <c r="H154" s="414" t="b">
        <f>Wh_hp&gt;='2021'!Maxi_hp</f>
        <v>0</v>
      </c>
      <c r="I154" s="382">
        <f>IF(H154,Wh_hp,'2021'!Maxi_hp)</f>
        <v>63.57811157089013</v>
      </c>
      <c r="J154" s="85">
        <f>IF(H154,An,'2021'!An_max)</f>
        <v>2021</v>
      </c>
      <c r="K154" s="199">
        <f t="shared" si="50"/>
        <v>44701</v>
      </c>
      <c r="L154" s="147">
        <f>IF(t&lt;Tvie,1-EXP((T0-t)*PertePVj)+'2021'!Pspv,1-EXP((T0-t)*PertePVj)+Pspv)</f>
        <v>3.1785052919566792E-2</v>
      </c>
      <c r="M154" s="870"/>
      <c r="N154" s="870"/>
      <c r="O154" s="48">
        <f>IF(t&lt;Tnet,'2021'!Resal+('2021'!Salim-'2021'!Resal)*(1-EXP(('2021'!Tnet-t)/('2021'!Tau_j))),Resal+(Salim-Resal)*(1-EXP((Tnet-t)/(Tau_j))))*Salcycl</f>
        <v>0.13100568426360806</v>
      </c>
      <c r="P154" s="341">
        <f>(INDEX(Models!$BJ154:$BT154,,T154)*(1-R154)+INDEX(Models!$BJ154:$BT154,,T154+1)*R154-ERP_i)*Q154*Ramure*Pc/MaxiM</f>
        <v>7.9633602667647312E-4</v>
      </c>
      <c r="Q154" s="307">
        <f t="shared" si="51"/>
        <v>1</v>
      </c>
      <c r="R154" s="179">
        <f t="shared" si="52"/>
        <v>0.2068559210893845</v>
      </c>
      <c r="S154" s="837">
        <f t="shared" si="53"/>
        <v>0</v>
      </c>
      <c r="T154" s="178">
        <f t="shared" si="54"/>
        <v>6</v>
      </c>
      <c r="U154" s="253">
        <f t="shared" si="55"/>
        <v>0.2068559210893845</v>
      </c>
      <c r="V154" s="385">
        <f t="shared" si="56"/>
        <v>54.208545842180357</v>
      </c>
      <c r="W154" s="404"/>
      <c r="X154" s="157">
        <f t="shared" si="57"/>
        <v>44701</v>
      </c>
      <c r="Y154" s="387">
        <f t="shared" si="58"/>
        <v>42.778846868693222</v>
      </c>
      <c r="Z154" s="387">
        <f t="shared" si="59"/>
        <v>44.18321261997562</v>
      </c>
      <c r="AA154" s="388">
        <f t="shared" si="60"/>
        <v>52.507015334747479</v>
      </c>
      <c r="AB154" s="199">
        <f t="shared" si="61"/>
        <v>44701</v>
      </c>
      <c r="AC154" s="119">
        <f>IF(OR(t&lt;Tnet,NoTnet),'2021'!Resal_s+('2021'!Salim-'2021'!Resal_s)*(1-EXP(('2021'!Tnet_s-t)/'2021'!Tau_j)),Resal_s+(Salim-Resal_s)*(1-EXP((Tnet_s-t)/Tau_j)))*Salcycl</f>
        <v>0.15852743984218487</v>
      </c>
      <c r="AD154" s="233">
        <f>(INDEX(Models!$BJ154:$BT154,,AH154)*(1-AF154)+INDEX(Models!$BJ154:$BT154,,AH154+1)*AF154-ERP_i)*AE154*Ramure*Pc/MaxiM</f>
        <v>7.9633602667647312E-4</v>
      </c>
      <c r="AE154" s="307">
        <f t="shared" si="62"/>
        <v>1</v>
      </c>
      <c r="AF154" s="179">
        <f t="shared" si="63"/>
        <v>0.2068559210893845</v>
      </c>
      <c r="AG154" s="837">
        <f t="shared" si="71"/>
        <v>0</v>
      </c>
      <c r="AH154" s="178">
        <f t="shared" si="64"/>
        <v>6</v>
      </c>
      <c r="AI154" s="227">
        <f t="shared" si="65"/>
        <v>0.2068559210893845</v>
      </c>
      <c r="AJ154" s="267" t="b">
        <f t="shared" si="66"/>
        <v>1</v>
      </c>
      <c r="AK154" s="267" t="b">
        <f t="shared" si="67"/>
        <v>0</v>
      </c>
      <c r="AL154" s="267"/>
      <c r="AM154" s="267"/>
      <c r="AN154" s="75"/>
    </row>
    <row r="155" spans="1:40" s="6" customFormat="1" ht="11.25" x14ac:dyDescent="0.2">
      <c r="A155" s="56">
        <f t="shared" si="68"/>
        <v>44702</v>
      </c>
      <c r="B155" s="618">
        <v>44.82</v>
      </c>
      <c r="C155" s="866"/>
      <c r="D155" s="395">
        <f t="shared" si="48"/>
        <v>46.292451057799752</v>
      </c>
      <c r="E155" s="387">
        <f t="shared" si="69"/>
        <v>53.289878817069557</v>
      </c>
      <c r="F155" s="387">
        <f t="shared" si="49"/>
        <v>53.31975420287641</v>
      </c>
      <c r="G155" s="110">
        <f t="shared" si="70"/>
        <v>0.8259724645293216</v>
      </c>
      <c r="H155" s="414" t="b">
        <f>Wh_hp&gt;='2021'!Maxi_hp</f>
        <v>0</v>
      </c>
      <c r="I155" s="382">
        <f>IF(H155,Wh_hp,'2021'!Maxi_hp)</f>
        <v>62.178708912121074</v>
      </c>
      <c r="J155" s="85">
        <f>IF(H155,An,'2021'!An_max)</f>
        <v>2020</v>
      </c>
      <c r="K155" s="199">
        <f t="shared" si="50"/>
        <v>44702</v>
      </c>
      <c r="L155" s="147">
        <f>IF(t&lt;Tvie,1-EXP((T0-t)*PertePVj)+'2021'!Pspv,1-EXP((T0-t)*PertePVj)+Pspv)</f>
        <v>3.1807584695856317E-2</v>
      </c>
      <c r="M155" s="870"/>
      <c r="N155" s="870"/>
      <c r="O155" s="48">
        <f>IF(t&lt;Tnet,'2021'!Resal+('2021'!Salim-'2021'!Resal)*(1-EXP(('2021'!Tnet-t)/('2021'!Tau_j))),Resal+(Salim-Resal)*(1-EXP((Tnet-t)/(Tau_j))))*Salcycl</f>
        <v>0.13130875720866578</v>
      </c>
      <c r="P155" s="341">
        <f>(INDEX(Models!$BJ155:$BT155,,T155)*(1-R155)+INDEX(Models!$BJ155:$BT155,,T155+1)*R155-ERP_i)*Q155*Ramure*Pc/MaxiM</f>
        <v>7.4547666233619437E-4</v>
      </c>
      <c r="Q155" s="307">
        <f t="shared" si="51"/>
        <v>1</v>
      </c>
      <c r="R155" s="179">
        <f t="shared" si="52"/>
        <v>0.2129189956187045</v>
      </c>
      <c r="S155" s="837">
        <f t="shared" si="53"/>
        <v>0</v>
      </c>
      <c r="T155" s="178">
        <f t="shared" si="54"/>
        <v>6</v>
      </c>
      <c r="U155" s="253">
        <f t="shared" si="55"/>
        <v>0.2129189956187045</v>
      </c>
      <c r="V155" s="385">
        <f t="shared" si="56"/>
        <v>54.253256529642123</v>
      </c>
      <c r="W155" s="404"/>
      <c r="X155" s="157">
        <f t="shared" si="57"/>
        <v>44702</v>
      </c>
      <c r="Y155" s="387">
        <f t="shared" si="58"/>
        <v>43.402951417212023</v>
      </c>
      <c r="Z155" s="387">
        <f t="shared" si="59"/>
        <v>44.828848822966265</v>
      </c>
      <c r="AA155" s="388">
        <f t="shared" si="60"/>
        <v>53.289878817069557</v>
      </c>
      <c r="AB155" s="199">
        <f t="shared" si="61"/>
        <v>44702</v>
      </c>
      <c r="AC155" s="119">
        <f>IF(OR(t&lt;Tnet,NoTnet),'2021'!Resal_s+('2021'!Salim-'2021'!Resal_s)*(1-EXP(('2021'!Tnet_s-t)/'2021'!Tau_j)),Resal_s+(Salim-Resal_s)*(1-EXP((Tnet_s-t)/Tau_j)))*Salcycl</f>
        <v>0.15877367676417192</v>
      </c>
      <c r="AD155" s="233">
        <f>(INDEX(Models!$BJ155:$BT155,,AH155)*(1-AF155)+INDEX(Models!$BJ155:$BT155,,AH155+1)*AF155-ERP_i)*AE155*Ramure*Pc/MaxiM</f>
        <v>7.4547666233619437E-4</v>
      </c>
      <c r="AE155" s="307">
        <f t="shared" si="62"/>
        <v>1</v>
      </c>
      <c r="AF155" s="179">
        <f t="shared" si="63"/>
        <v>0.2129189956187045</v>
      </c>
      <c r="AG155" s="837">
        <f t="shared" si="71"/>
        <v>0</v>
      </c>
      <c r="AH155" s="178">
        <f t="shared" si="64"/>
        <v>6</v>
      </c>
      <c r="AI155" s="227">
        <f t="shared" si="65"/>
        <v>0.2129189956187045</v>
      </c>
      <c r="AJ155" s="267" t="b">
        <f t="shared" si="66"/>
        <v>1</v>
      </c>
      <c r="AK155" s="267" t="b">
        <f t="shared" si="67"/>
        <v>0</v>
      </c>
      <c r="AL155" s="267"/>
      <c r="AM155" s="267"/>
      <c r="AN155" s="75"/>
    </row>
    <row r="156" spans="1:40" s="18" customFormat="1" ht="11.25" x14ac:dyDescent="0.2">
      <c r="A156" s="56">
        <f t="shared" si="68"/>
        <v>44703</v>
      </c>
      <c r="B156" s="618">
        <v>31.847999999999999</v>
      </c>
      <c r="C156" s="866"/>
      <c r="D156" s="395">
        <f t="shared" si="48"/>
        <v>32.89505336264191</v>
      </c>
      <c r="E156" s="387">
        <f t="shared" si="69"/>
        <v>37.880616668692461</v>
      </c>
      <c r="F156" s="387">
        <f t="shared" si="49"/>
        <v>37.891468711285007</v>
      </c>
      <c r="G156" s="110">
        <f t="shared" si="70"/>
        <v>0.58635295251758701</v>
      </c>
      <c r="H156" s="414" t="b">
        <f>Wh_hp&gt;='2021'!Maxi_hp</f>
        <v>0</v>
      </c>
      <c r="I156" s="382">
        <f>IF(H156,Wh_hp,'2021'!Maxi_hp)</f>
        <v>63.08837322256813</v>
      </c>
      <c r="J156" s="85">
        <f>IF(H156,An,'2021'!An_max)</f>
        <v>2019</v>
      </c>
      <c r="K156" s="199">
        <f t="shared" si="50"/>
        <v>44703</v>
      </c>
      <c r="L156" s="147">
        <f>IF(t&lt;Tvie,1-EXP((T0-t)*PertePVj)+'2021'!Pspv,1-EXP((T0-t)*PertePVj)+Pspv)</f>
        <v>3.1830115947798499E-2</v>
      </c>
      <c r="M156" s="870"/>
      <c r="N156" s="870"/>
      <c r="O156" s="48">
        <f>IF(t&lt;Tnet,'2021'!Resal+('2021'!Salim-'2021'!Resal)*(1-EXP(('2021'!Tnet-t)/('2021'!Tau_j))),Resal+(Salim-Resal)*(1-EXP((Tnet-t)/(Tau_j))))*Salcycl</f>
        <v>0.13161251702037405</v>
      </c>
      <c r="P156" s="341">
        <f>(INDEX(Models!$BJ156:$BT156,,T156)*(1-R156)+INDEX(Models!$BJ156:$BT156,,T156+1)*R156-ERP_i)*Q156*Ramure*Pc/MaxiM</f>
        <v>6.9951807564683872E-4</v>
      </c>
      <c r="Q156" s="307">
        <f t="shared" si="51"/>
        <v>1</v>
      </c>
      <c r="R156" s="179">
        <f t="shared" si="52"/>
        <v>0.21907983596248232</v>
      </c>
      <c r="S156" s="837">
        <f t="shared" si="53"/>
        <v>0</v>
      </c>
      <c r="T156" s="178">
        <f t="shared" si="54"/>
        <v>6</v>
      </c>
      <c r="U156" s="253">
        <f t="shared" si="55"/>
        <v>0.21907983596248232</v>
      </c>
      <c r="V156" s="385">
        <f t="shared" si="56"/>
        <v>54.292963047889792</v>
      </c>
      <c r="W156" s="404"/>
      <c r="X156" s="157">
        <f t="shared" si="57"/>
        <v>44703</v>
      </c>
      <c r="Y156" s="387">
        <f t="shared" si="58"/>
        <v>30.842803657818724</v>
      </c>
      <c r="Z156" s="387">
        <f t="shared" si="59"/>
        <v>31.856809601150278</v>
      </c>
      <c r="AA156" s="388">
        <f t="shared" si="60"/>
        <v>37.880616668692461</v>
      </c>
      <c r="AB156" s="199">
        <f t="shared" si="61"/>
        <v>44703</v>
      </c>
      <c r="AC156" s="119">
        <f>IF(OR(t&lt;Tnet,NoTnet),'2021'!Resal_s+('2021'!Salim-'2021'!Resal_s)*(1-EXP(('2021'!Tnet_s-t)/'2021'!Tau_j)),Resal_s+(Salim-Resal_s)*(1-EXP((Tnet_s-t)/Tau_j)))*Salcycl</f>
        <v>0.15902082904898251</v>
      </c>
      <c r="AD156" s="233">
        <f>(INDEX(Models!$BJ156:$BT156,,AH156)*(1-AF156)+INDEX(Models!$BJ156:$BT156,,AH156+1)*AF156-ERP_i)*AE156*Ramure*Pc/MaxiM</f>
        <v>6.9951807564683872E-4</v>
      </c>
      <c r="AE156" s="307">
        <f t="shared" si="62"/>
        <v>1</v>
      </c>
      <c r="AF156" s="179">
        <f t="shared" si="63"/>
        <v>0.21907983596248232</v>
      </c>
      <c r="AG156" s="837">
        <f t="shared" si="71"/>
        <v>0</v>
      </c>
      <c r="AH156" s="178">
        <f t="shared" si="64"/>
        <v>6</v>
      </c>
      <c r="AI156" s="227">
        <f t="shared" si="65"/>
        <v>0.21907983596248232</v>
      </c>
      <c r="AJ156" s="267" t="b">
        <f t="shared" si="66"/>
        <v>1</v>
      </c>
      <c r="AK156" s="267" t="b">
        <f t="shared" si="67"/>
        <v>0</v>
      </c>
      <c r="AL156" s="267"/>
      <c r="AM156" s="267"/>
      <c r="AN156" s="267"/>
    </row>
    <row r="157" spans="1:40" s="18" customFormat="1" ht="11.25" x14ac:dyDescent="0.2">
      <c r="A157" s="56">
        <f t="shared" si="68"/>
        <v>44704</v>
      </c>
      <c r="B157" s="618">
        <v>16.434999999999999</v>
      </c>
      <c r="C157" s="866"/>
      <c r="D157" s="395">
        <f t="shared" si="48"/>
        <v>16.975721664230768</v>
      </c>
      <c r="E157" s="387">
        <f t="shared" si="69"/>
        <v>19.55540770649489</v>
      </c>
      <c r="F157" s="387">
        <f t="shared" si="49"/>
        <v>19.555453731977721</v>
      </c>
      <c r="G157" s="110">
        <f t="shared" si="70"/>
        <v>0.3023160598166289</v>
      </c>
      <c r="H157" s="414" t="b">
        <f>Wh_hp&gt;='2021'!Maxi_hp</f>
        <v>0</v>
      </c>
      <c r="I157" s="382">
        <f>IF(H157,Wh_hp,'2021'!Maxi_hp)</f>
        <v>57.176818430303342</v>
      </c>
      <c r="J157" s="85">
        <f>IF(H157,An,'2021'!An_max)</f>
        <v>2020</v>
      </c>
      <c r="K157" s="199">
        <f t="shared" si="50"/>
        <v>44704</v>
      </c>
      <c r="L157" s="147">
        <f>IF(t&lt;Tvie,1-EXP((T0-t)*PertePVj)+'2021'!Pspv,1-EXP((T0-t)*PertePVj)+Pspv)</f>
        <v>3.1852646675405549E-2</v>
      </c>
      <c r="M157" s="870"/>
      <c r="N157" s="870"/>
      <c r="O157" s="48">
        <f>IF(t&lt;Tnet,'2021'!Resal+('2021'!Salim-'2021'!Resal)*(1-EXP(('2021'!Tnet-t)/('2021'!Tau_j))),Resal+(Salim-Resal)*(1-EXP((Tnet-t)/(Tau_j))))*Salcycl</f>
        <v>0.13191676087670301</v>
      </c>
      <c r="P157" s="341">
        <f>(INDEX(Models!$BJ157:$BT157,,T157)*(1-R157)+INDEX(Models!$BJ157:$BT157,,T157+1)*R157-ERP_i)*Q157*Ramure*Pc/MaxiM</f>
        <v>6.5543241819321916E-4</v>
      </c>
      <c r="Q157" s="307">
        <f t="shared" si="51"/>
        <v>1</v>
      </c>
      <c r="R157" s="179">
        <f t="shared" si="52"/>
        <v>0.2253354998269636</v>
      </c>
      <c r="S157" s="837">
        <f t="shared" si="53"/>
        <v>0</v>
      </c>
      <c r="T157" s="178">
        <f t="shared" si="54"/>
        <v>6</v>
      </c>
      <c r="U157" s="253">
        <f t="shared" si="55"/>
        <v>0.2253354998269636</v>
      </c>
      <c r="V157" s="385">
        <f t="shared" si="56"/>
        <v>54.328131407002907</v>
      </c>
      <c r="W157" s="404"/>
      <c r="X157" s="157">
        <f t="shared" si="57"/>
        <v>44704</v>
      </c>
      <c r="Y157" s="387">
        <f t="shared" si="58"/>
        <v>15.917159916226648</v>
      </c>
      <c r="Z157" s="387">
        <f t="shared" si="59"/>
        <v>16.440844321442917</v>
      </c>
      <c r="AA157" s="388">
        <f t="shared" si="60"/>
        <v>19.55540770649489</v>
      </c>
      <c r="AB157" s="199">
        <f t="shared" si="61"/>
        <v>44704</v>
      </c>
      <c r="AC157" s="119">
        <f>IF(OR(t&lt;Tnet,NoTnet),'2021'!Resal_s+('2021'!Salim-'2021'!Resal_s)*(1-EXP(('2021'!Tnet_s-t)/'2021'!Tau_j)),Resal_s+(Salim-Resal_s)*(1-EXP((Tnet_s-t)/Tau_j)))*Salcycl</f>
        <v>0.15926864997130907</v>
      </c>
      <c r="AD157" s="233">
        <f>(INDEX(Models!$BJ157:$BT157,,AH157)*(1-AF157)+INDEX(Models!$BJ157:$BT157,,AH157+1)*AF157-ERP_i)*AE157*Ramure*Pc/MaxiM</f>
        <v>6.5543241819321916E-4</v>
      </c>
      <c r="AE157" s="307">
        <f t="shared" si="62"/>
        <v>1</v>
      </c>
      <c r="AF157" s="179">
        <f t="shared" si="63"/>
        <v>0.2253354998269636</v>
      </c>
      <c r="AG157" s="837">
        <f t="shared" si="71"/>
        <v>0</v>
      </c>
      <c r="AH157" s="178">
        <f t="shared" si="64"/>
        <v>6</v>
      </c>
      <c r="AI157" s="227">
        <f t="shared" si="65"/>
        <v>0.2253354998269636</v>
      </c>
      <c r="AJ157" s="267" t="b">
        <f t="shared" si="66"/>
        <v>1</v>
      </c>
      <c r="AK157" s="267" t="b">
        <f t="shared" si="67"/>
        <v>0</v>
      </c>
      <c r="AL157" s="267"/>
      <c r="AM157" s="267"/>
      <c r="AN157" s="267"/>
    </row>
    <row r="158" spans="1:40" s="6" customFormat="1" ht="11.25" x14ac:dyDescent="0.2">
      <c r="A158" s="56">
        <f t="shared" si="68"/>
        <v>44705</v>
      </c>
      <c r="B158" s="618">
        <v>13.693</v>
      </c>
      <c r="C158" s="866"/>
      <c r="D158" s="395">
        <f t="shared" si="48"/>
        <v>14.143837316197196</v>
      </c>
      <c r="E158" s="387">
        <f t="shared" si="69"/>
        <v>16.298898558698813</v>
      </c>
      <c r="F158" s="387">
        <f t="shared" si="49"/>
        <v>16.298898558698813</v>
      </c>
      <c r="G158" s="110">
        <f t="shared" si="70"/>
        <v>0.25174464608851893</v>
      </c>
      <c r="H158" s="414" t="b">
        <f>Wh_hp&gt;='2021'!Maxi_hp</f>
        <v>0</v>
      </c>
      <c r="I158" s="382">
        <f>IF(H158,Wh_hp,'2021'!Maxi_hp)</f>
        <v>28.621272020184886</v>
      </c>
      <c r="J158" s="85">
        <f>IF(H158,An,'2021'!An_max)</f>
        <v>2021</v>
      </c>
      <c r="K158" s="199">
        <f t="shared" si="50"/>
        <v>44705</v>
      </c>
      <c r="L158" s="147">
        <f>IF(t&lt;Tvie,1-EXP((T0-t)*PertePVj)+'2021'!Pspv,1-EXP((T0-t)*PertePVj)+Pspv)</f>
        <v>3.1875176878689682E-2</v>
      </c>
      <c r="M158" s="870"/>
      <c r="N158" s="870"/>
      <c r="O158" s="48">
        <f>IF(t&lt;Tnet,'2021'!Resal+('2021'!Salim-'2021'!Resal)*(1-EXP(('2021'!Tnet-t)/('2021'!Tau_j))),Resal+(Salim-Resal)*(1-EXP((Tnet-t)/(Tau_j))))*Salcycl</f>
        <v>0.13222128076571454</v>
      </c>
      <c r="P158" s="341">
        <f>(INDEX(Models!$BJ158:$BT158,,T158)*(1-R158)+INDEX(Models!$BJ158:$BT158,,T158+1)*R158-ERP_i)*Q158*Ramure*Pc/MaxiM</f>
        <v>6.1321270859598421E-4</v>
      </c>
      <c r="Q158" s="307">
        <f t="shared" si="51"/>
        <v>1</v>
      </c>
      <c r="R158" s="179">
        <f t="shared" si="52"/>
        <v>0.23168279117012491</v>
      </c>
      <c r="S158" s="837">
        <f t="shared" si="53"/>
        <v>0</v>
      </c>
      <c r="T158" s="178">
        <f t="shared" si="54"/>
        <v>6</v>
      </c>
      <c r="U158" s="253">
        <f t="shared" si="55"/>
        <v>0.23168279117012491</v>
      </c>
      <c r="V158" s="385">
        <f t="shared" si="56"/>
        <v>54.359063801378277</v>
      </c>
      <c r="W158" s="404"/>
      <c r="X158" s="157">
        <f t="shared" si="57"/>
        <v>44705</v>
      </c>
      <c r="Y158" s="387">
        <f t="shared" si="58"/>
        <v>13.262292572019396</v>
      </c>
      <c r="Z158" s="387">
        <f t="shared" si="59"/>
        <v>13.698948994263699</v>
      </c>
      <c r="AA158" s="388">
        <f t="shared" si="60"/>
        <v>16.298898558698813</v>
      </c>
      <c r="AB158" s="199">
        <f t="shared" si="61"/>
        <v>44705</v>
      </c>
      <c r="AC158" s="119">
        <f>IF(OR(t&lt;Tnet,NoTnet),'2021'!Resal_s+('2021'!Salim-'2021'!Resal_s)*(1-EXP(('2021'!Tnet_s-t)/'2021'!Tau_j)),Resal_s+(Salim-Resal_s)*(1-EXP((Tnet_s-t)/Tau_j)))*Salcycl</f>
        <v>0.15951688729589075</v>
      </c>
      <c r="AD158" s="233">
        <f>(INDEX(Models!$BJ158:$BT158,,AH158)*(1-AF158)+INDEX(Models!$BJ158:$BT158,,AH158+1)*AF158-ERP_i)*AE158*Ramure*Pc/MaxiM</f>
        <v>6.1321270859598421E-4</v>
      </c>
      <c r="AE158" s="307">
        <f t="shared" si="62"/>
        <v>1</v>
      </c>
      <c r="AF158" s="179">
        <f t="shared" si="63"/>
        <v>0.23168279117012491</v>
      </c>
      <c r="AG158" s="837">
        <f t="shared" si="71"/>
        <v>0</v>
      </c>
      <c r="AH158" s="178">
        <f t="shared" si="64"/>
        <v>6</v>
      </c>
      <c r="AI158" s="227">
        <f t="shared" si="65"/>
        <v>0.23168279117012491</v>
      </c>
      <c r="AJ158" s="267" t="b">
        <f t="shared" si="66"/>
        <v>1</v>
      </c>
      <c r="AK158" s="267" t="b">
        <f t="shared" si="67"/>
        <v>0</v>
      </c>
      <c r="AL158" s="267"/>
      <c r="AM158" s="267"/>
      <c r="AN158" s="75"/>
    </row>
    <row r="159" spans="1:40" s="6" customFormat="1" ht="11.25" x14ac:dyDescent="0.2">
      <c r="A159" s="56">
        <f t="shared" si="68"/>
        <v>44706</v>
      </c>
      <c r="B159" s="618">
        <v>38.094000000000001</v>
      </c>
      <c r="C159" s="866"/>
      <c r="D159" s="395">
        <f t="shared" si="48"/>
        <v>39.349147562234336</v>
      </c>
      <c r="E159" s="387">
        <f t="shared" si="69"/>
        <v>45.360600314550659</v>
      </c>
      <c r="F159" s="387">
        <f t="shared" si="49"/>
        <v>45.375470097840569</v>
      </c>
      <c r="G159" s="110">
        <f t="shared" si="70"/>
        <v>0.70026504240736298</v>
      </c>
      <c r="H159" s="414" t="b">
        <f>Wh_hp&gt;='2021'!Maxi_hp</f>
        <v>0</v>
      </c>
      <c r="I159" s="382">
        <f>IF(H159,Wh_hp,'2021'!Maxi_hp)</f>
        <v>59.3893737120083</v>
      </c>
      <c r="J159" s="85">
        <f>IF(H159,An,'2021'!An_max)</f>
        <v>2020</v>
      </c>
      <c r="K159" s="199">
        <f t="shared" si="50"/>
        <v>44706</v>
      </c>
      <c r="L159" s="147">
        <f>IF(t&lt;Tvie,1-EXP((T0-t)*PertePVj)+'2021'!Pspv,1-EXP((T0-t)*PertePVj)+Pspv)</f>
        <v>3.1897706557663108E-2</v>
      </c>
      <c r="M159" s="870"/>
      <c r="N159" s="870"/>
      <c r="O159" s="48">
        <f>IF(t&lt;Tnet,'2021'!Resal+('2021'!Salim-'2021'!Resal)*(1-EXP(('2021'!Tnet-t)/('2021'!Tau_j))),Resal+(Salim-Resal)*(1-EXP((Tnet-t)/(Tau_j))))*Salcycl</f>
        <v>0.13252586408976566</v>
      </c>
      <c r="P159" s="341">
        <f>(INDEX(Models!$BJ159:$BT159,,T159)*(1-R159)+INDEX(Models!$BJ159:$BT159,,T159+1)*R159-ERP_i)*Q159*Ramure*Pc/MaxiM</f>
        <v>5.728587425503787E-4</v>
      </c>
      <c r="Q159" s="307">
        <f t="shared" si="51"/>
        <v>1</v>
      </c>
      <c r="R159" s="179">
        <f t="shared" si="52"/>
        <v>0.23811826275492884</v>
      </c>
      <c r="S159" s="837">
        <f t="shared" si="53"/>
        <v>0</v>
      </c>
      <c r="T159" s="178">
        <f t="shared" si="54"/>
        <v>6</v>
      </c>
      <c r="U159" s="253">
        <f t="shared" si="55"/>
        <v>0.23811826275492884</v>
      </c>
      <c r="V159" s="385">
        <f t="shared" si="56"/>
        <v>54.386062073695534</v>
      </c>
      <c r="W159" s="404"/>
      <c r="X159" s="157">
        <f t="shared" si="57"/>
        <v>44706</v>
      </c>
      <c r="Y159" s="387">
        <f t="shared" si="58"/>
        <v>36.897816252449331</v>
      </c>
      <c r="Z159" s="387">
        <f t="shared" si="59"/>
        <v>38.113551122009689</v>
      </c>
      <c r="AA159" s="388">
        <f t="shared" si="60"/>
        <v>45.360600314550659</v>
      </c>
      <c r="AB159" s="199">
        <f t="shared" si="61"/>
        <v>44706</v>
      </c>
      <c r="AC159" s="119">
        <f>IF(OR(t&lt;Tnet,NoTnet),'2021'!Resal_s+('2021'!Salim-'2021'!Resal_s)*(1-EXP(('2021'!Tnet_s-t)/'2021'!Tau_j)),Resal_s+(Salim-Resal_s)*(1-EXP((Tnet_s-t)/Tau_j)))*Salcycl</f>
        <v>0.15976528401931844</v>
      </c>
      <c r="AD159" s="233">
        <f>(INDEX(Models!$BJ159:$BT159,,AH159)*(1-AF159)+INDEX(Models!$BJ159:$BT159,,AH159+1)*AF159-ERP_i)*AE159*Ramure*Pc/MaxiM</f>
        <v>5.728587425503787E-4</v>
      </c>
      <c r="AE159" s="307">
        <f t="shared" si="62"/>
        <v>1</v>
      </c>
      <c r="AF159" s="179">
        <f t="shared" si="63"/>
        <v>0.23811826275492884</v>
      </c>
      <c r="AG159" s="837">
        <f t="shared" si="71"/>
        <v>0</v>
      </c>
      <c r="AH159" s="178">
        <f t="shared" si="64"/>
        <v>6</v>
      </c>
      <c r="AI159" s="227">
        <f t="shared" si="65"/>
        <v>0.23811826275492884</v>
      </c>
      <c r="AJ159" s="267" t="b">
        <f t="shared" si="66"/>
        <v>1</v>
      </c>
      <c r="AK159" s="267" t="b">
        <f t="shared" si="67"/>
        <v>0</v>
      </c>
      <c r="AL159" s="267"/>
      <c r="AM159" s="267"/>
      <c r="AN159" s="75"/>
    </row>
    <row r="160" spans="1:40" s="6" customFormat="1" ht="11.25" x14ac:dyDescent="0.2">
      <c r="A160" s="56">
        <f t="shared" si="68"/>
        <v>44707</v>
      </c>
      <c r="B160" s="618">
        <v>20.006</v>
      </c>
      <c r="C160" s="866"/>
      <c r="D160" s="395">
        <f t="shared" si="48"/>
        <v>20.665652498914621</v>
      </c>
      <c r="E160" s="387">
        <f t="shared" si="69"/>
        <v>23.831151345976171</v>
      </c>
      <c r="F160" s="387">
        <f t="shared" si="49"/>
        <v>23.832382922293608</v>
      </c>
      <c r="G160" s="110">
        <f t="shared" si="70"/>
        <v>0.36751613564088348</v>
      </c>
      <c r="H160" s="414" t="b">
        <f>Wh_hp&gt;='2021'!Maxi_hp</f>
        <v>0</v>
      </c>
      <c r="I160" s="382">
        <f>IF(H160,Wh_hp,'2021'!Maxi_hp)</f>
        <v>63.356163340026761</v>
      </c>
      <c r="J160" s="85">
        <f>IF(H160,An,'2021'!An_max)</f>
        <v>2020</v>
      </c>
      <c r="K160" s="199">
        <f t="shared" si="50"/>
        <v>44707</v>
      </c>
      <c r="L160" s="147">
        <f>IF(t&lt;Tvie,1-EXP((T0-t)*PertePVj)+'2021'!Pspv,1-EXP((T0-t)*PertePVj)+Pspv)</f>
        <v>3.192023571233793E-2</v>
      </c>
      <c r="M160" s="870"/>
      <c r="N160" s="870"/>
      <c r="O160" s="48">
        <f>IF(t&lt;Tnet,'2021'!Resal+('2021'!Salim-'2021'!Resal)*(1-EXP(('2021'!Tnet-t)/('2021'!Tau_j))),Resal+(Salim-Resal)*(1-EXP((Tnet-t)/(Tau_j))))*Salcycl</f>
        <v>0.13283029431123292</v>
      </c>
      <c r="P160" s="341">
        <f>(INDEX(Models!$BJ160:$BT160,,T160)*(1-R160)+INDEX(Models!$BJ160:$BT160,,T160+1)*R160-ERP_i)*Q160*Ramure*Pc/MaxiM</f>
        <v>5.3437250434375716E-4</v>
      </c>
      <c r="Q160" s="307">
        <f t="shared" si="51"/>
        <v>1</v>
      </c>
      <c r="R160" s="179">
        <f t="shared" si="52"/>
        <v>0.24463822003209409</v>
      </c>
      <c r="S160" s="837">
        <f t="shared" si="53"/>
        <v>0</v>
      </c>
      <c r="T160" s="178">
        <f t="shared" si="54"/>
        <v>6</v>
      </c>
      <c r="U160" s="253">
        <f t="shared" si="55"/>
        <v>0.24463822003209409</v>
      </c>
      <c r="V160" s="385">
        <f t="shared" si="56"/>
        <v>54.409427906181811</v>
      </c>
      <c r="W160" s="404"/>
      <c r="X160" s="157">
        <f t="shared" si="57"/>
        <v>44707</v>
      </c>
      <c r="Y160" s="387">
        <f t="shared" si="58"/>
        <v>19.378869239914064</v>
      </c>
      <c r="Z160" s="387">
        <f t="shared" si="59"/>
        <v>20.017843523641393</v>
      </c>
      <c r="AA160" s="388">
        <f t="shared" si="60"/>
        <v>23.831151345976171</v>
      </c>
      <c r="AB160" s="199">
        <f t="shared" si="61"/>
        <v>44707</v>
      </c>
      <c r="AC160" s="119">
        <f>IF(OR(t&lt;Tnet,NoTnet),'2021'!Resal_s+('2021'!Salim-'2021'!Resal_s)*(1-EXP(('2021'!Tnet_s-t)/'2021'!Tau_j)),Resal_s+(Salim-Resal_s)*(1-EXP((Tnet_s-t)/Tau_j)))*Salcycl</f>
        <v>0.1600135791583836</v>
      </c>
      <c r="AD160" s="233">
        <f>(INDEX(Models!$BJ160:$BT160,,AH160)*(1-AF160)+INDEX(Models!$BJ160:$BT160,,AH160+1)*AF160-ERP_i)*AE160*Ramure*Pc/MaxiM</f>
        <v>5.3437250434375716E-4</v>
      </c>
      <c r="AE160" s="307">
        <f t="shared" si="62"/>
        <v>1</v>
      </c>
      <c r="AF160" s="179">
        <f t="shared" si="63"/>
        <v>0.24463822003209409</v>
      </c>
      <c r="AG160" s="837">
        <f t="shared" si="71"/>
        <v>0</v>
      </c>
      <c r="AH160" s="178">
        <f t="shared" si="64"/>
        <v>6</v>
      </c>
      <c r="AI160" s="227">
        <f t="shared" si="65"/>
        <v>0.24463822003209409</v>
      </c>
      <c r="AJ160" s="267" t="b">
        <f t="shared" si="66"/>
        <v>1</v>
      </c>
      <c r="AK160" s="267" t="b">
        <f t="shared" si="67"/>
        <v>0</v>
      </c>
      <c r="AL160" s="267"/>
      <c r="AM160" s="267"/>
      <c r="AN160" s="75"/>
    </row>
    <row r="161" spans="1:40" s="6" customFormat="1" ht="11.25" x14ac:dyDescent="0.2">
      <c r="A161" s="56">
        <f t="shared" si="68"/>
        <v>44708</v>
      </c>
      <c r="B161" s="618">
        <v>37.920999999999999</v>
      </c>
      <c r="C161" s="866"/>
      <c r="D161" s="395">
        <f t="shared" si="48"/>
        <v>39.172270608827276</v>
      </c>
      <c r="E161" s="387">
        <f t="shared" si="69"/>
        <v>45.188398782211138</v>
      </c>
      <c r="F161" s="387">
        <f t="shared" si="49"/>
        <v>45.201149417079144</v>
      </c>
      <c r="G161" s="110">
        <f t="shared" si="70"/>
        <v>0.69654957593324873</v>
      </c>
      <c r="H161" s="414" t="b">
        <f>Wh_hp&gt;='2021'!Maxi_hp</f>
        <v>0</v>
      </c>
      <c r="I161" s="382">
        <f>IF(H161,Wh_hp,'2021'!Maxi_hp)</f>
        <v>62.931716158042121</v>
      </c>
      <c r="J161" s="85">
        <f>IF(H161,An,'2021'!An_max)</f>
        <v>2021</v>
      </c>
      <c r="K161" s="199">
        <f t="shared" si="50"/>
        <v>44708</v>
      </c>
      <c r="L161" s="147">
        <f>IF(t&lt;Tvie,1-EXP((T0-t)*PertePVj)+'2021'!Pspv,1-EXP((T0-t)*PertePVj)+Pspv)</f>
        <v>3.194276434272636E-2</v>
      </c>
      <c r="M161" s="870"/>
      <c r="N161" s="870"/>
      <c r="O161" s="48">
        <f>IF(t&lt;Tnet,'2021'!Resal+('2021'!Salim-'2021'!Resal)*(1-EXP(('2021'!Tnet-t)/('2021'!Tau_j))),Resal+(Salim-Resal)*(1-EXP((Tnet-t)/(Tau_j))))*Salcycl</f>
        <v>0.13313435163699955</v>
      </c>
      <c r="P161" s="341">
        <f>(INDEX(Models!$BJ161:$BT161,,T161)*(1-R161)+INDEX(Models!$BJ161:$BT161,,T161+1)*R161-ERP_i)*Q161*Ramure*Pc/MaxiM</f>
        <v>4.9775806475342501E-4</v>
      </c>
      <c r="Q161" s="307">
        <f t="shared" si="51"/>
        <v>1</v>
      </c>
      <c r="R161" s="179">
        <f t="shared" si="52"/>
        <v>0.25123872637946026</v>
      </c>
      <c r="S161" s="837">
        <f t="shared" si="53"/>
        <v>0</v>
      </c>
      <c r="T161" s="178">
        <f t="shared" si="54"/>
        <v>6</v>
      </c>
      <c r="U161" s="253">
        <f t="shared" si="55"/>
        <v>0.25123872637946026</v>
      </c>
      <c r="V161" s="385">
        <f t="shared" si="56"/>
        <v>54.429462771268582</v>
      </c>
      <c r="W161" s="404"/>
      <c r="X161" s="157">
        <f t="shared" si="57"/>
        <v>44708</v>
      </c>
      <c r="Y161" s="387">
        <f t="shared" si="58"/>
        <v>36.734323701967774</v>
      </c>
      <c r="Z161" s="387">
        <f t="shared" si="59"/>
        <v>37.946437822993573</v>
      </c>
      <c r="AA161" s="388">
        <f t="shared" si="60"/>
        <v>45.188398782211138</v>
      </c>
      <c r="AB161" s="199">
        <f t="shared" si="61"/>
        <v>44708</v>
      </c>
      <c r="AC161" s="119">
        <f>IF(OR(t&lt;Tnet,NoTnet),'2021'!Resal_s+('2021'!Salim-'2021'!Resal_s)*(1-EXP(('2021'!Tnet_s-t)/'2021'!Tau_j)),Resal_s+(Salim-Resal_s)*(1-EXP((Tnet_s-t)/Tau_j)))*Salcycl</f>
        <v>0.1602615085814556</v>
      </c>
      <c r="AD161" s="233">
        <f>(INDEX(Models!$BJ161:$BT161,,AH161)*(1-AF161)+INDEX(Models!$BJ161:$BT161,,AH161+1)*AF161-ERP_i)*AE161*Ramure*Pc/MaxiM</f>
        <v>4.9775806475342501E-4</v>
      </c>
      <c r="AE161" s="307">
        <f t="shared" si="62"/>
        <v>1</v>
      </c>
      <c r="AF161" s="179">
        <f t="shared" si="63"/>
        <v>0.25123872637946026</v>
      </c>
      <c r="AG161" s="837">
        <f t="shared" si="71"/>
        <v>0</v>
      </c>
      <c r="AH161" s="178">
        <f t="shared" si="64"/>
        <v>6</v>
      </c>
      <c r="AI161" s="227">
        <f t="shared" si="65"/>
        <v>0.25123872637946026</v>
      </c>
      <c r="AJ161" s="267" t="b">
        <f t="shared" si="66"/>
        <v>1</v>
      </c>
      <c r="AK161" s="267" t="b">
        <f t="shared" si="67"/>
        <v>0</v>
      </c>
      <c r="AL161" s="267"/>
      <c r="AM161" s="267"/>
      <c r="AN161" s="75"/>
    </row>
    <row r="162" spans="1:40" s="6" customFormat="1" ht="11.25" x14ac:dyDescent="0.2">
      <c r="A162" s="56">
        <f t="shared" si="68"/>
        <v>44709</v>
      </c>
      <c r="B162" s="618">
        <v>50.63</v>
      </c>
      <c r="C162" s="866"/>
      <c r="D162" s="395">
        <f t="shared" si="48"/>
        <v>52.301843730457648</v>
      </c>
      <c r="E162" s="387">
        <f t="shared" si="69"/>
        <v>60.355557350245093</v>
      </c>
      <c r="F162" s="387">
        <f t="shared" si="49"/>
        <v>60.380715335825073</v>
      </c>
      <c r="G162" s="110">
        <f t="shared" si="70"/>
        <v>0.92986108205271767</v>
      </c>
      <c r="H162" s="414" t="b">
        <f>Wh_hp&gt;='2021'!Maxi_hp</f>
        <v>0</v>
      </c>
      <c r="I162" s="382">
        <f>IF(H162,Wh_hp,'2021'!Maxi_hp)</f>
        <v>62.080985179253567</v>
      </c>
      <c r="J162" s="85">
        <f>IF(H162,An,'2021'!An_max)</f>
        <v>2020</v>
      </c>
      <c r="K162" s="199">
        <f t="shared" si="50"/>
        <v>44709</v>
      </c>
      <c r="L162" s="147">
        <f>IF(t&lt;Tvie,1-EXP((T0-t)*PertePVj)+'2021'!Pspv,1-EXP((T0-t)*PertePVj)+Pspv)</f>
        <v>3.1965292448840721E-2</v>
      </c>
      <c r="M162" s="870"/>
      <c r="N162" s="870"/>
      <c r="O162" s="48">
        <f>IF(t&lt;Tnet,'2021'!Resal+('2021'!Salim-'2021'!Resal)*(1-EXP(('2021'!Tnet-t)/('2021'!Tau_j))),Resal+(Salim-Resal)*(1-EXP((Tnet-t)/(Tau_j))))*Salcycl</f>
        <v>0.13343781373853458</v>
      </c>
      <c r="P162" s="341">
        <f>(INDEX(Models!$BJ162:$BT162,,T162)*(1-R162)+INDEX(Models!$BJ162:$BT162,,T162+1)*R162-ERP_i)*Q162*Ramure*Pc/MaxiM</f>
        <v>4.6302147619519849E-4</v>
      </c>
      <c r="Q162" s="307">
        <f t="shared" si="51"/>
        <v>1</v>
      </c>
      <c r="R162" s="179">
        <f t="shared" si="52"/>
        <v>0.2579156097136196</v>
      </c>
      <c r="S162" s="837">
        <f t="shared" si="53"/>
        <v>0</v>
      </c>
      <c r="T162" s="178">
        <f t="shared" si="54"/>
        <v>6</v>
      </c>
      <c r="U162" s="253">
        <f t="shared" si="55"/>
        <v>0.2579156097136196</v>
      </c>
      <c r="V162" s="385">
        <f t="shared" si="56"/>
        <v>54.44646787906094</v>
      </c>
      <c r="W162" s="404"/>
      <c r="X162" s="157">
        <f t="shared" si="57"/>
        <v>44709</v>
      </c>
      <c r="Y162" s="387">
        <f t="shared" si="58"/>
        <v>49.048342787400124</v>
      </c>
      <c r="Z162" s="387">
        <f t="shared" si="59"/>
        <v>50.667958911801712</v>
      </c>
      <c r="AA162" s="388">
        <f t="shared" si="60"/>
        <v>60.355557350245093</v>
      </c>
      <c r="AB162" s="199">
        <f t="shared" si="61"/>
        <v>44709</v>
      </c>
      <c r="AC162" s="119">
        <f>IF(OR(t&lt;Tnet,NoTnet),'2021'!Resal_s+('2021'!Salim-'2021'!Resal_s)*(1-EXP(('2021'!Tnet_s-t)/'2021'!Tau_j)),Resal_s+(Salim-Resal_s)*(1-EXP((Tnet_s-t)/Tau_j)))*Salcycl</f>
        <v>0.16050880587890129</v>
      </c>
      <c r="AD162" s="233">
        <f>(INDEX(Models!$BJ162:$BT162,,AH162)*(1-AF162)+INDEX(Models!$BJ162:$BT162,,AH162+1)*AF162-ERP_i)*AE162*Ramure*Pc/MaxiM</f>
        <v>4.6302147619519849E-4</v>
      </c>
      <c r="AE162" s="307">
        <f t="shared" si="62"/>
        <v>1</v>
      </c>
      <c r="AF162" s="179">
        <f t="shared" si="63"/>
        <v>0.2579156097136196</v>
      </c>
      <c r="AG162" s="837">
        <f t="shared" si="71"/>
        <v>0</v>
      </c>
      <c r="AH162" s="178">
        <f t="shared" si="64"/>
        <v>6</v>
      </c>
      <c r="AI162" s="227">
        <f t="shared" si="65"/>
        <v>0.2579156097136196</v>
      </c>
      <c r="AJ162" s="267" t="b">
        <f t="shared" si="66"/>
        <v>1</v>
      </c>
      <c r="AK162" s="267" t="b">
        <f t="shared" si="67"/>
        <v>0</v>
      </c>
      <c r="AL162" s="267"/>
      <c r="AM162" s="267"/>
      <c r="AN162" s="75"/>
    </row>
    <row r="163" spans="1:40" s="6" customFormat="1" ht="11.25" x14ac:dyDescent="0.2">
      <c r="A163" s="56">
        <f t="shared" si="68"/>
        <v>44710</v>
      </c>
      <c r="B163" s="618">
        <v>55.258000000000003</v>
      </c>
      <c r="C163" s="866"/>
      <c r="D163" s="395">
        <f t="shared" si="48"/>
        <v>57.083992478020356</v>
      </c>
      <c r="E163" s="387">
        <f t="shared" si="69"/>
        <v>65.897100824591192</v>
      </c>
      <c r="F163" s="387">
        <f t="shared" si="49"/>
        <v>65.925460607676627</v>
      </c>
      <c r="G163" s="110">
        <f t="shared" si="70"/>
        <v>1.014659991825851</v>
      </c>
      <c r="H163" s="414" t="b">
        <f>Wh_hp&gt;='2021'!Maxi_hp</f>
        <v>1</v>
      </c>
      <c r="I163" s="382">
        <f>IF(H163,Wh_hp,'2021'!Maxi_hp)</f>
        <v>65.925460607676627</v>
      </c>
      <c r="J163" s="85">
        <f>IF(H163,An,'2021'!An_max)</f>
        <v>2022</v>
      </c>
      <c r="K163" s="199">
        <f t="shared" si="50"/>
        <v>44710</v>
      </c>
      <c r="L163" s="147">
        <f>IF(t&lt;Tvie,1-EXP((T0-t)*PertePVj)+'2021'!Pspv,1-EXP((T0-t)*PertePVj)+Pspv)</f>
        <v>3.1987820030693115E-2</v>
      </c>
      <c r="M163" s="870"/>
      <c r="N163" s="870"/>
      <c r="O163" s="48">
        <f>IF(t&lt;Tnet,'2021'!Resal+('2021'!Salim-'2021'!Resal)*(1-EXP(('2021'!Tnet-t)/('2021'!Tau_j))),Resal+(Salim-Resal)*(1-EXP((Tnet-t)/(Tau_j))))*Salcycl</f>
        <v>0.13374045650399838</v>
      </c>
      <c r="P163" s="341">
        <f>(INDEX(Models!$BJ163:$BT163,,T163)*(1-R163)+INDEX(Models!$BJ163:$BT163,,T163+1)*R163-ERP_i)*Q163*Ramure*Pc/MaxiM</f>
        <v>4.3017952129609905E-4</v>
      </c>
      <c r="Q163" s="307">
        <f t="shared" si="51"/>
        <v>1</v>
      </c>
      <c r="R163" s="179">
        <f t="shared" si="52"/>
        <v>0.26466447047733038</v>
      </c>
      <c r="S163" s="837">
        <f t="shared" si="53"/>
        <v>0</v>
      </c>
      <c r="T163" s="178">
        <f t="shared" si="54"/>
        <v>6</v>
      </c>
      <c r="U163" s="253">
        <f t="shared" si="55"/>
        <v>0.26466447047733038</v>
      </c>
      <c r="V163" s="385">
        <f t="shared" si="56"/>
        <v>54.459622381054814</v>
      </c>
      <c r="W163" s="404"/>
      <c r="X163" s="157">
        <f t="shared" si="57"/>
        <v>44710</v>
      </c>
      <c r="Y163" s="387">
        <f t="shared" si="58"/>
        <v>53.534751017753003</v>
      </c>
      <c r="Z163" s="387">
        <f t="shared" si="59"/>
        <v>55.303798986754948</v>
      </c>
      <c r="AA163" s="388">
        <f t="shared" si="60"/>
        <v>65.897100824591192</v>
      </c>
      <c r="AB163" s="199">
        <f t="shared" si="61"/>
        <v>44710</v>
      </c>
      <c r="AC163" s="119">
        <f>IF(OR(t&lt;Tnet,NoTnet),'2021'!Resal_s+('2021'!Salim-'2021'!Resal_s)*(1-EXP(('2021'!Tnet_s-t)/'2021'!Tau_j)),Resal_s+(Salim-Resal_s)*(1-EXP((Tnet_s-t)/Tau_j)))*Salcycl</f>
        <v>0.16075520326810921</v>
      </c>
      <c r="AD163" s="233">
        <f>(INDEX(Models!$BJ163:$BT163,,AH163)*(1-AF163)+INDEX(Models!$BJ163:$BT163,,AH163+1)*AF163-ERP_i)*AE163*Ramure*Pc/MaxiM</f>
        <v>4.3017952129609905E-4</v>
      </c>
      <c r="AE163" s="307">
        <f t="shared" si="62"/>
        <v>1</v>
      </c>
      <c r="AF163" s="179">
        <f t="shared" si="63"/>
        <v>0.26466447047733038</v>
      </c>
      <c r="AG163" s="837">
        <f t="shared" si="71"/>
        <v>0</v>
      </c>
      <c r="AH163" s="178">
        <f t="shared" si="64"/>
        <v>6</v>
      </c>
      <c r="AI163" s="227">
        <f t="shared" si="65"/>
        <v>0.26466447047733038</v>
      </c>
      <c r="AJ163" s="267" t="b">
        <f t="shared" si="66"/>
        <v>1</v>
      </c>
      <c r="AK163" s="267" t="b">
        <f t="shared" si="67"/>
        <v>0</v>
      </c>
      <c r="AL163" s="267"/>
      <c r="AM163" s="267"/>
      <c r="AN163" s="75"/>
    </row>
    <row r="164" spans="1:40" s="6" customFormat="1" ht="11.25" x14ac:dyDescent="0.2">
      <c r="A164" s="56">
        <f t="shared" si="68"/>
        <v>44711</v>
      </c>
      <c r="B164" s="618">
        <v>47.244</v>
      </c>
      <c r="C164" s="866"/>
      <c r="D164" s="395">
        <f t="shared" si="48"/>
        <v>48.806306821452552</v>
      </c>
      <c r="E164" s="387">
        <f t="shared" si="69"/>
        <v>56.361058978700662</v>
      </c>
      <c r="F164" s="387">
        <f t="shared" si="49"/>
        <v>56.379360645248326</v>
      </c>
      <c r="G164" s="110">
        <f t="shared" si="70"/>
        <v>0.86730621936348129</v>
      </c>
      <c r="H164" s="414" t="b">
        <f>Wh_hp&gt;='2021'!Maxi_hp</f>
        <v>0</v>
      </c>
      <c r="I164" s="382">
        <f>IF(H164,Wh_hp,'2021'!Maxi_hp)</f>
        <v>63.686724886206711</v>
      </c>
      <c r="J164" s="85">
        <f>IF(H164,An,'2021'!An_max)</f>
        <v>2019</v>
      </c>
      <c r="K164" s="199">
        <f t="shared" si="50"/>
        <v>44711</v>
      </c>
      <c r="L164" s="147">
        <f>IF(t&lt;Tvie,1-EXP((T0-t)*PertePVj)+'2021'!Pspv,1-EXP((T0-t)*PertePVj)+Pspv)</f>
        <v>3.2010347088295754E-2</v>
      </c>
      <c r="M164" s="870"/>
      <c r="N164" s="870"/>
      <c r="O164" s="48">
        <f>IF(t&lt;Tnet,'2021'!Resal+('2021'!Salim-'2021'!Resal)*(1-EXP(('2021'!Tnet-t)/('2021'!Tau_j))),Resal+(Salim-Resal)*(1-EXP((Tnet-t)/(Tau_j))))*Salcycl</f>
        <v>0.13404205481843626</v>
      </c>
      <c r="P164" s="341">
        <f>(INDEX(Models!$BJ164:$BT164,,T164)*(1-R164)+INDEX(Models!$BJ164:$BT164,,T164+1)*R164-ERP_i)*Q164*Ramure*Pc/MaxiM</f>
        <v>4.0049821759623514E-4</v>
      </c>
      <c r="Q164" s="307">
        <f t="shared" si="51"/>
        <v>1</v>
      </c>
      <c r="R164" s="179">
        <f t="shared" si="52"/>
        <v>0.27148069099345296</v>
      </c>
      <c r="S164" s="837">
        <f t="shared" si="53"/>
        <v>0</v>
      </c>
      <c r="T164" s="178">
        <f t="shared" si="54"/>
        <v>6</v>
      </c>
      <c r="U164" s="253">
        <f t="shared" si="55"/>
        <v>0.27148069099345296</v>
      </c>
      <c r="V164" s="385">
        <f t="shared" si="56"/>
        <v>54.467975464523711</v>
      </c>
      <c r="W164" s="404"/>
      <c r="X164" s="157">
        <f t="shared" si="57"/>
        <v>44711</v>
      </c>
      <c r="Y164" s="387">
        <f t="shared" si="58"/>
        <v>45.773233892234686</v>
      </c>
      <c r="Z164" s="387">
        <f t="shared" si="59"/>
        <v>47.286904105378817</v>
      </c>
      <c r="AA164" s="388">
        <f t="shared" si="60"/>
        <v>56.361058978700662</v>
      </c>
      <c r="AB164" s="199">
        <f t="shared" si="61"/>
        <v>44711</v>
      </c>
      <c r="AC164" s="119">
        <f>IF(OR(t&lt;Tnet,NoTnet),'2021'!Resal_s+('2021'!Salim-'2021'!Resal_s)*(1-EXP(('2021'!Tnet_s-t)/'2021'!Tau_j)),Resal_s+(Salim-Resal_s)*(1-EXP((Tnet_s-t)/Tau_j)))*Salcycl</f>
        <v>0.16100043252826485</v>
      </c>
      <c r="AD164" s="233">
        <f>(INDEX(Models!$BJ164:$BT164,,AH164)*(1-AF164)+INDEX(Models!$BJ164:$BT164,,AH164+1)*AF164-ERP_i)*AE164*Ramure*Pc/MaxiM</f>
        <v>4.0049821759623514E-4</v>
      </c>
      <c r="AE164" s="307">
        <f t="shared" si="62"/>
        <v>1</v>
      </c>
      <c r="AF164" s="179">
        <f t="shared" si="63"/>
        <v>0.27148069099345296</v>
      </c>
      <c r="AG164" s="837">
        <f t="shared" si="71"/>
        <v>0</v>
      </c>
      <c r="AH164" s="178">
        <f t="shared" si="64"/>
        <v>6</v>
      </c>
      <c r="AI164" s="227">
        <f t="shared" si="65"/>
        <v>0.27148069099345296</v>
      </c>
      <c r="AJ164" s="267" t="b">
        <f t="shared" si="66"/>
        <v>1</v>
      </c>
      <c r="AK164" s="267" t="b">
        <f t="shared" si="67"/>
        <v>0</v>
      </c>
      <c r="AL164" s="267"/>
      <c r="AM164" s="267"/>
      <c r="AN164" s="75"/>
    </row>
    <row r="165" spans="1:40" s="6" customFormat="1" ht="11.25" x14ac:dyDescent="0.2">
      <c r="A165" s="56">
        <f t="shared" si="68"/>
        <v>44712</v>
      </c>
      <c r="B165" s="618">
        <v>50.640999999999998</v>
      </c>
      <c r="C165" s="866"/>
      <c r="D165" s="395">
        <f t="shared" si="48"/>
        <v>52.316859343636935</v>
      </c>
      <c r="E165" s="387">
        <f t="shared" si="69"/>
        <v>60.435971842045049</v>
      </c>
      <c r="F165" s="387">
        <f t="shared" si="49"/>
        <v>60.456251972971323</v>
      </c>
      <c r="G165" s="110">
        <f t="shared" si="70"/>
        <v>0.92963897444613119</v>
      </c>
      <c r="H165" s="414" t="b">
        <f>Wh_hp&gt;='2021'!Maxi_hp</f>
        <v>0</v>
      </c>
      <c r="I165" s="382">
        <f>IF(H165,Wh_hp,'2021'!Maxi_hp)</f>
        <v>64.708611084195553</v>
      </c>
      <c r="J165" s="85">
        <f>IF(H165,An,'2021'!An_max)</f>
        <v>2019</v>
      </c>
      <c r="K165" s="199">
        <f t="shared" si="50"/>
        <v>44712</v>
      </c>
      <c r="L165" s="147">
        <f>IF(t&lt;Tvie,1-EXP((T0-t)*PertePVj)+'2021'!Pspv,1-EXP((T0-t)*PertePVj)+Pspv)</f>
        <v>3.2032873621660962E-2</v>
      </c>
      <c r="M165" s="870"/>
      <c r="N165" s="870"/>
      <c r="O165" s="48">
        <f>IF(t&lt;Tnet,'2021'!Resal+('2021'!Salim-'2021'!Resal)*(1-EXP(('2021'!Tnet-t)/('2021'!Tau_j))),Resal+(Salim-Resal)*(1-EXP((Tnet-t)/(Tau_j))))*Salcycl</f>
        <v>0.13434238336777576</v>
      </c>
      <c r="P165" s="341">
        <f>(INDEX(Models!$BJ165:$BT165,,T165)*(1-R165)+INDEX(Models!$BJ165:$BT165,,T165+1)*R165-ERP_i)*Q165*Ramure*Pc/MaxiM</f>
        <v>3.7291679270815052E-4</v>
      </c>
      <c r="Q165" s="307">
        <f t="shared" si="51"/>
        <v>1</v>
      </c>
      <c r="R165" s="179">
        <f t="shared" si="52"/>
        <v>0.27835944616293029</v>
      </c>
      <c r="S165" s="837">
        <f t="shared" si="53"/>
        <v>0</v>
      </c>
      <c r="T165" s="178">
        <f t="shared" si="54"/>
        <v>6</v>
      </c>
      <c r="U165" s="253">
        <f t="shared" si="55"/>
        <v>0.27835944616293029</v>
      </c>
      <c r="V165" s="385">
        <f t="shared" si="56"/>
        <v>54.471793317054015</v>
      </c>
      <c r="W165" s="404"/>
      <c r="X165" s="157">
        <f t="shared" si="57"/>
        <v>44712</v>
      </c>
      <c r="Y165" s="387">
        <f t="shared" si="58"/>
        <v>49.067241293879668</v>
      </c>
      <c r="Z165" s="387">
        <f t="shared" si="59"/>
        <v>50.691020342256209</v>
      </c>
      <c r="AA165" s="388">
        <f t="shared" si="60"/>
        <v>60.435971842045049</v>
      </c>
      <c r="AB165" s="199">
        <f t="shared" si="61"/>
        <v>44712</v>
      </c>
      <c r="AC165" s="119">
        <f>IF(OR(t&lt;Tnet,NoTnet),'2021'!Resal_s+('2021'!Salim-'2021'!Resal_s)*(1-EXP(('2021'!Tnet_s-t)/'2021'!Tau_j)),Resal_s+(Salim-Resal_s)*(1-EXP((Tnet_s-t)/Tau_j)))*Salcycl</f>
        <v>0.16124422595963481</v>
      </c>
      <c r="AD165" s="233">
        <f>(INDEX(Models!$BJ165:$BT165,,AH165)*(1-AF165)+INDEX(Models!$BJ165:$BT165,,AH165+1)*AF165-ERP_i)*AE165*Ramure*Pc/MaxiM</f>
        <v>3.7291679270815052E-4</v>
      </c>
      <c r="AE165" s="307">
        <f t="shared" si="62"/>
        <v>1</v>
      </c>
      <c r="AF165" s="179">
        <f t="shared" si="63"/>
        <v>0.27835944616293029</v>
      </c>
      <c r="AG165" s="837">
        <f t="shared" si="71"/>
        <v>0</v>
      </c>
      <c r="AH165" s="178">
        <f t="shared" si="64"/>
        <v>6</v>
      </c>
      <c r="AI165" s="227">
        <f t="shared" si="65"/>
        <v>0.27835944616293029</v>
      </c>
      <c r="AJ165" s="267" t="b">
        <f t="shared" si="66"/>
        <v>1</v>
      </c>
      <c r="AK165" s="267" t="b">
        <f t="shared" si="67"/>
        <v>0</v>
      </c>
      <c r="AL165" s="267"/>
      <c r="AM165" s="267"/>
      <c r="AN165" s="75"/>
    </row>
    <row r="166" spans="1:40" s="6" customFormat="1" ht="11.25" x14ac:dyDescent="0.2">
      <c r="A166" s="56">
        <f t="shared" si="68"/>
        <v>44713</v>
      </c>
      <c r="B166" s="618">
        <v>52.082000000000001</v>
      </c>
      <c r="C166" s="866"/>
      <c r="D166" s="395">
        <f t="shared" si="48"/>
        <v>53.806798426412598</v>
      </c>
      <c r="E166" s="387">
        <f t="shared" si="69"/>
        <v>62.17860095971411</v>
      </c>
      <c r="F166" s="387">
        <f t="shared" si="49"/>
        <v>62.198857046040835</v>
      </c>
      <c r="G166" s="110">
        <f t="shared" si="70"/>
        <v>0.95611599293755245</v>
      </c>
      <c r="H166" s="414" t="b">
        <f>Wh_hp&gt;='2021'!Maxi_hp</f>
        <v>0</v>
      </c>
      <c r="I166" s="382">
        <f>IF(H166,Wh_hp,'2021'!Maxi_hp)</f>
        <v>65.140726705313512</v>
      </c>
      <c r="J166" s="85">
        <f>IF(H166,An,'2021'!An_max)</f>
        <v>2019</v>
      </c>
      <c r="K166" s="199">
        <f t="shared" si="50"/>
        <v>44713</v>
      </c>
      <c r="L166" s="147">
        <f>IF(t&lt;Tvie,1-EXP((T0-t)*PertePVj)+'2021'!Pspv,1-EXP((T0-t)*PertePVj)+Pspv)</f>
        <v>3.2055399630800729E-2</v>
      </c>
      <c r="M166" s="870"/>
      <c r="N166" s="870"/>
      <c r="O166" s="48">
        <f>IF(t&lt;Tnet,'2021'!Resal+('2021'!Salim-'2021'!Resal)*(1-EXP(('2021'!Tnet-t)/('2021'!Tau_j))),Resal+(Salim-Resal)*(1-EXP((Tnet-t)/(Tau_j))))*Salcycl</f>
        <v>0.13464121746202776</v>
      </c>
      <c r="P166" s="341">
        <f>(INDEX(Models!$BJ166:$BT166,,T166)*(1-R166)+INDEX(Models!$BJ166:$BT166,,T166+1)*R166-ERP_i)*Q166*Ramure*Pc/MaxiM</f>
        <v>3.4743756152200178E-4</v>
      </c>
      <c r="Q166" s="307">
        <f t="shared" si="51"/>
        <v>1</v>
      </c>
      <c r="R166" s="179">
        <f t="shared" si="52"/>
        <v>0.28529571547084559</v>
      </c>
      <c r="S166" s="837">
        <f t="shared" si="53"/>
        <v>0</v>
      </c>
      <c r="T166" s="178">
        <f t="shared" si="54"/>
        <v>6</v>
      </c>
      <c r="U166" s="253">
        <f t="shared" si="55"/>
        <v>0.28529571547084559</v>
      </c>
      <c r="V166" s="385">
        <f t="shared" si="56"/>
        <v>54.471283962166325</v>
      </c>
      <c r="W166" s="404"/>
      <c r="X166" s="157">
        <f t="shared" si="57"/>
        <v>44713</v>
      </c>
      <c r="Y166" s="387">
        <f t="shared" si="58"/>
        <v>50.466315822301972</v>
      </c>
      <c r="Z166" s="387">
        <f t="shared" si="59"/>
        <v>52.137607672022554</v>
      </c>
      <c r="AA166" s="388">
        <f t="shared" si="60"/>
        <v>62.17860095971411</v>
      </c>
      <c r="AB166" s="199">
        <f t="shared" si="61"/>
        <v>44713</v>
      </c>
      <c r="AC166" s="119">
        <f>IF(OR(t&lt;Tnet,NoTnet),'2021'!Resal_s+('2021'!Salim-'2021'!Resal_s)*(1-EXP(('2021'!Tnet_s-t)/'2021'!Tau_j)),Resal_s+(Salim-Resal_s)*(1-EXP((Tnet_s-t)/Tau_j)))*Salcycl</f>
        <v>0.16148631736177485</v>
      </c>
      <c r="AD166" s="233">
        <f>(INDEX(Models!$BJ166:$BT166,,AH166)*(1-AF166)+INDEX(Models!$BJ166:$BT166,,AH166+1)*AF166-ERP_i)*AE166*Ramure*Pc/MaxiM</f>
        <v>3.4743756152200178E-4</v>
      </c>
      <c r="AE166" s="307">
        <f t="shared" si="62"/>
        <v>1</v>
      </c>
      <c r="AF166" s="179">
        <f t="shared" si="63"/>
        <v>0.28529571547084559</v>
      </c>
      <c r="AG166" s="837">
        <f t="shared" si="71"/>
        <v>0</v>
      </c>
      <c r="AH166" s="178">
        <f t="shared" si="64"/>
        <v>6</v>
      </c>
      <c r="AI166" s="227">
        <f t="shared" si="65"/>
        <v>0.28529571547084559</v>
      </c>
      <c r="AJ166" s="267" t="b">
        <f t="shared" si="66"/>
        <v>1</v>
      </c>
      <c r="AK166" s="267" t="b">
        <f t="shared" si="67"/>
        <v>0</v>
      </c>
      <c r="AL166" s="267"/>
      <c r="AM166" s="267"/>
      <c r="AN166" s="75"/>
    </row>
    <row r="167" spans="1:40" s="6" customFormat="1" ht="11.25" x14ac:dyDescent="0.2">
      <c r="A167" s="56">
        <f t="shared" si="68"/>
        <v>44714</v>
      </c>
      <c r="B167" s="618">
        <v>40.902999999999999</v>
      </c>
      <c r="C167" s="866"/>
      <c r="D167" s="395">
        <f t="shared" si="48"/>
        <v>42.258567152619669</v>
      </c>
      <c r="E167" s="387">
        <f t="shared" si="69"/>
        <v>48.850352301250226</v>
      </c>
      <c r="F167" s="387">
        <f t="shared" si="49"/>
        <v>48.860553298308275</v>
      </c>
      <c r="G167" s="110">
        <f t="shared" si="70"/>
        <v>0.75088663757940599</v>
      </c>
      <c r="H167" s="414" t="b">
        <f>Wh_hp&gt;='2021'!Maxi_hp</f>
        <v>0</v>
      </c>
      <c r="I167" s="382">
        <f>IF(H167,Wh_hp,'2021'!Maxi_hp)</f>
        <v>63.901540527508928</v>
      </c>
      <c r="J167" s="85">
        <f>IF(H167,An,'2021'!An_max)</f>
        <v>2019</v>
      </c>
      <c r="K167" s="199">
        <f t="shared" si="50"/>
        <v>44714</v>
      </c>
      <c r="L167" s="147">
        <f>IF(t&lt;Tvie,1-EXP((T0-t)*PertePVj)+'2021'!Pspv,1-EXP((T0-t)*PertePVj)+Pspv)</f>
        <v>3.2077925115727379E-2</v>
      </c>
      <c r="M167" s="870"/>
      <c r="N167" s="870"/>
      <c r="O167" s="48">
        <f>IF(t&lt;Tnet,'2021'!Resal+('2021'!Salim-'2021'!Resal)*(1-EXP(('2021'!Tnet-t)/('2021'!Tau_j))),Resal+(Salim-Resal)*(1-EXP((Tnet-t)/(Tau_j))))*Salcycl</f>
        <v>0.13493833387281129</v>
      </c>
      <c r="P167" s="341">
        <f>(INDEX(Models!$BJ167:$BT167,,T167)*(1-R167)+INDEX(Models!$BJ167:$BT167,,T167+1)*R167-ERP_i)*Q167*Ramure*Pc/MaxiM</f>
        <v>3.2406454312234445E-4</v>
      </c>
      <c r="Q167" s="307">
        <f t="shared" si="51"/>
        <v>1</v>
      </c>
      <c r="R167" s="179">
        <f t="shared" si="52"/>
        <v>0.2922842962510232</v>
      </c>
      <c r="S167" s="837">
        <f t="shared" si="53"/>
        <v>0</v>
      </c>
      <c r="T167" s="178">
        <f t="shared" si="54"/>
        <v>6</v>
      </c>
      <c r="U167" s="253">
        <f t="shared" si="55"/>
        <v>0.2922842962510232</v>
      </c>
      <c r="V167" s="385">
        <f t="shared" si="56"/>
        <v>54.46665500933166</v>
      </c>
      <c r="W167" s="404"/>
      <c r="X167" s="157">
        <f t="shared" si="57"/>
        <v>44714</v>
      </c>
      <c r="Y167" s="387">
        <f t="shared" si="58"/>
        <v>39.636368878142484</v>
      </c>
      <c r="Z167" s="387">
        <f t="shared" si="59"/>
        <v>40.949958583062084</v>
      </c>
      <c r="AA167" s="388">
        <f t="shared" si="60"/>
        <v>48.850352301250226</v>
      </c>
      <c r="AB167" s="199">
        <f t="shared" si="61"/>
        <v>44714</v>
      </c>
      <c r="AC167" s="119">
        <f>IF(OR(t&lt;Tnet,NoTnet),'2021'!Resal_s+('2021'!Salim-'2021'!Resal_s)*(1-EXP(('2021'!Tnet_s-t)/'2021'!Tau_j)),Resal_s+(Salim-Resal_s)*(1-EXP((Tnet_s-t)/Tau_j)))*Salcycl</f>
        <v>0.16172644302477118</v>
      </c>
      <c r="AD167" s="233">
        <f>(INDEX(Models!$BJ167:$BT167,,AH167)*(1-AF167)+INDEX(Models!$BJ167:$BT167,,AH167+1)*AF167-ERP_i)*AE167*Ramure*Pc/MaxiM</f>
        <v>3.2406454312234445E-4</v>
      </c>
      <c r="AE167" s="307">
        <f t="shared" si="62"/>
        <v>1</v>
      </c>
      <c r="AF167" s="179">
        <f t="shared" si="63"/>
        <v>0.2922842962510232</v>
      </c>
      <c r="AG167" s="837">
        <f t="shared" si="71"/>
        <v>0</v>
      </c>
      <c r="AH167" s="178">
        <f t="shared" si="64"/>
        <v>6</v>
      </c>
      <c r="AI167" s="227">
        <f t="shared" si="65"/>
        <v>0.2922842962510232</v>
      </c>
      <c r="AJ167" s="267" t="b">
        <f t="shared" si="66"/>
        <v>1</v>
      </c>
      <c r="AK167" s="267" t="b">
        <f t="shared" si="67"/>
        <v>0</v>
      </c>
      <c r="AL167" s="267"/>
      <c r="AM167" s="267"/>
      <c r="AN167" s="75"/>
    </row>
    <row r="168" spans="1:40" s="6" customFormat="1" ht="11.25" x14ac:dyDescent="0.2">
      <c r="A168" s="56">
        <f t="shared" si="68"/>
        <v>44715</v>
      </c>
      <c r="B168" s="618">
        <v>49.57</v>
      </c>
      <c r="C168" s="866"/>
      <c r="D168" s="395">
        <f t="shared" si="48"/>
        <v>51.213992199826379</v>
      </c>
      <c r="E168" s="387">
        <f t="shared" si="69"/>
        <v>59.222914962079003</v>
      </c>
      <c r="F168" s="387">
        <f t="shared" si="49"/>
        <v>59.238552500862696</v>
      </c>
      <c r="G168" s="110">
        <f t="shared" si="70"/>
        <v>0.91020550537935285</v>
      </c>
      <c r="H168" s="414" t="b">
        <f>Wh_hp&gt;='2021'!Maxi_hp</f>
        <v>0</v>
      </c>
      <c r="I168" s="382">
        <f>IF(H168,Wh_hp,'2021'!Maxi_hp)</f>
        <v>59.942123507520741</v>
      </c>
      <c r="J168" s="85">
        <f>IF(H168,An,'2021'!An_max)</f>
        <v>2020</v>
      </c>
      <c r="K168" s="199">
        <f t="shared" si="50"/>
        <v>44715</v>
      </c>
      <c r="L168" s="147">
        <f>IF(t&lt;Tvie,1-EXP((T0-t)*PertePVj)+'2021'!Pspv,1-EXP((T0-t)*PertePVj)+Pspv)</f>
        <v>3.2100450076453013E-2</v>
      </c>
      <c r="M168" s="870"/>
      <c r="N168" s="870"/>
      <c r="O168" s="48">
        <f>IF(t&lt;Tnet,'2021'!Resal+('2021'!Salim-'2021'!Resal)*(1-EXP(('2021'!Tnet-t)/('2021'!Tau_j))),Resal+(Salim-Resal)*(1-EXP((Tnet-t)/(Tau_j))))*Salcycl</f>
        <v>0.1352335116800788</v>
      </c>
      <c r="P168" s="341">
        <f>(INDEX(Models!$BJ168:$BT168,,T168)*(1-R168)+INDEX(Models!$BJ168:$BT168,,T168+1)*R168-ERP_i)*Q168*Ramure*Pc/MaxiM</f>
        <v>3.0280338127493337E-4</v>
      </c>
      <c r="Q168" s="307">
        <f t="shared" si="51"/>
        <v>1</v>
      </c>
      <c r="R168" s="179">
        <f t="shared" si="52"/>
        <v>0.29931981814620384</v>
      </c>
      <c r="S168" s="837">
        <f t="shared" si="53"/>
        <v>0</v>
      </c>
      <c r="T168" s="178">
        <f t="shared" si="54"/>
        <v>6</v>
      </c>
      <c r="U168" s="253">
        <f t="shared" si="55"/>
        <v>0.29931981814620384</v>
      </c>
      <c r="V168" s="385">
        <f t="shared" si="56"/>
        <v>54.458113591970722</v>
      </c>
      <c r="W168" s="404"/>
      <c r="X168" s="157">
        <f t="shared" si="57"/>
        <v>44715</v>
      </c>
      <c r="Y168" s="387">
        <f t="shared" si="58"/>
        <v>48.037739773787344</v>
      </c>
      <c r="Z168" s="387">
        <f t="shared" si="59"/>
        <v>49.630914465846978</v>
      </c>
      <c r="AA168" s="388">
        <f t="shared" si="60"/>
        <v>59.222914962079003</v>
      </c>
      <c r="AB168" s="199">
        <f t="shared" si="61"/>
        <v>44715</v>
      </c>
      <c r="AC168" s="119">
        <f>IF(OR(t&lt;Tnet,NoTnet),'2021'!Resal_s+('2021'!Salim-'2021'!Resal_s)*(1-EXP(('2021'!Tnet_s-t)/'2021'!Tau_j)),Resal_s+(Salim-Resal_s)*(1-EXP((Tnet_s-t)/Tau_j)))*Salcycl</f>
        <v>0.16196434272736951</v>
      </c>
      <c r="AD168" s="233">
        <f>(INDEX(Models!$BJ168:$BT168,,AH168)*(1-AF168)+INDEX(Models!$BJ168:$BT168,,AH168+1)*AF168-ERP_i)*AE168*Ramure*Pc/MaxiM</f>
        <v>3.0280338127493337E-4</v>
      </c>
      <c r="AE168" s="307">
        <f t="shared" si="62"/>
        <v>1</v>
      </c>
      <c r="AF168" s="179">
        <f t="shared" si="63"/>
        <v>0.29931981814620384</v>
      </c>
      <c r="AG168" s="837">
        <f t="shared" si="71"/>
        <v>0</v>
      </c>
      <c r="AH168" s="178">
        <f t="shared" si="64"/>
        <v>6</v>
      </c>
      <c r="AI168" s="227">
        <f t="shared" si="65"/>
        <v>0.29931981814620384</v>
      </c>
      <c r="AJ168" s="267" t="b">
        <f t="shared" si="66"/>
        <v>1</v>
      </c>
      <c r="AK168" s="267" t="b">
        <f t="shared" si="67"/>
        <v>0</v>
      </c>
      <c r="AL168" s="267"/>
      <c r="AM168" s="267"/>
      <c r="AN168" s="75"/>
    </row>
    <row r="169" spans="1:40" s="18" customFormat="1" ht="11.25" x14ac:dyDescent="0.2">
      <c r="A169" s="56">
        <f t="shared" si="68"/>
        <v>44716</v>
      </c>
      <c r="B169" s="618">
        <v>28.148</v>
      </c>
      <c r="C169" s="866"/>
      <c r="D169" s="395">
        <f t="shared" si="48"/>
        <v>29.082206994051415</v>
      </c>
      <c r="E169" s="387">
        <f t="shared" si="69"/>
        <v>33.641526441643592</v>
      </c>
      <c r="F169" s="387">
        <f t="shared" si="49"/>
        <v>33.644484840706014</v>
      </c>
      <c r="G169" s="110">
        <f t="shared" si="70"/>
        <v>0.51688938045548016</v>
      </c>
      <c r="H169" s="414" t="b">
        <f>Wh_hp&gt;='2021'!Maxi_hp</f>
        <v>0</v>
      </c>
      <c r="I169" s="382">
        <f>IF(H169,Wh_hp,'2021'!Maxi_hp)</f>
        <v>57.961791725127831</v>
      </c>
      <c r="J169" s="85">
        <f>IF(H169,An,'2021'!An_max)</f>
        <v>2019</v>
      </c>
      <c r="K169" s="199">
        <f t="shared" si="50"/>
        <v>44716</v>
      </c>
      <c r="L169" s="147">
        <f>IF(t&lt;Tvie,1-EXP((T0-t)*PertePVj)+'2021'!Pspv,1-EXP((T0-t)*PertePVj)+Pspv)</f>
        <v>3.2122974512990066E-2</v>
      </c>
      <c r="M169" s="870"/>
      <c r="N169" s="870"/>
      <c r="O169" s="48">
        <f>IF(t&lt;Tnet,'2021'!Resal+('2021'!Salim-'2021'!Resal)*(1-EXP(('2021'!Tnet-t)/('2021'!Tau_j))),Resal+(Salim-Resal)*(1-EXP((Tnet-t)/(Tau_j))))*Salcycl</f>
        <v>0.13552653312271712</v>
      </c>
      <c r="P169" s="341">
        <f>(INDEX(Models!$BJ169:$BT169,,T169)*(1-R169)+INDEX(Models!$BJ169:$BT169,,T169+1)*R169-ERP_i)*Q169*Ramure*Pc/MaxiM</f>
        <v>2.83661263332827E-4</v>
      </c>
      <c r="Q169" s="307">
        <f t="shared" si="51"/>
        <v>1</v>
      </c>
      <c r="R169" s="179">
        <f t="shared" si="52"/>
        <v>0.30639675868772759</v>
      </c>
      <c r="S169" s="837">
        <f t="shared" si="53"/>
        <v>0</v>
      </c>
      <c r="T169" s="178">
        <f t="shared" si="54"/>
        <v>6</v>
      </c>
      <c r="U169" s="253">
        <f t="shared" si="55"/>
        <v>0.30639675868772759</v>
      </c>
      <c r="V169" s="385">
        <f t="shared" si="56"/>
        <v>54.445866309276354</v>
      </c>
      <c r="W169" s="404"/>
      <c r="X169" s="157">
        <f t="shared" si="57"/>
        <v>44716</v>
      </c>
      <c r="Y169" s="387">
        <f t="shared" si="58"/>
        <v>27.279496755405766</v>
      </c>
      <c r="Z169" s="387">
        <f t="shared" si="59"/>
        <v>28.1848789020273</v>
      </c>
      <c r="AA169" s="388">
        <f t="shared" si="60"/>
        <v>33.641526441643592</v>
      </c>
      <c r="AB169" s="199">
        <f t="shared" si="61"/>
        <v>44716</v>
      </c>
      <c r="AC169" s="119">
        <f>IF(OR(t&lt;Tnet,NoTnet),'2021'!Resal_s+('2021'!Salim-'2021'!Resal_s)*(1-EXP(('2021'!Tnet_s-t)/'2021'!Tau_j)),Resal_s+(Salim-Resal_s)*(1-EXP((Tnet_s-t)/Tau_j)))*Salcycl</f>
        <v>0.16219976073563985</v>
      </c>
      <c r="AD169" s="233">
        <f>(INDEX(Models!$BJ169:$BT169,,AH169)*(1-AF169)+INDEX(Models!$BJ169:$BT169,,AH169+1)*AF169-ERP_i)*AE169*Ramure*Pc/MaxiM</f>
        <v>2.83661263332827E-4</v>
      </c>
      <c r="AE169" s="307">
        <f t="shared" si="62"/>
        <v>1</v>
      </c>
      <c r="AF169" s="179">
        <f t="shared" si="63"/>
        <v>0.30639675868772759</v>
      </c>
      <c r="AG169" s="837">
        <f t="shared" si="71"/>
        <v>0</v>
      </c>
      <c r="AH169" s="178">
        <f t="shared" si="64"/>
        <v>6</v>
      </c>
      <c r="AI169" s="227">
        <f t="shared" si="65"/>
        <v>0.30639675868772759</v>
      </c>
      <c r="AJ169" s="267" t="b">
        <f t="shared" si="66"/>
        <v>1</v>
      </c>
      <c r="AK169" s="267" t="b">
        <f t="shared" si="67"/>
        <v>0</v>
      </c>
      <c r="AL169" s="267"/>
      <c r="AM169" s="267"/>
      <c r="AN169" s="267"/>
    </row>
    <row r="170" spans="1:40" s="18" customFormat="1" ht="11.25" x14ac:dyDescent="0.2">
      <c r="A170" s="56">
        <f t="shared" si="68"/>
        <v>44717</v>
      </c>
      <c r="B170" s="618">
        <v>29.403000000000002</v>
      </c>
      <c r="C170" s="866"/>
      <c r="D170" s="395">
        <f t="shared" si="48"/>
        <v>30.379566300681383</v>
      </c>
      <c r="E170" s="387">
        <f t="shared" ref="E170:E232" si="72">Wh_pvt/(1-Psa)</f>
        <v>35.154096741972573</v>
      </c>
      <c r="F170" s="387">
        <f t="shared" si="49"/>
        <v>35.157317888951418</v>
      </c>
      <c r="G170" s="110">
        <f t="shared" ref="G170:G232" si="73">+Wh_hp/MaxiM</f>
        <v>0.54010268012654439</v>
      </c>
      <c r="H170" s="414" t="b">
        <f>Wh_hp&gt;='2021'!Maxi_hp</f>
        <v>0</v>
      </c>
      <c r="I170" s="382">
        <f>IF(H170,Wh_hp,'2021'!Maxi_hp)</f>
        <v>47.729541453271779</v>
      </c>
      <c r="J170" s="85">
        <f>IF(H170,An,'2021'!An_max)</f>
        <v>2021</v>
      </c>
      <c r="K170" s="199">
        <f t="shared" si="50"/>
        <v>44717</v>
      </c>
      <c r="L170" s="147">
        <f>IF(t&lt;Tvie,1-EXP((T0-t)*PertePVj)+'2021'!Pspv,1-EXP((T0-t)*PertePVj)+Pspv)</f>
        <v>3.2145498425350416E-2</v>
      </c>
      <c r="M170" s="870"/>
      <c r="N170" s="870"/>
      <c r="O170" s="48">
        <f>IF(t&lt;Tnet,'2021'!Resal+('2021'!Salim-'2021'!Resal)*(1-EXP(('2021'!Tnet-t)/('2021'!Tau_j))),Resal+(Salim-Resal)*(1-EXP((Tnet-t)/(Tau_j))))*Salcycl</f>
        <v>0.13581718444754096</v>
      </c>
      <c r="P170" s="341">
        <f>(INDEX(Models!$BJ170:$BT170,,T170)*(1-R170)+INDEX(Models!$BJ170:$BT170,,T170+1)*R170-ERP_i)*Q170*Ramure*Pc/MaxiM</f>
        <v>2.6700812996863351E-4</v>
      </c>
      <c r="Q170" s="307">
        <f t="shared" si="51"/>
        <v>1</v>
      </c>
      <c r="R170" s="179">
        <f t="shared" si="52"/>
        <v>0.31350945990610829</v>
      </c>
      <c r="S170" s="837">
        <f t="shared" si="53"/>
        <v>0</v>
      </c>
      <c r="T170" s="178">
        <f t="shared" si="54"/>
        <v>6</v>
      </c>
      <c r="U170" s="253">
        <f t="shared" si="55"/>
        <v>0.31350945990610829</v>
      </c>
      <c r="V170" s="385">
        <f t="shared" si="56"/>
        <v>54.430099497804783</v>
      </c>
      <c r="W170" s="404"/>
      <c r="X170" s="157">
        <f t="shared" si="57"/>
        <v>44717</v>
      </c>
      <c r="Y170" s="387">
        <f t="shared" si="58"/>
        <v>28.497440962330618</v>
      </c>
      <c r="Z170" s="387">
        <f t="shared" si="59"/>
        <v>29.443930793282199</v>
      </c>
      <c r="AA170" s="388">
        <f t="shared" si="60"/>
        <v>35.154096741972573</v>
      </c>
      <c r="AB170" s="199">
        <f t="shared" si="61"/>
        <v>44717</v>
      </c>
      <c r="AC170" s="119">
        <f>IF(OR(t&lt;Tnet,NoTnet),'2021'!Resal_s+('2021'!Salim-'2021'!Resal_s)*(1-EXP(('2021'!Tnet_s-t)/'2021'!Tau_j)),Resal_s+(Salim-Resal_s)*(1-EXP((Tnet_s-t)/Tau_j)))*Salcycl</f>
        <v>0.16243244679567223</v>
      </c>
      <c r="AD170" s="233">
        <f>(INDEX(Models!$BJ170:$BT170,,AH170)*(1-AF170)+INDEX(Models!$BJ170:$BT170,,AH170+1)*AF170-ERP_i)*AE170*Ramure*Pc/MaxiM</f>
        <v>2.6700812996863351E-4</v>
      </c>
      <c r="AE170" s="307">
        <f t="shared" si="62"/>
        <v>1</v>
      </c>
      <c r="AF170" s="179">
        <f t="shared" si="63"/>
        <v>0.31350945990610829</v>
      </c>
      <c r="AG170" s="837">
        <f t="shared" si="71"/>
        <v>0</v>
      </c>
      <c r="AH170" s="178">
        <f t="shared" si="64"/>
        <v>6</v>
      </c>
      <c r="AI170" s="227">
        <f t="shared" si="65"/>
        <v>0.31350945990610829</v>
      </c>
      <c r="AJ170" s="267" t="b">
        <f t="shared" si="66"/>
        <v>1</v>
      </c>
      <c r="AK170" s="267" t="b">
        <f t="shared" si="67"/>
        <v>0</v>
      </c>
      <c r="AL170" s="267"/>
      <c r="AM170" s="267"/>
      <c r="AN170" s="267"/>
    </row>
    <row r="171" spans="1:40" s="6" customFormat="1" ht="11.25" x14ac:dyDescent="0.2">
      <c r="A171" s="56">
        <f t="shared" si="68"/>
        <v>44718</v>
      </c>
      <c r="B171" s="618">
        <v>39.231000000000002</v>
      </c>
      <c r="C171" s="866"/>
      <c r="D171" s="395">
        <f t="shared" si="48"/>
        <v>40.534928463008612</v>
      </c>
      <c r="E171" s="387">
        <f t="shared" si="72"/>
        <v>46.921142627359693</v>
      </c>
      <c r="F171" s="387">
        <f t="shared" si="49"/>
        <v>46.928250937626778</v>
      </c>
      <c r="G171" s="110">
        <f t="shared" si="73"/>
        <v>0.72093894089537369</v>
      </c>
      <c r="H171" s="414" t="b">
        <f>Wh_hp&gt;='2021'!Maxi_hp</f>
        <v>0</v>
      </c>
      <c r="I171" s="382">
        <f>IF(H171,Wh_hp,'2021'!Maxi_hp)</f>
        <v>63.713317790939129</v>
      </c>
      <c r="J171" s="85">
        <f>IF(H171,An,'2021'!An_max)</f>
        <v>2019</v>
      </c>
      <c r="K171" s="199">
        <f t="shared" si="50"/>
        <v>44718</v>
      </c>
      <c r="L171" s="147">
        <f>IF(t&lt;Tvie,1-EXP((T0-t)*PertePVj)+'2021'!Pspv,1-EXP((T0-t)*PertePVj)+Pspv)</f>
        <v>3.2168021813546499E-2</v>
      </c>
      <c r="M171" s="870"/>
      <c r="N171" s="870"/>
      <c r="O171" s="48">
        <f>IF(t&lt;Tnet,'2021'!Resal+('2021'!Salim-'2021'!Resal)*(1-EXP(('2021'!Tnet-t)/('2021'!Tau_j))),Resal+(Salim-Resal)*(1-EXP((Tnet-t)/(Tau_j))))*Salcycl</f>
        <v>0.13610525675108515</v>
      </c>
      <c r="P171" s="341">
        <f>(INDEX(Models!$BJ171:$BT171,,T171)*(1-R171)+INDEX(Models!$BJ171:$BT171,,T171+1)*R171-ERP_i)*Q171*Ramure*Pc/MaxiM</f>
        <v>2.5184670397926297E-4</v>
      </c>
      <c r="Q171" s="307">
        <f t="shared" si="51"/>
        <v>1</v>
      </c>
      <c r="R171" s="179">
        <f t="shared" si="52"/>
        <v>0.32065214587210422</v>
      </c>
      <c r="S171" s="837">
        <f t="shared" si="53"/>
        <v>0</v>
      </c>
      <c r="T171" s="178">
        <f t="shared" si="54"/>
        <v>6</v>
      </c>
      <c r="U171" s="253">
        <f t="shared" si="55"/>
        <v>0.32065214587210422</v>
      </c>
      <c r="V171" s="385">
        <f t="shared" si="56"/>
        <v>54.411073356501667</v>
      </c>
      <c r="W171" s="404"/>
      <c r="X171" s="157">
        <f t="shared" si="57"/>
        <v>44718</v>
      </c>
      <c r="Y171" s="387">
        <f t="shared" si="58"/>
        <v>38.025003822493922</v>
      </c>
      <c r="Z171" s="387">
        <f t="shared" si="59"/>
        <v>39.288848353353721</v>
      </c>
      <c r="AA171" s="388">
        <f t="shared" si="60"/>
        <v>46.921142627359693</v>
      </c>
      <c r="AB171" s="199">
        <f t="shared" si="61"/>
        <v>44718</v>
      </c>
      <c r="AC171" s="119">
        <f>IF(OR(t&lt;Tnet,NoTnet),'2021'!Resal_s+('2021'!Salim-'2021'!Resal_s)*(1-EXP(('2021'!Tnet_s-t)/'2021'!Tau_j)),Resal_s+(Salim-Resal_s)*(1-EXP((Tnet_s-t)/Tau_j)))*Salcycl</f>
        <v>0.16266215711370133</v>
      </c>
      <c r="AD171" s="233">
        <f>(INDEX(Models!$BJ171:$BT171,,AH171)*(1-AF171)+INDEX(Models!$BJ171:$BT171,,AH171+1)*AF171-ERP_i)*AE171*Ramure*Pc/MaxiM</f>
        <v>2.5184670397926297E-4</v>
      </c>
      <c r="AE171" s="307">
        <f t="shared" si="62"/>
        <v>1</v>
      </c>
      <c r="AF171" s="179">
        <f t="shared" si="63"/>
        <v>0.32065214587210422</v>
      </c>
      <c r="AG171" s="837">
        <f t="shared" si="71"/>
        <v>0</v>
      </c>
      <c r="AH171" s="178">
        <f t="shared" si="64"/>
        <v>6</v>
      </c>
      <c r="AI171" s="227">
        <f t="shared" si="65"/>
        <v>0.32065214587210422</v>
      </c>
      <c r="AJ171" s="267" t="b">
        <f t="shared" si="66"/>
        <v>1</v>
      </c>
      <c r="AK171" s="267" t="b">
        <f t="shared" si="67"/>
        <v>0</v>
      </c>
      <c r="AL171" s="267"/>
      <c r="AM171" s="267"/>
      <c r="AN171" s="75"/>
    </row>
    <row r="172" spans="1:40" s="6" customFormat="1" ht="11.25" x14ac:dyDescent="0.2">
      <c r="A172" s="56">
        <f t="shared" si="68"/>
        <v>44719</v>
      </c>
      <c r="B172" s="618">
        <v>29.524000000000001</v>
      </c>
      <c r="C172" s="866"/>
      <c r="D172" s="395">
        <f t="shared" si="48"/>
        <v>30.506004914122865</v>
      </c>
      <c r="E172" s="387">
        <f t="shared" si="72"/>
        <v>35.323843204110531</v>
      </c>
      <c r="F172" s="387">
        <f t="shared" si="49"/>
        <v>35.326762210816902</v>
      </c>
      <c r="G172" s="110">
        <f t="shared" si="73"/>
        <v>0.54274597717395945</v>
      </c>
      <c r="H172" s="414" t="b">
        <f>Wh_hp&gt;='2021'!Maxi_hp</f>
        <v>0</v>
      </c>
      <c r="I172" s="382">
        <f>IF(H172,Wh_hp,'2021'!Maxi_hp)</f>
        <v>57.56714176960822</v>
      </c>
      <c r="J172" s="85">
        <f>IF(H172,An,'2021'!An_max)</f>
        <v>2021</v>
      </c>
      <c r="K172" s="199">
        <f t="shared" si="50"/>
        <v>44719</v>
      </c>
      <c r="L172" s="147">
        <f>IF(t&lt;Tvie,1-EXP((T0-t)*PertePVj)+'2021'!Pspv,1-EXP((T0-t)*PertePVj)+Pspv)</f>
        <v>3.2190544677590416E-2</v>
      </c>
      <c r="M172" s="870"/>
      <c r="N172" s="870"/>
      <c r="O172" s="48">
        <f>IF(t&lt;Tnet,'2021'!Resal+('2021'!Salim-'2021'!Resal)*(1-EXP(('2021'!Tnet-t)/('2021'!Tau_j))),Resal+(Salim-Resal)*(1-EXP((Tnet-t)/(Tau_j))))*Salcycl</f>
        <v>0.13639054680853727</v>
      </c>
      <c r="P172" s="341">
        <f>(INDEX(Models!$BJ172:$BT172,,T172)*(1-R172)+INDEX(Models!$BJ172:$BT172,,T172+1)*R172-ERP_i)*Q172*Ramure*Pc/MaxiM</f>
        <v>2.3819146296556466E-4</v>
      </c>
      <c r="Q172" s="307">
        <f t="shared" si="51"/>
        <v>1</v>
      </c>
      <c r="R172" s="179">
        <f t="shared" si="52"/>
        <v>0.32781894105706061</v>
      </c>
      <c r="S172" s="837">
        <f t="shared" si="53"/>
        <v>0</v>
      </c>
      <c r="T172" s="178">
        <f t="shared" si="54"/>
        <v>6</v>
      </c>
      <c r="U172" s="253">
        <f t="shared" si="55"/>
        <v>0.32781894105706061</v>
      </c>
      <c r="V172" s="385">
        <f t="shared" si="56"/>
        <v>54.388992325759986</v>
      </c>
      <c r="W172" s="404"/>
      <c r="X172" s="157">
        <f t="shared" si="57"/>
        <v>44719</v>
      </c>
      <c r="Y172" s="387">
        <f t="shared" si="58"/>
        <v>28.618115803488159</v>
      </c>
      <c r="Z172" s="387">
        <f t="shared" si="59"/>
        <v>29.569989883963792</v>
      </c>
      <c r="AA172" s="388">
        <f t="shared" si="60"/>
        <v>35.323843204110531</v>
      </c>
      <c r="AB172" s="199">
        <f t="shared" si="61"/>
        <v>44719</v>
      </c>
      <c r="AC172" s="119">
        <f>IF(OR(t&lt;Tnet,NoTnet),'2021'!Resal_s+('2021'!Salim-'2021'!Resal_s)*(1-EXP(('2021'!Tnet_s-t)/'2021'!Tau_j)),Resal_s+(Salim-Resal_s)*(1-EXP((Tnet_s-t)/Tau_j)))*Salcycl</f>
        <v>0.16288865531701768</v>
      </c>
      <c r="AD172" s="233">
        <f>(INDEX(Models!$BJ172:$BT172,,AH172)*(1-AF172)+INDEX(Models!$BJ172:$BT172,,AH172+1)*AF172-ERP_i)*AE172*Ramure*Pc/MaxiM</f>
        <v>2.3819146296556466E-4</v>
      </c>
      <c r="AE172" s="307">
        <f t="shared" si="62"/>
        <v>1</v>
      </c>
      <c r="AF172" s="179">
        <f t="shared" si="63"/>
        <v>0.32781894105706061</v>
      </c>
      <c r="AG172" s="837">
        <f t="shared" si="71"/>
        <v>0</v>
      </c>
      <c r="AH172" s="178">
        <f t="shared" si="64"/>
        <v>6</v>
      </c>
      <c r="AI172" s="227">
        <f t="shared" si="65"/>
        <v>0.32781894105706061</v>
      </c>
      <c r="AJ172" s="267" t="b">
        <f t="shared" si="66"/>
        <v>1</v>
      </c>
      <c r="AK172" s="267" t="b">
        <f t="shared" si="67"/>
        <v>0</v>
      </c>
      <c r="AL172" s="267"/>
      <c r="AM172" s="267"/>
      <c r="AN172" s="75"/>
    </row>
    <row r="173" spans="1:40" s="6" customFormat="1" ht="11.25" x14ac:dyDescent="0.2">
      <c r="A173" s="56">
        <f t="shared" si="68"/>
        <v>44720</v>
      </c>
      <c r="B173" s="618">
        <v>20.77</v>
      </c>
      <c r="C173" s="866"/>
      <c r="D173" s="395">
        <f t="shared" si="48"/>
        <v>21.461335436707589</v>
      </c>
      <c r="E173" s="387">
        <f t="shared" si="72"/>
        <v>24.85886796528796</v>
      </c>
      <c r="F173" s="387">
        <f t="shared" si="49"/>
        <v>24.859526704583551</v>
      </c>
      <c r="G173" s="110">
        <f t="shared" si="73"/>
        <v>0.38197763388652023</v>
      </c>
      <c r="H173" s="414" t="b">
        <f>Wh_hp&gt;='2021'!Maxi_hp</f>
        <v>0</v>
      </c>
      <c r="I173" s="382">
        <f>IF(H173,Wh_hp,'2021'!Maxi_hp)</f>
        <v>66.080309605009333</v>
      </c>
      <c r="J173" s="85">
        <f>IF(H173,An,'2021'!An_max)</f>
        <v>2019</v>
      </c>
      <c r="K173" s="199">
        <f t="shared" si="50"/>
        <v>44720</v>
      </c>
      <c r="L173" s="147">
        <f>IF(t&lt;Tvie,1-EXP((T0-t)*PertePVj)+'2021'!Pspv,1-EXP((T0-t)*PertePVj)+Pspv)</f>
        <v>3.2213067017494379E-2</v>
      </c>
      <c r="M173" s="870"/>
      <c r="N173" s="870"/>
      <c r="O173" s="48">
        <f>IF(t&lt;Tnet,'2021'!Resal+('2021'!Salim-'2021'!Resal)*(1-EXP(('2021'!Tnet-t)/('2021'!Tau_j))),Resal+(Salim-Resal)*(1-EXP((Tnet-t)/(Tau_j))))*Salcycl</f>
        <v>0.13667285788413874</v>
      </c>
      <c r="P173" s="341">
        <f>(INDEX(Models!$BJ173:$BT173,,T173)*(1-R173)+INDEX(Models!$BJ173:$BT173,,T173+1)*R173-ERP_i)*Q173*Ramure*Pc/MaxiM</f>
        <v>2.2605787558070429E-4</v>
      </c>
      <c r="Q173" s="307">
        <f t="shared" si="51"/>
        <v>1</v>
      </c>
      <c r="R173" s="179">
        <f t="shared" si="52"/>
        <v>0.33500388939163372</v>
      </c>
      <c r="S173" s="837">
        <f t="shared" si="53"/>
        <v>0</v>
      </c>
      <c r="T173" s="178">
        <f t="shared" si="54"/>
        <v>6</v>
      </c>
      <c r="U173" s="253">
        <f t="shared" si="55"/>
        <v>0.33500388939163372</v>
      </c>
      <c r="V173" s="385">
        <f t="shared" si="56"/>
        <v>54.36406008885367</v>
      </c>
      <c r="W173" s="404"/>
      <c r="X173" s="157">
        <f t="shared" si="57"/>
        <v>44720</v>
      </c>
      <c r="Y173" s="387">
        <f t="shared" si="58"/>
        <v>20.133931698601497</v>
      </c>
      <c r="Z173" s="387">
        <f t="shared" si="59"/>
        <v>20.80409541855785</v>
      </c>
      <c r="AA173" s="388">
        <f t="shared" si="60"/>
        <v>24.85886796528796</v>
      </c>
      <c r="AB173" s="199">
        <f t="shared" si="61"/>
        <v>44720</v>
      </c>
      <c r="AC173" s="119">
        <f>IF(OR(t&lt;Tnet,NoTnet),'2021'!Resal_s+('2021'!Salim-'2021'!Resal_s)*(1-EXP(('2021'!Tnet_s-t)/'2021'!Tau_j)),Resal_s+(Salim-Resal_s)*(1-EXP((Tnet_s-t)/Tau_j)))*Salcycl</f>
        <v>0.16311171338904282</v>
      </c>
      <c r="AD173" s="233">
        <f>(INDEX(Models!$BJ173:$BT173,,AH173)*(1-AF173)+INDEX(Models!$BJ173:$BT173,,AH173+1)*AF173-ERP_i)*AE173*Ramure*Pc/MaxiM</f>
        <v>2.2605787558070429E-4</v>
      </c>
      <c r="AE173" s="307">
        <f t="shared" si="62"/>
        <v>1</v>
      </c>
      <c r="AF173" s="179">
        <f t="shared" si="63"/>
        <v>0.33500388939163372</v>
      </c>
      <c r="AG173" s="837">
        <f t="shared" si="71"/>
        <v>0</v>
      </c>
      <c r="AH173" s="178">
        <f t="shared" si="64"/>
        <v>6</v>
      </c>
      <c r="AI173" s="227">
        <f t="shared" si="65"/>
        <v>0.33500388939163372</v>
      </c>
      <c r="AJ173" s="267" t="b">
        <f t="shared" si="66"/>
        <v>1</v>
      </c>
      <c r="AK173" s="267" t="b">
        <f t="shared" si="67"/>
        <v>0</v>
      </c>
      <c r="AL173" s="267"/>
      <c r="AM173" s="267"/>
      <c r="AN173" s="75"/>
    </row>
    <row r="174" spans="1:40" s="6" customFormat="1" ht="11.25" x14ac:dyDescent="0.2">
      <c r="A174" s="56">
        <f t="shared" si="68"/>
        <v>44721</v>
      </c>
      <c r="B174" s="618">
        <v>41.311999999999998</v>
      </c>
      <c r="C174" s="866"/>
      <c r="D174" s="395">
        <f t="shared" si="48"/>
        <v>42.688075241570999</v>
      </c>
      <c r="E174" s="387">
        <f t="shared" si="72"/>
        <v>49.461994312209228</v>
      </c>
      <c r="F174" s="387">
        <f t="shared" si="49"/>
        <v>49.46900316580097</v>
      </c>
      <c r="G174" s="110">
        <f t="shared" si="73"/>
        <v>0.76024342951889223</v>
      </c>
      <c r="H174" s="414" t="b">
        <f>Wh_hp&gt;='2021'!Maxi_hp</f>
        <v>0</v>
      </c>
      <c r="I174" s="382">
        <f>IF(H174,Wh_hp,'2021'!Maxi_hp)</f>
        <v>60.192808761372696</v>
      </c>
      <c r="J174" s="85">
        <f>IF(H174,An,'2021'!An_max)</f>
        <v>2021</v>
      </c>
      <c r="K174" s="199">
        <f t="shared" si="50"/>
        <v>44721</v>
      </c>
      <c r="L174" s="147">
        <f>IF(t&lt;Tvie,1-EXP((T0-t)*PertePVj)+'2021'!Pspv,1-EXP((T0-t)*PertePVj)+Pspv)</f>
        <v>3.2235588833270601E-2</v>
      </c>
      <c r="M174" s="870"/>
      <c r="N174" s="870"/>
      <c r="O174" s="48">
        <f>IF(t&lt;Tnet,'2021'!Resal+('2021'!Salim-'2021'!Resal)*(1-EXP(('2021'!Tnet-t)/('2021'!Tau_j))),Resal+(Salim-Resal)*(1-EXP((Tnet-t)/(Tau_j))))*Salcycl</f>
        <v>0.13695200051741854</v>
      </c>
      <c r="P174" s="341">
        <f>(INDEX(Models!$BJ174:$BT174,,T174)*(1-R174)+INDEX(Models!$BJ174:$BT174,,T174+1)*R174-ERP_i)*Q174*Ramure*Pc/MaxiM</f>
        <v>2.1546232150996557E-4</v>
      </c>
      <c r="Q174" s="307">
        <f t="shared" si="51"/>
        <v>1</v>
      </c>
      <c r="R174" s="179">
        <f t="shared" si="52"/>
        <v>0.34220097389366194</v>
      </c>
      <c r="S174" s="837">
        <f t="shared" si="53"/>
        <v>0</v>
      </c>
      <c r="T174" s="178">
        <f t="shared" si="54"/>
        <v>6</v>
      </c>
      <c r="U174" s="253">
        <f t="shared" si="55"/>
        <v>0.34220097389366194</v>
      </c>
      <c r="V174" s="385">
        <f t="shared" si="56"/>
        <v>54.336479527531907</v>
      </c>
      <c r="W174" s="404"/>
      <c r="X174" s="157">
        <f t="shared" si="57"/>
        <v>44721</v>
      </c>
      <c r="Y174" s="387">
        <f t="shared" si="58"/>
        <v>40.049296328995439</v>
      </c>
      <c r="Z174" s="387">
        <f t="shared" si="59"/>
        <v>41.383311751165053</v>
      </c>
      <c r="AA174" s="388">
        <f t="shared" si="60"/>
        <v>49.461994312209228</v>
      </c>
      <c r="AB174" s="199">
        <f t="shared" si="61"/>
        <v>44721</v>
      </c>
      <c r="AC174" s="119">
        <f>IF(OR(t&lt;Tnet,NoTnet),'2021'!Resal_s+('2021'!Salim-'2021'!Resal_s)*(1-EXP(('2021'!Tnet_s-t)/'2021'!Tau_j)),Resal_s+(Salim-Resal_s)*(1-EXP((Tnet_s-t)/Tau_j)))*Salcycl</f>
        <v>0.1633311125720224</v>
      </c>
      <c r="AD174" s="233">
        <f>(INDEX(Models!$BJ174:$BT174,,AH174)*(1-AF174)+INDEX(Models!$BJ174:$BT174,,AH174+1)*AF174-ERP_i)*AE174*Ramure*Pc/MaxiM</f>
        <v>2.1546232150996557E-4</v>
      </c>
      <c r="AE174" s="307">
        <f t="shared" si="62"/>
        <v>1</v>
      </c>
      <c r="AF174" s="179">
        <f t="shared" si="63"/>
        <v>0.34220097389366194</v>
      </c>
      <c r="AG174" s="837">
        <f t="shared" si="71"/>
        <v>0</v>
      </c>
      <c r="AH174" s="178">
        <f t="shared" si="64"/>
        <v>6</v>
      </c>
      <c r="AI174" s="227">
        <f t="shared" si="65"/>
        <v>0.34220097389366194</v>
      </c>
      <c r="AJ174" s="267" t="b">
        <f t="shared" si="66"/>
        <v>1</v>
      </c>
      <c r="AK174" s="267" t="b">
        <f t="shared" si="67"/>
        <v>0</v>
      </c>
      <c r="AL174" s="267"/>
      <c r="AM174" s="267"/>
      <c r="AN174" s="75"/>
    </row>
    <row r="175" spans="1:40" s="6" customFormat="1" ht="11.25" x14ac:dyDescent="0.2">
      <c r="A175" s="56">
        <f t="shared" si="68"/>
        <v>44722</v>
      </c>
      <c r="B175" s="618">
        <v>54.264000000000003</v>
      </c>
      <c r="C175" s="866"/>
      <c r="D175" s="395">
        <f t="shared" si="48"/>
        <v>56.072802642660484</v>
      </c>
      <c r="E175" s="387">
        <f t="shared" si="72"/>
        <v>64.991433666846561</v>
      </c>
      <c r="F175" s="387">
        <f t="shared" si="49"/>
        <v>65.004837110945502</v>
      </c>
      <c r="G175" s="110">
        <f t="shared" si="73"/>
        <v>0.99921804532521796</v>
      </c>
      <c r="H175" s="414" t="b">
        <f>Wh_hp&gt;='2021'!Maxi_hp</f>
        <v>1</v>
      </c>
      <c r="I175" s="382">
        <f>IF(H175,Wh_hp,'2021'!Maxi_hp)</f>
        <v>65.004837110945502</v>
      </c>
      <c r="J175" s="85">
        <f>IF(H175,An,'2021'!An_max)</f>
        <v>2022</v>
      </c>
      <c r="K175" s="199">
        <f t="shared" si="50"/>
        <v>44722</v>
      </c>
      <c r="L175" s="147">
        <f>IF(t&lt;Tvie,1-EXP((T0-t)*PertePVj)+'2021'!Pspv,1-EXP((T0-t)*PertePVj)+Pspv)</f>
        <v>3.2258110124931294E-2</v>
      </c>
      <c r="M175" s="870"/>
      <c r="N175" s="870"/>
      <c r="O175" s="48">
        <f>IF(t&lt;Tnet,'2021'!Resal+('2021'!Salim-'2021'!Resal)*(1-EXP(('2021'!Tnet-t)/('2021'!Tau_j))),Resal+(Salim-Resal)*(1-EXP((Tnet-t)/(Tau_j))))*Salcycl</f>
        <v>0.13722779327971102</v>
      </c>
      <c r="P175" s="341">
        <f>(INDEX(Models!$BJ175:$BT175,,T175)*(1-R175)+INDEX(Models!$BJ175:$BT175,,T175+1)*R175-ERP_i)*Q175*Ramure*Pc/MaxiM</f>
        <v>2.0642200968920974E-4</v>
      </c>
      <c r="Q175" s="307">
        <f t="shared" si="51"/>
        <v>1</v>
      </c>
      <c r="R175" s="179">
        <f t="shared" si="52"/>
        <v>0.34940413672907805</v>
      </c>
      <c r="S175" s="837">
        <f t="shared" si="53"/>
        <v>0</v>
      </c>
      <c r="T175" s="178">
        <f t="shared" si="54"/>
        <v>6</v>
      </c>
      <c r="U175" s="253">
        <f t="shared" si="55"/>
        <v>0.34940413672907805</v>
      </c>
      <c r="V175" s="385">
        <f t="shared" si="56"/>
        <v>54.306452672936246</v>
      </c>
      <c r="W175" s="404"/>
      <c r="X175" s="157">
        <f t="shared" si="57"/>
        <v>44722</v>
      </c>
      <c r="Y175" s="387">
        <f t="shared" si="58"/>
        <v>52.608677636932704</v>
      </c>
      <c r="Z175" s="387">
        <f t="shared" si="59"/>
        <v>54.362302786876633</v>
      </c>
      <c r="AA175" s="388">
        <f t="shared" si="60"/>
        <v>64.991433666846561</v>
      </c>
      <c r="AB175" s="199">
        <f t="shared" si="61"/>
        <v>44722</v>
      </c>
      <c r="AC175" s="119">
        <f>IF(OR(t&lt;Tnet,NoTnet),'2021'!Resal_s+('2021'!Salim-'2021'!Resal_s)*(1-EXP(('2021'!Tnet_s-t)/'2021'!Tau_j)),Resal_s+(Salim-Resal_s)*(1-EXP((Tnet_s-t)/Tau_j)))*Salcycl</f>
        <v>0.16354664423093138</v>
      </c>
      <c r="AD175" s="233">
        <f>(INDEX(Models!$BJ175:$BT175,,AH175)*(1-AF175)+INDEX(Models!$BJ175:$BT175,,AH175+1)*AF175-ERP_i)*AE175*Ramure*Pc/MaxiM</f>
        <v>2.0642200968920974E-4</v>
      </c>
      <c r="AE175" s="307">
        <f t="shared" si="62"/>
        <v>1</v>
      </c>
      <c r="AF175" s="179">
        <f t="shared" si="63"/>
        <v>0.34940413672907805</v>
      </c>
      <c r="AG175" s="837">
        <f t="shared" si="71"/>
        <v>0</v>
      </c>
      <c r="AH175" s="178">
        <f t="shared" si="64"/>
        <v>6</v>
      </c>
      <c r="AI175" s="227">
        <f t="shared" si="65"/>
        <v>0.34940413672907805</v>
      </c>
      <c r="AJ175" s="267" t="b">
        <f t="shared" si="66"/>
        <v>1</v>
      </c>
      <c r="AK175" s="267" t="b">
        <f t="shared" si="67"/>
        <v>0</v>
      </c>
      <c r="AL175" s="267"/>
      <c r="AM175" s="267"/>
      <c r="AN175" s="75"/>
    </row>
    <row r="176" spans="1:40" s="6" customFormat="1" ht="11.25" x14ac:dyDescent="0.2">
      <c r="A176" s="56">
        <f t="shared" si="68"/>
        <v>44723</v>
      </c>
      <c r="B176" s="618">
        <v>50.908999999999999</v>
      </c>
      <c r="C176" s="866"/>
      <c r="D176" s="395">
        <f t="shared" si="48"/>
        <v>52.607193392182815</v>
      </c>
      <c r="E176" s="387">
        <f t="shared" si="72"/>
        <v>60.993851901473427</v>
      </c>
      <c r="F176" s="387">
        <f t="shared" si="49"/>
        <v>61.004914058296308</v>
      </c>
      <c r="G176" s="110">
        <f t="shared" si="73"/>
        <v>0.93798012346978421</v>
      </c>
      <c r="H176" s="414" t="b">
        <f>Wh_hp&gt;='2021'!Maxi_hp</f>
        <v>1</v>
      </c>
      <c r="I176" s="382">
        <f>IF(H176,Wh_hp,'2021'!Maxi_hp)</f>
        <v>61.004914058296308</v>
      </c>
      <c r="J176" s="85">
        <f>IF(H176,An,'2021'!An_max)</f>
        <v>2022</v>
      </c>
      <c r="K176" s="199">
        <f t="shared" si="50"/>
        <v>44723</v>
      </c>
      <c r="L176" s="147">
        <f>IF(t&lt;Tvie,1-EXP((T0-t)*PertePVj)+'2021'!Pspv,1-EXP((T0-t)*PertePVj)+Pspv)</f>
        <v>3.228063089248856E-2</v>
      </c>
      <c r="M176" s="870"/>
      <c r="N176" s="870"/>
      <c r="O176" s="48">
        <f>IF(t&lt;Tnet,'2021'!Resal+('2021'!Salim-'2021'!Resal)*(1-EXP(('2021'!Tnet-t)/('2021'!Tau_j))),Resal+(Salim-Resal)*(1-EXP((Tnet-t)/(Tau_j))))*Salcycl</f>
        <v>0.13750006349554744</v>
      </c>
      <c r="P176" s="341">
        <f>(INDEX(Models!$BJ176:$BT176,,T176)*(1-R176)+INDEX(Models!$BJ176:$BT176,,T176+1)*R176-ERP_i)*Q176*Ramure*Pc/MaxiM</f>
        <v>1.9895489490479577E-4</v>
      </c>
      <c r="Q176" s="307">
        <f t="shared" si="51"/>
        <v>1</v>
      </c>
      <c r="R176" s="179">
        <f t="shared" si="52"/>
        <v>0.35660729956449422</v>
      </c>
      <c r="S176" s="837">
        <f t="shared" si="53"/>
        <v>0</v>
      </c>
      <c r="T176" s="178">
        <f t="shared" si="54"/>
        <v>6</v>
      </c>
      <c r="U176" s="253">
        <f t="shared" si="55"/>
        <v>0.35660729956449422</v>
      </c>
      <c r="V176" s="385">
        <f t="shared" si="56"/>
        <v>54.274180668651354</v>
      </c>
      <c r="W176" s="404"/>
      <c r="X176" s="157">
        <f t="shared" si="57"/>
        <v>44723</v>
      </c>
      <c r="Y176" s="387">
        <f t="shared" si="58"/>
        <v>49.359120554045489</v>
      </c>
      <c r="Z176" s="387">
        <f t="shared" si="59"/>
        <v>51.005613951457242</v>
      </c>
      <c r="AA176" s="388">
        <f t="shared" si="60"/>
        <v>60.993851901473427</v>
      </c>
      <c r="AB176" s="199">
        <f t="shared" si="61"/>
        <v>44723</v>
      </c>
      <c r="AC176" s="119">
        <f>IF(OR(t&lt;Tnet,NoTnet),'2021'!Resal_s+('2021'!Salim-'2021'!Resal_s)*(1-EXP(('2021'!Tnet_s-t)/'2021'!Tau_j)),Resal_s+(Salim-Resal_s)*(1-EXP((Tnet_s-t)/Tau_j)))*Salcycl</f>
        <v>0.16375811067237914</v>
      </c>
      <c r="AD176" s="233">
        <f>(INDEX(Models!$BJ176:$BT176,,AH176)*(1-AF176)+INDEX(Models!$BJ176:$BT176,,AH176+1)*AF176-ERP_i)*AE176*Ramure*Pc/MaxiM</f>
        <v>1.9895489490479577E-4</v>
      </c>
      <c r="AE176" s="307">
        <f t="shared" si="62"/>
        <v>1</v>
      </c>
      <c r="AF176" s="179">
        <f t="shared" si="63"/>
        <v>0.35660729956449422</v>
      </c>
      <c r="AG176" s="837">
        <f t="shared" si="71"/>
        <v>0</v>
      </c>
      <c r="AH176" s="178">
        <f t="shared" si="64"/>
        <v>6</v>
      </c>
      <c r="AI176" s="227">
        <f t="shared" si="65"/>
        <v>0.35660729956449422</v>
      </c>
      <c r="AJ176" s="267" t="b">
        <f t="shared" si="66"/>
        <v>1</v>
      </c>
      <c r="AK176" s="267" t="b">
        <f t="shared" si="67"/>
        <v>0</v>
      </c>
      <c r="AL176" s="267"/>
      <c r="AM176" s="267"/>
      <c r="AN176" s="75"/>
    </row>
    <row r="177" spans="1:40" s="6" customFormat="1" ht="11.25" x14ac:dyDescent="0.2">
      <c r="A177" s="56">
        <f t="shared" si="68"/>
        <v>44724</v>
      </c>
      <c r="B177" s="618">
        <v>40.176000000000002</v>
      </c>
      <c r="C177" s="866"/>
      <c r="D177" s="395">
        <f t="shared" si="48"/>
        <v>41.517134262823724</v>
      </c>
      <c r="E177" s="387">
        <f t="shared" si="72"/>
        <v>48.150805654245957</v>
      </c>
      <c r="F177" s="387">
        <f t="shared" si="49"/>
        <v>48.156659837585835</v>
      </c>
      <c r="G177" s="110">
        <f t="shared" si="73"/>
        <v>0.74066886713826785</v>
      </c>
      <c r="H177" s="414" t="b">
        <f>Wh_hp&gt;='2021'!Maxi_hp</f>
        <v>0</v>
      </c>
      <c r="I177" s="382">
        <f>IF(H177,Wh_hp,'2021'!Maxi_hp)</f>
        <v>60.932539305572888</v>
      </c>
      <c r="J177" s="85">
        <f>IF(H177,An,'2021'!An_max)</f>
        <v>2019</v>
      </c>
      <c r="K177" s="199">
        <f t="shared" si="50"/>
        <v>44724</v>
      </c>
      <c r="L177" s="147">
        <f>IF(t&lt;Tvie,1-EXP((T0-t)*PertePVj)+'2021'!Pspv,1-EXP((T0-t)*PertePVj)+Pspv)</f>
        <v>3.2303151135954722E-2</v>
      </c>
      <c r="M177" s="870"/>
      <c r="N177" s="870"/>
      <c r="O177" s="48">
        <f>IF(t&lt;Tnet,'2021'!Resal+('2021'!Salim-'2021'!Resal)*(1-EXP(('2021'!Tnet-t)/('2021'!Tau_j))),Resal+(Salim-Resal)*(1-EXP((Tnet-t)/(Tau_j))))*Salcycl</f>
        <v>0.13776864792369825</v>
      </c>
      <c r="P177" s="341">
        <f>(INDEX(Models!$BJ177:$BT177,,T177)*(1-R177)+INDEX(Models!$BJ177:$BT177,,T177+1)*R177-ERP_i)*Q177*Ramure*Pc/MaxiM</f>
        <v>1.9308272637138358E-4</v>
      </c>
      <c r="Q177" s="307">
        <f t="shared" si="51"/>
        <v>1</v>
      </c>
      <c r="R177" s="179">
        <f t="shared" si="52"/>
        <v>0.36380438406652249</v>
      </c>
      <c r="S177" s="837">
        <f t="shared" si="53"/>
        <v>0</v>
      </c>
      <c r="T177" s="178">
        <f t="shared" si="54"/>
        <v>6</v>
      </c>
      <c r="U177" s="253">
        <f t="shared" si="55"/>
        <v>0.36380438406652249</v>
      </c>
      <c r="V177" s="385">
        <f t="shared" si="56"/>
        <v>54.238983373972523</v>
      </c>
      <c r="W177" s="404"/>
      <c r="X177" s="157">
        <f t="shared" si="57"/>
        <v>44724</v>
      </c>
      <c r="Y177" s="387">
        <f t="shared" si="58"/>
        <v>38.955355758351786</v>
      </c>
      <c r="Z177" s="387">
        <f t="shared" si="59"/>
        <v>40.255743112195198</v>
      </c>
      <c r="AA177" s="388">
        <f t="shared" si="60"/>
        <v>48.150805654245957</v>
      </c>
      <c r="AB177" s="199">
        <f t="shared" si="61"/>
        <v>44724</v>
      </c>
      <c r="AC177" s="119">
        <f>IF(OR(t&lt;Tnet,NoTnet),'2021'!Resal_s+('2021'!Salim-'2021'!Resal_s)*(1-EXP(('2021'!Tnet_s-t)/'2021'!Tau_j)),Resal_s+(Salim-Resal_s)*(1-EXP((Tnet_s-t)/Tau_j)))*Salcycl</f>
        <v>0.16396532591255966</v>
      </c>
      <c r="AD177" s="233">
        <f>(INDEX(Models!$BJ177:$BT177,,AH177)*(1-AF177)+INDEX(Models!$BJ177:$BT177,,AH177+1)*AF177-ERP_i)*AE177*Ramure*Pc/MaxiM</f>
        <v>1.9308272637138358E-4</v>
      </c>
      <c r="AE177" s="307">
        <f t="shared" si="62"/>
        <v>1</v>
      </c>
      <c r="AF177" s="179">
        <f t="shared" si="63"/>
        <v>0.36380438406652249</v>
      </c>
      <c r="AG177" s="837">
        <f t="shared" si="71"/>
        <v>0</v>
      </c>
      <c r="AH177" s="178">
        <f t="shared" si="64"/>
        <v>6</v>
      </c>
      <c r="AI177" s="227">
        <f t="shared" si="65"/>
        <v>0.36380438406652249</v>
      </c>
      <c r="AJ177" s="267" t="b">
        <f t="shared" si="66"/>
        <v>1</v>
      </c>
      <c r="AK177" s="267" t="b">
        <f t="shared" si="67"/>
        <v>0</v>
      </c>
      <c r="AL177" s="267"/>
      <c r="AM177" s="267"/>
      <c r="AN177" s="75"/>
    </row>
    <row r="178" spans="1:40" s="6" customFormat="1" ht="11.25" x14ac:dyDescent="0.2">
      <c r="A178" s="56">
        <f t="shared" si="68"/>
        <v>44725</v>
      </c>
      <c r="B178" s="618">
        <v>49.356999999999999</v>
      </c>
      <c r="C178" s="866"/>
      <c r="D178" s="395">
        <f t="shared" si="48"/>
        <v>51.005796592359118</v>
      </c>
      <c r="E178" s="387">
        <f t="shared" si="72"/>
        <v>59.173750121398101</v>
      </c>
      <c r="F178" s="387">
        <f t="shared" si="49"/>
        <v>59.18350846224822</v>
      </c>
      <c r="G178" s="110">
        <f t="shared" si="73"/>
        <v>0.91062090911088078</v>
      </c>
      <c r="H178" s="414" t="b">
        <f>Wh_hp&gt;='2021'!Maxi_hp</f>
        <v>0</v>
      </c>
      <c r="I178" s="382">
        <f>IF(H178,Wh_hp,'2021'!Maxi_hp)</f>
        <v>63.578698622220735</v>
      </c>
      <c r="J178" s="85">
        <f>IF(H178,An,'2021'!An_max)</f>
        <v>2019</v>
      </c>
      <c r="K178" s="199">
        <f t="shared" si="50"/>
        <v>44725</v>
      </c>
      <c r="L178" s="147">
        <f>IF(t&lt;Tvie,1-EXP((T0-t)*PertePVj)+'2021'!Pspv,1-EXP((T0-t)*PertePVj)+Pspv)</f>
        <v>3.2325670855341881E-2</v>
      </c>
      <c r="M178" s="870"/>
      <c r="N178" s="870"/>
      <c r="O178" s="48">
        <f>IF(t&lt;Tnet,'2021'!Resal+('2021'!Salim-'2021'!Resal)*(1-EXP(('2021'!Tnet-t)/('2021'!Tau_j))),Resal+(Salim-Resal)*(1-EXP((Tnet-t)/(Tau_j))))*Salcycl</f>
        <v>0.13803339339288095</v>
      </c>
      <c r="P178" s="341">
        <f>(INDEX(Models!$BJ178:$BT178,,T178)*(1-R178)+INDEX(Models!$BJ178:$BT178,,T178+1)*R178-ERP_i)*Q178*Ramure*Pc/MaxiM</f>
        <v>1.8901053686127956E-4</v>
      </c>
      <c r="Q178" s="307">
        <f t="shared" si="51"/>
        <v>1</v>
      </c>
      <c r="R178" s="179">
        <f t="shared" si="52"/>
        <v>0.37098933240109561</v>
      </c>
      <c r="S178" s="837">
        <f t="shared" si="53"/>
        <v>0</v>
      </c>
      <c r="T178" s="178">
        <f t="shared" si="54"/>
        <v>6</v>
      </c>
      <c r="U178" s="253">
        <f t="shared" si="55"/>
        <v>0.37098933240109561</v>
      </c>
      <c r="V178" s="385">
        <f t="shared" si="56"/>
        <v>54.200170933528092</v>
      </c>
      <c r="W178" s="404"/>
      <c r="X178" s="157">
        <f t="shared" si="57"/>
        <v>44725</v>
      </c>
      <c r="Y178" s="387">
        <f t="shared" si="58"/>
        <v>47.860501744716998</v>
      </c>
      <c r="Z178" s="387">
        <f t="shared" si="59"/>
        <v>49.459307024318413</v>
      </c>
      <c r="AA178" s="388">
        <f t="shared" si="60"/>
        <v>59.173750121398101</v>
      </c>
      <c r="AB178" s="199">
        <f t="shared" si="61"/>
        <v>44725</v>
      </c>
      <c r="AC178" s="119">
        <f>IF(OR(t&lt;Tnet,NoTnet),'2021'!Resal_s+('2021'!Salim-'2021'!Resal_s)*(1-EXP(('2021'!Tnet_s-t)/'2021'!Tau_j)),Resal_s+(Salim-Resal_s)*(1-EXP((Tnet_s-t)/Tau_j)))*Salcycl</f>
        <v>0.16416811638860118</v>
      </c>
      <c r="AD178" s="233">
        <f>(INDEX(Models!$BJ178:$BT178,,AH178)*(1-AF178)+INDEX(Models!$BJ178:$BT178,,AH178+1)*AF178-ERP_i)*AE178*Ramure*Pc/MaxiM</f>
        <v>1.8901053686127956E-4</v>
      </c>
      <c r="AE178" s="307">
        <f t="shared" si="62"/>
        <v>1</v>
      </c>
      <c r="AF178" s="179">
        <f t="shared" si="63"/>
        <v>0.37098933240109561</v>
      </c>
      <c r="AG178" s="837">
        <f t="shared" si="71"/>
        <v>0</v>
      </c>
      <c r="AH178" s="178">
        <f t="shared" si="64"/>
        <v>6</v>
      </c>
      <c r="AI178" s="227">
        <f t="shared" si="65"/>
        <v>0.37098933240109561</v>
      </c>
      <c r="AJ178" s="267" t="b">
        <f t="shared" si="66"/>
        <v>1</v>
      </c>
      <c r="AK178" s="267" t="b">
        <f t="shared" si="67"/>
        <v>0</v>
      </c>
      <c r="AL178" s="267"/>
      <c r="AM178" s="267"/>
      <c r="AN178" s="75"/>
    </row>
    <row r="179" spans="1:40" s="6" customFormat="1" ht="11.25" x14ac:dyDescent="0.2">
      <c r="A179" s="56">
        <f t="shared" si="68"/>
        <v>44726</v>
      </c>
      <c r="B179" s="618">
        <v>42.39</v>
      </c>
      <c r="C179" s="866"/>
      <c r="D179" s="395">
        <f t="shared" si="48"/>
        <v>43.807079741027266</v>
      </c>
      <c r="E179" s="387">
        <f t="shared" si="72"/>
        <v>50.837626455230371</v>
      </c>
      <c r="F179" s="387">
        <f t="shared" si="49"/>
        <v>50.844128553743509</v>
      </c>
      <c r="G179" s="110">
        <f t="shared" si="73"/>
        <v>0.78266457996226979</v>
      </c>
      <c r="H179" s="414" t="b">
        <f>Wh_hp&gt;='2021'!Maxi_hp</f>
        <v>0</v>
      </c>
      <c r="I179" s="382">
        <f>IF(H179,Wh_hp,'2021'!Maxi_hp)</f>
        <v>54.737043912408573</v>
      </c>
      <c r="J179" s="85">
        <f>IF(H179,An,'2021'!An_max)</f>
        <v>2021</v>
      </c>
      <c r="K179" s="199">
        <f t="shared" si="50"/>
        <v>44726</v>
      </c>
      <c r="L179" s="147">
        <f>IF(t&lt;Tvie,1-EXP((T0-t)*PertePVj)+'2021'!Pspv,1-EXP((T0-t)*PertePVj)+Pspv)</f>
        <v>3.2348190050662251E-2</v>
      </c>
      <c r="M179" s="870"/>
      <c r="N179" s="870"/>
      <c r="O179" s="48">
        <f>IF(t&lt;Tnet,'2021'!Resal+('2021'!Salim-'2021'!Resal)*(1-EXP(('2021'!Tnet-t)/('2021'!Tau_j))),Resal+(Salim-Resal)*(1-EXP((Tnet-t)/(Tau_j))))*Salcycl</f>
        <v>0.13829415738743198</v>
      </c>
      <c r="P179" s="341">
        <f>(INDEX(Models!$BJ179:$BT179,,T179)*(1-R179)+INDEX(Models!$BJ179:$BT179,,T179+1)*R179-ERP_i)*Q179*Ramure*Pc/MaxiM</f>
        <v>1.8544913078274156E-4</v>
      </c>
      <c r="Q179" s="307">
        <f t="shared" si="51"/>
        <v>1</v>
      </c>
      <c r="R179" s="179">
        <f t="shared" si="52"/>
        <v>0.37815612758605194</v>
      </c>
      <c r="S179" s="837">
        <f t="shared" si="53"/>
        <v>0</v>
      </c>
      <c r="T179" s="178">
        <f t="shared" si="54"/>
        <v>6</v>
      </c>
      <c r="U179" s="253">
        <f t="shared" si="55"/>
        <v>0.37815612758605194</v>
      </c>
      <c r="V179" s="385">
        <f t="shared" si="56"/>
        <v>54.158014229637303</v>
      </c>
      <c r="W179" s="404"/>
      <c r="X179" s="157">
        <f t="shared" si="57"/>
        <v>44726</v>
      </c>
      <c r="Y179" s="387">
        <f t="shared" si="58"/>
        <v>41.107428864169549</v>
      </c>
      <c r="Z179" s="387">
        <f t="shared" si="59"/>
        <v>42.481632795500857</v>
      </c>
      <c r="AA179" s="388">
        <f t="shared" si="60"/>
        <v>50.837626455230371</v>
      </c>
      <c r="AB179" s="199">
        <f t="shared" si="61"/>
        <v>44726</v>
      </c>
      <c r="AC179" s="119">
        <f>IF(OR(t&lt;Tnet,NoTnet),'2021'!Resal_s+('2021'!Salim-'2021'!Resal_s)*(1-EXP(('2021'!Tnet_s-t)/'2021'!Tau_j)),Resal_s+(Salim-Resal_s)*(1-EXP((Tnet_s-t)/Tau_j)))*Salcycl</f>
        <v>0.16436632160803444</v>
      </c>
      <c r="AD179" s="233">
        <f>(INDEX(Models!$BJ179:$BT179,,AH179)*(1-AF179)+INDEX(Models!$BJ179:$BT179,,AH179+1)*AF179-ERP_i)*AE179*Ramure*Pc/MaxiM</f>
        <v>1.8544913078274156E-4</v>
      </c>
      <c r="AE179" s="307">
        <f t="shared" si="62"/>
        <v>1</v>
      </c>
      <c r="AF179" s="179">
        <f t="shared" si="63"/>
        <v>0.37815612758605194</v>
      </c>
      <c r="AG179" s="837">
        <f t="shared" si="71"/>
        <v>0</v>
      </c>
      <c r="AH179" s="178">
        <f t="shared" si="64"/>
        <v>6</v>
      </c>
      <c r="AI179" s="227">
        <f t="shared" si="65"/>
        <v>0.37815612758605194</v>
      </c>
      <c r="AJ179" s="267" t="b">
        <f t="shared" si="66"/>
        <v>1</v>
      </c>
      <c r="AK179" s="267" t="b">
        <f t="shared" si="67"/>
        <v>0</v>
      </c>
      <c r="AL179" s="267"/>
      <c r="AM179" s="267"/>
      <c r="AN179" s="75"/>
    </row>
    <row r="180" spans="1:40" s="6" customFormat="1" ht="11.25" x14ac:dyDescent="0.2">
      <c r="A180" s="56">
        <f t="shared" si="68"/>
        <v>44727</v>
      </c>
      <c r="B180" s="618">
        <v>50.067999999999998</v>
      </c>
      <c r="C180" s="866"/>
      <c r="D180" s="395">
        <f t="shared" si="48"/>
        <v>51.742956162342693</v>
      </c>
      <c r="E180" s="387">
        <f t="shared" si="72"/>
        <v>60.065012165098921</v>
      </c>
      <c r="F180" s="387">
        <f t="shared" si="49"/>
        <v>60.074800201950083</v>
      </c>
      <c r="G180" s="110">
        <f t="shared" si="73"/>
        <v>0.9252359058204418</v>
      </c>
      <c r="H180" s="414" t="b">
        <f>Wh_hp&gt;='2021'!Maxi_hp</f>
        <v>1</v>
      </c>
      <c r="I180" s="382">
        <f>IF(H180,Wh_hp,'2021'!Maxi_hp)</f>
        <v>60.074800201950083</v>
      </c>
      <c r="J180" s="85">
        <f>IF(H180,An,'2021'!An_max)</f>
        <v>2022</v>
      </c>
      <c r="K180" s="199">
        <f t="shared" si="50"/>
        <v>44727</v>
      </c>
      <c r="L180" s="147">
        <f>IF(t&lt;Tvie,1-EXP((T0-t)*PertePVj)+'2021'!Pspv,1-EXP((T0-t)*PertePVj)+Pspv)</f>
        <v>3.2370708721928154E-2</v>
      </c>
      <c r="M180" s="870"/>
      <c r="N180" s="870"/>
      <c r="O180" s="48">
        <f>IF(t&lt;Tnet,'2021'!Resal+('2021'!Salim-'2021'!Resal)*(1-EXP(('2021'!Tnet-t)/('2021'!Tau_j))),Resal+(Salim-Resal)*(1-EXP((Tnet-t)/(Tau_j))))*Salcycl</f>
        <v>0.13855080857857216</v>
      </c>
      <c r="P180" s="341">
        <f>(INDEX(Models!$BJ180:$BT180,,T180)*(1-R180)+INDEX(Models!$BJ180:$BT180,,T180+1)*R180-ERP_i)*Q180*Ramure*Pc/MaxiM</f>
        <v>1.8240841523721623E-4</v>
      </c>
      <c r="Q180" s="307">
        <f t="shared" si="51"/>
        <v>1</v>
      </c>
      <c r="R180" s="179">
        <f t="shared" si="52"/>
        <v>0.38529881355204798</v>
      </c>
      <c r="S180" s="837">
        <f t="shared" si="53"/>
        <v>0</v>
      </c>
      <c r="T180" s="178">
        <f t="shared" si="54"/>
        <v>6</v>
      </c>
      <c r="U180" s="253">
        <f t="shared" si="55"/>
        <v>0.38529881355204798</v>
      </c>
      <c r="V180" s="385">
        <f t="shared" si="56"/>
        <v>54.112712576557584</v>
      </c>
      <c r="W180" s="404"/>
      <c r="X180" s="157">
        <f t="shared" si="57"/>
        <v>44727</v>
      </c>
      <c r="Y180" s="387">
        <f t="shared" si="58"/>
        <v>48.556340424863784</v>
      </c>
      <c r="Z180" s="387">
        <f t="shared" si="59"/>
        <v>50.18072609266428</v>
      </c>
      <c r="AA180" s="388">
        <f t="shared" si="60"/>
        <v>60.065012165098921</v>
      </c>
      <c r="AB180" s="199">
        <f t="shared" si="61"/>
        <v>44727</v>
      </c>
      <c r="AC180" s="119">
        <f>IF(OR(t&lt;Tnet,NoTnet),'2021'!Resal_s+('2021'!Salim-'2021'!Resal_s)*(1-EXP(('2021'!Tnet_s-t)/'2021'!Tau_j)),Resal_s+(Salim-Resal_s)*(1-EXP((Tnet_s-t)/Tau_j)))*Salcycl</f>
        <v>0.16455979473151519</v>
      </c>
      <c r="AD180" s="233">
        <f>(INDEX(Models!$BJ180:$BT180,,AH180)*(1-AF180)+INDEX(Models!$BJ180:$BT180,,AH180+1)*AF180-ERP_i)*AE180*Ramure*Pc/MaxiM</f>
        <v>1.8240841523721623E-4</v>
      </c>
      <c r="AE180" s="307">
        <f t="shared" si="62"/>
        <v>1</v>
      </c>
      <c r="AF180" s="179">
        <f t="shared" si="63"/>
        <v>0.38529881355204798</v>
      </c>
      <c r="AG180" s="837">
        <f t="shared" si="71"/>
        <v>0</v>
      </c>
      <c r="AH180" s="178">
        <f t="shared" si="64"/>
        <v>6</v>
      </c>
      <c r="AI180" s="227">
        <f t="shared" si="65"/>
        <v>0.38529881355204798</v>
      </c>
      <c r="AJ180" s="267" t="b">
        <f t="shared" si="66"/>
        <v>1</v>
      </c>
      <c r="AK180" s="267" t="b">
        <f t="shared" si="67"/>
        <v>0</v>
      </c>
      <c r="AL180" s="267"/>
      <c r="AM180" s="267"/>
      <c r="AN180" s="75"/>
    </row>
    <row r="181" spans="1:40" s="6" customFormat="1" ht="11.25" x14ac:dyDescent="0.2">
      <c r="A181" s="56">
        <f t="shared" si="68"/>
        <v>44728</v>
      </c>
      <c r="B181" s="618">
        <v>46.478999999999999</v>
      </c>
      <c r="C181" s="866"/>
      <c r="D181" s="395">
        <f t="shared" si="48"/>
        <v>48.035008942330641</v>
      </c>
      <c r="E181" s="387">
        <f t="shared" si="72"/>
        <v>55.777042442437491</v>
      </c>
      <c r="F181" s="387">
        <f t="shared" si="49"/>
        <v>55.785066605815572</v>
      </c>
      <c r="G181" s="110">
        <f t="shared" si="73"/>
        <v>0.85966492998237531</v>
      </c>
      <c r="H181" s="414" t="b">
        <f>Wh_hp&gt;='2021'!Maxi_hp</f>
        <v>0</v>
      </c>
      <c r="I181" s="382">
        <f>IF(H181,Wh_hp,'2021'!Maxi_hp)</f>
        <v>65.146942528286331</v>
      </c>
      <c r="J181" s="85">
        <f>IF(H181,An,'2021'!An_max)</f>
        <v>2019</v>
      </c>
      <c r="K181" s="199">
        <f t="shared" si="50"/>
        <v>44728</v>
      </c>
      <c r="L181" s="147">
        <f>IF(t&lt;Tvie,1-EXP((T0-t)*PertePVj)+'2021'!Pspv,1-EXP((T0-t)*PertePVj)+Pspv)</f>
        <v>3.2393226869151581E-2</v>
      </c>
      <c r="M181" s="870"/>
      <c r="N181" s="870"/>
      <c r="O181" s="48">
        <f>IF(t&lt;Tnet,'2021'!Resal+('2021'!Salim-'2021'!Resal)*(1-EXP(('2021'!Tnet-t)/('2021'!Tau_j))),Resal+(Salim-Resal)*(1-EXP((Tnet-t)/(Tau_j))))*Salcycl</f>
        <v>0.13880322729726502</v>
      </c>
      <c r="P181" s="341">
        <f>(INDEX(Models!$BJ181:$BT181,,T181)*(1-R181)+INDEX(Models!$BJ181:$BT181,,T181+1)*R181-ERP_i)*Q181*Ramure*Pc/MaxiM</f>
        <v>1.7989856346496539E-4</v>
      </c>
      <c r="Q181" s="307">
        <f t="shared" si="51"/>
        <v>1</v>
      </c>
      <c r="R181" s="179">
        <f t="shared" si="52"/>
        <v>0.39241151477042863</v>
      </c>
      <c r="S181" s="837">
        <f t="shared" si="53"/>
        <v>0</v>
      </c>
      <c r="T181" s="178">
        <f t="shared" si="54"/>
        <v>6</v>
      </c>
      <c r="U181" s="253">
        <f t="shared" si="55"/>
        <v>0.39241151477042863</v>
      </c>
      <c r="V181" s="385">
        <f t="shared" si="56"/>
        <v>54.064464193862946</v>
      </c>
      <c r="W181" s="404"/>
      <c r="X181" s="157">
        <f t="shared" si="57"/>
        <v>44728</v>
      </c>
      <c r="Y181" s="387">
        <f t="shared" si="58"/>
        <v>45.078732530783149</v>
      </c>
      <c r="Z181" s="387">
        <f t="shared" si="59"/>
        <v>46.587863771275195</v>
      </c>
      <c r="AA181" s="388">
        <f t="shared" si="60"/>
        <v>55.777042442437491</v>
      </c>
      <c r="AB181" s="199">
        <f t="shared" si="61"/>
        <v>44728</v>
      </c>
      <c r="AC181" s="119">
        <f>IF(OR(t&lt;Tnet,NoTnet),'2021'!Resal_s+('2021'!Salim-'2021'!Resal_s)*(1-EXP(('2021'!Tnet_s-t)/'2021'!Tau_j)),Resal_s+(Salim-Resal_s)*(1-EXP((Tnet_s-t)/Tau_j)))*Salcycl</f>
        <v>0.16474840308439856</v>
      </c>
      <c r="AD181" s="233">
        <f>(INDEX(Models!$BJ181:$BT181,,AH181)*(1-AF181)+INDEX(Models!$BJ181:$BT181,,AH181+1)*AF181-ERP_i)*AE181*Ramure*Pc/MaxiM</f>
        <v>1.7989856346496539E-4</v>
      </c>
      <c r="AE181" s="307">
        <f t="shared" si="62"/>
        <v>1</v>
      </c>
      <c r="AF181" s="179">
        <f t="shared" si="63"/>
        <v>0.39241151477042863</v>
      </c>
      <c r="AG181" s="837">
        <f t="shared" si="71"/>
        <v>0</v>
      </c>
      <c r="AH181" s="178">
        <f t="shared" si="64"/>
        <v>6</v>
      </c>
      <c r="AI181" s="227">
        <f t="shared" si="65"/>
        <v>0.39241151477042863</v>
      </c>
      <c r="AJ181" s="267" t="b">
        <f t="shared" si="66"/>
        <v>1</v>
      </c>
      <c r="AK181" s="267" t="b">
        <f t="shared" si="67"/>
        <v>0</v>
      </c>
      <c r="AL181" s="267"/>
      <c r="AM181" s="267"/>
      <c r="AN181" s="75"/>
    </row>
    <row r="182" spans="1:40" s="6" customFormat="1" ht="11.25" x14ac:dyDescent="0.2">
      <c r="A182" s="56">
        <f t="shared" si="68"/>
        <v>44729</v>
      </c>
      <c r="B182" s="618">
        <v>47.948999999999998</v>
      </c>
      <c r="C182" s="866"/>
      <c r="D182" s="395">
        <f t="shared" si="48"/>
        <v>49.555374353257697</v>
      </c>
      <c r="E182" s="387">
        <f t="shared" si="72"/>
        <v>57.559033070670601</v>
      </c>
      <c r="F182" s="387">
        <f t="shared" si="49"/>
        <v>57.567633144933239</v>
      </c>
      <c r="G182" s="110">
        <f t="shared" si="73"/>
        <v>0.88769773070351199</v>
      </c>
      <c r="H182" s="414" t="b">
        <f>Wh_hp&gt;='2021'!Maxi_hp</f>
        <v>0</v>
      </c>
      <c r="I182" s="382">
        <f>IF(H182,Wh_hp,'2021'!Maxi_hp)</f>
        <v>64.280395132327001</v>
      </c>
      <c r="J182" s="85">
        <f>IF(H182,An,'2021'!An_max)</f>
        <v>2019</v>
      </c>
      <c r="K182" s="199">
        <f t="shared" si="50"/>
        <v>44729</v>
      </c>
      <c r="L182" s="147">
        <f>IF(t&lt;Tvie,1-EXP((T0-t)*PertePVj)+'2021'!Pspv,1-EXP((T0-t)*PertePVj)+Pspv)</f>
        <v>3.2415744492344856E-2</v>
      </c>
      <c r="M182" s="870"/>
      <c r="N182" s="870"/>
      <c r="O182" s="48">
        <f>IF(t&lt;Tnet,'2021'!Resal+('2021'!Salim-'2021'!Resal)*(1-EXP(('2021'!Tnet-t)/('2021'!Tau_j))),Resal+(Salim-Resal)*(1-EXP((Tnet-t)/(Tau_j))))*Salcycl</f>
        <v>0.13905130594508183</v>
      </c>
      <c r="P182" s="341">
        <f>(INDEX(Models!$BJ182:$BT182,,T182)*(1-R182)+INDEX(Models!$BJ182:$BT182,,T182+1)*R182-ERP_i)*Q182*Ramure*Pc/MaxiM</f>
        <v>1.7792997975161294E-4</v>
      </c>
      <c r="Q182" s="307">
        <f t="shared" si="51"/>
        <v>1</v>
      </c>
      <c r="R182" s="179">
        <f t="shared" si="52"/>
        <v>0.39948845531195232</v>
      </c>
      <c r="S182" s="837">
        <f t="shared" si="53"/>
        <v>0</v>
      </c>
      <c r="T182" s="178">
        <f t="shared" si="54"/>
        <v>6</v>
      </c>
      <c r="U182" s="253">
        <f t="shared" si="55"/>
        <v>0.39948845531195232</v>
      </c>
      <c r="V182" s="385">
        <f t="shared" si="56"/>
        <v>54.013466196413461</v>
      </c>
      <c r="W182" s="404"/>
      <c r="X182" s="157">
        <f t="shared" si="57"/>
        <v>44729</v>
      </c>
      <c r="Y182" s="387">
        <f t="shared" si="58"/>
        <v>46.507619370901914</v>
      </c>
      <c r="Z182" s="387">
        <f t="shared" si="59"/>
        <v>48.065704982457689</v>
      </c>
      <c r="AA182" s="388">
        <f t="shared" si="60"/>
        <v>57.559033070670601</v>
      </c>
      <c r="AB182" s="199">
        <f t="shared" si="61"/>
        <v>44729</v>
      </c>
      <c r="AC182" s="119">
        <f>IF(OR(t&lt;Tnet,NoTnet),'2021'!Resal_s+('2021'!Salim-'2021'!Resal_s)*(1-EXP(('2021'!Tnet_s-t)/'2021'!Tau_j)),Resal_s+(Salim-Resal_s)*(1-EXP((Tnet_s-t)/Tau_j)))*Salcycl</f>
        <v>0.16493202859327163</v>
      </c>
      <c r="AD182" s="233">
        <f>(INDEX(Models!$BJ182:$BT182,,AH182)*(1-AF182)+INDEX(Models!$BJ182:$BT182,,AH182+1)*AF182-ERP_i)*AE182*Ramure*Pc/MaxiM</f>
        <v>1.7792997975161294E-4</v>
      </c>
      <c r="AE182" s="307">
        <f t="shared" si="62"/>
        <v>1</v>
      </c>
      <c r="AF182" s="179">
        <f t="shared" si="63"/>
        <v>0.39948845531195232</v>
      </c>
      <c r="AG182" s="837">
        <f t="shared" si="71"/>
        <v>0</v>
      </c>
      <c r="AH182" s="178">
        <f t="shared" si="64"/>
        <v>6</v>
      </c>
      <c r="AI182" s="227">
        <f t="shared" si="65"/>
        <v>0.39948845531195232</v>
      </c>
      <c r="AJ182" s="267" t="b">
        <f t="shared" si="66"/>
        <v>1</v>
      </c>
      <c r="AK182" s="267" t="b">
        <f t="shared" si="67"/>
        <v>0</v>
      </c>
      <c r="AL182" s="267"/>
      <c r="AM182" s="267"/>
      <c r="AN182" s="75"/>
    </row>
    <row r="183" spans="1:40" s="6" customFormat="1" ht="11.25" x14ac:dyDescent="0.2">
      <c r="A183" s="56">
        <f t="shared" si="68"/>
        <v>44730</v>
      </c>
      <c r="B183" s="618">
        <v>49.847000000000001</v>
      </c>
      <c r="C183" s="866"/>
      <c r="D183" s="395">
        <f t="shared" si="48"/>
        <v>51.518159535733801</v>
      </c>
      <c r="E183" s="387">
        <f t="shared" si="72"/>
        <v>59.855765335901069</v>
      </c>
      <c r="F183" s="387">
        <f t="shared" si="49"/>
        <v>59.865181714214557</v>
      </c>
      <c r="G183" s="110">
        <f t="shared" si="73"/>
        <v>0.92376057621919039</v>
      </c>
      <c r="H183" s="414" t="b">
        <f>Wh_hp&gt;='2021'!Maxi_hp</f>
        <v>0</v>
      </c>
      <c r="I183" s="382">
        <f>IF(H183,Wh_hp,'2021'!Maxi_hp)</f>
        <v>62.624362697411456</v>
      </c>
      <c r="J183" s="85">
        <f>IF(H183,An,'2021'!An_max)</f>
        <v>2019</v>
      </c>
      <c r="K183" s="199">
        <f t="shared" si="50"/>
        <v>44730</v>
      </c>
      <c r="L183" s="147">
        <f>IF(t&lt;Tvie,1-EXP((T0-t)*PertePVj)+'2021'!Pspv,1-EXP((T0-t)*PertePVj)+Pspv)</f>
        <v>3.2438261591520079E-2</v>
      </c>
      <c r="M183" s="870"/>
      <c r="N183" s="870"/>
      <c r="O183" s="48">
        <f>IF(t&lt;Tnet,'2021'!Resal+('2021'!Salim-'2021'!Resal)*(1-EXP(('2021'!Tnet-t)/('2021'!Tau_j))),Resal+(Salim-Resal)*(1-EXP((Tnet-t)/(Tau_j))))*Salcycl</f>
        <v>0.13929494933993311</v>
      </c>
      <c r="P183" s="341">
        <f>(INDEX(Models!$BJ183:$BT183,,T183)*(1-R183)+INDEX(Models!$BJ183:$BT183,,T183+1)*R183-ERP_i)*Q183*Ramure*Pc/MaxiM</f>
        <v>1.7651326453438812E-4</v>
      </c>
      <c r="Q183" s="307">
        <f t="shared" si="51"/>
        <v>1</v>
      </c>
      <c r="R183" s="179">
        <f t="shared" si="52"/>
        <v>0.40652397720713307</v>
      </c>
      <c r="S183" s="837">
        <f t="shared" si="53"/>
        <v>0</v>
      </c>
      <c r="T183" s="178">
        <f t="shared" si="54"/>
        <v>6</v>
      </c>
      <c r="U183" s="253">
        <f t="shared" si="55"/>
        <v>0.40652397720713307</v>
      </c>
      <c r="V183" s="385">
        <f t="shared" si="56"/>
        <v>53.959914574762927</v>
      </c>
      <c r="W183" s="404"/>
      <c r="X183" s="157">
        <f t="shared" si="57"/>
        <v>44730</v>
      </c>
      <c r="Y183" s="387">
        <f t="shared" si="58"/>
        <v>48.351910422514493</v>
      </c>
      <c r="Z183" s="387">
        <f t="shared" si="59"/>
        <v>49.972945914590873</v>
      </c>
      <c r="AA183" s="388">
        <f t="shared" si="60"/>
        <v>59.855765335901069</v>
      </c>
      <c r="AB183" s="199">
        <f t="shared" si="61"/>
        <v>44730</v>
      </c>
      <c r="AC183" s="119">
        <f>IF(OR(t&lt;Tnet,NoTnet),'2021'!Resal_s+('2021'!Salim-'2021'!Resal_s)*(1-EXP(('2021'!Tnet_s-t)/'2021'!Tau_j)),Resal_s+(Salim-Resal_s)*(1-EXP((Tnet_s-t)/Tau_j)))*Salcycl</f>
        <v>0.16511056814409411</v>
      </c>
      <c r="AD183" s="233">
        <f>(INDEX(Models!$BJ183:$BT183,,AH183)*(1-AF183)+INDEX(Models!$BJ183:$BT183,,AH183+1)*AF183-ERP_i)*AE183*Ramure*Pc/MaxiM</f>
        <v>1.7651326453438812E-4</v>
      </c>
      <c r="AE183" s="307">
        <f t="shared" si="62"/>
        <v>1</v>
      </c>
      <c r="AF183" s="179">
        <f t="shared" si="63"/>
        <v>0.40652397720713307</v>
      </c>
      <c r="AG183" s="837">
        <f t="shared" si="71"/>
        <v>0</v>
      </c>
      <c r="AH183" s="178">
        <f t="shared" si="64"/>
        <v>6</v>
      </c>
      <c r="AI183" s="227">
        <f t="shared" si="65"/>
        <v>0.40652397720713307</v>
      </c>
      <c r="AJ183" s="267" t="b">
        <f t="shared" si="66"/>
        <v>1</v>
      </c>
      <c r="AK183" s="267" t="b">
        <f t="shared" si="67"/>
        <v>0</v>
      </c>
      <c r="AL183" s="267"/>
      <c r="AM183" s="267"/>
      <c r="AN183" s="75"/>
    </row>
    <row r="184" spans="1:40" s="6" customFormat="1" ht="11.25" x14ac:dyDescent="0.2">
      <c r="A184" s="56">
        <f t="shared" si="68"/>
        <v>44731</v>
      </c>
      <c r="B184" s="618">
        <v>51.084000000000003</v>
      </c>
      <c r="C184" s="866"/>
      <c r="D184" s="395">
        <f t="shared" si="48"/>
        <v>52.797859608425114</v>
      </c>
      <c r="E184" s="387">
        <f t="shared" si="72"/>
        <v>61.359617009886037</v>
      </c>
      <c r="F184" s="387">
        <f t="shared" si="49"/>
        <v>61.369602347085966</v>
      </c>
      <c r="G184" s="110">
        <f t="shared" si="73"/>
        <v>0.94767242373129068</v>
      </c>
      <c r="H184" s="414" t="b">
        <f>Wh_hp&gt;='2021'!Maxi_hp</f>
        <v>1</v>
      </c>
      <c r="I184" s="382">
        <f>IF(H184,Wh_hp,'2021'!Maxi_hp)</f>
        <v>61.369602347085966</v>
      </c>
      <c r="J184" s="85">
        <f>IF(H184,An,'2021'!An_max)</f>
        <v>2022</v>
      </c>
      <c r="K184" s="199">
        <f t="shared" si="50"/>
        <v>44731</v>
      </c>
      <c r="L184" s="147">
        <f>IF(t&lt;Tvie,1-EXP((T0-t)*PertePVj)+'2021'!Pspv,1-EXP((T0-t)*PertePVj)+Pspv)</f>
        <v>3.2460778166689574E-2</v>
      </c>
      <c r="M184" s="870"/>
      <c r="N184" s="870"/>
      <c r="O184" s="48">
        <f>IF(t&lt;Tnet,'2021'!Resal+('2021'!Salim-'2021'!Resal)*(1-EXP(('2021'!Tnet-t)/('2021'!Tau_j))),Resal+(Salim-Resal)*(1-EXP((Tnet-t)/(Tau_j))))*Salcycl</f>
        <v>0.13953407499400589</v>
      </c>
      <c r="P184" s="341">
        <f>(INDEX(Models!$BJ184:$BT184,,T184)*(1-R184)+INDEX(Models!$BJ184:$BT184,,T184+1)*R184-ERP_i)*Q184*Ramure*Pc/MaxiM</f>
        <v>1.7585054032258045E-4</v>
      </c>
      <c r="Q184" s="307">
        <f t="shared" si="51"/>
        <v>1</v>
      </c>
      <c r="R184" s="179">
        <f t="shared" si="52"/>
        <v>0.41351255798731057</v>
      </c>
      <c r="S184" s="837">
        <f t="shared" si="53"/>
        <v>0</v>
      </c>
      <c r="T184" s="178">
        <f t="shared" si="54"/>
        <v>6</v>
      </c>
      <c r="U184" s="253">
        <f t="shared" si="55"/>
        <v>0.41351255798731057</v>
      </c>
      <c r="V184" s="385">
        <f t="shared" si="56"/>
        <v>53.903993877994722</v>
      </c>
      <c r="W184" s="404"/>
      <c r="X184" s="157">
        <f t="shared" si="57"/>
        <v>44731</v>
      </c>
      <c r="Y184" s="387">
        <f t="shared" si="58"/>
        <v>49.555286599455521</v>
      </c>
      <c r="Z184" s="387">
        <f t="shared" si="59"/>
        <v>51.217858130399392</v>
      </c>
      <c r="AA184" s="388">
        <f t="shared" si="60"/>
        <v>61.359617009886037</v>
      </c>
      <c r="AB184" s="199">
        <f t="shared" si="61"/>
        <v>44731</v>
      </c>
      <c r="AC184" s="119">
        <f>IF(OR(t&lt;Tnet,NoTnet),'2021'!Resal_s+('2021'!Salim-'2021'!Resal_s)*(1-EXP(('2021'!Tnet_s-t)/'2021'!Tau_j)),Resal_s+(Salim-Resal_s)*(1-EXP((Tnet_s-t)/Tau_j)))*Salcycl</f>
        <v>0.16528393385918042</v>
      </c>
      <c r="AD184" s="233">
        <f>(INDEX(Models!$BJ184:$BT184,,AH184)*(1-AF184)+INDEX(Models!$BJ184:$BT184,,AH184+1)*AF184-ERP_i)*AE184*Ramure*Pc/MaxiM</f>
        <v>1.7585054032258045E-4</v>
      </c>
      <c r="AE184" s="307">
        <f t="shared" si="62"/>
        <v>1</v>
      </c>
      <c r="AF184" s="179">
        <f t="shared" si="63"/>
        <v>0.41351255798731057</v>
      </c>
      <c r="AG184" s="837">
        <f t="shared" si="71"/>
        <v>0</v>
      </c>
      <c r="AH184" s="178">
        <f t="shared" si="64"/>
        <v>6</v>
      </c>
      <c r="AI184" s="227">
        <f t="shared" si="65"/>
        <v>0.41351255798731057</v>
      </c>
      <c r="AJ184" s="267" t="b">
        <f t="shared" si="66"/>
        <v>1</v>
      </c>
      <c r="AK184" s="267" t="b">
        <f t="shared" si="67"/>
        <v>0</v>
      </c>
      <c r="AL184" s="267"/>
      <c r="AM184" s="267"/>
      <c r="AN184" s="75"/>
    </row>
    <row r="185" spans="1:40" s="6" customFormat="1" ht="11.25" x14ac:dyDescent="0.2">
      <c r="A185" s="56">
        <f t="shared" si="68"/>
        <v>44732</v>
      </c>
      <c r="B185" s="618">
        <v>30.336000000000002</v>
      </c>
      <c r="C185" s="866"/>
      <c r="D185" s="395">
        <f t="shared" si="48"/>
        <v>31.354497362892115</v>
      </c>
      <c r="E185" s="387">
        <f t="shared" si="72"/>
        <v>36.448911128395906</v>
      </c>
      <c r="F185" s="387">
        <f t="shared" si="49"/>
        <v>36.451318992186465</v>
      </c>
      <c r="G185" s="110">
        <f t="shared" si="73"/>
        <v>0.56332361763705285</v>
      </c>
      <c r="H185" s="414" t="b">
        <f>Wh_hp&gt;='2021'!Maxi_hp</f>
        <v>0</v>
      </c>
      <c r="I185" s="382">
        <f>IF(H185,Wh_hp,'2021'!Maxi_hp)</f>
        <v>61.978111723562009</v>
      </c>
      <c r="J185" s="85">
        <f>IF(H185,An,'2021'!An_max)</f>
        <v>2020</v>
      </c>
      <c r="K185" s="199">
        <f t="shared" si="50"/>
        <v>44732</v>
      </c>
      <c r="L185" s="147">
        <f>IF(t&lt;Tvie,1-EXP((T0-t)*PertePVj)+'2021'!Pspv,1-EXP((T0-t)*PertePVj)+Pspv)</f>
        <v>3.2483294217865555E-2</v>
      </c>
      <c r="M185" s="870"/>
      <c r="N185" s="870"/>
      <c r="O185" s="48">
        <f>IF(t&lt;Tnet,'2021'!Resal+('2021'!Salim-'2021'!Resal)*(1-EXP(('2021'!Tnet-t)/('2021'!Tau_j))),Resal+(Salim-Resal)*(1-EXP((Tnet-t)/(Tau_j))))*Salcycl</f>
        <v>0.13976861332175525</v>
      </c>
      <c r="P185" s="341">
        <f>(INDEX(Models!$BJ185:$BT185,,T185)*(1-R185)+INDEX(Models!$BJ185:$BT185,,T185+1)*R185-ERP_i)*Q185*Ramure*Pc/MaxiM</f>
        <v>1.7555983027289673E-4</v>
      </c>
      <c r="Q185" s="307">
        <f t="shared" si="51"/>
        <v>1</v>
      </c>
      <c r="R185" s="179">
        <f t="shared" si="52"/>
        <v>0.42044882729522581</v>
      </c>
      <c r="S185" s="837">
        <f t="shared" si="53"/>
        <v>0</v>
      </c>
      <c r="T185" s="178">
        <f t="shared" si="54"/>
        <v>6</v>
      </c>
      <c r="U185" s="253">
        <f t="shared" si="55"/>
        <v>0.42044882729522581</v>
      </c>
      <c r="V185" s="385">
        <f t="shared" si="56"/>
        <v>53.845919028046119</v>
      </c>
      <c r="W185" s="404"/>
      <c r="X185" s="157">
        <f t="shared" si="57"/>
        <v>44732</v>
      </c>
      <c r="Y185" s="387">
        <f t="shared" si="58"/>
        <v>29.430275276432912</v>
      </c>
      <c r="Z185" s="387">
        <f t="shared" si="59"/>
        <v>30.418363941986573</v>
      </c>
      <c r="AA185" s="388">
        <f t="shared" si="60"/>
        <v>36.448911128395906</v>
      </c>
      <c r="AB185" s="199">
        <f t="shared" si="61"/>
        <v>44732</v>
      </c>
      <c r="AC185" s="119">
        <f>IF(OR(t&lt;Tnet,NoTnet),'2021'!Resal_s+('2021'!Salim-'2021'!Resal_s)*(1-EXP(('2021'!Tnet_s-t)/'2021'!Tau_j)),Resal_s+(Salim-Resal_s)*(1-EXP((Tnet_s-t)/Tau_j)))*Salcycl</f>
        <v>0.16545205329086424</v>
      </c>
      <c r="AD185" s="233">
        <f>(INDEX(Models!$BJ185:$BT185,,AH185)*(1-AF185)+INDEX(Models!$BJ185:$BT185,,AH185+1)*AF185-ERP_i)*AE185*Ramure*Pc/MaxiM</f>
        <v>1.7555983027289673E-4</v>
      </c>
      <c r="AE185" s="307">
        <f t="shared" si="62"/>
        <v>1</v>
      </c>
      <c r="AF185" s="179">
        <f t="shared" si="63"/>
        <v>0.42044882729522581</v>
      </c>
      <c r="AG185" s="837">
        <f t="shared" si="71"/>
        <v>0</v>
      </c>
      <c r="AH185" s="178">
        <f t="shared" si="64"/>
        <v>6</v>
      </c>
      <c r="AI185" s="227">
        <f t="shared" si="65"/>
        <v>0.42044882729522581</v>
      </c>
      <c r="AJ185" s="267" t="b">
        <f t="shared" si="66"/>
        <v>1</v>
      </c>
      <c r="AK185" s="267" t="b">
        <f t="shared" si="67"/>
        <v>0</v>
      </c>
      <c r="AL185" s="267"/>
      <c r="AM185" s="267"/>
      <c r="AN185" s="75"/>
    </row>
    <row r="186" spans="1:40" s="6" customFormat="1" ht="11.25" x14ac:dyDescent="0.2">
      <c r="A186" s="56">
        <f t="shared" si="68"/>
        <v>44733</v>
      </c>
      <c r="B186" s="618">
        <v>18.010999999999999</v>
      </c>
      <c r="C186" s="866"/>
      <c r="D186" s="395">
        <f t="shared" si="48"/>
        <v>18.616132459931364</v>
      </c>
      <c r="E186" s="387">
        <f t="shared" si="72"/>
        <v>21.646628091070365</v>
      </c>
      <c r="F186" s="387">
        <f t="shared" si="49"/>
        <v>21.646817468758673</v>
      </c>
      <c r="G186" s="110">
        <f t="shared" si="73"/>
        <v>0.33480893132521955</v>
      </c>
      <c r="H186" s="414" t="b">
        <f>Wh_hp&gt;='2021'!Maxi_hp</f>
        <v>0</v>
      </c>
      <c r="I186" s="382">
        <f>IF(H186,Wh_hp,'2021'!Maxi_hp)</f>
        <v>55.551816026089647</v>
      </c>
      <c r="J186" s="85">
        <f>IF(H186,An,'2021'!An_max)</f>
        <v>2020</v>
      </c>
      <c r="K186" s="199">
        <f t="shared" si="50"/>
        <v>44733</v>
      </c>
      <c r="L186" s="147">
        <f>IF(t&lt;Tvie,1-EXP((T0-t)*PertePVj)+'2021'!Pspv,1-EXP((T0-t)*PertePVj)+Pspv)</f>
        <v>3.250580974506001E-2</v>
      </c>
      <c r="M186" s="870"/>
      <c r="N186" s="870"/>
      <c r="O186" s="48">
        <f>IF(t&lt;Tnet,'2021'!Resal+('2021'!Salim-'2021'!Resal)*(1-EXP(('2021'!Tnet-t)/('2021'!Tau_j))),Resal+(Salim-Resal)*(1-EXP((Tnet-t)/(Tau_j))))*Salcycl</f>
        <v>0.1399985077763283</v>
      </c>
      <c r="P186" s="341">
        <f>(INDEX(Models!$BJ186:$BT186,,T186)*(1-R186)+INDEX(Models!$BJ186:$BT186,,T186+1)*R186-ERP_i)*Q186*Ramure*Pc/MaxiM</f>
        <v>1.7564886897251058E-4</v>
      </c>
      <c r="Q186" s="307">
        <f t="shared" si="51"/>
        <v>1</v>
      </c>
      <c r="R186" s="179">
        <f t="shared" si="52"/>
        <v>0.4273275824647032</v>
      </c>
      <c r="S186" s="837">
        <f t="shared" si="53"/>
        <v>0</v>
      </c>
      <c r="T186" s="178">
        <f t="shared" si="54"/>
        <v>6</v>
      </c>
      <c r="U186" s="253">
        <f t="shared" si="55"/>
        <v>0.4273275824647032</v>
      </c>
      <c r="V186" s="385">
        <f t="shared" si="56"/>
        <v>53.785882772895043</v>
      </c>
      <c r="W186" s="404"/>
      <c r="X186" s="157">
        <f t="shared" si="57"/>
        <v>44733</v>
      </c>
      <c r="Y186" s="387">
        <f t="shared" si="58"/>
        <v>17.474516870932149</v>
      </c>
      <c r="Z186" s="387">
        <f t="shared" si="59"/>
        <v>18.06162460399635</v>
      </c>
      <c r="AA186" s="388">
        <f t="shared" si="60"/>
        <v>21.646628091070365</v>
      </c>
      <c r="AB186" s="199">
        <f t="shared" si="61"/>
        <v>44733</v>
      </c>
      <c r="AC186" s="119">
        <f>IF(OR(t&lt;Tnet,NoTnet),'2021'!Resal_s+('2021'!Salim-'2021'!Resal_s)*(1-EXP(('2021'!Tnet_s-t)/'2021'!Tau_j)),Resal_s+(Salim-Resal_s)*(1-EXP((Tnet_s-t)/Tau_j)))*Salcycl</f>
        <v>0.16561486953032162</v>
      </c>
      <c r="AD186" s="233">
        <f>(INDEX(Models!$BJ186:$BT186,,AH186)*(1-AF186)+INDEX(Models!$BJ186:$BT186,,AH186+1)*AF186-ERP_i)*AE186*Ramure*Pc/MaxiM</f>
        <v>1.7564886897251058E-4</v>
      </c>
      <c r="AE186" s="307">
        <f t="shared" si="62"/>
        <v>1</v>
      </c>
      <c r="AF186" s="179">
        <f t="shared" si="63"/>
        <v>0.4273275824647032</v>
      </c>
      <c r="AG186" s="837">
        <f t="shared" si="71"/>
        <v>0</v>
      </c>
      <c r="AH186" s="178">
        <f t="shared" si="64"/>
        <v>6</v>
      </c>
      <c r="AI186" s="227">
        <f t="shared" si="65"/>
        <v>0.4273275824647032</v>
      </c>
      <c r="AJ186" s="267" t="b">
        <f t="shared" si="66"/>
        <v>1</v>
      </c>
      <c r="AK186" s="267" t="b">
        <f t="shared" si="67"/>
        <v>0</v>
      </c>
      <c r="AL186" s="267"/>
      <c r="AM186" s="267"/>
      <c r="AN186" s="75"/>
    </row>
    <row r="187" spans="1:40" s="6" customFormat="1" ht="11.25" x14ac:dyDescent="0.2">
      <c r="A187" s="56">
        <f t="shared" si="68"/>
        <v>44734</v>
      </c>
      <c r="B187" s="618">
        <v>43.499000000000002</v>
      </c>
      <c r="C187" s="866"/>
      <c r="D187" s="395">
        <f t="shared" si="48"/>
        <v>44.961523022038371</v>
      </c>
      <c r="E187" s="387">
        <f t="shared" si="72"/>
        <v>52.294444266402294</v>
      </c>
      <c r="F187" s="387">
        <f t="shared" si="49"/>
        <v>52.301151260745158</v>
      </c>
      <c r="G187" s="110">
        <f t="shared" si="73"/>
        <v>0.80963544315487701</v>
      </c>
      <c r="H187" s="414" t="b">
        <f>Wh_hp&gt;='2021'!Maxi_hp</f>
        <v>0</v>
      </c>
      <c r="I187" s="382">
        <f>IF(H187,Wh_hp,'2021'!Maxi_hp)</f>
        <v>63.856670121040153</v>
      </c>
      <c r="J187" s="85">
        <f>IF(H187,An,'2021'!An_max)</f>
        <v>2020</v>
      </c>
      <c r="K187" s="199">
        <f t="shared" si="50"/>
        <v>44734</v>
      </c>
      <c r="L187" s="147">
        <f>IF(t&lt;Tvie,1-EXP((T0-t)*PertePVj)+'2021'!Pspv,1-EXP((T0-t)*PertePVj)+Pspv)</f>
        <v>3.2528324748285264E-2</v>
      </c>
      <c r="M187" s="870"/>
      <c r="N187" s="870"/>
      <c r="O187" s="48">
        <f>IF(t&lt;Tnet,'2021'!Resal+('2021'!Salim-'2021'!Resal)*(1-EXP(('2021'!Tnet-t)/('2021'!Tau_j))),Resal+(Salim-Resal)*(1-EXP((Tnet-t)/(Tau_j))))*Salcycl</f>
        <v>0.14022371491334729</v>
      </c>
      <c r="P187" s="341">
        <f>(INDEX(Models!$BJ187:$BT187,,T187)*(1-R187)+INDEX(Models!$BJ187:$BT187,,T187+1)*R187-ERP_i)*Q187*Ramure*Pc/MaxiM</f>
        <v>1.761254286960709E-4</v>
      </c>
      <c r="Q187" s="307">
        <f t="shared" si="51"/>
        <v>1</v>
      </c>
      <c r="R187" s="179">
        <f t="shared" si="52"/>
        <v>0.43414380298082583</v>
      </c>
      <c r="S187" s="837">
        <f t="shared" si="53"/>
        <v>0</v>
      </c>
      <c r="T187" s="178">
        <f t="shared" si="54"/>
        <v>6</v>
      </c>
      <c r="U187" s="253">
        <f t="shared" si="55"/>
        <v>0.43414380298082583</v>
      </c>
      <c r="V187" s="385">
        <f t="shared" si="56"/>
        <v>53.724076736943708</v>
      </c>
      <c r="W187" s="404"/>
      <c r="X187" s="157">
        <f t="shared" si="57"/>
        <v>44734</v>
      </c>
      <c r="Y187" s="387">
        <f t="shared" si="58"/>
        <v>42.206408292768216</v>
      </c>
      <c r="Z187" s="387">
        <f t="shared" si="59"/>
        <v>43.625471807003592</v>
      </c>
      <c r="AA187" s="388">
        <f t="shared" si="60"/>
        <v>52.294444266402294</v>
      </c>
      <c r="AB187" s="199">
        <f t="shared" si="61"/>
        <v>44734</v>
      </c>
      <c r="AC187" s="119">
        <f>IF(OR(t&lt;Tnet,NoTnet),'2021'!Resal_s+('2021'!Salim-'2021'!Resal_s)*(1-EXP(('2021'!Tnet_s-t)/'2021'!Tau_j)),Resal_s+(Salim-Resal_s)*(1-EXP((Tnet_s-t)/Tau_j)))*Salcycl</f>
        <v>0.16577234123067777</v>
      </c>
      <c r="AD187" s="233">
        <f>(INDEX(Models!$BJ187:$BT187,,AH187)*(1-AF187)+INDEX(Models!$BJ187:$BT187,,AH187+1)*AF187-ERP_i)*AE187*Ramure*Pc/MaxiM</f>
        <v>1.761254286960709E-4</v>
      </c>
      <c r="AE187" s="307">
        <f t="shared" si="62"/>
        <v>1</v>
      </c>
      <c r="AF187" s="179">
        <f t="shared" si="63"/>
        <v>0.43414380298082583</v>
      </c>
      <c r="AG187" s="837">
        <f t="shared" si="71"/>
        <v>0</v>
      </c>
      <c r="AH187" s="178">
        <f t="shared" si="64"/>
        <v>6</v>
      </c>
      <c r="AI187" s="227">
        <f t="shared" si="65"/>
        <v>0.43414380298082583</v>
      </c>
      <c r="AJ187" s="267" t="b">
        <f t="shared" si="66"/>
        <v>1</v>
      </c>
      <c r="AK187" s="267" t="b">
        <f t="shared" si="67"/>
        <v>0</v>
      </c>
      <c r="AL187" s="267"/>
      <c r="AM187" s="267"/>
      <c r="AN187" s="75"/>
    </row>
    <row r="188" spans="1:40" s="6" customFormat="1" ht="11.25" x14ac:dyDescent="0.2">
      <c r="A188" s="56">
        <f t="shared" si="68"/>
        <v>44735</v>
      </c>
      <c r="B188" s="618">
        <v>38.550000000000004</v>
      </c>
      <c r="C188" s="866"/>
      <c r="D188" s="395">
        <f t="shared" si="48"/>
        <v>39.847055083721699</v>
      </c>
      <c r="E188" s="387">
        <f t="shared" si="72"/>
        <v>46.357729523598181</v>
      </c>
      <c r="F188" s="387">
        <f t="shared" si="49"/>
        <v>46.362634388085354</v>
      </c>
      <c r="G188" s="110">
        <f t="shared" si="73"/>
        <v>0.71835180963095069</v>
      </c>
      <c r="H188" s="414" t="b">
        <f>Wh_hp&gt;='2021'!Maxi_hp</f>
        <v>0</v>
      </c>
      <c r="I188" s="382">
        <f>IF(H188,Wh_hp,'2021'!Maxi_hp)</f>
        <v>56.926407326668489</v>
      </c>
      <c r="J188" s="85">
        <f>IF(H188,An,'2021'!An_max)</f>
        <v>2020</v>
      </c>
      <c r="K188" s="199">
        <f t="shared" si="50"/>
        <v>44735</v>
      </c>
      <c r="L188" s="147">
        <f>IF(t&lt;Tvie,1-EXP((T0-t)*PertePVj)+'2021'!Pspv,1-EXP((T0-t)*PertePVj)+Pspv)</f>
        <v>3.255083922755353E-2</v>
      </c>
      <c r="M188" s="870"/>
      <c r="N188" s="870"/>
      <c r="O188" s="48">
        <f>IF(t&lt;Tnet,'2021'!Resal+('2021'!Salim-'2021'!Resal)*(1-EXP(('2021'!Tnet-t)/('2021'!Tau_j))),Resal+(Salim-Resal)*(1-EXP((Tnet-t)/(Tau_j))))*Salcycl</f>
        <v>0.14044420438154231</v>
      </c>
      <c r="P188" s="341">
        <f>(INDEX(Models!$BJ188:$BT188,,T188)*(1-R188)+INDEX(Models!$BJ188:$BT188,,T188+1)*R188-ERP_i)*Q188*Ramure*Pc/MaxiM</f>
        <v>1.7699548685176837E-4</v>
      </c>
      <c r="Q188" s="307">
        <f t="shared" si="51"/>
        <v>1</v>
      </c>
      <c r="R188" s="179">
        <f t="shared" si="52"/>
        <v>0.44089266374453656</v>
      </c>
      <c r="S188" s="837">
        <f t="shared" si="53"/>
        <v>0</v>
      </c>
      <c r="T188" s="178">
        <f t="shared" si="54"/>
        <v>6</v>
      </c>
      <c r="U188" s="253">
        <f t="shared" si="55"/>
        <v>0.44089266374453656</v>
      </c>
      <c r="V188" s="385">
        <f t="shared" si="56"/>
        <v>53.660691537851065</v>
      </c>
      <c r="W188" s="404"/>
      <c r="X188" s="157">
        <f t="shared" si="57"/>
        <v>44735</v>
      </c>
      <c r="Y188" s="387">
        <f t="shared" si="58"/>
        <v>37.407243257299811</v>
      </c>
      <c r="Z188" s="387">
        <f t="shared" si="59"/>
        <v>38.665849094780867</v>
      </c>
      <c r="AA188" s="388">
        <f t="shared" si="60"/>
        <v>46.357729523598181</v>
      </c>
      <c r="AB188" s="199">
        <f t="shared" si="61"/>
        <v>44735</v>
      </c>
      <c r="AC188" s="119">
        <f>IF(OR(t&lt;Tnet,NoTnet),'2021'!Resal_s+('2021'!Salim-'2021'!Resal_s)*(1-EXP(('2021'!Tnet_s-t)/'2021'!Tau_j)),Resal_s+(Salim-Resal_s)*(1-EXP((Tnet_s-t)/Tau_j)))*Salcycl</f>
        <v>0.16592444254418875</v>
      </c>
      <c r="AD188" s="233">
        <f>(INDEX(Models!$BJ188:$BT188,,AH188)*(1-AF188)+INDEX(Models!$BJ188:$BT188,,AH188+1)*AF188-ERP_i)*AE188*Ramure*Pc/MaxiM</f>
        <v>1.7699548685176837E-4</v>
      </c>
      <c r="AE188" s="307">
        <f t="shared" si="62"/>
        <v>1</v>
      </c>
      <c r="AF188" s="179">
        <f t="shared" si="63"/>
        <v>0.44089266374453656</v>
      </c>
      <c r="AG188" s="837">
        <f t="shared" si="71"/>
        <v>0</v>
      </c>
      <c r="AH188" s="178">
        <f t="shared" si="64"/>
        <v>6</v>
      </c>
      <c r="AI188" s="227">
        <f t="shared" si="65"/>
        <v>0.44089266374453656</v>
      </c>
      <c r="AJ188" s="267" t="b">
        <f t="shared" si="66"/>
        <v>1</v>
      </c>
      <c r="AK188" s="267" t="b">
        <f t="shared" si="67"/>
        <v>0</v>
      </c>
      <c r="AL188" s="267"/>
      <c r="AM188" s="267"/>
      <c r="AN188" s="75"/>
    </row>
    <row r="189" spans="1:40" s="6" customFormat="1" ht="11.25" x14ac:dyDescent="0.2">
      <c r="A189" s="56">
        <f t="shared" si="68"/>
        <v>44736</v>
      </c>
      <c r="B189" s="618">
        <v>40.767000000000003</v>
      </c>
      <c r="C189" s="866"/>
      <c r="D189" s="395">
        <f t="shared" si="48"/>
        <v>42.139629019032355</v>
      </c>
      <c r="E189" s="387">
        <f t="shared" si="72"/>
        <v>49.037199479455907</v>
      </c>
      <c r="F189" s="387">
        <f t="shared" si="49"/>
        <v>49.042952586928905</v>
      </c>
      <c r="G189" s="110">
        <f t="shared" si="73"/>
        <v>0.76058993223811344</v>
      </c>
      <c r="H189" s="414" t="b">
        <f>Wh_hp&gt;='2021'!Maxi_hp</f>
        <v>0</v>
      </c>
      <c r="I189" s="382">
        <f>IF(H189,Wh_hp,'2021'!Maxi_hp)</f>
        <v>63.0959882762929</v>
      </c>
      <c r="J189" s="85">
        <f>IF(H189,An,'2021'!An_max)</f>
        <v>2020</v>
      </c>
      <c r="K189" s="199">
        <f t="shared" si="50"/>
        <v>44736</v>
      </c>
      <c r="L189" s="147">
        <f>IF(t&lt;Tvie,1-EXP((T0-t)*PertePVj)+'2021'!Pspv,1-EXP((T0-t)*PertePVj)+Pspv)</f>
        <v>3.2573353182876907E-2</v>
      </c>
      <c r="M189" s="870"/>
      <c r="N189" s="870"/>
      <c r="O189" s="48">
        <f>IF(t&lt;Tnet,'2021'!Resal+('2021'!Salim-'2021'!Resal)*(1-EXP(('2021'!Tnet-t)/('2021'!Tau_j))),Resal+(Salim-Resal)*(1-EXP((Tnet-t)/(Tau_j))))*Salcycl</f>
        <v>0.14065995884029386</v>
      </c>
      <c r="P189" s="341">
        <f>(INDEX(Models!$BJ189:$BT189,,T189)*(1-R189)+INDEX(Models!$BJ189:$BT189,,T189+1)*R189-ERP_i)*Q189*Ramure*Pc/MaxiM</f>
        <v>1.7826486538658813E-4</v>
      </c>
      <c r="Q189" s="307">
        <f t="shared" si="51"/>
        <v>1</v>
      </c>
      <c r="R189" s="179">
        <f t="shared" si="52"/>
        <v>0.4475695470786959</v>
      </c>
      <c r="S189" s="837">
        <f t="shared" si="53"/>
        <v>0</v>
      </c>
      <c r="T189" s="178">
        <f t="shared" si="54"/>
        <v>6</v>
      </c>
      <c r="U189" s="253">
        <f t="shared" si="55"/>
        <v>0.4475695470786959</v>
      </c>
      <c r="V189" s="385">
        <f t="shared" si="56"/>
        <v>53.59591671253586</v>
      </c>
      <c r="W189" s="404"/>
      <c r="X189" s="157">
        <f t="shared" si="57"/>
        <v>44736</v>
      </c>
      <c r="Y189" s="387">
        <f t="shared" si="58"/>
        <v>39.561495183165285</v>
      </c>
      <c r="Z189" s="387">
        <f t="shared" si="59"/>
        <v>40.893534732916827</v>
      </c>
      <c r="AA189" s="388">
        <f t="shared" si="60"/>
        <v>49.037199479455907</v>
      </c>
      <c r="AB189" s="199">
        <f t="shared" si="61"/>
        <v>44736</v>
      </c>
      <c r="AC189" s="119">
        <f>IF(OR(t&lt;Tnet,NoTnet),'2021'!Resal_s+('2021'!Salim-'2021'!Resal_s)*(1-EXP(('2021'!Tnet_s-t)/'2021'!Tau_j)),Resal_s+(Salim-Resal_s)*(1-EXP((Tnet_s-t)/Tau_j)))*Salcycl</f>
        <v>0.1660711629739553</v>
      </c>
      <c r="AD189" s="233">
        <f>(INDEX(Models!$BJ189:$BT189,,AH189)*(1-AF189)+INDEX(Models!$BJ189:$BT189,,AH189+1)*AF189-ERP_i)*AE189*Ramure*Pc/MaxiM</f>
        <v>1.7826486538658813E-4</v>
      </c>
      <c r="AE189" s="307">
        <f t="shared" si="62"/>
        <v>1</v>
      </c>
      <c r="AF189" s="179">
        <f t="shared" si="63"/>
        <v>0.4475695470786959</v>
      </c>
      <c r="AG189" s="837">
        <f t="shared" si="71"/>
        <v>0</v>
      </c>
      <c r="AH189" s="178">
        <f t="shared" si="64"/>
        <v>6</v>
      </c>
      <c r="AI189" s="227">
        <f t="shared" si="65"/>
        <v>0.4475695470786959</v>
      </c>
      <c r="AJ189" s="267" t="b">
        <f t="shared" si="66"/>
        <v>1</v>
      </c>
      <c r="AK189" s="267" t="b">
        <f t="shared" si="67"/>
        <v>0</v>
      </c>
      <c r="AL189" s="267"/>
      <c r="AM189" s="267"/>
      <c r="AN189" s="75"/>
    </row>
    <row r="190" spans="1:40" s="6" customFormat="1" ht="11.25" x14ac:dyDescent="0.2">
      <c r="A190" s="56">
        <f t="shared" si="68"/>
        <v>44737</v>
      </c>
      <c r="B190" s="618">
        <v>28.555</v>
      </c>
      <c r="C190" s="866"/>
      <c r="D190" s="395">
        <f t="shared" si="48"/>
        <v>29.517136649047465</v>
      </c>
      <c r="E190" s="387">
        <f t="shared" si="72"/>
        <v>34.357047368968935</v>
      </c>
      <c r="F190" s="387">
        <f t="shared" si="49"/>
        <v>34.359109180595581</v>
      </c>
      <c r="G190" s="110">
        <f t="shared" si="73"/>
        <v>0.53337580342506608</v>
      </c>
      <c r="H190" s="414" t="b">
        <f>Wh_hp&gt;='2021'!Maxi_hp</f>
        <v>0</v>
      </c>
      <c r="I190" s="382">
        <f>IF(H190,Wh_hp,'2021'!Maxi_hp)</f>
        <v>58.333269226080525</v>
      </c>
      <c r="J190" s="85">
        <f>IF(H190,An,'2021'!An_max)</f>
        <v>2021</v>
      </c>
      <c r="K190" s="199">
        <f t="shared" si="50"/>
        <v>44737</v>
      </c>
      <c r="L190" s="147">
        <f>IF(t&lt;Tvie,1-EXP((T0-t)*PertePVj)+'2021'!Pspv,1-EXP((T0-t)*PertePVj)+Pspv)</f>
        <v>3.2595866614267721E-2</v>
      </c>
      <c r="M190" s="870"/>
      <c r="N190" s="870"/>
      <c r="O190" s="48">
        <f>IF(t&lt;Tnet,'2021'!Resal+('2021'!Salim-'2021'!Resal)*(1-EXP(('2021'!Tnet-t)/('2021'!Tau_j))),Resal+(Salim-Resal)*(1-EXP((Tnet-t)/(Tau_j))))*Salcycl</f>
        <v>0.14087097380471772</v>
      </c>
      <c r="P190" s="341">
        <f>(INDEX(Models!$BJ190:$BT190,,T190)*(1-R190)+INDEX(Models!$BJ190:$BT190,,T190+1)*R190-ERP_i)*Q190*Ramure*Pc/MaxiM</f>
        <v>1.7994105202686771E-4</v>
      </c>
      <c r="Q190" s="307">
        <f t="shared" si="51"/>
        <v>1</v>
      </c>
      <c r="R190" s="179">
        <f t="shared" si="52"/>
        <v>0.45417005342606209</v>
      </c>
      <c r="S190" s="837">
        <f t="shared" si="53"/>
        <v>0</v>
      </c>
      <c r="T190" s="178">
        <f t="shared" si="54"/>
        <v>6</v>
      </c>
      <c r="U190" s="253">
        <f t="shared" si="55"/>
        <v>0.45417005342606209</v>
      </c>
      <c r="V190" s="385">
        <f t="shared" si="56"/>
        <v>53.529940643525926</v>
      </c>
      <c r="W190" s="404"/>
      <c r="X190" s="157">
        <f t="shared" si="57"/>
        <v>44737</v>
      </c>
      <c r="Y190" s="387">
        <f t="shared" si="58"/>
        <v>27.712719664494877</v>
      </c>
      <c r="Z190" s="387">
        <f t="shared" si="59"/>
        <v>28.646476387800387</v>
      </c>
      <c r="AA190" s="388">
        <f t="shared" si="60"/>
        <v>34.357047368968935</v>
      </c>
      <c r="AB190" s="199">
        <f t="shared" si="61"/>
        <v>44737</v>
      </c>
      <c r="AC190" s="119">
        <f>IF(OR(t&lt;Tnet,NoTnet),'2021'!Resal_s+('2021'!Salim-'2021'!Resal_s)*(1-EXP(('2021'!Tnet_s-t)/'2021'!Tau_j)),Resal_s+(Salim-Resal_s)*(1-EXP((Tnet_s-t)/Tau_j)))*Salcycl</f>
        <v>0.16621250714129465</v>
      </c>
      <c r="AD190" s="233">
        <f>(INDEX(Models!$BJ190:$BT190,,AH190)*(1-AF190)+INDEX(Models!$BJ190:$BT190,,AH190+1)*AF190-ERP_i)*AE190*Ramure*Pc/MaxiM</f>
        <v>1.7994105202686771E-4</v>
      </c>
      <c r="AE190" s="307">
        <f t="shared" si="62"/>
        <v>1</v>
      </c>
      <c r="AF190" s="179">
        <f t="shared" si="63"/>
        <v>0.45417005342606209</v>
      </c>
      <c r="AG190" s="837">
        <f t="shared" si="71"/>
        <v>0</v>
      </c>
      <c r="AH190" s="178">
        <f t="shared" si="64"/>
        <v>6</v>
      </c>
      <c r="AI190" s="227">
        <f t="shared" si="65"/>
        <v>0.45417005342606209</v>
      </c>
      <c r="AJ190" s="267" t="b">
        <f t="shared" si="66"/>
        <v>1</v>
      </c>
      <c r="AK190" s="267" t="b">
        <f t="shared" si="67"/>
        <v>0</v>
      </c>
      <c r="AL190" s="267"/>
      <c r="AM190" s="267"/>
      <c r="AN190" s="75"/>
    </row>
    <row r="191" spans="1:40" s="6" customFormat="1" ht="11.25" x14ac:dyDescent="0.2">
      <c r="A191" s="56">
        <f t="shared" si="68"/>
        <v>44738</v>
      </c>
      <c r="B191" s="618">
        <v>10.912000000000001</v>
      </c>
      <c r="C191" s="866"/>
      <c r="D191" s="395">
        <f t="shared" si="48"/>
        <v>11.279933140145085</v>
      </c>
      <c r="E191" s="387">
        <f t="shared" si="72"/>
        <v>13.132651612246548</v>
      </c>
      <c r="F191" s="387">
        <f t="shared" si="49"/>
        <v>13.132651612246548</v>
      </c>
      <c r="G191" s="110">
        <f t="shared" si="73"/>
        <v>0.20406704662903785</v>
      </c>
      <c r="H191" s="414" t="b">
        <f>Wh_hp&gt;='2021'!Maxi_hp</f>
        <v>0</v>
      </c>
      <c r="I191" s="382">
        <f>IF(H191,Wh_hp,'2021'!Maxi_hp)</f>
        <v>61.173275923851143</v>
      </c>
      <c r="J191" s="85">
        <f>IF(H191,An,'2021'!An_max)</f>
        <v>2019</v>
      </c>
      <c r="K191" s="199">
        <f t="shared" si="50"/>
        <v>44738</v>
      </c>
      <c r="L191" s="147">
        <f>IF(t&lt;Tvie,1-EXP((T0-t)*PertePVj)+'2021'!Pspv,1-EXP((T0-t)*PertePVj)+Pspv)</f>
        <v>3.2618379521738183E-2</v>
      </c>
      <c r="M191" s="870"/>
      <c r="N191" s="870"/>
      <c r="O191" s="48">
        <f>IF(t&lt;Tnet,'2021'!Resal+('2021'!Salim-'2021'!Resal)*(1-EXP(('2021'!Tnet-t)/('2021'!Tau_j))),Resal+(Salim-Resal)*(1-EXP((Tnet-t)/(Tau_j))))*Salcycl</f>
        <v>0.14107725741949587</v>
      </c>
      <c r="P191" s="341">
        <f>(INDEX(Models!$BJ191:$BT191,,T191)*(1-R191)+INDEX(Models!$BJ191:$BT191,,T191+1)*R191-ERP_i)*Q191*Ramure*Pc/MaxiM</f>
        <v>1.8203163940466551E-4</v>
      </c>
      <c r="Q191" s="307">
        <f t="shared" si="51"/>
        <v>1</v>
      </c>
      <c r="R191" s="179">
        <f t="shared" si="52"/>
        <v>0.46069001070322729</v>
      </c>
      <c r="S191" s="837">
        <f t="shared" si="53"/>
        <v>0</v>
      </c>
      <c r="T191" s="178">
        <f t="shared" si="54"/>
        <v>6</v>
      </c>
      <c r="U191" s="253">
        <f t="shared" si="55"/>
        <v>0.46069001070322729</v>
      </c>
      <c r="V191" s="385">
        <f t="shared" si="56"/>
        <v>53.462888060430075</v>
      </c>
      <c r="W191" s="404"/>
      <c r="X191" s="157">
        <f t="shared" si="57"/>
        <v>44738</v>
      </c>
      <c r="Y191" s="387">
        <f t="shared" si="58"/>
        <v>10.590946982038561</v>
      </c>
      <c r="Z191" s="387">
        <f t="shared" si="59"/>
        <v>10.948054788142992</v>
      </c>
      <c r="AA191" s="388">
        <f t="shared" si="60"/>
        <v>13.132651612246548</v>
      </c>
      <c r="AB191" s="199">
        <f t="shared" si="61"/>
        <v>44738</v>
      </c>
      <c r="AC191" s="119">
        <f>IF(OR(t&lt;Tnet,NoTnet),'2021'!Resal_s+('2021'!Salim-'2021'!Resal_s)*(1-EXP(('2021'!Tnet_s-t)/'2021'!Tau_j)),Resal_s+(Salim-Resal_s)*(1-EXP((Tnet_s-t)/Tau_j)))*Salcycl</f>
        <v>0.16634849447055777</v>
      </c>
      <c r="AD191" s="233">
        <f>(INDEX(Models!$BJ191:$BT191,,AH191)*(1-AF191)+INDEX(Models!$BJ191:$BT191,,AH191+1)*AF191-ERP_i)*AE191*Ramure*Pc/MaxiM</f>
        <v>1.8203163940466551E-4</v>
      </c>
      <c r="AE191" s="307">
        <f t="shared" si="62"/>
        <v>1</v>
      </c>
      <c r="AF191" s="179">
        <f t="shared" si="63"/>
        <v>0.46069001070322729</v>
      </c>
      <c r="AG191" s="837">
        <f t="shared" si="71"/>
        <v>0</v>
      </c>
      <c r="AH191" s="178">
        <f t="shared" si="64"/>
        <v>6</v>
      </c>
      <c r="AI191" s="227">
        <f t="shared" si="65"/>
        <v>0.46069001070322729</v>
      </c>
      <c r="AJ191" s="267" t="b">
        <f t="shared" si="66"/>
        <v>1</v>
      </c>
      <c r="AK191" s="267" t="b">
        <f t="shared" si="67"/>
        <v>0</v>
      </c>
      <c r="AL191" s="267"/>
      <c r="AM191" s="267"/>
      <c r="AN191" s="75"/>
    </row>
    <row r="192" spans="1:40" s="6" customFormat="1" ht="11.25" x14ac:dyDescent="0.2">
      <c r="A192" s="56">
        <f t="shared" si="68"/>
        <v>44739</v>
      </c>
      <c r="B192" s="618">
        <v>16.202000000000002</v>
      </c>
      <c r="C192" s="866"/>
      <c r="D192" s="395">
        <f t="shared" si="48"/>
        <v>16.748692253398318</v>
      </c>
      <c r="E192" s="387">
        <f t="shared" si="72"/>
        <v>19.504226565861615</v>
      </c>
      <c r="F192" s="387">
        <f t="shared" si="49"/>
        <v>19.504244288273267</v>
      </c>
      <c r="G192" s="110">
        <f t="shared" si="73"/>
        <v>0.30338301831481224</v>
      </c>
      <c r="H192" s="414" t="b">
        <f>Wh_hp&gt;='2021'!Maxi_hp</f>
        <v>0</v>
      </c>
      <c r="I192" s="382">
        <f>IF(H192,Wh_hp,'2021'!Maxi_hp)</f>
        <v>60.985394415911713</v>
      </c>
      <c r="J192" s="85">
        <f>IF(H192,An,'2021'!An_max)</f>
        <v>2019</v>
      </c>
      <c r="K192" s="199">
        <f t="shared" si="50"/>
        <v>44739</v>
      </c>
      <c r="L192" s="147">
        <f>IF(t&lt;Tvie,1-EXP((T0-t)*PertePVj)+'2021'!Pspv,1-EXP((T0-t)*PertePVj)+Pspv)</f>
        <v>3.2640891905300284E-2</v>
      </c>
      <c r="M192" s="870"/>
      <c r="N192" s="870"/>
      <c r="O192" s="48">
        <f>IF(t&lt;Tnet,'2021'!Resal+('2021'!Salim-'2021'!Resal)*(1-EXP(('2021'!Tnet-t)/('2021'!Tau_j))),Resal+(Salim-Resal)*(1-EXP((Tnet-t)/(Tau_j))))*Salcycl</f>
        <v>0.14127883016321838</v>
      </c>
      <c r="P192" s="341">
        <f>(INDEX(Models!$BJ192:$BT192,,T192)*(1-R192)+INDEX(Models!$BJ192:$BT192,,T192+1)*R192-ERP_i)*Q192*Ramure*Pc/MaxiM</f>
        <v>1.8495940231943482E-4</v>
      </c>
      <c r="Q192" s="307">
        <f t="shared" si="51"/>
        <v>1</v>
      </c>
      <c r="R192" s="179">
        <f t="shared" si="52"/>
        <v>0.4671254822880313</v>
      </c>
      <c r="S192" s="837">
        <f t="shared" si="53"/>
        <v>0</v>
      </c>
      <c r="T192" s="178">
        <f t="shared" si="54"/>
        <v>6</v>
      </c>
      <c r="U192" s="253">
        <f t="shared" si="55"/>
        <v>0.4671254822880313</v>
      </c>
      <c r="V192" s="385">
        <f t="shared" si="56"/>
        <v>53.394610208843204</v>
      </c>
      <c r="W192" s="404"/>
      <c r="X192" s="157">
        <f t="shared" si="57"/>
        <v>44739</v>
      </c>
      <c r="Y192" s="387">
        <f t="shared" si="58"/>
        <v>15.726530500918367</v>
      </c>
      <c r="Z192" s="387">
        <f t="shared" si="59"/>
        <v>16.257179334252793</v>
      </c>
      <c r="AA192" s="388">
        <f t="shared" si="60"/>
        <v>19.504226565861615</v>
      </c>
      <c r="AB192" s="199">
        <f t="shared" si="61"/>
        <v>44739</v>
      </c>
      <c r="AC192" s="119">
        <f>IF(OR(t&lt;Tnet,NoTnet),'2021'!Resal_s+('2021'!Salim-'2021'!Resal_s)*(1-EXP(('2021'!Tnet_s-t)/'2021'!Tau_j)),Resal_s+(Salim-Resal_s)*(1-EXP((Tnet_s-t)/Tau_j)))*Salcycl</f>
        <v>0.16647915879382524</v>
      </c>
      <c r="AD192" s="233">
        <f>(INDEX(Models!$BJ192:$BT192,,AH192)*(1-AF192)+INDEX(Models!$BJ192:$BT192,,AH192+1)*AF192-ERP_i)*AE192*Ramure*Pc/MaxiM</f>
        <v>1.8495940231943482E-4</v>
      </c>
      <c r="AE192" s="307">
        <f t="shared" si="62"/>
        <v>1</v>
      </c>
      <c r="AF192" s="179">
        <f t="shared" si="63"/>
        <v>0.4671254822880313</v>
      </c>
      <c r="AG192" s="837">
        <f t="shared" si="71"/>
        <v>0</v>
      </c>
      <c r="AH192" s="178">
        <f t="shared" si="64"/>
        <v>6</v>
      </c>
      <c r="AI192" s="227">
        <f t="shared" si="65"/>
        <v>0.4671254822880313</v>
      </c>
      <c r="AJ192" s="267" t="b">
        <f t="shared" si="66"/>
        <v>1</v>
      </c>
      <c r="AK192" s="267" t="b">
        <f t="shared" si="67"/>
        <v>0</v>
      </c>
      <c r="AL192" s="267"/>
      <c r="AM192" s="267"/>
      <c r="AN192" s="75"/>
    </row>
    <row r="193" spans="1:40" s="6" customFormat="1" ht="11.25" x14ac:dyDescent="0.2">
      <c r="A193" s="56">
        <f t="shared" si="68"/>
        <v>44740</v>
      </c>
      <c r="B193" s="618">
        <v>55.283000000000001</v>
      </c>
      <c r="C193" s="866"/>
      <c r="D193" s="395">
        <f t="shared" si="48"/>
        <v>57.149703851964986</v>
      </c>
      <c r="E193" s="387">
        <f t="shared" si="72"/>
        <v>66.567370873373818</v>
      </c>
      <c r="F193" s="387">
        <f t="shared" si="49"/>
        <v>66.579923598393634</v>
      </c>
      <c r="G193" s="110">
        <f t="shared" si="73"/>
        <v>1.0367196407913162</v>
      </c>
      <c r="H193" s="414" t="b">
        <f>Wh_hp&gt;='2021'!Maxi_hp</f>
        <v>1</v>
      </c>
      <c r="I193" s="382">
        <f>IF(H193,Wh_hp,'2021'!Maxi_hp)</f>
        <v>66.579923598393634</v>
      </c>
      <c r="J193" s="85">
        <f>IF(H193,An,'2021'!An_max)</f>
        <v>2022</v>
      </c>
      <c r="K193" s="199">
        <f t="shared" si="50"/>
        <v>44740</v>
      </c>
      <c r="L193" s="147">
        <f>IF(t&lt;Tvie,1-EXP((T0-t)*PertePVj)+'2021'!Pspv,1-EXP((T0-t)*PertePVj)+Pspv)</f>
        <v>3.2663403764966348E-2</v>
      </c>
      <c r="M193" s="870"/>
      <c r="N193" s="870"/>
      <c r="O193" s="48">
        <f>IF(t&lt;Tnet,'2021'!Resal+('2021'!Salim-'2021'!Resal)*(1-EXP(('2021'!Tnet-t)/('2021'!Tau_j))),Resal+(Salim-Resal)*(1-EXP((Tnet-t)/(Tau_j))))*Salcycl</f>
        <v>0.14147572448554954</v>
      </c>
      <c r="P193" s="341">
        <f>(INDEX(Models!$BJ193:$BT193,,T193)*(1-R193)+INDEX(Models!$BJ193:$BT193,,T193+1)*R193-ERP_i)*Q193*Ramure*Pc/MaxiM</f>
        <v>1.8853618840907973E-4</v>
      </c>
      <c r="Q193" s="307">
        <f t="shared" si="51"/>
        <v>1</v>
      </c>
      <c r="R193" s="179">
        <f t="shared" si="52"/>
        <v>0.47347277363119261</v>
      </c>
      <c r="S193" s="837">
        <f t="shared" si="53"/>
        <v>0</v>
      </c>
      <c r="T193" s="178">
        <f t="shared" si="54"/>
        <v>6</v>
      </c>
      <c r="U193" s="253">
        <f t="shared" si="55"/>
        <v>0.47347277363119261</v>
      </c>
      <c r="V193" s="385">
        <f t="shared" si="56"/>
        <v>53.324927805750008</v>
      </c>
      <c r="W193" s="404"/>
      <c r="X193" s="157">
        <f t="shared" si="57"/>
        <v>44740</v>
      </c>
      <c r="Y193" s="387">
        <f t="shared" si="58"/>
        <v>53.664878319279389</v>
      </c>
      <c r="Z193" s="387">
        <f t="shared" si="59"/>
        <v>55.476944145552039</v>
      </c>
      <c r="AA193" s="388">
        <f t="shared" si="60"/>
        <v>66.567370873373818</v>
      </c>
      <c r="AB193" s="199">
        <f t="shared" si="61"/>
        <v>44740</v>
      </c>
      <c r="AC193" s="119">
        <f>IF(OR(t&lt;Tnet,NoTnet),'2021'!Resal_s+('2021'!Salim-'2021'!Resal_s)*(1-EXP(('2021'!Tnet_s-t)/'2021'!Tau_j)),Resal_s+(Salim-Resal_s)*(1-EXP((Tnet_s-t)/Tau_j)))*Salcycl</f>
        <v>0.16660454787854356</v>
      </c>
      <c r="AD193" s="233">
        <f>(INDEX(Models!$BJ193:$BT193,,AH193)*(1-AF193)+INDEX(Models!$BJ193:$BT193,,AH193+1)*AF193-ERP_i)*AE193*Ramure*Pc/MaxiM</f>
        <v>1.8853618840907973E-4</v>
      </c>
      <c r="AE193" s="307">
        <f t="shared" si="62"/>
        <v>1</v>
      </c>
      <c r="AF193" s="179">
        <f t="shared" si="63"/>
        <v>0.47347277363119261</v>
      </c>
      <c r="AG193" s="837">
        <f t="shared" si="71"/>
        <v>0</v>
      </c>
      <c r="AH193" s="178">
        <f t="shared" si="64"/>
        <v>6</v>
      </c>
      <c r="AI193" s="227">
        <f t="shared" si="65"/>
        <v>0.47347277363119261</v>
      </c>
      <c r="AJ193" s="267" t="b">
        <f t="shared" si="66"/>
        <v>1</v>
      </c>
      <c r="AK193" s="267" t="b">
        <f t="shared" si="67"/>
        <v>0</v>
      </c>
      <c r="AL193" s="267"/>
      <c r="AM193" s="267"/>
      <c r="AN193" s="75"/>
    </row>
    <row r="194" spans="1:40" s="6" customFormat="1" ht="11.25" x14ac:dyDescent="0.2">
      <c r="A194" s="56">
        <f t="shared" si="68"/>
        <v>44741</v>
      </c>
      <c r="B194" s="618">
        <v>51.337000000000003</v>
      </c>
      <c r="C194" s="866"/>
      <c r="D194" s="395">
        <f t="shared" si="48"/>
        <v>53.071696981799761</v>
      </c>
      <c r="E194" s="387">
        <f t="shared" si="72"/>
        <v>61.831198203026524</v>
      </c>
      <c r="F194" s="387">
        <f t="shared" si="49"/>
        <v>61.842506845841385</v>
      </c>
      <c r="G194" s="110">
        <f t="shared" si="73"/>
        <v>0.96399947747531556</v>
      </c>
      <c r="H194" s="414" t="b">
        <f>Wh_hp&gt;='2021'!Maxi_hp</f>
        <v>1</v>
      </c>
      <c r="I194" s="382">
        <f>IF(H194,Wh_hp,'2021'!Maxi_hp)</f>
        <v>61.842506845841385</v>
      </c>
      <c r="J194" s="85">
        <f>IF(H194,An,'2021'!An_max)</f>
        <v>2022</v>
      </c>
      <c r="K194" s="199">
        <f t="shared" si="50"/>
        <v>44741</v>
      </c>
      <c r="L194" s="147">
        <f>IF(t&lt;Tvie,1-EXP((T0-t)*PertePVj)+'2021'!Pspv,1-EXP((T0-t)*PertePVj)+Pspv)</f>
        <v>3.2685915100748475E-2</v>
      </c>
      <c r="M194" s="870"/>
      <c r="N194" s="870"/>
      <c r="O194" s="48">
        <f>IF(t&lt;Tnet,'2021'!Resal+('2021'!Salim-'2021'!Resal)*(1-EXP(('2021'!Tnet-t)/('2021'!Tau_j))),Resal+(Salim-Resal)*(1-EXP((Tnet-t)/(Tau_j))))*Salcycl</f>
        <v>0.14166798438006006</v>
      </c>
      <c r="P194" s="341">
        <f>(INDEX(Models!$BJ194:$BT194,,T194)*(1-R194)+INDEX(Models!$BJ194:$BT194,,T194+1)*R194-ERP_i)*Q194*Ramure*Pc/MaxiM</f>
        <v>1.92773553529728E-4</v>
      </c>
      <c r="Q194" s="307">
        <f t="shared" si="51"/>
        <v>1</v>
      </c>
      <c r="R194" s="179">
        <f t="shared" si="52"/>
        <v>0.47972843749567384</v>
      </c>
      <c r="S194" s="837">
        <f t="shared" si="53"/>
        <v>0</v>
      </c>
      <c r="T194" s="178">
        <f t="shared" si="54"/>
        <v>6</v>
      </c>
      <c r="U194" s="253">
        <f t="shared" si="55"/>
        <v>0.47972843749567384</v>
      </c>
      <c r="V194" s="385">
        <f t="shared" si="56"/>
        <v>53.253650313768141</v>
      </c>
      <c r="W194" s="404"/>
      <c r="X194" s="157">
        <f t="shared" si="57"/>
        <v>44741</v>
      </c>
      <c r="Y194" s="387">
        <f t="shared" si="58"/>
        <v>49.838351736795033</v>
      </c>
      <c r="Z194" s="387">
        <f t="shared" si="59"/>
        <v>51.522408817179418</v>
      </c>
      <c r="AA194" s="388">
        <f t="shared" si="60"/>
        <v>61.831198203026524</v>
      </c>
      <c r="AB194" s="199">
        <f t="shared" si="61"/>
        <v>44741</v>
      </c>
      <c r="AC194" s="119">
        <f>IF(OR(t&lt;Tnet,NoTnet),'2021'!Resal_s+('2021'!Salim-'2021'!Resal_s)*(1-EXP(('2021'!Tnet_s-t)/'2021'!Tau_j)),Resal_s+(Salim-Resal_s)*(1-EXP((Tnet_s-t)/Tau_j)))*Salcycl</f>
        <v>0.16672472288176529</v>
      </c>
      <c r="AD194" s="233">
        <f>(INDEX(Models!$BJ194:$BT194,,AH194)*(1-AF194)+INDEX(Models!$BJ194:$BT194,,AH194+1)*AF194-ERP_i)*AE194*Ramure*Pc/MaxiM</f>
        <v>1.92773553529728E-4</v>
      </c>
      <c r="AE194" s="307">
        <f t="shared" si="62"/>
        <v>1</v>
      </c>
      <c r="AF194" s="179">
        <f t="shared" si="63"/>
        <v>0.47972843749567384</v>
      </c>
      <c r="AG194" s="837">
        <f t="shared" si="71"/>
        <v>0</v>
      </c>
      <c r="AH194" s="178">
        <f t="shared" si="64"/>
        <v>6</v>
      </c>
      <c r="AI194" s="227">
        <f t="shared" si="65"/>
        <v>0.47972843749567384</v>
      </c>
      <c r="AJ194" s="267" t="b">
        <f t="shared" si="66"/>
        <v>1</v>
      </c>
      <c r="AK194" s="267" t="b">
        <f t="shared" si="67"/>
        <v>0</v>
      </c>
      <c r="AL194" s="267"/>
      <c r="AM194" s="267"/>
      <c r="AN194" s="75"/>
    </row>
    <row r="195" spans="1:40" s="6" customFormat="1" ht="11.25" x14ac:dyDescent="0.2">
      <c r="A195" s="56">
        <f t="shared" si="68"/>
        <v>44742</v>
      </c>
      <c r="B195" s="618">
        <v>12.435</v>
      </c>
      <c r="C195" s="866"/>
      <c r="D195" s="395">
        <f t="shared" si="48"/>
        <v>12.855482600200125</v>
      </c>
      <c r="E195" s="387">
        <f t="shared" si="72"/>
        <v>14.980559882905061</v>
      </c>
      <c r="F195" s="387">
        <f t="shared" si="49"/>
        <v>14.980559882905061</v>
      </c>
      <c r="G195" s="110">
        <f t="shared" si="73"/>
        <v>0.23377970404732371</v>
      </c>
      <c r="H195" s="414" t="b">
        <f>Wh_hp&gt;='2021'!Maxi_hp</f>
        <v>0</v>
      </c>
      <c r="I195" s="382">
        <f>IF(H195,Wh_hp,'2021'!Maxi_hp)</f>
        <v>57.491267700625883</v>
      </c>
      <c r="J195" s="85">
        <f>IF(H195,An,'2021'!An_max)</f>
        <v>2019</v>
      </c>
      <c r="K195" s="199">
        <f t="shared" si="50"/>
        <v>44742</v>
      </c>
      <c r="L195" s="147">
        <f>IF(t&lt;Tvie,1-EXP((T0-t)*PertePVj)+'2021'!Pspv,1-EXP((T0-t)*PertePVj)+Pspv)</f>
        <v>3.27084259126591E-2</v>
      </c>
      <c r="M195" s="870"/>
      <c r="N195" s="870"/>
      <c r="O195" s="48">
        <f>IF(t&lt;Tnet,'2021'!Resal+('2021'!Salim-'2021'!Resal)*(1-EXP(('2021'!Tnet-t)/('2021'!Tau_j))),Resal+(Salim-Resal)*(1-EXP((Tnet-t)/(Tau_j))))*Salcycl</f>
        <v>0.14185566489607304</v>
      </c>
      <c r="P195" s="341">
        <f>(INDEX(Models!$BJ195:$BT195,,T195)*(1-R195)+INDEX(Models!$BJ195:$BT195,,T195+1)*R195-ERP_i)*Q195*Ramure*Pc/MaxiM</f>
        <v>1.9768298483183153E-4</v>
      </c>
      <c r="Q195" s="307">
        <f t="shared" si="51"/>
        <v>1</v>
      </c>
      <c r="R195" s="179">
        <f t="shared" si="52"/>
        <v>0.48588927783945168</v>
      </c>
      <c r="S195" s="837">
        <f t="shared" si="53"/>
        <v>0</v>
      </c>
      <c r="T195" s="178">
        <f t="shared" si="54"/>
        <v>6</v>
      </c>
      <c r="U195" s="253">
        <f t="shared" si="55"/>
        <v>0.48588927783945168</v>
      </c>
      <c r="V195" s="385">
        <f t="shared" si="56"/>
        <v>53.180586667039819</v>
      </c>
      <c r="W195" s="404"/>
      <c r="X195" s="157">
        <f t="shared" si="57"/>
        <v>44742</v>
      </c>
      <c r="Y195" s="387">
        <f t="shared" si="58"/>
        <v>12.072966270071275</v>
      </c>
      <c r="Z195" s="387">
        <f t="shared" si="59"/>
        <v>12.481206901303118</v>
      </c>
      <c r="AA195" s="388">
        <f t="shared" si="60"/>
        <v>14.980559882905061</v>
      </c>
      <c r="AB195" s="199">
        <f t="shared" si="61"/>
        <v>44742</v>
      </c>
      <c r="AC195" s="119">
        <f>IF(OR(t&lt;Tnet,NoTnet),'2021'!Resal_s+('2021'!Salim-'2021'!Resal_s)*(1-EXP(('2021'!Tnet_s-t)/'2021'!Tau_j)),Resal_s+(Salim-Resal_s)*(1-EXP((Tnet_s-t)/Tau_j)))*Salcycl</f>
        <v>0.16683975773522725</v>
      </c>
      <c r="AD195" s="233">
        <f>(INDEX(Models!$BJ195:$BT195,,AH195)*(1-AF195)+INDEX(Models!$BJ195:$BT195,,AH195+1)*AF195-ERP_i)*AE195*Ramure*Pc/MaxiM</f>
        <v>1.9768298483183153E-4</v>
      </c>
      <c r="AE195" s="307">
        <f t="shared" si="62"/>
        <v>1</v>
      </c>
      <c r="AF195" s="179">
        <f t="shared" si="63"/>
        <v>0.48588927783945168</v>
      </c>
      <c r="AG195" s="837">
        <f t="shared" si="71"/>
        <v>0</v>
      </c>
      <c r="AH195" s="178">
        <f t="shared" si="64"/>
        <v>6</v>
      </c>
      <c r="AI195" s="227">
        <f t="shared" si="65"/>
        <v>0.48588927783945168</v>
      </c>
      <c r="AJ195" s="267" t="b">
        <f t="shared" si="66"/>
        <v>1</v>
      </c>
      <c r="AK195" s="267" t="b">
        <f t="shared" si="67"/>
        <v>0</v>
      </c>
      <c r="AL195" s="267"/>
      <c r="AM195" s="267"/>
      <c r="AN195" s="75"/>
    </row>
    <row r="196" spans="1:40" s="6" customFormat="1" ht="11.25" x14ac:dyDescent="0.2">
      <c r="A196" s="56">
        <f t="shared" si="68"/>
        <v>44743</v>
      </c>
      <c r="B196" s="618">
        <v>50.725999999999999</v>
      </c>
      <c r="C196" s="866"/>
      <c r="D196" s="395">
        <f t="shared" si="48"/>
        <v>52.44249185511606</v>
      </c>
      <c r="E196" s="387">
        <f t="shared" si="72"/>
        <v>61.124551770226013</v>
      </c>
      <c r="F196" s="387">
        <f t="shared" si="49"/>
        <v>61.136183783970139</v>
      </c>
      <c r="G196" s="110">
        <f t="shared" si="73"/>
        <v>0.9551797189107073</v>
      </c>
      <c r="H196" s="414" t="b">
        <f>Wh_hp&gt;='2021'!Maxi_hp</f>
        <v>1</v>
      </c>
      <c r="I196" s="382">
        <f>IF(H196,Wh_hp,'2021'!Maxi_hp)</f>
        <v>61.136183783970139</v>
      </c>
      <c r="J196" s="85">
        <f>IF(H196,An,'2021'!An_max)</f>
        <v>2022</v>
      </c>
      <c r="K196" s="199">
        <f t="shared" si="50"/>
        <v>44743</v>
      </c>
      <c r="L196" s="147">
        <f>IF(t&lt;Tvie,1-EXP((T0-t)*PertePVj)+'2021'!Pspv,1-EXP((T0-t)*PertePVj)+Pspv)</f>
        <v>3.2730936200710103E-2</v>
      </c>
      <c r="M196" s="870"/>
      <c r="N196" s="870"/>
      <c r="O196" s="48">
        <f>IF(t&lt;Tnet,'2021'!Resal+('2021'!Salim-'2021'!Resal)*(1-EXP(('2021'!Tnet-t)/('2021'!Tau_j))),Resal+(Salim-Resal)*(1-EXP((Tnet-t)/(Tau_j))))*Salcycl</f>
        <v>0.14203883159334701</v>
      </c>
      <c r="P196" s="341">
        <f>(INDEX(Models!$BJ196:$BT196,,T196)*(1-R196)+INDEX(Models!$BJ196:$BT196,,T196+1)*R196-ERP_i)*Q196*Ramure*Pc/MaxiM</f>
        <v>2.0327591998162909E-4</v>
      </c>
      <c r="Q196" s="307">
        <f t="shared" si="51"/>
        <v>1</v>
      </c>
      <c r="R196" s="179">
        <f t="shared" si="52"/>
        <v>0.49195235236877172</v>
      </c>
      <c r="S196" s="837">
        <f t="shared" si="53"/>
        <v>0</v>
      </c>
      <c r="T196" s="178">
        <f t="shared" si="54"/>
        <v>6</v>
      </c>
      <c r="U196" s="253">
        <f t="shared" si="55"/>
        <v>0.49195235236877172</v>
      </c>
      <c r="V196" s="385">
        <f t="shared" si="56"/>
        <v>53.105545298483406</v>
      </c>
      <c r="W196" s="404"/>
      <c r="X196" s="157">
        <f t="shared" si="57"/>
        <v>44743</v>
      </c>
      <c r="Y196" s="387">
        <f t="shared" si="58"/>
        <v>49.253170332929351</v>
      </c>
      <c r="Z196" s="387">
        <f t="shared" si="59"/>
        <v>50.91982383833323</v>
      </c>
      <c r="AA196" s="388">
        <f t="shared" si="60"/>
        <v>61.124551770226013</v>
      </c>
      <c r="AB196" s="199">
        <f t="shared" si="61"/>
        <v>44743</v>
      </c>
      <c r="AC196" s="119">
        <f>IF(OR(t&lt;Tnet,NoTnet),'2021'!Resal_s+('2021'!Salim-'2021'!Resal_s)*(1-EXP(('2021'!Tnet_s-t)/'2021'!Tau_j)),Resal_s+(Salim-Resal_s)*(1-EXP((Tnet_s-t)/Tau_j)))*Salcycl</f>
        <v>0.16694973846603384</v>
      </c>
      <c r="AD196" s="233">
        <f>(INDEX(Models!$BJ196:$BT196,,AH196)*(1-AF196)+INDEX(Models!$BJ196:$BT196,,AH196+1)*AF196-ERP_i)*AE196*Ramure*Pc/MaxiM</f>
        <v>2.0327591998162909E-4</v>
      </c>
      <c r="AE196" s="307">
        <f t="shared" si="62"/>
        <v>1</v>
      </c>
      <c r="AF196" s="179">
        <f t="shared" si="63"/>
        <v>0.49195235236877172</v>
      </c>
      <c r="AG196" s="837">
        <f t="shared" si="71"/>
        <v>0</v>
      </c>
      <c r="AH196" s="178">
        <f t="shared" si="64"/>
        <v>6</v>
      </c>
      <c r="AI196" s="227">
        <f t="shared" si="65"/>
        <v>0.49195235236877172</v>
      </c>
      <c r="AJ196" s="267" t="b">
        <f t="shared" si="66"/>
        <v>1</v>
      </c>
      <c r="AK196" s="267" t="b">
        <f t="shared" si="67"/>
        <v>0</v>
      </c>
      <c r="AL196" s="267"/>
      <c r="AM196" s="267"/>
      <c r="AN196" s="75"/>
    </row>
    <row r="197" spans="1:40" s="6" customFormat="1" ht="11.25" x14ac:dyDescent="0.2">
      <c r="A197" s="56">
        <f t="shared" si="68"/>
        <v>44744</v>
      </c>
      <c r="B197" s="618">
        <v>47.237000000000002</v>
      </c>
      <c r="C197" s="866"/>
      <c r="D197" s="395">
        <f t="shared" si="48"/>
        <v>48.836565819687088</v>
      </c>
      <c r="E197" s="387">
        <f t="shared" si="72"/>
        <v>56.933510805479862</v>
      </c>
      <c r="F197" s="387">
        <f t="shared" si="49"/>
        <v>56.943582314826266</v>
      </c>
      <c r="G197" s="110">
        <f t="shared" si="73"/>
        <v>0.89075879951097503</v>
      </c>
      <c r="H197" s="414" t="b">
        <f>Wh_hp&gt;='2021'!Maxi_hp</f>
        <v>0</v>
      </c>
      <c r="I197" s="382">
        <f>IF(H197,Wh_hp,'2021'!Maxi_hp)</f>
        <v>57.066664805016352</v>
      </c>
      <c r="J197" s="85">
        <f>IF(H197,An,'2021'!An_max)</f>
        <v>2021</v>
      </c>
      <c r="K197" s="199">
        <f t="shared" si="50"/>
        <v>44744</v>
      </c>
      <c r="L197" s="147">
        <f>IF(t&lt;Tvie,1-EXP((T0-t)*PertePVj)+'2021'!Pspv,1-EXP((T0-t)*PertePVj)+Pspv)</f>
        <v>3.2753445964913919E-2</v>
      </c>
      <c r="M197" s="870"/>
      <c r="N197" s="870"/>
      <c r="O197" s="48">
        <f>IF(t&lt;Tnet,'2021'!Resal+('2021'!Salim-'2021'!Resal)*(1-EXP(('2021'!Tnet-t)/('2021'!Tau_j))),Resal+(Salim-Resal)*(1-EXP((Tnet-t)/(Tau_j))))*Salcycl</f>
        <v>0.14221755994386073</v>
      </c>
      <c r="P197" s="341">
        <f>(INDEX(Models!$BJ197:$BT197,,T197)*(1-R197)+INDEX(Models!$BJ197:$BT197,,T197+1)*R197-ERP_i)*Q197*Ramure*Pc/MaxiM</f>
        <v>2.0956376940382791E-4</v>
      </c>
      <c r="Q197" s="307">
        <f t="shared" si="51"/>
        <v>1</v>
      </c>
      <c r="R197" s="179">
        <f t="shared" si="52"/>
        <v>0.49791497379949662</v>
      </c>
      <c r="S197" s="837">
        <f t="shared" si="53"/>
        <v>0</v>
      </c>
      <c r="T197" s="178">
        <f t="shared" si="54"/>
        <v>6</v>
      </c>
      <c r="U197" s="253">
        <f t="shared" si="55"/>
        <v>0.49791497379949662</v>
      </c>
      <c r="V197" s="385">
        <f t="shared" si="56"/>
        <v>53.02833417135507</v>
      </c>
      <c r="W197" s="404"/>
      <c r="X197" s="157">
        <f t="shared" si="57"/>
        <v>44744</v>
      </c>
      <c r="Y197" s="387">
        <f t="shared" si="58"/>
        <v>45.869246499364998</v>
      </c>
      <c r="Z197" s="387">
        <f t="shared" si="59"/>
        <v>47.422496681958847</v>
      </c>
      <c r="AA197" s="388">
        <f t="shared" si="60"/>
        <v>56.933510805479862</v>
      </c>
      <c r="AB197" s="199">
        <f t="shared" si="61"/>
        <v>44744</v>
      </c>
      <c r="AC197" s="119">
        <f>IF(OR(t&lt;Tnet,NoTnet),'2021'!Resal_s+('2021'!Salim-'2021'!Resal_s)*(1-EXP(('2021'!Tnet_s-t)/'2021'!Tau_j)),Resal_s+(Salim-Resal_s)*(1-EXP((Tnet_s-t)/Tau_j)))*Salcycl</f>
        <v>0.16705476245820366</v>
      </c>
      <c r="AD197" s="233">
        <f>(INDEX(Models!$BJ197:$BT197,,AH197)*(1-AF197)+INDEX(Models!$BJ197:$BT197,,AH197+1)*AF197-ERP_i)*AE197*Ramure*Pc/MaxiM</f>
        <v>2.0956376940382791E-4</v>
      </c>
      <c r="AE197" s="307">
        <f t="shared" si="62"/>
        <v>1</v>
      </c>
      <c r="AF197" s="179">
        <f t="shared" si="63"/>
        <v>0.49791497379949662</v>
      </c>
      <c r="AG197" s="837">
        <f t="shared" si="71"/>
        <v>0</v>
      </c>
      <c r="AH197" s="178">
        <f t="shared" si="64"/>
        <v>6</v>
      </c>
      <c r="AI197" s="227">
        <f t="shared" si="65"/>
        <v>0.49791497379949662</v>
      </c>
      <c r="AJ197" s="267" t="b">
        <f t="shared" si="66"/>
        <v>1</v>
      </c>
      <c r="AK197" s="267" t="b">
        <f t="shared" si="67"/>
        <v>0</v>
      </c>
      <c r="AL197" s="267"/>
      <c r="AM197" s="267"/>
      <c r="AN197" s="75"/>
    </row>
    <row r="198" spans="1:40" s="6" customFormat="1" ht="11.25" x14ac:dyDescent="0.2">
      <c r="A198" s="56">
        <f t="shared" si="68"/>
        <v>44745</v>
      </c>
      <c r="B198" s="618">
        <v>39.971000000000004</v>
      </c>
      <c r="C198" s="866"/>
      <c r="D198" s="395">
        <f t="shared" si="48"/>
        <v>41.325482151845598</v>
      </c>
      <c r="E198" s="387">
        <f t="shared" si="72"/>
        <v>48.186909409118648</v>
      </c>
      <c r="F198" s="387">
        <f t="shared" si="49"/>
        <v>48.193735978233626</v>
      </c>
      <c r="G198" s="110">
        <f t="shared" si="73"/>
        <v>0.7548430737978552</v>
      </c>
      <c r="H198" s="414" t="b">
        <f>Wh_hp&gt;='2021'!Maxi_hp</f>
        <v>0</v>
      </c>
      <c r="I198" s="382">
        <f>IF(H198,Wh_hp,'2021'!Maxi_hp)</f>
        <v>51.612823612045531</v>
      </c>
      <c r="J198" s="85">
        <f>IF(H198,An,'2021'!An_max)</f>
        <v>2019</v>
      </c>
      <c r="K198" s="199">
        <f t="shared" si="50"/>
        <v>44745</v>
      </c>
      <c r="L198" s="147">
        <f>IF(t&lt;Tvie,1-EXP((T0-t)*PertePVj)+'2021'!Pspv,1-EXP((T0-t)*PertePVj)+Pspv)</f>
        <v>3.2775955205282536E-2</v>
      </c>
      <c r="M198" s="870"/>
      <c r="N198" s="870"/>
      <c r="O198" s="48">
        <f>IF(t&lt;Tnet,'2021'!Resal+('2021'!Salim-'2021'!Resal)*(1-EXP(('2021'!Tnet-t)/('2021'!Tau_j))),Resal+(Salim-Resal)*(1-EXP((Tnet-t)/(Tau_j))))*Salcycl</f>
        <v>0.14239193468536965</v>
      </c>
      <c r="P198" s="341">
        <f>(INDEX(Models!$BJ198:$BT198,,T198)*(1-R198)+INDEX(Models!$BJ198:$BT198,,T198+1)*R198-ERP_i)*Q198*Ramure*Pc/MaxiM</f>
        <v>2.179682996407773E-4</v>
      </c>
      <c r="Q198" s="307">
        <f t="shared" si="51"/>
        <v>1</v>
      </c>
      <c r="R198" s="179">
        <f t="shared" si="52"/>
        <v>0.50377470987371165</v>
      </c>
      <c r="S198" s="837">
        <f t="shared" si="53"/>
        <v>0</v>
      </c>
      <c r="T198" s="178">
        <f t="shared" si="54"/>
        <v>6</v>
      </c>
      <c r="U198" s="253">
        <f t="shared" si="55"/>
        <v>0.50377470987371165</v>
      </c>
      <c r="V198" s="385">
        <f t="shared" si="56"/>
        <v>52.948686124854099</v>
      </c>
      <c r="W198" s="404"/>
      <c r="X198" s="157">
        <f t="shared" si="57"/>
        <v>44745</v>
      </c>
      <c r="Y198" s="387">
        <f t="shared" si="58"/>
        <v>38.816857412071883</v>
      </c>
      <c r="Z198" s="387">
        <f t="shared" si="59"/>
        <v>40.132229570771607</v>
      </c>
      <c r="AA198" s="388">
        <f t="shared" si="60"/>
        <v>48.186909409118648</v>
      </c>
      <c r="AB198" s="199">
        <f t="shared" si="61"/>
        <v>44745</v>
      </c>
      <c r="AC198" s="119">
        <f>IF(OR(t&lt;Tnet,NoTnet),'2021'!Resal_s+('2021'!Salim-'2021'!Resal_s)*(1-EXP(('2021'!Tnet_s-t)/'2021'!Tau_j)),Resal_s+(Salim-Resal_s)*(1-EXP((Tnet_s-t)/Tau_j)))*Salcycl</f>
        <v>0.16715493766078329</v>
      </c>
      <c r="AD198" s="233">
        <f>(INDEX(Models!$BJ198:$BT198,,AH198)*(1-AF198)+INDEX(Models!$BJ198:$BT198,,AH198+1)*AF198-ERP_i)*AE198*Ramure*Pc/MaxiM</f>
        <v>2.179682996407773E-4</v>
      </c>
      <c r="AE198" s="307">
        <f t="shared" si="62"/>
        <v>1</v>
      </c>
      <c r="AF198" s="179">
        <f t="shared" si="63"/>
        <v>0.50377470987371165</v>
      </c>
      <c r="AG198" s="837">
        <f t="shared" si="71"/>
        <v>0</v>
      </c>
      <c r="AH198" s="178">
        <f t="shared" si="64"/>
        <v>6</v>
      </c>
      <c r="AI198" s="227">
        <f t="shared" si="65"/>
        <v>0.50377470987371165</v>
      </c>
      <c r="AJ198" s="267" t="b">
        <f t="shared" si="66"/>
        <v>1</v>
      </c>
      <c r="AK198" s="267" t="b">
        <f t="shared" si="67"/>
        <v>0</v>
      </c>
      <c r="AL198" s="267"/>
      <c r="AM198" s="267"/>
      <c r="AN198" s="75"/>
    </row>
    <row r="199" spans="1:40" s="6" customFormat="1" ht="11.25" x14ac:dyDescent="0.2">
      <c r="A199" s="56">
        <f t="shared" si="68"/>
        <v>44746</v>
      </c>
      <c r="B199" s="618">
        <v>41.944000000000003</v>
      </c>
      <c r="C199" s="866"/>
      <c r="D199" s="395">
        <f t="shared" si="48"/>
        <v>43.366349654566697</v>
      </c>
      <c r="E199" s="387">
        <f t="shared" si="72"/>
        <v>50.576662265361946</v>
      </c>
      <c r="F199" s="387">
        <f t="shared" si="49"/>
        <v>50.584802414144818</v>
      </c>
      <c r="G199" s="110">
        <f t="shared" si="73"/>
        <v>0.79334242744445482</v>
      </c>
      <c r="H199" s="414" t="b">
        <f>Wh_hp&gt;='2021'!Maxi_hp</f>
        <v>0</v>
      </c>
      <c r="I199" s="382">
        <f>IF(H199,Wh_hp,'2021'!Maxi_hp)</f>
        <v>59.307857255602293</v>
      </c>
      <c r="J199" s="85">
        <f>IF(H199,An,'2021'!An_max)</f>
        <v>2019</v>
      </c>
      <c r="K199" s="199">
        <f t="shared" si="50"/>
        <v>44746</v>
      </c>
      <c r="L199" s="147">
        <f>IF(t&lt;Tvie,1-EXP((T0-t)*PertePVj)+'2021'!Pspv,1-EXP((T0-t)*PertePVj)+Pspv)</f>
        <v>3.279846392182828E-2</v>
      </c>
      <c r="M199" s="870"/>
      <c r="N199" s="870"/>
      <c r="O199" s="48">
        <f>IF(t&lt;Tnet,'2021'!Resal+('2021'!Salim-'2021'!Resal)*(1-EXP(('2021'!Tnet-t)/('2021'!Tau_j))),Resal+(Salim-Resal)*(1-EXP((Tnet-t)/(Tau_j))))*Salcycl</f>
        <v>0.14256204913176559</v>
      </c>
      <c r="P199" s="341">
        <f>(INDEX(Models!$BJ199:$BT199,,T199)*(1-R199)+INDEX(Models!$BJ199:$BT199,,T199+1)*R199-ERP_i)*Q199*Ramure*Pc/MaxiM</f>
        <v>2.2830466745163547E-4</v>
      </c>
      <c r="Q199" s="307">
        <f t="shared" si="51"/>
        <v>1</v>
      </c>
      <c r="R199" s="179">
        <f t="shared" si="52"/>
        <v>0.50952938218725163</v>
      </c>
      <c r="S199" s="837">
        <f t="shared" si="53"/>
        <v>0</v>
      </c>
      <c r="T199" s="178">
        <f t="shared" si="54"/>
        <v>6</v>
      </c>
      <c r="U199" s="253">
        <f t="shared" si="55"/>
        <v>0.50952938218725163</v>
      </c>
      <c r="V199" s="385">
        <f t="shared" si="56"/>
        <v>52.866419022689783</v>
      </c>
      <c r="W199" s="404"/>
      <c r="X199" s="157">
        <f t="shared" si="57"/>
        <v>44746</v>
      </c>
      <c r="Y199" s="387">
        <f t="shared" si="58"/>
        <v>40.736300454822583</v>
      </c>
      <c r="Z199" s="387">
        <f t="shared" si="59"/>
        <v>42.117696193909033</v>
      </c>
      <c r="AA199" s="388">
        <f t="shared" si="60"/>
        <v>50.576662265361946</v>
      </c>
      <c r="AB199" s="199">
        <f t="shared" si="61"/>
        <v>44746</v>
      </c>
      <c r="AC199" s="119">
        <f>IF(OR(t&lt;Tnet,NoTnet),'2021'!Resal_s+('2021'!Salim-'2021'!Resal_s)*(1-EXP(('2021'!Tnet_s-t)/'2021'!Tau_j)),Resal_s+(Salim-Resal_s)*(1-EXP((Tnet_s-t)/Tau_j)))*Salcycl</f>
        <v>0.16725038174862208</v>
      </c>
      <c r="AD199" s="233">
        <f>(INDEX(Models!$BJ199:$BT199,,AH199)*(1-AF199)+INDEX(Models!$BJ199:$BT199,,AH199+1)*AF199-ERP_i)*AE199*Ramure*Pc/MaxiM</f>
        <v>2.2830466745163547E-4</v>
      </c>
      <c r="AE199" s="307">
        <f t="shared" si="62"/>
        <v>1</v>
      </c>
      <c r="AF199" s="179">
        <f t="shared" si="63"/>
        <v>0.50952938218725163</v>
      </c>
      <c r="AG199" s="837">
        <f t="shared" si="71"/>
        <v>0</v>
      </c>
      <c r="AH199" s="178">
        <f t="shared" si="64"/>
        <v>6</v>
      </c>
      <c r="AI199" s="227">
        <f t="shared" si="65"/>
        <v>0.50952938218725163</v>
      </c>
      <c r="AJ199" s="267" t="b">
        <f t="shared" si="66"/>
        <v>1</v>
      </c>
      <c r="AK199" s="267" t="b">
        <f t="shared" si="67"/>
        <v>0</v>
      </c>
      <c r="AL199" s="267"/>
      <c r="AM199" s="267"/>
      <c r="AN199" s="75"/>
    </row>
    <row r="200" spans="1:40" s="6" customFormat="1" ht="11.25" x14ac:dyDescent="0.2">
      <c r="A200" s="56">
        <f t="shared" si="68"/>
        <v>44747</v>
      </c>
      <c r="B200" s="618">
        <v>50.567</v>
      </c>
      <c r="C200" s="866"/>
      <c r="D200" s="395">
        <f t="shared" si="48"/>
        <v>52.282978168535841</v>
      </c>
      <c r="E200" s="387">
        <f t="shared" si="72"/>
        <v>60.987619378285579</v>
      </c>
      <c r="F200" s="387">
        <f t="shared" si="49"/>
        <v>61.001416470351082</v>
      </c>
      <c r="G200" s="110">
        <f t="shared" si="73"/>
        <v>0.95803310993096058</v>
      </c>
      <c r="H200" s="414" t="b">
        <f>Wh_hp&gt;='2021'!Maxi_hp</f>
        <v>0</v>
      </c>
      <c r="I200" s="382">
        <f>IF(H200,Wh_hp,'2021'!Maxi_hp)</f>
        <v>62.396203571574965</v>
      </c>
      <c r="J200" s="85">
        <f>IF(H200,An,'2021'!An_max)</f>
        <v>2021</v>
      </c>
      <c r="K200" s="199">
        <f t="shared" si="50"/>
        <v>44747</v>
      </c>
      <c r="L200" s="147">
        <f>IF(t&lt;Tvie,1-EXP((T0-t)*PertePVj)+'2021'!Pspv,1-EXP((T0-t)*PertePVj)+Pspv)</f>
        <v>3.2820972114563363E-2</v>
      </c>
      <c r="M200" s="870"/>
      <c r="N200" s="870"/>
      <c r="O200" s="48">
        <f>IF(t&lt;Tnet,'2021'!Resal+('2021'!Salim-'2021'!Resal)*(1-EXP(('2021'!Tnet-t)/('2021'!Tau_j))),Resal+(Salim-Resal)*(1-EXP((Tnet-t)/(Tau_j))))*Salcycl</f>
        <v>0.14272800444558736</v>
      </c>
      <c r="P200" s="341">
        <f>(INDEX(Models!$BJ200:$BT200,,T200)*(1-R200)+INDEX(Models!$BJ200:$BT200,,T200+1)*R200-ERP_i)*Q200*Ramure*Pc/MaxiM</f>
        <v>2.4059622941093584E-4</v>
      </c>
      <c r="Q200" s="307">
        <f t="shared" si="51"/>
        <v>1</v>
      </c>
      <c r="R200" s="179">
        <f t="shared" si="52"/>
        <v>0.51517706389121498</v>
      </c>
      <c r="S200" s="837">
        <f t="shared" si="53"/>
        <v>0</v>
      </c>
      <c r="T200" s="178">
        <f t="shared" si="54"/>
        <v>6</v>
      </c>
      <c r="U200" s="253">
        <f t="shared" si="55"/>
        <v>0.51517706389121498</v>
      </c>
      <c r="V200" s="385">
        <f t="shared" si="56"/>
        <v>52.781339342787383</v>
      </c>
      <c r="W200" s="404"/>
      <c r="X200" s="157">
        <f t="shared" si="57"/>
        <v>44747</v>
      </c>
      <c r="Y200" s="387">
        <f t="shared" si="58"/>
        <v>49.115166112726492</v>
      </c>
      <c r="Z200" s="387">
        <f t="shared" si="59"/>
        <v>50.78187667086619</v>
      </c>
      <c r="AA200" s="388">
        <f t="shared" si="60"/>
        <v>60.987619378285579</v>
      </c>
      <c r="AB200" s="199">
        <f t="shared" si="61"/>
        <v>44747</v>
      </c>
      <c r="AC200" s="119">
        <f>IF(OR(t&lt;Tnet,NoTnet),'2021'!Resal_s+('2021'!Salim-'2021'!Resal_s)*(1-EXP(('2021'!Tnet_s-t)/'2021'!Tau_j)),Resal_s+(Salim-Resal_s)*(1-EXP((Tnet_s-t)/Tau_j)))*Salcycl</f>
        <v>0.16734122124224288</v>
      </c>
      <c r="AD200" s="233">
        <f>(INDEX(Models!$BJ200:$BT200,,AH200)*(1-AF200)+INDEX(Models!$BJ200:$BT200,,AH200+1)*AF200-ERP_i)*AE200*Ramure*Pc/MaxiM</f>
        <v>2.4059622941093584E-4</v>
      </c>
      <c r="AE200" s="307">
        <f t="shared" si="62"/>
        <v>1</v>
      </c>
      <c r="AF200" s="179">
        <f t="shared" si="63"/>
        <v>0.51517706389121498</v>
      </c>
      <c r="AG200" s="837">
        <f t="shared" si="71"/>
        <v>0</v>
      </c>
      <c r="AH200" s="178">
        <f t="shared" si="64"/>
        <v>6</v>
      </c>
      <c r="AI200" s="227">
        <f t="shared" si="65"/>
        <v>0.51517706389121498</v>
      </c>
      <c r="AJ200" s="267" t="b">
        <f t="shared" si="66"/>
        <v>1</v>
      </c>
      <c r="AK200" s="267" t="b">
        <f t="shared" si="67"/>
        <v>0</v>
      </c>
      <c r="AL200" s="267"/>
      <c r="AM200" s="267"/>
      <c r="AN200" s="75"/>
    </row>
    <row r="201" spans="1:40" s="6" customFormat="1" ht="11.25" x14ac:dyDescent="0.2">
      <c r="A201" s="56">
        <f t="shared" si="68"/>
        <v>44748</v>
      </c>
      <c r="B201" s="618">
        <v>39.177999999999997</v>
      </c>
      <c r="C201" s="866"/>
      <c r="D201" s="395">
        <f t="shared" si="48"/>
        <v>40.508438066704983</v>
      </c>
      <c r="E201" s="387">
        <f t="shared" si="72"/>
        <v>47.26165108345824</v>
      </c>
      <c r="F201" s="387">
        <f t="shared" si="49"/>
        <v>47.269284134612128</v>
      </c>
      <c r="G201" s="110">
        <f t="shared" si="73"/>
        <v>0.74344129994671548</v>
      </c>
      <c r="H201" s="414" t="b">
        <f>Wh_hp&gt;='2021'!Maxi_hp</f>
        <v>0</v>
      </c>
      <c r="I201" s="382">
        <f>IF(H201,Wh_hp,'2021'!Maxi_hp)</f>
        <v>61.545383485754634</v>
      </c>
      <c r="J201" s="85">
        <f>IF(H201,An,'2021'!An_max)</f>
        <v>2020</v>
      </c>
      <c r="K201" s="199">
        <f t="shared" si="50"/>
        <v>44748</v>
      </c>
      <c r="L201" s="147">
        <f>IF(t&lt;Tvie,1-EXP((T0-t)*PertePVj)+'2021'!Pspv,1-EXP((T0-t)*PertePVj)+Pspv)</f>
        <v>3.2843479783499885E-2</v>
      </c>
      <c r="M201" s="870"/>
      <c r="N201" s="870"/>
      <c r="O201" s="48">
        <f>IF(t&lt;Tnet,'2021'!Resal+('2021'!Salim-'2021'!Resal)*(1-EXP(('2021'!Tnet-t)/('2021'!Tau_j))),Resal+(Salim-Resal)*(1-EXP((Tnet-t)/(Tau_j))))*Salcycl</f>
        <v>0.14288990887829792</v>
      </c>
      <c r="P201" s="341">
        <f>(INDEX(Models!$BJ201:$BT201,,T201)*(1-R201)+INDEX(Models!$BJ201:$BT201,,T201+1)*R201-ERP_i)*Q201*Ramure*Pc/MaxiM</f>
        <v>2.5486666822417285E-4</v>
      </c>
      <c r="Q201" s="307">
        <f t="shared" si="51"/>
        <v>1</v>
      </c>
      <c r="R201" s="179">
        <f t="shared" si="52"/>
        <v>0.52071607633679151</v>
      </c>
      <c r="S201" s="837">
        <f t="shared" si="53"/>
        <v>0</v>
      </c>
      <c r="T201" s="178">
        <f t="shared" si="54"/>
        <v>6</v>
      </c>
      <c r="U201" s="253">
        <f t="shared" si="55"/>
        <v>0.52071607633679151</v>
      </c>
      <c r="V201" s="385">
        <f t="shared" si="56"/>
        <v>52.693253273587722</v>
      </c>
      <c r="W201" s="404"/>
      <c r="X201" s="157">
        <f t="shared" si="57"/>
        <v>44748</v>
      </c>
      <c r="Y201" s="387">
        <f t="shared" si="58"/>
        <v>38.056396947840312</v>
      </c>
      <c r="Z201" s="387">
        <f t="shared" si="59"/>
        <v>39.348746715083202</v>
      </c>
      <c r="AA201" s="388">
        <f t="shared" si="60"/>
        <v>47.26165108345824</v>
      </c>
      <c r="AB201" s="199">
        <f t="shared" si="61"/>
        <v>44748</v>
      </c>
      <c r="AC201" s="119">
        <f>IF(OR(t&lt;Tnet,NoTnet),'2021'!Resal_s+('2021'!Salim-'2021'!Resal_s)*(1-EXP(('2021'!Tnet_s-t)/'2021'!Tau_j)),Resal_s+(Salim-Resal_s)*(1-EXP((Tnet_s-t)/Tau_j)))*Salcycl</f>
        <v>0.16742759059352011</v>
      </c>
      <c r="AD201" s="233">
        <f>(INDEX(Models!$BJ201:$BT201,,AH201)*(1-AF201)+INDEX(Models!$BJ201:$BT201,,AH201+1)*AF201-ERP_i)*AE201*Ramure*Pc/MaxiM</f>
        <v>2.5486666822417285E-4</v>
      </c>
      <c r="AE201" s="307">
        <f t="shared" si="62"/>
        <v>1</v>
      </c>
      <c r="AF201" s="179">
        <f t="shared" si="63"/>
        <v>0.52071607633679151</v>
      </c>
      <c r="AG201" s="837">
        <f t="shared" si="71"/>
        <v>0</v>
      </c>
      <c r="AH201" s="178">
        <f t="shared" si="64"/>
        <v>6</v>
      </c>
      <c r="AI201" s="227">
        <f t="shared" si="65"/>
        <v>0.52071607633679151</v>
      </c>
      <c r="AJ201" s="267" t="b">
        <f t="shared" si="66"/>
        <v>1</v>
      </c>
      <c r="AK201" s="267" t="b">
        <f t="shared" si="67"/>
        <v>0</v>
      </c>
      <c r="AL201" s="267"/>
      <c r="AM201" s="267"/>
      <c r="AN201" s="75"/>
    </row>
    <row r="202" spans="1:40" s="6" customFormat="1" ht="11.25" x14ac:dyDescent="0.2">
      <c r="A202" s="56">
        <f t="shared" si="68"/>
        <v>44749</v>
      </c>
      <c r="B202" s="618">
        <v>48.654000000000003</v>
      </c>
      <c r="C202" s="866"/>
      <c r="D202" s="395">
        <f t="shared" si="48"/>
        <v>50.307402430701785</v>
      </c>
      <c r="E202" s="387">
        <f t="shared" si="72"/>
        <v>58.705032731183174</v>
      </c>
      <c r="F202" s="387">
        <f t="shared" si="49"/>
        <v>58.7192468171447</v>
      </c>
      <c r="G202" s="110">
        <f t="shared" si="73"/>
        <v>0.92491950807831314</v>
      </c>
      <c r="H202" s="414" t="b">
        <f>Wh_hp&gt;='2021'!Maxi_hp</f>
        <v>1</v>
      </c>
      <c r="I202" s="382">
        <f>IF(H202,Wh_hp,'2021'!Maxi_hp)</f>
        <v>58.7192468171447</v>
      </c>
      <c r="J202" s="85">
        <f>IF(H202,An,'2021'!An_max)</f>
        <v>2022</v>
      </c>
      <c r="K202" s="199">
        <f t="shared" si="50"/>
        <v>44749</v>
      </c>
      <c r="L202" s="147">
        <f>IF(t&lt;Tvie,1-EXP((T0-t)*PertePVj)+'2021'!Pspv,1-EXP((T0-t)*PertePVj)+Pspv)</f>
        <v>3.2865986928650059E-2</v>
      </c>
      <c r="M202" s="870"/>
      <c r="N202" s="870"/>
      <c r="O202" s="48">
        <f>IF(t&lt;Tnet,'2021'!Resal+('2021'!Salim-'2021'!Resal)*(1-EXP(('2021'!Tnet-t)/('2021'!Tau_j))),Resal+(Salim-Resal)*(1-EXP((Tnet-t)/(Tau_j))))*Salcycl</f>
        <v>0.14304787698416019</v>
      </c>
      <c r="P202" s="341">
        <f>(INDEX(Models!$BJ202:$BT202,,T202)*(1-R202)+INDEX(Models!$BJ202:$BT202,,T202+1)*R202-ERP_i)*Q202*Ramure*Pc/MaxiM</f>
        <v>2.7114008491621285E-4</v>
      </c>
      <c r="Q202" s="307">
        <f t="shared" si="51"/>
        <v>1</v>
      </c>
      <c r="R202" s="179">
        <f t="shared" si="52"/>
        <v>0.52614498473784699</v>
      </c>
      <c r="S202" s="837">
        <f t="shared" si="53"/>
        <v>0</v>
      </c>
      <c r="T202" s="178">
        <f t="shared" si="54"/>
        <v>6</v>
      </c>
      <c r="U202" s="253">
        <f t="shared" si="55"/>
        <v>0.52614498473784699</v>
      </c>
      <c r="V202" s="385">
        <f t="shared" si="56"/>
        <v>52.60196675347219</v>
      </c>
      <c r="W202" s="404"/>
      <c r="X202" s="157">
        <f t="shared" si="57"/>
        <v>44749</v>
      </c>
      <c r="Y202" s="387">
        <f t="shared" si="58"/>
        <v>47.265168395762373</v>
      </c>
      <c r="Z202" s="387">
        <f t="shared" si="59"/>
        <v>48.871374346210075</v>
      </c>
      <c r="AA202" s="388">
        <f t="shared" si="60"/>
        <v>58.705032731183174</v>
      </c>
      <c r="AB202" s="199">
        <f t="shared" si="61"/>
        <v>44749</v>
      </c>
      <c r="AC202" s="119">
        <f>IF(OR(t&lt;Tnet,NoTnet),'2021'!Resal_s+('2021'!Salim-'2021'!Resal_s)*(1-EXP(('2021'!Tnet_s-t)/'2021'!Tau_j)),Resal_s+(Salim-Resal_s)*(1-EXP((Tnet_s-t)/Tau_j)))*Salcycl</f>
        <v>0.16750963124409637</v>
      </c>
      <c r="AD202" s="233">
        <f>(INDEX(Models!$BJ202:$BT202,,AH202)*(1-AF202)+INDEX(Models!$BJ202:$BT202,,AH202+1)*AF202-ERP_i)*AE202*Ramure*Pc/MaxiM</f>
        <v>2.7114008491621285E-4</v>
      </c>
      <c r="AE202" s="307">
        <f t="shared" si="62"/>
        <v>1</v>
      </c>
      <c r="AF202" s="179">
        <f t="shared" si="63"/>
        <v>0.52614498473784699</v>
      </c>
      <c r="AG202" s="837">
        <f t="shared" si="71"/>
        <v>0</v>
      </c>
      <c r="AH202" s="178">
        <f t="shared" si="64"/>
        <v>6</v>
      </c>
      <c r="AI202" s="227">
        <f t="shared" si="65"/>
        <v>0.52614498473784699</v>
      </c>
      <c r="AJ202" s="267" t="b">
        <f t="shared" si="66"/>
        <v>1</v>
      </c>
      <c r="AK202" s="267" t="b">
        <f t="shared" si="67"/>
        <v>0</v>
      </c>
      <c r="AL202" s="267"/>
      <c r="AM202" s="267"/>
      <c r="AN202" s="75"/>
    </row>
    <row r="203" spans="1:40" s="6" customFormat="1" ht="11.25" x14ac:dyDescent="0.2">
      <c r="A203" s="56">
        <f t="shared" si="68"/>
        <v>44750</v>
      </c>
      <c r="B203" s="618">
        <v>53.4</v>
      </c>
      <c r="C203" s="866"/>
      <c r="D203" s="395">
        <f t="shared" si="48"/>
        <v>55.215970075692859</v>
      </c>
      <c r="E203" s="387">
        <f t="shared" si="72"/>
        <v>64.44456211683449</v>
      </c>
      <c r="F203" s="387">
        <f t="shared" si="49"/>
        <v>64.463220422098416</v>
      </c>
      <c r="G203" s="110">
        <f t="shared" si="73"/>
        <v>1.0170017259512267</v>
      </c>
      <c r="H203" s="414" t="b">
        <f>Wh_hp&gt;='2021'!Maxi_hp</f>
        <v>1</v>
      </c>
      <c r="I203" s="382">
        <f>IF(H203,Wh_hp,'2021'!Maxi_hp)</f>
        <v>64.463220422098416</v>
      </c>
      <c r="J203" s="85">
        <f>IF(H203,An,'2021'!An_max)</f>
        <v>2022</v>
      </c>
      <c r="K203" s="199">
        <f t="shared" si="50"/>
        <v>44750</v>
      </c>
      <c r="L203" s="147">
        <f>IF(t&lt;Tvie,1-EXP((T0-t)*PertePVj)+'2021'!Pspv,1-EXP((T0-t)*PertePVj)+Pspv)</f>
        <v>3.2888493550026099E-2</v>
      </c>
      <c r="M203" s="870"/>
      <c r="N203" s="870"/>
      <c r="O203" s="48">
        <f>IF(t&lt;Tnet,'2021'!Resal+('2021'!Salim-'2021'!Resal)*(1-EXP(('2021'!Tnet-t)/('2021'!Tau_j))),Resal+(Salim-Resal)*(1-EXP((Tnet-t)/(Tau_j))))*Salcycl</f>
        <v>0.14320202881370656</v>
      </c>
      <c r="P203" s="341">
        <f>(INDEX(Models!$BJ203:$BT203,,T203)*(1-R203)+INDEX(Models!$BJ203:$BT203,,T203+1)*R203-ERP_i)*Q203*Ramure*Pc/MaxiM</f>
        <v>2.8944109744679275E-4</v>
      </c>
      <c r="Q203" s="307">
        <f t="shared" si="51"/>
        <v>1</v>
      </c>
      <c r="R203" s="179">
        <f t="shared" si="52"/>
        <v>0.53146259292969034</v>
      </c>
      <c r="S203" s="837">
        <f t="shared" si="53"/>
        <v>0</v>
      </c>
      <c r="T203" s="178">
        <f t="shared" si="54"/>
        <v>6</v>
      </c>
      <c r="U203" s="253">
        <f t="shared" si="55"/>
        <v>0.53146259292969034</v>
      </c>
      <c r="V203" s="385">
        <f t="shared" si="56"/>
        <v>52.507285521126974</v>
      </c>
      <c r="W203" s="404"/>
      <c r="X203" s="157">
        <f t="shared" si="57"/>
        <v>44750</v>
      </c>
      <c r="Y203" s="387">
        <f t="shared" si="58"/>
        <v>51.880174199079178</v>
      </c>
      <c r="Z203" s="387">
        <f t="shared" si="59"/>
        <v>53.644459664758216</v>
      </c>
      <c r="AA203" s="388">
        <f t="shared" si="60"/>
        <v>64.44456211683449</v>
      </c>
      <c r="AB203" s="199">
        <f t="shared" si="61"/>
        <v>44750</v>
      </c>
      <c r="AC203" s="119">
        <f>IF(OR(t&lt;Tnet,NoTnet),'2021'!Resal_s+('2021'!Salim-'2021'!Resal_s)*(1-EXP(('2021'!Tnet_s-t)/'2021'!Tau_j)),Resal_s+(Salim-Resal_s)*(1-EXP((Tnet_s-t)/Tau_j)))*Salcycl</f>
        <v>0.16758749066362294</v>
      </c>
      <c r="AD203" s="233">
        <f>(INDEX(Models!$BJ203:$BT203,,AH203)*(1-AF203)+INDEX(Models!$BJ203:$BT203,,AH203+1)*AF203-ERP_i)*AE203*Ramure*Pc/MaxiM</f>
        <v>2.8944109744679275E-4</v>
      </c>
      <c r="AE203" s="307">
        <f t="shared" si="62"/>
        <v>1</v>
      </c>
      <c r="AF203" s="179">
        <f t="shared" si="63"/>
        <v>0.53146259292969034</v>
      </c>
      <c r="AG203" s="837">
        <f t="shared" si="71"/>
        <v>0</v>
      </c>
      <c r="AH203" s="178">
        <f t="shared" si="64"/>
        <v>6</v>
      </c>
      <c r="AI203" s="227">
        <f t="shared" si="65"/>
        <v>0.53146259292969034</v>
      </c>
      <c r="AJ203" s="267" t="b">
        <f t="shared" si="66"/>
        <v>1</v>
      </c>
      <c r="AK203" s="267" t="b">
        <f t="shared" si="67"/>
        <v>0</v>
      </c>
      <c r="AL203" s="267"/>
      <c r="AM203" s="267"/>
      <c r="AN203" s="75"/>
    </row>
    <row r="204" spans="1:40" s="6" customFormat="1" ht="11.25" x14ac:dyDescent="0.2">
      <c r="A204" s="56">
        <f t="shared" si="68"/>
        <v>44751</v>
      </c>
      <c r="B204" s="618">
        <v>52.456000000000003</v>
      </c>
      <c r="C204" s="866"/>
      <c r="D204" s="395">
        <f t="shared" si="48"/>
        <v>54.24112980386252</v>
      </c>
      <c r="E204" s="387">
        <f t="shared" si="72"/>
        <v>63.317909774146273</v>
      </c>
      <c r="F204" s="387">
        <f t="shared" si="49"/>
        <v>63.337531421263044</v>
      </c>
      <c r="G204" s="110">
        <f t="shared" si="73"/>
        <v>1.0008965028877421</v>
      </c>
      <c r="H204" s="414" t="b">
        <f>Wh_hp&gt;='2021'!Maxi_hp</f>
        <v>1</v>
      </c>
      <c r="I204" s="382">
        <f>IF(H204,Wh_hp,'2021'!Maxi_hp)</f>
        <v>63.337531421263044</v>
      </c>
      <c r="J204" s="85">
        <f>IF(H204,An,'2021'!An_max)</f>
        <v>2022</v>
      </c>
      <c r="K204" s="199">
        <f t="shared" si="50"/>
        <v>44751</v>
      </c>
      <c r="L204" s="147">
        <f>IF(t&lt;Tvie,1-EXP((T0-t)*PertePVj)+'2021'!Pspv,1-EXP((T0-t)*PertePVj)+Pspv)</f>
        <v>3.2910999647640105E-2</v>
      </c>
      <c r="M204" s="870"/>
      <c r="N204" s="870"/>
      <c r="O204" s="48">
        <f>IF(t&lt;Tnet,'2021'!Resal+('2021'!Salim-'2021'!Resal)*(1-EXP(('2021'!Tnet-t)/('2021'!Tau_j))),Resal+(Salim-Resal)*(1-EXP((Tnet-t)/(Tau_j))))*Salcycl</f>
        <v>0.14335248909290355</v>
      </c>
      <c r="P204" s="341">
        <f>(INDEX(Models!$BJ204:$BT204,,T204)*(1-R204)+INDEX(Models!$BJ204:$BT204,,T204+1)*R204-ERP_i)*Q204*Ramure*Pc/MaxiM</f>
        <v>3.0979494584760289E-4</v>
      </c>
      <c r="Q204" s="307">
        <f t="shared" si="51"/>
        <v>1</v>
      </c>
      <c r="R204" s="179">
        <f t="shared" si="52"/>
        <v>0.53666793730532325</v>
      </c>
      <c r="S204" s="837">
        <f t="shared" si="53"/>
        <v>0</v>
      </c>
      <c r="T204" s="178">
        <f t="shared" si="54"/>
        <v>6</v>
      </c>
      <c r="U204" s="253">
        <f t="shared" si="55"/>
        <v>0.53666793730532325</v>
      </c>
      <c r="V204" s="385">
        <f t="shared" si="56"/>
        <v>52.409015166559456</v>
      </c>
      <c r="W204" s="404"/>
      <c r="X204" s="157">
        <f t="shared" si="57"/>
        <v>44751</v>
      </c>
      <c r="Y204" s="387">
        <f t="shared" si="58"/>
        <v>50.967471649711101</v>
      </c>
      <c r="Z204" s="387">
        <f t="shared" si="59"/>
        <v>52.701945354709906</v>
      </c>
      <c r="AA204" s="388">
        <f t="shared" si="60"/>
        <v>63.317909774146273</v>
      </c>
      <c r="AB204" s="199">
        <f t="shared" si="61"/>
        <v>44751</v>
      </c>
      <c r="AC204" s="119">
        <f>IF(OR(t&lt;Tnet,NoTnet),'2021'!Resal_s+('2021'!Salim-'2021'!Resal_s)*(1-EXP(('2021'!Tnet_s-t)/'2021'!Tau_j)),Resal_s+(Salim-Resal_s)*(1-EXP((Tnet_s-t)/Tau_j)))*Salcycl</f>
        <v>0.16766132137499962</v>
      </c>
      <c r="AD204" s="233">
        <f>(INDEX(Models!$BJ204:$BT204,,AH204)*(1-AF204)+INDEX(Models!$BJ204:$BT204,,AH204+1)*AF204-ERP_i)*AE204*Ramure*Pc/MaxiM</f>
        <v>3.0979494584760289E-4</v>
      </c>
      <c r="AE204" s="307">
        <f t="shared" si="62"/>
        <v>1</v>
      </c>
      <c r="AF204" s="179">
        <f t="shared" si="63"/>
        <v>0.53666793730532325</v>
      </c>
      <c r="AG204" s="837">
        <f t="shared" si="71"/>
        <v>0</v>
      </c>
      <c r="AH204" s="178">
        <f t="shared" si="64"/>
        <v>6</v>
      </c>
      <c r="AI204" s="227">
        <f t="shared" si="65"/>
        <v>0.53666793730532325</v>
      </c>
      <c r="AJ204" s="267" t="b">
        <f t="shared" si="66"/>
        <v>1</v>
      </c>
      <c r="AK204" s="267" t="b">
        <f t="shared" si="67"/>
        <v>0</v>
      </c>
      <c r="AL204" s="267"/>
      <c r="AM204" s="267"/>
      <c r="AN204" s="75"/>
    </row>
    <row r="205" spans="1:40" s="6" customFormat="1" ht="11.25" x14ac:dyDescent="0.2">
      <c r="A205" s="56">
        <f t="shared" si="68"/>
        <v>44752</v>
      </c>
      <c r="B205" s="618">
        <v>51.931000000000004</v>
      </c>
      <c r="C205" s="866"/>
      <c r="D205" s="395">
        <f t="shared" si="48"/>
        <v>53.69951319830875</v>
      </c>
      <c r="E205" s="387">
        <f t="shared" si="72"/>
        <v>62.696409489114046</v>
      </c>
      <c r="F205" s="387">
        <f t="shared" si="49"/>
        <v>62.717031811219734</v>
      </c>
      <c r="G205" s="110">
        <f t="shared" si="73"/>
        <v>0.99280783321926058</v>
      </c>
      <c r="H205" s="414" t="b">
        <f>Wh_hp&gt;='2021'!Maxi_hp</f>
        <v>0</v>
      </c>
      <c r="I205" s="382">
        <f>IF(H205,Wh_hp,'2021'!Maxi_hp)</f>
        <v>63.097862001735528</v>
      </c>
      <c r="J205" s="85">
        <f>IF(H205,An,'2021'!An_max)</f>
        <v>2019</v>
      </c>
      <c r="K205" s="199">
        <f t="shared" si="50"/>
        <v>44752</v>
      </c>
      <c r="L205" s="147">
        <f>IF(t&lt;Tvie,1-EXP((T0-t)*PertePVj)+'2021'!Pspv,1-EXP((T0-t)*PertePVj)+Pspv)</f>
        <v>3.29335052215044E-2</v>
      </c>
      <c r="M205" s="870"/>
      <c r="N205" s="870"/>
      <c r="O205" s="48">
        <f>IF(t&lt;Tnet,'2021'!Resal+('2021'!Salim-'2021'!Resal)*(1-EXP(('2021'!Tnet-t)/('2021'!Tau_j))),Resal+(Salim-Resal)*(1-EXP((Tnet-t)/(Tau_j))))*Salcycl</f>
        <v>0.14349938639416701</v>
      </c>
      <c r="P205" s="341">
        <f>(INDEX(Models!$BJ205:$BT205,,T205)*(1-R205)+INDEX(Models!$BJ205:$BT205,,T205+1)*R205-ERP_i)*Q205*Ramure*Pc/MaxiM</f>
        <v>3.3222720768602272E-4</v>
      </c>
      <c r="Q205" s="307">
        <f t="shared" si="51"/>
        <v>1</v>
      </c>
      <c r="R205" s="179">
        <f t="shared" si="52"/>
        <v>0.54176028001228349</v>
      </c>
      <c r="S205" s="837">
        <f t="shared" si="53"/>
        <v>0</v>
      </c>
      <c r="T205" s="178">
        <f t="shared" si="54"/>
        <v>6</v>
      </c>
      <c r="U205" s="253">
        <f t="shared" si="55"/>
        <v>0.54176028001228349</v>
      </c>
      <c r="V205" s="385">
        <f t="shared" si="56"/>
        <v>52.307023597509918</v>
      </c>
      <c r="W205" s="404"/>
      <c r="X205" s="157">
        <f t="shared" si="57"/>
        <v>44752</v>
      </c>
      <c r="Y205" s="387">
        <f t="shared" si="58"/>
        <v>50.461781594905183</v>
      </c>
      <c r="Z205" s="387">
        <f t="shared" si="59"/>
        <v>52.180260475742507</v>
      </c>
      <c r="AA205" s="388">
        <f t="shared" si="60"/>
        <v>62.696409489114046</v>
      </c>
      <c r="AB205" s="199">
        <f t="shared" si="61"/>
        <v>44752</v>
      </c>
      <c r="AC205" s="119">
        <f>IF(OR(t&lt;Tnet,NoTnet),'2021'!Resal_s+('2021'!Salim-'2021'!Resal_s)*(1-EXP(('2021'!Tnet_s-t)/'2021'!Tau_j)),Resal_s+(Salim-Resal_s)*(1-EXP((Tnet_s-t)/Tau_j)))*Salcycl</f>
        <v>0.16773127997381501</v>
      </c>
      <c r="AD205" s="233">
        <f>(INDEX(Models!$BJ205:$BT205,,AH205)*(1-AF205)+INDEX(Models!$BJ205:$BT205,,AH205+1)*AF205-ERP_i)*AE205*Ramure*Pc/MaxiM</f>
        <v>3.3222720768602272E-4</v>
      </c>
      <c r="AE205" s="307">
        <f t="shared" si="62"/>
        <v>1</v>
      </c>
      <c r="AF205" s="179">
        <f t="shared" si="63"/>
        <v>0.54176028001228349</v>
      </c>
      <c r="AG205" s="837">
        <f t="shared" si="71"/>
        <v>0</v>
      </c>
      <c r="AH205" s="178">
        <f t="shared" si="64"/>
        <v>6</v>
      </c>
      <c r="AI205" s="227">
        <f t="shared" si="65"/>
        <v>0.54176028001228349</v>
      </c>
      <c r="AJ205" s="267" t="b">
        <f t="shared" si="66"/>
        <v>1</v>
      </c>
      <c r="AK205" s="267" t="b">
        <f t="shared" si="67"/>
        <v>0</v>
      </c>
      <c r="AL205" s="267"/>
      <c r="AM205" s="267"/>
      <c r="AN205" s="75"/>
    </row>
    <row r="206" spans="1:40" s="6" customFormat="1" ht="11.25" x14ac:dyDescent="0.2">
      <c r="A206" s="56">
        <f t="shared" si="68"/>
        <v>44753</v>
      </c>
      <c r="B206" s="618">
        <v>50.145000000000003</v>
      </c>
      <c r="C206" s="866"/>
      <c r="D206" s="395">
        <f t="shared" si="48"/>
        <v>51.853897581313895</v>
      </c>
      <c r="E206" s="387">
        <f t="shared" si="72"/>
        <v>60.551719245770727</v>
      </c>
      <c r="F206" s="387">
        <f t="shared" si="49"/>
        <v>60.572175075060116</v>
      </c>
      <c r="G206" s="110">
        <f t="shared" si="73"/>
        <v>0.96058759210926026</v>
      </c>
      <c r="H206" s="414" t="b">
        <f>Wh_hp&gt;='2021'!Maxi_hp</f>
        <v>0</v>
      </c>
      <c r="I206" s="382">
        <f>IF(H206,Wh_hp,'2021'!Maxi_hp)</f>
        <v>62.66471285413887</v>
      </c>
      <c r="J206" s="85">
        <f>IF(H206,An,'2021'!An_max)</f>
        <v>2019</v>
      </c>
      <c r="K206" s="199">
        <f t="shared" si="50"/>
        <v>44753</v>
      </c>
      <c r="L206" s="147">
        <f>IF(t&lt;Tvie,1-EXP((T0-t)*PertePVj)+'2021'!Pspv,1-EXP((T0-t)*PertePVj)+Pspv)</f>
        <v>3.2956010271631198E-2</v>
      </c>
      <c r="M206" s="870"/>
      <c r="N206" s="870"/>
      <c r="O206" s="48">
        <f>IF(t&lt;Tnet,'2021'!Resal+('2021'!Salim-'2021'!Resal)*(1-EXP(('2021'!Tnet-t)/('2021'!Tau_j))),Resal+(Salim-Resal)*(1-EXP((Tnet-t)/(Tau_j))))*Salcycl</f>
        <v>0.14364285230537588</v>
      </c>
      <c r="P206" s="341">
        <f>(INDEX(Models!$BJ206:$BT206,,T206)*(1-R206)+INDEX(Models!$BJ206:$BT206,,T206+1)*R206-ERP_i)*Q206*Ramure*Pc/MaxiM</f>
        <v>3.5784819223071097E-4</v>
      </c>
      <c r="Q206" s="307">
        <f t="shared" si="51"/>
        <v>1</v>
      </c>
      <c r="R206" s="179">
        <f t="shared" si="52"/>
        <v>0.54673910149399352</v>
      </c>
      <c r="S206" s="837">
        <f t="shared" si="53"/>
        <v>0</v>
      </c>
      <c r="T206" s="178">
        <f t="shared" si="54"/>
        <v>6</v>
      </c>
      <c r="U206" s="253">
        <f t="shared" si="55"/>
        <v>0.54673910149399352</v>
      </c>
      <c r="V206" s="385">
        <f t="shared" si="56"/>
        <v>52.201371578344691</v>
      </c>
      <c r="W206" s="404"/>
      <c r="X206" s="157">
        <f t="shared" si="57"/>
        <v>44753</v>
      </c>
      <c r="Y206" s="387">
        <f t="shared" si="58"/>
        <v>48.730594663211996</v>
      </c>
      <c r="Z206" s="387">
        <f t="shared" si="59"/>
        <v>50.391290552252791</v>
      </c>
      <c r="AA206" s="388">
        <f t="shared" si="60"/>
        <v>60.551719245770727</v>
      </c>
      <c r="AB206" s="199">
        <f t="shared" si="61"/>
        <v>44753</v>
      </c>
      <c r="AC206" s="119">
        <f>IF(OR(t&lt;Tnet,NoTnet),'2021'!Resal_s+('2021'!Salim-'2021'!Resal_s)*(1-EXP(('2021'!Tnet_s-t)/'2021'!Tau_j)),Resal_s+(Salim-Resal_s)*(1-EXP((Tnet_s-t)/Tau_j)))*Salcycl</f>
        <v>0.1677975261491455</v>
      </c>
      <c r="AD206" s="233">
        <f>(INDEX(Models!$BJ206:$BT206,,AH206)*(1-AF206)+INDEX(Models!$BJ206:$BT206,,AH206+1)*AF206-ERP_i)*AE206*Ramure*Pc/MaxiM</f>
        <v>3.5784819223071097E-4</v>
      </c>
      <c r="AE206" s="307">
        <f t="shared" si="62"/>
        <v>1</v>
      </c>
      <c r="AF206" s="179">
        <f t="shared" si="63"/>
        <v>0.54673910149399352</v>
      </c>
      <c r="AG206" s="837">
        <f t="shared" si="71"/>
        <v>0</v>
      </c>
      <c r="AH206" s="178">
        <f t="shared" si="64"/>
        <v>6</v>
      </c>
      <c r="AI206" s="227">
        <f t="shared" si="65"/>
        <v>0.54673910149399352</v>
      </c>
      <c r="AJ206" s="267" t="b">
        <f t="shared" si="66"/>
        <v>1</v>
      </c>
      <c r="AK206" s="267" t="b">
        <f t="shared" si="67"/>
        <v>0</v>
      </c>
      <c r="AL206" s="267"/>
      <c r="AM206" s="267"/>
      <c r="AN206" s="75"/>
    </row>
    <row r="207" spans="1:40" s="6" customFormat="1" ht="11.25" x14ac:dyDescent="0.2">
      <c r="A207" s="56">
        <f t="shared" si="68"/>
        <v>44754</v>
      </c>
      <c r="B207" s="618">
        <v>50.247999999999998</v>
      </c>
      <c r="C207" s="866"/>
      <c r="D207" s="395">
        <f t="shared" ref="D207:D270" si="74">Wh/(1-Ppv)</f>
        <v>51.961616953635151</v>
      </c>
      <c r="E207" s="387">
        <f t="shared" si="72"/>
        <v>60.687440454904269</v>
      </c>
      <c r="F207" s="387">
        <f t="shared" ref="F207:F270" si="75">Wh_sa/(1-Pvg*MEDIAN((-Sdif+Wh/Env_an)/Csdif,0,1))</f>
        <v>60.70970306652238</v>
      </c>
      <c r="G207" s="110">
        <f t="shared" si="73"/>
        <v>0.9645773870340868</v>
      </c>
      <c r="H207" s="414" t="b">
        <f>Wh_hp&gt;='2021'!Maxi_hp</f>
        <v>0</v>
      </c>
      <c r="I207" s="382">
        <f>IF(H207,Wh_hp,'2021'!Maxi_hp)</f>
        <v>63.499999412795624</v>
      </c>
      <c r="J207" s="85">
        <f>IF(H207,An,'2021'!An_max)</f>
        <v>2019</v>
      </c>
      <c r="K207" s="199">
        <f t="shared" ref="K207:K270" si="76">t</f>
        <v>44754</v>
      </c>
      <c r="L207" s="147">
        <f>IF(t&lt;Tvie,1-EXP((T0-t)*PertePVj)+'2021'!Pspv,1-EXP((T0-t)*PertePVj)+Pspv)</f>
        <v>3.2978514798032488E-2</v>
      </c>
      <c r="M207" s="870"/>
      <c r="N207" s="870"/>
      <c r="O207" s="48">
        <f>IF(t&lt;Tnet,'2021'!Resal+('2021'!Salim-'2021'!Resal)*(1-EXP(('2021'!Tnet-t)/('2021'!Tau_j))),Resal+(Salim-Resal)*(1-EXP((Tnet-t)/(Tau_j))))*Salcycl</f>
        <v>0.14378302060297168</v>
      </c>
      <c r="P207" s="341">
        <f>(INDEX(Models!$BJ207:$BT207,,T207)*(1-R207)+INDEX(Models!$BJ207:$BT207,,T207+1)*R207-ERP_i)*Q207*Ramure*Pc/MaxiM</f>
        <v>3.8624081351074064E-4</v>
      </c>
      <c r="Q207" s="307">
        <f t="shared" ref="Q207:Q270" si="77">IF(OR(t&lt;Ttai,Notai),Dd+PousD*Croivg,Dens+PousD*(Croivg-Croi_tai))</f>
        <v>1</v>
      </c>
      <c r="R207" s="179">
        <f t="shared" ref="R207:R270" si="78">(Hp_vg-S207)/(INDEX(Echel_vg,T207+1)-S207)</f>
        <v>0.55160409245939901</v>
      </c>
      <c r="S207" s="837">
        <f t="shared" ref="S207:S270" si="79">INDEX(Echel_vg,T207)</f>
        <v>0</v>
      </c>
      <c r="T207" s="178">
        <f t="shared" ref="T207:T270" si="80">MIN(MATCH(Hp_vg,Echel_vg),10)</f>
        <v>6</v>
      </c>
      <c r="U207" s="253">
        <f t="shared" ref="U207:U270" si="81">IF(OR(t&lt;Ttai,Notai),Hdd+PousH*Croivg,Hdtf+PousH*(Croivg-Croi_tai))</f>
        <v>0.55160409245939901</v>
      </c>
      <c r="V207" s="385">
        <f t="shared" ref="V207:V270" si="82">MaxiM*(1-Ppv)*(1-Pvg)*(1-Psa)</f>
        <v>52.092262092605957</v>
      </c>
      <c r="W207" s="404"/>
      <c r="X207" s="157">
        <f t="shared" ref="X207:X270" si="83">t</f>
        <v>44754</v>
      </c>
      <c r="Y207" s="387">
        <f t="shared" ref="Y207:Y270" si="84">Wh_pvt_s*(1-Ppv)</f>
        <v>48.835003959887629</v>
      </c>
      <c r="Z207" s="387">
        <f t="shared" ref="Z207:Z270" si="85">Wh_sa_s*(1-Psa_s)</f>
        <v>50.500433244963716</v>
      </c>
      <c r="AA207" s="388">
        <f t="shared" ref="AA207:AA270" si="86">Wh_hp*(1-Pvg_s*MEDIAN((-Sdif+Wh/Env_an)/Csdif,0,1))</f>
        <v>60.687440454904269</v>
      </c>
      <c r="AB207" s="199">
        <f t="shared" ref="AB207:AB270" si="87">t</f>
        <v>44754</v>
      </c>
      <c r="AC207" s="119">
        <f>IF(OR(t&lt;Tnet,NoTnet),'2021'!Resal_s+('2021'!Salim-'2021'!Resal_s)*(1-EXP(('2021'!Tnet_s-t)/'2021'!Tau_j)),Resal_s+(Salim-Resal_s)*(1-EXP((Tnet_s-t)/Tau_j)))*Salcycl</f>
        <v>0.16786022171276657</v>
      </c>
      <c r="AD207" s="233">
        <f>(INDEX(Models!$BJ207:$BT207,,AH207)*(1-AF207)+INDEX(Models!$BJ207:$BT207,,AH207+1)*AF207-ERP_i)*AE207*Ramure*Pc/MaxiM</f>
        <v>3.8624081351074064E-4</v>
      </c>
      <c r="AE207" s="307">
        <f t="shared" ref="AE207:AE270" si="88">IF(OR(t&lt;Ttai,Notai),Dd_s+PousD*Croivg,Dens_s+PousD*(Croivg-Croi_tai))</f>
        <v>1</v>
      </c>
      <c r="AF207" s="179">
        <f t="shared" ref="AF207:AF270" si="89">(Hp_vg_s-AG207)/(INDEX(Echel_vg,AH207+1)-AG207)</f>
        <v>0.55160409245939901</v>
      </c>
      <c r="AG207" s="837">
        <f t="shared" si="71"/>
        <v>0</v>
      </c>
      <c r="AH207" s="178">
        <f t="shared" ref="AH207:AH270" si="90">MIN(MATCH(Hp_vg_s,Echel_vg),10)</f>
        <v>6</v>
      </c>
      <c r="AI207" s="227">
        <f t="shared" ref="AI207:AI270" si="91">IF(OR(t&lt;Ttai,Notai),Hdd_s+PousH*Croivg,Hdtai_s+PousH*(Croivg-Croi_tai))</f>
        <v>0.55160409245939901</v>
      </c>
      <c r="AJ207" s="267" t="b">
        <f t="shared" ref="AJ207:AJ270" si="92">t&lt;Tnet</f>
        <v>1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4">A207+1</f>
        <v>44755</v>
      </c>
      <c r="B208" s="618">
        <v>49.942</v>
      </c>
      <c r="C208" s="866"/>
      <c r="D208" s="395">
        <f t="shared" si="74"/>
        <v>51.646383265121493</v>
      </c>
      <c r="E208" s="387">
        <f t="shared" si="72"/>
        <v>60.328923535094262</v>
      </c>
      <c r="F208" s="387">
        <f t="shared" si="75"/>
        <v>60.352705657987606</v>
      </c>
      <c r="G208" s="110">
        <f t="shared" si="73"/>
        <v>0.96077245763057739</v>
      </c>
      <c r="H208" s="414" t="b">
        <f>Wh_hp&gt;='2021'!Maxi_hp</f>
        <v>1</v>
      </c>
      <c r="I208" s="382">
        <f>IF(H208,Wh_hp,'2021'!Maxi_hp)</f>
        <v>60.352705657987606</v>
      </c>
      <c r="J208" s="85">
        <f>IF(H208,An,'2021'!An_max)</f>
        <v>2022</v>
      </c>
      <c r="K208" s="199">
        <f t="shared" si="76"/>
        <v>44755</v>
      </c>
      <c r="L208" s="147">
        <f>IF(t&lt;Tvie,1-EXP((T0-t)*PertePVj)+'2021'!Pspv,1-EXP((T0-t)*PertePVj)+Pspv)</f>
        <v>3.3001018800720594E-2</v>
      </c>
      <c r="M208" s="870"/>
      <c r="N208" s="870"/>
      <c r="O208" s="48">
        <f>IF(t&lt;Tnet,'2021'!Resal+('2021'!Salim-'2021'!Resal)*(1-EXP(('2021'!Tnet-t)/('2021'!Tau_j))),Resal+(Salim-Resal)*(1-EXP((Tnet-t)/(Tau_j))))*Salcycl</f>
        <v>0.14392002643511451</v>
      </c>
      <c r="P208" s="341">
        <f>(INDEX(Models!$BJ208:$BT208,,T208)*(1-R208)+INDEX(Models!$BJ208:$BT208,,T208+1)*R208-ERP_i)*Q208*Ramure*Pc/MaxiM</f>
        <v>4.1743149455315457E-4</v>
      </c>
      <c r="Q208" s="307">
        <f t="shared" si="77"/>
        <v>1</v>
      </c>
      <c r="R208" s="179">
        <f t="shared" si="78"/>
        <v>0.55635514536368258</v>
      </c>
      <c r="S208" s="837">
        <f t="shared" si="79"/>
        <v>0</v>
      </c>
      <c r="T208" s="178">
        <f t="shared" si="80"/>
        <v>6</v>
      </c>
      <c r="U208" s="253">
        <f t="shared" si="81"/>
        <v>0.55635514536368258</v>
      </c>
      <c r="V208" s="385">
        <f t="shared" si="82"/>
        <v>51.979874672401927</v>
      </c>
      <c r="W208" s="404"/>
      <c r="X208" s="157">
        <f t="shared" si="83"/>
        <v>44755</v>
      </c>
      <c r="Y208" s="387">
        <f t="shared" si="84"/>
        <v>48.541916799536835</v>
      </c>
      <c r="Z208" s="387">
        <f t="shared" si="85"/>
        <v>50.198519071172946</v>
      </c>
      <c r="AA208" s="388">
        <f t="shared" si="86"/>
        <v>60.328923535094262</v>
      </c>
      <c r="AB208" s="199">
        <f t="shared" si="87"/>
        <v>44755</v>
      </c>
      <c r="AC208" s="119">
        <f>IF(OR(t&lt;Tnet,NoTnet),'2021'!Resal_s+('2021'!Salim-'2021'!Resal_s)*(1-EXP(('2021'!Tnet_s-t)/'2021'!Tau_j)),Resal_s+(Salim-Resal_s)*(1-EXP((Tnet_s-t)/Tau_j)))*Salcycl</f>
        <v>0.1679195296436593</v>
      </c>
      <c r="AD208" s="233">
        <f>(INDEX(Models!$BJ208:$BT208,,AH208)*(1-AF208)+INDEX(Models!$BJ208:$BT208,,AH208+1)*AF208-ERP_i)*AE208*Ramure*Pc/MaxiM</f>
        <v>4.1743149455315457E-4</v>
      </c>
      <c r="AE208" s="307">
        <f t="shared" si="88"/>
        <v>1</v>
      </c>
      <c r="AF208" s="179">
        <f t="shared" si="89"/>
        <v>0.55635514536368258</v>
      </c>
      <c r="AG208" s="837">
        <f t="shared" ref="AG208:AG271" si="95">INDEX(Echel_vg,AH208)</f>
        <v>0</v>
      </c>
      <c r="AH208" s="178">
        <f t="shared" si="90"/>
        <v>6</v>
      </c>
      <c r="AI208" s="227">
        <f t="shared" si="91"/>
        <v>0.55635514536368258</v>
      </c>
      <c r="AJ208" s="267" t="b">
        <f t="shared" si="92"/>
        <v>1</v>
      </c>
      <c r="AK208" s="267" t="b">
        <f t="shared" si="93"/>
        <v>0</v>
      </c>
      <c r="AL208" s="267"/>
      <c r="AM208" s="267"/>
      <c r="AN208" s="75"/>
    </row>
    <row r="209" spans="1:40" s="6" customFormat="1" ht="11.25" x14ac:dyDescent="0.2">
      <c r="A209" s="56">
        <f t="shared" si="94"/>
        <v>44756</v>
      </c>
      <c r="B209" s="618">
        <v>49.314</v>
      </c>
      <c r="C209" s="866"/>
      <c r="D209" s="395">
        <f t="shared" si="74"/>
        <v>50.998138151468638</v>
      </c>
      <c r="E209" s="387">
        <f t="shared" si="72"/>
        <v>59.581023195852453</v>
      </c>
      <c r="F209" s="387">
        <f t="shared" si="75"/>
        <v>59.606041848632046</v>
      </c>
      <c r="G209" s="110">
        <f t="shared" si="73"/>
        <v>0.95079565509995889</v>
      </c>
      <c r="H209" s="414" t="b">
        <f>Wh_hp&gt;='2021'!Maxi_hp</f>
        <v>0</v>
      </c>
      <c r="I209" s="382">
        <f>IF(H209,Wh_hp,'2021'!Maxi_hp)</f>
        <v>62.42092802890074</v>
      </c>
      <c r="J209" s="85">
        <f>IF(H209,An,'2021'!An_max)</f>
        <v>2019</v>
      </c>
      <c r="K209" s="199">
        <f t="shared" si="76"/>
        <v>44756</v>
      </c>
      <c r="L209" s="147">
        <f>IF(t&lt;Tvie,1-EXP((T0-t)*PertePVj)+'2021'!Pspv,1-EXP((T0-t)*PertePVj)+Pspv)</f>
        <v>3.3023522279707729E-2</v>
      </c>
      <c r="M209" s="870"/>
      <c r="N209" s="870"/>
      <c r="O209" s="48">
        <f>IF(t&lt;Tnet,'2021'!Resal+('2021'!Salim-'2021'!Resal)*(1-EXP(('2021'!Tnet-t)/('2021'!Tau_j))),Resal+(Salim-Resal)*(1-EXP((Tnet-t)/(Tau_j))))*Salcycl</f>
        <v>0.14405400552069214</v>
      </c>
      <c r="P209" s="341">
        <f>(INDEX(Models!$BJ209:$BT209,,T209)*(1-R209)+INDEX(Models!$BJ209:$BT209,,T209+1)*R209-ERP_i)*Q209*Ramure*Pc/MaxiM</f>
        <v>4.5144713472919053E-4</v>
      </c>
      <c r="Q209" s="307">
        <f t="shared" si="77"/>
        <v>1</v>
      </c>
      <c r="R209" s="179">
        <f t="shared" si="78"/>
        <v>0.56099234548106869</v>
      </c>
      <c r="S209" s="837">
        <f t="shared" si="79"/>
        <v>0</v>
      </c>
      <c r="T209" s="178">
        <f t="shared" si="80"/>
        <v>6</v>
      </c>
      <c r="U209" s="253">
        <f t="shared" si="81"/>
        <v>0.56099234548106869</v>
      </c>
      <c r="V209" s="385">
        <f t="shared" si="82"/>
        <v>51.86438868623285</v>
      </c>
      <c r="W209" s="404"/>
      <c r="X209" s="157">
        <f t="shared" si="83"/>
        <v>44756</v>
      </c>
      <c r="Y209" s="387">
        <f t="shared" si="84"/>
        <v>47.935793703737879</v>
      </c>
      <c r="Z209" s="387">
        <f t="shared" si="85"/>
        <v>49.572864292158918</v>
      </c>
      <c r="AA209" s="388">
        <f t="shared" si="86"/>
        <v>59.581023195852453</v>
      </c>
      <c r="AB209" s="199">
        <f t="shared" si="87"/>
        <v>44756</v>
      </c>
      <c r="AC209" s="119">
        <f>IF(OR(t&lt;Tnet,NoTnet),'2021'!Resal_s+('2021'!Salim-'2021'!Resal_s)*(1-EXP(('2021'!Tnet_s-t)/'2021'!Tau_j)),Resal_s+(Salim-Resal_s)*(1-EXP((Tnet_s-t)/Tau_j)))*Salcycl</f>
        <v>0.16797561315446194</v>
      </c>
      <c r="AD209" s="233">
        <f>(INDEX(Models!$BJ209:$BT209,,AH209)*(1-AF209)+INDEX(Models!$BJ209:$BT209,,AH209+1)*AF209-ERP_i)*AE209*Ramure*Pc/MaxiM</f>
        <v>4.5144713472919053E-4</v>
      </c>
      <c r="AE209" s="307">
        <f t="shared" si="88"/>
        <v>1</v>
      </c>
      <c r="AF209" s="179">
        <f t="shared" si="89"/>
        <v>0.56099234548106869</v>
      </c>
      <c r="AG209" s="837">
        <f t="shared" si="95"/>
        <v>0</v>
      </c>
      <c r="AH209" s="178">
        <f t="shared" si="90"/>
        <v>6</v>
      </c>
      <c r="AI209" s="227">
        <f t="shared" si="91"/>
        <v>0.56099234548106869</v>
      </c>
      <c r="AJ209" s="267" t="b">
        <f t="shared" si="92"/>
        <v>1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4"/>
        <v>44757</v>
      </c>
      <c r="B210" s="618">
        <v>47.65</v>
      </c>
      <c r="C210" s="866"/>
      <c r="D210" s="395">
        <f t="shared" si="74"/>
        <v>49.278457138128765</v>
      </c>
      <c r="E210" s="387">
        <f t="shared" si="72"/>
        <v>57.580741765952446</v>
      </c>
      <c r="F210" s="387">
        <f t="shared" si="75"/>
        <v>57.605690599721278</v>
      </c>
      <c r="G210" s="110">
        <f t="shared" si="73"/>
        <v>0.92079354915669209</v>
      </c>
      <c r="H210" s="414" t="b">
        <f>Wh_hp&gt;='2021'!Maxi_hp</f>
        <v>0</v>
      </c>
      <c r="I210" s="382">
        <f>IF(H210,Wh_hp,'2021'!Maxi_hp)</f>
        <v>64.059383068495961</v>
      </c>
      <c r="J210" s="85">
        <f>IF(H210,An,'2021'!An_max)</f>
        <v>2019</v>
      </c>
      <c r="K210" s="199">
        <f t="shared" si="76"/>
        <v>44757</v>
      </c>
      <c r="L210" s="147">
        <f>IF(t&lt;Tvie,1-EXP((T0-t)*PertePVj)+'2021'!Pspv,1-EXP((T0-t)*PertePVj)+Pspv)</f>
        <v>3.3046025235005994E-2</v>
      </c>
      <c r="M210" s="870"/>
      <c r="N210" s="870"/>
      <c r="O210" s="48">
        <f>IF(t&lt;Tnet,'2021'!Resal+('2021'!Salim-'2021'!Resal)*(1-EXP(('2021'!Tnet-t)/('2021'!Tau_j))),Resal+(Salim-Resal)*(1-EXP((Tnet-t)/(Tau_j))))*Salcycl</f>
        <v>0.14418509336975635</v>
      </c>
      <c r="P210" s="341">
        <f>(INDEX(Models!$BJ210:$BT210,,T210)*(1-R210)+INDEX(Models!$BJ210:$BT210,,T210+1)*R210-ERP_i)*Q210*Ramure*Pc/MaxiM</f>
        <v>4.8831506247629347E-4</v>
      </c>
      <c r="Q210" s="307">
        <f t="shared" si="77"/>
        <v>1</v>
      </c>
      <c r="R210" s="179">
        <f t="shared" si="78"/>
        <v>0.565515961648282</v>
      </c>
      <c r="S210" s="837">
        <f t="shared" si="79"/>
        <v>0</v>
      </c>
      <c r="T210" s="178">
        <f t="shared" si="80"/>
        <v>6</v>
      </c>
      <c r="U210" s="253">
        <f t="shared" si="81"/>
        <v>0.565515961648282</v>
      </c>
      <c r="V210" s="385">
        <f t="shared" si="82"/>
        <v>51.74598339445636</v>
      </c>
      <c r="W210" s="404"/>
      <c r="X210" s="157">
        <f t="shared" si="83"/>
        <v>44757</v>
      </c>
      <c r="Y210" s="387">
        <f t="shared" si="84"/>
        <v>46.32244103871912</v>
      </c>
      <c r="Z210" s="387">
        <f t="shared" si="85"/>
        <v>47.905528337041282</v>
      </c>
      <c r="AA210" s="388">
        <f t="shared" si="86"/>
        <v>57.580741765952446</v>
      </c>
      <c r="AB210" s="199">
        <f t="shared" si="87"/>
        <v>44757</v>
      </c>
      <c r="AC210" s="119">
        <f>IF(OR(t&lt;Tnet,NoTnet),'2021'!Resal_s+('2021'!Salim-'2021'!Resal_s)*(1-EXP(('2021'!Tnet_s-t)/'2021'!Tau_j)),Resal_s+(Salim-Resal_s)*(1-EXP((Tnet_s-t)/Tau_j)))*Salcycl</f>
        <v>0.16802863478622507</v>
      </c>
      <c r="AD210" s="233">
        <f>(INDEX(Models!$BJ210:$BT210,,AH210)*(1-AF210)+INDEX(Models!$BJ210:$BT210,,AH210+1)*AF210-ERP_i)*AE210*Ramure*Pc/MaxiM</f>
        <v>4.8831506247629347E-4</v>
      </c>
      <c r="AE210" s="307">
        <f t="shared" si="88"/>
        <v>1</v>
      </c>
      <c r="AF210" s="179">
        <f t="shared" si="89"/>
        <v>0.565515961648282</v>
      </c>
      <c r="AG210" s="837">
        <f t="shared" si="95"/>
        <v>0</v>
      </c>
      <c r="AH210" s="178">
        <f t="shared" si="90"/>
        <v>6</v>
      </c>
      <c r="AI210" s="227">
        <f t="shared" si="91"/>
        <v>0.565515961648282</v>
      </c>
      <c r="AJ210" s="267" t="b">
        <f t="shared" si="92"/>
        <v>1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4"/>
        <v>44758</v>
      </c>
      <c r="B211" s="618">
        <v>49.075000000000003</v>
      </c>
      <c r="C211" s="866"/>
      <c r="D211" s="395">
        <f t="shared" si="74"/>
        <v>50.753338167361086</v>
      </c>
      <c r="E211" s="387">
        <f t="shared" si="72"/>
        <v>59.31300036993624</v>
      </c>
      <c r="F211" s="387">
        <f t="shared" si="75"/>
        <v>59.342125668988892</v>
      </c>
      <c r="G211" s="110">
        <f t="shared" si="73"/>
        <v>0.9505728729395011</v>
      </c>
      <c r="H211" s="414" t="b">
        <f>Wh_hp&gt;='2021'!Maxi_hp</f>
        <v>0</v>
      </c>
      <c r="I211" s="382">
        <f>IF(H211,Wh_hp,'2021'!Maxi_hp)</f>
        <v>61.939106503544039</v>
      </c>
      <c r="J211" s="85">
        <f>IF(H211,An,'2021'!An_max)</f>
        <v>2019</v>
      </c>
      <c r="K211" s="199">
        <f t="shared" si="76"/>
        <v>44758</v>
      </c>
      <c r="L211" s="147">
        <f>IF(t&lt;Tvie,1-EXP((T0-t)*PertePVj)+'2021'!Pspv,1-EXP((T0-t)*PertePVj)+Pspv)</f>
        <v>3.3068527666627601E-2</v>
      </c>
      <c r="M211" s="870"/>
      <c r="N211" s="870"/>
      <c r="O211" s="48">
        <f>IF(t&lt;Tnet,'2021'!Resal+('2021'!Salim-'2021'!Resal)*(1-EXP(('2021'!Tnet-t)/('2021'!Tau_j))),Resal+(Salim-Resal)*(1-EXP((Tnet-t)/(Tau_j))))*Salcycl</f>
        <v>0.1443134245306828</v>
      </c>
      <c r="P211" s="341">
        <f>(INDEX(Models!$BJ211:$BT211,,T211)*(1-R211)+INDEX(Models!$BJ211:$BT211,,T211+1)*R211-ERP_i)*Q211*Ramure*Pc/MaxiM</f>
        <v>5.2806298748138804E-4</v>
      </c>
      <c r="Q211" s="307">
        <f t="shared" si="77"/>
        <v>1</v>
      </c>
      <c r="R211" s="179">
        <f t="shared" si="78"/>
        <v>0.56992643675415999</v>
      </c>
      <c r="S211" s="837">
        <f t="shared" si="79"/>
        <v>0</v>
      </c>
      <c r="T211" s="178">
        <f t="shared" si="80"/>
        <v>6</v>
      </c>
      <c r="U211" s="253">
        <f t="shared" si="81"/>
        <v>0.56992643675415999</v>
      </c>
      <c r="V211" s="385">
        <f t="shared" si="82"/>
        <v>51.624838000297743</v>
      </c>
      <c r="W211" s="404"/>
      <c r="X211" s="157">
        <f t="shared" si="83"/>
        <v>44758</v>
      </c>
      <c r="Y211" s="387">
        <f t="shared" si="84"/>
        <v>47.71202008119166</v>
      </c>
      <c r="Z211" s="387">
        <f t="shared" si="85"/>
        <v>49.343745080563288</v>
      </c>
      <c r="AA211" s="388">
        <f t="shared" si="86"/>
        <v>59.31300036993624</v>
      </c>
      <c r="AB211" s="199">
        <f t="shared" si="87"/>
        <v>44758</v>
      </c>
      <c r="AC211" s="119">
        <f>IF(OR(t&lt;Tnet,NoTnet),'2021'!Resal_s+('2021'!Salim-'2021'!Resal_s)*(1-EXP(('2021'!Tnet_s-t)/'2021'!Tau_j)),Resal_s+(Salim-Resal_s)*(1-EXP((Tnet_s-t)/Tau_j)))*Salcycl</f>
        <v>0.16807875553747964</v>
      </c>
      <c r="AD211" s="233">
        <f>(INDEX(Models!$BJ211:$BT211,,AH211)*(1-AF211)+INDEX(Models!$BJ211:$BT211,,AH211+1)*AF211-ERP_i)*AE211*Ramure*Pc/MaxiM</f>
        <v>5.2806298748138804E-4</v>
      </c>
      <c r="AE211" s="307">
        <f t="shared" si="88"/>
        <v>1</v>
      </c>
      <c r="AF211" s="179">
        <f t="shared" si="89"/>
        <v>0.56992643675415999</v>
      </c>
      <c r="AG211" s="837">
        <f t="shared" si="95"/>
        <v>0</v>
      </c>
      <c r="AH211" s="178">
        <f t="shared" si="90"/>
        <v>6</v>
      </c>
      <c r="AI211" s="227">
        <f t="shared" si="91"/>
        <v>0.56992643675415999</v>
      </c>
      <c r="AJ211" s="267" t="b">
        <f t="shared" si="92"/>
        <v>1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4"/>
        <v>44759</v>
      </c>
      <c r="B212" s="618">
        <v>48.241</v>
      </c>
      <c r="C212" s="866"/>
      <c r="D212" s="395">
        <f t="shared" si="74"/>
        <v>49.891976882555127</v>
      </c>
      <c r="E212" s="387">
        <f t="shared" si="72"/>
        <v>58.31493554812473</v>
      </c>
      <c r="F212" s="387">
        <f t="shared" si="75"/>
        <v>58.345298662214432</v>
      </c>
      <c r="G212" s="110">
        <f t="shared" si="73"/>
        <v>0.93665070805643647</v>
      </c>
      <c r="H212" s="414" t="b">
        <f>Wh_hp&gt;='2021'!Maxi_hp</f>
        <v>0</v>
      </c>
      <c r="I212" s="382">
        <f>IF(H212,Wh_hp,'2021'!Maxi_hp)</f>
        <v>61.436079600146336</v>
      </c>
      <c r="J212" s="85">
        <f>IF(H212,An,'2021'!An_max)</f>
        <v>2021</v>
      </c>
      <c r="K212" s="199">
        <f t="shared" si="76"/>
        <v>44759</v>
      </c>
      <c r="L212" s="147">
        <f>IF(t&lt;Tvie,1-EXP((T0-t)*PertePVj)+'2021'!Pspv,1-EXP((T0-t)*PertePVj)+Pspv)</f>
        <v>3.3091029574584763E-2</v>
      </c>
      <c r="M212" s="870"/>
      <c r="N212" s="870"/>
      <c r="O212" s="48">
        <f>IF(t&lt;Tnet,'2021'!Resal+('2021'!Salim-'2021'!Resal)*(1-EXP(('2021'!Tnet-t)/('2021'!Tau_j))),Resal+(Salim-Resal)*(1-EXP((Tnet-t)/(Tau_j))))*Salcycl</f>
        <v>0.14443913186903043</v>
      </c>
      <c r="P212" s="341">
        <f>(INDEX(Models!$BJ212:$BT212,,T212)*(1-R212)+INDEX(Models!$BJ212:$BT212,,T212+1)*R212-ERP_i)*Q212*Ramure*Pc/MaxiM</f>
        <v>5.7214246419210856E-4</v>
      </c>
      <c r="Q212" s="307">
        <f t="shared" si="77"/>
        <v>1</v>
      </c>
      <c r="R212" s="179">
        <f t="shared" si="78"/>
        <v>0.57422437804736692</v>
      </c>
      <c r="S212" s="837">
        <f t="shared" si="79"/>
        <v>0</v>
      </c>
      <c r="T212" s="178">
        <f t="shared" si="80"/>
        <v>6</v>
      </c>
      <c r="U212" s="253">
        <f t="shared" si="81"/>
        <v>0.57422437804736692</v>
      </c>
      <c r="V212" s="385">
        <f t="shared" si="82"/>
        <v>51.501058355857886</v>
      </c>
      <c r="W212" s="404"/>
      <c r="X212" s="157">
        <f t="shared" si="83"/>
        <v>44759</v>
      </c>
      <c r="Y212" s="387">
        <f t="shared" si="84"/>
        <v>46.905402833314263</v>
      </c>
      <c r="Z212" s="387">
        <f t="shared" si="85"/>
        <v>48.510670878021834</v>
      </c>
      <c r="AA212" s="388">
        <f t="shared" si="86"/>
        <v>58.31493554812473</v>
      </c>
      <c r="AB212" s="199">
        <f t="shared" si="87"/>
        <v>44759</v>
      </c>
      <c r="AC212" s="119">
        <f>IF(OR(t&lt;Tnet,NoTnet),'2021'!Resal_s+('2021'!Salim-'2021'!Resal_s)*(1-EXP(('2021'!Tnet_s-t)/'2021'!Tau_j)),Resal_s+(Salim-Resal_s)*(1-EXP((Tnet_s-t)/Tau_j)))*Salcycl</f>
        <v>0.16812613403322499</v>
      </c>
      <c r="AD212" s="233">
        <f>(INDEX(Models!$BJ212:$BT212,,AH212)*(1-AF212)+INDEX(Models!$BJ212:$BT212,,AH212+1)*AF212-ERP_i)*AE212*Ramure*Pc/MaxiM</f>
        <v>5.7214246419210856E-4</v>
      </c>
      <c r="AE212" s="307">
        <f t="shared" si="88"/>
        <v>1</v>
      </c>
      <c r="AF212" s="179">
        <f t="shared" si="89"/>
        <v>0.57422437804736692</v>
      </c>
      <c r="AG212" s="837">
        <f t="shared" si="95"/>
        <v>0</v>
      </c>
      <c r="AH212" s="178">
        <f t="shared" si="90"/>
        <v>6</v>
      </c>
      <c r="AI212" s="227">
        <f t="shared" si="91"/>
        <v>0.57422437804736692</v>
      </c>
      <c r="AJ212" s="267" t="b">
        <f t="shared" si="92"/>
        <v>1</v>
      </c>
      <c r="AK212" s="267" t="b">
        <f t="shared" si="93"/>
        <v>0</v>
      </c>
      <c r="AL212" s="267"/>
      <c r="AM212" s="267"/>
      <c r="AN212" s="75"/>
    </row>
    <row r="213" spans="1:40" s="6" customFormat="1" ht="11.25" x14ac:dyDescent="0.2">
      <c r="A213" s="56">
        <f t="shared" si="94"/>
        <v>44760</v>
      </c>
      <c r="B213" s="618">
        <v>48.506</v>
      </c>
      <c r="C213" s="866"/>
      <c r="D213" s="395">
        <f t="shared" si="74"/>
        <v>50.167213580002645</v>
      </c>
      <c r="E213" s="387">
        <f t="shared" si="72"/>
        <v>58.64508458160995</v>
      </c>
      <c r="F213" s="387">
        <f t="shared" si="75"/>
        <v>58.678514973829415</v>
      </c>
      <c r="G213" s="110">
        <f t="shared" si="73"/>
        <v>0.94411089991575969</v>
      </c>
      <c r="H213" s="414" t="b">
        <f>Wh_hp&gt;='2021'!Maxi_hp</f>
        <v>1</v>
      </c>
      <c r="I213" s="382">
        <f>IF(H213,Wh_hp,'2021'!Maxi_hp)</f>
        <v>58.678514973829415</v>
      </c>
      <c r="J213" s="85">
        <f>IF(H213,An,'2021'!An_max)</f>
        <v>2022</v>
      </c>
      <c r="K213" s="199">
        <f t="shared" si="76"/>
        <v>44760</v>
      </c>
      <c r="L213" s="147">
        <f>IF(t&lt;Tvie,1-EXP((T0-t)*PertePVj)+'2021'!Pspv,1-EXP((T0-t)*PertePVj)+Pspv)</f>
        <v>3.3113530958889581E-2</v>
      </c>
      <c r="M213" s="870"/>
      <c r="N213" s="870"/>
      <c r="O213" s="48">
        <f>IF(t&lt;Tnet,'2021'!Resal+('2021'!Salim-'2021'!Resal)*(1-EXP(('2021'!Tnet-t)/('2021'!Tau_j))),Resal+(Salim-Resal)*(1-EXP((Tnet-t)/(Tau_j))))*Salcycl</f>
        <v>0.14456234588270694</v>
      </c>
      <c r="P213" s="341">
        <f>(INDEX(Models!$BJ213:$BT213,,T213)*(1-R213)+INDEX(Models!$BJ213:$BT213,,T213+1)*R213-ERP_i)*Q213*Ramure*Pc/MaxiM</f>
        <v>6.1911067291104847E-4</v>
      </c>
      <c r="Q213" s="307">
        <f t="shared" si="77"/>
        <v>1</v>
      </c>
      <c r="R213" s="179">
        <f t="shared" si="78"/>
        <v>0.5784105473301735</v>
      </c>
      <c r="S213" s="837">
        <f t="shared" si="79"/>
        <v>0</v>
      </c>
      <c r="T213" s="178">
        <f t="shared" si="80"/>
        <v>6</v>
      </c>
      <c r="U213" s="253">
        <f t="shared" si="81"/>
        <v>0.5784105473301735</v>
      </c>
      <c r="V213" s="385">
        <f t="shared" si="82"/>
        <v>51.374899867653291</v>
      </c>
      <c r="W213" s="404"/>
      <c r="X213" s="157">
        <f t="shared" si="83"/>
        <v>44760</v>
      </c>
      <c r="Y213" s="387">
        <f t="shared" si="84"/>
        <v>47.167319420536032</v>
      </c>
      <c r="Z213" s="387">
        <f t="shared" si="85"/>
        <v>48.782686417479027</v>
      </c>
      <c r="AA213" s="388">
        <f t="shared" si="86"/>
        <v>58.64508458160995</v>
      </c>
      <c r="AB213" s="199">
        <f t="shared" si="87"/>
        <v>44760</v>
      </c>
      <c r="AC213" s="119">
        <f>IF(OR(t&lt;Tnet,NoTnet),'2021'!Resal_s+('2021'!Salim-'2021'!Resal_s)*(1-EXP(('2021'!Tnet_s-t)/'2021'!Tau_j)),Resal_s+(Salim-Resal_s)*(1-EXP((Tnet_s-t)/Tau_j)))*Salcycl</f>
        <v>0.16817092573899353</v>
      </c>
      <c r="AD213" s="233">
        <f>(INDEX(Models!$BJ213:$BT213,,AH213)*(1-AF213)+INDEX(Models!$BJ213:$BT213,,AH213+1)*AF213-ERP_i)*AE213*Ramure*Pc/MaxiM</f>
        <v>6.1911067291104847E-4</v>
      </c>
      <c r="AE213" s="307">
        <f t="shared" si="88"/>
        <v>1</v>
      </c>
      <c r="AF213" s="179">
        <f t="shared" si="89"/>
        <v>0.5784105473301735</v>
      </c>
      <c r="AG213" s="837">
        <f t="shared" si="95"/>
        <v>0</v>
      </c>
      <c r="AH213" s="178">
        <f t="shared" si="90"/>
        <v>6</v>
      </c>
      <c r="AI213" s="227">
        <f t="shared" si="91"/>
        <v>0.5784105473301735</v>
      </c>
      <c r="AJ213" s="267" t="b">
        <f t="shared" si="92"/>
        <v>1</v>
      </c>
      <c r="AK213" s="267" t="b">
        <f t="shared" si="93"/>
        <v>0</v>
      </c>
      <c r="AL213" s="267"/>
      <c r="AM213" s="267"/>
      <c r="AN213" s="75"/>
    </row>
    <row r="214" spans="1:40" s="6" customFormat="1" ht="11.25" x14ac:dyDescent="0.2">
      <c r="A214" s="56">
        <f t="shared" si="94"/>
        <v>44761</v>
      </c>
      <c r="B214" s="618">
        <v>39.231999999999999</v>
      </c>
      <c r="C214" s="866"/>
      <c r="D214" s="395">
        <f t="shared" si="74"/>
        <v>40.576545709766421</v>
      </c>
      <c r="E214" s="387">
        <f t="shared" si="72"/>
        <v>47.440369963338405</v>
      </c>
      <c r="F214" s="387">
        <f t="shared" si="75"/>
        <v>47.461487335457356</v>
      </c>
      <c r="G214" s="110">
        <f t="shared" si="73"/>
        <v>0.76538248955239874</v>
      </c>
      <c r="H214" s="414" t="b">
        <f>Wh_hp&gt;='2021'!Maxi_hp</f>
        <v>0</v>
      </c>
      <c r="I214" s="382">
        <f>IF(H214,Wh_hp,'2021'!Maxi_hp)</f>
        <v>60.900356316381583</v>
      </c>
      <c r="J214" s="85">
        <f>IF(H214,An,'2021'!An_max)</f>
        <v>2020</v>
      </c>
      <c r="K214" s="199">
        <f t="shared" si="76"/>
        <v>44761</v>
      </c>
      <c r="L214" s="147">
        <f>IF(t&lt;Tvie,1-EXP((T0-t)*PertePVj)+'2021'!Pspv,1-EXP((T0-t)*PertePVj)+Pspv)</f>
        <v>3.3136031819554379E-2</v>
      </c>
      <c r="M214" s="870"/>
      <c r="N214" s="870"/>
      <c r="O214" s="48">
        <f>IF(t&lt;Tnet,'2021'!Resal+('2021'!Salim-'2021'!Resal)*(1-EXP(('2021'!Tnet-t)/('2021'!Tau_j))),Resal+(Salim-Resal)*(1-EXP((Tnet-t)/(Tau_j))))*Salcycl</f>
        <v>0.14468319405764124</v>
      </c>
      <c r="P214" s="341">
        <f>(INDEX(Models!$BJ214:$BT214,,T214)*(1-R214)+INDEX(Models!$BJ214:$BT214,,T214+1)*R214-ERP_i)*Q214*Ramure*Pc/MaxiM</f>
        <v>6.6900045726050929E-4</v>
      </c>
      <c r="Q214" s="307">
        <f t="shared" si="77"/>
        <v>1</v>
      </c>
      <c r="R214" s="179">
        <f t="shared" si="78"/>
        <v>0.58248585110196271</v>
      </c>
      <c r="S214" s="837">
        <f t="shared" si="79"/>
        <v>0</v>
      </c>
      <c r="T214" s="178">
        <f t="shared" si="80"/>
        <v>6</v>
      </c>
      <c r="U214" s="253">
        <f t="shared" si="81"/>
        <v>0.58248585110196271</v>
      </c>
      <c r="V214" s="385">
        <f t="shared" si="82"/>
        <v>51.246541650976951</v>
      </c>
      <c r="W214" s="404"/>
      <c r="X214" s="157">
        <f t="shared" si="83"/>
        <v>44761</v>
      </c>
      <c r="Y214" s="387">
        <f t="shared" si="84"/>
        <v>38.152712872055439</v>
      </c>
      <c r="Z214" s="387">
        <f t="shared" si="85"/>
        <v>39.460269621853364</v>
      </c>
      <c r="AA214" s="388">
        <f t="shared" si="86"/>
        <v>47.440369963338405</v>
      </c>
      <c r="AB214" s="199">
        <f t="shared" si="87"/>
        <v>44761</v>
      </c>
      <c r="AC214" s="119">
        <f>IF(OR(t&lt;Tnet,NoTnet),'2021'!Resal_s+('2021'!Salim-'2021'!Resal_s)*(1-EXP(('2021'!Tnet_s-t)/'2021'!Tau_j)),Resal_s+(Salim-Resal_s)*(1-EXP((Tnet_s-t)/Tau_j)))*Salcycl</f>
        <v>0.16821328222465395</v>
      </c>
      <c r="AD214" s="233">
        <f>(INDEX(Models!$BJ214:$BT214,,AH214)*(1-AF214)+INDEX(Models!$BJ214:$BT214,,AH214+1)*AF214-ERP_i)*AE214*Ramure*Pc/MaxiM</f>
        <v>6.6900045726050929E-4</v>
      </c>
      <c r="AE214" s="307">
        <f t="shared" si="88"/>
        <v>1</v>
      </c>
      <c r="AF214" s="179">
        <f t="shared" si="89"/>
        <v>0.58248585110196271</v>
      </c>
      <c r="AG214" s="837">
        <f t="shared" si="95"/>
        <v>0</v>
      </c>
      <c r="AH214" s="178">
        <f t="shared" si="90"/>
        <v>6</v>
      </c>
      <c r="AI214" s="227">
        <f t="shared" si="91"/>
        <v>0.58248585110196271</v>
      </c>
      <c r="AJ214" s="267" t="b">
        <f t="shared" si="92"/>
        <v>1</v>
      </c>
      <c r="AK214" s="267" t="b">
        <f t="shared" si="93"/>
        <v>0</v>
      </c>
      <c r="AL214" s="267"/>
      <c r="AM214" s="267"/>
      <c r="AN214" s="75"/>
    </row>
    <row r="215" spans="1:40" s="6" customFormat="1" ht="11.25" x14ac:dyDescent="0.2">
      <c r="A215" s="56">
        <f t="shared" si="94"/>
        <v>44762</v>
      </c>
      <c r="B215" s="618">
        <v>37.633000000000003</v>
      </c>
      <c r="C215" s="866"/>
      <c r="D215" s="395">
        <f t="shared" si="74"/>
        <v>38.92365113790828</v>
      </c>
      <c r="E215" s="387">
        <f t="shared" si="72"/>
        <v>45.514187413038634</v>
      </c>
      <c r="F215" s="387">
        <f t="shared" si="75"/>
        <v>45.534670644596034</v>
      </c>
      <c r="G215" s="110">
        <f t="shared" si="73"/>
        <v>0.73602470903309691</v>
      </c>
      <c r="H215" s="414" t="b">
        <f>Wh_hp&gt;='2021'!Maxi_hp</f>
        <v>0</v>
      </c>
      <c r="I215" s="382">
        <f>IF(H215,Wh_hp,'2021'!Maxi_hp)</f>
        <v>59.452822712934505</v>
      </c>
      <c r="J215" s="85">
        <f>IF(H215,An,'2021'!An_max)</f>
        <v>2020</v>
      </c>
      <c r="K215" s="199">
        <f t="shared" si="76"/>
        <v>44762</v>
      </c>
      <c r="L215" s="147">
        <f>IF(t&lt;Tvie,1-EXP((T0-t)*PertePVj)+'2021'!Pspv,1-EXP((T0-t)*PertePVj)+Pspv)</f>
        <v>3.3158532156591369E-2</v>
      </c>
      <c r="M215" s="870"/>
      <c r="N215" s="870"/>
      <c r="O215" s="48">
        <f>IF(t&lt;Tnet,'2021'!Resal+('2021'!Salim-'2021'!Resal)*(1-EXP(('2021'!Tnet-t)/('2021'!Tau_j))),Resal+(Salim-Resal)*(1-EXP((Tnet-t)/(Tau_j))))*Salcycl</f>
        <v>0.14480180026771902</v>
      </c>
      <c r="P215" s="341">
        <f>(INDEX(Models!$BJ215:$BT215,,T215)*(1-R215)+INDEX(Models!$BJ215:$BT215,,T215+1)*R215-ERP_i)*Q215*Ramure*Pc/MaxiM</f>
        <v>7.2184459145324805E-4</v>
      </c>
      <c r="Q215" s="307">
        <f t="shared" si="77"/>
        <v>1</v>
      </c>
      <c r="R215" s="179">
        <f t="shared" si="78"/>
        <v>0.58645133071157185</v>
      </c>
      <c r="S215" s="837">
        <f t="shared" si="79"/>
        <v>0</v>
      </c>
      <c r="T215" s="178">
        <f t="shared" si="80"/>
        <v>6</v>
      </c>
      <c r="U215" s="253">
        <f t="shared" si="81"/>
        <v>0.58645133071157185</v>
      </c>
      <c r="V215" s="385">
        <f t="shared" si="82"/>
        <v>51.116162966648865</v>
      </c>
      <c r="W215" s="404"/>
      <c r="X215" s="157">
        <f t="shared" si="83"/>
        <v>44762</v>
      </c>
      <c r="Y215" s="387">
        <f t="shared" si="84"/>
        <v>36.601014444495647</v>
      </c>
      <c r="Z215" s="387">
        <f t="shared" si="85"/>
        <v>37.85627288632557</v>
      </c>
      <c r="AA215" s="388">
        <f t="shared" si="86"/>
        <v>45.514187413038634</v>
      </c>
      <c r="AB215" s="199">
        <f t="shared" si="87"/>
        <v>44762</v>
      </c>
      <c r="AC215" s="119">
        <f>IF(OR(t&lt;Tnet,NoTnet),'2021'!Resal_s+('2021'!Salim-'2021'!Resal_s)*(1-EXP(('2021'!Tnet_s-t)/'2021'!Tau_j)),Resal_s+(Salim-Resal_s)*(1-EXP((Tnet_s-t)/Tau_j)))*Salcycl</f>
        <v>0.16825335048208001</v>
      </c>
      <c r="AD215" s="233">
        <f>(INDEX(Models!$BJ215:$BT215,,AH215)*(1-AF215)+INDEX(Models!$BJ215:$BT215,,AH215+1)*AF215-ERP_i)*AE215*Ramure*Pc/MaxiM</f>
        <v>7.2184459145324805E-4</v>
      </c>
      <c r="AE215" s="307">
        <f t="shared" si="88"/>
        <v>1</v>
      </c>
      <c r="AF215" s="179">
        <f t="shared" si="89"/>
        <v>0.58645133071157185</v>
      </c>
      <c r="AG215" s="837">
        <f t="shared" si="95"/>
        <v>0</v>
      </c>
      <c r="AH215" s="178">
        <f t="shared" si="90"/>
        <v>6</v>
      </c>
      <c r="AI215" s="227">
        <f t="shared" si="91"/>
        <v>0.58645133071157185</v>
      </c>
      <c r="AJ215" s="267" t="b">
        <f t="shared" si="92"/>
        <v>1</v>
      </c>
      <c r="AK215" s="267" t="b">
        <f t="shared" si="93"/>
        <v>0</v>
      </c>
      <c r="AL215" s="267"/>
      <c r="AM215" s="267"/>
      <c r="AN215" s="75"/>
    </row>
    <row r="216" spans="1:40" s="6" customFormat="1" ht="11.25" x14ac:dyDescent="0.2">
      <c r="A216" s="56">
        <f t="shared" si="94"/>
        <v>44763</v>
      </c>
      <c r="B216" s="618">
        <v>47.606000000000002</v>
      </c>
      <c r="C216" s="866"/>
      <c r="D216" s="395">
        <f t="shared" si="74"/>
        <v>49.239828317604363</v>
      </c>
      <c r="E216" s="387">
        <f t="shared" si="72"/>
        <v>57.584938853263168</v>
      </c>
      <c r="F216" s="387">
        <f t="shared" si="75"/>
        <v>57.625511170704193</v>
      </c>
      <c r="G216" s="110">
        <f t="shared" si="73"/>
        <v>0.9336761802401331</v>
      </c>
      <c r="H216" s="414" t="b">
        <f>Wh_hp&gt;='2021'!Maxi_hp</f>
        <v>1</v>
      </c>
      <c r="I216" s="382">
        <f>IF(H216,Wh_hp,'2021'!Maxi_hp)</f>
        <v>57.625511170704193</v>
      </c>
      <c r="J216" s="85">
        <f>IF(H216,An,'2021'!An_max)</f>
        <v>2022</v>
      </c>
      <c r="K216" s="199">
        <f t="shared" si="76"/>
        <v>44763</v>
      </c>
      <c r="L216" s="147">
        <f>IF(t&lt;Tvie,1-EXP((T0-t)*PertePVj)+'2021'!Pspv,1-EXP((T0-t)*PertePVj)+Pspv)</f>
        <v>3.3181031970012542E-2</v>
      </c>
      <c r="M216" s="870"/>
      <c r="N216" s="870"/>
      <c r="O216" s="48">
        <f>IF(t&lt;Tnet,'2021'!Resal+('2021'!Salim-'2021'!Resal)*(1-EXP(('2021'!Tnet-t)/('2021'!Tau_j))),Resal+(Salim-Resal)*(1-EXP((Tnet-t)/(Tau_j))))*Salcycl</f>
        <v>0.14491828422226263</v>
      </c>
      <c r="P216" s="341">
        <f>(INDEX(Models!$BJ216:$BT216,,T216)*(1-R216)+INDEX(Models!$BJ216:$BT216,,T216+1)*R216-ERP_i)*Q216*Ramure*Pc/MaxiM</f>
        <v>7.7767573114996753E-4</v>
      </c>
      <c r="Q216" s="307">
        <f t="shared" si="77"/>
        <v>1</v>
      </c>
      <c r="R216" s="179">
        <f t="shared" si="78"/>
        <v>0.59030815257285585</v>
      </c>
      <c r="S216" s="837">
        <f t="shared" si="79"/>
        <v>0</v>
      </c>
      <c r="T216" s="178">
        <f t="shared" si="80"/>
        <v>6</v>
      </c>
      <c r="U216" s="253">
        <f t="shared" si="81"/>
        <v>0.59030815257285585</v>
      </c>
      <c r="V216" s="385">
        <f t="shared" si="82"/>
        <v>50.983943256933067</v>
      </c>
      <c r="W216" s="404"/>
      <c r="X216" s="157">
        <f t="shared" si="83"/>
        <v>44763</v>
      </c>
      <c r="Y216" s="387">
        <f t="shared" si="84"/>
        <v>46.304727326395451</v>
      </c>
      <c r="Z216" s="387">
        <f t="shared" si="85"/>
        <v>47.893896228315654</v>
      </c>
      <c r="AA216" s="388">
        <f t="shared" si="86"/>
        <v>57.584938853263168</v>
      </c>
      <c r="AB216" s="199">
        <f t="shared" si="87"/>
        <v>44763</v>
      </c>
      <c r="AC216" s="119">
        <f>IF(OR(t&lt;Tnet,NoTnet),'2021'!Resal_s+('2021'!Salim-'2021'!Resal_s)*(1-EXP(('2021'!Tnet_s-t)/'2021'!Tau_j)),Resal_s+(Salim-Resal_s)*(1-EXP((Tnet_s-t)/Tau_j)))*Salcycl</f>
        <v>0.16829127230024579</v>
      </c>
      <c r="AD216" s="233">
        <f>(INDEX(Models!$BJ216:$BT216,,AH216)*(1-AF216)+INDEX(Models!$BJ216:$BT216,,AH216+1)*AF216-ERP_i)*AE216*Ramure*Pc/MaxiM</f>
        <v>7.7767573114996753E-4</v>
      </c>
      <c r="AE216" s="307">
        <f t="shared" si="88"/>
        <v>1</v>
      </c>
      <c r="AF216" s="179">
        <f t="shared" si="89"/>
        <v>0.59030815257285585</v>
      </c>
      <c r="AG216" s="837">
        <f t="shared" si="95"/>
        <v>0</v>
      </c>
      <c r="AH216" s="178">
        <f t="shared" si="90"/>
        <v>6</v>
      </c>
      <c r="AI216" s="227">
        <f t="shared" si="91"/>
        <v>0.59030815257285585</v>
      </c>
      <c r="AJ216" s="267" t="b">
        <f t="shared" si="92"/>
        <v>1</v>
      </c>
      <c r="AK216" s="267" t="b">
        <f t="shared" si="93"/>
        <v>0</v>
      </c>
      <c r="AL216" s="267"/>
      <c r="AM216" s="267"/>
      <c r="AN216" s="75"/>
    </row>
    <row r="217" spans="1:40" s="6" customFormat="1" ht="11.25" x14ac:dyDescent="0.2">
      <c r="A217" s="56">
        <f t="shared" si="94"/>
        <v>44764</v>
      </c>
      <c r="B217" s="618">
        <v>35.859000000000002</v>
      </c>
      <c r="C217" s="866"/>
      <c r="D217" s="395">
        <f t="shared" si="74"/>
        <v>37.090536798016835</v>
      </c>
      <c r="E217" s="387">
        <f t="shared" si="72"/>
        <v>43.382407073083066</v>
      </c>
      <c r="F217" s="387">
        <f t="shared" si="75"/>
        <v>43.403423807730142</v>
      </c>
      <c r="G217" s="110">
        <f t="shared" si="73"/>
        <v>0.70494231336064839</v>
      </c>
      <c r="H217" s="414" t="b">
        <f>Wh_hp&gt;='2021'!Maxi_hp</f>
        <v>0</v>
      </c>
      <c r="I217" s="382">
        <f>IF(H217,Wh_hp,'2021'!Maxi_hp)</f>
        <v>56.185831469090324</v>
      </c>
      <c r="J217" s="85">
        <f>IF(H217,An,'2021'!An_max)</f>
        <v>2021</v>
      </c>
      <c r="K217" s="199">
        <f t="shared" si="76"/>
        <v>44764</v>
      </c>
      <c r="L217" s="147">
        <f>IF(t&lt;Tvie,1-EXP((T0-t)*PertePVj)+'2021'!Pspv,1-EXP((T0-t)*PertePVj)+Pspv)</f>
        <v>3.3203531259830221E-2</v>
      </c>
      <c r="M217" s="870"/>
      <c r="N217" s="870"/>
      <c r="O217" s="48">
        <f>IF(t&lt;Tnet,'2021'!Resal+('2021'!Salim-'2021'!Resal)*(1-EXP(('2021'!Tnet-t)/('2021'!Tau_j))),Resal+(Salim-Resal)*(1-EXP((Tnet-t)/(Tau_j))))*Salcycl</f>
        <v>0.1450327609638348</v>
      </c>
      <c r="P217" s="341">
        <f>(INDEX(Models!$BJ217:$BT217,,T217)*(1-R217)+INDEX(Models!$BJ217:$BT217,,T217+1)*R217-ERP_i)*Q217*Ramure*Pc/MaxiM</f>
        <v>8.3652636213035585E-4</v>
      </c>
      <c r="Q217" s="307">
        <f t="shared" si="77"/>
        <v>1</v>
      </c>
      <c r="R217" s="179">
        <f t="shared" si="78"/>
        <v>0.59405759849304662</v>
      </c>
      <c r="S217" s="837">
        <f t="shared" si="79"/>
        <v>0</v>
      </c>
      <c r="T217" s="178">
        <f t="shared" si="80"/>
        <v>6</v>
      </c>
      <c r="U217" s="253">
        <f t="shared" si="81"/>
        <v>0.59405759849304662</v>
      </c>
      <c r="V217" s="385">
        <f t="shared" si="82"/>
        <v>50.850062179030324</v>
      </c>
      <c r="W217" s="404"/>
      <c r="X217" s="157">
        <f t="shared" si="83"/>
        <v>44764</v>
      </c>
      <c r="Y217" s="387">
        <f t="shared" si="84"/>
        <v>34.881986300781151</v>
      </c>
      <c r="Z217" s="387">
        <f t="shared" si="85"/>
        <v>36.079968668313185</v>
      </c>
      <c r="AA217" s="388">
        <f t="shared" si="86"/>
        <v>43.382407073083066</v>
      </c>
      <c r="AB217" s="199">
        <f t="shared" si="87"/>
        <v>44764</v>
      </c>
      <c r="AC217" s="119">
        <f>IF(OR(t&lt;Tnet,NoTnet),'2021'!Resal_s+('2021'!Salim-'2021'!Resal_s)*(1-EXP(('2021'!Tnet_s-t)/'2021'!Tau_j)),Resal_s+(Salim-Resal_s)*(1-EXP((Tnet_s-t)/Tau_j)))*Salcycl</f>
        <v>0.16832718370071112</v>
      </c>
      <c r="AD217" s="233">
        <f>(INDEX(Models!$BJ217:$BT217,,AH217)*(1-AF217)+INDEX(Models!$BJ217:$BT217,,AH217+1)*AF217-ERP_i)*AE217*Ramure*Pc/MaxiM</f>
        <v>8.3652636213035585E-4</v>
      </c>
      <c r="AE217" s="307">
        <f t="shared" si="88"/>
        <v>1</v>
      </c>
      <c r="AF217" s="179">
        <f t="shared" si="89"/>
        <v>0.59405759849304662</v>
      </c>
      <c r="AG217" s="837">
        <f t="shared" si="95"/>
        <v>0</v>
      </c>
      <c r="AH217" s="178">
        <f t="shared" si="90"/>
        <v>6</v>
      </c>
      <c r="AI217" s="227">
        <f t="shared" si="91"/>
        <v>0.59405759849304662</v>
      </c>
      <c r="AJ217" s="267" t="b">
        <f t="shared" si="92"/>
        <v>1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4"/>
        <v>44765</v>
      </c>
      <c r="B218" s="618">
        <v>44.782000000000004</v>
      </c>
      <c r="C218" s="866"/>
      <c r="D218" s="395">
        <f t="shared" si="74"/>
        <v>46.321065099846422</v>
      </c>
      <c r="E218" s="387">
        <f t="shared" si="72"/>
        <v>54.185895322287799</v>
      </c>
      <c r="F218" s="387">
        <f t="shared" si="75"/>
        <v>54.226472237042138</v>
      </c>
      <c r="G218" s="110">
        <f t="shared" si="73"/>
        <v>0.88288546713906801</v>
      </c>
      <c r="H218" s="414" t="b">
        <f>Wh_hp&gt;='2021'!Maxi_hp</f>
        <v>0</v>
      </c>
      <c r="I218" s="382">
        <f>IF(H218,Wh_hp,'2021'!Maxi_hp)</f>
        <v>56.993648476218958</v>
      </c>
      <c r="J218" s="85">
        <f>IF(H218,An,'2021'!An_max)</f>
        <v>2019</v>
      </c>
      <c r="K218" s="199">
        <f t="shared" si="76"/>
        <v>44765</v>
      </c>
      <c r="L218" s="147">
        <f>IF(t&lt;Tvie,1-EXP((T0-t)*PertePVj)+'2021'!Pspv,1-EXP((T0-t)*PertePVj)+Pspv)</f>
        <v>3.3226030026056508E-2</v>
      </c>
      <c r="M218" s="870"/>
      <c r="N218" s="870"/>
      <c r="O218" s="48">
        <f>IF(t&lt;Tnet,'2021'!Resal+('2021'!Salim-'2021'!Resal)*(1-EXP(('2021'!Tnet-t)/('2021'!Tau_j))),Resal+(Salim-Resal)*(1-EXP((Tnet-t)/(Tau_j))))*Salcycl</f>
        <v>0.14514534041862376</v>
      </c>
      <c r="P218" s="341">
        <f>(INDEX(Models!$BJ218:$BT218,,T218)*(1-R218)+INDEX(Models!$BJ218:$BT218,,T218+1)*R218-ERP_i)*Q218*Ramure*Pc/MaxiM</f>
        <v>8.9842874652835958E-4</v>
      </c>
      <c r="Q218" s="307">
        <f t="shared" si="77"/>
        <v>1</v>
      </c>
      <c r="R218" s="179">
        <f t="shared" si="78"/>
        <v>0.59770105615863156</v>
      </c>
      <c r="S218" s="837">
        <f t="shared" si="79"/>
        <v>0</v>
      </c>
      <c r="T218" s="178">
        <f t="shared" si="80"/>
        <v>6</v>
      </c>
      <c r="U218" s="253">
        <f t="shared" si="81"/>
        <v>0.59770105615863156</v>
      </c>
      <c r="V218" s="385">
        <f t="shared" si="82"/>
        <v>50.714699633157096</v>
      </c>
      <c r="W218" s="404"/>
      <c r="X218" s="157">
        <f t="shared" si="83"/>
        <v>44765</v>
      </c>
      <c r="Y218" s="387">
        <f t="shared" si="84"/>
        <v>43.565824526676366</v>
      </c>
      <c r="Z218" s="387">
        <f t="shared" si="85"/>
        <v>45.063092180533729</v>
      </c>
      <c r="AA218" s="388">
        <f t="shared" si="86"/>
        <v>54.185895322287799</v>
      </c>
      <c r="AB218" s="199">
        <f t="shared" si="87"/>
        <v>44765</v>
      </c>
      <c r="AC218" s="119">
        <f>IF(OR(t&lt;Tnet,NoTnet),'2021'!Resal_s+('2021'!Salim-'2021'!Resal_s)*(1-EXP(('2021'!Tnet_s-t)/'2021'!Tau_j)),Resal_s+(Salim-Resal_s)*(1-EXP((Tnet_s-t)/Tau_j)))*Salcycl</f>
        <v>0.16836121443584726</v>
      </c>
      <c r="AD218" s="233">
        <f>(INDEX(Models!$BJ218:$BT218,,AH218)*(1-AF218)+INDEX(Models!$BJ218:$BT218,,AH218+1)*AF218-ERP_i)*AE218*Ramure*Pc/MaxiM</f>
        <v>8.9842874652835958E-4</v>
      </c>
      <c r="AE218" s="307">
        <f t="shared" si="88"/>
        <v>1</v>
      </c>
      <c r="AF218" s="179">
        <f t="shared" si="89"/>
        <v>0.59770105615863156</v>
      </c>
      <c r="AG218" s="837">
        <f t="shared" si="95"/>
        <v>0</v>
      </c>
      <c r="AH218" s="178">
        <f t="shared" si="90"/>
        <v>6</v>
      </c>
      <c r="AI218" s="227">
        <f t="shared" si="91"/>
        <v>0.59770105615863156</v>
      </c>
      <c r="AJ218" s="267" t="b">
        <f t="shared" si="92"/>
        <v>1</v>
      </c>
      <c r="AK218" s="267" t="b">
        <f t="shared" si="93"/>
        <v>0</v>
      </c>
      <c r="AL218" s="267"/>
      <c r="AM218" s="267"/>
      <c r="AN218" s="75"/>
    </row>
    <row r="219" spans="1:40" s="6" customFormat="1" ht="11.25" x14ac:dyDescent="0.2">
      <c r="A219" s="56">
        <f t="shared" si="94"/>
        <v>44766</v>
      </c>
      <c r="B219" s="618">
        <v>47.195</v>
      </c>
      <c r="C219" s="866"/>
      <c r="D219" s="395">
        <f t="shared" si="74"/>
        <v>48.81813100887382</v>
      </c>
      <c r="E219" s="387">
        <f t="shared" si="72"/>
        <v>57.114338635262797</v>
      </c>
      <c r="F219" s="387">
        <f t="shared" si="75"/>
        <v>57.164149099581486</v>
      </c>
      <c r="G219" s="110">
        <f t="shared" si="73"/>
        <v>0.93302772486461449</v>
      </c>
      <c r="H219" s="414" t="b">
        <f>Wh_hp&gt;='2021'!Maxi_hp</f>
        <v>0</v>
      </c>
      <c r="I219" s="382">
        <f>IF(H219,Wh_hp,'2021'!Maxi_hp)</f>
        <v>57.250617661501515</v>
      </c>
      <c r="J219" s="85">
        <f>IF(H219,An,'2021'!An_max)</f>
        <v>2019</v>
      </c>
      <c r="K219" s="199">
        <f t="shared" si="76"/>
        <v>44766</v>
      </c>
      <c r="L219" s="147">
        <f>IF(t&lt;Tvie,1-EXP((T0-t)*PertePVj)+'2021'!Pspv,1-EXP((T0-t)*PertePVj)+Pspv)</f>
        <v>3.3248528268703725E-2</v>
      </c>
      <c r="M219" s="870"/>
      <c r="N219" s="870"/>
      <c r="O219" s="48">
        <f>IF(t&lt;Tnet,'2021'!Resal+('2021'!Salim-'2021'!Resal)*(1-EXP(('2021'!Tnet-t)/('2021'!Tau_j))),Resal+(Salim-Resal)*(1-EXP((Tnet-t)/(Tau_j))))*Salcycl</f>
        <v>0.14525612700112467</v>
      </c>
      <c r="P219" s="341">
        <f>(INDEX(Models!$BJ219:$BT219,,T219)*(1-R219)+INDEX(Models!$BJ219:$BT219,,T219+1)*R219-ERP_i)*Q219*Ramure*Pc/MaxiM</f>
        <v>9.6341449563604642E-4</v>
      </c>
      <c r="Q219" s="307">
        <f t="shared" si="77"/>
        <v>1</v>
      </c>
      <c r="R219" s="179">
        <f t="shared" si="78"/>
        <v>0.60124000981865977</v>
      </c>
      <c r="S219" s="837">
        <f t="shared" si="79"/>
        <v>0</v>
      </c>
      <c r="T219" s="178">
        <f t="shared" si="80"/>
        <v>6</v>
      </c>
      <c r="U219" s="253">
        <f t="shared" si="81"/>
        <v>0.60124000981865977</v>
      </c>
      <c r="V219" s="385">
        <f t="shared" si="82"/>
        <v>50.577973588889066</v>
      </c>
      <c r="W219" s="404"/>
      <c r="X219" s="157">
        <f t="shared" si="83"/>
        <v>44766</v>
      </c>
      <c r="Y219" s="387">
        <f t="shared" si="84"/>
        <v>45.917462054808773</v>
      </c>
      <c r="Z219" s="387">
        <f t="shared" si="85"/>
        <v>47.496655963272538</v>
      </c>
      <c r="AA219" s="388">
        <f t="shared" si="86"/>
        <v>57.114338635262797</v>
      </c>
      <c r="AB219" s="199">
        <f t="shared" si="87"/>
        <v>44766</v>
      </c>
      <c r="AC219" s="119">
        <f>IF(OR(t&lt;Tnet,NoTnet),'2021'!Resal_s+('2021'!Salim-'2021'!Resal_s)*(1-EXP(('2021'!Tnet_s-t)/'2021'!Tau_j)),Resal_s+(Salim-Resal_s)*(1-EXP((Tnet_s-t)/Tau_j)))*Salcycl</f>
        <v>0.16839348755151717</v>
      </c>
      <c r="AD219" s="233">
        <f>(INDEX(Models!$BJ219:$BT219,,AH219)*(1-AF219)+INDEX(Models!$BJ219:$BT219,,AH219+1)*AF219-ERP_i)*AE219*Ramure*Pc/MaxiM</f>
        <v>9.6341449563604642E-4</v>
      </c>
      <c r="AE219" s="307">
        <f t="shared" si="88"/>
        <v>1</v>
      </c>
      <c r="AF219" s="179">
        <f t="shared" si="89"/>
        <v>0.60124000981865977</v>
      </c>
      <c r="AG219" s="837">
        <f t="shared" si="95"/>
        <v>0</v>
      </c>
      <c r="AH219" s="178">
        <f t="shared" si="90"/>
        <v>6</v>
      </c>
      <c r="AI219" s="227">
        <f t="shared" si="91"/>
        <v>0.60124000981865977</v>
      </c>
      <c r="AJ219" s="267" t="b">
        <f t="shared" si="92"/>
        <v>1</v>
      </c>
      <c r="AK219" s="267" t="b">
        <f t="shared" si="93"/>
        <v>0</v>
      </c>
      <c r="AL219" s="267"/>
      <c r="AM219" s="267"/>
      <c r="AN219" s="75"/>
    </row>
    <row r="220" spans="1:40" s="6" customFormat="1" ht="11.25" x14ac:dyDescent="0.2">
      <c r="A220" s="56">
        <f t="shared" si="94"/>
        <v>44767</v>
      </c>
      <c r="B220" s="618">
        <v>28.515000000000001</v>
      </c>
      <c r="C220" s="866"/>
      <c r="D220" s="395">
        <f t="shared" si="74"/>
        <v>29.496374647440398</v>
      </c>
      <c r="E220" s="387">
        <f t="shared" si="72"/>
        <v>34.513426451464561</v>
      </c>
      <c r="F220" s="387">
        <f t="shared" si="75"/>
        <v>34.526980969424123</v>
      </c>
      <c r="G220" s="110">
        <f t="shared" si="73"/>
        <v>0.56496655005183816</v>
      </c>
      <c r="H220" s="414" t="b">
        <f>Wh_hp&gt;='2021'!Maxi_hp</f>
        <v>0</v>
      </c>
      <c r="I220" s="382">
        <f>IF(H220,Wh_hp,'2021'!Maxi_hp)</f>
        <v>58.935772550617891</v>
      </c>
      <c r="J220" s="85">
        <f>IF(H220,An,'2021'!An_max)</f>
        <v>2020</v>
      </c>
      <c r="K220" s="199">
        <f t="shared" si="76"/>
        <v>44767</v>
      </c>
      <c r="L220" s="147">
        <f>IF(t&lt;Tvie,1-EXP((T0-t)*PertePVj)+'2021'!Pspv,1-EXP((T0-t)*PertePVj)+Pspv)</f>
        <v>3.3271025987783864E-2</v>
      </c>
      <c r="M220" s="870"/>
      <c r="N220" s="870"/>
      <c r="O220" s="48">
        <f>IF(t&lt;Tnet,'2021'!Resal+('2021'!Salim-'2021'!Resal)*(1-EXP(('2021'!Tnet-t)/('2021'!Tau_j))),Resal+(Salim-Resal)*(1-EXP((Tnet-t)/(Tau_j))))*Salcycl</f>
        <v>0.1453652192742883</v>
      </c>
      <c r="P220" s="341">
        <f>(INDEX(Models!$BJ220:$BT220,,T220)*(1-R220)+INDEX(Models!$BJ220:$BT220,,T220+1)*R220-ERP_i)*Q220*Ramure*Pc/MaxiM</f>
        <v>1.0357065144258554E-3</v>
      </c>
      <c r="Q220" s="307">
        <f t="shared" si="77"/>
        <v>1</v>
      </c>
      <c r="R220" s="179">
        <f t="shared" si="78"/>
        <v>0.60467603120064872</v>
      </c>
      <c r="S220" s="837">
        <f t="shared" si="79"/>
        <v>0</v>
      </c>
      <c r="T220" s="178">
        <f t="shared" si="80"/>
        <v>6</v>
      </c>
      <c r="U220" s="253">
        <f t="shared" si="81"/>
        <v>0.60467603120064872</v>
      </c>
      <c r="V220" s="385">
        <f t="shared" si="82"/>
        <v>50.439541903898423</v>
      </c>
      <c r="W220" s="404"/>
      <c r="X220" s="157">
        <f t="shared" si="83"/>
        <v>44767</v>
      </c>
      <c r="Y220" s="387">
        <f t="shared" si="84"/>
        <v>27.74563682763262</v>
      </c>
      <c r="Z220" s="387">
        <f t="shared" si="85"/>
        <v>28.700533007177675</v>
      </c>
      <c r="AA220" s="388">
        <f t="shared" si="86"/>
        <v>34.513426451464561</v>
      </c>
      <c r="AB220" s="199">
        <f t="shared" si="87"/>
        <v>44767</v>
      </c>
      <c r="AC220" s="119">
        <f>IF(OR(t&lt;Tnet,NoTnet),'2021'!Resal_s+('2021'!Salim-'2021'!Resal_s)*(1-EXP(('2021'!Tnet_s-t)/'2021'!Tau_j)),Resal_s+(Salim-Resal_s)*(1-EXP((Tnet_s-t)/Tau_j)))*Salcycl</f>
        <v>0.16842411901528881</v>
      </c>
      <c r="AD220" s="233">
        <f>(INDEX(Models!$BJ220:$BT220,,AH220)*(1-AF220)+INDEX(Models!$BJ220:$BT220,,AH220+1)*AF220-ERP_i)*AE220*Ramure*Pc/MaxiM</f>
        <v>1.0357065144258554E-3</v>
      </c>
      <c r="AE220" s="307">
        <f t="shared" si="88"/>
        <v>1</v>
      </c>
      <c r="AF220" s="179">
        <f t="shared" si="89"/>
        <v>0.60467603120064872</v>
      </c>
      <c r="AG220" s="837">
        <f t="shared" si="95"/>
        <v>0</v>
      </c>
      <c r="AH220" s="178">
        <f t="shared" si="90"/>
        <v>6</v>
      </c>
      <c r="AI220" s="227">
        <f t="shared" si="91"/>
        <v>0.60467603120064872</v>
      </c>
      <c r="AJ220" s="267" t="b">
        <f t="shared" si="92"/>
        <v>1</v>
      </c>
      <c r="AK220" s="267" t="b">
        <f t="shared" si="93"/>
        <v>0</v>
      </c>
      <c r="AL220" s="267"/>
      <c r="AM220" s="267"/>
      <c r="AN220" s="75"/>
    </row>
    <row r="221" spans="1:40" s="6" customFormat="1" ht="11.25" x14ac:dyDescent="0.2">
      <c r="A221" s="56">
        <f t="shared" si="94"/>
        <v>44768</v>
      </c>
      <c r="B221" s="618">
        <v>48.259</v>
      </c>
      <c r="C221" s="866"/>
      <c r="D221" s="395">
        <f t="shared" si="74"/>
        <v>49.921047554076736</v>
      </c>
      <c r="E221" s="387">
        <f t="shared" si="72"/>
        <v>58.419488901928439</v>
      </c>
      <c r="F221" s="387">
        <f t="shared" si="75"/>
        <v>58.480876245023246</v>
      </c>
      <c r="G221" s="110">
        <f t="shared" si="73"/>
        <v>0.95937540807838528</v>
      </c>
      <c r="H221" s="414" t="b">
        <f>Wh_hp&gt;='2021'!Maxi_hp</f>
        <v>1</v>
      </c>
      <c r="I221" s="382">
        <f>IF(H221,Wh_hp,'2021'!Maxi_hp)</f>
        <v>58.480876245023246</v>
      </c>
      <c r="J221" s="85">
        <f>IF(H221,An,'2021'!An_max)</f>
        <v>2022</v>
      </c>
      <c r="K221" s="199">
        <f t="shared" si="76"/>
        <v>44768</v>
      </c>
      <c r="L221" s="147">
        <f>IF(t&lt;Tvie,1-EXP((T0-t)*PertePVj)+'2021'!Pspv,1-EXP((T0-t)*PertePVj)+Pspv)</f>
        <v>3.3293523183309248E-2</v>
      </c>
      <c r="M221" s="870"/>
      <c r="N221" s="870"/>
      <c r="O221" s="48">
        <f>IF(t&lt;Tnet,'2021'!Resal+('2021'!Salim-'2021'!Resal)*(1-EXP(('2021'!Tnet-t)/('2021'!Tau_j))),Resal+(Salim-Resal)*(1-EXP((Tnet-t)/(Tau_j))))*Salcycl</f>
        <v>0.14547270966574932</v>
      </c>
      <c r="P221" s="341">
        <f>(INDEX(Models!$BJ221:$BT221,,T221)*(1-R221)+INDEX(Models!$BJ221:$BT221,,T221+1)*R221-ERP_i)*Q221*Ramure*Pc/MaxiM</f>
        <v>1.1142673800442844E-3</v>
      </c>
      <c r="Q221" s="307">
        <f t="shared" si="77"/>
        <v>1</v>
      </c>
      <c r="R221" s="179">
        <f t="shared" si="78"/>
        <v>0.60801077068965115</v>
      </c>
      <c r="S221" s="837">
        <f t="shared" si="79"/>
        <v>0</v>
      </c>
      <c r="T221" s="178">
        <f t="shared" si="80"/>
        <v>6</v>
      </c>
      <c r="U221" s="253">
        <f t="shared" si="81"/>
        <v>0.60801077068965115</v>
      </c>
      <c r="V221" s="385">
        <f t="shared" si="82"/>
        <v>50.299267977062662</v>
      </c>
      <c r="W221" s="404"/>
      <c r="X221" s="157">
        <f t="shared" si="83"/>
        <v>44768</v>
      </c>
      <c r="Y221" s="387">
        <f t="shared" si="84"/>
        <v>46.961187354571635</v>
      </c>
      <c r="Z221" s="387">
        <f t="shared" si="85"/>
        <v>48.578538036914935</v>
      </c>
      <c r="AA221" s="388">
        <f t="shared" si="86"/>
        <v>58.419488901928439</v>
      </c>
      <c r="AB221" s="199">
        <f t="shared" si="87"/>
        <v>44768</v>
      </c>
      <c r="AC221" s="119">
        <f>IF(OR(t&lt;Tnet,NoTnet),'2021'!Resal_s+('2021'!Salim-'2021'!Resal_s)*(1-EXP(('2021'!Tnet_s-t)/'2021'!Tau_j)),Resal_s+(Salim-Resal_s)*(1-EXP((Tnet_s-t)/Tau_j)))*Salcycl</f>
        <v>0.168453217410614</v>
      </c>
      <c r="AD221" s="233">
        <f>(INDEX(Models!$BJ221:$BT221,,AH221)*(1-AF221)+INDEX(Models!$BJ221:$BT221,,AH221+1)*AF221-ERP_i)*AE221*Ramure*Pc/MaxiM</f>
        <v>1.1142673800442844E-3</v>
      </c>
      <c r="AE221" s="307">
        <f t="shared" si="88"/>
        <v>1</v>
      </c>
      <c r="AF221" s="179">
        <f t="shared" si="89"/>
        <v>0.60801077068965115</v>
      </c>
      <c r="AG221" s="837">
        <f t="shared" si="95"/>
        <v>0</v>
      </c>
      <c r="AH221" s="178">
        <f t="shared" si="90"/>
        <v>6</v>
      </c>
      <c r="AI221" s="227">
        <f t="shared" si="91"/>
        <v>0.60801077068965115</v>
      </c>
      <c r="AJ221" s="267" t="b">
        <f t="shared" si="92"/>
        <v>1</v>
      </c>
      <c r="AK221" s="267" t="b">
        <f t="shared" si="93"/>
        <v>0</v>
      </c>
      <c r="AL221" s="267"/>
      <c r="AM221" s="267"/>
      <c r="AN221" s="75"/>
    </row>
    <row r="222" spans="1:40" s="6" customFormat="1" ht="11.25" x14ac:dyDescent="0.2">
      <c r="A222" s="56">
        <f t="shared" si="94"/>
        <v>44769</v>
      </c>
      <c r="B222" s="618">
        <v>50.792999999999999</v>
      </c>
      <c r="C222" s="866"/>
      <c r="D222" s="395">
        <f t="shared" si="74"/>
        <v>52.543541677805123</v>
      </c>
      <c r="E222" s="387">
        <f t="shared" si="72"/>
        <v>61.496056697836643</v>
      </c>
      <c r="F222" s="387">
        <f t="shared" si="75"/>
        <v>61.56989037067234</v>
      </c>
      <c r="G222" s="110">
        <f t="shared" si="73"/>
        <v>1.0126810163838371</v>
      </c>
      <c r="H222" s="414" t="b">
        <f>Wh_hp&gt;='2021'!Maxi_hp</f>
        <v>1</v>
      </c>
      <c r="I222" s="382">
        <f>IF(H222,Wh_hp,'2021'!Maxi_hp)</f>
        <v>61.56989037067234</v>
      </c>
      <c r="J222" s="85">
        <f>IF(H222,An,'2021'!An_max)</f>
        <v>2022</v>
      </c>
      <c r="K222" s="199">
        <f t="shared" si="76"/>
        <v>44769</v>
      </c>
      <c r="L222" s="147">
        <f>IF(t&lt;Tvie,1-EXP((T0-t)*PertePVj)+'2021'!Pspv,1-EXP((T0-t)*PertePVj)+Pspv)</f>
        <v>3.3316019855292089E-2</v>
      </c>
      <c r="M222" s="870"/>
      <c r="N222" s="870"/>
      <c r="O222" s="48">
        <f>IF(t&lt;Tnet,'2021'!Resal+('2021'!Salim-'2021'!Resal)*(1-EXP(('2021'!Tnet-t)/('2021'!Tau_j))),Resal+(Salim-Resal)*(1-EXP((Tnet-t)/(Tau_j))))*Salcycl</f>
        <v>0.14557868424019546</v>
      </c>
      <c r="P222" s="341">
        <f>(INDEX(Models!$BJ222:$BT222,,T222)*(1-R222)+INDEX(Models!$BJ222:$BT222,,T222+1)*R222-ERP_i)*Q222*Ramure*Pc/MaxiM</f>
        <v>1.1991847377215456E-3</v>
      </c>
      <c r="Q222" s="307">
        <f t="shared" si="77"/>
        <v>1</v>
      </c>
      <c r="R222" s="179">
        <f t="shared" si="78"/>
        <v>0.61124594879660343</v>
      </c>
      <c r="S222" s="837">
        <f t="shared" si="79"/>
        <v>0</v>
      </c>
      <c r="T222" s="178">
        <f t="shared" si="80"/>
        <v>6</v>
      </c>
      <c r="U222" s="253">
        <f t="shared" si="81"/>
        <v>0.61124594879660343</v>
      </c>
      <c r="V222" s="385">
        <f t="shared" si="82"/>
        <v>50.156958783897942</v>
      </c>
      <c r="W222" s="404"/>
      <c r="X222" s="157">
        <f t="shared" si="83"/>
        <v>44769</v>
      </c>
      <c r="Y222" s="387">
        <f t="shared" si="84"/>
        <v>49.431527158041078</v>
      </c>
      <c r="Z222" s="387">
        <f t="shared" si="85"/>
        <v>51.13514672151846</v>
      </c>
      <c r="AA222" s="388">
        <f t="shared" si="86"/>
        <v>61.496056697836643</v>
      </c>
      <c r="AB222" s="199">
        <f t="shared" si="87"/>
        <v>44769</v>
      </c>
      <c r="AC222" s="119">
        <f>IF(OR(t&lt;Tnet,NoTnet),'2021'!Resal_s+('2021'!Salim-'2021'!Resal_s)*(1-EXP(('2021'!Tnet_s-t)/'2021'!Tau_j)),Resal_s+(Salim-Resal_s)*(1-EXP((Tnet_s-t)/Tau_j)))*Salcycl</f>
        <v>0.16848088369676997</v>
      </c>
      <c r="AD222" s="233">
        <f>(INDEX(Models!$BJ222:$BT222,,AH222)*(1-AF222)+INDEX(Models!$BJ222:$BT222,,AH222+1)*AF222-ERP_i)*AE222*Ramure*Pc/MaxiM</f>
        <v>1.1991847377215456E-3</v>
      </c>
      <c r="AE222" s="307">
        <f t="shared" si="88"/>
        <v>1</v>
      </c>
      <c r="AF222" s="179">
        <f t="shared" si="89"/>
        <v>0.61124594879660343</v>
      </c>
      <c r="AG222" s="837">
        <f t="shared" si="95"/>
        <v>0</v>
      </c>
      <c r="AH222" s="178">
        <f t="shared" si="90"/>
        <v>6</v>
      </c>
      <c r="AI222" s="227">
        <f t="shared" si="91"/>
        <v>0.61124594879660343</v>
      </c>
      <c r="AJ222" s="267" t="b">
        <f t="shared" si="92"/>
        <v>1</v>
      </c>
      <c r="AK222" s="267" t="b">
        <f t="shared" si="93"/>
        <v>0</v>
      </c>
      <c r="AL222" s="267"/>
      <c r="AM222" s="267"/>
      <c r="AN222" s="75"/>
    </row>
    <row r="223" spans="1:40" s="6" customFormat="1" ht="11.25" x14ac:dyDescent="0.2">
      <c r="A223" s="56">
        <f t="shared" si="94"/>
        <v>44770</v>
      </c>
      <c r="B223" s="618">
        <v>43.308999999999997</v>
      </c>
      <c r="C223" s="866"/>
      <c r="D223" s="395">
        <f t="shared" si="74"/>
        <v>44.802653997299181</v>
      </c>
      <c r="E223" s="387">
        <f t="shared" si="72"/>
        <v>52.442671358793305</v>
      </c>
      <c r="F223" s="387">
        <f t="shared" si="75"/>
        <v>52.497449064489132</v>
      </c>
      <c r="G223" s="110">
        <f t="shared" si="73"/>
        <v>0.86575064696013215</v>
      </c>
      <c r="H223" s="414" t="b">
        <f>Wh_hp&gt;='2021'!Maxi_hp</f>
        <v>0</v>
      </c>
      <c r="I223" s="382">
        <f>IF(H223,Wh_hp,'2021'!Maxi_hp)</f>
        <v>61.483978261170357</v>
      </c>
      <c r="J223" s="85">
        <f>IF(H223,An,'2021'!An_max)</f>
        <v>2019</v>
      </c>
      <c r="K223" s="199">
        <f t="shared" si="76"/>
        <v>44770</v>
      </c>
      <c r="L223" s="147">
        <f>IF(t&lt;Tvie,1-EXP((T0-t)*PertePVj)+'2021'!Pspv,1-EXP((T0-t)*PertePVj)+Pspv)</f>
        <v>3.3338516003744378E-2</v>
      </c>
      <c r="M223" s="870"/>
      <c r="N223" s="870"/>
      <c r="O223" s="48">
        <f>IF(t&lt;Tnet,'2021'!Resal+('2021'!Salim-'2021'!Resal)*(1-EXP(('2021'!Tnet-t)/('2021'!Tau_j))),Resal+(Salim-Resal)*(1-EXP((Tnet-t)/(Tau_j))))*Salcycl</f>
        <v>0.14568322252739488</v>
      </c>
      <c r="P223" s="341">
        <f>(INDEX(Models!$BJ223:$BT223,,T223)*(1-R223)+INDEX(Models!$BJ223:$BT223,,T223+1)*R223-ERP_i)*Q223*Ramure*Pc/MaxiM</f>
        <v>1.2905481401242836E-3</v>
      </c>
      <c r="Q223" s="307">
        <f t="shared" si="77"/>
        <v>1</v>
      </c>
      <c r="R223" s="179">
        <f t="shared" si="78"/>
        <v>0.61438334793781757</v>
      </c>
      <c r="S223" s="837">
        <f t="shared" si="79"/>
        <v>0</v>
      </c>
      <c r="T223" s="178">
        <f t="shared" si="80"/>
        <v>6</v>
      </c>
      <c r="U223" s="253">
        <f t="shared" si="81"/>
        <v>0.61438334793781757</v>
      </c>
      <c r="V223" s="385">
        <f t="shared" si="82"/>
        <v>50.012421908108671</v>
      </c>
      <c r="W223" s="404"/>
      <c r="X223" s="157">
        <f t="shared" si="83"/>
        <v>44770</v>
      </c>
      <c r="Y223" s="387">
        <f t="shared" si="84"/>
        <v>42.151953639345201</v>
      </c>
      <c r="Z223" s="387">
        <f t="shared" si="85"/>
        <v>43.605703068964395</v>
      </c>
      <c r="AA223" s="388">
        <f t="shared" si="86"/>
        <v>52.442671358793305</v>
      </c>
      <c r="AB223" s="199">
        <f t="shared" si="87"/>
        <v>44770</v>
      </c>
      <c r="AC223" s="119">
        <f>IF(OR(t&lt;Tnet,NoTnet),'2021'!Resal_s+('2021'!Salim-'2021'!Resal_s)*(1-EXP(('2021'!Tnet_s-t)/'2021'!Tau_j)),Resal_s+(Salim-Resal_s)*(1-EXP((Tnet_s-t)/Tau_j)))*Salcycl</f>
        <v>0.16850721103373342</v>
      </c>
      <c r="AD223" s="233">
        <f>(INDEX(Models!$BJ223:$BT223,,AH223)*(1-AF223)+INDEX(Models!$BJ223:$BT223,,AH223+1)*AF223-ERP_i)*AE223*Ramure*Pc/MaxiM</f>
        <v>1.2905481401242836E-3</v>
      </c>
      <c r="AE223" s="307">
        <f t="shared" si="88"/>
        <v>1</v>
      </c>
      <c r="AF223" s="179">
        <f t="shared" si="89"/>
        <v>0.61438334793781757</v>
      </c>
      <c r="AG223" s="837">
        <f t="shared" si="95"/>
        <v>0</v>
      </c>
      <c r="AH223" s="178">
        <f t="shared" si="90"/>
        <v>6</v>
      </c>
      <c r="AI223" s="227">
        <f t="shared" si="91"/>
        <v>0.61438334793781757</v>
      </c>
      <c r="AJ223" s="267" t="b">
        <f t="shared" si="92"/>
        <v>1</v>
      </c>
      <c r="AK223" s="267" t="b">
        <f t="shared" si="93"/>
        <v>0</v>
      </c>
      <c r="AL223" s="267"/>
      <c r="AM223" s="267"/>
      <c r="AN223" s="75"/>
    </row>
    <row r="224" spans="1:40" s="6" customFormat="1" ht="11.25" x14ac:dyDescent="0.2">
      <c r="A224" s="56">
        <f t="shared" si="94"/>
        <v>44771</v>
      </c>
      <c r="B224" s="618">
        <v>25.097000000000001</v>
      </c>
      <c r="C224" s="866"/>
      <c r="D224" s="395">
        <f t="shared" si="74"/>
        <v>25.96315718889597</v>
      </c>
      <c r="E224" s="387">
        <f t="shared" si="72"/>
        <v>30.39422119949716</v>
      </c>
      <c r="F224" s="387">
        <f t="shared" si="75"/>
        <v>30.40648212360508</v>
      </c>
      <c r="G224" s="110">
        <f t="shared" si="73"/>
        <v>0.50279815500544034</v>
      </c>
      <c r="H224" s="414" t="b">
        <f>Wh_hp&gt;='2021'!Maxi_hp</f>
        <v>0</v>
      </c>
      <c r="I224" s="382">
        <f>IF(H224,Wh_hp,'2021'!Maxi_hp)</f>
        <v>60.214404913663586</v>
      </c>
      <c r="J224" s="85">
        <f>IF(H224,An,'2021'!An_max)</f>
        <v>2019</v>
      </c>
      <c r="K224" s="199">
        <f t="shared" si="76"/>
        <v>44771</v>
      </c>
      <c r="L224" s="147">
        <f>IF(t&lt;Tvie,1-EXP((T0-t)*PertePVj)+'2021'!Pspv,1-EXP((T0-t)*PertePVj)+Pspv)</f>
        <v>3.336101162867855E-2</v>
      </c>
      <c r="M224" s="870"/>
      <c r="N224" s="870"/>
      <c r="O224" s="48">
        <f>IF(t&lt;Tnet,'2021'!Resal+('2021'!Salim-'2021'!Resal)*(1-EXP(('2021'!Tnet-t)/('2021'!Tau_j))),Resal+(Salim-Resal)*(1-EXP((Tnet-t)/(Tau_j))))*Salcycl</f>
        <v>0.14578639740486249</v>
      </c>
      <c r="P224" s="341">
        <f>(INDEX(Models!$BJ224:$BT224,,T224)*(1-R224)+INDEX(Models!$BJ224:$BT224,,T224+1)*R224-ERP_i)*Q224*Ramure*Pc/MaxiM</f>
        <v>1.3884494117488153E-3</v>
      </c>
      <c r="Q224" s="307">
        <f t="shared" si="77"/>
        <v>1</v>
      </c>
      <c r="R224" s="179">
        <f t="shared" si="78"/>
        <v>0.61742480454346427</v>
      </c>
      <c r="S224" s="837">
        <f t="shared" si="79"/>
        <v>0</v>
      </c>
      <c r="T224" s="178">
        <f t="shared" si="80"/>
        <v>6</v>
      </c>
      <c r="U224" s="253">
        <f t="shared" si="81"/>
        <v>0.61742480454346427</v>
      </c>
      <c r="V224" s="385">
        <f t="shared" si="82"/>
        <v>49.865465539442553</v>
      </c>
      <c r="W224" s="404"/>
      <c r="X224" s="157">
        <f t="shared" si="83"/>
        <v>44771</v>
      </c>
      <c r="Y224" s="387">
        <f t="shared" si="84"/>
        <v>24.428720390576011</v>
      </c>
      <c r="Z224" s="387">
        <f t="shared" si="85"/>
        <v>25.271813659963861</v>
      </c>
      <c r="AA224" s="388">
        <f t="shared" si="86"/>
        <v>30.39422119949716</v>
      </c>
      <c r="AB224" s="199">
        <f t="shared" si="87"/>
        <v>44771</v>
      </c>
      <c r="AC224" s="119">
        <f>IF(OR(t&lt;Tnet,NoTnet),'2021'!Resal_s+('2021'!Salim-'2021'!Resal_s)*(1-EXP(('2021'!Tnet_s-t)/'2021'!Tau_j)),Resal_s+(Salim-Resal_s)*(1-EXP((Tnet_s-t)/Tau_j)))*Salcycl</f>
        <v>0.16853228467054931</v>
      </c>
      <c r="AD224" s="233">
        <f>(INDEX(Models!$BJ224:$BT224,,AH224)*(1-AF224)+INDEX(Models!$BJ224:$BT224,,AH224+1)*AF224-ERP_i)*AE224*Ramure*Pc/MaxiM</f>
        <v>1.3884494117488153E-3</v>
      </c>
      <c r="AE224" s="307">
        <f t="shared" si="88"/>
        <v>1</v>
      </c>
      <c r="AF224" s="179">
        <f t="shared" si="89"/>
        <v>0.61742480454346427</v>
      </c>
      <c r="AG224" s="837">
        <f t="shared" si="95"/>
        <v>0</v>
      </c>
      <c r="AH224" s="178">
        <f t="shared" si="90"/>
        <v>6</v>
      </c>
      <c r="AI224" s="227">
        <f t="shared" si="91"/>
        <v>0.61742480454346427</v>
      </c>
      <c r="AJ224" s="267" t="b">
        <f t="shared" si="92"/>
        <v>1</v>
      </c>
      <c r="AK224" s="267" t="b">
        <f t="shared" si="93"/>
        <v>0</v>
      </c>
      <c r="AL224" s="267"/>
      <c r="AM224" s="267"/>
      <c r="AN224" s="75"/>
    </row>
    <row r="225" spans="1:40" s="6" customFormat="1" ht="11.25" x14ac:dyDescent="0.2">
      <c r="A225" s="56">
        <f t="shared" si="94"/>
        <v>44772</v>
      </c>
      <c r="B225" s="618">
        <v>42.59</v>
      </c>
      <c r="C225" s="866"/>
      <c r="D225" s="395">
        <f t="shared" si="74"/>
        <v>44.060907605585676</v>
      </c>
      <c r="E225" s="387">
        <f t="shared" si="72"/>
        <v>51.58681975396221</v>
      </c>
      <c r="F225" s="387">
        <f t="shared" si="75"/>
        <v>51.648140506320651</v>
      </c>
      <c r="G225" s="110">
        <f t="shared" si="73"/>
        <v>0.8564054136452266</v>
      </c>
      <c r="H225" s="414" t="b">
        <f>Wh_hp&gt;='2021'!Maxi_hp</f>
        <v>0</v>
      </c>
      <c r="I225" s="382">
        <f>IF(H225,Wh_hp,'2021'!Maxi_hp)</f>
        <v>52.174946254120343</v>
      </c>
      <c r="J225" s="85">
        <f>IF(H225,An,'2021'!An_max)</f>
        <v>2020</v>
      </c>
      <c r="K225" s="199">
        <f t="shared" si="76"/>
        <v>44772</v>
      </c>
      <c r="L225" s="147">
        <f>IF(t&lt;Tvie,1-EXP((T0-t)*PertePVj)+'2021'!Pspv,1-EXP((T0-t)*PertePVj)+Pspv)</f>
        <v>3.3383506730106594E-2</v>
      </c>
      <c r="M225" s="870"/>
      <c r="N225" s="870"/>
      <c r="O225" s="48">
        <f>IF(t&lt;Tnet,'2021'!Resal+('2021'!Salim-'2021'!Resal)*(1-EXP(('2021'!Tnet-t)/('2021'!Tau_j))),Resal+(Salim-Resal)*(1-EXP((Tnet-t)/(Tau_j))))*Salcycl</f>
        <v>0.14588827503363383</v>
      </c>
      <c r="P225" s="341">
        <f>(INDEX(Models!$BJ225:$BT225,,T225)*(1-R225)+INDEX(Models!$BJ225:$BT225,,T225+1)*R225-ERP_i)*Q225*Ramure*Pc/MaxiM</f>
        <v>1.492983028122654E-3</v>
      </c>
      <c r="Q225" s="307">
        <f t="shared" si="77"/>
        <v>1</v>
      </c>
      <c r="R225" s="179">
        <f t="shared" si="78"/>
        <v>0.62037220150909966</v>
      </c>
      <c r="S225" s="837">
        <f t="shared" si="79"/>
        <v>0</v>
      </c>
      <c r="T225" s="178">
        <f t="shared" si="80"/>
        <v>6</v>
      </c>
      <c r="U225" s="253">
        <f t="shared" si="81"/>
        <v>0.62037220150909966</v>
      </c>
      <c r="V225" s="385">
        <f t="shared" si="82"/>
        <v>49.715898463716023</v>
      </c>
      <c r="W225" s="404"/>
      <c r="X225" s="157">
        <f t="shared" si="83"/>
        <v>44772</v>
      </c>
      <c r="Y225" s="387">
        <f t="shared" si="84"/>
        <v>41.459672286408612</v>
      </c>
      <c r="Z225" s="387">
        <f t="shared" si="85"/>
        <v>42.891542380120001</v>
      </c>
      <c r="AA225" s="388">
        <f t="shared" si="86"/>
        <v>51.58681975396221</v>
      </c>
      <c r="AB225" s="199">
        <f t="shared" si="87"/>
        <v>44772</v>
      </c>
      <c r="AC225" s="119">
        <f>IF(OR(t&lt;Tnet,NoTnet),'2021'!Resal_s+('2021'!Salim-'2021'!Resal_s)*(1-EXP(('2021'!Tnet_s-t)/'2021'!Tau_j)),Resal_s+(Salim-Resal_s)*(1-EXP((Tnet_s-t)/Tau_j)))*Salcycl</f>
        <v>0.16855618189517008</v>
      </c>
      <c r="AD225" s="233">
        <f>(INDEX(Models!$BJ225:$BT225,,AH225)*(1-AF225)+INDEX(Models!$BJ225:$BT225,,AH225+1)*AF225-ERP_i)*AE225*Ramure*Pc/MaxiM</f>
        <v>1.492983028122654E-3</v>
      </c>
      <c r="AE225" s="307">
        <f t="shared" si="88"/>
        <v>1</v>
      </c>
      <c r="AF225" s="179">
        <f t="shared" si="89"/>
        <v>0.62037220150909966</v>
      </c>
      <c r="AG225" s="837">
        <f t="shared" si="95"/>
        <v>0</v>
      </c>
      <c r="AH225" s="178">
        <f t="shared" si="90"/>
        <v>6</v>
      </c>
      <c r="AI225" s="227">
        <f t="shared" si="91"/>
        <v>0.62037220150909966</v>
      </c>
      <c r="AJ225" s="267" t="b">
        <f t="shared" si="92"/>
        <v>1</v>
      </c>
      <c r="AK225" s="267" t="b">
        <f t="shared" si="93"/>
        <v>0</v>
      </c>
      <c r="AL225" s="267"/>
      <c r="AM225" s="267"/>
      <c r="AN225" s="75"/>
    </row>
    <row r="226" spans="1:40" s="6" customFormat="1" ht="11.25" x14ac:dyDescent="0.2">
      <c r="A226" s="56">
        <f t="shared" si="94"/>
        <v>44773</v>
      </c>
      <c r="B226" s="618">
        <v>47.018000000000001</v>
      </c>
      <c r="C226" s="866"/>
      <c r="D226" s="395">
        <f t="shared" si="74"/>
        <v>48.642967019893554</v>
      </c>
      <c r="E226" s="387">
        <f t="shared" si="72"/>
        <v>56.958238441450668</v>
      </c>
      <c r="F226" s="387">
        <f t="shared" si="75"/>
        <v>57.043276941412763</v>
      </c>
      <c r="G226" s="110">
        <f t="shared" si="73"/>
        <v>0.94853325856734438</v>
      </c>
      <c r="H226" s="414" t="b">
        <f>Wh_hp&gt;='2021'!Maxi_hp</f>
        <v>1</v>
      </c>
      <c r="I226" s="382">
        <f>IF(H226,Wh_hp,'2021'!Maxi_hp)</f>
        <v>57.043276941412763</v>
      </c>
      <c r="J226" s="85">
        <f>IF(H226,An,'2021'!An_max)</f>
        <v>2022</v>
      </c>
      <c r="K226" s="199">
        <f t="shared" si="76"/>
        <v>44773</v>
      </c>
      <c r="L226" s="147">
        <f>IF(t&lt;Tvie,1-EXP((T0-t)*PertePVj)+'2021'!Pspv,1-EXP((T0-t)*PertePVj)+Pspv)</f>
        <v>3.3406001308040834E-2</v>
      </c>
      <c r="M226" s="870"/>
      <c r="N226" s="870"/>
      <c r="O226" s="48">
        <f>IF(t&lt;Tnet,'2021'!Resal+('2021'!Salim-'2021'!Resal)*(1-EXP(('2021'!Tnet-t)/('2021'!Tau_j))),Resal+(Salim-Resal)*(1-EXP((Tnet-t)/(Tau_j))))*Salcycl</f>
        <v>0.14598891484512236</v>
      </c>
      <c r="P226" s="341">
        <f>(INDEX(Models!$BJ226:$BT226,,T226)*(1-R226)+INDEX(Models!$BJ226:$BT226,,T226+1)*R226-ERP_i)*Q226*Ramure*Pc/MaxiM</f>
        <v>1.6087991472254089E-3</v>
      </c>
      <c r="Q226" s="307">
        <f t="shared" si="77"/>
        <v>1</v>
      </c>
      <c r="R226" s="179">
        <f t="shared" si="78"/>
        <v>0.62322746100076198</v>
      </c>
      <c r="S226" s="837">
        <f t="shared" si="79"/>
        <v>0</v>
      </c>
      <c r="T226" s="178">
        <f t="shared" si="80"/>
        <v>6</v>
      </c>
      <c r="U226" s="253">
        <f t="shared" si="81"/>
        <v>0.62322746100076198</v>
      </c>
      <c r="V226" s="385">
        <f t="shared" si="82"/>
        <v>49.563304051957481</v>
      </c>
      <c r="W226" s="404"/>
      <c r="X226" s="157">
        <f t="shared" si="83"/>
        <v>44773</v>
      </c>
      <c r="Y226" s="387">
        <f t="shared" si="84"/>
        <v>45.774293298996199</v>
      </c>
      <c r="Z226" s="387">
        <f t="shared" si="85"/>
        <v>47.356277155600118</v>
      </c>
      <c r="AA226" s="388">
        <f t="shared" si="86"/>
        <v>56.958238441450668</v>
      </c>
      <c r="AB226" s="199">
        <f t="shared" si="87"/>
        <v>44773</v>
      </c>
      <c r="AC226" s="119">
        <f>IF(OR(t&lt;Tnet,NoTnet),'2021'!Resal_s+('2021'!Salim-'2021'!Resal_s)*(1-EXP(('2021'!Tnet_s-t)/'2021'!Tau_j)),Resal_s+(Salim-Resal_s)*(1-EXP((Tnet_s-t)/Tau_j)))*Salcycl</f>
        <v>0.168578972043188</v>
      </c>
      <c r="AD226" s="233">
        <f>(INDEX(Models!$BJ226:$BT226,,AH226)*(1-AF226)+INDEX(Models!$BJ226:$BT226,,AH226+1)*AF226-ERP_i)*AE226*Ramure*Pc/MaxiM</f>
        <v>1.6087991472254089E-3</v>
      </c>
      <c r="AE226" s="307">
        <f t="shared" si="88"/>
        <v>1</v>
      </c>
      <c r="AF226" s="179">
        <f t="shared" si="89"/>
        <v>0.62322746100076198</v>
      </c>
      <c r="AG226" s="837">
        <f t="shared" si="95"/>
        <v>0</v>
      </c>
      <c r="AH226" s="178">
        <f t="shared" si="90"/>
        <v>6</v>
      </c>
      <c r="AI226" s="227">
        <f t="shared" si="91"/>
        <v>0.62322746100076198</v>
      </c>
      <c r="AJ226" s="267" t="b">
        <f t="shared" si="92"/>
        <v>1</v>
      </c>
      <c r="AK226" s="267" t="b">
        <f t="shared" si="93"/>
        <v>0</v>
      </c>
      <c r="AL226" s="267"/>
      <c r="AM226" s="267"/>
      <c r="AN226" s="75"/>
    </row>
    <row r="227" spans="1:40" s="6" customFormat="1" ht="11.25" x14ac:dyDescent="0.2">
      <c r="A227" s="56">
        <f t="shared" si="94"/>
        <v>44774</v>
      </c>
      <c r="B227" s="618">
        <v>48.814999999999998</v>
      </c>
      <c r="C227" s="866"/>
      <c r="D227" s="395">
        <f t="shared" si="74"/>
        <v>50.503247577433072</v>
      </c>
      <c r="E227" s="387">
        <f t="shared" si="72"/>
        <v>59.143412243243688</v>
      </c>
      <c r="F227" s="387">
        <f t="shared" si="75"/>
        <v>59.244412021710168</v>
      </c>
      <c r="G227" s="110">
        <f t="shared" si="73"/>
        <v>0.98797712858617104</v>
      </c>
      <c r="H227" s="414" t="b">
        <f>Wh_hp&gt;='2021'!Maxi_hp</f>
        <v>1</v>
      </c>
      <c r="I227" s="382">
        <f>IF(H227,Wh_hp,'2021'!Maxi_hp)</f>
        <v>59.244412021710168</v>
      </c>
      <c r="J227" s="85">
        <f>IF(H227,An,'2021'!An_max)</f>
        <v>2022</v>
      </c>
      <c r="K227" s="199">
        <f t="shared" si="76"/>
        <v>44774</v>
      </c>
      <c r="L227" s="147">
        <f>IF(t&lt;Tvie,1-EXP((T0-t)*PertePVj)+'2021'!Pspv,1-EXP((T0-t)*PertePVj)+Pspv)</f>
        <v>3.3428495362493371E-2</v>
      </c>
      <c r="M227" s="870"/>
      <c r="N227" s="870"/>
      <c r="O227" s="48">
        <f>IF(t&lt;Tnet,'2021'!Resal+('2021'!Salim-'2021'!Resal)*(1-EXP(('2021'!Tnet-t)/('2021'!Tau_j))),Resal+(Salim-Resal)*(1-EXP((Tnet-t)/(Tau_j))))*Salcycl</f>
        <v>0.14608836957657337</v>
      </c>
      <c r="P227" s="341">
        <f>(INDEX(Models!$BJ227:$BT227,,T227)*(1-R227)+INDEX(Models!$BJ227:$BT227,,T227+1)*R227-ERP_i)*Q227*Ramure*Pc/MaxiM</f>
        <v>1.7345167600042941E-3</v>
      </c>
      <c r="Q227" s="307">
        <f t="shared" si="77"/>
        <v>1</v>
      </c>
      <c r="R227" s="179">
        <f t="shared" si="78"/>
        <v>0.6259925376208989</v>
      </c>
      <c r="S227" s="837">
        <f t="shared" si="79"/>
        <v>0</v>
      </c>
      <c r="T227" s="178">
        <f t="shared" si="80"/>
        <v>6</v>
      </c>
      <c r="U227" s="253">
        <f t="shared" si="81"/>
        <v>0.6259925376208989</v>
      </c>
      <c r="V227" s="385">
        <f t="shared" si="82"/>
        <v>49.407567653350526</v>
      </c>
      <c r="W227" s="404"/>
      <c r="X227" s="157">
        <f t="shared" si="83"/>
        <v>44774</v>
      </c>
      <c r="Y227" s="387">
        <f t="shared" si="84"/>
        <v>47.52805158641948</v>
      </c>
      <c r="Z227" s="387">
        <f t="shared" si="85"/>
        <v>49.171790559089501</v>
      </c>
      <c r="AA227" s="388">
        <f t="shared" si="86"/>
        <v>59.143412243243688</v>
      </c>
      <c r="AB227" s="199">
        <f t="shared" si="87"/>
        <v>44774</v>
      </c>
      <c r="AC227" s="119">
        <f>IF(OR(t&lt;Tnet,NoTnet),'2021'!Resal_s+('2021'!Salim-'2021'!Resal_s)*(1-EXP(('2021'!Tnet_s-t)/'2021'!Tau_j)),Resal_s+(Salim-Resal_s)*(1-EXP((Tnet_s-t)/Tau_j)))*Salcycl</f>
        <v>0.16860071656236422</v>
      </c>
      <c r="AD227" s="233">
        <f>(INDEX(Models!$BJ227:$BT227,,AH227)*(1-AF227)+INDEX(Models!$BJ227:$BT227,,AH227+1)*AF227-ERP_i)*AE227*Ramure*Pc/MaxiM</f>
        <v>1.7345167600042941E-3</v>
      </c>
      <c r="AE227" s="307">
        <f t="shared" si="88"/>
        <v>1</v>
      </c>
      <c r="AF227" s="179">
        <f t="shared" si="89"/>
        <v>0.6259925376208989</v>
      </c>
      <c r="AG227" s="837">
        <f t="shared" si="95"/>
        <v>0</v>
      </c>
      <c r="AH227" s="178">
        <f t="shared" si="90"/>
        <v>6</v>
      </c>
      <c r="AI227" s="227">
        <f t="shared" si="91"/>
        <v>0.6259925376208989</v>
      </c>
      <c r="AJ227" s="267" t="b">
        <f t="shared" si="92"/>
        <v>1</v>
      </c>
      <c r="AK227" s="267" t="b">
        <f t="shared" si="93"/>
        <v>0</v>
      </c>
      <c r="AL227" s="267"/>
      <c r="AM227" s="267"/>
      <c r="AN227" s="75"/>
    </row>
    <row r="228" spans="1:40" s="6" customFormat="1" ht="11.25" x14ac:dyDescent="0.2">
      <c r="A228" s="56">
        <f t="shared" si="94"/>
        <v>44775</v>
      </c>
      <c r="B228" s="618">
        <v>47.084000000000003</v>
      </c>
      <c r="C228" s="866"/>
      <c r="D228" s="395">
        <f t="shared" si="74"/>
        <v>48.71351525785262</v>
      </c>
      <c r="E228" s="387">
        <f t="shared" si="72"/>
        <v>57.054059033908381</v>
      </c>
      <c r="F228" s="387">
        <f t="shared" si="75"/>
        <v>57.154241429769726</v>
      </c>
      <c r="G228" s="110">
        <f t="shared" si="73"/>
        <v>0.95593696351617685</v>
      </c>
      <c r="H228" s="414" t="b">
        <f>Wh_hp&gt;='2021'!Maxi_hp</f>
        <v>1</v>
      </c>
      <c r="I228" s="382">
        <f>IF(H228,Wh_hp,'2021'!Maxi_hp)</f>
        <v>57.154241429769726</v>
      </c>
      <c r="J228" s="85">
        <f>IF(H228,An,'2021'!An_max)</f>
        <v>2022</v>
      </c>
      <c r="K228" s="199">
        <f t="shared" si="76"/>
        <v>44775</v>
      </c>
      <c r="L228" s="147">
        <f>IF(t&lt;Tvie,1-EXP((T0-t)*PertePVj)+'2021'!Pspv,1-EXP((T0-t)*PertePVj)+Pspv)</f>
        <v>3.3450988893476308E-2</v>
      </c>
      <c r="M228" s="870"/>
      <c r="N228" s="870"/>
      <c r="O228" s="48">
        <f>IF(t&lt;Tnet,'2021'!Resal+('2021'!Salim-'2021'!Resal)*(1-EXP(('2021'!Tnet-t)/('2021'!Tau_j))),Resal+(Salim-Resal)*(1-EXP((Tnet-t)/(Tau_j))))*Salcycl</f>
        <v>0.1461866853521992</v>
      </c>
      <c r="P228" s="341">
        <f>(INDEX(Models!$BJ228:$BT228,,T228)*(1-R228)+INDEX(Models!$BJ228:$BT228,,T228+1)*R228-ERP_i)*Q228*Ramure*Pc/MaxiM</f>
        <v>1.8702705176060982E-3</v>
      </c>
      <c r="Q228" s="307">
        <f t="shared" si="77"/>
        <v>1</v>
      </c>
      <c r="R228" s="179">
        <f t="shared" si="78"/>
        <v>0.62866941193939041</v>
      </c>
      <c r="S228" s="837">
        <f t="shared" si="79"/>
        <v>0</v>
      </c>
      <c r="T228" s="178">
        <f t="shared" si="80"/>
        <v>6</v>
      </c>
      <c r="U228" s="253">
        <f t="shared" si="81"/>
        <v>0.62866941193939041</v>
      </c>
      <c r="V228" s="385">
        <f t="shared" si="82"/>
        <v>49.248499762848105</v>
      </c>
      <c r="W228" s="404"/>
      <c r="X228" s="157">
        <f t="shared" si="83"/>
        <v>44775</v>
      </c>
      <c r="Y228" s="387">
        <f t="shared" si="84"/>
        <v>45.846821636483384</v>
      </c>
      <c r="Z228" s="387">
        <f t="shared" si="85"/>
        <v>47.433519779816514</v>
      </c>
      <c r="AA228" s="388">
        <f t="shared" si="86"/>
        <v>57.054059033908381</v>
      </c>
      <c r="AB228" s="199">
        <f t="shared" si="87"/>
        <v>44775</v>
      </c>
      <c r="AC228" s="119">
        <f>IF(OR(t&lt;Tnet,NoTnet),'2021'!Resal_s+('2021'!Salim-'2021'!Resal_s)*(1-EXP(('2021'!Tnet_s-t)/'2021'!Tau_j)),Resal_s+(Salim-Resal_s)*(1-EXP((Tnet_s-t)/Tau_j)))*Salcycl</f>
        <v>0.16862146912937756</v>
      </c>
      <c r="AD228" s="233">
        <f>(INDEX(Models!$BJ228:$BT228,,AH228)*(1-AF228)+INDEX(Models!$BJ228:$BT228,,AH228+1)*AF228-ERP_i)*AE228*Ramure*Pc/MaxiM</f>
        <v>1.8702705176060982E-3</v>
      </c>
      <c r="AE228" s="307">
        <f t="shared" si="88"/>
        <v>1</v>
      </c>
      <c r="AF228" s="179">
        <f t="shared" si="89"/>
        <v>0.62866941193939041</v>
      </c>
      <c r="AG228" s="837">
        <f t="shared" si="95"/>
        <v>0</v>
      </c>
      <c r="AH228" s="178">
        <f t="shared" si="90"/>
        <v>6</v>
      </c>
      <c r="AI228" s="227">
        <f t="shared" si="91"/>
        <v>0.62866941193939041</v>
      </c>
      <c r="AJ228" s="267" t="b">
        <f t="shared" si="92"/>
        <v>1</v>
      </c>
      <c r="AK228" s="267" t="b">
        <f t="shared" si="93"/>
        <v>0</v>
      </c>
      <c r="AL228" s="267"/>
      <c r="AM228" s="267"/>
      <c r="AN228" s="75"/>
    </row>
    <row r="229" spans="1:40" s="6" customFormat="1" ht="11.25" x14ac:dyDescent="0.2">
      <c r="A229" s="56">
        <f t="shared" si="94"/>
        <v>44776</v>
      </c>
      <c r="B229" s="618">
        <v>45.349000000000004</v>
      </c>
      <c r="C229" s="866"/>
      <c r="D229" s="395">
        <f t="shared" si="74"/>
        <v>46.919561078566353</v>
      </c>
      <c r="E229" s="387">
        <f t="shared" si="72"/>
        <v>54.959208544691236</v>
      </c>
      <c r="F229" s="387">
        <f t="shared" si="75"/>
        <v>55.058143883734616</v>
      </c>
      <c r="G229" s="110">
        <f t="shared" si="73"/>
        <v>0.92366703251276616</v>
      </c>
      <c r="H229" s="414" t="b">
        <f>Wh_hp&gt;='2021'!Maxi_hp</f>
        <v>0</v>
      </c>
      <c r="I229" s="382">
        <f>IF(H229,Wh_hp,'2021'!Maxi_hp)</f>
        <v>57.449799256977776</v>
      </c>
      <c r="J229" s="85">
        <f>IF(H229,An,'2021'!An_max)</f>
        <v>2019</v>
      </c>
      <c r="K229" s="199">
        <f t="shared" si="76"/>
        <v>44776</v>
      </c>
      <c r="L229" s="147">
        <f>IF(t&lt;Tvie,1-EXP((T0-t)*PertePVj)+'2021'!Pspv,1-EXP((T0-t)*PertePVj)+Pspv)</f>
        <v>3.3473481901002078E-2</v>
      </c>
      <c r="M229" s="870"/>
      <c r="N229" s="870"/>
      <c r="O229" s="48">
        <f>IF(t&lt;Tnet,'2021'!Resal+('2021'!Salim-'2021'!Resal)*(1-EXP(('2021'!Tnet-t)/('2021'!Tau_j))),Resal+(Salim-Resal)*(1-EXP((Tnet-t)/(Tau_j))))*Salcycl</f>
        <v>0.14628390180668774</v>
      </c>
      <c r="P229" s="341">
        <f>(INDEX(Models!$BJ229:$BT229,,T229)*(1-R229)+INDEX(Models!$BJ229:$BT229,,T229+1)*R229-ERP_i)*Q229*Ramure*Pc/MaxiM</f>
        <v>2.0162010273371681E-3</v>
      </c>
      <c r="Q229" s="307">
        <f t="shared" si="77"/>
        <v>1</v>
      </c>
      <c r="R229" s="179">
        <f t="shared" si="78"/>
        <v>0.63126008439120262</v>
      </c>
      <c r="S229" s="837">
        <f t="shared" si="79"/>
        <v>0</v>
      </c>
      <c r="T229" s="178">
        <f t="shared" si="80"/>
        <v>6</v>
      </c>
      <c r="U229" s="253">
        <f t="shared" si="81"/>
        <v>0.63126008439120262</v>
      </c>
      <c r="V229" s="385">
        <f t="shared" si="82"/>
        <v>49.085911417745173</v>
      </c>
      <c r="W229" s="404"/>
      <c r="X229" s="157">
        <f t="shared" si="83"/>
        <v>44776</v>
      </c>
      <c r="Y229" s="387">
        <f t="shared" si="84"/>
        <v>44.161386745384142</v>
      </c>
      <c r="Z229" s="387">
        <f t="shared" si="85"/>
        <v>45.690817497943542</v>
      </c>
      <c r="AA229" s="388">
        <f t="shared" si="86"/>
        <v>54.959208544691236</v>
      </c>
      <c r="AB229" s="199">
        <f t="shared" si="87"/>
        <v>44776</v>
      </c>
      <c r="AC229" s="119">
        <f>IF(OR(t&lt;Tnet,NoTnet),'2021'!Resal_s+('2021'!Salim-'2021'!Resal_s)*(1-EXP(('2021'!Tnet_s-t)/'2021'!Tau_j)),Resal_s+(Salim-Resal_s)*(1-EXP((Tnet_s-t)/Tau_j)))*Salcycl</f>
        <v>0.16864127581478736</v>
      </c>
      <c r="AD229" s="233">
        <f>(INDEX(Models!$BJ229:$BT229,,AH229)*(1-AF229)+INDEX(Models!$BJ229:$BT229,,AH229+1)*AF229-ERP_i)*AE229*Ramure*Pc/MaxiM</f>
        <v>2.0162010273371681E-3</v>
      </c>
      <c r="AE229" s="307">
        <f t="shared" si="88"/>
        <v>1</v>
      </c>
      <c r="AF229" s="179">
        <f t="shared" si="89"/>
        <v>0.63126008439120262</v>
      </c>
      <c r="AG229" s="837">
        <f t="shared" si="95"/>
        <v>0</v>
      </c>
      <c r="AH229" s="178">
        <f t="shared" si="90"/>
        <v>6</v>
      </c>
      <c r="AI229" s="227">
        <f t="shared" si="91"/>
        <v>0.63126008439120262</v>
      </c>
      <c r="AJ229" s="267" t="b">
        <f t="shared" si="92"/>
        <v>1</v>
      </c>
      <c r="AK229" s="267" t="b">
        <f t="shared" si="93"/>
        <v>0</v>
      </c>
      <c r="AL229" s="267"/>
      <c r="AM229" s="267"/>
      <c r="AN229" s="75"/>
    </row>
    <row r="230" spans="1:40" s="6" customFormat="1" ht="11.25" x14ac:dyDescent="0.2">
      <c r="A230" s="56">
        <f t="shared" si="94"/>
        <v>44777</v>
      </c>
      <c r="B230" s="618">
        <v>42.122999999999998</v>
      </c>
      <c r="C230" s="866"/>
      <c r="D230" s="395">
        <f t="shared" si="74"/>
        <v>43.582850028172558</v>
      </c>
      <c r="E230" s="387">
        <f t="shared" si="72"/>
        <v>51.056503708609817</v>
      </c>
      <c r="F230" s="387">
        <f t="shared" si="75"/>
        <v>51.145562026991442</v>
      </c>
      <c r="G230" s="110">
        <f t="shared" si="73"/>
        <v>0.86069373738590194</v>
      </c>
      <c r="H230" s="414" t="b">
        <f>Wh_hp&gt;='2021'!Maxi_hp</f>
        <v>0</v>
      </c>
      <c r="I230" s="382">
        <f>IF(H230,Wh_hp,'2021'!Maxi_hp)</f>
        <v>53.047340954372693</v>
      </c>
      <c r="J230" s="85">
        <f>IF(H230,An,'2021'!An_max)</f>
        <v>2019</v>
      </c>
      <c r="K230" s="199">
        <f t="shared" si="76"/>
        <v>44777</v>
      </c>
      <c r="L230" s="147">
        <f>IF(t&lt;Tvie,1-EXP((T0-t)*PertePVj)+'2021'!Pspv,1-EXP((T0-t)*PertePVj)+Pspv)</f>
        <v>3.3495974385082561E-2</v>
      </c>
      <c r="M230" s="870"/>
      <c r="N230" s="870"/>
      <c r="O230" s="48">
        <f>IF(t&lt;Tnet,'2021'!Resal+('2021'!Salim-'2021'!Resal)*(1-EXP(('2021'!Tnet-t)/('2021'!Tau_j))),Resal+(Salim-Resal)*(1-EXP((Tnet-t)/(Tau_j))))*Salcycl</f>
        <v>0.14638005224742714</v>
      </c>
      <c r="P230" s="341">
        <f>(INDEX(Models!$BJ230:$BT230,,T230)*(1-R230)+INDEX(Models!$BJ230:$BT230,,T230+1)*R230-ERP_i)*Q230*Ramure*Pc/MaxiM</f>
        <v>2.1724554766681154E-3</v>
      </c>
      <c r="Q230" s="307">
        <f t="shared" si="77"/>
        <v>1</v>
      </c>
      <c r="R230" s="179">
        <f t="shared" si="78"/>
        <v>0.63376656953975008</v>
      </c>
      <c r="S230" s="837">
        <f t="shared" si="79"/>
        <v>0</v>
      </c>
      <c r="T230" s="178">
        <f t="shared" si="80"/>
        <v>6</v>
      </c>
      <c r="U230" s="253">
        <f t="shared" si="81"/>
        <v>0.63376656953975008</v>
      </c>
      <c r="V230" s="385">
        <f t="shared" si="82"/>
        <v>48.919614183648413</v>
      </c>
      <c r="W230" s="404"/>
      <c r="X230" s="157">
        <f t="shared" si="83"/>
        <v>44777</v>
      </c>
      <c r="Y230" s="387">
        <f t="shared" si="84"/>
        <v>41.023557999529181</v>
      </c>
      <c r="Z230" s="387">
        <f t="shared" si="85"/>
        <v>42.44530484332833</v>
      </c>
      <c r="AA230" s="388">
        <f t="shared" si="86"/>
        <v>51.056503708609817</v>
      </c>
      <c r="AB230" s="199">
        <f t="shared" si="87"/>
        <v>44777</v>
      </c>
      <c r="AC230" s="119">
        <f>IF(OR(t&lt;Tnet,NoTnet),'2021'!Resal_s+('2021'!Salim-'2021'!Resal_s)*(1-EXP(('2021'!Tnet_s-t)/'2021'!Tau_j)),Resal_s+(Salim-Resal_s)*(1-EXP((Tnet_s-t)/Tau_j)))*Salcycl</f>
        <v>0.16866017529181798</v>
      </c>
      <c r="AD230" s="233">
        <f>(INDEX(Models!$BJ230:$BT230,,AH230)*(1-AF230)+INDEX(Models!$BJ230:$BT230,,AH230+1)*AF230-ERP_i)*AE230*Ramure*Pc/MaxiM</f>
        <v>2.1724554766681154E-3</v>
      </c>
      <c r="AE230" s="307">
        <f t="shared" si="88"/>
        <v>1</v>
      </c>
      <c r="AF230" s="179">
        <f t="shared" si="89"/>
        <v>0.63376656953975008</v>
      </c>
      <c r="AG230" s="837">
        <f t="shared" si="95"/>
        <v>0</v>
      </c>
      <c r="AH230" s="178">
        <f t="shared" si="90"/>
        <v>6</v>
      </c>
      <c r="AI230" s="227">
        <f t="shared" si="91"/>
        <v>0.63376656953975008</v>
      </c>
      <c r="AJ230" s="267" t="b">
        <f t="shared" si="92"/>
        <v>1</v>
      </c>
      <c r="AK230" s="267" t="b">
        <f t="shared" si="93"/>
        <v>0</v>
      </c>
      <c r="AL230" s="267"/>
      <c r="AM230" s="267"/>
      <c r="AN230" s="75"/>
    </row>
    <row r="231" spans="1:40" s="6" customFormat="1" ht="11.25" x14ac:dyDescent="0.2">
      <c r="A231" s="56">
        <f t="shared" si="94"/>
        <v>44778</v>
      </c>
      <c r="B231" s="618">
        <v>41.227000000000004</v>
      </c>
      <c r="C231" s="866"/>
      <c r="D231" s="395">
        <f t="shared" si="74"/>
        <v>42.656790186275551</v>
      </c>
      <c r="E231" s="387">
        <f t="shared" si="72"/>
        <v>49.977210245881174</v>
      </c>
      <c r="F231" s="387">
        <f t="shared" si="75"/>
        <v>50.068512079689377</v>
      </c>
      <c r="G231" s="110">
        <f t="shared" si="73"/>
        <v>0.84525523251245205</v>
      </c>
      <c r="H231" s="414" t="b">
        <f>Wh_hp&gt;='2021'!Maxi_hp</f>
        <v>0</v>
      </c>
      <c r="I231" s="382">
        <f>IF(H231,Wh_hp,'2021'!Maxi_hp)</f>
        <v>58.00298989323845</v>
      </c>
      <c r="J231" s="85">
        <f>IF(H231,An,'2021'!An_max)</f>
        <v>2020</v>
      </c>
      <c r="K231" s="199">
        <f t="shared" si="76"/>
        <v>44778</v>
      </c>
      <c r="L231" s="147">
        <f>IF(t&lt;Tvie,1-EXP((T0-t)*PertePVj)+'2021'!Pspv,1-EXP((T0-t)*PertePVj)+Pspv)</f>
        <v>3.351846634573008E-2</v>
      </c>
      <c r="M231" s="870"/>
      <c r="N231" s="870"/>
      <c r="O231" s="48">
        <f>IF(t&lt;Tnet,'2021'!Resal+('2021'!Salim-'2021'!Resal)*(1-EXP(('2021'!Tnet-t)/('2021'!Tau_j))),Resal+(Salim-Resal)*(1-EXP((Tnet-t)/(Tau_j))))*Salcycl</f>
        <v>0.14647516385148635</v>
      </c>
      <c r="P231" s="341">
        <f>(INDEX(Models!$BJ231:$BT231,,T231)*(1-R231)+INDEX(Models!$BJ231:$BT231,,T231+1)*R231-ERP_i)*Q231*Ramure*Pc/MaxiM</f>
        <v>2.3391882845389066E-3</v>
      </c>
      <c r="Q231" s="307">
        <f t="shared" si="77"/>
        <v>1</v>
      </c>
      <c r="R231" s="179">
        <f t="shared" si="78"/>
        <v>0.6361908907028494</v>
      </c>
      <c r="S231" s="837">
        <f t="shared" si="79"/>
        <v>0</v>
      </c>
      <c r="T231" s="178">
        <f t="shared" si="80"/>
        <v>6</v>
      </c>
      <c r="U231" s="253">
        <f t="shared" si="81"/>
        <v>0.6361908907028494</v>
      </c>
      <c r="V231" s="385">
        <f t="shared" si="82"/>
        <v>48.749420131801827</v>
      </c>
      <c r="W231" s="404"/>
      <c r="X231" s="157">
        <f t="shared" si="83"/>
        <v>44778</v>
      </c>
      <c r="Y231" s="387">
        <f t="shared" si="84"/>
        <v>40.154547864135246</v>
      </c>
      <c r="Z231" s="387">
        <f t="shared" si="85"/>
        <v>41.547144426351082</v>
      </c>
      <c r="AA231" s="388">
        <f t="shared" si="86"/>
        <v>49.977210245881174</v>
      </c>
      <c r="AB231" s="199">
        <f t="shared" si="87"/>
        <v>44778</v>
      </c>
      <c r="AC231" s="119">
        <f>IF(OR(t&lt;Tnet,NoTnet),'2021'!Resal_s+('2021'!Salim-'2021'!Resal_s)*(1-EXP(('2021'!Tnet_s-t)/'2021'!Tau_j)),Resal_s+(Salim-Resal_s)*(1-EXP((Tnet_s-t)/Tau_j)))*Salcycl</f>
        <v>0.1686781990842485</v>
      </c>
      <c r="AD231" s="233">
        <f>(INDEX(Models!$BJ231:$BT231,,AH231)*(1-AF231)+INDEX(Models!$BJ231:$BT231,,AH231+1)*AF231-ERP_i)*AE231*Ramure*Pc/MaxiM</f>
        <v>2.3391882845389066E-3</v>
      </c>
      <c r="AE231" s="307">
        <f t="shared" si="88"/>
        <v>1</v>
      </c>
      <c r="AF231" s="179">
        <f t="shared" si="89"/>
        <v>0.6361908907028494</v>
      </c>
      <c r="AG231" s="837">
        <f t="shared" si="95"/>
        <v>0</v>
      </c>
      <c r="AH231" s="178">
        <f t="shared" si="90"/>
        <v>6</v>
      </c>
      <c r="AI231" s="227">
        <f t="shared" si="91"/>
        <v>0.6361908907028494</v>
      </c>
      <c r="AJ231" s="267" t="b">
        <f t="shared" si="92"/>
        <v>1</v>
      </c>
      <c r="AK231" s="267" t="b">
        <f t="shared" si="93"/>
        <v>0</v>
      </c>
      <c r="AL231" s="267"/>
      <c r="AM231" s="267"/>
      <c r="AN231" s="75"/>
    </row>
    <row r="232" spans="1:40" s="6" customFormat="1" ht="11.25" x14ac:dyDescent="0.2">
      <c r="A232" s="56">
        <f t="shared" si="94"/>
        <v>44779</v>
      </c>
      <c r="B232" s="618">
        <v>43.703000000000003</v>
      </c>
      <c r="C232" s="866"/>
      <c r="D232" s="395">
        <f t="shared" si="74"/>
        <v>45.219712466806619</v>
      </c>
      <c r="E232" s="387">
        <f t="shared" si="72"/>
        <v>52.985802169690579</v>
      </c>
      <c r="F232" s="387">
        <f t="shared" si="75"/>
        <v>53.10028480945752</v>
      </c>
      <c r="G232" s="110">
        <f t="shared" si="73"/>
        <v>0.89937374129085879</v>
      </c>
      <c r="H232" s="414" t="b">
        <f>Wh_hp&gt;='2021'!Maxi_hp</f>
        <v>0</v>
      </c>
      <c r="I232" s="382">
        <f>IF(H232,Wh_hp,'2021'!Maxi_hp)</f>
        <v>57.070736386069342</v>
      </c>
      <c r="J232" s="85">
        <f>IF(H232,An,'2021'!An_max)</f>
        <v>2020</v>
      </c>
      <c r="K232" s="199">
        <f t="shared" si="76"/>
        <v>44779</v>
      </c>
      <c r="L232" s="147">
        <f>IF(t&lt;Tvie,1-EXP((T0-t)*PertePVj)+'2021'!Pspv,1-EXP((T0-t)*PertePVj)+Pspv)</f>
        <v>3.3540957782956959E-2</v>
      </c>
      <c r="M232" s="870"/>
      <c r="N232" s="870"/>
      <c r="O232" s="48">
        <f>IF(t&lt;Tnet,'2021'!Resal+('2021'!Salim-'2021'!Resal)*(1-EXP(('2021'!Tnet-t)/('2021'!Tau_j))),Resal+(Salim-Resal)*(1-EXP((Tnet-t)/(Tau_j))))*Salcycl</f>
        <v>0.14656925789313405</v>
      </c>
      <c r="P232" s="341">
        <f>(INDEX(Models!$BJ232:$BT232,,T232)*(1-R232)+INDEX(Models!$BJ232:$BT232,,T232+1)*R232-ERP_i)*Q232*Ramure*Pc/MaxiM</f>
        <v>2.5165617821706556E-3</v>
      </c>
      <c r="Q232" s="307">
        <f t="shared" si="77"/>
        <v>1</v>
      </c>
      <c r="R232" s="179">
        <f t="shared" si="78"/>
        <v>0.63853507493619355</v>
      </c>
      <c r="S232" s="837">
        <f t="shared" si="79"/>
        <v>0</v>
      </c>
      <c r="T232" s="178">
        <f t="shared" si="80"/>
        <v>6</v>
      </c>
      <c r="U232" s="253">
        <f t="shared" si="81"/>
        <v>0.63853507493619355</v>
      </c>
      <c r="V232" s="385">
        <f t="shared" si="82"/>
        <v>48.575141810192775</v>
      </c>
      <c r="W232" s="404"/>
      <c r="X232" s="157">
        <f t="shared" si="83"/>
        <v>44779</v>
      </c>
      <c r="Y232" s="387">
        <f t="shared" si="84"/>
        <v>42.569952512396618</v>
      </c>
      <c r="Z232" s="387">
        <f t="shared" si="85"/>
        <v>44.047342569988032</v>
      </c>
      <c r="AA232" s="388">
        <f t="shared" si="86"/>
        <v>52.985802169690579</v>
      </c>
      <c r="AB232" s="199">
        <f t="shared" si="87"/>
        <v>44779</v>
      </c>
      <c r="AC232" s="119">
        <f>IF(OR(t&lt;Tnet,NoTnet),'2021'!Resal_s+('2021'!Salim-'2021'!Resal_s)*(1-EXP(('2021'!Tnet_s-t)/'2021'!Tau_j)),Resal_s+(Salim-Resal_s)*(1-EXP((Tnet_s-t)/Tau_j)))*Salcycl</f>
        <v>0.16869537184841574</v>
      </c>
      <c r="AD232" s="233">
        <f>(INDEX(Models!$BJ232:$BT232,,AH232)*(1-AF232)+INDEX(Models!$BJ232:$BT232,,AH232+1)*AF232-ERP_i)*AE232*Ramure*Pc/MaxiM</f>
        <v>2.5165617821706556E-3</v>
      </c>
      <c r="AE232" s="307">
        <f t="shared" si="88"/>
        <v>1</v>
      </c>
      <c r="AF232" s="179">
        <f t="shared" si="89"/>
        <v>0.63853507493619355</v>
      </c>
      <c r="AG232" s="837">
        <f t="shared" si="95"/>
        <v>0</v>
      </c>
      <c r="AH232" s="178">
        <f t="shared" si="90"/>
        <v>6</v>
      </c>
      <c r="AI232" s="227">
        <f t="shared" si="91"/>
        <v>0.63853507493619355</v>
      </c>
      <c r="AJ232" s="267" t="b">
        <f t="shared" si="92"/>
        <v>1</v>
      </c>
      <c r="AK232" s="267" t="b">
        <f t="shared" si="93"/>
        <v>0</v>
      </c>
      <c r="AL232" s="267"/>
      <c r="AM232" s="267"/>
      <c r="AN232" s="75"/>
    </row>
    <row r="233" spans="1:40" s="6" customFormat="1" ht="11.25" x14ac:dyDescent="0.2">
      <c r="A233" s="56">
        <f t="shared" si="94"/>
        <v>44780</v>
      </c>
      <c r="B233" s="618">
        <v>46.533000000000001</v>
      </c>
      <c r="C233" s="866"/>
      <c r="D233" s="395">
        <f t="shared" si="74"/>
        <v>48.149048105900967</v>
      </c>
      <c r="E233" s="387">
        <f t="shared" ref="E233:E296" si="96">Wh_pvt/(1-Psa)</f>
        <v>56.424380320918139</v>
      </c>
      <c r="F233" s="387">
        <f t="shared" si="75"/>
        <v>56.568958989801914</v>
      </c>
      <c r="G233" s="110">
        <f t="shared" ref="G233:G296" si="97">+Wh_hp/MaxiM</f>
        <v>0.96132449373533357</v>
      </c>
      <c r="H233" s="414" t="b">
        <f>Wh_hp&gt;='2021'!Maxi_hp</f>
        <v>1</v>
      </c>
      <c r="I233" s="382">
        <f>IF(H233,Wh_hp,'2021'!Maxi_hp)</f>
        <v>56.568958989801914</v>
      </c>
      <c r="J233" s="85">
        <f>IF(H233,An,'2021'!An_max)</f>
        <v>2022</v>
      </c>
      <c r="K233" s="199">
        <f t="shared" si="76"/>
        <v>44780</v>
      </c>
      <c r="L233" s="147">
        <f>IF(t&lt;Tvie,1-EXP((T0-t)*PertePVj)+'2021'!Pspv,1-EXP((T0-t)*PertePVj)+Pspv)</f>
        <v>3.3563448696775078E-2</v>
      </c>
      <c r="M233" s="870"/>
      <c r="N233" s="870"/>
      <c r="O233" s="48">
        <f>IF(t&lt;Tnet,'2021'!Resal+('2021'!Salim-'2021'!Resal)*(1-EXP(('2021'!Tnet-t)/('2021'!Tau_j))),Resal+(Salim-Resal)*(1-EXP((Tnet-t)/(Tau_j))))*Salcycl</f>
        <v>0.14666234999747566</v>
      </c>
      <c r="P233" s="341">
        <f>(INDEX(Models!$BJ233:$BT233,,T233)*(1-R233)+INDEX(Models!$BJ233:$BT233,,T233+1)*R233-ERP_i)*Q233*Ramure*Pc/MaxiM</f>
        <v>2.7046759116383526E-3</v>
      </c>
      <c r="Q233" s="307">
        <f t="shared" si="77"/>
        <v>1</v>
      </c>
      <c r="R233" s="179">
        <f t="shared" si="78"/>
        <v>0.64080114836758251</v>
      </c>
      <c r="S233" s="837">
        <f t="shared" si="79"/>
        <v>0</v>
      </c>
      <c r="T233" s="178">
        <f t="shared" si="80"/>
        <v>6</v>
      </c>
      <c r="U233" s="253">
        <f t="shared" si="81"/>
        <v>0.64080114836758251</v>
      </c>
      <c r="V233" s="385">
        <f t="shared" si="82"/>
        <v>48.397866361843597</v>
      </c>
      <c r="W233" s="404"/>
      <c r="X233" s="157">
        <f t="shared" si="83"/>
        <v>44780</v>
      </c>
      <c r="Y233" s="387">
        <f t="shared" si="84"/>
        <v>45.330635440833923</v>
      </c>
      <c r="Z233" s="387">
        <f t="shared" si="85"/>
        <v>46.90492653625968</v>
      </c>
      <c r="AA233" s="388">
        <f t="shared" si="86"/>
        <v>56.424380320918139</v>
      </c>
      <c r="AB233" s="199">
        <f t="shared" si="87"/>
        <v>44780</v>
      </c>
      <c r="AC233" s="119">
        <f>IF(OR(t&lt;Tnet,NoTnet),'2021'!Resal_s+('2021'!Salim-'2021'!Resal_s)*(1-EXP(('2021'!Tnet_s-t)/'2021'!Tau_j)),Resal_s+(Salim-Resal_s)*(1-EXP((Tnet_s-t)/Tau_j)))*Salcycl</f>
        <v>0.16871171168413041</v>
      </c>
      <c r="AD233" s="233">
        <f>(INDEX(Models!$BJ233:$BT233,,AH233)*(1-AF233)+INDEX(Models!$BJ233:$BT233,,AH233+1)*AF233-ERP_i)*AE233*Ramure*Pc/MaxiM</f>
        <v>2.7046759116383526E-3</v>
      </c>
      <c r="AE233" s="307">
        <f t="shared" si="88"/>
        <v>1</v>
      </c>
      <c r="AF233" s="179">
        <f t="shared" si="89"/>
        <v>0.64080114836758251</v>
      </c>
      <c r="AG233" s="837">
        <f t="shared" si="95"/>
        <v>0</v>
      </c>
      <c r="AH233" s="178">
        <f t="shared" si="90"/>
        <v>6</v>
      </c>
      <c r="AI233" s="227">
        <f t="shared" si="91"/>
        <v>0.64080114836758251</v>
      </c>
      <c r="AJ233" s="267" t="b">
        <f t="shared" si="92"/>
        <v>1</v>
      </c>
      <c r="AK233" s="267" t="b">
        <f t="shared" si="93"/>
        <v>0</v>
      </c>
      <c r="AL233" s="267"/>
      <c r="AM233" s="267"/>
      <c r="AN233" s="75"/>
    </row>
    <row r="234" spans="1:40" s="6" customFormat="1" ht="11.25" x14ac:dyDescent="0.2">
      <c r="A234" s="56">
        <f t="shared" si="94"/>
        <v>44781</v>
      </c>
      <c r="B234" s="618">
        <v>47.182000000000002</v>
      </c>
      <c r="C234" s="866"/>
      <c r="D234" s="395">
        <f t="shared" si="74"/>
        <v>48.821723429225955</v>
      </c>
      <c r="E234" s="387">
        <f t="shared" si="96"/>
        <v>57.218843336491048</v>
      </c>
      <c r="F234" s="387">
        <f t="shared" si="75"/>
        <v>57.38042233361849</v>
      </c>
      <c r="G234" s="110">
        <f t="shared" si="97"/>
        <v>0.97841689953567379</v>
      </c>
      <c r="H234" s="414" t="b">
        <f>Wh_hp&gt;='2021'!Maxi_hp</f>
        <v>1</v>
      </c>
      <c r="I234" s="382">
        <f>IF(H234,Wh_hp,'2021'!Maxi_hp)</f>
        <v>57.38042233361849</v>
      </c>
      <c r="J234" s="85">
        <f>IF(H234,An,'2021'!An_max)</f>
        <v>2022</v>
      </c>
      <c r="K234" s="199">
        <f t="shared" si="76"/>
        <v>44781</v>
      </c>
      <c r="L234" s="147">
        <f>IF(t&lt;Tvie,1-EXP((T0-t)*PertePVj)+'2021'!Pspv,1-EXP((T0-t)*PertePVj)+Pspv)</f>
        <v>3.358593908719687E-2</v>
      </c>
      <c r="M234" s="870"/>
      <c r="N234" s="870"/>
      <c r="O234" s="48">
        <f>IF(t&lt;Tnet,'2021'!Resal+('2021'!Salim-'2021'!Resal)*(1-EXP(('2021'!Tnet-t)/('2021'!Tau_j))),Resal+(Salim-Resal)*(1-EXP((Tnet-t)/(Tau_j))))*Salcycl</f>
        <v>0.14675445041563556</v>
      </c>
      <c r="P234" s="341">
        <f>(INDEX(Models!$BJ234:$BT234,,T234)*(1-R234)+INDEX(Models!$BJ234:$BT234,,T234+1)*R234-ERP_i)*Q234*Ramure*Pc/MaxiM</f>
        <v>2.9051363099084149E-3</v>
      </c>
      <c r="Q234" s="307">
        <f t="shared" si="77"/>
        <v>1</v>
      </c>
      <c r="R234" s="179">
        <f t="shared" si="78"/>
        <v>0.64299113187367263</v>
      </c>
      <c r="S234" s="837">
        <f t="shared" si="79"/>
        <v>0</v>
      </c>
      <c r="T234" s="178">
        <f t="shared" si="80"/>
        <v>6</v>
      </c>
      <c r="U234" s="253">
        <f t="shared" si="81"/>
        <v>0.64299113187367263</v>
      </c>
      <c r="V234" s="385">
        <f t="shared" si="82"/>
        <v>48.218483341872016</v>
      </c>
      <c r="W234" s="404"/>
      <c r="X234" s="157">
        <f t="shared" si="83"/>
        <v>44781</v>
      </c>
      <c r="Y234" s="387">
        <f t="shared" si="84"/>
        <v>45.966969099469502</v>
      </c>
      <c r="Z234" s="387">
        <f t="shared" si="85"/>
        <v>47.564466369676481</v>
      </c>
      <c r="AA234" s="388">
        <f t="shared" si="86"/>
        <v>57.218843336491048</v>
      </c>
      <c r="AB234" s="199">
        <f t="shared" si="87"/>
        <v>44781</v>
      </c>
      <c r="AC234" s="119">
        <f>IF(OR(t&lt;Tnet,NoTnet),'2021'!Resal_s+('2021'!Salim-'2021'!Resal_s)*(1-EXP(('2021'!Tnet_s-t)/'2021'!Tau_j)),Resal_s+(Salim-Resal_s)*(1-EXP((Tnet_s-t)/Tau_j)))*Salcycl</f>
        <v>0.16872723046915436</v>
      </c>
      <c r="AD234" s="233">
        <f>(INDEX(Models!$BJ234:$BT234,,AH234)*(1-AF234)+INDEX(Models!$BJ234:$BT234,,AH234+1)*AF234-ERP_i)*AE234*Ramure*Pc/MaxiM</f>
        <v>2.9051363099084149E-3</v>
      </c>
      <c r="AE234" s="307">
        <f t="shared" si="88"/>
        <v>1</v>
      </c>
      <c r="AF234" s="179">
        <f t="shared" si="89"/>
        <v>0.64299113187367263</v>
      </c>
      <c r="AG234" s="837">
        <f t="shared" si="95"/>
        <v>0</v>
      </c>
      <c r="AH234" s="178">
        <f t="shared" si="90"/>
        <v>6</v>
      </c>
      <c r="AI234" s="227">
        <f t="shared" si="91"/>
        <v>0.64299113187367263</v>
      </c>
      <c r="AJ234" s="267" t="b">
        <f t="shared" si="92"/>
        <v>1</v>
      </c>
      <c r="AK234" s="267" t="b">
        <f t="shared" si="93"/>
        <v>0</v>
      </c>
      <c r="AL234" s="267"/>
      <c r="AM234" s="267"/>
      <c r="AN234" s="75"/>
    </row>
    <row r="235" spans="1:40" s="6" customFormat="1" ht="11.25" x14ac:dyDescent="0.2">
      <c r="A235" s="56">
        <f t="shared" si="94"/>
        <v>44782</v>
      </c>
      <c r="B235" s="618">
        <v>45.375</v>
      </c>
      <c r="C235" s="866"/>
      <c r="D235" s="395">
        <f t="shared" si="74"/>
        <v>46.953017140762256</v>
      </c>
      <c r="E235" s="387">
        <f t="shared" si="96"/>
        <v>55.034604729170177</v>
      </c>
      <c r="F235" s="387">
        <f t="shared" si="75"/>
        <v>55.192851300066749</v>
      </c>
      <c r="G235" s="110">
        <f t="shared" si="97"/>
        <v>0.94435412364054838</v>
      </c>
      <c r="H235" s="414" t="b">
        <f>Wh_hp&gt;='2021'!Maxi_hp</f>
        <v>0</v>
      </c>
      <c r="I235" s="382">
        <f>IF(H235,Wh_hp,'2021'!Maxi_hp)</f>
        <v>56.476341657102651</v>
      </c>
      <c r="J235" s="85">
        <f>IF(H235,An,'2021'!An_max)</f>
        <v>2021</v>
      </c>
      <c r="K235" s="199">
        <f t="shared" si="76"/>
        <v>44782</v>
      </c>
      <c r="L235" s="147">
        <f>IF(t&lt;Tvie,1-EXP((T0-t)*PertePVj)+'2021'!Pspv,1-EXP((T0-t)*PertePVj)+Pspv)</f>
        <v>3.3608428954234326E-2</v>
      </c>
      <c r="M235" s="870"/>
      <c r="N235" s="870"/>
      <c r="O235" s="48">
        <f>IF(t&lt;Tnet,'2021'!Resal+('2021'!Salim-'2021'!Resal)*(1-EXP(('2021'!Tnet-t)/('2021'!Tau_j))),Resal+(Salim-Resal)*(1-EXP((Tnet-t)/(Tau_j))))*Salcycl</f>
        <v>0.14684556431681631</v>
      </c>
      <c r="P235" s="341">
        <f>(INDEX(Models!$BJ235:$BT235,,T235)*(1-R235)+INDEX(Models!$BJ235:$BT235,,T235+1)*R235-ERP_i)*Q235*Ramure*Pc/MaxiM</f>
        <v>3.113634010250207E-3</v>
      </c>
      <c r="Q235" s="307">
        <f t="shared" si="77"/>
        <v>1</v>
      </c>
      <c r="R235" s="179">
        <f t="shared" si="78"/>
        <v>0.64510703708975226</v>
      </c>
      <c r="S235" s="837">
        <f t="shared" si="79"/>
        <v>0</v>
      </c>
      <c r="T235" s="178">
        <f t="shared" si="80"/>
        <v>6</v>
      </c>
      <c r="U235" s="253">
        <f t="shared" si="81"/>
        <v>0.64510703708975226</v>
      </c>
      <c r="V235" s="385">
        <f t="shared" si="82"/>
        <v>48.036835772339437</v>
      </c>
      <c r="W235" s="404"/>
      <c r="X235" s="157">
        <f t="shared" si="83"/>
        <v>44782</v>
      </c>
      <c r="Y235" s="387">
        <f t="shared" si="84"/>
        <v>44.210442046094137</v>
      </c>
      <c r="Z235" s="387">
        <f t="shared" si="85"/>
        <v>45.747959078588082</v>
      </c>
      <c r="AA235" s="388">
        <f t="shared" si="86"/>
        <v>55.034604729170177</v>
      </c>
      <c r="AB235" s="199">
        <f t="shared" si="87"/>
        <v>44782</v>
      </c>
      <c r="AC235" s="119">
        <f>IF(OR(t&lt;Tnet,NoTnet),'2021'!Resal_s+('2021'!Salim-'2021'!Resal_s)*(1-EXP(('2021'!Tnet_s-t)/'2021'!Tau_j)),Resal_s+(Salim-Resal_s)*(1-EXP((Tnet_s-t)/Tau_j)))*Salcycl</f>
        <v>0.16874193421180084</v>
      </c>
      <c r="AD235" s="233">
        <f>(INDEX(Models!$BJ235:$BT235,,AH235)*(1-AF235)+INDEX(Models!$BJ235:$BT235,,AH235+1)*AF235-ERP_i)*AE235*Ramure*Pc/MaxiM</f>
        <v>3.113634010250207E-3</v>
      </c>
      <c r="AE235" s="307">
        <f t="shared" si="88"/>
        <v>1</v>
      </c>
      <c r="AF235" s="179">
        <f t="shared" si="89"/>
        <v>0.64510703708975226</v>
      </c>
      <c r="AG235" s="837">
        <f t="shared" si="95"/>
        <v>0</v>
      </c>
      <c r="AH235" s="178">
        <f t="shared" si="90"/>
        <v>6</v>
      </c>
      <c r="AI235" s="227">
        <f t="shared" si="91"/>
        <v>0.64510703708975226</v>
      </c>
      <c r="AJ235" s="267" t="b">
        <f t="shared" si="92"/>
        <v>1</v>
      </c>
      <c r="AK235" s="267" t="b">
        <f t="shared" si="93"/>
        <v>0</v>
      </c>
      <c r="AL235" s="267"/>
      <c r="AM235" s="267"/>
      <c r="AN235" s="75"/>
    </row>
    <row r="236" spans="1:40" s="6" customFormat="1" ht="11.25" x14ac:dyDescent="0.2">
      <c r="A236" s="56">
        <f t="shared" si="94"/>
        <v>44783</v>
      </c>
      <c r="B236" s="618">
        <v>43.692</v>
      </c>
      <c r="C236" s="866"/>
      <c r="D236" s="395">
        <f t="shared" si="74"/>
        <v>45.212539212289087</v>
      </c>
      <c r="E236" s="387">
        <f t="shared" si="96"/>
        <v>53.000153438834154</v>
      </c>
      <c r="F236" s="387">
        <f t="shared" si="75"/>
        <v>53.155188356658869</v>
      </c>
      <c r="G236" s="110">
        <f t="shared" si="97"/>
        <v>0.91267597080076202</v>
      </c>
      <c r="H236" s="414" t="b">
        <f>Wh_hp&gt;='2021'!Maxi_hp</f>
        <v>1</v>
      </c>
      <c r="I236" s="382">
        <f>IF(H236,Wh_hp,'2021'!Maxi_hp)</f>
        <v>53.155188356658869</v>
      </c>
      <c r="J236" s="85">
        <f>IF(H236,An,'2021'!An_max)</f>
        <v>2022</v>
      </c>
      <c r="K236" s="199">
        <f t="shared" si="76"/>
        <v>44783</v>
      </c>
      <c r="L236" s="147">
        <f>IF(t&lt;Tvie,1-EXP((T0-t)*PertePVj)+'2021'!Pspv,1-EXP((T0-t)*PertePVj)+Pspv)</f>
        <v>3.363091829789977E-2</v>
      </c>
      <c r="M236" s="870"/>
      <c r="N236" s="870"/>
      <c r="O236" s="48">
        <f>IF(t&lt;Tnet,'2021'!Resal+('2021'!Salim-'2021'!Resal)*(1-EXP(('2021'!Tnet-t)/('2021'!Tau_j))),Resal+(Salim-Resal)*(1-EXP((Tnet-t)/(Tau_j))))*Salcycl</f>
        <v>0.14693569209252411</v>
      </c>
      <c r="P236" s="341">
        <f>(INDEX(Models!$BJ236:$BT236,,T236)*(1-R236)+INDEX(Models!$BJ236:$BT236,,T236+1)*R236-ERP_i)*Q236*Ramure*Pc/MaxiM</f>
        <v>3.3302944552673426E-3</v>
      </c>
      <c r="Q236" s="307">
        <f t="shared" si="77"/>
        <v>1</v>
      </c>
      <c r="R236" s="179">
        <f t="shared" si="78"/>
        <v>0.64715086274200828</v>
      </c>
      <c r="S236" s="837">
        <f t="shared" si="79"/>
        <v>0</v>
      </c>
      <c r="T236" s="178">
        <f t="shared" si="80"/>
        <v>6</v>
      </c>
      <c r="U236" s="253">
        <f t="shared" si="81"/>
        <v>0.64715086274200828</v>
      </c>
      <c r="V236" s="385">
        <f t="shared" si="82"/>
        <v>47.85255166489307</v>
      </c>
      <c r="W236" s="404"/>
      <c r="X236" s="157">
        <f t="shared" si="83"/>
        <v>44783</v>
      </c>
      <c r="Y236" s="387">
        <f t="shared" si="84"/>
        <v>42.574422850239188</v>
      </c>
      <c r="Z236" s="387">
        <f t="shared" si="85"/>
        <v>44.056068904078906</v>
      </c>
      <c r="AA236" s="388">
        <f t="shared" si="86"/>
        <v>53.000153438834154</v>
      </c>
      <c r="AB236" s="199">
        <f t="shared" si="87"/>
        <v>44783</v>
      </c>
      <c r="AC236" s="119">
        <f>IF(OR(t&lt;Tnet,NoTnet),'2021'!Resal_s+('2021'!Salim-'2021'!Resal_s)*(1-EXP(('2021'!Tnet_s-t)/'2021'!Tau_j)),Resal_s+(Salim-Resal_s)*(1-EXP((Tnet_s-t)/Tau_j)))*Salcycl</f>
        <v>0.16875582341619713</v>
      </c>
      <c r="AD236" s="233">
        <f>(INDEX(Models!$BJ236:$BT236,,AH236)*(1-AF236)+INDEX(Models!$BJ236:$BT236,,AH236+1)*AF236-ERP_i)*AE236*Ramure*Pc/MaxiM</f>
        <v>3.3302944552673426E-3</v>
      </c>
      <c r="AE236" s="307">
        <f t="shared" si="88"/>
        <v>1</v>
      </c>
      <c r="AF236" s="179">
        <f t="shared" si="89"/>
        <v>0.64715086274200828</v>
      </c>
      <c r="AG236" s="837">
        <f t="shared" si="95"/>
        <v>0</v>
      </c>
      <c r="AH236" s="178">
        <f t="shared" si="90"/>
        <v>6</v>
      </c>
      <c r="AI236" s="227">
        <f t="shared" si="91"/>
        <v>0.64715086274200828</v>
      </c>
      <c r="AJ236" s="267" t="b">
        <f t="shared" si="92"/>
        <v>1</v>
      </c>
      <c r="AK236" s="267" t="b">
        <f t="shared" si="93"/>
        <v>0</v>
      </c>
      <c r="AL236" s="267"/>
      <c r="AM236" s="267"/>
      <c r="AN236" s="75"/>
    </row>
    <row r="237" spans="1:40" s="6" customFormat="1" ht="11.25" x14ac:dyDescent="0.2">
      <c r="A237" s="56">
        <f t="shared" si="94"/>
        <v>44784</v>
      </c>
      <c r="B237" s="618">
        <v>39.579000000000001</v>
      </c>
      <c r="C237" s="866"/>
      <c r="D237" s="395">
        <f t="shared" si="74"/>
        <v>40.957354526360277</v>
      </c>
      <c r="E237" s="387">
        <f t="shared" si="96"/>
        <v>48.017053662220142</v>
      </c>
      <c r="F237" s="387">
        <f t="shared" si="75"/>
        <v>48.146743143936959</v>
      </c>
      <c r="G237" s="110">
        <f t="shared" si="97"/>
        <v>0.82963579984845737</v>
      </c>
      <c r="H237" s="414" t="b">
        <f>Wh_hp&gt;='2021'!Maxi_hp</f>
        <v>0</v>
      </c>
      <c r="I237" s="382">
        <f>IF(H237,Wh_hp,'2021'!Maxi_hp)</f>
        <v>51.445554600155653</v>
      </c>
      <c r="J237" s="85">
        <f>IF(H237,An,'2021'!An_max)</f>
        <v>2021</v>
      </c>
      <c r="K237" s="199">
        <f t="shared" si="76"/>
        <v>44784</v>
      </c>
      <c r="L237" s="147">
        <f>IF(t&lt;Tvie,1-EXP((T0-t)*PertePVj)+'2021'!Pspv,1-EXP((T0-t)*PertePVj)+Pspv)</f>
        <v>3.3653407118205414E-2</v>
      </c>
      <c r="M237" s="870"/>
      <c r="N237" s="870"/>
      <c r="O237" s="48">
        <f>IF(t&lt;Tnet,'2021'!Resal+('2021'!Salim-'2021'!Resal)*(1-EXP(('2021'!Tnet-t)/('2021'!Tau_j))),Resal+(Salim-Resal)*(1-EXP((Tnet-t)/(Tau_j))))*Salcycl</f>
        <v>0.14702482966826527</v>
      </c>
      <c r="P237" s="341">
        <f>(INDEX(Models!$BJ237:$BT237,,T237)*(1-R237)+INDEX(Models!$BJ237:$BT237,,T237+1)*R237-ERP_i)*Q237*Ramure*Pc/MaxiM</f>
        <v>3.5552545274550734E-3</v>
      </c>
      <c r="Q237" s="307">
        <f t="shared" si="77"/>
        <v>1</v>
      </c>
      <c r="R237" s="179">
        <f t="shared" si="78"/>
        <v>0.64912459129088784</v>
      </c>
      <c r="S237" s="837">
        <f t="shared" si="79"/>
        <v>0</v>
      </c>
      <c r="T237" s="178">
        <f t="shared" si="80"/>
        <v>6</v>
      </c>
      <c r="U237" s="253">
        <f t="shared" si="81"/>
        <v>0.64912459129088784</v>
      </c>
      <c r="V237" s="385">
        <f t="shared" si="82"/>
        <v>47.665259428798251</v>
      </c>
      <c r="W237" s="404"/>
      <c r="X237" s="157">
        <f t="shared" si="83"/>
        <v>44784</v>
      </c>
      <c r="Y237" s="387">
        <f t="shared" si="84"/>
        <v>38.570051169435473</v>
      </c>
      <c r="Z237" s="387">
        <f t="shared" si="85"/>
        <v>39.913268648688074</v>
      </c>
      <c r="AA237" s="388">
        <f t="shared" si="86"/>
        <v>48.017053662220142</v>
      </c>
      <c r="AB237" s="199">
        <f t="shared" si="87"/>
        <v>44784</v>
      </c>
      <c r="AC237" s="119">
        <f>IF(OR(t&lt;Tnet,NoTnet),'2021'!Resal_s+('2021'!Salim-'2021'!Resal_s)*(1-EXP(('2021'!Tnet_s-t)/'2021'!Tau_j)),Resal_s+(Salim-Resal_s)*(1-EXP((Tnet_s-t)/Tau_j)))*Salcycl</f>
        <v>0.16876889345478796</v>
      </c>
      <c r="AD237" s="233">
        <f>(INDEX(Models!$BJ237:$BT237,,AH237)*(1-AF237)+INDEX(Models!$BJ237:$BT237,,AH237+1)*AF237-ERP_i)*AE237*Ramure*Pc/MaxiM</f>
        <v>3.5552545274550734E-3</v>
      </c>
      <c r="AE237" s="307">
        <f t="shared" si="88"/>
        <v>1</v>
      </c>
      <c r="AF237" s="179">
        <f t="shared" si="89"/>
        <v>0.64912459129088784</v>
      </c>
      <c r="AG237" s="837">
        <f t="shared" si="95"/>
        <v>0</v>
      </c>
      <c r="AH237" s="178">
        <f t="shared" si="90"/>
        <v>6</v>
      </c>
      <c r="AI237" s="227">
        <f t="shared" si="91"/>
        <v>0.64912459129088784</v>
      </c>
      <c r="AJ237" s="267" t="b">
        <f t="shared" si="92"/>
        <v>1</v>
      </c>
      <c r="AK237" s="267" t="b">
        <f t="shared" si="93"/>
        <v>0</v>
      </c>
      <c r="AL237" s="267"/>
      <c r="AM237" s="267"/>
      <c r="AN237" s="75"/>
    </row>
    <row r="238" spans="1:40" s="6" customFormat="1" ht="11.25" x14ac:dyDescent="0.2">
      <c r="A238" s="56">
        <f t="shared" si="94"/>
        <v>44785</v>
      </c>
      <c r="B238" s="618">
        <v>42.08</v>
      </c>
      <c r="C238" s="866"/>
      <c r="D238" s="395">
        <f t="shared" si="74"/>
        <v>43.54646624289569</v>
      </c>
      <c r="E238" s="387">
        <f t="shared" si="96"/>
        <v>51.057718842963233</v>
      </c>
      <c r="F238" s="387">
        <f t="shared" si="75"/>
        <v>51.220274033581461</v>
      </c>
      <c r="G238" s="110">
        <f t="shared" si="97"/>
        <v>0.8858220728474695</v>
      </c>
      <c r="H238" s="414" t="b">
        <f>Wh_hp&gt;='2021'!Maxi_hp</f>
        <v>1</v>
      </c>
      <c r="I238" s="382">
        <f>IF(H238,Wh_hp,'2021'!Maxi_hp)</f>
        <v>51.220274033581461</v>
      </c>
      <c r="J238" s="85">
        <f>IF(H238,An,'2021'!An_max)</f>
        <v>2022</v>
      </c>
      <c r="K238" s="199">
        <f t="shared" si="76"/>
        <v>44785</v>
      </c>
      <c r="L238" s="147">
        <f>IF(t&lt;Tvie,1-EXP((T0-t)*PertePVj)+'2021'!Pspv,1-EXP((T0-t)*PertePVj)+Pspv)</f>
        <v>3.3675895415163248E-2</v>
      </c>
      <c r="M238" s="870"/>
      <c r="N238" s="870"/>
      <c r="O238" s="48">
        <f>IF(t&lt;Tnet,'2021'!Resal+('2021'!Salim-'2021'!Resal)*(1-EXP(('2021'!Tnet-t)/('2021'!Tau_j))),Resal+(Salim-Resal)*(1-EXP((Tnet-t)/(Tau_j))))*Salcycl</f>
        <v>0.14711296881808777</v>
      </c>
      <c r="P238" s="341">
        <f>(INDEX(Models!$BJ238:$BT238,,T238)*(1-R238)+INDEX(Models!$BJ238:$BT238,,T238+1)*R238-ERP_i)*Q238*Ramure*Pc/MaxiM</f>
        <v>3.7886634482392242E-3</v>
      </c>
      <c r="Q238" s="307">
        <f t="shared" si="77"/>
        <v>1</v>
      </c>
      <c r="R238" s="179">
        <f t="shared" si="78"/>
        <v>0.65103018587348027</v>
      </c>
      <c r="S238" s="837">
        <f t="shared" si="79"/>
        <v>0</v>
      </c>
      <c r="T238" s="178">
        <f t="shared" si="80"/>
        <v>6</v>
      </c>
      <c r="U238" s="253">
        <f t="shared" si="81"/>
        <v>0.65103018587348027</v>
      </c>
      <c r="V238" s="385">
        <f t="shared" si="82"/>
        <v>47.474587845492387</v>
      </c>
      <c r="W238" s="404"/>
      <c r="X238" s="157">
        <f t="shared" si="83"/>
        <v>44785</v>
      </c>
      <c r="Y238" s="387">
        <f t="shared" si="84"/>
        <v>41.010929423017735</v>
      </c>
      <c r="Z238" s="387">
        <f t="shared" si="85"/>
        <v>42.440139109059402</v>
      </c>
      <c r="AA238" s="388">
        <f t="shared" si="86"/>
        <v>51.057718842963233</v>
      </c>
      <c r="AB238" s="199">
        <f t="shared" si="87"/>
        <v>44785</v>
      </c>
      <c r="AC238" s="119">
        <f>IF(OR(t&lt;Tnet,NoTnet),'2021'!Resal_s+('2021'!Salim-'2021'!Resal_s)*(1-EXP(('2021'!Tnet_s-t)/'2021'!Tau_j)),Resal_s+(Salim-Resal_s)*(1-EXP((Tnet_s-t)/Tau_j)))*Salcycl</f>
        <v>0.16878113494276298</v>
      </c>
      <c r="AD238" s="233">
        <f>(INDEX(Models!$BJ238:$BT238,,AH238)*(1-AF238)+INDEX(Models!$BJ238:$BT238,,AH238+1)*AF238-ERP_i)*AE238*Ramure*Pc/MaxiM</f>
        <v>3.7886634482392242E-3</v>
      </c>
      <c r="AE238" s="307">
        <f t="shared" si="88"/>
        <v>1</v>
      </c>
      <c r="AF238" s="179">
        <f t="shared" si="89"/>
        <v>0.65103018587348027</v>
      </c>
      <c r="AG238" s="837">
        <f t="shared" si="95"/>
        <v>0</v>
      </c>
      <c r="AH238" s="178">
        <f t="shared" si="90"/>
        <v>6</v>
      </c>
      <c r="AI238" s="227">
        <f t="shared" si="91"/>
        <v>0.65103018587348027</v>
      </c>
      <c r="AJ238" s="267" t="b">
        <f t="shared" si="92"/>
        <v>1</v>
      </c>
      <c r="AK238" s="267" t="b">
        <f t="shared" si="93"/>
        <v>0</v>
      </c>
      <c r="AL238" s="267"/>
      <c r="AM238" s="267"/>
      <c r="AN238" s="75"/>
    </row>
    <row r="239" spans="1:40" s="6" customFormat="1" ht="11.25" x14ac:dyDescent="0.2">
      <c r="A239" s="56">
        <f t="shared" si="94"/>
        <v>44786</v>
      </c>
      <c r="B239" s="618">
        <v>28.382000000000001</v>
      </c>
      <c r="C239" s="866"/>
      <c r="D239" s="395">
        <f t="shared" si="74"/>
        <v>29.371781549595575</v>
      </c>
      <c r="E239" s="387">
        <f t="shared" si="96"/>
        <v>34.441586429261406</v>
      </c>
      <c r="F239" s="387">
        <f t="shared" si="75"/>
        <v>34.501243522104168</v>
      </c>
      <c r="G239" s="110">
        <f t="shared" si="97"/>
        <v>0.5989099974308687</v>
      </c>
      <c r="H239" s="414" t="b">
        <f>Wh_hp&gt;='2021'!Maxi_hp</f>
        <v>0</v>
      </c>
      <c r="I239" s="382">
        <f>IF(H239,Wh_hp,'2021'!Maxi_hp)</f>
        <v>52.158181392668176</v>
      </c>
      <c r="J239" s="85">
        <f>IF(H239,An,'2021'!An_max)</f>
        <v>2019</v>
      </c>
      <c r="K239" s="199">
        <f t="shared" si="76"/>
        <v>44786</v>
      </c>
      <c r="L239" s="147">
        <f>IF(t&lt;Tvie,1-EXP((T0-t)*PertePVj)+'2021'!Pspv,1-EXP((T0-t)*PertePVj)+Pspv)</f>
        <v>3.3698383188785597E-2</v>
      </c>
      <c r="M239" s="870"/>
      <c r="N239" s="870"/>
      <c r="O239" s="48">
        <f>IF(t&lt;Tnet,'2021'!Resal+('2021'!Salim-'2021'!Resal)*(1-EXP(('2021'!Tnet-t)/('2021'!Tau_j))),Resal+(Salim-Resal)*(1-EXP((Tnet-t)/(Tau_j))))*Salcycl</f>
        <v>0.1472000974774654</v>
      </c>
      <c r="P239" s="341">
        <f>(INDEX(Models!$BJ239:$BT239,,T239)*(1-R239)+INDEX(Models!$BJ239:$BT239,,T239+1)*R239-ERP_i)*Q239*Ramure*Pc/MaxiM</f>
        <v>4.0306837287671692E-3</v>
      </c>
      <c r="Q239" s="307">
        <f t="shared" si="77"/>
        <v>1</v>
      </c>
      <c r="R239" s="179">
        <f t="shared" si="78"/>
        <v>0.65286958753232138</v>
      </c>
      <c r="S239" s="837">
        <f t="shared" si="79"/>
        <v>0</v>
      </c>
      <c r="T239" s="178">
        <f t="shared" si="80"/>
        <v>6</v>
      </c>
      <c r="U239" s="253">
        <f t="shared" si="81"/>
        <v>0.65286958753232138</v>
      </c>
      <c r="V239" s="385">
        <f t="shared" si="82"/>
        <v>47.280166037672664</v>
      </c>
      <c r="W239" s="404"/>
      <c r="X239" s="157">
        <f t="shared" si="83"/>
        <v>44786</v>
      </c>
      <c r="Y239" s="387">
        <f t="shared" si="84"/>
        <v>27.663382966073591</v>
      </c>
      <c r="Z239" s="387">
        <f t="shared" si="85"/>
        <v>28.628103777123417</v>
      </c>
      <c r="AA239" s="388">
        <f t="shared" si="86"/>
        <v>34.441586429261406</v>
      </c>
      <c r="AB239" s="199">
        <f t="shared" si="87"/>
        <v>44786</v>
      </c>
      <c r="AC239" s="119">
        <f>IF(OR(t&lt;Tnet,NoTnet),'2021'!Resal_s+('2021'!Salim-'2021'!Resal_s)*(1-EXP(('2021'!Tnet_s-t)/'2021'!Tau_j)),Resal_s+(Salim-Resal_s)*(1-EXP((Tnet_s-t)/Tau_j)))*Salcycl</f>
        <v>0.1687925341092559</v>
      </c>
      <c r="AD239" s="233">
        <f>(INDEX(Models!$BJ239:$BT239,,AH239)*(1-AF239)+INDEX(Models!$BJ239:$BT239,,AH239+1)*AF239-ERP_i)*AE239*Ramure*Pc/MaxiM</f>
        <v>4.0306837287671692E-3</v>
      </c>
      <c r="AE239" s="307">
        <f t="shared" si="88"/>
        <v>1</v>
      </c>
      <c r="AF239" s="179">
        <f t="shared" si="89"/>
        <v>0.65286958753232138</v>
      </c>
      <c r="AG239" s="837">
        <f t="shared" si="95"/>
        <v>0</v>
      </c>
      <c r="AH239" s="178">
        <f t="shared" si="90"/>
        <v>6</v>
      </c>
      <c r="AI239" s="227">
        <f t="shared" si="91"/>
        <v>0.65286958753232138</v>
      </c>
      <c r="AJ239" s="267" t="b">
        <f t="shared" si="92"/>
        <v>1</v>
      </c>
      <c r="AK239" s="267" t="b">
        <f t="shared" si="93"/>
        <v>0</v>
      </c>
      <c r="AL239" s="267"/>
      <c r="AM239" s="267"/>
      <c r="AN239" s="75"/>
    </row>
    <row r="240" spans="1:40" s="6" customFormat="1" ht="11.25" x14ac:dyDescent="0.2">
      <c r="A240" s="56">
        <f t="shared" si="94"/>
        <v>44787</v>
      </c>
      <c r="B240" s="618">
        <v>30.538</v>
      </c>
      <c r="C240" s="866"/>
      <c r="D240" s="395">
        <f t="shared" si="74"/>
        <v>31.603704422216694</v>
      </c>
      <c r="E240" s="387">
        <f t="shared" si="96"/>
        <v>37.062499075395806</v>
      </c>
      <c r="F240" s="387">
        <f t="shared" si="75"/>
        <v>37.141638653917397</v>
      </c>
      <c r="G240" s="110">
        <f t="shared" si="97"/>
        <v>0.64722025673509609</v>
      </c>
      <c r="H240" s="414" t="b">
        <f>Wh_hp&gt;='2021'!Maxi_hp</f>
        <v>0</v>
      </c>
      <c r="I240" s="382">
        <f>IF(H240,Wh_hp,'2021'!Maxi_hp)</f>
        <v>56.516623137013951</v>
      </c>
      <c r="J240" s="85">
        <f>IF(H240,An,'2021'!An_max)</f>
        <v>2019</v>
      </c>
      <c r="K240" s="199">
        <f t="shared" si="76"/>
        <v>44787</v>
      </c>
      <c r="L240" s="147">
        <f>IF(t&lt;Tvie,1-EXP((T0-t)*PertePVj)+'2021'!Pspv,1-EXP((T0-t)*PertePVj)+Pspv)</f>
        <v>3.372087043908456E-2</v>
      </c>
      <c r="M240" s="870"/>
      <c r="N240" s="870"/>
      <c r="O240" s="48">
        <f>IF(t&lt;Tnet,'2021'!Resal+('2021'!Salim-'2021'!Resal)*(1-EXP(('2021'!Tnet-t)/('2021'!Tau_j))),Resal+(Salim-Resal)*(1-EXP((Tnet-t)/(Tau_j))))*Salcycl</f>
        <v>0.14728620005020032</v>
      </c>
      <c r="P240" s="341">
        <f>(INDEX(Models!$BJ240:$BT240,,T240)*(1-R240)+INDEX(Models!$BJ240:$BT240,,T240+1)*R240-ERP_i)*Q240*Ramure*Pc/MaxiM</f>
        <v>4.2784168420313459E-3</v>
      </c>
      <c r="Q240" s="307">
        <f t="shared" si="77"/>
        <v>1</v>
      </c>
      <c r="R240" s="179">
        <f t="shared" si="78"/>
        <v>0.6546447127176499</v>
      </c>
      <c r="S240" s="837">
        <f t="shared" si="79"/>
        <v>0</v>
      </c>
      <c r="T240" s="178">
        <f t="shared" si="80"/>
        <v>6</v>
      </c>
      <c r="U240" s="253">
        <f t="shared" si="81"/>
        <v>0.6546447127176499</v>
      </c>
      <c r="V240" s="385">
        <f t="shared" si="82"/>
        <v>47.081768863933142</v>
      </c>
      <c r="W240" s="404"/>
      <c r="X240" s="157">
        <f t="shared" si="83"/>
        <v>44787</v>
      </c>
      <c r="Y240" s="387">
        <f t="shared" si="84"/>
        <v>29.767422262103025</v>
      </c>
      <c r="Z240" s="387">
        <f t="shared" si="85"/>
        <v>30.806235332465029</v>
      </c>
      <c r="AA240" s="388">
        <f t="shared" si="86"/>
        <v>37.062499075395806</v>
      </c>
      <c r="AB240" s="199">
        <f t="shared" si="87"/>
        <v>44787</v>
      </c>
      <c r="AC240" s="119">
        <f>IF(OR(t&lt;Tnet,NoTnet),'2021'!Resal_s+('2021'!Salim-'2021'!Resal_s)*(1-EXP(('2021'!Tnet_s-t)/'2021'!Tau_j)),Resal_s+(Salim-Resal_s)*(1-EXP((Tnet_s-t)/Tau_j)))*Salcycl</f>
        <v>0.16880307316038601</v>
      </c>
      <c r="AD240" s="233">
        <f>(INDEX(Models!$BJ240:$BT240,,AH240)*(1-AF240)+INDEX(Models!$BJ240:$BT240,,AH240+1)*AF240-ERP_i)*AE240*Ramure*Pc/MaxiM</f>
        <v>4.2784168420313459E-3</v>
      </c>
      <c r="AE240" s="307">
        <f t="shared" si="88"/>
        <v>1</v>
      </c>
      <c r="AF240" s="179">
        <f t="shared" si="89"/>
        <v>0.6546447127176499</v>
      </c>
      <c r="AG240" s="837">
        <f t="shared" si="95"/>
        <v>0</v>
      </c>
      <c r="AH240" s="178">
        <f t="shared" si="90"/>
        <v>6</v>
      </c>
      <c r="AI240" s="227">
        <f t="shared" si="91"/>
        <v>0.6546447127176499</v>
      </c>
      <c r="AJ240" s="267" t="b">
        <f t="shared" si="92"/>
        <v>1</v>
      </c>
      <c r="AK240" s="267" t="b">
        <f t="shared" si="93"/>
        <v>0</v>
      </c>
      <c r="AL240" s="267"/>
      <c r="AM240" s="267"/>
      <c r="AN240" s="75"/>
    </row>
    <row r="241" spans="1:40" s="6" customFormat="1" ht="11.25" x14ac:dyDescent="0.2">
      <c r="A241" s="56">
        <f t="shared" si="94"/>
        <v>44788</v>
      </c>
      <c r="B241" s="618">
        <v>35.814999999999998</v>
      </c>
      <c r="C241" s="866"/>
      <c r="D241" s="395">
        <f t="shared" si="74"/>
        <v>37.065721892434738</v>
      </c>
      <c r="E241" s="387">
        <f t="shared" si="96"/>
        <v>43.472287589879393</v>
      </c>
      <c r="F241" s="387">
        <f t="shared" si="75"/>
        <v>43.603130183108604</v>
      </c>
      <c r="G241" s="110">
        <f t="shared" si="97"/>
        <v>0.76281433309006574</v>
      </c>
      <c r="H241" s="414" t="b">
        <f>Wh_hp&gt;='2021'!Maxi_hp</f>
        <v>0</v>
      </c>
      <c r="I241" s="382">
        <f>IF(H241,Wh_hp,'2021'!Maxi_hp)</f>
        <v>51.583884574540299</v>
      </c>
      <c r="J241" s="85">
        <f>IF(H241,An,'2021'!An_max)</f>
        <v>2020</v>
      </c>
      <c r="K241" s="199">
        <f t="shared" si="76"/>
        <v>44788</v>
      </c>
      <c r="L241" s="147">
        <f>IF(t&lt;Tvie,1-EXP((T0-t)*PertePVj)+'2021'!Pspv,1-EXP((T0-t)*PertePVj)+Pspv)</f>
        <v>3.3743357166072463E-2</v>
      </c>
      <c r="M241" s="870"/>
      <c r="N241" s="870"/>
      <c r="O241" s="48">
        <f>IF(t&lt;Tnet,'2021'!Resal+('2021'!Salim-'2021'!Resal)*(1-EXP(('2021'!Tnet-t)/('2021'!Tau_j))),Resal+(Salim-Resal)*(1-EXP((Tnet-t)/(Tau_j))))*Salcycl</f>
        <v>0.14737125770524534</v>
      </c>
      <c r="P241" s="341">
        <f>(INDEX(Models!$BJ241:$BT241,,T241)*(1-R241)+INDEX(Models!$BJ241:$BT241,,T241+1)*R241-ERP_i)*Q241*Ramure*Pc/MaxiM</f>
        <v>4.5271670291042697E-3</v>
      </c>
      <c r="Q241" s="307">
        <f t="shared" si="77"/>
        <v>1</v>
      </c>
      <c r="R241" s="179">
        <f t="shared" si="78"/>
        <v>0.65635745104990617</v>
      </c>
      <c r="S241" s="837">
        <f t="shared" si="79"/>
        <v>0</v>
      </c>
      <c r="T241" s="178">
        <f t="shared" si="80"/>
        <v>6</v>
      </c>
      <c r="U241" s="253">
        <f t="shared" si="81"/>
        <v>0.65635745104990617</v>
      </c>
      <c r="V241" s="385">
        <f t="shared" si="82"/>
        <v>46.87925448410224</v>
      </c>
      <c r="W241" s="404"/>
      <c r="X241" s="157">
        <f t="shared" si="83"/>
        <v>44788</v>
      </c>
      <c r="Y241" s="387">
        <f t="shared" si="84"/>
        <v>34.914342639194615</v>
      </c>
      <c r="Z241" s="387">
        <f t="shared" si="85"/>
        <v>36.133612015121138</v>
      </c>
      <c r="AA241" s="388">
        <f t="shared" si="86"/>
        <v>43.472287589879393</v>
      </c>
      <c r="AB241" s="199">
        <f t="shared" si="87"/>
        <v>44788</v>
      </c>
      <c r="AC241" s="119">
        <f>IF(OR(t&lt;Tnet,NoTnet),'2021'!Resal_s+('2021'!Salim-'2021'!Resal_s)*(1-EXP(('2021'!Tnet_s-t)/'2021'!Tau_j)),Resal_s+(Salim-Resal_s)*(1-EXP((Tnet_s-t)/Tau_j)))*Salcycl</f>
        <v>0.16881273062949514</v>
      </c>
      <c r="AD241" s="233">
        <f>(INDEX(Models!$BJ241:$BT241,,AH241)*(1-AF241)+INDEX(Models!$BJ241:$BT241,,AH241+1)*AF241-ERP_i)*AE241*Ramure*Pc/MaxiM</f>
        <v>4.5271670291042697E-3</v>
      </c>
      <c r="AE241" s="307">
        <f t="shared" si="88"/>
        <v>1</v>
      </c>
      <c r="AF241" s="179">
        <f t="shared" si="89"/>
        <v>0.65635745104990617</v>
      </c>
      <c r="AG241" s="837">
        <f t="shared" si="95"/>
        <v>0</v>
      </c>
      <c r="AH241" s="178">
        <f t="shared" si="90"/>
        <v>6</v>
      </c>
      <c r="AI241" s="227">
        <f t="shared" si="91"/>
        <v>0.65635745104990617</v>
      </c>
      <c r="AJ241" s="267" t="b">
        <f t="shared" si="92"/>
        <v>1</v>
      </c>
      <c r="AK241" s="267" t="b">
        <f t="shared" si="93"/>
        <v>0</v>
      </c>
      <c r="AL241" s="267"/>
      <c r="AM241" s="267"/>
      <c r="AN241" s="75"/>
    </row>
    <row r="242" spans="1:40" s="6" customFormat="1" ht="11.25" x14ac:dyDescent="0.2">
      <c r="A242" s="56">
        <f t="shared" si="94"/>
        <v>44789</v>
      </c>
      <c r="B242" s="618">
        <v>28.574000000000002</v>
      </c>
      <c r="C242" s="866"/>
      <c r="D242" s="395">
        <f t="shared" si="74"/>
        <v>29.572541814969995</v>
      </c>
      <c r="E242" s="387">
        <f t="shared" si="96"/>
        <v>34.687377722372794</v>
      </c>
      <c r="F242" s="387">
        <f t="shared" si="75"/>
        <v>34.761445151356824</v>
      </c>
      <c r="G242" s="110">
        <f t="shared" si="97"/>
        <v>0.61060311392014355</v>
      </c>
      <c r="H242" s="414" t="b">
        <f>Wh_hp&gt;='2021'!Maxi_hp</f>
        <v>0</v>
      </c>
      <c r="I242" s="382">
        <f>IF(H242,Wh_hp,'2021'!Maxi_hp)</f>
        <v>55.530808319610884</v>
      </c>
      <c r="J242" s="85">
        <f>IF(H242,An,'2021'!An_max)</f>
        <v>2019</v>
      </c>
      <c r="K242" s="199">
        <f t="shared" si="76"/>
        <v>44789</v>
      </c>
      <c r="L242" s="147">
        <f>IF(t&lt;Tvie,1-EXP((T0-t)*PertePVj)+'2021'!Pspv,1-EXP((T0-t)*PertePVj)+Pspv)</f>
        <v>3.3765843369761295E-2</v>
      </c>
      <c r="M242" s="870"/>
      <c r="N242" s="870"/>
      <c r="O242" s="48">
        <f>IF(t&lt;Tnet,'2021'!Resal+('2021'!Salim-'2021'!Resal)*(1-EXP(('2021'!Tnet-t)/('2021'!Tau_j))),Resal+(Salim-Resal)*(1-EXP((Tnet-t)/(Tau_j))))*Salcycl</f>
        <v>0.14745524865962442</v>
      </c>
      <c r="P242" s="341">
        <f>(INDEX(Models!$BJ242:$BT242,,T242)*(1-R242)+INDEX(Models!$BJ242:$BT242,,T242+1)*R242-ERP_i)*Q242*Ramure*Pc/MaxiM</f>
        <v>4.7770242337249885E-3</v>
      </c>
      <c r="Q242" s="307">
        <f t="shared" si="77"/>
        <v>1</v>
      </c>
      <c r="R242" s="179">
        <f t="shared" si="78"/>
        <v>0.65800966332913247</v>
      </c>
      <c r="S242" s="837">
        <f t="shared" si="79"/>
        <v>0</v>
      </c>
      <c r="T242" s="178">
        <f t="shared" si="80"/>
        <v>6</v>
      </c>
      <c r="U242" s="253">
        <f t="shared" si="81"/>
        <v>0.65800966332913247</v>
      </c>
      <c r="V242" s="385">
        <f t="shared" si="82"/>
        <v>46.67225374878457</v>
      </c>
      <c r="W242" s="404"/>
      <c r="X242" s="157">
        <f t="shared" si="83"/>
        <v>44789</v>
      </c>
      <c r="Y242" s="387">
        <f t="shared" si="84"/>
        <v>27.857886573427205</v>
      </c>
      <c r="Z242" s="387">
        <f t="shared" si="85"/>
        <v>28.831403218638172</v>
      </c>
      <c r="AA242" s="388">
        <f t="shared" si="86"/>
        <v>34.687377722372794</v>
      </c>
      <c r="AB242" s="199">
        <f t="shared" si="87"/>
        <v>44789</v>
      </c>
      <c r="AC242" s="119">
        <f>IF(OR(t&lt;Tnet,NoTnet),'2021'!Resal_s+('2021'!Salim-'2021'!Resal_s)*(1-EXP(('2021'!Tnet_s-t)/'2021'!Tau_j)),Resal_s+(Salim-Resal_s)*(1-EXP((Tnet_s-t)/Tau_j)))*Salcycl</f>
        <v>0.16882148171026523</v>
      </c>
      <c r="AD242" s="233">
        <f>(INDEX(Models!$BJ242:$BT242,,AH242)*(1-AF242)+INDEX(Models!$BJ242:$BT242,,AH242+1)*AF242-ERP_i)*AE242*Ramure*Pc/MaxiM</f>
        <v>4.7770242337249885E-3</v>
      </c>
      <c r="AE242" s="307">
        <f t="shared" si="88"/>
        <v>1</v>
      </c>
      <c r="AF242" s="179">
        <f t="shared" si="89"/>
        <v>0.65800966332913247</v>
      </c>
      <c r="AG242" s="837">
        <f t="shared" si="95"/>
        <v>0</v>
      </c>
      <c r="AH242" s="178">
        <f t="shared" si="90"/>
        <v>6</v>
      </c>
      <c r="AI242" s="227">
        <f t="shared" si="91"/>
        <v>0.65800966332913247</v>
      </c>
      <c r="AJ242" s="267" t="b">
        <f t="shared" si="92"/>
        <v>1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4"/>
        <v>44790</v>
      </c>
      <c r="B243" s="618">
        <v>20.706</v>
      </c>
      <c r="C243" s="866"/>
      <c r="D243" s="395">
        <f t="shared" si="74"/>
        <v>21.430086825224247</v>
      </c>
      <c r="E243" s="387">
        <f t="shared" si="96"/>
        <v>25.139056705125935</v>
      </c>
      <c r="F243" s="387">
        <f t="shared" si="75"/>
        <v>25.165388375819347</v>
      </c>
      <c r="G243" s="110">
        <f t="shared" si="97"/>
        <v>0.44389348000415668</v>
      </c>
      <c r="H243" s="414" t="b">
        <f>Wh_hp&gt;='2021'!Maxi_hp</f>
        <v>0</v>
      </c>
      <c r="I243" s="382">
        <f>IF(H243,Wh_hp,'2021'!Maxi_hp)</f>
        <v>54.275394990879882</v>
      </c>
      <c r="J243" s="85">
        <f>IF(H243,An,'2021'!An_max)</f>
        <v>2019</v>
      </c>
      <c r="K243" s="199">
        <f t="shared" si="76"/>
        <v>44790</v>
      </c>
      <c r="L243" s="147">
        <f>IF(t&lt;Tvie,1-EXP((T0-t)*PertePVj)+'2021'!Pspv,1-EXP((T0-t)*PertePVj)+Pspv)</f>
        <v>3.3788329050163379E-2</v>
      </c>
      <c r="M243" s="870"/>
      <c r="N243" s="870"/>
      <c r="O243" s="48">
        <f>IF(t&lt;Tnet,'2021'!Resal+('2021'!Salim-'2021'!Resal)*(1-EXP(('2021'!Tnet-t)/('2021'!Tau_j))),Resal+(Salim-Resal)*(1-EXP((Tnet-t)/(Tau_j))))*Salcycl</f>
        <v>0.14753814844394766</v>
      </c>
      <c r="P243" s="341">
        <f>(INDEX(Models!$BJ243:$BT243,,T243)*(1-R243)+INDEX(Models!$BJ243:$BT243,,T243+1)*R243-ERP_i)*Q243*Ramure*Pc/MaxiM</f>
        <v>5.0280900536116592E-3</v>
      </c>
      <c r="Q243" s="307">
        <f t="shared" si="77"/>
        <v>1</v>
      </c>
      <c r="R243" s="179">
        <f t="shared" si="78"/>
        <v>0.65960317977792615</v>
      </c>
      <c r="S243" s="837">
        <f t="shared" si="79"/>
        <v>0</v>
      </c>
      <c r="T243" s="178">
        <f t="shared" si="80"/>
        <v>6</v>
      </c>
      <c r="U243" s="253">
        <f t="shared" si="81"/>
        <v>0.65960317977792615</v>
      </c>
      <c r="V243" s="385">
        <f t="shared" si="82"/>
        <v>46.460397713328291</v>
      </c>
      <c r="W243" s="404"/>
      <c r="X243" s="157">
        <f t="shared" si="83"/>
        <v>44790</v>
      </c>
      <c r="Y243" s="387">
        <f t="shared" si="84"/>
        <v>20.188845415686139</v>
      </c>
      <c r="Z243" s="387">
        <f t="shared" si="85"/>
        <v>20.894847394918596</v>
      </c>
      <c r="AA243" s="388">
        <f t="shared" si="86"/>
        <v>25.139056705125935</v>
      </c>
      <c r="AB243" s="199">
        <f t="shared" si="87"/>
        <v>44790</v>
      </c>
      <c r="AC243" s="119">
        <f>IF(OR(t&lt;Tnet,NoTnet),'2021'!Resal_s+('2021'!Salim-'2021'!Resal_s)*(1-EXP(('2021'!Tnet_s-t)/'2021'!Tau_j)),Resal_s+(Salim-Resal_s)*(1-EXP((Tnet_s-t)/Tau_j)))*Salcycl</f>
        <v>0.16882929856878565</v>
      </c>
      <c r="AD243" s="233">
        <f>(INDEX(Models!$BJ243:$BT243,,AH243)*(1-AF243)+INDEX(Models!$BJ243:$BT243,,AH243+1)*AF243-ERP_i)*AE243*Ramure*Pc/MaxiM</f>
        <v>5.0280900536116592E-3</v>
      </c>
      <c r="AE243" s="307">
        <f t="shared" si="88"/>
        <v>1</v>
      </c>
      <c r="AF243" s="179">
        <f t="shared" si="89"/>
        <v>0.65960317977792615</v>
      </c>
      <c r="AG243" s="837">
        <f t="shared" si="95"/>
        <v>0</v>
      </c>
      <c r="AH243" s="178">
        <f t="shared" si="90"/>
        <v>6</v>
      </c>
      <c r="AI243" s="227">
        <f t="shared" si="91"/>
        <v>0.65960317977792615</v>
      </c>
      <c r="AJ243" s="267" t="b">
        <f t="shared" si="92"/>
        <v>1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4"/>
        <v>44791</v>
      </c>
      <c r="B244" s="618">
        <v>34.908999999999999</v>
      </c>
      <c r="C244" s="866"/>
      <c r="D244" s="395">
        <f t="shared" si="74"/>
        <v>36.130605178900787</v>
      </c>
      <c r="E244" s="387">
        <f t="shared" si="96"/>
        <v>42.387904711507296</v>
      </c>
      <c r="F244" s="387">
        <f t="shared" si="75"/>
        <v>42.533861498255916</v>
      </c>
      <c r="G244" s="110">
        <f t="shared" si="97"/>
        <v>0.7534976962458183</v>
      </c>
      <c r="H244" s="414" t="b">
        <f>Wh_hp&gt;='2021'!Maxi_hp</f>
        <v>0</v>
      </c>
      <c r="I244" s="382">
        <f>IF(H244,Wh_hp,'2021'!Maxi_hp)</f>
        <v>53.81892121253842</v>
      </c>
      <c r="J244" s="85">
        <f>IF(H244,An,'2021'!An_max)</f>
        <v>2021</v>
      </c>
      <c r="K244" s="199">
        <f t="shared" si="76"/>
        <v>44791</v>
      </c>
      <c r="L244" s="147">
        <f>IF(t&lt;Tvie,1-EXP((T0-t)*PertePVj)+'2021'!Pspv,1-EXP((T0-t)*PertePVj)+Pspv)</f>
        <v>3.3810814207290707E-2</v>
      </c>
      <c r="M244" s="870"/>
      <c r="N244" s="870"/>
      <c r="O244" s="48">
        <f>IF(t&lt;Tnet,'2021'!Resal+('2021'!Salim-'2021'!Resal)*(1-EXP(('2021'!Tnet-t)/('2021'!Tau_j))),Resal+(Salim-Resal)*(1-EXP((Tnet-t)/(Tau_j))))*Salcycl</f>
        <v>0.14761993014738006</v>
      </c>
      <c r="P244" s="341">
        <f>(INDEX(Models!$BJ244:$BT244,,T244)*(1-R244)+INDEX(Models!$BJ244:$BT244,,T244+1)*R244-ERP_i)*Q244*Ramure*Pc/MaxiM</f>
        <v>5.2804780972798048E-3</v>
      </c>
      <c r="Q244" s="307">
        <f t="shared" si="77"/>
        <v>1</v>
      </c>
      <c r="R244" s="179">
        <f t="shared" si="78"/>
        <v>0.6611397985046652</v>
      </c>
      <c r="S244" s="837">
        <f t="shared" si="79"/>
        <v>0</v>
      </c>
      <c r="T244" s="178">
        <f t="shared" si="80"/>
        <v>6</v>
      </c>
      <c r="U244" s="253">
        <f t="shared" si="81"/>
        <v>0.6611397985046652</v>
      </c>
      <c r="V244" s="385">
        <f t="shared" si="82"/>
        <v>46.243317608544082</v>
      </c>
      <c r="W244" s="404"/>
      <c r="X244" s="157">
        <f t="shared" si="83"/>
        <v>44791</v>
      </c>
      <c r="Y244" s="387">
        <f t="shared" si="84"/>
        <v>34.040095309404535</v>
      </c>
      <c r="Z244" s="387">
        <f t="shared" si="85"/>
        <v>35.231294046699936</v>
      </c>
      <c r="AA244" s="388">
        <f t="shared" si="86"/>
        <v>42.387904711507296</v>
      </c>
      <c r="AB244" s="199">
        <f t="shared" si="87"/>
        <v>44791</v>
      </c>
      <c r="AC244" s="119">
        <f>IF(OR(t&lt;Tnet,NoTnet),'2021'!Resal_s+('2021'!Salim-'2021'!Resal_s)*(1-EXP(('2021'!Tnet_s-t)/'2021'!Tau_j)),Resal_s+(Salim-Resal_s)*(1-EXP((Tnet_s-t)/Tau_j)))*Salcycl</f>
        <v>0.16883615063106691</v>
      </c>
      <c r="AD244" s="233">
        <f>(INDEX(Models!$BJ244:$BT244,,AH244)*(1-AF244)+INDEX(Models!$BJ244:$BT244,,AH244+1)*AF244-ERP_i)*AE244*Ramure*Pc/MaxiM</f>
        <v>5.2804780972798048E-3</v>
      </c>
      <c r="AE244" s="307">
        <f t="shared" si="88"/>
        <v>1</v>
      </c>
      <c r="AF244" s="179">
        <f t="shared" si="89"/>
        <v>0.6611397985046652</v>
      </c>
      <c r="AG244" s="837">
        <f t="shared" si="95"/>
        <v>0</v>
      </c>
      <c r="AH244" s="178">
        <f t="shared" si="90"/>
        <v>6</v>
      </c>
      <c r="AI244" s="227">
        <f t="shared" si="91"/>
        <v>0.6611397985046652</v>
      </c>
      <c r="AJ244" s="267" t="b">
        <f t="shared" si="92"/>
        <v>1</v>
      </c>
      <c r="AK244" s="267" t="b">
        <f t="shared" si="93"/>
        <v>0</v>
      </c>
      <c r="AL244" s="267"/>
      <c r="AM244" s="267"/>
      <c r="AN244" s="75"/>
    </row>
    <row r="245" spans="1:40" s="6" customFormat="1" ht="11.25" x14ac:dyDescent="0.2">
      <c r="A245" s="56">
        <f t="shared" si="94"/>
        <v>44792</v>
      </c>
      <c r="B245" s="618">
        <v>36.142000000000003</v>
      </c>
      <c r="C245" s="866"/>
      <c r="D245" s="395">
        <f t="shared" si="74"/>
        <v>37.407623297977864</v>
      </c>
      <c r="E245" s="387">
        <f t="shared" si="96"/>
        <v>43.890235926470446</v>
      </c>
      <c r="F245" s="387">
        <f t="shared" si="75"/>
        <v>44.059300387027236</v>
      </c>
      <c r="G245" s="110">
        <f t="shared" si="97"/>
        <v>0.78400524046066544</v>
      </c>
      <c r="H245" s="414" t="b">
        <f>Wh_hp&gt;='2021'!Maxi_hp</f>
        <v>0</v>
      </c>
      <c r="I245" s="382">
        <f>IF(H245,Wh_hp,'2021'!Maxi_hp)</f>
        <v>48.769575691470848</v>
      </c>
      <c r="J245" s="85">
        <f>IF(H245,An,'2021'!An_max)</f>
        <v>2021</v>
      </c>
      <c r="K245" s="199">
        <f t="shared" si="76"/>
        <v>44792</v>
      </c>
      <c r="L245" s="147">
        <f>IF(t&lt;Tvie,1-EXP((T0-t)*PertePVj)+'2021'!Pspv,1-EXP((T0-t)*PertePVj)+Pspv)</f>
        <v>3.3833298841155712E-2</v>
      </c>
      <c r="M245" s="870"/>
      <c r="N245" s="870"/>
      <c r="O245" s="48">
        <f>IF(t&lt;Tnet,'2021'!Resal+('2021'!Salim-'2021'!Resal)*(1-EXP(('2021'!Tnet-t)/('2021'!Tau_j))),Resal+(Salim-Resal)*(1-EXP((Tnet-t)/(Tau_j))))*Salcycl</f>
        <v>0.14770056463931841</v>
      </c>
      <c r="P245" s="341">
        <f>(INDEX(Models!$BJ245:$BT245,,T245)*(1-R245)+INDEX(Models!$BJ245:$BT245,,T245+1)*R245-ERP_i)*Q245*Ramure*Pc/MaxiM</f>
        <v>5.5343143869104891E-3</v>
      </c>
      <c r="Q245" s="307">
        <f t="shared" si="77"/>
        <v>1</v>
      </c>
      <c r="R245" s="179">
        <f t="shared" si="78"/>
        <v>0.66262128417388022</v>
      </c>
      <c r="S245" s="837">
        <f t="shared" si="79"/>
        <v>0</v>
      </c>
      <c r="T245" s="178">
        <f t="shared" si="80"/>
        <v>6</v>
      </c>
      <c r="U245" s="253">
        <f t="shared" si="81"/>
        <v>0.66262128417388022</v>
      </c>
      <c r="V245" s="385">
        <f t="shared" si="82"/>
        <v>46.020644829170436</v>
      </c>
      <c r="W245" s="404"/>
      <c r="X245" s="157">
        <f t="shared" si="83"/>
        <v>44792</v>
      </c>
      <c r="Y245" s="387">
        <f t="shared" si="84"/>
        <v>35.245491214309183</v>
      </c>
      <c r="Z245" s="387">
        <f t="shared" si="85"/>
        <v>36.479720499614473</v>
      </c>
      <c r="AA245" s="388">
        <f t="shared" si="86"/>
        <v>43.890235926470446</v>
      </c>
      <c r="AB245" s="199">
        <f t="shared" si="87"/>
        <v>44792</v>
      </c>
      <c r="AC245" s="119">
        <f>IF(OR(t&lt;Tnet,NoTnet),'2021'!Resal_s+('2021'!Salim-'2021'!Resal_s)*(1-EXP(('2021'!Tnet_s-t)/'2021'!Tau_j)),Resal_s+(Salim-Resal_s)*(1-EXP((Tnet_s-t)/Tau_j)))*Salcycl</f>
        <v>0.16884200484296438</v>
      </c>
      <c r="AD245" s="233">
        <f>(INDEX(Models!$BJ245:$BT245,,AH245)*(1-AF245)+INDEX(Models!$BJ245:$BT245,,AH245+1)*AF245-ERP_i)*AE245*Ramure*Pc/MaxiM</f>
        <v>5.5343143869104891E-3</v>
      </c>
      <c r="AE245" s="307">
        <f t="shared" si="88"/>
        <v>1</v>
      </c>
      <c r="AF245" s="179">
        <f t="shared" si="89"/>
        <v>0.66262128417388022</v>
      </c>
      <c r="AG245" s="837">
        <f t="shared" si="95"/>
        <v>0</v>
      </c>
      <c r="AH245" s="178">
        <f t="shared" si="90"/>
        <v>6</v>
      </c>
      <c r="AI245" s="227">
        <f t="shared" si="91"/>
        <v>0.66262128417388022</v>
      </c>
      <c r="AJ245" s="267" t="b">
        <f t="shared" si="92"/>
        <v>1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4"/>
        <v>44793</v>
      </c>
      <c r="B246" s="618">
        <v>42.597000000000001</v>
      </c>
      <c r="C246" s="866"/>
      <c r="D246" s="395">
        <f t="shared" si="74"/>
        <v>44.089691009218733</v>
      </c>
      <c r="E246" s="387">
        <f t="shared" si="96"/>
        <v>51.735106056560646</v>
      </c>
      <c r="F246" s="387">
        <f t="shared" si="75"/>
        <v>52.006196044923868</v>
      </c>
      <c r="G246" s="110">
        <f t="shared" si="97"/>
        <v>0.92968812760773567</v>
      </c>
      <c r="H246" s="414" t="b">
        <f>Wh_hp&gt;='2021'!Maxi_hp</f>
        <v>0</v>
      </c>
      <c r="I246" s="382">
        <f>IF(H246,Wh_hp,'2021'!Maxi_hp)</f>
        <v>52.529091636366658</v>
      </c>
      <c r="J246" s="85">
        <f>IF(H246,An,'2021'!An_max)</f>
        <v>2021</v>
      </c>
      <c r="K246" s="199">
        <f t="shared" si="76"/>
        <v>44793</v>
      </c>
      <c r="L246" s="147">
        <f>IF(t&lt;Tvie,1-EXP((T0-t)*PertePVj)+'2021'!Pspv,1-EXP((T0-t)*PertePVj)+Pspv)</f>
        <v>3.3855782951770386E-2</v>
      </c>
      <c r="M246" s="870"/>
      <c r="N246" s="870"/>
      <c r="O246" s="48">
        <f>IF(t&lt;Tnet,'2021'!Resal+('2021'!Salim-'2021'!Resal)*(1-EXP(('2021'!Tnet-t)/('2021'!Tau_j))),Resal+(Salim-Resal)*(1-EXP((Tnet-t)/(Tau_j))))*Salcycl</f>
        <v>0.14778002076546204</v>
      </c>
      <c r="P246" s="341">
        <f>(INDEX(Models!$BJ246:$BT246,,T246)*(1-R246)+INDEX(Models!$BJ246:$BT246,,T246+1)*R246-ERP_i)*Q246*Ramure*Pc/MaxiM</f>
        <v>5.789737815234574E-3</v>
      </c>
      <c r="Q246" s="307">
        <f t="shared" si="77"/>
        <v>1</v>
      </c>
      <c r="R246" s="179">
        <f t="shared" si="78"/>
        <v>0.66404936687087956</v>
      </c>
      <c r="S246" s="837">
        <f t="shared" si="79"/>
        <v>0</v>
      </c>
      <c r="T246" s="178">
        <f t="shared" si="80"/>
        <v>6</v>
      </c>
      <c r="U246" s="253">
        <f t="shared" si="81"/>
        <v>0.66404936687087956</v>
      </c>
      <c r="V246" s="385">
        <f t="shared" si="82"/>
        <v>45.792010918671572</v>
      </c>
      <c r="W246" s="404"/>
      <c r="X246" s="157">
        <f t="shared" si="83"/>
        <v>44793</v>
      </c>
      <c r="Y246" s="387">
        <f t="shared" si="84"/>
        <v>41.54400579641306</v>
      </c>
      <c r="Z246" s="387">
        <f t="shared" si="85"/>
        <v>42.999797611311685</v>
      </c>
      <c r="AA246" s="388">
        <f t="shared" si="86"/>
        <v>51.735106056560646</v>
      </c>
      <c r="AB246" s="199">
        <f t="shared" si="87"/>
        <v>44793</v>
      </c>
      <c r="AC246" s="119">
        <f>IF(OR(t&lt;Tnet,NoTnet),'2021'!Resal_s+('2021'!Salim-'2021'!Resal_s)*(1-EXP(('2021'!Tnet_s-t)/'2021'!Tau_j)),Resal_s+(Salim-Resal_s)*(1-EXP((Tnet_s-t)/Tau_j)))*Salcycl</f>
        <v>0.16884682589997738</v>
      </c>
      <c r="AD246" s="233">
        <f>(INDEX(Models!$BJ246:$BT246,,AH246)*(1-AF246)+INDEX(Models!$BJ246:$BT246,,AH246+1)*AF246-ERP_i)*AE246*Ramure*Pc/MaxiM</f>
        <v>5.789737815234574E-3</v>
      </c>
      <c r="AE246" s="307">
        <f t="shared" si="88"/>
        <v>1</v>
      </c>
      <c r="AF246" s="179">
        <f t="shared" si="89"/>
        <v>0.66404936687087956</v>
      </c>
      <c r="AG246" s="837">
        <f t="shared" si="95"/>
        <v>0</v>
      </c>
      <c r="AH246" s="178">
        <f t="shared" si="90"/>
        <v>6</v>
      </c>
      <c r="AI246" s="227">
        <f t="shared" si="91"/>
        <v>0.66404936687087956</v>
      </c>
      <c r="AJ246" s="267" t="b">
        <f t="shared" si="92"/>
        <v>1</v>
      </c>
      <c r="AK246" s="267" t="b">
        <f t="shared" si="93"/>
        <v>0</v>
      </c>
      <c r="AL246" s="267"/>
      <c r="AM246" s="267"/>
      <c r="AN246" s="75"/>
    </row>
    <row r="247" spans="1:40" s="6" customFormat="1" ht="11.25" x14ac:dyDescent="0.2">
      <c r="A247" s="56">
        <f t="shared" si="94"/>
        <v>44794</v>
      </c>
      <c r="B247" s="618">
        <v>27.969000000000001</v>
      </c>
      <c r="C247" s="866"/>
      <c r="D247" s="395">
        <f t="shared" si="74"/>
        <v>28.949767955026857</v>
      </c>
      <c r="E247" s="387">
        <f t="shared" si="96"/>
        <v>33.972949315258127</v>
      </c>
      <c r="F247" s="387">
        <f t="shared" si="75"/>
        <v>34.065322842606776</v>
      </c>
      <c r="G247" s="110">
        <f t="shared" si="97"/>
        <v>0.61186255913567944</v>
      </c>
      <c r="H247" s="414" t="b">
        <f>Wh_hp&gt;='2021'!Maxi_hp</f>
        <v>0</v>
      </c>
      <c r="I247" s="382">
        <f>IF(H247,Wh_hp,'2021'!Maxi_hp)</f>
        <v>51.419921349849517</v>
      </c>
      <c r="J247" s="85">
        <f>IF(H247,An,'2021'!An_max)</f>
        <v>2020</v>
      </c>
      <c r="K247" s="199">
        <f t="shared" si="76"/>
        <v>44794</v>
      </c>
      <c r="L247" s="147">
        <f>IF(t&lt;Tvie,1-EXP((T0-t)*PertePVj)+'2021'!Pspv,1-EXP((T0-t)*PertePVj)+Pspv)</f>
        <v>3.387826653914694E-2</v>
      </c>
      <c r="M247" s="870"/>
      <c r="N247" s="870"/>
      <c r="O247" s="48">
        <f>IF(t&lt;Tnet,'2021'!Resal+('2021'!Salim-'2021'!Resal)*(1-EXP(('2021'!Tnet-t)/('2021'!Tau_j))),Resal+(Salim-Resal)*(1-EXP((Tnet-t)/(Tau_j))))*Salcycl</f>
        <v>0.14785826551641873</v>
      </c>
      <c r="P247" s="341">
        <f>(INDEX(Models!$BJ247:$BT247,,T247)*(1-R247)+INDEX(Models!$BJ247:$BT247,,T247+1)*R247-ERP_i)*Q247*Ramure*Pc/MaxiM</f>
        <v>6.0467246767955873E-3</v>
      </c>
      <c r="Q247" s="307">
        <f t="shared" si="77"/>
        <v>1</v>
      </c>
      <c r="R247" s="179">
        <f t="shared" si="78"/>
        <v>0.66542574114800956</v>
      </c>
      <c r="S247" s="837">
        <f t="shared" si="79"/>
        <v>0</v>
      </c>
      <c r="T247" s="178">
        <f t="shared" si="80"/>
        <v>6</v>
      </c>
      <c r="U247" s="253">
        <f t="shared" si="81"/>
        <v>0.66542574114800956</v>
      </c>
      <c r="V247" s="385">
        <f t="shared" si="82"/>
        <v>45.558381527011321</v>
      </c>
      <c r="W247" s="404"/>
      <c r="X247" s="157">
        <f t="shared" si="83"/>
        <v>44794</v>
      </c>
      <c r="Y247" s="387">
        <f t="shared" si="84"/>
        <v>27.279990272392833</v>
      </c>
      <c r="Z247" s="387">
        <f t="shared" si="85"/>
        <v>28.236597239842766</v>
      </c>
      <c r="AA247" s="388">
        <f t="shared" si="86"/>
        <v>33.972949315258127</v>
      </c>
      <c r="AB247" s="199">
        <f t="shared" si="87"/>
        <v>44794</v>
      </c>
      <c r="AC247" s="119">
        <f>IF(OR(t&lt;Tnet,NoTnet),'2021'!Resal_s+('2021'!Salim-'2021'!Resal_s)*(1-EXP(('2021'!Tnet_s-t)/'2021'!Tau_j)),Resal_s+(Salim-Resal_s)*(1-EXP((Tnet_s-t)/Tau_j)))*Salcycl</f>
        <v>0.16885057644491927</v>
      </c>
      <c r="AD247" s="233">
        <f>(INDEX(Models!$BJ247:$BT247,,AH247)*(1-AF247)+INDEX(Models!$BJ247:$BT247,,AH247+1)*AF247-ERP_i)*AE247*Ramure*Pc/MaxiM</f>
        <v>6.0467246767955873E-3</v>
      </c>
      <c r="AE247" s="307">
        <f t="shared" si="88"/>
        <v>1</v>
      </c>
      <c r="AF247" s="179">
        <f t="shared" si="89"/>
        <v>0.66542574114800956</v>
      </c>
      <c r="AG247" s="837">
        <f t="shared" si="95"/>
        <v>0</v>
      </c>
      <c r="AH247" s="178">
        <f t="shared" si="90"/>
        <v>6</v>
      </c>
      <c r="AI247" s="227">
        <f t="shared" si="91"/>
        <v>0.66542574114800956</v>
      </c>
      <c r="AJ247" s="267" t="b">
        <f t="shared" si="92"/>
        <v>1</v>
      </c>
      <c r="AK247" s="267" t="b">
        <f t="shared" si="93"/>
        <v>0</v>
      </c>
      <c r="AL247" s="267"/>
      <c r="AM247" s="267"/>
      <c r="AN247" s="75"/>
    </row>
    <row r="248" spans="1:40" s="6" customFormat="1" ht="11.25" x14ac:dyDescent="0.2">
      <c r="A248" s="56">
        <f t="shared" si="94"/>
        <v>44795</v>
      </c>
      <c r="B248" s="618">
        <v>22.432000000000002</v>
      </c>
      <c r="C248" s="866"/>
      <c r="D248" s="395">
        <f t="shared" si="74"/>
        <v>23.219146470498668</v>
      </c>
      <c r="E248" s="387">
        <f t="shared" si="96"/>
        <v>27.250448814563018</v>
      </c>
      <c r="F248" s="387">
        <f t="shared" si="75"/>
        <v>27.298356531017028</v>
      </c>
      <c r="G248" s="110">
        <f t="shared" si="97"/>
        <v>0.49270372094377357</v>
      </c>
      <c r="H248" s="414" t="b">
        <f>Wh_hp&gt;='2021'!Maxi_hp</f>
        <v>0</v>
      </c>
      <c r="I248" s="382">
        <f>IF(H248,Wh_hp,'2021'!Maxi_hp)</f>
        <v>55.310874432474641</v>
      </c>
      <c r="J248" s="85">
        <f>IF(H248,An,'2021'!An_max)</f>
        <v>2019</v>
      </c>
      <c r="K248" s="199">
        <f t="shared" si="76"/>
        <v>44795</v>
      </c>
      <c r="L248" s="147">
        <f>IF(t&lt;Tvie,1-EXP((T0-t)*PertePVj)+'2021'!Pspv,1-EXP((T0-t)*PertePVj)+Pspv)</f>
        <v>3.3900749603297586E-2</v>
      </c>
      <c r="M248" s="870"/>
      <c r="N248" s="870"/>
      <c r="O248" s="48">
        <f>IF(t&lt;Tnet,'2021'!Resal+('2021'!Salim-'2021'!Resal)*(1-EXP(('2021'!Tnet-t)/('2021'!Tau_j))),Resal+(Salim-Resal)*(1-EXP((Tnet-t)/(Tau_j))))*Salcycl</f>
        <v>0.14793526416746444</v>
      </c>
      <c r="P248" s="341">
        <f>(INDEX(Models!$BJ248:$BT248,,T248)*(1-R248)+INDEX(Models!$BJ248:$BT248,,T248+1)*R248-ERP_i)*Q248*Ramure*Pc/MaxiM</f>
        <v>6.3012424338397214E-3</v>
      </c>
      <c r="Q248" s="307">
        <f t="shared" si="77"/>
        <v>1</v>
      </c>
      <c r="R248" s="179">
        <f t="shared" si="78"/>
        <v>0.6667520652402753</v>
      </c>
      <c r="S248" s="837">
        <f t="shared" si="79"/>
        <v>0</v>
      </c>
      <c r="T248" s="178">
        <f t="shared" si="80"/>
        <v>6</v>
      </c>
      <c r="U248" s="253">
        <f t="shared" si="81"/>
        <v>0.6667520652402753</v>
      </c>
      <c r="V248" s="385">
        <f t="shared" si="82"/>
        <v>45.32102704281494</v>
      </c>
      <c r="W248" s="404"/>
      <c r="X248" s="157">
        <f t="shared" si="83"/>
        <v>44795</v>
      </c>
      <c r="Y248" s="387">
        <f t="shared" si="84"/>
        <v>21.881300618355827</v>
      </c>
      <c r="Z248" s="387">
        <f t="shared" si="85"/>
        <v>22.64912286120796</v>
      </c>
      <c r="AA248" s="388">
        <f t="shared" si="86"/>
        <v>27.250448814563018</v>
      </c>
      <c r="AB248" s="199">
        <f t="shared" si="87"/>
        <v>44795</v>
      </c>
      <c r="AC248" s="119">
        <f>IF(OR(t&lt;Tnet,NoTnet),'2021'!Resal_s+('2021'!Salim-'2021'!Resal_s)*(1-EXP(('2021'!Tnet_s-t)/'2021'!Tau_j)),Resal_s+(Salim-Resal_s)*(1-EXP((Tnet_s-t)/Tau_j)))*Salcycl</f>
        <v>0.16885321723200566</v>
      </c>
      <c r="AD248" s="233">
        <f>(INDEX(Models!$BJ248:$BT248,,AH248)*(1-AF248)+INDEX(Models!$BJ248:$BT248,,AH248+1)*AF248-ERP_i)*AE248*Ramure*Pc/MaxiM</f>
        <v>6.3012424338397214E-3</v>
      </c>
      <c r="AE248" s="307">
        <f t="shared" si="88"/>
        <v>1</v>
      </c>
      <c r="AF248" s="179">
        <f t="shared" si="89"/>
        <v>0.6667520652402753</v>
      </c>
      <c r="AG248" s="837">
        <f t="shared" si="95"/>
        <v>0</v>
      </c>
      <c r="AH248" s="178">
        <f t="shared" si="90"/>
        <v>6</v>
      </c>
      <c r="AI248" s="227">
        <f t="shared" si="91"/>
        <v>0.6667520652402753</v>
      </c>
      <c r="AJ248" s="267" t="b">
        <f t="shared" si="92"/>
        <v>1</v>
      </c>
      <c r="AK248" s="267" t="b">
        <f t="shared" si="93"/>
        <v>0</v>
      </c>
      <c r="AL248" s="267"/>
      <c r="AM248" s="267"/>
      <c r="AN248" s="75"/>
    </row>
    <row r="249" spans="1:40" s="6" customFormat="1" ht="11.25" x14ac:dyDescent="0.2">
      <c r="A249" s="56">
        <f t="shared" si="94"/>
        <v>44796</v>
      </c>
      <c r="B249" s="618">
        <v>39.762999999999998</v>
      </c>
      <c r="C249" s="866"/>
      <c r="D249" s="395">
        <f t="shared" si="74"/>
        <v>41.159254960923128</v>
      </c>
      <c r="E249" s="387">
        <f t="shared" si="96"/>
        <v>48.309607299510603</v>
      </c>
      <c r="F249" s="387">
        <f t="shared" si="75"/>
        <v>48.574231933886274</v>
      </c>
      <c r="G249" s="110">
        <f t="shared" si="97"/>
        <v>0.88107828500133223</v>
      </c>
      <c r="H249" s="414" t="b">
        <f>Wh_hp&gt;='2021'!Maxi_hp</f>
        <v>0</v>
      </c>
      <c r="I249" s="382">
        <f>IF(H249,Wh_hp,'2021'!Maxi_hp)</f>
        <v>52.494512682759208</v>
      </c>
      <c r="J249" s="85">
        <f>IF(H249,An,'2021'!An_max)</f>
        <v>2019</v>
      </c>
      <c r="K249" s="199">
        <f t="shared" si="76"/>
        <v>44796</v>
      </c>
      <c r="L249" s="147">
        <f>IF(t&lt;Tvie,1-EXP((T0-t)*PertePVj)+'2021'!Pspv,1-EXP((T0-t)*PertePVj)+Pspv)</f>
        <v>3.3923232144234539E-2</v>
      </c>
      <c r="M249" s="870"/>
      <c r="N249" s="870"/>
      <c r="O249" s="48">
        <f>IF(t&lt;Tnet,'2021'!Resal+('2021'!Salim-'2021'!Resal)*(1-EXP(('2021'!Tnet-t)/('2021'!Tau_j))),Resal+(Salim-Resal)*(1-EXP((Tnet-t)/(Tau_j))))*Salcycl</f>
        <v>0.14801098038857186</v>
      </c>
      <c r="P249" s="341">
        <f>(INDEX(Models!$BJ249:$BT249,,T249)*(1-R249)+INDEX(Models!$BJ249:$BT249,,T249+1)*R249-ERP_i)*Q249*Ramure*Pc/MaxiM</f>
        <v>6.5517393664698068E-3</v>
      </c>
      <c r="Q249" s="307">
        <f t="shared" si="77"/>
        <v>1</v>
      </c>
      <c r="R249" s="179">
        <f t="shared" si="78"/>
        <v>0.66802996043841611</v>
      </c>
      <c r="S249" s="837">
        <f t="shared" si="79"/>
        <v>0</v>
      </c>
      <c r="T249" s="178">
        <f t="shared" si="80"/>
        <v>6</v>
      </c>
      <c r="U249" s="253">
        <f t="shared" si="81"/>
        <v>0.66802996043841611</v>
      </c>
      <c r="V249" s="385">
        <f t="shared" si="82"/>
        <v>45.079836694071624</v>
      </c>
      <c r="W249" s="404"/>
      <c r="X249" s="157">
        <f t="shared" si="83"/>
        <v>44796</v>
      </c>
      <c r="Y249" s="387">
        <f t="shared" si="84"/>
        <v>38.790206815615427</v>
      </c>
      <c r="Z249" s="387">
        <f t="shared" si="85"/>
        <v>40.152302701276405</v>
      </c>
      <c r="AA249" s="388">
        <f t="shared" si="86"/>
        <v>48.309607299510603</v>
      </c>
      <c r="AB249" s="199">
        <f t="shared" si="87"/>
        <v>44796</v>
      </c>
      <c r="AC249" s="119">
        <f>IF(OR(t&lt;Tnet,NoTnet),'2021'!Resal_s+('2021'!Salim-'2021'!Resal_s)*(1-EXP(('2021'!Tnet_s-t)/'2021'!Tau_j)),Resal_s+(Salim-Resal_s)*(1-EXP((Tnet_s-t)/Tau_j)))*Salcycl</f>
        <v>0.16885470725647644</v>
      </c>
      <c r="AD249" s="233">
        <f>(INDEX(Models!$BJ249:$BT249,,AH249)*(1-AF249)+INDEX(Models!$BJ249:$BT249,,AH249+1)*AF249-ERP_i)*AE249*Ramure*Pc/MaxiM</f>
        <v>6.5517393664698068E-3</v>
      </c>
      <c r="AE249" s="307">
        <f t="shared" si="88"/>
        <v>1</v>
      </c>
      <c r="AF249" s="179">
        <f t="shared" si="89"/>
        <v>0.66802996043841611</v>
      </c>
      <c r="AG249" s="837">
        <f t="shared" si="95"/>
        <v>0</v>
      </c>
      <c r="AH249" s="178">
        <f t="shared" si="90"/>
        <v>6</v>
      </c>
      <c r="AI249" s="227">
        <f t="shared" si="91"/>
        <v>0.66802996043841611</v>
      </c>
      <c r="AJ249" s="267" t="b">
        <f t="shared" si="92"/>
        <v>1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4"/>
        <v>44797</v>
      </c>
      <c r="B250" s="618">
        <v>40.149000000000001</v>
      </c>
      <c r="C250" s="866"/>
      <c r="D250" s="395">
        <f t="shared" si="74"/>
        <v>41.559776286455424</v>
      </c>
      <c r="E250" s="387">
        <f t="shared" si="96"/>
        <v>48.783968641295807</v>
      </c>
      <c r="F250" s="387">
        <f t="shared" si="75"/>
        <v>49.067740594691465</v>
      </c>
      <c r="G250" s="110">
        <f t="shared" si="97"/>
        <v>0.89457669912579907</v>
      </c>
      <c r="H250" s="414" t="b">
        <f>Wh_hp&gt;='2021'!Maxi_hp</f>
        <v>0</v>
      </c>
      <c r="I250" s="382">
        <f>IF(H250,Wh_hp,'2021'!Maxi_hp)</f>
        <v>52.36810981673333</v>
      </c>
      <c r="J250" s="85">
        <f>IF(H250,An,'2021'!An_max)</f>
        <v>2019</v>
      </c>
      <c r="K250" s="199">
        <f t="shared" si="76"/>
        <v>44797</v>
      </c>
      <c r="L250" s="147">
        <f>IF(t&lt;Tvie,1-EXP((T0-t)*PertePVj)+'2021'!Pspv,1-EXP((T0-t)*PertePVj)+Pspv)</f>
        <v>3.3945714161969787E-2</v>
      </c>
      <c r="M250" s="870"/>
      <c r="N250" s="870"/>
      <c r="O250" s="48">
        <f>IF(t&lt;Tnet,'2021'!Resal+('2021'!Salim-'2021'!Resal)*(1-EXP(('2021'!Tnet-t)/('2021'!Tau_j))),Resal+(Salim-Resal)*(1-EXP((Tnet-t)/(Tau_j))))*Salcycl</f>
        <v>0.14808537632432547</v>
      </c>
      <c r="P250" s="341">
        <f>(INDEX(Models!$BJ250:$BT250,,T250)*(1-R250)+INDEX(Models!$BJ250:$BT250,,T250+1)*R250-ERP_i)*Q250*Ramure*Pc/MaxiM</f>
        <v>6.7982375157505694E-3</v>
      </c>
      <c r="Q250" s="307">
        <f t="shared" si="77"/>
        <v>1</v>
      </c>
      <c r="R250" s="179">
        <f t="shared" si="78"/>
        <v>0.66926101060794607</v>
      </c>
      <c r="S250" s="837">
        <f t="shared" si="79"/>
        <v>0</v>
      </c>
      <c r="T250" s="178">
        <f t="shared" si="80"/>
        <v>6</v>
      </c>
      <c r="U250" s="253">
        <f t="shared" si="81"/>
        <v>0.66926101060794607</v>
      </c>
      <c r="V250" s="385">
        <f t="shared" si="82"/>
        <v>44.834627414096708</v>
      </c>
      <c r="W250" s="404"/>
      <c r="X250" s="157">
        <f t="shared" si="83"/>
        <v>44797</v>
      </c>
      <c r="Y250" s="387">
        <f t="shared" si="84"/>
        <v>39.17016978353049</v>
      </c>
      <c r="Z250" s="387">
        <f t="shared" si="85"/>
        <v>40.546551428578624</v>
      </c>
      <c r="AA250" s="388">
        <f t="shared" si="86"/>
        <v>48.783968641295807</v>
      </c>
      <c r="AB250" s="199">
        <f t="shared" si="87"/>
        <v>44797</v>
      </c>
      <c r="AC250" s="119">
        <f>IF(OR(t&lt;Tnet,NoTnet),'2021'!Resal_s+('2021'!Salim-'2021'!Resal_s)*(1-EXP(('2021'!Tnet_s-t)/'2021'!Tau_j)),Resal_s+(Salim-Resal_s)*(1-EXP((Tnet_s-t)/Tau_j)))*Salcycl</f>
        <v>0.16885500384944449</v>
      </c>
      <c r="AD250" s="233">
        <f>(INDEX(Models!$BJ250:$BT250,,AH250)*(1-AF250)+INDEX(Models!$BJ250:$BT250,,AH250+1)*AF250-ERP_i)*AE250*Ramure*Pc/MaxiM</f>
        <v>6.7982375157505694E-3</v>
      </c>
      <c r="AE250" s="307">
        <f t="shared" si="88"/>
        <v>1</v>
      </c>
      <c r="AF250" s="179">
        <f t="shared" si="89"/>
        <v>0.66926101060794607</v>
      </c>
      <c r="AG250" s="837">
        <f t="shared" si="95"/>
        <v>0</v>
      </c>
      <c r="AH250" s="178">
        <f t="shared" si="90"/>
        <v>6</v>
      </c>
      <c r="AI250" s="227">
        <f t="shared" si="91"/>
        <v>0.66926101060794607</v>
      </c>
      <c r="AJ250" s="267" t="b">
        <f t="shared" si="92"/>
        <v>1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4"/>
        <v>44798</v>
      </c>
      <c r="B251" s="618">
        <v>30.59</v>
      </c>
      <c r="C251" s="866"/>
      <c r="D251" s="395">
        <f t="shared" si="74"/>
        <v>31.665624115542428</v>
      </c>
      <c r="E251" s="387">
        <f t="shared" si="96"/>
        <v>37.173137101491676</v>
      </c>
      <c r="F251" s="387">
        <f t="shared" si="75"/>
        <v>37.318061932435498</v>
      </c>
      <c r="G251" s="110">
        <f t="shared" si="97"/>
        <v>0.68392721962567771</v>
      </c>
      <c r="H251" s="414" t="b">
        <f>Wh_hp&gt;='2021'!Maxi_hp</f>
        <v>0</v>
      </c>
      <c r="I251" s="382">
        <f>IF(H251,Wh_hp,'2021'!Maxi_hp)</f>
        <v>49.230030482850516</v>
      </c>
      <c r="J251" s="85">
        <f>IF(H251,An,'2021'!An_max)</f>
        <v>2021</v>
      </c>
      <c r="K251" s="199">
        <f t="shared" si="76"/>
        <v>44798</v>
      </c>
      <c r="L251" s="147">
        <f>IF(t&lt;Tvie,1-EXP((T0-t)*PertePVj)+'2021'!Pspv,1-EXP((T0-t)*PertePVj)+Pspv)</f>
        <v>3.3968195656515765E-2</v>
      </c>
      <c r="M251" s="870"/>
      <c r="N251" s="870"/>
      <c r="O251" s="48">
        <f>IF(t&lt;Tnet,'2021'!Resal+('2021'!Salim-'2021'!Resal)*(1-EXP(('2021'!Tnet-t)/('2021'!Tau_j))),Resal+(Salim-Resal)*(1-EXP((Tnet-t)/(Tau_j))))*Salcycl</f>
        <v>0.14815841264385091</v>
      </c>
      <c r="P251" s="341">
        <f>(INDEX(Models!$BJ251:$BT251,,T251)*(1-R251)+INDEX(Models!$BJ251:$BT251,,T251+1)*R251-ERP_i)*Q251*Ramure*Pc/MaxiM</f>
        <v>7.0407651556308069E-3</v>
      </c>
      <c r="Q251" s="307">
        <f t="shared" si="77"/>
        <v>1</v>
      </c>
      <c r="R251" s="179">
        <f t="shared" si="78"/>
        <v>0.67044676184309648</v>
      </c>
      <c r="S251" s="837">
        <f t="shared" si="79"/>
        <v>0</v>
      </c>
      <c r="T251" s="178">
        <f t="shared" si="80"/>
        <v>6</v>
      </c>
      <c r="U251" s="253">
        <f t="shared" si="81"/>
        <v>0.67044676184309648</v>
      </c>
      <c r="V251" s="385">
        <f t="shared" si="82"/>
        <v>44.585216033271969</v>
      </c>
      <c r="W251" s="404"/>
      <c r="X251" s="157">
        <f t="shared" si="83"/>
        <v>44798</v>
      </c>
      <c r="Y251" s="387">
        <f t="shared" si="84"/>
        <v>29.846810249952309</v>
      </c>
      <c r="Z251" s="387">
        <f t="shared" si="85"/>
        <v>30.896301877179106</v>
      </c>
      <c r="AA251" s="388">
        <f t="shared" si="86"/>
        <v>37.173137101491676</v>
      </c>
      <c r="AB251" s="199">
        <f t="shared" si="87"/>
        <v>44798</v>
      </c>
      <c r="AC251" s="119">
        <f>IF(OR(t&lt;Tnet,NoTnet),'2021'!Resal_s+('2021'!Salim-'2021'!Resal_s)*(1-EXP(('2021'!Tnet_s-t)/'2021'!Tau_j)),Resal_s+(Salim-Resal_s)*(1-EXP((Tnet_s-t)/Tau_j)))*Salcycl</f>
        <v>0.16885406273824266</v>
      </c>
      <c r="AD251" s="233">
        <f>(INDEX(Models!$BJ251:$BT251,,AH251)*(1-AF251)+INDEX(Models!$BJ251:$BT251,,AH251+1)*AF251-ERP_i)*AE251*Ramure*Pc/MaxiM</f>
        <v>7.0407651556308069E-3</v>
      </c>
      <c r="AE251" s="307">
        <f t="shared" si="88"/>
        <v>1</v>
      </c>
      <c r="AF251" s="179">
        <f t="shared" si="89"/>
        <v>0.67044676184309648</v>
      </c>
      <c r="AG251" s="837">
        <f t="shared" si="95"/>
        <v>0</v>
      </c>
      <c r="AH251" s="178">
        <f t="shared" si="90"/>
        <v>6</v>
      </c>
      <c r="AI251" s="227">
        <f t="shared" si="91"/>
        <v>0.67044676184309648</v>
      </c>
      <c r="AJ251" s="267" t="b">
        <f t="shared" si="92"/>
        <v>1</v>
      </c>
      <c r="AK251" s="267" t="b">
        <f t="shared" si="93"/>
        <v>0</v>
      </c>
      <c r="AL251" s="267"/>
      <c r="AM251" s="267"/>
      <c r="AN251" s="75"/>
    </row>
    <row r="252" spans="1:40" s="6" customFormat="1" ht="11.25" x14ac:dyDescent="0.2">
      <c r="A252" s="56">
        <f t="shared" si="94"/>
        <v>44799</v>
      </c>
      <c r="B252" s="618">
        <v>37.052</v>
      </c>
      <c r="C252" s="866"/>
      <c r="D252" s="395">
        <f t="shared" si="74"/>
        <v>38.35573746913748</v>
      </c>
      <c r="E252" s="387">
        <f t="shared" si="96"/>
        <v>45.030629930483165</v>
      </c>
      <c r="F252" s="387">
        <f t="shared" si="75"/>
        <v>45.282936281641227</v>
      </c>
      <c r="G252" s="110">
        <f t="shared" si="97"/>
        <v>0.83436029805536316</v>
      </c>
      <c r="H252" s="414" t="b">
        <f>Wh_hp&gt;='2021'!Maxi_hp</f>
        <v>0</v>
      </c>
      <c r="I252" s="382">
        <f>IF(H252,Wh_hp,'2021'!Maxi_hp)</f>
        <v>51.409197401417927</v>
      </c>
      <c r="J252" s="85">
        <f>IF(H252,An,'2021'!An_max)</f>
        <v>2021</v>
      </c>
      <c r="K252" s="199">
        <f t="shared" si="76"/>
        <v>44799</v>
      </c>
      <c r="L252" s="147">
        <f>IF(t&lt;Tvie,1-EXP((T0-t)*PertePVj)+'2021'!Pspv,1-EXP((T0-t)*PertePVj)+Pspv)</f>
        <v>3.3990676627884464E-2</v>
      </c>
      <c r="M252" s="870"/>
      <c r="N252" s="870"/>
      <c r="O252" s="48">
        <f>IF(t&lt;Tnet,'2021'!Resal+('2021'!Salim-'2021'!Resal)*(1-EXP(('2021'!Tnet-t)/('2021'!Tau_j))),Resal+(Salim-Resal)*(1-EXP((Tnet-t)/(Tau_j))))*Salcycl</f>
        <v>0.1482300485613941</v>
      </c>
      <c r="P252" s="341">
        <f>(INDEX(Models!$BJ252:$BT252,,T252)*(1-R252)+INDEX(Models!$BJ252:$BT252,,T252+1)*R252-ERP_i)*Q252*Ramure*Pc/MaxiM</f>
        <v>7.2793499651945363E-3</v>
      </c>
      <c r="Q252" s="307">
        <f t="shared" si="77"/>
        <v>1</v>
      </c>
      <c r="R252" s="179">
        <f t="shared" si="78"/>
        <v>0.67158872224506161</v>
      </c>
      <c r="S252" s="837">
        <f t="shared" si="79"/>
        <v>0</v>
      </c>
      <c r="T252" s="178">
        <f t="shared" si="80"/>
        <v>6</v>
      </c>
      <c r="U252" s="253">
        <f t="shared" si="81"/>
        <v>0.67158872224506161</v>
      </c>
      <c r="V252" s="385">
        <f t="shared" si="82"/>
        <v>44.331419577256426</v>
      </c>
      <c r="W252" s="404"/>
      <c r="X252" s="157">
        <f t="shared" si="83"/>
        <v>44799</v>
      </c>
      <c r="Y252" s="387">
        <f t="shared" si="84"/>
        <v>36.154951984044651</v>
      </c>
      <c r="Z252" s="387">
        <f t="shared" si="85"/>
        <v>37.427125297130736</v>
      </c>
      <c r="AA252" s="388">
        <f t="shared" si="86"/>
        <v>45.030629930483165</v>
      </c>
      <c r="AB252" s="199">
        <f t="shared" si="87"/>
        <v>44799</v>
      </c>
      <c r="AC252" s="119">
        <f>IF(OR(t&lt;Tnet,NoTnet),'2021'!Resal_s+('2021'!Salim-'2021'!Resal_s)*(1-EXP(('2021'!Tnet_s-t)/'2021'!Tau_j)),Resal_s+(Salim-Resal_s)*(1-EXP((Tnet_s-t)/Tau_j)))*Salcycl</f>
        <v>0.16885183807311771</v>
      </c>
      <c r="AD252" s="233">
        <f>(INDEX(Models!$BJ252:$BT252,,AH252)*(1-AF252)+INDEX(Models!$BJ252:$BT252,,AH252+1)*AF252-ERP_i)*AE252*Ramure*Pc/MaxiM</f>
        <v>7.2793499651945363E-3</v>
      </c>
      <c r="AE252" s="307">
        <f t="shared" si="88"/>
        <v>1</v>
      </c>
      <c r="AF252" s="179">
        <f t="shared" si="89"/>
        <v>0.67158872224506161</v>
      </c>
      <c r="AG252" s="837">
        <f t="shared" si="95"/>
        <v>0</v>
      </c>
      <c r="AH252" s="178">
        <f t="shared" si="90"/>
        <v>6</v>
      </c>
      <c r="AI252" s="227">
        <f t="shared" si="91"/>
        <v>0.67158872224506161</v>
      </c>
      <c r="AJ252" s="267" t="b">
        <f t="shared" si="92"/>
        <v>1</v>
      </c>
      <c r="AK252" s="267" t="b">
        <f t="shared" si="93"/>
        <v>0</v>
      </c>
      <c r="AL252" s="267"/>
      <c r="AM252" s="267"/>
      <c r="AN252" s="75"/>
    </row>
    <row r="253" spans="1:40" s="6" customFormat="1" ht="11.25" x14ac:dyDescent="0.2">
      <c r="A253" s="56">
        <f t="shared" si="94"/>
        <v>44800</v>
      </c>
      <c r="B253" s="618">
        <v>43.109000000000002</v>
      </c>
      <c r="C253" s="866"/>
      <c r="D253" s="395">
        <f t="shared" si="74"/>
        <v>44.62690182147292</v>
      </c>
      <c r="E253" s="387">
        <f t="shared" si="96"/>
        <v>52.397457429471835</v>
      </c>
      <c r="F253" s="387">
        <f t="shared" si="75"/>
        <v>52.781666805057725</v>
      </c>
      <c r="G253" s="110">
        <f t="shared" si="97"/>
        <v>0.97789462499332624</v>
      </c>
      <c r="H253" s="414" t="b">
        <f>Wh_hp&gt;='2021'!Maxi_hp</f>
        <v>1</v>
      </c>
      <c r="I253" s="382">
        <f>IF(H253,Wh_hp,'2021'!Maxi_hp)</f>
        <v>52.781666805057725</v>
      </c>
      <c r="J253" s="85">
        <f>IF(H253,An,'2021'!An_max)</f>
        <v>2022</v>
      </c>
      <c r="K253" s="199">
        <f t="shared" si="76"/>
        <v>44800</v>
      </c>
      <c r="L253" s="147">
        <f>IF(t&lt;Tvie,1-EXP((T0-t)*PertePVj)+'2021'!Pspv,1-EXP((T0-t)*PertePVj)+Pspv)</f>
        <v>3.4013157076088096E-2</v>
      </c>
      <c r="M253" s="870"/>
      <c r="N253" s="870"/>
      <c r="O253" s="48">
        <f>IF(t&lt;Tnet,'2021'!Resal+('2021'!Salim-'2021'!Resal)*(1-EXP(('2021'!Tnet-t)/('2021'!Tau_j))),Resal+(Salim-Resal)*(1-EXP((Tnet-t)/(Tau_j))))*Salcycl</f>
        <v>0.14830024182868531</v>
      </c>
      <c r="P253" s="341">
        <f>(INDEX(Models!$BJ253:$BT253,,T253)*(1-R253)+INDEX(Models!$BJ253:$BT253,,T253+1)*R253-ERP_i)*Q253*Ramure*Pc/MaxiM</f>
        <v>7.5140229510166088E-3</v>
      </c>
      <c r="Q253" s="307">
        <f t="shared" si="77"/>
        <v>1</v>
      </c>
      <c r="R253" s="179">
        <f t="shared" si="78"/>
        <v>0.67268836181440772</v>
      </c>
      <c r="S253" s="837">
        <f t="shared" si="79"/>
        <v>0</v>
      </c>
      <c r="T253" s="178">
        <f t="shared" si="80"/>
        <v>6</v>
      </c>
      <c r="U253" s="253">
        <f t="shared" si="81"/>
        <v>0.67268836181440772</v>
      </c>
      <c r="V253" s="385">
        <f t="shared" si="82"/>
        <v>44.073055077346581</v>
      </c>
      <c r="W253" s="404"/>
      <c r="X253" s="157">
        <f t="shared" si="83"/>
        <v>44800</v>
      </c>
      <c r="Y253" s="387">
        <f t="shared" si="84"/>
        <v>42.068955696329652</v>
      </c>
      <c r="Z253" s="387">
        <f t="shared" si="85"/>
        <v>43.550236739242322</v>
      </c>
      <c r="AA253" s="388">
        <f t="shared" si="86"/>
        <v>52.397457429471835</v>
      </c>
      <c r="AB253" s="199">
        <f t="shared" si="87"/>
        <v>44800</v>
      </c>
      <c r="AC253" s="119">
        <f>IF(OR(t&lt;Tnet,NoTnet),'2021'!Resal_s+('2021'!Salim-'2021'!Resal_s)*(1-EXP(('2021'!Tnet_s-t)/'2021'!Tau_j)),Resal_s+(Salim-Resal_s)*(1-EXP((Tnet_s-t)/Tau_j)))*Salcycl</f>
        <v>0.16884828242168182</v>
      </c>
      <c r="AD253" s="233">
        <f>(INDEX(Models!$BJ253:$BT253,,AH253)*(1-AF253)+INDEX(Models!$BJ253:$BT253,,AH253+1)*AF253-ERP_i)*AE253*Ramure*Pc/MaxiM</f>
        <v>7.5140229510166088E-3</v>
      </c>
      <c r="AE253" s="307">
        <f t="shared" si="88"/>
        <v>1</v>
      </c>
      <c r="AF253" s="179">
        <f t="shared" si="89"/>
        <v>0.67268836181440772</v>
      </c>
      <c r="AG253" s="837">
        <f t="shared" si="95"/>
        <v>0</v>
      </c>
      <c r="AH253" s="178">
        <f t="shared" si="90"/>
        <v>6</v>
      </c>
      <c r="AI253" s="227">
        <f t="shared" si="91"/>
        <v>0.67268836181440772</v>
      </c>
      <c r="AJ253" s="267" t="b">
        <f t="shared" si="92"/>
        <v>1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4"/>
        <v>44801</v>
      </c>
      <c r="B254" s="618">
        <v>41.576000000000001</v>
      </c>
      <c r="C254" s="866"/>
      <c r="D254" s="395">
        <f t="shared" si="74"/>
        <v>43.04092531004585</v>
      </c>
      <c r="E254" s="387">
        <f t="shared" si="96"/>
        <v>50.539403470999005</v>
      </c>
      <c r="F254" s="387">
        <f t="shared" si="75"/>
        <v>50.904763395139128</v>
      </c>
      <c r="G254" s="110">
        <f t="shared" si="97"/>
        <v>0.94846593372379906</v>
      </c>
      <c r="H254" s="414" t="b">
        <f>Wh_hp&gt;='2021'!Maxi_hp</f>
        <v>0</v>
      </c>
      <c r="I254" s="382">
        <f>IF(H254,Wh_hp,'2021'!Maxi_hp)</f>
        <v>52.903282092675809</v>
      </c>
      <c r="J254" s="85">
        <f>IF(H254,An,'2021'!An_max)</f>
        <v>2021</v>
      </c>
      <c r="K254" s="199">
        <f t="shared" si="76"/>
        <v>44801</v>
      </c>
      <c r="L254" s="147">
        <f>IF(t&lt;Tvie,1-EXP((T0-t)*PertePVj)+'2021'!Pspv,1-EXP((T0-t)*PertePVj)+Pspv)</f>
        <v>3.4035637001138874E-2</v>
      </c>
      <c r="M254" s="870"/>
      <c r="N254" s="870"/>
      <c r="O254" s="48">
        <f>IF(t&lt;Tnet,'2021'!Resal+('2021'!Salim-'2021'!Resal)*(1-EXP(('2021'!Tnet-t)/('2021'!Tau_j))),Resal+(Salim-Resal)*(1-EXP((Tnet-t)/(Tau_j))))*Salcycl</f>
        <v>0.14836894870071041</v>
      </c>
      <c r="P254" s="341">
        <f>(INDEX(Models!$BJ254:$BT254,,T254)*(1-R254)+INDEX(Models!$BJ254:$BT254,,T254+1)*R254-ERP_i)*Q254*Ramure*Pc/MaxiM</f>
        <v>7.7412748175015181E-3</v>
      </c>
      <c r="Q254" s="307">
        <f t="shared" si="77"/>
        <v>1</v>
      </c>
      <c r="R254" s="179">
        <f t="shared" si="78"/>
        <v>0.67374711244799146</v>
      </c>
      <c r="S254" s="837">
        <f t="shared" si="79"/>
        <v>0</v>
      </c>
      <c r="T254" s="178">
        <f t="shared" si="80"/>
        <v>6</v>
      </c>
      <c r="U254" s="253">
        <f t="shared" si="81"/>
        <v>0.67374711244799146</v>
      </c>
      <c r="V254" s="385">
        <f t="shared" si="82"/>
        <v>43.81009602498969</v>
      </c>
      <c r="W254" s="404"/>
      <c r="X254" s="157">
        <f t="shared" si="83"/>
        <v>44801</v>
      </c>
      <c r="Y254" s="387">
        <f t="shared" si="84"/>
        <v>40.576454984238595</v>
      </c>
      <c r="Z254" s="387">
        <f t="shared" si="85"/>
        <v>42.006161447062034</v>
      </c>
      <c r="AA254" s="388">
        <f t="shared" si="86"/>
        <v>50.539403470999005</v>
      </c>
      <c r="AB254" s="199">
        <f t="shared" si="87"/>
        <v>44801</v>
      </c>
      <c r="AC254" s="119">
        <f>IF(OR(t&lt;Tnet,NoTnet),'2021'!Resal_s+('2021'!Salim-'2021'!Resal_s)*(1-EXP(('2021'!Tnet_s-t)/'2021'!Tau_j)),Resal_s+(Salim-Resal_s)*(1-EXP((Tnet_s-t)/Tau_j)))*Salcycl</f>
        <v>0.16884334673308121</v>
      </c>
      <c r="AD254" s="233">
        <f>(INDEX(Models!$BJ254:$BT254,,AH254)*(1-AF254)+INDEX(Models!$BJ254:$BT254,,AH254+1)*AF254-ERP_i)*AE254*Ramure*Pc/MaxiM</f>
        <v>7.7412748175015181E-3</v>
      </c>
      <c r="AE254" s="307">
        <f t="shared" si="88"/>
        <v>1</v>
      </c>
      <c r="AF254" s="179">
        <f t="shared" si="89"/>
        <v>0.67374711244799146</v>
      </c>
      <c r="AG254" s="837">
        <f t="shared" si="95"/>
        <v>0</v>
      </c>
      <c r="AH254" s="178">
        <f t="shared" si="90"/>
        <v>6</v>
      </c>
      <c r="AI254" s="227">
        <f t="shared" si="91"/>
        <v>0.67374711244799146</v>
      </c>
      <c r="AJ254" s="267" t="b">
        <f t="shared" si="92"/>
        <v>1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4"/>
        <v>44802</v>
      </c>
      <c r="B255" s="618">
        <v>29.215</v>
      </c>
      <c r="C255" s="866"/>
      <c r="D255" s="395">
        <f t="shared" si="74"/>
        <v>30.245090823901219</v>
      </c>
      <c r="E255" s="387">
        <f t="shared" si="96"/>
        <v>35.517113480201033</v>
      </c>
      <c r="F255" s="387">
        <f t="shared" si="75"/>
        <v>35.667655204238891</v>
      </c>
      <c r="G255" s="110">
        <f t="shared" si="97"/>
        <v>0.66843555052497239</v>
      </c>
      <c r="H255" s="414" t="b">
        <f>Wh_hp&gt;='2021'!Maxi_hp</f>
        <v>0</v>
      </c>
      <c r="I255" s="382">
        <f>IF(H255,Wh_hp,'2021'!Maxi_hp)</f>
        <v>52.164540919966655</v>
      </c>
      <c r="J255" s="85">
        <f>IF(H255,An,'2021'!An_max)</f>
        <v>2021</v>
      </c>
      <c r="K255" s="199">
        <f t="shared" si="76"/>
        <v>44802</v>
      </c>
      <c r="L255" s="147">
        <f>IF(t&lt;Tvie,1-EXP((T0-t)*PertePVj)+'2021'!Pspv,1-EXP((T0-t)*PertePVj)+Pspv)</f>
        <v>3.405811640304901E-2</v>
      </c>
      <c r="M255" s="870"/>
      <c r="N255" s="870"/>
      <c r="O255" s="48">
        <f>IF(t&lt;Tnet,'2021'!Resal+('2021'!Salim-'2021'!Resal)*(1-EXP(('2021'!Tnet-t)/('2021'!Tau_j))),Resal+(Salim-Resal)*(1-EXP((Tnet-t)/(Tau_j))))*Salcycl</f>
        <v>0.14843612387697819</v>
      </c>
      <c r="P255" s="341">
        <f>(INDEX(Models!$BJ255:$BT255,,T255)*(1-R255)+INDEX(Models!$BJ255:$BT255,,T255+1)*R255-ERP_i)*Q255*Ramure*Pc/MaxiM</f>
        <v>7.9644446531860931E-3</v>
      </c>
      <c r="Q255" s="307">
        <f t="shared" si="77"/>
        <v>1</v>
      </c>
      <c r="R255" s="179">
        <f t="shared" si="78"/>
        <v>0.67476636803120393</v>
      </c>
      <c r="S255" s="837">
        <f t="shared" si="79"/>
        <v>0</v>
      </c>
      <c r="T255" s="178">
        <f t="shared" si="80"/>
        <v>6</v>
      </c>
      <c r="U255" s="253">
        <f t="shared" si="81"/>
        <v>0.67476636803120393</v>
      </c>
      <c r="V255" s="385">
        <f t="shared" si="82"/>
        <v>43.542211772699773</v>
      </c>
      <c r="W255" s="404"/>
      <c r="X255" s="157">
        <f t="shared" si="83"/>
        <v>44802</v>
      </c>
      <c r="Y255" s="387">
        <f t="shared" si="84"/>
        <v>28.515098282276778</v>
      </c>
      <c r="Z255" s="387">
        <f t="shared" si="85"/>
        <v>29.520511292142075</v>
      </c>
      <c r="AA255" s="388">
        <f t="shared" si="86"/>
        <v>35.517113480201033</v>
      </c>
      <c r="AB255" s="199">
        <f t="shared" si="87"/>
        <v>44802</v>
      </c>
      <c r="AC255" s="119">
        <f>IF(OR(t&lt;Tnet,NoTnet),'2021'!Resal_s+('2021'!Salim-'2021'!Resal_s)*(1-EXP(('2021'!Tnet_s-t)/'2021'!Tau_j)),Resal_s+(Salim-Resal_s)*(1-EXP((Tnet_s-t)/Tau_j)))*Salcycl</f>
        <v>0.16883698027436142</v>
      </c>
      <c r="AD255" s="233">
        <f>(INDEX(Models!$BJ255:$BT255,,AH255)*(1-AF255)+INDEX(Models!$BJ255:$BT255,,AH255+1)*AF255-ERP_i)*AE255*Ramure*Pc/MaxiM</f>
        <v>7.9644446531860931E-3</v>
      </c>
      <c r="AE255" s="307">
        <f t="shared" si="88"/>
        <v>1</v>
      </c>
      <c r="AF255" s="179">
        <f t="shared" si="89"/>
        <v>0.67476636803120393</v>
      </c>
      <c r="AG255" s="837">
        <f t="shared" si="95"/>
        <v>0</v>
      </c>
      <c r="AH255" s="178">
        <f t="shared" si="90"/>
        <v>6</v>
      </c>
      <c r="AI255" s="227">
        <f t="shared" si="91"/>
        <v>0.67476636803120393</v>
      </c>
      <c r="AJ255" s="267" t="b">
        <f t="shared" si="92"/>
        <v>1</v>
      </c>
      <c r="AK255" s="267" t="b">
        <f t="shared" si="93"/>
        <v>0</v>
      </c>
      <c r="AL255" s="267"/>
      <c r="AM255" s="267"/>
      <c r="AN255" s="75"/>
    </row>
    <row r="256" spans="1:40" s="6" customFormat="1" ht="11.25" x14ac:dyDescent="0.2">
      <c r="A256" s="56">
        <f t="shared" si="94"/>
        <v>44803</v>
      </c>
      <c r="B256" s="618">
        <v>40.679000000000002</v>
      </c>
      <c r="C256" s="866"/>
      <c r="D256" s="395">
        <f t="shared" si="74"/>
        <v>42.114279722819205</v>
      </c>
      <c r="E256" s="387">
        <f t="shared" si="96"/>
        <v>49.459030902132156</v>
      </c>
      <c r="F256" s="387">
        <f t="shared" si="75"/>
        <v>49.831959715256041</v>
      </c>
      <c r="G256" s="110">
        <f t="shared" si="97"/>
        <v>0.93947423065491587</v>
      </c>
      <c r="H256" s="414" t="b">
        <f>Wh_hp&gt;='2021'!Maxi_hp</f>
        <v>0</v>
      </c>
      <c r="I256" s="382">
        <f>IF(H256,Wh_hp,'2021'!Maxi_hp)</f>
        <v>50.422665541987861</v>
      </c>
      <c r="J256" s="85">
        <f>IF(H256,An,'2021'!An_max)</f>
        <v>2021</v>
      </c>
      <c r="K256" s="199">
        <f t="shared" si="76"/>
        <v>44803</v>
      </c>
      <c r="L256" s="147">
        <f>IF(t&lt;Tvie,1-EXP((T0-t)*PertePVj)+'2021'!Pspv,1-EXP((T0-t)*PertePVj)+Pspv)</f>
        <v>3.4080595281830606E-2</v>
      </c>
      <c r="M256" s="870"/>
      <c r="N256" s="870"/>
      <c r="O256" s="48">
        <f>IF(t&lt;Tnet,'2021'!Resal+('2021'!Salim-'2021'!Resal)*(1-EXP(('2021'!Tnet-t)/('2021'!Tau_j))),Resal+(Salim-Resal)*(1-EXP((Tnet-t)/(Tau_j))))*Salcycl</f>
        <v>0.14850172042081644</v>
      </c>
      <c r="P256" s="341">
        <f>(INDEX(Models!$BJ256:$BT256,,T256)*(1-R256)+INDEX(Models!$BJ256:$BT256,,T256+1)*R256-ERP_i)*Q256*Ramure*Pc/MaxiM</f>
        <v>8.1835734590661249E-3</v>
      </c>
      <c r="Q256" s="307">
        <f t="shared" si="77"/>
        <v>1</v>
      </c>
      <c r="R256" s="179">
        <f t="shared" si="78"/>
        <v>0.67574748461684853</v>
      </c>
      <c r="S256" s="837">
        <f t="shared" si="79"/>
        <v>0</v>
      </c>
      <c r="T256" s="178">
        <f t="shared" si="80"/>
        <v>6</v>
      </c>
      <c r="U256" s="253">
        <f t="shared" si="81"/>
        <v>0.67574748461684853</v>
      </c>
      <c r="V256" s="385">
        <f t="shared" si="82"/>
        <v>43.269219084088256</v>
      </c>
      <c r="W256" s="404"/>
      <c r="X256" s="157">
        <f t="shared" si="83"/>
        <v>44803</v>
      </c>
      <c r="Y256" s="387">
        <f t="shared" si="84"/>
        <v>39.707889739238944</v>
      </c>
      <c r="Z256" s="387">
        <f t="shared" si="85"/>
        <v>41.108905717475146</v>
      </c>
      <c r="AA256" s="388">
        <f t="shared" si="86"/>
        <v>49.459030902132156</v>
      </c>
      <c r="AB256" s="199">
        <f t="shared" si="87"/>
        <v>44803</v>
      </c>
      <c r="AC256" s="119">
        <f>IF(OR(t&lt;Tnet,NoTnet),'2021'!Resal_s+('2021'!Salim-'2021'!Resal_s)*(1-EXP(('2021'!Tnet_s-t)/'2021'!Tau_j)),Resal_s+(Salim-Resal_s)*(1-EXP((Tnet_s-t)/Tau_j)))*Salcycl</f>
        <v>0.16882913054200271</v>
      </c>
      <c r="AD256" s="233">
        <f>(INDEX(Models!$BJ256:$BT256,,AH256)*(1-AF256)+INDEX(Models!$BJ256:$BT256,,AH256+1)*AF256-ERP_i)*AE256*Ramure*Pc/MaxiM</f>
        <v>8.1835734590661249E-3</v>
      </c>
      <c r="AE256" s="307">
        <f t="shared" si="88"/>
        <v>1</v>
      </c>
      <c r="AF256" s="179">
        <f t="shared" si="89"/>
        <v>0.67574748461684853</v>
      </c>
      <c r="AG256" s="837">
        <f t="shared" si="95"/>
        <v>0</v>
      </c>
      <c r="AH256" s="178">
        <f t="shared" si="90"/>
        <v>6</v>
      </c>
      <c r="AI256" s="227">
        <f t="shared" si="91"/>
        <v>0.67574748461684853</v>
      </c>
      <c r="AJ256" s="267" t="b">
        <f t="shared" si="92"/>
        <v>1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4"/>
        <v>44804</v>
      </c>
      <c r="B257" s="618">
        <v>19.103000000000002</v>
      </c>
      <c r="C257" s="866"/>
      <c r="D257" s="395">
        <f t="shared" si="74"/>
        <v>19.777472604598167</v>
      </c>
      <c r="E257" s="387">
        <f t="shared" si="96"/>
        <v>23.228418639474544</v>
      </c>
      <c r="F257" s="387">
        <f t="shared" si="75"/>
        <v>23.268718354425438</v>
      </c>
      <c r="G257" s="110">
        <f t="shared" si="97"/>
        <v>0.44138197287421488</v>
      </c>
      <c r="H257" s="414" t="b">
        <f>Wh_hp&gt;='2021'!Maxi_hp</f>
        <v>0</v>
      </c>
      <c r="I257" s="382">
        <f>IF(H257,Wh_hp,'2021'!Maxi_hp)</f>
        <v>50.324433414295505</v>
      </c>
      <c r="J257" s="85">
        <f>IF(H257,An,'2021'!An_max)</f>
        <v>2021</v>
      </c>
      <c r="K257" s="199">
        <f t="shared" si="76"/>
        <v>44804</v>
      </c>
      <c r="L257" s="147">
        <f>IF(t&lt;Tvie,1-EXP((T0-t)*PertePVj)+'2021'!Pspv,1-EXP((T0-t)*PertePVj)+Pspv)</f>
        <v>3.4103073637495762E-2</v>
      </c>
      <c r="M257" s="870"/>
      <c r="N257" s="870"/>
      <c r="O257" s="48">
        <f>IF(t&lt;Tnet,'2021'!Resal+('2021'!Salim-'2021'!Resal)*(1-EXP(('2021'!Tnet-t)/('2021'!Tau_j))),Resal+(Salim-Resal)*(1-EXP((Tnet-t)/(Tau_j))))*Salcycl</f>
        <v>0.14856568965964023</v>
      </c>
      <c r="P257" s="341">
        <f>(INDEX(Models!$BJ257:$BT257,,T257)*(1-R257)+INDEX(Models!$BJ257:$BT257,,T257+1)*R257-ERP_i)*Q257*Ramure*Pc/MaxiM</f>
        <v>8.3987043318592153E-3</v>
      </c>
      <c r="Q257" s="307">
        <f t="shared" si="77"/>
        <v>1</v>
      </c>
      <c r="R257" s="179">
        <f t="shared" si="78"/>
        <v>0.67669178068242886</v>
      </c>
      <c r="S257" s="837">
        <f t="shared" si="79"/>
        <v>0</v>
      </c>
      <c r="T257" s="178">
        <f t="shared" si="80"/>
        <v>6</v>
      </c>
      <c r="U257" s="253">
        <f t="shared" si="81"/>
        <v>0.67669178068242886</v>
      </c>
      <c r="V257" s="385">
        <f t="shared" si="82"/>
        <v>42.990934746704632</v>
      </c>
      <c r="W257" s="404"/>
      <c r="X257" s="157">
        <f t="shared" si="83"/>
        <v>44804</v>
      </c>
      <c r="Y257" s="387">
        <f t="shared" si="84"/>
        <v>18.648574826893121</v>
      </c>
      <c r="Z257" s="387">
        <f t="shared" si="85"/>
        <v>19.3070029709301</v>
      </c>
      <c r="AA257" s="388">
        <f t="shared" si="86"/>
        <v>23.228418639474544</v>
      </c>
      <c r="AB257" s="199">
        <f t="shared" si="87"/>
        <v>44804</v>
      </c>
      <c r="AC257" s="119">
        <f>IF(OR(t&lt;Tnet,NoTnet),'2021'!Resal_s+('2021'!Salim-'2021'!Resal_s)*(1-EXP(('2021'!Tnet_s-t)/'2021'!Tau_j)),Resal_s+(Salim-Resal_s)*(1-EXP((Tnet_s-t)/Tau_j)))*Salcycl</f>
        <v>0.16881974315205267</v>
      </c>
      <c r="AD257" s="233">
        <f>(INDEX(Models!$BJ257:$BT257,,AH257)*(1-AF257)+INDEX(Models!$BJ257:$BT257,,AH257+1)*AF257-ERP_i)*AE257*Ramure*Pc/MaxiM</f>
        <v>8.3987043318592153E-3</v>
      </c>
      <c r="AE257" s="307">
        <f t="shared" si="88"/>
        <v>1</v>
      </c>
      <c r="AF257" s="179">
        <f t="shared" si="89"/>
        <v>0.67669178068242886</v>
      </c>
      <c r="AG257" s="837">
        <f t="shared" si="95"/>
        <v>0</v>
      </c>
      <c r="AH257" s="178">
        <f t="shared" si="90"/>
        <v>6</v>
      </c>
      <c r="AI257" s="227">
        <f t="shared" si="91"/>
        <v>0.67669178068242886</v>
      </c>
      <c r="AJ257" s="267" t="b">
        <f t="shared" si="92"/>
        <v>1</v>
      </c>
      <c r="AK257" s="267" t="b">
        <f t="shared" si="93"/>
        <v>0</v>
      </c>
      <c r="AL257" s="267"/>
      <c r="AM257" s="267"/>
      <c r="AN257" s="75"/>
    </row>
    <row r="258" spans="1:40" s="6" customFormat="1" ht="11.25" x14ac:dyDescent="0.2">
      <c r="A258" s="56">
        <f t="shared" si="94"/>
        <v>44805</v>
      </c>
      <c r="B258" s="618">
        <v>38.491999999999997</v>
      </c>
      <c r="C258" s="866"/>
      <c r="D258" s="395">
        <f t="shared" si="74"/>
        <v>39.851970469437987</v>
      </c>
      <c r="E258" s="387">
        <f t="shared" si="96"/>
        <v>46.809114679973824</v>
      </c>
      <c r="F258" s="387">
        <f t="shared" si="75"/>
        <v>47.157889501262005</v>
      </c>
      <c r="G258" s="110">
        <f t="shared" si="97"/>
        <v>0.90019821081953588</v>
      </c>
      <c r="H258" s="414" t="b">
        <f>Wh_hp&gt;='2021'!Maxi_hp</f>
        <v>1</v>
      </c>
      <c r="I258" s="382">
        <f>IF(H258,Wh_hp,'2021'!Maxi_hp)</f>
        <v>47.157889501262005</v>
      </c>
      <c r="J258" s="85">
        <f>IF(H258,An,'2021'!An_max)</f>
        <v>2022</v>
      </c>
      <c r="K258" s="199">
        <f t="shared" si="76"/>
        <v>44805</v>
      </c>
      <c r="L258" s="147">
        <f>IF(t&lt;Tvie,1-EXP((T0-t)*PertePVj)+'2021'!Pspv,1-EXP((T0-t)*PertePVj)+Pspv)</f>
        <v>3.4125551470056803E-2</v>
      </c>
      <c r="M258" s="870"/>
      <c r="N258" s="870"/>
      <c r="O258" s="48">
        <f>IF(t&lt;Tnet,'2021'!Resal+('2021'!Salim-'2021'!Resal)*(1-EXP(('2021'!Tnet-t)/('2021'!Tau_j))),Resal+(Salim-Resal)*(1-EXP((Tnet-t)/(Tau_j))))*Salcycl</f>
        <v>0.14862798106951355</v>
      </c>
      <c r="P258" s="341">
        <f>(INDEX(Models!$BJ258:$BT258,,T258)*(1-R258)+INDEX(Models!$BJ258:$BT258,,T258+1)*R258-ERP_i)*Q258*Ramure*Pc/MaxiM</f>
        <v>8.6098823563112471E-3</v>
      </c>
      <c r="Q258" s="307">
        <f t="shared" si="77"/>
        <v>1</v>
      </c>
      <c r="R258" s="179">
        <f t="shared" si="78"/>
        <v>0.67760053745809889</v>
      </c>
      <c r="S258" s="837">
        <f t="shared" si="79"/>
        <v>0</v>
      </c>
      <c r="T258" s="178">
        <f t="shared" si="80"/>
        <v>6</v>
      </c>
      <c r="U258" s="253">
        <f t="shared" si="81"/>
        <v>0.67760053745809889</v>
      </c>
      <c r="V258" s="385">
        <f t="shared" si="82"/>
        <v>42.707175573544326</v>
      </c>
      <c r="W258" s="404"/>
      <c r="X258" s="157">
        <f t="shared" si="83"/>
        <v>44805</v>
      </c>
      <c r="Y258" s="387">
        <f t="shared" si="84"/>
        <v>37.579592038209924</v>
      </c>
      <c r="Z258" s="387">
        <f t="shared" si="85"/>
        <v>38.907325993979761</v>
      </c>
      <c r="AA258" s="388">
        <f t="shared" si="86"/>
        <v>46.809114679973824</v>
      </c>
      <c r="AB258" s="199">
        <f t="shared" si="87"/>
        <v>44805</v>
      </c>
      <c r="AC258" s="119">
        <f>IF(OR(t&lt;Tnet,NoTnet),'2021'!Resal_s+('2021'!Salim-'2021'!Resal_s)*(1-EXP(('2021'!Tnet_s-t)/'2021'!Tau_j)),Resal_s+(Salim-Resal_s)*(1-EXP((Tnet_s-t)/Tau_j)))*Salcycl</f>
        <v>0.16880876171269804</v>
      </c>
      <c r="AD258" s="233">
        <f>(INDEX(Models!$BJ258:$BT258,,AH258)*(1-AF258)+INDEX(Models!$BJ258:$BT258,,AH258+1)*AF258-ERP_i)*AE258*Ramure*Pc/MaxiM</f>
        <v>8.6098823563112471E-3</v>
      </c>
      <c r="AE258" s="307">
        <f t="shared" si="88"/>
        <v>1</v>
      </c>
      <c r="AF258" s="179">
        <f t="shared" si="89"/>
        <v>0.67760053745809889</v>
      </c>
      <c r="AG258" s="837">
        <f t="shared" si="95"/>
        <v>0</v>
      </c>
      <c r="AH258" s="178">
        <f t="shared" si="90"/>
        <v>6</v>
      </c>
      <c r="AI258" s="227">
        <f t="shared" si="91"/>
        <v>0.67760053745809889</v>
      </c>
      <c r="AJ258" s="267" t="b">
        <f t="shared" si="92"/>
        <v>1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4"/>
        <v>44806</v>
      </c>
      <c r="B259" s="618">
        <v>33.459000000000003</v>
      </c>
      <c r="C259" s="866"/>
      <c r="D259" s="395">
        <f t="shared" si="74"/>
        <v>34.641954457804118</v>
      </c>
      <c r="E259" s="387">
        <f t="shared" si="96"/>
        <v>40.692456489658632</v>
      </c>
      <c r="F259" s="387">
        <f t="shared" si="75"/>
        <v>40.944546126132245</v>
      </c>
      <c r="G259" s="110">
        <f t="shared" si="97"/>
        <v>0.78668555046043387</v>
      </c>
      <c r="H259" s="414" t="b">
        <f>Wh_hp&gt;='2021'!Maxi_hp</f>
        <v>0</v>
      </c>
      <c r="I259" s="382">
        <f>IF(H259,Wh_hp,'2021'!Maxi_hp)</f>
        <v>49.191044286339199</v>
      </c>
      <c r="J259" s="85">
        <f>IF(H259,An,'2021'!An_max)</f>
        <v>2019</v>
      </c>
      <c r="K259" s="199">
        <f t="shared" si="76"/>
        <v>44806</v>
      </c>
      <c r="L259" s="147">
        <f>IF(t&lt;Tvie,1-EXP((T0-t)*PertePVj)+'2021'!Pspv,1-EXP((T0-t)*PertePVj)+Pspv)</f>
        <v>3.414802877952583E-2</v>
      </c>
      <c r="M259" s="870"/>
      <c r="N259" s="870"/>
      <c r="O259" s="48">
        <f>IF(t&lt;Tnet,'2021'!Resal+('2021'!Salim-'2021'!Resal)*(1-EXP(('2021'!Tnet-t)/('2021'!Tau_j))),Resal+(Salim-Resal)*(1-EXP((Tnet-t)/(Tau_j))))*Salcycl</f>
        <v>0.14868854214766203</v>
      </c>
      <c r="P259" s="341">
        <f>(INDEX(Models!$BJ259:$BT259,,T259)*(1-R259)+INDEX(Models!$BJ259:$BT259,,T259+1)*R259-ERP_i)*Q259*Ramure*Pc/MaxiM</f>
        <v>8.8171545032414943E-3</v>
      </c>
      <c r="Q259" s="307">
        <f t="shared" si="77"/>
        <v>1</v>
      </c>
      <c r="R259" s="179">
        <f t="shared" si="78"/>
        <v>0.67847499931798816</v>
      </c>
      <c r="S259" s="837">
        <f t="shared" si="79"/>
        <v>0</v>
      </c>
      <c r="T259" s="178">
        <f t="shared" si="80"/>
        <v>6</v>
      </c>
      <c r="U259" s="253">
        <f t="shared" si="81"/>
        <v>0.67847499931798816</v>
      </c>
      <c r="V259" s="385">
        <f t="shared" si="82"/>
        <v>42.417758403197837</v>
      </c>
      <c r="W259" s="404"/>
      <c r="X259" s="157">
        <f t="shared" si="83"/>
        <v>44806</v>
      </c>
      <c r="Y259" s="387">
        <f t="shared" si="84"/>
        <v>32.668713791306999</v>
      </c>
      <c r="Z259" s="387">
        <f t="shared" si="85"/>
        <v>33.82372740827563</v>
      </c>
      <c r="AA259" s="388">
        <f t="shared" si="86"/>
        <v>40.692456489658632</v>
      </c>
      <c r="AB259" s="199">
        <f t="shared" si="87"/>
        <v>44806</v>
      </c>
      <c r="AC259" s="119">
        <f>IF(OR(t&lt;Tnet,NoTnet),'2021'!Resal_s+('2021'!Salim-'2021'!Resal_s)*(1-EXP(('2021'!Tnet_s-t)/'2021'!Tau_j)),Resal_s+(Salim-Resal_s)*(1-EXP((Tnet_s-t)/Tau_j)))*Salcycl</f>
        <v>0.1687961276834832</v>
      </c>
      <c r="AD259" s="233">
        <f>(INDEX(Models!$BJ259:$BT259,,AH259)*(1-AF259)+INDEX(Models!$BJ259:$BT259,,AH259+1)*AF259-ERP_i)*AE259*Ramure*Pc/MaxiM</f>
        <v>8.8171545032414943E-3</v>
      </c>
      <c r="AE259" s="307">
        <f t="shared" si="88"/>
        <v>1</v>
      </c>
      <c r="AF259" s="179">
        <f t="shared" si="89"/>
        <v>0.67847499931798816</v>
      </c>
      <c r="AG259" s="837">
        <f t="shared" si="95"/>
        <v>0</v>
      </c>
      <c r="AH259" s="178">
        <f t="shared" si="90"/>
        <v>6</v>
      </c>
      <c r="AI259" s="227">
        <f t="shared" si="91"/>
        <v>0.67847499931798816</v>
      </c>
      <c r="AJ259" s="267" t="b">
        <f t="shared" si="92"/>
        <v>1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4"/>
        <v>44807</v>
      </c>
      <c r="B260" s="618">
        <v>27.536999999999999</v>
      </c>
      <c r="C260" s="866"/>
      <c r="D260" s="395">
        <f t="shared" si="74"/>
        <v>28.511243608412414</v>
      </c>
      <c r="E260" s="387">
        <f t="shared" si="96"/>
        <v>33.493279046944906</v>
      </c>
      <c r="F260" s="387">
        <f t="shared" si="75"/>
        <v>33.646654983564325</v>
      </c>
      <c r="G260" s="110">
        <f t="shared" si="97"/>
        <v>0.65080570566884788</v>
      </c>
      <c r="H260" s="414" t="b">
        <f>Wh_hp&gt;='2021'!Maxi_hp</f>
        <v>0</v>
      </c>
      <c r="I260" s="382">
        <f>IF(H260,Wh_hp,'2021'!Maxi_hp)</f>
        <v>51.164853972749853</v>
      </c>
      <c r="J260" s="85">
        <f>IF(H260,An,'2021'!An_max)</f>
        <v>2019</v>
      </c>
      <c r="K260" s="199">
        <f t="shared" si="76"/>
        <v>44807</v>
      </c>
      <c r="L260" s="147">
        <f>IF(t&lt;Tvie,1-EXP((T0-t)*PertePVj)+'2021'!Pspv,1-EXP((T0-t)*PertePVj)+Pspv)</f>
        <v>3.4170505565915055E-2</v>
      </c>
      <c r="M260" s="870"/>
      <c r="N260" s="870"/>
      <c r="O260" s="48">
        <f>IF(t&lt;Tnet,'2021'!Resal+('2021'!Salim-'2021'!Resal)*(1-EXP(('2021'!Tnet-t)/('2021'!Tau_j))),Resal+(Salim-Resal)*(1-EXP((Tnet-t)/(Tau_j))))*Salcycl</f>
        <v>0.14874731827688656</v>
      </c>
      <c r="P260" s="341">
        <f>(INDEX(Models!$BJ260:$BT260,,T260)*(1-R260)+INDEX(Models!$BJ260:$BT260,,T260+1)*R260-ERP_i)*Q260*Ramure*Pc/MaxiM</f>
        <v>9.0205695342646473E-3</v>
      </c>
      <c r="Q260" s="307">
        <f t="shared" si="77"/>
        <v>1</v>
      </c>
      <c r="R260" s="179">
        <f t="shared" si="78"/>
        <v>0.67931637422806379</v>
      </c>
      <c r="S260" s="837">
        <f t="shared" si="79"/>
        <v>0</v>
      </c>
      <c r="T260" s="178">
        <f t="shared" si="80"/>
        <v>6</v>
      </c>
      <c r="U260" s="253">
        <f t="shared" si="81"/>
        <v>0.67931637422806379</v>
      </c>
      <c r="V260" s="385">
        <f t="shared" si="82"/>
        <v>42.122500095021806</v>
      </c>
      <c r="W260" s="404"/>
      <c r="X260" s="157">
        <f t="shared" si="83"/>
        <v>44807</v>
      </c>
      <c r="Y260" s="387">
        <f t="shared" si="84"/>
        <v>26.888909262044628</v>
      </c>
      <c r="Z260" s="387">
        <f t="shared" si="85"/>
        <v>27.840223783805474</v>
      </c>
      <c r="AA260" s="388">
        <f t="shared" si="86"/>
        <v>33.493279046944906</v>
      </c>
      <c r="AB260" s="199">
        <f t="shared" si="87"/>
        <v>44807</v>
      </c>
      <c r="AC260" s="119">
        <f>IF(OR(t&lt;Tnet,NoTnet),'2021'!Resal_s+('2021'!Salim-'2021'!Resal_s)*(1-EXP(('2021'!Tnet_s-t)/'2021'!Tau_j)),Resal_s+(Salim-Resal_s)*(1-EXP((Tnet_s-t)/Tau_j)))*Salcycl</f>
        <v>0.16878178022569798</v>
      </c>
      <c r="AD260" s="233">
        <f>(INDEX(Models!$BJ260:$BT260,,AH260)*(1-AF260)+INDEX(Models!$BJ260:$BT260,,AH260+1)*AF260-ERP_i)*AE260*Ramure*Pc/MaxiM</f>
        <v>9.0205695342646473E-3</v>
      </c>
      <c r="AE260" s="307">
        <f t="shared" si="88"/>
        <v>1</v>
      </c>
      <c r="AF260" s="179">
        <f t="shared" si="89"/>
        <v>0.67931637422806379</v>
      </c>
      <c r="AG260" s="837">
        <f t="shared" si="95"/>
        <v>0</v>
      </c>
      <c r="AH260" s="178">
        <f t="shared" si="90"/>
        <v>6</v>
      </c>
      <c r="AI260" s="227">
        <f t="shared" si="91"/>
        <v>0.67931637422806379</v>
      </c>
      <c r="AJ260" s="267" t="b">
        <f t="shared" si="92"/>
        <v>1</v>
      </c>
      <c r="AK260" s="267" t="b">
        <f t="shared" si="93"/>
        <v>0</v>
      </c>
      <c r="AL260" s="267"/>
      <c r="AM260" s="267"/>
      <c r="AN260" s="75"/>
    </row>
    <row r="261" spans="1:40" s="6" customFormat="1" ht="11.25" x14ac:dyDescent="0.2">
      <c r="A261" s="56">
        <f t="shared" si="94"/>
        <v>44808</v>
      </c>
      <c r="B261" s="618">
        <v>40.078000000000003</v>
      </c>
      <c r="C261" s="866"/>
      <c r="D261" s="395">
        <f t="shared" si="74"/>
        <v>41.496902844946874</v>
      </c>
      <c r="E261" s="387">
        <f t="shared" si="96"/>
        <v>48.751304234098036</v>
      </c>
      <c r="F261" s="387">
        <f t="shared" si="75"/>
        <v>49.177745254783879</v>
      </c>
      <c r="G261" s="110">
        <f t="shared" si="97"/>
        <v>0.95779920896721904</v>
      </c>
      <c r="H261" s="414" t="b">
        <f>Wh_hp&gt;='2021'!Maxi_hp</f>
        <v>0</v>
      </c>
      <c r="I261" s="382">
        <f>IF(H261,Wh_hp,'2021'!Maxi_hp)</f>
        <v>50.630743838713244</v>
      </c>
      <c r="J261" s="85">
        <f>IF(H261,An,'2021'!An_max)</f>
        <v>2019</v>
      </c>
      <c r="K261" s="199">
        <f t="shared" si="76"/>
        <v>44808</v>
      </c>
      <c r="L261" s="147">
        <f>IF(t&lt;Tvie,1-EXP((T0-t)*PertePVj)+'2021'!Pspv,1-EXP((T0-t)*PertePVj)+Pspv)</f>
        <v>3.419298182923669E-2</v>
      </c>
      <c r="M261" s="870"/>
      <c r="N261" s="870"/>
      <c r="O261" s="48">
        <f>IF(t&lt;Tnet,'2021'!Resal+('2021'!Salim-'2021'!Resal)*(1-EXP(('2021'!Tnet-t)/('2021'!Tau_j))),Resal+(Salim-Resal)*(1-EXP((Tnet-t)/(Tau_j))))*Salcycl</f>
        <v>0.14880425258607205</v>
      </c>
      <c r="P261" s="341">
        <f>(INDEX(Models!$BJ261:$BT261,,T261)*(1-R261)+INDEX(Models!$BJ261:$BT261,,T261+1)*R261-ERP_i)*Q261*Ramure*Pc/MaxiM</f>
        <v>9.2202963302549235E-3</v>
      </c>
      <c r="Q261" s="307">
        <f t="shared" si="77"/>
        <v>1</v>
      </c>
      <c r="R261" s="179">
        <f t="shared" si="78"/>
        <v>0.68012583424413375</v>
      </c>
      <c r="S261" s="837">
        <f t="shared" si="79"/>
        <v>0</v>
      </c>
      <c r="T261" s="178">
        <f t="shared" si="80"/>
        <v>6</v>
      </c>
      <c r="U261" s="253">
        <f t="shared" si="81"/>
        <v>0.68012583424413375</v>
      </c>
      <c r="V261" s="385">
        <f t="shared" si="82"/>
        <v>41.82067540944805</v>
      </c>
      <c r="W261" s="404"/>
      <c r="X261" s="157">
        <f t="shared" si="83"/>
        <v>44808</v>
      </c>
      <c r="Y261" s="387">
        <f t="shared" si="84"/>
        <v>39.138130257456723</v>
      </c>
      <c r="Z261" s="387">
        <f t="shared" si="85"/>
        <v>40.523758391799916</v>
      </c>
      <c r="AA261" s="388">
        <f t="shared" si="86"/>
        <v>48.751304234098036</v>
      </c>
      <c r="AB261" s="199">
        <f t="shared" si="87"/>
        <v>44808</v>
      </c>
      <c r="AC261" s="119">
        <f>IF(OR(t&lt;Tnet,NoTnet),'2021'!Resal_s+('2021'!Salim-'2021'!Resal_s)*(1-EXP(('2021'!Tnet_s-t)/'2021'!Tau_j)),Resal_s+(Salim-Resal_s)*(1-EXP((Tnet_s-t)/Tau_j)))*Salcycl</f>
        <v>0.16876565604871641</v>
      </c>
      <c r="AD261" s="233">
        <f>(INDEX(Models!$BJ261:$BT261,,AH261)*(1-AF261)+INDEX(Models!$BJ261:$BT261,,AH261+1)*AF261-ERP_i)*AE261*Ramure*Pc/MaxiM</f>
        <v>9.2202963302549235E-3</v>
      </c>
      <c r="AE261" s="307">
        <f t="shared" si="88"/>
        <v>1</v>
      </c>
      <c r="AF261" s="179">
        <f t="shared" si="89"/>
        <v>0.68012583424413375</v>
      </c>
      <c r="AG261" s="837">
        <f t="shared" si="95"/>
        <v>0</v>
      </c>
      <c r="AH261" s="178">
        <f t="shared" si="90"/>
        <v>6</v>
      </c>
      <c r="AI261" s="227">
        <f t="shared" si="91"/>
        <v>0.68012583424413375</v>
      </c>
      <c r="AJ261" s="267" t="b">
        <f t="shared" si="92"/>
        <v>1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4"/>
        <v>44809</v>
      </c>
      <c r="B262" s="618">
        <v>34.605000000000004</v>
      </c>
      <c r="C262" s="866"/>
      <c r="D262" s="395">
        <f t="shared" si="74"/>
        <v>35.830973141186256</v>
      </c>
      <c r="E262" s="387">
        <f t="shared" si="96"/>
        <v>42.097590379441442</v>
      </c>
      <c r="F262" s="387">
        <f t="shared" si="75"/>
        <v>42.401858428866632</v>
      </c>
      <c r="G262" s="110">
        <f t="shared" si="97"/>
        <v>0.83173321878121931</v>
      </c>
      <c r="H262" s="414" t="b">
        <f>Wh_hp&gt;='2021'!Maxi_hp</f>
        <v>0</v>
      </c>
      <c r="I262" s="382">
        <f>IF(H262,Wh_hp,'2021'!Maxi_hp)</f>
        <v>48.60501068816032</v>
      </c>
      <c r="J262" s="85">
        <f>IF(H262,An,'2021'!An_max)</f>
        <v>2020</v>
      </c>
      <c r="K262" s="199">
        <f t="shared" si="76"/>
        <v>44809</v>
      </c>
      <c r="L262" s="147">
        <f>IF(t&lt;Tvie,1-EXP((T0-t)*PertePVj)+'2021'!Pspv,1-EXP((T0-t)*PertePVj)+Pspv)</f>
        <v>3.4215457569502727E-2</v>
      </c>
      <c r="M262" s="870"/>
      <c r="N262" s="870"/>
      <c r="O262" s="48">
        <f>IF(t&lt;Tnet,'2021'!Resal+('2021'!Salim-'2021'!Resal)*(1-EXP(('2021'!Tnet-t)/('2021'!Tau_j))),Resal+(Salim-Resal)*(1-EXP((Tnet-t)/(Tau_j))))*Salcycl</f>
        <v>0.14885928581117833</v>
      </c>
      <c r="P262" s="341">
        <f>(INDEX(Models!$BJ262:$BT262,,T262)*(1-R262)+INDEX(Models!$BJ262:$BT262,,T262+1)*R262-ERP_i)*Q262*Ramure*Pc/MaxiM</f>
        <v>9.4133448569705142E-3</v>
      </c>
      <c r="Q262" s="307">
        <f t="shared" si="77"/>
        <v>1</v>
      </c>
      <c r="R262" s="179">
        <f t="shared" si="78"/>
        <v>0.68090451605401436</v>
      </c>
      <c r="S262" s="837">
        <f t="shared" si="79"/>
        <v>0</v>
      </c>
      <c r="T262" s="178">
        <f t="shared" si="80"/>
        <v>6</v>
      </c>
      <c r="U262" s="253">
        <f t="shared" si="81"/>
        <v>0.68090451605401436</v>
      </c>
      <c r="V262" s="385">
        <f t="shared" si="82"/>
        <v>41.512121906127568</v>
      </c>
      <c r="W262" s="404"/>
      <c r="X262" s="157">
        <f t="shared" si="83"/>
        <v>44809</v>
      </c>
      <c r="Y262" s="387">
        <f t="shared" si="84"/>
        <v>33.796393162401067</v>
      </c>
      <c r="Z262" s="387">
        <f t="shared" si="85"/>
        <v>34.99371927961171</v>
      </c>
      <c r="AA262" s="388">
        <f t="shared" si="86"/>
        <v>42.097590379441442</v>
      </c>
      <c r="AB262" s="199">
        <f t="shared" si="87"/>
        <v>44809</v>
      </c>
      <c r="AC262" s="119">
        <f>IF(OR(t&lt;Tnet,NoTnet),'2021'!Resal_s+('2021'!Salim-'2021'!Resal_s)*(1-EXP(('2021'!Tnet_s-t)/'2021'!Tau_j)),Resal_s+(Salim-Resal_s)*(1-EXP((Tnet_s-t)/Tau_j)))*Salcycl</f>
        <v>0.16874768925726782</v>
      </c>
      <c r="AD262" s="233">
        <f>(INDEX(Models!$BJ262:$BT262,,AH262)*(1-AF262)+INDEX(Models!$BJ262:$BT262,,AH262+1)*AF262-ERP_i)*AE262*Ramure*Pc/MaxiM</f>
        <v>9.4133448569705142E-3</v>
      </c>
      <c r="AE262" s="307">
        <f t="shared" si="88"/>
        <v>1</v>
      </c>
      <c r="AF262" s="179">
        <f t="shared" si="89"/>
        <v>0.68090451605401436</v>
      </c>
      <c r="AG262" s="837">
        <f t="shared" si="95"/>
        <v>0</v>
      </c>
      <c r="AH262" s="178">
        <f t="shared" si="90"/>
        <v>6</v>
      </c>
      <c r="AI262" s="227">
        <f t="shared" si="91"/>
        <v>0.68090451605401436</v>
      </c>
      <c r="AJ262" s="267" t="b">
        <f t="shared" si="92"/>
        <v>1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4"/>
        <v>44810</v>
      </c>
      <c r="B263" s="618">
        <v>38.82</v>
      </c>
      <c r="C263" s="866"/>
      <c r="D263" s="395">
        <f t="shared" si="74"/>
        <v>40.196236027384963</v>
      </c>
      <c r="E263" s="387">
        <f t="shared" si="96"/>
        <v>47.229255786258463</v>
      </c>
      <c r="F263" s="387">
        <f t="shared" si="75"/>
        <v>47.649153766654727</v>
      </c>
      <c r="G263" s="110">
        <f t="shared" si="97"/>
        <v>0.94154615874076097</v>
      </c>
      <c r="H263" s="414" t="b">
        <f>Wh_hp&gt;='2021'!Maxi_hp</f>
        <v>0</v>
      </c>
      <c r="I263" s="382">
        <f>IF(H263,Wh_hp,'2021'!Maxi_hp)</f>
        <v>51.979212378770349</v>
      </c>
      <c r="J263" s="85">
        <f>IF(H263,An,'2021'!An_max)</f>
        <v>2019</v>
      </c>
      <c r="K263" s="199">
        <f t="shared" si="76"/>
        <v>44810</v>
      </c>
      <c r="L263" s="147">
        <f>IF(t&lt;Tvie,1-EXP((T0-t)*PertePVj)+'2021'!Pspv,1-EXP((T0-t)*PertePVj)+Pspv)</f>
        <v>3.4237932786725489E-2</v>
      </c>
      <c r="M263" s="870"/>
      <c r="N263" s="870"/>
      <c r="O263" s="48">
        <f>IF(t&lt;Tnet,'2021'!Resal+('2021'!Salim-'2021'!Resal)*(1-EXP(('2021'!Tnet-t)/('2021'!Tau_j))),Resal+(Salim-Resal)*(1-EXP((Tnet-t)/(Tau_j))))*Salcycl</f>
        <v>0.14891235616123732</v>
      </c>
      <c r="P263" s="341">
        <f>(INDEX(Models!$BJ263:$BT263,,T263)*(1-R263)+INDEX(Models!$BJ263:$BT263,,T263+1)*R263-ERP_i)*Q263*Ramure*Pc/MaxiM</f>
        <v>9.6039423624448405E-3</v>
      </c>
      <c r="Q263" s="307">
        <f t="shared" si="77"/>
        <v>1</v>
      </c>
      <c r="R263" s="179">
        <f t="shared" si="78"/>
        <v>0.68165352155829861</v>
      </c>
      <c r="S263" s="837">
        <f t="shared" si="79"/>
        <v>0</v>
      </c>
      <c r="T263" s="178">
        <f t="shared" si="80"/>
        <v>6</v>
      </c>
      <c r="U263" s="253">
        <f t="shared" si="81"/>
        <v>0.68165352155829861</v>
      </c>
      <c r="V263" s="385">
        <f t="shared" si="82"/>
        <v>41.197124878163713</v>
      </c>
      <c r="W263" s="404"/>
      <c r="X263" s="157">
        <f t="shared" si="83"/>
        <v>44810</v>
      </c>
      <c r="Y263" s="387">
        <f t="shared" si="84"/>
        <v>37.916173031816214</v>
      </c>
      <c r="Z263" s="387">
        <f t="shared" si="85"/>
        <v>39.260366832613421</v>
      </c>
      <c r="AA263" s="388">
        <f t="shared" si="86"/>
        <v>47.229255786258463</v>
      </c>
      <c r="AB263" s="199">
        <f t="shared" si="87"/>
        <v>44810</v>
      </c>
      <c r="AC263" s="119">
        <f>IF(OR(t&lt;Tnet,NoTnet),'2021'!Resal_s+('2021'!Salim-'2021'!Resal_s)*(1-EXP(('2021'!Tnet_s-t)/'2021'!Tau_j)),Resal_s+(Salim-Resal_s)*(1-EXP((Tnet_s-t)/Tau_j)))*Salcycl</f>
        <v>0.16872781120475802</v>
      </c>
      <c r="AD263" s="233">
        <f>(INDEX(Models!$BJ263:$BT263,,AH263)*(1-AF263)+INDEX(Models!$BJ263:$BT263,,AH263+1)*AF263-ERP_i)*AE263*Ramure*Pc/MaxiM</f>
        <v>9.6039423624448405E-3</v>
      </c>
      <c r="AE263" s="307">
        <f t="shared" si="88"/>
        <v>1</v>
      </c>
      <c r="AF263" s="179">
        <f t="shared" si="89"/>
        <v>0.68165352155829861</v>
      </c>
      <c r="AG263" s="837">
        <f t="shared" si="95"/>
        <v>0</v>
      </c>
      <c r="AH263" s="178">
        <f t="shared" si="90"/>
        <v>6</v>
      </c>
      <c r="AI263" s="227">
        <f t="shared" si="91"/>
        <v>0.68165352155829861</v>
      </c>
      <c r="AJ263" s="267" t="b">
        <f t="shared" si="92"/>
        <v>1</v>
      </c>
      <c r="AK263" s="267" t="b">
        <f t="shared" si="93"/>
        <v>0</v>
      </c>
      <c r="AL263" s="267"/>
      <c r="AM263" s="267"/>
      <c r="AN263" s="75"/>
    </row>
    <row r="264" spans="1:40" s="6" customFormat="1" ht="11.25" x14ac:dyDescent="0.2">
      <c r="A264" s="56">
        <f t="shared" si="94"/>
        <v>44811</v>
      </c>
      <c r="B264" s="618">
        <v>31.304000000000002</v>
      </c>
      <c r="C264" s="866"/>
      <c r="D264" s="395">
        <f t="shared" si="74"/>
        <v>32.414535183698021</v>
      </c>
      <c r="E264" s="387">
        <f t="shared" si="96"/>
        <v>38.088297439848624</v>
      </c>
      <c r="F264" s="387">
        <f t="shared" si="75"/>
        <v>38.338118053435444</v>
      </c>
      <c r="G264" s="110">
        <f t="shared" si="97"/>
        <v>0.76330039543734773</v>
      </c>
      <c r="H264" s="414" t="b">
        <f>Wh_hp&gt;='2021'!Maxi_hp</f>
        <v>0</v>
      </c>
      <c r="I264" s="382">
        <f>IF(H264,Wh_hp,'2021'!Maxi_hp)</f>
        <v>50.735283993858943</v>
      </c>
      <c r="J264" s="85">
        <f>IF(H264,An,'2021'!An_max)</f>
        <v>2019</v>
      </c>
      <c r="K264" s="199">
        <f t="shared" si="76"/>
        <v>44811</v>
      </c>
      <c r="L264" s="147">
        <f>IF(t&lt;Tvie,1-EXP((T0-t)*PertePVj)+'2021'!Pspv,1-EXP((T0-t)*PertePVj)+Pspv)</f>
        <v>3.4260407480917188E-2</v>
      </c>
      <c r="M264" s="870"/>
      <c r="N264" s="870"/>
      <c r="O264" s="48">
        <f>IF(t&lt;Tnet,'2021'!Resal+('2021'!Salim-'2021'!Resal)*(1-EXP(('2021'!Tnet-t)/('2021'!Tau_j))),Resal+(Salim-Resal)*(1-EXP((Tnet-t)/(Tau_j))))*Salcycl</f>
        <v>0.14896339919396379</v>
      </c>
      <c r="P264" s="341">
        <f>(INDEX(Models!$BJ264:$BT264,,T264)*(1-R264)+INDEX(Models!$BJ264:$BT264,,T264+1)*R264-ERP_i)*Q264*Ramure*Pc/MaxiM</f>
        <v>9.7920188937047591E-3</v>
      </c>
      <c r="Q264" s="307">
        <f t="shared" si="77"/>
        <v>1</v>
      </c>
      <c r="R264" s="179">
        <f t="shared" si="78"/>
        <v>0.68237391848455131</v>
      </c>
      <c r="S264" s="837">
        <f t="shared" si="79"/>
        <v>0</v>
      </c>
      <c r="T264" s="178">
        <f t="shared" si="80"/>
        <v>6</v>
      </c>
      <c r="U264" s="253">
        <f t="shared" si="81"/>
        <v>0.68237391848455131</v>
      </c>
      <c r="V264" s="385">
        <f t="shared" si="82"/>
        <v>40.876151520696297</v>
      </c>
      <c r="W264" s="404"/>
      <c r="X264" s="157">
        <f t="shared" si="83"/>
        <v>44811</v>
      </c>
      <c r="Y264" s="387">
        <f t="shared" si="84"/>
        <v>30.577802300572664</v>
      </c>
      <c r="Z264" s="387">
        <f t="shared" si="85"/>
        <v>31.662575022747092</v>
      </c>
      <c r="AA264" s="388">
        <f t="shared" si="86"/>
        <v>38.088297439848624</v>
      </c>
      <c r="AB264" s="199">
        <f t="shared" si="87"/>
        <v>44811</v>
      </c>
      <c r="AC264" s="119">
        <f>IF(OR(t&lt;Tnet,NoTnet),'2021'!Resal_s+('2021'!Salim-'2021'!Resal_s)*(1-EXP(('2021'!Tnet_s-t)/'2021'!Tau_j)),Resal_s+(Salim-Resal_s)*(1-EXP((Tnet_s-t)/Tau_j)))*Salcycl</f>
        <v>0.16870595035783442</v>
      </c>
      <c r="AD264" s="233">
        <f>(INDEX(Models!$BJ264:$BT264,,AH264)*(1-AF264)+INDEX(Models!$BJ264:$BT264,,AH264+1)*AF264-ERP_i)*AE264*Ramure*Pc/MaxiM</f>
        <v>9.7920188937047591E-3</v>
      </c>
      <c r="AE264" s="307">
        <f t="shared" si="88"/>
        <v>1</v>
      </c>
      <c r="AF264" s="179">
        <f t="shared" si="89"/>
        <v>0.68237391848455131</v>
      </c>
      <c r="AG264" s="837">
        <f t="shared" si="95"/>
        <v>0</v>
      </c>
      <c r="AH264" s="178">
        <f t="shared" si="90"/>
        <v>6</v>
      </c>
      <c r="AI264" s="227">
        <f t="shared" si="91"/>
        <v>0.68237391848455131</v>
      </c>
      <c r="AJ264" s="267" t="b">
        <f t="shared" si="92"/>
        <v>1</v>
      </c>
      <c r="AK264" s="267" t="b">
        <f t="shared" si="93"/>
        <v>0</v>
      </c>
      <c r="AL264" s="267"/>
      <c r="AM264" s="267"/>
      <c r="AN264" s="75"/>
    </row>
    <row r="265" spans="1:40" s="6" customFormat="1" ht="11.25" x14ac:dyDescent="0.2">
      <c r="A265" s="56">
        <f t="shared" si="94"/>
        <v>44812</v>
      </c>
      <c r="B265" s="618">
        <v>33.694000000000003</v>
      </c>
      <c r="C265" s="866"/>
      <c r="D265" s="395">
        <f t="shared" si="74"/>
        <v>34.890134346631072</v>
      </c>
      <c r="E265" s="387">
        <f t="shared" si="96"/>
        <v>40.999577670207152</v>
      </c>
      <c r="F265" s="387">
        <f t="shared" si="75"/>
        <v>41.312214652538145</v>
      </c>
      <c r="G265" s="110">
        <f t="shared" si="97"/>
        <v>0.82891390028448642</v>
      </c>
      <c r="H265" s="414" t="b">
        <f>Wh_hp&gt;='2021'!Maxi_hp</f>
        <v>0</v>
      </c>
      <c r="I265" s="382">
        <f>IF(H265,Wh_hp,'2021'!Maxi_hp)</f>
        <v>44.572005255446598</v>
      </c>
      <c r="J265" s="85">
        <f>IF(H265,An,'2021'!An_max)</f>
        <v>2019</v>
      </c>
      <c r="K265" s="199">
        <f t="shared" si="76"/>
        <v>44812</v>
      </c>
      <c r="L265" s="147">
        <f>IF(t&lt;Tvie,1-EXP((T0-t)*PertePVj)+'2021'!Pspv,1-EXP((T0-t)*PertePVj)+Pspv)</f>
        <v>3.4282881652089814E-2</v>
      </c>
      <c r="M265" s="870"/>
      <c r="N265" s="870"/>
      <c r="O265" s="48">
        <f>IF(t&lt;Tnet,'2021'!Resal+('2021'!Salim-'2021'!Resal)*(1-EXP(('2021'!Tnet-t)/('2021'!Tau_j))),Resal+(Salim-Resal)*(1-EXP((Tnet-t)/(Tau_j))))*Salcycl</f>
        <v>0.14901234770561017</v>
      </c>
      <c r="P265" s="341">
        <f>(INDEX(Models!$BJ265:$BT265,,T265)*(1-R265)+INDEX(Models!$BJ265:$BT265,,T265+1)*R265-ERP_i)*Q265*Ramure*Pc/MaxiM</f>
        <v>9.9774914116611199E-3</v>
      </c>
      <c r="Q265" s="307">
        <f t="shared" si="77"/>
        <v>1</v>
      </c>
      <c r="R265" s="179">
        <f t="shared" si="78"/>
        <v>0.68306674103013543</v>
      </c>
      <c r="S265" s="837">
        <f t="shared" si="79"/>
        <v>0</v>
      </c>
      <c r="T265" s="178">
        <f t="shared" si="80"/>
        <v>6</v>
      </c>
      <c r="U265" s="253">
        <f t="shared" si="81"/>
        <v>0.68306674103013543</v>
      </c>
      <c r="V265" s="385">
        <f t="shared" si="82"/>
        <v>40.549668822314658</v>
      </c>
      <c r="W265" s="404"/>
      <c r="X265" s="157">
        <f t="shared" si="83"/>
        <v>44812</v>
      </c>
      <c r="Y265" s="387">
        <f t="shared" si="84"/>
        <v>32.915198631019635</v>
      </c>
      <c r="Z265" s="387">
        <f t="shared" si="85"/>
        <v>34.083685590381734</v>
      </c>
      <c r="AA265" s="388">
        <f t="shared" si="86"/>
        <v>40.999577670207152</v>
      </c>
      <c r="AB265" s="199">
        <f t="shared" si="87"/>
        <v>44812</v>
      </c>
      <c r="AC265" s="119">
        <f>IF(OR(t&lt;Tnet,NoTnet),'2021'!Resal_s+('2021'!Salim-'2021'!Resal_s)*(1-EXP(('2021'!Tnet_s-t)/'2021'!Tau_j)),Resal_s+(Salim-Resal_s)*(1-EXP((Tnet_s-t)/Tau_j)))*Salcycl</f>
        <v>0.16868203217739328</v>
      </c>
      <c r="AD265" s="233">
        <f>(INDEX(Models!$BJ265:$BT265,,AH265)*(1-AF265)+INDEX(Models!$BJ265:$BT265,,AH265+1)*AF265-ERP_i)*AE265*Ramure*Pc/MaxiM</f>
        <v>9.9774914116611199E-3</v>
      </c>
      <c r="AE265" s="307">
        <f t="shared" si="88"/>
        <v>1</v>
      </c>
      <c r="AF265" s="179">
        <f t="shared" si="89"/>
        <v>0.68306674103013543</v>
      </c>
      <c r="AG265" s="837">
        <f t="shared" si="95"/>
        <v>0</v>
      </c>
      <c r="AH265" s="178">
        <f t="shared" si="90"/>
        <v>6</v>
      </c>
      <c r="AI265" s="227">
        <f t="shared" si="91"/>
        <v>0.68306674103013543</v>
      </c>
      <c r="AJ265" s="267" t="b">
        <f t="shared" si="92"/>
        <v>1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4"/>
        <v>44813</v>
      </c>
      <c r="B266" s="618">
        <v>19.161999999999999</v>
      </c>
      <c r="C266" s="866"/>
      <c r="D266" s="395">
        <f t="shared" si="74"/>
        <v>19.84271125989094</v>
      </c>
      <c r="E266" s="387">
        <f t="shared" si="96"/>
        <v>23.31855478762634</v>
      </c>
      <c r="F266" s="387">
        <f t="shared" si="75"/>
        <v>23.378430120865307</v>
      </c>
      <c r="G266" s="110">
        <f t="shared" si="97"/>
        <v>0.47282171507072168</v>
      </c>
      <c r="H266" s="414" t="b">
        <f>Wh_hp&gt;='2021'!Maxi_hp</f>
        <v>0</v>
      </c>
      <c r="I266" s="382">
        <f>IF(H266,Wh_hp,'2021'!Maxi_hp)</f>
        <v>45.910285028445344</v>
      </c>
      <c r="J266" s="85">
        <f>IF(H266,An,'2021'!An_max)</f>
        <v>2020</v>
      </c>
      <c r="K266" s="199">
        <f t="shared" si="76"/>
        <v>44813</v>
      </c>
      <c r="L266" s="147">
        <f>IF(t&lt;Tvie,1-EXP((T0-t)*PertePVj)+'2021'!Pspv,1-EXP((T0-t)*PertePVj)+Pspv)</f>
        <v>3.4305355300255691E-2</v>
      </c>
      <c r="M266" s="870"/>
      <c r="N266" s="870"/>
      <c r="O266" s="48">
        <f>IF(t&lt;Tnet,'2021'!Resal+('2021'!Salim-'2021'!Resal)*(1-EXP(('2021'!Tnet-t)/('2021'!Tau_j))),Resal+(Salim-Resal)*(1-EXP((Tnet-t)/(Tau_j))))*Salcycl</f>
        <v>0.1490591316396592</v>
      </c>
      <c r="P266" s="341">
        <f>(INDEX(Models!$BJ266:$BT266,,T266)*(1-R266)+INDEX(Models!$BJ266:$BT266,,T266+1)*R266-ERP_i)*Q266*Ramure*Pc/MaxiM</f>
        <v>1.0160263423473936E-2</v>
      </c>
      <c r="Q266" s="307">
        <f t="shared" si="77"/>
        <v>1</v>
      </c>
      <c r="R266" s="179">
        <f t="shared" si="78"/>
        <v>0.68373299052923275</v>
      </c>
      <c r="S266" s="837">
        <f t="shared" si="79"/>
        <v>0</v>
      </c>
      <c r="T266" s="178">
        <f t="shared" si="80"/>
        <v>6</v>
      </c>
      <c r="U266" s="253">
        <f t="shared" si="81"/>
        <v>0.68373299052923275</v>
      </c>
      <c r="V266" s="385">
        <f t="shared" si="82"/>
        <v>40.218143569567957</v>
      </c>
      <c r="W266" s="404"/>
      <c r="X266" s="157">
        <f t="shared" si="83"/>
        <v>44813</v>
      </c>
      <c r="Y266" s="387">
        <f t="shared" si="84"/>
        <v>18.720706364346924</v>
      </c>
      <c r="Z266" s="387">
        <f t="shared" si="85"/>
        <v>19.38574110056042</v>
      </c>
      <c r="AA266" s="388">
        <f t="shared" si="86"/>
        <v>23.31855478762634</v>
      </c>
      <c r="AB266" s="199">
        <f t="shared" si="87"/>
        <v>44813</v>
      </c>
      <c r="AC266" s="119">
        <f>IF(OR(t&lt;Tnet,NoTnet),'2021'!Resal_s+('2021'!Salim-'2021'!Resal_s)*(1-EXP(('2021'!Tnet_s-t)/'2021'!Tau_j)),Resal_s+(Salim-Resal_s)*(1-EXP((Tnet_s-t)/Tau_j)))*Salcycl</f>
        <v>0.1686559790211703</v>
      </c>
      <c r="AD266" s="233">
        <f>(INDEX(Models!$BJ266:$BT266,,AH266)*(1-AF266)+INDEX(Models!$BJ266:$BT266,,AH266+1)*AF266-ERP_i)*AE266*Ramure*Pc/MaxiM</f>
        <v>1.0160263423473936E-2</v>
      </c>
      <c r="AE266" s="307">
        <f t="shared" si="88"/>
        <v>1</v>
      </c>
      <c r="AF266" s="179">
        <f t="shared" si="89"/>
        <v>0.68373299052923275</v>
      </c>
      <c r="AG266" s="837">
        <f t="shared" si="95"/>
        <v>0</v>
      </c>
      <c r="AH266" s="178">
        <f t="shared" si="90"/>
        <v>6</v>
      </c>
      <c r="AI266" s="227">
        <f t="shared" si="91"/>
        <v>0.68373299052923275</v>
      </c>
      <c r="AJ266" s="267" t="b">
        <f t="shared" si="92"/>
        <v>1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4"/>
        <v>44814</v>
      </c>
      <c r="B267" s="618">
        <v>37.688000000000002</v>
      </c>
      <c r="C267" s="866"/>
      <c r="D267" s="395">
        <f t="shared" si="74"/>
        <v>39.027737475905489</v>
      </c>
      <c r="E267" s="387">
        <f t="shared" si="96"/>
        <v>45.866619078852182</v>
      </c>
      <c r="F267" s="387">
        <f t="shared" si="75"/>
        <v>46.307820639917978</v>
      </c>
      <c r="G267" s="110">
        <f t="shared" si="97"/>
        <v>0.9442113868756119</v>
      </c>
      <c r="H267" s="414" t="b">
        <f>Wh_hp&gt;='2021'!Maxi_hp</f>
        <v>1</v>
      </c>
      <c r="I267" s="382">
        <f>IF(H267,Wh_hp,'2021'!Maxi_hp)</f>
        <v>46.307820639917978</v>
      </c>
      <c r="J267" s="85">
        <f>IF(H267,An,'2021'!An_max)</f>
        <v>2022</v>
      </c>
      <c r="K267" s="199">
        <f t="shared" si="76"/>
        <v>44814</v>
      </c>
      <c r="L267" s="147">
        <f>IF(t&lt;Tvie,1-EXP((T0-t)*PertePVj)+'2021'!Pspv,1-EXP((T0-t)*PertePVj)+Pspv)</f>
        <v>3.4327828425426921E-2</v>
      </c>
      <c r="M267" s="870"/>
      <c r="N267" s="870"/>
      <c r="O267" s="48">
        <f>IF(t&lt;Tnet,'2021'!Resal+('2021'!Salim-'2021'!Resal)*(1-EXP(('2021'!Tnet-t)/('2021'!Tau_j))),Resal+(Salim-Resal)*(1-EXP((Tnet-t)/(Tau_j))))*Salcycl</f>
        <v>0.14910367801885591</v>
      </c>
      <c r="P267" s="341">
        <f>(INDEX(Models!$BJ267:$BT267,,T267)*(1-R267)+INDEX(Models!$BJ267:$BT267,,T267+1)*R267-ERP_i)*Q267*Ramure*Pc/MaxiM</f>
        <v>1.0340224588746982E-2</v>
      </c>
      <c r="Q267" s="307">
        <f t="shared" si="77"/>
        <v>1</v>
      </c>
      <c r="R267" s="179">
        <f t="shared" si="78"/>
        <v>0.6843736361399636</v>
      </c>
      <c r="S267" s="837">
        <f t="shared" si="79"/>
        <v>0</v>
      </c>
      <c r="T267" s="178">
        <f t="shared" si="80"/>
        <v>6</v>
      </c>
      <c r="U267" s="253">
        <f t="shared" si="81"/>
        <v>0.6843736361399636</v>
      </c>
      <c r="V267" s="385">
        <f t="shared" si="82"/>
        <v>39.882042352800404</v>
      </c>
      <c r="W267" s="404"/>
      <c r="X267" s="157">
        <f t="shared" si="83"/>
        <v>44814</v>
      </c>
      <c r="Y267" s="387">
        <f t="shared" si="84"/>
        <v>36.823239275284749</v>
      </c>
      <c r="Z267" s="387">
        <f t="shared" si="85"/>
        <v>38.132236134797957</v>
      </c>
      <c r="AA267" s="388">
        <f t="shared" si="86"/>
        <v>45.866619078852182</v>
      </c>
      <c r="AB267" s="199">
        <f t="shared" si="87"/>
        <v>44814</v>
      </c>
      <c r="AC267" s="119">
        <f>IF(OR(t&lt;Tnet,NoTnet),'2021'!Resal_s+('2021'!Salim-'2021'!Resal_s)*(1-EXP(('2021'!Tnet_s-t)/'2021'!Tau_j)),Resal_s+(Salim-Resal_s)*(1-EXP((Tnet_s-t)/Tau_j)))*Salcycl</f>
        <v>0.1686277100729304</v>
      </c>
      <c r="AD267" s="233">
        <f>(INDEX(Models!$BJ267:$BT267,,AH267)*(1-AF267)+INDEX(Models!$BJ267:$BT267,,AH267+1)*AF267-ERP_i)*AE267*Ramure*Pc/MaxiM</f>
        <v>1.0340224588746982E-2</v>
      </c>
      <c r="AE267" s="307">
        <f t="shared" si="88"/>
        <v>1</v>
      </c>
      <c r="AF267" s="179">
        <f t="shared" si="89"/>
        <v>0.6843736361399636</v>
      </c>
      <c r="AG267" s="837">
        <f t="shared" si="95"/>
        <v>0</v>
      </c>
      <c r="AH267" s="178">
        <f t="shared" si="90"/>
        <v>6</v>
      </c>
      <c r="AI267" s="227">
        <f t="shared" si="91"/>
        <v>0.6843736361399636</v>
      </c>
      <c r="AJ267" s="267" t="b">
        <f t="shared" si="92"/>
        <v>1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4"/>
        <v>44815</v>
      </c>
      <c r="B268" s="618">
        <v>37.550000000000004</v>
      </c>
      <c r="C268" s="866"/>
      <c r="D268" s="395">
        <f t="shared" si="74"/>
        <v>38.885736763507097</v>
      </c>
      <c r="E268" s="387">
        <f t="shared" si="96"/>
        <v>45.702003741750751</v>
      </c>
      <c r="F268" s="387">
        <f t="shared" si="75"/>
        <v>46.152308154930608</v>
      </c>
      <c r="G268" s="110">
        <f t="shared" si="97"/>
        <v>0.94889808641245332</v>
      </c>
      <c r="H268" s="414" t="b">
        <f>Wh_hp&gt;='2021'!Maxi_hp</f>
        <v>1</v>
      </c>
      <c r="I268" s="382">
        <f>IF(H268,Wh_hp,'2021'!Maxi_hp)</f>
        <v>46.152308154930608</v>
      </c>
      <c r="J268" s="85">
        <f>IF(H268,An,'2021'!An_max)</f>
        <v>2022</v>
      </c>
      <c r="K268" s="199">
        <f t="shared" si="76"/>
        <v>44815</v>
      </c>
      <c r="L268" s="147">
        <f>IF(t&lt;Tvie,1-EXP((T0-t)*PertePVj)+'2021'!Pspv,1-EXP((T0-t)*PertePVj)+Pspv)</f>
        <v>3.4350301027615715E-2</v>
      </c>
      <c r="M268" s="870"/>
      <c r="N268" s="870"/>
      <c r="O268" s="48">
        <f>IF(t&lt;Tnet,'2021'!Resal+('2021'!Salim-'2021'!Resal)*(1-EXP(('2021'!Tnet-t)/('2021'!Tau_j))),Resal+(Salim-Resal)*(1-EXP((Tnet-t)/(Tau_j))))*Salcycl</f>
        <v>0.14914591090492385</v>
      </c>
      <c r="P268" s="341">
        <f>(INDEX(Models!$BJ268:$BT268,,T268)*(1-R268)+INDEX(Models!$BJ268:$BT268,,T268+1)*R268-ERP_i)*Q268*Ramure*Pc/MaxiM</f>
        <v>1.0513540140834148E-2</v>
      </c>
      <c r="Q268" s="307">
        <f t="shared" si="77"/>
        <v>1</v>
      </c>
      <c r="R268" s="179">
        <f t="shared" si="78"/>
        <v>0.684989615547835</v>
      </c>
      <c r="S268" s="837">
        <f t="shared" si="79"/>
        <v>0</v>
      </c>
      <c r="T268" s="178">
        <f t="shared" si="80"/>
        <v>6</v>
      </c>
      <c r="U268" s="253">
        <f t="shared" si="81"/>
        <v>0.684989615547835</v>
      </c>
      <c r="V268" s="385">
        <f t="shared" si="82"/>
        <v>39.541979843217085</v>
      </c>
      <c r="W268" s="404"/>
      <c r="X268" s="157">
        <f t="shared" si="83"/>
        <v>44815</v>
      </c>
      <c r="Y268" s="387">
        <f t="shared" si="84"/>
        <v>36.691575846185899</v>
      </c>
      <c r="Z268" s="387">
        <f t="shared" si="85"/>
        <v>37.996776559068969</v>
      </c>
      <c r="AA268" s="388">
        <f t="shared" si="86"/>
        <v>45.702003741750751</v>
      </c>
      <c r="AB268" s="199">
        <f t="shared" si="87"/>
        <v>44815</v>
      </c>
      <c r="AC268" s="119">
        <f>IF(OR(t&lt;Tnet,NoTnet),'2021'!Resal_s+('2021'!Salim-'2021'!Resal_s)*(1-EXP(('2021'!Tnet_s-t)/'2021'!Tau_j)),Resal_s+(Salim-Resal_s)*(1-EXP((Tnet_s-t)/Tau_j)))*Salcycl</f>
        <v>0.16859714130307871</v>
      </c>
      <c r="AD268" s="233">
        <f>(INDEX(Models!$BJ268:$BT268,,AH268)*(1-AF268)+INDEX(Models!$BJ268:$BT268,,AH268+1)*AF268-ERP_i)*AE268*Ramure*Pc/MaxiM</f>
        <v>1.0513540140834148E-2</v>
      </c>
      <c r="AE268" s="307">
        <f t="shared" si="88"/>
        <v>1</v>
      </c>
      <c r="AF268" s="179">
        <f t="shared" si="89"/>
        <v>0.684989615547835</v>
      </c>
      <c r="AG268" s="837">
        <f t="shared" si="95"/>
        <v>0</v>
      </c>
      <c r="AH268" s="178">
        <f t="shared" si="90"/>
        <v>6</v>
      </c>
      <c r="AI268" s="227">
        <f t="shared" si="91"/>
        <v>0.684989615547835</v>
      </c>
      <c r="AJ268" s="267" t="b">
        <f t="shared" si="92"/>
        <v>1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4"/>
        <v>44816</v>
      </c>
      <c r="B269" s="618">
        <v>26.103999999999999</v>
      </c>
      <c r="C269" s="866"/>
      <c r="D269" s="395">
        <f t="shared" si="74"/>
        <v>27.033206265307669</v>
      </c>
      <c r="E269" s="387">
        <f t="shared" si="96"/>
        <v>31.773335142748007</v>
      </c>
      <c r="F269" s="387">
        <f t="shared" si="75"/>
        <v>31.951797860869757</v>
      </c>
      <c r="G269" s="110">
        <f t="shared" si="97"/>
        <v>0.66253338908838011</v>
      </c>
      <c r="H269" s="414" t="b">
        <f>Wh_hp&gt;='2021'!Maxi_hp</f>
        <v>0</v>
      </c>
      <c r="I269" s="382">
        <f>IF(H269,Wh_hp,'2021'!Maxi_hp)</f>
        <v>47.332460641090549</v>
      </c>
      <c r="J269" s="85">
        <f>IF(H269,An,'2021'!An_max)</f>
        <v>2019</v>
      </c>
      <c r="K269" s="199">
        <f t="shared" si="76"/>
        <v>44816</v>
      </c>
      <c r="L269" s="147">
        <f>IF(t&lt;Tvie,1-EXP((T0-t)*PertePVj)+'2021'!Pspv,1-EXP((T0-t)*PertePVj)+Pspv)</f>
        <v>3.4372773106834176E-2</v>
      </c>
      <c r="M269" s="870"/>
      <c r="N269" s="870"/>
      <c r="O269" s="48">
        <f>IF(t&lt;Tnet,'2021'!Resal+('2021'!Salim-'2021'!Resal)*(1-EXP(('2021'!Tnet-t)/('2021'!Tau_j))),Resal+(Salim-Resal)*(1-EXP((Tnet-t)/(Tau_j))))*Salcycl</f>
        <v>0.14918575139010012</v>
      </c>
      <c r="P269" s="341">
        <f>(INDEX(Models!$BJ269:$BT269,,T269)*(1-R269)+INDEX(Models!$BJ269:$BT269,,T269+1)*R269-ERP_i)*Q269*Ramure*Pc/MaxiM</f>
        <v>1.0683930719968841E-2</v>
      </c>
      <c r="Q269" s="307">
        <f t="shared" si="77"/>
        <v>1</v>
      </c>
      <c r="R269" s="179">
        <f t="shared" si="78"/>
        <v>0.68558183568205677</v>
      </c>
      <c r="S269" s="837">
        <f t="shared" si="79"/>
        <v>0</v>
      </c>
      <c r="T269" s="178">
        <f t="shared" si="80"/>
        <v>6</v>
      </c>
      <c r="U269" s="253">
        <f t="shared" si="81"/>
        <v>0.68558183568205677</v>
      </c>
      <c r="V269" s="385">
        <f t="shared" si="82"/>
        <v>39.198265531065097</v>
      </c>
      <c r="W269" s="404"/>
      <c r="X269" s="157">
        <f t="shared" si="83"/>
        <v>44816</v>
      </c>
      <c r="Y269" s="387">
        <f t="shared" si="84"/>
        <v>25.509446436840339</v>
      </c>
      <c r="Z269" s="387">
        <f t="shared" si="85"/>
        <v>26.417488784895902</v>
      </c>
      <c r="AA269" s="388">
        <f t="shared" si="86"/>
        <v>31.773335142748007</v>
      </c>
      <c r="AB269" s="199">
        <f t="shared" si="87"/>
        <v>44816</v>
      </c>
      <c r="AC269" s="119">
        <f>IF(OR(t&lt;Tnet,NoTnet),'2021'!Resal_s+('2021'!Salim-'2021'!Resal_s)*(1-EXP(('2021'!Tnet_s-t)/'2021'!Tau_j)),Resal_s+(Salim-Resal_s)*(1-EXP((Tnet_s-t)/Tau_j)))*Salcycl</f>
        <v>0.16856418546526208</v>
      </c>
      <c r="AD269" s="233">
        <f>(INDEX(Models!$BJ269:$BT269,,AH269)*(1-AF269)+INDEX(Models!$BJ269:$BT269,,AH269+1)*AF269-ERP_i)*AE269*Ramure*Pc/MaxiM</f>
        <v>1.0683930719968841E-2</v>
      </c>
      <c r="AE269" s="307">
        <f t="shared" si="88"/>
        <v>1</v>
      </c>
      <c r="AF269" s="179">
        <f t="shared" si="89"/>
        <v>0.68558183568205677</v>
      </c>
      <c r="AG269" s="837">
        <f t="shared" si="95"/>
        <v>0</v>
      </c>
      <c r="AH269" s="178">
        <f t="shared" si="90"/>
        <v>6</v>
      </c>
      <c r="AI269" s="227">
        <f t="shared" si="91"/>
        <v>0.68558183568205677</v>
      </c>
      <c r="AJ269" s="267" t="b">
        <f t="shared" si="92"/>
        <v>1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4"/>
        <v>44817</v>
      </c>
      <c r="B270" s="618">
        <v>10.839</v>
      </c>
      <c r="C270" s="866"/>
      <c r="D270" s="395">
        <f t="shared" si="74"/>
        <v>11.22508970683166</v>
      </c>
      <c r="E270" s="387">
        <f t="shared" si="96"/>
        <v>13.193928912933774</v>
      </c>
      <c r="F270" s="387">
        <f t="shared" si="75"/>
        <v>13.193928912933774</v>
      </c>
      <c r="G270" s="110">
        <f t="shared" si="97"/>
        <v>0.27595898450607187</v>
      </c>
      <c r="H270" s="414" t="b">
        <f>Wh_hp&gt;='2021'!Maxi_hp</f>
        <v>0</v>
      </c>
      <c r="I270" s="382">
        <f>IF(H270,Wh_hp,'2021'!Maxi_hp)</f>
        <v>44.332714285498227</v>
      </c>
      <c r="J270" s="85">
        <f>IF(H270,An,'2021'!An_max)</f>
        <v>2020</v>
      </c>
      <c r="K270" s="199">
        <f t="shared" si="76"/>
        <v>44817</v>
      </c>
      <c r="L270" s="147">
        <f>IF(t&lt;Tvie,1-EXP((T0-t)*PertePVj)+'2021'!Pspv,1-EXP((T0-t)*PertePVj)+Pspv)</f>
        <v>3.4395244663094626E-2</v>
      </c>
      <c r="M270" s="870"/>
      <c r="N270" s="870"/>
      <c r="O270" s="48">
        <f>IF(t&lt;Tnet,'2021'!Resal+('2021'!Salim-'2021'!Resal)*(1-EXP(('2021'!Tnet-t)/('2021'!Tau_j))),Resal+(Salim-Resal)*(1-EXP((Tnet-t)/(Tau_j))))*Salcycl</f>
        <v>0.14922311762435644</v>
      </c>
      <c r="P270" s="341">
        <f>(INDEX(Models!$BJ270:$BT270,,T270)*(1-R270)+INDEX(Models!$BJ270:$BT270,,T270+1)*R270-ERP_i)*Q270*Ramure*Pc/MaxiM</f>
        <v>1.0851243006241637E-2</v>
      </c>
      <c r="Q270" s="307">
        <f t="shared" si="77"/>
        <v>1</v>
      </c>
      <c r="R270" s="179">
        <f t="shared" si="78"/>
        <v>0.68615117344155085</v>
      </c>
      <c r="S270" s="837">
        <f t="shared" si="79"/>
        <v>0</v>
      </c>
      <c r="T270" s="178">
        <f t="shared" si="80"/>
        <v>6</v>
      </c>
      <c r="U270" s="253">
        <f t="shared" si="81"/>
        <v>0.68615117344155085</v>
      </c>
      <c r="V270" s="385">
        <f t="shared" si="82"/>
        <v>38.851365525370113</v>
      </c>
      <c r="W270" s="404"/>
      <c r="X270" s="157">
        <f t="shared" si="83"/>
        <v>44817</v>
      </c>
      <c r="Y270" s="387">
        <f t="shared" si="84"/>
        <v>10.593043890030062</v>
      </c>
      <c r="Z270" s="387">
        <f t="shared" si="85"/>
        <v>10.970372537502763</v>
      </c>
      <c r="AA270" s="388">
        <f t="shared" si="86"/>
        <v>13.193928912933774</v>
      </c>
      <c r="AB270" s="199">
        <f t="shared" si="87"/>
        <v>44817</v>
      </c>
      <c r="AC270" s="119">
        <f>IF(OR(t&lt;Tnet,NoTnet),'2021'!Resal_s+('2021'!Salim-'2021'!Resal_s)*(1-EXP(('2021'!Tnet_s-t)/'2021'!Tau_j)),Resal_s+(Salim-Resal_s)*(1-EXP((Tnet_s-t)/Tau_j)))*Salcycl</f>
        <v>0.16852875213321011</v>
      </c>
      <c r="AD270" s="233">
        <f>(INDEX(Models!$BJ270:$BT270,,AH270)*(1-AF270)+INDEX(Models!$BJ270:$BT270,,AH270+1)*AF270-ERP_i)*AE270*Ramure*Pc/MaxiM</f>
        <v>1.0851243006241637E-2</v>
      </c>
      <c r="AE270" s="307">
        <f t="shared" si="88"/>
        <v>1</v>
      </c>
      <c r="AF270" s="179">
        <f t="shared" si="89"/>
        <v>0.68615117344155085</v>
      </c>
      <c r="AG270" s="837">
        <f t="shared" si="95"/>
        <v>0</v>
      </c>
      <c r="AH270" s="178">
        <f t="shared" si="90"/>
        <v>6</v>
      </c>
      <c r="AI270" s="227">
        <f t="shared" si="91"/>
        <v>0.68615117344155085</v>
      </c>
      <c r="AJ270" s="267" t="b">
        <f t="shared" si="92"/>
        <v>1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4"/>
        <v>44818</v>
      </c>
      <c r="B271" s="618">
        <v>31.693999999999999</v>
      </c>
      <c r="C271" s="866"/>
      <c r="D271" s="395">
        <f t="shared" ref="D271:D334" si="98">Wh/(1-Ppv)</f>
        <v>32.823717372630476</v>
      </c>
      <c r="E271" s="387">
        <f t="shared" si="96"/>
        <v>38.582454462560698</v>
      </c>
      <c r="F271" s="387">
        <f t="shared" ref="F271:F334" si="99">Wh_sa/(1-Pvg*MEDIAN((-Sdif+Wh/Env_an)/Csdif,0,1))</f>
        <v>38.902736644060198</v>
      </c>
      <c r="G271" s="110">
        <f t="shared" si="97"/>
        <v>0.82087400324561044</v>
      </c>
      <c r="H271" s="414" t="b">
        <f>Wh_hp&gt;='2021'!Maxi_hp</f>
        <v>0</v>
      </c>
      <c r="I271" s="382">
        <f>IF(H271,Wh_hp,'2021'!Maxi_hp)</f>
        <v>43.753374021516187</v>
      </c>
      <c r="J271" s="85">
        <f>IF(H271,An,'2021'!An_max)</f>
        <v>2020</v>
      </c>
      <c r="K271" s="199">
        <f t="shared" ref="K271:K334" si="100">t</f>
        <v>44818</v>
      </c>
      <c r="L271" s="147">
        <f>IF(t&lt;Tvie,1-EXP((T0-t)*PertePVj)+'2021'!Pspv,1-EXP((T0-t)*PertePVj)+Pspv)</f>
        <v>3.4417715696409057E-2</v>
      </c>
      <c r="M271" s="870"/>
      <c r="N271" s="870"/>
      <c r="O271" s="48">
        <f>IF(t&lt;Tnet,'2021'!Resal+('2021'!Salim-'2021'!Resal)*(1-EXP(('2021'!Tnet-t)/('2021'!Tau_j))),Resal+(Salim-Resal)*(1-EXP((Tnet-t)/(Tau_j))))*Salcycl</f>
        <v>0.14925792488184841</v>
      </c>
      <c r="P271" s="341">
        <f>(INDEX(Models!$BJ271:$BT271,,T271)*(1-R271)+INDEX(Models!$BJ271:$BT271,,T271+1)*R271-ERP_i)*Q271*Ramure*Pc/MaxiM</f>
        <v>1.1015308509550426E-2</v>
      </c>
      <c r="Q271" s="307">
        <f t="shared" ref="Q271:Q334" si="101">IF(OR(t&lt;Ttai,Notai),Dd+PousD*Croivg,Dens+PousD*(Croivg-Croi_tai))</f>
        <v>1</v>
      </c>
      <c r="R271" s="179">
        <f t="shared" ref="R271:R334" si="102">(Hp_vg-S271)/(INDEX(Echel_vg,T271+1)-S271)</f>
        <v>0.68669847642776072</v>
      </c>
      <c r="S271" s="837">
        <f t="shared" ref="S271:S334" si="103">INDEX(Echel_vg,T271)</f>
        <v>0</v>
      </c>
      <c r="T271" s="178">
        <f t="shared" ref="T271:T334" si="104">MIN(MATCH(Hp_vg,Echel_vg),10)</f>
        <v>6</v>
      </c>
      <c r="U271" s="253">
        <f t="shared" ref="U271:U334" si="105">IF(OR(t&lt;Ttai,Notai),Hdd+PousH*Croivg,Hdtf+PousH*(Croivg-Croi_tai))</f>
        <v>0.68669847642776072</v>
      </c>
      <c r="V271" s="385">
        <f t="shared" ref="V271:V334" si="106">MaxiM*(1-Ppv)*(1-Pvg)*(1-Psa)</f>
        <v>38.501745747697818</v>
      </c>
      <c r="W271" s="404"/>
      <c r="X271" s="157">
        <f t="shared" ref="X271:X334" si="107">t</f>
        <v>44818</v>
      </c>
      <c r="Y271" s="387">
        <f t="shared" ref="Y271:Y334" si="108">Wh_pvt_s*(1-Ppv)</f>
        <v>30.977490135476327</v>
      </c>
      <c r="Z271" s="387">
        <f t="shared" ref="Z271:Z334" si="109">Wh_sa_s*(1-Psa_s)</f>
        <v>32.081667858910947</v>
      </c>
      <c r="AA271" s="388">
        <f t="shared" ref="AA271:AA334" si="110">Wh_hp*(1-Pvg_s*MEDIAN((-Sdif+Wh/Env_an)/Csdif,0,1))</f>
        <v>38.582454462560698</v>
      </c>
      <c r="AB271" s="199">
        <f t="shared" ref="AB271:AB334" si="111">t</f>
        <v>44818</v>
      </c>
      <c r="AC271" s="119">
        <f>IF(OR(t&lt;Tnet,NoTnet),'2021'!Resal_s+('2021'!Salim-'2021'!Resal_s)*(1-EXP(('2021'!Tnet_s-t)/'2021'!Tau_j)),Resal_s+(Salim-Resal_s)*(1-EXP((Tnet_s-t)/Tau_j)))*Salcycl</f>
        <v>0.16849074778168727</v>
      </c>
      <c r="AD271" s="233">
        <f>(INDEX(Models!$BJ271:$BT271,,AH271)*(1-AF271)+INDEX(Models!$BJ271:$BT271,,AH271+1)*AF271-ERP_i)*AE271*Ramure*Pc/MaxiM</f>
        <v>1.1015308509550426E-2</v>
      </c>
      <c r="AE271" s="307">
        <f t="shared" ref="AE271:AE334" si="112">IF(OR(t&lt;Ttai,Notai),Dd_s+PousD*Croivg,Dens_s+PousD*(Croivg-Croi_tai))</f>
        <v>1</v>
      </c>
      <c r="AF271" s="179">
        <f t="shared" ref="AF271:AF334" si="113">(Hp_vg_s-AG271)/(INDEX(Echel_vg,AH271+1)-AG271)</f>
        <v>0.68669847642776072</v>
      </c>
      <c r="AG271" s="837">
        <f t="shared" si="95"/>
        <v>0</v>
      </c>
      <c r="AH271" s="178">
        <f t="shared" ref="AH271:AH334" si="114">MIN(MATCH(Hp_vg_s,Echel_vg),10)</f>
        <v>6</v>
      </c>
      <c r="AI271" s="227">
        <f t="shared" ref="AI271:AI334" si="115">IF(OR(t&lt;Ttai,Notai),Hdd_s+PousH*Croivg,Hdtai_s+PousH*(Croivg-Croi_tai))</f>
        <v>0.68669847642776072</v>
      </c>
      <c r="AJ271" s="267" t="b">
        <f t="shared" ref="AJ271:AJ334" si="116">t&lt;Tnet</f>
        <v>1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18">A271+1</f>
        <v>44819</v>
      </c>
      <c r="B272" s="618">
        <v>34.590000000000003</v>
      </c>
      <c r="C272" s="866"/>
      <c r="D272" s="395">
        <f t="shared" si="98"/>
        <v>35.823777570146461</v>
      </c>
      <c r="E272" s="387">
        <f t="shared" si="96"/>
        <v>42.11045030355681</v>
      </c>
      <c r="F272" s="387">
        <f t="shared" si="99"/>
        <v>42.522327733124584</v>
      </c>
      <c r="G272" s="110">
        <f t="shared" si="97"/>
        <v>0.90532319241591686</v>
      </c>
      <c r="H272" s="414" t="b">
        <f>Wh_hp&gt;='2021'!Maxi_hp</f>
        <v>0</v>
      </c>
      <c r="I272" s="382">
        <f>IF(H272,Wh_hp,'2021'!Maxi_hp)</f>
        <v>44.298163479728281</v>
      </c>
      <c r="J272" s="85">
        <f>IF(H272,An,'2021'!An_max)</f>
        <v>2020</v>
      </c>
      <c r="K272" s="199">
        <f t="shared" si="100"/>
        <v>44819</v>
      </c>
      <c r="L272" s="147">
        <f>IF(t&lt;Tvie,1-EXP((T0-t)*PertePVj)+'2021'!Pspv,1-EXP((T0-t)*PertePVj)+Pspv)</f>
        <v>3.444018620678968E-2</v>
      </c>
      <c r="M272" s="870"/>
      <c r="N272" s="870"/>
      <c r="O272" s="48">
        <f>IF(t&lt;Tnet,'2021'!Resal+('2021'!Salim-'2021'!Resal)*(1-EXP(('2021'!Tnet-t)/('2021'!Tau_j))),Resal+(Salim-Resal)*(1-EXP((Tnet-t)/(Tau_j))))*Salcycl</f>
        <v>0.14929008566976434</v>
      </c>
      <c r="P272" s="341">
        <f>(INDEX(Models!$BJ272:$BT272,,T272)*(1-R272)+INDEX(Models!$BJ272:$BT272,,T272+1)*R272-ERP_i)*Q272*Ramure*Pc/MaxiM</f>
        <v>1.1175943094491872E-2</v>
      </c>
      <c r="Q272" s="307">
        <f t="shared" si="101"/>
        <v>1</v>
      </c>
      <c r="R272" s="179">
        <f t="shared" si="102"/>
        <v>0.68722456368161799</v>
      </c>
      <c r="S272" s="837">
        <f t="shared" si="103"/>
        <v>0</v>
      </c>
      <c r="T272" s="178">
        <f t="shared" si="104"/>
        <v>6</v>
      </c>
      <c r="U272" s="253">
        <f t="shared" si="105"/>
        <v>0.68722456368161799</v>
      </c>
      <c r="V272" s="385">
        <f t="shared" si="106"/>
        <v>38.149871936855135</v>
      </c>
      <c r="W272" s="404"/>
      <c r="X272" s="157">
        <f t="shared" si="107"/>
        <v>44819</v>
      </c>
      <c r="Y272" s="387">
        <f t="shared" si="108"/>
        <v>33.810951758738724</v>
      </c>
      <c r="Z272" s="387">
        <f t="shared" si="109"/>
        <v>35.016941753108078</v>
      </c>
      <c r="AA272" s="388">
        <f t="shared" si="110"/>
        <v>42.11045030355681</v>
      </c>
      <c r="AB272" s="199">
        <f t="shared" si="111"/>
        <v>44819</v>
      </c>
      <c r="AC272" s="119">
        <f>IF(OR(t&lt;Tnet,NoTnet),'2021'!Resal_s+('2021'!Salim-'2021'!Resal_s)*(1-EXP(('2021'!Tnet_s-t)/'2021'!Tau_j)),Resal_s+(Salim-Resal_s)*(1-EXP((Tnet_s-t)/Tau_j)))*Salcycl</f>
        <v>0.16845007591499414</v>
      </c>
      <c r="AD272" s="233">
        <f>(INDEX(Models!$BJ272:$BT272,,AH272)*(1-AF272)+INDEX(Models!$BJ272:$BT272,,AH272+1)*AF272-ERP_i)*AE272*Ramure*Pc/MaxiM</f>
        <v>1.1175943094491872E-2</v>
      </c>
      <c r="AE272" s="307">
        <f t="shared" si="112"/>
        <v>1</v>
      </c>
      <c r="AF272" s="179">
        <f t="shared" si="113"/>
        <v>0.68722456368161799</v>
      </c>
      <c r="AG272" s="837">
        <f t="shared" ref="AG272:AG335" si="119">INDEX(Echel_vg,AH272)</f>
        <v>0</v>
      </c>
      <c r="AH272" s="178">
        <f t="shared" si="114"/>
        <v>6</v>
      </c>
      <c r="AI272" s="227">
        <f t="shared" si="115"/>
        <v>0.68722456368161799</v>
      </c>
      <c r="AJ272" s="267" t="b">
        <f t="shared" si="116"/>
        <v>1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si="118"/>
        <v>44820</v>
      </c>
      <c r="B273" s="618">
        <v>23.876999999999999</v>
      </c>
      <c r="C273" s="866"/>
      <c r="D273" s="395">
        <f t="shared" si="98"/>
        <v>24.729235128168821</v>
      </c>
      <c r="E273" s="387">
        <f t="shared" si="96"/>
        <v>29.069945079788944</v>
      </c>
      <c r="F273" s="387">
        <f t="shared" si="99"/>
        <v>29.226913583927779</v>
      </c>
      <c r="G273" s="110">
        <f t="shared" si="97"/>
        <v>0.62794313411095815</v>
      </c>
      <c r="H273" s="414" t="b">
        <f>Wh_hp&gt;='2021'!Maxi_hp</f>
        <v>0</v>
      </c>
      <c r="I273" s="382">
        <f>IF(H273,Wh_hp,'2021'!Maxi_hp)</f>
        <v>41.309842416196986</v>
      </c>
      <c r="J273" s="85">
        <f>IF(H273,An,'2021'!An_max)</f>
        <v>2019</v>
      </c>
      <c r="K273" s="199">
        <f t="shared" si="100"/>
        <v>44820</v>
      </c>
      <c r="L273" s="147">
        <f>IF(t&lt;Tvie,1-EXP((T0-t)*PertePVj)+'2021'!Pspv,1-EXP((T0-t)*PertePVj)+Pspv)</f>
        <v>3.446265619424882E-2</v>
      </c>
      <c r="M273" s="870"/>
      <c r="N273" s="870"/>
      <c r="O273" s="48">
        <f>IF(t&lt;Tnet,'2021'!Resal+('2021'!Salim-'2021'!Resal)*(1-EXP(('2021'!Tnet-t)/('2021'!Tau_j))),Resal+(Salim-Resal)*(1-EXP((Tnet-t)/(Tau_j))))*Salcycl</f>
        <v>0.14931950988232265</v>
      </c>
      <c r="P273" s="341">
        <f>(INDEX(Models!$BJ273:$BT273,,T273)*(1-R273)+INDEX(Models!$BJ273:$BT273,,T273+1)*R273-ERP_i)*Q273*Ramure*Pc/MaxiM</f>
        <v>1.1332946506134409E-2</v>
      </c>
      <c r="Q273" s="307">
        <f t="shared" si="101"/>
        <v>1</v>
      </c>
      <c r="R273" s="179">
        <f t="shared" si="102"/>
        <v>0.68773022642227188</v>
      </c>
      <c r="S273" s="837">
        <f t="shared" si="103"/>
        <v>0</v>
      </c>
      <c r="T273" s="178">
        <f t="shared" si="104"/>
        <v>6</v>
      </c>
      <c r="U273" s="253">
        <f t="shared" si="105"/>
        <v>0.68773022642227188</v>
      </c>
      <c r="V273" s="385">
        <f t="shared" si="106"/>
        <v>37.796209647259516</v>
      </c>
      <c r="W273" s="404"/>
      <c r="X273" s="157">
        <f t="shared" si="107"/>
        <v>44820</v>
      </c>
      <c r="Y273" s="387">
        <f t="shared" si="108"/>
        <v>23.341260265333229</v>
      </c>
      <c r="Z273" s="387">
        <f t="shared" si="109"/>
        <v>24.174373383976615</v>
      </c>
      <c r="AA273" s="388">
        <f t="shared" si="110"/>
        <v>29.069945079788944</v>
      </c>
      <c r="AB273" s="199">
        <f t="shared" si="111"/>
        <v>44820</v>
      </c>
      <c r="AC273" s="119">
        <f>IF(OR(t&lt;Tnet,NoTnet),'2021'!Resal_s+('2021'!Salim-'2021'!Resal_s)*(1-EXP(('2021'!Tnet_s-t)/'2021'!Tau_j)),Resal_s+(Salim-Resal_s)*(1-EXP((Tnet_s-t)/Tau_j)))*Salcycl</f>
        <v>0.16840663724597132</v>
      </c>
      <c r="AD273" s="233">
        <f>(INDEX(Models!$BJ273:$BT273,,AH273)*(1-AF273)+INDEX(Models!$BJ273:$BT273,,AH273+1)*AF273-ERP_i)*AE273*Ramure*Pc/MaxiM</f>
        <v>1.1332946506134409E-2</v>
      </c>
      <c r="AE273" s="307">
        <f t="shared" si="112"/>
        <v>1</v>
      </c>
      <c r="AF273" s="179">
        <f t="shared" si="113"/>
        <v>0.68773022642227188</v>
      </c>
      <c r="AG273" s="837">
        <f t="shared" si="119"/>
        <v>0</v>
      </c>
      <c r="AH273" s="178">
        <f t="shared" si="114"/>
        <v>6</v>
      </c>
      <c r="AI273" s="227">
        <f t="shared" si="115"/>
        <v>0.68773022642227188</v>
      </c>
      <c r="AJ273" s="267" t="b">
        <f t="shared" si="116"/>
        <v>1</v>
      </c>
      <c r="AK273" s="267" t="b">
        <f t="shared" si="117"/>
        <v>0</v>
      </c>
      <c r="AL273" s="267"/>
      <c r="AM273" s="267"/>
      <c r="AN273" s="75"/>
    </row>
    <row r="274" spans="1:40" s="6" customFormat="1" ht="11.25" x14ac:dyDescent="0.2">
      <c r="A274" s="56">
        <f t="shared" si="118"/>
        <v>44821</v>
      </c>
      <c r="B274" s="1276">
        <f>39.46*0.95</f>
        <v>37.487000000000002</v>
      </c>
      <c r="C274" s="866"/>
      <c r="D274" s="395">
        <f t="shared" si="98"/>
        <v>38.825916613225097</v>
      </c>
      <c r="E274" s="387">
        <f t="shared" si="96"/>
        <v>45.642436767218449</v>
      </c>
      <c r="F274" s="387">
        <f t="shared" si="99"/>
        <v>46.172782046829937</v>
      </c>
      <c r="G274" s="110">
        <f t="shared" si="97"/>
        <v>1.0012226029271674</v>
      </c>
      <c r="H274" s="414" t="b">
        <f>Wh_hp&gt;='2021'!Maxi_hp</f>
        <v>1</v>
      </c>
      <c r="I274" s="382">
        <f>IF(H274,Wh_hp,'2021'!Maxi_hp)</f>
        <v>46.172782046829937</v>
      </c>
      <c r="J274" s="85">
        <f>IF(H274,An,'2021'!An_max)</f>
        <v>2022</v>
      </c>
      <c r="K274" s="199">
        <f t="shared" si="100"/>
        <v>44821</v>
      </c>
      <c r="L274" s="147">
        <f>IF(t&lt;Tvie,1-EXP((T0-t)*PertePVj)+'2021'!Pspv,1-EXP((T0-t)*PertePVj)+Pspv)</f>
        <v>3.4485125658798355E-2</v>
      </c>
      <c r="M274" s="870"/>
      <c r="N274" s="870"/>
      <c r="O274" s="48">
        <f>IF(t&lt;Tnet,'2021'!Resal+('2021'!Salim-'2021'!Resal)*(1-EXP(('2021'!Tnet-t)/('2021'!Tau_j))),Resal+(Salim-Resal)*(1-EXP((Tnet-t)/(Tau_j))))*Salcycl</f>
        <v>0.14934610500220158</v>
      </c>
      <c r="P274" s="341">
        <f>(INDEX(Models!$BJ274:$BT274,,T274)*(1-R274)+INDEX(Models!$BJ274:$BT274,,T274+1)*R274-ERP_i)*Q274*Ramure*Pc/MaxiM</f>
        <v>1.1486101900327214E-2</v>
      </c>
      <c r="Q274" s="307">
        <f t="shared" si="101"/>
        <v>1</v>
      </c>
      <c r="R274" s="179">
        <f t="shared" si="102"/>
        <v>0.68821622878540956</v>
      </c>
      <c r="S274" s="837">
        <f t="shared" si="103"/>
        <v>0</v>
      </c>
      <c r="T274" s="178">
        <f t="shared" si="104"/>
        <v>6</v>
      </c>
      <c r="U274" s="253">
        <f t="shared" si="105"/>
        <v>0.68821622878540956</v>
      </c>
      <c r="V274" s="385">
        <f t="shared" si="106"/>
        <v>37.441224249635667</v>
      </c>
      <c r="W274" s="404"/>
      <c r="X274" s="157">
        <f t="shared" si="107"/>
        <v>44821</v>
      </c>
      <c r="Y274" s="387">
        <f t="shared" si="108"/>
        <v>36.649072549150645</v>
      </c>
      <c r="Z274" s="387">
        <f t="shared" si="109"/>
        <v>37.958061054375108</v>
      </c>
      <c r="AA274" s="388">
        <f t="shared" si="110"/>
        <v>45.642436767218449</v>
      </c>
      <c r="AB274" s="199">
        <f t="shared" si="111"/>
        <v>44821</v>
      </c>
      <c r="AC274" s="119">
        <f>IF(OR(t&lt;Tnet,NoTnet),'2021'!Resal_s+('2021'!Salim-'2021'!Resal_s)*(1-EXP(('2021'!Tnet_s-t)/'2021'!Tau_j)),Resal_s+(Salim-Resal_s)*(1-EXP((Tnet_s-t)/Tau_j)))*Salcycl</f>
        <v>0.16836032992792474</v>
      </c>
      <c r="AD274" s="233">
        <f>(INDEX(Models!$BJ274:$BT274,,AH274)*(1-AF274)+INDEX(Models!$BJ274:$BT274,,AH274+1)*AF274-ERP_i)*AE274*Ramure*Pc/MaxiM</f>
        <v>1.1486101900327214E-2</v>
      </c>
      <c r="AE274" s="307">
        <f t="shared" si="112"/>
        <v>1</v>
      </c>
      <c r="AF274" s="179">
        <f t="shared" si="113"/>
        <v>0.68821622878540956</v>
      </c>
      <c r="AG274" s="837">
        <f t="shared" si="119"/>
        <v>0</v>
      </c>
      <c r="AH274" s="178">
        <f t="shared" si="114"/>
        <v>6</v>
      </c>
      <c r="AI274" s="227">
        <f t="shared" si="115"/>
        <v>0.68821622878540956</v>
      </c>
      <c r="AJ274" s="267" t="b">
        <f t="shared" si="116"/>
        <v>1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8"/>
        <v>44822</v>
      </c>
      <c r="B275" s="618">
        <v>37.786000000000001</v>
      </c>
      <c r="C275" s="866"/>
      <c r="D275" s="395">
        <f t="shared" si="98"/>
        <v>39.13650670754167</v>
      </c>
      <c r="E275" s="387">
        <f t="shared" si="96"/>
        <v>46.008836295122222</v>
      </c>
      <c r="F275" s="387">
        <f t="shared" si="99"/>
        <v>46.550502444170561</v>
      </c>
      <c r="G275" s="110">
        <f t="shared" si="97"/>
        <v>1.0189736869084016</v>
      </c>
      <c r="H275" s="414" t="b">
        <f>Wh_hp&gt;='2021'!Maxi_hp</f>
        <v>1</v>
      </c>
      <c r="I275" s="382">
        <f>IF(H275,Wh_hp,'2021'!Maxi_hp)</f>
        <v>46.550502444170561</v>
      </c>
      <c r="J275" s="85">
        <f>IF(H275,An,'2021'!An_max)</f>
        <v>2022</v>
      </c>
      <c r="K275" s="199">
        <f t="shared" si="100"/>
        <v>44822</v>
      </c>
      <c r="L275" s="147">
        <f>IF(t&lt;Tvie,1-EXP((T0-t)*PertePVj)+'2021'!Pspv,1-EXP((T0-t)*PertePVj)+Pspv)</f>
        <v>3.4507594600450719E-2</v>
      </c>
      <c r="M275" s="870"/>
      <c r="N275" s="870"/>
      <c r="O275" s="48">
        <f>IF(t&lt;Tnet,'2021'!Resal+('2021'!Salim-'2021'!Resal)*(1-EXP(('2021'!Tnet-t)/('2021'!Tau_j))),Resal+(Salim-Resal)*(1-EXP((Tnet-t)/(Tau_j))))*Salcycl</f>
        <v>0.14936977635118195</v>
      </c>
      <c r="P275" s="341">
        <f>(INDEX(Models!$BJ275:$BT275,,T275)*(1-R275)+INDEX(Models!$BJ275:$BT275,,T275+1)*R275-ERP_i)*Q275*Ramure*Pc/MaxiM</f>
        <v>1.163609672522814E-2</v>
      </c>
      <c r="Q275" s="307">
        <f t="shared" si="101"/>
        <v>1</v>
      </c>
      <c r="R275" s="179">
        <f t="shared" si="102"/>
        <v>0.68868330855921045</v>
      </c>
      <c r="S275" s="837">
        <f t="shared" si="103"/>
        <v>0</v>
      </c>
      <c r="T275" s="178">
        <f t="shared" si="104"/>
        <v>6</v>
      </c>
      <c r="U275" s="253">
        <f t="shared" si="105"/>
        <v>0.68868330855921045</v>
      </c>
      <c r="V275" s="385">
        <f t="shared" si="106"/>
        <v>37.082409963542744</v>
      </c>
      <c r="W275" s="404"/>
      <c r="X275" s="157">
        <f t="shared" si="107"/>
        <v>44822</v>
      </c>
      <c r="Y275" s="387">
        <f t="shared" si="108"/>
        <v>36.944606242524245</v>
      </c>
      <c r="Z275" s="387">
        <f t="shared" si="109"/>
        <v>38.265040756312814</v>
      </c>
      <c r="AA275" s="388">
        <f t="shared" si="110"/>
        <v>46.008836295122222</v>
      </c>
      <c r="AB275" s="199">
        <f t="shared" si="111"/>
        <v>44822</v>
      </c>
      <c r="AC275" s="119">
        <f>IF(OR(t&lt;Tnet,NoTnet),'2021'!Resal_s+('2021'!Salim-'2021'!Resal_s)*(1-EXP(('2021'!Tnet_s-t)/'2021'!Tau_j)),Resal_s+(Salim-Resal_s)*(1-EXP((Tnet_s-t)/Tau_j)))*Salcycl</f>
        <v>0.16831104984131917</v>
      </c>
      <c r="AD275" s="233">
        <f>(INDEX(Models!$BJ275:$BT275,,AH275)*(1-AF275)+INDEX(Models!$BJ275:$BT275,,AH275+1)*AF275-ERP_i)*AE275*Ramure*Pc/MaxiM</f>
        <v>1.163609672522814E-2</v>
      </c>
      <c r="AE275" s="307">
        <f t="shared" si="112"/>
        <v>1</v>
      </c>
      <c r="AF275" s="179">
        <f t="shared" si="113"/>
        <v>0.68868330855921045</v>
      </c>
      <c r="AG275" s="837">
        <f t="shared" si="119"/>
        <v>0</v>
      </c>
      <c r="AH275" s="178">
        <f t="shared" si="114"/>
        <v>6</v>
      </c>
      <c r="AI275" s="227">
        <f t="shared" si="115"/>
        <v>0.68868330855921045</v>
      </c>
      <c r="AJ275" s="267" t="b">
        <f t="shared" si="116"/>
        <v>1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8"/>
        <v>44823</v>
      </c>
      <c r="B276" s="618">
        <v>36.234999999999999</v>
      </c>
      <c r="C276" s="866"/>
      <c r="D276" s="395">
        <f t="shared" si="98"/>
        <v>37.53094592806702</v>
      </c>
      <c r="E276" s="387">
        <f t="shared" si="96"/>
        <v>44.122411899224787</v>
      </c>
      <c r="F276" s="387">
        <f t="shared" si="99"/>
        <v>44.638887158912787</v>
      </c>
      <c r="G276" s="110">
        <f t="shared" si="97"/>
        <v>0.98664569586655826</v>
      </c>
      <c r="H276" s="414" t="b">
        <f>Wh_hp&gt;='2021'!Maxi_hp</f>
        <v>1</v>
      </c>
      <c r="I276" s="382">
        <f>IF(H276,Wh_hp,'2021'!Maxi_hp)</f>
        <v>44.638887158912787</v>
      </c>
      <c r="J276" s="85">
        <f>IF(H276,An,'2021'!An_max)</f>
        <v>2022</v>
      </c>
      <c r="K276" s="199">
        <f t="shared" si="100"/>
        <v>44823</v>
      </c>
      <c r="L276" s="147">
        <f>IF(t&lt;Tvie,1-EXP((T0-t)*PertePVj)+'2021'!Pspv,1-EXP((T0-t)*PertePVj)+Pspv)</f>
        <v>3.4530063019218016E-2</v>
      </c>
      <c r="M276" s="870"/>
      <c r="N276" s="870"/>
      <c r="O276" s="48">
        <f>IF(t&lt;Tnet,'2021'!Resal+('2021'!Salim-'2021'!Resal)*(1-EXP(('2021'!Tnet-t)/('2021'!Tau_j))),Resal+(Salim-Resal)*(1-EXP((Tnet-t)/(Tau_j))))*Salcycl</f>
        <v>0.1493904273912455</v>
      </c>
      <c r="P276" s="341">
        <f>(INDEX(Models!$BJ276:$BT276,,T276)*(1-R276)+INDEX(Models!$BJ276:$BT276,,T276+1)*R276-ERP_i)*Q276*Ramure*Pc/MaxiM</f>
        <v>1.1791303578311632E-2</v>
      </c>
      <c r="Q276" s="307">
        <f t="shared" si="101"/>
        <v>1</v>
      </c>
      <c r="R276" s="179">
        <f t="shared" si="102"/>
        <v>0.68913217791617676</v>
      </c>
      <c r="S276" s="837">
        <f t="shared" si="103"/>
        <v>0</v>
      </c>
      <c r="T276" s="178">
        <f t="shared" si="104"/>
        <v>6</v>
      </c>
      <c r="U276" s="253">
        <f t="shared" si="105"/>
        <v>0.68913217791617676</v>
      </c>
      <c r="V276" s="385">
        <f t="shared" si="106"/>
        <v>36.71722289970733</v>
      </c>
      <c r="W276" s="404"/>
      <c r="X276" s="157">
        <f t="shared" si="107"/>
        <v>44823</v>
      </c>
      <c r="Y276" s="387">
        <f t="shared" si="108"/>
        <v>35.431233440608288</v>
      </c>
      <c r="Z276" s="387">
        <f t="shared" si="109"/>
        <v>36.698432632101273</v>
      </c>
      <c r="AA276" s="388">
        <f t="shared" si="110"/>
        <v>44.122411899224787</v>
      </c>
      <c r="AB276" s="199">
        <f t="shared" si="111"/>
        <v>44823</v>
      </c>
      <c r="AC276" s="119">
        <f>IF(OR(t&lt;Tnet,NoTnet),'2021'!Resal_s+('2021'!Salim-'2021'!Resal_s)*(1-EXP(('2021'!Tnet_s-t)/'2021'!Tau_j)),Resal_s+(Salim-Resal_s)*(1-EXP((Tnet_s-t)/Tau_j)))*Salcycl</f>
        <v>0.16825869093647508</v>
      </c>
      <c r="AD276" s="233">
        <f>(INDEX(Models!$BJ276:$BT276,,AH276)*(1-AF276)+INDEX(Models!$BJ276:$BT276,,AH276+1)*AF276-ERP_i)*AE276*Ramure*Pc/MaxiM</f>
        <v>1.1791303578311632E-2</v>
      </c>
      <c r="AE276" s="307">
        <f t="shared" si="112"/>
        <v>1</v>
      </c>
      <c r="AF276" s="179">
        <f t="shared" si="113"/>
        <v>0.68913217791617676</v>
      </c>
      <c r="AG276" s="837">
        <f t="shared" si="119"/>
        <v>0</v>
      </c>
      <c r="AH276" s="178">
        <f t="shared" si="114"/>
        <v>6</v>
      </c>
      <c r="AI276" s="227">
        <f t="shared" si="115"/>
        <v>0.68913217791617676</v>
      </c>
      <c r="AJ276" s="267" t="b">
        <f t="shared" si="116"/>
        <v>1</v>
      </c>
      <c r="AK276" s="267" t="b">
        <f t="shared" si="117"/>
        <v>0</v>
      </c>
      <c r="AL276" s="267"/>
      <c r="AM276" s="267"/>
      <c r="AN276" s="75"/>
    </row>
    <row r="277" spans="1:40" s="6" customFormat="1" ht="11.25" x14ac:dyDescent="0.2">
      <c r="A277" s="56">
        <f t="shared" si="118"/>
        <v>44824</v>
      </c>
      <c r="B277" s="618">
        <v>37.151000000000003</v>
      </c>
      <c r="C277" s="866"/>
      <c r="D277" s="395">
        <f t="shared" si="98"/>
        <v>38.480602197045563</v>
      </c>
      <c r="E277" s="387">
        <f t="shared" si="96"/>
        <v>45.239786396919648</v>
      </c>
      <c r="F277" s="387">
        <f t="shared" si="99"/>
        <v>45.787183013416708</v>
      </c>
      <c r="G277" s="110">
        <f t="shared" si="97"/>
        <v>1.0221378580498539</v>
      </c>
      <c r="H277" s="414" t="b">
        <f>Wh_hp&gt;='2021'!Maxi_hp</f>
        <v>1</v>
      </c>
      <c r="I277" s="382">
        <f>IF(H277,Wh_hp,'2021'!Maxi_hp)</f>
        <v>45.787183013416708</v>
      </c>
      <c r="J277" s="85">
        <f>IF(H277,An,'2021'!An_max)</f>
        <v>2022</v>
      </c>
      <c r="K277" s="199">
        <f t="shared" si="100"/>
        <v>44824</v>
      </c>
      <c r="L277" s="147">
        <f>IF(t&lt;Tvie,1-EXP((T0-t)*PertePVj)+'2021'!Pspv,1-EXP((T0-t)*PertePVj)+Pspv)</f>
        <v>3.4552530915112345E-2</v>
      </c>
      <c r="M277" s="870"/>
      <c r="N277" s="870"/>
      <c r="O277" s="48">
        <f>IF(t&lt;Tnet,'2021'!Resal+('2021'!Salim-'2021'!Resal)*(1-EXP(('2021'!Tnet-t)/('2021'!Tau_j))),Resal+(Salim-Resal)*(1-EXP((Tnet-t)/(Tau_j))))*Salcycl</f>
        <v>0.14940796007680332</v>
      </c>
      <c r="P277" s="341">
        <f>(INDEX(Models!$BJ277:$BT277,,T277)*(1-R277)+INDEX(Models!$BJ277:$BT277,,T277+1)*R277-ERP_i)*Q277*Ramure*Pc/MaxiM</f>
        <v>1.1955236825481464E-2</v>
      </c>
      <c r="Q277" s="307">
        <f t="shared" si="101"/>
        <v>1</v>
      </c>
      <c r="R277" s="179">
        <f t="shared" si="102"/>
        <v>0.68956352413925903</v>
      </c>
      <c r="S277" s="837">
        <f t="shared" si="103"/>
        <v>0</v>
      </c>
      <c r="T277" s="178">
        <f t="shared" si="104"/>
        <v>6</v>
      </c>
      <c r="U277" s="253">
        <f t="shared" si="105"/>
        <v>0.68956352413925903</v>
      </c>
      <c r="V277" s="385">
        <f t="shared" si="106"/>
        <v>36.346369237199319</v>
      </c>
      <c r="W277" s="404"/>
      <c r="X277" s="157">
        <f t="shared" si="107"/>
        <v>44824</v>
      </c>
      <c r="Y277" s="387">
        <f t="shared" si="108"/>
        <v>36.330089497879307</v>
      </c>
      <c r="Z277" s="387">
        <f t="shared" si="109"/>
        <v>37.630312017198897</v>
      </c>
      <c r="AA277" s="388">
        <f t="shared" si="110"/>
        <v>45.239786396919648</v>
      </c>
      <c r="AB277" s="199">
        <f t="shared" si="111"/>
        <v>44824</v>
      </c>
      <c r="AC277" s="119">
        <f>IF(OR(t&lt;Tnet,NoTnet),'2021'!Resal_s+('2021'!Salim-'2021'!Resal_s)*(1-EXP(('2021'!Tnet_s-t)/'2021'!Tau_j)),Resal_s+(Salim-Resal_s)*(1-EXP((Tnet_s-t)/Tau_j)))*Salcycl</f>
        <v>0.16820314563286431</v>
      </c>
      <c r="AD277" s="233">
        <f>(INDEX(Models!$BJ277:$BT277,,AH277)*(1-AF277)+INDEX(Models!$BJ277:$BT277,,AH277+1)*AF277-ERP_i)*AE277*Ramure*Pc/MaxiM</f>
        <v>1.1955236825481464E-2</v>
      </c>
      <c r="AE277" s="307">
        <f t="shared" si="112"/>
        <v>1</v>
      </c>
      <c r="AF277" s="179">
        <f t="shared" si="113"/>
        <v>0.68956352413925903</v>
      </c>
      <c r="AG277" s="837">
        <f t="shared" si="119"/>
        <v>0</v>
      </c>
      <c r="AH277" s="178">
        <f t="shared" si="114"/>
        <v>6</v>
      </c>
      <c r="AI277" s="227">
        <f t="shared" si="115"/>
        <v>0.68956352413925903</v>
      </c>
      <c r="AJ277" s="267" t="b">
        <f t="shared" si="116"/>
        <v>1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8"/>
        <v>44825</v>
      </c>
      <c r="B278" s="618">
        <v>36.085000000000001</v>
      </c>
      <c r="C278" s="866"/>
      <c r="D278" s="395">
        <f t="shared" si="98"/>
        <v>37.377320802771301</v>
      </c>
      <c r="E278" s="387">
        <f t="shared" si="96"/>
        <v>43.943451274973093</v>
      </c>
      <c r="F278" s="387">
        <f t="shared" si="99"/>
        <v>44.482939873798394</v>
      </c>
      <c r="G278" s="110">
        <f t="shared" si="97"/>
        <v>1.0031780250081224</v>
      </c>
      <c r="H278" s="414" t="b">
        <f>Wh_hp&gt;='2021'!Maxi_hp</f>
        <v>1</v>
      </c>
      <c r="I278" s="382">
        <f>IF(H278,Wh_hp,'2021'!Maxi_hp)</f>
        <v>44.482939873798394</v>
      </c>
      <c r="J278" s="85">
        <f>IF(H278,An,'2021'!An_max)</f>
        <v>2022</v>
      </c>
      <c r="K278" s="199">
        <f t="shared" si="100"/>
        <v>44825</v>
      </c>
      <c r="L278" s="147">
        <f>IF(t&lt;Tvie,1-EXP((T0-t)*PertePVj)+'2021'!Pspv,1-EXP((T0-t)*PertePVj)+Pspv)</f>
        <v>3.4574998288145919E-2</v>
      </c>
      <c r="M278" s="870"/>
      <c r="N278" s="870"/>
      <c r="O278" s="48">
        <f>IF(t&lt;Tnet,'2021'!Resal+('2021'!Salim-'2021'!Resal)*(1-EXP(('2021'!Tnet-t)/('2021'!Tau_j))),Resal+(Salim-Resal)*(1-EXP((Tnet-t)/(Tau_j))))*Salcycl</f>
        <v>0.1494222752581422</v>
      </c>
      <c r="P278" s="341">
        <f>(INDEX(Models!$BJ278:$BT278,,T278)*(1-R278)+INDEX(Models!$BJ278:$BT278,,T278+1)*R278-ERP_i)*Q278*Ramure*Pc/MaxiM</f>
        <v>1.2127988850464335E-2</v>
      </c>
      <c r="Q278" s="307">
        <f t="shared" si="101"/>
        <v>1</v>
      </c>
      <c r="R278" s="179">
        <f t="shared" si="102"/>
        <v>0.68997801034088169</v>
      </c>
      <c r="S278" s="837">
        <f t="shared" si="103"/>
        <v>0</v>
      </c>
      <c r="T278" s="178">
        <f t="shared" si="104"/>
        <v>6</v>
      </c>
      <c r="U278" s="253">
        <f t="shared" si="105"/>
        <v>0.68997801034088169</v>
      </c>
      <c r="V278" s="385">
        <f t="shared" si="106"/>
        <v>35.970684265843872</v>
      </c>
      <c r="W278" s="404"/>
      <c r="X278" s="157">
        <f t="shared" si="107"/>
        <v>44825</v>
      </c>
      <c r="Y278" s="387">
        <f t="shared" si="108"/>
        <v>35.290734604252535</v>
      </c>
      <c r="Z278" s="387">
        <f t="shared" si="109"/>
        <v>36.554610188959657</v>
      </c>
      <c r="AA278" s="388">
        <f t="shared" si="110"/>
        <v>43.943451274973093</v>
      </c>
      <c r="AB278" s="199">
        <f t="shared" si="111"/>
        <v>44825</v>
      </c>
      <c r="AC278" s="119">
        <f>IF(OR(t&lt;Tnet,NoTnet),'2021'!Resal_s+('2021'!Salim-'2021'!Resal_s)*(1-EXP(('2021'!Tnet_s-t)/'2021'!Tau_j)),Resal_s+(Salim-Resal_s)*(1-EXP((Tnet_s-t)/Tau_j)))*Salcycl</f>
        <v>0.16814430527493779</v>
      </c>
      <c r="AD278" s="233">
        <f>(INDEX(Models!$BJ278:$BT278,,AH278)*(1-AF278)+INDEX(Models!$BJ278:$BT278,,AH278+1)*AF278-ERP_i)*AE278*Ramure*Pc/MaxiM</f>
        <v>1.2127988850464335E-2</v>
      </c>
      <c r="AE278" s="307">
        <f t="shared" si="112"/>
        <v>1</v>
      </c>
      <c r="AF278" s="179">
        <f t="shared" si="113"/>
        <v>0.68997801034088169</v>
      </c>
      <c r="AG278" s="837">
        <f t="shared" si="119"/>
        <v>0</v>
      </c>
      <c r="AH278" s="178">
        <f t="shared" si="114"/>
        <v>6</v>
      </c>
      <c r="AI278" s="227">
        <f t="shared" si="115"/>
        <v>0.68997801034088169</v>
      </c>
      <c r="AJ278" s="267" t="b">
        <f t="shared" si="116"/>
        <v>1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8"/>
        <v>44826</v>
      </c>
      <c r="B279" s="618">
        <v>34.875999999999998</v>
      </c>
      <c r="C279" s="866"/>
      <c r="D279" s="395">
        <f t="shared" si="98"/>
        <v>36.12586329597459</v>
      </c>
      <c r="E279" s="387">
        <f t="shared" si="96"/>
        <v>42.472697502699887</v>
      </c>
      <c r="F279" s="387">
        <f t="shared" si="99"/>
        <v>42.986661928230411</v>
      </c>
      <c r="G279" s="110">
        <f t="shared" si="97"/>
        <v>0.979560202922377</v>
      </c>
      <c r="H279" s="414" t="b">
        <f>Wh_hp&gt;='2021'!Maxi_hp</f>
        <v>1</v>
      </c>
      <c r="I279" s="382">
        <f>IF(H279,Wh_hp,'2021'!Maxi_hp)</f>
        <v>42.986661928230411</v>
      </c>
      <c r="J279" s="85">
        <f>IF(H279,An,'2021'!An_max)</f>
        <v>2022</v>
      </c>
      <c r="K279" s="199">
        <f t="shared" si="100"/>
        <v>44826</v>
      </c>
      <c r="L279" s="147">
        <f>IF(t&lt;Tvie,1-EXP((T0-t)*PertePVj)+'2021'!Pspv,1-EXP((T0-t)*PertePVj)+Pspv)</f>
        <v>3.4597465138330952E-2</v>
      </c>
      <c r="M279" s="870"/>
      <c r="N279" s="870"/>
      <c r="O279" s="48">
        <f>IF(t&lt;Tnet,'2021'!Resal+('2021'!Salim-'2021'!Resal)*(1-EXP(('2021'!Tnet-t)/('2021'!Tau_j))),Resal+(Salim-Resal)*(1-EXP((Tnet-t)/(Tau_j))))*Salcycl</f>
        <v>0.14943327313556773</v>
      </c>
      <c r="P279" s="341">
        <f>(INDEX(Models!$BJ279:$BT279,,T279)*(1-R279)+INDEX(Models!$BJ279:$BT279,,T279+1)*R279-ERP_i)*Q279*Ramure*Pc/MaxiM</f>
        <v>1.2309646580658088E-2</v>
      </c>
      <c r="Q279" s="307">
        <f t="shared" si="101"/>
        <v>1</v>
      </c>
      <c r="R279" s="179">
        <f t="shared" si="102"/>
        <v>0.69037627617361597</v>
      </c>
      <c r="S279" s="837">
        <f t="shared" si="103"/>
        <v>0</v>
      </c>
      <c r="T279" s="178">
        <f t="shared" si="104"/>
        <v>6</v>
      </c>
      <c r="U279" s="253">
        <f t="shared" si="105"/>
        <v>0.69037627617361597</v>
      </c>
      <c r="V279" s="385">
        <f t="shared" si="106"/>
        <v>35.591002899622247</v>
      </c>
      <c r="W279" s="404"/>
      <c r="X279" s="157">
        <f t="shared" si="107"/>
        <v>44826</v>
      </c>
      <c r="Y279" s="387">
        <f t="shared" si="108"/>
        <v>34.111339106747558</v>
      </c>
      <c r="Z279" s="387">
        <f t="shared" si="109"/>
        <v>35.333798985347926</v>
      </c>
      <c r="AA279" s="388">
        <f t="shared" si="110"/>
        <v>42.472697502699887</v>
      </c>
      <c r="AB279" s="199">
        <f t="shared" si="111"/>
        <v>44826</v>
      </c>
      <c r="AC279" s="119">
        <f>IF(OR(t&lt;Tnet,NoTnet),'2021'!Resal_s+('2021'!Salim-'2021'!Resal_s)*(1-EXP(('2021'!Tnet_s-t)/'2021'!Tau_j)),Resal_s+(Salim-Resal_s)*(1-EXP((Tnet_s-t)/Tau_j)))*Salcycl</f>
        <v>0.16808206064373857</v>
      </c>
      <c r="AD279" s="233">
        <f>(INDEX(Models!$BJ279:$BT279,,AH279)*(1-AF279)+INDEX(Models!$BJ279:$BT279,,AH279+1)*AF279-ERP_i)*AE279*Ramure*Pc/MaxiM</f>
        <v>1.2309646580658088E-2</v>
      </c>
      <c r="AE279" s="307">
        <f t="shared" si="112"/>
        <v>1</v>
      </c>
      <c r="AF279" s="179">
        <f t="shared" si="113"/>
        <v>0.69037627617361597</v>
      </c>
      <c r="AG279" s="837">
        <f t="shared" si="119"/>
        <v>0</v>
      </c>
      <c r="AH279" s="178">
        <f t="shared" si="114"/>
        <v>6</v>
      </c>
      <c r="AI279" s="227">
        <f t="shared" si="115"/>
        <v>0.69037627617361597</v>
      </c>
      <c r="AJ279" s="267" t="b">
        <f t="shared" si="116"/>
        <v>1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8"/>
        <v>44827</v>
      </c>
      <c r="B280" s="618">
        <v>22.462</v>
      </c>
      <c r="C280" s="866"/>
      <c r="D280" s="395">
        <f t="shared" si="98"/>
        <v>23.267519945903512</v>
      </c>
      <c r="E280" s="387">
        <f t="shared" si="96"/>
        <v>27.355557869015282</v>
      </c>
      <c r="F280" s="387">
        <f t="shared" si="99"/>
        <v>27.521664270470197</v>
      </c>
      <c r="G280" s="110">
        <f t="shared" si="97"/>
        <v>0.63382766555524928</v>
      </c>
      <c r="H280" s="414" t="b">
        <f>Wh_hp&gt;='2021'!Maxi_hp</f>
        <v>0</v>
      </c>
      <c r="I280" s="382">
        <f>IF(H280,Wh_hp,'2021'!Maxi_hp)</f>
        <v>39.136561933282216</v>
      </c>
      <c r="J280" s="85">
        <f>IF(H280,An,'2021'!An_max)</f>
        <v>2019</v>
      </c>
      <c r="K280" s="199">
        <f t="shared" si="100"/>
        <v>44827</v>
      </c>
      <c r="L280" s="147">
        <f>IF(t&lt;Tvie,1-EXP((T0-t)*PertePVj)+'2021'!Pspv,1-EXP((T0-t)*PertePVj)+Pspv)</f>
        <v>3.4619931465679543E-2</v>
      </c>
      <c r="M280" s="870"/>
      <c r="N280" s="870"/>
      <c r="O280" s="48">
        <f>IF(t&lt;Tnet,'2021'!Resal+('2021'!Salim-'2021'!Resal)*(1-EXP(('2021'!Tnet-t)/('2021'!Tau_j))),Resal+(Salim-Resal)*(1-EXP((Tnet-t)/(Tau_j))))*Salcycl</f>
        <v>0.14944085376310867</v>
      </c>
      <c r="P280" s="341">
        <f>(INDEX(Models!$BJ280:$BT280,,T280)*(1-R280)+INDEX(Models!$BJ280:$BT280,,T280+1)*R280-ERP_i)*Q280*Ramure*Pc/MaxiM</f>
        <v>1.2500355740762772E-2</v>
      </c>
      <c r="Q280" s="307">
        <f t="shared" si="101"/>
        <v>1</v>
      </c>
      <c r="R280" s="179">
        <f t="shared" si="102"/>
        <v>0.69075893853140724</v>
      </c>
      <c r="S280" s="837">
        <f t="shared" si="103"/>
        <v>0</v>
      </c>
      <c r="T280" s="178">
        <f t="shared" si="104"/>
        <v>6</v>
      </c>
      <c r="U280" s="253">
        <f t="shared" si="105"/>
        <v>0.69075893853140724</v>
      </c>
      <c r="V280" s="385">
        <f t="shared" si="106"/>
        <v>35.208157315465058</v>
      </c>
      <c r="W280" s="404"/>
      <c r="X280" s="157">
        <f t="shared" si="107"/>
        <v>44827</v>
      </c>
      <c r="Y280" s="387">
        <f t="shared" si="108"/>
        <v>21.971450069536417</v>
      </c>
      <c r="Z280" s="387">
        <f t="shared" si="109"/>
        <v>22.759378182413037</v>
      </c>
      <c r="AA280" s="388">
        <f t="shared" si="110"/>
        <v>27.355557869015282</v>
      </c>
      <c r="AB280" s="199">
        <f t="shared" si="111"/>
        <v>44827</v>
      </c>
      <c r="AC280" s="119">
        <f>IF(OR(t&lt;Tnet,NoTnet),'2021'!Resal_s+('2021'!Salim-'2021'!Resal_s)*(1-EXP(('2021'!Tnet_s-t)/'2021'!Tau_j)),Resal_s+(Salim-Resal_s)*(1-EXP((Tnet_s-t)/Tau_j)))*Salcycl</f>
        <v>0.16801630252286615</v>
      </c>
      <c r="AD280" s="233">
        <f>(INDEX(Models!$BJ280:$BT280,,AH280)*(1-AF280)+INDEX(Models!$BJ280:$BT280,,AH280+1)*AF280-ERP_i)*AE280*Ramure*Pc/MaxiM</f>
        <v>1.2500355740762772E-2</v>
      </c>
      <c r="AE280" s="307">
        <f t="shared" si="112"/>
        <v>1</v>
      </c>
      <c r="AF280" s="179">
        <f t="shared" si="113"/>
        <v>0.69075893853140724</v>
      </c>
      <c r="AG280" s="837">
        <f t="shared" si="119"/>
        <v>0</v>
      </c>
      <c r="AH280" s="178">
        <f t="shared" si="114"/>
        <v>6</v>
      </c>
      <c r="AI280" s="227">
        <f t="shared" si="115"/>
        <v>0.69075893853140724</v>
      </c>
      <c r="AJ280" s="267" t="b">
        <f t="shared" si="116"/>
        <v>1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8"/>
        <v>44828</v>
      </c>
      <c r="B281" s="618">
        <v>15.074</v>
      </c>
      <c r="C281" s="866"/>
      <c r="D281" s="395">
        <f t="shared" si="98"/>
        <v>15.614938917323901</v>
      </c>
      <c r="E281" s="387">
        <f t="shared" si="96"/>
        <v>18.35852755504548</v>
      </c>
      <c r="F281" s="387">
        <f t="shared" si="99"/>
        <v>18.402892799383903</v>
      </c>
      <c r="G281" s="110">
        <f t="shared" si="97"/>
        <v>0.42841025821581458</v>
      </c>
      <c r="H281" s="414" t="b">
        <f>Wh_hp&gt;='2021'!Maxi_hp</f>
        <v>0</v>
      </c>
      <c r="I281" s="382">
        <f>IF(H281,Wh_hp,'2021'!Maxi_hp)</f>
        <v>35.871023448312265</v>
      </c>
      <c r="J281" s="85">
        <f>IF(H281,An,'2021'!An_max)</f>
        <v>2021</v>
      </c>
      <c r="K281" s="199">
        <f t="shared" si="100"/>
        <v>44828</v>
      </c>
      <c r="L281" s="147">
        <f>IF(t&lt;Tvie,1-EXP((T0-t)*PertePVj)+'2021'!Pspv,1-EXP((T0-t)*PertePVj)+Pspv)</f>
        <v>3.4642397270203795E-2</v>
      </c>
      <c r="M281" s="870"/>
      <c r="N281" s="870"/>
      <c r="O281" s="48">
        <f>IF(t&lt;Tnet,'2021'!Resal+('2021'!Salim-'2021'!Resal)*(1-EXP(('2021'!Tnet-t)/('2021'!Tau_j))),Resal+(Salim-Resal)*(1-EXP((Tnet-t)/(Tau_j))))*Salcycl</f>
        <v>0.14944491760002609</v>
      </c>
      <c r="P281" s="341">
        <f>(INDEX(Models!$BJ281:$BT281,,T281)*(1-R281)+INDEX(Models!$BJ281:$BT281,,T281+1)*R281-ERP_i)*Q281*Ramure*Pc/MaxiM</f>
        <v>1.270022237866841E-2</v>
      </c>
      <c r="Q281" s="307">
        <f t="shared" si="101"/>
        <v>1</v>
      </c>
      <c r="R281" s="179">
        <f t="shared" si="102"/>
        <v>0.69112659224039774</v>
      </c>
      <c r="S281" s="837">
        <f t="shared" si="103"/>
        <v>0</v>
      </c>
      <c r="T281" s="178">
        <f t="shared" si="104"/>
        <v>6</v>
      </c>
      <c r="U281" s="253">
        <f t="shared" si="105"/>
        <v>0.69112659224039774</v>
      </c>
      <c r="V281" s="385">
        <f t="shared" si="106"/>
        <v>34.822980473148327</v>
      </c>
      <c r="W281" s="404"/>
      <c r="X281" s="157">
        <f t="shared" si="107"/>
        <v>44828</v>
      </c>
      <c r="Y281" s="387">
        <f t="shared" si="108"/>
        <v>14.74609740454232</v>
      </c>
      <c r="Z281" s="387">
        <f t="shared" si="109"/>
        <v>15.275269353909835</v>
      </c>
      <c r="AA281" s="388">
        <f t="shared" si="110"/>
        <v>18.35852755504548</v>
      </c>
      <c r="AB281" s="199">
        <f t="shared" si="111"/>
        <v>44828</v>
      </c>
      <c r="AC281" s="119">
        <f>IF(OR(t&lt;Tnet,NoTnet),'2021'!Resal_s+('2021'!Salim-'2021'!Resal_s)*(1-EXP(('2021'!Tnet_s-t)/'2021'!Tau_j)),Resal_s+(Salim-Resal_s)*(1-EXP((Tnet_s-t)/Tau_j)))*Salcycl</f>
        <v>0.16794692231666872</v>
      </c>
      <c r="AD281" s="233">
        <f>(INDEX(Models!$BJ281:$BT281,,AH281)*(1-AF281)+INDEX(Models!$BJ281:$BT281,,AH281+1)*AF281-ERP_i)*AE281*Ramure*Pc/MaxiM</f>
        <v>1.270022237866841E-2</v>
      </c>
      <c r="AE281" s="307">
        <f t="shared" si="112"/>
        <v>1</v>
      </c>
      <c r="AF281" s="179">
        <f t="shared" si="113"/>
        <v>0.69112659224039774</v>
      </c>
      <c r="AG281" s="837">
        <f t="shared" si="119"/>
        <v>0</v>
      </c>
      <c r="AH281" s="178">
        <f t="shared" si="114"/>
        <v>6</v>
      </c>
      <c r="AI281" s="227">
        <f t="shared" si="115"/>
        <v>0.69112659224039774</v>
      </c>
      <c r="AJ281" s="267" t="b">
        <f t="shared" si="116"/>
        <v>1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8"/>
        <v>44829</v>
      </c>
      <c r="B282" s="618">
        <v>25.178000000000001</v>
      </c>
      <c r="C282" s="866"/>
      <c r="D282" s="395">
        <f t="shared" si="98"/>
        <v>26.08213357545382</v>
      </c>
      <c r="E282" s="387">
        <f t="shared" si="96"/>
        <v>30.664853891981835</v>
      </c>
      <c r="F282" s="387">
        <f t="shared" si="99"/>
        <v>30.911204106697131</v>
      </c>
      <c r="G282" s="110">
        <f t="shared" si="97"/>
        <v>0.72750628369766823</v>
      </c>
      <c r="H282" s="414" t="b">
        <f>Wh_hp&gt;='2021'!Maxi_hp</f>
        <v>1</v>
      </c>
      <c r="I282" s="382">
        <f>IF(H282,Wh_hp,'2021'!Maxi_hp)</f>
        <v>30.911204106697131</v>
      </c>
      <c r="J282" s="85">
        <f>IF(H282,An,'2021'!An_max)</f>
        <v>2022</v>
      </c>
      <c r="K282" s="199">
        <f t="shared" si="100"/>
        <v>44829</v>
      </c>
      <c r="L282" s="147">
        <f>IF(t&lt;Tvie,1-EXP((T0-t)*PertePVj)+'2021'!Pspv,1-EXP((T0-t)*PertePVj)+Pspv)</f>
        <v>3.4664862551916031E-2</v>
      </c>
      <c r="M282" s="870"/>
      <c r="N282" s="870"/>
      <c r="O282" s="48">
        <f>IF(t&lt;Tnet,'2021'!Resal+('2021'!Salim-'2021'!Resal)*(1-EXP(('2021'!Tnet-t)/('2021'!Tau_j))),Resal+(Salim-Resal)*(1-EXP((Tnet-t)/(Tau_j))))*Salcycl</f>
        <v>0.14944536610775419</v>
      </c>
      <c r="P282" s="341">
        <f>(INDEX(Models!$BJ282:$BT282,,T282)*(1-R282)+INDEX(Models!$BJ282:$BT282,,T282+1)*R282-ERP_i)*Q282*Ramure*Pc/MaxiM</f>
        <v>1.2938617721838214E-2</v>
      </c>
      <c r="Q282" s="307">
        <f t="shared" si="101"/>
        <v>1</v>
      </c>
      <c r="R282" s="179">
        <f t="shared" si="102"/>
        <v>0.69147981073850329</v>
      </c>
      <c r="S282" s="837">
        <f t="shared" si="103"/>
        <v>0</v>
      </c>
      <c r="T282" s="178">
        <f t="shared" si="104"/>
        <v>6</v>
      </c>
      <c r="U282" s="253">
        <f t="shared" si="105"/>
        <v>0.69147981073850329</v>
      </c>
      <c r="V282" s="385">
        <f t="shared" si="106"/>
        <v>34.435283622587541</v>
      </c>
      <c r="W282" s="404"/>
      <c r="X282" s="157">
        <f t="shared" si="107"/>
        <v>44829</v>
      </c>
      <c r="Y282" s="387">
        <f t="shared" si="108"/>
        <v>24.632483685985157</v>
      </c>
      <c r="Z282" s="387">
        <f t="shared" si="109"/>
        <v>25.517027952698864</v>
      </c>
      <c r="AA282" s="388">
        <f t="shared" si="110"/>
        <v>30.664853891981835</v>
      </c>
      <c r="AB282" s="199">
        <f t="shared" si="111"/>
        <v>44829</v>
      </c>
      <c r="AC282" s="119">
        <f>IF(OR(t&lt;Tnet,NoTnet),'2021'!Resal_s+('2021'!Salim-'2021'!Resal_s)*(1-EXP(('2021'!Tnet_s-t)/'2021'!Tau_j)),Resal_s+(Salim-Resal_s)*(1-EXP((Tnet_s-t)/Tau_j)))*Salcycl</f>
        <v>0.16787381271785587</v>
      </c>
      <c r="AD282" s="233">
        <f>(INDEX(Models!$BJ282:$BT282,,AH282)*(1-AF282)+INDEX(Models!$BJ282:$BT282,,AH282+1)*AF282-ERP_i)*AE282*Ramure*Pc/MaxiM</f>
        <v>1.2938617721838214E-2</v>
      </c>
      <c r="AE282" s="307">
        <f t="shared" si="112"/>
        <v>1</v>
      </c>
      <c r="AF282" s="179">
        <f t="shared" si="113"/>
        <v>0.69147981073850329</v>
      </c>
      <c r="AG282" s="837">
        <f t="shared" si="119"/>
        <v>0</v>
      </c>
      <c r="AH282" s="178">
        <f t="shared" si="114"/>
        <v>6</v>
      </c>
      <c r="AI282" s="227">
        <f t="shared" si="115"/>
        <v>0.69147981073850329</v>
      </c>
      <c r="AJ282" s="267" t="b">
        <f t="shared" si="116"/>
        <v>1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8"/>
        <v>44830</v>
      </c>
      <c r="B283" s="618">
        <v>27.033999999999999</v>
      </c>
      <c r="C283" s="866"/>
      <c r="D283" s="395">
        <f t="shared" si="98"/>
        <v>28.00543364326564</v>
      </c>
      <c r="E283" s="387">
        <f t="shared" si="96"/>
        <v>32.925958035232334</v>
      </c>
      <c r="F283" s="387">
        <f t="shared" si="99"/>
        <v>33.236088483579834</v>
      </c>
      <c r="G283" s="110">
        <f t="shared" si="97"/>
        <v>0.79093141020666657</v>
      </c>
      <c r="H283" s="414" t="b">
        <f>Wh_hp&gt;='2021'!Maxi_hp</f>
        <v>1</v>
      </c>
      <c r="I283" s="382">
        <f>IF(H283,Wh_hp,'2021'!Maxi_hp)</f>
        <v>33.236088483579834</v>
      </c>
      <c r="J283" s="85">
        <f>IF(H283,An,'2021'!An_max)</f>
        <v>2022</v>
      </c>
      <c r="K283" s="199">
        <f t="shared" si="100"/>
        <v>44830</v>
      </c>
      <c r="L283" s="147">
        <f>IF(t&lt;Tvie,1-EXP((T0-t)*PertePVj)+'2021'!Pspv,1-EXP((T0-t)*PertePVj)+Pspv)</f>
        <v>3.4687327310828353E-2</v>
      </c>
      <c r="M283" s="870"/>
      <c r="N283" s="870"/>
      <c r="O283" s="48">
        <f>IF(t&lt;Tnet,'2021'!Resal+('2021'!Salim-'2021'!Resal)*(1-EXP(('2021'!Tnet-t)/('2021'!Tau_j))),Resal+(Salim-Resal)*(1-EXP((Tnet-t)/(Tau_j))))*Salcycl</f>
        <v>0.14944210238929118</v>
      </c>
      <c r="P283" s="341">
        <f>(INDEX(Models!$BJ283:$BT283,,T283)*(1-R283)+INDEX(Models!$BJ283:$BT283,,T283+1)*R283-ERP_i)*Q283*Ramure*Pc/MaxiM</f>
        <v>1.3220940205240289E-2</v>
      </c>
      <c r="Q283" s="307">
        <f t="shared" si="101"/>
        <v>1</v>
      </c>
      <c r="R283" s="179">
        <f t="shared" si="102"/>
        <v>0.69181914674303246</v>
      </c>
      <c r="S283" s="837">
        <f t="shared" si="103"/>
        <v>0</v>
      </c>
      <c r="T283" s="178">
        <f t="shared" si="104"/>
        <v>6</v>
      </c>
      <c r="U283" s="253">
        <f t="shared" si="105"/>
        <v>0.69181914674303246</v>
      </c>
      <c r="V283" s="385">
        <f t="shared" si="106"/>
        <v>34.045749351251686</v>
      </c>
      <c r="W283" s="404"/>
      <c r="X283" s="157">
        <f t="shared" si="107"/>
        <v>44830</v>
      </c>
      <c r="Y283" s="387">
        <f t="shared" si="108"/>
        <v>26.450614969661</v>
      </c>
      <c r="Z283" s="387">
        <f t="shared" si="109"/>
        <v>27.401085387157281</v>
      </c>
      <c r="AA283" s="388">
        <f t="shared" si="110"/>
        <v>32.925958035232334</v>
      </c>
      <c r="AB283" s="199">
        <f t="shared" si="111"/>
        <v>44830</v>
      </c>
      <c r="AC283" s="119">
        <f>IF(OR(t&lt;Tnet,NoTnet),'2021'!Resal_s+('2021'!Salim-'2021'!Resal_s)*(1-EXP(('2021'!Tnet_s-t)/'2021'!Tau_j)),Resal_s+(Salim-Resal_s)*(1-EXP((Tnet_s-t)/Tau_j)))*Salcycl</f>
        <v>0.16779686842105476</v>
      </c>
      <c r="AD283" s="233">
        <f>(INDEX(Models!$BJ283:$BT283,,AH283)*(1-AF283)+INDEX(Models!$BJ283:$BT283,,AH283+1)*AF283-ERP_i)*AE283*Ramure*Pc/MaxiM</f>
        <v>1.3220940205240289E-2</v>
      </c>
      <c r="AE283" s="307">
        <f t="shared" si="112"/>
        <v>1</v>
      </c>
      <c r="AF283" s="179">
        <f t="shared" si="113"/>
        <v>0.69181914674303246</v>
      </c>
      <c r="AG283" s="837">
        <f t="shared" si="119"/>
        <v>0</v>
      </c>
      <c r="AH283" s="178">
        <f t="shared" si="114"/>
        <v>6</v>
      </c>
      <c r="AI283" s="227">
        <f t="shared" si="115"/>
        <v>0.69181914674303246</v>
      </c>
      <c r="AJ283" s="267" t="b">
        <f t="shared" si="116"/>
        <v>1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8"/>
        <v>44831</v>
      </c>
      <c r="B284" s="618">
        <v>13.207000000000001</v>
      </c>
      <c r="C284" s="866"/>
      <c r="D284" s="395">
        <f t="shared" si="98"/>
        <v>13.681895749429851</v>
      </c>
      <c r="E284" s="387">
        <f t="shared" si="96"/>
        <v>16.085656313202421</v>
      </c>
      <c r="F284" s="387">
        <f t="shared" si="99"/>
        <v>16.114481811058099</v>
      </c>
      <c r="G284" s="110">
        <f t="shared" si="97"/>
        <v>0.38779768250523661</v>
      </c>
      <c r="H284" s="414" t="b">
        <f>Wh_hp&gt;='2021'!Maxi_hp</f>
        <v>0</v>
      </c>
      <c r="I284" s="382">
        <f>IF(H284,Wh_hp,'2021'!Maxi_hp)</f>
        <v>32.510091909422549</v>
      </c>
      <c r="J284" s="85">
        <f>IF(H284,An,'2021'!An_max)</f>
        <v>2019</v>
      </c>
      <c r="K284" s="199">
        <f t="shared" si="100"/>
        <v>44831</v>
      </c>
      <c r="L284" s="147">
        <f>IF(t&lt;Tvie,1-EXP((T0-t)*PertePVj)+'2021'!Pspv,1-EXP((T0-t)*PertePVj)+Pspv)</f>
        <v>3.4709791546952862E-2</v>
      </c>
      <c r="M284" s="870"/>
      <c r="N284" s="870"/>
      <c r="O284" s="48">
        <f>IF(t&lt;Tnet,'2021'!Resal+('2021'!Salim-'2021'!Resal)*(1-EXP(('2021'!Tnet-t)/('2021'!Tau_j))),Resal+(Salim-Resal)*(1-EXP((Tnet-t)/(Tau_j))))*Salcycl</f>
        <v>0.14943503186746976</v>
      </c>
      <c r="P284" s="341">
        <f>(INDEX(Models!$BJ284:$BT284,,T284)*(1-R284)+INDEX(Models!$BJ284:$BT284,,T284+1)*R284-ERP_i)*Q284*Ramure*Pc/MaxiM</f>
        <v>1.3548441758474739E-2</v>
      </c>
      <c r="Q284" s="307">
        <f t="shared" si="101"/>
        <v>1</v>
      </c>
      <c r="R284" s="179">
        <f t="shared" si="102"/>
        <v>0.69214513290572932</v>
      </c>
      <c r="S284" s="837">
        <f t="shared" si="103"/>
        <v>0</v>
      </c>
      <c r="T284" s="178">
        <f t="shared" si="104"/>
        <v>6</v>
      </c>
      <c r="U284" s="253">
        <f t="shared" si="105"/>
        <v>0.69214513290572932</v>
      </c>
      <c r="V284" s="385">
        <f t="shared" si="106"/>
        <v>33.655208923839858</v>
      </c>
      <c r="W284" s="404"/>
      <c r="X284" s="157">
        <f t="shared" si="107"/>
        <v>44831</v>
      </c>
      <c r="Y284" s="387">
        <f t="shared" si="108"/>
        <v>12.923145642164661</v>
      </c>
      <c r="Z284" s="387">
        <f t="shared" si="109"/>
        <v>13.387834590050396</v>
      </c>
      <c r="AA284" s="388">
        <f t="shared" si="110"/>
        <v>16.085656313202421</v>
      </c>
      <c r="AB284" s="199">
        <f t="shared" si="111"/>
        <v>44831</v>
      </c>
      <c r="AC284" s="119">
        <f>IF(OR(t&lt;Tnet,NoTnet),'2021'!Resal_s+('2021'!Salim-'2021'!Resal_s)*(1-EXP(('2021'!Tnet_s-t)/'2021'!Tau_j)),Resal_s+(Salim-Resal_s)*(1-EXP((Tnet_s-t)/Tau_j)))*Salcycl</f>
        <v>0.16771598687818334</v>
      </c>
      <c r="AD284" s="233">
        <f>(INDEX(Models!$BJ284:$BT284,,AH284)*(1-AF284)+INDEX(Models!$BJ284:$BT284,,AH284+1)*AF284-ERP_i)*AE284*Ramure*Pc/MaxiM</f>
        <v>1.3548441758474739E-2</v>
      </c>
      <c r="AE284" s="307">
        <f t="shared" si="112"/>
        <v>1</v>
      </c>
      <c r="AF284" s="179">
        <f t="shared" si="113"/>
        <v>0.69214513290572932</v>
      </c>
      <c r="AG284" s="837">
        <f t="shared" si="119"/>
        <v>0</v>
      </c>
      <c r="AH284" s="178">
        <f t="shared" si="114"/>
        <v>6</v>
      </c>
      <c r="AI284" s="227">
        <f t="shared" si="115"/>
        <v>0.69214513290572932</v>
      </c>
      <c r="AJ284" s="267" t="b">
        <f t="shared" si="116"/>
        <v>1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8"/>
        <v>44832</v>
      </c>
      <c r="B285" s="618">
        <v>15.538</v>
      </c>
      <c r="C285" s="866"/>
      <c r="D285" s="395">
        <f t="shared" si="98"/>
        <v>16.097088175457579</v>
      </c>
      <c r="E285" s="387">
        <f t="shared" si="96"/>
        <v>18.924927775636188</v>
      </c>
      <c r="F285" s="387">
        <f t="shared" si="99"/>
        <v>18.988035812128015</v>
      </c>
      <c r="G285" s="110">
        <f t="shared" si="97"/>
        <v>0.4621373934272639</v>
      </c>
      <c r="H285" s="414" t="b">
        <f>Wh_hp&gt;='2021'!Maxi_hp</f>
        <v>0</v>
      </c>
      <c r="I285" s="382">
        <f>IF(H285,Wh_hp,'2021'!Maxi_hp)</f>
        <v>28.599911688914776</v>
      </c>
      <c r="J285" s="85">
        <f>IF(H285,An,'2021'!An_max)</f>
        <v>2019</v>
      </c>
      <c r="K285" s="199">
        <f t="shared" si="100"/>
        <v>44832</v>
      </c>
      <c r="L285" s="147">
        <f>IF(t&lt;Tvie,1-EXP((T0-t)*PertePVj)+'2021'!Pspv,1-EXP((T0-t)*PertePVj)+Pspv)</f>
        <v>3.473225526030177E-2</v>
      </c>
      <c r="M285" s="870"/>
      <c r="N285" s="870"/>
      <c r="O285" s="48">
        <f>IF(t&lt;Tnet,'2021'!Resal+('2021'!Salim-'2021'!Resal)*(1-EXP(('2021'!Tnet-t)/('2021'!Tau_j))),Resal+(Salim-Resal)*(1-EXP((Tnet-t)/(Tau_j))))*Salcycl</f>
        <v>0.14942406299796557</v>
      </c>
      <c r="P285" s="341">
        <f>(INDEX(Models!$BJ285:$BT285,,T285)*(1-R285)+INDEX(Models!$BJ285:$BT285,,T285+1)*R285-ERP_i)*Q285*Ramure*Pc/MaxiM</f>
        <v>1.3922399430008595E-2</v>
      </c>
      <c r="Q285" s="307">
        <f t="shared" si="101"/>
        <v>1</v>
      </c>
      <c r="R285" s="179">
        <f t="shared" si="102"/>
        <v>0.69245828245473073</v>
      </c>
      <c r="S285" s="837">
        <f t="shared" si="103"/>
        <v>0</v>
      </c>
      <c r="T285" s="178">
        <f t="shared" si="104"/>
        <v>6</v>
      </c>
      <c r="U285" s="253">
        <f t="shared" si="105"/>
        <v>0.69245828245473073</v>
      </c>
      <c r="V285" s="385">
        <f t="shared" si="106"/>
        <v>33.264493236880547</v>
      </c>
      <c r="W285" s="404"/>
      <c r="X285" s="157">
        <f t="shared" si="107"/>
        <v>44832</v>
      </c>
      <c r="Y285" s="387">
        <f t="shared" si="108"/>
        <v>15.205401288509265</v>
      </c>
      <c r="Z285" s="387">
        <f t="shared" si="109"/>
        <v>15.752521900138364</v>
      </c>
      <c r="AA285" s="388">
        <f t="shared" si="110"/>
        <v>18.924927775636188</v>
      </c>
      <c r="AB285" s="199">
        <f t="shared" si="111"/>
        <v>44832</v>
      </c>
      <c r="AC285" s="119">
        <f>IF(OR(t&lt;Tnet,NoTnet),'2021'!Resal_s+('2021'!Salim-'2021'!Resal_s)*(1-EXP(('2021'!Tnet_s-t)/'2021'!Tau_j)),Resal_s+(Salim-Resal_s)*(1-EXP((Tnet_s-t)/Tau_j)))*Salcycl</f>
        <v>0.16763106909089276</v>
      </c>
      <c r="AD285" s="233">
        <f>(INDEX(Models!$BJ285:$BT285,,AH285)*(1-AF285)+INDEX(Models!$BJ285:$BT285,,AH285+1)*AF285-ERP_i)*AE285*Ramure*Pc/MaxiM</f>
        <v>1.3922399430008595E-2</v>
      </c>
      <c r="AE285" s="307">
        <f t="shared" si="112"/>
        <v>1</v>
      </c>
      <c r="AF285" s="179">
        <f t="shared" si="113"/>
        <v>0.69245828245473073</v>
      </c>
      <c r="AG285" s="837">
        <f t="shared" si="119"/>
        <v>0</v>
      </c>
      <c r="AH285" s="178">
        <f t="shared" si="114"/>
        <v>6</v>
      </c>
      <c r="AI285" s="227">
        <f t="shared" si="115"/>
        <v>0.69245828245473073</v>
      </c>
      <c r="AJ285" s="267" t="b">
        <f t="shared" si="116"/>
        <v>1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8"/>
        <v>44833</v>
      </c>
      <c r="B286" s="618">
        <v>20.772000000000002</v>
      </c>
      <c r="C286" s="866"/>
      <c r="D286" s="395">
        <f t="shared" si="98"/>
        <v>21.519918716062744</v>
      </c>
      <c r="E286" s="387">
        <f t="shared" si="96"/>
        <v>25.299963729655822</v>
      </c>
      <c r="F286" s="387">
        <f t="shared" si="99"/>
        <v>25.473189335304873</v>
      </c>
      <c r="G286" s="110">
        <f t="shared" si="97"/>
        <v>0.62705956041796862</v>
      </c>
      <c r="H286" s="414" t="b">
        <f>Wh_hp&gt;='2021'!Maxi_hp</f>
        <v>0</v>
      </c>
      <c r="I286" s="382">
        <f>IF(H286,Wh_hp,'2021'!Maxi_hp)</f>
        <v>39.642846116741424</v>
      </c>
      <c r="J286" s="85">
        <f>IF(H286,An,'2021'!An_max)</f>
        <v>2019</v>
      </c>
      <c r="K286" s="199">
        <f t="shared" si="100"/>
        <v>44833</v>
      </c>
      <c r="L286" s="147">
        <f>IF(t&lt;Tvie,1-EXP((T0-t)*PertePVj)+'2021'!Pspv,1-EXP((T0-t)*PertePVj)+Pspv)</f>
        <v>3.475471845088729E-2</v>
      </c>
      <c r="M286" s="870"/>
      <c r="N286" s="870"/>
      <c r="O286" s="48">
        <f>IF(t&lt;Tnet,'2021'!Resal+('2021'!Salim-'2021'!Resal)*(1-EXP(('2021'!Tnet-t)/('2021'!Tau_j))),Resal+(Salim-Resal)*(1-EXP((Tnet-t)/(Tau_j))))*Salcycl</f>
        <v>0.14940910801236557</v>
      </c>
      <c r="P286" s="341">
        <f>(INDEX(Models!$BJ286:$BT286,,T286)*(1-R286)+INDEX(Models!$BJ286:$BT286,,T286+1)*R286-ERP_i)*Q286*Ramure*Pc/MaxiM</f>
        <v>1.4344104941940097E-2</v>
      </c>
      <c r="Q286" s="307">
        <f t="shared" si="101"/>
        <v>1</v>
      </c>
      <c r="R286" s="179">
        <f t="shared" si="102"/>
        <v>0.69275908982300505</v>
      </c>
      <c r="S286" s="837">
        <f t="shared" si="103"/>
        <v>0</v>
      </c>
      <c r="T286" s="178">
        <f t="shared" si="104"/>
        <v>6</v>
      </c>
      <c r="U286" s="253">
        <f t="shared" si="105"/>
        <v>0.69275908982300505</v>
      </c>
      <c r="V286" s="385">
        <f t="shared" si="106"/>
        <v>32.874432841055572</v>
      </c>
      <c r="W286" s="404"/>
      <c r="X286" s="157">
        <f t="shared" si="107"/>
        <v>44833</v>
      </c>
      <c r="Y286" s="387">
        <f t="shared" si="108"/>
        <v>20.329182118471202</v>
      </c>
      <c r="Z286" s="387">
        <f t="shared" si="109"/>
        <v>21.061156689463527</v>
      </c>
      <c r="AA286" s="388">
        <f t="shared" si="110"/>
        <v>25.299963729655822</v>
      </c>
      <c r="AB286" s="199">
        <f t="shared" si="111"/>
        <v>44833</v>
      </c>
      <c r="AC286" s="119">
        <f>IF(OR(t&lt;Tnet,NoTnet),'2021'!Resal_s+('2021'!Salim-'2021'!Resal_s)*(1-EXP(('2021'!Tnet_s-t)/'2021'!Tau_j)),Resal_s+(Salim-Resal_s)*(1-EXP((Tnet_s-t)/Tau_j)))*Salcycl</f>
        <v>0.16754202043474462</v>
      </c>
      <c r="AD286" s="233">
        <f>(INDEX(Models!$BJ286:$BT286,,AH286)*(1-AF286)+INDEX(Models!$BJ286:$BT286,,AH286+1)*AF286-ERP_i)*AE286*Ramure*Pc/MaxiM</f>
        <v>1.4344104941940097E-2</v>
      </c>
      <c r="AE286" s="307">
        <f t="shared" si="112"/>
        <v>1</v>
      </c>
      <c r="AF286" s="179">
        <f t="shared" si="113"/>
        <v>0.69275908982300505</v>
      </c>
      <c r="AG286" s="837">
        <f t="shared" si="119"/>
        <v>0</v>
      </c>
      <c r="AH286" s="178">
        <f t="shared" si="114"/>
        <v>6</v>
      </c>
      <c r="AI286" s="227">
        <f t="shared" si="115"/>
        <v>0.69275908982300505</v>
      </c>
      <c r="AJ286" s="267" t="b">
        <f t="shared" si="116"/>
        <v>1</v>
      </c>
      <c r="AK286" s="267" t="b">
        <f t="shared" si="117"/>
        <v>0</v>
      </c>
      <c r="AL286" s="267"/>
      <c r="AM286" s="267"/>
      <c r="AN286" s="75"/>
    </row>
    <row r="287" spans="1:40" s="6" customFormat="1" ht="11.25" x14ac:dyDescent="0.2">
      <c r="A287" s="56">
        <f t="shared" si="118"/>
        <v>44834</v>
      </c>
      <c r="B287" s="618">
        <v>23.993000000000002</v>
      </c>
      <c r="C287" s="866"/>
      <c r="D287" s="395">
        <f t="shared" si="98"/>
        <v>24.85747283493421</v>
      </c>
      <c r="E287" s="387">
        <f t="shared" si="96"/>
        <v>29.223116681561823</v>
      </c>
      <c r="F287" s="387">
        <f t="shared" si="99"/>
        <v>29.49690329193426</v>
      </c>
      <c r="G287" s="110">
        <f t="shared" si="97"/>
        <v>0.73444277145507431</v>
      </c>
      <c r="H287" s="414" t="b">
        <f>Wh_hp&gt;='2021'!Maxi_hp</f>
        <v>0</v>
      </c>
      <c r="I287" s="382">
        <f>IF(H287,Wh_hp,'2021'!Maxi_hp)</f>
        <v>32.062263093878606</v>
      </c>
      <c r="J287" s="85">
        <f>IF(H287,An,'2021'!An_max)</f>
        <v>2020</v>
      </c>
      <c r="K287" s="199">
        <f t="shared" si="100"/>
        <v>44834</v>
      </c>
      <c r="L287" s="147">
        <f>IF(t&lt;Tvie,1-EXP((T0-t)*PertePVj)+'2021'!Pspv,1-EXP((T0-t)*PertePVj)+Pspv)</f>
        <v>3.4777181118721523E-2</v>
      </c>
      <c r="M287" s="870"/>
      <c r="N287" s="870"/>
      <c r="O287" s="48">
        <f>IF(t&lt;Tnet,'2021'!Resal+('2021'!Salim-'2021'!Resal)*(1-EXP(('2021'!Tnet-t)/('2021'!Tau_j))),Resal+(Salim-Resal)*(1-EXP((Tnet-t)/(Tau_j))))*Salcycl</f>
        <v>0.14939008368611467</v>
      </c>
      <c r="P287" s="341">
        <f>(INDEX(Models!$BJ287:$BT287,,T287)*(1-R287)+INDEX(Models!$BJ287:$BT287,,T287+1)*R287-ERP_i)*Q287*Ramure*Pc/MaxiM</f>
        <v>1.4814852846787744E-2</v>
      </c>
      <c r="Q287" s="307">
        <f t="shared" si="101"/>
        <v>1</v>
      </c>
      <c r="R287" s="179">
        <f t="shared" si="102"/>
        <v>0.69304803126293757</v>
      </c>
      <c r="S287" s="837">
        <f t="shared" si="103"/>
        <v>0</v>
      </c>
      <c r="T287" s="178">
        <f t="shared" si="104"/>
        <v>6</v>
      </c>
      <c r="U287" s="253">
        <f t="shared" si="105"/>
        <v>0.69304803126293757</v>
      </c>
      <c r="V287" s="385">
        <f t="shared" si="106"/>
        <v>32.48585796588592</v>
      </c>
      <c r="W287" s="404"/>
      <c r="X287" s="157">
        <f t="shared" si="107"/>
        <v>44834</v>
      </c>
      <c r="Y287" s="387">
        <f t="shared" si="108"/>
        <v>23.483622424250576</v>
      </c>
      <c r="Z287" s="387">
        <f t="shared" si="109"/>
        <v>24.329742278025279</v>
      </c>
      <c r="AA287" s="388">
        <f t="shared" si="110"/>
        <v>29.223116681561823</v>
      </c>
      <c r="AB287" s="199">
        <f t="shared" si="111"/>
        <v>44834</v>
      </c>
      <c r="AC287" s="119">
        <f>IF(OR(t&lt;Tnet,NoTnet),'2021'!Resal_s+('2021'!Salim-'2021'!Resal_s)*(1-EXP(('2021'!Tnet_s-t)/'2021'!Tau_j)),Resal_s+(Salim-Resal_s)*(1-EXP((Tnet_s-t)/Tau_j)))*Salcycl</f>
        <v>0.16744875150924587</v>
      </c>
      <c r="AD287" s="233">
        <f>(INDEX(Models!$BJ287:$BT287,,AH287)*(1-AF287)+INDEX(Models!$BJ287:$BT287,,AH287+1)*AF287-ERP_i)*AE287*Ramure*Pc/MaxiM</f>
        <v>1.4814852846787744E-2</v>
      </c>
      <c r="AE287" s="307">
        <f t="shared" si="112"/>
        <v>1</v>
      </c>
      <c r="AF287" s="179">
        <f t="shared" si="113"/>
        <v>0.69304803126293757</v>
      </c>
      <c r="AG287" s="837">
        <f t="shared" si="119"/>
        <v>0</v>
      </c>
      <c r="AH287" s="178">
        <f t="shared" si="114"/>
        <v>6</v>
      </c>
      <c r="AI287" s="227">
        <f t="shared" si="115"/>
        <v>0.69304803126293757</v>
      </c>
      <c r="AJ287" s="267" t="b">
        <f t="shared" si="116"/>
        <v>1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8"/>
        <v>44835</v>
      </c>
      <c r="B288" s="618">
        <v>28.869</v>
      </c>
      <c r="C288" s="866"/>
      <c r="D288" s="395">
        <f t="shared" si="98"/>
        <v>29.909852186151561</v>
      </c>
      <c r="E288" s="387">
        <f t="shared" si="96"/>
        <v>35.161872507093513</v>
      </c>
      <c r="F288" s="387">
        <f t="shared" si="99"/>
        <v>35.629726236022719</v>
      </c>
      <c r="G288" s="110">
        <f t="shared" si="97"/>
        <v>0.89734763448861576</v>
      </c>
      <c r="H288" s="414" t="b">
        <f>Wh_hp&gt;='2021'!Maxi_hp</f>
        <v>0</v>
      </c>
      <c r="I288" s="382">
        <f>IF(H288,Wh_hp,'2021'!Maxi_hp)</f>
        <v>38.101768879016269</v>
      </c>
      <c r="J288" s="85">
        <f>IF(H288,An,'2021'!An_max)</f>
        <v>2020</v>
      </c>
      <c r="K288" s="199">
        <f t="shared" si="100"/>
        <v>44835</v>
      </c>
      <c r="L288" s="147">
        <f>IF(t&lt;Tvie,1-EXP((T0-t)*PertePVj)+'2021'!Pspv,1-EXP((T0-t)*PertePVj)+Pspv)</f>
        <v>3.4799643263816682E-2</v>
      </c>
      <c r="M288" s="870"/>
      <c r="N288" s="870"/>
      <c r="O288" s="48">
        <f>IF(t&lt;Tnet,'2021'!Resal+('2021'!Salim-'2021'!Resal)*(1-EXP(('2021'!Tnet-t)/('2021'!Tau_j))),Resal+(Salim-Resal)*(1-EXP((Tnet-t)/(Tau_j))))*Salcycl</f>
        <v>0.14936691212569575</v>
      </c>
      <c r="P288" s="341">
        <f>(INDEX(Models!$BJ288:$BT288,,T288)*(1-R288)+INDEX(Models!$BJ288:$BT288,,T288+1)*R288-ERP_i)*Q288*Ramure*Pc/MaxiM</f>
        <v>1.5335927174227739E-2</v>
      </c>
      <c r="Q288" s="307">
        <f t="shared" si="101"/>
        <v>1</v>
      </c>
      <c r="R288" s="179">
        <f t="shared" si="102"/>
        <v>0.69332556544678514</v>
      </c>
      <c r="S288" s="837">
        <f t="shared" si="103"/>
        <v>0</v>
      </c>
      <c r="T288" s="178">
        <f t="shared" si="104"/>
        <v>6</v>
      </c>
      <c r="U288" s="253">
        <f t="shared" si="105"/>
        <v>0.69332556544678514</v>
      </c>
      <c r="V288" s="385">
        <f t="shared" si="106"/>
        <v>32.099598548717701</v>
      </c>
      <c r="W288" s="404"/>
      <c r="X288" s="157">
        <f t="shared" si="107"/>
        <v>44835</v>
      </c>
      <c r="Y288" s="387">
        <f t="shared" si="108"/>
        <v>28.258645420560413</v>
      </c>
      <c r="Z288" s="387">
        <f t="shared" si="109"/>
        <v>29.277491686924751</v>
      </c>
      <c r="AA288" s="388">
        <f t="shared" si="110"/>
        <v>35.161872507093513</v>
      </c>
      <c r="AB288" s="199">
        <f t="shared" si="111"/>
        <v>44835</v>
      </c>
      <c r="AC288" s="119">
        <f>IF(OR(t&lt;Tnet,NoTnet),'2021'!Resal_s+('2021'!Salim-'2021'!Resal_s)*(1-EXP(('2021'!Tnet_s-t)/'2021'!Tau_j)),Resal_s+(Salim-Resal_s)*(1-EXP((Tnet_s-t)/Tau_j)))*Salcycl</f>
        <v>0.16735117900736529</v>
      </c>
      <c r="AD288" s="233">
        <f>(INDEX(Models!$BJ288:$BT288,,AH288)*(1-AF288)+INDEX(Models!$BJ288:$BT288,,AH288+1)*AF288-ERP_i)*AE288*Ramure*Pc/MaxiM</f>
        <v>1.5335927174227739E-2</v>
      </c>
      <c r="AE288" s="307">
        <f t="shared" si="112"/>
        <v>1</v>
      </c>
      <c r="AF288" s="179">
        <f t="shared" si="113"/>
        <v>0.69332556544678514</v>
      </c>
      <c r="AG288" s="837">
        <f t="shared" si="119"/>
        <v>0</v>
      </c>
      <c r="AH288" s="178">
        <f t="shared" si="114"/>
        <v>6</v>
      </c>
      <c r="AI288" s="227">
        <f t="shared" si="115"/>
        <v>0.69332556544678514</v>
      </c>
      <c r="AJ288" s="267" t="b">
        <f t="shared" si="116"/>
        <v>1</v>
      </c>
      <c r="AK288" s="267" t="b">
        <f t="shared" si="117"/>
        <v>0</v>
      </c>
      <c r="AL288" s="267"/>
      <c r="AM288" s="267"/>
      <c r="AN288" s="75"/>
    </row>
    <row r="289" spans="1:40" s="6" customFormat="1" ht="11.25" x14ac:dyDescent="0.2">
      <c r="A289" s="56">
        <f t="shared" si="118"/>
        <v>44836</v>
      </c>
      <c r="B289" s="618">
        <v>30.493000000000002</v>
      </c>
      <c r="C289" s="866"/>
      <c r="D289" s="395">
        <f t="shared" si="98"/>
        <v>31.593139621586779</v>
      </c>
      <c r="E289" s="387">
        <f t="shared" si="96"/>
        <v>37.139540889284255</v>
      </c>
      <c r="F289" s="387">
        <f t="shared" si="99"/>
        <v>37.706519945613685</v>
      </c>
      <c r="G289" s="110">
        <f t="shared" si="97"/>
        <v>0.96069541972244399</v>
      </c>
      <c r="H289" s="414" t="b">
        <f>Wh_hp&gt;='2021'!Maxi_hp</f>
        <v>1</v>
      </c>
      <c r="I289" s="382">
        <f>IF(H289,Wh_hp,'2021'!Maxi_hp)</f>
        <v>37.706519945613685</v>
      </c>
      <c r="J289" s="85">
        <f>IF(H289,An,'2021'!An_max)</f>
        <v>2022</v>
      </c>
      <c r="K289" s="199">
        <f t="shared" si="100"/>
        <v>44836</v>
      </c>
      <c r="L289" s="147">
        <f>IF(t&lt;Tvie,1-EXP((T0-t)*PertePVj)+'2021'!Pspv,1-EXP((T0-t)*PertePVj)+Pspv)</f>
        <v>3.4822104886184868E-2</v>
      </c>
      <c r="M289" s="870"/>
      <c r="N289" s="870"/>
      <c r="O289" s="48">
        <f>IF(t&lt;Tnet,'2021'!Resal+('2021'!Salim-'2021'!Resal)*(1-EXP(('2021'!Tnet-t)/('2021'!Tau_j))),Resal+(Salim-Resal)*(1-EXP((Tnet-t)/(Tau_j))))*Salcycl</f>
        <v>0.14933952156898531</v>
      </c>
      <c r="P289" s="341">
        <f>(INDEX(Models!$BJ289:$BT289,,T289)*(1-R289)+INDEX(Models!$BJ289:$BT289,,T289+1)*R289-ERP_i)*Q289*Ramure*Pc/MaxiM</f>
        <v>1.5910610201157593E-2</v>
      </c>
      <c r="Q289" s="307">
        <f t="shared" si="101"/>
        <v>1</v>
      </c>
      <c r="R289" s="179">
        <f t="shared" si="102"/>
        <v>0.69359213405280407</v>
      </c>
      <c r="S289" s="837">
        <f t="shared" si="103"/>
        <v>0</v>
      </c>
      <c r="T289" s="178">
        <f t="shared" si="104"/>
        <v>6</v>
      </c>
      <c r="U289" s="253">
        <f t="shared" si="105"/>
        <v>0.69359213405280407</v>
      </c>
      <c r="V289" s="385">
        <f t="shared" si="106"/>
        <v>31.712384907335601</v>
      </c>
      <c r="W289" s="404"/>
      <c r="X289" s="157">
        <f t="shared" si="107"/>
        <v>44836</v>
      </c>
      <c r="Y289" s="387">
        <f t="shared" si="108"/>
        <v>29.851003987150786</v>
      </c>
      <c r="Z289" s="387">
        <f t="shared" si="109"/>
        <v>30.927981399357176</v>
      </c>
      <c r="AA289" s="388">
        <f t="shared" si="110"/>
        <v>37.139540889284255</v>
      </c>
      <c r="AB289" s="199">
        <f t="shared" si="111"/>
        <v>44836</v>
      </c>
      <c r="AC289" s="119">
        <f>IF(OR(t&lt;Tnet,NoTnet),'2021'!Resal_s+('2021'!Salim-'2021'!Resal_s)*(1-EXP(('2021'!Tnet_s-t)/'2021'!Tau_j)),Resal_s+(Salim-Resal_s)*(1-EXP((Tnet_s-t)/Tau_j)))*Salcycl</f>
        <v>0.16724922659771707</v>
      </c>
      <c r="AD289" s="233">
        <f>(INDEX(Models!$BJ289:$BT289,,AH289)*(1-AF289)+INDEX(Models!$BJ289:$BT289,,AH289+1)*AF289-ERP_i)*AE289*Ramure*Pc/MaxiM</f>
        <v>1.5910610201157593E-2</v>
      </c>
      <c r="AE289" s="307">
        <f t="shared" si="112"/>
        <v>1</v>
      </c>
      <c r="AF289" s="179">
        <f t="shared" si="113"/>
        <v>0.69359213405280407</v>
      </c>
      <c r="AG289" s="837">
        <f t="shared" si="119"/>
        <v>0</v>
      </c>
      <c r="AH289" s="178">
        <f t="shared" si="114"/>
        <v>6</v>
      </c>
      <c r="AI289" s="227">
        <f t="shared" si="115"/>
        <v>0.69359213405280407</v>
      </c>
      <c r="AJ289" s="267" t="b">
        <f t="shared" si="116"/>
        <v>1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8"/>
        <v>44837</v>
      </c>
      <c r="B290" s="618">
        <v>28.765000000000001</v>
      </c>
      <c r="C290" s="866"/>
      <c r="D290" s="395">
        <f t="shared" si="98"/>
        <v>29.803489662140716</v>
      </c>
      <c r="E290" s="387">
        <f t="shared" si="96"/>
        <v>35.034400592243436</v>
      </c>
      <c r="F290" s="387">
        <f t="shared" si="99"/>
        <v>35.554629663635637</v>
      </c>
      <c r="G290" s="110">
        <f t="shared" si="97"/>
        <v>0.91661231798556642</v>
      </c>
      <c r="H290" s="414" t="b">
        <f>Wh_hp&gt;='2021'!Maxi_hp</f>
        <v>0</v>
      </c>
      <c r="I290" s="382">
        <f>IF(H290,Wh_hp,'2021'!Maxi_hp)</f>
        <v>36.052378620144729</v>
      </c>
      <c r="J290" s="85">
        <f>IF(H290,An,'2021'!An_max)</f>
        <v>2018</v>
      </c>
      <c r="K290" s="199">
        <f t="shared" si="100"/>
        <v>44837</v>
      </c>
      <c r="L290" s="147">
        <f>IF(t&lt;Tvie,1-EXP((T0-t)*PertePVj)+'2021'!Pspv,1-EXP((T0-t)*PertePVj)+Pspv)</f>
        <v>3.4844565985838405E-2</v>
      </c>
      <c r="M290" s="870"/>
      <c r="N290" s="870"/>
      <c r="O290" s="48">
        <f>IF(t&lt;Tnet,'2021'!Resal+('2021'!Salim-'2021'!Resal)*(1-EXP(('2021'!Tnet-t)/('2021'!Tau_j))),Resal+(Salim-Resal)*(1-EXP((Tnet-t)/(Tau_j))))*Salcycl</f>
        <v>0.14930784719236323</v>
      </c>
      <c r="P290" s="341">
        <f>(INDEX(Models!$BJ290:$BT290,,T290)*(1-R290)+INDEX(Models!$BJ290:$BT290,,T290+1)*R290-ERP_i)*Q290*Ramure*Pc/MaxiM</f>
        <v>1.6562233483224904E-2</v>
      </c>
      <c r="Q290" s="307">
        <f t="shared" si="101"/>
        <v>1</v>
      </c>
      <c r="R290" s="179">
        <f t="shared" si="102"/>
        <v>0.69384816233690738</v>
      </c>
      <c r="S290" s="837">
        <f t="shared" si="103"/>
        <v>0</v>
      </c>
      <c r="T290" s="178">
        <f t="shared" si="104"/>
        <v>6</v>
      </c>
      <c r="U290" s="253">
        <f t="shared" si="105"/>
        <v>0.69384816233690738</v>
      </c>
      <c r="V290" s="385">
        <f t="shared" si="106"/>
        <v>31.320381205910373</v>
      </c>
      <c r="W290" s="404"/>
      <c r="X290" s="157">
        <f t="shared" si="107"/>
        <v>44837</v>
      </c>
      <c r="Y290" s="387">
        <f t="shared" si="108"/>
        <v>28.161934415926218</v>
      </c>
      <c r="Z290" s="387">
        <f t="shared" si="109"/>
        <v>29.178651876618872</v>
      </c>
      <c r="AA290" s="388">
        <f t="shared" si="110"/>
        <v>35.034400592243436</v>
      </c>
      <c r="AB290" s="199">
        <f t="shared" si="111"/>
        <v>44837</v>
      </c>
      <c r="AC290" s="119">
        <f>IF(OR(t&lt;Tnet,NoTnet),'2021'!Resal_s+('2021'!Salim-'2021'!Resal_s)*(1-EXP(('2021'!Tnet_s-t)/'2021'!Tau_j)),Resal_s+(Salim-Resal_s)*(1-EXP((Tnet_s-t)/Tau_j)))*Salcycl</f>
        <v>0.1671428258122109</v>
      </c>
      <c r="AD290" s="233">
        <f>(INDEX(Models!$BJ290:$BT290,,AH290)*(1-AF290)+INDEX(Models!$BJ290:$BT290,,AH290+1)*AF290-ERP_i)*AE290*Ramure*Pc/MaxiM</f>
        <v>1.6562233483224904E-2</v>
      </c>
      <c r="AE290" s="307">
        <f t="shared" si="112"/>
        <v>1</v>
      </c>
      <c r="AF290" s="179">
        <f t="shared" si="113"/>
        <v>0.69384816233690738</v>
      </c>
      <c r="AG290" s="837">
        <f t="shared" si="119"/>
        <v>0</v>
      </c>
      <c r="AH290" s="178">
        <f t="shared" si="114"/>
        <v>6</v>
      </c>
      <c r="AI290" s="227">
        <f t="shared" si="115"/>
        <v>0.69384816233690738</v>
      </c>
      <c r="AJ290" s="267" t="b">
        <f t="shared" si="116"/>
        <v>1</v>
      </c>
      <c r="AK290" s="267" t="b">
        <f t="shared" si="117"/>
        <v>0</v>
      </c>
      <c r="AL290" s="267"/>
      <c r="AM290" s="267"/>
      <c r="AN290" s="75"/>
    </row>
    <row r="291" spans="1:40" s="6" customFormat="1" ht="11.25" x14ac:dyDescent="0.2">
      <c r="A291" s="56">
        <f t="shared" si="118"/>
        <v>44838</v>
      </c>
      <c r="B291" s="618">
        <v>30.751000000000001</v>
      </c>
      <c r="C291" s="866"/>
      <c r="D291" s="395">
        <f t="shared" si="98"/>
        <v>31.861930787095407</v>
      </c>
      <c r="E291" s="387">
        <f t="shared" si="96"/>
        <v>37.45254005039439</v>
      </c>
      <c r="F291" s="387">
        <f t="shared" si="99"/>
        <v>38.105877849887769</v>
      </c>
      <c r="G291" s="110">
        <f t="shared" si="97"/>
        <v>0.99423954071203036</v>
      </c>
      <c r="H291" s="414" t="b">
        <f>Wh_hp&gt;='2021'!Maxi_hp</f>
        <v>1</v>
      </c>
      <c r="I291" s="382">
        <f>IF(H291,Wh_hp,'2021'!Maxi_hp)</f>
        <v>38.105877849887769</v>
      </c>
      <c r="J291" s="85">
        <f>IF(H291,An,'2021'!An_max)</f>
        <v>2022</v>
      </c>
      <c r="K291" s="199">
        <f t="shared" si="100"/>
        <v>44838</v>
      </c>
      <c r="L291" s="147">
        <f>IF(t&lt;Tvie,1-EXP((T0-t)*PertePVj)+'2021'!Pspv,1-EXP((T0-t)*PertePVj)+Pspv)</f>
        <v>3.4867026562789172E-2</v>
      </c>
      <c r="M291" s="870"/>
      <c r="N291" s="870"/>
      <c r="O291" s="48">
        <f>IF(t&lt;Tnet,'2021'!Resal+('2021'!Salim-'2021'!Resal)*(1-EXP(('2021'!Tnet-t)/('2021'!Tau_j))),Resal+(Salim-Resal)*(1-EXP((Tnet-t)/(Tau_j))))*Salcycl</f>
        <v>0.14927183191784907</v>
      </c>
      <c r="P291" s="341">
        <f>(INDEX(Models!$BJ291:$BT291,,T291)*(1-R291)+INDEX(Models!$BJ291:$BT291,,T291+1)*R291-ERP_i)*Q291*Ramure*Pc/MaxiM</f>
        <v>1.728409683982372E-2</v>
      </c>
      <c r="Q291" s="307">
        <f t="shared" si="101"/>
        <v>1</v>
      </c>
      <c r="R291" s="179">
        <f t="shared" si="102"/>
        <v>0.69409405968977</v>
      </c>
      <c r="S291" s="837">
        <f t="shared" si="103"/>
        <v>0</v>
      </c>
      <c r="T291" s="178">
        <f t="shared" si="104"/>
        <v>6</v>
      </c>
      <c r="U291" s="253">
        <f t="shared" si="105"/>
        <v>0.69409405968977</v>
      </c>
      <c r="V291" s="385">
        <f t="shared" si="106"/>
        <v>30.924799347355744</v>
      </c>
      <c r="W291" s="404"/>
      <c r="X291" s="157">
        <f t="shared" si="107"/>
        <v>44838</v>
      </c>
      <c r="Y291" s="387">
        <f t="shared" si="108"/>
        <v>30.109031866406038</v>
      </c>
      <c r="Z291" s="387">
        <f t="shared" si="109"/>
        <v>31.196770491817475</v>
      </c>
      <c r="AA291" s="388">
        <f t="shared" si="110"/>
        <v>37.45254005039439</v>
      </c>
      <c r="AB291" s="199">
        <f t="shared" si="111"/>
        <v>44838</v>
      </c>
      <c r="AC291" s="119">
        <f>IF(OR(t&lt;Tnet,NoTnet),'2021'!Resal_s+('2021'!Salim-'2021'!Resal_s)*(1-EXP(('2021'!Tnet_s-t)/'2021'!Tau_j)),Resal_s+(Salim-Resal_s)*(1-EXP((Tnet_s-t)/Tau_j)))*Salcycl</f>
        <v>0.1670319169316539</v>
      </c>
      <c r="AD291" s="233">
        <f>(INDEX(Models!$BJ291:$BT291,,AH291)*(1-AF291)+INDEX(Models!$BJ291:$BT291,,AH291+1)*AF291-ERP_i)*AE291*Ramure*Pc/MaxiM</f>
        <v>1.728409683982372E-2</v>
      </c>
      <c r="AE291" s="307">
        <f t="shared" si="112"/>
        <v>1</v>
      </c>
      <c r="AF291" s="179">
        <f t="shared" si="113"/>
        <v>0.69409405968977</v>
      </c>
      <c r="AG291" s="837">
        <f t="shared" si="119"/>
        <v>0</v>
      </c>
      <c r="AH291" s="178">
        <f t="shared" si="114"/>
        <v>6</v>
      </c>
      <c r="AI291" s="227">
        <f t="shared" si="115"/>
        <v>0.69409405968977</v>
      </c>
      <c r="AJ291" s="267" t="b">
        <f t="shared" si="116"/>
        <v>1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8"/>
        <v>44839</v>
      </c>
      <c r="B292" s="618">
        <v>31.05</v>
      </c>
      <c r="C292" s="866"/>
      <c r="D292" s="395">
        <f t="shared" si="98"/>
        <v>32.172481357769165</v>
      </c>
      <c r="E292" s="387">
        <f t="shared" si="96"/>
        <v>37.815784911268686</v>
      </c>
      <c r="F292" s="387">
        <f t="shared" si="99"/>
        <v>38.512022634162186</v>
      </c>
      <c r="G292" s="110">
        <f t="shared" si="97"/>
        <v>1.0171470124477862</v>
      </c>
      <c r="H292" s="414" t="b">
        <f>Wh_hp&gt;='2021'!Maxi_hp</f>
        <v>1</v>
      </c>
      <c r="I292" s="382">
        <f>IF(H292,Wh_hp,'2021'!Maxi_hp)</f>
        <v>38.512022634162186</v>
      </c>
      <c r="J292" s="85">
        <f>IF(H292,An,'2021'!An_max)</f>
        <v>2022</v>
      </c>
      <c r="K292" s="199">
        <f t="shared" si="100"/>
        <v>44839</v>
      </c>
      <c r="L292" s="147">
        <f>IF(t&lt;Tvie,1-EXP((T0-t)*PertePVj)+'2021'!Pspv,1-EXP((T0-t)*PertePVj)+Pspv)</f>
        <v>3.4889486617049603E-2</v>
      </c>
      <c r="M292" s="870"/>
      <c r="N292" s="870"/>
      <c r="O292" s="48">
        <f>IF(t&lt;Tnet,'2021'!Resal+('2021'!Salim-'2021'!Resal)*(1-EXP(('2021'!Tnet-t)/('2021'!Tau_j))),Resal+(Salim-Resal)*(1-EXP((Tnet-t)/(Tau_j))))*Salcycl</f>
        <v>0.14923142721329255</v>
      </c>
      <c r="P292" s="341">
        <f>(INDEX(Models!$BJ292:$BT292,,T292)*(1-R292)+INDEX(Models!$BJ292:$BT292,,T292+1)*R292-ERP_i)*Q292*Ramure*Pc/MaxiM</f>
        <v>1.8078451228263868E-2</v>
      </c>
      <c r="Q292" s="307">
        <f t="shared" si="101"/>
        <v>1</v>
      </c>
      <c r="R292" s="179">
        <f t="shared" si="102"/>
        <v>0.69433022017934443</v>
      </c>
      <c r="S292" s="837">
        <f t="shared" si="103"/>
        <v>0</v>
      </c>
      <c r="T292" s="178">
        <f t="shared" si="104"/>
        <v>6</v>
      </c>
      <c r="U292" s="253">
        <f t="shared" si="105"/>
        <v>0.69433022017934443</v>
      </c>
      <c r="V292" s="385">
        <f t="shared" si="106"/>
        <v>30.526560683963972</v>
      </c>
      <c r="W292" s="404"/>
      <c r="X292" s="157">
        <f t="shared" si="107"/>
        <v>44839</v>
      </c>
      <c r="Y292" s="387">
        <f t="shared" si="108"/>
        <v>30.404560134456624</v>
      </c>
      <c r="Z292" s="387">
        <f t="shared" si="109"/>
        <v>31.503708345152248</v>
      </c>
      <c r="AA292" s="388">
        <f t="shared" si="110"/>
        <v>37.815784911268686</v>
      </c>
      <c r="AB292" s="199">
        <f t="shared" si="111"/>
        <v>44839</v>
      </c>
      <c r="AC292" s="119">
        <f>IF(OR(t&lt;Tnet,NoTnet),'2021'!Resal_s+('2021'!Salim-'2021'!Resal_s)*(1-EXP(('2021'!Tnet_s-t)/'2021'!Tau_j)),Resal_s+(Salim-Resal_s)*(1-EXP((Tnet_s-t)/Tau_j)))*Salcycl</f>
        <v>0.16691644986153681</v>
      </c>
      <c r="AD292" s="233">
        <f>(INDEX(Models!$BJ292:$BT292,,AH292)*(1-AF292)+INDEX(Models!$BJ292:$BT292,,AH292+1)*AF292-ERP_i)*AE292*Ramure*Pc/MaxiM</f>
        <v>1.8078451228263868E-2</v>
      </c>
      <c r="AE292" s="307">
        <f t="shared" si="112"/>
        <v>1</v>
      </c>
      <c r="AF292" s="179">
        <f t="shared" si="113"/>
        <v>0.69433022017934443</v>
      </c>
      <c r="AG292" s="837">
        <f t="shared" si="119"/>
        <v>0</v>
      </c>
      <c r="AH292" s="178">
        <f t="shared" si="114"/>
        <v>6</v>
      </c>
      <c r="AI292" s="227">
        <f t="shared" si="115"/>
        <v>0.69433022017934443</v>
      </c>
      <c r="AJ292" s="267" t="b">
        <f t="shared" si="116"/>
        <v>1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8"/>
        <v>44840</v>
      </c>
      <c r="B293" s="618">
        <v>13.339</v>
      </c>
      <c r="C293" s="866"/>
      <c r="D293" s="395">
        <f t="shared" si="98"/>
        <v>13.821536746588224</v>
      </c>
      <c r="E293" s="387">
        <f t="shared" si="96"/>
        <v>16.24508575810319</v>
      </c>
      <c r="F293" s="387">
        <f t="shared" si="99"/>
        <v>16.308106173943631</v>
      </c>
      <c r="G293" s="110">
        <f t="shared" si="97"/>
        <v>0.43606083800217738</v>
      </c>
      <c r="H293" s="414" t="b">
        <f>Wh_hp&gt;='2021'!Maxi_hp</f>
        <v>0</v>
      </c>
      <c r="I293" s="382">
        <f>IF(H293,Wh_hp,'2021'!Maxi_hp)</f>
        <v>33.993896318509428</v>
      </c>
      <c r="J293" s="85">
        <f>IF(H293,An,'2021'!An_max)</f>
        <v>2018</v>
      </c>
      <c r="K293" s="199">
        <f t="shared" si="100"/>
        <v>44840</v>
      </c>
      <c r="L293" s="147">
        <f>IF(t&lt;Tvie,1-EXP((T0-t)*PertePVj)+'2021'!Pspv,1-EXP((T0-t)*PertePVj)+Pspv)</f>
        <v>3.4911946148631801E-2</v>
      </c>
      <c r="M293" s="870"/>
      <c r="N293" s="870"/>
      <c r="O293" s="48">
        <f>IF(t&lt;Tnet,'2021'!Resal+('2021'!Salim-'2021'!Resal)*(1-EXP(('2021'!Tnet-t)/('2021'!Tau_j))),Resal+(Salim-Resal)*(1-EXP((Tnet-t)/(Tau_j))))*Salcycl</f>
        <v>0.14918659387846447</v>
      </c>
      <c r="P293" s="341">
        <f>(INDEX(Models!$BJ293:$BT293,,T293)*(1-R293)+INDEX(Models!$BJ293:$BT293,,T293+1)*R293-ERP_i)*Q293*Ramure*Pc/MaxiM</f>
        <v>1.8947582828677183E-2</v>
      </c>
      <c r="Q293" s="307">
        <f t="shared" si="101"/>
        <v>1</v>
      </c>
      <c r="R293" s="179">
        <f t="shared" si="102"/>
        <v>0.69455702307879919</v>
      </c>
      <c r="S293" s="837">
        <f t="shared" si="103"/>
        <v>0</v>
      </c>
      <c r="T293" s="178">
        <f t="shared" si="104"/>
        <v>6</v>
      </c>
      <c r="U293" s="253">
        <f t="shared" si="105"/>
        <v>0.69455702307879919</v>
      </c>
      <c r="V293" s="385">
        <f t="shared" si="106"/>
        <v>30.12658614957197</v>
      </c>
      <c r="W293" s="404"/>
      <c r="X293" s="157">
        <f t="shared" si="107"/>
        <v>44840</v>
      </c>
      <c r="Y293" s="387">
        <f t="shared" si="108"/>
        <v>13.062914783256165</v>
      </c>
      <c r="Z293" s="387">
        <f t="shared" si="109"/>
        <v>13.535464179798007</v>
      </c>
      <c r="AA293" s="388">
        <f t="shared" si="110"/>
        <v>16.24508575810319</v>
      </c>
      <c r="AB293" s="199">
        <f t="shared" si="111"/>
        <v>44840</v>
      </c>
      <c r="AC293" s="119">
        <f>IF(OR(t&lt;Tnet,NoTnet),'2021'!Resal_s+('2021'!Salim-'2021'!Resal_s)*(1-EXP(('2021'!Tnet_s-t)/'2021'!Tau_j)),Resal_s+(Salim-Resal_s)*(1-EXP((Tnet_s-t)/Tau_j)))*Salcycl</f>
        <v>0.16679638499006391</v>
      </c>
      <c r="AD293" s="233">
        <f>(INDEX(Models!$BJ293:$BT293,,AH293)*(1-AF293)+INDEX(Models!$BJ293:$BT293,,AH293+1)*AF293-ERP_i)*AE293*Ramure*Pc/MaxiM</f>
        <v>1.8947582828677183E-2</v>
      </c>
      <c r="AE293" s="307">
        <f t="shared" si="112"/>
        <v>1</v>
      </c>
      <c r="AF293" s="179">
        <f t="shared" si="113"/>
        <v>0.69455702307879919</v>
      </c>
      <c r="AG293" s="837">
        <f t="shared" si="119"/>
        <v>0</v>
      </c>
      <c r="AH293" s="178">
        <f t="shared" si="114"/>
        <v>6</v>
      </c>
      <c r="AI293" s="227">
        <f t="shared" si="115"/>
        <v>0.69455702307879919</v>
      </c>
      <c r="AJ293" s="267" t="b">
        <f t="shared" si="116"/>
        <v>1</v>
      </c>
      <c r="AK293" s="267" t="b">
        <f t="shared" si="117"/>
        <v>0</v>
      </c>
      <c r="AL293" s="267"/>
      <c r="AM293" s="267"/>
      <c r="AN293" s="75"/>
    </row>
    <row r="294" spans="1:40" s="6" customFormat="1" ht="11.25" x14ac:dyDescent="0.2">
      <c r="A294" s="56">
        <f t="shared" si="118"/>
        <v>44841</v>
      </c>
      <c r="B294" s="618">
        <v>22.899000000000001</v>
      </c>
      <c r="C294" s="866"/>
      <c r="D294" s="395">
        <f t="shared" si="98"/>
        <v>23.727920798729006</v>
      </c>
      <c r="E294" s="387">
        <f t="shared" si="96"/>
        <v>27.886897471337122</v>
      </c>
      <c r="F294" s="387">
        <f t="shared" si="99"/>
        <v>28.264710506090896</v>
      </c>
      <c r="G294" s="110">
        <f t="shared" si="97"/>
        <v>0.76524500042181864</v>
      </c>
      <c r="H294" s="414" t="b">
        <f>Wh_hp&gt;='2021'!Maxi_hp</f>
        <v>0</v>
      </c>
      <c r="I294" s="382">
        <f>IF(H294,Wh_hp,'2021'!Maxi_hp)</f>
        <v>37.024189714848987</v>
      </c>
      <c r="J294" s="85">
        <f>IF(H294,An,'2021'!An_max)</f>
        <v>2021</v>
      </c>
      <c r="K294" s="199">
        <f t="shared" si="100"/>
        <v>44841</v>
      </c>
      <c r="L294" s="147">
        <f>IF(t&lt;Tvie,1-EXP((T0-t)*PertePVj)+'2021'!Pspv,1-EXP((T0-t)*PertePVj)+Pspv)</f>
        <v>3.4934405157547754E-2</v>
      </c>
      <c r="M294" s="870"/>
      <c r="N294" s="870"/>
      <c r="O294" s="48">
        <f>IF(t&lt;Tnet,'2021'!Resal+('2021'!Salim-'2021'!Resal)*(1-EXP(('2021'!Tnet-t)/('2021'!Tau_j))),Resal+(Salim-Resal)*(1-EXP((Tnet-t)/(Tau_j))))*Salcycl</f>
        <v>0.14913730280978088</v>
      </c>
      <c r="P294" s="341">
        <f>(INDEX(Models!$BJ294:$BT294,,T294)*(1-R294)+INDEX(Models!$BJ294:$BT294,,T294+1)*R294-ERP_i)*Q294*Ramure*Pc/MaxiM</f>
        <v>1.9893792641250362E-2</v>
      </c>
      <c r="Q294" s="307">
        <f t="shared" si="101"/>
        <v>1</v>
      </c>
      <c r="R294" s="179">
        <f t="shared" si="102"/>
        <v>0.69477483337993118</v>
      </c>
      <c r="S294" s="837">
        <f t="shared" si="103"/>
        <v>0</v>
      </c>
      <c r="T294" s="178">
        <f t="shared" si="104"/>
        <v>6</v>
      </c>
      <c r="U294" s="253">
        <f t="shared" si="105"/>
        <v>0.69477483337993118</v>
      </c>
      <c r="V294" s="385">
        <f t="shared" si="106"/>
        <v>29.72579631720717</v>
      </c>
      <c r="W294" s="404"/>
      <c r="X294" s="157">
        <f t="shared" si="107"/>
        <v>44841</v>
      </c>
      <c r="Y294" s="387">
        <f t="shared" si="108"/>
        <v>22.42710244748362</v>
      </c>
      <c r="Z294" s="387">
        <f t="shared" si="109"/>
        <v>23.238941028816662</v>
      </c>
      <c r="AA294" s="388">
        <f t="shared" si="110"/>
        <v>27.886897471337122</v>
      </c>
      <c r="AB294" s="199">
        <f t="shared" si="111"/>
        <v>44841</v>
      </c>
      <c r="AC294" s="119">
        <f>IF(OR(t&lt;Tnet,NoTnet),'2021'!Resal_s+('2021'!Salim-'2021'!Resal_s)*(1-EXP(('2021'!Tnet_s-t)/'2021'!Tau_j)),Resal_s+(Salim-Resal_s)*(1-EXP((Tnet_s-t)/Tau_j)))*Salcycl</f>
        <v>0.16667169402038182</v>
      </c>
      <c r="AD294" s="233">
        <f>(INDEX(Models!$BJ294:$BT294,,AH294)*(1-AF294)+INDEX(Models!$BJ294:$BT294,,AH294+1)*AF294-ERP_i)*AE294*Ramure*Pc/MaxiM</f>
        <v>1.9893792641250362E-2</v>
      </c>
      <c r="AE294" s="307">
        <f t="shared" si="112"/>
        <v>1</v>
      </c>
      <c r="AF294" s="179">
        <f t="shared" si="113"/>
        <v>0.69477483337993118</v>
      </c>
      <c r="AG294" s="837">
        <f t="shared" si="119"/>
        <v>0</v>
      </c>
      <c r="AH294" s="178">
        <f t="shared" si="114"/>
        <v>6</v>
      </c>
      <c r="AI294" s="227">
        <f t="shared" si="115"/>
        <v>0.69477483337993118</v>
      </c>
      <c r="AJ294" s="267" t="b">
        <f t="shared" si="116"/>
        <v>1</v>
      </c>
      <c r="AK294" s="267" t="b">
        <f t="shared" si="117"/>
        <v>0</v>
      </c>
      <c r="AL294" s="267"/>
      <c r="AM294" s="267"/>
      <c r="AN294" s="75"/>
    </row>
    <row r="295" spans="1:40" s="6" customFormat="1" ht="11.25" x14ac:dyDescent="0.2">
      <c r="A295" s="56">
        <f t="shared" si="118"/>
        <v>44842</v>
      </c>
      <c r="B295" s="618">
        <v>14.02</v>
      </c>
      <c r="C295" s="866"/>
      <c r="D295" s="395">
        <f t="shared" si="98"/>
        <v>14.527848001631011</v>
      </c>
      <c r="E295" s="387">
        <f t="shared" si="96"/>
        <v>17.073177699297208</v>
      </c>
      <c r="F295" s="387">
        <f t="shared" si="99"/>
        <v>17.164529798824194</v>
      </c>
      <c r="G295" s="110">
        <f t="shared" si="97"/>
        <v>0.47059179391824124</v>
      </c>
      <c r="H295" s="414" t="b">
        <f>Wh_hp&gt;='2021'!Maxi_hp</f>
        <v>0</v>
      </c>
      <c r="I295" s="382">
        <f>IF(H295,Wh_hp,'2021'!Maxi_hp)</f>
        <v>36.120260428293889</v>
      </c>
      <c r="J295" s="85">
        <f>IF(H295,An,'2021'!An_max)</f>
        <v>2021</v>
      </c>
      <c r="K295" s="199">
        <f t="shared" si="100"/>
        <v>44842</v>
      </c>
      <c r="L295" s="147">
        <f>IF(t&lt;Tvie,1-EXP((T0-t)*PertePVj)+'2021'!Pspv,1-EXP((T0-t)*PertePVj)+Pspv)</f>
        <v>3.4956863643809899E-2</v>
      </c>
      <c r="M295" s="870"/>
      <c r="N295" s="870"/>
      <c r="O295" s="48">
        <f>IF(t&lt;Tnet,'2021'!Resal+('2021'!Salim-'2021'!Resal)*(1-EXP(('2021'!Tnet-t)/('2021'!Tau_j))),Resal+(Salim-Resal)*(1-EXP((Tnet-t)/(Tau_j))))*Salcycl</f>
        <v>0.14908353573634814</v>
      </c>
      <c r="P295" s="341">
        <f>(INDEX(Models!$BJ295:$BT295,,T295)*(1-R295)+INDEX(Models!$BJ295:$BT295,,T295+1)*R295-ERP_i)*Q295*Ramure*Pc/MaxiM</f>
        <v>2.0919373106106077E-2</v>
      </c>
      <c r="Q295" s="307">
        <f t="shared" si="101"/>
        <v>1</v>
      </c>
      <c r="R295" s="179">
        <f t="shared" si="102"/>
        <v>0.69498400229213686</v>
      </c>
      <c r="S295" s="837">
        <f t="shared" si="103"/>
        <v>0</v>
      </c>
      <c r="T295" s="178">
        <f t="shared" si="104"/>
        <v>6</v>
      </c>
      <c r="U295" s="253">
        <f t="shared" si="105"/>
        <v>0.69498400229213686</v>
      </c>
      <c r="V295" s="385">
        <f t="shared" si="106"/>
        <v>29.325111464689225</v>
      </c>
      <c r="W295" s="404"/>
      <c r="X295" s="157">
        <f t="shared" si="107"/>
        <v>44842</v>
      </c>
      <c r="Y295" s="387">
        <f t="shared" si="108"/>
        <v>13.732342236592224</v>
      </c>
      <c r="Z295" s="387">
        <f t="shared" si="109"/>
        <v>14.229770379428636</v>
      </c>
      <c r="AA295" s="388">
        <f t="shared" si="110"/>
        <v>17.073177699297208</v>
      </c>
      <c r="AB295" s="199">
        <f t="shared" si="111"/>
        <v>44842</v>
      </c>
      <c r="AC295" s="119">
        <f>IF(OR(t&lt;Tnet,NoTnet),'2021'!Resal_s+('2021'!Salim-'2021'!Resal_s)*(1-EXP(('2021'!Tnet_s-t)/'2021'!Tau_j)),Resal_s+(Salim-Resal_s)*(1-EXP((Tnet_s-t)/Tau_j)))*Salcycl</f>
        <v>0.16654236076893966</v>
      </c>
      <c r="AD295" s="233">
        <f>(INDEX(Models!$BJ295:$BT295,,AH295)*(1-AF295)+INDEX(Models!$BJ295:$BT295,,AH295+1)*AF295-ERP_i)*AE295*Ramure*Pc/MaxiM</f>
        <v>2.0919373106106077E-2</v>
      </c>
      <c r="AE295" s="307">
        <f t="shared" si="112"/>
        <v>1</v>
      </c>
      <c r="AF295" s="179">
        <f t="shared" si="113"/>
        <v>0.69498400229213686</v>
      </c>
      <c r="AG295" s="837">
        <f t="shared" si="119"/>
        <v>0</v>
      </c>
      <c r="AH295" s="178">
        <f t="shared" si="114"/>
        <v>6</v>
      </c>
      <c r="AI295" s="227">
        <f t="shared" si="115"/>
        <v>0.69498400229213686</v>
      </c>
      <c r="AJ295" s="267" t="b">
        <f t="shared" si="116"/>
        <v>1</v>
      </c>
      <c r="AK295" s="267" t="b">
        <f t="shared" si="117"/>
        <v>0</v>
      </c>
      <c r="AL295" s="267"/>
      <c r="AM295" s="267"/>
      <c r="AN295" s="75"/>
    </row>
    <row r="296" spans="1:40" s="6" customFormat="1" ht="11.25" x14ac:dyDescent="0.2">
      <c r="A296" s="56">
        <f t="shared" si="118"/>
        <v>44843</v>
      </c>
      <c r="B296" s="618">
        <v>28.311</v>
      </c>
      <c r="C296" s="866"/>
      <c r="D296" s="395">
        <f t="shared" si="98"/>
        <v>29.337195185451872</v>
      </c>
      <c r="E296" s="387">
        <f t="shared" si="96"/>
        <v>34.474814233664063</v>
      </c>
      <c r="F296" s="387">
        <f t="shared" si="99"/>
        <v>35.227074069795499</v>
      </c>
      <c r="G296" s="110">
        <f t="shared" si="97"/>
        <v>0.97808534030607497</v>
      </c>
      <c r="H296" s="414" t="b">
        <f>Wh_hp&gt;='2021'!Maxi_hp</f>
        <v>1</v>
      </c>
      <c r="I296" s="382">
        <f>IF(H296,Wh_hp,'2021'!Maxi_hp)</f>
        <v>35.227074069795499</v>
      </c>
      <c r="J296" s="85">
        <f>IF(H296,An,'2021'!An_max)</f>
        <v>2022</v>
      </c>
      <c r="K296" s="199">
        <f t="shared" si="100"/>
        <v>44843</v>
      </c>
      <c r="L296" s="147">
        <f>IF(t&lt;Tvie,1-EXP((T0-t)*PertePVj)+'2021'!Pspv,1-EXP((T0-t)*PertePVj)+Pspv)</f>
        <v>3.4979321607430114E-2</v>
      </c>
      <c r="M296" s="870"/>
      <c r="N296" s="870"/>
      <c r="O296" s="48">
        <f>IF(t&lt;Tnet,'2021'!Resal+('2021'!Salim-'2021'!Resal)*(1-EXP(('2021'!Tnet-t)/('2021'!Tau_j))),Resal+(Salim-Resal)*(1-EXP((Tnet-t)/(Tau_j))))*Salcycl</f>
        <v>0.14902528592004399</v>
      </c>
      <c r="P296" s="341">
        <f>(INDEX(Models!$BJ296:$BT296,,T296)*(1-R296)+INDEX(Models!$BJ296:$BT296,,T296+1)*R296-ERP_i)*Q296*Ramure*Pc/MaxiM</f>
        <v>2.2023028298647839E-2</v>
      </c>
      <c r="Q296" s="307">
        <f t="shared" si="101"/>
        <v>1</v>
      </c>
      <c r="R296" s="179">
        <f t="shared" si="102"/>
        <v>0.69518486772706445</v>
      </c>
      <c r="S296" s="837">
        <f t="shared" si="103"/>
        <v>0</v>
      </c>
      <c r="T296" s="178">
        <f t="shared" si="104"/>
        <v>6</v>
      </c>
      <c r="U296" s="253">
        <f t="shared" si="105"/>
        <v>0.69518486772706445</v>
      </c>
      <c r="V296" s="385">
        <f t="shared" si="106"/>
        <v>28.925556732190575</v>
      </c>
      <c r="W296" s="404"/>
      <c r="X296" s="157">
        <f t="shared" si="107"/>
        <v>44843</v>
      </c>
      <c r="Y296" s="387">
        <f t="shared" si="108"/>
        <v>27.732683367592706</v>
      </c>
      <c r="Z296" s="387">
        <f t="shared" si="109"/>
        <v>28.737916179979582</v>
      </c>
      <c r="AA296" s="388">
        <f t="shared" si="110"/>
        <v>34.474814233664063</v>
      </c>
      <c r="AB296" s="199">
        <f t="shared" si="111"/>
        <v>44843</v>
      </c>
      <c r="AC296" s="119">
        <f>IF(OR(t&lt;Tnet,NoTnet),'2021'!Resal_s+('2021'!Salim-'2021'!Resal_s)*(1-EXP(('2021'!Tnet_s-t)/'2021'!Tau_j)),Resal_s+(Salim-Resal_s)*(1-EXP((Tnet_s-t)/Tau_j)))*Salcycl</f>
        <v>0.16640838192196838</v>
      </c>
      <c r="AD296" s="233">
        <f>(INDEX(Models!$BJ296:$BT296,,AH296)*(1-AF296)+INDEX(Models!$BJ296:$BT296,,AH296+1)*AF296-ERP_i)*AE296*Ramure*Pc/MaxiM</f>
        <v>2.2023028298647839E-2</v>
      </c>
      <c r="AE296" s="307">
        <f t="shared" si="112"/>
        <v>1</v>
      </c>
      <c r="AF296" s="179">
        <f t="shared" si="113"/>
        <v>0.69518486772706445</v>
      </c>
      <c r="AG296" s="837">
        <f t="shared" si="119"/>
        <v>0</v>
      </c>
      <c r="AH296" s="178">
        <f t="shared" si="114"/>
        <v>6</v>
      </c>
      <c r="AI296" s="227">
        <f t="shared" si="115"/>
        <v>0.69518486772706445</v>
      </c>
      <c r="AJ296" s="267" t="b">
        <f t="shared" si="116"/>
        <v>1</v>
      </c>
      <c r="AK296" s="267" t="b">
        <f t="shared" si="117"/>
        <v>0</v>
      </c>
      <c r="AL296" s="267"/>
      <c r="AM296" s="267"/>
      <c r="AN296" s="75"/>
    </row>
    <row r="297" spans="1:40" s="6" customFormat="1" ht="11.25" x14ac:dyDescent="0.2">
      <c r="A297" s="56">
        <f t="shared" si="118"/>
        <v>44844</v>
      </c>
      <c r="B297" s="618">
        <v>24.173999999999999</v>
      </c>
      <c r="C297" s="866"/>
      <c r="D297" s="395">
        <f t="shared" si="98"/>
        <v>25.050823385106511</v>
      </c>
      <c r="E297" s="387">
        <f t="shared" ref="E297:E360" si="120">Wh_pvt/(1-Psa)</f>
        <v>29.435630176446931</v>
      </c>
      <c r="F297" s="387">
        <f t="shared" si="99"/>
        <v>29.978792140738321</v>
      </c>
      <c r="G297" s="110">
        <f t="shared" ref="G297:G360" si="121">+Wh_hp/MaxiM</f>
        <v>0.8429849365764901</v>
      </c>
      <c r="H297" s="414" t="b">
        <f>Wh_hp&gt;='2021'!Maxi_hp</f>
        <v>1</v>
      </c>
      <c r="I297" s="382">
        <f>IF(H297,Wh_hp,'2021'!Maxi_hp)</f>
        <v>29.978792140738321</v>
      </c>
      <c r="J297" s="85">
        <f>IF(H297,An,'2021'!An_max)</f>
        <v>2022</v>
      </c>
      <c r="K297" s="199">
        <f t="shared" si="100"/>
        <v>44844</v>
      </c>
      <c r="L297" s="147">
        <f>IF(t&lt;Tvie,1-EXP((T0-t)*PertePVj)+'2021'!Pspv,1-EXP((T0-t)*PertePVj)+Pspv)</f>
        <v>3.5001779048420834E-2</v>
      </c>
      <c r="M297" s="870"/>
      <c r="N297" s="870"/>
      <c r="O297" s="48">
        <f>IF(t&lt;Tnet,'2021'!Resal+('2021'!Salim-'2021'!Resal)*(1-EXP(('2021'!Tnet-t)/('2021'!Tau_j))),Resal+(Salim-Resal)*(1-EXP((Tnet-t)/(Tau_j))))*Salcycl</f>
        <v>0.14896255881244716</v>
      </c>
      <c r="P297" s="341">
        <f>(INDEX(Models!$BJ297:$BT297,,T297)*(1-R297)+INDEX(Models!$BJ297:$BT297,,T297+1)*R297-ERP_i)*Q297*Ramure*Pc/MaxiM</f>
        <v>2.3171360688417197E-2</v>
      </c>
      <c r="Q297" s="307">
        <f t="shared" si="101"/>
        <v>1</v>
      </c>
      <c r="R297" s="179">
        <f t="shared" si="102"/>
        <v>0.69537775476909192</v>
      </c>
      <c r="S297" s="837">
        <f t="shared" si="103"/>
        <v>0</v>
      </c>
      <c r="T297" s="178">
        <f t="shared" si="104"/>
        <v>6</v>
      </c>
      <c r="U297" s="253">
        <f t="shared" si="105"/>
        <v>0.69537775476909192</v>
      </c>
      <c r="V297" s="385">
        <f t="shared" si="106"/>
        <v>28.529087476319223</v>
      </c>
      <c r="W297" s="404"/>
      <c r="X297" s="157">
        <f t="shared" si="107"/>
        <v>44844</v>
      </c>
      <c r="Y297" s="387">
        <f t="shared" si="108"/>
        <v>23.682383005941521</v>
      </c>
      <c r="Z297" s="387">
        <f t="shared" si="109"/>
        <v>24.541374783663809</v>
      </c>
      <c r="AA297" s="388">
        <f t="shared" si="110"/>
        <v>29.435630176446931</v>
      </c>
      <c r="AB297" s="199">
        <f t="shared" si="111"/>
        <v>44844</v>
      </c>
      <c r="AC297" s="119">
        <f>IF(OR(t&lt;Tnet,NoTnet),'2021'!Resal_s+('2021'!Salim-'2021'!Resal_s)*(1-EXP(('2021'!Tnet_s-t)/'2021'!Tau_j)),Resal_s+(Salim-Resal_s)*(1-EXP((Tnet_s-t)/Tau_j)))*Salcycl</f>
        <v>0.16626976774219993</v>
      </c>
      <c r="AD297" s="233">
        <f>(INDEX(Models!$BJ297:$BT297,,AH297)*(1-AF297)+INDEX(Models!$BJ297:$BT297,,AH297+1)*AF297-ERP_i)*AE297*Ramure*Pc/MaxiM</f>
        <v>2.3171360688417197E-2</v>
      </c>
      <c r="AE297" s="307">
        <f t="shared" si="112"/>
        <v>1</v>
      </c>
      <c r="AF297" s="179">
        <f t="shared" si="113"/>
        <v>0.69537775476909192</v>
      </c>
      <c r="AG297" s="837">
        <f t="shared" si="119"/>
        <v>0</v>
      </c>
      <c r="AH297" s="178">
        <f t="shared" si="114"/>
        <v>6</v>
      </c>
      <c r="AI297" s="227">
        <f t="shared" si="115"/>
        <v>0.69537775476909192</v>
      </c>
      <c r="AJ297" s="267" t="b">
        <f t="shared" si="116"/>
        <v>1</v>
      </c>
      <c r="AK297" s="267" t="b">
        <f t="shared" si="117"/>
        <v>0</v>
      </c>
      <c r="AL297" s="267"/>
      <c r="AM297" s="267"/>
      <c r="AN297" s="75"/>
    </row>
    <row r="298" spans="1:40" s="6" customFormat="1" ht="11.25" x14ac:dyDescent="0.2">
      <c r="A298" s="56">
        <f t="shared" si="118"/>
        <v>44845</v>
      </c>
      <c r="B298" s="618">
        <v>20.891000000000002</v>
      </c>
      <c r="C298" s="866"/>
      <c r="D298" s="395">
        <f t="shared" si="98"/>
        <v>21.649248383901504</v>
      </c>
      <c r="E298" s="387">
        <f t="shared" si="120"/>
        <v>25.436647491394393</v>
      </c>
      <c r="F298" s="387">
        <f t="shared" si="99"/>
        <v>25.834538800535114</v>
      </c>
      <c r="G298" s="110">
        <f t="shared" si="121"/>
        <v>0.73572493501176606</v>
      </c>
      <c r="H298" s="414" t="b">
        <f>Wh_hp&gt;='2021'!Maxi_hp</f>
        <v>0</v>
      </c>
      <c r="I298" s="382">
        <f>IF(H298,Wh_hp,'2021'!Maxi_hp)</f>
        <v>35.228282069749262</v>
      </c>
      <c r="J298" s="85">
        <f>IF(H298,An,'2021'!An_max)</f>
        <v>2019</v>
      </c>
      <c r="K298" s="199">
        <f t="shared" si="100"/>
        <v>44845</v>
      </c>
      <c r="L298" s="147">
        <f>IF(t&lt;Tvie,1-EXP((T0-t)*PertePVj)+'2021'!Pspv,1-EXP((T0-t)*PertePVj)+Pspv)</f>
        <v>3.5024235966794048E-2</v>
      </c>
      <c r="M298" s="870"/>
      <c r="N298" s="870"/>
      <c r="O298" s="48">
        <f>IF(t&lt;Tnet,'2021'!Resal+('2021'!Salim-'2021'!Resal)*(1-EXP(('2021'!Tnet-t)/('2021'!Tau_j))),Resal+(Salim-Resal)*(1-EXP((Tnet-t)/(Tau_j))))*Salcycl</f>
        <v>0.14889537266159869</v>
      </c>
      <c r="P298" s="341">
        <f>(INDEX(Models!$BJ298:$BT298,,T298)*(1-R298)+INDEX(Models!$BJ298:$BT298,,T298+1)*R298-ERP_i)*Q298*Ramure*Pc/MaxiM</f>
        <v>2.4364866477445759E-2</v>
      </c>
      <c r="Q298" s="307">
        <f t="shared" si="101"/>
        <v>1</v>
      </c>
      <c r="R298" s="179">
        <f t="shared" si="102"/>
        <v>0.69556297613180473</v>
      </c>
      <c r="S298" s="837">
        <f t="shared" si="103"/>
        <v>0</v>
      </c>
      <c r="T298" s="178">
        <f t="shared" si="104"/>
        <v>6</v>
      </c>
      <c r="U298" s="253">
        <f t="shared" si="105"/>
        <v>0.69556297613180473</v>
      </c>
      <c r="V298" s="385">
        <f t="shared" si="106"/>
        <v>28.13662656046866</v>
      </c>
      <c r="W298" s="404"/>
      <c r="X298" s="157">
        <f t="shared" si="107"/>
        <v>44845</v>
      </c>
      <c r="Y298" s="387">
        <f t="shared" si="108"/>
        <v>20.468048036059436</v>
      </c>
      <c r="Z298" s="387">
        <f t="shared" si="109"/>
        <v>21.210945185308411</v>
      </c>
      <c r="AA298" s="388">
        <f t="shared" si="110"/>
        <v>25.436647491394393</v>
      </c>
      <c r="AB298" s="199">
        <f t="shared" si="111"/>
        <v>44845</v>
      </c>
      <c r="AC298" s="119">
        <f>IF(OR(t&lt;Tnet,NoTnet),'2021'!Resal_s+('2021'!Salim-'2021'!Resal_s)*(1-EXP(('2021'!Tnet_s-t)/'2021'!Tau_j)),Resal_s+(Salim-Resal_s)*(1-EXP((Tnet_s-t)/Tau_j)))*Salcycl</f>
        <v>0.1661265427181628</v>
      </c>
      <c r="AD298" s="233">
        <f>(INDEX(Models!$BJ298:$BT298,,AH298)*(1-AF298)+INDEX(Models!$BJ298:$BT298,,AH298+1)*AF298-ERP_i)*AE298*Ramure*Pc/MaxiM</f>
        <v>2.4364866477445759E-2</v>
      </c>
      <c r="AE298" s="307">
        <f t="shared" si="112"/>
        <v>1</v>
      </c>
      <c r="AF298" s="179">
        <f t="shared" si="113"/>
        <v>0.69556297613180473</v>
      </c>
      <c r="AG298" s="837">
        <f t="shared" si="119"/>
        <v>0</v>
      </c>
      <c r="AH298" s="178">
        <f t="shared" si="114"/>
        <v>6</v>
      </c>
      <c r="AI298" s="227">
        <f t="shared" si="115"/>
        <v>0.69556297613180473</v>
      </c>
      <c r="AJ298" s="267" t="b">
        <f t="shared" si="116"/>
        <v>1</v>
      </c>
      <c r="AK298" s="267" t="b">
        <f t="shared" si="117"/>
        <v>0</v>
      </c>
      <c r="AL298" s="267"/>
      <c r="AM298" s="267"/>
      <c r="AN298" s="75"/>
    </row>
    <row r="299" spans="1:40" s="6" customFormat="1" ht="11.25" x14ac:dyDescent="0.2">
      <c r="A299" s="56">
        <f t="shared" si="118"/>
        <v>44846</v>
      </c>
      <c r="B299" s="618">
        <v>22.529</v>
      </c>
      <c r="C299" s="866"/>
      <c r="D299" s="395">
        <f t="shared" si="98"/>
        <v>23.347243666286101</v>
      </c>
      <c r="E299" s="387">
        <f t="shared" si="120"/>
        <v>27.429388349177088</v>
      </c>
      <c r="F299" s="387">
        <f t="shared" si="99"/>
        <v>27.952750416358452</v>
      </c>
      <c r="G299" s="110">
        <f t="shared" si="121"/>
        <v>0.8061893123463918</v>
      </c>
      <c r="H299" s="414" t="b">
        <f>Wh_hp&gt;='2021'!Maxi_hp</f>
        <v>0</v>
      </c>
      <c r="I299" s="382">
        <f>IF(H299,Wh_hp,'2021'!Maxi_hp)</f>
        <v>34.24330519553645</v>
      </c>
      <c r="J299" s="85">
        <f>IF(H299,An,'2021'!An_max)</f>
        <v>2021</v>
      </c>
      <c r="K299" s="199">
        <f t="shared" si="100"/>
        <v>44846</v>
      </c>
      <c r="L299" s="147">
        <f>IF(t&lt;Tvie,1-EXP((T0-t)*PertePVj)+'2021'!Pspv,1-EXP((T0-t)*PertePVj)+Pspv)</f>
        <v>3.5046692362561971E-2</v>
      </c>
      <c r="M299" s="870"/>
      <c r="N299" s="870"/>
      <c r="O299" s="48">
        <f>IF(t&lt;Tnet,'2021'!Resal+('2021'!Salim-'2021'!Resal)*(1-EXP(('2021'!Tnet-t)/('2021'!Tau_j))),Resal+(Salim-Resal)*(1-EXP((Tnet-t)/(Tau_j))))*Salcycl</f>
        <v>0.14882375906181869</v>
      </c>
      <c r="P299" s="341">
        <f>(INDEX(Models!$BJ299:$BT299,,T299)*(1-R299)+INDEX(Models!$BJ299:$BT299,,T299+1)*R299-ERP_i)*Q299*Ramure*Pc/MaxiM</f>
        <v>2.5603871497031513E-2</v>
      </c>
      <c r="Q299" s="307">
        <f t="shared" si="101"/>
        <v>1</v>
      </c>
      <c r="R299" s="179">
        <f t="shared" si="102"/>
        <v>0.69574083260066688</v>
      </c>
      <c r="S299" s="837">
        <f t="shared" si="103"/>
        <v>0</v>
      </c>
      <c r="T299" s="178">
        <f t="shared" si="104"/>
        <v>6</v>
      </c>
      <c r="U299" s="253">
        <f t="shared" si="105"/>
        <v>0.69574083260066688</v>
      </c>
      <c r="V299" s="385">
        <f t="shared" si="106"/>
        <v>27.749096794270876</v>
      </c>
      <c r="W299" s="404"/>
      <c r="X299" s="157">
        <f t="shared" si="107"/>
        <v>44846</v>
      </c>
      <c r="Y299" s="387">
        <f t="shared" si="108"/>
        <v>22.07494044630063</v>
      </c>
      <c r="Z299" s="387">
        <f t="shared" si="109"/>
        <v>22.876692863355466</v>
      </c>
      <c r="AA299" s="388">
        <f t="shared" si="110"/>
        <v>27.429388349177088</v>
      </c>
      <c r="AB299" s="199">
        <f t="shared" si="111"/>
        <v>44846</v>
      </c>
      <c r="AC299" s="119">
        <f>IF(OR(t&lt;Tnet,NoTnet),'2021'!Resal_s+('2021'!Salim-'2021'!Resal_s)*(1-EXP(('2021'!Tnet_s-t)/'2021'!Tau_j)),Resal_s+(Salim-Resal_s)*(1-EXP((Tnet_s-t)/Tau_j)))*Salcycl</f>
        <v>0.16597874614867994</v>
      </c>
      <c r="AD299" s="233">
        <f>(INDEX(Models!$BJ299:$BT299,,AH299)*(1-AF299)+INDEX(Models!$BJ299:$BT299,,AH299+1)*AF299-ERP_i)*AE299*Ramure*Pc/MaxiM</f>
        <v>2.5603871497031513E-2</v>
      </c>
      <c r="AE299" s="307">
        <f t="shared" si="112"/>
        <v>1</v>
      </c>
      <c r="AF299" s="179">
        <f t="shared" si="113"/>
        <v>0.69574083260066688</v>
      </c>
      <c r="AG299" s="837">
        <f t="shared" si="119"/>
        <v>0</v>
      </c>
      <c r="AH299" s="178">
        <f t="shared" si="114"/>
        <v>6</v>
      </c>
      <c r="AI299" s="227">
        <f t="shared" si="115"/>
        <v>0.69574083260066688</v>
      </c>
      <c r="AJ299" s="267" t="b">
        <f t="shared" si="116"/>
        <v>1</v>
      </c>
      <c r="AK299" s="267" t="b">
        <f t="shared" si="117"/>
        <v>0</v>
      </c>
      <c r="AL299" s="267"/>
      <c r="AM299" s="267"/>
      <c r="AN299" s="75"/>
    </row>
    <row r="300" spans="1:40" s="6" customFormat="1" ht="11.25" x14ac:dyDescent="0.2">
      <c r="A300" s="56">
        <f t="shared" si="118"/>
        <v>44847</v>
      </c>
      <c r="B300" s="618">
        <v>18.576000000000001</v>
      </c>
      <c r="C300" s="866"/>
      <c r="D300" s="395">
        <f t="shared" si="98"/>
        <v>19.25112039483032</v>
      </c>
      <c r="E300" s="387">
        <f t="shared" si="120"/>
        <v>22.615059988128476</v>
      </c>
      <c r="F300" s="387">
        <f t="shared" si="99"/>
        <v>22.948946758227631</v>
      </c>
      <c r="G300" s="110">
        <f t="shared" si="121"/>
        <v>0.67026408108424373</v>
      </c>
      <c r="H300" s="414" t="b">
        <f>Wh_hp&gt;='2021'!Maxi_hp</f>
        <v>0</v>
      </c>
      <c r="I300" s="382">
        <f>IF(H300,Wh_hp,'2021'!Maxi_hp)</f>
        <v>32.914868339815627</v>
      </c>
      <c r="J300" s="85">
        <f>IF(H300,An,'2021'!An_max)</f>
        <v>2021</v>
      </c>
      <c r="K300" s="199">
        <f t="shared" si="100"/>
        <v>44847</v>
      </c>
      <c r="L300" s="147">
        <f>IF(t&lt;Tvie,1-EXP((T0-t)*PertePVj)+'2021'!Pspv,1-EXP((T0-t)*PertePVj)+Pspv)</f>
        <v>3.5069148235736702E-2</v>
      </c>
      <c r="M300" s="870"/>
      <c r="N300" s="870"/>
      <c r="O300" s="48">
        <f>IF(t&lt;Tnet,'2021'!Resal+('2021'!Salim-'2021'!Resal)*(1-EXP(('2021'!Tnet-t)/('2021'!Tau_j))),Resal+(Salim-Resal)*(1-EXP((Tnet-t)/(Tau_j))))*Salcycl</f>
        <v>0.14874776344011553</v>
      </c>
      <c r="P300" s="341">
        <f>(INDEX(Models!$BJ300:$BT300,,T300)*(1-R300)+INDEX(Models!$BJ300:$BT300,,T300+1)*R300-ERP_i)*Q300*Ramure*Pc/MaxiM</f>
        <v>2.68885041677226E-2</v>
      </c>
      <c r="Q300" s="307">
        <f t="shared" si="101"/>
        <v>1</v>
      </c>
      <c r="R300" s="179">
        <f t="shared" si="102"/>
        <v>0.69591161346209862</v>
      </c>
      <c r="S300" s="837">
        <f t="shared" si="103"/>
        <v>0</v>
      </c>
      <c r="T300" s="178">
        <f t="shared" si="104"/>
        <v>6</v>
      </c>
      <c r="U300" s="253">
        <f t="shared" si="105"/>
        <v>0.69591161346209862</v>
      </c>
      <c r="V300" s="385">
        <f t="shared" si="106"/>
        <v>27.367421011866881</v>
      </c>
      <c r="W300" s="404"/>
      <c r="X300" s="157">
        <f t="shared" si="107"/>
        <v>44847</v>
      </c>
      <c r="Y300" s="387">
        <f t="shared" si="108"/>
        <v>18.203309808161798</v>
      </c>
      <c r="Z300" s="387">
        <f t="shared" si="109"/>
        <v>18.864885266005512</v>
      </c>
      <c r="AA300" s="388">
        <f t="shared" si="110"/>
        <v>22.615059988128476</v>
      </c>
      <c r="AB300" s="199">
        <f t="shared" si="111"/>
        <v>44847</v>
      </c>
      <c r="AC300" s="119">
        <f>IF(OR(t&lt;Tnet,NoTnet),'2021'!Resal_s+('2021'!Salim-'2021'!Resal_s)*(1-EXP(('2021'!Tnet_s-t)/'2021'!Tau_j)),Resal_s+(Salim-Resal_s)*(1-EXP((Tnet_s-t)/Tau_j)))*Salcycl</f>
        <v>0.16582643265556568</v>
      </c>
      <c r="AD300" s="233">
        <f>(INDEX(Models!$BJ300:$BT300,,AH300)*(1-AF300)+INDEX(Models!$BJ300:$BT300,,AH300+1)*AF300-ERP_i)*AE300*Ramure*Pc/MaxiM</f>
        <v>2.68885041677226E-2</v>
      </c>
      <c r="AE300" s="307">
        <f t="shared" si="112"/>
        <v>1</v>
      </c>
      <c r="AF300" s="179">
        <f t="shared" si="113"/>
        <v>0.69591161346209862</v>
      </c>
      <c r="AG300" s="837">
        <f t="shared" si="119"/>
        <v>0</v>
      </c>
      <c r="AH300" s="178">
        <f t="shared" si="114"/>
        <v>6</v>
      </c>
      <c r="AI300" s="227">
        <f t="shared" si="115"/>
        <v>0.69591161346209862</v>
      </c>
      <c r="AJ300" s="267" t="b">
        <f t="shared" si="116"/>
        <v>1</v>
      </c>
      <c r="AK300" s="267" t="b">
        <f t="shared" si="117"/>
        <v>0</v>
      </c>
      <c r="AL300" s="267"/>
      <c r="AM300" s="267"/>
      <c r="AN300" s="75"/>
    </row>
    <row r="301" spans="1:40" s="6" customFormat="1" ht="11.25" x14ac:dyDescent="0.2">
      <c r="A301" s="56">
        <f t="shared" si="118"/>
        <v>44848</v>
      </c>
      <c r="B301" s="618">
        <v>15.584</v>
      </c>
      <c r="C301" s="866"/>
      <c r="D301" s="395">
        <f t="shared" si="98"/>
        <v>16.15075592452294</v>
      </c>
      <c r="E301" s="387">
        <f t="shared" si="120"/>
        <v>18.971148041552581</v>
      </c>
      <c r="F301" s="387">
        <f t="shared" si="99"/>
        <v>19.185652088609505</v>
      </c>
      <c r="G301" s="110">
        <f t="shared" si="121"/>
        <v>0.56739692457534951</v>
      </c>
      <c r="H301" s="414" t="b">
        <f>Wh_hp&gt;='2021'!Maxi_hp</f>
        <v>0</v>
      </c>
      <c r="I301" s="382">
        <f>IF(H301,Wh_hp,'2021'!Maxi_hp)</f>
        <v>34.821662172601158</v>
      </c>
      <c r="J301" s="85">
        <f>IF(H301,An,'2021'!An_max)</f>
        <v>2021</v>
      </c>
      <c r="K301" s="199">
        <f t="shared" si="100"/>
        <v>44848</v>
      </c>
      <c r="L301" s="147">
        <f>IF(t&lt;Tvie,1-EXP((T0-t)*PertePVj)+'2021'!Pspv,1-EXP((T0-t)*PertePVj)+Pspv)</f>
        <v>3.5091603586330566E-2</v>
      </c>
      <c r="M301" s="870"/>
      <c r="N301" s="870"/>
      <c r="O301" s="48">
        <f>IF(t&lt;Tnet,'2021'!Resal+('2021'!Salim-'2021'!Resal)*(1-EXP(('2021'!Tnet-t)/('2021'!Tau_j))),Resal+(Salim-Resal)*(1-EXP((Tnet-t)/(Tau_j))))*Salcycl</f>
        <v>0.14866744547310082</v>
      </c>
      <c r="P301" s="341">
        <f>(INDEX(Models!$BJ301:$BT301,,T301)*(1-R301)+INDEX(Models!$BJ301:$BT301,,T301+1)*R301-ERP_i)*Q301*Ramure*Pc/MaxiM</f>
        <v>2.8218666775935861E-2</v>
      </c>
      <c r="Q301" s="307">
        <f t="shared" si="101"/>
        <v>1</v>
      </c>
      <c r="R301" s="179">
        <f t="shared" si="102"/>
        <v>0.69607559691919174</v>
      </c>
      <c r="S301" s="837">
        <f t="shared" si="103"/>
        <v>0</v>
      </c>
      <c r="T301" s="178">
        <f t="shared" si="104"/>
        <v>6</v>
      </c>
      <c r="U301" s="253">
        <f t="shared" si="105"/>
        <v>0.69607559691919174</v>
      </c>
      <c r="V301" s="385">
        <f t="shared" si="106"/>
        <v>26.992522137966684</v>
      </c>
      <c r="W301" s="404"/>
      <c r="X301" s="157">
        <f t="shared" si="107"/>
        <v>44848</v>
      </c>
      <c r="Y301" s="387">
        <f t="shared" si="108"/>
        <v>15.272767090584557</v>
      </c>
      <c r="Z301" s="387">
        <f t="shared" si="109"/>
        <v>15.828204156321709</v>
      </c>
      <c r="AA301" s="388">
        <f t="shared" si="110"/>
        <v>18.971148041552581</v>
      </c>
      <c r="AB301" s="199">
        <f t="shared" si="111"/>
        <v>44848</v>
      </c>
      <c r="AC301" s="119">
        <f>IF(OR(t&lt;Tnet,NoTnet),'2021'!Resal_s+('2021'!Salim-'2021'!Resal_s)*(1-EXP(('2021'!Tnet_s-t)/'2021'!Tau_j)),Resal_s+(Salim-Resal_s)*(1-EXP((Tnet_s-t)/Tau_j)))*Salcycl</f>
        <v>0.16566967261796015</v>
      </c>
      <c r="AD301" s="233">
        <f>(INDEX(Models!$BJ301:$BT301,,AH301)*(1-AF301)+INDEX(Models!$BJ301:$BT301,,AH301+1)*AF301-ERP_i)*AE301*Ramure*Pc/MaxiM</f>
        <v>2.8218666775935861E-2</v>
      </c>
      <c r="AE301" s="307">
        <f t="shared" si="112"/>
        <v>1</v>
      </c>
      <c r="AF301" s="179">
        <f t="shared" si="113"/>
        <v>0.69607559691919174</v>
      </c>
      <c r="AG301" s="837">
        <f t="shared" si="119"/>
        <v>0</v>
      </c>
      <c r="AH301" s="178">
        <f t="shared" si="114"/>
        <v>6</v>
      </c>
      <c r="AI301" s="227">
        <f t="shared" si="115"/>
        <v>0.69607559691919174</v>
      </c>
      <c r="AJ301" s="267" t="b">
        <f t="shared" si="116"/>
        <v>1</v>
      </c>
      <c r="AK301" s="267" t="b">
        <f t="shared" si="117"/>
        <v>0</v>
      </c>
      <c r="AL301" s="267"/>
      <c r="AM301" s="267"/>
      <c r="AN301" s="75"/>
    </row>
    <row r="302" spans="1:40" s="6" customFormat="1" ht="11.25" x14ac:dyDescent="0.2">
      <c r="A302" s="56">
        <f t="shared" si="118"/>
        <v>44849</v>
      </c>
      <c r="B302" s="618">
        <v>26.393000000000001</v>
      </c>
      <c r="C302" s="866"/>
      <c r="D302" s="395">
        <f t="shared" si="98"/>
        <v>27.353492120143329</v>
      </c>
      <c r="E302" s="387">
        <f t="shared" si="120"/>
        <v>32.127016780906928</v>
      </c>
      <c r="F302" s="387">
        <f t="shared" si="99"/>
        <v>33.09419835540163</v>
      </c>
      <c r="G302" s="110">
        <f t="shared" si="121"/>
        <v>0.99089766378387389</v>
      </c>
      <c r="H302" s="414" t="b">
        <f>Wh_hp&gt;='2021'!Maxi_hp</f>
        <v>1</v>
      </c>
      <c r="I302" s="382">
        <f>IF(H302,Wh_hp,'2021'!Maxi_hp)</f>
        <v>33.09419835540163</v>
      </c>
      <c r="J302" s="85">
        <f>IF(H302,An,'2021'!An_max)</f>
        <v>2022</v>
      </c>
      <c r="K302" s="199">
        <f t="shared" si="100"/>
        <v>44849</v>
      </c>
      <c r="L302" s="147">
        <f>IF(t&lt;Tvie,1-EXP((T0-t)*PertePVj)+'2021'!Pspv,1-EXP((T0-t)*PertePVj)+Pspv)</f>
        <v>3.5114058414355553E-2</v>
      </c>
      <c r="M302" s="870"/>
      <c r="N302" s="870"/>
      <c r="O302" s="48">
        <f>IF(t&lt;Tnet,'2021'!Resal+('2021'!Salim-'2021'!Resal)*(1-EXP(('2021'!Tnet-t)/('2021'!Tau_j))),Resal+(Salim-Resal)*(1-EXP((Tnet-t)/(Tau_j))))*Salcycl</f>
        <v>0.1485828794287711</v>
      </c>
      <c r="P302" s="341">
        <f>(INDEX(Models!$BJ302:$BT302,,T302)*(1-R302)+INDEX(Models!$BJ302:$BT302,,T302+1)*R302-ERP_i)*Q302*Ramure*Pc/MaxiM</f>
        <v>2.9594005261891286E-2</v>
      </c>
      <c r="Q302" s="307">
        <f t="shared" si="101"/>
        <v>1</v>
      </c>
      <c r="R302" s="179">
        <f t="shared" si="102"/>
        <v>0.69623305049430417</v>
      </c>
      <c r="S302" s="837">
        <f t="shared" si="103"/>
        <v>0</v>
      </c>
      <c r="T302" s="178">
        <f t="shared" si="104"/>
        <v>6</v>
      </c>
      <c r="U302" s="253">
        <f t="shared" si="105"/>
        <v>0.69623305049430417</v>
      </c>
      <c r="V302" s="385">
        <f t="shared" si="106"/>
        <v>26.625323271919122</v>
      </c>
      <c r="W302" s="404"/>
      <c r="X302" s="157">
        <f t="shared" si="107"/>
        <v>44849</v>
      </c>
      <c r="Y302" s="387">
        <f t="shared" si="108"/>
        <v>25.868322636621972</v>
      </c>
      <c r="Z302" s="387">
        <f t="shared" si="109"/>
        <v>26.809720736640941</v>
      </c>
      <c r="AA302" s="388">
        <f t="shared" si="110"/>
        <v>32.127016780906928</v>
      </c>
      <c r="AB302" s="199">
        <f t="shared" si="111"/>
        <v>44849</v>
      </c>
      <c r="AC302" s="119">
        <f>IF(OR(t&lt;Tnet,NoTnet),'2021'!Resal_s+('2021'!Salim-'2021'!Resal_s)*(1-EXP(('2021'!Tnet_s-t)/'2021'!Tau_j)),Resal_s+(Salim-Resal_s)*(1-EXP((Tnet_s-t)/Tau_j)))*Salcycl</f>
        <v>0.16550855252225141</v>
      </c>
      <c r="AD302" s="233">
        <f>(INDEX(Models!$BJ302:$BT302,,AH302)*(1-AF302)+INDEX(Models!$BJ302:$BT302,,AH302+1)*AF302-ERP_i)*AE302*Ramure*Pc/MaxiM</f>
        <v>2.9594005261891286E-2</v>
      </c>
      <c r="AE302" s="307">
        <f t="shared" si="112"/>
        <v>1</v>
      </c>
      <c r="AF302" s="179">
        <f t="shared" si="113"/>
        <v>0.69623305049430417</v>
      </c>
      <c r="AG302" s="837">
        <f t="shared" si="119"/>
        <v>0</v>
      </c>
      <c r="AH302" s="178">
        <f t="shared" si="114"/>
        <v>6</v>
      </c>
      <c r="AI302" s="227">
        <f t="shared" si="115"/>
        <v>0.69623305049430417</v>
      </c>
      <c r="AJ302" s="267" t="b">
        <f t="shared" si="116"/>
        <v>1</v>
      </c>
      <c r="AK302" s="267" t="b">
        <f t="shared" si="117"/>
        <v>0</v>
      </c>
      <c r="AL302" s="267"/>
      <c r="AM302" s="267"/>
      <c r="AN302" s="75"/>
    </row>
    <row r="303" spans="1:40" s="6" customFormat="1" ht="11.25" x14ac:dyDescent="0.2">
      <c r="A303" s="56">
        <f t="shared" si="118"/>
        <v>44850</v>
      </c>
      <c r="B303" s="618">
        <v>24.541</v>
      </c>
      <c r="C303" s="866"/>
      <c r="D303" s="395">
        <f t="shared" si="98"/>
        <v>25.434686174287584</v>
      </c>
      <c r="E303" s="387">
        <f t="shared" si="120"/>
        <v>29.870242590292992</v>
      </c>
      <c r="F303" s="387">
        <f t="shared" si="99"/>
        <v>30.734099942877133</v>
      </c>
      <c r="G303" s="110">
        <f t="shared" si="121"/>
        <v>0.93156419449974581</v>
      </c>
      <c r="H303" s="414" t="b">
        <f>Wh_hp&gt;='2021'!Maxi_hp</f>
        <v>0</v>
      </c>
      <c r="I303" s="382">
        <f>IF(H303,Wh_hp,'2021'!Maxi_hp)</f>
        <v>31.863522294539795</v>
      </c>
      <c r="J303" s="85">
        <f>IF(H303,An,'2021'!An_max)</f>
        <v>2021</v>
      </c>
      <c r="K303" s="199">
        <f t="shared" si="100"/>
        <v>44850</v>
      </c>
      <c r="L303" s="147">
        <f>IF(t&lt;Tvie,1-EXP((T0-t)*PertePVj)+'2021'!Pspv,1-EXP((T0-t)*PertePVj)+Pspv)</f>
        <v>3.5136512719823876E-2</v>
      </c>
      <c r="M303" s="870"/>
      <c r="N303" s="870"/>
      <c r="O303" s="48">
        <f>IF(t&lt;Tnet,'2021'!Resal+('2021'!Salim-'2021'!Resal)*(1-EXP(('2021'!Tnet-t)/('2021'!Tau_j))),Resal+(Salim-Resal)*(1-EXP((Tnet-t)/(Tau_j))))*Salcycl</f>
        <v>0.14849415442802066</v>
      </c>
      <c r="P303" s="341">
        <f>(INDEX(Models!$BJ303:$BT303,,T303)*(1-R303)+INDEX(Models!$BJ303:$BT303,,T303+1)*R303-ERP_i)*Q303*Ramure*Pc/MaxiM</f>
        <v>3.1015843839693472E-2</v>
      </c>
      <c r="Q303" s="307">
        <f t="shared" si="101"/>
        <v>1</v>
      </c>
      <c r="R303" s="179">
        <f t="shared" si="102"/>
        <v>0.69638423141879036</v>
      </c>
      <c r="S303" s="837">
        <f t="shared" si="103"/>
        <v>0</v>
      </c>
      <c r="T303" s="178">
        <f t="shared" si="104"/>
        <v>6</v>
      </c>
      <c r="U303" s="253">
        <f t="shared" si="105"/>
        <v>0.69638423141879036</v>
      </c>
      <c r="V303" s="385">
        <f t="shared" si="106"/>
        <v>26.265029516468072</v>
      </c>
      <c r="W303" s="404"/>
      <c r="X303" s="157">
        <f t="shared" si="107"/>
        <v>44850</v>
      </c>
      <c r="Y303" s="387">
        <f t="shared" si="108"/>
        <v>24.055399318033817</v>
      </c>
      <c r="Z303" s="387">
        <f t="shared" si="109"/>
        <v>24.931401835759004</v>
      </c>
      <c r="AA303" s="388">
        <f t="shared" si="110"/>
        <v>29.870242590292992</v>
      </c>
      <c r="AB303" s="199">
        <f t="shared" si="111"/>
        <v>44850</v>
      </c>
      <c r="AC303" s="119">
        <f>IF(OR(t&lt;Tnet,NoTnet),'2021'!Resal_s+('2021'!Salim-'2021'!Resal_s)*(1-EXP(('2021'!Tnet_s-t)/'2021'!Tau_j)),Resal_s+(Salim-Resal_s)*(1-EXP((Tnet_s-t)/Tau_j)))*Salcycl</f>
        <v>0.16534317522211808</v>
      </c>
      <c r="AD303" s="233">
        <f>(INDEX(Models!$BJ303:$BT303,,AH303)*(1-AF303)+INDEX(Models!$BJ303:$BT303,,AH303+1)*AF303-ERP_i)*AE303*Ramure*Pc/MaxiM</f>
        <v>3.1015843839693472E-2</v>
      </c>
      <c r="AE303" s="307">
        <f t="shared" si="112"/>
        <v>1</v>
      </c>
      <c r="AF303" s="179">
        <f t="shared" si="113"/>
        <v>0.69638423141879036</v>
      </c>
      <c r="AG303" s="837">
        <f t="shared" si="119"/>
        <v>0</v>
      </c>
      <c r="AH303" s="178">
        <f t="shared" si="114"/>
        <v>6</v>
      </c>
      <c r="AI303" s="227">
        <f t="shared" si="115"/>
        <v>0.69638423141879036</v>
      </c>
      <c r="AJ303" s="267" t="b">
        <f t="shared" si="116"/>
        <v>1</v>
      </c>
      <c r="AK303" s="267" t="b">
        <f t="shared" si="117"/>
        <v>0</v>
      </c>
      <c r="AL303" s="267"/>
      <c r="AM303" s="267"/>
      <c r="AN303" s="75"/>
    </row>
    <row r="304" spans="1:40" s="6" customFormat="1" ht="11.25" x14ac:dyDescent="0.2">
      <c r="A304" s="56">
        <f t="shared" si="118"/>
        <v>44851</v>
      </c>
      <c r="B304" s="618">
        <v>15.634</v>
      </c>
      <c r="C304" s="866"/>
      <c r="D304" s="395">
        <f t="shared" si="98"/>
        <v>16.203705540312225</v>
      </c>
      <c r="E304" s="387">
        <f t="shared" si="120"/>
        <v>19.027397482125874</v>
      </c>
      <c r="F304" s="387">
        <f t="shared" si="99"/>
        <v>19.299246129172197</v>
      </c>
      <c r="G304" s="110">
        <f t="shared" si="121"/>
        <v>0.59213391938354831</v>
      </c>
      <c r="H304" s="414" t="b">
        <f>Wh_hp&gt;='2021'!Maxi_hp</f>
        <v>0</v>
      </c>
      <c r="I304" s="382">
        <f>IF(H304,Wh_hp,'2021'!Maxi_hp)</f>
        <v>29.854260667658959</v>
      </c>
      <c r="J304" s="85">
        <f>IF(H304,An,'2021'!An_max)</f>
        <v>2021</v>
      </c>
      <c r="K304" s="199">
        <f t="shared" si="100"/>
        <v>44851</v>
      </c>
      <c r="L304" s="147">
        <f>IF(t&lt;Tvie,1-EXP((T0-t)*PertePVj)+'2021'!Pspv,1-EXP((T0-t)*PertePVj)+Pspv)</f>
        <v>3.5158966502747746E-2</v>
      </c>
      <c r="M304" s="870"/>
      <c r="N304" s="870"/>
      <c r="O304" s="48">
        <f>IF(t&lt;Tnet,'2021'!Resal+('2021'!Salim-'2021'!Resal)*(1-EXP(('2021'!Tnet-t)/('2021'!Tau_j))),Resal+(Salim-Resal)*(1-EXP((Tnet-t)/(Tau_j))))*Salcycl</f>
        <v>0.14840137462131606</v>
      </c>
      <c r="P304" s="341">
        <f>(INDEX(Models!$BJ304:$BT304,,T304)*(1-R304)+INDEX(Models!$BJ304:$BT304,,T304+1)*R304-ERP_i)*Q304*Ramure*Pc/MaxiM</f>
        <v>3.2498635805682581E-2</v>
      </c>
      <c r="Q304" s="307">
        <f t="shared" si="101"/>
        <v>1</v>
      </c>
      <c r="R304" s="179">
        <f t="shared" si="102"/>
        <v>0.69652938701013312</v>
      </c>
      <c r="S304" s="837">
        <f t="shared" si="103"/>
        <v>0</v>
      </c>
      <c r="T304" s="178">
        <f t="shared" si="104"/>
        <v>6</v>
      </c>
      <c r="U304" s="253">
        <f t="shared" si="105"/>
        <v>0.69652938701013312</v>
      </c>
      <c r="V304" s="385">
        <f t="shared" si="106"/>
        <v>25.909719315605241</v>
      </c>
      <c r="W304" s="404"/>
      <c r="X304" s="157">
        <f t="shared" si="107"/>
        <v>44851</v>
      </c>
      <c r="Y304" s="387">
        <f t="shared" si="108"/>
        <v>15.326087441877267</v>
      </c>
      <c r="Z304" s="387">
        <f t="shared" si="109"/>
        <v>15.884572597752097</v>
      </c>
      <c r="AA304" s="388">
        <f t="shared" si="110"/>
        <v>19.027397482125874</v>
      </c>
      <c r="AB304" s="199">
        <f t="shared" si="111"/>
        <v>44851</v>
      </c>
      <c r="AC304" s="119">
        <f>IF(OR(t&lt;Tnet,NoTnet),'2021'!Resal_s+('2021'!Salim-'2021'!Resal_s)*(1-EXP(('2021'!Tnet_s-t)/'2021'!Tau_j)),Resal_s+(Salim-Resal_s)*(1-EXP((Tnet_s-t)/Tau_j)))*Salcycl</f>
        <v>0.16517366010386408</v>
      </c>
      <c r="AD304" s="233">
        <f>(INDEX(Models!$BJ304:$BT304,,AH304)*(1-AF304)+INDEX(Models!$BJ304:$BT304,,AH304+1)*AF304-ERP_i)*AE304*Ramure*Pc/MaxiM</f>
        <v>3.2498635805682581E-2</v>
      </c>
      <c r="AE304" s="307">
        <f t="shared" si="112"/>
        <v>1</v>
      </c>
      <c r="AF304" s="179">
        <f t="shared" si="113"/>
        <v>0.69652938701013312</v>
      </c>
      <c r="AG304" s="837">
        <f t="shared" si="119"/>
        <v>0</v>
      </c>
      <c r="AH304" s="178">
        <f t="shared" si="114"/>
        <v>6</v>
      </c>
      <c r="AI304" s="227">
        <f t="shared" si="115"/>
        <v>0.69652938701013312</v>
      </c>
      <c r="AJ304" s="267" t="b">
        <f t="shared" si="116"/>
        <v>1</v>
      </c>
      <c r="AK304" s="267" t="b">
        <f t="shared" si="117"/>
        <v>0</v>
      </c>
      <c r="AL304" s="267"/>
      <c r="AM304" s="267"/>
      <c r="AN304" s="75"/>
    </row>
    <row r="305" spans="1:40" s="6" customFormat="1" ht="11.25" x14ac:dyDescent="0.2">
      <c r="A305" s="56">
        <f t="shared" si="118"/>
        <v>44852</v>
      </c>
      <c r="B305" s="618">
        <v>24.43</v>
      </c>
      <c r="C305" s="866"/>
      <c r="D305" s="395">
        <f t="shared" si="98"/>
        <v>25.320822484577867</v>
      </c>
      <c r="E305" s="387">
        <f t="shared" si="120"/>
        <v>29.729906075417279</v>
      </c>
      <c r="F305" s="387">
        <f t="shared" si="99"/>
        <v>30.708652281609488</v>
      </c>
      <c r="G305" s="110">
        <f t="shared" si="121"/>
        <v>0.95367928074564945</v>
      </c>
      <c r="H305" s="414" t="b">
        <f>Wh_hp&gt;='2021'!Maxi_hp</f>
        <v>0</v>
      </c>
      <c r="I305" s="382">
        <f>IF(H305,Wh_hp,'2021'!Maxi_hp)</f>
        <v>32.364301744109355</v>
      </c>
      <c r="J305" s="85">
        <f>IF(H305,An,'2021'!An_max)</f>
        <v>2020</v>
      </c>
      <c r="K305" s="199">
        <f t="shared" si="100"/>
        <v>44852</v>
      </c>
      <c r="L305" s="147">
        <f>IF(t&lt;Tvie,1-EXP((T0-t)*PertePVj)+'2021'!Pspv,1-EXP((T0-t)*PertePVj)+Pspv)</f>
        <v>3.5181419763139266E-2</v>
      </c>
      <c r="M305" s="870"/>
      <c r="N305" s="870"/>
      <c r="O305" s="48">
        <f>IF(t&lt;Tnet,'2021'!Resal+('2021'!Salim-'2021'!Resal)*(1-EXP(('2021'!Tnet-t)/('2021'!Tau_j))),Resal+(Salim-Resal)*(1-EXP((Tnet-t)/(Tau_j))))*Salcycl</f>
        <v>0.14830465927657752</v>
      </c>
      <c r="P305" s="341">
        <f>(INDEX(Models!$BJ305:$BT305,,T305)*(1-R305)+INDEX(Models!$BJ305:$BT305,,T305+1)*R305-ERP_i)*Q305*Ramure*Pc/MaxiM</f>
        <v>3.4020126782835912E-2</v>
      </c>
      <c r="Q305" s="307">
        <f t="shared" si="101"/>
        <v>1</v>
      </c>
      <c r="R305" s="179">
        <f t="shared" si="102"/>
        <v>0.69666875503674985</v>
      </c>
      <c r="S305" s="837">
        <f t="shared" si="103"/>
        <v>0</v>
      </c>
      <c r="T305" s="178">
        <f t="shared" si="104"/>
        <v>6</v>
      </c>
      <c r="U305" s="253">
        <f t="shared" si="105"/>
        <v>0.69666875503674985</v>
      </c>
      <c r="V305" s="385">
        <f t="shared" si="106"/>
        <v>25.559739129996096</v>
      </c>
      <c r="W305" s="404"/>
      <c r="X305" s="157">
        <f t="shared" si="107"/>
        <v>44852</v>
      </c>
      <c r="Y305" s="387">
        <f t="shared" si="108"/>
        <v>23.951107311973185</v>
      </c>
      <c r="Z305" s="387">
        <f t="shared" si="109"/>
        <v>24.824467317050676</v>
      </c>
      <c r="AA305" s="388">
        <f t="shared" si="110"/>
        <v>29.729906075417279</v>
      </c>
      <c r="AB305" s="199">
        <f t="shared" si="111"/>
        <v>44852</v>
      </c>
      <c r="AC305" s="119">
        <f>IF(OR(t&lt;Tnet,NoTnet),'2021'!Resal_s+('2021'!Salim-'2021'!Resal_s)*(1-EXP(('2021'!Tnet_s-t)/'2021'!Tau_j)),Resal_s+(Salim-Resal_s)*(1-EXP((Tnet_s-t)/Tau_j)))*Salcycl</f>
        <v>0.16500014315291625</v>
      </c>
      <c r="AD305" s="233">
        <f>(INDEX(Models!$BJ305:$BT305,,AH305)*(1-AF305)+INDEX(Models!$BJ305:$BT305,,AH305+1)*AF305-ERP_i)*AE305*Ramure*Pc/MaxiM</f>
        <v>3.4020126782835912E-2</v>
      </c>
      <c r="AE305" s="307">
        <f t="shared" si="112"/>
        <v>1</v>
      </c>
      <c r="AF305" s="179">
        <f t="shared" si="113"/>
        <v>0.69666875503674985</v>
      </c>
      <c r="AG305" s="837">
        <f t="shared" si="119"/>
        <v>0</v>
      </c>
      <c r="AH305" s="178">
        <f t="shared" si="114"/>
        <v>6</v>
      </c>
      <c r="AI305" s="227">
        <f t="shared" si="115"/>
        <v>0.69666875503674985</v>
      </c>
      <c r="AJ305" s="267" t="b">
        <f t="shared" si="116"/>
        <v>1</v>
      </c>
      <c r="AK305" s="267" t="b">
        <f t="shared" si="117"/>
        <v>0</v>
      </c>
      <c r="AL305" s="267"/>
      <c r="AM305" s="267"/>
      <c r="AN305" s="75"/>
    </row>
    <row r="306" spans="1:40" s="6" customFormat="1" ht="11.25" x14ac:dyDescent="0.2">
      <c r="A306" s="56">
        <f t="shared" si="118"/>
        <v>44853</v>
      </c>
      <c r="B306" s="618">
        <v>13.204000000000001</v>
      </c>
      <c r="C306" s="866"/>
      <c r="D306" s="395">
        <f t="shared" si="98"/>
        <v>13.685792908630669</v>
      </c>
      <c r="E306" s="387">
        <f t="shared" si="120"/>
        <v>16.066986934188929</v>
      </c>
      <c r="F306" s="387">
        <f t="shared" si="99"/>
        <v>16.251748222552795</v>
      </c>
      <c r="G306" s="110">
        <f t="shared" si="121"/>
        <v>0.51083573168908314</v>
      </c>
      <c r="H306" s="414" t="b">
        <f>Wh_hp&gt;='2021'!Maxi_hp</f>
        <v>0</v>
      </c>
      <c r="I306" s="382">
        <f>IF(H306,Wh_hp,'2021'!Maxi_hp)</f>
        <v>30.618334526163864</v>
      </c>
      <c r="J306" s="85">
        <f>IF(H306,An,'2021'!An_max)</f>
        <v>2020</v>
      </c>
      <c r="K306" s="199">
        <f t="shared" si="100"/>
        <v>44853</v>
      </c>
      <c r="L306" s="147">
        <f>IF(t&lt;Tvie,1-EXP((T0-t)*PertePVj)+'2021'!Pspv,1-EXP((T0-t)*PertePVj)+Pspv)</f>
        <v>3.5203872501010536E-2</v>
      </c>
      <c r="M306" s="870"/>
      <c r="N306" s="870"/>
      <c r="O306" s="48">
        <f>IF(t&lt;Tnet,'2021'!Resal+('2021'!Salim-'2021'!Resal)*(1-EXP(('2021'!Tnet-t)/('2021'!Tau_j))),Resal+(Salim-Resal)*(1-EXP((Tnet-t)/(Tau_j))))*Salcycl</f>
        <v>0.14820414277497912</v>
      </c>
      <c r="P306" s="341">
        <f>(INDEX(Models!$BJ306:$BT306,,T306)*(1-R306)+INDEX(Models!$BJ306:$BT306,,T306+1)*R306-ERP_i)*Q306*Ramure*Pc/MaxiM</f>
        <v>3.5581104184386494E-2</v>
      </c>
      <c r="Q306" s="307">
        <f t="shared" si="101"/>
        <v>1</v>
      </c>
      <c r="R306" s="179">
        <f t="shared" si="102"/>
        <v>0.69680256407075203</v>
      </c>
      <c r="S306" s="837">
        <f t="shared" si="103"/>
        <v>0</v>
      </c>
      <c r="T306" s="178">
        <f t="shared" si="104"/>
        <v>6</v>
      </c>
      <c r="U306" s="253">
        <f t="shared" si="105"/>
        <v>0.69680256407075203</v>
      </c>
      <c r="V306" s="385">
        <f t="shared" si="106"/>
        <v>25.214804429694119</v>
      </c>
      <c r="W306" s="404"/>
      <c r="X306" s="157">
        <f t="shared" si="107"/>
        <v>44853</v>
      </c>
      <c r="Y306" s="387">
        <f t="shared" si="108"/>
        <v>12.94638845685316</v>
      </c>
      <c r="Z306" s="387">
        <f t="shared" si="109"/>
        <v>13.418781530989012</v>
      </c>
      <c r="AA306" s="388">
        <f t="shared" si="110"/>
        <v>16.066986934188929</v>
      </c>
      <c r="AB306" s="199">
        <f t="shared" si="111"/>
        <v>44853</v>
      </c>
      <c r="AC306" s="119">
        <f>IF(OR(t&lt;Tnet,NoTnet),'2021'!Resal_s+('2021'!Salim-'2021'!Resal_s)*(1-EXP(('2021'!Tnet_s-t)/'2021'!Tau_j)),Resal_s+(Salim-Resal_s)*(1-EXP((Tnet_s-t)/Tau_j)))*Salcycl</f>
        <v>0.16482277691810424</v>
      </c>
      <c r="AD306" s="233">
        <f>(INDEX(Models!$BJ306:$BT306,,AH306)*(1-AF306)+INDEX(Models!$BJ306:$BT306,,AH306+1)*AF306-ERP_i)*AE306*Ramure*Pc/MaxiM</f>
        <v>3.5581104184386494E-2</v>
      </c>
      <c r="AE306" s="307">
        <f t="shared" si="112"/>
        <v>1</v>
      </c>
      <c r="AF306" s="179">
        <f t="shared" si="113"/>
        <v>0.69680256407075203</v>
      </c>
      <c r="AG306" s="837">
        <f t="shared" si="119"/>
        <v>0</v>
      </c>
      <c r="AH306" s="178">
        <f t="shared" si="114"/>
        <v>6</v>
      </c>
      <c r="AI306" s="227">
        <f t="shared" si="115"/>
        <v>0.69680256407075203</v>
      </c>
      <c r="AJ306" s="267" t="b">
        <f t="shared" si="116"/>
        <v>1</v>
      </c>
      <c r="AK306" s="267" t="b">
        <f t="shared" si="117"/>
        <v>0</v>
      </c>
      <c r="AL306" s="267"/>
      <c r="AM306" s="267"/>
      <c r="AN306" s="75"/>
    </row>
    <row r="307" spans="1:40" s="6" customFormat="1" ht="11.25" x14ac:dyDescent="0.2">
      <c r="A307" s="56">
        <f t="shared" si="118"/>
        <v>44854</v>
      </c>
      <c r="B307" s="618">
        <v>8.3460000000000001</v>
      </c>
      <c r="C307" s="866"/>
      <c r="D307" s="395">
        <f t="shared" si="98"/>
        <v>8.6507335490330686</v>
      </c>
      <c r="E307" s="387">
        <f t="shared" si="120"/>
        <v>8.8868858417150811</v>
      </c>
      <c r="F307" s="387">
        <f t="shared" si="99"/>
        <v>8.8868858417150811</v>
      </c>
      <c r="G307" s="110">
        <f t="shared" si="121"/>
        <v>0.28271643362614013</v>
      </c>
      <c r="H307" s="414" t="b">
        <f>Wh_hp&gt;='2021'!Maxi_hp</f>
        <v>0</v>
      </c>
      <c r="I307" s="382">
        <f>IF(H307,Wh_hp,'2021'!Maxi_hp)</f>
        <v>26.917739526991838</v>
      </c>
      <c r="J307" s="85">
        <f>IF(H307,An,'2021'!An_max)</f>
        <v>2020</v>
      </c>
      <c r="K307" s="199">
        <f t="shared" si="100"/>
        <v>44854</v>
      </c>
      <c r="L307" s="147">
        <f>IF(t&lt;Tvie,1-EXP((T0-t)*PertePVj)+'2021'!Pspv,1-EXP((T0-t)*PertePVj)+Pspv)</f>
        <v>3.522632471637388E-2</v>
      </c>
      <c r="M307" s="870"/>
      <c r="N307" s="870"/>
      <c r="O307" s="48">
        <f>IF(t&lt;Tnet,'2021'!Resal+('2021'!Salim-'2021'!Resal)*(1-EXP(('2021'!Tnet-t)/('2021'!Tau_j))),Resal+(Salim-Resal)*(1-EXP((Tnet-t)/(Tau_j))))*Salcycl</f>
        <v>2.6573120988402102E-2</v>
      </c>
      <c r="P307" s="341">
        <f>(INDEX(Models!$BJ307:$BT307,,T307)*(1-R307)+INDEX(Models!$BJ307:$BT307,,T307+1)*R307-ERP_i)*Q307*Ramure*Pc/MaxiM</f>
        <v>3.7182408748565168E-2</v>
      </c>
      <c r="Q307" s="307">
        <f t="shared" si="101"/>
        <v>1</v>
      </c>
      <c r="R307" s="179">
        <f t="shared" si="102"/>
        <v>0.69693103382894273</v>
      </c>
      <c r="S307" s="837">
        <f t="shared" si="103"/>
        <v>0</v>
      </c>
      <c r="T307" s="178">
        <f t="shared" si="104"/>
        <v>6</v>
      </c>
      <c r="U307" s="253">
        <f t="shared" si="105"/>
        <v>0.69693103382894273</v>
      </c>
      <c r="V307" s="385">
        <f t="shared" si="106"/>
        <v>28.423093463363109</v>
      </c>
      <c r="W307" s="404"/>
      <c r="X307" s="157">
        <f t="shared" si="107"/>
        <v>44854</v>
      </c>
      <c r="Y307" s="387">
        <f t="shared" si="108"/>
        <v>7.3040489902451409</v>
      </c>
      <c r="Z307" s="387">
        <f t="shared" si="109"/>
        <v>7.5707382750652705</v>
      </c>
      <c r="AA307" s="388">
        <f t="shared" si="110"/>
        <v>8.8868858417150811</v>
      </c>
      <c r="AB307" s="199">
        <f t="shared" si="111"/>
        <v>44854</v>
      </c>
      <c r="AC307" s="119">
        <f>IF(OR(t&lt;Tnet,NoTnet),'2021'!Resal_s+('2021'!Salim-'2021'!Resal_s)*(1-EXP(('2021'!Tnet_s-t)/'2021'!Tau_j)),Resal_s+(Salim-Resal_s)*(1-EXP((Tnet_s-t)/Tau_j)))*Salcycl</f>
        <v>0.14809997451208481</v>
      </c>
      <c r="AD307" s="233">
        <f>(INDEX(Models!$BJ307:$BT307,,AH307)*(1-AF307)+INDEX(Models!$BJ307:$BT307,,AH307+1)*AF307-ERP_i)*AE307*Ramure*Pc/MaxiM</f>
        <v>3.7182408748565168E-2</v>
      </c>
      <c r="AE307" s="307">
        <f t="shared" si="112"/>
        <v>1</v>
      </c>
      <c r="AF307" s="179">
        <f t="shared" si="113"/>
        <v>0.69693103382894273</v>
      </c>
      <c r="AG307" s="837">
        <f t="shared" si="119"/>
        <v>0</v>
      </c>
      <c r="AH307" s="178">
        <f t="shared" si="114"/>
        <v>6</v>
      </c>
      <c r="AI307" s="227">
        <f t="shared" si="115"/>
        <v>0.69693103382894273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x14ac:dyDescent="0.2">
      <c r="A308" s="56">
        <f t="shared" si="118"/>
        <v>44855</v>
      </c>
      <c r="B308" s="618">
        <v>14.589</v>
      </c>
      <c r="C308" s="866"/>
      <c r="D308" s="395">
        <f t="shared" si="98"/>
        <v>15.122033165918598</v>
      </c>
      <c r="E308" s="387">
        <f t="shared" si="120"/>
        <v>15.5379385132499</v>
      </c>
      <c r="F308" s="387">
        <f t="shared" si="99"/>
        <v>15.730292463772134</v>
      </c>
      <c r="G308" s="110">
        <f t="shared" si="121"/>
        <v>0.50645686637169729</v>
      </c>
      <c r="H308" s="414" t="b">
        <f>Wh_hp&gt;='2021'!Maxi_hp</f>
        <v>0</v>
      </c>
      <c r="I308" s="382">
        <f>IF(H308,Wh_hp,'2021'!Maxi_hp)</f>
        <v>22.474187536944374</v>
      </c>
      <c r="J308" s="85">
        <f>IF(H308,An,'2021'!An_max)</f>
        <v>2019</v>
      </c>
      <c r="K308" s="199">
        <f t="shared" si="100"/>
        <v>44855</v>
      </c>
      <c r="L308" s="147">
        <f>IF(t&lt;Tvie,1-EXP((T0-t)*PertePVj)+'2021'!Pspv,1-EXP((T0-t)*PertePVj)+Pspv)</f>
        <v>3.52487764092414E-2</v>
      </c>
      <c r="M308" s="870"/>
      <c r="N308" s="870"/>
      <c r="O308" s="48">
        <f>IF(t&lt;Tnet,'2021'!Resal+('2021'!Salim-'2021'!Resal)*(1-EXP(('2021'!Tnet-t)/('2021'!Tau_j))),Resal+(Salim-Resal)*(1-EXP((Tnet-t)/(Tau_j))))*Salcycl</f>
        <v>2.6767086700506613E-2</v>
      </c>
      <c r="P308" s="341">
        <f>(INDEX(Models!$BJ308:$BT308,,T308)*(1-R308)+INDEX(Models!$BJ308:$BT308,,T308+1)*R308-ERP_i)*Q308*Ramure*Pc/MaxiM</f>
        <v>3.8824940387534299E-2</v>
      </c>
      <c r="Q308" s="307">
        <f t="shared" si="101"/>
        <v>1</v>
      </c>
      <c r="R308" s="179">
        <f t="shared" si="102"/>
        <v>0.69705437550234217</v>
      </c>
      <c r="S308" s="837">
        <f t="shared" si="103"/>
        <v>0</v>
      </c>
      <c r="T308" s="178">
        <f t="shared" si="104"/>
        <v>6</v>
      </c>
      <c r="U308" s="253">
        <f t="shared" si="105"/>
        <v>0.69705437550234217</v>
      </c>
      <c r="V308" s="385">
        <f t="shared" si="106"/>
        <v>28.030377895019488</v>
      </c>
      <c r="W308" s="404"/>
      <c r="X308" s="157">
        <f t="shared" si="107"/>
        <v>44855</v>
      </c>
      <c r="Y308" s="387">
        <f t="shared" si="108"/>
        <v>12.771522433005819</v>
      </c>
      <c r="Z308" s="387">
        <f t="shared" si="109"/>
        <v>13.238151059783904</v>
      </c>
      <c r="AA308" s="388">
        <f t="shared" si="110"/>
        <v>15.5379385132499</v>
      </c>
      <c r="AB308" s="199">
        <f t="shared" si="111"/>
        <v>44855</v>
      </c>
      <c r="AC308" s="119">
        <f>IF(OR(t&lt;Tnet,NoTnet),'2021'!Resal_s+('2021'!Salim-'2021'!Resal_s)*(1-EXP(('2021'!Tnet_s-t)/'2021'!Tau_j)),Resal_s+(Salim-Resal_s)*(1-EXP((Tnet_s-t)/Tau_j)))*Salcycl</f>
        <v>0.14801110530234521</v>
      </c>
      <c r="AD308" s="233">
        <f>(INDEX(Models!$BJ308:$BT308,,AH308)*(1-AF308)+INDEX(Models!$BJ308:$BT308,,AH308+1)*AF308-ERP_i)*AE308*Ramure*Pc/MaxiM</f>
        <v>3.8824940387534299E-2</v>
      </c>
      <c r="AE308" s="307">
        <f t="shared" si="112"/>
        <v>1</v>
      </c>
      <c r="AF308" s="179">
        <f t="shared" si="113"/>
        <v>0.69705437550234217</v>
      </c>
      <c r="AG308" s="837">
        <f t="shared" si="119"/>
        <v>0</v>
      </c>
      <c r="AH308" s="178">
        <f t="shared" si="114"/>
        <v>6</v>
      </c>
      <c r="AI308" s="227">
        <f t="shared" si="115"/>
        <v>0.69705437550234217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x14ac:dyDescent="0.2">
      <c r="A309" s="56">
        <f t="shared" si="118"/>
        <v>44856</v>
      </c>
      <c r="B309" s="618">
        <v>25.846</v>
      </c>
      <c r="C309" s="866"/>
      <c r="D309" s="395">
        <f t="shared" si="98"/>
        <v>26.790949683355937</v>
      </c>
      <c r="E309" s="387">
        <f t="shared" si="120"/>
        <v>27.533238117957183</v>
      </c>
      <c r="F309" s="387">
        <f t="shared" si="99"/>
        <v>28.583639581005087</v>
      </c>
      <c r="G309" s="110">
        <f t="shared" si="121"/>
        <v>0.93135403704784936</v>
      </c>
      <c r="H309" s="414" t="b">
        <f>Wh_hp&gt;='2021'!Maxi_hp</f>
        <v>1</v>
      </c>
      <c r="I309" s="382">
        <f>IF(H309,Wh_hp,'2021'!Maxi_hp)</f>
        <v>28.583639581005087</v>
      </c>
      <c r="J309" s="85">
        <f>IF(H309,An,'2021'!An_max)</f>
        <v>2022</v>
      </c>
      <c r="K309" s="199">
        <f t="shared" si="100"/>
        <v>44856</v>
      </c>
      <c r="L309" s="147">
        <f>IF(t&lt;Tvie,1-EXP((T0-t)*PertePVj)+'2021'!Pspv,1-EXP((T0-t)*PertePVj)+Pspv)</f>
        <v>3.5271227579625197E-2</v>
      </c>
      <c r="M309" s="870"/>
      <c r="N309" s="870"/>
      <c r="O309" s="48">
        <f>IF(t&lt;Tnet,'2021'!Resal+('2021'!Salim-'2021'!Resal)*(1-EXP(('2021'!Tnet-t)/('2021'!Tau_j))),Resal+(Salim-Resal)*(1-EXP((Tnet-t)/(Tau_j))))*Salcycl</f>
        <v>2.6959721607068304E-2</v>
      </c>
      <c r="P309" s="341">
        <f>(INDEX(Models!$BJ309:$BT309,,T309)*(1-R309)+INDEX(Models!$BJ309:$BT309,,T309+1)*R309-ERP_i)*Q309*Ramure*Pc/MaxiM</f>
        <v>4.0509664475155242E-2</v>
      </c>
      <c r="Q309" s="307">
        <f t="shared" si="101"/>
        <v>1</v>
      </c>
      <c r="R309" s="179">
        <f t="shared" si="102"/>
        <v>0.69717279207452643</v>
      </c>
      <c r="S309" s="837">
        <f t="shared" si="103"/>
        <v>0</v>
      </c>
      <c r="T309" s="178">
        <f t="shared" si="104"/>
        <v>6</v>
      </c>
      <c r="U309" s="253">
        <f t="shared" si="105"/>
        <v>0.69717279207452643</v>
      </c>
      <c r="V309" s="385">
        <f t="shared" si="106"/>
        <v>27.642631203402644</v>
      </c>
      <c r="W309" s="404"/>
      <c r="X309" s="157">
        <f t="shared" si="107"/>
        <v>44856</v>
      </c>
      <c r="Y309" s="387">
        <f t="shared" si="108"/>
        <v>22.633065808847419</v>
      </c>
      <c r="Z309" s="387">
        <f t="shared" si="109"/>
        <v>23.460548141488616</v>
      </c>
      <c r="AA309" s="388">
        <f t="shared" si="110"/>
        <v>27.533238117957183</v>
      </c>
      <c r="AB309" s="199">
        <f t="shared" si="111"/>
        <v>44856</v>
      </c>
      <c r="AC309" s="119">
        <f>IF(OR(t&lt;Tnet,NoTnet),'2021'!Resal_s+('2021'!Salim-'2021'!Resal_s)*(1-EXP(('2021'!Tnet_s-t)/'2021'!Tau_j)),Resal_s+(Salim-Resal_s)*(1-EXP((Tnet_s-t)/Tau_j)))*Salcycl</f>
        <v>0.14791903367923723</v>
      </c>
      <c r="AD309" s="233">
        <f>(INDEX(Models!$BJ309:$BT309,,AH309)*(1-AF309)+INDEX(Models!$BJ309:$BT309,,AH309+1)*AF309-ERP_i)*AE309*Ramure*Pc/MaxiM</f>
        <v>4.0509664475155242E-2</v>
      </c>
      <c r="AE309" s="307">
        <f t="shared" si="112"/>
        <v>1</v>
      </c>
      <c r="AF309" s="179">
        <f t="shared" si="113"/>
        <v>0.69717279207452643</v>
      </c>
      <c r="AG309" s="837">
        <f t="shared" si="119"/>
        <v>0</v>
      </c>
      <c r="AH309" s="178">
        <f t="shared" si="114"/>
        <v>6</v>
      </c>
      <c r="AI309" s="227">
        <f t="shared" si="115"/>
        <v>0.69717279207452643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x14ac:dyDescent="0.2">
      <c r="A310" s="56">
        <f t="shared" si="118"/>
        <v>44857</v>
      </c>
      <c r="B310" s="618">
        <v>17.457000000000001</v>
      </c>
      <c r="C310" s="866"/>
      <c r="D310" s="395">
        <f t="shared" si="98"/>
        <v>18.095662489208234</v>
      </c>
      <c r="E310" s="387">
        <f t="shared" si="120"/>
        <v>18.600690767860453</v>
      </c>
      <c r="F310" s="387">
        <f t="shared" si="99"/>
        <v>18.990780738297893</v>
      </c>
      <c r="G310" s="110">
        <f t="shared" si="121"/>
        <v>0.62621394878090131</v>
      </c>
      <c r="H310" s="414" t="b">
        <f>Wh_hp&gt;='2021'!Maxi_hp</f>
        <v>0</v>
      </c>
      <c r="I310" s="382">
        <f>IF(H310,Wh_hp,'2021'!Maxi_hp)</f>
        <v>30.859930652265835</v>
      </c>
      <c r="J310" s="85">
        <f>IF(H310,An,'2021'!An_max)</f>
        <v>2021</v>
      </c>
      <c r="K310" s="199">
        <f t="shared" si="100"/>
        <v>44857</v>
      </c>
      <c r="L310" s="147">
        <f>IF(t&lt;Tvie,1-EXP((T0-t)*PertePVj)+'2021'!Pspv,1-EXP((T0-t)*PertePVj)+Pspv)</f>
        <v>3.5293678227537373E-2</v>
      </c>
      <c r="M310" s="870"/>
      <c r="N310" s="870"/>
      <c r="O310" s="48">
        <f>IF(t&lt;Tnet,'2021'!Resal+('2021'!Salim-'2021'!Resal)*(1-EXP(('2021'!Tnet-t)/('2021'!Tau_j))),Resal+(Salim-Resal)*(1-EXP((Tnet-t)/(Tau_j))))*Salcycl</f>
        <v>2.7151049654824774E-2</v>
      </c>
      <c r="P310" s="341">
        <f>(INDEX(Models!$BJ310:$BT310,,T310)*(1-R310)+INDEX(Models!$BJ310:$BT310,,T310+1)*R310-ERP_i)*Q310*Ramure*Pc/MaxiM</f>
        <v>4.2240423474710985E-2</v>
      </c>
      <c r="Q310" s="307">
        <f t="shared" si="101"/>
        <v>1</v>
      </c>
      <c r="R310" s="179">
        <f t="shared" si="102"/>
        <v>0.69728647862907689</v>
      </c>
      <c r="S310" s="837">
        <f t="shared" si="103"/>
        <v>0</v>
      </c>
      <c r="T310" s="178">
        <f t="shared" si="104"/>
        <v>6</v>
      </c>
      <c r="U310" s="253">
        <f t="shared" si="105"/>
        <v>0.69728647862907689</v>
      </c>
      <c r="V310" s="385">
        <f t="shared" si="106"/>
        <v>27.259452234409917</v>
      </c>
      <c r="W310" s="404"/>
      <c r="X310" s="157">
        <f t="shared" si="107"/>
        <v>44857</v>
      </c>
      <c r="Y310" s="387">
        <f t="shared" si="108"/>
        <v>15.291620859443816</v>
      </c>
      <c r="Z310" s="387">
        <f t="shared" si="109"/>
        <v>15.851063182988579</v>
      </c>
      <c r="AA310" s="388">
        <f t="shared" si="110"/>
        <v>18.600690767860453</v>
      </c>
      <c r="AB310" s="199">
        <f t="shared" si="111"/>
        <v>44857</v>
      </c>
      <c r="AC310" s="119">
        <f>IF(OR(t&lt;Tnet,NoTnet),'2021'!Resal_s+('2021'!Salim-'2021'!Resal_s)*(1-EXP(('2021'!Tnet_s-t)/'2021'!Tau_j)),Resal_s+(Salim-Resal_s)*(1-EXP((Tnet_s-t)/Tau_j)))*Salcycl</f>
        <v>0.14782395015258626</v>
      </c>
      <c r="AD310" s="233">
        <f>(INDEX(Models!$BJ310:$BT310,,AH310)*(1-AF310)+INDEX(Models!$BJ310:$BT310,,AH310+1)*AF310-ERP_i)*AE310*Ramure*Pc/MaxiM</f>
        <v>4.2240423474710985E-2</v>
      </c>
      <c r="AE310" s="307">
        <f t="shared" si="112"/>
        <v>1</v>
      </c>
      <c r="AF310" s="179">
        <f t="shared" si="113"/>
        <v>0.69728647862907689</v>
      </c>
      <c r="AG310" s="837">
        <f t="shared" si="119"/>
        <v>0</v>
      </c>
      <c r="AH310" s="178">
        <f t="shared" si="114"/>
        <v>6</v>
      </c>
      <c r="AI310" s="227">
        <f t="shared" si="115"/>
        <v>0.69728647862907689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x14ac:dyDescent="0.2">
      <c r="A311" s="56">
        <f t="shared" si="118"/>
        <v>44858</v>
      </c>
      <c r="B311" s="618">
        <v>20.626000000000001</v>
      </c>
      <c r="C311" s="866"/>
      <c r="D311" s="395">
        <f t="shared" si="98"/>
        <v>21.381097586699699</v>
      </c>
      <c r="E311" s="387">
        <f t="shared" si="120"/>
        <v>21.982112694239813</v>
      </c>
      <c r="F311" s="387">
        <f t="shared" si="99"/>
        <v>22.647737290779379</v>
      </c>
      <c r="G311" s="110">
        <f t="shared" si="121"/>
        <v>0.75575712746517842</v>
      </c>
      <c r="H311" s="414" t="b">
        <f>Wh_hp&gt;='2021'!Maxi_hp</f>
        <v>0</v>
      </c>
      <c r="I311" s="382">
        <f>IF(H311,Wh_hp,'2021'!Maxi_hp)</f>
        <v>31.094214113391882</v>
      </c>
      <c r="J311" s="85">
        <f>IF(H311,An,'2021'!An_max)</f>
        <v>2021</v>
      </c>
      <c r="K311" s="199">
        <f t="shared" si="100"/>
        <v>44858</v>
      </c>
      <c r="L311" s="147">
        <f>IF(t&lt;Tvie,1-EXP((T0-t)*PertePVj)+'2021'!Pspv,1-EXP((T0-t)*PertePVj)+Pspv)</f>
        <v>3.531612835299025E-2</v>
      </c>
      <c r="M311" s="870"/>
      <c r="N311" s="870"/>
      <c r="O311" s="48">
        <f>IF(t&lt;Tnet,'2021'!Resal+('2021'!Salim-'2021'!Resal)*(1-EXP(('2021'!Tnet-t)/('2021'!Tau_j))),Resal+(Salim-Resal)*(1-EXP((Tnet-t)/(Tau_j))))*Salcycl</f>
        <v>2.7341098460367974E-2</v>
      </c>
      <c r="P311" s="341">
        <f>(INDEX(Models!$BJ311:$BT311,,T311)*(1-R311)+INDEX(Models!$BJ311:$BT311,,T311+1)*R311-ERP_i)*Q311*Ramure*Pc/MaxiM</f>
        <v>4.4023359697312088E-2</v>
      </c>
      <c r="Q311" s="307">
        <f t="shared" si="101"/>
        <v>1</v>
      </c>
      <c r="R311" s="179">
        <f t="shared" si="102"/>
        <v>0.69739562264642663</v>
      </c>
      <c r="S311" s="837">
        <f t="shared" si="103"/>
        <v>0</v>
      </c>
      <c r="T311" s="178">
        <f t="shared" si="104"/>
        <v>6</v>
      </c>
      <c r="U311" s="253">
        <f t="shared" si="105"/>
        <v>0.69739562264642663</v>
      </c>
      <c r="V311" s="385">
        <f t="shared" si="106"/>
        <v>26.880381654292879</v>
      </c>
      <c r="W311" s="404"/>
      <c r="X311" s="157">
        <f t="shared" si="107"/>
        <v>44858</v>
      </c>
      <c r="Y311" s="387">
        <f t="shared" si="108"/>
        <v>18.073141858590979</v>
      </c>
      <c r="Z311" s="387">
        <f t="shared" si="109"/>
        <v>18.734781817938565</v>
      </c>
      <c r="AA311" s="388">
        <f t="shared" si="110"/>
        <v>21.982112694239813</v>
      </c>
      <c r="AB311" s="199">
        <f t="shared" si="111"/>
        <v>44858</v>
      </c>
      <c r="AC311" s="119">
        <f>IF(OR(t&lt;Tnet,NoTnet),'2021'!Resal_s+('2021'!Salim-'2021'!Resal_s)*(1-EXP(('2021'!Tnet_s-t)/'2021'!Tau_j)),Resal_s+(Salim-Resal_s)*(1-EXP((Tnet_s-t)/Tau_j)))*Salcycl</f>
        <v>0.14772605897667773</v>
      </c>
      <c r="AD311" s="233">
        <f>(INDEX(Models!$BJ311:$BT311,,AH311)*(1-AF311)+INDEX(Models!$BJ311:$BT311,,AH311+1)*AF311-ERP_i)*AE311*Ramure*Pc/MaxiM</f>
        <v>4.4023359697312088E-2</v>
      </c>
      <c r="AE311" s="307">
        <f t="shared" si="112"/>
        <v>1</v>
      </c>
      <c r="AF311" s="179">
        <f t="shared" si="113"/>
        <v>0.69739562264642663</v>
      </c>
      <c r="AG311" s="837">
        <f t="shared" si="119"/>
        <v>0</v>
      </c>
      <c r="AH311" s="178">
        <f t="shared" si="114"/>
        <v>6</v>
      </c>
      <c r="AI311" s="227">
        <f t="shared" si="115"/>
        <v>0.69739562264642663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x14ac:dyDescent="0.2">
      <c r="A312" s="56">
        <f t="shared" si="118"/>
        <v>44859</v>
      </c>
      <c r="B312" s="618">
        <v>19.053000000000001</v>
      </c>
      <c r="C312" s="866"/>
      <c r="D312" s="395">
        <f t="shared" si="98"/>
        <v>19.750971236756762</v>
      </c>
      <c r="E312" s="387">
        <f t="shared" si="120"/>
        <v>20.310106421163624</v>
      </c>
      <c r="F312" s="387">
        <f t="shared" si="99"/>
        <v>20.883149615539839</v>
      </c>
      <c r="G312" s="110">
        <f t="shared" si="121"/>
        <v>0.70522850575234497</v>
      </c>
      <c r="H312" s="414" t="b">
        <f>Wh_hp&gt;='2021'!Maxi_hp</f>
        <v>0</v>
      </c>
      <c r="I312" s="382">
        <f>IF(H312,Wh_hp,'2021'!Maxi_hp)</f>
        <v>29.799774376559132</v>
      </c>
      <c r="J312" s="85">
        <f>IF(H312,An,'2021'!An_max)</f>
        <v>2021</v>
      </c>
      <c r="K312" s="199">
        <f t="shared" si="100"/>
        <v>44859</v>
      </c>
      <c r="L312" s="147">
        <f>IF(t&lt;Tvie,1-EXP((T0-t)*PertePVj)+'2021'!Pspv,1-EXP((T0-t)*PertePVj)+Pspv)</f>
        <v>3.5338577955995931E-2</v>
      </c>
      <c r="M312" s="870"/>
      <c r="N312" s="870"/>
      <c r="O312" s="48">
        <f>IF(t&lt;Tnet,'2021'!Resal+('2021'!Salim-'2021'!Resal)*(1-EXP(('2021'!Tnet-t)/('2021'!Tau_j))),Resal+(Salim-Resal)*(1-EXP((Tnet-t)/(Tau_j))))*Salcycl</f>
        <v>2.7529899293104235E-2</v>
      </c>
      <c r="P312" s="341">
        <f>(INDEX(Models!$BJ312:$BT312,,T312)*(1-R312)+INDEX(Models!$BJ312:$BT312,,T312+1)*R312-ERP_i)*Q312*Ramure*Pc/MaxiM</f>
        <v>4.5860414349974489E-2</v>
      </c>
      <c r="Q312" s="307">
        <f t="shared" si="101"/>
        <v>1</v>
      </c>
      <c r="R312" s="179">
        <f t="shared" si="102"/>
        <v>0.69750040429039817</v>
      </c>
      <c r="S312" s="837">
        <f t="shared" si="103"/>
        <v>0</v>
      </c>
      <c r="T312" s="178">
        <f t="shared" si="104"/>
        <v>6</v>
      </c>
      <c r="U312" s="253">
        <f t="shared" si="105"/>
        <v>0.69750040429039817</v>
      </c>
      <c r="V312" s="385">
        <f t="shared" si="106"/>
        <v>26.505086404695273</v>
      </c>
      <c r="W312" s="404"/>
      <c r="X312" s="157">
        <f t="shared" si="107"/>
        <v>44859</v>
      </c>
      <c r="Y312" s="387">
        <f t="shared" si="108"/>
        <v>16.700040298029222</v>
      </c>
      <c r="Z312" s="387">
        <f t="shared" si="109"/>
        <v>17.311815230097832</v>
      </c>
      <c r="AA312" s="388">
        <f t="shared" si="110"/>
        <v>20.310106421163624</v>
      </c>
      <c r="AB312" s="199">
        <f t="shared" si="111"/>
        <v>44859</v>
      </c>
      <c r="AC312" s="119">
        <f>IF(OR(t&lt;Tnet,NoTnet),'2021'!Resal_s+('2021'!Salim-'2021'!Resal_s)*(1-EXP(('2021'!Tnet_s-t)/'2021'!Tau_j)),Resal_s+(Salim-Resal_s)*(1-EXP((Tnet_s-t)/Tau_j)))*Salcycl</f>
        <v>0.14762557757656544</v>
      </c>
      <c r="AD312" s="233">
        <f>(INDEX(Models!$BJ312:$BT312,,AH312)*(1-AF312)+INDEX(Models!$BJ312:$BT312,,AH312+1)*AF312-ERP_i)*AE312*Ramure*Pc/MaxiM</f>
        <v>4.5860414349974489E-2</v>
      </c>
      <c r="AE312" s="307">
        <f t="shared" si="112"/>
        <v>1</v>
      </c>
      <c r="AF312" s="179">
        <f t="shared" si="113"/>
        <v>0.69750040429039817</v>
      </c>
      <c r="AG312" s="837">
        <f t="shared" si="119"/>
        <v>0</v>
      </c>
      <c r="AH312" s="178">
        <f t="shared" si="114"/>
        <v>6</v>
      </c>
      <c r="AI312" s="227">
        <f t="shared" si="115"/>
        <v>0.69750040429039817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x14ac:dyDescent="0.2">
      <c r="A313" s="56">
        <f t="shared" si="118"/>
        <v>44860</v>
      </c>
      <c r="B313" s="618">
        <v>15.084</v>
      </c>
      <c r="C313" s="866"/>
      <c r="D313" s="395">
        <f t="shared" si="98"/>
        <v>15.636938194256214</v>
      </c>
      <c r="E313" s="387">
        <f t="shared" si="120"/>
        <v>16.082710514428467</v>
      </c>
      <c r="F313" s="387">
        <f t="shared" si="99"/>
        <v>16.39269683537589</v>
      </c>
      <c r="G313" s="110">
        <f t="shared" si="121"/>
        <v>0.56022675573065861</v>
      </c>
      <c r="H313" s="414" t="b">
        <f>Wh_hp&gt;='2021'!Maxi_hp</f>
        <v>0</v>
      </c>
      <c r="I313" s="382">
        <f>IF(H313,Wh_hp,'2021'!Maxi_hp)</f>
        <v>29.263227957076836</v>
      </c>
      <c r="J313" s="85">
        <f>IF(H313,An,'2021'!An_max)</f>
        <v>2019</v>
      </c>
      <c r="K313" s="199">
        <f t="shared" si="100"/>
        <v>44860</v>
      </c>
      <c r="L313" s="147">
        <f>IF(t&lt;Tvie,1-EXP((T0-t)*PertePVj)+'2021'!Pspv,1-EXP((T0-t)*PertePVj)+Pspv)</f>
        <v>3.5361027036566517E-2</v>
      </c>
      <c r="M313" s="870"/>
      <c r="N313" s="870"/>
      <c r="O313" s="48">
        <f>IF(t&lt;Tnet,'2021'!Resal+('2021'!Salim-'2021'!Resal)*(1-EXP(('2021'!Tnet-t)/('2021'!Tau_j))),Resal+(Salim-Resal)*(1-EXP((Tnet-t)/(Tau_j))))*Salcycl</f>
        <v>2.7717487035057331E-2</v>
      </c>
      <c r="P313" s="341">
        <f>(INDEX(Models!$BJ313:$BT313,,T313)*(1-R313)+INDEX(Models!$BJ313:$BT313,,T313+1)*R313-ERP_i)*Q313*Ramure*Pc/MaxiM</f>
        <v>4.7753303323267861E-2</v>
      </c>
      <c r="Q313" s="307">
        <f t="shared" si="101"/>
        <v>1</v>
      </c>
      <c r="R313" s="179">
        <f t="shared" si="102"/>
        <v>0.69760099668471953</v>
      </c>
      <c r="S313" s="837">
        <f t="shared" si="103"/>
        <v>0</v>
      </c>
      <c r="T313" s="178">
        <f t="shared" si="104"/>
        <v>6</v>
      </c>
      <c r="U313" s="253">
        <f t="shared" si="105"/>
        <v>0.69760099668471953</v>
      </c>
      <c r="V313" s="385">
        <f t="shared" si="106"/>
        <v>26.13324346701852</v>
      </c>
      <c r="W313" s="404"/>
      <c r="X313" s="157">
        <f t="shared" si="107"/>
        <v>44860</v>
      </c>
      <c r="Y313" s="387">
        <f t="shared" si="108"/>
        <v>13.225340248865175</v>
      </c>
      <c r="Z313" s="387">
        <f t="shared" si="109"/>
        <v>13.710145058970687</v>
      </c>
      <c r="AA313" s="388">
        <f t="shared" si="110"/>
        <v>16.082710514428467</v>
      </c>
      <c r="AB313" s="199">
        <f t="shared" si="111"/>
        <v>44860</v>
      </c>
      <c r="AC313" s="119">
        <f>IF(OR(t&lt;Tnet,NoTnet),'2021'!Resal_s+('2021'!Salim-'2021'!Resal_s)*(1-EXP(('2021'!Tnet_s-t)/'2021'!Tau_j)),Resal_s+(Salim-Resal_s)*(1-EXP((Tnet_s-t)/Tau_j)))*Salcycl</f>
        <v>0.14752273588020204</v>
      </c>
      <c r="AD313" s="233">
        <f>(INDEX(Models!$BJ313:$BT313,,AH313)*(1-AF313)+INDEX(Models!$BJ313:$BT313,,AH313+1)*AF313-ERP_i)*AE313*Ramure*Pc/MaxiM</f>
        <v>4.7753303323267861E-2</v>
      </c>
      <c r="AE313" s="307">
        <f t="shared" si="112"/>
        <v>1</v>
      </c>
      <c r="AF313" s="179">
        <f t="shared" si="113"/>
        <v>0.69760099668471953</v>
      </c>
      <c r="AG313" s="837">
        <f t="shared" si="119"/>
        <v>0</v>
      </c>
      <c r="AH313" s="178">
        <f t="shared" si="114"/>
        <v>6</v>
      </c>
      <c r="AI313" s="227">
        <f t="shared" si="115"/>
        <v>0.69760099668471953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x14ac:dyDescent="0.2">
      <c r="A314" s="56">
        <f t="shared" si="118"/>
        <v>44861</v>
      </c>
      <c r="B314" s="618">
        <v>12.048</v>
      </c>
      <c r="C314" s="866"/>
      <c r="D314" s="395">
        <f t="shared" si="98"/>
        <v>12.489937394995327</v>
      </c>
      <c r="E314" s="387">
        <f t="shared" si="120"/>
        <v>12.848459526276184</v>
      </c>
      <c r="F314" s="387">
        <f t="shared" si="99"/>
        <v>13.003222825110894</v>
      </c>
      <c r="G314" s="110">
        <f t="shared" si="121"/>
        <v>0.44972977214873883</v>
      </c>
      <c r="H314" s="414" t="b">
        <f>Wh_hp&gt;='2021'!Maxi_hp</f>
        <v>0</v>
      </c>
      <c r="I314" s="382">
        <f>IF(H314,Wh_hp,'2021'!Maxi_hp)</f>
        <v>29.643885541046256</v>
      </c>
      <c r="J314" s="85">
        <f>IF(H314,An,'2021'!An_max)</f>
        <v>2021</v>
      </c>
      <c r="K314" s="199">
        <f t="shared" si="100"/>
        <v>44861</v>
      </c>
      <c r="L314" s="147">
        <f>IF(t&lt;Tvie,1-EXP((T0-t)*PertePVj)+'2021'!Pspv,1-EXP((T0-t)*PertePVj)+Pspv)</f>
        <v>3.538347559471422E-2</v>
      </c>
      <c r="M314" s="870"/>
      <c r="N314" s="870"/>
      <c r="O314" s="48">
        <f>IF(t&lt;Tnet,'2021'!Resal+('2021'!Salim-'2021'!Resal)*(1-EXP(('2021'!Tnet-t)/('2021'!Tau_j))),Resal+(Salim-Resal)*(1-EXP((Tnet-t)/(Tau_j))))*Salcycl</f>
        <v>2.7903900117181239E-2</v>
      </c>
      <c r="P314" s="341">
        <f>(INDEX(Models!$BJ314:$BT314,,T314)*(1-R314)+INDEX(Models!$BJ314:$BT314,,T314+1)*R314-ERP_i)*Q314*Ramure*Pc/MaxiM</f>
        <v>4.9703863035336915E-2</v>
      </c>
      <c r="Q314" s="307">
        <f t="shared" si="101"/>
        <v>1</v>
      </c>
      <c r="R314" s="179">
        <f t="shared" si="102"/>
        <v>0.69769756617980772</v>
      </c>
      <c r="S314" s="837">
        <f t="shared" si="103"/>
        <v>0</v>
      </c>
      <c r="T314" s="178">
        <f t="shared" si="104"/>
        <v>6</v>
      </c>
      <c r="U314" s="253">
        <f t="shared" si="105"/>
        <v>0.69769756617980772</v>
      </c>
      <c r="V314" s="385">
        <f t="shared" si="106"/>
        <v>25.764530199983003</v>
      </c>
      <c r="W314" s="404"/>
      <c r="X314" s="157">
        <f t="shared" si="107"/>
        <v>44861</v>
      </c>
      <c r="Y314" s="387">
        <f t="shared" si="108"/>
        <v>10.566764583563485</v>
      </c>
      <c r="Z314" s="387">
        <f t="shared" si="109"/>
        <v>10.954368203549285</v>
      </c>
      <c r="AA314" s="388">
        <f t="shared" si="110"/>
        <v>12.848459526276184</v>
      </c>
      <c r="AB314" s="199">
        <f t="shared" si="111"/>
        <v>44861</v>
      </c>
      <c r="AC314" s="119">
        <f>IF(OR(t&lt;Tnet,NoTnet),'2021'!Resal_s+('2021'!Salim-'2021'!Resal_s)*(1-EXP(('2021'!Tnet_s-t)/'2021'!Tau_j)),Resal_s+(Salim-Resal_s)*(1-EXP((Tnet_s-t)/Tau_j)))*Salcycl</f>
        <v>0.14741777555926633</v>
      </c>
      <c r="AD314" s="233">
        <f>(INDEX(Models!$BJ314:$BT314,,AH314)*(1-AF314)+INDEX(Models!$BJ314:$BT314,,AH314+1)*AF314-ERP_i)*AE314*Ramure*Pc/MaxiM</f>
        <v>4.9703863035336915E-2</v>
      </c>
      <c r="AE314" s="307">
        <f t="shared" si="112"/>
        <v>1</v>
      </c>
      <c r="AF314" s="179">
        <f t="shared" si="113"/>
        <v>0.69769756617980772</v>
      </c>
      <c r="AG314" s="837">
        <f t="shared" si="119"/>
        <v>0</v>
      </c>
      <c r="AH314" s="178">
        <f t="shared" si="114"/>
        <v>6</v>
      </c>
      <c r="AI314" s="227">
        <f t="shared" si="115"/>
        <v>0.69769756617980772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x14ac:dyDescent="0.2">
      <c r="A315" s="56">
        <f t="shared" si="118"/>
        <v>44862</v>
      </c>
      <c r="B315" s="618">
        <v>16.384</v>
      </c>
      <c r="C315" s="866"/>
      <c r="D315" s="395">
        <f t="shared" si="98"/>
        <v>16.985383179694203</v>
      </c>
      <c r="E315" s="387">
        <f t="shared" si="120"/>
        <v>17.476277491431446</v>
      </c>
      <c r="F315" s="387">
        <f t="shared" si="99"/>
        <v>17.933457534569225</v>
      </c>
      <c r="G315" s="110">
        <f t="shared" si="121"/>
        <v>0.62771737750873158</v>
      </c>
      <c r="H315" s="414" t="b">
        <f>Wh_hp&gt;='2021'!Maxi_hp</f>
        <v>0</v>
      </c>
      <c r="I315" s="382">
        <f>IF(H315,Wh_hp,'2021'!Maxi_hp)</f>
        <v>28.741781736753882</v>
      </c>
      <c r="J315" s="85">
        <f>IF(H315,An,'2021'!An_max)</f>
        <v>2021</v>
      </c>
      <c r="K315" s="199">
        <f t="shared" si="100"/>
        <v>44862</v>
      </c>
      <c r="L315" s="147">
        <f>IF(t&lt;Tvie,1-EXP((T0-t)*PertePVj)+'2021'!Pspv,1-EXP((T0-t)*PertePVj)+Pspv)</f>
        <v>3.5405923630451142E-2</v>
      </c>
      <c r="M315" s="870"/>
      <c r="N315" s="870"/>
      <c r="O315" s="48">
        <f>IF(t&lt;Tnet,'2021'!Resal+('2021'!Salim-'2021'!Resal)*(1-EXP(('2021'!Tnet-t)/('2021'!Tau_j))),Resal+(Salim-Resal)*(1-EXP((Tnet-t)/(Tau_j))))*Salcycl</f>
        <v>2.8089180432041533E-2</v>
      </c>
      <c r="P315" s="341">
        <f>(INDEX(Models!$BJ315:$BT315,,T315)*(1-R315)+INDEX(Models!$BJ315:$BT315,,T315+1)*R315-ERP_i)*Q315*Ramure*Pc/MaxiM</f>
        <v>5.1714061960873491E-2</v>
      </c>
      <c r="Q315" s="307">
        <f t="shared" si="101"/>
        <v>1</v>
      </c>
      <c r="R315" s="179">
        <f t="shared" si="102"/>
        <v>0.69779027261010262</v>
      </c>
      <c r="S315" s="837">
        <f t="shared" si="103"/>
        <v>0</v>
      </c>
      <c r="T315" s="178">
        <f t="shared" si="104"/>
        <v>6</v>
      </c>
      <c r="U315" s="253">
        <f t="shared" si="105"/>
        <v>0.69779027261010262</v>
      </c>
      <c r="V315" s="385">
        <f t="shared" si="106"/>
        <v>25.398624359484835</v>
      </c>
      <c r="W315" s="404"/>
      <c r="X315" s="157">
        <f t="shared" si="107"/>
        <v>44862</v>
      </c>
      <c r="Y315" s="387">
        <f t="shared" si="108"/>
        <v>14.374217394561505</v>
      </c>
      <c r="Z315" s="387">
        <f t="shared" si="109"/>
        <v>14.901830465994435</v>
      </c>
      <c r="AA315" s="388">
        <f t="shared" si="110"/>
        <v>17.476277491431446</v>
      </c>
      <c r="AB315" s="199">
        <f t="shared" si="111"/>
        <v>44862</v>
      </c>
      <c r="AC315" s="119">
        <f>IF(OR(t&lt;Tnet,NoTnet),'2021'!Resal_s+('2021'!Salim-'2021'!Resal_s)*(1-EXP(('2021'!Tnet_s-t)/'2021'!Tau_j)),Resal_s+(Salim-Resal_s)*(1-EXP((Tnet_s-t)/Tau_j)))*Salcycl</f>
        <v>0.1473109491823561</v>
      </c>
      <c r="AD315" s="233">
        <f>(INDEX(Models!$BJ315:$BT315,,AH315)*(1-AF315)+INDEX(Models!$BJ315:$BT315,,AH315+1)*AF315-ERP_i)*AE315*Ramure*Pc/MaxiM</f>
        <v>5.1714061960873491E-2</v>
      </c>
      <c r="AE315" s="307">
        <f t="shared" si="112"/>
        <v>1</v>
      </c>
      <c r="AF315" s="179">
        <f t="shared" si="113"/>
        <v>0.69779027261010262</v>
      </c>
      <c r="AG315" s="837">
        <f t="shared" si="119"/>
        <v>0</v>
      </c>
      <c r="AH315" s="178">
        <f t="shared" si="114"/>
        <v>6</v>
      </c>
      <c r="AI315" s="227">
        <f t="shared" si="115"/>
        <v>0.69779027261010262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x14ac:dyDescent="0.2">
      <c r="A316" s="56">
        <f t="shared" si="118"/>
        <v>44863</v>
      </c>
      <c r="B316" s="618">
        <v>20.785</v>
      </c>
      <c r="C316" s="866"/>
      <c r="D316" s="395">
        <f t="shared" si="98"/>
        <v>21.548425620445489</v>
      </c>
      <c r="E316" s="387">
        <f t="shared" si="120"/>
        <v>22.175398951364581</v>
      </c>
      <c r="F316" s="387">
        <f t="shared" si="99"/>
        <v>23.11722805045174</v>
      </c>
      <c r="G316" s="110">
        <f t="shared" si="121"/>
        <v>0.81894091903246913</v>
      </c>
      <c r="H316" s="414" t="b">
        <f>Wh_hp&gt;='2021'!Maxi_hp</f>
        <v>0</v>
      </c>
      <c r="I316" s="382">
        <f>IF(H316,Wh_hp,'2021'!Maxi_hp)</f>
        <v>25.210255189313802</v>
      </c>
      <c r="J316" s="85">
        <f>IF(H316,An,'2021'!An_max)</f>
        <v>2019</v>
      </c>
      <c r="K316" s="199">
        <f t="shared" si="100"/>
        <v>44863</v>
      </c>
      <c r="L316" s="147">
        <f>IF(t&lt;Tvie,1-EXP((T0-t)*PertePVj)+'2021'!Pspv,1-EXP((T0-t)*PertePVj)+Pspv)</f>
        <v>3.5428371143789605E-2</v>
      </c>
      <c r="M316" s="870"/>
      <c r="N316" s="870"/>
      <c r="O316" s="48">
        <f>IF(t&lt;Tnet,'2021'!Resal+('2021'!Salim-'2021'!Resal)*(1-EXP(('2021'!Tnet-t)/('2021'!Tau_j))),Resal+(Salim-Resal)*(1-EXP((Tnet-t)/(Tau_j))))*Salcycl</f>
        <v>2.8273373222920558E-2</v>
      </c>
      <c r="P316" s="341">
        <f>(INDEX(Models!$BJ316:$BT316,,T316)*(1-R316)+INDEX(Models!$BJ316:$BT316,,T316+1)*R316-ERP_i)*Q316*Ramure*Pc/MaxiM</f>
        <v>5.378601326616296E-2</v>
      </c>
      <c r="Q316" s="307">
        <f t="shared" si="101"/>
        <v>1</v>
      </c>
      <c r="R316" s="179">
        <f t="shared" si="102"/>
        <v>0.69787926954223323</v>
      </c>
      <c r="S316" s="837">
        <f t="shared" si="103"/>
        <v>0</v>
      </c>
      <c r="T316" s="178">
        <f t="shared" si="104"/>
        <v>6</v>
      </c>
      <c r="U316" s="253">
        <f t="shared" si="105"/>
        <v>0.69787926954223323</v>
      </c>
      <c r="V316" s="385">
        <f t="shared" si="106"/>
        <v>25.035204091841305</v>
      </c>
      <c r="W316" s="404"/>
      <c r="X316" s="157">
        <f t="shared" si="107"/>
        <v>44863</v>
      </c>
      <c r="Y316" s="387">
        <f t="shared" si="108"/>
        <v>18.241134027016724</v>
      </c>
      <c r="Z316" s="387">
        <f t="shared" si="109"/>
        <v>18.911124359574075</v>
      </c>
      <c r="AA316" s="388">
        <f t="shared" si="110"/>
        <v>22.175398951364581</v>
      </c>
      <c r="AB316" s="199">
        <f t="shared" si="111"/>
        <v>44863</v>
      </c>
      <c r="AC316" s="119">
        <f>IF(OR(t&lt;Tnet,NoTnet),'2021'!Resal_s+('2021'!Salim-'2021'!Resal_s)*(1-EXP(('2021'!Tnet_s-t)/'2021'!Tau_j)),Resal_s+(Salim-Resal_s)*(1-EXP((Tnet_s-t)/Tau_j)))*Salcycl</f>
        <v>0.14720251928498621</v>
      </c>
      <c r="AD316" s="233">
        <f>(INDEX(Models!$BJ316:$BT316,,AH316)*(1-AF316)+INDEX(Models!$BJ316:$BT316,,AH316+1)*AF316-ERP_i)*AE316*Ramure*Pc/MaxiM</f>
        <v>5.378601326616296E-2</v>
      </c>
      <c r="AE316" s="307">
        <f t="shared" si="112"/>
        <v>1</v>
      </c>
      <c r="AF316" s="179">
        <f t="shared" si="113"/>
        <v>0.69787926954223323</v>
      </c>
      <c r="AG316" s="837">
        <f t="shared" si="119"/>
        <v>0</v>
      </c>
      <c r="AH316" s="178">
        <f t="shared" si="114"/>
        <v>6</v>
      </c>
      <c r="AI316" s="227">
        <f t="shared" si="115"/>
        <v>0.69787926954223323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x14ac:dyDescent="0.2">
      <c r="A317" s="56">
        <f t="shared" si="118"/>
        <v>44864</v>
      </c>
      <c r="B317" s="618">
        <v>17.899000000000001</v>
      </c>
      <c r="C317" s="866"/>
      <c r="D317" s="395">
        <f t="shared" si="98"/>
        <v>18.556855717182476</v>
      </c>
      <c r="E317" s="387">
        <f t="shared" si="120"/>
        <v>19.100386376863518</v>
      </c>
      <c r="F317" s="387">
        <f t="shared" si="99"/>
        <v>19.772384885711197</v>
      </c>
      <c r="G317" s="110">
        <f t="shared" si="121"/>
        <v>0.70895221409932418</v>
      </c>
      <c r="H317" s="414" t="b">
        <f>Wh_hp&gt;='2021'!Maxi_hp</f>
        <v>0</v>
      </c>
      <c r="I317" s="382">
        <f>IF(H317,Wh_hp,'2021'!Maxi_hp)</f>
        <v>25.555453874343382</v>
      </c>
      <c r="J317" s="85">
        <f>IF(H317,An,'2021'!An_max)</f>
        <v>2020</v>
      </c>
      <c r="K317" s="199">
        <f t="shared" si="100"/>
        <v>44864</v>
      </c>
      <c r="L317" s="147">
        <f>IF(t&lt;Tvie,1-EXP((T0-t)*PertePVj)+'2021'!Pspv,1-EXP((T0-t)*PertePVj)+Pspv)</f>
        <v>3.5450818134741491E-2</v>
      </c>
      <c r="M317" s="870"/>
      <c r="N317" s="870"/>
      <c r="O317" s="48">
        <f>IF(t&lt;Tnet,'2021'!Resal+('2021'!Salim-'2021'!Resal)*(1-EXP(('2021'!Tnet-t)/('2021'!Tau_j))),Resal+(Salim-Resal)*(1-EXP((Tnet-t)/(Tau_j))))*Salcycl</f>
        <v>2.8456526949602923E-2</v>
      </c>
      <c r="P317" s="341">
        <f>(INDEX(Models!$BJ317:$BT317,,T317)*(1-R317)+INDEX(Models!$BJ317:$BT317,,T317+1)*R317-ERP_i)*Q317*Ramure*Pc/MaxiM</f>
        <v>5.5922253016414944E-2</v>
      </c>
      <c r="Q317" s="307">
        <f t="shared" si="101"/>
        <v>1</v>
      </c>
      <c r="R317" s="179">
        <f t="shared" si="102"/>
        <v>0.69796470451429304</v>
      </c>
      <c r="S317" s="837">
        <f t="shared" si="103"/>
        <v>0</v>
      </c>
      <c r="T317" s="178">
        <f t="shared" si="104"/>
        <v>6</v>
      </c>
      <c r="U317" s="253">
        <f t="shared" si="105"/>
        <v>0.69796470451429304</v>
      </c>
      <c r="V317" s="385">
        <f t="shared" si="106"/>
        <v>24.673824365352417</v>
      </c>
      <c r="W317" s="404"/>
      <c r="X317" s="157">
        <f t="shared" si="107"/>
        <v>44864</v>
      </c>
      <c r="Y317" s="387">
        <f t="shared" si="108"/>
        <v>15.713333638126596</v>
      </c>
      <c r="Z317" s="387">
        <f t="shared" si="109"/>
        <v>16.290857878019175</v>
      </c>
      <c r="AA317" s="388">
        <f t="shared" si="110"/>
        <v>19.100386376863518</v>
      </c>
      <c r="AB317" s="199">
        <f t="shared" si="111"/>
        <v>44864</v>
      </c>
      <c r="AC317" s="119">
        <f>IF(OR(t&lt;Tnet,NoTnet),'2021'!Resal_s+('2021'!Salim-'2021'!Resal_s)*(1-EXP(('2021'!Tnet_s-t)/'2021'!Tau_j)),Resal_s+(Salim-Resal_s)*(1-EXP((Tnet_s-t)/Tau_j)))*Salcycl</f>
        <v>0.1470927573615764</v>
      </c>
      <c r="AD317" s="233">
        <f>(INDEX(Models!$BJ317:$BT317,,AH317)*(1-AF317)+INDEX(Models!$BJ317:$BT317,,AH317+1)*AF317-ERP_i)*AE317*Ramure*Pc/MaxiM</f>
        <v>5.5922253016414944E-2</v>
      </c>
      <c r="AE317" s="307">
        <f t="shared" si="112"/>
        <v>1</v>
      </c>
      <c r="AF317" s="179">
        <f t="shared" si="113"/>
        <v>0.69796470451429304</v>
      </c>
      <c r="AG317" s="837">
        <f t="shared" si="119"/>
        <v>0</v>
      </c>
      <c r="AH317" s="178">
        <f t="shared" si="114"/>
        <v>6</v>
      </c>
      <c r="AI317" s="227">
        <f t="shared" si="115"/>
        <v>0.69796470451429304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x14ac:dyDescent="0.2">
      <c r="A318" s="56">
        <f t="shared" si="118"/>
        <v>44865</v>
      </c>
      <c r="B318" s="618">
        <v>17.417999999999999</v>
      </c>
      <c r="C318" s="866"/>
      <c r="D318" s="395">
        <f t="shared" si="98"/>
        <v>18.05859740407973</v>
      </c>
      <c r="E318" s="387">
        <f t="shared" si="120"/>
        <v>18.591019918524214</v>
      </c>
      <c r="F318" s="387">
        <f t="shared" si="99"/>
        <v>19.256133987428971</v>
      </c>
      <c r="G318" s="110">
        <f t="shared" si="121"/>
        <v>0.69886249311005044</v>
      </c>
      <c r="H318" s="414" t="b">
        <f>Wh_hp&gt;='2021'!Maxi_hp</f>
        <v>0</v>
      </c>
      <c r="I318" s="382">
        <f>IF(H318,Wh_hp,'2021'!Maxi_hp)</f>
        <v>27.871025086088434</v>
      </c>
      <c r="J318" s="85">
        <f>IF(H318,An,'2021'!An_max)</f>
        <v>2020</v>
      </c>
      <c r="K318" s="199">
        <f t="shared" si="100"/>
        <v>44865</v>
      </c>
      <c r="L318" s="147">
        <f>IF(t&lt;Tvie,1-EXP((T0-t)*PertePVj)+'2021'!Pspv,1-EXP((T0-t)*PertePVj)+Pspv)</f>
        <v>3.5473264603319121E-2</v>
      </c>
      <c r="M318" s="870"/>
      <c r="N318" s="870"/>
      <c r="O318" s="48">
        <f>IF(t&lt;Tnet,'2021'!Resal+('2021'!Salim-'2021'!Resal)*(1-EXP(('2021'!Tnet-t)/('2021'!Tau_j))),Resal+(Salim-Resal)*(1-EXP((Tnet-t)/(Tau_j))))*Salcycl</f>
        <v>2.8638693131299044E-2</v>
      </c>
      <c r="P318" s="341">
        <f>(INDEX(Models!$BJ318:$BT318,,T318)*(1-R318)+INDEX(Models!$BJ318:$BT318,,T318+1)*R318-ERP_i)*Q318*Ramure*Pc/MaxiM</f>
        <v>5.80755280355E-2</v>
      </c>
      <c r="Q318" s="307">
        <f t="shared" si="101"/>
        <v>1</v>
      </c>
      <c r="R318" s="179">
        <f t="shared" si="102"/>
        <v>0.69804671926649831</v>
      </c>
      <c r="S318" s="837">
        <f t="shared" si="103"/>
        <v>0</v>
      </c>
      <c r="T318" s="178">
        <f t="shared" si="104"/>
        <v>6</v>
      </c>
      <c r="U318" s="253">
        <f t="shared" si="105"/>
        <v>0.69804671926649831</v>
      </c>
      <c r="V318" s="385">
        <f t="shared" si="106"/>
        <v>24.315797413152225</v>
      </c>
      <c r="W318" s="404"/>
      <c r="X318" s="157">
        <f t="shared" si="107"/>
        <v>44865</v>
      </c>
      <c r="Y318" s="387">
        <f t="shared" si="108"/>
        <v>15.295923788092267</v>
      </c>
      <c r="Z318" s="387">
        <f t="shared" si="109"/>
        <v>15.858475692539008</v>
      </c>
      <c r="AA318" s="388">
        <f t="shared" si="110"/>
        <v>18.591019918524214</v>
      </c>
      <c r="AB318" s="199">
        <f t="shared" si="111"/>
        <v>44865</v>
      </c>
      <c r="AC318" s="119">
        <f>IF(OR(t&lt;Tnet,NoTnet),'2021'!Resal_s+('2021'!Salim-'2021'!Resal_s)*(1-EXP(('2021'!Tnet_s-t)/'2021'!Tau_j)),Resal_s+(Salim-Resal_s)*(1-EXP((Tnet_s-t)/Tau_j)))*Salcycl</f>
        <v>0.14698194278531657</v>
      </c>
      <c r="AD318" s="233">
        <f>(INDEX(Models!$BJ318:$BT318,,AH318)*(1-AF318)+INDEX(Models!$BJ318:$BT318,,AH318+1)*AF318-ERP_i)*AE318*Ramure*Pc/MaxiM</f>
        <v>5.80755280355E-2</v>
      </c>
      <c r="AE318" s="307">
        <f t="shared" si="112"/>
        <v>1</v>
      </c>
      <c r="AF318" s="179">
        <f t="shared" si="113"/>
        <v>0.69804671926649831</v>
      </c>
      <c r="AG318" s="837">
        <f t="shared" si="119"/>
        <v>0</v>
      </c>
      <c r="AH318" s="178">
        <f t="shared" si="114"/>
        <v>6</v>
      </c>
      <c r="AI318" s="227">
        <f t="shared" si="115"/>
        <v>0.69804671926649831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x14ac:dyDescent="0.2">
      <c r="A319" s="56">
        <f t="shared" si="118"/>
        <v>44866</v>
      </c>
      <c r="B319" s="618">
        <v>16.423999999999999</v>
      </c>
      <c r="C319" s="866"/>
      <c r="D319" s="395">
        <f t="shared" si="98"/>
        <v>17.028436451389673</v>
      </c>
      <c r="E319" s="387">
        <f t="shared" si="120"/>
        <v>17.533758064237475</v>
      </c>
      <c r="F319" s="387">
        <f t="shared" si="99"/>
        <v>18.135172605705677</v>
      </c>
      <c r="G319" s="110">
        <f t="shared" si="121"/>
        <v>0.66623210994144699</v>
      </c>
      <c r="H319" s="414" t="b">
        <f>Wh_hp&gt;='2021'!Maxi_hp</f>
        <v>0</v>
      </c>
      <c r="I319" s="382">
        <f>IF(H319,Wh_hp,'2021'!Maxi_hp)</f>
        <v>26.847448093899022</v>
      </c>
      <c r="J319" s="85">
        <f>IF(H319,An,'2021'!An_max)</f>
        <v>2020</v>
      </c>
      <c r="K319" s="199">
        <f t="shared" si="100"/>
        <v>44866</v>
      </c>
      <c r="L319" s="147">
        <f>IF(t&lt;Tvie,1-EXP((T0-t)*PertePVj)+'2021'!Pspv,1-EXP((T0-t)*PertePVj)+Pspv)</f>
        <v>3.5495710549534709E-2</v>
      </c>
      <c r="M319" s="870"/>
      <c r="N319" s="870"/>
      <c r="O319" s="48">
        <f>IF(t&lt;Tnet,'2021'!Resal+('2021'!Salim-'2021'!Resal)*(1-EXP(('2021'!Tnet-t)/('2021'!Tau_j))),Resal+(Salim-Resal)*(1-EXP((Tnet-t)/(Tau_j))))*Salcycl</f>
        <v>2.8819926167367178E-2</v>
      </c>
      <c r="P319" s="341">
        <f>(INDEX(Models!$BJ319:$BT319,,T319)*(1-R319)+INDEX(Models!$BJ319:$BT319,,T319+1)*R319-ERP_i)*Q319*Ramure*Pc/MaxiM</f>
        <v>6.0230276873505677E-2</v>
      </c>
      <c r="Q319" s="307">
        <f t="shared" si="101"/>
        <v>1</v>
      </c>
      <c r="R319" s="179">
        <f t="shared" si="102"/>
        <v>0.69812544996349657</v>
      </c>
      <c r="S319" s="837">
        <f t="shared" si="103"/>
        <v>0</v>
      </c>
      <c r="T319" s="178">
        <f t="shared" si="104"/>
        <v>6</v>
      </c>
      <c r="U319" s="253">
        <f t="shared" si="105"/>
        <v>0.69812544996349657</v>
      </c>
      <c r="V319" s="385">
        <f t="shared" si="106"/>
        <v>23.961914207532157</v>
      </c>
      <c r="W319" s="404"/>
      <c r="X319" s="157">
        <f t="shared" si="107"/>
        <v>44866</v>
      </c>
      <c r="Y319" s="387">
        <f t="shared" si="108"/>
        <v>14.427603652080704</v>
      </c>
      <c r="Z319" s="387">
        <f t="shared" si="109"/>
        <v>14.958568676040784</v>
      </c>
      <c r="AA319" s="388">
        <f t="shared" si="110"/>
        <v>17.533758064237475</v>
      </c>
      <c r="AB319" s="199">
        <f t="shared" si="111"/>
        <v>44866</v>
      </c>
      <c r="AC319" s="119">
        <f>IF(OR(t&lt;Tnet,NoTnet),'2021'!Resal_s+('2021'!Salim-'2021'!Resal_s)*(1-EXP(('2021'!Tnet_s-t)/'2021'!Tau_j)),Resal_s+(Salim-Resal_s)*(1-EXP((Tnet_s-t)/Tau_j)))*Salcycl</f>
        <v>0.14687036166246339</v>
      </c>
      <c r="AD319" s="233">
        <f>(INDEX(Models!$BJ319:$BT319,,AH319)*(1-AF319)+INDEX(Models!$BJ319:$BT319,,AH319+1)*AF319-ERP_i)*AE319*Ramure*Pc/MaxiM</f>
        <v>6.0230276873505677E-2</v>
      </c>
      <c r="AE319" s="307">
        <f t="shared" si="112"/>
        <v>1</v>
      </c>
      <c r="AF319" s="179">
        <f t="shared" si="113"/>
        <v>0.69812544996349657</v>
      </c>
      <c r="AG319" s="837">
        <f t="shared" si="119"/>
        <v>0</v>
      </c>
      <c r="AH319" s="178">
        <f t="shared" si="114"/>
        <v>6</v>
      </c>
      <c r="AI319" s="227">
        <f t="shared" si="115"/>
        <v>0.69812544996349657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x14ac:dyDescent="0.2">
      <c r="A320" s="56">
        <f t="shared" si="118"/>
        <v>44867</v>
      </c>
      <c r="B320" s="618">
        <v>22.218</v>
      </c>
      <c r="C320" s="866"/>
      <c r="D320" s="395">
        <f t="shared" si="98"/>
        <v>23.036203467804466</v>
      </c>
      <c r="E320" s="387">
        <f t="shared" si="120"/>
        <v>23.724212342944877</v>
      </c>
      <c r="F320" s="387">
        <f t="shared" si="99"/>
        <v>25.161460910976828</v>
      </c>
      <c r="G320" s="110">
        <f t="shared" si="121"/>
        <v>0.93568566093721983</v>
      </c>
      <c r="H320" s="414" t="b">
        <f>Wh_hp&gt;='2021'!Maxi_hp</f>
        <v>0</v>
      </c>
      <c r="I320" s="382">
        <f>IF(H320,Wh_hp,'2021'!Maxi_hp)</f>
        <v>26.326466731477012</v>
      </c>
      <c r="J320" s="85">
        <f>IF(H320,An,'2021'!An_max)</f>
        <v>2021</v>
      </c>
      <c r="K320" s="199">
        <f t="shared" si="100"/>
        <v>44867</v>
      </c>
      <c r="L320" s="147">
        <f>IF(t&lt;Tvie,1-EXP((T0-t)*PertePVj)+'2021'!Pspv,1-EXP((T0-t)*PertePVj)+Pspv)</f>
        <v>3.5518155973400356E-2</v>
      </c>
      <c r="M320" s="870"/>
      <c r="N320" s="870"/>
      <c r="O320" s="48">
        <f>IF(t&lt;Tnet,'2021'!Resal+('2021'!Salim-'2021'!Resal)*(1-EXP(('2021'!Tnet-t)/('2021'!Tau_j))),Resal+(Salim-Resal)*(1-EXP((Tnet-t)/(Tau_j))))*Salcycl</f>
        <v>2.900028313669227E-2</v>
      </c>
      <c r="P320" s="341">
        <f>(INDEX(Models!$BJ320:$BT320,,T320)*(1-R320)+INDEX(Models!$BJ320:$BT320,,T320+1)*R320-ERP_i)*Q320*Ramure*Pc/MaxiM</f>
        <v>6.2384650550799683E-2</v>
      </c>
      <c r="Q320" s="307">
        <f t="shared" si="101"/>
        <v>1</v>
      </c>
      <c r="R320" s="179">
        <f t="shared" si="102"/>
        <v>0.69820102740859236</v>
      </c>
      <c r="S320" s="837">
        <f t="shared" si="103"/>
        <v>0</v>
      </c>
      <c r="T320" s="178">
        <f t="shared" si="104"/>
        <v>6</v>
      </c>
      <c r="U320" s="253">
        <f t="shared" si="105"/>
        <v>0.69820102740859236</v>
      </c>
      <c r="V320" s="385">
        <f t="shared" si="106"/>
        <v>23.612596593249361</v>
      </c>
      <c r="W320" s="404"/>
      <c r="X320" s="157">
        <f t="shared" si="107"/>
        <v>44867</v>
      </c>
      <c r="Y320" s="387">
        <f t="shared" si="108"/>
        <v>19.523511321703776</v>
      </c>
      <c r="Z320" s="387">
        <f t="shared" si="109"/>
        <v>20.242487137129906</v>
      </c>
      <c r="AA320" s="388">
        <f t="shared" si="110"/>
        <v>23.724212342944877</v>
      </c>
      <c r="AB320" s="199">
        <f t="shared" si="111"/>
        <v>44867</v>
      </c>
      <c r="AC320" s="119">
        <f>IF(OR(t&lt;Tnet,NoTnet),'2021'!Resal_s+('2021'!Salim-'2021'!Resal_s)*(1-EXP(('2021'!Tnet_s-t)/'2021'!Tau_j)),Resal_s+(Salim-Resal_s)*(1-EXP((Tnet_s-t)/Tau_j)))*Salcycl</f>
        <v>0.14675830562823167</v>
      </c>
      <c r="AD320" s="233">
        <f>(INDEX(Models!$BJ320:$BT320,,AH320)*(1-AF320)+INDEX(Models!$BJ320:$BT320,,AH320+1)*AF320-ERP_i)*AE320*Ramure*Pc/MaxiM</f>
        <v>6.2384650550799683E-2</v>
      </c>
      <c r="AE320" s="307">
        <f t="shared" si="112"/>
        <v>1</v>
      </c>
      <c r="AF320" s="179">
        <f t="shared" si="113"/>
        <v>0.69820102740859236</v>
      </c>
      <c r="AG320" s="837">
        <f t="shared" si="119"/>
        <v>0</v>
      </c>
      <c r="AH320" s="178">
        <f t="shared" si="114"/>
        <v>6</v>
      </c>
      <c r="AI320" s="227">
        <f t="shared" si="115"/>
        <v>0.69820102740859236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x14ac:dyDescent="0.2">
      <c r="A321" s="56">
        <f t="shared" si="118"/>
        <v>44868</v>
      </c>
      <c r="B321" s="618">
        <v>5.8420000000000005</v>
      </c>
      <c r="C321" s="866"/>
      <c r="D321" s="395">
        <f t="shared" si="98"/>
        <v>6.0572793476839815</v>
      </c>
      <c r="E321" s="387">
        <f t="shared" si="120"/>
        <v>6.239342253887548</v>
      </c>
      <c r="F321" s="387">
        <f t="shared" si="99"/>
        <v>6.239342253887548</v>
      </c>
      <c r="G321" s="110">
        <f t="shared" si="121"/>
        <v>0.23486827004347333</v>
      </c>
      <c r="H321" s="414" t="b">
        <f>Wh_hp&gt;='2021'!Maxi_hp</f>
        <v>0</v>
      </c>
      <c r="I321" s="382">
        <f>IF(H321,Wh_hp,'2021'!Maxi_hp)</f>
        <v>25.417463869453393</v>
      </c>
      <c r="J321" s="85">
        <f>IF(H321,An,'2021'!An_max)</f>
        <v>2020</v>
      </c>
      <c r="K321" s="199">
        <f t="shared" si="100"/>
        <v>44868</v>
      </c>
      <c r="L321" s="147">
        <f>IF(t&lt;Tvie,1-EXP((T0-t)*PertePVj)+'2021'!Pspv,1-EXP((T0-t)*PertePVj)+Pspv)</f>
        <v>3.5540600874928052E-2</v>
      </c>
      <c r="M321" s="870"/>
      <c r="N321" s="870"/>
      <c r="O321" s="48">
        <f>IF(t&lt;Tnet,'2021'!Resal+('2021'!Salim-'2021'!Resal)*(1-EXP(('2021'!Tnet-t)/('2021'!Tau_j))),Resal+(Salim-Resal)*(1-EXP((Tnet-t)/(Tau_j))))*Salcycl</f>
        <v>2.9179823576776596E-2</v>
      </c>
      <c r="P321" s="341">
        <f>(INDEX(Models!$BJ321:$BT321,,T321)*(1-R321)+INDEX(Models!$BJ321:$BT321,,T321+1)*R321-ERP_i)*Q321*Ramure*Pc/MaxiM</f>
        <v>6.4536557025812596E-2</v>
      </c>
      <c r="Q321" s="307">
        <f t="shared" si="101"/>
        <v>1</v>
      </c>
      <c r="R321" s="179">
        <f t="shared" si="102"/>
        <v>0.69827357725014294</v>
      </c>
      <c r="S321" s="837">
        <f t="shared" si="103"/>
        <v>0</v>
      </c>
      <c r="T321" s="178">
        <f t="shared" si="104"/>
        <v>6</v>
      </c>
      <c r="U321" s="253">
        <f t="shared" si="105"/>
        <v>0.69827357725014294</v>
      </c>
      <c r="V321" s="385">
        <f t="shared" si="106"/>
        <v>23.268266219373331</v>
      </c>
      <c r="W321" s="404"/>
      <c r="X321" s="157">
        <f t="shared" si="107"/>
        <v>44868</v>
      </c>
      <c r="Y321" s="387">
        <f t="shared" si="108"/>
        <v>5.13513601866903</v>
      </c>
      <c r="Z321" s="387">
        <f t="shared" si="109"/>
        <v>5.3243672292762847</v>
      </c>
      <c r="AA321" s="388">
        <f t="shared" si="110"/>
        <v>6.239342253887548</v>
      </c>
      <c r="AB321" s="199">
        <f t="shared" si="111"/>
        <v>44868</v>
      </c>
      <c r="AC321" s="119">
        <f>IF(OR(t&lt;Tnet,NoTnet),'2021'!Resal_s+('2021'!Salim-'2021'!Resal_s)*(1-EXP(('2021'!Tnet_s-t)/'2021'!Tau_j)),Resal_s+(Salim-Resal_s)*(1-EXP((Tnet_s-t)/Tau_j)))*Salcycl</f>
        <v>0.14664607059200352</v>
      </c>
      <c r="AD321" s="233">
        <f>(INDEX(Models!$BJ321:$BT321,,AH321)*(1-AF321)+INDEX(Models!$BJ321:$BT321,,AH321+1)*AF321-ERP_i)*AE321*Ramure*Pc/MaxiM</f>
        <v>6.4536557025812596E-2</v>
      </c>
      <c r="AE321" s="307">
        <f t="shared" si="112"/>
        <v>1</v>
      </c>
      <c r="AF321" s="179">
        <f t="shared" si="113"/>
        <v>0.69827357725014294</v>
      </c>
      <c r="AG321" s="837">
        <f t="shared" si="119"/>
        <v>0</v>
      </c>
      <c r="AH321" s="178">
        <f t="shared" si="114"/>
        <v>6</v>
      </c>
      <c r="AI321" s="227">
        <f t="shared" si="115"/>
        <v>0.69827357725014294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x14ac:dyDescent="0.2">
      <c r="A322" s="56">
        <f t="shared" si="118"/>
        <v>44869</v>
      </c>
      <c r="B322" s="618">
        <v>12.067</v>
      </c>
      <c r="C322" s="866"/>
      <c r="D322" s="395">
        <f t="shared" si="98"/>
        <v>12.511963525059725</v>
      </c>
      <c r="E322" s="387">
        <f t="shared" si="120"/>
        <v>12.890407975814622</v>
      </c>
      <c r="F322" s="387">
        <f t="shared" si="99"/>
        <v>13.174380492867463</v>
      </c>
      <c r="G322" s="110">
        <f t="shared" si="121"/>
        <v>0.50199580319130543</v>
      </c>
      <c r="H322" s="414" t="b">
        <f>Wh_hp&gt;='2021'!Maxi_hp</f>
        <v>0</v>
      </c>
      <c r="I322" s="382">
        <f>IF(H322,Wh_hp,'2021'!Maxi_hp)</f>
        <v>18.882274393596006</v>
      </c>
      <c r="J322" s="85">
        <f>IF(H322,An,'2021'!An_max)</f>
        <v>2018</v>
      </c>
      <c r="K322" s="199">
        <f t="shared" si="100"/>
        <v>44869</v>
      </c>
      <c r="L322" s="147">
        <f>IF(t&lt;Tvie,1-EXP((T0-t)*PertePVj)+'2021'!Pspv,1-EXP((T0-t)*PertePVj)+Pspv)</f>
        <v>3.5563045254130232E-2</v>
      </c>
      <c r="M322" s="870"/>
      <c r="N322" s="870"/>
      <c r="O322" s="48">
        <f>IF(t&lt;Tnet,'2021'!Resal+('2021'!Salim-'2021'!Resal)*(1-EXP(('2021'!Tnet-t)/('2021'!Tau_j))),Resal+(Salim-Resal)*(1-EXP((Tnet-t)/(Tau_j))))*Salcycl</f>
        <v>2.9358609243783834E-2</v>
      </c>
      <c r="P322" s="341">
        <f>(INDEX(Models!$BJ322:$BT322,,T322)*(1-R322)+INDEX(Models!$BJ322:$BT322,,T322+1)*R322-ERP_i)*Q322*Ramure*Pc/MaxiM</f>
        <v>6.6683649565091319E-2</v>
      </c>
      <c r="Q322" s="307">
        <f t="shared" si="101"/>
        <v>1</v>
      </c>
      <c r="R322" s="179">
        <f t="shared" si="102"/>
        <v>0.69834322018038419</v>
      </c>
      <c r="S322" s="837">
        <f t="shared" si="103"/>
        <v>0</v>
      </c>
      <c r="T322" s="178">
        <f t="shared" si="104"/>
        <v>6</v>
      </c>
      <c r="U322" s="253">
        <f t="shared" si="105"/>
        <v>0.69834322018038419</v>
      </c>
      <c r="V322" s="385">
        <f t="shared" si="106"/>
        <v>22.929344532355341</v>
      </c>
      <c r="W322" s="404"/>
      <c r="X322" s="157">
        <f t="shared" si="107"/>
        <v>44869</v>
      </c>
      <c r="Y322" s="387">
        <f t="shared" si="108"/>
        <v>10.610277758380967</v>
      </c>
      <c r="Z322" s="387">
        <f t="shared" si="109"/>
        <v>11.001525507882251</v>
      </c>
      <c r="AA322" s="388">
        <f t="shared" si="110"/>
        <v>12.890407975814622</v>
      </c>
      <c r="AB322" s="199">
        <f t="shared" si="111"/>
        <v>44869</v>
      </c>
      <c r="AC322" s="119">
        <f>IF(OR(t&lt;Tnet,NoTnet),'2021'!Resal_s+('2021'!Salim-'2021'!Resal_s)*(1-EXP(('2021'!Tnet_s-t)/'2021'!Tau_j)),Resal_s+(Salim-Resal_s)*(1-EXP((Tnet_s-t)/Tau_j)))*Salcycl</f>
        <v>0.14653395544007225</v>
      </c>
      <c r="AD322" s="233">
        <f>(INDEX(Models!$BJ322:$BT322,,AH322)*(1-AF322)+INDEX(Models!$BJ322:$BT322,,AH322+1)*AF322-ERP_i)*AE322*Ramure*Pc/MaxiM</f>
        <v>6.6683649565091319E-2</v>
      </c>
      <c r="AE322" s="307">
        <f t="shared" si="112"/>
        <v>1</v>
      </c>
      <c r="AF322" s="179">
        <f t="shared" si="113"/>
        <v>0.69834322018038419</v>
      </c>
      <c r="AG322" s="837">
        <f t="shared" si="119"/>
        <v>0</v>
      </c>
      <c r="AH322" s="178">
        <f t="shared" si="114"/>
        <v>6</v>
      </c>
      <c r="AI322" s="227">
        <f t="shared" si="115"/>
        <v>0.69834322018038419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x14ac:dyDescent="0.2">
      <c r="A323" s="56">
        <f t="shared" si="118"/>
        <v>44870</v>
      </c>
      <c r="B323" s="618">
        <v>21.105</v>
      </c>
      <c r="C323" s="866"/>
      <c r="D323" s="395">
        <f t="shared" si="98"/>
        <v>21.883743723998684</v>
      </c>
      <c r="E323" s="387">
        <f t="shared" si="120"/>
        <v>22.549790199101022</v>
      </c>
      <c r="F323" s="387">
        <f t="shared" si="99"/>
        <v>24.048869114323441</v>
      </c>
      <c r="G323" s="110">
        <f t="shared" si="121"/>
        <v>0.92754113344175093</v>
      </c>
      <c r="H323" s="414" t="b">
        <f>Wh_hp&gt;='2021'!Maxi_hp</f>
        <v>1</v>
      </c>
      <c r="I323" s="382">
        <f>IF(H323,Wh_hp,'2021'!Maxi_hp)</f>
        <v>24.048869114323441</v>
      </c>
      <c r="J323" s="85">
        <f>IF(H323,An,'2021'!An_max)</f>
        <v>2022</v>
      </c>
      <c r="K323" s="199">
        <f t="shared" si="100"/>
        <v>44870</v>
      </c>
      <c r="L323" s="147">
        <f>IF(t&lt;Tvie,1-EXP((T0-t)*PertePVj)+'2021'!Pspv,1-EXP((T0-t)*PertePVj)+Pspv)</f>
        <v>3.5585489111018886E-2</v>
      </c>
      <c r="M323" s="870"/>
      <c r="N323" s="870"/>
      <c r="O323" s="48">
        <f>IF(t&lt;Tnet,'2021'!Resal+('2021'!Salim-'2021'!Resal)*(1-EXP(('2021'!Tnet-t)/('2021'!Tau_j))),Resal+(Salim-Resal)*(1-EXP((Tnet-t)/(Tau_j))))*Salcycl</f>
        <v>2.9536703854960482E-2</v>
      </c>
      <c r="P323" s="341">
        <f>(INDEX(Models!$BJ323:$BT323,,T323)*(1-R323)+INDEX(Models!$BJ323:$BT323,,T323+1)*R323-ERP_i)*Q323*Ramure*Pc/MaxiM</f>
        <v>6.8823315541856042E-2</v>
      </c>
      <c r="Q323" s="307">
        <f t="shared" si="101"/>
        <v>1</v>
      </c>
      <c r="R323" s="179">
        <f t="shared" si="102"/>
        <v>0.6984100721269294</v>
      </c>
      <c r="S323" s="837">
        <f t="shared" si="103"/>
        <v>0</v>
      </c>
      <c r="T323" s="178">
        <f t="shared" si="104"/>
        <v>6</v>
      </c>
      <c r="U323" s="253">
        <f t="shared" si="105"/>
        <v>0.6984100721269294</v>
      </c>
      <c r="V323" s="385">
        <f t="shared" si="106"/>
        <v>22.596252785610936</v>
      </c>
      <c r="W323" s="404"/>
      <c r="X323" s="157">
        <f t="shared" si="107"/>
        <v>44870</v>
      </c>
      <c r="Y323" s="387">
        <f t="shared" si="108"/>
        <v>18.563049483056105</v>
      </c>
      <c r="Z323" s="387">
        <f t="shared" si="109"/>
        <v>19.247998939734945</v>
      </c>
      <c r="AA323" s="388">
        <f t="shared" si="110"/>
        <v>22.549790199101022</v>
      </c>
      <c r="AB323" s="199">
        <f t="shared" si="111"/>
        <v>44870</v>
      </c>
      <c r="AC323" s="119">
        <f>IF(OR(t&lt;Tnet,NoTnet),'2021'!Resal_s+('2021'!Salim-'2021'!Resal_s)*(1-EXP(('2021'!Tnet_s-t)/'2021'!Tau_j)),Resal_s+(Salim-Resal_s)*(1-EXP((Tnet_s-t)/Tau_j)))*Salcycl</f>
        <v>0.14642226070456779</v>
      </c>
      <c r="AD323" s="233">
        <f>(INDEX(Models!$BJ323:$BT323,,AH323)*(1-AF323)+INDEX(Models!$BJ323:$BT323,,AH323+1)*AF323-ERP_i)*AE323*Ramure*Pc/MaxiM</f>
        <v>6.8823315541856042E-2</v>
      </c>
      <c r="AE323" s="307">
        <f t="shared" si="112"/>
        <v>1</v>
      </c>
      <c r="AF323" s="179">
        <f t="shared" si="113"/>
        <v>0.6984100721269294</v>
      </c>
      <c r="AG323" s="837">
        <f t="shared" si="119"/>
        <v>0</v>
      </c>
      <c r="AH323" s="178">
        <f t="shared" si="114"/>
        <v>6</v>
      </c>
      <c r="AI323" s="227">
        <f t="shared" si="115"/>
        <v>0.6984100721269294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x14ac:dyDescent="0.2">
      <c r="A324" s="56">
        <f t="shared" si="118"/>
        <v>44871</v>
      </c>
      <c r="B324" s="618">
        <v>21.13</v>
      </c>
      <c r="C324" s="866"/>
      <c r="D324" s="395">
        <f t="shared" si="98"/>
        <v>21.910176069348704</v>
      </c>
      <c r="E324" s="387">
        <f t="shared" si="120"/>
        <v>22.581156454603978</v>
      </c>
      <c r="F324" s="387">
        <f t="shared" si="99"/>
        <v>24.169643486522705</v>
      </c>
      <c r="G324" s="110">
        <f t="shared" si="121"/>
        <v>0.94352335008930999</v>
      </c>
      <c r="H324" s="414" t="b">
        <f>Wh_hp&gt;='2021'!Maxi_hp</f>
        <v>1</v>
      </c>
      <c r="I324" s="382">
        <f>IF(H324,Wh_hp,'2021'!Maxi_hp)</f>
        <v>24.169643486522705</v>
      </c>
      <c r="J324" s="85">
        <f>IF(H324,An,'2021'!An_max)</f>
        <v>2022</v>
      </c>
      <c r="K324" s="199">
        <f t="shared" si="100"/>
        <v>44871</v>
      </c>
      <c r="L324" s="147">
        <f>IF(t&lt;Tvie,1-EXP((T0-t)*PertePVj)+'2021'!Pspv,1-EXP((T0-t)*PertePVj)+Pspv)</f>
        <v>3.5607932445606227E-2</v>
      </c>
      <c r="M324" s="870"/>
      <c r="N324" s="870"/>
      <c r="O324" s="48">
        <f>IF(t&lt;Tnet,'2021'!Resal+('2021'!Salim-'2021'!Resal)*(1-EXP(('2021'!Tnet-t)/('2021'!Tau_j))),Resal+(Salim-Resal)*(1-EXP((Tnet-t)/(Tau_j))))*Salcycl</f>
        <v>2.9714172815027362E-2</v>
      </c>
      <c r="P324" s="341">
        <f>(INDEX(Models!$BJ324:$BT324,,T324)*(1-R324)+INDEX(Models!$BJ324:$BT324,,T324+1)*R324-ERP_i)*Q324*Ramure*Pc/MaxiM</f>
        <v>7.0909824895639836E-2</v>
      </c>
      <c r="Q324" s="307">
        <f t="shared" si="101"/>
        <v>1</v>
      </c>
      <c r="R324" s="179">
        <f t="shared" si="102"/>
        <v>0.6984742444371862</v>
      </c>
      <c r="S324" s="837">
        <f t="shared" si="103"/>
        <v>0</v>
      </c>
      <c r="T324" s="178">
        <f t="shared" si="104"/>
        <v>6</v>
      </c>
      <c r="U324" s="253">
        <f t="shared" si="105"/>
        <v>0.6984742444371862</v>
      </c>
      <c r="V324" s="385">
        <f t="shared" si="106"/>
        <v>22.270438935017125</v>
      </c>
      <c r="W324" s="404"/>
      <c r="X324" s="157">
        <f t="shared" si="107"/>
        <v>44871</v>
      </c>
      <c r="Y324" s="387">
        <f t="shared" si="108"/>
        <v>18.590854360552548</v>
      </c>
      <c r="Z324" s="387">
        <f t="shared" si="109"/>
        <v>19.277278387095386</v>
      </c>
      <c r="AA324" s="388">
        <f t="shared" si="110"/>
        <v>22.581156454603978</v>
      </c>
      <c r="AB324" s="199">
        <f t="shared" si="111"/>
        <v>44871</v>
      </c>
      <c r="AC324" s="119">
        <f>IF(OR(t&lt;Tnet,NoTnet),'2021'!Resal_s+('2021'!Salim-'2021'!Resal_s)*(1-EXP(('2021'!Tnet_s-t)/'2021'!Tau_j)),Resal_s+(Salim-Resal_s)*(1-EXP((Tnet_s-t)/Tau_j)))*Salcycl</f>
        <v>0.14631128720756803</v>
      </c>
      <c r="AD324" s="233">
        <f>(INDEX(Models!$BJ324:$BT324,,AH324)*(1-AF324)+INDEX(Models!$BJ324:$BT324,,AH324+1)*AF324-ERP_i)*AE324*Ramure*Pc/MaxiM</f>
        <v>7.0909824895639836E-2</v>
      </c>
      <c r="AE324" s="307">
        <f t="shared" si="112"/>
        <v>1</v>
      </c>
      <c r="AF324" s="179">
        <f t="shared" si="113"/>
        <v>0.6984742444371862</v>
      </c>
      <c r="AG324" s="837">
        <f t="shared" si="119"/>
        <v>0</v>
      </c>
      <c r="AH324" s="178">
        <f t="shared" si="114"/>
        <v>6</v>
      </c>
      <c r="AI324" s="227">
        <f t="shared" si="115"/>
        <v>0.6984742444371862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x14ac:dyDescent="0.2">
      <c r="A325" s="56">
        <f t="shared" si="118"/>
        <v>44872</v>
      </c>
      <c r="B325" s="618">
        <v>20.961000000000002</v>
      </c>
      <c r="C325" s="866"/>
      <c r="D325" s="395">
        <f t="shared" si="98"/>
        <v>21.735441953188506</v>
      </c>
      <c r="E325" s="387">
        <f t="shared" si="120"/>
        <v>22.405156339349368</v>
      </c>
      <c r="F325" s="387">
        <f t="shared" si="99"/>
        <v>24.045788242607607</v>
      </c>
      <c r="G325" s="110">
        <f t="shared" si="121"/>
        <v>0.95001643291697568</v>
      </c>
      <c r="H325" s="414" t="b">
        <f>Wh_hp&gt;='2021'!Maxi_hp</f>
        <v>1</v>
      </c>
      <c r="I325" s="382">
        <f>IF(H325,Wh_hp,'2021'!Maxi_hp)</f>
        <v>24.045788242607607</v>
      </c>
      <c r="J325" s="85">
        <f>IF(H325,An,'2021'!An_max)</f>
        <v>2022</v>
      </c>
      <c r="K325" s="199">
        <f t="shared" si="100"/>
        <v>44872</v>
      </c>
      <c r="L325" s="147">
        <f>IF(t&lt;Tvie,1-EXP((T0-t)*PertePVj)+'2021'!Pspv,1-EXP((T0-t)*PertePVj)+Pspv)</f>
        <v>3.5630375257904356E-2</v>
      </c>
      <c r="M325" s="870"/>
      <c r="N325" s="870"/>
      <c r="O325" s="48">
        <f>IF(t&lt;Tnet,'2021'!Resal+('2021'!Salim-'2021'!Resal)*(1-EXP(('2021'!Tnet-t)/('2021'!Tau_j))),Resal+(Salim-Resal)*(1-EXP((Tnet-t)/(Tau_j))))*Salcycl</f>
        <v>2.9891082928292963E-2</v>
      </c>
      <c r="P325" s="341">
        <f>(INDEX(Models!$BJ325:$BT325,,T325)*(1-R325)+INDEX(Models!$BJ325:$BT325,,T325+1)*R325-ERP_i)*Q325*Ramure*Pc/MaxiM</f>
        <v>7.2935003659384906E-2</v>
      </c>
      <c r="Q325" s="307">
        <f t="shared" si="101"/>
        <v>1</v>
      </c>
      <c r="R325" s="179">
        <f t="shared" si="102"/>
        <v>0.69853584405592573</v>
      </c>
      <c r="S325" s="837">
        <f t="shared" si="103"/>
        <v>0</v>
      </c>
      <c r="T325" s="178">
        <f t="shared" si="104"/>
        <v>6</v>
      </c>
      <c r="U325" s="253">
        <f t="shared" si="105"/>
        <v>0.69853584405592573</v>
      </c>
      <c r="V325" s="385">
        <f t="shared" si="106"/>
        <v>21.952404850024816</v>
      </c>
      <c r="W325" s="404"/>
      <c r="X325" s="157">
        <f t="shared" si="107"/>
        <v>44872</v>
      </c>
      <c r="Y325" s="387">
        <f t="shared" si="108"/>
        <v>18.447901579536438</v>
      </c>
      <c r="Z325" s="387">
        <f t="shared" si="109"/>
        <v>19.129492578605447</v>
      </c>
      <c r="AA325" s="388">
        <f t="shared" si="110"/>
        <v>22.405156339349368</v>
      </c>
      <c r="AB325" s="199">
        <f t="shared" si="111"/>
        <v>44872</v>
      </c>
      <c r="AC325" s="119">
        <f>IF(OR(t&lt;Tnet,NoTnet),'2021'!Resal_s+('2021'!Salim-'2021'!Resal_s)*(1-EXP(('2021'!Tnet_s-t)/'2021'!Tau_j)),Resal_s+(Salim-Resal_s)*(1-EXP((Tnet_s-t)/Tau_j)))*Salcycl</f>
        <v>0.14620133468968433</v>
      </c>
      <c r="AD325" s="233">
        <f>(INDEX(Models!$BJ325:$BT325,,AH325)*(1-AF325)+INDEX(Models!$BJ325:$BT325,,AH325+1)*AF325-ERP_i)*AE325*Ramure*Pc/MaxiM</f>
        <v>7.2935003659384906E-2</v>
      </c>
      <c r="AE325" s="307">
        <f t="shared" si="112"/>
        <v>1</v>
      </c>
      <c r="AF325" s="179">
        <f t="shared" si="113"/>
        <v>0.69853584405592573</v>
      </c>
      <c r="AG325" s="837">
        <f t="shared" si="119"/>
        <v>0</v>
      </c>
      <c r="AH325" s="178">
        <f t="shared" si="114"/>
        <v>6</v>
      </c>
      <c r="AI325" s="227">
        <f t="shared" si="115"/>
        <v>0.69853584405592573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x14ac:dyDescent="0.2">
      <c r="A326" s="56">
        <f t="shared" si="118"/>
        <v>44873</v>
      </c>
      <c r="B326" s="618">
        <v>13.845000000000001</v>
      </c>
      <c r="C326" s="866"/>
      <c r="D326" s="395">
        <f t="shared" si="98"/>
        <v>14.356862602943373</v>
      </c>
      <c r="E326" s="387">
        <f t="shared" si="120"/>
        <v>14.801919343875483</v>
      </c>
      <c r="F326" s="387">
        <f t="shared" si="99"/>
        <v>15.360201664284084</v>
      </c>
      <c r="G326" s="110">
        <f t="shared" si="121"/>
        <v>0.614121982426724</v>
      </c>
      <c r="H326" s="414" t="b">
        <f>Wh_hp&gt;='2021'!Maxi_hp</f>
        <v>0</v>
      </c>
      <c r="I326" s="382">
        <f>IF(H326,Wh_hp,'2021'!Maxi_hp)</f>
        <v>20.498806693630254</v>
      </c>
      <c r="J326" s="85">
        <f>IF(H326,An,'2021'!An_max)</f>
        <v>2021</v>
      </c>
      <c r="K326" s="199">
        <f t="shared" si="100"/>
        <v>44873</v>
      </c>
      <c r="L326" s="147">
        <f>IF(t&lt;Tvie,1-EXP((T0-t)*PertePVj)+'2021'!Pspv,1-EXP((T0-t)*PertePVj)+Pspv)</f>
        <v>3.5652817547925375E-2</v>
      </c>
      <c r="M326" s="870"/>
      <c r="N326" s="870"/>
      <c r="O326" s="48">
        <f>IF(t&lt;Tnet,'2021'!Resal+('2021'!Salim-'2021'!Resal)*(1-EXP(('2021'!Tnet-t)/('2021'!Tau_j))),Resal+(Salim-Resal)*(1-EXP((Tnet-t)/(Tau_j))))*Salcycl</f>
        <v>3.006750209838548E-2</v>
      </c>
      <c r="P326" s="341">
        <f>(INDEX(Models!$BJ326:$BT326,,T326)*(1-R326)+INDEX(Models!$BJ326:$BT326,,T326+1)*R326-ERP_i)*Q326*Ramure*Pc/MaxiM</f>
        <v>7.4893630028839184E-2</v>
      </c>
      <c r="Q326" s="307">
        <f t="shared" si="101"/>
        <v>1</v>
      </c>
      <c r="R326" s="179">
        <f t="shared" si="102"/>
        <v>0.69859497369623824</v>
      </c>
      <c r="S326" s="837">
        <f t="shared" si="103"/>
        <v>0</v>
      </c>
      <c r="T326" s="178">
        <f t="shared" si="104"/>
        <v>6</v>
      </c>
      <c r="U326" s="253">
        <f t="shared" si="105"/>
        <v>0.69859497369623824</v>
      </c>
      <c r="V326" s="385">
        <f t="shared" si="106"/>
        <v>21.642572073472664</v>
      </c>
      <c r="W326" s="404"/>
      <c r="X326" s="157">
        <f t="shared" si="107"/>
        <v>44873</v>
      </c>
      <c r="Y326" s="387">
        <f t="shared" si="108"/>
        <v>12.188834365368015</v>
      </c>
      <c r="Z326" s="387">
        <f t="shared" si="109"/>
        <v>12.639466975342945</v>
      </c>
      <c r="AA326" s="388">
        <f t="shared" si="110"/>
        <v>14.801919343875483</v>
      </c>
      <c r="AB326" s="199">
        <f t="shared" si="111"/>
        <v>44873</v>
      </c>
      <c r="AC326" s="119">
        <f>IF(OR(t&lt;Tnet,NoTnet),'2021'!Resal_s+('2021'!Salim-'2021'!Resal_s)*(1-EXP(('2021'!Tnet_s-t)/'2021'!Tau_j)),Resal_s+(Salim-Resal_s)*(1-EXP((Tnet_s-t)/Tau_j)))*Salcycl</f>
        <v>0.14609270043261557</v>
      </c>
      <c r="AD326" s="233">
        <f>(INDEX(Models!$BJ326:$BT326,,AH326)*(1-AF326)+INDEX(Models!$BJ326:$BT326,,AH326+1)*AF326-ERP_i)*AE326*Ramure*Pc/MaxiM</f>
        <v>7.4893630028839184E-2</v>
      </c>
      <c r="AE326" s="307">
        <f t="shared" si="112"/>
        <v>1</v>
      </c>
      <c r="AF326" s="179">
        <f t="shared" si="113"/>
        <v>0.69859497369623824</v>
      </c>
      <c r="AG326" s="837">
        <f t="shared" si="119"/>
        <v>0</v>
      </c>
      <c r="AH326" s="178">
        <f t="shared" si="114"/>
        <v>6</v>
      </c>
      <c r="AI326" s="227">
        <f t="shared" si="115"/>
        <v>0.69859497369623824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x14ac:dyDescent="0.2">
      <c r="A327" s="56">
        <f t="shared" si="118"/>
        <v>44874</v>
      </c>
      <c r="B327" s="618">
        <v>8.18</v>
      </c>
      <c r="C327" s="866"/>
      <c r="D327" s="395">
        <f t="shared" si="98"/>
        <v>8.4826196559005496</v>
      </c>
      <c r="E327" s="387">
        <f t="shared" si="120"/>
        <v>8.7471645173892529</v>
      </c>
      <c r="F327" s="387">
        <f t="shared" si="99"/>
        <v>8.8278163427381031</v>
      </c>
      <c r="G327" s="110">
        <f t="shared" si="121"/>
        <v>0.35712667212324967</v>
      </c>
      <c r="H327" s="414" t="b">
        <f>Wh_hp&gt;='2021'!Maxi_hp</f>
        <v>0</v>
      </c>
      <c r="I327" s="382">
        <f>IF(H327,Wh_hp,'2021'!Maxi_hp)</f>
        <v>19.612077061652013</v>
      </c>
      <c r="J327" s="85">
        <f>IF(H327,An,'2021'!An_max)</f>
        <v>2020</v>
      </c>
      <c r="K327" s="199">
        <f t="shared" si="100"/>
        <v>44874</v>
      </c>
      <c r="L327" s="147">
        <f>IF(t&lt;Tvie,1-EXP((T0-t)*PertePVj)+'2021'!Pspv,1-EXP((T0-t)*PertePVj)+Pspv)</f>
        <v>3.5675259315681607E-2</v>
      </c>
      <c r="M327" s="870"/>
      <c r="N327" s="870"/>
      <c r="O327" s="48">
        <f>IF(t&lt;Tnet,'2021'!Resal+('2021'!Salim-'2021'!Resal)*(1-EXP(('2021'!Tnet-t)/('2021'!Tau_j))),Resal+(Salim-Resal)*(1-EXP((Tnet-t)/(Tau_j))))*Salcycl</f>
        <v>3.0243499017629204E-2</v>
      </c>
      <c r="P327" s="341">
        <f>(INDEX(Models!$BJ327:$BT327,,T327)*(1-R327)+INDEX(Models!$BJ327:$BT327,,T327+1)*R327-ERP_i)*Q327*Ramure*Pc/MaxiM</f>
        <v>7.678018127901387E-2</v>
      </c>
      <c r="Q327" s="307">
        <f t="shared" si="101"/>
        <v>1</v>
      </c>
      <c r="R327" s="179">
        <f t="shared" si="102"/>
        <v>0.69865173200409547</v>
      </c>
      <c r="S327" s="837">
        <f t="shared" si="103"/>
        <v>0</v>
      </c>
      <c r="T327" s="178">
        <f t="shared" si="104"/>
        <v>6</v>
      </c>
      <c r="U327" s="253">
        <f t="shared" si="105"/>
        <v>0.69865173200409547</v>
      </c>
      <c r="V327" s="385">
        <f t="shared" si="106"/>
        <v>21.341361887486094</v>
      </c>
      <c r="W327" s="404"/>
      <c r="X327" s="157">
        <f t="shared" si="107"/>
        <v>44874</v>
      </c>
      <c r="Y327" s="387">
        <f t="shared" si="108"/>
        <v>7.203702318903372</v>
      </c>
      <c r="Z327" s="387">
        <f t="shared" si="109"/>
        <v>7.4702037757440243</v>
      </c>
      <c r="AA327" s="388">
        <f t="shared" si="110"/>
        <v>8.7471645173892529</v>
      </c>
      <c r="AB327" s="199">
        <f t="shared" si="111"/>
        <v>44874</v>
      </c>
      <c r="AC327" s="119">
        <f>IF(OR(t&lt;Tnet,NoTnet),'2021'!Resal_s+('2021'!Salim-'2021'!Resal_s)*(1-EXP(('2021'!Tnet_s-t)/'2021'!Tau_j)),Resal_s+(Salim-Resal_s)*(1-EXP((Tnet_s-t)/Tau_j)))*Salcycl</f>
        <v>0.14598567788529038</v>
      </c>
      <c r="AD327" s="233">
        <f>(INDEX(Models!$BJ327:$BT327,,AH327)*(1-AF327)+INDEX(Models!$BJ327:$BT327,,AH327+1)*AF327-ERP_i)*AE327*Ramure*Pc/MaxiM</f>
        <v>7.678018127901387E-2</v>
      </c>
      <c r="AE327" s="307">
        <f t="shared" si="112"/>
        <v>1</v>
      </c>
      <c r="AF327" s="179">
        <f t="shared" si="113"/>
        <v>0.69865173200409547</v>
      </c>
      <c r="AG327" s="837">
        <f t="shared" si="119"/>
        <v>0</v>
      </c>
      <c r="AH327" s="178">
        <f t="shared" si="114"/>
        <v>6</v>
      </c>
      <c r="AI327" s="227">
        <f t="shared" si="115"/>
        <v>0.69865173200409547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x14ac:dyDescent="0.2">
      <c r="A328" s="56">
        <f t="shared" si="118"/>
        <v>44875</v>
      </c>
      <c r="B328" s="618">
        <v>18.385000000000002</v>
      </c>
      <c r="C328" s="866"/>
      <c r="D328" s="395">
        <f t="shared" si="98"/>
        <v>19.06559800873578</v>
      </c>
      <c r="E328" s="387">
        <f t="shared" si="120"/>
        <v>19.663752505120801</v>
      </c>
      <c r="F328" s="387">
        <f t="shared" si="99"/>
        <v>21.016789567634788</v>
      </c>
      <c r="G328" s="110">
        <f t="shared" si="121"/>
        <v>0.86016462850724018</v>
      </c>
      <c r="H328" s="414" t="b">
        <f>Wh_hp&gt;='2021'!Maxi_hp</f>
        <v>1</v>
      </c>
      <c r="I328" s="382">
        <f>IF(H328,Wh_hp,'2021'!Maxi_hp)</f>
        <v>21.016789567634788</v>
      </c>
      <c r="J328" s="85">
        <f>IF(H328,An,'2021'!An_max)</f>
        <v>2022</v>
      </c>
      <c r="K328" s="199">
        <f t="shared" si="100"/>
        <v>44875</v>
      </c>
      <c r="L328" s="147">
        <f>IF(t&lt;Tvie,1-EXP((T0-t)*PertePVj)+'2021'!Pspv,1-EXP((T0-t)*PertePVj)+Pspv)</f>
        <v>3.5697700561185153E-2</v>
      </c>
      <c r="M328" s="870"/>
      <c r="N328" s="870"/>
      <c r="O328" s="48">
        <f>IF(t&lt;Tnet,'2021'!Resal+('2021'!Salim-'2021'!Resal)*(1-EXP(('2021'!Tnet-t)/('2021'!Tau_j))),Resal+(Salim-Resal)*(1-EXP((Tnet-t)/(Tau_j))))*Salcycl</f>
        <v>3.0419142848205138E-2</v>
      </c>
      <c r="P328" s="341">
        <f>(INDEX(Models!$BJ328:$BT328,,T328)*(1-R328)+INDEX(Models!$BJ328:$BT328,,T328+1)*R328-ERP_i)*Q328*Ramure*Pc/MaxiM</f>
        <v>7.8588843568068681E-2</v>
      </c>
      <c r="Q328" s="307">
        <f t="shared" si="101"/>
        <v>1</v>
      </c>
      <c r="R328" s="179">
        <f t="shared" si="102"/>
        <v>0.6987062137167448</v>
      </c>
      <c r="S328" s="837">
        <f t="shared" si="103"/>
        <v>0</v>
      </c>
      <c r="T328" s="178">
        <f t="shared" si="104"/>
        <v>6</v>
      </c>
      <c r="U328" s="253">
        <f t="shared" si="105"/>
        <v>0.6987062137167448</v>
      </c>
      <c r="V328" s="385">
        <f t="shared" si="106"/>
        <v>21.049195289023725</v>
      </c>
      <c r="W328" s="404"/>
      <c r="X328" s="157">
        <f t="shared" si="107"/>
        <v>44875</v>
      </c>
      <c r="Y328" s="387">
        <f t="shared" si="108"/>
        <v>16.195643586526717</v>
      </c>
      <c r="Z328" s="387">
        <f t="shared" si="109"/>
        <v>16.795193370327883</v>
      </c>
      <c r="AA328" s="388">
        <f t="shared" si="110"/>
        <v>19.663752505120801</v>
      </c>
      <c r="AB328" s="199">
        <f t="shared" si="111"/>
        <v>44875</v>
      </c>
      <c r="AC328" s="119">
        <f>IF(OR(t&lt;Tnet,NoTnet),'2021'!Resal_s+('2021'!Salim-'2021'!Resal_s)*(1-EXP(('2021'!Tnet_s-t)/'2021'!Tau_j)),Resal_s+(Salim-Resal_s)*(1-EXP((Tnet_s-t)/Tau_j)))*Salcycl</f>
        <v>0.14588055530326127</v>
      </c>
      <c r="AD328" s="233">
        <f>(INDEX(Models!$BJ328:$BT328,,AH328)*(1-AF328)+INDEX(Models!$BJ328:$BT328,,AH328+1)*AF328-ERP_i)*AE328*Ramure*Pc/MaxiM</f>
        <v>7.8588843568068681E-2</v>
      </c>
      <c r="AE328" s="307">
        <f t="shared" si="112"/>
        <v>1</v>
      </c>
      <c r="AF328" s="179">
        <f t="shared" si="113"/>
        <v>0.6987062137167448</v>
      </c>
      <c r="AG328" s="837">
        <f t="shared" si="119"/>
        <v>0</v>
      </c>
      <c r="AH328" s="178">
        <f t="shared" si="114"/>
        <v>6</v>
      </c>
      <c r="AI328" s="227">
        <f t="shared" si="115"/>
        <v>0.6987062137167448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x14ac:dyDescent="0.2">
      <c r="A329" s="56">
        <f t="shared" si="118"/>
        <v>44876</v>
      </c>
      <c r="B329" s="618">
        <v>18.93</v>
      </c>
      <c r="C329" s="866"/>
      <c r="D329" s="395">
        <f t="shared" si="98"/>
        <v>19.631230320640832</v>
      </c>
      <c r="E329" s="387">
        <f t="shared" si="120"/>
        <v>20.250793274139731</v>
      </c>
      <c r="F329" s="387">
        <f t="shared" si="99"/>
        <v>21.778957702491802</v>
      </c>
      <c r="G329" s="110">
        <f t="shared" si="121"/>
        <v>0.90161744253486664</v>
      </c>
      <c r="H329" s="414" t="b">
        <f>Wh_hp&gt;='2021'!Maxi_hp</f>
        <v>1</v>
      </c>
      <c r="I329" s="382">
        <f>IF(H329,Wh_hp,'2021'!Maxi_hp)</f>
        <v>21.778957702491802</v>
      </c>
      <c r="J329" s="85">
        <f>IF(H329,An,'2021'!An_max)</f>
        <v>2022</v>
      </c>
      <c r="K329" s="199">
        <f t="shared" si="100"/>
        <v>44876</v>
      </c>
      <c r="L329" s="147">
        <f>IF(t&lt;Tvie,1-EXP((T0-t)*PertePVj)+'2021'!Pspv,1-EXP((T0-t)*PertePVj)+Pspv)</f>
        <v>3.5720141284448115E-2</v>
      </c>
      <c r="M329" s="870"/>
      <c r="N329" s="870"/>
      <c r="O329" s="48">
        <f>IF(t&lt;Tnet,'2021'!Resal+('2021'!Salim-'2021'!Resal)*(1-EXP(('2021'!Tnet-t)/('2021'!Tau_j))),Resal+(Salim-Resal)*(1-EXP((Tnet-t)/(Tau_j))))*Salcycl</f>
        <v>3.0594502897329963E-2</v>
      </c>
      <c r="P329" s="341">
        <f>(INDEX(Models!$BJ329:$BT329,,T329)*(1-R329)+INDEX(Models!$BJ329:$BT329,,T329+1)*R329-ERP_i)*Q329*Ramure*Pc/MaxiM</f>
        <v>8.0313525727423118E-2</v>
      </c>
      <c r="Q329" s="307">
        <f t="shared" si="101"/>
        <v>1</v>
      </c>
      <c r="R329" s="179">
        <f t="shared" si="102"/>
        <v>0.69875850981514076</v>
      </c>
      <c r="S329" s="837">
        <f t="shared" si="103"/>
        <v>0</v>
      </c>
      <c r="T329" s="178">
        <f t="shared" si="104"/>
        <v>6</v>
      </c>
      <c r="U329" s="253">
        <f t="shared" si="105"/>
        <v>0.69875850981514076</v>
      </c>
      <c r="V329" s="385">
        <f t="shared" si="106"/>
        <v>20.766492981428126</v>
      </c>
      <c r="W329" s="404"/>
      <c r="X329" s="157">
        <f t="shared" si="107"/>
        <v>44876</v>
      </c>
      <c r="Y329" s="387">
        <f t="shared" si="108"/>
        <v>16.680769613469167</v>
      </c>
      <c r="Z329" s="387">
        <f t="shared" si="109"/>
        <v>17.298680940705765</v>
      </c>
      <c r="AA329" s="388">
        <f t="shared" si="110"/>
        <v>20.250793274139731</v>
      </c>
      <c r="AB329" s="199">
        <f t="shared" si="111"/>
        <v>44876</v>
      </c>
      <c r="AC329" s="119">
        <f>IF(OR(t&lt;Tnet,NoTnet),'2021'!Resal_s+('2021'!Salim-'2021'!Resal_s)*(1-EXP(('2021'!Tnet_s-t)/'2021'!Tau_j)),Resal_s+(Salim-Resal_s)*(1-EXP((Tnet_s-t)/Tau_j)))*Salcycl</f>
        <v>0.14577761441097778</v>
      </c>
      <c r="AD329" s="233">
        <f>(INDEX(Models!$BJ329:$BT329,,AH329)*(1-AF329)+INDEX(Models!$BJ329:$BT329,,AH329+1)*AF329-ERP_i)*AE329*Ramure*Pc/MaxiM</f>
        <v>8.0313525727423118E-2</v>
      </c>
      <c r="AE329" s="307">
        <f t="shared" si="112"/>
        <v>1</v>
      </c>
      <c r="AF329" s="179">
        <f t="shared" si="113"/>
        <v>0.69875850981514076</v>
      </c>
      <c r="AG329" s="837">
        <f t="shared" si="119"/>
        <v>0</v>
      </c>
      <c r="AH329" s="178">
        <f t="shared" si="114"/>
        <v>6</v>
      </c>
      <c r="AI329" s="227">
        <f t="shared" si="115"/>
        <v>0.69875850981514076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x14ac:dyDescent="0.2">
      <c r="A330" s="56">
        <f t="shared" si="118"/>
        <v>44877</v>
      </c>
      <c r="B330" s="618">
        <v>18.772000000000002</v>
      </c>
      <c r="C330" s="866"/>
      <c r="D330" s="395">
        <f t="shared" si="98"/>
        <v>19.467830518658726</v>
      </c>
      <c r="E330" s="387">
        <f t="shared" si="120"/>
        <v>20.085865536801528</v>
      </c>
      <c r="F330" s="387">
        <f t="shared" si="99"/>
        <v>21.646886416658624</v>
      </c>
      <c r="G330" s="110">
        <f t="shared" si="121"/>
        <v>0.90628109290462611</v>
      </c>
      <c r="H330" s="414" t="b">
        <f>Wh_hp&gt;='2021'!Maxi_hp</f>
        <v>1</v>
      </c>
      <c r="I330" s="382">
        <f>IF(H330,Wh_hp,'2021'!Maxi_hp)</f>
        <v>21.646886416658624</v>
      </c>
      <c r="J330" s="85">
        <f>IF(H330,An,'2021'!An_max)</f>
        <v>2022</v>
      </c>
      <c r="K330" s="199">
        <f t="shared" si="100"/>
        <v>44877</v>
      </c>
      <c r="L330" s="147">
        <f>IF(t&lt;Tvie,1-EXP((T0-t)*PertePVj)+'2021'!Pspv,1-EXP((T0-t)*PertePVj)+Pspv)</f>
        <v>3.5742581485482594E-2</v>
      </c>
      <c r="M330" s="870"/>
      <c r="N330" s="870"/>
      <c r="O330" s="48">
        <f>IF(t&lt;Tnet,'2021'!Resal+('2021'!Salim-'2021'!Resal)*(1-EXP(('2021'!Tnet-t)/('2021'!Tau_j))),Resal+(Salim-Resal)*(1-EXP((Tnet-t)/(Tau_j))))*Salcycl</f>
        <v>3.0769648288764755E-2</v>
      </c>
      <c r="P330" s="341">
        <f>(INDEX(Models!$BJ330:$BT330,,T330)*(1-R330)+INDEX(Models!$BJ330:$BT330,,T330+1)*R330-ERP_i)*Q330*Ramure*Pc/MaxiM</f>
        <v>8.1947877577070671E-2</v>
      </c>
      <c r="Q330" s="307">
        <f t="shared" si="101"/>
        <v>1</v>
      </c>
      <c r="R330" s="179">
        <f t="shared" si="102"/>
        <v>0.69880870767062919</v>
      </c>
      <c r="S330" s="837">
        <f t="shared" si="103"/>
        <v>0</v>
      </c>
      <c r="T330" s="178">
        <f t="shared" si="104"/>
        <v>6</v>
      </c>
      <c r="U330" s="253">
        <f t="shared" si="105"/>
        <v>0.69880870767062919</v>
      </c>
      <c r="V330" s="385">
        <f t="shared" si="106"/>
        <v>20.493675354412265</v>
      </c>
      <c r="W330" s="404"/>
      <c r="X330" s="157">
        <f t="shared" si="107"/>
        <v>44877</v>
      </c>
      <c r="Y330" s="387">
        <f t="shared" si="108"/>
        <v>16.546478248732779</v>
      </c>
      <c r="Z330" s="387">
        <f t="shared" si="109"/>
        <v>17.159814309983101</v>
      </c>
      <c r="AA330" s="388">
        <f t="shared" si="110"/>
        <v>20.085865536801528</v>
      </c>
      <c r="AB330" s="199">
        <f t="shared" si="111"/>
        <v>44877</v>
      </c>
      <c r="AC330" s="119">
        <f>IF(OR(t&lt;Tnet,NoTnet),'2021'!Resal_s+('2021'!Salim-'2021'!Resal_s)*(1-EXP(('2021'!Tnet_s-t)/'2021'!Tau_j)),Resal_s+(Salim-Resal_s)*(1-EXP((Tnet_s-t)/Tau_j)))*Salcycl</f>
        <v>0.14567712909644279</v>
      </c>
      <c r="AD330" s="233">
        <f>(INDEX(Models!$BJ330:$BT330,,AH330)*(1-AF330)+INDEX(Models!$BJ330:$BT330,,AH330+1)*AF330-ERP_i)*AE330*Ramure*Pc/MaxiM</f>
        <v>8.1947877577070671E-2</v>
      </c>
      <c r="AE330" s="307">
        <f t="shared" si="112"/>
        <v>1</v>
      </c>
      <c r="AF330" s="179">
        <f t="shared" si="113"/>
        <v>0.69880870767062919</v>
      </c>
      <c r="AG330" s="837">
        <f t="shared" si="119"/>
        <v>0</v>
      </c>
      <c r="AH330" s="178">
        <f t="shared" si="114"/>
        <v>6</v>
      </c>
      <c r="AI330" s="227">
        <f t="shared" si="115"/>
        <v>0.69880870767062919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x14ac:dyDescent="0.2">
      <c r="A331" s="56">
        <f t="shared" si="118"/>
        <v>44878</v>
      </c>
      <c r="B331" s="618">
        <v>16.641000000000002</v>
      </c>
      <c r="C331" s="866"/>
      <c r="D331" s="395">
        <f t="shared" si="98"/>
        <v>17.258241367777163</v>
      </c>
      <c r="E331" s="387">
        <f t="shared" si="120"/>
        <v>17.809345282106751</v>
      </c>
      <c r="F331" s="387">
        <f t="shared" si="99"/>
        <v>18.993064914536994</v>
      </c>
      <c r="G331" s="110">
        <f t="shared" si="121"/>
        <v>0.80399321611290842</v>
      </c>
      <c r="H331" s="414" t="b">
        <f>Wh_hp&gt;='2021'!Maxi_hp</f>
        <v>0</v>
      </c>
      <c r="I331" s="382">
        <f>IF(H331,Wh_hp,'2021'!Maxi_hp)</f>
        <v>23.471862617221571</v>
      </c>
      <c r="J331" s="85">
        <f>IF(H331,An,'2021'!An_max)</f>
        <v>2020</v>
      </c>
      <c r="K331" s="199">
        <f t="shared" si="100"/>
        <v>44878</v>
      </c>
      <c r="L331" s="147">
        <f>IF(t&lt;Tvie,1-EXP((T0-t)*PertePVj)+'2021'!Pspv,1-EXP((T0-t)*PertePVj)+Pspv)</f>
        <v>3.5765021164300803E-2</v>
      </c>
      <c r="M331" s="870"/>
      <c r="N331" s="870"/>
      <c r="O331" s="48">
        <f>IF(t&lt;Tnet,'2021'!Resal+('2021'!Salim-'2021'!Resal)*(1-EXP(('2021'!Tnet-t)/('2021'!Tau_j))),Resal+(Salim-Resal)*(1-EXP((Tnet-t)/(Tau_j))))*Salcycl</f>
        <v>3.0944647633020364E-2</v>
      </c>
      <c r="P331" s="341">
        <f>(INDEX(Models!$BJ331:$BT331,,T331)*(1-R331)+INDEX(Models!$BJ331:$BT331,,T331+1)*R331-ERP_i)*Q331*Ramure*Pc/MaxiM</f>
        <v>8.3486711468645045E-2</v>
      </c>
      <c r="Q331" s="307">
        <f t="shared" si="101"/>
        <v>1</v>
      </c>
      <c r="R331" s="179">
        <f t="shared" si="102"/>
        <v>0.69885689118608019</v>
      </c>
      <c r="S331" s="837">
        <f t="shared" si="103"/>
        <v>0</v>
      </c>
      <c r="T331" s="178">
        <f t="shared" si="104"/>
        <v>6</v>
      </c>
      <c r="U331" s="253">
        <f t="shared" si="105"/>
        <v>0.69885689118608019</v>
      </c>
      <c r="V331" s="385">
        <f t="shared" si="106"/>
        <v>20.230792751207716</v>
      </c>
      <c r="W331" s="404"/>
      <c r="X331" s="157">
        <f t="shared" si="107"/>
        <v>44878</v>
      </c>
      <c r="Y331" s="387">
        <f t="shared" si="108"/>
        <v>14.672447519629449</v>
      </c>
      <c r="Z331" s="387">
        <f t="shared" si="109"/>
        <v>15.216672120053385</v>
      </c>
      <c r="AA331" s="388">
        <f t="shared" si="110"/>
        <v>17.809345282106751</v>
      </c>
      <c r="AB331" s="199">
        <f t="shared" si="111"/>
        <v>44878</v>
      </c>
      <c r="AC331" s="119">
        <f>IF(OR(t&lt;Tnet,NoTnet),'2021'!Resal_s+('2021'!Salim-'2021'!Resal_s)*(1-EXP(('2021'!Tnet_s-t)/'2021'!Tau_j)),Resal_s+(Salim-Resal_s)*(1-EXP((Tnet_s-t)/Tau_j)))*Salcycl</f>
        <v>0.14557936414755535</v>
      </c>
      <c r="AD331" s="233">
        <f>(INDEX(Models!$BJ331:$BT331,,AH331)*(1-AF331)+INDEX(Models!$BJ331:$BT331,,AH331+1)*AF331-ERP_i)*AE331*Ramure*Pc/MaxiM</f>
        <v>8.3486711468645045E-2</v>
      </c>
      <c r="AE331" s="307">
        <f t="shared" si="112"/>
        <v>1</v>
      </c>
      <c r="AF331" s="179">
        <f t="shared" si="113"/>
        <v>0.69885689118608019</v>
      </c>
      <c r="AG331" s="837">
        <f t="shared" si="119"/>
        <v>0</v>
      </c>
      <c r="AH331" s="178">
        <f t="shared" si="114"/>
        <v>6</v>
      </c>
      <c r="AI331" s="227">
        <f t="shared" si="115"/>
        <v>0.69885689118608019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x14ac:dyDescent="0.2">
      <c r="A332" s="56">
        <f t="shared" si="118"/>
        <v>44879</v>
      </c>
      <c r="B332" s="618">
        <v>9.5980000000000008</v>
      </c>
      <c r="C332" s="866"/>
      <c r="D332" s="395">
        <f t="shared" si="98"/>
        <v>9.9542368565279844</v>
      </c>
      <c r="E332" s="387">
        <f t="shared" si="120"/>
        <v>10.27395799826208</v>
      </c>
      <c r="F332" s="387">
        <f t="shared" si="99"/>
        <v>10.503972927138726</v>
      </c>
      <c r="G332" s="110">
        <f t="shared" si="121"/>
        <v>0.44948314506434239</v>
      </c>
      <c r="H332" s="414" t="b">
        <f>Wh_hp&gt;='2021'!Maxi_hp</f>
        <v>0</v>
      </c>
      <c r="I332" s="382">
        <f>IF(H332,Wh_hp,'2021'!Maxi_hp)</f>
        <v>17.097007227824616</v>
      </c>
      <c r="J332" s="85">
        <f>IF(H332,An,'2021'!An_max)</f>
        <v>2020</v>
      </c>
      <c r="K332" s="199">
        <f t="shared" si="100"/>
        <v>44879</v>
      </c>
      <c r="L332" s="147">
        <f>IF(t&lt;Tvie,1-EXP((T0-t)*PertePVj)+'2021'!Pspv,1-EXP((T0-t)*PertePVj)+Pspv)</f>
        <v>3.5787460320914954E-2</v>
      </c>
      <c r="M332" s="870"/>
      <c r="N332" s="870"/>
      <c r="O332" s="48">
        <f>IF(t&lt;Tnet,'2021'!Resal+('2021'!Salim-'2021'!Resal)*(1-EXP(('2021'!Tnet-t)/('2021'!Tau_j))),Resal+(Salim-Resal)*(1-EXP((Tnet-t)/(Tau_j))))*Salcycl</f>
        <v>3.1119568698663044E-2</v>
      </c>
      <c r="P332" s="341">
        <f>(INDEX(Models!$BJ332:$BT332,,T332)*(1-R332)+INDEX(Models!$BJ332:$BT332,,T332+1)*R332-ERP_i)*Q332*Ramure*Pc/MaxiM</f>
        <v>8.494498232737635E-2</v>
      </c>
      <c r="Q332" s="307">
        <f t="shared" si="101"/>
        <v>1</v>
      </c>
      <c r="R332" s="179">
        <f t="shared" si="102"/>
        <v>0.69890314093166661</v>
      </c>
      <c r="S332" s="837">
        <f t="shared" si="103"/>
        <v>0</v>
      </c>
      <c r="T332" s="178">
        <f t="shared" si="104"/>
        <v>6</v>
      </c>
      <c r="U332" s="253">
        <f t="shared" si="105"/>
        <v>0.69890314093166661</v>
      </c>
      <c r="V332" s="385">
        <f t="shared" si="106"/>
        <v>19.977003662013516</v>
      </c>
      <c r="W332" s="404"/>
      <c r="X332" s="157">
        <f t="shared" si="107"/>
        <v>44879</v>
      </c>
      <c r="Y332" s="387">
        <f t="shared" si="108"/>
        <v>8.4650683339287109</v>
      </c>
      <c r="Z332" s="387">
        <f t="shared" si="109"/>
        <v>8.7792555951886975</v>
      </c>
      <c r="AA332" s="388">
        <f t="shared" si="110"/>
        <v>10.27395799826208</v>
      </c>
      <c r="AB332" s="199">
        <f t="shared" si="111"/>
        <v>44879</v>
      </c>
      <c r="AC332" s="119">
        <f>IF(OR(t&lt;Tnet,NoTnet),'2021'!Resal_s+('2021'!Salim-'2021'!Resal_s)*(1-EXP(('2021'!Tnet_s-t)/'2021'!Tau_j)),Resal_s+(Salim-Resal_s)*(1-EXP((Tnet_s-t)/Tau_j)))*Salcycl</f>
        <v>0.14548457403916026</v>
      </c>
      <c r="AD332" s="233">
        <f>(INDEX(Models!$BJ332:$BT332,,AH332)*(1-AF332)+INDEX(Models!$BJ332:$BT332,,AH332+1)*AF332-ERP_i)*AE332*Ramure*Pc/MaxiM</f>
        <v>8.494498232737635E-2</v>
      </c>
      <c r="AE332" s="307">
        <f t="shared" si="112"/>
        <v>1</v>
      </c>
      <c r="AF332" s="179">
        <f t="shared" si="113"/>
        <v>0.69890314093166661</v>
      </c>
      <c r="AG332" s="837">
        <f t="shared" si="119"/>
        <v>0</v>
      </c>
      <c r="AH332" s="178">
        <f t="shared" si="114"/>
        <v>6</v>
      </c>
      <c r="AI332" s="227">
        <f t="shared" si="115"/>
        <v>0.69890314093166661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x14ac:dyDescent="0.2">
      <c r="A333" s="56">
        <f t="shared" si="118"/>
        <v>44880</v>
      </c>
      <c r="B333" s="618">
        <v>11.686</v>
      </c>
      <c r="C333" s="866"/>
      <c r="D333" s="395">
        <f t="shared" si="98"/>
        <v>12.120016568660754</v>
      </c>
      <c r="E333" s="387">
        <f t="shared" si="120"/>
        <v>12.511559286590895</v>
      </c>
      <c r="F333" s="387">
        <f t="shared" si="99"/>
        <v>12.979684260804504</v>
      </c>
      <c r="G333" s="110">
        <f t="shared" si="121"/>
        <v>0.56136068252811211</v>
      </c>
      <c r="H333" s="414" t="b">
        <f>Wh_hp&gt;='2021'!Maxi_hp</f>
        <v>0</v>
      </c>
      <c r="I333" s="382">
        <f>IF(H333,Wh_hp,'2021'!Maxi_hp)</f>
        <v>21.895850327793376</v>
      </c>
      <c r="J333" s="85">
        <f>IF(H333,An,'2021'!An_max)</f>
        <v>2020</v>
      </c>
      <c r="K333" s="199">
        <f t="shared" si="100"/>
        <v>44880</v>
      </c>
      <c r="L333" s="147">
        <f>IF(t&lt;Tvie,1-EXP((T0-t)*PertePVj)+'2021'!Pspv,1-EXP((T0-t)*PertePVj)+Pspv)</f>
        <v>3.5809898955337149E-2</v>
      </c>
      <c r="M333" s="870"/>
      <c r="N333" s="870"/>
      <c r="O333" s="48">
        <f>IF(t&lt;Tnet,'2021'!Resal+('2021'!Salim-'2021'!Resal)*(1-EXP(('2021'!Tnet-t)/('2021'!Tau_j))),Resal+(Salim-Resal)*(1-EXP((Tnet-t)/(Tau_j))))*Salcycl</f>
        <v>3.1294478087137555E-2</v>
      </c>
      <c r="P333" s="341">
        <f>(INDEX(Models!$BJ333:$BT333,,T333)*(1-R333)+INDEX(Models!$BJ333:$BT333,,T333+1)*R333-ERP_i)*Q333*Ramure*Pc/MaxiM</f>
        <v>8.6378371223581066E-2</v>
      </c>
      <c r="Q333" s="307">
        <f t="shared" si="101"/>
        <v>1</v>
      </c>
      <c r="R333" s="179">
        <f t="shared" si="102"/>
        <v>0.69894753427547973</v>
      </c>
      <c r="S333" s="837">
        <f t="shared" si="103"/>
        <v>0</v>
      </c>
      <c r="T333" s="178">
        <f t="shared" si="104"/>
        <v>6</v>
      </c>
      <c r="U333" s="253">
        <f t="shared" si="105"/>
        <v>0.69894753427547973</v>
      </c>
      <c r="V333" s="385">
        <f t="shared" si="106"/>
        <v>19.730720871619415</v>
      </c>
      <c r="W333" s="404"/>
      <c r="X333" s="157">
        <f t="shared" si="107"/>
        <v>44880</v>
      </c>
      <c r="Y333" s="387">
        <f t="shared" si="108"/>
        <v>10.309569993453119</v>
      </c>
      <c r="Z333" s="387">
        <f t="shared" si="109"/>
        <v>10.692466124971721</v>
      </c>
      <c r="AA333" s="388">
        <f t="shared" si="110"/>
        <v>12.511559286590895</v>
      </c>
      <c r="AB333" s="199">
        <f t="shared" si="111"/>
        <v>44880</v>
      </c>
      <c r="AC333" s="119">
        <f>IF(OR(t&lt;Tnet,NoTnet),'2021'!Resal_s+('2021'!Salim-'2021'!Resal_s)*(1-EXP(('2021'!Tnet_s-t)/'2021'!Tau_j)),Resal_s+(Salim-Resal_s)*(1-EXP((Tnet_s-t)/Tau_j)))*Salcycl</f>
        <v>0.14539300177946363</v>
      </c>
      <c r="AD333" s="233">
        <f>(INDEX(Models!$BJ333:$BT333,,AH333)*(1-AF333)+INDEX(Models!$BJ333:$BT333,,AH333+1)*AF333-ERP_i)*AE333*Ramure*Pc/MaxiM</f>
        <v>8.6378371223581066E-2</v>
      </c>
      <c r="AE333" s="307">
        <f t="shared" si="112"/>
        <v>1</v>
      </c>
      <c r="AF333" s="179">
        <f t="shared" si="113"/>
        <v>0.69894753427547973</v>
      </c>
      <c r="AG333" s="837">
        <f t="shared" si="119"/>
        <v>0</v>
      </c>
      <c r="AH333" s="178">
        <f t="shared" si="114"/>
        <v>6</v>
      </c>
      <c r="AI333" s="227">
        <f t="shared" si="115"/>
        <v>0.69894753427547973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x14ac:dyDescent="0.2">
      <c r="A334" s="56">
        <f t="shared" si="118"/>
        <v>44881</v>
      </c>
      <c r="B334" s="618">
        <v>18.298999999999999</v>
      </c>
      <c r="C334" s="866"/>
      <c r="D334" s="395">
        <f t="shared" si="98"/>
        <v>18.979064226594577</v>
      </c>
      <c r="E334" s="387">
        <f t="shared" si="120"/>
        <v>19.595730923034214</v>
      </c>
      <c r="F334" s="387">
        <f t="shared" si="99"/>
        <v>21.302314417663752</v>
      </c>
      <c r="G334" s="110">
        <f t="shared" si="121"/>
        <v>0.93098231338728354</v>
      </c>
      <c r="H334" s="414" t="b">
        <f>Wh_hp&gt;='2021'!Maxi_hp</f>
        <v>1</v>
      </c>
      <c r="I334" s="382">
        <f>IF(H334,Wh_hp,'2021'!Maxi_hp)</f>
        <v>21.302314417663752</v>
      </c>
      <c r="J334" s="85">
        <f>IF(H334,An,'2021'!An_max)</f>
        <v>2022</v>
      </c>
      <c r="K334" s="199">
        <f t="shared" si="100"/>
        <v>44881</v>
      </c>
      <c r="L334" s="147">
        <f>IF(t&lt;Tvie,1-EXP((T0-t)*PertePVj)+'2021'!Pspv,1-EXP((T0-t)*PertePVj)+Pspv)</f>
        <v>3.58323370675796E-2</v>
      </c>
      <c r="M334" s="870"/>
      <c r="N334" s="870"/>
      <c r="O334" s="48">
        <f>IF(t&lt;Tnet,'2021'!Resal+('2021'!Salim-'2021'!Resal)*(1-EXP(('2021'!Tnet-t)/('2021'!Tau_j))),Resal+(Salim-Resal)*(1-EXP((Tnet-t)/(Tau_j))))*Salcycl</f>
        <v>3.1469440913518762E-2</v>
      </c>
      <c r="P334" s="341">
        <f>(INDEX(Models!$BJ334:$BT334,,T334)*(1-R334)+INDEX(Models!$BJ334:$BT334,,T334+1)*R334-ERP_i)*Q334*Ramure*Pc/MaxiM</f>
        <v>8.7785889101606771E-2</v>
      </c>
      <c r="Q334" s="307">
        <f t="shared" si="101"/>
        <v>1</v>
      </c>
      <c r="R334" s="179">
        <f t="shared" si="102"/>
        <v>0.69899014550916516</v>
      </c>
      <c r="S334" s="837">
        <f t="shared" si="103"/>
        <v>0</v>
      </c>
      <c r="T334" s="178">
        <f t="shared" si="104"/>
        <v>6</v>
      </c>
      <c r="U334" s="253">
        <f t="shared" si="105"/>
        <v>0.69899014550916516</v>
      </c>
      <c r="V334" s="385">
        <f t="shared" si="106"/>
        <v>19.491624482460619</v>
      </c>
      <c r="W334" s="404"/>
      <c r="X334" s="157">
        <f t="shared" si="107"/>
        <v>44881</v>
      </c>
      <c r="Y334" s="387">
        <f t="shared" si="108"/>
        <v>16.148242194288272</v>
      </c>
      <c r="Z334" s="387">
        <f t="shared" si="109"/>
        <v>16.748375635390005</v>
      </c>
      <c r="AA334" s="388">
        <f t="shared" si="110"/>
        <v>19.595730923034214</v>
      </c>
      <c r="AB334" s="199">
        <f t="shared" si="111"/>
        <v>44881</v>
      </c>
      <c r="AC334" s="119">
        <f>IF(OR(t&lt;Tnet,NoTnet),'2021'!Resal_s+('2021'!Salim-'2021'!Resal_s)*(1-EXP(('2021'!Tnet_s-t)/'2021'!Tau_j)),Resal_s+(Salim-Resal_s)*(1-EXP((Tnet_s-t)/Tau_j)))*Salcycl</f>
        <v>0.14530487782403786</v>
      </c>
      <c r="AD334" s="233">
        <f>(INDEX(Models!$BJ334:$BT334,,AH334)*(1-AF334)+INDEX(Models!$BJ334:$BT334,,AH334+1)*AF334-ERP_i)*AE334*Ramure*Pc/MaxiM</f>
        <v>8.7785889101606771E-2</v>
      </c>
      <c r="AE334" s="307">
        <f t="shared" si="112"/>
        <v>1</v>
      </c>
      <c r="AF334" s="179">
        <f t="shared" si="113"/>
        <v>0.69899014550916516</v>
      </c>
      <c r="AG334" s="837">
        <f t="shared" si="119"/>
        <v>0</v>
      </c>
      <c r="AH334" s="178">
        <f t="shared" si="114"/>
        <v>6</v>
      </c>
      <c r="AI334" s="227">
        <f t="shared" si="115"/>
        <v>0.69899014550916516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x14ac:dyDescent="0.2">
      <c r="A335" s="56">
        <f t="shared" si="118"/>
        <v>44882</v>
      </c>
      <c r="B335" s="618">
        <v>12.005000000000001</v>
      </c>
      <c r="C335" s="866"/>
      <c r="D335" s="395">
        <f t="shared" ref="D335:D379" si="122">Wh/(1-Ppv)</f>
        <v>12.45144370832444</v>
      </c>
      <c r="E335" s="387">
        <f t="shared" si="120"/>
        <v>12.858339702581842</v>
      </c>
      <c r="F335" s="387">
        <f t="shared" ref="F335:F379" si="123">Wh_sa/(1-Pvg*MEDIAN((-Sdif+Wh/Env_an)/Csdif,0,1))</f>
        <v>13.410676421365297</v>
      </c>
      <c r="G335" s="110">
        <f t="shared" si="121"/>
        <v>0.59213978820738744</v>
      </c>
      <c r="H335" s="414" t="b">
        <f>Wh_hp&gt;='2021'!Maxi_hp</f>
        <v>0</v>
      </c>
      <c r="I335" s="382">
        <f>IF(H335,Wh_hp,'2021'!Maxi_hp)</f>
        <v>21.938135822618069</v>
      </c>
      <c r="J335" s="85">
        <f>IF(H335,An,'2021'!An_max)</f>
        <v>2018</v>
      </c>
      <c r="K335" s="199">
        <f t="shared" ref="K335:K379" si="124">t</f>
        <v>44882</v>
      </c>
      <c r="L335" s="147">
        <f>IF(t&lt;Tvie,1-EXP((T0-t)*PertePVj)+'2021'!Pspv,1-EXP((T0-t)*PertePVj)+Pspv)</f>
        <v>3.5854774657654298E-2</v>
      </c>
      <c r="M335" s="870"/>
      <c r="N335" s="870"/>
      <c r="O335" s="48">
        <f>IF(t&lt;Tnet,'2021'!Resal+('2021'!Salim-'2021'!Resal)*(1-EXP(('2021'!Tnet-t)/('2021'!Tau_j))),Resal+(Salim-Resal)*(1-EXP((Tnet-t)/(Tau_j))))*Salcycl</f>
        <v>3.1644520495573855E-2</v>
      </c>
      <c r="P335" s="341">
        <f>(INDEX(Models!$BJ335:$BT335,,T335)*(1-R335)+INDEX(Models!$BJ335:$BT335,,T335+1)*R335-ERP_i)*Q335*Ramure*Pc/MaxiM</f>
        <v>8.9166636744470729E-2</v>
      </c>
      <c r="Q335" s="307">
        <f t="shared" ref="Q335:Q379" si="125">IF(OR(t&lt;Ttai,Notai),Dd+PousD*Croivg,Dens+PousD*(Croivg-Croi_tai))</f>
        <v>1</v>
      </c>
      <c r="R335" s="179">
        <f t="shared" ref="R335:R379" si="126">(Hp_vg-S335)/(INDEX(Echel_vg,T335+1)-S335)</f>
        <v>0.69903104596875709</v>
      </c>
      <c r="S335" s="837">
        <f t="shared" ref="S335:S379" si="127">INDEX(Echel_vg,T335)</f>
        <v>0</v>
      </c>
      <c r="T335" s="178">
        <f t="shared" ref="T335:T379" si="128">MIN(MATCH(Hp_vg,Echel_vg),10)</f>
        <v>6</v>
      </c>
      <c r="U335" s="253">
        <f t="shared" ref="U335:U379" si="129">IF(OR(t&lt;Ttai,Notai),Hdd+PousH*Croivg,Hdtf+PousH*(Croivg-Croi_tai))</f>
        <v>0.69903104596875709</v>
      </c>
      <c r="V335" s="385">
        <f t="shared" ref="V335:V379" si="130">MaxiM*(1-Ppv)*(1-Pvg)*(1-Psa)</f>
        <v>19.259394946248182</v>
      </c>
      <c r="W335" s="404"/>
      <c r="X335" s="157">
        <f t="shared" ref="X335:X379" si="131">t</f>
        <v>44882</v>
      </c>
      <c r="Y335" s="387">
        <f t="shared" ref="Y335:Y379" si="132">Wh_pvt_s*(1-Ppv)</f>
        <v>10.596964736931788</v>
      </c>
      <c r="Z335" s="387">
        <f t="shared" ref="Z335:Z379" si="133">Wh_sa_s*(1-Psa_s)</f>
        <v>10.991046222491068</v>
      </c>
      <c r="AA335" s="388">
        <f t="shared" ref="AA335:AA379" si="134">Wh_hp*(1-Pvg_s*MEDIAN((-Sdif+Wh/Env_an)/Csdif,0,1))</f>
        <v>12.858339702581842</v>
      </c>
      <c r="AB335" s="199">
        <f t="shared" ref="AB335:AB379" si="135">t</f>
        <v>44882</v>
      </c>
      <c r="AC335" s="119">
        <f>IF(OR(t&lt;Tnet,NoTnet),'2021'!Resal_s+('2021'!Salim-'2021'!Resal_s)*(1-EXP(('2021'!Tnet_s-t)/'2021'!Tau_j)),Resal_s+(Salim-Resal_s)*(1-EXP((Tnet_s-t)/Tau_j)))*Salcycl</f>
        <v>0.14522041906513319</v>
      </c>
      <c r="AD335" s="233">
        <f>(INDEX(Models!$BJ335:$BT335,,AH335)*(1-AF335)+INDEX(Models!$BJ335:$BT335,,AH335+1)*AF335-ERP_i)*AE335*Ramure*Pc/MaxiM</f>
        <v>8.9166636744470729E-2</v>
      </c>
      <c r="AE335" s="307">
        <f t="shared" ref="AE335:AE379" si="136">IF(OR(t&lt;Ttai,Notai),Dd_s+PousD*Croivg,Dens_s+PousD*(Croivg-Croi_tai))</f>
        <v>1</v>
      </c>
      <c r="AF335" s="179">
        <f t="shared" ref="AF335:AF379" si="137">(Hp_vg_s-AG335)/(INDEX(Echel_vg,AH335+1)-AG335)</f>
        <v>0.69903104596875709</v>
      </c>
      <c r="AG335" s="837">
        <f t="shared" si="119"/>
        <v>0</v>
      </c>
      <c r="AH335" s="178">
        <f t="shared" ref="AH335:AH379" si="138">MIN(MATCH(Hp_vg_s,Echel_vg),10)</f>
        <v>6</v>
      </c>
      <c r="AI335" s="227">
        <f t="shared" ref="AI335:AI379" si="139">IF(OR(t&lt;Ttai,Notai),Hdd_s+PousH*Croivg,Hdtai_s+PousH*(Croivg-Croi_tai))</f>
        <v>0.69903104596875709</v>
      </c>
      <c r="AJ335" s="267" t="b">
        <f t="shared" ref="AJ335:AJ380" si="140">t&lt;Tnet</f>
        <v>0</v>
      </c>
      <c r="AK335" s="267" t="b">
        <f t="shared" ref="AK335:AK380" si="141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2">A335+1</f>
        <v>44883</v>
      </c>
      <c r="B336" s="618">
        <v>11.348000000000001</v>
      </c>
      <c r="C336" s="866"/>
      <c r="D336" s="395">
        <f t="shared" si="122"/>
        <v>11.770285007276401</v>
      </c>
      <c r="E336" s="387">
        <f t="shared" si="120"/>
        <v>12.157121928820398</v>
      </c>
      <c r="F336" s="387">
        <f t="shared" si="123"/>
        <v>12.641328967630574</v>
      </c>
      <c r="G336" s="110">
        <f t="shared" si="121"/>
        <v>0.56383367999882761</v>
      </c>
      <c r="H336" s="414" t="b">
        <f>Wh_hp&gt;='2021'!Maxi_hp</f>
        <v>0</v>
      </c>
      <c r="I336" s="382">
        <f>IF(H336,Wh_hp,'2021'!Maxi_hp)</f>
        <v>20.856889266520181</v>
      </c>
      <c r="J336" s="85">
        <f>IF(H336,An,'2021'!An_max)</f>
        <v>2020</v>
      </c>
      <c r="K336" s="199">
        <f t="shared" si="124"/>
        <v>44883</v>
      </c>
      <c r="L336" s="147">
        <f>IF(t&lt;Tvie,1-EXP((T0-t)*PertePVj)+'2021'!Pspv,1-EXP((T0-t)*PertePVj)+Pspv)</f>
        <v>3.5877211725573566E-2</v>
      </c>
      <c r="M336" s="870"/>
      <c r="N336" s="870"/>
      <c r="O336" s="48">
        <f>IF(t&lt;Tnet,'2021'!Resal+('2021'!Salim-'2021'!Resal)*(1-EXP(('2021'!Tnet-t)/('2021'!Tau_j))),Resal+(Salim-Resal)*(1-EXP((Tnet-t)/(Tau_j))))*Salcycl</f>
        <v>3.181977805346662E-2</v>
      </c>
      <c r="P336" s="341">
        <f>(INDEX(Models!$BJ336:$BT336,,T336)*(1-R336)+INDEX(Models!$BJ336:$BT336,,T336+1)*R336-ERP_i)*Q336*Ramure*Pc/MaxiM</f>
        <v>9.0519808587270614E-2</v>
      </c>
      <c r="Q336" s="307">
        <f t="shared" si="125"/>
        <v>1</v>
      </c>
      <c r="R336" s="179">
        <f t="shared" si="126"/>
        <v>0.69907030415088578</v>
      </c>
      <c r="S336" s="837">
        <f t="shared" si="127"/>
        <v>0</v>
      </c>
      <c r="T336" s="178">
        <f t="shared" si="128"/>
        <v>6</v>
      </c>
      <c r="U336" s="253">
        <f t="shared" si="129"/>
        <v>0.69907030415088578</v>
      </c>
      <c r="V336" s="385">
        <f t="shared" si="130"/>
        <v>19.03371306423599</v>
      </c>
      <c r="W336" s="404"/>
      <c r="X336" s="157">
        <f t="shared" si="131"/>
        <v>44883</v>
      </c>
      <c r="Y336" s="387">
        <f t="shared" si="132"/>
        <v>10.019780422128385</v>
      </c>
      <c r="Z336" s="387">
        <f t="shared" si="133"/>
        <v>10.392639344270297</v>
      </c>
      <c r="AA336" s="388">
        <f t="shared" si="134"/>
        <v>12.157121928820398</v>
      </c>
      <c r="AB336" s="199">
        <f t="shared" si="135"/>
        <v>44883</v>
      </c>
      <c r="AC336" s="119">
        <f>IF(OR(t&lt;Tnet,NoTnet),'2021'!Resal_s+('2021'!Salim-'2021'!Resal_s)*(1-EXP(('2021'!Tnet_s-t)/'2021'!Tau_j)),Resal_s+(Salim-Resal_s)*(1-EXP((Tnet_s-t)/Tau_j)))*Salcycl</f>
        <v>0.14513982790343768</v>
      </c>
      <c r="AD336" s="233">
        <f>(INDEX(Models!$BJ336:$BT336,,AH336)*(1-AF336)+INDEX(Models!$BJ336:$BT336,,AH336+1)*AF336-ERP_i)*AE336*Ramure*Pc/MaxiM</f>
        <v>9.0519808587270614E-2</v>
      </c>
      <c r="AE336" s="307">
        <f t="shared" si="136"/>
        <v>1</v>
      </c>
      <c r="AF336" s="179">
        <f t="shared" si="137"/>
        <v>0.69907030415088578</v>
      </c>
      <c r="AG336" s="837">
        <f t="shared" ref="AG336:AG379" si="143">INDEX(Echel_vg,AH336)</f>
        <v>0</v>
      </c>
      <c r="AH336" s="178">
        <f t="shared" si="138"/>
        <v>6</v>
      </c>
      <c r="AI336" s="227">
        <f t="shared" si="139"/>
        <v>0.69907030415088578</v>
      </c>
      <c r="AJ336" s="267" t="b">
        <f t="shared" si="140"/>
        <v>0</v>
      </c>
      <c r="AK336" s="267" t="b">
        <f t="shared" si="141"/>
        <v>0</v>
      </c>
      <c r="AL336" s="267"/>
      <c r="AM336" s="267"/>
      <c r="AN336" s="75"/>
    </row>
    <row r="337" spans="1:40" s="6" customFormat="1" ht="11.25" x14ac:dyDescent="0.2">
      <c r="A337" s="56">
        <f t="shared" si="142"/>
        <v>44884</v>
      </c>
      <c r="B337" s="618">
        <v>8.3409999999999993</v>
      </c>
      <c r="C337" s="866"/>
      <c r="D337" s="395">
        <f t="shared" si="122"/>
        <v>8.651589002166034</v>
      </c>
      <c r="E337" s="387">
        <f t="shared" si="120"/>
        <v>8.9375482946411164</v>
      </c>
      <c r="F337" s="387">
        <f t="shared" si="123"/>
        <v>9.1088527915655053</v>
      </c>
      <c r="G337" s="110">
        <f t="shared" si="121"/>
        <v>0.41033294387197705</v>
      </c>
      <c r="H337" s="414" t="b">
        <f>Wh_hp&gt;='2021'!Maxi_hp</f>
        <v>0</v>
      </c>
      <c r="I337" s="382">
        <f>IF(H337,Wh_hp,'2021'!Maxi_hp)</f>
        <v>22.157788716528341</v>
      </c>
      <c r="J337" s="85">
        <f>IF(H337,An,'2021'!An_max)</f>
        <v>2021</v>
      </c>
      <c r="K337" s="199">
        <f t="shared" si="124"/>
        <v>44884</v>
      </c>
      <c r="L337" s="147">
        <f>IF(t&lt;Tvie,1-EXP((T0-t)*PertePVj)+'2021'!Pspv,1-EXP((T0-t)*PertePVj)+Pspv)</f>
        <v>3.5899648271349394E-2</v>
      </c>
      <c r="M337" s="870"/>
      <c r="N337" s="870"/>
      <c r="O337" s="48">
        <f>IF(t&lt;Tnet,'2021'!Resal+('2021'!Salim-'2021'!Resal)*(1-EXP(('2021'!Tnet-t)/('2021'!Tau_j))),Resal+(Salim-Resal)*(1-EXP((Tnet-t)/(Tau_j))))*Salcycl</f>
        <v>3.1995272422364655E-2</v>
      </c>
      <c r="P337" s="341">
        <f>(INDEX(Models!$BJ337:$BT337,,T337)*(1-R337)+INDEX(Models!$BJ337:$BT337,,T337+1)*R337-ERP_i)*Q337*Ramure*Pc/MaxiM</f>
        <v>9.1844696153207339E-2</v>
      </c>
      <c r="Q337" s="307">
        <f t="shared" si="125"/>
        <v>1</v>
      </c>
      <c r="R337" s="179">
        <f t="shared" si="126"/>
        <v>0.69910798582452449</v>
      </c>
      <c r="S337" s="837">
        <f t="shared" si="127"/>
        <v>0</v>
      </c>
      <c r="T337" s="178">
        <f t="shared" si="128"/>
        <v>6</v>
      </c>
      <c r="U337" s="253">
        <f t="shared" si="129"/>
        <v>0.69910798582452449</v>
      </c>
      <c r="V337" s="385">
        <f t="shared" si="130"/>
        <v>18.814259974493947</v>
      </c>
      <c r="W337" s="404"/>
      <c r="X337" s="157">
        <f t="shared" si="131"/>
        <v>44884</v>
      </c>
      <c r="Y337" s="387">
        <f t="shared" si="132"/>
        <v>7.3667275408914179</v>
      </c>
      <c r="Z337" s="387">
        <f t="shared" si="133"/>
        <v>7.641038121895436</v>
      </c>
      <c r="AA337" s="388">
        <f t="shared" si="134"/>
        <v>8.9375482946411164</v>
      </c>
      <c r="AB337" s="199">
        <f t="shared" si="135"/>
        <v>44884</v>
      </c>
      <c r="AC337" s="119">
        <f>IF(OR(t&lt;Tnet,NoTnet),'2021'!Resal_s+('2021'!Salim-'2021'!Resal_s)*(1-EXP(('2021'!Tnet_s-t)/'2021'!Tau_j)),Resal_s+(Salim-Resal_s)*(1-EXP((Tnet_s-t)/Tau_j)))*Salcycl</f>
        <v>0.14506329140879251</v>
      </c>
      <c r="AD337" s="233">
        <f>(INDEX(Models!$BJ337:$BT337,,AH337)*(1-AF337)+INDEX(Models!$BJ337:$BT337,,AH337+1)*AF337-ERP_i)*AE337*Ramure*Pc/MaxiM</f>
        <v>9.1844696153207339E-2</v>
      </c>
      <c r="AE337" s="307">
        <f t="shared" si="136"/>
        <v>1</v>
      </c>
      <c r="AF337" s="179">
        <f t="shared" si="137"/>
        <v>0.69910798582452449</v>
      </c>
      <c r="AG337" s="837">
        <f t="shared" si="143"/>
        <v>0</v>
      </c>
      <c r="AH337" s="178">
        <f t="shared" si="138"/>
        <v>6</v>
      </c>
      <c r="AI337" s="227">
        <f t="shared" si="139"/>
        <v>0.69910798582452449</v>
      </c>
      <c r="AJ337" s="267" t="b">
        <f t="shared" si="140"/>
        <v>0</v>
      </c>
      <c r="AK337" s="267" t="b">
        <f t="shared" si="141"/>
        <v>0</v>
      </c>
      <c r="AL337" s="267"/>
      <c r="AM337" s="267"/>
      <c r="AN337" s="75"/>
    </row>
    <row r="338" spans="1:40" s="6" customFormat="1" ht="11.25" x14ac:dyDescent="0.2">
      <c r="A338" s="56">
        <f t="shared" si="142"/>
        <v>44885</v>
      </c>
      <c r="B338" s="618">
        <v>13.629</v>
      </c>
      <c r="C338" s="866"/>
      <c r="D338" s="395">
        <f t="shared" si="122"/>
        <v>14.136824190224765</v>
      </c>
      <c r="E338" s="387">
        <f t="shared" si="120"/>
        <v>14.606738445962351</v>
      </c>
      <c r="F338" s="387">
        <f t="shared" si="123"/>
        <v>15.499649583822587</v>
      </c>
      <c r="G338" s="110">
        <f t="shared" si="121"/>
        <v>0.70508722381396338</v>
      </c>
      <c r="H338" s="414" t="b">
        <f>Wh_hp&gt;='2021'!Maxi_hp</f>
        <v>0</v>
      </c>
      <c r="I338" s="382">
        <f>IF(H338,Wh_hp,'2021'!Maxi_hp)</f>
        <v>22.532430665642437</v>
      </c>
      <c r="J338" s="85">
        <f>IF(H338,An,'2021'!An_max)</f>
        <v>2019</v>
      </c>
      <c r="K338" s="199">
        <f t="shared" si="124"/>
        <v>44885</v>
      </c>
      <c r="L338" s="147">
        <f>IF(t&lt;Tvie,1-EXP((T0-t)*PertePVj)+'2021'!Pspv,1-EXP((T0-t)*PertePVj)+Pspv)</f>
        <v>3.5922084294994105E-2</v>
      </c>
      <c r="M338" s="870"/>
      <c r="N338" s="870"/>
      <c r="O338" s="48">
        <f>IF(t&lt;Tnet,'2021'!Resal+('2021'!Salim-'2021'!Resal)*(1-EXP(('2021'!Tnet-t)/('2021'!Tau_j))),Resal+(Salim-Resal)*(1-EXP((Tnet-t)/(Tau_j))))*Salcycl</f>
        <v>3.2171059780116945E-2</v>
      </c>
      <c r="P338" s="341">
        <f>(INDEX(Models!$BJ338:$BT338,,T338)*(1-R338)+INDEX(Models!$BJ338:$BT338,,T338+1)*R338-ERP_i)*Q338*Ramure*Pc/MaxiM</f>
        <v>9.3185334368419762E-2</v>
      </c>
      <c r="Q338" s="307">
        <f t="shared" si="125"/>
        <v>1</v>
      </c>
      <c r="R338" s="179">
        <f t="shared" si="126"/>
        <v>0.69914415413843911</v>
      </c>
      <c r="S338" s="837">
        <f t="shared" si="127"/>
        <v>0</v>
      </c>
      <c r="T338" s="178">
        <f t="shared" si="128"/>
        <v>6</v>
      </c>
      <c r="U338" s="253">
        <f t="shared" si="129"/>
        <v>0.69914415413843911</v>
      </c>
      <c r="V338" s="385">
        <f t="shared" si="130"/>
        <v>18.59980146166626</v>
      </c>
      <c r="W338" s="404"/>
      <c r="X338" s="157">
        <f t="shared" si="131"/>
        <v>44885</v>
      </c>
      <c r="Y338" s="387">
        <f t="shared" si="132"/>
        <v>12.040266044417564</v>
      </c>
      <c r="Z338" s="387">
        <f t="shared" si="133"/>
        <v>12.488893115669827</v>
      </c>
      <c r="AA338" s="388">
        <f t="shared" si="134"/>
        <v>14.606738445962351</v>
      </c>
      <c r="AB338" s="199">
        <f t="shared" si="135"/>
        <v>44885</v>
      </c>
      <c r="AC338" s="119">
        <f>IF(OR(t&lt;Tnet,NoTnet),'2021'!Resal_s+('2021'!Salim-'2021'!Resal_s)*(1-EXP(('2021'!Tnet_s-t)/'2021'!Tau_j)),Resal_s+(Salim-Resal_s)*(1-EXP((Tnet_s-t)/Tau_j)))*Salcycl</f>
        <v>0.14499098057567719</v>
      </c>
      <c r="AD338" s="233">
        <f>(INDEX(Models!$BJ338:$BT338,,AH338)*(1-AF338)+INDEX(Models!$BJ338:$BT338,,AH338+1)*AF338-ERP_i)*AE338*Ramure*Pc/MaxiM</f>
        <v>9.3185334368419762E-2</v>
      </c>
      <c r="AE338" s="307">
        <f t="shared" si="136"/>
        <v>1</v>
      </c>
      <c r="AF338" s="179">
        <f t="shared" si="137"/>
        <v>0.69914415413843911</v>
      </c>
      <c r="AG338" s="837">
        <f t="shared" si="143"/>
        <v>0</v>
      </c>
      <c r="AH338" s="178">
        <f t="shared" si="138"/>
        <v>6</v>
      </c>
      <c r="AI338" s="227">
        <f t="shared" si="139"/>
        <v>0.69914415413843911</v>
      </c>
      <c r="AJ338" s="267" t="b">
        <f t="shared" si="140"/>
        <v>0</v>
      </c>
      <c r="AK338" s="267" t="b">
        <f t="shared" si="141"/>
        <v>0</v>
      </c>
      <c r="AL338" s="267"/>
      <c r="AM338" s="267"/>
      <c r="AN338" s="75"/>
    </row>
    <row r="339" spans="1:40" s="6" customFormat="1" ht="11.25" x14ac:dyDescent="0.2">
      <c r="A339" s="56">
        <f t="shared" si="142"/>
        <v>44886</v>
      </c>
      <c r="B339" s="618">
        <v>3.2509999999999999</v>
      </c>
      <c r="C339" s="866"/>
      <c r="D339" s="395">
        <f t="shared" si="122"/>
        <v>3.3722125611627884</v>
      </c>
      <c r="E339" s="387">
        <f t="shared" si="120"/>
        <v>3.4849406090020123</v>
      </c>
      <c r="F339" s="387">
        <f t="shared" si="123"/>
        <v>3.4849406090020123</v>
      </c>
      <c r="G339" s="110">
        <f t="shared" si="121"/>
        <v>0.16006737913099639</v>
      </c>
      <c r="H339" s="414" t="b">
        <f>Wh_hp&gt;='2021'!Maxi_hp</f>
        <v>0</v>
      </c>
      <c r="I339" s="382">
        <f>IF(H339,Wh_hp,'2021'!Maxi_hp)</f>
        <v>21.71388989490131</v>
      </c>
      <c r="J339" s="85">
        <f>IF(H339,An,'2021'!An_max)</f>
        <v>2019</v>
      </c>
      <c r="K339" s="199">
        <f t="shared" si="124"/>
        <v>44886</v>
      </c>
      <c r="L339" s="147">
        <f>IF(t&lt;Tvie,1-EXP((T0-t)*PertePVj)+'2021'!Pspv,1-EXP((T0-t)*PertePVj)+Pspv)</f>
        <v>3.5944519796519803E-2</v>
      </c>
      <c r="M339" s="870"/>
      <c r="N339" s="870"/>
      <c r="O339" s="48">
        <f>IF(t&lt;Tnet,'2021'!Resal+('2021'!Salim-'2021'!Resal)*(1-EXP(('2021'!Tnet-t)/('2021'!Tau_j))),Resal+(Salim-Resal)*(1-EXP((Tnet-t)/(Tau_j))))*Salcycl</f>
        <v>3.2347193392057813E-2</v>
      </c>
      <c r="P339" s="341">
        <f>(INDEX(Models!$BJ339:$BT339,,T339)*(1-R339)+INDEX(Models!$BJ339:$BT339,,T339+1)*R339-ERP_i)*Q339*Ramure*Pc/MaxiM</f>
        <v>9.4593274751348572E-2</v>
      </c>
      <c r="Q339" s="307">
        <f t="shared" si="125"/>
        <v>1</v>
      </c>
      <c r="R339" s="179">
        <f t="shared" si="126"/>
        <v>0.69917886972449828</v>
      </c>
      <c r="S339" s="837">
        <f t="shared" si="127"/>
        <v>0</v>
      </c>
      <c r="T339" s="178">
        <f t="shared" si="128"/>
        <v>6</v>
      </c>
      <c r="U339" s="253">
        <f t="shared" si="129"/>
        <v>0.69917886972449828</v>
      </c>
      <c r="V339" s="385">
        <f t="shared" si="130"/>
        <v>18.38898893555616</v>
      </c>
      <c r="W339" s="404"/>
      <c r="X339" s="157">
        <f t="shared" si="131"/>
        <v>44886</v>
      </c>
      <c r="Y339" s="387">
        <f t="shared" si="132"/>
        <v>2.8727815870650146</v>
      </c>
      <c r="Z339" s="387">
        <f t="shared" si="133"/>
        <v>2.9798923879968666</v>
      </c>
      <c r="AA339" s="388">
        <f t="shared" si="134"/>
        <v>3.4849406090020123</v>
      </c>
      <c r="AB339" s="199">
        <f t="shared" si="135"/>
        <v>44886</v>
      </c>
      <c r="AC339" s="119">
        <f>IF(OR(t&lt;Tnet,NoTnet),'2021'!Resal_s+('2021'!Salim-'2021'!Resal_s)*(1-EXP(('2021'!Tnet_s-t)/'2021'!Tau_j)),Resal_s+(Salim-Resal_s)*(1-EXP((Tnet_s-t)/Tau_j)))*Salcycl</f>
        <v>0.14492304967853584</v>
      </c>
      <c r="AD339" s="233">
        <f>(INDEX(Models!$BJ339:$BT339,,AH339)*(1-AF339)+INDEX(Models!$BJ339:$BT339,,AH339+1)*AF339-ERP_i)*AE339*Ramure*Pc/MaxiM</f>
        <v>9.4593274751348572E-2</v>
      </c>
      <c r="AE339" s="307">
        <f t="shared" si="136"/>
        <v>1</v>
      </c>
      <c r="AF339" s="179">
        <f t="shared" si="137"/>
        <v>0.69917886972449828</v>
      </c>
      <c r="AG339" s="837">
        <f t="shared" si="143"/>
        <v>0</v>
      </c>
      <c r="AH339" s="178">
        <f t="shared" si="138"/>
        <v>6</v>
      </c>
      <c r="AI339" s="227">
        <f t="shared" si="139"/>
        <v>0.69917886972449828</v>
      </c>
      <c r="AJ339" s="267" t="b">
        <f t="shared" si="140"/>
        <v>0</v>
      </c>
      <c r="AK339" s="267" t="b">
        <f t="shared" si="141"/>
        <v>0</v>
      </c>
      <c r="AL339" s="267"/>
      <c r="AM339" s="267"/>
      <c r="AN339" s="75"/>
    </row>
    <row r="340" spans="1:40" s="6" customFormat="1" ht="11.25" x14ac:dyDescent="0.2">
      <c r="A340" s="56">
        <f t="shared" si="142"/>
        <v>44887</v>
      </c>
      <c r="B340" s="618">
        <v>8.6059999999999999</v>
      </c>
      <c r="C340" s="866"/>
      <c r="D340" s="395">
        <f t="shared" si="122"/>
        <v>8.9270798782626635</v>
      </c>
      <c r="E340" s="387">
        <f t="shared" si="120"/>
        <v>9.2271821996536403</v>
      </c>
      <c r="F340" s="387">
        <f t="shared" si="123"/>
        <v>9.4520430715250043</v>
      </c>
      <c r="G340" s="110">
        <f t="shared" si="121"/>
        <v>0.43829092544079917</v>
      </c>
      <c r="H340" s="414" t="b">
        <f>Wh_hp&gt;='2021'!Maxi_hp</f>
        <v>0</v>
      </c>
      <c r="I340" s="382">
        <f>IF(H340,Wh_hp,'2021'!Maxi_hp)</f>
        <v>22.055020906483698</v>
      </c>
      <c r="J340" s="85">
        <f>IF(H340,An,'2021'!An_max)</f>
        <v>2020</v>
      </c>
      <c r="K340" s="199">
        <f t="shared" si="124"/>
        <v>44887</v>
      </c>
      <c r="L340" s="147">
        <f>IF(t&lt;Tvie,1-EXP((T0-t)*PertePVj)+'2021'!Pspv,1-EXP((T0-t)*PertePVj)+Pspv)</f>
        <v>3.5966954775938476E-2</v>
      </c>
      <c r="M340" s="870"/>
      <c r="N340" s="870"/>
      <c r="O340" s="48">
        <f>IF(t&lt;Tnet,'2021'!Resal+('2021'!Salim-'2021'!Resal)*(1-EXP(('2021'!Tnet-t)/('2021'!Tau_j))),Resal+(Salim-Resal)*(1-EXP((Tnet-t)/(Tau_j))))*Salcycl</f>
        <v>3.252372337486114E-2</v>
      </c>
      <c r="P340" s="341">
        <f>(INDEX(Models!$BJ340:$BT340,,T340)*(1-R340)+INDEX(Models!$BJ340:$BT340,,T340+1)*R340-ERP_i)*Q340*Ramure*Pc/MaxiM</f>
        <v>9.6070935056501522E-2</v>
      </c>
      <c r="Q340" s="307">
        <f t="shared" si="125"/>
        <v>1</v>
      </c>
      <c r="R340" s="179">
        <f t="shared" si="126"/>
        <v>0.69921219079699437</v>
      </c>
      <c r="S340" s="837">
        <f t="shared" si="127"/>
        <v>0</v>
      </c>
      <c r="T340" s="178">
        <f t="shared" si="128"/>
        <v>6</v>
      </c>
      <c r="U340" s="253">
        <f t="shared" si="129"/>
        <v>0.69921219079699437</v>
      </c>
      <c r="V340" s="385">
        <f t="shared" si="130"/>
        <v>18.181504151813002</v>
      </c>
      <c r="W340" s="404"/>
      <c r="X340" s="157">
        <f t="shared" si="131"/>
        <v>44887</v>
      </c>
      <c r="Y340" s="387">
        <f t="shared" si="132"/>
        <v>7.6067373978085611</v>
      </c>
      <c r="Z340" s="387">
        <f t="shared" si="133"/>
        <v>7.8905359473861143</v>
      </c>
      <c r="AA340" s="388">
        <f t="shared" si="134"/>
        <v>9.2271821996536403</v>
      </c>
      <c r="AB340" s="199">
        <f t="shared" si="135"/>
        <v>44887</v>
      </c>
      <c r="AC340" s="119">
        <f>IF(OR(t&lt;Tnet,NoTnet),'2021'!Resal_s+('2021'!Salim-'2021'!Resal_s)*(1-EXP(('2021'!Tnet_s-t)/'2021'!Tau_j)),Resal_s+(Salim-Resal_s)*(1-EXP((Tnet_s-t)/Tau_j)))*Salcycl</f>
        <v>0.14485963573123106</v>
      </c>
      <c r="AD340" s="233">
        <f>(INDEX(Models!$BJ340:$BT340,,AH340)*(1-AF340)+INDEX(Models!$BJ340:$BT340,,AH340+1)*AF340-ERP_i)*AE340*Ramure*Pc/MaxiM</f>
        <v>9.6070935056501522E-2</v>
      </c>
      <c r="AE340" s="307">
        <f t="shared" si="136"/>
        <v>1</v>
      </c>
      <c r="AF340" s="179">
        <f t="shared" si="137"/>
        <v>0.69921219079699437</v>
      </c>
      <c r="AG340" s="837">
        <f t="shared" si="143"/>
        <v>0</v>
      </c>
      <c r="AH340" s="178">
        <f t="shared" si="138"/>
        <v>6</v>
      </c>
      <c r="AI340" s="227">
        <f t="shared" si="139"/>
        <v>0.69921219079699437</v>
      </c>
      <c r="AJ340" s="267" t="b">
        <f t="shared" si="140"/>
        <v>0</v>
      </c>
      <c r="AK340" s="267" t="b">
        <f t="shared" si="141"/>
        <v>0</v>
      </c>
      <c r="AL340" s="267"/>
      <c r="AM340" s="267"/>
      <c r="AN340" s="75"/>
    </row>
    <row r="341" spans="1:40" s="6" customFormat="1" ht="11.25" x14ac:dyDescent="0.2">
      <c r="A341" s="56">
        <f t="shared" si="142"/>
        <v>44888</v>
      </c>
      <c r="B341" s="618">
        <v>12.782999999999999</v>
      </c>
      <c r="C341" s="866"/>
      <c r="D341" s="395">
        <f t="shared" si="122"/>
        <v>13.260227488401696</v>
      </c>
      <c r="E341" s="387">
        <f t="shared" si="120"/>
        <v>13.70850515467599</v>
      </c>
      <c r="F341" s="387">
        <f t="shared" si="123"/>
        <v>14.542167999442631</v>
      </c>
      <c r="G341" s="110">
        <f t="shared" si="121"/>
        <v>0.68067999519108335</v>
      </c>
      <c r="H341" s="414" t="b">
        <f>Wh_hp&gt;='2021'!Maxi_hp</f>
        <v>0</v>
      </c>
      <c r="I341" s="382">
        <f>IF(H341,Wh_hp,'2021'!Maxi_hp)</f>
        <v>21.439200666327118</v>
      </c>
      <c r="J341" s="85">
        <f>IF(H341,An,'2021'!An_max)</f>
        <v>2020</v>
      </c>
      <c r="K341" s="199">
        <f t="shared" si="124"/>
        <v>44888</v>
      </c>
      <c r="L341" s="147">
        <f>IF(t&lt;Tvie,1-EXP((T0-t)*PertePVj)+'2021'!Pspv,1-EXP((T0-t)*PertePVj)+Pspv)</f>
        <v>3.5989389233262559E-2</v>
      </c>
      <c r="M341" s="870"/>
      <c r="N341" s="870"/>
      <c r="O341" s="48">
        <f>IF(t&lt;Tnet,'2021'!Resal+('2021'!Salim-'2021'!Resal)*(1-EXP(('2021'!Tnet-t)/('2021'!Tau_j))),Resal+(Salim-Resal)*(1-EXP((Tnet-t)/(Tau_j))))*Salcycl</f>
        <v>3.2700696481219524E-2</v>
      </c>
      <c r="P341" s="341">
        <f>(INDEX(Models!$BJ341:$BT341,,T341)*(1-R341)+INDEX(Models!$BJ341:$BT341,,T341+1)*R341-ERP_i)*Q341*Ramure*Pc/MaxiM</f>
        <v>9.7620206203580473E-2</v>
      </c>
      <c r="Q341" s="307">
        <f t="shared" si="125"/>
        <v>1</v>
      </c>
      <c r="R341" s="179">
        <f t="shared" si="126"/>
        <v>0.69924417324812393</v>
      </c>
      <c r="S341" s="837">
        <f t="shared" si="127"/>
        <v>0</v>
      </c>
      <c r="T341" s="178">
        <f t="shared" si="128"/>
        <v>6</v>
      </c>
      <c r="U341" s="253">
        <f t="shared" si="129"/>
        <v>0.69924417324812393</v>
      </c>
      <c r="V341" s="385">
        <f t="shared" si="130"/>
        <v>17.977041526882548</v>
      </c>
      <c r="W341" s="404"/>
      <c r="X341" s="157">
        <f t="shared" si="131"/>
        <v>44888</v>
      </c>
      <c r="Y341" s="387">
        <f t="shared" si="132"/>
        <v>11.301580174540405</v>
      </c>
      <c r="Z341" s="387">
        <f t="shared" si="133"/>
        <v>11.723501845640016</v>
      </c>
      <c r="AA341" s="388">
        <f t="shared" si="134"/>
        <v>13.70850515467599</v>
      </c>
      <c r="AB341" s="199">
        <f t="shared" si="135"/>
        <v>44888</v>
      </c>
      <c r="AC341" s="119">
        <f>IF(OR(t&lt;Tnet,NoTnet),'2021'!Resal_s+('2021'!Salim-'2021'!Resal_s)*(1-EXP(('2021'!Tnet_s-t)/'2021'!Tau_j)),Resal_s+(Salim-Resal_s)*(1-EXP((Tnet_s-t)/Tau_j)))*Salcycl</f>
        <v>0.14480085805408816</v>
      </c>
      <c r="AD341" s="233">
        <f>(INDEX(Models!$BJ341:$BT341,,AH341)*(1-AF341)+INDEX(Models!$BJ341:$BT341,,AH341+1)*AF341-ERP_i)*AE341*Ramure*Pc/MaxiM</f>
        <v>9.7620206203580473E-2</v>
      </c>
      <c r="AE341" s="307">
        <f t="shared" si="136"/>
        <v>1</v>
      </c>
      <c r="AF341" s="179">
        <f t="shared" si="137"/>
        <v>0.69924417324812393</v>
      </c>
      <c r="AG341" s="837">
        <f t="shared" si="143"/>
        <v>0</v>
      </c>
      <c r="AH341" s="178">
        <f t="shared" si="138"/>
        <v>6</v>
      </c>
      <c r="AI341" s="227">
        <f t="shared" si="139"/>
        <v>0.69924417324812393</v>
      </c>
      <c r="AJ341" s="267" t="b">
        <f t="shared" si="140"/>
        <v>0</v>
      </c>
      <c r="AK341" s="267" t="b">
        <f t="shared" si="141"/>
        <v>0</v>
      </c>
      <c r="AL341" s="267"/>
      <c r="AM341" s="267"/>
      <c r="AN341" s="75"/>
    </row>
    <row r="342" spans="1:40" s="6" customFormat="1" ht="11.25" x14ac:dyDescent="0.2">
      <c r="A342" s="56">
        <f t="shared" si="142"/>
        <v>44889</v>
      </c>
      <c r="B342" s="618">
        <v>11.544</v>
      </c>
      <c r="C342" s="866"/>
      <c r="D342" s="395">
        <f t="shared" si="122"/>
        <v>11.975250607267435</v>
      </c>
      <c r="E342" s="387">
        <f t="shared" si="120"/>
        <v>12.382359762019126</v>
      </c>
      <c r="F342" s="387">
        <f t="shared" si="123"/>
        <v>13.027788437442659</v>
      </c>
      <c r="G342" s="110">
        <f t="shared" si="121"/>
        <v>0.61548061404216181</v>
      </c>
      <c r="H342" s="414" t="b">
        <f>Wh_hp&gt;='2021'!Maxi_hp</f>
        <v>0</v>
      </c>
      <c r="I342" s="382">
        <f>IF(H342,Wh_hp,'2021'!Maxi_hp)</f>
        <v>20.206281401845153</v>
      </c>
      <c r="J342" s="85">
        <f>IF(H342,An,'2021'!An_max)</f>
        <v>2020</v>
      </c>
      <c r="K342" s="199">
        <f t="shared" si="124"/>
        <v>44889</v>
      </c>
      <c r="L342" s="147">
        <f>IF(t&lt;Tvie,1-EXP((T0-t)*PertePVj)+'2021'!Pspv,1-EXP((T0-t)*PertePVj)+Pspv)</f>
        <v>3.6011823168503931E-2</v>
      </c>
      <c r="M342" s="870"/>
      <c r="N342" s="870"/>
      <c r="O342" s="48">
        <f>IF(t&lt;Tnet,'2021'!Resal+('2021'!Salim-'2021'!Resal)*(1-EXP(('2021'!Tnet-t)/('2021'!Tau_j))),Resal+(Salim-Resal)*(1-EXP((Tnet-t)/(Tau_j))))*Salcycl</f>
        <v>3.2878155906956669E-2</v>
      </c>
      <c r="P342" s="341">
        <f>(INDEX(Models!$BJ342:$BT342,,T342)*(1-R342)+INDEX(Models!$BJ342:$BT342,,T342+1)*R342-ERP_i)*Q342*Ramure*Pc/MaxiM</f>
        <v>9.9243439902540281E-2</v>
      </c>
      <c r="Q342" s="307">
        <f t="shared" si="125"/>
        <v>1</v>
      </c>
      <c r="R342" s="179">
        <f t="shared" si="126"/>
        <v>0.69927487073977113</v>
      </c>
      <c r="S342" s="837">
        <f t="shared" si="127"/>
        <v>0</v>
      </c>
      <c r="T342" s="178">
        <f t="shared" si="128"/>
        <v>6</v>
      </c>
      <c r="U342" s="253">
        <f t="shared" si="129"/>
        <v>0.69927487073977113</v>
      </c>
      <c r="V342" s="385">
        <f t="shared" si="130"/>
        <v>17.775288272971874</v>
      </c>
      <c r="W342" s="404"/>
      <c r="X342" s="157">
        <f t="shared" si="131"/>
        <v>44889</v>
      </c>
      <c r="Y342" s="387">
        <f t="shared" si="132"/>
        <v>10.208685486605734</v>
      </c>
      <c r="Z342" s="387">
        <f t="shared" si="133"/>
        <v>10.590052587740606</v>
      </c>
      <c r="AA342" s="388">
        <f t="shared" si="134"/>
        <v>12.382359762019126</v>
      </c>
      <c r="AB342" s="199">
        <f t="shared" si="135"/>
        <v>44889</v>
      </c>
      <c r="AC342" s="119">
        <f>IF(OR(t&lt;Tnet,NoTnet),'2021'!Resal_s+('2021'!Salim-'2021'!Resal_s)*(1-EXP(('2021'!Tnet_s-t)/'2021'!Tau_j)),Resal_s+(Salim-Resal_s)*(1-EXP((Tnet_s-t)/Tau_j)))*Salcycl</f>
        <v>0.14474681795114133</v>
      </c>
      <c r="AD342" s="233">
        <f>(INDEX(Models!$BJ342:$BT342,,AH342)*(1-AF342)+INDEX(Models!$BJ342:$BT342,,AH342+1)*AF342-ERP_i)*AE342*Ramure*Pc/MaxiM</f>
        <v>9.9243439902540281E-2</v>
      </c>
      <c r="AE342" s="307">
        <f t="shared" si="136"/>
        <v>1</v>
      </c>
      <c r="AF342" s="179">
        <f t="shared" si="137"/>
        <v>0.69927487073977113</v>
      </c>
      <c r="AG342" s="837">
        <f t="shared" si="143"/>
        <v>0</v>
      </c>
      <c r="AH342" s="178">
        <f t="shared" si="138"/>
        <v>6</v>
      </c>
      <c r="AI342" s="227">
        <f t="shared" si="139"/>
        <v>0.69927487073977113</v>
      </c>
      <c r="AJ342" s="267" t="b">
        <f t="shared" si="140"/>
        <v>0</v>
      </c>
      <c r="AK342" s="267" t="b">
        <f t="shared" si="141"/>
        <v>0</v>
      </c>
      <c r="AL342" s="267"/>
      <c r="AM342" s="267"/>
      <c r="AN342" s="75"/>
    </row>
    <row r="343" spans="1:40" s="6" customFormat="1" ht="11.25" x14ac:dyDescent="0.2">
      <c r="A343" s="56">
        <f t="shared" si="142"/>
        <v>44890</v>
      </c>
      <c r="B343" s="618">
        <v>4.7309999999999999</v>
      </c>
      <c r="C343" s="866"/>
      <c r="D343" s="395">
        <f t="shared" si="122"/>
        <v>4.9078507533093143</v>
      </c>
      <c r="E343" s="387">
        <f t="shared" si="120"/>
        <v>5.0756315459763837</v>
      </c>
      <c r="F343" s="387">
        <f t="shared" si="123"/>
        <v>5.0756315459763837</v>
      </c>
      <c r="G343" s="110">
        <f t="shared" si="121"/>
        <v>0.2420035674909439</v>
      </c>
      <c r="H343" s="414" t="b">
        <f>Wh_hp&gt;='2021'!Maxi_hp</f>
        <v>0</v>
      </c>
      <c r="I343" s="382">
        <f>IF(H343,Wh_hp,'2021'!Maxi_hp)</f>
        <v>18.507554622634164</v>
      </c>
      <c r="J343" s="85">
        <f>IF(H343,An,'2021'!An_max)</f>
        <v>2020</v>
      </c>
      <c r="K343" s="199">
        <f t="shared" si="124"/>
        <v>44890</v>
      </c>
      <c r="L343" s="147">
        <f>IF(t&lt;Tvie,1-EXP((T0-t)*PertePVj)+'2021'!Pspv,1-EXP((T0-t)*PertePVj)+Pspv)</f>
        <v>3.6034256581674917E-2</v>
      </c>
      <c r="M343" s="870"/>
      <c r="N343" s="870"/>
      <c r="O343" s="48">
        <f>IF(t&lt;Tnet,'2021'!Resal+('2021'!Salim-'2021'!Resal)*(1-EXP(('2021'!Tnet-t)/('2021'!Tau_j))),Resal+(Salim-Resal)*(1-EXP((Tnet-t)/(Tau_j))))*Salcycl</f>
        <v>3.3056141121999859E-2</v>
      </c>
      <c r="P343" s="341">
        <f>(INDEX(Models!$BJ343:$BT343,,T343)*(1-R343)+INDEX(Models!$BJ343:$BT343,,T343+1)*R343-ERP_i)*Q343*Ramure*Pc/MaxiM</f>
        <v>0.10094358814419821</v>
      </c>
      <c r="Q343" s="307">
        <f t="shared" si="125"/>
        <v>1</v>
      </c>
      <c r="R343" s="179">
        <f t="shared" si="126"/>
        <v>0.69930433479172738</v>
      </c>
      <c r="S343" s="837">
        <f t="shared" si="127"/>
        <v>0</v>
      </c>
      <c r="T343" s="178">
        <f t="shared" si="128"/>
        <v>6</v>
      </c>
      <c r="U343" s="253">
        <f t="shared" si="129"/>
        <v>0.69930433479172738</v>
      </c>
      <c r="V343" s="385">
        <f t="shared" si="130"/>
        <v>17.575922241927145</v>
      </c>
      <c r="W343" s="404"/>
      <c r="X343" s="157">
        <f t="shared" si="131"/>
        <v>44890</v>
      </c>
      <c r="Y343" s="387">
        <f t="shared" si="132"/>
        <v>4.1847679411243393</v>
      </c>
      <c r="Z343" s="387">
        <f t="shared" si="133"/>
        <v>4.3411998504062055</v>
      </c>
      <c r="AA343" s="388">
        <f t="shared" si="134"/>
        <v>5.0756315459763837</v>
      </c>
      <c r="AB343" s="199">
        <f t="shared" si="135"/>
        <v>44890</v>
      </c>
      <c r="AC343" s="119">
        <f>IF(OR(t&lt;Tnet,NoTnet),'2021'!Resal_s+('2021'!Salim-'2021'!Resal_s)*(1-EXP(('2021'!Tnet_s-t)/'2021'!Tau_j)),Resal_s+(Salim-Resal_s)*(1-EXP((Tnet_s-t)/Tau_j)))*Salcycl</f>
        <v>0.14469759849932079</v>
      </c>
      <c r="AD343" s="233">
        <f>(INDEX(Models!$BJ343:$BT343,,AH343)*(1-AF343)+INDEX(Models!$BJ343:$BT343,,AH343+1)*AF343-ERP_i)*AE343*Ramure*Pc/MaxiM</f>
        <v>0.10094358814419821</v>
      </c>
      <c r="AE343" s="307">
        <f t="shared" si="136"/>
        <v>1</v>
      </c>
      <c r="AF343" s="179">
        <f t="shared" si="137"/>
        <v>0.69930433479172738</v>
      </c>
      <c r="AG343" s="837">
        <f t="shared" si="143"/>
        <v>0</v>
      </c>
      <c r="AH343" s="178">
        <f t="shared" si="138"/>
        <v>6</v>
      </c>
      <c r="AI343" s="227">
        <f t="shared" si="139"/>
        <v>0.69930433479172738</v>
      </c>
      <c r="AJ343" s="267" t="b">
        <f t="shared" si="140"/>
        <v>0</v>
      </c>
      <c r="AK343" s="267" t="b">
        <f t="shared" si="141"/>
        <v>0</v>
      </c>
      <c r="AL343" s="267"/>
      <c r="AM343" s="267"/>
      <c r="AN343" s="75"/>
    </row>
    <row r="344" spans="1:40" s="6" customFormat="1" ht="11.25" x14ac:dyDescent="0.2">
      <c r="A344" s="56">
        <f t="shared" si="142"/>
        <v>44891</v>
      </c>
      <c r="B344" s="618">
        <v>10.143000000000001</v>
      </c>
      <c r="C344" s="866"/>
      <c r="D344" s="395">
        <f t="shared" si="122"/>
        <v>10.522403018132319</v>
      </c>
      <c r="E344" s="387">
        <f t="shared" si="120"/>
        <v>10.884133806359518</v>
      </c>
      <c r="F344" s="387">
        <f t="shared" si="123"/>
        <v>11.356861440400369</v>
      </c>
      <c r="G344" s="110">
        <f t="shared" si="121"/>
        <v>0.54643905426745643</v>
      </c>
      <c r="H344" s="414" t="b">
        <f>Wh_hp&gt;='2021'!Maxi_hp</f>
        <v>0</v>
      </c>
      <c r="I344" s="382">
        <f>IF(H344,Wh_hp,'2021'!Maxi_hp)</f>
        <v>20.367586395989942</v>
      </c>
      <c r="J344" s="85">
        <f>IF(H344,An,'2021'!An_max)</f>
        <v>2020</v>
      </c>
      <c r="K344" s="199">
        <f t="shared" si="124"/>
        <v>44891</v>
      </c>
      <c r="L344" s="147">
        <f>IF(t&lt;Tvie,1-EXP((T0-t)*PertePVj)+'2021'!Pspv,1-EXP((T0-t)*PertePVj)+Pspv)</f>
        <v>3.6056689472787506E-2</v>
      </c>
      <c r="M344" s="870"/>
      <c r="N344" s="870"/>
      <c r="O344" s="48">
        <f>IF(t&lt;Tnet,'2021'!Resal+('2021'!Salim-'2021'!Resal)*(1-EXP(('2021'!Tnet-t)/('2021'!Tau_j))),Resal+(Salim-Resal)*(1-EXP((Tnet-t)/(Tau_j))))*Salcycl</f>
        <v>3.3234687726444695E-2</v>
      </c>
      <c r="P344" s="341">
        <f>(INDEX(Models!$BJ344:$BT344,,T344)*(1-R344)+INDEX(Models!$BJ344:$BT344,,T344+1)*R344-ERP_i)*Q344*Ramure*Pc/MaxiM</f>
        <v>0.10272373138494907</v>
      </c>
      <c r="Q344" s="307">
        <f t="shared" si="125"/>
        <v>1</v>
      </c>
      <c r="R344" s="179">
        <f t="shared" si="126"/>
        <v>0.69933261486648512</v>
      </c>
      <c r="S344" s="837">
        <f t="shared" si="127"/>
        <v>0</v>
      </c>
      <c r="T344" s="178">
        <f t="shared" si="128"/>
        <v>6</v>
      </c>
      <c r="U344" s="253">
        <f t="shared" si="129"/>
        <v>0.69933261486648512</v>
      </c>
      <c r="V344" s="385">
        <f t="shared" si="130"/>
        <v>17.378621758467574</v>
      </c>
      <c r="W344" s="404"/>
      <c r="X344" s="157">
        <f t="shared" si="131"/>
        <v>44891</v>
      </c>
      <c r="Y344" s="387">
        <f t="shared" si="132"/>
        <v>8.9740310585578627</v>
      </c>
      <c r="Z344" s="387">
        <f t="shared" si="133"/>
        <v>9.3097083205543161</v>
      </c>
      <c r="AA344" s="388">
        <f t="shared" si="134"/>
        <v>10.884133806359518</v>
      </c>
      <c r="AB344" s="199">
        <f t="shared" si="135"/>
        <v>44891</v>
      </c>
      <c r="AC344" s="119">
        <f>IF(OR(t&lt;Tnet,NoTnet),'2021'!Resal_s+('2021'!Salim-'2021'!Resal_s)*(1-EXP(('2021'!Tnet_s-t)/'2021'!Tau_j)),Resal_s+(Salim-Resal_s)*(1-EXP((Tnet_s-t)/Tau_j)))*Salcycl</f>
        <v>0.1446532644504312</v>
      </c>
      <c r="AD344" s="233">
        <f>(INDEX(Models!$BJ344:$BT344,,AH344)*(1-AF344)+INDEX(Models!$BJ344:$BT344,,AH344+1)*AF344-ERP_i)*AE344*Ramure*Pc/MaxiM</f>
        <v>0.10272373138494907</v>
      </c>
      <c r="AE344" s="307">
        <f t="shared" si="136"/>
        <v>1</v>
      </c>
      <c r="AF344" s="179">
        <f t="shared" si="137"/>
        <v>0.69933261486648512</v>
      </c>
      <c r="AG344" s="837">
        <f t="shared" si="143"/>
        <v>0</v>
      </c>
      <c r="AH344" s="178">
        <f t="shared" si="138"/>
        <v>6</v>
      </c>
      <c r="AI344" s="227">
        <f t="shared" si="139"/>
        <v>0.69933261486648512</v>
      </c>
      <c r="AJ344" s="267" t="b">
        <f t="shared" si="140"/>
        <v>0</v>
      </c>
      <c r="AK344" s="267" t="b">
        <f t="shared" si="141"/>
        <v>0</v>
      </c>
      <c r="AL344" s="267"/>
      <c r="AM344" s="267"/>
      <c r="AN344" s="75"/>
    </row>
    <row r="345" spans="1:40" s="6" customFormat="1" ht="11.25" x14ac:dyDescent="0.2">
      <c r="A345" s="56">
        <f t="shared" si="142"/>
        <v>44892</v>
      </c>
      <c r="B345" s="618">
        <v>12.02</v>
      </c>
      <c r="C345" s="866"/>
      <c r="D345" s="395">
        <f t="shared" si="122"/>
        <v>12.469903155296045</v>
      </c>
      <c r="E345" s="387">
        <f t="shared" si="120"/>
        <v>12.900974075478183</v>
      </c>
      <c r="F345" s="387">
        <f t="shared" si="123"/>
        <v>13.720132440797228</v>
      </c>
      <c r="G345" s="110">
        <f t="shared" si="121"/>
        <v>0.66617997819239949</v>
      </c>
      <c r="H345" s="414" t="b">
        <f>Wh_hp&gt;='2021'!Maxi_hp</f>
        <v>0</v>
      </c>
      <c r="I345" s="382">
        <f>IF(H345,Wh_hp,'2021'!Maxi_hp)</f>
        <v>18.723509974078482</v>
      </c>
      <c r="J345" s="85">
        <f>IF(H345,An,'2021'!An_max)</f>
        <v>2018</v>
      </c>
      <c r="K345" s="199">
        <f t="shared" si="124"/>
        <v>44892</v>
      </c>
      <c r="L345" s="147">
        <f>IF(t&lt;Tvie,1-EXP((T0-t)*PertePVj)+'2021'!Pspv,1-EXP((T0-t)*PertePVj)+Pspv)</f>
        <v>3.6079121841854023E-2</v>
      </c>
      <c r="M345" s="870"/>
      <c r="N345" s="870"/>
      <c r="O345" s="48">
        <f>IF(t&lt;Tnet,'2021'!Resal+('2021'!Salim-'2021'!Resal)*(1-EXP(('2021'!Tnet-t)/('2021'!Tau_j))),Resal+(Salim-Resal)*(1-EXP((Tnet-t)/(Tau_j))))*Salcycl</f>
        <v>3.341382733273654E-2</v>
      </c>
      <c r="P345" s="341">
        <f>(INDEX(Models!$BJ345:$BT345,,T345)*(1-R345)+INDEX(Models!$BJ345:$BT345,,T345+1)*R345-ERP_i)*Q345*Ramure*Pc/MaxiM</f>
        <v>0.10459398240573907</v>
      </c>
      <c r="Q345" s="307">
        <f t="shared" si="125"/>
        <v>1</v>
      </c>
      <c r="R345" s="179">
        <f t="shared" si="126"/>
        <v>0.69935975845072995</v>
      </c>
      <c r="S345" s="837">
        <f t="shared" si="127"/>
        <v>0</v>
      </c>
      <c r="T345" s="178">
        <f t="shared" si="128"/>
        <v>6</v>
      </c>
      <c r="U345" s="253">
        <f t="shared" si="129"/>
        <v>0.69935975845072995</v>
      </c>
      <c r="V345" s="385">
        <f t="shared" si="130"/>
        <v>17.181801666028832</v>
      </c>
      <c r="W345" s="404"/>
      <c r="X345" s="157">
        <f t="shared" si="131"/>
        <v>44892</v>
      </c>
      <c r="Y345" s="387">
        <f t="shared" si="132"/>
        <v>10.637169935332697</v>
      </c>
      <c r="Z345" s="387">
        <f t="shared" si="133"/>
        <v>11.035314387689304</v>
      </c>
      <c r="AA345" s="388">
        <f t="shared" si="134"/>
        <v>12.900974075478183</v>
      </c>
      <c r="AB345" s="199">
        <f t="shared" si="135"/>
        <v>44892</v>
      </c>
      <c r="AC345" s="119">
        <f>IF(OR(t&lt;Tnet,NoTnet),'2021'!Resal_s+('2021'!Salim-'2021'!Resal_s)*(1-EXP(('2021'!Tnet_s-t)/'2021'!Tau_j)),Resal_s+(Salim-Resal_s)*(1-EXP((Tnet_s-t)/Tau_j)))*Salcycl</f>
        <v>0.14461386224588063</v>
      </c>
      <c r="AD345" s="233">
        <f>(INDEX(Models!$BJ345:$BT345,,AH345)*(1-AF345)+INDEX(Models!$BJ345:$BT345,,AH345+1)*AF345-ERP_i)*AE345*Ramure*Pc/MaxiM</f>
        <v>0.10459398240573907</v>
      </c>
      <c r="AE345" s="307">
        <f t="shared" si="136"/>
        <v>1</v>
      </c>
      <c r="AF345" s="179">
        <f t="shared" si="137"/>
        <v>0.69935975845072995</v>
      </c>
      <c r="AG345" s="837">
        <f t="shared" si="143"/>
        <v>0</v>
      </c>
      <c r="AH345" s="178">
        <f t="shared" si="138"/>
        <v>6</v>
      </c>
      <c r="AI345" s="227">
        <f t="shared" si="139"/>
        <v>0.69935975845072995</v>
      </c>
      <c r="AJ345" s="267" t="b">
        <f t="shared" si="140"/>
        <v>0</v>
      </c>
      <c r="AK345" s="267" t="b">
        <f t="shared" si="141"/>
        <v>0</v>
      </c>
      <c r="AL345" s="267"/>
      <c r="AM345" s="267"/>
      <c r="AN345" s="75"/>
    </row>
    <row r="346" spans="1:40" s="6" customFormat="1" ht="11.25" x14ac:dyDescent="0.2">
      <c r="A346" s="56">
        <f t="shared" si="142"/>
        <v>44893</v>
      </c>
      <c r="B346" s="618">
        <v>9.463000000000001</v>
      </c>
      <c r="C346" s="866"/>
      <c r="D346" s="395">
        <f t="shared" si="122"/>
        <v>9.8174242693463878</v>
      </c>
      <c r="E346" s="387">
        <f t="shared" si="120"/>
        <v>10.158691149092682</v>
      </c>
      <c r="F346" s="387">
        <f t="shared" si="123"/>
        <v>10.572442272675174</v>
      </c>
      <c r="G346" s="110">
        <f t="shared" si="121"/>
        <v>0.51805165477985005</v>
      </c>
      <c r="H346" s="414" t="b">
        <f>Wh_hp&gt;='2021'!Maxi_hp</f>
        <v>0</v>
      </c>
      <c r="I346" s="382">
        <f>IF(H346,Wh_hp,'2021'!Maxi_hp)</f>
        <v>15.043607934783193</v>
      </c>
      <c r="J346" s="85">
        <f>IF(H346,An,'2021'!An_max)</f>
        <v>2018</v>
      </c>
      <c r="K346" s="199">
        <f t="shared" si="124"/>
        <v>44893</v>
      </c>
      <c r="L346" s="147">
        <f>IF(t&lt;Tvie,1-EXP((T0-t)*PertePVj)+'2021'!Pspv,1-EXP((T0-t)*PertePVj)+Pspv)</f>
        <v>3.6101553688886567E-2</v>
      </c>
      <c r="M346" s="870"/>
      <c r="N346" s="870"/>
      <c r="O346" s="48">
        <f>IF(t&lt;Tnet,'2021'!Resal+('2021'!Salim-'2021'!Resal)*(1-EXP(('2021'!Tnet-t)/('2021'!Tau_j))),Resal+(Salim-Resal)*(1-EXP((Tnet-t)/(Tau_j))))*Salcycl</f>
        <v>3.3593587474777753E-2</v>
      </c>
      <c r="P346" s="341">
        <f>(INDEX(Models!$BJ346:$BT346,,T346)*(1-R346)+INDEX(Models!$BJ346:$BT346,,T346+1)*R346-ERP_i)*Q346*Ramure*Pc/MaxiM</f>
        <v>0.10653768778948247</v>
      </c>
      <c r="Q346" s="307">
        <f t="shared" si="125"/>
        <v>1</v>
      </c>
      <c r="R346" s="179">
        <f t="shared" si="126"/>
        <v>0.6993858111336585</v>
      </c>
      <c r="S346" s="837">
        <f t="shared" si="127"/>
        <v>0</v>
      </c>
      <c r="T346" s="178">
        <f t="shared" si="128"/>
        <v>6</v>
      </c>
      <c r="U346" s="253">
        <f t="shared" si="129"/>
        <v>0.6993858111336585</v>
      </c>
      <c r="V346" s="385">
        <f t="shared" si="130"/>
        <v>16.985157502554248</v>
      </c>
      <c r="W346" s="404"/>
      <c r="X346" s="157">
        <f t="shared" si="131"/>
        <v>44893</v>
      </c>
      <c r="Y346" s="387">
        <f t="shared" si="132"/>
        <v>8.3762326514708985</v>
      </c>
      <c r="Z346" s="387">
        <f t="shared" si="133"/>
        <v>8.6899534733427064</v>
      </c>
      <c r="AA346" s="388">
        <f t="shared" si="134"/>
        <v>10.158691149092682</v>
      </c>
      <c r="AB346" s="199">
        <f t="shared" si="135"/>
        <v>44893</v>
      </c>
      <c r="AC346" s="119">
        <f>IF(OR(t&lt;Tnet,NoTnet),'2021'!Resal_s+('2021'!Salim-'2021'!Resal_s)*(1-EXP(('2021'!Tnet_s-t)/'2021'!Tau_j)),Resal_s+(Salim-Resal_s)*(1-EXP((Tnet_s-t)/Tau_j)))*Salcycl</f>
        <v>0.14457942014322933</v>
      </c>
      <c r="AD346" s="233">
        <f>(INDEX(Models!$BJ346:$BT346,,AH346)*(1-AF346)+INDEX(Models!$BJ346:$BT346,,AH346+1)*AF346-ERP_i)*AE346*Ramure*Pc/MaxiM</f>
        <v>0.10653768778948247</v>
      </c>
      <c r="AE346" s="307">
        <f t="shared" si="136"/>
        <v>1</v>
      </c>
      <c r="AF346" s="179">
        <f t="shared" si="137"/>
        <v>0.6993858111336585</v>
      </c>
      <c r="AG346" s="837">
        <f t="shared" si="143"/>
        <v>0</v>
      </c>
      <c r="AH346" s="178">
        <f t="shared" si="138"/>
        <v>6</v>
      </c>
      <c r="AI346" s="227">
        <f t="shared" si="139"/>
        <v>0.6993858111336585</v>
      </c>
      <c r="AJ346" s="267" t="b">
        <f t="shared" si="140"/>
        <v>0</v>
      </c>
      <c r="AK346" s="267" t="b">
        <f t="shared" si="141"/>
        <v>0</v>
      </c>
      <c r="AL346" s="267"/>
      <c r="AM346" s="267"/>
      <c r="AN346" s="75"/>
    </row>
    <row r="347" spans="1:40" s="6" customFormat="1" ht="11.25" x14ac:dyDescent="0.2">
      <c r="A347" s="56">
        <f t="shared" si="142"/>
        <v>44894</v>
      </c>
      <c r="B347" s="618">
        <v>10.695</v>
      </c>
      <c r="C347" s="866"/>
      <c r="D347" s="395">
        <f t="shared" si="122"/>
        <v>11.095825431608237</v>
      </c>
      <c r="E347" s="387">
        <f t="shared" si="120"/>
        <v>11.483674973048254</v>
      </c>
      <c r="F347" s="387">
        <f t="shared" si="123"/>
        <v>12.116740333306341</v>
      </c>
      <c r="G347" s="110">
        <f t="shared" si="121"/>
        <v>0.59915727446447653</v>
      </c>
      <c r="H347" s="414" t="b">
        <f>Wh_hp&gt;='2021'!Maxi_hp</f>
        <v>0</v>
      </c>
      <c r="I347" s="382">
        <f>IF(H347,Wh_hp,'2021'!Maxi_hp)</f>
        <v>19.948122922418964</v>
      </c>
      <c r="J347" s="85">
        <f>IF(H347,An,'2021'!An_max)</f>
        <v>2018</v>
      </c>
      <c r="K347" s="199">
        <f t="shared" si="124"/>
        <v>44894</v>
      </c>
      <c r="L347" s="147">
        <f>IF(t&lt;Tvie,1-EXP((T0-t)*PertePVj)+'2021'!Pspv,1-EXP((T0-t)*PertePVj)+Pspv)</f>
        <v>3.6123985013897242E-2</v>
      </c>
      <c r="M347" s="870"/>
      <c r="N347" s="870"/>
      <c r="O347" s="48">
        <f>IF(t&lt;Tnet,'2021'!Resal+('2021'!Salim-'2021'!Resal)*(1-EXP(('2021'!Tnet-t)/('2021'!Tau_j))),Resal+(Salim-Resal)*(1-EXP((Tnet-t)/(Tau_j))))*Salcycl</f>
        <v>3.3773991544543483E-2</v>
      </c>
      <c r="P347" s="341">
        <f>(INDEX(Models!$BJ347:$BT347,,T347)*(1-R347)+INDEX(Models!$BJ347:$BT347,,T347+1)*R347-ERP_i)*Q347*Ramure*Pc/MaxiM</f>
        <v>0.10853008878627356</v>
      </c>
      <c r="Q347" s="307">
        <f t="shared" si="125"/>
        <v>1</v>
      </c>
      <c r="R347" s="179">
        <f t="shared" si="126"/>
        <v>0.69941081668223937</v>
      </c>
      <c r="S347" s="837">
        <f t="shared" si="127"/>
        <v>0</v>
      </c>
      <c r="T347" s="178">
        <f t="shared" si="128"/>
        <v>6</v>
      </c>
      <c r="U347" s="253">
        <f t="shared" si="129"/>
        <v>0.69941081668223937</v>
      </c>
      <c r="V347" s="385">
        <f t="shared" si="130"/>
        <v>16.79003304069359</v>
      </c>
      <c r="W347" s="404"/>
      <c r="X347" s="157">
        <f t="shared" si="131"/>
        <v>44894</v>
      </c>
      <c r="Y347" s="387">
        <f t="shared" si="132"/>
        <v>9.4688387822668112</v>
      </c>
      <c r="Z347" s="387">
        <f t="shared" si="133"/>
        <v>9.8237103476460437</v>
      </c>
      <c r="AA347" s="388">
        <f t="shared" si="134"/>
        <v>11.483674973048254</v>
      </c>
      <c r="AB347" s="199">
        <f t="shared" si="135"/>
        <v>44894</v>
      </c>
      <c r="AC347" s="119">
        <f>IF(OR(t&lt;Tnet,NoTnet),'2021'!Resal_s+('2021'!Salim-'2021'!Resal_s)*(1-EXP(('2021'!Tnet_s-t)/'2021'!Tau_j)),Resal_s+(Salim-Resal_s)*(1-EXP((Tnet_s-t)/Tau_j)))*Salcycl</f>
        <v>0.14454994845274569</v>
      </c>
      <c r="AD347" s="233">
        <f>(INDEX(Models!$BJ347:$BT347,,AH347)*(1-AF347)+INDEX(Models!$BJ347:$BT347,,AH347+1)*AF347-ERP_i)*AE347*Ramure*Pc/MaxiM</f>
        <v>0.10853008878627356</v>
      </c>
      <c r="AE347" s="307">
        <f t="shared" si="136"/>
        <v>1</v>
      </c>
      <c r="AF347" s="179">
        <f t="shared" si="137"/>
        <v>0.69941081668223937</v>
      </c>
      <c r="AG347" s="837">
        <f t="shared" si="143"/>
        <v>0</v>
      </c>
      <c r="AH347" s="178">
        <f t="shared" si="138"/>
        <v>6</v>
      </c>
      <c r="AI347" s="227">
        <f t="shared" si="139"/>
        <v>0.69941081668223937</v>
      </c>
      <c r="AJ347" s="267" t="b">
        <f t="shared" si="140"/>
        <v>0</v>
      </c>
      <c r="AK347" s="267" t="b">
        <f t="shared" si="141"/>
        <v>0</v>
      </c>
      <c r="AL347" s="267"/>
      <c r="AM347" s="267"/>
      <c r="AN347" s="75"/>
    </row>
    <row r="348" spans="1:40" s="6" customFormat="1" ht="11.25" x14ac:dyDescent="0.2">
      <c r="A348" s="56">
        <f t="shared" si="142"/>
        <v>44895</v>
      </c>
      <c r="B348" s="618">
        <v>4.3369999999999997</v>
      </c>
      <c r="C348" s="866"/>
      <c r="D348" s="395">
        <f t="shared" si="122"/>
        <v>4.4996460781704224</v>
      </c>
      <c r="E348" s="387">
        <f t="shared" si="120"/>
        <v>4.6578020194161232</v>
      </c>
      <c r="F348" s="387">
        <f t="shared" si="123"/>
        <v>4.6578020194161232</v>
      </c>
      <c r="G348" s="110">
        <f t="shared" si="121"/>
        <v>0.23241470111121121</v>
      </c>
      <c r="H348" s="414" t="b">
        <f>Wh_hp&gt;='2021'!Maxi_hp</f>
        <v>0</v>
      </c>
      <c r="I348" s="382">
        <f>IF(H348,Wh_hp,'2021'!Maxi_hp)</f>
        <v>19.841900082377851</v>
      </c>
      <c r="J348" s="85">
        <f>IF(H348,An,'2021'!An_max)</f>
        <v>2021</v>
      </c>
      <c r="K348" s="199">
        <f t="shared" si="124"/>
        <v>44895</v>
      </c>
      <c r="L348" s="147">
        <f>IF(t&lt;Tvie,1-EXP((T0-t)*PertePVj)+'2021'!Pspv,1-EXP((T0-t)*PertePVj)+Pspv)</f>
        <v>3.6146415816898148E-2</v>
      </c>
      <c r="M348" s="870"/>
      <c r="N348" s="870"/>
      <c r="O348" s="48">
        <f>IF(t&lt;Tnet,'2021'!Resal+('2021'!Salim-'2021'!Resal)*(1-EXP(('2021'!Tnet-t)/('2021'!Tau_j))),Resal+(Salim-Resal)*(1-EXP((Tnet-t)/(Tau_j))))*Salcycl</f>
        <v>3.3955058756560463E-2</v>
      </c>
      <c r="P348" s="341">
        <f>(INDEX(Models!$BJ348:$BT348,,T348)*(1-R348)+INDEX(Models!$BJ348:$BT348,,T348+1)*R348-ERP_i)*Q348*Ramure*Pc/MaxiM</f>
        <v>0.11056649568075406</v>
      </c>
      <c r="Q348" s="307">
        <f t="shared" si="125"/>
        <v>1</v>
      </c>
      <c r="R348" s="179">
        <f t="shared" si="126"/>
        <v>0.69943481711353206</v>
      </c>
      <c r="S348" s="837">
        <f t="shared" si="127"/>
        <v>0</v>
      </c>
      <c r="T348" s="178">
        <f t="shared" si="128"/>
        <v>6</v>
      </c>
      <c r="U348" s="253">
        <f t="shared" si="129"/>
        <v>0.69943481711353206</v>
      </c>
      <c r="V348" s="385">
        <f t="shared" si="130"/>
        <v>16.597371378787077</v>
      </c>
      <c r="W348" s="404"/>
      <c r="X348" s="157">
        <f t="shared" si="131"/>
        <v>44895</v>
      </c>
      <c r="Y348" s="387">
        <f t="shared" si="132"/>
        <v>3.8406009998450581</v>
      </c>
      <c r="Z348" s="387">
        <f t="shared" si="133"/>
        <v>3.984631133680014</v>
      </c>
      <c r="AA348" s="388">
        <f t="shared" si="134"/>
        <v>4.6578020194161232</v>
      </c>
      <c r="AB348" s="199">
        <f t="shared" si="135"/>
        <v>44895</v>
      </c>
      <c r="AC348" s="119">
        <f>IF(OR(t&lt;Tnet,NoTnet),'2021'!Resal_s+('2021'!Salim-'2021'!Resal_s)*(1-EXP(('2021'!Tnet_s-t)/'2021'!Tau_j)),Resal_s+(Salim-Resal_s)*(1-EXP((Tnet_s-t)/Tau_j)))*Salcycl</f>
        <v>0.14452543988129707</v>
      </c>
      <c r="AD348" s="233">
        <f>(INDEX(Models!$BJ348:$BT348,,AH348)*(1-AF348)+INDEX(Models!$BJ348:$BT348,,AH348+1)*AF348-ERP_i)*AE348*Ramure*Pc/MaxiM</f>
        <v>0.11056649568075406</v>
      </c>
      <c r="AE348" s="307">
        <f t="shared" si="136"/>
        <v>1</v>
      </c>
      <c r="AF348" s="179">
        <f t="shared" si="137"/>
        <v>0.69943481711353206</v>
      </c>
      <c r="AG348" s="837">
        <f t="shared" si="143"/>
        <v>0</v>
      </c>
      <c r="AH348" s="178">
        <f t="shared" si="138"/>
        <v>6</v>
      </c>
      <c r="AI348" s="227">
        <f t="shared" si="139"/>
        <v>0.69943481711353206</v>
      </c>
      <c r="AJ348" s="267" t="b">
        <f t="shared" si="140"/>
        <v>0</v>
      </c>
      <c r="AK348" s="267" t="b">
        <f t="shared" si="141"/>
        <v>0</v>
      </c>
      <c r="AL348" s="267"/>
      <c r="AM348" s="267"/>
      <c r="AN348" s="75"/>
    </row>
    <row r="349" spans="1:40" s="6" customFormat="1" ht="11.25" x14ac:dyDescent="0.2">
      <c r="A349" s="56">
        <f t="shared" si="142"/>
        <v>44896</v>
      </c>
      <c r="B349" s="618">
        <v>3.7480000000000002</v>
      </c>
      <c r="C349" s="866"/>
      <c r="D349" s="395">
        <f t="shared" si="122"/>
        <v>3.8886479077026235</v>
      </c>
      <c r="E349" s="387">
        <f t="shared" si="120"/>
        <v>4.0260856033981787</v>
      </c>
      <c r="F349" s="387">
        <f t="shared" si="123"/>
        <v>4.0260856033981787</v>
      </c>
      <c r="G349" s="110">
        <f t="shared" si="121"/>
        <v>0.2026935654432783</v>
      </c>
      <c r="H349" s="414" t="b">
        <f>Wh_hp&gt;='2021'!Maxi_hp</f>
        <v>0</v>
      </c>
      <c r="I349" s="382">
        <f>IF(H349,Wh_hp,'2021'!Maxi_hp)</f>
        <v>18.774902602934571</v>
      </c>
      <c r="J349" s="85">
        <f>IF(H349,An,'2021'!An_max)</f>
        <v>2020</v>
      </c>
      <c r="K349" s="199">
        <f t="shared" si="124"/>
        <v>44896</v>
      </c>
      <c r="L349" s="147">
        <f>IF(t&lt;Tvie,1-EXP((T0-t)*PertePVj)+'2021'!Pspv,1-EXP((T0-t)*PertePVj)+Pspv)</f>
        <v>3.6168846097901608E-2</v>
      </c>
      <c r="M349" s="870"/>
      <c r="N349" s="870"/>
      <c r="O349" s="48">
        <f>IF(t&lt;Tnet,'2021'!Resal+('2021'!Salim-'2021'!Resal)*(1-EXP(('2021'!Tnet-t)/('2021'!Tau_j))),Resal+(Salim-Resal)*(1-EXP((Tnet-t)/(Tau_j))))*Salcycl</f>
        <v>3.4136804140367148E-2</v>
      </c>
      <c r="P349" s="341">
        <f>(INDEX(Models!$BJ349:$BT349,,T349)*(1-R349)+INDEX(Models!$BJ349:$BT349,,T349+1)*R349-ERP_i)*Q349*Ramure*Pc/MaxiM</f>
        <v>0.11264159852276441</v>
      </c>
      <c r="Q349" s="307">
        <f t="shared" si="125"/>
        <v>1</v>
      </c>
      <c r="R349" s="179">
        <f t="shared" si="126"/>
        <v>0.69945785276417782</v>
      </c>
      <c r="S349" s="837">
        <f t="shared" si="127"/>
        <v>0</v>
      </c>
      <c r="T349" s="178">
        <f t="shared" si="128"/>
        <v>6</v>
      </c>
      <c r="U349" s="253">
        <f t="shared" si="129"/>
        <v>0.69945785276417782</v>
      </c>
      <c r="V349" s="385">
        <f t="shared" si="130"/>
        <v>16.408114788761633</v>
      </c>
      <c r="W349" s="404"/>
      <c r="X349" s="157">
        <f t="shared" si="131"/>
        <v>44896</v>
      </c>
      <c r="Y349" s="387">
        <f t="shared" si="132"/>
        <v>3.3197165116753138</v>
      </c>
      <c r="Z349" s="387">
        <f t="shared" si="133"/>
        <v>3.4442926006649039</v>
      </c>
      <c r="AA349" s="388">
        <f t="shared" si="134"/>
        <v>4.0260856033981787</v>
      </c>
      <c r="AB349" s="199">
        <f t="shared" si="135"/>
        <v>44896</v>
      </c>
      <c r="AC349" s="119">
        <f>IF(OR(t&lt;Tnet,NoTnet),'2021'!Resal_s+('2021'!Salim-'2021'!Resal_s)*(1-EXP(('2021'!Tnet_s-t)/'2021'!Tau_j)),Resal_s+(Salim-Resal_s)*(1-EXP((Tnet_s-t)/Tau_j)))*Salcycl</f>
        <v>0.14450586998006656</v>
      </c>
      <c r="AD349" s="233">
        <f>(INDEX(Models!$BJ349:$BT349,,AH349)*(1-AF349)+INDEX(Models!$BJ349:$BT349,,AH349+1)*AF349-ERP_i)*AE349*Ramure*Pc/MaxiM</f>
        <v>0.11264159852276441</v>
      </c>
      <c r="AE349" s="307">
        <f t="shared" si="136"/>
        <v>1</v>
      </c>
      <c r="AF349" s="179">
        <f t="shared" si="137"/>
        <v>0.69945785276417782</v>
      </c>
      <c r="AG349" s="837">
        <f t="shared" si="143"/>
        <v>0</v>
      </c>
      <c r="AH349" s="178">
        <f t="shared" si="138"/>
        <v>6</v>
      </c>
      <c r="AI349" s="227">
        <f t="shared" si="139"/>
        <v>0.69945785276417782</v>
      </c>
      <c r="AJ349" s="267" t="b">
        <f t="shared" si="140"/>
        <v>0</v>
      </c>
      <c r="AK349" s="267" t="b">
        <f t="shared" si="141"/>
        <v>0</v>
      </c>
      <c r="AL349" s="267"/>
      <c r="AM349" s="267"/>
      <c r="AN349" s="75"/>
    </row>
    <row r="350" spans="1:40" s="6" customFormat="1" ht="11.25" x14ac:dyDescent="0.2">
      <c r="A350" s="56">
        <f t="shared" si="142"/>
        <v>44897</v>
      </c>
      <c r="B350" s="618">
        <v>5.1660000000000004</v>
      </c>
      <c r="C350" s="866"/>
      <c r="D350" s="395">
        <f t="shared" si="122"/>
        <v>5.3599846842983041</v>
      </c>
      <c r="E350" s="387">
        <f t="shared" si="120"/>
        <v>5.550472680340329</v>
      </c>
      <c r="F350" s="387">
        <f t="shared" si="123"/>
        <v>5.5672950556208605</v>
      </c>
      <c r="G350" s="110">
        <f t="shared" si="121"/>
        <v>0.28274715230665876</v>
      </c>
      <c r="H350" s="414" t="b">
        <f>Wh_hp&gt;='2021'!Maxi_hp</f>
        <v>0</v>
      </c>
      <c r="I350" s="382">
        <f>IF(H350,Wh_hp,'2021'!Maxi_hp)</f>
        <v>8.2901078959824659</v>
      </c>
      <c r="J350" s="85">
        <f>IF(H350,An,'2021'!An_max)</f>
        <v>2021</v>
      </c>
      <c r="K350" s="199">
        <f t="shared" si="124"/>
        <v>44897</v>
      </c>
      <c r="L350" s="147">
        <f>IF(t&lt;Tvie,1-EXP((T0-t)*PertePVj)+'2021'!Pspv,1-EXP((T0-t)*PertePVj)+Pspv)</f>
        <v>3.6191275856919614E-2</v>
      </c>
      <c r="M350" s="870"/>
      <c r="N350" s="870"/>
      <c r="O350" s="48">
        <f>IF(t&lt;Tnet,'2021'!Resal+('2021'!Salim-'2021'!Resal)*(1-EXP(('2021'!Tnet-t)/('2021'!Tau_j))),Resal+(Salim-Resal)*(1-EXP((Tnet-t)/(Tau_j))))*Salcycl</f>
        <v>3.4319238560839939E-2</v>
      </c>
      <c r="P350" s="341">
        <f>(INDEX(Models!$BJ350:$BT350,,T350)*(1-R350)+INDEX(Models!$BJ350:$BT350,,T350+1)*R350-ERP_i)*Q350*Ramure*Pc/MaxiM</f>
        <v>0.11474942740763716</v>
      </c>
      <c r="Q350" s="307">
        <f t="shared" si="125"/>
        <v>1</v>
      </c>
      <c r="R350" s="179">
        <f t="shared" si="126"/>
        <v>0.69947996235716847</v>
      </c>
      <c r="S350" s="837">
        <f t="shared" si="127"/>
        <v>0</v>
      </c>
      <c r="T350" s="178">
        <f t="shared" si="128"/>
        <v>6</v>
      </c>
      <c r="U350" s="253">
        <f t="shared" si="129"/>
        <v>0.69947996235716847</v>
      </c>
      <c r="V350" s="385">
        <f t="shared" si="130"/>
        <v>16.223204693207393</v>
      </c>
      <c r="W350" s="404"/>
      <c r="X350" s="157">
        <f t="shared" si="131"/>
        <v>44897</v>
      </c>
      <c r="Y350" s="387">
        <f t="shared" si="132"/>
        <v>4.5766247492988761</v>
      </c>
      <c r="Z350" s="387">
        <f t="shared" si="133"/>
        <v>4.7484782350024277</v>
      </c>
      <c r="AA350" s="388">
        <f t="shared" si="134"/>
        <v>5.550472680340329</v>
      </c>
      <c r="AB350" s="199">
        <f t="shared" si="135"/>
        <v>44897</v>
      </c>
      <c r="AC350" s="119">
        <f>IF(OR(t&lt;Tnet,NoTnet),'2021'!Resal_s+('2021'!Salim-'2021'!Resal_s)*(1-EXP(('2021'!Tnet_s-t)/'2021'!Tau_j)),Resal_s+(Salim-Resal_s)*(1-EXP((Tnet_s-t)/Tau_j)))*Salcycl</f>
        <v>0.14449119769178409</v>
      </c>
      <c r="AD350" s="233">
        <f>(INDEX(Models!$BJ350:$BT350,,AH350)*(1-AF350)+INDEX(Models!$BJ350:$BT350,,AH350+1)*AF350-ERP_i)*AE350*Ramure*Pc/MaxiM</f>
        <v>0.11474942740763716</v>
      </c>
      <c r="AE350" s="307">
        <f t="shared" si="136"/>
        <v>1</v>
      </c>
      <c r="AF350" s="179">
        <f t="shared" si="137"/>
        <v>0.69947996235716847</v>
      </c>
      <c r="AG350" s="837">
        <f t="shared" si="143"/>
        <v>0</v>
      </c>
      <c r="AH350" s="178">
        <f t="shared" si="138"/>
        <v>6</v>
      </c>
      <c r="AI350" s="227">
        <f t="shared" si="139"/>
        <v>0.69947996235716847</v>
      </c>
      <c r="AJ350" s="267" t="b">
        <f t="shared" si="140"/>
        <v>0</v>
      </c>
      <c r="AK350" s="267" t="b">
        <f t="shared" si="141"/>
        <v>0</v>
      </c>
      <c r="AL350" s="267"/>
      <c r="AM350" s="267"/>
      <c r="AN350" s="75"/>
    </row>
    <row r="351" spans="1:40" s="6" customFormat="1" ht="11.25" x14ac:dyDescent="0.2">
      <c r="A351" s="56">
        <f t="shared" si="142"/>
        <v>44898</v>
      </c>
      <c r="B351" s="618">
        <v>8.1020000000000003</v>
      </c>
      <c r="C351" s="866"/>
      <c r="D351" s="395">
        <f t="shared" si="122"/>
        <v>8.4064279008967482</v>
      </c>
      <c r="E351" s="387">
        <f t="shared" si="120"/>
        <v>8.7068343090110076</v>
      </c>
      <c r="F351" s="387">
        <f t="shared" si="123"/>
        <v>9.0154327884428938</v>
      </c>
      <c r="G351" s="110">
        <f t="shared" si="121"/>
        <v>0.46178019058951147</v>
      </c>
      <c r="H351" s="414" t="b">
        <f>Wh_hp&gt;='2021'!Maxi_hp</f>
        <v>0</v>
      </c>
      <c r="I351" s="382">
        <f>IF(H351,Wh_hp,'2021'!Maxi_hp)</f>
        <v>13.468073041251417</v>
      </c>
      <c r="J351" s="85">
        <f>IF(H351,An,'2021'!An_max)</f>
        <v>2021</v>
      </c>
      <c r="K351" s="199">
        <f t="shared" si="124"/>
        <v>44898</v>
      </c>
      <c r="L351" s="147">
        <f>IF(t&lt;Tvie,1-EXP((T0-t)*PertePVj)+'2021'!Pspv,1-EXP((T0-t)*PertePVj)+Pspv)</f>
        <v>3.6213705093964266E-2</v>
      </c>
      <c r="M351" s="870"/>
      <c r="N351" s="870"/>
      <c r="O351" s="48">
        <f>IF(t&lt;Tnet,'2021'!Resal+('2021'!Salim-'2021'!Resal)*(1-EXP(('2021'!Tnet-t)/('2021'!Tau_j))),Resal+(Salim-Resal)*(1-EXP((Tnet-t)/(Tau_j))))*Salcycl</f>
        <v>3.4502368766034672E-2</v>
      </c>
      <c r="P351" s="341">
        <f>(INDEX(Models!$BJ351:$BT351,,T351)*(1-R351)+INDEX(Models!$BJ351:$BT351,,T351+1)*R351-ERP_i)*Q351*Ramure*Pc/MaxiM</f>
        <v>0.11688331851633209</v>
      </c>
      <c r="Q351" s="307">
        <f t="shared" si="125"/>
        <v>1</v>
      </c>
      <c r="R351" s="179">
        <f t="shared" si="126"/>
        <v>0.69950118306599607</v>
      </c>
      <c r="S351" s="837">
        <f t="shared" si="127"/>
        <v>0</v>
      </c>
      <c r="T351" s="178">
        <f t="shared" si="128"/>
        <v>6</v>
      </c>
      <c r="U351" s="253">
        <f t="shared" si="129"/>
        <v>0.69950118306599607</v>
      </c>
      <c r="V351" s="385">
        <f t="shared" si="130"/>
        <v>16.043581642082689</v>
      </c>
      <c r="W351" s="404"/>
      <c r="X351" s="157">
        <f t="shared" si="131"/>
        <v>44898</v>
      </c>
      <c r="Y351" s="387">
        <f t="shared" si="132"/>
        <v>7.1791082116595302</v>
      </c>
      <c r="Z351" s="387">
        <f t="shared" si="133"/>
        <v>7.4488589945756143</v>
      </c>
      <c r="AA351" s="388">
        <f t="shared" si="134"/>
        <v>8.7068343090110076</v>
      </c>
      <c r="AB351" s="199">
        <f t="shared" si="135"/>
        <v>44898</v>
      </c>
      <c r="AC351" s="119">
        <f>IF(OR(t&lt;Tnet,NoTnet),'2021'!Resal_s+('2021'!Salim-'2021'!Resal_s)*(1-EXP(('2021'!Tnet_s-t)/'2021'!Tau_j)),Resal_s+(Salim-Resal_s)*(1-EXP((Tnet_s-t)/Tau_j)))*Salcycl</f>
        <v>0.14448136599239866</v>
      </c>
      <c r="AD351" s="233">
        <f>(INDEX(Models!$BJ351:$BT351,,AH351)*(1-AF351)+INDEX(Models!$BJ351:$BT351,,AH351+1)*AF351-ERP_i)*AE351*Ramure*Pc/MaxiM</f>
        <v>0.11688331851633209</v>
      </c>
      <c r="AE351" s="307">
        <f t="shared" si="136"/>
        <v>1</v>
      </c>
      <c r="AF351" s="179">
        <f t="shared" si="137"/>
        <v>0.69950118306599607</v>
      </c>
      <c r="AG351" s="837">
        <f t="shared" si="143"/>
        <v>0</v>
      </c>
      <c r="AH351" s="178">
        <f t="shared" si="138"/>
        <v>6</v>
      </c>
      <c r="AI351" s="227">
        <f t="shared" si="139"/>
        <v>0.69950118306599607</v>
      </c>
      <c r="AJ351" s="267" t="b">
        <f t="shared" si="140"/>
        <v>0</v>
      </c>
      <c r="AK351" s="267" t="b">
        <f t="shared" si="141"/>
        <v>0</v>
      </c>
      <c r="AL351" s="267"/>
      <c r="AM351" s="267"/>
      <c r="AN351" s="75"/>
    </row>
    <row r="352" spans="1:40" s="6" customFormat="1" ht="11.25" x14ac:dyDescent="0.2">
      <c r="A352" s="56">
        <f t="shared" si="142"/>
        <v>44899</v>
      </c>
      <c r="B352" s="618">
        <v>13.736000000000001</v>
      </c>
      <c r="C352" s="866"/>
      <c r="D352" s="395">
        <f t="shared" si="122"/>
        <v>14.252453823868994</v>
      </c>
      <c r="E352" s="387">
        <f t="shared" si="120"/>
        <v>14.764580995730013</v>
      </c>
      <c r="F352" s="387">
        <f t="shared" si="123"/>
        <v>16.33460099180688</v>
      </c>
      <c r="G352" s="110">
        <f t="shared" si="121"/>
        <v>0.84357539797421865</v>
      </c>
      <c r="H352" s="414" t="b">
        <f>Wh_hp&gt;='2021'!Maxi_hp</f>
        <v>1</v>
      </c>
      <c r="I352" s="382">
        <f>IF(H352,Wh_hp,'2021'!Maxi_hp)</f>
        <v>16.33460099180688</v>
      </c>
      <c r="J352" s="85">
        <f>IF(H352,An,'2021'!An_max)</f>
        <v>2022</v>
      </c>
      <c r="K352" s="199">
        <f t="shared" si="124"/>
        <v>44899</v>
      </c>
      <c r="L352" s="147">
        <f>IF(t&lt;Tvie,1-EXP((T0-t)*PertePVj)+'2021'!Pspv,1-EXP((T0-t)*PertePVj)+Pspv)</f>
        <v>3.6236133809047888E-2</v>
      </c>
      <c r="M352" s="870"/>
      <c r="N352" s="870"/>
      <c r="O352" s="48">
        <f>IF(t&lt;Tnet,'2021'!Resal+('2021'!Salim-'2021'!Resal)*(1-EXP(('2021'!Tnet-t)/('2021'!Tau_j))),Resal+(Salim-Resal)*(1-EXP((Tnet-t)/(Tau_j))))*Salcycl</f>
        <v>3.4686197461961762E-2</v>
      </c>
      <c r="P352" s="341">
        <f>(INDEX(Models!$BJ352:$BT352,,T352)*(1-R352)+INDEX(Models!$BJ352:$BT352,,T352+1)*R352-ERP_i)*Q352*Ramure*Pc/MaxiM</f>
        <v>0.1189829798453871</v>
      </c>
      <c r="Q352" s="307">
        <f t="shared" si="125"/>
        <v>1</v>
      </c>
      <c r="R352" s="179">
        <f t="shared" si="126"/>
        <v>0.69952155057628507</v>
      </c>
      <c r="S352" s="837">
        <f t="shared" si="127"/>
        <v>0</v>
      </c>
      <c r="T352" s="178">
        <f t="shared" si="128"/>
        <v>6</v>
      </c>
      <c r="U352" s="253">
        <f t="shared" si="129"/>
        <v>0.69952155057628507</v>
      </c>
      <c r="V352" s="385">
        <f t="shared" si="130"/>
        <v>15.871138403708501</v>
      </c>
      <c r="W352" s="404"/>
      <c r="X352" s="157">
        <f t="shared" si="131"/>
        <v>44899</v>
      </c>
      <c r="Y352" s="387">
        <f t="shared" si="132"/>
        <v>12.173734050310888</v>
      </c>
      <c r="Z352" s="387">
        <f t="shared" si="133"/>
        <v>12.631448923712695</v>
      </c>
      <c r="AA352" s="388">
        <f t="shared" si="134"/>
        <v>14.764580995730011</v>
      </c>
      <c r="AB352" s="199">
        <f t="shared" si="135"/>
        <v>44899</v>
      </c>
      <c r="AC352" s="119">
        <f>IF(OR(t&lt;Tnet,NoTnet),'2021'!Resal_s+('2021'!Salim-'2021'!Resal_s)*(1-EXP(('2021'!Tnet_s-t)/'2021'!Tau_j)),Resal_s+(Salim-Resal_s)*(1-EXP((Tnet_s-t)/Tau_j)))*Salcycl</f>
        <v>0.14447630262140382</v>
      </c>
      <c r="AD352" s="233">
        <f>(INDEX(Models!$BJ352:$BT352,,AH352)*(1-AF352)+INDEX(Models!$BJ352:$BT352,,AH352+1)*AF352-ERP_i)*AE352*Ramure*Pc/MaxiM</f>
        <v>0.1189829798453871</v>
      </c>
      <c r="AE352" s="307">
        <f t="shared" si="136"/>
        <v>1</v>
      </c>
      <c r="AF352" s="179">
        <f t="shared" si="137"/>
        <v>0.69952155057628507</v>
      </c>
      <c r="AG352" s="837">
        <f t="shared" si="143"/>
        <v>0</v>
      </c>
      <c r="AH352" s="178">
        <f t="shared" si="138"/>
        <v>6</v>
      </c>
      <c r="AI352" s="227">
        <f t="shared" si="139"/>
        <v>0.69952155057628507</v>
      </c>
      <c r="AJ352" s="267" t="b">
        <f t="shared" si="140"/>
        <v>0</v>
      </c>
      <c r="AK352" s="267" t="b">
        <f t="shared" si="141"/>
        <v>0</v>
      </c>
      <c r="AL352" s="267"/>
      <c r="AM352" s="267"/>
      <c r="AN352" s="75"/>
    </row>
    <row r="353" spans="1:40" s="6" customFormat="1" ht="11.25" x14ac:dyDescent="0.2">
      <c r="A353" s="56">
        <f t="shared" si="142"/>
        <v>44900</v>
      </c>
      <c r="B353" s="618">
        <v>16.091000000000001</v>
      </c>
      <c r="C353" s="866"/>
      <c r="D353" s="395">
        <f t="shared" si="122"/>
        <v>16.696386982621828</v>
      </c>
      <c r="E353" s="387">
        <f t="shared" si="120"/>
        <v>17.299637869937911</v>
      </c>
      <c r="F353" s="387">
        <f t="shared" si="123"/>
        <v>19.680771499615478</v>
      </c>
      <c r="G353" s="110">
        <f t="shared" si="121"/>
        <v>1.0244001947458021</v>
      </c>
      <c r="H353" s="414" t="b">
        <f>Wh_hp&gt;='2021'!Maxi_hp</f>
        <v>1</v>
      </c>
      <c r="I353" s="382">
        <f>IF(H353,Wh_hp,'2021'!Maxi_hp)</f>
        <v>19.680771499615478</v>
      </c>
      <c r="J353" s="85">
        <f>IF(H353,An,'2021'!An_max)</f>
        <v>2022</v>
      </c>
      <c r="K353" s="199">
        <f t="shared" si="124"/>
        <v>44900</v>
      </c>
      <c r="L353" s="147">
        <f>IF(t&lt;Tvie,1-EXP((T0-t)*PertePVj)+'2021'!Pspv,1-EXP((T0-t)*PertePVj)+Pspv)</f>
        <v>3.6258562002182582E-2</v>
      </c>
      <c r="M353" s="870"/>
      <c r="N353" s="870"/>
      <c r="O353" s="48">
        <f>IF(t&lt;Tnet,'2021'!Resal+('2021'!Salim-'2021'!Resal)*(1-EXP(('2021'!Tnet-t)/('2021'!Tau_j))),Resal+(Salim-Resal)*(1-EXP((Tnet-t)/(Tau_j))))*Salcycl</f>
        <v>3.4870723413486543E-2</v>
      </c>
      <c r="P353" s="341">
        <f>(INDEX(Models!$BJ353:$BT353,,T353)*(1-R353)+INDEX(Models!$BJ353:$BT353,,T353+1)*R353-ERP_i)*Q353*Ramure*Pc/MaxiM</f>
        <v>0.1209878194929549</v>
      </c>
      <c r="Q353" s="307">
        <f t="shared" si="125"/>
        <v>1</v>
      </c>
      <c r="R353" s="179">
        <f t="shared" si="126"/>
        <v>0.69954109914500162</v>
      </c>
      <c r="S353" s="837">
        <f t="shared" si="127"/>
        <v>0</v>
      </c>
      <c r="T353" s="178">
        <f t="shared" si="128"/>
        <v>6</v>
      </c>
      <c r="U353" s="253">
        <f t="shared" si="129"/>
        <v>0.69954109914500162</v>
      </c>
      <c r="V353" s="385">
        <f t="shared" si="130"/>
        <v>15.707728368787425</v>
      </c>
      <c r="W353" s="404"/>
      <c r="X353" s="157">
        <f t="shared" si="131"/>
        <v>44900</v>
      </c>
      <c r="Y353" s="387">
        <f t="shared" si="132"/>
        <v>14.263620730248089</v>
      </c>
      <c r="Z353" s="387">
        <f t="shared" si="133"/>
        <v>14.800256757539559</v>
      </c>
      <c r="AA353" s="388">
        <f t="shared" si="134"/>
        <v>17.299637869937911</v>
      </c>
      <c r="AB353" s="199">
        <f t="shared" si="135"/>
        <v>44900</v>
      </c>
      <c r="AC353" s="119">
        <f>IF(OR(t&lt;Tnet,NoTnet),'2021'!Resal_s+('2021'!Salim-'2021'!Resal_s)*(1-EXP(('2021'!Tnet_s-t)/'2021'!Tau_j)),Resal_s+(Salim-Resal_s)*(1-EXP((Tnet_s-t)/Tau_j)))*Salcycl</f>
        <v>0.14447592089436728</v>
      </c>
      <c r="AD353" s="233">
        <f>(INDEX(Models!$BJ353:$BT353,,AH353)*(1-AF353)+INDEX(Models!$BJ353:$BT353,,AH353+1)*AF353-ERP_i)*AE353*Ramure*Pc/MaxiM</f>
        <v>0.1209878194929549</v>
      </c>
      <c r="AE353" s="307">
        <f t="shared" si="136"/>
        <v>1</v>
      </c>
      <c r="AF353" s="179">
        <f t="shared" si="137"/>
        <v>0.69954109914500162</v>
      </c>
      <c r="AG353" s="837">
        <f t="shared" si="143"/>
        <v>0</v>
      </c>
      <c r="AH353" s="178">
        <f t="shared" si="138"/>
        <v>6</v>
      </c>
      <c r="AI353" s="227">
        <f t="shared" si="139"/>
        <v>0.69954109914500162</v>
      </c>
      <c r="AJ353" s="267" t="b">
        <f t="shared" si="140"/>
        <v>0</v>
      </c>
      <c r="AK353" s="267" t="b">
        <f t="shared" si="141"/>
        <v>0</v>
      </c>
      <c r="AL353" s="267"/>
      <c r="AM353" s="267"/>
      <c r="AN353" s="75"/>
    </row>
    <row r="354" spans="1:40" s="6" customFormat="1" ht="11.25" x14ac:dyDescent="0.2">
      <c r="A354" s="56">
        <f t="shared" si="142"/>
        <v>44901</v>
      </c>
      <c r="B354" s="618">
        <v>11.532999999999999</v>
      </c>
      <c r="C354" s="866"/>
      <c r="D354" s="395">
        <f t="shared" si="122"/>
        <v>11.967181176690998</v>
      </c>
      <c r="E354" s="387">
        <f t="shared" si="120"/>
        <v>12.401942964617167</v>
      </c>
      <c r="F354" s="387">
        <f t="shared" si="123"/>
        <v>13.443850579704039</v>
      </c>
      <c r="G354" s="110">
        <f t="shared" si="121"/>
        <v>0.70498812440163316</v>
      </c>
      <c r="H354" s="414" t="b">
        <f>Wh_hp&gt;='2021'!Maxi_hp</f>
        <v>0</v>
      </c>
      <c r="I354" s="382">
        <f>IF(H354,Wh_hp,'2021'!Maxi_hp)</f>
        <v>16.269133792401302</v>
      </c>
      <c r="J354" s="85">
        <f>IF(H354,An,'2021'!An_max)</f>
        <v>2020</v>
      </c>
      <c r="K354" s="199">
        <f t="shared" si="124"/>
        <v>44901</v>
      </c>
      <c r="L354" s="147">
        <f>IF(t&lt;Tvie,1-EXP((T0-t)*PertePVj)+'2021'!Pspv,1-EXP((T0-t)*PertePVj)+Pspv)</f>
        <v>3.6280989673380448E-2</v>
      </c>
      <c r="M354" s="870"/>
      <c r="N354" s="870"/>
      <c r="O354" s="48">
        <f>IF(t&lt;Tnet,'2021'!Resal+('2021'!Salim-'2021'!Resal)*(1-EXP(('2021'!Tnet-t)/('2021'!Tau_j))),Resal+(Salim-Resal)*(1-EXP((Tnet-t)/(Tau_j))))*Salcycl</f>
        <v>3.505594157032875E-2</v>
      </c>
      <c r="P354" s="341">
        <f>(INDEX(Models!$BJ354:$BT354,,T354)*(1-R354)+INDEX(Models!$BJ354:$BT354,,T354+1)*R354-ERP_i)*Q354*Ramure*Pc/MaxiM</f>
        <v>0.12288667540433799</v>
      </c>
      <c r="Q354" s="307">
        <f t="shared" si="125"/>
        <v>1</v>
      </c>
      <c r="R354" s="179">
        <f t="shared" si="126"/>
        <v>0.69955986165733375</v>
      </c>
      <c r="S354" s="837">
        <f t="shared" si="127"/>
        <v>0</v>
      </c>
      <c r="T354" s="178">
        <f t="shared" si="128"/>
        <v>6</v>
      </c>
      <c r="U354" s="253">
        <f t="shared" si="129"/>
        <v>0.69955986165733375</v>
      </c>
      <c r="V354" s="385">
        <f t="shared" si="130"/>
        <v>15.554288375520855</v>
      </c>
      <c r="W354" s="404"/>
      <c r="X354" s="157">
        <f t="shared" si="131"/>
        <v>44901</v>
      </c>
      <c r="Y354" s="387">
        <f t="shared" si="132"/>
        <v>10.225163503556185</v>
      </c>
      <c r="Z354" s="387">
        <f t="shared" si="133"/>
        <v>10.610108749531376</v>
      </c>
      <c r="AA354" s="388">
        <f t="shared" si="134"/>
        <v>12.401942964617167</v>
      </c>
      <c r="AB354" s="199">
        <f t="shared" si="135"/>
        <v>44901</v>
      </c>
      <c r="AC354" s="119">
        <f>IF(OR(t&lt;Tnet,NoTnet),'2021'!Resal_s+('2021'!Salim-'2021'!Resal_s)*(1-EXP(('2021'!Tnet_s-t)/'2021'!Tau_j)),Resal_s+(Salim-Resal_s)*(1-EXP((Tnet_s-t)/Tau_j)))*Salcycl</f>
        <v>0.14448012059061285</v>
      </c>
      <c r="AD354" s="233">
        <f>(INDEX(Models!$BJ354:$BT354,,AH354)*(1-AF354)+INDEX(Models!$BJ354:$BT354,,AH354+1)*AF354-ERP_i)*AE354*Ramure*Pc/MaxiM</f>
        <v>0.12288667540433799</v>
      </c>
      <c r="AE354" s="307">
        <f t="shared" si="136"/>
        <v>1</v>
      </c>
      <c r="AF354" s="179">
        <f t="shared" si="137"/>
        <v>0.69955986165733375</v>
      </c>
      <c r="AG354" s="837">
        <f t="shared" si="143"/>
        <v>0</v>
      </c>
      <c r="AH354" s="178">
        <f t="shared" si="138"/>
        <v>6</v>
      </c>
      <c r="AI354" s="227">
        <f t="shared" si="139"/>
        <v>0.69955986165733375</v>
      </c>
      <c r="AJ354" s="267" t="b">
        <f t="shared" si="140"/>
        <v>0</v>
      </c>
      <c r="AK354" s="267" t="b">
        <f t="shared" si="141"/>
        <v>0</v>
      </c>
      <c r="AL354" s="267"/>
      <c r="AM354" s="267"/>
      <c r="AN354" s="75"/>
    </row>
    <row r="355" spans="1:40" s="6" customFormat="1" ht="11.25" x14ac:dyDescent="0.2">
      <c r="A355" s="56">
        <f t="shared" si="142"/>
        <v>44902</v>
      </c>
      <c r="B355" s="618">
        <v>14.173999999999999</v>
      </c>
      <c r="C355" s="866"/>
      <c r="D355" s="395">
        <f t="shared" si="122"/>
        <v>14.707948795737918</v>
      </c>
      <c r="E355" s="387">
        <f t="shared" si="120"/>
        <v>15.245218392120822</v>
      </c>
      <c r="F355" s="387">
        <f t="shared" si="123"/>
        <v>17.136477996690616</v>
      </c>
      <c r="G355" s="110">
        <f t="shared" si="121"/>
        <v>0.90490107808327491</v>
      </c>
      <c r="H355" s="414" t="b">
        <f>Wh_hp&gt;='2021'!Maxi_hp</f>
        <v>1</v>
      </c>
      <c r="I355" s="382">
        <f>IF(H355,Wh_hp,'2021'!Maxi_hp)</f>
        <v>17.136477996690616</v>
      </c>
      <c r="J355" s="85">
        <f>IF(H355,An,'2021'!An_max)</f>
        <v>2022</v>
      </c>
      <c r="K355" s="199">
        <f t="shared" si="124"/>
        <v>44902</v>
      </c>
      <c r="L355" s="147">
        <f>IF(t&lt;Tvie,1-EXP((T0-t)*PertePVj)+'2021'!Pspv,1-EXP((T0-t)*PertePVj)+Pspv)</f>
        <v>3.6303416822653589E-2</v>
      </c>
      <c r="M355" s="870"/>
      <c r="N355" s="870"/>
      <c r="O355" s="48">
        <f>IF(t&lt;Tnet,'2021'!Resal+('2021'!Salim-'2021'!Resal)*(1-EXP(('2021'!Tnet-t)/('2021'!Tau_j))),Resal+(Salim-Resal)*(1-EXP((Tnet-t)/(Tau_j))))*Salcycl</f>
        <v>3.524184321692498E-2</v>
      </c>
      <c r="P355" s="341">
        <f>(INDEX(Models!$BJ355:$BT355,,T355)*(1-R355)+INDEX(Models!$BJ355:$BT355,,T355+1)*R355-ERP_i)*Q355*Ramure*Pc/MaxiM</f>
        <v>0.12466793934718018</v>
      </c>
      <c r="Q355" s="307">
        <f t="shared" si="125"/>
        <v>1</v>
      </c>
      <c r="R355" s="179">
        <f t="shared" si="126"/>
        <v>0.69957786968133284</v>
      </c>
      <c r="S355" s="837">
        <f t="shared" si="127"/>
        <v>0</v>
      </c>
      <c r="T355" s="178">
        <f t="shared" si="128"/>
        <v>6</v>
      </c>
      <c r="U355" s="253">
        <f t="shared" si="129"/>
        <v>0.69957786968133284</v>
      </c>
      <c r="V355" s="385">
        <f t="shared" si="130"/>
        <v>15.411754271865711</v>
      </c>
      <c r="W355" s="404"/>
      <c r="X355" s="157">
        <f t="shared" si="131"/>
        <v>44902</v>
      </c>
      <c r="Y355" s="387">
        <f t="shared" si="132"/>
        <v>12.568969560666705</v>
      </c>
      <c r="Z355" s="387">
        <f t="shared" si="133"/>
        <v>13.042455249998197</v>
      </c>
      <c r="AA355" s="388">
        <f t="shared" si="134"/>
        <v>15.245218392120824</v>
      </c>
      <c r="AB355" s="199">
        <f t="shared" si="135"/>
        <v>44902</v>
      </c>
      <c r="AC355" s="119">
        <f>IF(OR(t&lt;Tnet,NoTnet),'2021'!Resal_s+('2021'!Salim-'2021'!Resal_s)*(1-EXP(('2021'!Tnet_s-t)/'2021'!Tau_j)),Resal_s+(Salim-Resal_s)*(1-EXP((Tnet_s-t)/Tau_j)))*Salcycl</f>
        <v>0.14448878890846723</v>
      </c>
      <c r="AD355" s="233">
        <f>(INDEX(Models!$BJ355:$BT355,,AH355)*(1-AF355)+INDEX(Models!$BJ355:$BT355,,AH355+1)*AF355-ERP_i)*AE355*Ramure*Pc/MaxiM</f>
        <v>0.12466793934718018</v>
      </c>
      <c r="AE355" s="307">
        <f t="shared" si="136"/>
        <v>1</v>
      </c>
      <c r="AF355" s="179">
        <f t="shared" si="137"/>
        <v>0.69957786968133284</v>
      </c>
      <c r="AG355" s="837">
        <f t="shared" si="143"/>
        <v>0</v>
      </c>
      <c r="AH355" s="178">
        <f t="shared" si="138"/>
        <v>6</v>
      </c>
      <c r="AI355" s="227">
        <f t="shared" si="139"/>
        <v>0.69957786968133284</v>
      </c>
      <c r="AJ355" s="267" t="b">
        <f t="shared" si="140"/>
        <v>0</v>
      </c>
      <c r="AK355" s="267" t="b">
        <f t="shared" si="141"/>
        <v>0</v>
      </c>
      <c r="AL355" s="267"/>
      <c r="AM355" s="267"/>
      <c r="AN355" s="75"/>
    </row>
    <row r="356" spans="1:40" s="6" customFormat="1" ht="11.25" x14ac:dyDescent="0.2">
      <c r="A356" s="56">
        <f t="shared" si="142"/>
        <v>44903</v>
      </c>
      <c r="B356" s="618">
        <v>4.2270000000000003</v>
      </c>
      <c r="C356" s="866"/>
      <c r="D356" s="395">
        <f t="shared" si="122"/>
        <v>4.3863374059266329</v>
      </c>
      <c r="E356" s="387">
        <f t="shared" si="120"/>
        <v>4.5474462231148856</v>
      </c>
      <c r="F356" s="387">
        <f t="shared" si="123"/>
        <v>4.5474462231148856</v>
      </c>
      <c r="G356" s="110">
        <f t="shared" si="121"/>
        <v>0.24167476463921622</v>
      </c>
      <c r="H356" s="414" t="b">
        <f>Wh_hp&gt;='2021'!Maxi_hp</f>
        <v>0</v>
      </c>
      <c r="I356" s="382">
        <f>IF(H356,Wh_hp,'2021'!Maxi_hp)</f>
        <v>15.197501570723485</v>
      </c>
      <c r="J356" s="85">
        <f>IF(H356,An,'2021'!An_max)</f>
        <v>2019</v>
      </c>
      <c r="K356" s="199">
        <f t="shared" si="124"/>
        <v>44903</v>
      </c>
      <c r="L356" s="147">
        <f>IF(t&lt;Tvie,1-EXP((T0-t)*PertePVj)+'2021'!Pspv,1-EXP((T0-t)*PertePVj)+Pspv)</f>
        <v>3.6325843450014217E-2</v>
      </c>
      <c r="M356" s="870"/>
      <c r="N356" s="870"/>
      <c r="O356" s="48">
        <f>IF(t&lt;Tnet,'2021'!Resal+('2021'!Salim-'2021'!Resal)*(1-EXP(('2021'!Tnet-t)/('2021'!Tau_j))),Resal+(Salim-Resal)*(1-EXP((Tnet-t)/(Tau_j))))*Salcycl</f>
        <v>3.542841614472074E-2</v>
      </c>
      <c r="P356" s="341">
        <f>(INDEX(Models!$BJ356:$BT356,,T356)*(1-R356)+INDEX(Models!$BJ356:$BT356,,T356+1)*R356-ERP_i)*Q356*Ramure*Pc/MaxiM</f>
        <v>0.12631965858544328</v>
      </c>
      <c r="Q356" s="307">
        <f t="shared" si="125"/>
        <v>1</v>
      </c>
      <c r="R356" s="179">
        <f t="shared" si="126"/>
        <v>0.69959515352040047</v>
      </c>
      <c r="S356" s="837">
        <f t="shared" si="127"/>
        <v>0</v>
      </c>
      <c r="T356" s="178">
        <f t="shared" si="128"/>
        <v>6</v>
      </c>
      <c r="U356" s="253">
        <f t="shared" si="129"/>
        <v>0.69959515352040047</v>
      </c>
      <c r="V356" s="385">
        <f t="shared" si="130"/>
        <v>15.281060927782391</v>
      </c>
      <c r="W356" s="404"/>
      <c r="X356" s="157">
        <f t="shared" si="131"/>
        <v>44903</v>
      </c>
      <c r="Y356" s="387">
        <f t="shared" si="132"/>
        <v>3.7490124586611775</v>
      </c>
      <c r="Z356" s="387">
        <f t="shared" si="133"/>
        <v>3.8903320517413049</v>
      </c>
      <c r="AA356" s="388">
        <f t="shared" si="134"/>
        <v>4.5474462231148856</v>
      </c>
      <c r="AB356" s="199">
        <f t="shared" si="135"/>
        <v>44903</v>
      </c>
      <c r="AC356" s="119">
        <f>IF(OR(t&lt;Tnet,NoTnet),'2021'!Resal_s+('2021'!Salim-'2021'!Resal_s)*(1-EXP(('2021'!Tnet_s-t)/'2021'!Tau_j)),Resal_s+(Salim-Resal_s)*(1-EXP((Tnet_s-t)/Tau_j)))*Salcycl</f>
        <v>0.14450180148001265</v>
      </c>
      <c r="AD356" s="233">
        <f>(INDEX(Models!$BJ356:$BT356,,AH356)*(1-AF356)+INDEX(Models!$BJ356:$BT356,,AH356+1)*AF356-ERP_i)*AE356*Ramure*Pc/MaxiM</f>
        <v>0.12631965858544328</v>
      </c>
      <c r="AE356" s="307">
        <f t="shared" si="136"/>
        <v>1</v>
      </c>
      <c r="AF356" s="179">
        <f t="shared" si="137"/>
        <v>0.69959515352040047</v>
      </c>
      <c r="AG356" s="837">
        <f t="shared" si="143"/>
        <v>0</v>
      </c>
      <c r="AH356" s="178">
        <f t="shared" si="138"/>
        <v>6</v>
      </c>
      <c r="AI356" s="227">
        <f t="shared" si="139"/>
        <v>0.69959515352040047</v>
      </c>
      <c r="AJ356" s="267" t="b">
        <f t="shared" si="140"/>
        <v>0</v>
      </c>
      <c r="AK356" s="267" t="b">
        <f t="shared" si="141"/>
        <v>0</v>
      </c>
      <c r="AL356" s="267"/>
      <c r="AM356" s="267"/>
      <c r="AN356" s="75"/>
    </row>
    <row r="357" spans="1:40" s="6" customFormat="1" ht="11.25" x14ac:dyDescent="0.2">
      <c r="A357" s="56">
        <f t="shared" si="142"/>
        <v>44904</v>
      </c>
      <c r="B357" s="618">
        <v>8.0500000000000007</v>
      </c>
      <c r="C357" s="866"/>
      <c r="D357" s="395">
        <f t="shared" si="122"/>
        <v>8.3536403720113643</v>
      </c>
      <c r="E357" s="387">
        <f t="shared" si="120"/>
        <v>8.6621483720265413</v>
      </c>
      <c r="F357" s="387">
        <f t="shared" si="123"/>
        <v>9.043458322437834</v>
      </c>
      <c r="G357" s="110">
        <f t="shared" si="121"/>
        <v>0.48341142298011053</v>
      </c>
      <c r="H357" s="414" t="b">
        <f>Wh_hp&gt;='2021'!Maxi_hp</f>
        <v>0</v>
      </c>
      <c r="I357" s="382">
        <f>IF(H357,Wh_hp,'2021'!Maxi_hp)</f>
        <v>9.1861126811797025</v>
      </c>
      <c r="J357" s="85">
        <f>IF(H357,An,'2021'!An_max)</f>
        <v>2020</v>
      </c>
      <c r="K357" s="199">
        <f t="shared" si="124"/>
        <v>44904</v>
      </c>
      <c r="L357" s="147">
        <f>IF(t&lt;Tvie,1-EXP((T0-t)*PertePVj)+'2021'!Pspv,1-EXP((T0-t)*PertePVj)+Pspv)</f>
        <v>3.6348269555474433E-2</v>
      </c>
      <c r="M357" s="870"/>
      <c r="N357" s="870"/>
      <c r="O357" s="48">
        <f>IF(t&lt;Tnet,'2021'!Resal+('2021'!Salim-'2021'!Resal)*(1-EXP(('2021'!Tnet-t)/('2021'!Tau_j))),Resal+(Salim-Resal)*(1-EXP((Tnet-t)/(Tau_j))))*Salcycl</f>
        <v>3.5615644845275241E-2</v>
      </c>
      <c r="P357" s="341">
        <f>(INDEX(Models!$BJ357:$BT357,,T357)*(1-R357)+INDEX(Models!$BJ357:$BT357,,T357+1)*R357-ERP_i)*Q357*Ramure*Pc/MaxiM</f>
        <v>0.12782965750848582</v>
      </c>
      <c r="Q357" s="307">
        <f t="shared" si="125"/>
        <v>1</v>
      </c>
      <c r="R357" s="179">
        <f t="shared" si="126"/>
        <v>0.69961174226370459</v>
      </c>
      <c r="S357" s="837">
        <f t="shared" si="127"/>
        <v>0</v>
      </c>
      <c r="T357" s="178">
        <f t="shared" si="128"/>
        <v>6</v>
      </c>
      <c r="U357" s="253">
        <f t="shared" si="129"/>
        <v>0.69961174226370459</v>
      </c>
      <c r="V357" s="385">
        <f t="shared" si="130"/>
        <v>15.163142262588639</v>
      </c>
      <c r="W357" s="404"/>
      <c r="X357" s="157">
        <f t="shared" si="131"/>
        <v>44904</v>
      </c>
      <c r="Y357" s="387">
        <f t="shared" si="132"/>
        <v>7.1409514521086592</v>
      </c>
      <c r="Z357" s="387">
        <f t="shared" si="133"/>
        <v>7.4103031484357844</v>
      </c>
      <c r="AA357" s="388">
        <f t="shared" si="134"/>
        <v>8.6621483720265413</v>
      </c>
      <c r="AB357" s="199">
        <f t="shared" si="135"/>
        <v>44904</v>
      </c>
      <c r="AC357" s="119">
        <f>IF(OR(t&lt;Tnet,NoTnet),'2021'!Resal_s+('2021'!Salim-'2021'!Resal_s)*(1-EXP(('2021'!Tnet_s-t)/'2021'!Tau_j)),Resal_s+(Salim-Resal_s)*(1-EXP((Tnet_s-t)/Tau_j)))*Salcycl</f>
        <v>0.14451902343689405</v>
      </c>
      <c r="AD357" s="233">
        <f>(INDEX(Models!$BJ357:$BT357,,AH357)*(1-AF357)+INDEX(Models!$BJ357:$BT357,,AH357+1)*AF357-ERP_i)*AE357*Ramure*Pc/MaxiM</f>
        <v>0.12782965750848582</v>
      </c>
      <c r="AE357" s="307">
        <f t="shared" si="136"/>
        <v>1</v>
      </c>
      <c r="AF357" s="179">
        <f t="shared" si="137"/>
        <v>0.69961174226370459</v>
      </c>
      <c r="AG357" s="837">
        <f t="shared" si="143"/>
        <v>0</v>
      </c>
      <c r="AH357" s="178">
        <f t="shared" si="138"/>
        <v>6</v>
      </c>
      <c r="AI357" s="227">
        <f t="shared" si="139"/>
        <v>0.69961174226370459</v>
      </c>
      <c r="AJ357" s="267" t="b">
        <f t="shared" si="140"/>
        <v>0</v>
      </c>
      <c r="AK357" s="267" t="b">
        <f t="shared" si="141"/>
        <v>0</v>
      </c>
      <c r="AL357" s="267"/>
      <c r="AM357" s="267"/>
      <c r="AN357" s="75"/>
    </row>
    <row r="358" spans="1:40" s="6" customFormat="1" ht="11.25" x14ac:dyDescent="0.2">
      <c r="A358" s="56">
        <f t="shared" si="142"/>
        <v>44905</v>
      </c>
      <c r="B358" s="618">
        <v>11.782</v>
      </c>
      <c r="C358" s="866"/>
      <c r="D358" s="395">
        <f t="shared" si="122"/>
        <v>12.226693335877822</v>
      </c>
      <c r="E358" s="387">
        <f t="shared" si="120"/>
        <v>12.680707171043801</v>
      </c>
      <c r="F358" s="387">
        <f t="shared" si="123"/>
        <v>13.919945137928245</v>
      </c>
      <c r="G358" s="110">
        <f t="shared" si="121"/>
        <v>0.74790163006050281</v>
      </c>
      <c r="H358" s="414" t="b">
        <f>Wh_hp&gt;='2021'!Maxi_hp</f>
        <v>0</v>
      </c>
      <c r="I358" s="382">
        <f>IF(H358,Wh_hp,'2021'!Maxi_hp)</f>
        <v>16.709769802628212</v>
      </c>
      <c r="J358" s="85">
        <f>IF(H358,An,'2021'!An_max)</f>
        <v>2019</v>
      </c>
      <c r="K358" s="199">
        <f t="shared" si="124"/>
        <v>44905</v>
      </c>
      <c r="L358" s="147">
        <f>IF(t&lt;Tvie,1-EXP((T0-t)*PertePVj)+'2021'!Pspv,1-EXP((T0-t)*PertePVj)+Pspv)</f>
        <v>3.6370695139046449E-2</v>
      </c>
      <c r="M358" s="870"/>
      <c r="N358" s="870"/>
      <c r="O358" s="48">
        <f>IF(t&lt;Tnet,'2021'!Resal+('2021'!Salim-'2021'!Resal)*(1-EXP(('2021'!Tnet-t)/('2021'!Tau_j))),Resal+(Salim-Resal)*(1-EXP((Tnet-t)/(Tau_j))))*Salcycl</f>
        <v>3.580351072239199E-2</v>
      </c>
      <c r="P358" s="341">
        <f>(INDEX(Models!$BJ358:$BT358,,T358)*(1-R358)+INDEX(Models!$BJ358:$BT358,,T358+1)*R358-ERP_i)*Q358*Ramure*Pc/MaxiM</f>
        <v>0.12918567944964149</v>
      </c>
      <c r="Q358" s="307">
        <f t="shared" si="125"/>
        <v>1</v>
      </c>
      <c r="R358" s="179">
        <f t="shared" si="126"/>
        <v>0.69962766383460695</v>
      </c>
      <c r="S358" s="837">
        <f t="shared" si="127"/>
        <v>0</v>
      </c>
      <c r="T358" s="178">
        <f t="shared" si="128"/>
        <v>6</v>
      </c>
      <c r="U358" s="253">
        <f t="shared" si="129"/>
        <v>0.69962766383460695</v>
      </c>
      <c r="V358" s="385">
        <f t="shared" si="130"/>
        <v>15.058931261926961</v>
      </c>
      <c r="W358" s="404"/>
      <c r="X358" s="157">
        <f t="shared" si="131"/>
        <v>44905</v>
      </c>
      <c r="Y358" s="387">
        <f t="shared" si="132"/>
        <v>10.453290562200138</v>
      </c>
      <c r="Z358" s="387">
        <f t="shared" si="133"/>
        <v>10.847833818948139</v>
      </c>
      <c r="AA358" s="388">
        <f t="shared" si="134"/>
        <v>12.680707171043801</v>
      </c>
      <c r="AB358" s="199">
        <f t="shared" si="135"/>
        <v>44905</v>
      </c>
      <c r="AC358" s="119">
        <f>IF(OR(t&lt;Tnet,NoTnet),'2021'!Resal_s+('2021'!Salim-'2021'!Resal_s)*(1-EXP(('2021'!Tnet_s-t)/'2021'!Tau_j)),Resal_s+(Salim-Resal_s)*(1-EXP((Tnet_s-t)/Tau_j)))*Salcycl</f>
        <v>0.14454031051840696</v>
      </c>
      <c r="AD358" s="233">
        <f>(INDEX(Models!$BJ358:$BT358,,AH358)*(1-AF358)+INDEX(Models!$BJ358:$BT358,,AH358+1)*AF358-ERP_i)*AE358*Ramure*Pc/MaxiM</f>
        <v>0.12918567944964149</v>
      </c>
      <c r="AE358" s="307">
        <f t="shared" si="136"/>
        <v>1</v>
      </c>
      <c r="AF358" s="179">
        <f t="shared" si="137"/>
        <v>0.69962766383460695</v>
      </c>
      <c r="AG358" s="837">
        <f t="shared" si="143"/>
        <v>0</v>
      </c>
      <c r="AH358" s="178">
        <f t="shared" si="138"/>
        <v>6</v>
      </c>
      <c r="AI358" s="227">
        <f t="shared" si="139"/>
        <v>0.69962766383460695</v>
      </c>
      <c r="AJ358" s="267" t="b">
        <f t="shared" si="140"/>
        <v>0</v>
      </c>
      <c r="AK358" s="267" t="b">
        <f t="shared" si="141"/>
        <v>0</v>
      </c>
      <c r="AL358" s="267"/>
      <c r="AM358" s="267"/>
      <c r="AN358" s="75"/>
    </row>
    <row r="359" spans="1:40" s="6" customFormat="1" ht="11.25" x14ac:dyDescent="0.2">
      <c r="A359" s="56">
        <f t="shared" si="142"/>
        <v>44906</v>
      </c>
      <c r="B359" s="618">
        <v>12.332000000000001</v>
      </c>
      <c r="C359" s="866"/>
      <c r="D359" s="395">
        <f t="shared" si="122"/>
        <v>12.797750056090354</v>
      </c>
      <c r="E359" s="387">
        <f t="shared" si="120"/>
        <v>13.275564055642462</v>
      </c>
      <c r="F359" s="387">
        <f t="shared" si="123"/>
        <v>14.711442453093154</v>
      </c>
      <c r="G359" s="110">
        <f t="shared" si="121"/>
        <v>0.79401796963692406</v>
      </c>
      <c r="H359" s="414" t="b">
        <f>Wh_hp&gt;='2021'!Maxi_hp</f>
        <v>0</v>
      </c>
      <c r="I359" s="382">
        <f>IF(H359,Wh_hp,'2021'!Maxi_hp)</f>
        <v>15.16428753732999</v>
      </c>
      <c r="J359" s="85">
        <f>IF(H359,An,'2021'!An_max)</f>
        <v>2018</v>
      </c>
      <c r="K359" s="199">
        <f t="shared" si="124"/>
        <v>44906</v>
      </c>
      <c r="L359" s="147">
        <f>IF(t&lt;Tvie,1-EXP((T0-t)*PertePVj)+'2021'!Pspv,1-EXP((T0-t)*PertePVj)+Pspv)</f>
        <v>3.6393120200742368E-2</v>
      </c>
      <c r="M359" s="870"/>
      <c r="N359" s="870"/>
      <c r="O359" s="48">
        <f>IF(t&lt;Tnet,'2021'!Resal+('2021'!Salim-'2021'!Resal)*(1-EXP(('2021'!Tnet-t)/('2021'!Tau_j))),Resal+(Salim-Resal)*(1-EXP((Tnet-t)/(Tau_j))))*Salcycl</f>
        <v>3.5991992321337526E-2</v>
      </c>
      <c r="P359" s="341">
        <f>(INDEX(Models!$BJ359:$BT359,,T359)*(1-R359)+INDEX(Models!$BJ359:$BT359,,T359+1)*R359-ERP_i)*Q359*Ramure*Pc/MaxiM</f>
        <v>0.13039537184595468</v>
      </c>
      <c r="Q359" s="307">
        <f t="shared" si="125"/>
        <v>1</v>
      </c>
      <c r="R359" s="179">
        <f t="shared" si="126"/>
        <v>0.69964294503717483</v>
      </c>
      <c r="S359" s="837">
        <f t="shared" si="127"/>
        <v>0</v>
      </c>
      <c r="T359" s="178">
        <f t="shared" si="128"/>
        <v>6</v>
      </c>
      <c r="U359" s="253">
        <f t="shared" si="129"/>
        <v>0.69964294503717483</v>
      </c>
      <c r="V359" s="385">
        <f t="shared" si="130"/>
        <v>14.966743026680017</v>
      </c>
      <c r="W359" s="404"/>
      <c r="X359" s="157">
        <f t="shared" si="131"/>
        <v>44906</v>
      </c>
      <c r="Y359" s="387">
        <f t="shared" si="132"/>
        <v>10.943081430887368</v>
      </c>
      <c r="Z359" s="387">
        <f t="shared" si="133"/>
        <v>11.356375364575099</v>
      </c>
      <c r="AA359" s="388">
        <f t="shared" si="134"/>
        <v>13.275564055642462</v>
      </c>
      <c r="AB359" s="199">
        <f t="shared" si="135"/>
        <v>44906</v>
      </c>
      <c r="AC359" s="119">
        <f>IF(OR(t&lt;Tnet,NoTnet),'2021'!Resal_s+('2021'!Salim-'2021'!Resal_s)*(1-EXP(('2021'!Tnet_s-t)/'2021'!Tau_j)),Resal_s+(Salim-Resal_s)*(1-EXP((Tnet_s-t)/Tau_j)))*Salcycl</f>
        <v>0.14456551021285294</v>
      </c>
      <c r="AD359" s="233">
        <f>(INDEX(Models!$BJ359:$BT359,,AH359)*(1-AF359)+INDEX(Models!$BJ359:$BT359,,AH359+1)*AF359-ERP_i)*AE359*Ramure*Pc/MaxiM</f>
        <v>0.13039537184595468</v>
      </c>
      <c r="AE359" s="307">
        <f t="shared" si="136"/>
        <v>1</v>
      </c>
      <c r="AF359" s="179">
        <f t="shared" si="137"/>
        <v>0.69964294503717483</v>
      </c>
      <c r="AG359" s="837">
        <f t="shared" si="143"/>
        <v>0</v>
      </c>
      <c r="AH359" s="178">
        <f t="shared" si="138"/>
        <v>6</v>
      </c>
      <c r="AI359" s="227">
        <f t="shared" si="139"/>
        <v>0.69964294503717483</v>
      </c>
      <c r="AJ359" s="267" t="b">
        <f t="shared" si="140"/>
        <v>0</v>
      </c>
      <c r="AK359" s="267" t="b">
        <f t="shared" si="141"/>
        <v>0</v>
      </c>
      <c r="AL359" s="267"/>
      <c r="AM359" s="267"/>
      <c r="AN359" s="75"/>
    </row>
    <row r="360" spans="1:40" s="6" customFormat="1" ht="11.25" x14ac:dyDescent="0.2">
      <c r="A360" s="56">
        <f t="shared" si="142"/>
        <v>44907</v>
      </c>
      <c r="B360" s="618">
        <v>4.28</v>
      </c>
      <c r="C360" s="866"/>
      <c r="D360" s="395">
        <f t="shared" si="122"/>
        <v>4.4417486984549752</v>
      </c>
      <c r="E360" s="387">
        <f t="shared" si="120"/>
        <v>4.6084887314399863</v>
      </c>
      <c r="F360" s="387">
        <f t="shared" si="123"/>
        <v>4.6084887314399863</v>
      </c>
      <c r="G360" s="110">
        <f t="shared" si="121"/>
        <v>0.2497457101350456</v>
      </c>
      <c r="H360" s="414" t="b">
        <f>Wh_hp&gt;='2021'!Maxi_hp</f>
        <v>0</v>
      </c>
      <c r="I360" s="382">
        <f>IF(H360,Wh_hp,'2021'!Maxi_hp)</f>
        <v>18.180866502884243</v>
      </c>
      <c r="J360" s="85">
        <f>IF(H360,An,'2021'!An_max)</f>
        <v>2021</v>
      </c>
      <c r="K360" s="199">
        <f t="shared" si="124"/>
        <v>44907</v>
      </c>
      <c r="L360" s="147">
        <f>IF(t&lt;Tvie,1-EXP((T0-t)*PertePVj)+'2021'!Pspv,1-EXP((T0-t)*PertePVj)+Pspv)</f>
        <v>3.6415544740574401E-2</v>
      </c>
      <c r="M360" s="870"/>
      <c r="N360" s="870"/>
      <c r="O360" s="48">
        <f>IF(t&lt;Tnet,'2021'!Resal+('2021'!Salim-'2021'!Resal)*(1-EXP(('2021'!Tnet-t)/('2021'!Tau_j))),Resal+(Salim-Resal)*(1-EXP((Tnet-t)/(Tau_j))))*Salcycl</f>
        <v>3.6181065573075918E-2</v>
      </c>
      <c r="P360" s="341">
        <f>(INDEX(Models!$BJ360:$BT360,,T360)*(1-R360)+INDEX(Models!$BJ360:$BT360,,T360+1)*R360-ERP_i)*Q360*Ramure*Pc/MaxiM</f>
        <v>0.13147181212612533</v>
      </c>
      <c r="Q360" s="307">
        <f t="shared" si="125"/>
        <v>1</v>
      </c>
      <c r="R360" s="179">
        <f t="shared" si="126"/>
        <v>0.69965761160085538</v>
      </c>
      <c r="S360" s="837">
        <f t="shared" si="127"/>
        <v>0</v>
      </c>
      <c r="T360" s="178">
        <f t="shared" si="128"/>
        <v>6</v>
      </c>
      <c r="U360" s="253">
        <f t="shared" si="129"/>
        <v>0.69965761160085538</v>
      </c>
      <c r="V360" s="385">
        <f t="shared" si="130"/>
        <v>14.884342326000789</v>
      </c>
      <c r="W360" s="404"/>
      <c r="X360" s="157">
        <f t="shared" si="131"/>
        <v>44907</v>
      </c>
      <c r="Y360" s="387">
        <f t="shared" si="132"/>
        <v>3.7985720843578168</v>
      </c>
      <c r="Z360" s="387">
        <f t="shared" si="133"/>
        <v>3.9421267784307794</v>
      </c>
      <c r="AA360" s="388">
        <f t="shared" si="134"/>
        <v>4.6084887314399863</v>
      </c>
      <c r="AB360" s="199">
        <f t="shared" si="135"/>
        <v>44907</v>
      </c>
      <c r="AC360" s="119">
        <f>IF(OR(t&lt;Tnet,NoTnet),'2021'!Resal_s+('2021'!Salim-'2021'!Resal_s)*(1-EXP(('2021'!Tnet_s-t)/'2021'!Tau_j)),Resal_s+(Salim-Resal_s)*(1-EXP((Tnet_s-t)/Tau_j)))*Salcycl</f>
        <v>0.14459446292298797</v>
      </c>
      <c r="AD360" s="233">
        <f>(INDEX(Models!$BJ360:$BT360,,AH360)*(1-AF360)+INDEX(Models!$BJ360:$BT360,,AH360+1)*AF360-ERP_i)*AE360*Ramure*Pc/MaxiM</f>
        <v>0.13147181212612533</v>
      </c>
      <c r="AE360" s="307">
        <f t="shared" si="136"/>
        <v>1</v>
      </c>
      <c r="AF360" s="179">
        <f t="shared" si="137"/>
        <v>0.69965761160085538</v>
      </c>
      <c r="AG360" s="837">
        <f t="shared" si="143"/>
        <v>0</v>
      </c>
      <c r="AH360" s="178">
        <f t="shared" si="138"/>
        <v>6</v>
      </c>
      <c r="AI360" s="227">
        <f t="shared" si="139"/>
        <v>0.69965761160085538</v>
      </c>
      <c r="AJ360" s="267" t="b">
        <f t="shared" si="140"/>
        <v>0</v>
      </c>
      <c r="AK360" s="267" t="b">
        <f t="shared" si="141"/>
        <v>0</v>
      </c>
      <c r="AL360" s="267"/>
      <c r="AM360" s="267"/>
      <c r="AN360" s="75"/>
    </row>
    <row r="361" spans="1:40" s="6" customFormat="1" ht="11.25" x14ac:dyDescent="0.2">
      <c r="A361" s="56">
        <f t="shared" si="142"/>
        <v>44908</v>
      </c>
      <c r="B361" s="618">
        <v>5.149</v>
      </c>
      <c r="C361" s="866"/>
      <c r="D361" s="395">
        <f t="shared" si="122"/>
        <v>5.3437140869551181</v>
      </c>
      <c r="E361" s="387">
        <f t="shared" ref="E361:E379" si="144">Wh_pvt/(1-Psa)</f>
        <v>5.5454043473163352</v>
      </c>
      <c r="F361" s="387">
        <f t="shared" si="123"/>
        <v>5.5958274138967852</v>
      </c>
      <c r="G361" s="110">
        <f t="shared" ref="G361:G379" si="145">+Wh_hp/MaxiM</f>
        <v>0.30434001516174281</v>
      </c>
      <c r="H361" s="414" t="b">
        <f>Wh_hp&gt;='2021'!Maxi_hp</f>
        <v>0</v>
      </c>
      <c r="I361" s="382">
        <f>IF(H361,Wh_hp,'2021'!Maxi_hp)</f>
        <v>18.504532146725122</v>
      </c>
      <c r="J361" s="85">
        <f>IF(H361,An,'2021'!An_max)</f>
        <v>2021</v>
      </c>
      <c r="K361" s="199">
        <f t="shared" si="124"/>
        <v>44908</v>
      </c>
      <c r="L361" s="147">
        <f>IF(t&lt;Tvie,1-EXP((T0-t)*PertePVj)+'2021'!Pspv,1-EXP((T0-t)*PertePVj)+Pspv)</f>
        <v>3.643796875855454E-2</v>
      </c>
      <c r="M361" s="870"/>
      <c r="N361" s="870"/>
      <c r="O361" s="48">
        <f>IF(t&lt;Tnet,'2021'!Resal+('2021'!Salim-'2021'!Resal)*(1-EXP(('2021'!Tnet-t)/('2021'!Tau_j))),Resal+(Salim-Resal)*(1-EXP((Tnet-t)/(Tau_j))))*Salcycl</f>
        <v>3.6370704051332775E-2</v>
      </c>
      <c r="P361" s="341">
        <f>(INDEX(Models!$BJ361:$BT361,,T361)*(1-R361)+INDEX(Models!$BJ361:$BT361,,T361+1)*R361-ERP_i)*Q361*Ramure*Pc/MaxiM</f>
        <v>0.13242290950337524</v>
      </c>
      <c r="Q361" s="307">
        <f t="shared" si="125"/>
        <v>1</v>
      </c>
      <c r="R361" s="179">
        <f t="shared" si="126"/>
        <v>0.69967168822338166</v>
      </c>
      <c r="S361" s="837">
        <f t="shared" si="127"/>
        <v>0</v>
      </c>
      <c r="T361" s="178">
        <f t="shared" si="128"/>
        <v>6</v>
      </c>
      <c r="U361" s="253">
        <f t="shared" si="129"/>
        <v>0.69967168822338166</v>
      </c>
      <c r="V361" s="385">
        <f t="shared" si="130"/>
        <v>14.811635034468047</v>
      </c>
      <c r="W361" s="404"/>
      <c r="X361" s="157">
        <f t="shared" si="131"/>
        <v>44908</v>
      </c>
      <c r="Y361" s="387">
        <f t="shared" si="132"/>
        <v>4.5705496702066544</v>
      </c>
      <c r="Z361" s="387">
        <f t="shared" si="133"/>
        <v>4.7433891353294557</v>
      </c>
      <c r="AA361" s="388">
        <f t="shared" si="134"/>
        <v>5.5454043473163352</v>
      </c>
      <c r="AB361" s="199">
        <f t="shared" si="135"/>
        <v>44908</v>
      </c>
      <c r="AC361" s="119">
        <f>IF(OR(t&lt;Tnet,NoTnet),'2021'!Resal_s+('2021'!Salim-'2021'!Resal_s)*(1-EXP(('2021'!Tnet_s-t)/'2021'!Tau_j)),Resal_s+(Salim-Resal_s)*(1-EXP((Tnet_s-t)/Tau_j)))*Salcycl</f>
        <v>0.14462700314630986</v>
      </c>
      <c r="AD361" s="233">
        <f>(INDEX(Models!$BJ361:$BT361,,AH361)*(1-AF361)+INDEX(Models!$BJ361:$BT361,,AH361+1)*AF361-ERP_i)*AE361*Ramure*Pc/MaxiM</f>
        <v>0.13242290950337524</v>
      </c>
      <c r="AE361" s="307">
        <f t="shared" si="136"/>
        <v>1</v>
      </c>
      <c r="AF361" s="179">
        <f t="shared" si="137"/>
        <v>0.69967168822338166</v>
      </c>
      <c r="AG361" s="837">
        <f t="shared" si="143"/>
        <v>0</v>
      </c>
      <c r="AH361" s="178">
        <f t="shared" si="138"/>
        <v>6</v>
      </c>
      <c r="AI361" s="227">
        <f t="shared" si="139"/>
        <v>0.69967168822338166</v>
      </c>
      <c r="AJ361" s="267" t="b">
        <f t="shared" si="140"/>
        <v>0</v>
      </c>
      <c r="AK361" s="267" t="b">
        <f t="shared" si="141"/>
        <v>0</v>
      </c>
      <c r="AL361" s="267"/>
      <c r="AM361" s="267"/>
      <c r="AN361" s="75"/>
    </row>
    <row r="362" spans="1:40" s="6" customFormat="1" ht="11.25" x14ac:dyDescent="0.2">
      <c r="A362" s="56">
        <f t="shared" si="142"/>
        <v>44909</v>
      </c>
      <c r="B362" s="618">
        <v>12.117000000000001</v>
      </c>
      <c r="C362" s="866"/>
      <c r="D362" s="395">
        <f t="shared" si="122"/>
        <v>12.575507952759656</v>
      </c>
      <c r="E362" s="387">
        <f t="shared" si="144"/>
        <v>13.0527271332332</v>
      </c>
      <c r="F362" s="387">
        <f t="shared" si="123"/>
        <v>14.491430289275215</v>
      </c>
      <c r="G362" s="110">
        <f t="shared" si="145"/>
        <v>0.79058172668492843</v>
      </c>
      <c r="H362" s="414" t="b">
        <f>Wh_hp&gt;='2021'!Maxi_hp</f>
        <v>0</v>
      </c>
      <c r="I362" s="382">
        <f>IF(H362,Wh_hp,'2021'!Maxi_hp)</f>
        <v>18.47305077116031</v>
      </c>
      <c r="J362" s="85">
        <f>IF(H362,An,'2021'!An_max)</f>
        <v>2021</v>
      </c>
      <c r="K362" s="199">
        <f t="shared" si="124"/>
        <v>44909</v>
      </c>
      <c r="L362" s="147">
        <f>IF(t&lt;Tvie,1-EXP((T0-t)*PertePVj)+'2021'!Pspv,1-EXP((T0-t)*PertePVj)+Pspv)</f>
        <v>3.6460392254695106E-2</v>
      </c>
      <c r="M362" s="870"/>
      <c r="N362" s="870"/>
      <c r="O362" s="48">
        <f>IF(t&lt;Tnet,'2021'!Resal+('2021'!Salim-'2021'!Resal)*(1-EXP(('2021'!Tnet-t)/('2021'!Tau_j))),Resal+(Salim-Resal)*(1-EXP((Tnet-t)/(Tau_j))))*Salcycl</f>
        <v>3.6560879240209357E-2</v>
      </c>
      <c r="P362" s="341">
        <f>(INDEX(Models!$BJ362:$BT362,,T362)*(1-R362)+INDEX(Models!$BJ362:$BT362,,T362+1)*R362-ERP_i)*Q362*Ramure*Pc/MaxiM</f>
        <v>0.13324524577663285</v>
      </c>
      <c r="Q362" s="307">
        <f t="shared" si="125"/>
        <v>1</v>
      </c>
      <c r="R362" s="179">
        <f t="shared" si="126"/>
        <v>0.69968519861197875</v>
      </c>
      <c r="S362" s="837">
        <f t="shared" si="127"/>
        <v>0</v>
      </c>
      <c r="T362" s="178">
        <f t="shared" si="128"/>
        <v>6</v>
      </c>
      <c r="U362" s="253">
        <f t="shared" si="129"/>
        <v>0.69968519861197875</v>
      </c>
      <c r="V362" s="385">
        <f t="shared" si="130"/>
        <v>14.748727827100211</v>
      </c>
      <c r="W362" s="404"/>
      <c r="X362" s="157">
        <f t="shared" si="131"/>
        <v>44909</v>
      </c>
      <c r="Y362" s="387">
        <f t="shared" si="132"/>
        <v>10.757419625537009</v>
      </c>
      <c r="Z362" s="387">
        <f t="shared" si="133"/>
        <v>11.164480981440411</v>
      </c>
      <c r="AA362" s="388">
        <f t="shared" si="134"/>
        <v>13.0527271332332</v>
      </c>
      <c r="AB362" s="199">
        <f t="shared" si="135"/>
        <v>44909</v>
      </c>
      <c r="AC362" s="119">
        <f>IF(OR(t&lt;Tnet,NoTnet),'2021'!Resal_s+('2021'!Salim-'2021'!Resal_s)*(1-EXP(('2021'!Tnet_s-t)/'2021'!Tau_j)),Resal_s+(Salim-Resal_s)*(1-EXP((Tnet_s-t)/Tau_j)))*Salcycl</f>
        <v>0.14466296066093159</v>
      </c>
      <c r="AD362" s="233">
        <f>(INDEX(Models!$BJ362:$BT362,,AH362)*(1-AF362)+INDEX(Models!$BJ362:$BT362,,AH362+1)*AF362-ERP_i)*AE362*Ramure*Pc/MaxiM</f>
        <v>0.13324524577663285</v>
      </c>
      <c r="AE362" s="307">
        <f t="shared" si="136"/>
        <v>1</v>
      </c>
      <c r="AF362" s="179">
        <f t="shared" si="137"/>
        <v>0.69968519861197875</v>
      </c>
      <c r="AG362" s="837">
        <f t="shared" si="143"/>
        <v>0</v>
      </c>
      <c r="AH362" s="178">
        <f t="shared" si="138"/>
        <v>6</v>
      </c>
      <c r="AI362" s="227">
        <f t="shared" si="139"/>
        <v>0.69968519861197875</v>
      </c>
      <c r="AJ362" s="267" t="b">
        <f t="shared" si="140"/>
        <v>0</v>
      </c>
      <c r="AK362" s="267" t="b">
        <f t="shared" si="141"/>
        <v>0</v>
      </c>
      <c r="AL362" s="267"/>
      <c r="AM362" s="267"/>
      <c r="AN362" s="75"/>
    </row>
    <row r="363" spans="1:40" s="6" customFormat="1" ht="11.25" x14ac:dyDescent="0.2">
      <c r="A363" s="56">
        <f t="shared" si="142"/>
        <v>44910</v>
      </c>
      <c r="B363" s="618">
        <v>5.9379999999999997</v>
      </c>
      <c r="C363" s="866"/>
      <c r="D363" s="395">
        <f t="shared" si="122"/>
        <v>6.162837667925289</v>
      </c>
      <c r="E363" s="387">
        <f t="shared" si="144"/>
        <v>6.3979731678647855</v>
      </c>
      <c r="F363" s="387">
        <f t="shared" si="123"/>
        <v>6.5279517400888256</v>
      </c>
      <c r="G363" s="110">
        <f t="shared" si="145"/>
        <v>0.35705387851214759</v>
      </c>
      <c r="H363" s="414" t="b">
        <f>Wh_hp&gt;='2021'!Maxi_hp</f>
        <v>0</v>
      </c>
      <c r="I363" s="382">
        <f>IF(H363,Wh_hp,'2021'!Maxi_hp)</f>
        <v>17.873939107740306</v>
      </c>
      <c r="J363" s="85">
        <f>IF(H363,An,'2021'!An_max)</f>
        <v>2021</v>
      </c>
      <c r="K363" s="199">
        <f t="shared" si="124"/>
        <v>44910</v>
      </c>
      <c r="L363" s="147">
        <f>IF(t&lt;Tvie,1-EXP((T0-t)*PertePVj)+'2021'!Pspv,1-EXP((T0-t)*PertePVj)+Pspv)</f>
        <v>3.6482815229008092E-2</v>
      </c>
      <c r="M363" s="870"/>
      <c r="N363" s="870"/>
      <c r="O363" s="48">
        <f>IF(t&lt;Tnet,'2021'!Resal+('2021'!Salim-'2021'!Resal)*(1-EXP(('2021'!Tnet-t)/('2021'!Tau_j))),Resal+(Salim-Resal)*(1-EXP((Tnet-t)/(Tau_j))))*Salcycl</f>
        <v>3.6751560809994602E-2</v>
      </c>
      <c r="P363" s="341">
        <f>(INDEX(Models!$BJ363:$BT363,,T363)*(1-R363)+INDEX(Models!$BJ363:$BT363,,T363+1)*R363-ERP_i)*Q363*Ramure*Pc/MaxiM</f>
        <v>0.13393572339408208</v>
      </c>
      <c r="Q363" s="307">
        <f t="shared" si="125"/>
        <v>1</v>
      </c>
      <c r="R363" s="179">
        <f t="shared" si="126"/>
        <v>0.69969816552293784</v>
      </c>
      <c r="S363" s="837">
        <f t="shared" si="127"/>
        <v>0</v>
      </c>
      <c r="T363" s="178">
        <f t="shared" si="128"/>
        <v>6</v>
      </c>
      <c r="U363" s="253">
        <f t="shared" si="129"/>
        <v>0.69969816552293784</v>
      </c>
      <c r="V363" s="385">
        <f t="shared" si="130"/>
        <v>14.695727292425506</v>
      </c>
      <c r="W363" s="404"/>
      <c r="X363" s="157">
        <f t="shared" si="131"/>
        <v>44910</v>
      </c>
      <c r="Y363" s="387">
        <f t="shared" si="132"/>
        <v>5.2725323573317988</v>
      </c>
      <c r="Z363" s="387">
        <f t="shared" si="133"/>
        <v>5.4721726199257885</v>
      </c>
      <c r="AA363" s="388">
        <f t="shared" si="134"/>
        <v>6.3979731678647855</v>
      </c>
      <c r="AB363" s="199">
        <f t="shared" si="135"/>
        <v>44910</v>
      </c>
      <c r="AC363" s="119">
        <f>IF(OR(t&lt;Tnet,NoTnet),'2021'!Resal_s+('2021'!Salim-'2021'!Resal_s)*(1-EXP(('2021'!Tnet_s-t)/'2021'!Tau_j)),Resal_s+(Salim-Resal_s)*(1-EXP((Tnet_s-t)/Tau_j)))*Salcycl</f>
        <v>0.14470216170787215</v>
      </c>
      <c r="AD363" s="233">
        <f>(INDEX(Models!$BJ363:$BT363,,AH363)*(1-AF363)+INDEX(Models!$BJ363:$BT363,,AH363+1)*AF363-ERP_i)*AE363*Ramure*Pc/MaxiM</f>
        <v>0.13393572339408208</v>
      </c>
      <c r="AE363" s="307">
        <f t="shared" si="136"/>
        <v>1</v>
      </c>
      <c r="AF363" s="179">
        <f t="shared" si="137"/>
        <v>0.69969816552293784</v>
      </c>
      <c r="AG363" s="837">
        <f t="shared" si="143"/>
        <v>0</v>
      </c>
      <c r="AH363" s="178">
        <f t="shared" si="138"/>
        <v>6</v>
      </c>
      <c r="AI363" s="227">
        <f t="shared" si="139"/>
        <v>0.69969816552293784</v>
      </c>
      <c r="AJ363" s="267" t="b">
        <f t="shared" si="140"/>
        <v>0</v>
      </c>
      <c r="AK363" s="267" t="b">
        <f t="shared" si="141"/>
        <v>0</v>
      </c>
      <c r="AL363" s="267"/>
      <c r="AM363" s="267"/>
      <c r="AN363" s="75"/>
    </row>
    <row r="364" spans="1:40" s="6" customFormat="1" ht="11.25" x14ac:dyDescent="0.2">
      <c r="A364" s="56">
        <f t="shared" si="142"/>
        <v>44911</v>
      </c>
      <c r="B364" s="618">
        <v>5.2410000000000005</v>
      </c>
      <c r="C364" s="866"/>
      <c r="D364" s="395">
        <f t="shared" si="122"/>
        <v>5.4395729016610135</v>
      </c>
      <c r="E364" s="387">
        <f t="shared" si="144"/>
        <v>5.6482340117345462</v>
      </c>
      <c r="F364" s="387">
        <f t="shared" si="123"/>
        <v>5.7115304017473294</v>
      </c>
      <c r="G364" s="110">
        <f t="shared" si="145"/>
        <v>0.31304474583530306</v>
      </c>
      <c r="H364" s="414" t="b">
        <f>Wh_hp&gt;='2021'!Maxi_hp</f>
        <v>0</v>
      </c>
      <c r="I364" s="382">
        <f>IF(H364,Wh_hp,'2021'!Maxi_hp)</f>
        <v>18.022426039936903</v>
      </c>
      <c r="J364" s="85">
        <f>IF(H364,An,'2021'!An_max)</f>
        <v>2021</v>
      </c>
      <c r="K364" s="199">
        <f t="shared" si="124"/>
        <v>44911</v>
      </c>
      <c r="L364" s="147">
        <f>IF(t&lt;Tvie,1-EXP((T0-t)*PertePVj)+'2021'!Pspv,1-EXP((T0-t)*PertePVj)+Pspv)</f>
        <v>3.6505237681505709E-2</v>
      </c>
      <c r="M364" s="870"/>
      <c r="N364" s="870"/>
      <c r="O364" s="48">
        <f>IF(t&lt;Tnet,'2021'!Resal+('2021'!Salim-'2021'!Resal)*(1-EXP(('2021'!Tnet-t)/('2021'!Tau_j))),Resal+(Salim-Resal)*(1-EXP((Tnet-t)/(Tau_j))))*Salcycl</f>
        <v>3.6942716898773507E-2</v>
      </c>
      <c r="P364" s="341">
        <f>(INDEX(Models!$BJ364:$BT364,,T364)*(1-R364)+INDEX(Models!$BJ364:$BT364,,T364+1)*R364-ERP_i)*Q364*Ramure*Pc/MaxiM</f>
        <v>0.13449159383519232</v>
      </c>
      <c r="Q364" s="307">
        <f t="shared" si="125"/>
        <v>1</v>
      </c>
      <c r="R364" s="179">
        <f t="shared" si="126"/>
        <v>0.69971061079962116</v>
      </c>
      <c r="S364" s="837">
        <f t="shared" si="127"/>
        <v>0</v>
      </c>
      <c r="T364" s="178">
        <f t="shared" si="128"/>
        <v>6</v>
      </c>
      <c r="U364" s="253">
        <f t="shared" si="129"/>
        <v>0.69971061079962116</v>
      </c>
      <c r="V364" s="385">
        <f t="shared" si="130"/>
        <v>14.652739956087888</v>
      </c>
      <c r="W364" s="404"/>
      <c r="X364" s="157">
        <f t="shared" si="131"/>
        <v>44911</v>
      </c>
      <c r="Y364" s="387">
        <f t="shared" si="132"/>
        <v>4.6543383453716478</v>
      </c>
      <c r="Z364" s="387">
        <f t="shared" si="133"/>
        <v>4.8306835982914276</v>
      </c>
      <c r="AA364" s="388">
        <f t="shared" si="134"/>
        <v>5.6482340117345462</v>
      </c>
      <c r="AB364" s="199">
        <f t="shared" si="135"/>
        <v>44911</v>
      </c>
      <c r="AC364" s="119">
        <f>IF(OR(t&lt;Tnet,NoTnet),'2021'!Resal_s+('2021'!Salim-'2021'!Resal_s)*(1-EXP(('2021'!Tnet_s-t)/'2021'!Tau_j)),Resal_s+(Salim-Resal_s)*(1-EXP((Tnet_s-t)/Tau_j)))*Salcycl</f>
        <v>0.14474443016075608</v>
      </c>
      <c r="AD364" s="233">
        <f>(INDEX(Models!$BJ364:$BT364,,AH364)*(1-AF364)+INDEX(Models!$BJ364:$BT364,,AH364+1)*AF364-ERP_i)*AE364*Ramure*Pc/MaxiM</f>
        <v>0.13449159383519232</v>
      </c>
      <c r="AE364" s="307">
        <f t="shared" si="136"/>
        <v>1</v>
      </c>
      <c r="AF364" s="179">
        <f t="shared" si="137"/>
        <v>0.69971061079962116</v>
      </c>
      <c r="AG364" s="837">
        <f t="shared" si="143"/>
        <v>0</v>
      </c>
      <c r="AH364" s="178">
        <f t="shared" si="138"/>
        <v>6</v>
      </c>
      <c r="AI364" s="227">
        <f t="shared" si="139"/>
        <v>0.69971061079962116</v>
      </c>
      <c r="AJ364" s="267" t="b">
        <f t="shared" si="140"/>
        <v>0</v>
      </c>
      <c r="AK364" s="267" t="b">
        <f t="shared" si="141"/>
        <v>0</v>
      </c>
      <c r="AL364" s="267"/>
      <c r="AM364" s="267"/>
      <c r="AN364" s="75"/>
    </row>
    <row r="365" spans="1:40" s="6" customFormat="1" ht="11.25" x14ac:dyDescent="0.2">
      <c r="A365" s="56">
        <f t="shared" si="142"/>
        <v>44912</v>
      </c>
      <c r="B365" s="618">
        <v>3.2469999999999999</v>
      </c>
      <c r="C365" s="866"/>
      <c r="D365" s="395">
        <f t="shared" si="122"/>
        <v>3.3701019363909035</v>
      </c>
      <c r="E365" s="387">
        <f t="shared" si="144"/>
        <v>3.5000748149849867</v>
      </c>
      <c r="F365" s="387">
        <f t="shared" si="123"/>
        <v>3.5000748149849867</v>
      </c>
      <c r="G365" s="110">
        <f t="shared" si="145"/>
        <v>0.19213202415106073</v>
      </c>
      <c r="H365" s="414" t="b">
        <f>Wh_hp&gt;='2021'!Maxi_hp</f>
        <v>0</v>
      </c>
      <c r="I365" s="382">
        <f>IF(H365,Wh_hp,'2021'!Maxi_hp)</f>
        <v>18.022391356123773</v>
      </c>
      <c r="J365" s="85">
        <f>IF(H365,An,'2021'!An_max)</f>
        <v>2021</v>
      </c>
      <c r="K365" s="199">
        <f t="shared" si="124"/>
        <v>44912</v>
      </c>
      <c r="L365" s="147">
        <f>IF(t&lt;Tvie,1-EXP((T0-t)*PertePVj)+'2021'!Pspv,1-EXP((T0-t)*PertePVj)+Pspv)</f>
        <v>3.652765961220017E-2</v>
      </c>
      <c r="M365" s="870"/>
      <c r="N365" s="870"/>
      <c r="O365" s="48">
        <f>IF(t&lt;Tnet,'2021'!Resal+('2021'!Salim-'2021'!Resal)*(1-EXP(('2021'!Tnet-t)/('2021'!Tau_j))),Resal+(Salim-Resal)*(1-EXP((Tnet-t)/(Tau_j))))*Salcycl</f>
        <v>3.7134314397402605E-2</v>
      </c>
      <c r="P365" s="341">
        <f>(INDEX(Models!$BJ365:$BT365,,T365)*(1-R365)+INDEX(Models!$BJ365:$BT365,,T365+1)*R365-ERP_i)*Q365*Ramure*Pc/MaxiM</f>
        <v>0.13491048422307142</v>
      </c>
      <c r="Q365" s="307">
        <f t="shared" si="125"/>
        <v>1</v>
      </c>
      <c r="R365" s="179">
        <f t="shared" si="126"/>
        <v>0.69972255540895856</v>
      </c>
      <c r="S365" s="837">
        <f t="shared" si="127"/>
        <v>0</v>
      </c>
      <c r="T365" s="178">
        <f t="shared" si="128"/>
        <v>6</v>
      </c>
      <c r="U365" s="253">
        <f t="shared" si="129"/>
        <v>0.69972255540895856</v>
      </c>
      <c r="V365" s="385">
        <f t="shared" si="130"/>
        <v>14.619872299472567</v>
      </c>
      <c r="W365" s="404"/>
      <c r="X365" s="157">
        <f t="shared" si="131"/>
        <v>44912</v>
      </c>
      <c r="Y365" s="387">
        <f t="shared" si="132"/>
        <v>2.8839621632555663</v>
      </c>
      <c r="Z365" s="387">
        <f t="shared" si="133"/>
        <v>2.9933004221945438</v>
      </c>
      <c r="AA365" s="388">
        <f t="shared" si="134"/>
        <v>3.5000748149849867</v>
      </c>
      <c r="AB365" s="199">
        <f t="shared" si="135"/>
        <v>44912</v>
      </c>
      <c r="AC365" s="119">
        <f>IF(OR(t&lt;Tnet,NoTnet),'2021'!Resal_s+('2021'!Salim-'2021'!Resal_s)*(1-EXP(('2021'!Tnet_s-t)/'2021'!Tau_j)),Resal_s+(Salim-Resal_s)*(1-EXP((Tnet_s-t)/Tau_j)))*Salcycl</f>
        <v>0.14478958867415426</v>
      </c>
      <c r="AD365" s="233">
        <f>(INDEX(Models!$BJ365:$BT365,,AH365)*(1-AF365)+INDEX(Models!$BJ365:$BT365,,AH365+1)*AF365-ERP_i)*AE365*Ramure*Pc/MaxiM</f>
        <v>0.13491048422307142</v>
      </c>
      <c r="AE365" s="307">
        <f t="shared" si="136"/>
        <v>1</v>
      </c>
      <c r="AF365" s="179">
        <f t="shared" si="137"/>
        <v>0.69972255540895856</v>
      </c>
      <c r="AG365" s="837">
        <f t="shared" si="143"/>
        <v>0</v>
      </c>
      <c r="AH365" s="178">
        <f t="shared" si="138"/>
        <v>6</v>
      </c>
      <c r="AI365" s="227">
        <f t="shared" si="139"/>
        <v>0.69972255540895856</v>
      </c>
      <c r="AJ365" s="267" t="b">
        <f t="shared" si="140"/>
        <v>0</v>
      </c>
      <c r="AK365" s="267" t="b">
        <f t="shared" si="141"/>
        <v>0</v>
      </c>
      <c r="AL365" s="267"/>
      <c r="AM365" s="267"/>
      <c r="AN365" s="75"/>
    </row>
    <row r="366" spans="1:40" s="6" customFormat="1" ht="11.25" x14ac:dyDescent="0.2">
      <c r="A366" s="56">
        <f t="shared" si="142"/>
        <v>44913</v>
      </c>
      <c r="B366" s="618">
        <v>12.638</v>
      </c>
      <c r="C366" s="866"/>
      <c r="D366" s="395">
        <f t="shared" si="122"/>
        <v>13.117443627370136</v>
      </c>
      <c r="E366" s="387">
        <f t="shared" si="144"/>
        <v>13.626054071564434</v>
      </c>
      <c r="F366" s="387">
        <f t="shared" si="123"/>
        <v>15.297364775209186</v>
      </c>
      <c r="G366" s="110">
        <f t="shared" si="145"/>
        <v>0.84057192903576494</v>
      </c>
      <c r="H366" s="414" t="b">
        <f>Wh_hp&gt;='2021'!Maxi_hp</f>
        <v>0</v>
      </c>
      <c r="I366" s="382">
        <f>IF(H366,Wh_hp,'2021'!Maxi_hp)</f>
        <v>18.412762938360004</v>
      </c>
      <c r="J366" s="85">
        <f>IF(H366,An,'2021'!An_max)</f>
        <v>2021</v>
      </c>
      <c r="K366" s="199">
        <f t="shared" si="124"/>
        <v>44913</v>
      </c>
      <c r="L366" s="147">
        <f>IF(t&lt;Tvie,1-EXP((T0-t)*PertePVj)+'2021'!Pspv,1-EXP((T0-t)*PertePVj)+Pspv)</f>
        <v>3.6550081021103464E-2</v>
      </c>
      <c r="M366" s="870"/>
      <c r="N366" s="870"/>
      <c r="O366" s="48">
        <f>IF(t&lt;Tnet,'2021'!Resal+('2021'!Salim-'2021'!Resal)*(1-EXP(('2021'!Tnet-t)/('2021'!Tau_j))),Resal+(Salim-Resal)*(1-EXP((Tnet-t)/(Tau_j))))*Salcycl</f>
        <v>3.7326319235419327E-2</v>
      </c>
      <c r="P366" s="341">
        <f>(INDEX(Models!$BJ366:$BT366,,T366)*(1-R366)+INDEX(Models!$BJ366:$BT366,,T366+1)*R366-ERP_i)*Q366*Ramure*Pc/MaxiM</f>
        <v>0.13517650501300554</v>
      </c>
      <c r="Q366" s="307">
        <f t="shared" si="125"/>
        <v>1</v>
      </c>
      <c r="R366" s="179">
        <f t="shared" si="126"/>
        <v>0.69973401947649561</v>
      </c>
      <c r="S366" s="837">
        <f t="shared" si="127"/>
        <v>0</v>
      </c>
      <c r="T366" s="178">
        <f t="shared" si="128"/>
        <v>6</v>
      </c>
      <c r="U366" s="253">
        <f t="shared" si="129"/>
        <v>0.69973401947649561</v>
      </c>
      <c r="V366" s="385">
        <f t="shared" si="130"/>
        <v>14.597465684795333</v>
      </c>
      <c r="W366" s="404"/>
      <c r="X366" s="157">
        <f t="shared" si="131"/>
        <v>44913</v>
      </c>
      <c r="Y366" s="387">
        <f t="shared" si="132"/>
        <v>11.226591522100481</v>
      </c>
      <c r="Z366" s="387">
        <f t="shared" si="133"/>
        <v>11.652491012712815</v>
      </c>
      <c r="AA366" s="388">
        <f t="shared" si="134"/>
        <v>13.626054071564434</v>
      </c>
      <c r="AB366" s="199">
        <f t="shared" si="135"/>
        <v>44913</v>
      </c>
      <c r="AC366" s="119">
        <f>IF(OR(t&lt;Tnet,NoTnet),'2021'!Resal_s+('2021'!Salim-'2021'!Resal_s)*(1-EXP(('2021'!Tnet_s-t)/'2021'!Tau_j)),Resal_s+(Salim-Resal_s)*(1-EXP((Tnet_s-t)/Tau_j)))*Salcycl</f>
        <v>0.14483745980211205</v>
      </c>
      <c r="AD366" s="233">
        <f>(INDEX(Models!$BJ366:$BT366,,AH366)*(1-AF366)+INDEX(Models!$BJ366:$BT366,,AH366+1)*AF366-ERP_i)*AE366*Ramure*Pc/MaxiM</f>
        <v>0.13517650501300554</v>
      </c>
      <c r="AE366" s="307">
        <f t="shared" si="136"/>
        <v>1</v>
      </c>
      <c r="AF366" s="179">
        <f t="shared" si="137"/>
        <v>0.69973401947649561</v>
      </c>
      <c r="AG366" s="837">
        <f t="shared" si="143"/>
        <v>0</v>
      </c>
      <c r="AH366" s="178">
        <f t="shared" si="138"/>
        <v>6</v>
      </c>
      <c r="AI366" s="227">
        <f t="shared" si="139"/>
        <v>0.69973401947649561</v>
      </c>
      <c r="AJ366" s="267" t="b">
        <f t="shared" si="140"/>
        <v>0</v>
      </c>
      <c r="AK366" s="267" t="b">
        <f t="shared" si="141"/>
        <v>0</v>
      </c>
      <c r="AL366" s="267"/>
      <c r="AM366" s="267"/>
      <c r="AN366" s="75"/>
    </row>
    <row r="367" spans="1:40" s="6" customFormat="1" ht="11.25" x14ac:dyDescent="0.2">
      <c r="A367" s="56">
        <f t="shared" si="142"/>
        <v>44914</v>
      </c>
      <c r="B367" s="618">
        <v>12.391999999999999</v>
      </c>
      <c r="C367" s="866"/>
      <c r="D367" s="395">
        <f t="shared" si="122"/>
        <v>12.862410533791499</v>
      </c>
      <c r="E367" s="387">
        <f t="shared" si="144"/>
        <v>13.363803005034477</v>
      </c>
      <c r="F367" s="387">
        <f t="shared" si="123"/>
        <v>14.952944138873221</v>
      </c>
      <c r="G367" s="110">
        <f t="shared" si="145"/>
        <v>0.82202382946721086</v>
      </c>
      <c r="H367" s="414" t="b">
        <f>Wh_hp&gt;='2021'!Maxi_hp</f>
        <v>0</v>
      </c>
      <c r="I367" s="382">
        <f>IF(H367,Wh_hp,'2021'!Maxi_hp)</f>
        <v>17.957139739546754</v>
      </c>
      <c r="J367" s="85">
        <f>IF(H367,An,'2021'!An_max)</f>
        <v>2021</v>
      </c>
      <c r="K367" s="199">
        <f t="shared" si="124"/>
        <v>44914</v>
      </c>
      <c r="L367" s="147">
        <f>IF(t&lt;Tvie,1-EXP((T0-t)*PertePVj)+'2021'!Pspv,1-EXP((T0-t)*PertePVj)+Pspv)</f>
        <v>3.6572501908227806E-2</v>
      </c>
      <c r="M367" s="870"/>
      <c r="N367" s="870"/>
      <c r="O367" s="48">
        <f>IF(t&lt;Tnet,'2021'!Resal+('2021'!Salim-'2021'!Resal)*(1-EXP(('2021'!Tnet-t)/('2021'!Tau_j))),Resal+(Salim-Resal)*(1-EXP((Tnet-t)/(Tau_j))))*Salcycl</f>
        <v>3.7518696665469468E-2</v>
      </c>
      <c r="P367" s="341">
        <f>(INDEX(Models!$BJ367:$BT367,,T367)*(1-R367)+INDEX(Models!$BJ367:$BT367,,T367+1)*R367-ERP_i)*Q367*Ramure*Pc/MaxiM</f>
        <v>0.13534446397678734</v>
      </c>
      <c r="Q367" s="307">
        <f t="shared" si="125"/>
        <v>1</v>
      </c>
      <c r="R367" s="179">
        <f t="shared" si="126"/>
        <v>0.69974502232004832</v>
      </c>
      <c r="S367" s="837">
        <f t="shared" si="127"/>
        <v>0</v>
      </c>
      <c r="T367" s="178">
        <f t="shared" si="128"/>
        <v>6</v>
      </c>
      <c r="U367" s="253">
        <f t="shared" si="129"/>
        <v>0.69974502232004832</v>
      </c>
      <c r="V367" s="385">
        <f t="shared" si="130"/>
        <v>14.584675458998872</v>
      </c>
      <c r="W367" s="404"/>
      <c r="X367" s="157">
        <f t="shared" si="131"/>
        <v>44914</v>
      </c>
      <c r="Y367" s="387">
        <f t="shared" si="132"/>
        <v>11.009615994043381</v>
      </c>
      <c r="Z367" s="387">
        <f t="shared" si="133"/>
        <v>11.427550091573835</v>
      </c>
      <c r="AA367" s="388">
        <f t="shared" si="134"/>
        <v>13.363803005034477</v>
      </c>
      <c r="AB367" s="199">
        <f t="shared" si="135"/>
        <v>44914</v>
      </c>
      <c r="AC367" s="119">
        <f>IF(OR(t&lt;Tnet,NoTnet),'2021'!Resal_s+('2021'!Salim-'2021'!Resal_s)*(1-EXP(('2021'!Tnet_s-t)/'2021'!Tau_j)),Resal_s+(Salim-Resal_s)*(1-EXP((Tnet_s-t)/Tau_j)))*Salcycl</f>
        <v>0.14488786707879545</v>
      </c>
      <c r="AD367" s="233">
        <f>(INDEX(Models!$BJ367:$BT367,,AH367)*(1-AF367)+INDEX(Models!$BJ367:$BT367,,AH367+1)*AF367-ERP_i)*AE367*Ramure*Pc/MaxiM</f>
        <v>0.13534446397678734</v>
      </c>
      <c r="AE367" s="307">
        <f t="shared" si="136"/>
        <v>1</v>
      </c>
      <c r="AF367" s="179">
        <f t="shared" si="137"/>
        <v>0.69974502232004832</v>
      </c>
      <c r="AG367" s="837">
        <f t="shared" si="143"/>
        <v>0</v>
      </c>
      <c r="AH367" s="178">
        <f t="shared" si="138"/>
        <v>6</v>
      </c>
      <c r="AI367" s="227">
        <f t="shared" si="139"/>
        <v>0.69974502232004832</v>
      </c>
      <c r="AJ367" s="267" t="b">
        <f t="shared" si="140"/>
        <v>0</v>
      </c>
      <c r="AK367" s="267" t="b">
        <f t="shared" si="141"/>
        <v>0</v>
      </c>
      <c r="AL367" s="267"/>
      <c r="AM367" s="267"/>
      <c r="AN367" s="75"/>
    </row>
    <row r="368" spans="1:40" s="6" customFormat="1" ht="11.25" x14ac:dyDescent="0.2">
      <c r="A368" s="56">
        <f t="shared" si="142"/>
        <v>44915</v>
      </c>
      <c r="B368" s="618">
        <v>3.9380000000000002</v>
      </c>
      <c r="C368" s="866"/>
      <c r="D368" s="395">
        <f t="shared" si="122"/>
        <v>4.0875848498675902</v>
      </c>
      <c r="E368" s="387">
        <f t="shared" si="144"/>
        <v>4.2477744191330773</v>
      </c>
      <c r="F368" s="387">
        <f t="shared" si="123"/>
        <v>4.2477744191330773</v>
      </c>
      <c r="G368" s="110">
        <f t="shared" si="145"/>
        <v>0.23349567734569829</v>
      </c>
      <c r="H368" s="414" t="b">
        <f>Wh_hp&gt;='2021'!Maxi_hp</f>
        <v>0</v>
      </c>
      <c r="I368" s="382">
        <f>IF(H368,Wh_hp,'2021'!Maxi_hp)</f>
        <v>18.802231330650311</v>
      </c>
      <c r="J368" s="85">
        <f>IF(H368,An,'2021'!An_max)</f>
        <v>2021</v>
      </c>
      <c r="K368" s="199">
        <f t="shared" si="124"/>
        <v>44915</v>
      </c>
      <c r="L368" s="147">
        <f>IF(t&lt;Tvie,1-EXP((T0-t)*PertePVj)+'2021'!Pspv,1-EXP((T0-t)*PertePVj)+Pspv)</f>
        <v>3.6594922273585406E-2</v>
      </c>
      <c r="M368" s="870"/>
      <c r="N368" s="870"/>
      <c r="O368" s="48">
        <f>IF(t&lt;Tnet,'2021'!Resal+('2021'!Salim-'2021'!Resal)*(1-EXP(('2021'!Tnet-t)/('2021'!Tau_j))),Resal+(Salim-Resal)*(1-EXP((Tnet-t)/(Tau_j))))*Salcycl</f>
        <v>3.7711411543878533E-2</v>
      </c>
      <c r="P368" s="341">
        <f>(INDEX(Models!$BJ368:$BT368,,T368)*(1-R368)+INDEX(Models!$BJ368:$BT368,,T368+1)*R368-ERP_i)*Q368*Ramure*Pc/MaxiM</f>
        <v>0.13541328558507981</v>
      </c>
      <c r="Q368" s="307">
        <f t="shared" si="125"/>
        <v>1</v>
      </c>
      <c r="R368" s="179">
        <f t="shared" si="126"/>
        <v>0.69975558248202196</v>
      </c>
      <c r="S368" s="837">
        <f t="shared" si="127"/>
        <v>0</v>
      </c>
      <c r="T368" s="178">
        <f t="shared" si="128"/>
        <v>6</v>
      </c>
      <c r="U368" s="253">
        <f t="shared" si="129"/>
        <v>0.69975558248202196</v>
      </c>
      <c r="V368" s="385">
        <f t="shared" si="130"/>
        <v>14.58160819108064</v>
      </c>
      <c r="W368" s="404"/>
      <c r="X368" s="157">
        <f t="shared" si="131"/>
        <v>44915</v>
      </c>
      <c r="Y368" s="387">
        <f t="shared" si="132"/>
        <v>3.4991829016938474</v>
      </c>
      <c r="Z368" s="387">
        <f t="shared" si="133"/>
        <v>3.6320992930115494</v>
      </c>
      <c r="AA368" s="388">
        <f t="shared" si="134"/>
        <v>4.2477744191330773</v>
      </c>
      <c r="AB368" s="199">
        <f t="shared" si="135"/>
        <v>44915</v>
      </c>
      <c r="AC368" s="119">
        <f>IF(OR(t&lt;Tnet,NoTnet),'2021'!Resal_s+('2021'!Salim-'2021'!Resal_s)*(1-EXP(('2021'!Tnet_s-t)/'2021'!Tau_j)),Resal_s+(Salim-Resal_s)*(1-EXP((Tnet_s-t)/Tau_j)))*Salcycl</f>
        <v>0.14494063605363966</v>
      </c>
      <c r="AD368" s="233">
        <f>(INDEX(Models!$BJ368:$BT368,,AH368)*(1-AF368)+INDEX(Models!$BJ368:$BT368,,AH368+1)*AF368-ERP_i)*AE368*Ramure*Pc/MaxiM</f>
        <v>0.13541328558507981</v>
      </c>
      <c r="AE368" s="307">
        <f t="shared" si="136"/>
        <v>1</v>
      </c>
      <c r="AF368" s="179">
        <f t="shared" si="137"/>
        <v>0.69975558248202196</v>
      </c>
      <c r="AG368" s="837">
        <f t="shared" si="143"/>
        <v>0</v>
      </c>
      <c r="AH368" s="178">
        <f t="shared" si="138"/>
        <v>6</v>
      </c>
      <c r="AI368" s="227">
        <f t="shared" si="139"/>
        <v>0.69975558248202196</v>
      </c>
      <c r="AJ368" s="267" t="b">
        <f t="shared" si="140"/>
        <v>0</v>
      </c>
      <c r="AK368" s="267" t="b">
        <f t="shared" si="141"/>
        <v>0</v>
      </c>
      <c r="AL368" s="267"/>
      <c r="AM368" s="267"/>
      <c r="AN368" s="75"/>
    </row>
    <row r="369" spans="1:40" s="18" customFormat="1" ht="11.25" x14ac:dyDescent="0.2">
      <c r="A369" s="56">
        <f t="shared" si="142"/>
        <v>44916</v>
      </c>
      <c r="B369" s="618">
        <v>14.356</v>
      </c>
      <c r="C369" s="866"/>
      <c r="D369" s="395">
        <f t="shared" si="122"/>
        <v>14.901659151255243</v>
      </c>
      <c r="E369" s="387">
        <f t="shared" si="144"/>
        <v>15.48875142377933</v>
      </c>
      <c r="F369" s="387">
        <f t="shared" si="123"/>
        <v>17.850386035050892</v>
      </c>
      <c r="G369" s="110">
        <f t="shared" si="145"/>
        <v>0.98057775303800043</v>
      </c>
      <c r="H369" s="414" t="b">
        <f>Wh_hp&gt;='2021'!Maxi_hp</f>
        <v>1</v>
      </c>
      <c r="I369" s="382">
        <f>IF(H369,Wh_hp,'2021'!Maxi_hp)</f>
        <v>17.850386035050892</v>
      </c>
      <c r="J369" s="85">
        <f>IF(H369,An,'2021'!An_max)</f>
        <v>2022</v>
      </c>
      <c r="K369" s="199">
        <f t="shared" si="124"/>
        <v>44916</v>
      </c>
      <c r="L369" s="147">
        <f>IF(t&lt;Tvie,1-EXP((T0-t)*PertePVj)+'2021'!Pspv,1-EXP((T0-t)*PertePVj)+Pspv)</f>
        <v>3.6617342117188367E-2</v>
      </c>
      <c r="M369" s="870"/>
      <c r="N369" s="870"/>
      <c r="O369" s="48">
        <f>IF(t&lt;Tnet,'2021'!Resal+('2021'!Salim-'2021'!Resal)*(1-EXP(('2021'!Tnet-t)/('2021'!Tau_j))),Resal+(Salim-Resal)*(1-EXP((Tnet-t)/(Tau_j))))*Salcycl</f>
        <v>3.7904428605054961E-2</v>
      </c>
      <c r="P369" s="341">
        <f>(INDEX(Models!$BJ369:$BT369,,T369)*(1-R369)+INDEX(Models!$BJ369:$BT369,,T369+1)*R369-ERP_i)*Q369*Ramure*Pc/MaxiM</f>
        <v>0.13538221485394461</v>
      </c>
      <c r="Q369" s="307">
        <f t="shared" si="125"/>
        <v>1</v>
      </c>
      <c r="R369" s="179">
        <f t="shared" si="126"/>
        <v>0.69976571776044361</v>
      </c>
      <c r="S369" s="837">
        <f t="shared" si="127"/>
        <v>0</v>
      </c>
      <c r="T369" s="178">
        <f t="shared" si="128"/>
        <v>6</v>
      </c>
      <c r="U369" s="253">
        <f t="shared" si="129"/>
        <v>0.69976571776044361</v>
      </c>
      <c r="V369" s="385">
        <f t="shared" si="130"/>
        <v>14.588370388198088</v>
      </c>
      <c r="W369" s="404"/>
      <c r="X369" s="157">
        <f t="shared" si="131"/>
        <v>44916</v>
      </c>
      <c r="Y369" s="387">
        <f t="shared" si="132"/>
        <v>12.758029034944199</v>
      </c>
      <c r="Z369" s="387">
        <f t="shared" si="133"/>
        <v>13.242950691039031</v>
      </c>
      <c r="AA369" s="388">
        <f t="shared" si="134"/>
        <v>15.48875142377933</v>
      </c>
      <c r="AB369" s="199">
        <f t="shared" si="135"/>
        <v>44916</v>
      </c>
      <c r="AC369" s="119">
        <f>IF(OR(t&lt;Tnet,NoTnet),'2021'!Resal_s+('2021'!Salim-'2021'!Resal_s)*(1-EXP(('2021'!Tnet_s-t)/'2021'!Tau_j)),Resal_s+(Salim-Resal_s)*(1-EXP((Tnet_s-t)/Tau_j)))*Salcycl</f>
        <v>0.14499559527389672</v>
      </c>
      <c r="AD369" s="233">
        <f>(INDEX(Models!$BJ369:$BT369,,AH369)*(1-AF369)+INDEX(Models!$BJ369:$BT369,,AH369+1)*AF369-ERP_i)*AE369*Ramure*Pc/MaxiM</f>
        <v>0.13538221485394461</v>
      </c>
      <c r="AE369" s="307">
        <f t="shared" si="136"/>
        <v>1</v>
      </c>
      <c r="AF369" s="179">
        <f t="shared" si="137"/>
        <v>0.69976571776044361</v>
      </c>
      <c r="AG369" s="837">
        <f t="shared" si="143"/>
        <v>0</v>
      </c>
      <c r="AH369" s="178">
        <f t="shared" si="138"/>
        <v>6</v>
      </c>
      <c r="AI369" s="227">
        <f t="shared" si="139"/>
        <v>0.69976571776044361</v>
      </c>
      <c r="AJ369" s="267" t="b">
        <f t="shared" si="140"/>
        <v>0</v>
      </c>
      <c r="AK369" s="267" t="b">
        <f t="shared" si="141"/>
        <v>0</v>
      </c>
      <c r="AL369" s="267"/>
      <c r="AM369" s="267"/>
      <c r="AN369" s="267"/>
    </row>
    <row r="370" spans="1:40" s="18" customFormat="1" ht="11.25" x14ac:dyDescent="0.2">
      <c r="A370" s="56">
        <f t="shared" si="142"/>
        <v>44917</v>
      </c>
      <c r="B370" s="618">
        <v>12.734</v>
      </c>
      <c r="C370" s="866"/>
      <c r="D370" s="395">
        <f t="shared" si="122"/>
        <v>13.218315942769033</v>
      </c>
      <c r="E370" s="387">
        <f t="shared" si="144"/>
        <v>13.741848956664716</v>
      </c>
      <c r="F370" s="387">
        <f t="shared" si="123"/>
        <v>15.448921044453796</v>
      </c>
      <c r="G370" s="110">
        <f t="shared" si="145"/>
        <v>0.84762622429311929</v>
      </c>
      <c r="H370" s="414" t="b">
        <f>Wh_hp&gt;='2021'!Maxi_hp</f>
        <v>0</v>
      </c>
      <c r="I370" s="382">
        <f>IF(H370,Wh_hp,'2021'!Maxi_hp)</f>
        <v>17.758391649876643</v>
      </c>
      <c r="J370" s="85">
        <f>IF(H370,An,'2021'!An_max)</f>
        <v>2021</v>
      </c>
      <c r="K370" s="199">
        <f t="shared" si="124"/>
        <v>44917</v>
      </c>
      <c r="L370" s="147">
        <f>IF(t&lt;Tvie,1-EXP((T0-t)*PertePVj)+'2021'!Pspv,1-EXP((T0-t)*PertePVj)+Pspv)</f>
        <v>3.663976143904879E-2</v>
      </c>
      <c r="M370" s="870"/>
      <c r="N370" s="870"/>
      <c r="O370" s="48">
        <f>IF(t&lt;Tnet,'2021'!Resal+('2021'!Salim-'2021'!Resal)*(1-EXP(('2021'!Tnet-t)/('2021'!Tau_j))),Resal+(Salim-Resal)*(1-EXP((Tnet-t)/(Tau_j))))*Salcycl</f>
        <v>3.809771272749822E-2</v>
      </c>
      <c r="P370" s="341">
        <f>(INDEX(Models!$BJ370:$BT370,,T370)*(1-R370)+INDEX(Models!$BJ370:$BT370,,T370+1)*R370-ERP_i)*Q370*Ramure*Pc/MaxiM</f>
        <v>0.13525082754984669</v>
      </c>
      <c r="Q370" s="307">
        <f t="shared" si="125"/>
        <v>1</v>
      </c>
      <c r="R370" s="179">
        <f t="shared" si="126"/>
        <v>0.69977544523875979</v>
      </c>
      <c r="S370" s="837">
        <f t="shared" si="127"/>
        <v>0</v>
      </c>
      <c r="T370" s="178">
        <f t="shared" si="128"/>
        <v>6</v>
      </c>
      <c r="U370" s="253">
        <f t="shared" si="129"/>
        <v>0.69977544523875979</v>
      </c>
      <c r="V370" s="385">
        <f t="shared" si="130"/>
        <v>14.605068521238987</v>
      </c>
      <c r="W370" s="404"/>
      <c r="X370" s="157">
        <f t="shared" si="131"/>
        <v>44917</v>
      </c>
      <c r="Y370" s="387">
        <f t="shared" si="132"/>
        <v>11.318093974703753</v>
      </c>
      <c r="Z370" s="387">
        <f t="shared" si="133"/>
        <v>11.748558349896713</v>
      </c>
      <c r="AA370" s="388">
        <f t="shared" si="134"/>
        <v>13.741848956664716</v>
      </c>
      <c r="AB370" s="199">
        <f t="shared" si="135"/>
        <v>44917</v>
      </c>
      <c r="AC370" s="119">
        <f>IF(OR(t&lt;Tnet,NoTnet),'2021'!Resal_s+('2021'!Salim-'2021'!Resal_s)*(1-EXP(('2021'!Tnet_s-t)/'2021'!Tau_j)),Resal_s+(Salim-Resal_s)*(1-EXP((Tnet_s-t)/Tau_j)))*Salcycl</f>
        <v>0.14505257720805237</v>
      </c>
      <c r="AD370" s="233">
        <f>(INDEX(Models!$BJ370:$BT370,,AH370)*(1-AF370)+INDEX(Models!$BJ370:$BT370,,AH370+1)*AF370-ERP_i)*AE370*Ramure*Pc/MaxiM</f>
        <v>0.13525082754984669</v>
      </c>
      <c r="AE370" s="307">
        <f t="shared" si="136"/>
        <v>1</v>
      </c>
      <c r="AF370" s="179">
        <f t="shared" si="137"/>
        <v>0.69977544523875979</v>
      </c>
      <c r="AG370" s="837">
        <f t="shared" si="143"/>
        <v>0</v>
      </c>
      <c r="AH370" s="178">
        <f t="shared" si="138"/>
        <v>6</v>
      </c>
      <c r="AI370" s="227">
        <f t="shared" si="139"/>
        <v>0.69977544523875979</v>
      </c>
      <c r="AJ370" s="267" t="b">
        <f t="shared" si="140"/>
        <v>0</v>
      </c>
      <c r="AK370" s="267" t="b">
        <f t="shared" si="141"/>
        <v>0</v>
      </c>
      <c r="AL370" s="267"/>
      <c r="AM370" s="267"/>
      <c r="AN370" s="267"/>
    </row>
    <row r="371" spans="1:40" s="6" customFormat="1" ht="11.25" x14ac:dyDescent="0.2">
      <c r="A371" s="56">
        <f t="shared" si="142"/>
        <v>44918</v>
      </c>
      <c r="B371" s="618">
        <v>13.343</v>
      </c>
      <c r="C371" s="866"/>
      <c r="D371" s="395">
        <f t="shared" si="122"/>
        <v>13.850800546077197</v>
      </c>
      <c r="E371" s="387">
        <f t="shared" si="144"/>
        <v>14.402281612136175</v>
      </c>
      <c r="F371" s="387">
        <f t="shared" si="123"/>
        <v>16.329649322578813</v>
      </c>
      <c r="G371" s="110">
        <f t="shared" si="145"/>
        <v>0.89435012325164387</v>
      </c>
      <c r="H371" s="414" t="b">
        <f>Wh_hp&gt;='2021'!Maxi_hp</f>
        <v>1</v>
      </c>
      <c r="I371" s="382">
        <f>IF(H371,Wh_hp,'2021'!Maxi_hp)</f>
        <v>16.329649322578813</v>
      </c>
      <c r="J371" s="85">
        <f>IF(H371,An,'2021'!An_max)</f>
        <v>2022</v>
      </c>
      <c r="K371" s="199">
        <f t="shared" si="124"/>
        <v>44918</v>
      </c>
      <c r="L371" s="147">
        <f>IF(t&lt;Tvie,1-EXP((T0-t)*PertePVj)+'2021'!Pspv,1-EXP((T0-t)*PertePVj)+Pspv)</f>
        <v>3.6662180239178777E-2</v>
      </c>
      <c r="M371" s="870"/>
      <c r="N371" s="870"/>
      <c r="O371" s="48">
        <f>IF(t&lt;Tnet,'2021'!Resal+('2021'!Salim-'2021'!Resal)*(1-EXP(('2021'!Tnet-t)/('2021'!Tau_j))),Resal+(Salim-Resal)*(1-EXP((Tnet-t)/(Tau_j))))*Salcycl</f>
        <v>3.8291229189288158E-2</v>
      </c>
      <c r="P371" s="341">
        <f>(INDEX(Models!$BJ371:$BT371,,T371)*(1-R371)+INDEX(Models!$BJ371:$BT371,,T371+1)*R371-ERP_i)*Q371*Ramure*Pc/MaxiM</f>
        <v>0.13501853559422491</v>
      </c>
      <c r="Q371" s="307">
        <f t="shared" si="125"/>
        <v>1</v>
      </c>
      <c r="R371" s="179">
        <f t="shared" si="126"/>
        <v>0.69977544523875979</v>
      </c>
      <c r="S371" s="837">
        <f t="shared" si="127"/>
        <v>0</v>
      </c>
      <c r="T371" s="178">
        <f t="shared" si="128"/>
        <v>6</v>
      </c>
      <c r="U371" s="253">
        <f t="shared" si="129"/>
        <v>0.69977544523875979</v>
      </c>
      <c r="V371" s="385">
        <f t="shared" si="130"/>
        <v>14.631817506381738</v>
      </c>
      <c r="W371" s="404"/>
      <c r="X371" s="157">
        <f t="shared" si="131"/>
        <v>44918</v>
      </c>
      <c r="Y371" s="387">
        <f t="shared" si="132"/>
        <v>11.860948637576428</v>
      </c>
      <c r="Z371" s="387">
        <f t="shared" si="133"/>
        <v>12.312346089060719</v>
      </c>
      <c r="AA371" s="388">
        <f t="shared" si="134"/>
        <v>14.402281612136175</v>
      </c>
      <c r="AB371" s="199">
        <f t="shared" si="135"/>
        <v>44918</v>
      </c>
      <c r="AC371" s="119">
        <f>IF(OR(t&lt;Tnet,NoTnet),'2021'!Resal_s+('2021'!Salim-'2021'!Resal_s)*(1-EXP(('2021'!Tnet_s-t)/'2021'!Tau_j)),Resal_s+(Salim-Resal_s)*(1-EXP((Tnet_s-t)/Tau_j)))*Salcycl</f>
        <v>0.14511141910420342</v>
      </c>
      <c r="AD371" s="233">
        <f>(INDEX(Models!$BJ371:$BT371,,AH371)*(1-AF371)+INDEX(Models!$BJ371:$BT371,,AH371+1)*AF371-ERP_i)*AE371*Ramure*Pc/MaxiM</f>
        <v>0.13501853559422491</v>
      </c>
      <c r="AE371" s="307">
        <f t="shared" si="136"/>
        <v>1</v>
      </c>
      <c r="AF371" s="179">
        <f t="shared" si="137"/>
        <v>0.69977544523875979</v>
      </c>
      <c r="AG371" s="837">
        <f t="shared" si="143"/>
        <v>0</v>
      </c>
      <c r="AH371" s="178">
        <f t="shared" si="138"/>
        <v>6</v>
      </c>
      <c r="AI371" s="227">
        <f t="shared" si="139"/>
        <v>0.69977544523875979</v>
      </c>
      <c r="AJ371" s="267" t="b">
        <f t="shared" si="140"/>
        <v>0</v>
      </c>
      <c r="AK371" s="267" t="b">
        <f t="shared" si="141"/>
        <v>0</v>
      </c>
      <c r="AL371" s="267"/>
      <c r="AM371" s="267"/>
      <c r="AN371" s="75"/>
    </row>
    <row r="372" spans="1:40" s="6" customFormat="1" ht="11.25" x14ac:dyDescent="0.2">
      <c r="A372" s="56">
        <f t="shared" si="142"/>
        <v>44919</v>
      </c>
      <c r="B372" s="618">
        <v>15.194000000000001</v>
      </c>
      <c r="C372" s="866"/>
      <c r="D372" s="395">
        <f t="shared" si="122"/>
        <v>15.7726119364629</v>
      </c>
      <c r="E372" s="387">
        <f t="shared" si="144"/>
        <v>16.403915712583391</v>
      </c>
      <c r="F372" s="387">
        <f t="shared" si="123"/>
        <v>18.957181052151117</v>
      </c>
      <c r="G372" s="110">
        <f t="shared" si="145"/>
        <v>1.0358096498659237</v>
      </c>
      <c r="H372" s="414" t="b">
        <f>Wh_hp&gt;='2021'!Maxi_hp</f>
        <v>1</v>
      </c>
      <c r="I372" s="382">
        <f>IF(H372,Wh_hp,'2021'!Maxi_hp)</f>
        <v>18.957181052151117</v>
      </c>
      <c r="J372" s="85">
        <f>IF(H372,An,'2021'!An_max)</f>
        <v>2022</v>
      </c>
      <c r="K372" s="199">
        <f t="shared" si="124"/>
        <v>44919</v>
      </c>
      <c r="L372" s="147">
        <f>IF(t&lt;Tvie,1-EXP((T0-t)*PertePVj)+'2021'!Pspv,1-EXP((T0-t)*PertePVj)+Pspv)</f>
        <v>3.668459851759065E-2</v>
      </c>
      <c r="M372" s="870"/>
      <c r="N372" s="870"/>
      <c r="O372" s="48">
        <f>IF(t&lt;Tnet,'2021'!Resal+('2021'!Salim-'2021'!Resal)*(1-EXP(('2021'!Tnet-t)/('2021'!Tau_j))),Resal+(Salim-Resal)*(1-EXP((Tnet-t)/(Tau_j))))*Salcycl</f>
        <v>3.8484943911057737E-2</v>
      </c>
      <c r="P372" s="341">
        <f>(INDEX(Models!$BJ372:$BT372,,T372)*(1-R372)+INDEX(Models!$BJ372:$BT372,,T372+1)*R372-ERP_i)*Q372*Ramure*Pc/MaxiM</f>
        <v>0.13468591836221358</v>
      </c>
      <c r="Q372" s="307">
        <f t="shared" si="125"/>
        <v>1</v>
      </c>
      <c r="R372" s="179">
        <f t="shared" si="126"/>
        <v>0.69977544523875979</v>
      </c>
      <c r="S372" s="837">
        <f t="shared" si="127"/>
        <v>0</v>
      </c>
      <c r="T372" s="178">
        <f t="shared" si="128"/>
        <v>6</v>
      </c>
      <c r="U372" s="253">
        <f t="shared" si="129"/>
        <v>0.69977544523875979</v>
      </c>
      <c r="V372" s="385">
        <f t="shared" si="130"/>
        <v>14.668718332530236</v>
      </c>
      <c r="W372" s="404"/>
      <c r="X372" s="157">
        <f t="shared" si="131"/>
        <v>44919</v>
      </c>
      <c r="Y372" s="387">
        <f t="shared" si="132"/>
        <v>13.508116279723943</v>
      </c>
      <c r="Z372" s="387">
        <f t="shared" si="133"/>
        <v>14.022527054936335</v>
      </c>
      <c r="AA372" s="388">
        <f t="shared" si="134"/>
        <v>16.403915712583391</v>
      </c>
      <c r="AB372" s="199">
        <f t="shared" si="135"/>
        <v>44919</v>
      </c>
      <c r="AC372" s="119">
        <f>IF(OR(t&lt;Tnet,NoTnet),'2021'!Resal_s+('2021'!Salim-'2021'!Resal_s)*(1-EXP(('2021'!Tnet_s-t)/'2021'!Tau_j)),Resal_s+(Salim-Resal_s)*(1-EXP((Tnet_s-t)/Tau_j)))*Salcycl</f>
        <v>0.14517196377815453</v>
      </c>
      <c r="AD372" s="233">
        <f>(INDEX(Models!$BJ372:$BT372,,AH372)*(1-AF372)+INDEX(Models!$BJ372:$BT372,,AH372+1)*AF372-ERP_i)*AE372*Ramure*Pc/MaxiM</f>
        <v>0.13468591836221358</v>
      </c>
      <c r="AE372" s="307">
        <f t="shared" si="136"/>
        <v>1</v>
      </c>
      <c r="AF372" s="179">
        <f t="shared" si="137"/>
        <v>0.69977544523875979</v>
      </c>
      <c r="AG372" s="837">
        <f t="shared" si="143"/>
        <v>0</v>
      </c>
      <c r="AH372" s="178">
        <f t="shared" si="138"/>
        <v>6</v>
      </c>
      <c r="AI372" s="227">
        <f t="shared" si="139"/>
        <v>0.69977544523875979</v>
      </c>
      <c r="AJ372" s="267" t="b">
        <f t="shared" si="140"/>
        <v>0</v>
      </c>
      <c r="AK372" s="267" t="b">
        <f t="shared" si="141"/>
        <v>0</v>
      </c>
      <c r="AL372" s="267"/>
      <c r="AM372" s="267"/>
      <c r="AN372" s="75"/>
    </row>
    <row r="373" spans="1:40" s="6" customFormat="1" ht="11.25" x14ac:dyDescent="0.2">
      <c r="A373" s="56">
        <f t="shared" si="142"/>
        <v>44920</v>
      </c>
      <c r="B373" s="618">
        <v>8.59</v>
      </c>
      <c r="C373" s="866"/>
      <c r="D373" s="395">
        <f t="shared" si="122"/>
        <v>8.9173285232252759</v>
      </c>
      <c r="E373" s="387">
        <f t="shared" si="144"/>
        <v>9.2761178500238408</v>
      </c>
      <c r="F373" s="387">
        <f t="shared" si="123"/>
        <v>9.8098954752662308</v>
      </c>
      <c r="G373" s="110">
        <f t="shared" si="145"/>
        <v>0.53442735339897263</v>
      </c>
      <c r="H373" s="414" t="b">
        <f>Wh_hp&gt;='2021'!Maxi_hp</f>
        <v>0</v>
      </c>
      <c r="I373" s="382">
        <f>IF(H373,Wh_hp,'2021'!Maxi_hp)</f>
        <v>13.907050225818837</v>
      </c>
      <c r="J373" s="85">
        <f>IF(H373,An,'2021'!An_max)</f>
        <v>2018</v>
      </c>
      <c r="K373" s="199">
        <f t="shared" si="124"/>
        <v>44920</v>
      </c>
      <c r="L373" s="147">
        <f>IF(t&lt;Tvie,1-EXP((T0-t)*PertePVj)+'2021'!Pspv,1-EXP((T0-t)*PertePVj)+Pspv)</f>
        <v>3.6707016274296289E-2</v>
      </c>
      <c r="M373" s="870"/>
      <c r="N373" s="870"/>
      <c r="O373" s="48">
        <f>IF(t&lt;Tnet,'2021'!Resal+('2021'!Salim-'2021'!Resal)*(1-EXP(('2021'!Tnet-t)/('2021'!Tau_j))),Resal+(Salim-Resal)*(1-EXP((Tnet-t)/(Tau_j))))*Salcycl</f>
        <v>3.8678823684591489E-2</v>
      </c>
      <c r="P373" s="341">
        <f>(INDEX(Models!$BJ373:$BT373,,T373)*(1-R373)+INDEX(Models!$BJ373:$BT373,,T373+1)*R373-ERP_i)*Q373*Ramure*Pc/MaxiM</f>
        <v>0.1342507475696397</v>
      </c>
      <c r="Q373" s="307">
        <f t="shared" si="125"/>
        <v>1</v>
      </c>
      <c r="R373" s="179">
        <f t="shared" si="126"/>
        <v>0.69977544523875979</v>
      </c>
      <c r="S373" s="837">
        <f t="shared" si="127"/>
        <v>0</v>
      </c>
      <c r="T373" s="178">
        <f t="shared" si="128"/>
        <v>6</v>
      </c>
      <c r="U373" s="253">
        <f t="shared" si="129"/>
        <v>0.69977544523875979</v>
      </c>
      <c r="V373" s="385">
        <f t="shared" si="130"/>
        <v>14.716167863955093</v>
      </c>
      <c r="W373" s="404"/>
      <c r="X373" s="157">
        <f t="shared" si="131"/>
        <v>44920</v>
      </c>
      <c r="Y373" s="387">
        <f t="shared" si="132"/>
        <v>7.6378629772164865</v>
      </c>
      <c r="Z373" s="387">
        <f t="shared" si="133"/>
        <v>7.9289095905959144</v>
      </c>
      <c r="AA373" s="388">
        <f t="shared" si="134"/>
        <v>9.2761178500238408</v>
      </c>
      <c r="AB373" s="199">
        <f t="shared" si="135"/>
        <v>44920</v>
      </c>
      <c r="AC373" s="119">
        <f>IF(OR(t&lt;Tnet,NoTnet),'2021'!Resal_s+('2021'!Salim-'2021'!Resal_s)*(1-EXP(('2021'!Tnet_s-t)/'2021'!Tau_j)),Resal_s+(Salim-Resal_s)*(1-EXP((Tnet_s-t)/Tau_j)))*Salcycl</f>
        <v>0.14523406032669844</v>
      </c>
      <c r="AD373" s="233">
        <f>(INDEX(Models!$BJ373:$BT373,,AH373)*(1-AF373)+INDEX(Models!$BJ373:$BT373,,AH373+1)*AF373-ERP_i)*AE373*Ramure*Pc/MaxiM</f>
        <v>0.1342507475696397</v>
      </c>
      <c r="AE373" s="307">
        <f t="shared" si="136"/>
        <v>1</v>
      </c>
      <c r="AF373" s="179">
        <f t="shared" si="137"/>
        <v>0.69977544523875979</v>
      </c>
      <c r="AG373" s="837">
        <f t="shared" si="143"/>
        <v>0</v>
      </c>
      <c r="AH373" s="178">
        <f t="shared" si="138"/>
        <v>6</v>
      </c>
      <c r="AI373" s="227">
        <f t="shared" si="139"/>
        <v>0.69977544523875979</v>
      </c>
      <c r="AJ373" s="267" t="b">
        <f t="shared" si="140"/>
        <v>0</v>
      </c>
      <c r="AK373" s="267" t="b">
        <f t="shared" si="141"/>
        <v>0</v>
      </c>
      <c r="AL373" s="267"/>
      <c r="AM373" s="267"/>
      <c r="AN373" s="75"/>
    </row>
    <row r="374" spans="1:40" s="6" customFormat="1" ht="11.25" x14ac:dyDescent="0.2">
      <c r="A374" s="56">
        <f t="shared" si="142"/>
        <v>44921</v>
      </c>
      <c r="B374" s="618">
        <v>13.361000000000001</v>
      </c>
      <c r="C374" s="866"/>
      <c r="D374" s="395">
        <f t="shared" si="122"/>
        <v>13.870453914807859</v>
      </c>
      <c r="E374" s="387">
        <f t="shared" si="144"/>
        <v>14.431445119752176</v>
      </c>
      <c r="F374" s="387">
        <f t="shared" si="123"/>
        <v>16.31483143877621</v>
      </c>
      <c r="G374" s="110">
        <f t="shared" si="145"/>
        <v>0.88565777217154484</v>
      </c>
      <c r="H374" s="414" t="b">
        <f>Wh_hp&gt;='2021'!Maxi_hp</f>
        <v>0</v>
      </c>
      <c r="I374" s="382">
        <f>IF(H374,Wh_hp,'2021'!Maxi_hp)</f>
        <v>17.58318067946076</v>
      </c>
      <c r="J374" s="85">
        <f>IF(H374,An,'2021'!An_max)</f>
        <v>2018</v>
      </c>
      <c r="K374" s="199">
        <f t="shared" si="124"/>
        <v>44921</v>
      </c>
      <c r="L374" s="147">
        <f>IF(t&lt;Tvie,1-EXP((T0-t)*PertePVj)+'2021'!Pspv,1-EXP((T0-t)*PertePVj)+Pspv)</f>
        <v>3.6729433509308129E-2</v>
      </c>
      <c r="M374" s="870"/>
      <c r="N374" s="870"/>
      <c r="O374" s="48">
        <f>IF(t&lt;Tnet,'2021'!Resal+('2021'!Salim-'2021'!Resal)*(1-EXP(('2021'!Tnet-t)/('2021'!Tau_j))),Resal+(Salim-Resal)*(1-EXP((Tnet-t)/(Tau_j))))*Salcycl</f>
        <v>3.8872836385352362E-2</v>
      </c>
      <c r="P374" s="341">
        <f>(INDEX(Models!$BJ374:$BT374,,T374)*(1-R374)+INDEX(Models!$BJ374:$BT374,,T374+1)*R374-ERP_i)*Q374*Ramure*Pc/MaxiM</f>
        <v>0.13371310973886716</v>
      </c>
      <c r="Q374" s="307">
        <f t="shared" si="125"/>
        <v>1</v>
      </c>
      <c r="R374" s="179">
        <f t="shared" si="126"/>
        <v>0.69977544523875979</v>
      </c>
      <c r="S374" s="837">
        <f t="shared" si="127"/>
        <v>0</v>
      </c>
      <c r="T374" s="178">
        <f t="shared" si="128"/>
        <v>6</v>
      </c>
      <c r="U374" s="253">
        <f t="shared" si="129"/>
        <v>0.69977544523875979</v>
      </c>
      <c r="V374" s="385">
        <f t="shared" si="130"/>
        <v>14.774321213565049</v>
      </c>
      <c r="W374" s="404"/>
      <c r="X374" s="157">
        <f t="shared" si="131"/>
        <v>44921</v>
      </c>
      <c r="Y374" s="387">
        <f t="shared" si="132"/>
        <v>11.881548737280026</v>
      </c>
      <c r="Z374" s="387">
        <f t="shared" si="133"/>
        <v>12.334591287851666</v>
      </c>
      <c r="AA374" s="388">
        <f t="shared" si="134"/>
        <v>14.431445119752176</v>
      </c>
      <c r="AB374" s="199">
        <f t="shared" si="135"/>
        <v>44921</v>
      </c>
      <c r="AC374" s="119">
        <f>IF(OR(t&lt;Tnet,NoTnet),'2021'!Resal_s+('2021'!Salim-'2021'!Resal_s)*(1-EXP(('2021'!Tnet_s-t)/'2021'!Tau_j)),Resal_s+(Salim-Resal_s)*(1-EXP((Tnet_s-t)/Tau_j)))*Salcycl</f>
        <v>0.14529756476228203</v>
      </c>
      <c r="AD374" s="233">
        <f>(INDEX(Models!$BJ374:$BT374,,AH374)*(1-AF374)+INDEX(Models!$BJ374:$BT374,,AH374+1)*AF374-ERP_i)*AE374*Ramure*Pc/MaxiM</f>
        <v>0.13371310973886716</v>
      </c>
      <c r="AE374" s="307">
        <f t="shared" si="136"/>
        <v>1</v>
      </c>
      <c r="AF374" s="179">
        <f t="shared" si="137"/>
        <v>0.69977544523875979</v>
      </c>
      <c r="AG374" s="837">
        <f t="shared" si="143"/>
        <v>0</v>
      </c>
      <c r="AH374" s="178">
        <f t="shared" si="138"/>
        <v>6</v>
      </c>
      <c r="AI374" s="227">
        <f t="shared" si="139"/>
        <v>0.69977544523875979</v>
      </c>
      <c r="AJ374" s="267" t="b">
        <f t="shared" si="140"/>
        <v>0</v>
      </c>
      <c r="AK374" s="267" t="b">
        <f t="shared" si="141"/>
        <v>0</v>
      </c>
      <c r="AL374" s="267"/>
      <c r="AM374" s="267"/>
      <c r="AN374" s="75"/>
    </row>
    <row r="375" spans="1:40" s="6" customFormat="1" ht="11.25" x14ac:dyDescent="0.2">
      <c r="A375" s="56">
        <f t="shared" si="142"/>
        <v>44922</v>
      </c>
      <c r="B375" s="618">
        <v>6.367</v>
      </c>
      <c r="C375" s="866"/>
      <c r="D375" s="395">
        <f t="shared" si="122"/>
        <v>6.6099270488831161</v>
      </c>
      <c r="E375" s="387">
        <f t="shared" si="144"/>
        <v>6.8786551330639947</v>
      </c>
      <c r="F375" s="387">
        <f t="shared" si="123"/>
        <v>7.051420081339371</v>
      </c>
      <c r="G375" s="110">
        <f t="shared" si="145"/>
        <v>0.38121405908357375</v>
      </c>
      <c r="H375" s="414" t="b">
        <f>Wh_hp&gt;='2021'!Maxi_hp</f>
        <v>0</v>
      </c>
      <c r="I375" s="382">
        <f>IF(H375,Wh_hp,'2021'!Maxi_hp)</f>
        <v>17.819544852558497</v>
      </c>
      <c r="J375" s="85">
        <f>IF(H375,An,'2021'!An_max)</f>
        <v>2018</v>
      </c>
      <c r="K375" s="199">
        <f t="shared" si="124"/>
        <v>44922</v>
      </c>
      <c r="L375" s="147">
        <f>IF(t&lt;Tvie,1-EXP((T0-t)*PertePVj)+'2021'!Pspv,1-EXP((T0-t)*PertePVj)+Pspv)</f>
        <v>3.6751850222638049E-2</v>
      </c>
      <c r="M375" s="870"/>
      <c r="N375" s="870"/>
      <c r="O375" s="48">
        <f>IF(t&lt;Tnet,'2021'!Resal+('2021'!Salim-'2021'!Resal)*(1-EXP(('2021'!Tnet-t)/('2021'!Tau_j))),Resal+(Salim-Resal)*(1-EXP((Tnet-t)/(Tau_j))))*Salcycl</f>
        <v>3.9066951167411955E-2</v>
      </c>
      <c r="P375" s="341">
        <f>(INDEX(Models!$BJ375:$BT375,,T375)*(1-R375)+INDEX(Models!$BJ375:$BT375,,T375+1)*R375-ERP_i)*Q375*Ramure*Pc/MaxiM</f>
        <v>0.13302100930070407</v>
      </c>
      <c r="Q375" s="307">
        <f t="shared" si="125"/>
        <v>1</v>
      </c>
      <c r="R375" s="179">
        <f t="shared" si="126"/>
        <v>0.69977544523875979</v>
      </c>
      <c r="S375" s="837">
        <f t="shared" si="127"/>
        <v>0</v>
      </c>
      <c r="T375" s="178">
        <f t="shared" si="128"/>
        <v>6</v>
      </c>
      <c r="U375" s="253">
        <f t="shared" si="129"/>
        <v>0.69977544523875979</v>
      </c>
      <c r="V375" s="385">
        <f t="shared" si="130"/>
        <v>14.843884491062123</v>
      </c>
      <c r="W375" s="404"/>
      <c r="X375" s="157">
        <f t="shared" si="131"/>
        <v>44922</v>
      </c>
      <c r="Y375" s="387">
        <f t="shared" si="132"/>
        <v>5.6627024996453867</v>
      </c>
      <c r="Z375" s="387">
        <f t="shared" si="133"/>
        <v>5.8787577229753536</v>
      </c>
      <c r="AA375" s="388">
        <f t="shared" si="134"/>
        <v>6.8786551330639947</v>
      </c>
      <c r="AB375" s="199">
        <f t="shared" si="135"/>
        <v>44922</v>
      </c>
      <c r="AC375" s="119">
        <f>IF(OR(t&lt;Tnet,NoTnet),'2021'!Resal_s+('2021'!Salim-'2021'!Resal_s)*(1-EXP(('2021'!Tnet_s-t)/'2021'!Tau_j)),Resal_s+(Salim-Resal_s)*(1-EXP((Tnet_s-t)/Tau_j)))*Salcycl</f>
        <v>0.14536234056601877</v>
      </c>
      <c r="AD375" s="233">
        <f>(INDEX(Models!$BJ375:$BT375,,AH375)*(1-AF375)+INDEX(Models!$BJ375:$BT375,,AH375+1)*AF375-ERP_i)*AE375*Ramure*Pc/MaxiM</f>
        <v>0.13302100930070407</v>
      </c>
      <c r="AE375" s="307">
        <f t="shared" si="136"/>
        <v>1</v>
      </c>
      <c r="AF375" s="179">
        <f t="shared" si="137"/>
        <v>0.69977544523875979</v>
      </c>
      <c r="AG375" s="837">
        <f t="shared" si="143"/>
        <v>0</v>
      </c>
      <c r="AH375" s="178">
        <f t="shared" si="138"/>
        <v>6</v>
      </c>
      <c r="AI375" s="227">
        <f t="shared" si="139"/>
        <v>0.69977544523875979</v>
      </c>
      <c r="AJ375" s="267" t="b">
        <f t="shared" si="140"/>
        <v>0</v>
      </c>
      <c r="AK375" s="267" t="b">
        <f t="shared" si="141"/>
        <v>0</v>
      </c>
      <c r="AL375" s="267"/>
      <c r="AM375" s="267"/>
      <c r="AN375" s="75"/>
    </row>
    <row r="376" spans="1:40" s="6" customFormat="1" ht="11.25" x14ac:dyDescent="0.2">
      <c r="A376" s="56">
        <f t="shared" si="142"/>
        <v>44923</v>
      </c>
      <c r="B376" s="618">
        <v>14.171000000000001</v>
      </c>
      <c r="C376" s="866"/>
      <c r="D376" s="395">
        <f t="shared" si="122"/>
        <v>14.712023885872602</v>
      </c>
      <c r="E376" s="387">
        <f t="shared" si="144"/>
        <v>15.313239088755212</v>
      </c>
      <c r="F376" s="387">
        <f t="shared" si="123"/>
        <v>17.454162146130681</v>
      </c>
      <c r="G376" s="110">
        <f t="shared" si="145"/>
        <v>0.93920310536365648</v>
      </c>
      <c r="H376" s="414" t="b">
        <f>Wh_hp&gt;='2021'!Maxi_hp</f>
        <v>1</v>
      </c>
      <c r="I376" s="382">
        <f>IF(H376,Wh_hp,'2021'!Maxi_hp)</f>
        <v>17.454162146130681</v>
      </c>
      <c r="J376" s="85">
        <f>IF(H376,An,'2021'!An_max)</f>
        <v>2022</v>
      </c>
      <c r="K376" s="199">
        <f t="shared" si="124"/>
        <v>44923</v>
      </c>
      <c r="L376" s="147">
        <f>IF(t&lt;Tvie,1-EXP((T0-t)*PertePVj)+'2021'!Pspv,1-EXP((T0-t)*PertePVj)+Pspv)</f>
        <v>3.6774266414298373E-2</v>
      </c>
      <c r="M376" s="870"/>
      <c r="N376" s="870"/>
      <c r="O376" s="48">
        <f>IF(t&lt;Tnet,'2021'!Resal+('2021'!Salim-'2021'!Resal)*(1-EXP(('2021'!Tnet-t)/('2021'!Tau_j))),Resal+(Salim-Resal)*(1-EXP((Tnet-t)/(Tau_j))))*Salcycl</f>
        <v>3.9261138639446462E-2</v>
      </c>
      <c r="P376" s="341">
        <f>(INDEX(Models!$BJ376:$BT376,,T376)*(1-R376)+INDEX(Models!$BJ376:$BT376,,T376+1)*R376-ERP_i)*Q376*Ramure*Pc/MaxiM</f>
        <v>0.13219266426396864</v>
      </c>
      <c r="Q376" s="307">
        <f t="shared" si="125"/>
        <v>1</v>
      </c>
      <c r="R376" s="179">
        <f t="shared" si="126"/>
        <v>0.69977544523875979</v>
      </c>
      <c r="S376" s="837">
        <f t="shared" si="127"/>
        <v>0</v>
      </c>
      <c r="T376" s="178">
        <f t="shared" si="128"/>
        <v>6</v>
      </c>
      <c r="U376" s="253">
        <f t="shared" si="129"/>
        <v>0.69977544523875979</v>
      </c>
      <c r="V376" s="385">
        <f t="shared" si="130"/>
        <v>14.924377926098003</v>
      </c>
      <c r="W376" s="404"/>
      <c r="X376" s="157">
        <f t="shared" si="131"/>
        <v>44923</v>
      </c>
      <c r="Y376" s="387">
        <f t="shared" si="132"/>
        <v>12.605023723448992</v>
      </c>
      <c r="Z376" s="387">
        <f t="shared" si="133"/>
        <v>13.086261386025853</v>
      </c>
      <c r="AA376" s="388">
        <f t="shared" si="134"/>
        <v>15.313239088755212</v>
      </c>
      <c r="AB376" s="199">
        <f t="shared" si="135"/>
        <v>44923</v>
      </c>
      <c r="AC376" s="119">
        <f>IF(OR(t&lt;Tnet,NoTnet),'2021'!Resal_s+('2021'!Salim-'2021'!Resal_s)*(1-EXP(('2021'!Tnet_s-t)/'2021'!Tau_j)),Resal_s+(Salim-Resal_s)*(1-EXP((Tnet_s-t)/Tau_j)))*Salcycl</f>
        <v>0.14542825915678853</v>
      </c>
      <c r="AD376" s="233">
        <f>(INDEX(Models!$BJ376:$BT376,,AH376)*(1-AF376)+INDEX(Models!$BJ376:$BT376,,AH376+1)*AF376-ERP_i)*AE376*Ramure*Pc/MaxiM</f>
        <v>0.13219266426396864</v>
      </c>
      <c r="AE376" s="307">
        <f t="shared" si="136"/>
        <v>1</v>
      </c>
      <c r="AF376" s="179">
        <f t="shared" si="137"/>
        <v>0.69977544523875979</v>
      </c>
      <c r="AG376" s="837">
        <f t="shared" si="143"/>
        <v>0</v>
      </c>
      <c r="AH376" s="178">
        <f t="shared" si="138"/>
        <v>6</v>
      </c>
      <c r="AI376" s="227">
        <f t="shared" si="139"/>
        <v>0.69977544523875979</v>
      </c>
      <c r="AJ376" s="267" t="b">
        <f t="shared" si="140"/>
        <v>0</v>
      </c>
      <c r="AK376" s="267" t="b">
        <f t="shared" si="141"/>
        <v>0</v>
      </c>
      <c r="AL376" s="267"/>
      <c r="AM376" s="267"/>
      <c r="AN376" s="75"/>
    </row>
    <row r="377" spans="1:40" s="6" customFormat="1" ht="11.25" x14ac:dyDescent="0.2">
      <c r="A377" s="56">
        <f t="shared" si="142"/>
        <v>44924</v>
      </c>
      <c r="B377" s="618">
        <v>9.5250000000000004</v>
      </c>
      <c r="C377" s="866"/>
      <c r="D377" s="395">
        <f t="shared" si="122"/>
        <v>9.8888778961137707</v>
      </c>
      <c r="E377" s="387">
        <f t="shared" si="144"/>
        <v>10.29507385473752</v>
      </c>
      <c r="F377" s="387">
        <f t="shared" si="123"/>
        <v>10.98353188828492</v>
      </c>
      <c r="G377" s="110">
        <f t="shared" si="145"/>
        <v>0.58794878528903893</v>
      </c>
      <c r="H377" s="414" t="b">
        <f>Wh_hp&gt;='2021'!Maxi_hp</f>
        <v>0</v>
      </c>
      <c r="I377" s="382">
        <f>IF(H377,Wh_hp,'2021'!Maxi_hp)</f>
        <v>19.042847861253957</v>
      </c>
      <c r="J377" s="85">
        <f>IF(H377,An,'2021'!An_max)</f>
        <v>2019</v>
      </c>
      <c r="K377" s="199">
        <f t="shared" si="124"/>
        <v>44924</v>
      </c>
      <c r="L377" s="147">
        <f>IF(t&lt;Tvie,1-EXP((T0-t)*PertePVj)+'2021'!Pspv,1-EXP((T0-t)*PertePVj)+Pspv)</f>
        <v>3.6796682084301091E-2</v>
      </c>
      <c r="M377" s="870"/>
      <c r="N377" s="870"/>
      <c r="O377" s="48">
        <f>IF(t&lt;Tnet,'2021'!Resal+('2021'!Salim-'2021'!Resal)*(1-EXP(('2021'!Tnet-t)/('2021'!Tau_j))),Resal+(Salim-Resal)*(1-EXP((Tnet-t)/(Tau_j))))*Salcycl</f>
        <v>3.9455371020658575E-2</v>
      </c>
      <c r="P377" s="341">
        <f>(INDEX(Models!$BJ377:$BT377,,T377)*(1-R377)+INDEX(Models!$BJ377:$BT377,,T377+1)*R377-ERP_i)*Q377*Ramure*Pc/MaxiM</f>
        <v>0.13123280965804185</v>
      </c>
      <c r="Q377" s="307">
        <f t="shared" si="125"/>
        <v>1</v>
      </c>
      <c r="R377" s="179">
        <f t="shared" si="126"/>
        <v>0.69977544523875979</v>
      </c>
      <c r="S377" s="837">
        <f t="shared" si="127"/>
        <v>0</v>
      </c>
      <c r="T377" s="178">
        <f t="shared" si="128"/>
        <v>6</v>
      </c>
      <c r="U377" s="253">
        <f t="shared" si="129"/>
        <v>0.69977544523875979</v>
      </c>
      <c r="V377" s="385">
        <f t="shared" si="130"/>
        <v>15.015556993355249</v>
      </c>
      <c r="W377" s="404"/>
      <c r="X377" s="157">
        <f t="shared" si="131"/>
        <v>44924</v>
      </c>
      <c r="Y377" s="387">
        <f t="shared" si="132"/>
        <v>8.4734826179077452</v>
      </c>
      <c r="Z377" s="387">
        <f t="shared" si="133"/>
        <v>8.7971900223970767</v>
      </c>
      <c r="AA377" s="388">
        <f t="shared" si="134"/>
        <v>10.29507385473752</v>
      </c>
      <c r="AB377" s="199">
        <f t="shared" si="135"/>
        <v>44924</v>
      </c>
      <c r="AC377" s="119">
        <f>IF(OR(t&lt;Tnet,NoTnet),'2021'!Resal_s+('2021'!Salim-'2021'!Resal_s)*(1-EXP(('2021'!Tnet_s-t)/'2021'!Tau_j)),Resal_s+(Salim-Resal_s)*(1-EXP((Tnet_s-t)/Tau_j)))*Salcycl</f>
        <v>0.14549520027495064</v>
      </c>
      <c r="AD377" s="233">
        <f>(INDEX(Models!$BJ377:$BT377,,AH377)*(1-AF377)+INDEX(Models!$BJ377:$BT377,,AH377+1)*AF377-ERP_i)*AE377*Ramure*Pc/MaxiM</f>
        <v>0.13123280965804185</v>
      </c>
      <c r="AE377" s="307">
        <f t="shared" si="136"/>
        <v>1</v>
      </c>
      <c r="AF377" s="179">
        <f t="shared" si="137"/>
        <v>0.69977544523875979</v>
      </c>
      <c r="AG377" s="837">
        <f t="shared" si="143"/>
        <v>0</v>
      </c>
      <c r="AH377" s="178">
        <f t="shared" si="138"/>
        <v>6</v>
      </c>
      <c r="AI377" s="227">
        <f t="shared" si="139"/>
        <v>0.69977544523875979</v>
      </c>
      <c r="AJ377" s="267" t="b">
        <f t="shared" si="140"/>
        <v>0</v>
      </c>
      <c r="AK377" s="267" t="b">
        <f t="shared" si="141"/>
        <v>0</v>
      </c>
      <c r="AL377" s="267"/>
      <c r="AM377" s="267"/>
      <c r="AN377" s="75"/>
    </row>
    <row r="378" spans="1:40" s="6" customFormat="1" ht="11.25" x14ac:dyDescent="0.2">
      <c r="A378" s="56">
        <f t="shared" si="142"/>
        <v>44925</v>
      </c>
      <c r="B378" s="618">
        <v>12.11</v>
      </c>
      <c r="C378" s="866"/>
      <c r="D378" s="395">
        <f t="shared" si="122"/>
        <v>12.572923700217089</v>
      </c>
      <c r="E378" s="387">
        <f t="shared" si="144"/>
        <v>13.09201723855255</v>
      </c>
      <c r="F378" s="387">
        <f t="shared" si="123"/>
        <v>14.436992227964168</v>
      </c>
      <c r="G378" s="110">
        <f t="shared" si="145"/>
        <v>0.76840417870549638</v>
      </c>
      <c r="H378" s="414" t="b">
        <f>Wh_hp&gt;='2021'!Maxi_hp</f>
        <v>0</v>
      </c>
      <c r="I378" s="382">
        <f>IF(H378,Wh_hp,'2021'!Maxi_hp)</f>
        <v>18.153924992563482</v>
      </c>
      <c r="J378" s="85">
        <f>IF(H378,An,'2021'!An_max)</f>
        <v>2019</v>
      </c>
      <c r="K378" s="199">
        <f t="shared" si="124"/>
        <v>44925</v>
      </c>
      <c r="L378" s="147">
        <f>IF(t&lt;Tvie,1-EXP((T0-t)*PertePVj)+'2021'!Pspv,1-EXP((T0-t)*PertePVj)+Pspv)</f>
        <v>3.6819097232658526E-2</v>
      </c>
      <c r="M378" s="870"/>
      <c r="N378" s="870"/>
      <c r="O378" s="48">
        <f>IF(t&lt;Tnet,'2021'!Resal+('2021'!Salim-'2021'!Resal)*(1-EXP(('2021'!Tnet-t)/('2021'!Tau_j))),Resal+(Salim-Resal)*(1-EXP((Tnet-t)/(Tau_j))))*Salcycl</f>
        <v>3.9649622275692326E-2</v>
      </c>
      <c r="P378" s="341">
        <f>(INDEX(Models!$BJ378:$BT378,,T378)*(1-R378)+INDEX(Models!$BJ378:$BT378,,T378+1)*R378-ERP_i)*Q378*Ramure*Pc/MaxiM</f>
        <v>0.13014646752395795</v>
      </c>
      <c r="Q378" s="307">
        <f t="shared" si="125"/>
        <v>1</v>
      </c>
      <c r="R378" s="179">
        <f t="shared" si="126"/>
        <v>0.69977544523875979</v>
      </c>
      <c r="S378" s="837">
        <f t="shared" si="127"/>
        <v>0</v>
      </c>
      <c r="T378" s="178">
        <f t="shared" si="128"/>
        <v>6</v>
      </c>
      <c r="U378" s="253">
        <f t="shared" si="129"/>
        <v>0.69977544523875979</v>
      </c>
      <c r="V378" s="385">
        <f t="shared" si="130"/>
        <v>15.117177445476582</v>
      </c>
      <c r="W378" s="404"/>
      <c r="X378" s="157">
        <f t="shared" si="131"/>
        <v>44925</v>
      </c>
      <c r="Y378" s="387">
        <f t="shared" si="132"/>
        <v>10.774433661814834</v>
      </c>
      <c r="Z378" s="387">
        <f t="shared" si="133"/>
        <v>11.186303248806651</v>
      </c>
      <c r="AA378" s="388">
        <f t="shared" si="134"/>
        <v>13.09201723855255</v>
      </c>
      <c r="AB378" s="199">
        <f t="shared" si="135"/>
        <v>44925</v>
      </c>
      <c r="AC378" s="119">
        <f>IF(OR(t&lt;Tnet,NoTnet),'2021'!Resal_s+('2021'!Salim-'2021'!Resal_s)*(1-EXP(('2021'!Tnet_s-t)/'2021'!Tau_j)),Resal_s+(Salim-Resal_s)*(1-EXP((Tnet_s-t)/Tau_j)))*Salcycl</f>
        <v>0.14556305227998581</v>
      </c>
      <c r="AD378" s="233">
        <f>(INDEX(Models!$BJ378:$BT378,,AH378)*(1-AF378)+INDEX(Models!$BJ378:$BT378,,AH378+1)*AF378-ERP_i)*AE378*Ramure*Pc/MaxiM</f>
        <v>0.13014646752395795</v>
      </c>
      <c r="AE378" s="307">
        <f t="shared" si="136"/>
        <v>1</v>
      </c>
      <c r="AF378" s="179">
        <f t="shared" si="137"/>
        <v>0.69977544523875979</v>
      </c>
      <c r="AG378" s="837">
        <f t="shared" si="143"/>
        <v>0</v>
      </c>
      <c r="AH378" s="178">
        <f t="shared" si="138"/>
        <v>6</v>
      </c>
      <c r="AI378" s="227">
        <f t="shared" si="139"/>
        <v>0.69977544523875979</v>
      </c>
      <c r="AJ378" s="267" t="b">
        <f t="shared" si="140"/>
        <v>0</v>
      </c>
      <c r="AK378" s="267" t="b">
        <f t="shared" si="141"/>
        <v>0</v>
      </c>
      <c r="AL378" s="267"/>
      <c r="AM378" s="267"/>
      <c r="AN378" s="75"/>
    </row>
    <row r="379" spans="1:40" s="18" customFormat="1" ht="12.75" x14ac:dyDescent="0.2">
      <c r="A379" s="56">
        <f t="shared" si="142"/>
        <v>44926</v>
      </c>
      <c r="B379" s="618">
        <v>9.4570000000000007</v>
      </c>
      <c r="C379" s="866"/>
      <c r="D379" s="395">
        <f t="shared" si="122"/>
        <v>9.8187371200525781</v>
      </c>
      <c r="E379" s="387">
        <f t="shared" si="144"/>
        <v>10.226188007496198</v>
      </c>
      <c r="F379" s="387">
        <f t="shared" si="123"/>
        <v>10.868808498073708</v>
      </c>
      <c r="G379" s="110">
        <f t="shared" si="145"/>
        <v>0.57490875471562752</v>
      </c>
      <c r="H379" s="414" t="b">
        <f>Wh_hp&gt;='2021'!Maxi_hp</f>
        <v>0</v>
      </c>
      <c r="I379" s="382">
        <f>IF(H379,Wh_hp,'2021'!Maxi_hp)</f>
        <v>18.304438481335758</v>
      </c>
      <c r="J379" s="85">
        <f>IF(H379,An,'2021'!An_max)</f>
        <v>2021</v>
      </c>
      <c r="K379" s="199">
        <f t="shared" si="124"/>
        <v>44926</v>
      </c>
      <c r="L379" s="147">
        <f>IF(t&lt;Tvie,1-EXP((T0-t)*PertePVj)+'2021'!Pspv,1-EXP((T0-t)*PertePVj)+Pspv)</f>
        <v>3.684151185938267E-2</v>
      </c>
      <c r="M379" s="870"/>
      <c r="N379" s="870"/>
      <c r="O379" s="48">
        <f>IF(t&lt;Tnet,'2021'!Resal+('2021'!Salim-'2021'!Resal)*(1-EXP(('2021'!Tnet-t)/('2021'!Tau_j))),Resal+(Salim-Resal)*(1-EXP((Tnet-t)/(Tau_j))))*Salcycl</f>
        <v>3.9843868227822786E-2</v>
      </c>
      <c r="P379" s="341">
        <f>(INDEX(Models!$BJ379:$BT379,,T379)*(1-R379)+INDEX(Models!$BJ379:$BT379,,T379+1)*R379-ERP_i)*Q379*Ramure*Pc/MaxiM</f>
        <v>0.1289388961003638</v>
      </c>
      <c r="Q379" s="308">
        <f t="shared" si="125"/>
        <v>1</v>
      </c>
      <c r="R379" s="179">
        <f t="shared" si="126"/>
        <v>0.69977544523875979</v>
      </c>
      <c r="S379" s="837">
        <f t="shared" si="127"/>
        <v>0</v>
      </c>
      <c r="T379" s="178">
        <f t="shared" si="128"/>
        <v>6</v>
      </c>
      <c r="U379" s="309">
        <f t="shared" si="129"/>
        <v>0.69977544523875979</v>
      </c>
      <c r="V379" s="385">
        <f t="shared" si="130"/>
        <v>15.228995281036241</v>
      </c>
      <c r="W379" s="404"/>
      <c r="X379" s="157">
        <f t="shared" si="131"/>
        <v>44926</v>
      </c>
      <c r="Y379" s="387">
        <f t="shared" si="132"/>
        <v>8.4150489996642968</v>
      </c>
      <c r="Z379" s="387">
        <f t="shared" si="133"/>
        <v>8.7369307370270857</v>
      </c>
      <c r="AA379" s="388">
        <f t="shared" si="134"/>
        <v>10.226188007496198</v>
      </c>
      <c r="AB379" s="199">
        <f t="shared" si="135"/>
        <v>44926</v>
      </c>
      <c r="AC379" s="119">
        <f>IF(OR(t&lt;Tnet,NoTnet),'2021'!Resal_s+('2021'!Salim-'2021'!Resal_s)*(1-EXP(('2021'!Tnet_s-t)/'2021'!Tau_j)),Resal_s+(Salim-Resal_s)*(1-EXP((Tnet_s-t)/Tau_j)))*Salcycl</f>
        <v>0.1456317123621656</v>
      </c>
      <c r="AD379" s="233">
        <f>(INDEX(Models!$BJ379:$BT379,,AH379)*(1-AF379)+INDEX(Models!$BJ379:$BT379,,AH379+1)*AF379-ERP_i)*AE379*Ramure*Pc/MaxiM</f>
        <v>0.1289388961003638</v>
      </c>
      <c r="AE379" s="308">
        <f t="shared" si="136"/>
        <v>1</v>
      </c>
      <c r="AF379" s="179">
        <f t="shared" si="137"/>
        <v>0.69977544523875979</v>
      </c>
      <c r="AG379" s="837">
        <f t="shared" si="143"/>
        <v>0</v>
      </c>
      <c r="AH379" s="178">
        <f t="shared" si="138"/>
        <v>6</v>
      </c>
      <c r="AI379" s="224">
        <f t="shared" si="139"/>
        <v>0.69977544523875979</v>
      </c>
      <c r="AJ379" s="267" t="b">
        <f t="shared" si="140"/>
        <v>0</v>
      </c>
      <c r="AK379" s="267" t="b">
        <f t="shared" si="141"/>
        <v>0</v>
      </c>
      <c r="AL379" s="267"/>
      <c r="AM379" s="267"/>
      <c r="AN379" s="267"/>
    </row>
    <row r="380" spans="1:40" s="18" customFormat="1" ht="12" thickBot="1" x14ac:dyDescent="0.25">
      <c r="A380" s="121"/>
      <c r="B380" s="1277">
        <f>(33.44+39.46)*0.05</f>
        <v>3.6450000000000005</v>
      </c>
      <c r="C380" s="874"/>
      <c r="D380" s="403"/>
      <c r="E380" s="389"/>
      <c r="F380" s="389"/>
      <c r="G380" s="122"/>
      <c r="H380" s="414" t="b">
        <f>Wh_hp&gt;='2021'!Maxi_hp</f>
        <v>0</v>
      </c>
      <c r="I380" s="382">
        <f>IF(H380,Wh_hp,'2021'!Maxi_hp)</f>
        <v>13.062281165272948</v>
      </c>
      <c r="J380" s="85">
        <f>IF(H380,An,'2021'!An_max)</f>
        <v>2020</v>
      </c>
      <c r="K380" s="236"/>
      <c r="L380" s="216"/>
      <c r="M380" s="875"/>
      <c r="N380" s="875"/>
      <c r="O380" s="153"/>
      <c r="P380" s="342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0"/>
        <v>1</v>
      </c>
      <c r="AK380" s="267" t="b">
        <f t="shared" si="141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0.77600000000000002</v>
      </c>
      <c r="C381" s="377"/>
      <c r="D381" s="375">
        <f>MIN(D15:D380)</f>
        <v>0.80117655103874807</v>
      </c>
      <c r="E381" s="375">
        <f>MIN(E15:E380)</f>
        <v>0.91708558832407383</v>
      </c>
      <c r="F381" s="376">
        <f>MIN(F15:F380)</f>
        <v>0.91708558832407383</v>
      </c>
      <c r="G381" s="125">
        <f>+MIN(G15:G380)</f>
        <v>1.4689092412221327E-2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46">MIN(L15:L380)</f>
        <v>2.8648028530731451E-2</v>
      </c>
      <c r="M381" s="872"/>
      <c r="N381" s="872"/>
      <c r="O381" s="47">
        <f t="shared" si="146"/>
        <v>2.6573120988402102E-2</v>
      </c>
      <c r="P381" s="343">
        <f t="shared" si="146"/>
        <v>1.7555983027289673E-4</v>
      </c>
      <c r="Q381" s="312">
        <f t="shared" si="146"/>
        <v>1</v>
      </c>
      <c r="R381" s="313">
        <f t="shared" si="146"/>
        <v>4.9763643015429508E-5</v>
      </c>
      <c r="S381" s="837">
        <f t="shared" si="146"/>
        <v>-1</v>
      </c>
      <c r="T381" s="178">
        <f t="shared" si="146"/>
        <v>5</v>
      </c>
      <c r="U381" s="254">
        <f>+MIN(U15:U380)</f>
        <v>-2.2277251060087507E-4</v>
      </c>
      <c r="V381" s="375">
        <f>MIN(V15:V380)</f>
        <v>14.58160819108064</v>
      </c>
      <c r="W381" s="394"/>
      <c r="X381" s="112" t="s">
        <v>7</v>
      </c>
      <c r="Y381" s="375">
        <f>MIN(Y15:Y380)</f>
        <v>0.75068881935630782</v>
      </c>
      <c r="Z381" s="375">
        <f>MIN(Z15:Z380)</f>
        <v>0.77504417422066552</v>
      </c>
      <c r="AA381" s="375">
        <f>MIN(AA15:AA380)</f>
        <v>0.91708558832407383</v>
      </c>
      <c r="AB381" s="202" t="s">
        <v>7</v>
      </c>
      <c r="AC381" s="47">
        <f t="shared" ref="AC381:AH381" si="147">MIN(AC15:AC380)</f>
        <v>0.14447592089436728</v>
      </c>
      <c r="AD381" s="170">
        <f t="shared" si="147"/>
        <v>1.7555983027289673E-4</v>
      </c>
      <c r="AE381" s="312">
        <f t="shared" si="147"/>
        <v>1</v>
      </c>
      <c r="AF381" s="313">
        <f t="shared" si="147"/>
        <v>4.9763643015429508E-5</v>
      </c>
      <c r="AG381" s="837">
        <f t="shared" si="147"/>
        <v>-1</v>
      </c>
      <c r="AH381" s="178">
        <f t="shared" si="147"/>
        <v>5</v>
      </c>
      <c r="AI381" s="228">
        <f>MIN(AI15:AI380)</f>
        <v>-2.2277251060087507E-4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26.671483606557395</v>
      </c>
      <c r="C382" s="377"/>
      <c r="D382" s="377">
        <f>AVERAGE(D15:D380)</f>
        <v>27.636108953318537</v>
      </c>
      <c r="E382" s="377">
        <f>AVERAGE(E15:E380)</f>
        <v>31.626312512410721</v>
      </c>
      <c r="F382" s="378">
        <f>AVERAGE(F15:F380)</f>
        <v>31.985394521357431</v>
      </c>
      <c r="G382" s="126">
        <f>AVERAGE(G15:G380)</f>
        <v>0.70976305381628513</v>
      </c>
      <c r="H382" s="94"/>
      <c r="I382" s="378">
        <f>AVERAGE(I15:I380)</f>
        <v>40.873265837935939</v>
      </c>
      <c r="J382" s="59">
        <f>AVERAGE(J15:J380)</f>
        <v>2020.4125683060108</v>
      </c>
      <c r="K382" s="202" t="s">
        <v>8</v>
      </c>
      <c r="L382" s="147">
        <f t="shared" ref="L382:V382" si="148">AVERAGE(L15:L380)</f>
        <v>3.2750538153664355E-2</v>
      </c>
      <c r="M382" s="870"/>
      <c r="N382" s="870"/>
      <c r="O382" s="48">
        <f t="shared" si="148"/>
        <v>0.11138798323147032</v>
      </c>
      <c r="P382" s="171">
        <f t="shared" si="148"/>
        <v>3.1977168641635224E-2</v>
      </c>
      <c r="Q382" s="314">
        <f t="shared" si="148"/>
        <v>1</v>
      </c>
      <c r="R382" s="179">
        <f t="shared" si="148"/>
        <v>0.40805261945258425</v>
      </c>
      <c r="S382" s="837">
        <f t="shared" si="148"/>
        <v>-1.643835616438356E-2</v>
      </c>
      <c r="T382" s="178">
        <f t="shared" si="148"/>
        <v>5.9835616438356167</v>
      </c>
      <c r="U382" s="253">
        <f t="shared" si="148"/>
        <v>0.39161426328820076</v>
      </c>
      <c r="V382" s="377">
        <f t="shared" si="148"/>
        <v>36.47908619834039</v>
      </c>
      <c r="W382" s="394"/>
      <c r="X382" s="112" t="s">
        <v>8</v>
      </c>
      <c r="Y382" s="377">
        <f>AVERAGE(Y15:Y380)</f>
        <v>25.708946277859091</v>
      </c>
      <c r="Z382" s="377">
        <f>AVERAGE(Z15:Z380)</f>
        <v>26.575402082836554</v>
      </c>
      <c r="AA382" s="377">
        <f>AVERAGE(AA15:AA380)</f>
        <v>31.626312512410721</v>
      </c>
      <c r="AB382" s="202" t="s">
        <v>8</v>
      </c>
      <c r="AC382" s="48">
        <f t="shared" ref="AC382:AH382" si="149">AVERAGE(AC15:AC380)</f>
        <v>0.15612778686884793</v>
      </c>
      <c r="AD382" s="171">
        <f t="shared" si="149"/>
        <v>3.1977168641635224E-2</v>
      </c>
      <c r="AE382" s="314">
        <f t="shared" si="149"/>
        <v>1</v>
      </c>
      <c r="AF382" s="179">
        <f t="shared" si="149"/>
        <v>0.40805261945258425</v>
      </c>
      <c r="AG382" s="837">
        <f t="shared" si="149"/>
        <v>-1.643835616438356E-2</v>
      </c>
      <c r="AH382" s="178">
        <f t="shared" si="149"/>
        <v>5.9835616438356167</v>
      </c>
      <c r="AI382" s="227">
        <f>AVERAGE(AI15:AI380)</f>
        <v>0.39161426328820076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55.283000000000001</v>
      </c>
      <c r="C383" s="379"/>
      <c r="D383" s="379">
        <f>MAX(D15:D380)</f>
        <v>57.149703851964986</v>
      </c>
      <c r="E383" s="379">
        <f>MAX(E15:E380)</f>
        <v>66.567370873373818</v>
      </c>
      <c r="F383" s="380">
        <f>MAX(F15:F380)</f>
        <v>66.579923598393634</v>
      </c>
      <c r="G383" s="127">
        <f>+MAX(G15:G380)</f>
        <v>1.0367196407913162</v>
      </c>
      <c r="H383" s="94"/>
      <c r="I383" s="380">
        <f>MAX(I15:I380)</f>
        <v>66.579923598393634</v>
      </c>
      <c r="J383" s="60">
        <f>MAX(J15:J380)</f>
        <v>2022</v>
      </c>
      <c r="K383" s="202" t="s">
        <v>9</v>
      </c>
      <c r="L383" s="148">
        <f t="shared" ref="L383:T383" si="150">MAX(L15:L380)</f>
        <v>3.684151185938267E-2</v>
      </c>
      <c r="M383" s="873"/>
      <c r="N383" s="873"/>
      <c r="O383" s="49">
        <f t="shared" si="150"/>
        <v>0.14944536610775419</v>
      </c>
      <c r="P383" s="172">
        <f t="shared" si="150"/>
        <v>0.13541328558507981</v>
      </c>
      <c r="Q383" s="315">
        <f t="shared" si="150"/>
        <v>1</v>
      </c>
      <c r="R383" s="316">
        <f t="shared" si="150"/>
        <v>0.99999956578752702</v>
      </c>
      <c r="S383" s="838">
        <f t="shared" si="150"/>
        <v>0</v>
      </c>
      <c r="T383" s="235">
        <f t="shared" si="150"/>
        <v>6</v>
      </c>
      <c r="U383" s="255">
        <f>+MAX(U15:U380)</f>
        <v>0.69977544523875979</v>
      </c>
      <c r="V383" s="379">
        <f>MAX(V15:V380)</f>
        <v>54.471793317054015</v>
      </c>
      <c r="W383" s="394"/>
      <c r="X383" s="112" t="s">
        <v>9</v>
      </c>
      <c r="Y383" s="379">
        <f>MAX(Y15:Y380)</f>
        <v>53.664878319279389</v>
      </c>
      <c r="Z383" s="379">
        <f>MAX(Z15:Z380)</f>
        <v>55.476944145552039</v>
      </c>
      <c r="AA383" s="379">
        <f>MAX(AA15:AA380)</f>
        <v>66.567370873373818</v>
      </c>
      <c r="AB383" s="202" t="s">
        <v>9</v>
      </c>
      <c r="AC383" s="49">
        <f t="shared" ref="AC383:AH383" si="151">MAX(AC15:AC380)</f>
        <v>0.16885500384944449</v>
      </c>
      <c r="AD383" s="172">
        <f t="shared" si="151"/>
        <v>0.13541328558507981</v>
      </c>
      <c r="AE383" s="315">
        <f t="shared" si="151"/>
        <v>1</v>
      </c>
      <c r="AF383" s="316">
        <f t="shared" si="151"/>
        <v>0.99999956578752702</v>
      </c>
      <c r="AG383" s="838">
        <f t="shared" si="151"/>
        <v>0</v>
      </c>
      <c r="AH383" s="235">
        <f t="shared" si="151"/>
        <v>6</v>
      </c>
      <c r="AI383" s="229">
        <f>MAX(AI15:AI380)</f>
        <v>0.69977544523875979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86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5"/>
      <c r="AK384" s="855"/>
      <c r="AL384" s="855"/>
      <c r="AM384" s="855"/>
      <c r="AN384" s="406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8" priority="3" stopIfTrue="1" operator="lessThan">
      <formula>0.01</formula>
    </cfRule>
    <cfRule type="cellIs" dxfId="17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793</vt:i4>
      </vt:variant>
    </vt:vector>
  </HeadingPairs>
  <TitlesOfParts>
    <vt:vector size="807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Hobs1</vt:lpstr>
      <vt:lpstr>Hobs2</vt:lpstr>
      <vt:lpstr>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Rata1</vt:lpstr>
      <vt:lpstr>Rata2</vt:lpstr>
      <vt:lpstr>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2023-01-22T18:01:02Z</dcterms:modified>
</cp:coreProperties>
</file>